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17.xml"/>
  <Override ContentType="application/vnd.openxmlformats-officedocument.drawingml.chart+xml" PartName="/xl/charts/chart18.xml"/>
  <Override ContentType="application/vnd.openxmlformats-officedocument.drawingml.chart+xml" PartName="/xl/charts/chart19.xml"/>
  <Override ContentType="application/vnd.openxmlformats-officedocument.drawingml.chart+xml" PartName="/xl/charts/chart2.xml"/>
  <Override ContentType="application/vnd.openxmlformats-officedocument.drawingml.chart+xml" PartName="/xl/charts/chart20.xml"/>
  <Override ContentType="application/vnd.openxmlformats-officedocument.drawingml.chart+xml" PartName="/xl/charts/chart21.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17.xml"/>
  <Override ContentType="application/vnd.openxmlformats-officedocument.spreadsheetml.comments+xml" PartName="/xl/comments18.xml"/>
  <Override ContentType="application/vnd.openxmlformats-officedocument.spreadsheetml.comments+xml" PartName="/xl/comments19.xml"/>
  <Override ContentType="application/vnd.openxmlformats-officedocument.spreadsheetml.comments+xml" PartName="/xl/comments2.xml"/>
  <Override ContentType="application/vnd.openxmlformats-officedocument.spreadsheetml.comments+xml" PartName="/xl/comments20.xml"/>
  <Override ContentType="application/vnd.openxmlformats-officedocument.spreadsheetml.comments+xml" PartName="/xl/comments21.xml"/>
  <Override ContentType="application/vnd.openxmlformats-officedocument.spreadsheetml.comments+xml" PartName="/xl/comments22.xml"/>
  <Override ContentType="application/vnd.openxmlformats-officedocument.spreadsheetml.comments+xml" PartName="/xl/comments23.xml"/>
  <Override ContentType="application/vnd.openxmlformats-officedocument.spreadsheetml.comments+xml" PartName="/xl/comments24.xml"/>
  <Override ContentType="application/vnd.openxmlformats-officedocument.spreadsheetml.comments+xml" PartName="/xl/comments25.xml"/>
  <Override ContentType="application/vnd.openxmlformats-officedocument.spreadsheetml.comments+xml" PartName="/xl/comments26.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ml.chartshapes+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4665" windowWidth="6015" windowHeight="1560" tabRatio="864" firstSheet="8" activeTab="8"/>
  </bookViews>
  <sheets>
    <sheet name="BS CF Inputs" sheetId="2" state="hidden" r:id="rId1"/>
    <sheet name="MW-Cache" sheetId="14" state="veryHidden" r:id="rId2"/>
    <sheet name="__FDSCACHE__" sheetId="15" state="veryHidden" r:id="rId3"/>
    <sheet name="IS Inputs " sheetId="3" state="hidden" r:id="rId4"/>
    <sheet name="Pro-Forma BS as of 3Q08" sheetId="8" state="hidden" r:id="rId5"/>
    <sheet name="Pro-Forma IS for 2007" sheetId="9" state="hidden" r:id="rId6"/>
    <sheet name="Pro-Forma IS through 3Q08" sheetId="10" state="hidden" r:id="rId7"/>
    <sheet name="Notes on the merger" sheetId="11" state="hidden" r:id="rId8"/>
    <sheet name="ImportantDisclosures" sheetId="83" r:id="rId9"/>
    <sheet name="CircularReferenceAlert" sheetId="86" r:id="rId10"/>
    <sheet name="Valuation" sheetId="46" r:id="rId11"/>
    <sheet name="IS" sheetId="28" r:id="rId12"/>
    <sheet name="BS" sheetId="29" r:id="rId13"/>
    <sheet name="CFS" sheetId="30" r:id="rId14"/>
    <sheet name="Segments New" sheetId="81" r:id="rId15"/>
    <sheet name="EBITDA &amp; Expense Detail" sheetId="79" state="hidden" r:id="rId16"/>
    <sheet name="LVLT Rev Build" sheetId="74" state="hidden" r:id="rId17"/>
    <sheet name="FX" sheetId="80" state="hidden" r:id="rId18"/>
    <sheet name="Subscribers" sheetId="31" r:id="rId19"/>
    <sheet name="DEBT" sheetId="50" r:id="rId20"/>
    <sheet name="Cash Taxes" sheetId="54" state="hidden" r:id="rId21"/>
    <sheet name="Charts" sheetId="61" state="hidden" r:id="rId22"/>
    <sheet name="Qrtly Guide vs Results" sheetId="68" state="hidden" r:id="rId23"/>
    <sheet name="Sheet2" sheetId="69" state="hidden" r:id="rId24"/>
    <sheet name="LINKS" sheetId="45" r:id="rId25"/>
    <sheet name="Q_IS" sheetId="37" state="hidden" r:id="rId26"/>
    <sheet name="Q_BS" sheetId="39" state="hidden" r:id="rId27"/>
    <sheet name="Q_CFS" sheetId="40" state="hidden" r:id="rId28"/>
    <sheet name="Q_Segments" sheetId="36" state="hidden" r:id="rId29"/>
    <sheet name="Q_Capex" sheetId="38" state="hidden" r:id="rId30"/>
    <sheet name="INPUTS_1" sheetId="32" state="hidden" r:id="rId31"/>
    <sheet name="INPUTS_2" sheetId="33" state="hidden" r:id="rId32"/>
    <sheet name="Pension" sheetId="70" r:id="rId33"/>
    <sheet name="OPEB" sheetId="71" r:id="rId34"/>
    <sheet name="Implied Guidance" sheetId="60" state="hidden" r:id="rId35"/>
    <sheet name="Implied Guidance 2016" sheetId="63" state="hidden" r:id="rId36"/>
    <sheet name="Network Detail" sheetId="72" r:id="rId37"/>
    <sheet name="IndexInformation" sheetId="84" r:id="rId38"/>
    <sheet name="ModPubIndex" sheetId="85" r:id="rId39"/>
    <sheet name="LVLT pro forma model (full)" sheetId="73" state="hidden" r:id="rId40"/>
    <sheet name="CTL-LVLT Analysis" sheetId="67" state="hidden" r:id="rId41"/>
  </sheets>
  <functionGroups builtInGroupCount="17"/>
  <externalReferences>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s>
  <definedNames>
    <definedName name="__FDS_HYPERLINK_TOGGLE_STATE__" hidden="1">"ON"</definedName>
    <definedName name="_4__123Graph_Aｸﾞﾗﾌ_1" hidden="1">[1]ｾｸﾞﾒﾝﾄ!$E$164:$I$164</definedName>
    <definedName name="_5__123Graph_Aｸﾞﾗﾌ_2" hidden="1">[1]単独!$AR$14:$AR$18</definedName>
    <definedName name="_6__123Graph_Bｸﾞﾗﾌ_1" hidden="1">[1]ｾｸﾞﾒﾝﾄ!$E$165:$I$165</definedName>
    <definedName name="_7__123Graph_Dｸﾞﾗﾌ_1" hidden="1">[1]ｾｸﾞﾒﾝﾄ!$E$167:$I$167</definedName>
    <definedName name="_bdm.02E29E7B1053433EA3CCCBE4E5141596.edm" localSheetId="33" hidden="1">[2]Sheet1!$1:$1048576</definedName>
    <definedName name="_bdm.02E29E7B1053433EA3CCCBE4E5141596.edm" localSheetId="32" hidden="1">[2]Sheet1!$1:$1048576</definedName>
    <definedName name="_bdm.02E29E7B1053433EA3CCCBE4E5141596.edm" hidden="1">[2]Sheet1!$A:$IV</definedName>
    <definedName name="_bdm.05C7FF6C1B404E8080535DD7E1DBF9E2.edm" hidden="1">[3]Valuation!$IV$1</definedName>
    <definedName name="_bdm.060D0C45D1D3491F95F1138DD9B2CF86.edm" hidden="1">'[3]Segments OLD'!$IV$1</definedName>
    <definedName name="_bdm.08C56FA2FD324FEC8AE1B0FCEE993AE3.edm" hidden="1">Q_IS!$1:$1048576</definedName>
    <definedName name="_bdm.09A4899922BB45E7935EAB919AE3D7DB.edm" hidden="1" xml:space="preserve">          [4]Estimates!$A:$IV</definedName>
    <definedName name="_bdm.09C92DEF80DA474DAFE70324E58A7AE4.edm" hidden="1" xml:space="preserve">          '[5]2Q10'!$A:$IV</definedName>
    <definedName name="_bdm.0A17E9BBC53448BF8B455219E3E66C8A.edm" localSheetId="27" hidden="1">Q_CFS!$A$5:$CK$76</definedName>
    <definedName name="_bdm.0B8AFC61EA354573960D6E135486DC32.edm" hidden="1">[4]Exhibits!$A:$IV</definedName>
    <definedName name="_bdm.0CCE61AD8E5B4D76BF7EFF04CB77D92D.edm" hidden="1" xml:space="preserve">          [4]Estimates!$A:$IV</definedName>
    <definedName name="_bdm.0D51745E252949468C456DBBC7834D0B.edm" hidden="1">[6]WACC!$A:$IV</definedName>
    <definedName name="_bdm.0E2D7F1898F14EF8A0C1AA65F6F487D0.edm" hidden="1" xml:space="preserve">          '[5]2Q10'!$A:$IV</definedName>
    <definedName name="_bdm.0FA5E7CF963E4590AA5B429B112D6D9B.edm" hidden="1" xml:space="preserve">          [4]Estimates!$A:$IV</definedName>
    <definedName name="_bdm.10DD25A1AE814D7AB7D6BEF38A0BA066.edm" hidden="1" xml:space="preserve">          [4]Estimates!$A:$IV</definedName>
    <definedName name="_bdm.11EB72ACE3374B1CB252FDD683429D59.edm" localSheetId="20" hidden="1">[7]C1500!$A:$IV</definedName>
    <definedName name="_bdm.11EB72ACE3374B1CB252FDD683429D59.edm" localSheetId="21" hidden="1">[7]C1500!$A:$IV</definedName>
    <definedName name="_bdm.11EB72ACE3374B1CB252FDD683429D59.edm" localSheetId="33" hidden="1">[7]C1500!$1:$1048576</definedName>
    <definedName name="_bdm.11EB72ACE3374B1CB252FDD683429D59.edm" localSheetId="32" hidden="1">[7]C1500!$1:$1048576</definedName>
    <definedName name="_bdm.11EB72ACE3374B1CB252FDD683429D59.edm" hidden="1">[8]C1500!$A:$IV</definedName>
    <definedName name="_bdm.12C3E89515AA4F41AFAD5B0FA26EE6B6.edm" hidden="1" xml:space="preserve">          [4]Estimates!$A:$IV</definedName>
    <definedName name="_bdm.142624406DD747CFB9B6D474C6B1C401.edm" localSheetId="11" hidden="1">IS!$A$5:$BB$94</definedName>
    <definedName name="_bdm.14E1DCA33026413893AB05CDA368725D.edm" localSheetId="13" hidden="1">CFS!$A$8:$BJ$104</definedName>
    <definedName name="_bdm.1986E197BBBA4ED6AF22F62C390127BC.edm" localSheetId="25" hidden="1">Q_IS!$A$5:$CK$92</definedName>
    <definedName name="_bdm.1E36213E67DB480497650D503A25455B.edm" localSheetId="12" hidden="1">BS!$A$3:$BE$50</definedName>
    <definedName name="_bdm.1FF84CFCF1384863A303237D795FB357.edm" hidden="1">[3]Valuation!$IV$1</definedName>
    <definedName name="_bdm.204F2A39BEB240D29F69E59FF20303E8.edm" hidden="1">'[3]Segments OLD'!$IV$1</definedName>
    <definedName name="_bdm.218C9A18029C40CB9CF0EA2E7C6C647A.edm" localSheetId="11" hidden="1">IS!$A$5:$BJ$111</definedName>
    <definedName name="_bdm.219703A52FBC4AC299DFA11E6A808F31.edm" localSheetId="12" hidden="1">BS!$A$5:$BM$50</definedName>
    <definedName name="_bdm.22278B9230174FEE9DB15D7D99D5B99C.edm" hidden="1" xml:space="preserve">          [4]Estimates!$A:$IV</definedName>
    <definedName name="_bdm.252AFD87DB0A4283A1AD9119734AF49C.edm" hidden="1" xml:space="preserve">          '[9]Est. TableP'!$A:$IV</definedName>
    <definedName name="_bdm.27B48B5204544A84AC7ADDAC3C2E04D4.edm" hidden="1" xml:space="preserve">          [4]Estimates!$A:$IV</definedName>
    <definedName name="_bdm.2BDCF05BE7314910BC0C39461F69947A.edm" hidden="1">[5]BS!$A:$IV</definedName>
    <definedName name="_bdm.2DC55F7284CE4C1E9AD577FC2A5208A9.edm" localSheetId="27" hidden="1">Q_CFS!$A$5:$CO$76</definedName>
    <definedName name="_bdm.32805E95C66C4D05AF3A0500CB124678.edm" localSheetId="12" hidden="1">BS!$A$8:$BE$50</definedName>
    <definedName name="_bdm.3331AEFE4C0A40AC960DEF985B07A237.edm" localSheetId="13" hidden="1">CFS!$A$5:$AX$101</definedName>
    <definedName name="_bdm.35FC400AE1954CCC9307ADE16BFD634A.edm" hidden="1" xml:space="preserve">          '[5]2Q10'!$A:$IV</definedName>
    <definedName name="_bdm.36A3BB8BB9B845D4A3F4EE6182918956.edm" localSheetId="27" hidden="1">Q_CFS!$A$5:$CO$56</definedName>
    <definedName name="_bdm.379775E5BE984A46A58797605FCD59CC.edm" localSheetId="13" hidden="1">CFS!$A$8:$BB$101</definedName>
    <definedName name="_bdm.3799C04A47DB4FD0ADB91B8C2D46AADE.edm" hidden="1" xml:space="preserve">          [4]Estimates!$A:$IV</definedName>
    <definedName name="_bdm.38BE7551C2DA491A8C4F9B5ED9E7E3B4.edm" hidden="1">'[6]CSCO Report'!$A:$IV</definedName>
    <definedName name="_bdm.39C214308AD84DAE8258BFF47237F283.edm" localSheetId="11" hidden="1">IS!$A$5:$BF$106</definedName>
    <definedName name="_bdm.3C53AFC3D52F41D59C263C8D34A2E226.edm" hidden="1">[6]Sheet1!$A:$IV</definedName>
    <definedName name="_bdm.3E6EE9BA6C194C53B83B184D0379880F.edm" hidden="1" xml:space="preserve">          [4]Estimates!$A:$IV</definedName>
    <definedName name="_bdm.3EE9BF84B5894AB1AD1DCC5007FFC6BE.edm" localSheetId="18" hidden="1">Subscribers!$1:$1048576</definedName>
    <definedName name="_bdm.3F0915E1E6D9476A8D86FDDF1FC39E21.edm" hidden="1">[4]DCFOld!$A:$IV</definedName>
    <definedName name="_bdm.412A751F839F4982840FE7303122046D.edm" hidden="1" xml:space="preserve">          '[5]2Q10'!$A:$IV</definedName>
    <definedName name="_bdm.424F0BCFA32D43B79DC50C3AEEE550DD.edm" hidden="1" xml:space="preserve">          [4]Estimates!$A:$IV</definedName>
    <definedName name="_bdm.4469E0BCD6FF41C6A31E8BDF51243B96.edm" localSheetId="11" hidden="1">IS!$A$5:$BF$94</definedName>
    <definedName name="_bdm.450C8AE4955D4A98909B7F6BA50347F4.edm" localSheetId="13" hidden="1">CFS!$A$5:$BB$104</definedName>
    <definedName name="_bdm.46C58CC1F3094033A7E65A4EFCA9AD79.edm" localSheetId="11" hidden="1">IS!$A$5:$BF$110</definedName>
    <definedName name="_bdm.46E7AB6123854DD7A23277A13119A661.edm" hidden="1">[3]Value!$A:$IV</definedName>
    <definedName name="_bdm.481B51D671674B54ACBF814414F02820.edm" hidden="1" xml:space="preserve">          '[9]Est. TableP'!$A:$IV</definedName>
    <definedName name="_bdm.485C259E7D854440907BE3643C614EDF.edm" hidden="1">'[10]Proforma IS'!$A:$IV</definedName>
    <definedName name="_bdm.4A911AA8305C4265A21240D82DA0CFD5.edm" localSheetId="12" hidden="1">BS!$A$5:$BE$50</definedName>
    <definedName name="_bdm.4BEE04D1185F42598C94D493441F2F4E.edm" hidden="1" xml:space="preserve">          '[9]Est. TableP'!$A:$IV</definedName>
    <definedName name="_bdm.4C883490774E423AA464CCEFCBF231A2.edm" hidden="1">[5]CF!$A:$IV</definedName>
    <definedName name="_bdm.4F7C460D5AC14FD187695DB3B0FB54F0.edm" hidden="1">[6]Leverage!$A:$IV</definedName>
    <definedName name="_bdm.4F89A1D98EC0457AA0E682A587B4AEAA.edm" hidden="1">Q_BS!$1:$1048576</definedName>
    <definedName name="_bdm.54A4900C64224538B060AD84DF79FC78.edm" localSheetId="12" hidden="1">BS!$A$8:$BA$50</definedName>
    <definedName name="_bdm.575D6C4139E248E892D115988BE5582E.edm" hidden="1">[3]CFS!$A:$IV</definedName>
    <definedName name="_bdm.585ED2767D0E4B2A97CB7FC959C53EE3.edm" hidden="1" xml:space="preserve">          [4]Estimates!$A:$IV</definedName>
    <definedName name="_bdm.58F9229DEBCE489A94F56CCE01B7A437.edm" hidden="1" xml:space="preserve">          '[9]Est. TableP'!$A:$IV</definedName>
    <definedName name="_bdm.5A2C73E6F68D4C3B9A4D1B2137D68AF9.edm" localSheetId="11" hidden="1">IS!$A$5:$BN$109</definedName>
    <definedName name="_bdm.5E75B3F1FCF44E519BBE399444BCF263.edm" hidden="1" xml:space="preserve">          [4]Estimates!$A:$IV</definedName>
    <definedName name="_bdm.5E823412EF174565906A2F2A81F7233F.edm" hidden="1">[6]Revs!$A:$IV</definedName>
    <definedName name="_bdm.5EC0F453A8014E1BB469F76BFBDE951E.edm" hidden="1" xml:space="preserve">          [4]Estimates!$A:$IV</definedName>
    <definedName name="_bdm.6249DB80EE59456A995A0E1DA5D94F53.edm" localSheetId="25" hidden="1">Q_IS!$A$5:$CK$92</definedName>
    <definedName name="_bdm.625314D6BCCF4147B4A6E8B4C75143A0.edm" hidden="1" xml:space="preserve">          [4]Estimates!$A:$IV</definedName>
    <definedName name="_bdm.646A898CE9DE42B8A9C23B00628316E4.edm" hidden="1">[6]Guidance!$A:$IV</definedName>
    <definedName name="_bdm.6611EB5903214A45B627EC81E5E8FAEF.edm" hidden="1">'[6]LVLT M&amp;A'!$A:$IV</definedName>
    <definedName name="_bdm.670267C9E6BE460A9BE507BE5517825F.edm" hidden="1">IS!$1:$1048576</definedName>
    <definedName name="_bdm.6776449B6ED1488AA6375DB3566B21B5.edm" hidden="1" xml:space="preserve">          '[9]Est. TableP'!$A:$IV</definedName>
    <definedName name="_bdm.67F13678F2D84C96A2AAD0705285C36E.edm" hidden="1">[3]Valuation!$IV$1</definedName>
    <definedName name="_bdm.6C36467C814A433B99314A55CF6975E1.edm" hidden="1">[4]BS!$A:$IV</definedName>
    <definedName name="_bdm.6D543028941947A88DFE4E1436176DD6.edm" hidden="1" xml:space="preserve">          [4]Estimates!$A:$IV</definedName>
    <definedName name="_bdm.709E7BA5F6284304B37C709F1BB1EF9B.edm" hidden="1">[6]GLBC!$A:$IV</definedName>
    <definedName name="_bdm.70D17B1AA44C4BC5AB94CBA00BD39FD7.edm" hidden="1">[6]Summary!$A:$IV</definedName>
    <definedName name="_bdm.7274D56C5197421C990B6F665567F7AD.edm" hidden="1">[6]Timing!$A:$IV</definedName>
    <definedName name="_bdm.754C0B579AFC4881B8210CE5075FDD98.edm" localSheetId="27" hidden="1">Q_CFS!$A$5:$CK$73</definedName>
    <definedName name="_bdm.7663412703364FBC93D8BE2AAEA49307.edm" localSheetId="12" hidden="1">BS!$A$5:$BM$52</definedName>
    <definedName name="_bdm.76C36206D39F4AD795E06910FDB256DB.edm" localSheetId="11" hidden="1">IS!$A$5:$BN$94</definedName>
    <definedName name="_bdm.77B64C7DA0BE411FAE4FB16233BB9256.edm" hidden="1" xml:space="preserve">          '[5]2Q10'!$A:$IV</definedName>
    <definedName name="_bdm.77BAEADBA91B41728B455E6D353A0F42.edm" hidden="1">'[6]Fiber &amp; Clec'!$A:$IV</definedName>
    <definedName name="_bdm.7E7E38E41FF744849EF17F3F42A48B02.edm" localSheetId="12" hidden="1">BS!$A$5:$BI$50</definedName>
    <definedName name="_bdm.81E7621068BB4C18BFA331E73DA1C12B.edm" localSheetId="11" hidden="1">IS!$A$5:$BB$111</definedName>
    <definedName name="_bdm.82CDFA33C2004B50B55384CC7AA60D8F.edm" hidden="1" xml:space="preserve">          [4]Estimates!$A:$IV</definedName>
    <definedName name="_bdm.8388EBFCA3A5463192904E0F220D3E85.edm" hidden="1" xml:space="preserve">          '[5]2Q10'!$A:$IV</definedName>
    <definedName name="_bdm.86FB5429EDBE4793AF82A690E2DFBBA7.edm" hidden="1" xml:space="preserve">          [4]Estimates!$A:$IV</definedName>
    <definedName name="_bdm.8B8F8825BE5840D18174D6200D59857B.edm" hidden="1">CFS!$1:$1048576</definedName>
    <definedName name="_bdm.8D11F2C61FCB49F0A7B0312C2F54DD28.edm" hidden="1">[5]IS!$A:$IV</definedName>
    <definedName name="_bdm.8D15893452FB49598629EE0733B50C8B.edm" hidden="1">[4]Markets!$A:$IV</definedName>
    <definedName name="_bdm.8D322EA225694ADA94B23FAD891C0424.edm" localSheetId="12" hidden="1">BS!$A$5:$BA$50</definedName>
    <definedName name="_bdm.8D32C947C89B4E28B219CD913C796E01.edm" hidden="1">[4]Lease!$A:$IV</definedName>
    <definedName name="_bdm.8D5766ED691F46B68712DA62771254CB.edm" localSheetId="13" hidden="1">CFS!$A$8:$AX$57</definedName>
    <definedName name="_bdm.8D8B4AF90F464B64B8C23DB614A49C27.edm" hidden="1">[6]transactionCTL_SVVS!$A:$IV</definedName>
    <definedName name="_bdm.8DED3D7991954A2B83CC151EE81620B8.edm" localSheetId="11" hidden="1">IS!$A$5:$BF$111</definedName>
    <definedName name="_bdm.8E795170B3E04E51B4EC3D8EEBF51940.edm" hidden="1">[3]Cover!$A:$IV</definedName>
    <definedName name="_bdm.963D586F31A84810A177955ADC2F077F.edm" localSheetId="13" hidden="1">CFS!$A$8:$BJ$104</definedName>
    <definedName name="_bdm.97131673C4684A169A1FBED8C305B71C.edm" hidden="1">Q_CFS!$1:$1048576</definedName>
    <definedName name="_bdm.9994C96B20D644F4BE0CDF7563317B88.edm" localSheetId="13" hidden="1">CFS!$A$5:$BB$101</definedName>
    <definedName name="_bdm.9A5C04A62A704EF09CFE327DDCB1F465.edm" hidden="1">'[6]LVLT M&amp;A - FactSet'!$A:$IV</definedName>
    <definedName name="_bdm.9FA82D161CB54EE896CFABFE84607E6B.edm" hidden="1">BS!$1:$1048576</definedName>
    <definedName name="_bdm.A588CD37757F4166A21DBE0371B4ECC1.edm" hidden="1">[10]Wireline!$A:$IV</definedName>
    <definedName name="_bdm.A5E90E3ED7F34B42A567D0FAAD3190B9.edm" localSheetId="25" hidden="1">Q_IS!$A$5:$CO$92</definedName>
    <definedName name="_bdm.A76EE780BE744C67B3B04DBB400FA66C.edm" hidden="1">[6]Approvals!$A:$IV</definedName>
    <definedName name="_bdm.A7FB7B7A25064F28ACE4DCA01F4B4C8E.edm" hidden="1" xml:space="preserve">          [4]Estimates!$A:$IV</definedName>
    <definedName name="_bdm.A966B5A2E9F14C70895790C1C5DDD101.edm" localSheetId="25" hidden="1">Q_IS!$A$5:$CK$7</definedName>
    <definedName name="_bdm.AA022DD49802430BB106E7AB777135A4.edm" hidden="1" xml:space="preserve">          '[5]2Q10'!$A:$IV</definedName>
    <definedName name="_bdm.AADC1838A33F46D9B7EBA29CBF449343.edm" hidden="1" xml:space="preserve">          [4]Estimates!$A:$IV</definedName>
    <definedName name="_bdm.ACBC545EEE3B4F23BF23C15050D88711.edm" localSheetId="18" hidden="1">Subscribers!$A$5:$BJ$73</definedName>
    <definedName name="_bdm.AFA53633F4864866924283034FD06367.edm" localSheetId="12" hidden="1">BS!$A$8:$BM$50</definedName>
    <definedName name="_bdm.B06D75418A24450184BFA8C22B610F48.edm" hidden="1" xml:space="preserve">          [4]Estimates!$A:$IV</definedName>
    <definedName name="_bdm.B194BD43DFCA4EADA795D3DAD202FF03.edm" hidden="1">'[3]OLD Segments'!$A:$IV</definedName>
    <definedName name="_bdm.B1A36DBA92164DAAB826EBA45C1AF227.edm" hidden="1" xml:space="preserve">          [4]Estimates!$A:$IV</definedName>
    <definedName name="_bdm.B27218DC2EE944D48E0A5193985C40F2.edm" localSheetId="13" hidden="1">CFS!$A$5:$AX$57</definedName>
    <definedName name="_bdm.B30E8EC771F54A22BF4341F0BF93A044.edm" hidden="1" xml:space="preserve">          [4]Estimates!$A:$IV</definedName>
    <definedName name="_bdm.B3782920504D40AB97F6C03318F87E3D.edm" hidden="1">[4]IS!$A:$IV</definedName>
    <definedName name="_bdm.B67F1CBCE4D847D3B8C3D525D92149A8.edm" hidden="1">[10]CFS!$A:$IV</definedName>
    <definedName name="_bdm.BB251E2AE9D042709F4373789831F177.edm" hidden="1" xml:space="preserve">          [4]Estimates!$A:$IV</definedName>
    <definedName name="_bdm.BBAD8BE883A84C8FB15E1E8CD3774D8E.edm" hidden="1" xml:space="preserve">          '[5]2Q10'!$A:$IV</definedName>
    <definedName name="_bdm.BBCE9269139F444EB79253F4A6C8A00C.edm" hidden="1" xml:space="preserve">          '[9]Est. TableP'!$A:$IV</definedName>
    <definedName name="_bdm.BDDC933DE3C1483E8A30263AB5EE77B0.edm" hidden="1">[10]Wireless!$A:$IV</definedName>
    <definedName name="_bdm.BE56334F55E34C468CB176457BA94DA5.edm" localSheetId="27" hidden="1">Q_CFS!$A$5:$CK$56</definedName>
    <definedName name="_bdm.BF104C52A5594A4999CB726206F0FD91.edm" hidden="1">[10]BS!$A:$IV</definedName>
    <definedName name="_bdm.C03EED10206D40888EC5D2CF19911A77.edm" localSheetId="25" hidden="1">Q_IS!$A$5:$CG$84</definedName>
    <definedName name="_bdm.C0A6D7060E47453D80C576B5A9639F08.edm" hidden="1">[3]BS!$A:$IV</definedName>
    <definedName name="_bdm.C586300ADA094932BE51EBE0A88AA4CC.edm" hidden="1">[10]Connections!$A:$IV</definedName>
    <definedName name="_bdm.C97FB3484F4A431A84364A8AE0C11BAB.edm" localSheetId="26" hidden="1">Q_BS!$A$5:$CO$56</definedName>
    <definedName name="_bdm.C9C0DF8E6EED40DA9890F42B54C81EA9.edm" localSheetId="12" hidden="1">BS!$A$3:$BA$50</definedName>
    <definedName name="_bdm.CD2C0AE2598B439EA4D78F2A111F6E34.edm" hidden="1" xml:space="preserve">          '[5]2Q10'!$A:$IV</definedName>
    <definedName name="_bdm.CDF19AA340AB4375990D5BCCC218FBA0.edm" localSheetId="26" hidden="1">Q_BS!$A$5:$CK$56</definedName>
    <definedName name="_bdm.CE0A9F6EA7944E1B8B96F5944FB2CD3C.edm" hidden="1" xml:space="preserve">          [4]Estimates!$A:$IV</definedName>
    <definedName name="_bdm.D0A360FB19C54275881FE0286A9660EE.edm" hidden="1" xml:space="preserve">          '[9]Est. TableP'!$A:$IV</definedName>
    <definedName name="_bdm.D1117DFED7D04BFB9BA135653BD38794.edm" hidden="1" xml:space="preserve">          '[5]2Q10'!$A:$IV</definedName>
    <definedName name="_bdm.D11AFB32630C489FA7F0DC5B386C8F37.edm" hidden="1">[11]Sheet1!$A:$IV</definedName>
    <definedName name="_bdm.D27F3E3A187244B69ED31D6E6D216F3C.edm" hidden="1" xml:space="preserve">          [4]Estimates!$A:$IV</definedName>
    <definedName name="_bdm.D3CD4F9A46934686BBB17B06D727408E.edm" hidden="1" xml:space="preserve">          '[5]2Q10'!$A:$IV</definedName>
    <definedName name="_bdm.D3D65E37D5894D58965D365032D180AD.edm" localSheetId="25" hidden="1">Q_IS!$A$5:$CG$90</definedName>
    <definedName name="_bdm.D450B64906E04420A39D06EEEEF3B727.edm" localSheetId="11" hidden="1">IS!$A$5:$BN$111</definedName>
    <definedName name="_bdm.D46F7AA43EF247FB9F58D215DFB0E89B.edm" hidden="1" xml:space="preserve">          '[5]2Q10'!$A:$IV</definedName>
    <definedName name="_bdm.D4A153B5D8564E70A50E4B74872964CC.edm" hidden="1" xml:space="preserve">          [4]Estimates!$A:$IV</definedName>
    <definedName name="_bdm.D64786B89BEB411EB383E9A21FAA8A03.edm" hidden="1">[5]Exhibits!$A:$IV</definedName>
    <definedName name="_bdm.D73C0A8218424C79957D47239724567E.edm" localSheetId="11" hidden="1">IS!$A$8:$BN$94</definedName>
    <definedName name="_bdm.D7A4F4DE36F64707B868D659ABEF6C2C.edm" hidden="1" xml:space="preserve">          '[5]2Q10'!$A:$IV</definedName>
    <definedName name="_bdm.D96D044E62044EA9B6ED5E1F147CC908.edm" localSheetId="13" hidden="1">CFS!$A$5:$BJ$104</definedName>
    <definedName name="_bdm.D9E662B60C16468F820EC7396EF0F7E7.edm" localSheetId="13" hidden="1">CFS!$A$5:$BF$104</definedName>
    <definedName name="_bdm.DD22A7751C2040E3897FDF6AAC8696E7.edm" hidden="1" xml:space="preserve">          '[9]Est. TableP'!$A:$IV</definedName>
    <definedName name="_bdm.E1D02269F33E4F56B89AACF0B07B4234.edm" hidden="1" xml:space="preserve">          [4]Estimates!$A:$IV</definedName>
    <definedName name="_bdm.E4AF37B4926741D4854D85AD124C597C.edm" hidden="1" xml:space="preserve">          [4]Estimates!$A:$IV</definedName>
    <definedName name="_bdm.E4CD4B9794924F0E80FB1F195F11497D.edm" hidden="1">[11]Sheet2!$A:$IV</definedName>
    <definedName name="_bdm.E540315C7BD642B099830D405EB40BA1.edm" hidden="1" xml:space="preserve">          '[5]2Q10'!$A:$IV</definedName>
    <definedName name="_bdm.E54E65158B774221BC0B9397DB223B25.edm" hidden="1" xml:space="preserve">          [4]Estimates!$A:$IV</definedName>
    <definedName name="_bdm.E5F895637D87415DB05F4239120212FF.edm" hidden="1" xml:space="preserve">          '[5]2Q10'!$A:$IV</definedName>
    <definedName name="_bdm.E60F8F8D763F4F6E832F2AC6759D3A4E.edm" hidden="1" xml:space="preserve">          [4]Estimates!$A:$IV</definedName>
    <definedName name="_bdm.E7A15AF665E448CAB27C6F1C8D70D19A.edm" hidden="1">[4]Valuation!$A:$IV</definedName>
    <definedName name="_bdm.E8ED7B354B494DDE9F3ACABAD5FD6209.edm" localSheetId="11" hidden="1">IS!$A$8:$BB$94</definedName>
    <definedName name="_bdm.E92A8D55ED3A4D0482911446E5C8D9FD.edm" hidden="1" xml:space="preserve">          [4]Estimates!$A:$IV</definedName>
    <definedName name="_bdm.EA81C9C4425C4290B4A3CD1C11CABDC5.edm" hidden="1">'[5]2Q10'!$A:$IV</definedName>
    <definedName name="_bdm.EAA9B45E292541209E81D6F467AF09C9.edm" localSheetId="26" hidden="1">Q_BS!$A$5:$CK$56</definedName>
    <definedName name="_bdm.EBCD58C3D5EC4A1B9AEAC7841000070E.edm" hidden="1">[5]Rev!$A:$IV</definedName>
    <definedName name="_bdm.ED7A45CB23AB4C9FA15023AD1343A31F.edm" hidden="1">[4]Estimates!$A:$IV</definedName>
    <definedName name="_bdm.EF24D72AB6664FBB9A3ED5A60E4D9636.edm" hidden="1" xml:space="preserve">          [4]Estimates!$A:$IV</definedName>
    <definedName name="_bdm.EF42F62CC98E4104A924B6201284C016.edm" hidden="1">[3]IS!$A:$IV</definedName>
    <definedName name="_bdm.F2C8F36DFE9E4958BF0DC281160F0A3A.edm" hidden="1">[6]Synergies!$A:$IV</definedName>
    <definedName name="_bdm.F7CDB0B6614B44968DB5748B6958C397.edm" hidden="1" xml:space="preserve">          [4]Estimates!$A:$IV</definedName>
    <definedName name="_bdm.F93C0152D7CB4B3CB9A960DD585D5AE6.edm" hidden="1">[4]CF!$A:$IV</definedName>
    <definedName name="_bdm.FBC03688D5884DD9BBED24BD53894500.edm" hidden="1">'[6]PF Mix'!$A:$IV</definedName>
    <definedName name="_bdm.FC35DE00B82C44529600060E9ED7B43C.edm" localSheetId="27" hidden="1">Q_CFS!$A$5:$CG$76</definedName>
    <definedName name="_bdm.FC814BDDC13546BFAC98F99FB89A0197.edm" hidden="1" xml:space="preserve">          [4]Estimates!$A:$IV</definedName>
    <definedName name="_fye01">[12]OldIS!$I$1:$I$65536</definedName>
    <definedName name="_fye02">[12]OldIS!$J$1:$J$65536</definedName>
    <definedName name="_fye2001">Q_IS!$I:$I</definedName>
    <definedName name="_FYE2002">Q_IS!$J:$J</definedName>
    <definedName name="_fye99">[12]RptdInputs!$G$1:$G$65536</definedName>
    <definedName name="_ISQtly">[4]IS!$A$8:$BA$70</definedName>
    <definedName name="_Order1" hidden="1">255</definedName>
    <definedName name="_switch" localSheetId="26">Q_Capex!$CV$3</definedName>
    <definedName name="_switch" localSheetId="29">Q_Capex!$CV$3</definedName>
    <definedName name="_switch" localSheetId="27">Q_Capex!$CV$3</definedName>
    <definedName name="_switch" localSheetId="28">Q_Capex!$CV$3</definedName>
    <definedName name="_switch">'[10]Proforma IS'!$A$5</definedName>
    <definedName name="_switch2" localSheetId="20">[12]Wless!$Q$1</definedName>
    <definedName name="_switch2" localSheetId="21">[12]Wless!$Q$1</definedName>
    <definedName name="_switch2">[10]Wireless!$Q$1</definedName>
    <definedName name="AdditionalInstructions">IndexInformation!$B$42</definedName>
    <definedName name="Address" localSheetId="8">ImportantDisclosures!$A$2:$A$2</definedName>
    <definedName name="Aditya">0</definedName>
    <definedName name="ANA" localSheetId="38">ModPubIndex!$A$7</definedName>
    <definedName name="anscount" hidden="1">1</definedName>
    <definedName name="AssetsCurrentAccountsReceivableAllowance">0</definedName>
    <definedName name="AssetsCurrentAccountsReceivableGross">0</definedName>
    <definedName name="AssetsCurrentDeferredIncomeTaxes">0</definedName>
    <definedName name="AssetsCurrentOther">0</definedName>
    <definedName name="AssetsCurrentPrepaidExpens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8">ImportantDisclosures!$A$7</definedName>
    <definedName name="Authors" localSheetId="37">IndexInformation!$B$18</definedName>
    <definedName name="BRO" localSheetId="38">ModPubIndex!$A$1</definedName>
    <definedName name="bs" localSheetId="12">BS!$AO$33</definedName>
    <definedName name="Buttons" localSheetId="9">CircularReferenceAlert!$B$13:$B$15</definedName>
    <definedName name="Case" localSheetId="20">[12]Scenario!$B$2</definedName>
    <definedName name="Case" localSheetId="21">[12]Scenario!$B$2</definedName>
    <definedName name="case" localSheetId="40">'CTL-LVLT Analysis'!$A$2</definedName>
    <definedName name="Case" localSheetId="18">Subscribers!$M$1</definedName>
    <definedName name="Cash_Balance" localSheetId="21">Valuation!$H$30</definedName>
    <definedName name="Cash_Balance">Valuation!$H$30</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f" localSheetId="13">CFS!$AL$13</definedName>
    <definedName name="Consolidated_Income_Statement">"A1AnnIS"</definedName>
    <definedName name="CopyrightStamp">ImportantDisclosures!$A$27</definedName>
    <definedName name="COU" localSheetId="38">ModPubIndex!$A$5</definedName>
    <definedName name="CQEnd" localSheetId="37">IndexInformation!$B$31</definedName>
    <definedName name="Currency" localSheetId="37">IndexInformation!$B$24</definedName>
    <definedName name="Currency_ISOcode" localSheetId="33">OPEB!$AQ$174</definedName>
    <definedName name="Currency_ISOcode" localSheetId="32">Pension!$AQ$186</definedName>
    <definedName name="currentFY" localSheetId="33">Pension!$AZ$18</definedName>
    <definedName name="currentFY" localSheetId="32">Pension!$AZ$18</definedName>
    <definedName name="CurrentSharePrice" localSheetId="21">Valuation!$E$9</definedName>
    <definedName name="CurrentSharePrice">Valuation!$E$9</definedName>
    <definedName name="CurrentStockPrice" localSheetId="37">IndexInformation!$B$23</definedName>
    <definedName name="CurrQtrEPS" localSheetId="37">IndexInformation!$B$29</definedName>
    <definedName name="CurrYearEPS" localSheetId="37">IndexInformation!$B$11</definedName>
    <definedName name="CurrYearTotalRevenue" localSheetId="37">IndexInformation!$B$10</definedName>
    <definedName name="CurrYearTotalRevenueActual" localSheetId="37">IndexInformation!$B$32</definedName>
    <definedName name="CUSIP" localSheetId="37">IndexInformation!$B$20</definedName>
    <definedName name="CYEnd" localSheetId="37">IndexInformation!$B$30</definedName>
    <definedName name="d" localSheetId="20">{"Client Name or Project Name"}</definedName>
    <definedName name="d" localSheetId="21">{"Client Name or Project Name"}</definedName>
    <definedName name="d" localSheetId="26">{"Client Name or Project Name"}</definedName>
    <definedName name="d" localSheetId="29">{"Client Name or Project Name"}</definedName>
    <definedName name="d" localSheetId="27">{"Client Name or Project Name"}</definedName>
    <definedName name="d" localSheetId="25">{"Client Name or Project Name"}</definedName>
    <definedName name="d" localSheetId="28">{"Client Name or Project Name"}</definedName>
    <definedName name="d" localSheetId="10">{"Client Name or Project Name"}</definedName>
    <definedName name="d">{"Client Name or Project Name"}</definedName>
    <definedName name="Daniel" localSheetId="20">{"Client Name or Project Name"}</definedName>
    <definedName name="Daniel" localSheetId="21">{"Client Name or Project Name"}</definedName>
    <definedName name="Daniel" localSheetId="26">{"Client Name or Project Name"}</definedName>
    <definedName name="Daniel" localSheetId="29">{"Client Name or Project Name"}</definedName>
    <definedName name="Daniel" localSheetId="27">{"Client Name or Project Name"}</definedName>
    <definedName name="Daniel" localSheetId="25">{"Client Name or Project Name"}</definedName>
    <definedName name="Daniel" localSheetId="28">{"Client Name or Project Name"}</definedName>
    <definedName name="Daniel" localSheetId="10">{"Client Name or Project Name"}</definedName>
    <definedName name="Daniel">{"Client Name or Project Name"}</definedName>
    <definedName name="dataseries4">OFFSET([13]c1!$G$12,0,0,COUNTA([13]c1!$G$12:$G$31),1)</definedName>
    <definedName name="Date" localSheetId="8">ImportantDisclosures!$A$8</definedName>
    <definedName name="Deleted" localSheetId="37">IndexInformation!$B$27</definedName>
    <definedName name="Description" localSheetId="37">IndexInformation!$B$7</definedName>
    <definedName name="Diluted_Shares_Outstanding" localSheetId="21">Valuation!$H$33</definedName>
    <definedName name="Diluted_Shares_Outstanding">Valuation!$H$33</definedName>
    <definedName name="Discipline" localSheetId="37">IndexInformation!$B$3</definedName>
    <definedName name="DISCIPLINE" localSheetId="38">ModPubIndex!$A$12</definedName>
    <definedName name="DisclosuresText">ImportantDisclosures!$A$22</definedName>
    <definedName name="Distribution" localSheetId="37">IndexInformation!$B$26</definedName>
    <definedName name="DistTable" localSheetId="8">ImportantDisclosures!#REF!</definedName>
    <definedName name="DistTablePreamble" localSheetId="8">ImportantDisclosures!#REF!</definedName>
    <definedName name="DOCDAT" localSheetId="38">ModPubIndex!$A$2</definedName>
    <definedName name="DOCTIME" localSheetId="38">ModPubIndex!$A$3</definedName>
    <definedName name="DocType" localSheetId="37">IndexInformation!$B$5</definedName>
    <definedName name="dropDown" localSheetId="33">Pension!$AZ$21</definedName>
    <definedName name="dropDown" localSheetId="32">Pension!$AZ$21</definedName>
    <definedName name="dropDown2" localSheetId="20">[14]OPEB!$AY$15</definedName>
    <definedName name="dropDown2" localSheetId="21">[14]OPEB!$AY$15</definedName>
    <definedName name="dropDown2" localSheetId="33">OPEB!$AZ$21</definedName>
    <definedName name="dropDown2" localSheetId="32">OPEB!$AZ$21</definedName>
    <definedName name="EBITDA" localSheetId="21">BS!$I$89</definedName>
    <definedName name="EBITDA">BS!$I$89</definedName>
    <definedName name="EMAIL_ALERT" localSheetId="38">ModPubIndex!$A$10</definedName>
    <definedName name="EmailAlert" localSheetId="37">IndexInformation!$B$28</definedName>
    <definedName name="Enterprise_Value">Valuation!$H$29</definedName>
    <definedName name="EquityAdjustments">0</definedName>
    <definedName name="EquityEmployeeStockOwnershipPlan">0</definedName>
    <definedName name="EquityOther" localSheetId="27">0</definedName>
    <definedName name="EquityOther">0</definedName>
    <definedName name="EquityPaidInCapital">0</definedName>
    <definedName name="EquityTreasuryStock">0</definedName>
    <definedName name="f">[12]Wless!$Q$1</definedName>
    <definedName name="ｆ">"iQShowAnnual"</definedName>
    <definedName name="FiveYearGrowthRate" localSheetId="37">IndexInformation!$B$16</definedName>
    <definedName name="FollowingYearEPS" localSheetId="37">IndexInformation!$B$15</definedName>
    <definedName name="FollowingYearTotalRevenue" localSheetId="37">IndexInformation!$B$14</definedName>
    <definedName name="FollowingYearTotalRevenueActual" localSheetId="37">IndexInformation!$B$34</definedName>
    <definedName name="fye00">[12]DomTelco!$H$1:$H$65536</definedName>
    <definedName name="High_Ratio">" 100+"</definedName>
    <definedName name="HL" localSheetId="38">ModPubIndex!$A$8</definedName>
    <definedName name="in_millions__expect_per_share_data">"QtlyErngsBook_AnnIS"</definedName>
    <definedName name="IncomeEPSFullyDiluted">0</definedName>
    <definedName name="IncomeEPSPrimary">0</definedName>
    <definedName name="IncomeEPSRegular">0</definedName>
    <definedName name="IND" localSheetId="38">ModPubIndex!$A$9</definedName>
    <definedName name="Industry" localSheetId="8">ImportantDisclosures!$A$12</definedName>
    <definedName name="IndustryId">IndexInformation!$B$40</definedName>
    <definedName name="IndustryRating" localSheetId="8">ImportantDisclosures!$A$13</definedName>
    <definedName name="Intangibles" localSheetId="21">BS!$I$93</definedName>
    <definedName name="Intangibles">BS!$I$93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DATE" hidden="1">"c1634"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39353.5777893519</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37">IndexInformation!$B$8</definedName>
    <definedName name="LanguageCode">IndexInformation!$B$38</definedName>
    <definedName name="LastCell" localSheetId="8">ImportantDisclosures!$A$22</definedName>
    <definedName name="Less__Total_Debt___Pension___OPEB">Valuation!$H$31</definedName>
    <definedName name="Letters">'LVLT pro forma model (full)'!$L$14:$L$17</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 localSheetId="35">'Implied Guidance 2016'!$B$63:$K$79</definedName>
    <definedName name="Linking_1">'Implied Guidance'!$B$30:$K$46</definedName>
    <definedName name="Linking_10">IS!$A$8:$CH$111</definedName>
    <definedName name="Linking_11">BS!$A$8:$CG$50</definedName>
    <definedName name="Linking_12">CFS!$A$8:$CD$57</definedName>
    <definedName name="Linking_13">Subscribers!$A$9:$CP$255</definedName>
    <definedName name="Linking_14">'CTL-LVLT Analysis'!$A$59:$E$80</definedName>
    <definedName name="Linking_15">'CTL-LVLT Analysis'!$A$8:$E$57</definedName>
    <definedName name="Linking_16">Subscribers!$A$9:$CP$432</definedName>
    <definedName name="Linking_17">'LVLT pro forma model (full)'!$B$2:$I$105</definedName>
    <definedName name="Linking_18">'LVLT pro forma model (full)'!$B$2:$P$99</definedName>
    <definedName name="Linking_19">'LVLT pro forma model (full)'!$B$2:$K$100</definedName>
    <definedName name="Linking_2" localSheetId="40">'CTL-LVLT Analysis'!$A$8:$E$72</definedName>
    <definedName name="Linking_2" localSheetId="35">'Implied Guidance 2016'!$B$63:$K$75</definedName>
    <definedName name="Linking_2">'Implied Guidance'!$B$30:$K$42</definedName>
    <definedName name="Linking_20">IS!$A$8:$CH$113</definedName>
    <definedName name="Linking_21">IS!$A$8:$CH$112</definedName>
    <definedName name="Linking_22">BS!$A$8:$CK$50</definedName>
    <definedName name="Linking_23">CFS!$A$9:$CH$57</definedName>
    <definedName name="Linking_24">IS!$A$8:$CL$112</definedName>
    <definedName name="Linking_3" localSheetId="40">'CTL-LVLT Analysis'!$A$8:$E$83</definedName>
    <definedName name="Linking_3" localSheetId="35">'Implied Guidance 2016'!$B$82:$D$89</definedName>
    <definedName name="Linking_3">'Implied Guidance'!$B$49:$E$56</definedName>
    <definedName name="Linking_4">CFS!$A$8:$BZ$57</definedName>
    <definedName name="Linking_5">Subscribers!$A$9:$CL$255</definedName>
    <definedName name="Linking_6">BS!$A$8:$CC$50</definedName>
    <definedName name="Linking_7">IS!$A$8:$CD$111</definedName>
    <definedName name="Linking_9">'Implied Guidance 2016'!$M$101:$S$110</definedName>
    <definedName name="Linking_Range_1" localSheetId="20">[4]IS!$A$8:$BP$70</definedName>
    <definedName name="Linking_Range_1" localSheetId="21">[4]IS!$A$8:$BP$70</definedName>
    <definedName name="Linking_Range_1">IS!$A$5:$BN$118</definedName>
    <definedName name="Linking_Range_10">BS!$A$3:$BM$50</definedName>
    <definedName name="Linking_Range_11">IS!$A$5:$BR$118</definedName>
    <definedName name="Linking_Range_12">BS!$A$5:$BQ$50</definedName>
    <definedName name="Linking_Range_13">CFS!$A$5:$BN$57</definedName>
    <definedName name="Linking_Range_14">IS!$A$5:$BR$109</definedName>
    <definedName name="Linking_Range_15">IS!$A$5:$BR$94</definedName>
    <definedName name="Linking_Range_17">IS!$A$5:$BR$111</definedName>
    <definedName name="Linking_Range_18">BS!$A$8:$BQ$50</definedName>
    <definedName name="Linking_Range_19">IS!$A$8:$BR$94</definedName>
    <definedName name="Linking_Range_2" localSheetId="20">[4]BS!$A$8:$BO$98</definedName>
    <definedName name="Linking_Range_2" localSheetId="21">[4]BS!$A$8:$BO$98</definedName>
    <definedName name="Linking_Range_2">BS!$A$5:$BM$50</definedName>
    <definedName name="Linking_Range_20">IS!$A$8:$BR$111</definedName>
    <definedName name="Linking_Range_21" localSheetId="20">'Cash Taxes'!$B$89:$M$114</definedName>
    <definedName name="Linking_Range_21" localSheetId="21">Charts!$D$73:$O$85</definedName>
    <definedName name="Linking_Range_21">IS!$A$5:$BV$118</definedName>
    <definedName name="Linking_Range_22" localSheetId="20">'Cash Taxes'!$B$58:$J$65</definedName>
    <definedName name="Linking_Range_22" localSheetId="21">Charts!$D$44:$L$51</definedName>
    <definedName name="Linking_Range_22">BS!$A$8:$BU$50</definedName>
    <definedName name="Linking_Range_23">CFS!$A$5:$BR$57</definedName>
    <definedName name="Linking_Range_24">CFS!$A$5:$BR$104</definedName>
    <definedName name="Linking_Range_25">BS!$A$5:$BU$50</definedName>
    <definedName name="Linking_Range_26">IS!$A$8:$BV$122</definedName>
    <definedName name="Linking_Range_27">CFS!$A$8:$BR$57</definedName>
    <definedName name="Linking_Range_28">CFS!$A$8:$BR$104</definedName>
    <definedName name="Linking_Range_29" localSheetId="21">Charts!$D$90:$O$96</definedName>
    <definedName name="Linking_Range_29">IS!$A$8:$BV$111</definedName>
    <definedName name="Linking_Range_3" localSheetId="20">'Cash Taxes'!$B$89:$M$114</definedName>
    <definedName name="Linking_Range_3" localSheetId="21">Charts!$D$73:$O$85</definedName>
    <definedName name="Linking_Range_3">CFS!$A$5:$BJ$104</definedName>
    <definedName name="Linking_Range_30">Subscribers!$A$9:$CD$238</definedName>
    <definedName name="Linking_Range_31">IS!$A$8:$BZ$110</definedName>
    <definedName name="Linking_Range_32">BS!$A$8:$BY$50</definedName>
    <definedName name="Linking_Range_33">CFS!$A$8:$BV$57</definedName>
    <definedName name="Linking_Range_34">'Cash Taxes'!$B$106:$M$117</definedName>
    <definedName name="Linking_Range_35">IS!$A$8:$BZ$111</definedName>
    <definedName name="Linking_Range_36">Subscribers!$A$9:$CH$238</definedName>
    <definedName name="Linking_Range_37">IS!$A$8:$BZ$109</definedName>
    <definedName name="Linking_Range_38">IS!$A$8:$BZ$107</definedName>
    <definedName name="Linking_Range_39">Subscribers!$A$9:$CH$255</definedName>
    <definedName name="Linking_Range_4" localSheetId="20">[4]CF!$A$84:$BO$108</definedName>
    <definedName name="Linking_Range_4" localSheetId="21">[4]CF!$A$84:$BO$108</definedName>
    <definedName name="Linking_Range_4">CFS!$A$5:$BJ$57</definedName>
    <definedName name="Linking_Range_5">IS!$A$8:$BN$118</definedName>
    <definedName name="Linking_Range_6">IS!$A$5:$CM$117</definedName>
    <definedName name="Linking_Range_7">IS!$A$5:$BN$117</definedName>
    <definedName name="Linking_Range_8">IS!$A$8:$BN$94</definedName>
    <definedName name="Linking_Range_9">IS!$A$8:$BN$109</definedName>
    <definedName name="Linking_Text_1">[3]CFS!$M$69</definedName>
    <definedName name="Linking_Text_2">[3]Charts!$C$37</definedName>
    <definedName name="Linking_Text_3" localSheetId="21">Charts!$D$81</definedName>
    <definedName name="Linking_Text_3">'Cash Taxes'!$B$97</definedName>
    <definedName name="Linking_Text_4">CFS!$N$58</definedName>
    <definedName name="MacroVersion" localSheetId="37">IndexInformation!$B$1</definedName>
    <definedName name="MaxChange" localSheetId="9">CircularReferenceAlert!$B$9</definedName>
    <definedName name="MaxIterations" localSheetId="9">CircularReferenceAlert!$B$8</definedName>
    <definedName name="Mode" localSheetId="17">Valuation!$C$2</definedName>
    <definedName name="Mode" localSheetId="16">Valuation!$C$2</definedName>
    <definedName name="mode">Subscribers!$H$2</definedName>
    <definedName name="ModelPrice" localSheetId="8">ImportantDisclosures!$A$14</definedName>
    <definedName name="mstagrange" localSheetId="20">[14]OPEB!$AU$18:$AY$18</definedName>
    <definedName name="mstagrange" localSheetId="21">[14]OPEB!$AU$18:$AY$18</definedName>
    <definedName name="mstagrange" localSheetId="33">OPEB!$AV$25:$AZ$25</definedName>
    <definedName name="mstagrange1" localSheetId="33">Pension!$AV$25:$AZ$25</definedName>
    <definedName name="mstagrange1" localSheetId="32">Pension!$AV$25:$AZ$25</definedName>
    <definedName name="Multiplier" localSheetId="37">IndexInformation!$B$35</definedName>
    <definedName name="na">"  n/a "</definedName>
    <definedName name="Net_PPE" localSheetId="21">BS!$I$91</definedName>
    <definedName name="Net_PPE">BS!$I$91</definedName>
    <definedName name="new" localSheetId="12">{"Client Name or Project Name"}</definedName>
    <definedName name="new" localSheetId="20">{"Client Name or Project Name"}</definedName>
    <definedName name="new" localSheetId="13">{"Client Name or Project Name"}</definedName>
    <definedName name="new" localSheetId="21">{"Client Name or Project Name"}</definedName>
    <definedName name="new" localSheetId="30">{"Client Name or Project Name"}</definedName>
    <definedName name="new" localSheetId="31">{"Client Name or Project Name"}</definedName>
    <definedName name="new" localSheetId="11">{"Client Name or Project Name"}</definedName>
    <definedName name="new" localSheetId="6">{"Client Name or Project Name"}</definedName>
    <definedName name="new" localSheetId="26">{"Client Name or Project Name"}</definedName>
    <definedName name="new" localSheetId="29">{"Client Name or Project Name"}</definedName>
    <definedName name="new" localSheetId="27">{"Client Name or Project Name"}</definedName>
    <definedName name="new" localSheetId="25">{"Client Name or Project Name"}</definedName>
    <definedName name="new" localSheetId="28">{"Client Name or Project Name"}</definedName>
    <definedName name="new" localSheetId="18">{"Client Name or Project Name"}</definedName>
    <definedName name="new" localSheetId="10">{"Client Name or Project Name"}</definedName>
    <definedName name="new">{"Client Name or Project Name"}</definedName>
    <definedName name="NextYearEPS" localSheetId="37">IndexInformation!$B$13</definedName>
    <definedName name="NextYearTotalRevenue" localSheetId="37">IndexInformation!$B$12</definedName>
    <definedName name="NextYearTotalRevenueActual" localSheetId="37">IndexInformation!$B$33</definedName>
    <definedName name="Normalized_Income_Statement">"IS_Annual"</definedName>
    <definedName name="NPV_of_Future_Cash_Flows" localSheetId="21">Valuation!$H$27</definedName>
    <definedName name="NPV_of_Future_Cash_Flows">Valuation!$H$27</definedName>
    <definedName name="NWC" localSheetId="21">BS!$I$92</definedName>
    <definedName name="NWC">BS!$I$92</definedName>
    <definedName name="ObjectType">IndexInformation!$B$37</definedName>
    <definedName name="OPEB_Guide" localSheetId="20">[14]OPEB!$A$1</definedName>
    <definedName name="OPEB_Guide" localSheetId="21">[14]OPEB!$A$1</definedName>
    <definedName name="OPEB_Guide" localSheetId="33">OPEB!$A$1</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38">ModPubIndex!$A$11</definedName>
    <definedName name="PathName" localSheetId="37">IndexInformation!$B$25</definedName>
    <definedName name="Pension_Guide" localSheetId="33">Pension!$A$1</definedName>
    <definedName name="Pension_Guide" localSheetId="32">Pension!$A$1</definedName>
    <definedName name="_xlnm.Print_Area" localSheetId="12">BS!$A$6:$CG$51</definedName>
    <definedName name="_xlnm.Print_Area" localSheetId="13">CFS!$A$1:$BR$97</definedName>
    <definedName name="_xlnm.Print_Area" localSheetId="19">DEBT!$A$1:$AA$103</definedName>
    <definedName name="_xlnm.Print_Area" localSheetId="11">IS!$A$8:$Z$122</definedName>
    <definedName name="_xlnm.Print_Area" localSheetId="16">'LVLT Rev Build'!$B$2:$CR$121</definedName>
    <definedName name="_xlnm.Print_Area" localSheetId="32">Pension!$A$1:$Y$85</definedName>
    <definedName name="_xlnm.Print_Area" localSheetId="26">Q_BS!$A$5:$CK$57</definedName>
    <definedName name="_xlnm.Print_Area" localSheetId="29">Q_Capex!$A$54:$CK$60</definedName>
    <definedName name="_xlnm.Print_Area" localSheetId="27">Q_CFS!$A$5:$CK$76</definedName>
    <definedName name="_xlnm.Print_Area" localSheetId="25">Q_IS!$A$5:$CK$104</definedName>
    <definedName name="_xlnm.Print_Area" localSheetId="28">Q_Segments!$A$5:$CK$226</definedName>
    <definedName name="_xlnm.Print_Area" localSheetId="18">Subscribers!$A$1:$CD$158</definedName>
    <definedName name="_xlnm.Print_Area">"Formula removed, name can be deleted."</definedName>
    <definedName name="_xlnm.Print_Titles" localSheetId="12">BS!$A:$A,BS!$1:$8</definedName>
    <definedName name="_xlnm.Print_Titles" localSheetId="13">CFS!$A:$A,CFS!$1:$8</definedName>
    <definedName name="_xlnm.Print_Titles" localSheetId="29">Q_Capex!$A:$C,Q_Capex!$1:$7</definedName>
    <definedName name="_xlnm.Print_Titles" localSheetId="28">Q_Segments!$5:$7</definedName>
    <definedName name="_xlnm.Print_Titles" localSheetId="18">Subscribers!$A:$A,Subscribers!$1:$9</definedName>
    <definedName name="_xlnm.Print_Titles">#REF!</definedName>
    <definedName name="PRODUCT" localSheetId="38">ModPubIndex!$A$6</definedName>
    <definedName name="ProjectName" localSheetId="12">{"Client Name or Project Name"}</definedName>
    <definedName name="ProjectName" localSheetId="0">{"Client Name or Project Name"}</definedName>
    <definedName name="ProjectName" localSheetId="20">{"Client Name or Project Name"}</definedName>
    <definedName name="ProjectName" localSheetId="13">{"Client Name or Project Name"}</definedName>
    <definedName name="ProjectName" localSheetId="21">{"Client Name or Project Name"}</definedName>
    <definedName name="ProjectName" localSheetId="17">{"Client Name or Project Name"}</definedName>
    <definedName name="ProjectName" localSheetId="30">{"Client Name or Project Name"}</definedName>
    <definedName name="ProjectName" localSheetId="31">{"Client Name or Project Name"}</definedName>
    <definedName name="ProjectName" localSheetId="11">{"Client Name or Project Name"}</definedName>
    <definedName name="ProjectName" localSheetId="3">{"Client Name or Project Name"}</definedName>
    <definedName name="ProjectName" localSheetId="16">{"Client Name or Project Name"}</definedName>
    <definedName name="ProjectName" localSheetId="6">{"Client Name or Project Name"}</definedName>
    <definedName name="ProjectName" localSheetId="26">{"Client Name or Project Name"}</definedName>
    <definedName name="ProjectName" localSheetId="29">{"Client Name or Project Name"}</definedName>
    <definedName name="ProjectName" localSheetId="27">{"Client Name or Project Name"}</definedName>
    <definedName name="ProjectName" localSheetId="25">{"Client Name or Project Name"}</definedName>
    <definedName name="ProjectName" localSheetId="28">{"Client Name or Project Name"}</definedName>
    <definedName name="ProjectName" localSheetId="18">{"Client Name or Project Name"}</definedName>
    <definedName name="ProjectName" localSheetId="10">{"Client Name or Project Name"}</definedName>
    <definedName name="ProjectName">{"Client Name or Project Name"}</definedName>
    <definedName name="PSYM" localSheetId="38">ModPubIndex!$A$4</definedName>
    <definedName name="PublishDate" localSheetId="37">IndexInformation!$B$2</definedName>
    <definedName name="Rating" localSheetId="37">IndexInformation!$B$9</definedName>
    <definedName name="RatingsDefined" localSheetId="8">ImportantDisclosures!$A$21</definedName>
    <definedName name="RatingsDefs" localSheetId="8">ImportantDisclosures!#REF!</definedName>
    <definedName name="RegACDisclosure" localSheetId="8">ImportantDisclosures!#REF!</definedName>
    <definedName name="Rem_Bus_ROIC" localSheetId="17">OFFSET([0]!XRange,11,0)</definedName>
    <definedName name="Rem_Bus_ROIC">OFFSET([0]!XRange,11,0)</definedName>
    <definedName name="RepairedName0067" hidden="1">"iQShowAnnual"</definedName>
    <definedName name="RepairedName0403" hidden="1">"iQShowAnnual"</definedName>
    <definedName name="RepairedName1846" hidden="1">"iQShowAnnual"</definedName>
    <definedName name="RepairedName5694" hidden="1">"iQShowAnnual"</definedName>
    <definedName name="ResearchTopic" localSheetId="37">IndexInformation!$B$4</definedName>
    <definedName name="Residual_Income_Model">[3]IS!$F$114:$L$127</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37">IndexInformation!$B$21</definedName>
    <definedName name="rngStartYear" localSheetId="32">Pension!$BC$11</definedName>
    <definedName name="rngTicker" localSheetId="33">Pension!$H$1</definedName>
    <definedName name="rngTicker" localSheetId="32">Pension!$H$1</definedName>
    <definedName name="s" localSheetId="21">{"Client Name or Project Name"}</definedName>
    <definedName name="s" localSheetId="26">{"Client Name or Project Name"}</definedName>
    <definedName name="s" localSheetId="29">{"Client Name or Project Name"}</definedName>
    <definedName name="s" localSheetId="27">{"Client Name or Project Name"}</definedName>
    <definedName name="s" localSheetId="25">{"Client Name or Project Name"}</definedName>
    <definedName name="s" localSheetId="28">{"Client Name or Project Name"}</definedName>
    <definedName name="s" localSheetId="10">{"Client Name or Project Name"}</definedName>
    <definedName name="s">{"Client Name or Project Name"}</definedName>
    <definedName name="SECSettlement" localSheetId="8">ImportantDisclosures!#REF!</definedName>
    <definedName name="SEDOL" localSheetId="37">IndexInformation!$B$22</definedName>
    <definedName name="Sedol" localSheetId="33">Pension!$H$3</definedName>
    <definedName name="Sedol" localSheetId="32">Pension!$H$3</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urceDefined" localSheetId="8">ImportantDisclosures!$A$19</definedName>
    <definedName name="Statement" localSheetId="17">FX!Statement</definedName>
    <definedName name="Statement">[0]!Statement</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8">ImportantDisclosures!$A$11</definedName>
    <definedName name="SubjectCode" localSheetId="37">IndexInformation!$B$6</definedName>
    <definedName name="SubmitterUserId">IndexInformation!$B$39</definedName>
    <definedName name="SUPPRESSED" localSheetId="38">ModPubIndex!$A$13</definedName>
    <definedName name="TargetPrice" localSheetId="8">ImportantDisclosures!$A$15</definedName>
    <definedName name="Tax_Rate" localSheetId="20">'Cash Taxes'!$I$6</definedName>
    <definedName name="Tax_Rate" localSheetId="21">Charts!$K$4</definedName>
    <definedName name="Tax_Rate">BS!$I$90</definedName>
    <definedName name="TemplateRegion">IndexInformation!$B$36</definedName>
    <definedName name="Ticker" localSheetId="8">ImportantDisclosures!$A$10</definedName>
    <definedName name="TickerRegion">IndexInformation!$B$41</definedName>
    <definedName name="Tickers" localSheetId="37">IndexInformation!$B$19</definedName>
    <definedName name="Total_Bus_ROIC" localSheetId="17">OFFSET([0]!XRange,12,0)</definedName>
    <definedName name="Total_Bus_ROIC">OFFSET([0]!XRange,12,0)</definedName>
    <definedName name="Total_Debt_Plus_PensionOPEB" localSheetId="21">Valuation!$H$31</definedName>
    <definedName name="Total_Debt_Plus_PensionOPEB">Valuation!$H$31</definedName>
    <definedName name="trEdate" localSheetId="33">Pension!$AZ$13</definedName>
    <definedName name="trEdate" localSheetId="32">Pension!$AZ$13</definedName>
    <definedName name="trSdate" localSheetId="33">Pension!$AZ$12</definedName>
    <definedName name="trSdate" localSheetId="32">Pension!$AZ$12</definedName>
    <definedName name="UpdateReason" localSheetId="37">IndexInformation!$B$17</definedName>
    <definedName name="USRegDisclosures" localSheetId="8">ImportantDisclosures!#REF!</definedName>
    <definedName name="ValidDateTable" localSheetId="20">[12]BS!$B$2:$E$126</definedName>
    <definedName name="ValidDateTable" localSheetId="21">[12]BS!$B$2:$E$126</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ACC" localSheetId="21">Valuation!$E$21</definedName>
    <definedName name="WACC" localSheetId="17">OFFSET([0]!XRange,13,0)</definedName>
    <definedName name="WACC" localSheetId="16">OFFSET([0]!XRange,13,0)</definedName>
    <definedName name="WACC">Valuation!$E$21</definedName>
    <definedName name="YearRow" localSheetId="33">Pension!$D$6:$T$6</definedName>
    <definedName name="YearRow" localSheetId="32">Pension!$D$6:$T$6</definedName>
  </definedNames>
  <calcPr calcId="145621" iterate="1"/>
</workbook>
</file>

<file path=xl/calcChain.xml><?xml version="1.0" encoding="utf-8"?>
<calcChain xmlns="http://schemas.openxmlformats.org/spreadsheetml/2006/main">
  <c r="C69" i="81" l="1"/>
  <c r="C68" i="81"/>
  <c r="C67" i="81"/>
  <c r="C66" i="81"/>
  <c r="L79" i="81"/>
  <c r="K79" i="81"/>
  <c r="J79" i="81"/>
  <c r="I79" i="81"/>
  <c r="H79" i="81"/>
  <c r="G79" i="81"/>
  <c r="F79" i="81"/>
  <c r="L78" i="81"/>
  <c r="K78" i="81"/>
  <c r="J78" i="81"/>
  <c r="I78" i="81"/>
  <c r="H78" i="81"/>
  <c r="G78" i="81"/>
  <c r="F78" i="81"/>
  <c r="L77" i="81"/>
  <c r="K77" i="81"/>
  <c r="J77" i="81"/>
  <c r="I77" i="81"/>
  <c r="H77" i="81"/>
  <c r="G77" i="81"/>
  <c r="F77" i="81"/>
  <c r="L76" i="81"/>
  <c r="K76" i="81"/>
  <c r="J76" i="81"/>
  <c r="I76" i="81"/>
  <c r="H76" i="81"/>
  <c r="G76" i="81"/>
  <c r="F76" i="81"/>
  <c r="L75" i="81"/>
  <c r="K75" i="81"/>
  <c r="J75" i="81"/>
  <c r="I75" i="81"/>
  <c r="H75" i="81"/>
  <c r="G75" i="81"/>
  <c r="F75" i="81"/>
  <c r="L74" i="81"/>
  <c r="K74" i="81"/>
  <c r="J74" i="81"/>
  <c r="I74" i="81"/>
  <c r="H74" i="81"/>
  <c r="G74" i="81"/>
  <c r="F74" i="81"/>
  <c r="L73" i="81"/>
  <c r="K73" i="81"/>
  <c r="J73" i="81"/>
  <c r="I73" i="81"/>
  <c r="H73" i="81"/>
  <c r="G73" i="81"/>
  <c r="F73" i="81"/>
  <c r="E79" i="81"/>
  <c r="E78" i="81"/>
  <c r="E77" i="81"/>
  <c r="E76" i="81"/>
  <c r="E75" i="81"/>
  <c r="E74" i="81"/>
  <c r="E73" i="81"/>
  <c r="C73" i="81"/>
  <c r="C74" i="81"/>
  <c r="C75" i="81"/>
  <c r="C76" i="81"/>
  <c r="C77" i="81"/>
  <c r="C78" i="81"/>
  <c r="C79" i="81"/>
  <c r="S64" i="28" l="1"/>
  <c r="H61" i="81" l="1"/>
  <c r="C64" i="81"/>
  <c r="C63" i="81"/>
  <c r="C62" i="81"/>
  <c r="C61" i="81"/>
  <c r="C60" i="81"/>
  <c r="C59" i="81"/>
  <c r="H58" i="81" l="1"/>
  <c r="G58" i="81"/>
  <c r="F58" i="81"/>
  <c r="E58" i="81"/>
  <c r="D58" i="81"/>
  <c r="H71" i="81"/>
  <c r="G71" i="81"/>
  <c r="F71" i="81"/>
  <c r="E71" i="81"/>
  <c r="D71" i="81"/>
  <c r="Q15" i="81"/>
  <c r="R15" i="81" s="1"/>
  <c r="S15" i="81" s="1"/>
  <c r="T15" i="81" s="1"/>
  <c r="H31" i="46" l="1"/>
  <c r="E7" i="46"/>
  <c r="E6" i="46"/>
  <c r="L45" i="71"/>
  <c r="L44" i="71"/>
  <c r="L40" i="71"/>
  <c r="L41" i="71" s="1"/>
  <c r="L37" i="71"/>
  <c r="L31" i="71"/>
  <c r="L30" i="71"/>
  <c r="L34" i="71" s="1"/>
  <c r="L29" i="71"/>
  <c r="L25" i="71"/>
  <c r="L51" i="71" s="1"/>
  <c r="L23" i="71"/>
  <c r="L13" i="71"/>
  <c r="L52" i="71" s="1"/>
  <c r="L12" i="71"/>
  <c r="L10" i="71"/>
  <c r="L9" i="71"/>
  <c r="L6" i="71"/>
  <c r="L15" i="71" s="1"/>
  <c r="L52" i="70"/>
  <c r="L45" i="70"/>
  <c r="L44" i="70"/>
  <c r="L40" i="70"/>
  <c r="L37" i="70"/>
  <c r="L34" i="70"/>
  <c r="L31" i="70"/>
  <c r="L30" i="70"/>
  <c r="L29" i="70"/>
  <c r="L25" i="70"/>
  <c r="L51" i="70" s="1"/>
  <c r="L24" i="70"/>
  <c r="L23" i="70"/>
  <c r="L15" i="70"/>
  <c r="L54" i="70" s="1"/>
  <c r="L12" i="70"/>
  <c r="G8" i="72"/>
  <c r="F8" i="72"/>
  <c r="E8" i="72"/>
  <c r="D8" i="72"/>
  <c r="G7" i="72"/>
  <c r="G13" i="72" s="1"/>
  <c r="F7" i="72"/>
  <c r="F9" i="72" s="1"/>
  <c r="E7" i="72"/>
  <c r="E9" i="72" s="1"/>
  <c r="D7" i="72"/>
  <c r="D9" i="72" s="1"/>
  <c r="G5" i="72"/>
  <c r="F5" i="72"/>
  <c r="E5" i="72"/>
  <c r="F2" i="72"/>
  <c r="G2" i="72" s="1"/>
  <c r="E2" i="72"/>
  <c r="AQ174" i="71"/>
  <c r="K45" i="71"/>
  <c r="J45" i="71"/>
  <c r="I45" i="71"/>
  <c r="H45" i="71"/>
  <c r="G45" i="71"/>
  <c r="F45" i="71"/>
  <c r="E45" i="71"/>
  <c r="D45" i="71"/>
  <c r="K44" i="71"/>
  <c r="J44" i="71"/>
  <c r="I44" i="71"/>
  <c r="H44" i="71"/>
  <c r="G44" i="71"/>
  <c r="F44" i="71"/>
  <c r="E44" i="71"/>
  <c r="D44" i="71"/>
  <c r="L41" i="70" l="1"/>
  <c r="G9" i="72"/>
  <c r="E13" i="72"/>
  <c r="F13" i="72"/>
  <c r="CG42" i="71"/>
  <c r="CF42" i="71"/>
  <c r="CE42" i="71"/>
  <c r="CD42" i="71"/>
  <c r="CG41" i="71"/>
  <c r="CF41" i="71"/>
  <c r="CD41" i="71"/>
  <c r="CJ40" i="71"/>
  <c r="CI40" i="71"/>
  <c r="CH40" i="71"/>
  <c r="CG40" i="71"/>
  <c r="CF40" i="71"/>
  <c r="CE40" i="71"/>
  <c r="CE41" i="71" s="1"/>
  <c r="CD40" i="71"/>
  <c r="CC40" i="71"/>
  <c r="K40" i="71"/>
  <c r="J40" i="71"/>
  <c r="I40" i="71"/>
  <c r="H40" i="71"/>
  <c r="G40" i="71"/>
  <c r="F40" i="71"/>
  <c r="E40" i="71"/>
  <c r="D40" i="71"/>
  <c r="D41" i="71" s="1"/>
  <c r="K37" i="71"/>
  <c r="K41" i="71" s="1"/>
  <c r="J37" i="71"/>
  <c r="J41" i="71" s="1"/>
  <c r="I37" i="71"/>
  <c r="I41" i="71" s="1"/>
  <c r="H37" i="71"/>
  <c r="H41" i="71" s="1"/>
  <c r="G37" i="71"/>
  <c r="G41" i="71" s="1"/>
  <c r="F37" i="71"/>
  <c r="F41" i="71" s="1"/>
  <c r="E37" i="71"/>
  <c r="E41" i="71" s="1"/>
  <c r="D34" i="71" l="1"/>
  <c r="K31" i="71"/>
  <c r="J31" i="71"/>
  <c r="I31" i="71"/>
  <c r="H31" i="71"/>
  <c r="G31" i="71"/>
  <c r="F31" i="71"/>
  <c r="E31" i="71"/>
  <c r="D31" i="71"/>
  <c r="K30" i="71"/>
  <c r="J30" i="71"/>
  <c r="I30" i="71"/>
  <c r="H30" i="71"/>
  <c r="G30" i="71"/>
  <c r="F30" i="71"/>
  <c r="E30" i="71"/>
  <c r="D30" i="71"/>
  <c r="M33" i="71"/>
  <c r="N33" i="71" s="1"/>
  <c r="K29" i="71"/>
  <c r="K34" i="71" s="1"/>
  <c r="J29" i="71"/>
  <c r="J34" i="71" s="1"/>
  <c r="I29" i="71"/>
  <c r="I34" i="71" s="1"/>
  <c r="H29" i="71"/>
  <c r="H34" i="71" s="1"/>
  <c r="G29" i="71"/>
  <c r="G34" i="71" s="1"/>
  <c r="F29" i="71"/>
  <c r="F34" i="71" s="1"/>
  <c r="E29" i="71"/>
  <c r="E34" i="71" s="1"/>
  <c r="O33" i="71" l="1"/>
  <c r="AX25" i="71"/>
  <c r="K24" i="71"/>
  <c r="J24" i="71"/>
  <c r="I24" i="71"/>
  <c r="H24" i="71"/>
  <c r="G24" i="71"/>
  <c r="F24" i="71"/>
  <c r="E24" i="71"/>
  <c r="D24" i="71"/>
  <c r="K23" i="71"/>
  <c r="J23" i="71"/>
  <c r="I23" i="71"/>
  <c r="H23" i="71"/>
  <c r="G23" i="71"/>
  <c r="F23" i="71"/>
  <c r="E23" i="71"/>
  <c r="D23" i="71"/>
  <c r="P33" i="71" l="1"/>
  <c r="AZ21" i="71"/>
  <c r="M20" i="71"/>
  <c r="N20" i="71" s="1"/>
  <c r="O20" i="71" s="1"/>
  <c r="P20" i="71" s="1"/>
  <c r="Q20" i="71" s="1"/>
  <c r="R20" i="71" s="1"/>
  <c r="S20" i="71" s="1"/>
  <c r="T20" i="71" s="1"/>
  <c r="T13" i="71"/>
  <c r="T52" i="71" s="1"/>
  <c r="S13" i="71"/>
  <c r="S52" i="71" s="1"/>
  <c r="R13" i="71"/>
  <c r="R52" i="71" s="1"/>
  <c r="Q13" i="71"/>
  <c r="Q52" i="71" s="1"/>
  <c r="P13" i="71"/>
  <c r="P52" i="71" s="1"/>
  <c r="O13" i="71"/>
  <c r="O52" i="71" s="1"/>
  <c r="N13" i="71"/>
  <c r="M13" i="71"/>
  <c r="K13" i="71"/>
  <c r="K52" i="71" s="1"/>
  <c r="J13" i="71"/>
  <c r="J52" i="71" s="1"/>
  <c r="I13" i="71"/>
  <c r="I52" i="71" s="1"/>
  <c r="H13" i="71"/>
  <c r="H52" i="71" s="1"/>
  <c r="G13" i="71"/>
  <c r="G52" i="71" s="1"/>
  <c r="F13" i="71"/>
  <c r="F52" i="71" s="1"/>
  <c r="E13" i="71"/>
  <c r="E52" i="71" s="1"/>
  <c r="D13" i="71"/>
  <c r="K12" i="71"/>
  <c r="J12" i="71"/>
  <c r="I12" i="71"/>
  <c r="H12" i="71"/>
  <c r="G12" i="71"/>
  <c r="F12" i="71"/>
  <c r="E12" i="71"/>
  <c r="D12" i="71"/>
  <c r="K25" i="71" l="1"/>
  <c r="K51" i="71" s="1"/>
  <c r="G25" i="71"/>
  <c r="G51" i="71" s="1"/>
  <c r="J25" i="71"/>
  <c r="J51" i="71" s="1"/>
  <c r="F25" i="71"/>
  <c r="F51" i="71" s="1"/>
  <c r="I25" i="71"/>
  <c r="I51" i="71" s="1"/>
  <c r="H25" i="71"/>
  <c r="H51" i="71" s="1"/>
  <c r="D25" i="71"/>
  <c r="D51" i="71" s="1"/>
  <c r="E25" i="71"/>
  <c r="E51" i="71" s="1"/>
  <c r="P59" i="71"/>
  <c r="Q33" i="71"/>
  <c r="N52" i="71"/>
  <c r="N59" i="71"/>
  <c r="D47" i="71"/>
  <c r="E47" i="71" s="1"/>
  <c r="F47" i="71" s="1"/>
  <c r="G47" i="71" s="1"/>
  <c r="H47" i="71" s="1"/>
  <c r="I47" i="71" s="1"/>
  <c r="J47" i="71" s="1"/>
  <c r="K47" i="71" s="1"/>
  <c r="L47" i="71" s="1"/>
  <c r="D52" i="71"/>
  <c r="O59" i="71"/>
  <c r="M52" i="71"/>
  <c r="M59" i="71"/>
  <c r="BG10" i="71"/>
  <c r="M11" i="71"/>
  <c r="M12" i="71" s="1"/>
  <c r="K10" i="71"/>
  <c r="J10" i="71"/>
  <c r="I10" i="71"/>
  <c r="H10" i="71"/>
  <c r="G10" i="71"/>
  <c r="F10" i="71"/>
  <c r="E10" i="71"/>
  <c r="D10" i="71"/>
  <c r="K9" i="71"/>
  <c r="J9" i="71"/>
  <c r="I9" i="71"/>
  <c r="H9" i="71"/>
  <c r="G9" i="71"/>
  <c r="F9" i="71"/>
  <c r="E9" i="71"/>
  <c r="D9" i="71"/>
  <c r="N11" i="71" l="1"/>
  <c r="M9" i="71"/>
  <c r="N9" i="71" s="1"/>
  <c r="O9" i="71" s="1"/>
  <c r="P9" i="71" s="1"/>
  <c r="Q9" i="71" s="1"/>
  <c r="R9" i="71" s="1"/>
  <c r="S9" i="71" s="1"/>
  <c r="T9" i="71" s="1"/>
  <c r="Q59" i="71"/>
  <c r="R33" i="71"/>
  <c r="BG7" i="71"/>
  <c r="BG6" i="71"/>
  <c r="M6" i="71"/>
  <c r="K6" i="71"/>
  <c r="J6" i="71" s="1"/>
  <c r="H2" i="71"/>
  <c r="H1" i="71"/>
  <c r="I6" i="71" l="1"/>
  <c r="H6" i="71" s="1"/>
  <c r="G6" i="71" s="1"/>
  <c r="CH38" i="71"/>
  <c r="L54" i="71"/>
  <c r="M38" i="71"/>
  <c r="M37" i="71"/>
  <c r="M22" i="71"/>
  <c r="CI38" i="71"/>
  <c r="M15" i="71"/>
  <c r="M54" i="71" s="1"/>
  <c r="N12" i="71"/>
  <c r="O11" i="71"/>
  <c r="CF38" i="71"/>
  <c r="J15" i="71"/>
  <c r="J54" i="71" s="1"/>
  <c r="N6" i="71"/>
  <c r="M8" i="71"/>
  <c r="N8" i="71" s="1"/>
  <c r="O8" i="71" s="1"/>
  <c r="P8" i="71" s="1"/>
  <c r="Q8" i="71" s="1"/>
  <c r="R8" i="71" s="1"/>
  <c r="S8" i="71" s="1"/>
  <c r="T8" i="71" s="1"/>
  <c r="M19" i="71"/>
  <c r="R59" i="71"/>
  <c r="S33" i="71"/>
  <c r="CG38" i="71"/>
  <c r="K15" i="71"/>
  <c r="K54" i="71" s="1"/>
  <c r="M24" i="71"/>
  <c r="I15" i="71" l="1"/>
  <c r="I54" i="71" s="1"/>
  <c r="H15" i="71"/>
  <c r="H54" i="71" s="1"/>
  <c r="CE38" i="71"/>
  <c r="CD38" i="71"/>
  <c r="M42" i="71"/>
  <c r="M30" i="71"/>
  <c r="N19" i="71"/>
  <c r="G15" i="71"/>
  <c r="G54" i="71" s="1"/>
  <c r="F6" i="71"/>
  <c r="O12" i="71"/>
  <c r="P11" i="71"/>
  <c r="CH42" i="71"/>
  <c r="CH41" i="71"/>
  <c r="M32" i="71"/>
  <c r="M23" i="71" s="1"/>
  <c r="M29" i="71"/>
  <c r="M21" i="71"/>
  <c r="M31" i="71" s="1"/>
  <c r="S59" i="71"/>
  <c r="T33" i="71"/>
  <c r="T59" i="71" s="1"/>
  <c r="CJ38" i="71"/>
  <c r="N15" i="71"/>
  <c r="N54" i="71" s="1"/>
  <c r="O6" i="71"/>
  <c r="M25" i="71" l="1"/>
  <c r="M60" i="71" s="1"/>
  <c r="M67" i="71"/>
  <c r="M35" i="71"/>
  <c r="F15" i="71"/>
  <c r="F54" i="71" s="1"/>
  <c r="E6" i="71"/>
  <c r="N24" i="71"/>
  <c r="O15" i="71"/>
  <c r="O54" i="71" s="1"/>
  <c r="P6" i="71"/>
  <c r="P12" i="71"/>
  <c r="Q11" i="71"/>
  <c r="M45" i="71"/>
  <c r="N37" i="71"/>
  <c r="N38" i="71"/>
  <c r="N22" i="71"/>
  <c r="N30" i="71"/>
  <c r="O19" i="71"/>
  <c r="M51" i="71" l="1"/>
  <c r="N42" i="71"/>
  <c r="O38" i="71" s="1"/>
  <c r="P15" i="71"/>
  <c r="P54" i="71" s="1"/>
  <c r="Q6" i="71"/>
  <c r="O30" i="71"/>
  <c r="P19" i="71"/>
  <c r="O37" i="71"/>
  <c r="Q12" i="71"/>
  <c r="R11" i="71"/>
  <c r="E15" i="71"/>
  <c r="E54" i="71" s="1"/>
  <c r="D6" i="71"/>
  <c r="D15" i="71" s="1"/>
  <c r="D54" i="71" s="1"/>
  <c r="M44" i="71"/>
  <c r="M66" i="71" s="1"/>
  <c r="M68" i="71" s="1"/>
  <c r="CI41" i="71"/>
  <c r="CI42" i="71"/>
  <c r="N29" i="71"/>
  <c r="N32" i="71"/>
  <c r="N23" i="71" s="1"/>
  <c r="N21" i="71"/>
  <c r="O22" i="71" l="1"/>
  <c r="Q15" i="71"/>
  <c r="Q54" i="71" s="1"/>
  <c r="R6" i="71"/>
  <c r="M47" i="71"/>
  <c r="O42" i="71"/>
  <c r="P30" i="71"/>
  <c r="Q19" i="71"/>
  <c r="O24" i="71"/>
  <c r="N31" i="71"/>
  <c r="N35" i="71" s="1"/>
  <c r="N25" i="71"/>
  <c r="R12" i="71"/>
  <c r="S11" i="71"/>
  <c r="N67" i="71"/>
  <c r="AR245" i="70"/>
  <c r="AR244" i="70"/>
  <c r="AR243" i="70"/>
  <c r="AR242" i="70"/>
  <c r="AR241" i="70"/>
  <c r="AR240" i="70"/>
  <c r="AR239" i="70"/>
  <c r="AR238" i="70"/>
  <c r="AR237" i="70"/>
  <c r="AR236" i="70"/>
  <c r="AR235" i="70"/>
  <c r="AR234" i="70"/>
  <c r="AR233" i="70"/>
  <c r="AR232" i="70"/>
  <c r="AR231" i="70"/>
  <c r="AR230" i="70"/>
  <c r="AR229" i="70"/>
  <c r="AR228" i="70"/>
  <c r="AR227" i="70"/>
  <c r="AR226" i="70"/>
  <c r="AR225" i="70"/>
  <c r="AR224" i="70"/>
  <c r="AR223" i="70"/>
  <c r="AR222" i="70"/>
  <c r="AR221" i="70"/>
  <c r="AR220" i="70"/>
  <c r="AR219" i="70"/>
  <c r="AR218" i="70"/>
  <c r="AR217" i="70"/>
  <c r="AR216" i="70"/>
  <c r="AR215" i="70"/>
  <c r="AR214" i="70"/>
  <c r="AR213" i="70"/>
  <c r="AR212" i="70"/>
  <c r="AR211" i="70"/>
  <c r="AR210" i="70"/>
  <c r="AR209" i="70"/>
  <c r="AR208" i="70"/>
  <c r="AR207" i="70"/>
  <c r="AR206" i="70"/>
  <c r="AR205" i="70"/>
  <c r="AR204" i="70"/>
  <c r="AR203" i="70"/>
  <c r="AR202" i="70"/>
  <c r="AR201" i="70"/>
  <c r="AR200" i="70"/>
  <c r="AR199" i="70"/>
  <c r="AR198" i="70"/>
  <c r="AR197" i="70"/>
  <c r="AR196" i="70"/>
  <c r="AR195" i="70"/>
  <c r="AR194" i="70"/>
  <c r="AR193" i="70"/>
  <c r="AR192" i="70"/>
  <c r="AR191" i="70"/>
  <c r="AR190" i="70"/>
  <c r="AQ189" i="70"/>
  <c r="AQ186" i="70"/>
  <c r="AR186" i="70" s="1"/>
  <c r="AS186" i="70" s="1"/>
  <c r="AQ182" i="70"/>
  <c r="AP189" i="70" s="1"/>
  <c r="C93" i="70"/>
  <c r="D91" i="70"/>
  <c r="J90" i="70"/>
  <c r="F90" i="70"/>
  <c r="K89" i="70"/>
  <c r="K91" i="70" s="1"/>
  <c r="J89" i="70"/>
  <c r="I89" i="70"/>
  <c r="H89" i="70"/>
  <c r="G89" i="70"/>
  <c r="G91" i="70" s="1"/>
  <c r="F89" i="70"/>
  <c r="F91" i="70" s="1"/>
  <c r="E89" i="70"/>
  <c r="D89" i="70"/>
  <c r="T87" i="70"/>
  <c r="S87" i="70"/>
  <c r="R87" i="70"/>
  <c r="Q87" i="70"/>
  <c r="P87" i="70"/>
  <c r="O87" i="70"/>
  <c r="N87" i="70"/>
  <c r="M87" i="70"/>
  <c r="L87" i="70"/>
  <c r="K87" i="70"/>
  <c r="J87" i="70"/>
  <c r="I87" i="70"/>
  <c r="H87" i="70"/>
  <c r="G87" i="70"/>
  <c r="F87" i="70"/>
  <c r="E87" i="70"/>
  <c r="D87" i="70"/>
  <c r="K52" i="70"/>
  <c r="J52" i="70"/>
  <c r="I52" i="70"/>
  <c r="H52" i="70"/>
  <c r="G52" i="70"/>
  <c r="F52" i="70"/>
  <c r="E52" i="70"/>
  <c r="D52" i="70"/>
  <c r="D47" i="70"/>
  <c r="E47" i="70" s="1"/>
  <c r="F47" i="70" s="1"/>
  <c r="G47" i="70" s="1"/>
  <c r="H47" i="70" s="1"/>
  <c r="I47" i="70" s="1"/>
  <c r="J47" i="70" s="1"/>
  <c r="K45" i="70"/>
  <c r="J45" i="70"/>
  <c r="I45" i="70"/>
  <c r="H45" i="70"/>
  <c r="G45" i="70"/>
  <c r="F45" i="70"/>
  <c r="E45" i="70"/>
  <c r="D45" i="70"/>
  <c r="K44" i="70"/>
  <c r="J44" i="70"/>
  <c r="K90" i="70" s="1"/>
  <c r="I44" i="70"/>
  <c r="H44" i="70"/>
  <c r="I90" i="70" s="1"/>
  <c r="I91" i="70" s="1"/>
  <c r="G44" i="70"/>
  <c r="H90" i="70" s="1"/>
  <c r="H91" i="70" s="1"/>
  <c r="F44" i="70"/>
  <c r="G90" i="70" s="1"/>
  <c r="E44" i="70"/>
  <c r="D44" i="70"/>
  <c r="E90" i="70" s="1"/>
  <c r="E91" i="70" s="1"/>
  <c r="S12" i="71" l="1"/>
  <c r="T11" i="71"/>
  <c r="T12" i="71" s="1"/>
  <c r="P37" i="71"/>
  <c r="P38" i="71"/>
  <c r="P22" i="71"/>
  <c r="N44" i="71"/>
  <c r="N66" i="71" s="1"/>
  <c r="N68" i="71" s="1"/>
  <c r="CJ42" i="71"/>
  <c r="CJ41" i="71"/>
  <c r="O29" i="71"/>
  <c r="O32" i="71"/>
  <c r="P24" i="71" s="1"/>
  <c r="O21" i="71"/>
  <c r="N45" i="71"/>
  <c r="R15" i="71"/>
  <c r="R54" i="71" s="1"/>
  <c r="S6" i="71"/>
  <c r="N60" i="71"/>
  <c r="N51" i="71"/>
  <c r="Q30" i="71"/>
  <c r="R19" i="71"/>
  <c r="M61" i="71"/>
  <c r="M62" i="71" s="1"/>
  <c r="M69" i="71" s="1"/>
  <c r="K47" i="70"/>
  <c r="L47" i="70" s="1"/>
  <c r="J91" i="70"/>
  <c r="L90" i="70"/>
  <c r="N47" i="71" l="1"/>
  <c r="N61" i="71"/>
  <c r="N62" i="71" s="1"/>
  <c r="N69" i="71" s="1"/>
  <c r="O31" i="71"/>
  <c r="O35" i="71" s="1"/>
  <c r="O25" i="71"/>
  <c r="P42" i="71"/>
  <c r="R30" i="71"/>
  <c r="S19" i="71"/>
  <c r="S15" i="71"/>
  <c r="S54" i="71" s="1"/>
  <c r="T6" i="71"/>
  <c r="T15" i="71" s="1"/>
  <c r="T54" i="71" s="1"/>
  <c r="O23" i="71"/>
  <c r="O67" i="71"/>
  <c r="CG43" i="70"/>
  <c r="CF43" i="70"/>
  <c r="CE43" i="70"/>
  <c r="CD43" i="70"/>
  <c r="CE42" i="70"/>
  <c r="CG41" i="70"/>
  <c r="CG42" i="70" s="1"/>
  <c r="CF41" i="70"/>
  <c r="CF42" i="70" s="1"/>
  <c r="CE41" i="70"/>
  <c r="CD41" i="70"/>
  <c r="CD42" i="70" s="1"/>
  <c r="K40" i="70"/>
  <c r="J40" i="70"/>
  <c r="I40" i="70"/>
  <c r="H40" i="70"/>
  <c r="G40" i="70"/>
  <c r="F40" i="70"/>
  <c r="E40" i="70"/>
  <c r="D40" i="70"/>
  <c r="D41" i="70" s="1"/>
  <c r="CJ38" i="70"/>
  <c r="CI38" i="70"/>
  <c r="CH38" i="70"/>
  <c r="CG38" i="70"/>
  <c r="CF38" i="70"/>
  <c r="CE38" i="70"/>
  <c r="CD38" i="70"/>
  <c r="L59" i="70"/>
  <c r="K37" i="70"/>
  <c r="K41" i="70" s="1"/>
  <c r="J37" i="70"/>
  <c r="J41" i="70" s="1"/>
  <c r="I37" i="70"/>
  <c r="I41" i="70" s="1"/>
  <c r="H37" i="70"/>
  <c r="H41" i="70" s="1"/>
  <c r="G37" i="70"/>
  <c r="G41" i="70" s="1"/>
  <c r="F37" i="70"/>
  <c r="F41" i="70" s="1"/>
  <c r="E37" i="70"/>
  <c r="E41" i="70" s="1"/>
  <c r="O60" i="71" l="1"/>
  <c r="O51" i="71"/>
  <c r="S30" i="71"/>
  <c r="T19" i="71"/>
  <c r="O44" i="71"/>
  <c r="P29" i="71"/>
  <c r="P32" i="71"/>
  <c r="P21" i="71"/>
  <c r="O45" i="71"/>
  <c r="Q38" i="71"/>
  <c r="Q37" i="71"/>
  <c r="Q22" i="71"/>
  <c r="M39" i="70"/>
  <c r="N39" i="70" s="1"/>
  <c r="CG31" i="70"/>
  <c r="CF31" i="70"/>
  <c r="CE31" i="70"/>
  <c r="CD31" i="70"/>
  <c r="Q42" i="71" l="1"/>
  <c r="P23" i="71"/>
  <c r="Q24" i="71"/>
  <c r="P67" i="71"/>
  <c r="T30" i="71"/>
  <c r="R37" i="71"/>
  <c r="R38" i="71"/>
  <c r="R22" i="71"/>
  <c r="P31" i="71"/>
  <c r="P35" i="71" s="1"/>
  <c r="P25" i="71"/>
  <c r="O66" i="71"/>
  <c r="O68" i="71" s="1"/>
  <c r="O47" i="71"/>
  <c r="N52" i="70"/>
  <c r="N59" i="70" s="1"/>
  <c r="O39" i="70"/>
  <c r="M52" i="70"/>
  <c r="M59" i="70" s="1"/>
  <c r="K31" i="70"/>
  <c r="J31" i="70"/>
  <c r="I31" i="70"/>
  <c r="H31" i="70"/>
  <c r="G31" i="70"/>
  <c r="F31" i="70"/>
  <c r="E31" i="70"/>
  <c r="D31" i="70"/>
  <c r="K30" i="70"/>
  <c r="J30" i="70"/>
  <c r="I30" i="70"/>
  <c r="H30" i="70"/>
  <c r="G30" i="70"/>
  <c r="F30" i="70"/>
  <c r="E30" i="70"/>
  <c r="D30" i="70"/>
  <c r="D34" i="70" s="1"/>
  <c r="R42" i="71" l="1"/>
  <c r="S22" i="71" s="1"/>
  <c r="P44" i="71"/>
  <c r="P66" i="71" s="1"/>
  <c r="P68" i="71" s="1"/>
  <c r="Q32" i="71"/>
  <c r="Q29" i="71"/>
  <c r="Q21" i="71"/>
  <c r="P45" i="71"/>
  <c r="O61" i="71"/>
  <c r="O62" i="71" s="1"/>
  <c r="O69" i="71" s="1"/>
  <c r="P60" i="71"/>
  <c r="P51" i="71"/>
  <c r="S38" i="71"/>
  <c r="S37" i="71"/>
  <c r="S42" i="71" s="1"/>
  <c r="O52" i="70"/>
  <c r="O59" i="70" s="1"/>
  <c r="Q39" i="70"/>
  <c r="P39" i="70"/>
  <c r="K29" i="70"/>
  <c r="K34" i="70" s="1"/>
  <c r="J29" i="70"/>
  <c r="J34" i="70" s="1"/>
  <c r="I29" i="70"/>
  <c r="I34" i="70" s="1"/>
  <c r="H29" i="70"/>
  <c r="H34" i="70" s="1"/>
  <c r="G29" i="70"/>
  <c r="G34" i="70" s="1"/>
  <c r="F29" i="70"/>
  <c r="F34" i="70" s="1"/>
  <c r="E29" i="70"/>
  <c r="E34" i="70" s="1"/>
  <c r="CG26" i="70"/>
  <c r="CF26" i="70"/>
  <c r="CE26" i="70"/>
  <c r="CD26" i="70"/>
  <c r="Q31" i="71" l="1"/>
  <c r="Q35" i="71" s="1"/>
  <c r="Q25" i="71"/>
  <c r="Q23" i="71"/>
  <c r="Q67" i="71"/>
  <c r="T37" i="71"/>
  <c r="T38" i="71"/>
  <c r="T22" i="71"/>
  <c r="R24" i="71"/>
  <c r="P47" i="71"/>
  <c r="Q52" i="70"/>
  <c r="Q59" i="70" s="1"/>
  <c r="M33" i="70"/>
  <c r="R39" i="70"/>
  <c r="R52" i="70" s="1"/>
  <c r="R59" i="70" s="1"/>
  <c r="P52" i="70"/>
  <c r="P59" i="70" s="1"/>
  <c r="AX25" i="70"/>
  <c r="K24" i="70"/>
  <c r="J24" i="70"/>
  <c r="I24" i="70"/>
  <c r="H24" i="70"/>
  <c r="G24" i="70"/>
  <c r="F24" i="70"/>
  <c r="E24" i="70"/>
  <c r="D24" i="70"/>
  <c r="K23" i="70"/>
  <c r="J23" i="70"/>
  <c r="I23" i="70"/>
  <c r="H23" i="70"/>
  <c r="G23" i="70"/>
  <c r="F23" i="70"/>
  <c r="E23" i="70"/>
  <c r="D23" i="70"/>
  <c r="Q44" i="71" l="1"/>
  <c r="Q66" i="71" s="1"/>
  <c r="Q68" i="71" s="1"/>
  <c r="R32" i="71"/>
  <c r="S24" i="71" s="1"/>
  <c r="R29" i="71"/>
  <c r="R21" i="71"/>
  <c r="Q45" i="71"/>
  <c r="Q47" i="71"/>
  <c r="P61" i="71"/>
  <c r="P62" i="71" s="1"/>
  <c r="P69" i="71" s="1"/>
  <c r="T42" i="71"/>
  <c r="Q60" i="71"/>
  <c r="Q51" i="71"/>
  <c r="S39" i="70"/>
  <c r="M40" i="70"/>
  <c r="N33" i="70"/>
  <c r="AZ21" i="70"/>
  <c r="R31" i="71" l="1"/>
  <c r="R35" i="71" s="1"/>
  <c r="R25" i="71"/>
  <c r="Q61" i="71"/>
  <c r="Q62" i="71" s="1"/>
  <c r="Q69" i="71" s="1"/>
  <c r="R23" i="71"/>
  <c r="R67" i="71"/>
  <c r="S52" i="70"/>
  <c r="S59" i="70" s="1"/>
  <c r="T39" i="70"/>
  <c r="T52" i="70" s="1"/>
  <c r="T59" i="70" s="1"/>
  <c r="J25" i="70"/>
  <c r="F25" i="70"/>
  <c r="E25" i="70"/>
  <c r="H25" i="70"/>
  <c r="I25" i="70"/>
  <c r="K25" i="70"/>
  <c r="G25" i="70"/>
  <c r="D25" i="70"/>
  <c r="N40" i="70"/>
  <c r="O33" i="70"/>
  <c r="M20" i="70"/>
  <c r="N20" i="70" s="1"/>
  <c r="O20" i="70" s="1"/>
  <c r="P20" i="70" s="1"/>
  <c r="Q20" i="70" s="1"/>
  <c r="R20" i="70" s="1"/>
  <c r="S20" i="70" s="1"/>
  <c r="T20" i="70" s="1"/>
  <c r="AZ15" i="70"/>
  <c r="AZ16" i="70" s="1"/>
  <c r="T15" i="70"/>
  <c r="T54" i="70" s="1"/>
  <c r="S15" i="70"/>
  <c r="S54" i="70" s="1"/>
  <c r="R15" i="70"/>
  <c r="R54" i="70" s="1"/>
  <c r="Q15" i="70"/>
  <c r="Q54" i="70" s="1"/>
  <c r="P15" i="70"/>
  <c r="P54" i="70" s="1"/>
  <c r="O15" i="70"/>
  <c r="O54" i="70" s="1"/>
  <c r="N15" i="70"/>
  <c r="N54" i="70" s="1"/>
  <c r="M15" i="70"/>
  <c r="M54" i="70" s="1"/>
  <c r="K15" i="70"/>
  <c r="K54" i="70" s="1"/>
  <c r="J15" i="70"/>
  <c r="J54" i="70" s="1"/>
  <c r="I15" i="70"/>
  <c r="I54" i="70" s="1"/>
  <c r="H15" i="70"/>
  <c r="H54" i="70" s="1"/>
  <c r="G15" i="70"/>
  <c r="G54" i="70" s="1"/>
  <c r="F15" i="70"/>
  <c r="F54" i="70" s="1"/>
  <c r="E15" i="70"/>
  <c r="E54" i="70" s="1"/>
  <c r="D15" i="70"/>
  <c r="D54" i="70" s="1"/>
  <c r="K12" i="70"/>
  <c r="J12" i="70"/>
  <c r="I12" i="70"/>
  <c r="H12" i="70"/>
  <c r="G12" i="70"/>
  <c r="F12" i="70"/>
  <c r="E12" i="70"/>
  <c r="D12" i="70"/>
  <c r="R44" i="71" l="1"/>
  <c r="S29" i="71"/>
  <c r="S32" i="71"/>
  <c r="S21" i="71"/>
  <c r="R45" i="71"/>
  <c r="R51" i="71"/>
  <c r="R60" i="71"/>
  <c r="AZ12" i="70"/>
  <c r="AZ11" i="70"/>
  <c r="AZ13" i="70"/>
  <c r="L89" i="70"/>
  <c r="L91" i="70" s="1"/>
  <c r="O40" i="70"/>
  <c r="P33" i="70"/>
  <c r="G93" i="70"/>
  <c r="G95" i="70" s="1"/>
  <c r="G99" i="70" s="1"/>
  <c r="G51" i="70"/>
  <c r="E93" i="70"/>
  <c r="E95" i="70" s="1"/>
  <c r="E99" i="70" s="1"/>
  <c r="E51" i="70"/>
  <c r="J93" i="70"/>
  <c r="J95" i="70" s="1"/>
  <c r="J99" i="70" s="1"/>
  <c r="J51" i="70"/>
  <c r="D93" i="70"/>
  <c r="D95" i="70" s="1"/>
  <c r="D99" i="70" s="1"/>
  <c r="D51" i="70"/>
  <c r="H93" i="70"/>
  <c r="H95" i="70" s="1"/>
  <c r="H99" i="70" s="1"/>
  <c r="H51" i="70"/>
  <c r="BA12" i="70"/>
  <c r="K93" i="70"/>
  <c r="K95" i="70" s="1"/>
  <c r="K99" i="70" s="1"/>
  <c r="K51" i="70"/>
  <c r="I93" i="70"/>
  <c r="I95" i="70" s="1"/>
  <c r="I99" i="70" s="1"/>
  <c r="I51" i="70"/>
  <c r="F93" i="70"/>
  <c r="F95" i="70" s="1"/>
  <c r="F99" i="70" s="1"/>
  <c r="F51" i="70"/>
  <c r="BG7" i="70"/>
  <c r="BG6" i="70"/>
  <c r="M10" i="70"/>
  <c r="N10" i="70" s="1"/>
  <c r="O10" i="70" s="1"/>
  <c r="P10" i="70" s="1"/>
  <c r="Q10" i="70" s="1"/>
  <c r="R10" i="70" s="1"/>
  <c r="S10" i="70" s="1"/>
  <c r="T10" i="70" s="1"/>
  <c r="M9" i="70"/>
  <c r="N9" i="70" s="1"/>
  <c r="O9" i="70" s="1"/>
  <c r="P9" i="70" s="1"/>
  <c r="Q9" i="70" s="1"/>
  <c r="R9" i="70" s="1"/>
  <c r="S9" i="70" s="1"/>
  <c r="T9" i="70" s="1"/>
  <c r="CJ3" i="70"/>
  <c r="CI3" i="70"/>
  <c r="J3" i="70"/>
  <c r="S23" i="71" l="1"/>
  <c r="S67" i="71"/>
  <c r="T24" i="71"/>
  <c r="S31" i="71"/>
  <c r="S35" i="71" s="1"/>
  <c r="S25" i="71"/>
  <c r="R66" i="71"/>
  <c r="R68" i="71" s="1"/>
  <c r="R47" i="71"/>
  <c r="M8" i="70"/>
  <c r="N8" i="70" s="1"/>
  <c r="O8" i="70" s="1"/>
  <c r="P8" i="70" s="1"/>
  <c r="Q8" i="70" s="1"/>
  <c r="R8" i="70" s="1"/>
  <c r="S8" i="70" s="1"/>
  <c r="T8" i="70" s="1"/>
  <c r="P40" i="70"/>
  <c r="Q33" i="70"/>
  <c r="M11" i="70"/>
  <c r="M19" i="70"/>
  <c r="H3" i="70"/>
  <c r="K1" i="70"/>
  <c r="AX124" i="45"/>
  <c r="AW124" i="45"/>
  <c r="AV124" i="45"/>
  <c r="AU124" i="45"/>
  <c r="AT124" i="45"/>
  <c r="AS124" i="45"/>
  <c r="AR124" i="45"/>
  <c r="AQ124" i="45"/>
  <c r="AP124" i="45"/>
  <c r="AO124" i="45"/>
  <c r="AN124" i="45"/>
  <c r="AM124" i="45"/>
  <c r="AL124" i="45"/>
  <c r="AK124" i="45"/>
  <c r="AJ124" i="45"/>
  <c r="AI124" i="45"/>
  <c r="AH124" i="45"/>
  <c r="AG124" i="45"/>
  <c r="AF124" i="45"/>
  <c r="AE124" i="45"/>
  <c r="AD124" i="45"/>
  <c r="AC124" i="45"/>
  <c r="AB124" i="45"/>
  <c r="AA124" i="45"/>
  <c r="Z124" i="45"/>
  <c r="Y124" i="45"/>
  <c r="X124" i="45"/>
  <c r="W124" i="45"/>
  <c r="V124" i="45"/>
  <c r="U124" i="45"/>
  <c r="T124" i="45"/>
  <c r="AX123" i="45"/>
  <c r="AW123" i="45"/>
  <c r="AV123" i="45"/>
  <c r="AU123" i="45"/>
  <c r="AT123" i="45"/>
  <c r="AS123" i="45"/>
  <c r="AR123" i="45"/>
  <c r="AQ123" i="45"/>
  <c r="AP123" i="45"/>
  <c r="AO123" i="45"/>
  <c r="AN123" i="45"/>
  <c r="AM123" i="45"/>
  <c r="AL123" i="45"/>
  <c r="AK123" i="45"/>
  <c r="AJ123" i="45"/>
  <c r="AI123" i="45"/>
  <c r="AH123" i="45"/>
  <c r="AG123" i="45"/>
  <c r="AF123" i="45"/>
  <c r="AE123" i="45"/>
  <c r="AD123" i="45"/>
  <c r="AC123" i="45"/>
  <c r="AB123" i="45"/>
  <c r="AA123" i="45"/>
  <c r="Z123" i="45"/>
  <c r="Y123" i="45"/>
  <c r="X123" i="45"/>
  <c r="W123" i="45"/>
  <c r="A118" i="45"/>
  <c r="A117" i="45"/>
  <c r="A116" i="45"/>
  <c r="A115" i="45"/>
  <c r="A114" i="45"/>
  <c r="A113" i="45"/>
  <c r="A112" i="45"/>
  <c r="AX118" i="45"/>
  <c r="AW118" i="45"/>
  <c r="AV118" i="45"/>
  <c r="AU118" i="45"/>
  <c r="V118" i="45"/>
  <c r="U118" i="45"/>
  <c r="T118" i="45"/>
  <c r="S118" i="45"/>
  <c r="AX117" i="45"/>
  <c r="AW117" i="45"/>
  <c r="AV117" i="45"/>
  <c r="AU117" i="45"/>
  <c r="AT117" i="45"/>
  <c r="AS117" i="45"/>
  <c r="AR117" i="45"/>
  <c r="AQ117" i="45"/>
  <c r="AP117" i="45"/>
  <c r="AO117" i="45"/>
  <c r="AN117" i="45"/>
  <c r="AM117" i="45"/>
  <c r="AL117" i="45"/>
  <c r="AK117" i="45"/>
  <c r="AJ117" i="45"/>
  <c r="AI117" i="45"/>
  <c r="AH117" i="45"/>
  <c r="AG117" i="45"/>
  <c r="AF117" i="45"/>
  <c r="AE117" i="45"/>
  <c r="AD117" i="45"/>
  <c r="AC117" i="45"/>
  <c r="AB117" i="45"/>
  <c r="AA117" i="45"/>
  <c r="Z117" i="45"/>
  <c r="Y117" i="45"/>
  <c r="X117" i="45"/>
  <c r="W117" i="45"/>
  <c r="V117" i="45"/>
  <c r="U117" i="45"/>
  <c r="T117" i="45"/>
  <c r="S117" i="45"/>
  <c r="AX116" i="45"/>
  <c r="AW116" i="45"/>
  <c r="AV116" i="45"/>
  <c r="AU116" i="45"/>
  <c r="AT116" i="45"/>
  <c r="AS116" i="45"/>
  <c r="AR116" i="45"/>
  <c r="AQ116" i="45"/>
  <c r="AP116" i="45"/>
  <c r="AO116" i="45"/>
  <c r="AN116" i="45"/>
  <c r="AM116" i="45"/>
  <c r="AL116" i="45"/>
  <c r="AK116" i="45"/>
  <c r="AJ116" i="45"/>
  <c r="AI116" i="45"/>
  <c r="AH116" i="45"/>
  <c r="AG116" i="45"/>
  <c r="AF116" i="45"/>
  <c r="AE116" i="45"/>
  <c r="AD116" i="45"/>
  <c r="AC116" i="45"/>
  <c r="AB116" i="45"/>
  <c r="AA116" i="45"/>
  <c r="Z116" i="45"/>
  <c r="Y116" i="45"/>
  <c r="X116" i="45"/>
  <c r="W116" i="45"/>
  <c r="V116" i="45"/>
  <c r="U116" i="45"/>
  <c r="T116" i="45"/>
  <c r="S116" i="45"/>
  <c r="AX115" i="45"/>
  <c r="AW115" i="45"/>
  <c r="AV115" i="45"/>
  <c r="AU115" i="45"/>
  <c r="AT115" i="45"/>
  <c r="AS115" i="45"/>
  <c r="AR115" i="45"/>
  <c r="AQ115" i="45"/>
  <c r="AP115" i="45"/>
  <c r="AO115" i="45"/>
  <c r="AN115" i="45"/>
  <c r="AM115" i="45"/>
  <c r="AL115" i="45"/>
  <c r="AK115" i="45"/>
  <c r="AJ115" i="45"/>
  <c r="AI115" i="45"/>
  <c r="AH115" i="45"/>
  <c r="AG115" i="45"/>
  <c r="AF115" i="45"/>
  <c r="AE115" i="45"/>
  <c r="AD115" i="45"/>
  <c r="AC115" i="45"/>
  <c r="AB115" i="45"/>
  <c r="AA115" i="45"/>
  <c r="Z115" i="45"/>
  <c r="Y115" i="45"/>
  <c r="X115" i="45"/>
  <c r="W115" i="45"/>
  <c r="V115" i="45"/>
  <c r="U115" i="45"/>
  <c r="T115" i="45"/>
  <c r="S115" i="45"/>
  <c r="AX114" i="45"/>
  <c r="AW114" i="45"/>
  <c r="AV114" i="45"/>
  <c r="AU114" i="45"/>
  <c r="AT114" i="45"/>
  <c r="AS114" i="45"/>
  <c r="AR114" i="45"/>
  <c r="AQ114" i="45"/>
  <c r="AP114" i="45"/>
  <c r="AO114" i="45"/>
  <c r="AN114" i="45"/>
  <c r="AM114" i="45"/>
  <c r="AL114" i="45"/>
  <c r="AK114" i="45"/>
  <c r="AJ114" i="45"/>
  <c r="AI114" i="45"/>
  <c r="AH114" i="45"/>
  <c r="AG114" i="45"/>
  <c r="AF114" i="45"/>
  <c r="AE114" i="45"/>
  <c r="AD114" i="45"/>
  <c r="AC114" i="45"/>
  <c r="AB114" i="45"/>
  <c r="AA114" i="45"/>
  <c r="Z114" i="45"/>
  <c r="Y114" i="45"/>
  <c r="X114" i="45"/>
  <c r="W114" i="45"/>
  <c r="V114" i="45"/>
  <c r="U114" i="45"/>
  <c r="T114" i="45"/>
  <c r="S114" i="45"/>
  <c r="AX113" i="45"/>
  <c r="AW113" i="45"/>
  <c r="AV113" i="45"/>
  <c r="AU113" i="45"/>
  <c r="AT113" i="45"/>
  <c r="AS113" i="45"/>
  <c r="AR113" i="45"/>
  <c r="AQ113" i="45"/>
  <c r="AP113" i="45"/>
  <c r="AO113" i="45"/>
  <c r="AN113" i="45"/>
  <c r="AM113" i="45"/>
  <c r="AL113" i="45"/>
  <c r="AK113" i="45"/>
  <c r="AJ113" i="45"/>
  <c r="AI113" i="45"/>
  <c r="AH113" i="45"/>
  <c r="AG113" i="45"/>
  <c r="AF113" i="45"/>
  <c r="AE113" i="45"/>
  <c r="AD113" i="45"/>
  <c r="AC113" i="45"/>
  <c r="AB113" i="45"/>
  <c r="AA113" i="45"/>
  <c r="Z113" i="45"/>
  <c r="Y113" i="45"/>
  <c r="X113" i="45"/>
  <c r="W113" i="45"/>
  <c r="V113" i="45"/>
  <c r="U113" i="45"/>
  <c r="T113" i="45"/>
  <c r="S113" i="45"/>
  <c r="AX112" i="45"/>
  <c r="AW112" i="45"/>
  <c r="AV112" i="45"/>
  <c r="AU112" i="45"/>
  <c r="AD112" i="45"/>
  <c r="AC112" i="45"/>
  <c r="AB112" i="45"/>
  <c r="AA112" i="45"/>
  <c r="Z112" i="45"/>
  <c r="Y112" i="45"/>
  <c r="X112" i="45"/>
  <c r="W112" i="45"/>
  <c r="V112" i="45"/>
  <c r="U112" i="45"/>
  <c r="T112" i="45"/>
  <c r="S112" i="45"/>
  <c r="V108" i="45"/>
  <c r="U108" i="45"/>
  <c r="T108" i="45"/>
  <c r="T109" i="45" s="1"/>
  <c r="S108" i="45"/>
  <c r="S120" i="45" s="1"/>
  <c r="AX106" i="45"/>
  <c r="AW106" i="45"/>
  <c r="AV106" i="45"/>
  <c r="AU106" i="45"/>
  <c r="AT106" i="45"/>
  <c r="AS106" i="45"/>
  <c r="AR106" i="45"/>
  <c r="AQ106" i="45"/>
  <c r="AP106" i="45"/>
  <c r="AO106" i="45"/>
  <c r="AN106" i="45"/>
  <c r="AM106" i="45"/>
  <c r="AL106" i="45"/>
  <c r="AK106" i="45"/>
  <c r="AJ106" i="45"/>
  <c r="AI106" i="45"/>
  <c r="AH106" i="45"/>
  <c r="AG106" i="45"/>
  <c r="AF106" i="45"/>
  <c r="AE106" i="45"/>
  <c r="AD106" i="45"/>
  <c r="AC106" i="45"/>
  <c r="AB106" i="45"/>
  <c r="AA106" i="45"/>
  <c r="Z106" i="45"/>
  <c r="Y106" i="45"/>
  <c r="X106" i="45"/>
  <c r="W106" i="45"/>
  <c r="V106" i="45"/>
  <c r="U106" i="45"/>
  <c r="T106" i="45"/>
  <c r="S106" i="45"/>
  <c r="AX105" i="45"/>
  <c r="AX107" i="45" s="1"/>
  <c r="AW105" i="45"/>
  <c r="AW107" i="45" s="1"/>
  <c r="AV105" i="45"/>
  <c r="AV107" i="45" s="1"/>
  <c r="AU105" i="45"/>
  <c r="AU107" i="45" s="1"/>
  <c r="AT105" i="45"/>
  <c r="AT107" i="45" s="1"/>
  <c r="AS105" i="45"/>
  <c r="AS107" i="45" s="1"/>
  <c r="AR105" i="45"/>
  <c r="AR107" i="45" s="1"/>
  <c r="AQ105" i="45"/>
  <c r="AQ107" i="45" s="1"/>
  <c r="AP105" i="45"/>
  <c r="AP107" i="45" s="1"/>
  <c r="AO105" i="45"/>
  <c r="AO107" i="45" s="1"/>
  <c r="AN105" i="45"/>
  <c r="AN107" i="45" s="1"/>
  <c r="AM105" i="45"/>
  <c r="AM107" i="45" s="1"/>
  <c r="AL105" i="45"/>
  <c r="AL107" i="45" s="1"/>
  <c r="AK105" i="45"/>
  <c r="AK107" i="45" s="1"/>
  <c r="AJ105" i="45"/>
  <c r="AJ107" i="45" s="1"/>
  <c r="AI105" i="45"/>
  <c r="AI107" i="45" s="1"/>
  <c r="AD105" i="45"/>
  <c r="AD107" i="45" s="1"/>
  <c r="AC105" i="45"/>
  <c r="AC107" i="45" s="1"/>
  <c r="AB105" i="45"/>
  <c r="AB107" i="45" s="1"/>
  <c r="AA105" i="45"/>
  <c r="AA107" i="45" s="1"/>
  <c r="Z105" i="45"/>
  <c r="Z107" i="45" s="1"/>
  <c r="Y105" i="45"/>
  <c r="Y107" i="45" s="1"/>
  <c r="X105" i="45"/>
  <c r="X107" i="45" s="1"/>
  <c r="W105" i="45"/>
  <c r="W107" i="45" s="1"/>
  <c r="V105" i="45"/>
  <c r="V107" i="45" s="1"/>
  <c r="U105" i="45"/>
  <c r="U107" i="45" s="1"/>
  <c r="T105" i="45"/>
  <c r="T107" i="45" s="1"/>
  <c r="S105" i="45"/>
  <c r="S107" i="45" s="1"/>
  <c r="W103" i="45"/>
  <c r="AX98" i="45"/>
  <c r="AW98" i="45"/>
  <c r="AV98" i="45"/>
  <c r="AU98" i="45"/>
  <c r="AT98" i="45"/>
  <c r="AS98" i="45"/>
  <c r="AR98" i="45"/>
  <c r="AQ98" i="45"/>
  <c r="AP98" i="45"/>
  <c r="AO98" i="45"/>
  <c r="AN98" i="45"/>
  <c r="AM98" i="45"/>
  <c r="AL98" i="45"/>
  <c r="AK98" i="45"/>
  <c r="AJ98" i="45"/>
  <c r="AI98" i="45"/>
  <c r="AH98" i="45"/>
  <c r="AG98" i="45"/>
  <c r="AF98" i="45"/>
  <c r="AE98" i="45"/>
  <c r="AD98" i="45"/>
  <c r="AC98" i="45"/>
  <c r="AB98" i="45"/>
  <c r="AA98" i="45"/>
  <c r="Z98" i="45"/>
  <c r="Y98" i="45"/>
  <c r="X98" i="45"/>
  <c r="W98" i="45"/>
  <c r="V98" i="45"/>
  <c r="U98" i="45"/>
  <c r="T98" i="45"/>
  <c r="S98" i="45"/>
  <c r="R98" i="45"/>
  <c r="Q98" i="45"/>
  <c r="P98" i="45"/>
  <c r="O98" i="45"/>
  <c r="N98" i="45"/>
  <c r="M98" i="45"/>
  <c r="L98" i="45"/>
  <c r="K98" i="45"/>
  <c r="J98" i="45"/>
  <c r="I98" i="45"/>
  <c r="H98" i="45"/>
  <c r="G98" i="45"/>
  <c r="F98" i="45"/>
  <c r="E98" i="45"/>
  <c r="D98" i="45"/>
  <c r="C98" i="45"/>
  <c r="B98" i="45"/>
  <c r="A98" i="45"/>
  <c r="AX97" i="45"/>
  <c r="AW97" i="45"/>
  <c r="AV97" i="45"/>
  <c r="AU97" i="45"/>
  <c r="AT97" i="45"/>
  <c r="AS97" i="45"/>
  <c r="AR97" i="45"/>
  <c r="AQ97" i="45"/>
  <c r="AP97" i="45"/>
  <c r="AO97" i="45"/>
  <c r="AN97" i="45"/>
  <c r="AM97" i="45"/>
  <c r="AL97" i="45"/>
  <c r="AK97" i="45"/>
  <c r="AJ97" i="45"/>
  <c r="AI97" i="45"/>
  <c r="AH97" i="45"/>
  <c r="AG97" i="45"/>
  <c r="AF97" i="45"/>
  <c r="AE97" i="45"/>
  <c r="AD97" i="45"/>
  <c r="AC97" i="45"/>
  <c r="AB97" i="45"/>
  <c r="AA97" i="45"/>
  <c r="Z97" i="45"/>
  <c r="Y97" i="45"/>
  <c r="X97" i="45"/>
  <c r="W97" i="45"/>
  <c r="V97" i="45"/>
  <c r="U97" i="45"/>
  <c r="T97" i="45"/>
  <c r="S97" i="45"/>
  <c r="R97" i="45"/>
  <c r="Q97" i="45"/>
  <c r="P97" i="45"/>
  <c r="O97" i="45"/>
  <c r="N97" i="45"/>
  <c r="M97" i="45"/>
  <c r="L97" i="45"/>
  <c r="K97" i="45"/>
  <c r="J97" i="45"/>
  <c r="I97" i="45"/>
  <c r="H97" i="45"/>
  <c r="G97" i="45"/>
  <c r="F97" i="45"/>
  <c r="E97" i="45"/>
  <c r="D97" i="45"/>
  <c r="C97" i="45"/>
  <c r="B97" i="45"/>
  <c r="A97" i="45"/>
  <c r="AX96" i="45"/>
  <c r="AW96" i="45"/>
  <c r="AV96" i="45"/>
  <c r="AU96" i="45"/>
  <c r="AT96" i="45"/>
  <c r="AS96" i="45"/>
  <c r="AR96" i="45"/>
  <c r="AQ96" i="45"/>
  <c r="AP96" i="45"/>
  <c r="AO96" i="45"/>
  <c r="AN96" i="45"/>
  <c r="AM96" i="45"/>
  <c r="AL96" i="45"/>
  <c r="AK96" i="45"/>
  <c r="AJ96" i="45"/>
  <c r="AI96" i="45"/>
  <c r="AH96" i="45"/>
  <c r="AG96" i="45"/>
  <c r="AF96" i="45"/>
  <c r="AE96" i="45"/>
  <c r="AD96" i="45"/>
  <c r="AC96" i="45"/>
  <c r="AB96" i="45"/>
  <c r="AA96" i="45"/>
  <c r="Z96" i="45"/>
  <c r="Y96" i="45"/>
  <c r="X96" i="45"/>
  <c r="W96" i="45"/>
  <c r="V96" i="45"/>
  <c r="U96" i="45"/>
  <c r="T96" i="45"/>
  <c r="S96" i="45"/>
  <c r="R96" i="45"/>
  <c r="Q96" i="45"/>
  <c r="P96" i="45"/>
  <c r="O96" i="45"/>
  <c r="N96" i="45"/>
  <c r="M96" i="45"/>
  <c r="L96" i="45"/>
  <c r="K96" i="45"/>
  <c r="J96" i="45"/>
  <c r="I96" i="45"/>
  <c r="H96" i="45"/>
  <c r="G96" i="45"/>
  <c r="F96" i="45"/>
  <c r="E96" i="45"/>
  <c r="D96" i="45"/>
  <c r="C96" i="45"/>
  <c r="B96" i="45"/>
  <c r="A96" i="45"/>
  <c r="Y95" i="45"/>
  <c r="X95" i="45"/>
  <c r="W95" i="45"/>
  <c r="V95" i="45"/>
  <c r="U95" i="45"/>
  <c r="T95" i="45"/>
  <c r="S95" i="45"/>
  <c r="R95" i="45"/>
  <c r="Q95" i="45"/>
  <c r="P95" i="45"/>
  <c r="O95" i="45"/>
  <c r="N95" i="45"/>
  <c r="M95" i="45"/>
  <c r="L95" i="45"/>
  <c r="K95" i="45"/>
  <c r="J95" i="45"/>
  <c r="I95" i="45"/>
  <c r="H95" i="45"/>
  <c r="G95" i="45"/>
  <c r="F95" i="45"/>
  <c r="E95" i="45"/>
  <c r="D95" i="45"/>
  <c r="C95" i="45"/>
  <c r="B95" i="45"/>
  <c r="A95" i="45"/>
  <c r="V94" i="45"/>
  <c r="F94" i="45"/>
  <c r="E94" i="45"/>
  <c r="D94" i="45"/>
  <c r="C94" i="45"/>
  <c r="B94" i="45"/>
  <c r="A94" i="45"/>
  <c r="AE93" i="45"/>
  <c r="AD93" i="45"/>
  <c r="AC93" i="45"/>
  <c r="AB93" i="45"/>
  <c r="AA93" i="45"/>
  <c r="Z93" i="45"/>
  <c r="Y93" i="45"/>
  <c r="X93" i="45"/>
  <c r="W93" i="45"/>
  <c r="V93" i="45"/>
  <c r="U93" i="45"/>
  <c r="T93" i="45"/>
  <c r="S93" i="45"/>
  <c r="R93" i="45"/>
  <c r="Q93" i="45"/>
  <c r="P93" i="45"/>
  <c r="O93" i="45"/>
  <c r="N93" i="45"/>
  <c r="M93" i="45"/>
  <c r="L93" i="45"/>
  <c r="K93" i="45"/>
  <c r="J93" i="45"/>
  <c r="I93" i="45"/>
  <c r="H93" i="45"/>
  <c r="G93" i="45"/>
  <c r="F93" i="45"/>
  <c r="E93" i="45"/>
  <c r="D93" i="45"/>
  <c r="C93" i="45"/>
  <c r="B93" i="45"/>
  <c r="A93" i="45"/>
  <c r="AX92" i="45"/>
  <c r="AW92" i="45"/>
  <c r="AV92" i="45"/>
  <c r="AU92" i="45"/>
  <c r="AT92" i="45"/>
  <c r="AS92" i="45"/>
  <c r="AR92" i="45"/>
  <c r="AQ92" i="45"/>
  <c r="AP92" i="45"/>
  <c r="AO92" i="45"/>
  <c r="AN92" i="45"/>
  <c r="AM92" i="45"/>
  <c r="AL92" i="45"/>
  <c r="AK92" i="45"/>
  <c r="AJ92" i="45"/>
  <c r="AI92" i="45"/>
  <c r="AH92" i="45"/>
  <c r="AG92" i="45"/>
  <c r="AF92" i="45"/>
  <c r="AE92" i="45"/>
  <c r="AD92" i="45"/>
  <c r="AC92" i="45"/>
  <c r="AB92" i="45"/>
  <c r="AA92" i="45"/>
  <c r="Z92" i="45"/>
  <c r="Y92" i="45"/>
  <c r="X92" i="45"/>
  <c r="W92" i="45"/>
  <c r="V92" i="45"/>
  <c r="U92" i="45"/>
  <c r="T92" i="45"/>
  <c r="S92" i="45"/>
  <c r="R92" i="45"/>
  <c r="Q92" i="45"/>
  <c r="P92" i="45"/>
  <c r="O92" i="45"/>
  <c r="N92" i="45"/>
  <c r="M92" i="45"/>
  <c r="L92" i="45"/>
  <c r="K92" i="45"/>
  <c r="J92" i="45"/>
  <c r="I92" i="45"/>
  <c r="H92" i="45"/>
  <c r="G92" i="45"/>
  <c r="F92" i="45"/>
  <c r="E92" i="45"/>
  <c r="D92" i="45"/>
  <c r="C92" i="45"/>
  <c r="B92" i="45"/>
  <c r="A92" i="45"/>
  <c r="AX91" i="45"/>
  <c r="AW91" i="45"/>
  <c r="AV91" i="45"/>
  <c r="AU91" i="45"/>
  <c r="AT91" i="45"/>
  <c r="AS91" i="45"/>
  <c r="AR91" i="45"/>
  <c r="AQ91" i="45"/>
  <c r="AP91" i="45"/>
  <c r="AO91" i="45"/>
  <c r="AN91" i="45"/>
  <c r="AM91" i="45"/>
  <c r="AL91" i="45"/>
  <c r="AK91" i="45"/>
  <c r="AJ91" i="45"/>
  <c r="AI91" i="45"/>
  <c r="AH91" i="45"/>
  <c r="AG91" i="45"/>
  <c r="AF91" i="45"/>
  <c r="AE91" i="45"/>
  <c r="AD91" i="45"/>
  <c r="AC91" i="45"/>
  <c r="AB91" i="45"/>
  <c r="AA91" i="45"/>
  <c r="Z91" i="45"/>
  <c r="Y91" i="45"/>
  <c r="X91" i="45"/>
  <c r="W91" i="45"/>
  <c r="V91" i="45"/>
  <c r="U91" i="45"/>
  <c r="T91" i="45"/>
  <c r="S91" i="45"/>
  <c r="R91" i="45"/>
  <c r="Q91" i="45"/>
  <c r="P91" i="45"/>
  <c r="O91" i="45"/>
  <c r="N91" i="45"/>
  <c r="M91" i="45"/>
  <c r="L91" i="45"/>
  <c r="K91" i="45"/>
  <c r="J91" i="45"/>
  <c r="I91" i="45"/>
  <c r="H91" i="45"/>
  <c r="G91" i="45"/>
  <c r="F91" i="45"/>
  <c r="E91" i="45"/>
  <c r="D91" i="45"/>
  <c r="C91" i="45"/>
  <c r="B91" i="45"/>
  <c r="A91" i="45"/>
  <c r="AX90" i="45"/>
  <c r="AW90" i="45"/>
  <c r="AV90" i="45"/>
  <c r="AU90" i="45"/>
  <c r="AT90" i="45"/>
  <c r="AS90" i="45"/>
  <c r="AR90" i="45"/>
  <c r="AQ90" i="45"/>
  <c r="AP90" i="45"/>
  <c r="AO90" i="45"/>
  <c r="AN90" i="45"/>
  <c r="AM90" i="45"/>
  <c r="AL90" i="45"/>
  <c r="AK90" i="45"/>
  <c r="AJ90" i="45"/>
  <c r="AI90" i="45"/>
  <c r="AH90" i="45"/>
  <c r="AG90" i="45"/>
  <c r="AF90" i="45"/>
  <c r="AE90" i="45"/>
  <c r="AD90" i="45"/>
  <c r="AC90" i="45"/>
  <c r="AB90" i="45"/>
  <c r="AA90" i="45"/>
  <c r="Z90" i="45"/>
  <c r="Y90" i="45"/>
  <c r="X90" i="45"/>
  <c r="W90" i="45"/>
  <c r="V90" i="45"/>
  <c r="U90" i="45"/>
  <c r="T90" i="45"/>
  <c r="S90" i="45"/>
  <c r="R90" i="45"/>
  <c r="Q90" i="45"/>
  <c r="P90" i="45"/>
  <c r="O90" i="45"/>
  <c r="N90" i="45"/>
  <c r="M90" i="45"/>
  <c r="L90" i="45"/>
  <c r="K90" i="45"/>
  <c r="J90" i="45"/>
  <c r="I90" i="45"/>
  <c r="H90" i="45"/>
  <c r="G90" i="45"/>
  <c r="F90" i="45"/>
  <c r="E90" i="45"/>
  <c r="D90" i="45"/>
  <c r="C90" i="45"/>
  <c r="B90" i="45"/>
  <c r="A90" i="45"/>
  <c r="AX89" i="45"/>
  <c r="AW89" i="45"/>
  <c r="AV89" i="45"/>
  <c r="AU89" i="45"/>
  <c r="AT89" i="45"/>
  <c r="AS89" i="45"/>
  <c r="AR89" i="45"/>
  <c r="AQ89" i="45"/>
  <c r="AP89" i="45"/>
  <c r="AO89" i="45"/>
  <c r="AN89" i="45"/>
  <c r="AM89" i="45"/>
  <c r="AL89" i="45"/>
  <c r="AK89" i="45"/>
  <c r="AJ89" i="45"/>
  <c r="AI89" i="45"/>
  <c r="AH89" i="45"/>
  <c r="AG89" i="45"/>
  <c r="AF89" i="45"/>
  <c r="AE89" i="45"/>
  <c r="AD89" i="45"/>
  <c r="AC89" i="45"/>
  <c r="AB89" i="45"/>
  <c r="AB101" i="45" s="1"/>
  <c r="AA89" i="45"/>
  <c r="Z89" i="45"/>
  <c r="Y89" i="45"/>
  <c r="X89" i="45"/>
  <c r="W89" i="45"/>
  <c r="V89" i="45"/>
  <c r="U89" i="45"/>
  <c r="T89" i="45"/>
  <c r="S89" i="45"/>
  <c r="R89" i="45"/>
  <c r="Q89" i="45"/>
  <c r="P89" i="45"/>
  <c r="O89" i="45"/>
  <c r="N89" i="45"/>
  <c r="M89" i="45"/>
  <c r="L89" i="45"/>
  <c r="K89" i="45"/>
  <c r="J89" i="45"/>
  <c r="I89" i="45"/>
  <c r="H89" i="45"/>
  <c r="G89" i="45"/>
  <c r="F89" i="45"/>
  <c r="E89" i="45"/>
  <c r="D89" i="45"/>
  <c r="C89" i="45"/>
  <c r="B89" i="45"/>
  <c r="A89" i="45"/>
  <c r="AX88" i="45"/>
  <c r="AW88" i="45"/>
  <c r="AV88" i="45"/>
  <c r="AA88" i="45"/>
  <c r="X88" i="45"/>
  <c r="W88" i="45"/>
  <c r="V88" i="45"/>
  <c r="U88" i="45"/>
  <c r="T88" i="45"/>
  <c r="S88" i="45"/>
  <c r="R88" i="45"/>
  <c r="Q88" i="45"/>
  <c r="P88" i="45"/>
  <c r="O88" i="45"/>
  <c r="N88" i="45"/>
  <c r="M88" i="45"/>
  <c r="L88" i="45"/>
  <c r="K88" i="45"/>
  <c r="J88" i="45"/>
  <c r="I88" i="45"/>
  <c r="H88" i="45"/>
  <c r="G88" i="45"/>
  <c r="F88" i="45"/>
  <c r="E88" i="45"/>
  <c r="D88" i="45"/>
  <c r="C88" i="45"/>
  <c r="B88" i="45"/>
  <c r="A88" i="45"/>
  <c r="AD87" i="45"/>
  <c r="AC87" i="45"/>
  <c r="AB87" i="45"/>
  <c r="AA87" i="45"/>
  <c r="E87" i="45"/>
  <c r="D87" i="45"/>
  <c r="C87" i="45"/>
  <c r="B87" i="45"/>
  <c r="A87" i="45"/>
  <c r="AX86" i="45"/>
  <c r="AW86" i="45"/>
  <c r="AV86" i="45"/>
  <c r="AU86" i="45"/>
  <c r="X86" i="45"/>
  <c r="W86" i="45"/>
  <c r="W100" i="45" s="1"/>
  <c r="V86" i="45"/>
  <c r="Q86" i="45"/>
  <c r="Q100" i="45" s="1"/>
  <c r="A86" i="45"/>
  <c r="AX57" i="45"/>
  <c r="AW57" i="45"/>
  <c r="AV57" i="45"/>
  <c r="AU57" i="45"/>
  <c r="AL57" i="45"/>
  <c r="AK57" i="45"/>
  <c r="AJ57" i="45"/>
  <c r="AI57" i="45"/>
  <c r="AH57" i="45"/>
  <c r="AG57" i="45"/>
  <c r="AF57" i="45"/>
  <c r="AE57" i="45"/>
  <c r="AD57" i="45"/>
  <c r="AC57" i="45"/>
  <c r="AB57" i="45"/>
  <c r="AA57" i="45"/>
  <c r="Z57" i="45"/>
  <c r="Y57" i="45"/>
  <c r="X57" i="45"/>
  <c r="W57" i="45"/>
  <c r="V57" i="45"/>
  <c r="U57" i="45"/>
  <c r="T57" i="45"/>
  <c r="S57" i="45"/>
  <c r="R57" i="45"/>
  <c r="Q57" i="45"/>
  <c r="P57" i="45"/>
  <c r="O57" i="45"/>
  <c r="N57" i="45"/>
  <c r="M57" i="45"/>
  <c r="L57" i="45"/>
  <c r="K57" i="45"/>
  <c r="J57" i="45"/>
  <c r="I57" i="45"/>
  <c r="H57" i="45"/>
  <c r="G57" i="45"/>
  <c r="F57" i="45"/>
  <c r="E57" i="45"/>
  <c r="AX56" i="45"/>
  <c r="AW56" i="45"/>
  <c r="AV56" i="45"/>
  <c r="AU56" i="45"/>
  <c r="AT56" i="45"/>
  <c r="AS56" i="45"/>
  <c r="AR56" i="45"/>
  <c r="AQ56" i="45"/>
  <c r="AP56" i="45"/>
  <c r="AO56" i="45"/>
  <c r="AN56" i="45"/>
  <c r="AM56" i="45"/>
  <c r="AL56" i="45"/>
  <c r="AK56" i="45"/>
  <c r="AJ56" i="45"/>
  <c r="AI56" i="45"/>
  <c r="AH56" i="45"/>
  <c r="AG56" i="45"/>
  <c r="AF56" i="45"/>
  <c r="AE56" i="45"/>
  <c r="AD56" i="45"/>
  <c r="AC56" i="45"/>
  <c r="AB56" i="45"/>
  <c r="AA56" i="45"/>
  <c r="Z56" i="45"/>
  <c r="Y56" i="45"/>
  <c r="X56" i="45"/>
  <c r="W56" i="45"/>
  <c r="V56" i="45"/>
  <c r="U56" i="45"/>
  <c r="T56" i="45"/>
  <c r="S56" i="45"/>
  <c r="R56" i="45"/>
  <c r="Q56" i="45"/>
  <c r="P56" i="45"/>
  <c r="O56" i="45"/>
  <c r="N56" i="45"/>
  <c r="M56" i="45"/>
  <c r="L56" i="45"/>
  <c r="K56" i="45"/>
  <c r="J56" i="45"/>
  <c r="I56" i="45"/>
  <c r="H56" i="45"/>
  <c r="G56" i="45"/>
  <c r="F56" i="45"/>
  <c r="E56" i="45"/>
  <c r="Z55" i="45"/>
  <c r="Y55" i="45"/>
  <c r="X55" i="45"/>
  <c r="W55" i="45"/>
  <c r="V55" i="45"/>
  <c r="U55" i="45"/>
  <c r="T55" i="45"/>
  <c r="S55" i="45"/>
  <c r="R55" i="45"/>
  <c r="Q55" i="45"/>
  <c r="P55" i="45"/>
  <c r="O55" i="45"/>
  <c r="N55" i="45"/>
  <c r="M55" i="45"/>
  <c r="L55" i="45"/>
  <c r="K55" i="45"/>
  <c r="J55" i="45"/>
  <c r="I55" i="45"/>
  <c r="H55" i="45"/>
  <c r="G55" i="45"/>
  <c r="F55" i="45"/>
  <c r="E55" i="45"/>
  <c r="A55" i="45"/>
  <c r="A53" i="45"/>
  <c r="A52" i="45"/>
  <c r="A51" i="45"/>
  <c r="Z53" i="45"/>
  <c r="Y53" i="45"/>
  <c r="X53" i="45"/>
  <c r="W53" i="45"/>
  <c r="V53" i="45"/>
  <c r="U53" i="45"/>
  <c r="T53" i="45"/>
  <c r="S53" i="45"/>
  <c r="R53" i="45"/>
  <c r="Q53" i="45"/>
  <c r="P53" i="45"/>
  <c r="O53" i="45"/>
  <c r="N53" i="45"/>
  <c r="M53" i="45"/>
  <c r="L53" i="45"/>
  <c r="K53" i="45"/>
  <c r="J53" i="45"/>
  <c r="I53" i="45"/>
  <c r="H53" i="45"/>
  <c r="G53" i="45"/>
  <c r="F53" i="45"/>
  <c r="E53" i="45"/>
  <c r="Z52" i="45"/>
  <c r="Y52" i="45"/>
  <c r="X52" i="45"/>
  <c r="W52" i="45"/>
  <c r="V52" i="45"/>
  <c r="U52" i="45"/>
  <c r="T52" i="45"/>
  <c r="S52" i="45"/>
  <c r="R52" i="45"/>
  <c r="Q52" i="45"/>
  <c r="P52" i="45"/>
  <c r="O52" i="45"/>
  <c r="N52" i="45"/>
  <c r="M52" i="45"/>
  <c r="L52" i="45"/>
  <c r="K52" i="45"/>
  <c r="J52" i="45"/>
  <c r="I52" i="45"/>
  <c r="H52" i="45"/>
  <c r="G52" i="45"/>
  <c r="F52" i="45"/>
  <c r="E52" i="45"/>
  <c r="AX51" i="45"/>
  <c r="AW51" i="45"/>
  <c r="AV51" i="45"/>
  <c r="AU51" i="45"/>
  <c r="AT51" i="45"/>
  <c r="AS51" i="45"/>
  <c r="AR51" i="45"/>
  <c r="AQ51" i="45"/>
  <c r="AP51" i="45"/>
  <c r="AO51" i="45"/>
  <c r="AN51" i="45"/>
  <c r="AM51" i="45"/>
  <c r="AL51" i="45"/>
  <c r="AK51" i="45"/>
  <c r="AJ51" i="45"/>
  <c r="AI51" i="45"/>
  <c r="AH51" i="45"/>
  <c r="AG51" i="45"/>
  <c r="AF51" i="45"/>
  <c r="AE51" i="45"/>
  <c r="AD51" i="45"/>
  <c r="AC51" i="45"/>
  <c r="AB51" i="45"/>
  <c r="AA51" i="45"/>
  <c r="Z51" i="45"/>
  <c r="Y51" i="45"/>
  <c r="X51" i="45"/>
  <c r="W51" i="45"/>
  <c r="V51" i="45"/>
  <c r="U51" i="45"/>
  <c r="T51" i="45"/>
  <c r="S51" i="45"/>
  <c r="R51" i="45"/>
  <c r="Q51" i="45"/>
  <c r="P51" i="45"/>
  <c r="O51" i="45"/>
  <c r="N51" i="45"/>
  <c r="M51" i="45"/>
  <c r="L51" i="45"/>
  <c r="K51" i="45"/>
  <c r="J51" i="45"/>
  <c r="I51" i="45"/>
  <c r="H51" i="45"/>
  <c r="G51" i="45"/>
  <c r="F51" i="45"/>
  <c r="E51" i="45"/>
  <c r="A49" i="45"/>
  <c r="A47" i="45"/>
  <c r="A46" i="45"/>
  <c r="A45" i="45"/>
  <c r="A43" i="45"/>
  <c r="A41" i="45"/>
  <c r="A40" i="45"/>
  <c r="A39" i="45"/>
  <c r="AX42" i="45"/>
  <c r="AW42" i="45"/>
  <c r="AV42" i="45"/>
  <c r="AU42" i="45"/>
  <c r="AT42" i="45"/>
  <c r="AS42" i="45"/>
  <c r="AR42" i="45"/>
  <c r="AQ42" i="45"/>
  <c r="AP42" i="45"/>
  <c r="AO42" i="45"/>
  <c r="AN42" i="45"/>
  <c r="AM42" i="45"/>
  <c r="AL42" i="45"/>
  <c r="AK42" i="45"/>
  <c r="AJ42" i="45"/>
  <c r="AI42" i="45"/>
  <c r="AH42" i="45"/>
  <c r="AG42" i="45"/>
  <c r="AF42" i="45"/>
  <c r="AE42" i="45"/>
  <c r="AD42" i="45"/>
  <c r="AC42" i="45"/>
  <c r="AB42" i="45"/>
  <c r="AA42" i="45"/>
  <c r="Z42" i="45"/>
  <c r="Y42" i="45"/>
  <c r="X42" i="45"/>
  <c r="W42" i="45"/>
  <c r="V42" i="45"/>
  <c r="U42" i="45"/>
  <c r="T42" i="45"/>
  <c r="S42" i="45"/>
  <c r="R42" i="45"/>
  <c r="Q42" i="45"/>
  <c r="P42" i="45"/>
  <c r="O42" i="45"/>
  <c r="N42" i="45"/>
  <c r="M42" i="45"/>
  <c r="L42" i="45"/>
  <c r="K42" i="45"/>
  <c r="J42" i="45"/>
  <c r="I42" i="45"/>
  <c r="H42" i="45"/>
  <c r="G42" i="45"/>
  <c r="F42" i="45"/>
  <c r="E42" i="45"/>
  <c r="D42" i="45"/>
  <c r="A37" i="45"/>
  <c r="A36" i="45"/>
  <c r="A34" i="45"/>
  <c r="A33" i="45"/>
  <c r="A32" i="45"/>
  <c r="V30" i="45"/>
  <c r="U30" i="45"/>
  <c r="T30" i="45"/>
  <c r="S30" i="45"/>
  <c r="R30" i="45"/>
  <c r="Q30" i="45"/>
  <c r="P30" i="45"/>
  <c r="O30" i="45"/>
  <c r="N30" i="45"/>
  <c r="M30" i="45"/>
  <c r="L30" i="45"/>
  <c r="K30" i="45"/>
  <c r="J30" i="45"/>
  <c r="I30" i="45"/>
  <c r="H30" i="45"/>
  <c r="G30" i="45"/>
  <c r="F30" i="45"/>
  <c r="E30" i="45"/>
  <c r="D30" i="45"/>
  <c r="C30" i="45"/>
  <c r="B30" i="45"/>
  <c r="A30" i="45"/>
  <c r="Z29" i="45"/>
  <c r="V29" i="45"/>
  <c r="U29" i="45"/>
  <c r="T29" i="45"/>
  <c r="S29" i="45"/>
  <c r="R29" i="45"/>
  <c r="Q29" i="45"/>
  <c r="P29" i="45"/>
  <c r="O29" i="45"/>
  <c r="N29" i="45"/>
  <c r="M29" i="45"/>
  <c r="L29" i="45"/>
  <c r="K29" i="45"/>
  <c r="J29" i="45"/>
  <c r="I29" i="45"/>
  <c r="H29" i="45"/>
  <c r="G29" i="45"/>
  <c r="F29" i="45"/>
  <c r="E29" i="45"/>
  <c r="D29" i="45"/>
  <c r="C29" i="45"/>
  <c r="B29" i="45"/>
  <c r="A29" i="45"/>
  <c r="AR30" i="45"/>
  <c r="AU29" i="45"/>
  <c r="AX28" i="45"/>
  <c r="AW28" i="45"/>
  <c r="AV28" i="45"/>
  <c r="AU28" i="45"/>
  <c r="AT28" i="45"/>
  <c r="AS28" i="45"/>
  <c r="AR28" i="45"/>
  <c r="AQ28" i="45"/>
  <c r="AP28" i="45"/>
  <c r="AO28" i="45"/>
  <c r="AN28" i="45"/>
  <c r="AM28" i="45"/>
  <c r="AL28" i="45"/>
  <c r="AK28" i="45"/>
  <c r="AJ28" i="45"/>
  <c r="AI28" i="45"/>
  <c r="AH28" i="45"/>
  <c r="AG28" i="45"/>
  <c r="AF28" i="45"/>
  <c r="AD28" i="45"/>
  <c r="AC28" i="45"/>
  <c r="AB28" i="45"/>
  <c r="AA28" i="45"/>
  <c r="Z28" i="45"/>
  <c r="Y28" i="45"/>
  <c r="X28" i="45"/>
  <c r="W28" i="45"/>
  <c r="V28" i="45"/>
  <c r="U28" i="45"/>
  <c r="T28" i="45"/>
  <c r="S28" i="45"/>
  <c r="R28" i="45"/>
  <c r="Q28" i="45"/>
  <c r="P28" i="45"/>
  <c r="O28" i="45"/>
  <c r="N28" i="45"/>
  <c r="M28" i="45"/>
  <c r="L28" i="45"/>
  <c r="K28" i="45"/>
  <c r="J28" i="45"/>
  <c r="I28" i="45"/>
  <c r="H28" i="45"/>
  <c r="G28" i="45"/>
  <c r="F28" i="45"/>
  <c r="E28" i="45"/>
  <c r="D28" i="45"/>
  <c r="C28" i="45"/>
  <c r="B28" i="45"/>
  <c r="A28" i="45"/>
  <c r="AD25" i="45"/>
  <c r="AC25" i="45"/>
  <c r="AB25" i="45"/>
  <c r="AA25" i="45"/>
  <c r="Z25" i="45"/>
  <c r="Y25" i="45"/>
  <c r="X25" i="45"/>
  <c r="W25" i="45"/>
  <c r="V25" i="45"/>
  <c r="U25" i="45"/>
  <c r="T25" i="45"/>
  <c r="S25" i="45"/>
  <c r="R25" i="45"/>
  <c r="Q25" i="45"/>
  <c r="P25" i="45"/>
  <c r="O25" i="45"/>
  <c r="N25" i="45"/>
  <c r="M25" i="45"/>
  <c r="L25" i="45"/>
  <c r="K25" i="45"/>
  <c r="J25" i="45"/>
  <c r="I25" i="45"/>
  <c r="H25" i="45"/>
  <c r="G25" i="45"/>
  <c r="F25" i="45"/>
  <c r="E25" i="45"/>
  <c r="D25" i="45"/>
  <c r="C25" i="45"/>
  <c r="B25" i="45"/>
  <c r="A25" i="45"/>
  <c r="AX24" i="45"/>
  <c r="AW24" i="45"/>
  <c r="AV24" i="45"/>
  <c r="AU24" i="45"/>
  <c r="AT24" i="45"/>
  <c r="AS24" i="45"/>
  <c r="AR24" i="45"/>
  <c r="AQ24" i="45"/>
  <c r="AP24" i="45"/>
  <c r="AO24" i="45"/>
  <c r="AN24" i="45"/>
  <c r="AM24" i="45"/>
  <c r="AL24" i="45"/>
  <c r="AK24" i="45"/>
  <c r="AJ24" i="45"/>
  <c r="AI24" i="45"/>
  <c r="AH24" i="45"/>
  <c r="AG24" i="45"/>
  <c r="AF24" i="45"/>
  <c r="AE24" i="45"/>
  <c r="AD24" i="45"/>
  <c r="AC24" i="45"/>
  <c r="AB24" i="45"/>
  <c r="AA24" i="45"/>
  <c r="Z24" i="45"/>
  <c r="Y24" i="45"/>
  <c r="X24" i="45"/>
  <c r="W24" i="45"/>
  <c r="V24" i="45"/>
  <c r="U24" i="45"/>
  <c r="T24" i="45"/>
  <c r="S24" i="45"/>
  <c r="R24" i="45"/>
  <c r="Q24" i="45"/>
  <c r="P24" i="45"/>
  <c r="O24" i="45"/>
  <c r="N24" i="45"/>
  <c r="M24" i="45"/>
  <c r="L24" i="45"/>
  <c r="K24" i="45"/>
  <c r="J24" i="45"/>
  <c r="I24" i="45"/>
  <c r="H24" i="45"/>
  <c r="G24" i="45"/>
  <c r="F24" i="45"/>
  <c r="E24" i="45"/>
  <c r="D24" i="45"/>
  <c r="C24" i="45"/>
  <c r="B24" i="45"/>
  <c r="A24" i="45"/>
  <c r="AE23" i="45"/>
  <c r="AD23" i="45"/>
  <c r="AC23" i="45"/>
  <c r="AB23" i="45"/>
  <c r="AA23" i="45"/>
  <c r="Z23" i="45"/>
  <c r="Y23" i="45"/>
  <c r="X23" i="45"/>
  <c r="W23" i="45"/>
  <c r="V23" i="45"/>
  <c r="U23" i="45"/>
  <c r="T23" i="45"/>
  <c r="S23" i="45"/>
  <c r="R23" i="45"/>
  <c r="Q23" i="45"/>
  <c r="P23" i="45"/>
  <c r="O23" i="45"/>
  <c r="N23" i="45"/>
  <c r="M23" i="45"/>
  <c r="L23" i="45"/>
  <c r="K23" i="45"/>
  <c r="J23" i="45"/>
  <c r="I23" i="45"/>
  <c r="H23" i="45"/>
  <c r="G23" i="45"/>
  <c r="F23" i="45"/>
  <c r="E23" i="45"/>
  <c r="D23" i="45"/>
  <c r="C23" i="45"/>
  <c r="B23" i="45"/>
  <c r="A23" i="45"/>
  <c r="AE22" i="45"/>
  <c r="AD22" i="45"/>
  <c r="AC22" i="45"/>
  <c r="AB22" i="45"/>
  <c r="AA22" i="45"/>
  <c r="Z22" i="45"/>
  <c r="Y22" i="45"/>
  <c r="X22" i="45"/>
  <c r="W22" i="45"/>
  <c r="V22" i="45"/>
  <c r="U22" i="45"/>
  <c r="T22" i="45"/>
  <c r="S22" i="45"/>
  <c r="R22" i="45"/>
  <c r="Q22" i="45"/>
  <c r="P22" i="45"/>
  <c r="O22" i="45"/>
  <c r="N22" i="45"/>
  <c r="M22" i="45"/>
  <c r="L22" i="45"/>
  <c r="K22" i="45"/>
  <c r="J22" i="45"/>
  <c r="I22" i="45"/>
  <c r="H22" i="45"/>
  <c r="G22" i="45"/>
  <c r="F22" i="45"/>
  <c r="E22" i="45"/>
  <c r="D22" i="45"/>
  <c r="C22" i="45"/>
  <c r="B22" i="45"/>
  <c r="A22" i="45"/>
  <c r="AX21" i="45"/>
  <c r="AW21" i="45"/>
  <c r="AV21" i="45"/>
  <c r="AU21" i="45"/>
  <c r="AT21" i="45"/>
  <c r="AS21" i="45"/>
  <c r="AR21" i="45"/>
  <c r="AQ21" i="45"/>
  <c r="AP21" i="45"/>
  <c r="AO21" i="45"/>
  <c r="AN21" i="45"/>
  <c r="AM21" i="45"/>
  <c r="AL21" i="45"/>
  <c r="AK21" i="45"/>
  <c r="AJ21" i="45"/>
  <c r="AI21" i="45"/>
  <c r="AH21" i="45"/>
  <c r="AG21" i="45"/>
  <c r="AF21" i="45"/>
  <c r="AE21" i="45"/>
  <c r="AD21" i="45"/>
  <c r="AC21" i="45"/>
  <c r="AB21" i="45"/>
  <c r="AA21" i="45"/>
  <c r="Z21" i="45"/>
  <c r="Y21" i="45"/>
  <c r="X21" i="45"/>
  <c r="W21" i="45"/>
  <c r="V21" i="45"/>
  <c r="U21" i="45"/>
  <c r="T21" i="45"/>
  <c r="S21" i="45"/>
  <c r="R21" i="45"/>
  <c r="Q21" i="45"/>
  <c r="P21" i="45"/>
  <c r="O21" i="45"/>
  <c r="N21" i="45"/>
  <c r="M21" i="45"/>
  <c r="L21" i="45"/>
  <c r="K21" i="45"/>
  <c r="J21" i="45"/>
  <c r="I21" i="45"/>
  <c r="H21" i="45"/>
  <c r="G21" i="45"/>
  <c r="F21" i="45"/>
  <c r="E21" i="45"/>
  <c r="D21" i="45"/>
  <c r="C21" i="45"/>
  <c r="B21" i="45"/>
  <c r="A21" i="45"/>
  <c r="AG20" i="45"/>
  <c r="AE20" i="45"/>
  <c r="AD20" i="45"/>
  <c r="AC20" i="45"/>
  <c r="AB20" i="45"/>
  <c r="AA20" i="45"/>
  <c r="Z20" i="45"/>
  <c r="Y20" i="45"/>
  <c r="X20" i="45"/>
  <c r="W20" i="45"/>
  <c r="V20" i="45"/>
  <c r="U20" i="45"/>
  <c r="T20" i="45"/>
  <c r="S20" i="45"/>
  <c r="R20" i="45"/>
  <c r="Q20" i="45"/>
  <c r="P20" i="45"/>
  <c r="O20" i="45"/>
  <c r="N20" i="45"/>
  <c r="M20" i="45"/>
  <c r="L20" i="45"/>
  <c r="K20" i="45"/>
  <c r="J20" i="45"/>
  <c r="I20" i="45"/>
  <c r="H20" i="45"/>
  <c r="G20" i="45"/>
  <c r="F20" i="45"/>
  <c r="E20" i="45"/>
  <c r="D20" i="45"/>
  <c r="C20" i="45"/>
  <c r="B20" i="45"/>
  <c r="A20" i="45"/>
  <c r="A19" i="45"/>
  <c r="C16" i="45"/>
  <c r="B16" i="45"/>
  <c r="A16" i="45"/>
  <c r="AX15" i="45"/>
  <c r="AW15" i="45"/>
  <c r="AV15" i="45"/>
  <c r="AU15" i="45"/>
  <c r="AT15" i="45"/>
  <c r="AS15" i="45"/>
  <c r="AR15" i="45"/>
  <c r="AQ15" i="45"/>
  <c r="AP15" i="45"/>
  <c r="AO15" i="45"/>
  <c r="AN15" i="45"/>
  <c r="AM15" i="45"/>
  <c r="AL15" i="45"/>
  <c r="AK15" i="45"/>
  <c r="AJ15" i="45"/>
  <c r="AI15" i="45"/>
  <c r="AH15" i="45"/>
  <c r="AG15" i="45"/>
  <c r="AF15" i="45"/>
  <c r="AE15" i="45"/>
  <c r="AD15" i="45"/>
  <c r="AC15" i="45"/>
  <c r="AB15" i="45"/>
  <c r="AA15" i="45"/>
  <c r="Z15" i="45"/>
  <c r="Y15" i="45"/>
  <c r="X15" i="45"/>
  <c r="W15" i="45"/>
  <c r="V15" i="45"/>
  <c r="U15" i="45"/>
  <c r="T15" i="45"/>
  <c r="S15" i="45"/>
  <c r="R15" i="45"/>
  <c r="Q15" i="45"/>
  <c r="P15" i="45"/>
  <c r="O15" i="45"/>
  <c r="N15" i="45"/>
  <c r="M15" i="45"/>
  <c r="L15" i="45"/>
  <c r="K15" i="45"/>
  <c r="J15" i="45"/>
  <c r="I15" i="45"/>
  <c r="H15" i="45"/>
  <c r="G15" i="45"/>
  <c r="F15" i="45"/>
  <c r="E15" i="45"/>
  <c r="D15" i="45"/>
  <c r="C15" i="45"/>
  <c r="B15" i="45"/>
  <c r="A15" i="45"/>
  <c r="A14" i="45"/>
  <c r="A13" i="45"/>
  <c r="A12" i="45"/>
  <c r="A11" i="45"/>
  <c r="B13" i="45"/>
  <c r="B12" i="45"/>
  <c r="AX13" i="45"/>
  <c r="AW13" i="45"/>
  <c r="AV13" i="45"/>
  <c r="AU13" i="45"/>
  <c r="AT13" i="45"/>
  <c r="AS13" i="45"/>
  <c r="AR13" i="45"/>
  <c r="AQ13" i="45"/>
  <c r="AP13" i="45"/>
  <c r="AO13" i="45"/>
  <c r="AN13" i="45"/>
  <c r="AM13" i="45"/>
  <c r="AL13" i="45"/>
  <c r="AK13" i="45"/>
  <c r="AJ13" i="45"/>
  <c r="AI13" i="45"/>
  <c r="AH13" i="45"/>
  <c r="AG13" i="45"/>
  <c r="AF13" i="45"/>
  <c r="AE13" i="45"/>
  <c r="AD13" i="45"/>
  <c r="AC13" i="45"/>
  <c r="AB13" i="45"/>
  <c r="AA13" i="45"/>
  <c r="Z13" i="45"/>
  <c r="Y13" i="45"/>
  <c r="X13" i="45"/>
  <c r="W13" i="45"/>
  <c r="V13" i="45"/>
  <c r="U13" i="45"/>
  <c r="T13" i="45"/>
  <c r="S13" i="45"/>
  <c r="R13" i="45"/>
  <c r="Q13" i="45"/>
  <c r="P13" i="45"/>
  <c r="O13" i="45"/>
  <c r="N13" i="45"/>
  <c r="M13" i="45"/>
  <c r="L13" i="45"/>
  <c r="K13" i="45"/>
  <c r="J13" i="45"/>
  <c r="I13" i="45"/>
  <c r="H13" i="45"/>
  <c r="G13" i="45"/>
  <c r="F13" i="45"/>
  <c r="E13" i="45"/>
  <c r="D13" i="45"/>
  <c r="C13" i="45"/>
  <c r="AX12" i="45"/>
  <c r="AW12" i="45"/>
  <c r="AV12" i="45"/>
  <c r="AU12" i="45"/>
  <c r="AU34" i="45" s="1"/>
  <c r="AT12" i="45"/>
  <c r="AS12" i="45"/>
  <c r="AS14" i="45" s="1"/>
  <c r="AR12" i="45"/>
  <c r="AR14" i="45" s="1"/>
  <c r="AQ12" i="45"/>
  <c r="AQ34" i="45" s="1"/>
  <c r="AP12" i="45"/>
  <c r="AO12" i="45"/>
  <c r="AN12" i="45"/>
  <c r="AM12" i="45"/>
  <c r="AM34" i="45" s="1"/>
  <c r="AL12" i="45"/>
  <c r="AK12" i="45"/>
  <c r="AK14" i="45" s="1"/>
  <c r="AJ12" i="45"/>
  <c r="AJ14" i="45" s="1"/>
  <c r="AI12" i="45"/>
  <c r="AI34" i="45" s="1"/>
  <c r="AH12" i="45"/>
  <c r="AG12" i="45"/>
  <c r="AF12" i="45"/>
  <c r="AE12" i="45"/>
  <c r="AE34" i="45" s="1"/>
  <c r="AD12" i="45"/>
  <c r="AC12" i="45"/>
  <c r="AC14" i="45" s="1"/>
  <c r="AB12" i="45"/>
  <c r="AB14" i="45" s="1"/>
  <c r="AA12" i="45"/>
  <c r="AA34" i="45" s="1"/>
  <c r="Z12" i="45"/>
  <c r="Y12" i="45"/>
  <c r="X12" i="45"/>
  <c r="W12" i="45"/>
  <c r="W34" i="45" s="1"/>
  <c r="V12" i="45"/>
  <c r="U12" i="45"/>
  <c r="U14" i="45" s="1"/>
  <c r="T12" i="45"/>
  <c r="T14" i="45" s="1"/>
  <c r="S12" i="45"/>
  <c r="S34" i="45" s="1"/>
  <c r="R12" i="45"/>
  <c r="Q12" i="45"/>
  <c r="P12" i="45"/>
  <c r="O12" i="45"/>
  <c r="O34" i="45" s="1"/>
  <c r="N12" i="45"/>
  <c r="M12" i="45"/>
  <c r="M14" i="45" s="1"/>
  <c r="L12" i="45"/>
  <c r="L14" i="45" s="1"/>
  <c r="K12" i="45"/>
  <c r="K34" i="45" s="1"/>
  <c r="J12" i="45"/>
  <c r="I12" i="45"/>
  <c r="H12" i="45"/>
  <c r="G12" i="45"/>
  <c r="G34" i="45" s="1"/>
  <c r="F12" i="45"/>
  <c r="E12" i="45"/>
  <c r="E34" i="45" s="1"/>
  <c r="D12" i="45"/>
  <c r="D14" i="45" s="1"/>
  <c r="C12" i="45"/>
  <c r="C34" i="45" s="1"/>
  <c r="D8" i="45"/>
  <c r="D6" i="45"/>
  <c r="D5" i="45"/>
  <c r="D33" i="45" s="1"/>
  <c r="A8" i="45"/>
  <c r="A7" i="45"/>
  <c r="A6" i="45"/>
  <c r="A5" i="45"/>
  <c r="C6" i="45"/>
  <c r="C5" i="45"/>
  <c r="AX8" i="45"/>
  <c r="AW8" i="45"/>
  <c r="AV8" i="45"/>
  <c r="AU8" i="45"/>
  <c r="AT8" i="45"/>
  <c r="AS8" i="45"/>
  <c r="AR8" i="45"/>
  <c r="AQ8" i="45"/>
  <c r="AP8" i="45"/>
  <c r="AO8" i="45"/>
  <c r="AN8" i="45"/>
  <c r="AM8" i="45"/>
  <c r="AL8" i="45"/>
  <c r="AK8" i="45"/>
  <c r="AJ8" i="45"/>
  <c r="AI8" i="45"/>
  <c r="AH8" i="45"/>
  <c r="AG8" i="45"/>
  <c r="AF8" i="45"/>
  <c r="AE8" i="45"/>
  <c r="AD8" i="45"/>
  <c r="AC8" i="45"/>
  <c r="AB8" i="45"/>
  <c r="AA8" i="45"/>
  <c r="Z8" i="45"/>
  <c r="Y8" i="45"/>
  <c r="X8" i="45"/>
  <c r="W8" i="45"/>
  <c r="V8" i="45"/>
  <c r="U8" i="45"/>
  <c r="T8" i="45"/>
  <c r="S8" i="45"/>
  <c r="R8" i="45"/>
  <c r="Q8" i="45"/>
  <c r="P8" i="45"/>
  <c r="O8" i="45"/>
  <c r="N8" i="45"/>
  <c r="M8" i="45"/>
  <c r="L8" i="45"/>
  <c r="K8" i="45"/>
  <c r="J8" i="45"/>
  <c r="I8" i="45"/>
  <c r="H8" i="45"/>
  <c r="G8" i="45"/>
  <c r="F8" i="45"/>
  <c r="E8" i="45"/>
  <c r="AQ7" i="45"/>
  <c r="AI7" i="45"/>
  <c r="AA7" i="45"/>
  <c r="S7" i="45"/>
  <c r="K7" i="45"/>
  <c r="AX6" i="45"/>
  <c r="AW6" i="45"/>
  <c r="AV6" i="45"/>
  <c r="AU6" i="45"/>
  <c r="AT6" i="45"/>
  <c r="AS6" i="45"/>
  <c r="AR6" i="45"/>
  <c r="AQ6" i="45"/>
  <c r="AP6" i="45"/>
  <c r="AO6" i="45"/>
  <c r="AN6" i="45"/>
  <c r="AM6" i="45"/>
  <c r="AL6" i="45"/>
  <c r="AK6" i="45"/>
  <c r="AJ6" i="45"/>
  <c r="AI6" i="45"/>
  <c r="AH6" i="45"/>
  <c r="AG6" i="45"/>
  <c r="AF6" i="45"/>
  <c r="AE6" i="45"/>
  <c r="AD6" i="45"/>
  <c r="AC6" i="45"/>
  <c r="AB6" i="45"/>
  <c r="AA6" i="45"/>
  <c r="Z6" i="45"/>
  <c r="Y6" i="45"/>
  <c r="X6" i="45"/>
  <c r="W6" i="45"/>
  <c r="V6" i="45"/>
  <c r="U6" i="45"/>
  <c r="T6" i="45"/>
  <c r="S6" i="45"/>
  <c r="R6" i="45"/>
  <c r="Q6" i="45"/>
  <c r="P6" i="45"/>
  <c r="O6" i="45"/>
  <c r="N6" i="45"/>
  <c r="M6" i="45"/>
  <c r="L6" i="45"/>
  <c r="K6" i="45"/>
  <c r="J6" i="45"/>
  <c r="I6" i="45"/>
  <c r="H6" i="45"/>
  <c r="G6" i="45"/>
  <c r="F6" i="45"/>
  <c r="E6" i="45"/>
  <c r="AX5" i="45"/>
  <c r="AX33" i="45" s="1"/>
  <c r="AW5" i="45"/>
  <c r="AV5" i="45"/>
  <c r="AV33" i="45" s="1"/>
  <c r="AU5" i="45"/>
  <c r="AU33" i="45" s="1"/>
  <c r="AT5" i="45"/>
  <c r="AT33" i="45" s="1"/>
  <c r="AS5" i="45"/>
  <c r="AR5" i="45"/>
  <c r="AR33" i="45" s="1"/>
  <c r="AQ5" i="45"/>
  <c r="AQ33" i="45" s="1"/>
  <c r="AP5" i="45"/>
  <c r="AP33" i="45" s="1"/>
  <c r="AO5" i="45"/>
  <c r="AN5" i="45"/>
  <c r="AN33" i="45" s="1"/>
  <c r="AM5" i="45"/>
  <c r="AM33" i="45" s="1"/>
  <c r="AL5" i="45"/>
  <c r="AL33" i="45" s="1"/>
  <c r="AK5" i="45"/>
  <c r="AJ5" i="45"/>
  <c r="AJ33" i="45" s="1"/>
  <c r="AI5" i="45"/>
  <c r="AI33" i="45" s="1"/>
  <c r="AH5" i="45"/>
  <c r="AH33" i="45" s="1"/>
  <c r="AG5" i="45"/>
  <c r="AF5" i="45"/>
  <c r="AF33" i="45" s="1"/>
  <c r="AE5" i="45"/>
  <c r="AE33" i="45" s="1"/>
  <c r="AD5" i="45"/>
  <c r="AD33" i="45" s="1"/>
  <c r="AC5" i="45"/>
  <c r="AB5" i="45"/>
  <c r="AB33" i="45" s="1"/>
  <c r="AA5" i="45"/>
  <c r="AA33" i="45" s="1"/>
  <c r="Z5" i="45"/>
  <c r="Z33" i="45" s="1"/>
  <c r="Y5" i="45"/>
  <c r="X5" i="45"/>
  <c r="X33" i="45" s="1"/>
  <c r="W5" i="45"/>
  <c r="W33" i="45" s="1"/>
  <c r="V5" i="45"/>
  <c r="U5" i="45"/>
  <c r="T5" i="45"/>
  <c r="T33" i="45" s="1"/>
  <c r="S5" i="45"/>
  <c r="S33" i="45" s="1"/>
  <c r="R5" i="45"/>
  <c r="Q5" i="45"/>
  <c r="P5" i="45"/>
  <c r="P33" i="45" s="1"/>
  <c r="O5" i="45"/>
  <c r="O33" i="45" s="1"/>
  <c r="N5" i="45"/>
  <c r="M5" i="45"/>
  <c r="L5" i="45"/>
  <c r="L33" i="45" s="1"/>
  <c r="K5" i="45"/>
  <c r="K33" i="45" s="1"/>
  <c r="J5" i="45"/>
  <c r="I5" i="45"/>
  <c r="I33" i="45" s="1"/>
  <c r="H5" i="45"/>
  <c r="H33" i="45" s="1"/>
  <c r="G5" i="45"/>
  <c r="G33" i="45" s="1"/>
  <c r="F5" i="45"/>
  <c r="E5" i="45"/>
  <c r="E33" i="45" s="1"/>
  <c r="AT2" i="45"/>
  <c r="AS2" i="45"/>
  <c r="AR2" i="45"/>
  <c r="AQ2" i="45"/>
  <c r="AP2" i="45"/>
  <c r="AO2" i="45"/>
  <c r="AN2" i="45"/>
  <c r="AM2" i="45"/>
  <c r="AL2" i="45"/>
  <c r="AK2" i="45"/>
  <c r="AJ2" i="45"/>
  <c r="AI2" i="45"/>
  <c r="AH2" i="45"/>
  <c r="AG2" i="45"/>
  <c r="AF2" i="45"/>
  <c r="AE2" i="45"/>
  <c r="AD2" i="45"/>
  <c r="AC2" i="45"/>
  <c r="AB2" i="45"/>
  <c r="AA2" i="45"/>
  <c r="Z2" i="45"/>
  <c r="Y2" i="45"/>
  <c r="X2" i="45"/>
  <c r="W2" i="45"/>
  <c r="V2" i="45"/>
  <c r="U2" i="45"/>
  <c r="T2" i="45"/>
  <c r="S2" i="45"/>
  <c r="R2" i="45"/>
  <c r="Q2" i="45"/>
  <c r="P2" i="45"/>
  <c r="O2" i="45"/>
  <c r="N2" i="45"/>
  <c r="M2" i="45"/>
  <c r="L2" i="45"/>
  <c r="K2" i="45"/>
  <c r="J2" i="45"/>
  <c r="I2" i="45"/>
  <c r="H2" i="45"/>
  <c r="G2" i="45"/>
  <c r="F2" i="45"/>
  <c r="E2" i="45"/>
  <c r="D2" i="45"/>
  <c r="C2" i="45"/>
  <c r="B2" i="45"/>
  <c r="M102" i="50"/>
  <c r="L102" i="50"/>
  <c r="K102" i="50"/>
  <c r="J102" i="50"/>
  <c r="I102" i="50"/>
  <c r="H102" i="50"/>
  <c r="G102" i="50"/>
  <c r="F102" i="50"/>
  <c r="AF80" i="50"/>
  <c r="AF81" i="50" s="1"/>
  <c r="AY78" i="50"/>
  <c r="AX78" i="50"/>
  <c r="AW78" i="50"/>
  <c r="AV78" i="50"/>
  <c r="AU78" i="50"/>
  <c r="AT78" i="50"/>
  <c r="AS78" i="50"/>
  <c r="AR78" i="50"/>
  <c r="AQ78" i="50"/>
  <c r="AP78" i="50"/>
  <c r="AO78" i="50"/>
  <c r="AN78" i="50"/>
  <c r="AM78" i="50"/>
  <c r="AL78" i="50"/>
  <c r="AK78" i="50"/>
  <c r="AJ78" i="50"/>
  <c r="P78" i="50"/>
  <c r="Q78" i="50" s="1"/>
  <c r="R78" i="50" s="1"/>
  <c r="M78" i="50"/>
  <c r="N78" i="50" s="1"/>
  <c r="O78" i="50" s="1"/>
  <c r="L78" i="50"/>
  <c r="K78" i="50"/>
  <c r="J78" i="50"/>
  <c r="I78" i="50"/>
  <c r="H78" i="50"/>
  <c r="G78" i="50"/>
  <c r="AU73" i="50"/>
  <c r="AU72" i="50" s="1"/>
  <c r="L73" i="50"/>
  <c r="L72" i="50" s="1"/>
  <c r="M71" i="50"/>
  <c r="L71" i="50"/>
  <c r="O70" i="50"/>
  <c r="P70" i="50" s="1"/>
  <c r="Q70" i="50" s="1"/>
  <c r="R70" i="50" s="1"/>
  <c r="L70" i="50"/>
  <c r="M70" i="50" s="1"/>
  <c r="N70" i="50" s="1"/>
  <c r="AU68" i="50"/>
  <c r="AU66" i="50"/>
  <c r="AS67" i="50"/>
  <c r="AT66" i="50"/>
  <c r="AT67" i="50" s="1"/>
  <c r="AS66" i="50"/>
  <c r="L66" i="50"/>
  <c r="L65" i="50"/>
  <c r="M65" i="50" s="1"/>
  <c r="N65" i="50" s="1"/>
  <c r="O65" i="50" s="1"/>
  <c r="P65" i="50" s="1"/>
  <c r="Q65" i="50" s="1"/>
  <c r="R65" i="50" s="1"/>
  <c r="AU63" i="50"/>
  <c r="AV63" i="50" s="1"/>
  <c r="AT63" i="50"/>
  <c r="AS63" i="50"/>
  <c r="AR63" i="50"/>
  <c r="AQ63" i="50"/>
  <c r="AP63" i="50"/>
  <c r="AO63" i="50"/>
  <c r="AN63" i="50"/>
  <c r="AM63" i="50"/>
  <c r="AM62" i="50"/>
  <c r="AV61" i="50"/>
  <c r="AT61" i="50"/>
  <c r="AS61" i="50"/>
  <c r="AS62" i="50" s="1"/>
  <c r="AR61" i="50"/>
  <c r="AR62" i="50" s="1"/>
  <c r="AP61" i="50"/>
  <c r="AO61" i="50"/>
  <c r="AO62" i="50" s="1"/>
  <c r="AN61" i="50"/>
  <c r="AN62" i="50" s="1"/>
  <c r="AM61" i="50"/>
  <c r="AJ62" i="50"/>
  <c r="AF62" i="50"/>
  <c r="AB62" i="50"/>
  <c r="X62" i="50"/>
  <c r="AL61" i="50"/>
  <c r="AL62" i="50" s="1"/>
  <c r="AK61" i="50"/>
  <c r="AK62" i="50" s="1"/>
  <c r="AJ61" i="50"/>
  <c r="AI61" i="50"/>
  <c r="AI62" i="50" s="1"/>
  <c r="AH61" i="50"/>
  <c r="AH62" i="50" s="1"/>
  <c r="AG61" i="50"/>
  <c r="AG62" i="50" s="1"/>
  <c r="AF61" i="50"/>
  <c r="AE61" i="50"/>
  <c r="AE62" i="50" s="1"/>
  <c r="AD61" i="50"/>
  <c r="AD62" i="50" s="1"/>
  <c r="AC61" i="50"/>
  <c r="AC62" i="50" s="1"/>
  <c r="AB61" i="50"/>
  <c r="AA61" i="50"/>
  <c r="AA62" i="50" s="1"/>
  <c r="Z61" i="50"/>
  <c r="Z62" i="50" s="1"/>
  <c r="Y61" i="50"/>
  <c r="Y62" i="50" s="1"/>
  <c r="X61" i="50"/>
  <c r="W61" i="50"/>
  <c r="W62" i="50" s="1"/>
  <c r="V61" i="50"/>
  <c r="V62" i="50" s="1"/>
  <c r="L63" i="50"/>
  <c r="K63" i="50"/>
  <c r="J63" i="50"/>
  <c r="I63" i="50"/>
  <c r="H63" i="50"/>
  <c r="G63" i="50"/>
  <c r="F63" i="50"/>
  <c r="L62" i="50"/>
  <c r="K62" i="50"/>
  <c r="I62" i="50"/>
  <c r="H62" i="50"/>
  <c r="M61" i="50"/>
  <c r="L61" i="50"/>
  <c r="J61" i="50"/>
  <c r="I61" i="50"/>
  <c r="H61" i="50"/>
  <c r="F61" i="50"/>
  <c r="AP58" i="50"/>
  <c r="AP57" i="50" s="1"/>
  <c r="AP56" i="50"/>
  <c r="F58" i="50"/>
  <c r="F57" i="50"/>
  <c r="F56" i="50"/>
  <c r="AV58" i="50"/>
  <c r="AV56" i="50"/>
  <c r="AT57" i="50"/>
  <c r="AR57" i="50"/>
  <c r="AU56" i="50"/>
  <c r="AU57" i="50" s="1"/>
  <c r="AT56" i="50"/>
  <c r="AS56" i="50"/>
  <c r="AS57" i="50" s="1"/>
  <c r="AR56" i="50"/>
  <c r="AN57" i="50"/>
  <c r="AL57" i="50"/>
  <c r="AJ57" i="50"/>
  <c r="AH57" i="50"/>
  <c r="AF57" i="50"/>
  <c r="AD57" i="50"/>
  <c r="AB57" i="50"/>
  <c r="Z57" i="50"/>
  <c r="X57" i="50"/>
  <c r="AO56" i="50"/>
  <c r="AO57" i="50" s="1"/>
  <c r="AN56" i="50"/>
  <c r="AM56" i="50"/>
  <c r="AM57" i="50" s="1"/>
  <c r="AL56" i="50"/>
  <c r="AK56" i="50"/>
  <c r="AK57" i="50" s="1"/>
  <c r="AJ56" i="50"/>
  <c r="AI56" i="50"/>
  <c r="AI57" i="50" s="1"/>
  <c r="AH56" i="50"/>
  <c r="AG56" i="50"/>
  <c r="AG57" i="50" s="1"/>
  <c r="AF56" i="50"/>
  <c r="AE56" i="50"/>
  <c r="AE57" i="50" s="1"/>
  <c r="AD56" i="50"/>
  <c r="AC56" i="50"/>
  <c r="AC57" i="50" s="1"/>
  <c r="AB56" i="50"/>
  <c r="AA56" i="50"/>
  <c r="AA57" i="50" s="1"/>
  <c r="Z56" i="50"/>
  <c r="Y56" i="50"/>
  <c r="Y57" i="50" s="1"/>
  <c r="X56" i="50"/>
  <c r="W56" i="50"/>
  <c r="W57" i="50" s="1"/>
  <c r="K60" i="50"/>
  <c r="L60" i="50" s="1"/>
  <c r="M60" i="50" s="1"/>
  <c r="N60" i="50" s="1"/>
  <c r="O60" i="50" s="1"/>
  <c r="P60" i="50" s="1"/>
  <c r="Q60" i="50" s="1"/>
  <c r="R60" i="50" s="1"/>
  <c r="J60" i="50"/>
  <c r="I60" i="50"/>
  <c r="H60" i="50"/>
  <c r="G60" i="50"/>
  <c r="K59" i="50"/>
  <c r="L59" i="50" s="1"/>
  <c r="M59" i="50" s="1"/>
  <c r="N59" i="50" s="1"/>
  <c r="O59" i="50" s="1"/>
  <c r="P59" i="50" s="1"/>
  <c r="Q59" i="50" s="1"/>
  <c r="R59" i="50" s="1"/>
  <c r="J59" i="50"/>
  <c r="I59" i="50"/>
  <c r="H59" i="50"/>
  <c r="G59" i="50"/>
  <c r="L58" i="50"/>
  <c r="K58" i="50"/>
  <c r="L57" i="50" s="1"/>
  <c r="J58" i="50"/>
  <c r="I58" i="50"/>
  <c r="H58" i="50"/>
  <c r="G58" i="50"/>
  <c r="H57" i="50" s="1"/>
  <c r="K57" i="50"/>
  <c r="I57" i="50"/>
  <c r="G57" i="50"/>
  <c r="M56" i="50"/>
  <c r="K56" i="50"/>
  <c r="I56" i="50"/>
  <c r="G56" i="50"/>
  <c r="R52" i="50"/>
  <c r="Q52" i="50"/>
  <c r="P52" i="50"/>
  <c r="O52" i="50"/>
  <c r="O51" i="50" s="1"/>
  <c r="N52" i="50"/>
  <c r="M52" i="50"/>
  <c r="L52" i="50"/>
  <c r="K52" i="50"/>
  <c r="K51" i="50" s="1"/>
  <c r="J52" i="50"/>
  <c r="I52" i="50"/>
  <c r="H52" i="50"/>
  <c r="G52" i="50"/>
  <c r="G51" i="50" s="1"/>
  <c r="F52" i="50"/>
  <c r="AA51" i="50"/>
  <c r="Y51" i="50"/>
  <c r="W51" i="50"/>
  <c r="U51" i="50"/>
  <c r="AY50" i="50"/>
  <c r="AX50" i="50"/>
  <c r="AW50" i="50"/>
  <c r="AV50" i="50"/>
  <c r="AU50" i="50"/>
  <c r="AT50" i="50"/>
  <c r="AS50" i="50"/>
  <c r="AR50" i="50"/>
  <c r="AQ50" i="50"/>
  <c r="AP50" i="50"/>
  <c r="AO50" i="50"/>
  <c r="AN50" i="50"/>
  <c r="AM50" i="50"/>
  <c r="AL50" i="50"/>
  <c r="AK50" i="50"/>
  <c r="AJ50" i="50"/>
  <c r="AI50" i="50"/>
  <c r="AH50" i="50"/>
  <c r="AG50" i="50"/>
  <c r="AF50" i="50"/>
  <c r="AE50" i="50"/>
  <c r="AD50" i="50"/>
  <c r="AC50" i="50"/>
  <c r="AB50" i="50"/>
  <c r="AA50" i="50"/>
  <c r="Z50" i="50"/>
  <c r="Z51" i="50" s="1"/>
  <c r="Y50" i="50"/>
  <c r="X50" i="50"/>
  <c r="X51" i="50" s="1"/>
  <c r="W50" i="50"/>
  <c r="V50" i="50"/>
  <c r="V51" i="50" s="1"/>
  <c r="U50" i="50"/>
  <c r="P51" i="50"/>
  <c r="L51" i="50"/>
  <c r="H51" i="50"/>
  <c r="Q50" i="50"/>
  <c r="P50" i="50"/>
  <c r="O50" i="50"/>
  <c r="M50" i="50"/>
  <c r="L50" i="50"/>
  <c r="K50" i="50"/>
  <c r="I50" i="50"/>
  <c r="H50" i="50"/>
  <c r="G50" i="50"/>
  <c r="AU46" i="50"/>
  <c r="AQ46" i="50"/>
  <c r="AK46" i="50"/>
  <c r="AJ46" i="50"/>
  <c r="AI46" i="50"/>
  <c r="AH46" i="50"/>
  <c r="AG46" i="50"/>
  <c r="AF46" i="50"/>
  <c r="AE46" i="50"/>
  <c r="AD46" i="50"/>
  <c r="AC46" i="50"/>
  <c r="AB46" i="50"/>
  <c r="AA46" i="50"/>
  <c r="Z46" i="50"/>
  <c r="Y46" i="50"/>
  <c r="X46" i="50"/>
  <c r="W46" i="50"/>
  <c r="V46" i="50"/>
  <c r="U46" i="50"/>
  <c r="E46" i="50"/>
  <c r="Z43" i="50"/>
  <c r="X43" i="50"/>
  <c r="AX43" i="50"/>
  <c r="AV43" i="50"/>
  <c r="AT43" i="50"/>
  <c r="AR43" i="50"/>
  <c r="AP43" i="50"/>
  <c r="AN43" i="50"/>
  <c r="AL43" i="50"/>
  <c r="AJ43" i="50"/>
  <c r="AH43" i="50"/>
  <c r="AF43" i="50"/>
  <c r="AD43" i="50"/>
  <c r="AY42" i="50"/>
  <c r="AY43" i="50" s="1"/>
  <c r="AX42" i="50"/>
  <c r="AW42" i="50"/>
  <c r="AW43" i="50" s="1"/>
  <c r="AV42" i="50"/>
  <c r="AU42" i="50"/>
  <c r="AU43" i="50" s="1"/>
  <c r="AT42" i="50"/>
  <c r="AS42" i="50"/>
  <c r="AS43" i="50" s="1"/>
  <c r="AR42" i="50"/>
  <c r="AQ42" i="50"/>
  <c r="AQ43" i="50" s="1"/>
  <c r="AP42" i="50"/>
  <c r="AO42" i="50"/>
  <c r="AO43" i="50" s="1"/>
  <c r="AN42" i="50"/>
  <c r="AM42" i="50"/>
  <c r="AM43" i="50" s="1"/>
  <c r="AL42" i="50"/>
  <c r="AK42" i="50"/>
  <c r="AK43" i="50" s="1"/>
  <c r="AJ42" i="50"/>
  <c r="AI42" i="50"/>
  <c r="AI43" i="50" s="1"/>
  <c r="AH42" i="50"/>
  <c r="AG42" i="50"/>
  <c r="AG43" i="50" s="1"/>
  <c r="AF42" i="50"/>
  <c r="AE42" i="50"/>
  <c r="AE43" i="50" s="1"/>
  <c r="AD42" i="50"/>
  <c r="AC42" i="50"/>
  <c r="AC43" i="50" s="1"/>
  <c r="AB42" i="50"/>
  <c r="AA42" i="50"/>
  <c r="AA43" i="50" s="1"/>
  <c r="Z42" i="50"/>
  <c r="Y42" i="50"/>
  <c r="Y43" i="50" s="1"/>
  <c r="X42" i="50"/>
  <c r="W42" i="50"/>
  <c r="V42" i="50"/>
  <c r="N44" i="50"/>
  <c r="M44" i="50"/>
  <c r="L44" i="50"/>
  <c r="K44" i="50"/>
  <c r="J44" i="50"/>
  <c r="I44" i="50"/>
  <c r="H44" i="50"/>
  <c r="G44" i="50"/>
  <c r="F44" i="50"/>
  <c r="M43" i="50"/>
  <c r="I43" i="50"/>
  <c r="N42" i="50"/>
  <c r="L42" i="50"/>
  <c r="J42" i="50"/>
  <c r="H42" i="50"/>
  <c r="F42" i="50"/>
  <c r="AR39" i="50"/>
  <c r="AL39" i="50"/>
  <c r="AK39" i="50"/>
  <c r="AA38" i="50"/>
  <c r="Y38" i="50"/>
  <c r="AW39" i="50"/>
  <c r="AV39" i="50"/>
  <c r="AW37" i="50"/>
  <c r="AW38" i="50" s="1"/>
  <c r="AV37" i="50"/>
  <c r="AV38" i="50" s="1"/>
  <c r="AU38" i="50"/>
  <c r="AQ38" i="50"/>
  <c r="AK38" i="50"/>
  <c r="AI38" i="50"/>
  <c r="AG38" i="50"/>
  <c r="AE38" i="50"/>
  <c r="AC38" i="50"/>
  <c r="AU37" i="50"/>
  <c r="AR37" i="50"/>
  <c r="AQ37" i="50"/>
  <c r="AL37" i="50"/>
  <c r="AK37" i="50"/>
  <c r="AJ37" i="50"/>
  <c r="AJ38" i="50" s="1"/>
  <c r="AI37" i="50"/>
  <c r="AH37" i="50"/>
  <c r="AH38" i="50" s="1"/>
  <c r="AG37" i="50"/>
  <c r="AF37" i="50"/>
  <c r="AF38" i="50" s="1"/>
  <c r="AE37" i="50"/>
  <c r="AD37" i="50"/>
  <c r="AD38" i="50" s="1"/>
  <c r="AC37" i="50"/>
  <c r="AB37" i="50"/>
  <c r="AA37" i="50"/>
  <c r="Z37" i="50"/>
  <c r="Z38" i="50" s="1"/>
  <c r="Y37" i="50"/>
  <c r="X37" i="50"/>
  <c r="X38" i="50" s="1"/>
  <c r="W37" i="50"/>
  <c r="V37" i="50"/>
  <c r="L39" i="50"/>
  <c r="K39" i="50"/>
  <c r="I39" i="50"/>
  <c r="I38" i="50" s="1"/>
  <c r="H39" i="50"/>
  <c r="G39" i="50"/>
  <c r="G38" i="50" s="1"/>
  <c r="F39" i="50"/>
  <c r="L38" i="50"/>
  <c r="H38" i="50"/>
  <c r="M37" i="50"/>
  <c r="J37" i="50"/>
  <c r="I37" i="50"/>
  <c r="H37" i="50"/>
  <c r="G37" i="50"/>
  <c r="F37" i="50"/>
  <c r="F38" i="50" s="1"/>
  <c r="AT34" i="50"/>
  <c r="AS34" i="50"/>
  <c r="AR34" i="50"/>
  <c r="AP34" i="50"/>
  <c r="AP46" i="50" s="1"/>
  <c r="AP33" i="50"/>
  <c r="AP32" i="50"/>
  <c r="Y33" i="50"/>
  <c r="AW34" i="50"/>
  <c r="AV34" i="50"/>
  <c r="AV46" i="50" s="1"/>
  <c r="AW33" i="50"/>
  <c r="AW32" i="50"/>
  <c r="AV32" i="50"/>
  <c r="AV33" i="50" s="1"/>
  <c r="AS33" i="50"/>
  <c r="AR33" i="50"/>
  <c r="AT32" i="50"/>
  <c r="AS32" i="50"/>
  <c r="AR32" i="50"/>
  <c r="AQ32" i="50"/>
  <c r="AQ33" i="50" s="1"/>
  <c r="AO33" i="50"/>
  <c r="AN33" i="50"/>
  <c r="AK33" i="50"/>
  <c r="AJ33" i="50"/>
  <c r="AG33" i="50"/>
  <c r="AF33" i="50"/>
  <c r="AC33" i="50"/>
  <c r="AO32" i="50"/>
  <c r="AN32" i="50"/>
  <c r="AM32" i="50"/>
  <c r="AM33" i="50" s="1"/>
  <c r="AL32" i="50"/>
  <c r="AL33" i="50" s="1"/>
  <c r="AK32" i="50"/>
  <c r="AJ32" i="50"/>
  <c r="AI32" i="50"/>
  <c r="AI33" i="50" s="1"/>
  <c r="AH32" i="50"/>
  <c r="AH33" i="50" s="1"/>
  <c r="AG32" i="50"/>
  <c r="AF32" i="50"/>
  <c r="AE32" i="50"/>
  <c r="AE33" i="50" s="1"/>
  <c r="AD32" i="50"/>
  <c r="AD33" i="50" s="1"/>
  <c r="AC32" i="50"/>
  <c r="AB32" i="50"/>
  <c r="AA32" i="50"/>
  <c r="AA33" i="50" s="1"/>
  <c r="Z32" i="50"/>
  <c r="Z33" i="50" s="1"/>
  <c r="Y32" i="50"/>
  <c r="X32" i="50"/>
  <c r="X33" i="50" s="1"/>
  <c r="W32" i="50"/>
  <c r="V32" i="50"/>
  <c r="L34" i="50"/>
  <c r="K34" i="50"/>
  <c r="J34" i="50"/>
  <c r="J33" i="50" s="1"/>
  <c r="I34" i="50"/>
  <c r="H34" i="50"/>
  <c r="G34" i="50"/>
  <c r="F34" i="50"/>
  <c r="F33" i="50" s="1"/>
  <c r="I33" i="50"/>
  <c r="H33" i="50"/>
  <c r="M32" i="50"/>
  <c r="J32" i="50"/>
  <c r="I32" i="50"/>
  <c r="F32" i="50"/>
  <c r="AU28" i="50"/>
  <c r="AQ28" i="50"/>
  <c r="AM28" i="50"/>
  <c r="AI28" i="50"/>
  <c r="AG28" i="50"/>
  <c r="AF28" i="50"/>
  <c r="AE28" i="50"/>
  <c r="AD28" i="50"/>
  <c r="AC28" i="50"/>
  <c r="AB28" i="50"/>
  <c r="AA28" i="50"/>
  <c r="Z28" i="50"/>
  <c r="Y28" i="50"/>
  <c r="X28" i="50"/>
  <c r="W28" i="50"/>
  <c r="U28" i="50"/>
  <c r="I28" i="50"/>
  <c r="AA26" i="50"/>
  <c r="X26" i="50"/>
  <c r="W26" i="50"/>
  <c r="V26" i="50"/>
  <c r="V28" i="50" s="1"/>
  <c r="K26" i="50"/>
  <c r="K28" i="50" s="1"/>
  <c r="J26" i="50"/>
  <c r="J25" i="50" s="1"/>
  <c r="H26" i="50"/>
  <c r="H28" i="50" s="1"/>
  <c r="F26" i="50"/>
  <c r="V25" i="50"/>
  <c r="AV26" i="50"/>
  <c r="AU26" i="50"/>
  <c r="L26" i="50" s="1"/>
  <c r="AT26" i="50"/>
  <c r="AT28" i="50" s="1"/>
  <c r="AS26" i="50"/>
  <c r="AR26" i="50"/>
  <c r="AQ26" i="50"/>
  <c r="AP26" i="50"/>
  <c r="AP28" i="50" s="1"/>
  <c r="AO26" i="50"/>
  <c r="AN26" i="50"/>
  <c r="AM26" i="50"/>
  <c r="AL26" i="50"/>
  <c r="AL28" i="50" s="1"/>
  <c r="AK26" i="50"/>
  <c r="AJ26" i="50"/>
  <c r="AI26" i="50"/>
  <c r="I26" i="50" s="1"/>
  <c r="I25" i="50" s="1"/>
  <c r="AH26" i="50"/>
  <c r="AH28" i="50" s="1"/>
  <c r="AU25" i="50"/>
  <c r="AQ25" i="50"/>
  <c r="AM25" i="50"/>
  <c r="AI25" i="50"/>
  <c r="AH25" i="50"/>
  <c r="AV24" i="50"/>
  <c r="AU24" i="50"/>
  <c r="AR24" i="50"/>
  <c r="AQ24" i="50"/>
  <c r="AN24" i="50"/>
  <c r="AM24" i="50"/>
  <c r="AJ24" i="50"/>
  <c r="AI24" i="50"/>
  <c r="AH24" i="50"/>
  <c r="AF25" i="50"/>
  <c r="AG24" i="50"/>
  <c r="AG25" i="50" s="1"/>
  <c r="AF24" i="50"/>
  <c r="AE24" i="50"/>
  <c r="AE25" i="50" s="1"/>
  <c r="AD24" i="50"/>
  <c r="AD25" i="50" s="1"/>
  <c r="AC24" i="50"/>
  <c r="AC25" i="50" s="1"/>
  <c r="AA24" i="50"/>
  <c r="Z24" i="50"/>
  <c r="Y24" i="50"/>
  <c r="Y25" i="50" s="1"/>
  <c r="X24" i="50"/>
  <c r="X25" i="50" s="1"/>
  <c r="W24" i="50"/>
  <c r="W25" i="50" s="1"/>
  <c r="V24" i="50"/>
  <c r="L24" i="50"/>
  <c r="J24" i="50"/>
  <c r="I24" i="50"/>
  <c r="AS20" i="50"/>
  <c r="AQ20" i="50"/>
  <c r="AQ75" i="50" s="1"/>
  <c r="AM20" i="50"/>
  <c r="AL20" i="50"/>
  <c r="AK20" i="50"/>
  <c r="AJ20" i="50"/>
  <c r="AI20" i="50"/>
  <c r="AI75" i="50" s="1"/>
  <c r="AH20" i="50"/>
  <c r="AG20" i="50"/>
  <c r="AG75" i="50" s="1"/>
  <c r="AF20" i="50"/>
  <c r="AF75" i="50" s="1"/>
  <c r="AF76" i="50" s="1"/>
  <c r="AE20" i="50"/>
  <c r="AD20" i="50"/>
  <c r="AD75" i="50" s="1"/>
  <c r="AC20" i="50"/>
  <c r="AC75" i="50" s="1"/>
  <c r="AB20" i="50"/>
  <c r="AB75" i="50" s="1"/>
  <c r="AA20" i="50"/>
  <c r="Z20" i="50"/>
  <c r="Z75" i="50" s="1"/>
  <c r="Y20" i="50"/>
  <c r="Y75" i="50" s="1"/>
  <c r="X20" i="50"/>
  <c r="X75" i="50" s="1"/>
  <c r="W20" i="50"/>
  <c r="V20" i="50"/>
  <c r="U20" i="50"/>
  <c r="U75" i="50" s="1"/>
  <c r="E20" i="50"/>
  <c r="E75" i="50" s="1"/>
  <c r="L18" i="50"/>
  <c r="K18" i="50"/>
  <c r="J18" i="50"/>
  <c r="I18" i="50"/>
  <c r="J17" i="50" s="1"/>
  <c r="H18" i="50"/>
  <c r="G18" i="50"/>
  <c r="K17" i="50"/>
  <c r="G17" i="50"/>
  <c r="AV18" i="50"/>
  <c r="AV16" i="50"/>
  <c r="AV17" i="50" s="1"/>
  <c r="AT17" i="50"/>
  <c r="AR17" i="50"/>
  <c r="AP17" i="50"/>
  <c r="AN17" i="50"/>
  <c r="AL17" i="50"/>
  <c r="AJ17" i="50"/>
  <c r="AH17" i="50"/>
  <c r="AF17" i="50"/>
  <c r="AD17" i="50"/>
  <c r="AB17" i="50"/>
  <c r="Z17" i="50"/>
  <c r="AU16" i="50"/>
  <c r="AU17" i="50" s="1"/>
  <c r="AT16" i="50"/>
  <c r="AS16" i="50"/>
  <c r="AS17" i="50" s="1"/>
  <c r="AR16" i="50"/>
  <c r="AQ16" i="50"/>
  <c r="AQ17" i="50" s="1"/>
  <c r="AP16" i="50"/>
  <c r="AO16" i="50"/>
  <c r="AO17" i="50" s="1"/>
  <c r="AN16" i="50"/>
  <c r="AM16" i="50"/>
  <c r="AM17" i="50" s="1"/>
  <c r="AL16" i="50"/>
  <c r="AK16" i="50"/>
  <c r="AK17" i="50" s="1"/>
  <c r="AJ16" i="50"/>
  <c r="AI16" i="50"/>
  <c r="AI17" i="50" s="1"/>
  <c r="AH16" i="50"/>
  <c r="AG16" i="50"/>
  <c r="AG17" i="50" s="1"/>
  <c r="AF16" i="50"/>
  <c r="AE16" i="50"/>
  <c r="AE17" i="50" s="1"/>
  <c r="AD16" i="50"/>
  <c r="AC16" i="50"/>
  <c r="AC17" i="50" s="1"/>
  <c r="AB16" i="50"/>
  <c r="AA16" i="50"/>
  <c r="AA17" i="50" s="1"/>
  <c r="Z16" i="50"/>
  <c r="Y16" i="50"/>
  <c r="Y17" i="50" s="1"/>
  <c r="M16" i="50"/>
  <c r="K16" i="50"/>
  <c r="J16" i="50"/>
  <c r="I16" i="50"/>
  <c r="AO13" i="50"/>
  <c r="AO20" i="50" s="1"/>
  <c r="AO11" i="50"/>
  <c r="AO12" i="50" s="1"/>
  <c r="AV13" i="50"/>
  <c r="AT13" i="50"/>
  <c r="AU13" i="50" s="1"/>
  <c r="AT12" i="50"/>
  <c r="AV11" i="50"/>
  <c r="AT11" i="50"/>
  <c r="AR12" i="50"/>
  <c r="AS11" i="50"/>
  <c r="AS12" i="50" s="1"/>
  <c r="AR11" i="50"/>
  <c r="AQ11" i="50"/>
  <c r="AQ12" i="50" s="1"/>
  <c r="AP11" i="50"/>
  <c r="AP12" i="50" s="1"/>
  <c r="AN12" i="50"/>
  <c r="AJ12" i="50"/>
  <c r="AI12" i="50"/>
  <c r="AF12" i="50"/>
  <c r="AB12" i="50"/>
  <c r="AA12" i="50"/>
  <c r="X12" i="50"/>
  <c r="AN11" i="50"/>
  <c r="AM11" i="50"/>
  <c r="AM12" i="50" s="1"/>
  <c r="AL11" i="50"/>
  <c r="AL12" i="50" s="1"/>
  <c r="AK11" i="50"/>
  <c r="AK12" i="50" s="1"/>
  <c r="AJ11" i="50"/>
  <c r="AI11" i="50"/>
  <c r="AH11" i="50"/>
  <c r="AH12" i="50" s="1"/>
  <c r="AG11" i="50"/>
  <c r="AG12" i="50" s="1"/>
  <c r="AF11" i="50"/>
  <c r="AE11" i="50"/>
  <c r="AE12" i="50" s="1"/>
  <c r="AD11" i="50"/>
  <c r="AD12" i="50" s="1"/>
  <c r="AC11" i="50"/>
  <c r="AC12" i="50" s="1"/>
  <c r="AB11" i="50"/>
  <c r="AA11" i="50"/>
  <c r="Z11" i="50"/>
  <c r="Z12" i="50" s="1"/>
  <c r="Y11" i="50"/>
  <c r="Y12" i="50" s="1"/>
  <c r="X11" i="50"/>
  <c r="W11" i="50"/>
  <c r="W12" i="50" s="1"/>
  <c r="K13" i="50"/>
  <c r="J13" i="50"/>
  <c r="I13" i="50"/>
  <c r="I20" i="50" s="1"/>
  <c r="H13" i="50"/>
  <c r="G13" i="50"/>
  <c r="F13" i="50"/>
  <c r="G11" i="50" s="1"/>
  <c r="G12" i="50" s="1"/>
  <c r="H12" i="50"/>
  <c r="L11" i="50"/>
  <c r="K11" i="50"/>
  <c r="K12" i="50" s="1"/>
  <c r="I11" i="50"/>
  <c r="H11" i="50"/>
  <c r="F11" i="50"/>
  <c r="AR8" i="50"/>
  <c r="AR20" i="50" s="1"/>
  <c r="AR7" i="50"/>
  <c r="AR6" i="50"/>
  <c r="AP8" i="50"/>
  <c r="AP20" i="50" s="1"/>
  <c r="AP75" i="50" s="1"/>
  <c r="AP6" i="50"/>
  <c r="AP7" i="50" s="1"/>
  <c r="AN8" i="50"/>
  <c r="AN20" i="50" s="1"/>
  <c r="AM8" i="50"/>
  <c r="AS6" i="50"/>
  <c r="AS7" i="50" s="1"/>
  <c r="AQ7" i="50"/>
  <c r="AQ6" i="50"/>
  <c r="V7" i="50"/>
  <c r="AT8" i="50"/>
  <c r="AT20" i="50" s="1"/>
  <c r="AT7" i="50"/>
  <c r="AT6" i="50"/>
  <c r="AN7" i="50"/>
  <c r="AL7" i="50"/>
  <c r="AJ7" i="50"/>
  <c r="AH7" i="50"/>
  <c r="AF7" i="50"/>
  <c r="AD7" i="50"/>
  <c r="AO6" i="50"/>
  <c r="AO7" i="50" s="1"/>
  <c r="AN6" i="50"/>
  <c r="AM6" i="50"/>
  <c r="AM7" i="50" s="1"/>
  <c r="AL6" i="50"/>
  <c r="AK6" i="50"/>
  <c r="AK7" i="50" s="1"/>
  <c r="AJ6" i="50"/>
  <c r="AI6" i="50"/>
  <c r="AI7" i="50" s="1"/>
  <c r="AH6" i="50"/>
  <c r="AG6" i="50"/>
  <c r="AG7" i="50" s="1"/>
  <c r="AF6" i="50"/>
  <c r="AE6" i="50"/>
  <c r="AE7" i="50" s="1"/>
  <c r="AD6" i="50"/>
  <c r="AC6" i="50"/>
  <c r="AC7" i="50" s="1"/>
  <c r="AB6" i="50"/>
  <c r="AA6" i="50"/>
  <c r="Z6" i="50"/>
  <c r="Z7" i="50" s="1"/>
  <c r="Y6" i="50"/>
  <c r="Y7" i="50" s="1"/>
  <c r="X6" i="50"/>
  <c r="X7" i="50" s="1"/>
  <c r="W6" i="50"/>
  <c r="W7" i="50" s="1"/>
  <c r="V6" i="50"/>
  <c r="K8" i="50"/>
  <c r="J8" i="50"/>
  <c r="J7" i="50" s="1"/>
  <c r="I8" i="50"/>
  <c r="H8" i="50"/>
  <c r="H7" i="50" s="1"/>
  <c r="G8" i="50"/>
  <c r="F8" i="50"/>
  <c r="F7" i="50" s="1"/>
  <c r="L6" i="50"/>
  <c r="J6" i="50"/>
  <c r="H6" i="50"/>
  <c r="F6" i="50"/>
  <c r="AY2" i="50"/>
  <c r="AX2" i="50"/>
  <c r="AW2" i="50"/>
  <c r="AV2" i="50"/>
  <c r="AU2" i="50"/>
  <c r="AT2" i="50"/>
  <c r="AS2" i="50"/>
  <c r="AR2" i="50"/>
  <c r="AQ2" i="50"/>
  <c r="AP2" i="50"/>
  <c r="AO2" i="50"/>
  <c r="AN2" i="50"/>
  <c r="AM2" i="50"/>
  <c r="AL2" i="50"/>
  <c r="AK2" i="50"/>
  <c r="AJ2" i="50"/>
  <c r="AI2" i="50"/>
  <c r="AH2" i="50"/>
  <c r="AG2" i="50"/>
  <c r="AF2" i="50"/>
  <c r="AE2" i="50"/>
  <c r="AD2" i="50"/>
  <c r="AC2" i="50"/>
  <c r="AB2" i="50"/>
  <c r="AA2" i="50"/>
  <c r="Z2" i="50"/>
  <c r="Y2" i="50"/>
  <c r="X2" i="50"/>
  <c r="R2" i="50"/>
  <c r="Q2" i="50"/>
  <c r="P2" i="50"/>
  <c r="O2" i="50"/>
  <c r="N2" i="50"/>
  <c r="M2" i="50"/>
  <c r="L2" i="50"/>
  <c r="K2" i="50"/>
  <c r="J2" i="50"/>
  <c r="I2" i="50"/>
  <c r="CP463" i="31"/>
  <c r="CO463" i="31"/>
  <c r="CN463" i="31"/>
  <c r="CM463" i="31"/>
  <c r="CL463" i="31"/>
  <c r="CK463" i="31"/>
  <c r="CJ463" i="31"/>
  <c r="CI463" i="31"/>
  <c r="M449" i="31"/>
  <c r="M448" i="31"/>
  <c r="M447" i="31"/>
  <c r="CC449" i="31"/>
  <c r="CB449" i="31"/>
  <c r="CA449" i="31"/>
  <c r="BZ449" i="31"/>
  <c r="BY449" i="31"/>
  <c r="BX449" i="31"/>
  <c r="BW449" i="31"/>
  <c r="BV449" i="31"/>
  <c r="BU449" i="31"/>
  <c r="BT449" i="31"/>
  <c r="BS449" i="31"/>
  <c r="BR449" i="31"/>
  <c r="BQ449" i="31"/>
  <c r="BP449" i="31"/>
  <c r="BO449" i="31"/>
  <c r="S450" i="31"/>
  <c r="S449" i="31"/>
  <c r="R449" i="31"/>
  <c r="O449" i="31"/>
  <c r="N449" i="31"/>
  <c r="T448" i="31"/>
  <c r="S448" i="31"/>
  <c r="R448" i="31"/>
  <c r="Q448" i="31"/>
  <c r="P448" i="31"/>
  <c r="O448" i="31"/>
  <c r="N448" i="31"/>
  <c r="T447" i="31"/>
  <c r="T449" i="31" s="1"/>
  <c r="T450" i="31" s="1"/>
  <c r="T454" i="31" s="1"/>
  <c r="S447" i="31"/>
  <c r="R447" i="31"/>
  <c r="Q447" i="31"/>
  <c r="Q449" i="31" s="1"/>
  <c r="P447" i="31"/>
  <c r="P449" i="31" s="1"/>
  <c r="O447" i="31"/>
  <c r="N447" i="31"/>
  <c r="BN443" i="31"/>
  <c r="BM443" i="31"/>
  <c r="BL443" i="31"/>
  <c r="BK443" i="31"/>
  <c r="BJ443" i="31"/>
  <c r="BI443" i="31"/>
  <c r="BH443" i="31"/>
  <c r="BG443" i="31"/>
  <c r="BF443" i="31"/>
  <c r="BE443" i="31"/>
  <c r="BD443" i="31"/>
  <c r="BC443" i="31"/>
  <c r="BB443" i="31"/>
  <c r="BA443" i="31"/>
  <c r="AZ443" i="31"/>
  <c r="AY443" i="31"/>
  <c r="AX443" i="31"/>
  <c r="AW443" i="31"/>
  <c r="AV443" i="31"/>
  <c r="AU443" i="31"/>
  <c r="AT443" i="31"/>
  <c r="AS443" i="31"/>
  <c r="AR443" i="31"/>
  <c r="AQ443" i="31"/>
  <c r="AP443" i="31"/>
  <c r="AO443" i="31"/>
  <c r="AN443" i="31"/>
  <c r="AM443" i="31"/>
  <c r="AL443" i="31"/>
  <c r="M437" i="31"/>
  <c r="M436" i="31"/>
  <c r="M438" i="31" s="1"/>
  <c r="CC438" i="31"/>
  <c r="CB438" i="31"/>
  <c r="CA438" i="31"/>
  <c r="BZ438" i="31"/>
  <c r="BY438" i="31"/>
  <c r="BX438" i="31"/>
  <c r="BW438" i="31"/>
  <c r="BV438" i="31"/>
  <c r="BU438" i="31"/>
  <c r="BT438" i="31"/>
  <c r="BS438" i="31"/>
  <c r="BR438" i="31"/>
  <c r="BQ438" i="31"/>
  <c r="BP438" i="31"/>
  <c r="BO438" i="31"/>
  <c r="T438" i="31"/>
  <c r="T439" i="31" s="1"/>
  <c r="P438" i="31"/>
  <c r="T437" i="31"/>
  <c r="S437" i="31"/>
  <c r="R437" i="31"/>
  <c r="Q437" i="31"/>
  <c r="Q438" i="31" s="1"/>
  <c r="P437" i="31"/>
  <c r="O437" i="31"/>
  <c r="N437" i="31"/>
  <c r="T436" i="31"/>
  <c r="S436" i="31"/>
  <c r="S438" i="31" s="1"/>
  <c r="S439" i="31" s="1"/>
  <c r="S443" i="31" s="1"/>
  <c r="R436" i="31"/>
  <c r="R438" i="31" s="1"/>
  <c r="Q436" i="31"/>
  <c r="P436" i="31"/>
  <c r="O436" i="31"/>
  <c r="O438" i="31" s="1"/>
  <c r="N436" i="31"/>
  <c r="N438" i="31" s="1"/>
  <c r="BN432" i="31"/>
  <c r="BM432" i="31"/>
  <c r="BL432" i="31"/>
  <c r="BK432" i="31"/>
  <c r="BJ432" i="31"/>
  <c r="BI432" i="31"/>
  <c r="BH432" i="31"/>
  <c r="BG432" i="31"/>
  <c r="BF432" i="31"/>
  <c r="BE432" i="31"/>
  <c r="BD432" i="31"/>
  <c r="BC432" i="31"/>
  <c r="BB432" i="31"/>
  <c r="BA432" i="31"/>
  <c r="AZ432" i="31"/>
  <c r="AY432" i="31"/>
  <c r="AX432" i="31"/>
  <c r="AW432" i="31"/>
  <c r="AV432" i="31"/>
  <c r="AU432" i="31"/>
  <c r="AT432" i="31"/>
  <c r="AS432" i="31"/>
  <c r="AR432" i="31"/>
  <c r="AQ432" i="31"/>
  <c r="AP432" i="31"/>
  <c r="AO432" i="31"/>
  <c r="AN432" i="31"/>
  <c r="AM432" i="31"/>
  <c r="AL432" i="31"/>
  <c r="AK432" i="31"/>
  <c r="AJ432" i="31"/>
  <c r="AI432" i="31"/>
  <c r="BN431" i="31"/>
  <c r="BM431" i="31"/>
  <c r="BL431" i="31"/>
  <c r="BK431" i="31"/>
  <c r="BJ431" i="31"/>
  <c r="BI431" i="31"/>
  <c r="BH431" i="31"/>
  <c r="BG431" i="31"/>
  <c r="BF431" i="31"/>
  <c r="BE431" i="31"/>
  <c r="BD431" i="31"/>
  <c r="BC431" i="31"/>
  <c r="BB431" i="31"/>
  <c r="BA431" i="31"/>
  <c r="AZ431" i="31"/>
  <c r="AY431" i="31"/>
  <c r="AX431" i="31"/>
  <c r="AW431" i="31"/>
  <c r="AV431" i="31"/>
  <c r="AU431" i="31"/>
  <c r="AT431" i="31"/>
  <c r="AS431" i="31"/>
  <c r="AR431" i="31"/>
  <c r="AQ431" i="31"/>
  <c r="AP431" i="31"/>
  <c r="AO431" i="31"/>
  <c r="AN431" i="31"/>
  <c r="AM431" i="31"/>
  <c r="AL431" i="31"/>
  <c r="AK431" i="31"/>
  <c r="AJ431" i="31"/>
  <c r="AI431" i="31"/>
  <c r="CP424" i="31"/>
  <c r="CO424" i="31"/>
  <c r="CN424" i="31"/>
  <c r="CM424" i="31"/>
  <c r="CL424" i="31"/>
  <c r="CK424" i="31"/>
  <c r="CJ424" i="31"/>
  <c r="CI424" i="31"/>
  <c r="CD424" i="31"/>
  <c r="CC424" i="31"/>
  <c r="CB424" i="31"/>
  <c r="CA424" i="31"/>
  <c r="BX424" i="31"/>
  <c r="BW424" i="31"/>
  <c r="Q424" i="31"/>
  <c r="CT423" i="31"/>
  <c r="CS423" i="31"/>
  <c r="CR423" i="31"/>
  <c r="CQ423" i="31"/>
  <c r="BV423" i="31"/>
  <c r="BZ424" i="31" s="1"/>
  <c r="BU423" i="31"/>
  <c r="BY424" i="31" s="1"/>
  <c r="BT423" i="31"/>
  <c r="BS423" i="31"/>
  <c r="N423" i="31" s="1"/>
  <c r="N424" i="31" s="1"/>
  <c r="BR423" i="31"/>
  <c r="M423" i="31" s="1"/>
  <c r="BQ423" i="31"/>
  <c r="BP423" i="31"/>
  <c r="BO423" i="31"/>
  <c r="T423" i="31"/>
  <c r="S423" i="31"/>
  <c r="S424" i="31" s="1"/>
  <c r="R423" i="31"/>
  <c r="Q423" i="31"/>
  <c r="R424" i="31" s="1"/>
  <c r="P423" i="31"/>
  <c r="P424" i="31" s="1"/>
  <c r="O423" i="31"/>
  <c r="T422" i="31"/>
  <c r="S422" i="31"/>
  <c r="R422" i="31"/>
  <c r="Q422" i="31"/>
  <c r="P422" i="31"/>
  <c r="O422" i="31"/>
  <c r="N422" i="31"/>
  <c r="M422" i="31"/>
  <c r="T421" i="31"/>
  <c r="S421" i="31"/>
  <c r="R421" i="31"/>
  <c r="Q421" i="31"/>
  <c r="P421" i="31"/>
  <c r="O421" i="31"/>
  <c r="N421" i="31"/>
  <c r="M421" i="31"/>
  <c r="CP412" i="31"/>
  <c r="CO412" i="31"/>
  <c r="CN412" i="31"/>
  <c r="CM412" i="31"/>
  <c r="CL412" i="31"/>
  <c r="CK412" i="31"/>
  <c r="CJ412" i="31"/>
  <c r="CI412" i="31"/>
  <c r="CH412" i="31"/>
  <c r="CG412" i="31"/>
  <c r="CF412" i="31"/>
  <c r="CE412" i="31"/>
  <c r="CD412" i="31"/>
  <c r="CC412" i="31"/>
  <c r="CB412" i="31"/>
  <c r="CA412" i="31"/>
  <c r="BZ412" i="31"/>
  <c r="BY412" i="31"/>
  <c r="BX412" i="31"/>
  <c r="R412" i="31"/>
  <c r="CT411" i="31"/>
  <c r="CS411" i="31"/>
  <c r="CR411" i="31"/>
  <c r="CQ411" i="31"/>
  <c r="T411" i="31" s="1"/>
  <c r="BV411" i="31"/>
  <c r="BU411" i="31"/>
  <c r="BT411" i="31"/>
  <c r="BS411" i="31"/>
  <c r="BW412" i="31" s="1"/>
  <c r="BR411" i="31"/>
  <c r="BQ411" i="31"/>
  <c r="BP411" i="31"/>
  <c r="BO411" i="31"/>
  <c r="AE411" i="31"/>
  <c r="AF411" i="31" s="1"/>
  <c r="U411" i="31"/>
  <c r="V411" i="31" s="1"/>
  <c r="W411" i="31" s="1"/>
  <c r="X411" i="31" s="1"/>
  <c r="Y411" i="31" s="1"/>
  <c r="Z411" i="31" s="1"/>
  <c r="AA411" i="31" s="1"/>
  <c r="AB411" i="31" s="1"/>
  <c r="AC411" i="31" s="1"/>
  <c r="AD411" i="31" s="1"/>
  <c r="S411" i="31"/>
  <c r="S412" i="31" s="1"/>
  <c r="R411" i="31"/>
  <c r="Q411" i="31"/>
  <c r="Q412" i="31" s="1"/>
  <c r="P411" i="31"/>
  <c r="O411" i="31"/>
  <c r="P412" i="31" s="1"/>
  <c r="T410" i="31"/>
  <c r="S410" i="31"/>
  <c r="R410" i="31"/>
  <c r="Q410" i="31"/>
  <c r="P410" i="31"/>
  <c r="O410" i="31"/>
  <c r="N410" i="31"/>
  <c r="M410" i="31"/>
  <c r="T409" i="31"/>
  <c r="S409" i="31"/>
  <c r="R409" i="31"/>
  <c r="Q409" i="31"/>
  <c r="P409" i="31"/>
  <c r="O409" i="31"/>
  <c r="N409" i="31"/>
  <c r="N411" i="31" s="1"/>
  <c r="N412" i="31" s="1"/>
  <c r="M409" i="31"/>
  <c r="M411" i="31" s="1"/>
  <c r="BV405" i="31"/>
  <c r="BU405" i="31"/>
  <c r="BT405" i="31"/>
  <c r="BS405" i="31"/>
  <c r="BV404" i="31"/>
  <c r="BU404" i="31"/>
  <c r="BT404" i="31"/>
  <c r="BS404" i="31"/>
  <c r="CF403" i="31"/>
  <c r="BV402" i="31"/>
  <c r="BU402" i="31"/>
  <c r="BT402" i="31"/>
  <c r="BS402" i="31"/>
  <c r="BV401" i="31"/>
  <c r="BU401" i="31"/>
  <c r="BT401" i="31"/>
  <c r="BS401" i="31"/>
  <c r="CH400" i="31"/>
  <c r="CG400" i="31"/>
  <c r="CG402" i="31" s="1"/>
  <c r="CF400" i="31"/>
  <c r="CE400" i="31"/>
  <c r="CF402" i="31" s="1"/>
  <c r="CH399" i="31"/>
  <c r="CG399" i="31"/>
  <c r="CF399" i="31"/>
  <c r="CN403" i="31"/>
  <c r="CN404" i="31" s="1"/>
  <c r="CP402" i="31"/>
  <c r="CO402" i="31"/>
  <c r="CK402" i="31"/>
  <c r="CP401" i="31"/>
  <c r="CL401" i="31"/>
  <c r="CK401" i="31"/>
  <c r="CR400" i="31"/>
  <c r="CP400" i="31"/>
  <c r="CO400" i="31"/>
  <c r="CO401" i="31" s="1"/>
  <c r="CN400" i="31"/>
  <c r="CM400" i="31"/>
  <c r="CM402" i="31" s="1"/>
  <c r="CL400" i="31"/>
  <c r="CK400" i="31"/>
  <c r="CL402" i="31" s="1"/>
  <c r="CJ400" i="31"/>
  <c r="CJ401" i="31" s="1"/>
  <c r="CI400" i="31"/>
  <c r="CI402" i="31" s="1"/>
  <c r="CR399" i="31"/>
  <c r="CP399" i="31"/>
  <c r="CO399" i="31"/>
  <c r="CN399" i="31"/>
  <c r="CM399" i="31"/>
  <c r="CL399" i="31"/>
  <c r="CK399" i="31"/>
  <c r="CJ399" i="31"/>
  <c r="CI399" i="31"/>
  <c r="CP398" i="31"/>
  <c r="CO398" i="31"/>
  <c r="CN398" i="31"/>
  <c r="CM398" i="31"/>
  <c r="CL398" i="31"/>
  <c r="CK398" i="31"/>
  <c r="CJ398" i="31"/>
  <c r="CI398" i="31"/>
  <c r="BV399" i="31"/>
  <c r="BU399" i="31"/>
  <c r="BT399" i="31"/>
  <c r="BS399" i="31"/>
  <c r="BV398" i="31"/>
  <c r="BU398" i="31"/>
  <c r="BT398" i="31"/>
  <c r="BS398" i="31"/>
  <c r="S397" i="31"/>
  <c r="R397" i="31"/>
  <c r="Q397" i="31"/>
  <c r="CP396" i="31"/>
  <c r="CO396" i="31"/>
  <c r="CN396" i="31"/>
  <c r="CM396" i="31"/>
  <c r="CL396" i="31"/>
  <c r="CK396" i="31"/>
  <c r="CJ396" i="31"/>
  <c r="CI396" i="31"/>
  <c r="CH396" i="31"/>
  <c r="CG396" i="31"/>
  <c r="CF396" i="31"/>
  <c r="CP395" i="31"/>
  <c r="CO395" i="31"/>
  <c r="CN395" i="31"/>
  <c r="CM395" i="31"/>
  <c r="CL395" i="31"/>
  <c r="CK395" i="31"/>
  <c r="CJ395" i="31"/>
  <c r="CI395" i="31"/>
  <c r="BV396" i="31"/>
  <c r="BU396" i="31"/>
  <c r="BT396" i="31"/>
  <c r="BS396" i="31"/>
  <c r="BV395" i="31"/>
  <c r="BU395" i="31"/>
  <c r="BT395" i="31"/>
  <c r="BS395" i="31"/>
  <c r="S394" i="31"/>
  <c r="S395" i="31" s="1"/>
  <c r="R394" i="31"/>
  <c r="Q394" i="31"/>
  <c r="R395" i="31" s="1"/>
  <c r="BV393" i="31"/>
  <c r="BU393" i="31"/>
  <c r="BT393" i="31"/>
  <c r="BS393" i="31"/>
  <c r="BV392" i="31"/>
  <c r="BU392" i="31"/>
  <c r="BT392" i="31"/>
  <c r="BS392" i="31"/>
  <c r="CR397" i="31"/>
  <c r="CR398" i="31" s="1"/>
  <c r="CQ397" i="31"/>
  <c r="CS394" i="31"/>
  <c r="CR394" i="31"/>
  <c r="CQ394" i="31"/>
  <c r="CQ396" i="31" s="1"/>
  <c r="CS393" i="31"/>
  <c r="CR393" i="31"/>
  <c r="CR392" i="31"/>
  <c r="CT391" i="31"/>
  <c r="CT392" i="31" s="1"/>
  <c r="CS391" i="31"/>
  <c r="CR391" i="31"/>
  <c r="CQ391" i="31"/>
  <c r="CQ393" i="31" s="1"/>
  <c r="CP392" i="31"/>
  <c r="CL392" i="31"/>
  <c r="CP391" i="31"/>
  <c r="CO391" i="31"/>
  <c r="CN391" i="31"/>
  <c r="CN393" i="31" s="1"/>
  <c r="CM391" i="31"/>
  <c r="CM392" i="31" s="1"/>
  <c r="CL391" i="31"/>
  <c r="CM393" i="31" s="1"/>
  <c r="CK391" i="31"/>
  <c r="CJ391" i="31"/>
  <c r="CJ393" i="31" s="1"/>
  <c r="CI391" i="31"/>
  <c r="CI392" i="31" s="1"/>
  <c r="CH391" i="31"/>
  <c r="CI393" i="31" s="1"/>
  <c r="CG391" i="31"/>
  <c r="CG393" i="31" s="1"/>
  <c r="CF391" i="31"/>
  <c r="CF393" i="31" s="1"/>
  <c r="CE391" i="31"/>
  <c r="T391" i="31"/>
  <c r="T392" i="31" s="1"/>
  <c r="Q390" i="31"/>
  <c r="Q389" i="31"/>
  <c r="Q388" i="31"/>
  <c r="BV390" i="31"/>
  <c r="BU390" i="31"/>
  <c r="BT390" i="31"/>
  <c r="BS390" i="31"/>
  <c r="BV389" i="31"/>
  <c r="BU389" i="31"/>
  <c r="BT389" i="31"/>
  <c r="BS389" i="31"/>
  <c r="T390" i="31"/>
  <c r="S390" i="31"/>
  <c r="S391" i="31" s="1"/>
  <c r="R390" i="31"/>
  <c r="T389" i="31"/>
  <c r="S389" i="31"/>
  <c r="R389" i="31"/>
  <c r="U388" i="31"/>
  <c r="T388" i="31"/>
  <c r="S388" i="31"/>
  <c r="R388" i="31"/>
  <c r="CP387" i="31"/>
  <c r="CO387" i="31"/>
  <c r="CL387" i="31"/>
  <c r="CK387" i="31"/>
  <c r="CH387" i="31"/>
  <c r="BV387" i="31"/>
  <c r="BU387" i="31"/>
  <c r="BT387" i="31"/>
  <c r="BS387" i="31"/>
  <c r="BV386" i="31"/>
  <c r="BU386" i="31"/>
  <c r="BT386" i="31"/>
  <c r="BS386" i="31"/>
  <c r="CH385" i="31"/>
  <c r="CG385" i="31"/>
  <c r="CG387" i="31" s="1"/>
  <c r="CF385" i="31"/>
  <c r="CF387" i="31" s="1"/>
  <c r="CE385" i="31"/>
  <c r="CH384" i="31"/>
  <c r="CG384" i="31"/>
  <c r="CF384" i="31"/>
  <c r="CQ385" i="31"/>
  <c r="CP385" i="31"/>
  <c r="CP386" i="31" s="1"/>
  <c r="CO385" i="31"/>
  <c r="CO386" i="31" s="1"/>
  <c r="CN385" i="31"/>
  <c r="CM385" i="31"/>
  <c r="CL385" i="31"/>
  <c r="CL386" i="31" s="1"/>
  <c r="CK385" i="31"/>
  <c r="CK386" i="31" s="1"/>
  <c r="CJ385" i="31"/>
  <c r="CI385" i="31"/>
  <c r="CQ384" i="31"/>
  <c r="CP384" i="31"/>
  <c r="CO384" i="31"/>
  <c r="CN384" i="31"/>
  <c r="CM384" i="31"/>
  <c r="CL384" i="31"/>
  <c r="CK384" i="31"/>
  <c r="CJ384" i="31"/>
  <c r="CI384" i="31"/>
  <c r="CQ383" i="31"/>
  <c r="CP383" i="31"/>
  <c r="CO383" i="31"/>
  <c r="CN383" i="31"/>
  <c r="CM383" i="31"/>
  <c r="CL383" i="31"/>
  <c r="CK383" i="31"/>
  <c r="CJ383" i="31"/>
  <c r="CI383" i="31"/>
  <c r="BV384" i="31"/>
  <c r="BU384" i="31"/>
  <c r="BT384" i="31"/>
  <c r="BS384" i="31"/>
  <c r="BV383" i="31"/>
  <c r="BU383" i="31"/>
  <c r="BT383" i="31"/>
  <c r="BS383" i="31"/>
  <c r="S382" i="31"/>
  <c r="S383" i="31" s="1"/>
  <c r="R382" i="31"/>
  <c r="Q382" i="31"/>
  <c r="R383" i="31" s="1"/>
  <c r="CQ382" i="31"/>
  <c r="CR382" i="31" s="1"/>
  <c r="CT381" i="31"/>
  <c r="CP381" i="31"/>
  <c r="CO381" i="31"/>
  <c r="CN381" i="31"/>
  <c r="CM381" i="31"/>
  <c r="CL381" i="31"/>
  <c r="CK381" i="31"/>
  <c r="CJ381" i="31"/>
  <c r="CI381" i="31"/>
  <c r="CH381" i="31"/>
  <c r="CG381" i="31"/>
  <c r="CF381" i="31"/>
  <c r="CP380" i="31"/>
  <c r="CO380" i="31"/>
  <c r="CN380" i="31"/>
  <c r="CM380" i="31"/>
  <c r="CL380" i="31"/>
  <c r="CK380" i="31"/>
  <c r="CJ380" i="31"/>
  <c r="CI380" i="31"/>
  <c r="BV381" i="31"/>
  <c r="BU381" i="31"/>
  <c r="BT381" i="31"/>
  <c r="BS381" i="31"/>
  <c r="BV380" i="31"/>
  <c r="BU380" i="31"/>
  <c r="BT380" i="31"/>
  <c r="BS380" i="31"/>
  <c r="S380" i="31"/>
  <c r="S379" i="31"/>
  <c r="R379" i="31"/>
  <c r="R380" i="31" s="1"/>
  <c r="Q379" i="31"/>
  <c r="CT379" i="31"/>
  <c r="CS379" i="31"/>
  <c r="CR379" i="31"/>
  <c r="CQ379" i="31"/>
  <c r="T379" i="31" s="1"/>
  <c r="CR378" i="31"/>
  <c r="CP378" i="31"/>
  <c r="CO378" i="31"/>
  <c r="CN378" i="31"/>
  <c r="CM378" i="31"/>
  <c r="CL378" i="31"/>
  <c r="CK378" i="31"/>
  <c r="CJ378" i="31"/>
  <c r="CI378" i="31"/>
  <c r="CH378" i="31"/>
  <c r="CG378" i="31"/>
  <c r="CF378" i="31"/>
  <c r="CP377" i="31"/>
  <c r="CO377" i="31"/>
  <c r="CN377" i="31"/>
  <c r="CM377" i="31"/>
  <c r="CL377" i="31"/>
  <c r="CK377" i="31"/>
  <c r="BV378" i="31"/>
  <c r="BU378" i="31"/>
  <c r="BT378" i="31"/>
  <c r="BS378" i="31"/>
  <c r="BV377" i="31"/>
  <c r="BU377" i="31"/>
  <c r="BT377" i="31"/>
  <c r="BS377" i="31"/>
  <c r="S377" i="31"/>
  <c r="S376" i="31"/>
  <c r="R376" i="31"/>
  <c r="R377" i="31" s="1"/>
  <c r="Q376" i="31"/>
  <c r="CT376" i="31"/>
  <c r="CT378" i="31" s="1"/>
  <c r="CS376" i="31"/>
  <c r="CS378" i="31" s="1"/>
  <c r="CR376" i="31"/>
  <c r="CQ376" i="31"/>
  <c r="CQ378" i="31" s="1"/>
  <c r="CR375" i="31"/>
  <c r="CQ375" i="31"/>
  <c r="CP375" i="31"/>
  <c r="CO375" i="31"/>
  <c r="CN375" i="31"/>
  <c r="CM375" i="31"/>
  <c r="CL375" i="31"/>
  <c r="CK375" i="31"/>
  <c r="CJ375" i="31"/>
  <c r="CI375" i="31"/>
  <c r="CH375" i="31"/>
  <c r="CG375" i="31"/>
  <c r="CF375" i="31"/>
  <c r="CP374" i="31"/>
  <c r="CO374" i="31"/>
  <c r="CN374" i="31"/>
  <c r="CM374" i="31"/>
  <c r="CL374" i="31"/>
  <c r="CK374" i="31"/>
  <c r="CJ374" i="31"/>
  <c r="CI374" i="31"/>
  <c r="BV375" i="31"/>
  <c r="BU375" i="31"/>
  <c r="BT375" i="31"/>
  <c r="BS375" i="31"/>
  <c r="BV374" i="31"/>
  <c r="BU374" i="31"/>
  <c r="BT374" i="31"/>
  <c r="BS374" i="31"/>
  <c r="S373" i="31"/>
  <c r="S374" i="31" s="1"/>
  <c r="R373" i="31"/>
  <c r="R374" i="31" s="1"/>
  <c r="Q373" i="31"/>
  <c r="CT373" i="31"/>
  <c r="CS373" i="31"/>
  <c r="CS375" i="31" s="1"/>
  <c r="CR373" i="31"/>
  <c r="CQ373" i="31"/>
  <c r="CT372" i="31"/>
  <c r="CP372" i="31"/>
  <c r="CO372" i="31"/>
  <c r="CN372" i="31"/>
  <c r="CM372" i="31"/>
  <c r="CL372" i="31"/>
  <c r="CK372" i="31"/>
  <c r="CJ372" i="31"/>
  <c r="CI372" i="31"/>
  <c r="CH372" i="31"/>
  <c r="CG372" i="31"/>
  <c r="CF372" i="31"/>
  <c r="CP371" i="31"/>
  <c r="CO371" i="31"/>
  <c r="CN371" i="31"/>
  <c r="CM371" i="31"/>
  <c r="CL371" i="31"/>
  <c r="CK371" i="31"/>
  <c r="CJ371" i="31"/>
  <c r="CI371" i="31"/>
  <c r="BV372" i="31"/>
  <c r="BU372" i="31"/>
  <c r="BT372" i="31"/>
  <c r="BS372" i="31"/>
  <c r="BV371" i="31"/>
  <c r="BU371" i="31"/>
  <c r="BT371" i="31"/>
  <c r="BS371" i="31"/>
  <c r="S370" i="31"/>
  <c r="S385" i="31" s="1"/>
  <c r="R370" i="31"/>
  <c r="Q370" i="31"/>
  <c r="Q385" i="31" s="1"/>
  <c r="CT370" i="31"/>
  <c r="CS370" i="31"/>
  <c r="CR370" i="31"/>
  <c r="CQ370" i="31"/>
  <c r="CN369" i="31"/>
  <c r="CJ369" i="31"/>
  <c r="BV369" i="31"/>
  <c r="BU369" i="31"/>
  <c r="BT369" i="31"/>
  <c r="BS369" i="31"/>
  <c r="BV368" i="31"/>
  <c r="BU368" i="31"/>
  <c r="BT368" i="31"/>
  <c r="BS368" i="31"/>
  <c r="CH367" i="31"/>
  <c r="CH403" i="31" s="1"/>
  <c r="CG367" i="31"/>
  <c r="CG369" i="31" s="1"/>
  <c r="CF367" i="31"/>
  <c r="CE367" i="31"/>
  <c r="CE403" i="31" s="1"/>
  <c r="CT367" i="31"/>
  <c r="CP367" i="31"/>
  <c r="CP368" i="31" s="1"/>
  <c r="CO367" i="31"/>
  <c r="CO368" i="31" s="1"/>
  <c r="CN367" i="31"/>
  <c r="CN368" i="31" s="1"/>
  <c r="CM367" i="31"/>
  <c r="CL367" i="31"/>
  <c r="CL368" i="31" s="1"/>
  <c r="CK367" i="31"/>
  <c r="CK369" i="31" s="1"/>
  <c r="CJ367" i="31"/>
  <c r="CJ403" i="31" s="1"/>
  <c r="CI367" i="31"/>
  <c r="CT366" i="31"/>
  <c r="CP366" i="31"/>
  <c r="CO366" i="31"/>
  <c r="CN366" i="31"/>
  <c r="CM366" i="31"/>
  <c r="CL366" i="31"/>
  <c r="CK366" i="31"/>
  <c r="CJ366" i="31"/>
  <c r="CI366" i="31"/>
  <c r="CH366" i="31"/>
  <c r="CG366" i="31"/>
  <c r="CF366" i="31"/>
  <c r="CP365" i="31"/>
  <c r="CO365" i="31"/>
  <c r="CN365" i="31"/>
  <c r="CM365" i="31"/>
  <c r="CL365" i="31"/>
  <c r="CK365" i="31"/>
  <c r="CJ365" i="31"/>
  <c r="CI365" i="31"/>
  <c r="BV366" i="31"/>
  <c r="BU366" i="31"/>
  <c r="BT366" i="31"/>
  <c r="BS366" i="31"/>
  <c r="BV365" i="31"/>
  <c r="BU365" i="31"/>
  <c r="BT365" i="31"/>
  <c r="BS365" i="31"/>
  <c r="S365" i="31"/>
  <c r="R365" i="31"/>
  <c r="Z365" i="31"/>
  <c r="AA365" i="31" s="1"/>
  <c r="AB365" i="31" s="1"/>
  <c r="AC365" i="31" s="1"/>
  <c r="AD365" i="31" s="1"/>
  <c r="AE365" i="31" s="1"/>
  <c r="AF365" i="31" s="1"/>
  <c r="Y365" i="31"/>
  <c r="X365" i="31"/>
  <c r="W365" i="31"/>
  <c r="S364" i="31"/>
  <c r="R364" i="31"/>
  <c r="Q364" i="31"/>
  <c r="CT364" i="31"/>
  <c r="T364" i="31" s="1"/>
  <c r="CS364" i="31"/>
  <c r="CS366" i="31" s="1"/>
  <c r="CR364" i="31"/>
  <c r="CR366" i="31" s="1"/>
  <c r="CQ364" i="31"/>
  <c r="CQ366" i="31" s="1"/>
  <c r="CT363" i="31"/>
  <c r="CP363" i="31"/>
  <c r="CO363" i="31"/>
  <c r="CN363" i="31"/>
  <c r="CM363" i="31"/>
  <c r="CL363" i="31"/>
  <c r="CK363" i="31"/>
  <c r="CJ363" i="31"/>
  <c r="CI363" i="31"/>
  <c r="CH363" i="31"/>
  <c r="CG363" i="31"/>
  <c r="CF363" i="31"/>
  <c r="CP362" i="31"/>
  <c r="CO362" i="31"/>
  <c r="CN362" i="31"/>
  <c r="CM362" i="31"/>
  <c r="CL362" i="31"/>
  <c r="CK362" i="31"/>
  <c r="CJ362" i="31"/>
  <c r="CI362" i="31"/>
  <c r="BV363" i="31"/>
  <c r="BU363" i="31"/>
  <c r="BT363" i="31"/>
  <c r="BS363" i="31"/>
  <c r="BV362" i="31"/>
  <c r="BU362" i="31"/>
  <c r="BT362" i="31"/>
  <c r="BS362" i="31"/>
  <c r="S361" i="31"/>
  <c r="R361" i="31"/>
  <c r="Q361" i="31"/>
  <c r="CT361" i="31"/>
  <c r="CT463" i="31" s="1"/>
  <c r="CS361" i="31"/>
  <c r="CS463" i="31" s="1"/>
  <c r="CR361" i="31"/>
  <c r="CQ361" i="31"/>
  <c r="CQ463" i="31" s="1"/>
  <c r="CP360" i="31"/>
  <c r="CO360" i="31"/>
  <c r="CN360" i="31"/>
  <c r="CM360" i="31"/>
  <c r="CL360" i="31"/>
  <c r="CK360" i="31"/>
  <c r="CJ360" i="31"/>
  <c r="CI360" i="31"/>
  <c r="CH360" i="31"/>
  <c r="CG360" i="31"/>
  <c r="CF360" i="31"/>
  <c r="CP359" i="31"/>
  <c r="CO359" i="31"/>
  <c r="CN359" i="31"/>
  <c r="CM359" i="31"/>
  <c r="CL359" i="31"/>
  <c r="CK359" i="31"/>
  <c r="CJ359" i="31"/>
  <c r="CI359" i="31"/>
  <c r="BV360" i="31"/>
  <c r="BU360" i="31"/>
  <c r="BT360" i="31"/>
  <c r="BS360" i="31"/>
  <c r="BV359" i="31"/>
  <c r="BU359" i="31"/>
  <c r="BT359" i="31"/>
  <c r="BS359" i="31"/>
  <c r="R359" i="31"/>
  <c r="Y359" i="31"/>
  <c r="Z359" i="31" s="1"/>
  <c r="AA359" i="31" s="1"/>
  <c r="AB359" i="31" s="1"/>
  <c r="AC359" i="31" s="1"/>
  <c r="AD359" i="31" s="1"/>
  <c r="AE359" i="31" s="1"/>
  <c r="AF359" i="31" s="1"/>
  <c r="X359" i="31"/>
  <c r="W359" i="31"/>
  <c r="S358" i="31"/>
  <c r="S359" i="31" s="1"/>
  <c r="R358" i="31"/>
  <c r="Q358" i="31"/>
  <c r="CP357" i="31"/>
  <c r="CO357" i="31"/>
  <c r="CN357" i="31"/>
  <c r="CM357" i="31"/>
  <c r="CL357" i="31"/>
  <c r="CK357" i="31"/>
  <c r="CJ357" i="31"/>
  <c r="CI357" i="31"/>
  <c r="CH357" i="31"/>
  <c r="CG357" i="31"/>
  <c r="CF357" i="31"/>
  <c r="CT358" i="31"/>
  <c r="CT360" i="31" s="1"/>
  <c r="CS358" i="31"/>
  <c r="CS360" i="31" s="1"/>
  <c r="CR358" i="31"/>
  <c r="CR360" i="31" s="1"/>
  <c r="CQ358" i="31"/>
  <c r="CQ360" i="31" s="1"/>
  <c r="CT357" i="31"/>
  <c r="CS357" i="31"/>
  <c r="CR357" i="31"/>
  <c r="CQ357" i="31"/>
  <c r="CT356" i="31"/>
  <c r="CS356" i="31"/>
  <c r="CR356" i="31"/>
  <c r="CQ356" i="31"/>
  <c r="CP356" i="31"/>
  <c r="CO356" i="31"/>
  <c r="CN356" i="31"/>
  <c r="CM356" i="31"/>
  <c r="CL356" i="31"/>
  <c r="CK356" i="31"/>
  <c r="BV357" i="31"/>
  <c r="BU357" i="31"/>
  <c r="BT357" i="31"/>
  <c r="BS357" i="31"/>
  <c r="BV356" i="31"/>
  <c r="BU356" i="31"/>
  <c r="BT356" i="31"/>
  <c r="BS356" i="31"/>
  <c r="R356" i="31"/>
  <c r="R355" i="31"/>
  <c r="AC355" i="31"/>
  <c r="AD355" i="31" s="1"/>
  <c r="AE355" i="31" s="1"/>
  <c r="AF355" i="31" s="1"/>
  <c r="U355" i="31"/>
  <c r="V355" i="31" s="1"/>
  <c r="W355" i="31" s="1"/>
  <c r="X355" i="31" s="1"/>
  <c r="Y355" i="31" s="1"/>
  <c r="Z355" i="31" s="1"/>
  <c r="AA355" i="31" s="1"/>
  <c r="AB355" i="31" s="1"/>
  <c r="T355" i="31"/>
  <c r="S355" i="31"/>
  <c r="Q355" i="31"/>
  <c r="CT354" i="31"/>
  <c r="CQ354" i="31"/>
  <c r="CP354" i="31"/>
  <c r="CO354" i="31"/>
  <c r="CN354" i="31"/>
  <c r="CM354" i="31"/>
  <c r="CL354" i="31"/>
  <c r="CK354" i="31"/>
  <c r="CJ354" i="31"/>
  <c r="CI354" i="31"/>
  <c r="CH354" i="31"/>
  <c r="CG354" i="31"/>
  <c r="CF354" i="31"/>
  <c r="CP353" i="31"/>
  <c r="CO353" i="31"/>
  <c r="CN353" i="31"/>
  <c r="CM353" i="31"/>
  <c r="CL353" i="31"/>
  <c r="CK353" i="31"/>
  <c r="CJ353" i="31"/>
  <c r="CI353" i="31"/>
  <c r="BV354" i="31"/>
  <c r="BU354" i="31"/>
  <c r="BT354" i="31"/>
  <c r="BS354" i="31"/>
  <c r="BV353" i="31"/>
  <c r="BU353" i="31"/>
  <c r="BT353" i="31"/>
  <c r="BS353" i="31"/>
  <c r="CT352" i="31"/>
  <c r="CS352" i="31"/>
  <c r="CR352" i="31"/>
  <c r="CQ352" i="31"/>
  <c r="CQ367" i="31" s="1"/>
  <c r="CD352" i="31"/>
  <c r="CE354" i="31" s="1"/>
  <c r="CC352" i="31"/>
  <c r="CB352" i="31"/>
  <c r="CB354" i="31" s="1"/>
  <c r="CA352" i="31"/>
  <c r="CE353" i="31" s="1"/>
  <c r="BZ352" i="31"/>
  <c r="CA354" i="31" s="1"/>
  <c r="BY352" i="31"/>
  <c r="O352" i="31" s="1"/>
  <c r="S352" i="31"/>
  <c r="R352" i="31"/>
  <c r="Q352" i="31"/>
  <c r="Q367" i="31" s="1"/>
  <c r="BY338" i="31"/>
  <c r="BX338" i="31"/>
  <c r="BU338" i="31"/>
  <c r="BT338" i="31"/>
  <c r="BZ337" i="31"/>
  <c r="BY337" i="31"/>
  <c r="BV337" i="31"/>
  <c r="BU337" i="31"/>
  <c r="BR337" i="31"/>
  <c r="BQ337" i="31"/>
  <c r="BM330" i="31"/>
  <c r="BZ327" i="31"/>
  <c r="BY327" i="31"/>
  <c r="BY341" i="31" s="1"/>
  <c r="BY344" i="31" s="1"/>
  <c r="BV327" i="31"/>
  <c r="BU327" i="31"/>
  <c r="BQ327" i="31"/>
  <c r="CA324" i="31"/>
  <c r="BZ324" i="31"/>
  <c r="BZ331" i="31" s="1"/>
  <c r="BY324" i="31"/>
  <c r="BY331" i="31" s="1"/>
  <c r="BX324" i="31"/>
  <c r="BW324" i="31"/>
  <c r="BV324" i="31"/>
  <c r="BV331" i="31" s="1"/>
  <c r="BU324" i="31"/>
  <c r="BU331" i="31" s="1"/>
  <c r="BT324" i="31"/>
  <c r="BS324" i="31"/>
  <c r="BQ324" i="31"/>
  <c r="BQ331" i="31" s="1"/>
  <c r="BP324" i="31"/>
  <c r="CA323" i="31"/>
  <c r="CA330" i="31" s="1"/>
  <c r="BZ323" i="31"/>
  <c r="BZ330" i="31" s="1"/>
  <c r="BY323" i="31"/>
  <c r="BX323" i="31"/>
  <c r="BW323" i="31"/>
  <c r="BW330" i="31" s="1"/>
  <c r="BV323" i="31"/>
  <c r="BV330" i="31" s="1"/>
  <c r="BU323" i="31"/>
  <c r="BT323" i="31"/>
  <c r="BS323" i="31"/>
  <c r="BS330" i="31" s="1"/>
  <c r="BR323" i="31"/>
  <c r="BR330" i="31" s="1"/>
  <c r="BQ323" i="31"/>
  <c r="BP323" i="31"/>
  <c r="BO323" i="31"/>
  <c r="BO330" i="31" s="1"/>
  <c r="BN323" i="31"/>
  <c r="BN330" i="31" s="1"/>
  <c r="BM323" i="31"/>
  <c r="BL323" i="31"/>
  <c r="BK323" i="31"/>
  <c r="BK330" i="31" s="1"/>
  <c r="CB308" i="31"/>
  <c r="CB318" i="31" s="1"/>
  <c r="CA308" i="31"/>
  <c r="CA318" i="31" s="1"/>
  <c r="BZ308" i="31"/>
  <c r="BY308" i="31"/>
  <c r="BY318" i="31" s="1"/>
  <c r="CB307" i="31"/>
  <c r="CA307" i="31"/>
  <c r="CL308" i="31"/>
  <c r="CL319" i="31" s="1"/>
  <c r="CK308" i="31"/>
  <c r="CJ308" i="31"/>
  <c r="CJ318" i="31" s="1"/>
  <c r="CI308" i="31"/>
  <c r="CI318" i="31" s="1"/>
  <c r="CH308" i="31"/>
  <c r="CH319" i="31" s="1"/>
  <c r="CG308" i="31"/>
  <c r="CF308" i="31"/>
  <c r="CF318" i="31" s="1"/>
  <c r="CE308" i="31"/>
  <c r="CE318" i="31" s="1"/>
  <c r="CD308" i="31"/>
  <c r="CD319" i="31" s="1"/>
  <c r="CC308" i="31"/>
  <c r="CL307" i="31"/>
  <c r="CK307" i="31"/>
  <c r="CJ307" i="31"/>
  <c r="CI307" i="31"/>
  <c r="CH307" i="31"/>
  <c r="CG307" i="31"/>
  <c r="CF307" i="31"/>
  <c r="CE307" i="31"/>
  <c r="CD307" i="31"/>
  <c r="CC307" i="31"/>
  <c r="CL306" i="31"/>
  <c r="CK306" i="31"/>
  <c r="CJ306" i="31"/>
  <c r="CI306" i="31"/>
  <c r="CH306" i="31"/>
  <c r="CG306" i="31"/>
  <c r="CF306" i="31"/>
  <c r="CE306" i="31"/>
  <c r="CD306" i="31"/>
  <c r="CC306" i="31"/>
  <c r="R305" i="31"/>
  <c r="Q305" i="31"/>
  <c r="P305" i="31"/>
  <c r="CL304" i="31"/>
  <c r="CK304" i="31"/>
  <c r="CJ304" i="31"/>
  <c r="CI304" i="31"/>
  <c r="CH304" i="31"/>
  <c r="CG304" i="31"/>
  <c r="CF304" i="31"/>
  <c r="CE304" i="31"/>
  <c r="CD304" i="31"/>
  <c r="CC304" i="31"/>
  <c r="CB304" i="31"/>
  <c r="CA304" i="31"/>
  <c r="BZ304" i="31"/>
  <c r="CL303" i="31"/>
  <c r="CK303" i="31"/>
  <c r="CJ303" i="31"/>
  <c r="CI303" i="31"/>
  <c r="CH303" i="31"/>
  <c r="CG303" i="31"/>
  <c r="CF303" i="31"/>
  <c r="CE303" i="31"/>
  <c r="CD303" i="31"/>
  <c r="CC303" i="31"/>
  <c r="BV304" i="31"/>
  <c r="BU304" i="31"/>
  <c r="BT304" i="31"/>
  <c r="BS304" i="31"/>
  <c r="BV303" i="31"/>
  <c r="BU303" i="31"/>
  <c r="BT303" i="31"/>
  <c r="BS303" i="31"/>
  <c r="R302" i="31"/>
  <c r="Q302" i="31"/>
  <c r="P302" i="31"/>
  <c r="CL301" i="31"/>
  <c r="CK301" i="31"/>
  <c r="CJ301" i="31"/>
  <c r="CI301" i="31"/>
  <c r="CH301" i="31"/>
  <c r="CG301" i="31"/>
  <c r="CF301" i="31"/>
  <c r="CE301" i="31"/>
  <c r="CD301" i="31"/>
  <c r="CC301" i="31"/>
  <c r="CB301" i="31"/>
  <c r="CA301" i="31"/>
  <c r="BZ301" i="31"/>
  <c r="CL300" i="31"/>
  <c r="CK300" i="31"/>
  <c r="CJ300" i="31"/>
  <c r="CI300" i="31"/>
  <c r="CH300" i="31"/>
  <c r="CG300" i="31"/>
  <c r="CF300" i="31"/>
  <c r="CE300" i="31"/>
  <c r="CD300" i="31"/>
  <c r="CC300" i="31"/>
  <c r="BV301" i="31"/>
  <c r="BU301" i="31"/>
  <c r="BT301" i="31"/>
  <c r="BS301" i="31"/>
  <c r="BV300" i="31"/>
  <c r="BU300" i="31"/>
  <c r="BT300" i="31"/>
  <c r="BS300" i="31"/>
  <c r="R299" i="31"/>
  <c r="Q299" i="31"/>
  <c r="P299" i="31"/>
  <c r="CL298" i="31"/>
  <c r="CK298" i="31"/>
  <c r="CJ298" i="31"/>
  <c r="CI298" i="31"/>
  <c r="CH298" i="31"/>
  <c r="CG298" i="31"/>
  <c r="CF298" i="31"/>
  <c r="CE298" i="31"/>
  <c r="CD298" i="31"/>
  <c r="CC298" i="31"/>
  <c r="CB298" i="31"/>
  <c r="CA298" i="31"/>
  <c r="BZ298" i="31"/>
  <c r="CL297" i="31"/>
  <c r="CK297" i="31"/>
  <c r="CJ297" i="31"/>
  <c r="CI297" i="31"/>
  <c r="CH297" i="31"/>
  <c r="CG297" i="31"/>
  <c r="CF297" i="31"/>
  <c r="CE297" i="31"/>
  <c r="CD297" i="31"/>
  <c r="CC297" i="31"/>
  <c r="BV298" i="31"/>
  <c r="BU298" i="31"/>
  <c r="BT298" i="31"/>
  <c r="BS298" i="31"/>
  <c r="BV297" i="31"/>
  <c r="BU297" i="31"/>
  <c r="BT297" i="31"/>
  <c r="BS297" i="31"/>
  <c r="R296" i="31"/>
  <c r="Q296" i="31"/>
  <c r="P296" i="31"/>
  <c r="CL295" i="31"/>
  <c r="CK295" i="31"/>
  <c r="CJ295" i="31"/>
  <c r="CI295" i="31"/>
  <c r="CH295" i="31"/>
  <c r="CG295" i="31"/>
  <c r="CF295" i="31"/>
  <c r="CE295" i="31"/>
  <c r="CD295" i="31"/>
  <c r="CC295" i="31"/>
  <c r="CB295" i="31"/>
  <c r="CA295" i="31"/>
  <c r="BZ295" i="31"/>
  <c r="CL294" i="31"/>
  <c r="CK294" i="31"/>
  <c r="CJ294" i="31"/>
  <c r="CI294" i="31"/>
  <c r="CH294" i="31"/>
  <c r="CG294" i="31"/>
  <c r="CF294" i="31"/>
  <c r="BV295" i="31"/>
  <c r="BU295" i="31"/>
  <c r="BT295" i="31"/>
  <c r="BS295" i="31"/>
  <c r="BV294" i="31"/>
  <c r="BU294" i="31"/>
  <c r="BT294" i="31"/>
  <c r="BS294" i="31"/>
  <c r="R293" i="31"/>
  <c r="Q293" i="31"/>
  <c r="P293" i="31"/>
  <c r="CL292" i="31"/>
  <c r="CK292" i="31"/>
  <c r="CJ292" i="31"/>
  <c r="CI292" i="31"/>
  <c r="CH292" i="31"/>
  <c r="CG292" i="31"/>
  <c r="CF292" i="31"/>
  <c r="CE292" i="31"/>
  <c r="CD292" i="31"/>
  <c r="CC292" i="31"/>
  <c r="CB292" i="31"/>
  <c r="CA292" i="31"/>
  <c r="BZ292" i="31"/>
  <c r="CL291" i="31"/>
  <c r="CK291" i="31"/>
  <c r="CJ291" i="31"/>
  <c r="CI291" i="31"/>
  <c r="CH291" i="31"/>
  <c r="CG291" i="31"/>
  <c r="CF291" i="31"/>
  <c r="CE291" i="31"/>
  <c r="CD291" i="31"/>
  <c r="CC291" i="31"/>
  <c r="BV292" i="31"/>
  <c r="BU292" i="31"/>
  <c r="BT292" i="31"/>
  <c r="BS292" i="31"/>
  <c r="BV291" i="31"/>
  <c r="BU291" i="31"/>
  <c r="BT291" i="31"/>
  <c r="BS291" i="31"/>
  <c r="P290" i="31"/>
  <c r="CL289" i="31"/>
  <c r="CK289" i="31"/>
  <c r="CJ289" i="31"/>
  <c r="CI289" i="31"/>
  <c r="CH289" i="31"/>
  <c r="CG289" i="31"/>
  <c r="CF289" i="31"/>
  <c r="CE289" i="31"/>
  <c r="CD289" i="31"/>
  <c r="CC289" i="31"/>
  <c r="CB289" i="31"/>
  <c r="CA289" i="31"/>
  <c r="BZ289" i="31"/>
  <c r="CL288" i="31"/>
  <c r="CK288" i="31"/>
  <c r="CJ288" i="31"/>
  <c r="CI288" i="31"/>
  <c r="CH288" i="31"/>
  <c r="CG288" i="31"/>
  <c r="CF288" i="31"/>
  <c r="CE288" i="31"/>
  <c r="CD288" i="31"/>
  <c r="CC288" i="31"/>
  <c r="BV289" i="31"/>
  <c r="BU289" i="31"/>
  <c r="BT289" i="31"/>
  <c r="BS289" i="31"/>
  <c r="BV288" i="31"/>
  <c r="BU288" i="31"/>
  <c r="BT288" i="31"/>
  <c r="BS288" i="31"/>
  <c r="R290" i="31"/>
  <c r="Q290" i="31"/>
  <c r="R287" i="31"/>
  <c r="R288" i="31" s="1"/>
  <c r="Q287" i="31"/>
  <c r="P287" i="31"/>
  <c r="BT284" i="31"/>
  <c r="BS284" i="31"/>
  <c r="BR284" i="31"/>
  <c r="BQ284" i="31"/>
  <c r="BP284" i="31"/>
  <c r="BO284" i="31"/>
  <c r="BN284" i="31"/>
  <c r="BM284" i="31"/>
  <c r="BL284" i="31"/>
  <c r="BK284" i="31"/>
  <c r="BJ284" i="31"/>
  <c r="BI284" i="31"/>
  <c r="BH284" i="31"/>
  <c r="BG284" i="31"/>
  <c r="BT283" i="31"/>
  <c r="BS283" i="31"/>
  <c r="BR283" i="31"/>
  <c r="BQ283" i="31"/>
  <c r="BP283" i="31"/>
  <c r="BO283" i="31"/>
  <c r="BN283" i="31"/>
  <c r="BM283" i="31"/>
  <c r="BL283" i="31"/>
  <c r="BK283" i="31"/>
  <c r="BJ283" i="31"/>
  <c r="BI283" i="31"/>
  <c r="BH283" i="31"/>
  <c r="BG283" i="31"/>
  <c r="BF283" i="31"/>
  <c r="BE283" i="31"/>
  <c r="BD283" i="31"/>
  <c r="M282" i="31"/>
  <c r="M283" i="31" s="1"/>
  <c r="L282" i="31"/>
  <c r="BR275" i="31"/>
  <c r="BQ275" i="31"/>
  <c r="BP275" i="31"/>
  <c r="CC275" i="31"/>
  <c r="CB275" i="31"/>
  <c r="CB276" i="31" s="1"/>
  <c r="CA275" i="31"/>
  <c r="BZ275" i="31"/>
  <c r="BY275" i="31"/>
  <c r="BX275" i="31"/>
  <c r="BX276" i="31" s="1"/>
  <c r="BW275" i="31"/>
  <c r="BV275" i="31"/>
  <c r="BV276" i="31" s="1"/>
  <c r="BU275" i="31"/>
  <c r="BU276" i="31" s="1"/>
  <c r="BT275" i="31"/>
  <c r="BT276" i="31" s="1"/>
  <c r="BS275" i="31"/>
  <c r="CC274" i="31"/>
  <c r="CB274" i="31"/>
  <c r="CA274" i="31"/>
  <c r="BZ274" i="31"/>
  <c r="BY274" i="31"/>
  <c r="BX274" i="31"/>
  <c r="BW274" i="31"/>
  <c r="BV274" i="31"/>
  <c r="BU274" i="31"/>
  <c r="BT274" i="31"/>
  <c r="BS274" i="31"/>
  <c r="CC273" i="31"/>
  <c r="CB273" i="31"/>
  <c r="CA273" i="31"/>
  <c r="BZ273" i="31"/>
  <c r="BY273" i="31"/>
  <c r="BX273" i="31"/>
  <c r="BW273" i="31"/>
  <c r="BV273" i="31"/>
  <c r="BU273" i="31"/>
  <c r="BT273" i="31"/>
  <c r="BS273" i="31"/>
  <c r="BO272" i="31"/>
  <c r="BO275" i="31" s="1"/>
  <c r="O272" i="31"/>
  <c r="O273" i="31" s="1"/>
  <c r="N272" i="31"/>
  <c r="M272" i="31"/>
  <c r="N273" i="31" s="1"/>
  <c r="CC271" i="31"/>
  <c r="CB271" i="31"/>
  <c r="CA271" i="31"/>
  <c r="BZ271" i="31"/>
  <c r="BY271" i="31"/>
  <c r="BX271" i="31"/>
  <c r="BW271" i="31"/>
  <c r="BV271" i="31"/>
  <c r="BU271" i="31"/>
  <c r="BT271" i="31"/>
  <c r="BS271" i="31"/>
  <c r="CC270" i="31"/>
  <c r="CB270" i="31"/>
  <c r="CA270" i="31"/>
  <c r="BZ270" i="31"/>
  <c r="BY270" i="31"/>
  <c r="BX270" i="31"/>
  <c r="BW270" i="31"/>
  <c r="BV270" i="31"/>
  <c r="BU270" i="31"/>
  <c r="BT270" i="31"/>
  <c r="BS270" i="31"/>
  <c r="N270" i="31"/>
  <c r="O269" i="31"/>
  <c r="O270" i="31" s="1"/>
  <c r="N269" i="31"/>
  <c r="M269" i="31"/>
  <c r="CC268" i="31"/>
  <c r="CB268" i="31"/>
  <c r="CA268" i="31"/>
  <c r="BZ268" i="31"/>
  <c r="BY268" i="31"/>
  <c r="BX268" i="31"/>
  <c r="BW268" i="31"/>
  <c r="BV268" i="31"/>
  <c r="BU268" i="31"/>
  <c r="BT268" i="31"/>
  <c r="BS268" i="31"/>
  <c r="CC267" i="31"/>
  <c r="CB267" i="31"/>
  <c r="CA267" i="31"/>
  <c r="BZ267" i="31"/>
  <c r="BY267" i="31"/>
  <c r="BX267" i="31"/>
  <c r="BW267" i="31"/>
  <c r="BV267" i="31"/>
  <c r="BU267" i="31"/>
  <c r="BT267" i="31"/>
  <c r="BS267" i="31"/>
  <c r="O266" i="31"/>
  <c r="N266" i="31"/>
  <c r="M266" i="31"/>
  <c r="M275" i="31" s="1"/>
  <c r="CL262" i="31"/>
  <c r="CK262" i="31"/>
  <c r="CG262" i="31"/>
  <c r="CG264" i="31" s="1"/>
  <c r="CL260" i="31"/>
  <c r="CK260" i="31"/>
  <c r="CJ260" i="31"/>
  <c r="CI260" i="31"/>
  <c r="CI262" i="31" s="1"/>
  <c r="CH260" i="31"/>
  <c r="CH262" i="31" s="1"/>
  <c r="CG260" i="31"/>
  <c r="CF260" i="31"/>
  <c r="CE260" i="31"/>
  <c r="CE262" i="31" s="1"/>
  <c r="R260" i="31"/>
  <c r="Q260" i="31"/>
  <c r="A260" i="31"/>
  <c r="CL259" i="31"/>
  <c r="CK259" i="31"/>
  <c r="CH259" i="31"/>
  <c r="CG259" i="31"/>
  <c r="R257" i="31"/>
  <c r="CL258" i="31"/>
  <c r="CL257" i="31"/>
  <c r="CK257" i="31"/>
  <c r="CK258" i="31" s="1"/>
  <c r="CJ257" i="31"/>
  <c r="CJ262" i="31" s="1"/>
  <c r="CJ264" i="31" s="1"/>
  <c r="CI257" i="31"/>
  <c r="CH257" i="31"/>
  <c r="CG257" i="31"/>
  <c r="CF257" i="31"/>
  <c r="CF262" i="31" s="1"/>
  <c r="CF264" i="31" s="1"/>
  <c r="CE257" i="31"/>
  <c r="CF259" i="31" s="1"/>
  <c r="CL252" i="31"/>
  <c r="CK252" i="31"/>
  <c r="CI252" i="31"/>
  <c r="CH252" i="31"/>
  <c r="CH253" i="31" s="1"/>
  <c r="CG252" i="31"/>
  <c r="CF252" i="31"/>
  <c r="CE252" i="31"/>
  <c r="CD252" i="31"/>
  <c r="CD425" i="31" s="1"/>
  <c r="CL250" i="31"/>
  <c r="CK250" i="31"/>
  <c r="CJ250" i="31"/>
  <c r="CI250" i="31"/>
  <c r="CH250" i="31"/>
  <c r="CG250" i="31"/>
  <c r="CF250" i="31"/>
  <c r="CE250" i="31"/>
  <c r="CL249" i="31"/>
  <c r="CK249" i="31"/>
  <c r="CJ249" i="31"/>
  <c r="CI249" i="31"/>
  <c r="CH249" i="31"/>
  <c r="CC249" i="31"/>
  <c r="CC248" i="31"/>
  <c r="CD250" i="31" s="1"/>
  <c r="CB248" i="31"/>
  <c r="CA248" i="31"/>
  <c r="BZ248" i="31"/>
  <c r="CD249" i="31" s="1"/>
  <c r="BY248" i="31"/>
  <c r="BY249" i="31" s="1"/>
  <c r="BX248" i="31"/>
  <c r="BW248" i="31"/>
  <c r="BV248" i="31"/>
  <c r="BV249" i="31" s="1"/>
  <c r="BU248" i="31"/>
  <c r="BT248" i="31"/>
  <c r="BS248" i="31"/>
  <c r="BR248" i="31"/>
  <c r="BQ248" i="31"/>
  <c r="BU249" i="31" s="1"/>
  <c r="BP248" i="31"/>
  <c r="BO248" i="31"/>
  <c r="R248" i="31"/>
  <c r="Q248" i="31"/>
  <c r="CL247" i="31"/>
  <c r="CL246" i="31"/>
  <c r="CK246" i="31"/>
  <c r="CJ246" i="31"/>
  <c r="CI246" i="31"/>
  <c r="CH246" i="31"/>
  <c r="CG246" i="31"/>
  <c r="CF246" i="31"/>
  <c r="CE246" i="31"/>
  <c r="CD246" i="31"/>
  <c r="CC246" i="31"/>
  <c r="CL245" i="31"/>
  <c r="CK245" i="31"/>
  <c r="CJ245" i="31"/>
  <c r="CI245" i="31"/>
  <c r="CH245" i="31"/>
  <c r="CG245" i="31"/>
  <c r="CF245" i="31"/>
  <c r="CA244" i="31"/>
  <c r="P244" i="31" s="1"/>
  <c r="BZ244" i="31"/>
  <c r="BZ245" i="31" s="1"/>
  <c r="BY244" i="31"/>
  <c r="BX244" i="31"/>
  <c r="BW244" i="31"/>
  <c r="O244" i="31" s="1"/>
  <c r="BV244" i="31"/>
  <c r="BV245" i="31" s="1"/>
  <c r="BU244" i="31"/>
  <c r="BT244" i="31"/>
  <c r="BT245" i="31" s="1"/>
  <c r="BS244" i="31"/>
  <c r="N244" i="31" s="1"/>
  <c r="BR244" i="31"/>
  <c r="BQ244" i="31"/>
  <c r="BP244" i="31"/>
  <c r="BO244" i="31"/>
  <c r="R244" i="31"/>
  <c r="Q244" i="31"/>
  <c r="CL242" i="31"/>
  <c r="CI242" i="31"/>
  <c r="CH242" i="31"/>
  <c r="CG242" i="31"/>
  <c r="CF242" i="31"/>
  <c r="CE242" i="31"/>
  <c r="CD242" i="31"/>
  <c r="CC242" i="31"/>
  <c r="CL241" i="31"/>
  <c r="CK241" i="31"/>
  <c r="CI241" i="31"/>
  <c r="CH241" i="31"/>
  <c r="CG241" i="31"/>
  <c r="CF241" i="31"/>
  <c r="CL240" i="31"/>
  <c r="CJ240" i="31"/>
  <c r="CA241" i="31"/>
  <c r="BT241" i="31"/>
  <c r="CA240" i="31"/>
  <c r="BZ240" i="31"/>
  <c r="BZ241" i="31" s="1"/>
  <c r="BY240" i="31"/>
  <c r="BX240" i="31"/>
  <c r="BX241" i="31" s="1"/>
  <c r="BW240" i="31"/>
  <c r="BW241" i="31" s="1"/>
  <c r="BV240" i="31"/>
  <c r="BV241" i="31" s="1"/>
  <c r="BU240" i="31"/>
  <c r="BT240" i="31"/>
  <c r="BS240" i="31"/>
  <c r="BS241" i="31" s="1"/>
  <c r="BR240" i="31"/>
  <c r="BQ240" i="31"/>
  <c r="BP240" i="31"/>
  <c r="BO240" i="31"/>
  <c r="Q240" i="31"/>
  <c r="BR236" i="31"/>
  <c r="BR450" i="31" s="1"/>
  <c r="BQ236" i="31"/>
  <c r="BP236" i="31"/>
  <c r="BO236" i="31"/>
  <c r="BO450" i="31" s="1"/>
  <c r="BO454" i="31" s="1"/>
  <c r="N236" i="31"/>
  <c r="CC236" i="31"/>
  <c r="CC450" i="31" s="1"/>
  <c r="CB236" i="31"/>
  <c r="CB450" i="31" s="1"/>
  <c r="CA236" i="31"/>
  <c r="CA450" i="31" s="1"/>
  <c r="BZ236" i="31"/>
  <c r="BZ450" i="31" s="1"/>
  <c r="BY236" i="31"/>
  <c r="BY450" i="31" s="1"/>
  <c r="BX236" i="31"/>
  <c r="BW236" i="31"/>
  <c r="CC234" i="31"/>
  <c r="CB234" i="31"/>
  <c r="CA234" i="31"/>
  <c r="BZ234" i="31"/>
  <c r="BY234" i="31"/>
  <c r="BX234" i="31"/>
  <c r="BW234" i="31"/>
  <c r="BV236" i="31"/>
  <c r="BV450" i="31" s="1"/>
  <c r="BU236" i="31"/>
  <c r="BU450" i="31" s="1"/>
  <c r="BT236" i="31"/>
  <c r="BS236" i="31"/>
  <c r="BV234" i="31"/>
  <c r="BU234" i="31"/>
  <c r="BT234" i="31"/>
  <c r="BS234" i="31"/>
  <c r="BR234" i="31"/>
  <c r="BQ234" i="31"/>
  <c r="BP234" i="31"/>
  <c r="CC233" i="31"/>
  <c r="CB233" i="31"/>
  <c r="CA233" i="31"/>
  <c r="BZ233" i="31"/>
  <c r="BY233" i="31"/>
  <c r="BX233" i="31"/>
  <c r="BW233" i="31"/>
  <c r="BV233" i="31"/>
  <c r="BU233" i="31"/>
  <c r="BT233" i="31"/>
  <c r="BS233" i="31"/>
  <c r="CG232" i="31"/>
  <c r="CK232" i="31" s="1"/>
  <c r="CF232" i="31"/>
  <c r="CJ232" i="31" s="1"/>
  <c r="CJ236" i="31" s="1"/>
  <c r="CE232" i="31"/>
  <c r="CI232" i="31" s="1"/>
  <c r="CD232" i="31"/>
  <c r="P232" i="31"/>
  <c r="O232" i="31"/>
  <c r="O236" i="31" s="1"/>
  <c r="N232" i="31"/>
  <c r="M232" i="31"/>
  <c r="M236" i="31" s="1"/>
  <c r="CC227" i="31"/>
  <c r="CC439" i="31" s="1"/>
  <c r="CB227" i="31"/>
  <c r="CB439" i="31" s="1"/>
  <c r="CA227" i="31"/>
  <c r="CA439" i="31" s="1"/>
  <c r="BZ227" i="31"/>
  <c r="BZ439" i="31" s="1"/>
  <c r="BY227" i="31"/>
  <c r="BY439" i="31" s="1"/>
  <c r="BX227" i="31"/>
  <c r="BX439" i="31" s="1"/>
  <c r="BW227" i="31"/>
  <c r="BW439" i="31" s="1"/>
  <c r="BV227" i="31"/>
  <c r="BV439" i="31" s="1"/>
  <c r="BU227" i="31"/>
  <c r="BU439" i="31" s="1"/>
  <c r="BT227" i="31"/>
  <c r="BT439" i="31" s="1"/>
  <c r="BS227" i="31"/>
  <c r="BS439" i="31" s="1"/>
  <c r="BR227" i="31"/>
  <c r="BR439" i="31" s="1"/>
  <c r="BQ227" i="31"/>
  <c r="BQ439" i="31" s="1"/>
  <c r="BP227" i="31"/>
  <c r="BP439" i="31" s="1"/>
  <c r="BO227" i="31"/>
  <c r="BO439" i="31" s="1"/>
  <c r="BO443" i="31" s="1"/>
  <c r="O223" i="31"/>
  <c r="N223" i="31"/>
  <c r="M223" i="31"/>
  <c r="CK223" i="31"/>
  <c r="CG223" i="31"/>
  <c r="CF223" i="31"/>
  <c r="CJ223" i="31" s="1"/>
  <c r="CE223" i="31"/>
  <c r="CI223" i="31" s="1"/>
  <c r="CD223" i="31"/>
  <c r="CH223" i="31" s="1"/>
  <c r="CL223" i="31" s="1"/>
  <c r="CC221" i="31"/>
  <c r="CB221" i="31"/>
  <c r="CA221" i="31"/>
  <c r="BZ221" i="31"/>
  <c r="BY221" i="31"/>
  <c r="BX221" i="31"/>
  <c r="BW221" i="31"/>
  <c r="BV221" i="31"/>
  <c r="BU221" i="31"/>
  <c r="BT221" i="31"/>
  <c r="BR221" i="31"/>
  <c r="BQ221" i="31"/>
  <c r="BP221" i="31"/>
  <c r="CC220" i="31"/>
  <c r="CB220" i="31"/>
  <c r="CA220" i="31"/>
  <c r="BZ220" i="31"/>
  <c r="BY220" i="31"/>
  <c r="BX220" i="31"/>
  <c r="BW220" i="31"/>
  <c r="O219" i="31"/>
  <c r="N219" i="31"/>
  <c r="M219" i="31"/>
  <c r="CG219" i="31"/>
  <c r="CF219" i="31"/>
  <c r="CE219" i="31"/>
  <c r="CD219" i="31"/>
  <c r="CD221" i="31" s="1"/>
  <c r="CC217" i="31"/>
  <c r="CB217" i="31"/>
  <c r="CA217" i="31"/>
  <c r="BZ217" i="31"/>
  <c r="BY217" i="31"/>
  <c r="BX217" i="31"/>
  <c r="BW217" i="31"/>
  <c r="BV217" i="31"/>
  <c r="BU217" i="31"/>
  <c r="BT217" i="31"/>
  <c r="BR217" i="31"/>
  <c r="BQ217" i="31"/>
  <c r="BP217" i="31"/>
  <c r="CC216" i="31"/>
  <c r="CB216" i="31"/>
  <c r="CA216" i="31"/>
  <c r="BZ216" i="31"/>
  <c r="BY216" i="31"/>
  <c r="BX216" i="31"/>
  <c r="BW216" i="31"/>
  <c r="CG215" i="31"/>
  <c r="CK215" i="31" s="1"/>
  <c r="CK217" i="31" s="1"/>
  <c r="CF215" i="31"/>
  <c r="CJ215" i="31" s="1"/>
  <c r="CE215" i="31"/>
  <c r="CI215" i="31" s="1"/>
  <c r="CD215" i="31"/>
  <c r="O216" i="31"/>
  <c r="O215" i="31"/>
  <c r="N215" i="31"/>
  <c r="M215" i="31"/>
  <c r="BR211" i="31"/>
  <c r="CC209" i="31"/>
  <c r="CB209" i="31"/>
  <c r="CA209" i="31"/>
  <c r="BZ209" i="31"/>
  <c r="BY209" i="31"/>
  <c r="BY210" i="31" s="1"/>
  <c r="BX209" i="31"/>
  <c r="BY211" i="31" s="1"/>
  <c r="BW209" i="31"/>
  <c r="BV209" i="31"/>
  <c r="BU209" i="31"/>
  <c r="BT209" i="31"/>
  <c r="BT211" i="31" s="1"/>
  <c r="BS209" i="31"/>
  <c r="BS211" i="31" s="1"/>
  <c r="BR209" i="31"/>
  <c r="BQ209" i="31"/>
  <c r="BP209" i="31"/>
  <c r="BP211" i="31" s="1"/>
  <c r="BO209" i="31"/>
  <c r="CC206" i="31"/>
  <c r="CB206" i="31"/>
  <c r="CA206" i="31"/>
  <c r="BZ206" i="31"/>
  <c r="BY206" i="31"/>
  <c r="BX206" i="31"/>
  <c r="BW206" i="31"/>
  <c r="BV206" i="31"/>
  <c r="BU206" i="31"/>
  <c r="BT206" i="31"/>
  <c r="BS206" i="31"/>
  <c r="O205" i="31"/>
  <c r="O206" i="31" s="1"/>
  <c r="N205" i="31"/>
  <c r="N206" i="31" s="1"/>
  <c r="M205" i="31"/>
  <c r="CG205" i="31"/>
  <c r="CK205" i="31" s="1"/>
  <c r="CF205" i="31"/>
  <c r="CJ205" i="31" s="1"/>
  <c r="CE205" i="31"/>
  <c r="CI205" i="31" s="1"/>
  <c r="CD205" i="31"/>
  <c r="CH205" i="31" s="1"/>
  <c r="CL205" i="31" s="1"/>
  <c r="CC203" i="31"/>
  <c r="CB203" i="31"/>
  <c r="CA203" i="31"/>
  <c r="BZ203" i="31"/>
  <c r="BY203" i="31"/>
  <c r="BX203" i="31"/>
  <c r="BW203" i="31"/>
  <c r="BV203" i="31"/>
  <c r="BU203" i="31"/>
  <c r="BT203" i="31"/>
  <c r="BR203" i="31"/>
  <c r="BQ203" i="31"/>
  <c r="BP203" i="31"/>
  <c r="CC202" i="31"/>
  <c r="CB202" i="31"/>
  <c r="CA202" i="31"/>
  <c r="BZ202" i="31"/>
  <c r="BY202" i="31"/>
  <c r="BX202" i="31"/>
  <c r="BW202" i="31"/>
  <c r="O201" i="31"/>
  <c r="N201" i="31"/>
  <c r="M201" i="31"/>
  <c r="CG201" i="31"/>
  <c r="CF201" i="31"/>
  <c r="CE201" i="31"/>
  <c r="CD201" i="31"/>
  <c r="CG199" i="31"/>
  <c r="CC199" i="31"/>
  <c r="CB199" i="31"/>
  <c r="CA199" i="31"/>
  <c r="BZ199" i="31"/>
  <c r="BY199" i="31"/>
  <c r="BX199" i="31"/>
  <c r="BW199" i="31"/>
  <c r="BV199" i="31"/>
  <c r="BU199" i="31"/>
  <c r="BT199" i="31"/>
  <c r="BR199" i="31"/>
  <c r="BQ199" i="31"/>
  <c r="BP199" i="31"/>
  <c r="CC198" i="31"/>
  <c r="CB198" i="31"/>
  <c r="CA198" i="31"/>
  <c r="BZ198" i="31"/>
  <c r="BY198" i="31"/>
  <c r="BX198" i="31"/>
  <c r="BW198" i="31"/>
  <c r="CK197" i="31"/>
  <c r="CG197" i="31"/>
  <c r="CF197" i="31"/>
  <c r="CE197" i="31"/>
  <c r="CI197" i="31" s="1"/>
  <c r="CD197" i="31"/>
  <c r="O197" i="31"/>
  <c r="N197" i="31"/>
  <c r="M197" i="31"/>
  <c r="CM193" i="31"/>
  <c r="CH191" i="31"/>
  <c r="CG189" i="31"/>
  <c r="CH187" i="31"/>
  <c r="CH189" i="31" s="1"/>
  <c r="CG187" i="31"/>
  <c r="CF187" i="31"/>
  <c r="CE187" i="31"/>
  <c r="CF186" i="31"/>
  <c r="U187" i="31"/>
  <c r="CH183" i="31"/>
  <c r="CG183" i="31"/>
  <c r="CF183" i="31"/>
  <c r="CF185" i="31" s="1"/>
  <c r="CE183" i="31"/>
  <c r="CN189" i="31"/>
  <c r="CJ189" i="31"/>
  <c r="CJ188" i="31"/>
  <c r="CT187" i="31"/>
  <c r="CS187" i="31"/>
  <c r="CR187" i="31"/>
  <c r="CR188" i="31" s="1"/>
  <c r="CQ187" i="31"/>
  <c r="CQ190" i="31" s="1"/>
  <c r="CP187" i="31"/>
  <c r="CO187" i="31"/>
  <c r="CN187" i="31"/>
  <c r="CN188" i="31" s="1"/>
  <c r="CM187" i="31"/>
  <c r="CM190" i="31" s="1"/>
  <c r="CL187" i="31"/>
  <c r="CK187" i="31"/>
  <c r="CJ187" i="31"/>
  <c r="CJ190" i="31" s="1"/>
  <c r="CI187" i="31"/>
  <c r="CN184" i="31"/>
  <c r="CT183" i="31"/>
  <c r="CS183" i="31"/>
  <c r="CR183" i="31"/>
  <c r="CQ183" i="31"/>
  <c r="CP183" i="31"/>
  <c r="CO183" i="31"/>
  <c r="CN183" i="31"/>
  <c r="CM183" i="31"/>
  <c r="CL183" i="31"/>
  <c r="CK183" i="31"/>
  <c r="CJ183" i="31"/>
  <c r="CI183" i="31"/>
  <c r="CJ182" i="31"/>
  <c r="CR180" i="31"/>
  <c r="CT179" i="31"/>
  <c r="CT191" i="31" s="1"/>
  <c r="CS179" i="31"/>
  <c r="CS191" i="31" s="1"/>
  <c r="CR179" i="31"/>
  <c r="T179" i="31" s="1"/>
  <c r="CQ179" i="31"/>
  <c r="CQ191" i="31" s="1"/>
  <c r="CP179" i="31"/>
  <c r="CP191" i="31" s="1"/>
  <c r="CO179" i="31"/>
  <c r="CO191" i="31" s="1"/>
  <c r="CN179" i="31"/>
  <c r="CN180" i="31" s="1"/>
  <c r="CM179" i="31"/>
  <c r="CM191" i="31" s="1"/>
  <c r="CL179" i="31"/>
  <c r="CL191" i="31" s="1"/>
  <c r="CK179" i="31"/>
  <c r="CK191" i="31" s="1"/>
  <c r="CJ179" i="31"/>
  <c r="CJ180" i="31" s="1"/>
  <c r="CI179" i="31"/>
  <c r="CI191" i="31" s="1"/>
  <c r="CH179" i="31"/>
  <c r="CG179" i="31"/>
  <c r="CG191" i="31" s="1"/>
  <c r="CF179" i="31"/>
  <c r="Q179" i="31" s="1"/>
  <c r="CE179" i="31"/>
  <c r="CE191" i="31" s="1"/>
  <c r="BV176" i="31"/>
  <c r="BQ176" i="31"/>
  <c r="BX176" i="31"/>
  <c r="CF175" i="31"/>
  <c r="CR174" i="31"/>
  <c r="CR413" i="31" s="1"/>
  <c r="CN174" i="31"/>
  <c r="CJ174" i="31"/>
  <c r="CJ413" i="31" s="1"/>
  <c r="CF174" i="31"/>
  <c r="CF413" i="31" s="1"/>
  <c r="CD174" i="31"/>
  <c r="CD413" i="31" s="1"/>
  <c r="CC174" i="31"/>
  <c r="CC413" i="31" s="1"/>
  <c r="CB174" i="31"/>
  <c r="CB413" i="31" s="1"/>
  <c r="CA174" i="31"/>
  <c r="CA413" i="31" s="1"/>
  <c r="BZ174" i="31"/>
  <c r="BZ413" i="31" s="1"/>
  <c r="BY174" i="31"/>
  <c r="BY413" i="31" s="1"/>
  <c r="BX174" i="31"/>
  <c r="BX413" i="31" s="1"/>
  <c r="BW174" i="31"/>
  <c r="BW413" i="31" s="1"/>
  <c r="BV174" i="31"/>
  <c r="BV413" i="31" s="1"/>
  <c r="BU174" i="31"/>
  <c r="BU413" i="31" s="1"/>
  <c r="BT174" i="31"/>
  <c r="BS174" i="31"/>
  <c r="BS413" i="31" s="1"/>
  <c r="BR174" i="31"/>
  <c r="BR413" i="31" s="1"/>
  <c r="BQ174" i="31"/>
  <c r="BQ413" i="31" s="1"/>
  <c r="BP174" i="31"/>
  <c r="BO174" i="31"/>
  <c r="BO413" i="31" s="1"/>
  <c r="M174" i="31"/>
  <c r="M413" i="31" s="1"/>
  <c r="M417" i="31" s="1"/>
  <c r="BW172" i="31"/>
  <c r="BV172" i="31"/>
  <c r="BU172" i="31"/>
  <c r="BT172" i="31"/>
  <c r="BS172" i="31"/>
  <c r="CT171" i="31"/>
  <c r="CS171" i="31"/>
  <c r="CR171" i="31"/>
  <c r="CQ171" i="31"/>
  <c r="CP171" i="31"/>
  <c r="CP174" i="31" s="1"/>
  <c r="CO171" i="31"/>
  <c r="CN171" i="31"/>
  <c r="CM171" i="31"/>
  <c r="CL171" i="31"/>
  <c r="CL174" i="31" s="1"/>
  <c r="CK171" i="31"/>
  <c r="CJ171" i="31"/>
  <c r="CI171" i="31"/>
  <c r="CH171" i="31"/>
  <c r="CH174" i="31" s="1"/>
  <c r="CG171" i="31"/>
  <c r="CF171" i="31"/>
  <c r="CE171" i="31"/>
  <c r="AF171" i="31"/>
  <c r="AE171" i="31"/>
  <c r="AD171" i="31"/>
  <c r="AC171" i="31"/>
  <c r="AB171" i="31"/>
  <c r="AA171" i="31"/>
  <c r="Z171" i="31"/>
  <c r="Y171" i="31"/>
  <c r="X171" i="31"/>
  <c r="W171" i="31"/>
  <c r="V171" i="31"/>
  <c r="U171" i="31"/>
  <c r="Q171" i="31"/>
  <c r="P171" i="31"/>
  <c r="P174" i="31" s="1"/>
  <c r="O171" i="31"/>
  <c r="O174" i="31" s="1"/>
  <c r="O165" i="31" s="1"/>
  <c r="N171" i="31"/>
  <c r="N174" i="31" s="1"/>
  <c r="M171" i="31"/>
  <c r="N172" i="31" s="1"/>
  <c r="CO168" i="31"/>
  <c r="CK168" i="31"/>
  <c r="CG168" i="31"/>
  <c r="CD168" i="31"/>
  <c r="CC168" i="31"/>
  <c r="CB168" i="31"/>
  <c r="CA168" i="31"/>
  <c r="BZ168" i="31"/>
  <c r="BY168" i="31"/>
  <c r="BX168" i="31"/>
  <c r="BW168" i="31"/>
  <c r="BV168" i="31"/>
  <c r="BU168" i="31"/>
  <c r="BT168" i="31"/>
  <c r="BR168" i="31"/>
  <c r="BQ168" i="31"/>
  <c r="BP168" i="31"/>
  <c r="CQ167" i="31"/>
  <c r="CD167" i="31"/>
  <c r="CC167" i="31"/>
  <c r="CB167" i="31"/>
  <c r="CA167" i="31"/>
  <c r="BZ167" i="31"/>
  <c r="BY167" i="31"/>
  <c r="BX167" i="31"/>
  <c r="BW167" i="31"/>
  <c r="CR166" i="31"/>
  <c r="CQ166" i="31"/>
  <c r="CP166" i="31"/>
  <c r="CP167" i="31" s="1"/>
  <c r="CO166" i="31"/>
  <c r="CO167" i="31" s="1"/>
  <c r="CN166" i="31"/>
  <c r="CN169" i="31" s="1"/>
  <c r="CM166" i="31"/>
  <c r="CL166" i="31"/>
  <c r="CL167" i="31" s="1"/>
  <c r="CK166" i="31"/>
  <c r="CK167" i="31" s="1"/>
  <c r="CJ166" i="31"/>
  <c r="CJ169" i="31" s="1"/>
  <c r="CI166" i="31"/>
  <c r="CI167" i="31" s="1"/>
  <c r="CH166" i="31"/>
  <c r="CH167" i="31" s="1"/>
  <c r="CG166" i="31"/>
  <c r="CG167" i="31" s="1"/>
  <c r="CF166" i="31"/>
  <c r="CF169" i="31" s="1"/>
  <c r="CE166" i="31"/>
  <c r="CE167" i="31" s="1"/>
  <c r="S166" i="31"/>
  <c r="P166" i="31"/>
  <c r="O166" i="31"/>
  <c r="N166" i="31"/>
  <c r="M166" i="31"/>
  <c r="CQ164" i="31"/>
  <c r="CQ163" i="31"/>
  <c r="CM163" i="31"/>
  <c r="CI163" i="31"/>
  <c r="CE163" i="31"/>
  <c r="CD163" i="31"/>
  <c r="CC163" i="31"/>
  <c r="CB163" i="31"/>
  <c r="CA163" i="31"/>
  <c r="BZ163" i="31"/>
  <c r="BY163" i="31"/>
  <c r="BX163" i="31"/>
  <c r="BW163" i="31"/>
  <c r="BV163" i="31"/>
  <c r="BU163" i="31"/>
  <c r="BT163" i="31"/>
  <c r="BR163" i="31"/>
  <c r="BQ163" i="31"/>
  <c r="BP163" i="31"/>
  <c r="CO162" i="31"/>
  <c r="CD162" i="31"/>
  <c r="CC162" i="31"/>
  <c r="CB162" i="31"/>
  <c r="CA162" i="31"/>
  <c r="BZ162" i="31"/>
  <c r="BY162" i="31"/>
  <c r="BX162" i="31"/>
  <c r="BW162" i="31"/>
  <c r="CT161" i="31"/>
  <c r="CS161" i="31"/>
  <c r="CR161" i="31"/>
  <c r="CR162" i="31" s="1"/>
  <c r="CQ161" i="31"/>
  <c r="CQ162" i="31" s="1"/>
  <c r="CP161" i="31"/>
  <c r="CO161" i="31"/>
  <c r="CN161" i="31"/>
  <c r="CN162" i="31" s="1"/>
  <c r="CM161" i="31"/>
  <c r="CM162" i="31" s="1"/>
  <c r="CL161" i="31"/>
  <c r="CK161" i="31"/>
  <c r="CJ161" i="31"/>
  <c r="CJ162" i="31" s="1"/>
  <c r="CI161" i="31"/>
  <c r="CI162" i="31" s="1"/>
  <c r="CH161" i="31"/>
  <c r="CG161" i="31"/>
  <c r="CF161" i="31"/>
  <c r="CF162" i="31" s="1"/>
  <c r="CE161" i="31"/>
  <c r="CE162" i="31" s="1"/>
  <c r="O162" i="31"/>
  <c r="P161" i="31"/>
  <c r="O161" i="31"/>
  <c r="N161" i="31"/>
  <c r="M161" i="31"/>
  <c r="CN152" i="31"/>
  <c r="CI152" i="31"/>
  <c r="CD152" i="31"/>
  <c r="CC152" i="31"/>
  <c r="CB152" i="31"/>
  <c r="CA152" i="31"/>
  <c r="BZ152" i="31"/>
  <c r="BY152" i="31"/>
  <c r="BX152" i="31"/>
  <c r="BW152" i="31"/>
  <c r="BV152" i="31"/>
  <c r="BU152" i="31"/>
  <c r="BT152" i="31"/>
  <c r="BS152" i="31"/>
  <c r="BR152" i="31"/>
  <c r="BQ152" i="31"/>
  <c r="CR151" i="31"/>
  <c r="CM151" i="31"/>
  <c r="CL151" i="31"/>
  <c r="CH151" i="31"/>
  <c r="CD151" i="31"/>
  <c r="CC151" i="31"/>
  <c r="CB151" i="31"/>
  <c r="CA151" i="31"/>
  <c r="BZ151" i="31"/>
  <c r="BY151" i="31"/>
  <c r="BX151" i="31"/>
  <c r="BW151" i="31"/>
  <c r="BV151" i="31"/>
  <c r="BU151" i="31"/>
  <c r="BT151" i="31"/>
  <c r="O151" i="31"/>
  <c r="R150" i="31"/>
  <c r="P150" i="31"/>
  <c r="O150" i="31"/>
  <c r="N150" i="31"/>
  <c r="CD147" i="31"/>
  <c r="CD149" i="31" s="1"/>
  <c r="CC147" i="31"/>
  <c r="CA147" i="31"/>
  <c r="CA149" i="31" s="1"/>
  <c r="BZ147" i="31"/>
  <c r="BY147" i="31"/>
  <c r="BW147" i="31"/>
  <c r="BV147" i="31"/>
  <c r="BU147" i="31"/>
  <c r="BS147" i="31"/>
  <c r="BS148" i="31" s="1"/>
  <c r="BR147" i="31"/>
  <c r="BQ147" i="31"/>
  <c r="BP147" i="31"/>
  <c r="BP149" i="31" s="1"/>
  <c r="BO147" i="31"/>
  <c r="CR150" i="31"/>
  <c r="CP150" i="31"/>
  <c r="CO150" i="31"/>
  <c r="CO154" i="31" s="1"/>
  <c r="CN150" i="31"/>
  <c r="CN151" i="31" s="1"/>
  <c r="CM150" i="31"/>
  <c r="CL150" i="31"/>
  <c r="CK150" i="31"/>
  <c r="CJ150" i="31"/>
  <c r="CJ151" i="31" s="1"/>
  <c r="CI150" i="31"/>
  <c r="CI151" i="31" s="1"/>
  <c r="CH150" i="31"/>
  <c r="CG150" i="31"/>
  <c r="CF150" i="31"/>
  <c r="CF152" i="31" s="1"/>
  <c r="CE150" i="31"/>
  <c r="CE152" i="31" s="1"/>
  <c r="CS149" i="31"/>
  <c r="CS148" i="31"/>
  <c r="CT147" i="31"/>
  <c r="CT149" i="31" s="1"/>
  <c r="CS147" i="31"/>
  <c r="CR147" i="31"/>
  <c r="CR149" i="31" s="1"/>
  <c r="CQ147" i="31"/>
  <c r="CQ149" i="31" s="1"/>
  <c r="CP147" i="31"/>
  <c r="CP149" i="31" s="1"/>
  <c r="CO147" i="31"/>
  <c r="S147" i="31" s="1"/>
  <c r="CN147" i="31"/>
  <c r="CN149" i="31" s="1"/>
  <c r="CM147" i="31"/>
  <c r="CM149" i="31" s="1"/>
  <c r="CL147" i="31"/>
  <c r="CL149" i="31" s="1"/>
  <c r="CK147" i="31"/>
  <c r="CK149" i="31" s="1"/>
  <c r="CJ147" i="31"/>
  <c r="CJ149" i="31" s="1"/>
  <c r="CI147" i="31"/>
  <c r="CH147" i="31"/>
  <c r="CH149" i="31" s="1"/>
  <c r="CG147" i="31"/>
  <c r="CG149" i="31" s="1"/>
  <c r="CF147" i="31"/>
  <c r="CE147" i="31"/>
  <c r="CE143" i="31"/>
  <c r="CD143" i="31"/>
  <c r="CD169" i="31" s="1"/>
  <c r="CC143" i="31"/>
  <c r="CC154" i="31" s="1"/>
  <c r="CB143" i="31"/>
  <c r="CA143" i="31"/>
  <c r="BZ143" i="31"/>
  <c r="BY143" i="31"/>
  <c r="BY204" i="31" s="1"/>
  <c r="BX143" i="31"/>
  <c r="BW143" i="31"/>
  <c r="BV143" i="31"/>
  <c r="BU143" i="31"/>
  <c r="BU145" i="31" s="1"/>
  <c r="BT143" i="31"/>
  <c r="BS143" i="31"/>
  <c r="BR143" i="31"/>
  <c r="BQ143" i="31"/>
  <c r="BQ222" i="31" s="1"/>
  <c r="BP143" i="31"/>
  <c r="BP145" i="31" s="1"/>
  <c r="BO143" i="31"/>
  <c r="BY141" i="31"/>
  <c r="CQ144" i="31"/>
  <c r="CP144" i="31"/>
  <c r="CM144" i="31"/>
  <c r="CL144" i="31"/>
  <c r="CH144" i="31"/>
  <c r="CQ143" i="31"/>
  <c r="CQ146" i="31" s="1"/>
  <c r="CP143" i="31"/>
  <c r="CP146" i="31" s="1"/>
  <c r="CO143" i="31"/>
  <c r="CN143" i="31"/>
  <c r="CN146" i="31" s="1"/>
  <c r="CM143" i="31"/>
  <c r="CM146" i="31" s="1"/>
  <c r="CL143" i="31"/>
  <c r="CK143" i="31"/>
  <c r="CJ143" i="31"/>
  <c r="CI143" i="31"/>
  <c r="CH143" i="31"/>
  <c r="CG143" i="31"/>
  <c r="CF143" i="31"/>
  <c r="CF144" i="31" s="1"/>
  <c r="CQ142" i="31"/>
  <c r="CN142" i="31"/>
  <c r="CM142" i="31"/>
  <c r="CQ141" i="31"/>
  <c r="CM141" i="31"/>
  <c r="CI141" i="31"/>
  <c r="CT140" i="31"/>
  <c r="CQ140" i="31"/>
  <c r="CP140" i="31"/>
  <c r="CM140" i="31"/>
  <c r="CL140" i="31"/>
  <c r="CI140" i="31"/>
  <c r="CT139" i="31"/>
  <c r="CQ139" i="31"/>
  <c r="CQ157" i="31" s="1"/>
  <c r="CP139" i="31"/>
  <c r="CP157" i="31" s="1"/>
  <c r="CO139" i="31"/>
  <c r="CN139" i="31"/>
  <c r="CN157" i="31" s="1"/>
  <c r="CM139" i="31"/>
  <c r="CM157" i="31" s="1"/>
  <c r="CL139" i="31"/>
  <c r="CK139" i="31"/>
  <c r="CJ139" i="31"/>
  <c r="CJ140" i="31" s="1"/>
  <c r="CI139" i="31"/>
  <c r="CH139" i="31"/>
  <c r="CG139" i="31"/>
  <c r="CF139" i="31"/>
  <c r="CE139" i="31"/>
  <c r="CE164" i="31" s="1"/>
  <c r="CD139" i="31"/>
  <c r="CH140" i="31" s="1"/>
  <c r="CC139" i="31"/>
  <c r="CB139" i="31"/>
  <c r="CA139" i="31"/>
  <c r="CA164" i="31" s="1"/>
  <c r="BZ139" i="31"/>
  <c r="BY139" i="31"/>
  <c r="BX139" i="31"/>
  <c r="BX140" i="31" s="1"/>
  <c r="BW139" i="31"/>
  <c r="O139" i="31" s="1"/>
  <c r="BV139" i="31"/>
  <c r="BU139" i="31"/>
  <c r="BU157" i="31" s="1"/>
  <c r="BT139" i="31"/>
  <c r="BS139" i="31"/>
  <c r="BR139" i="31"/>
  <c r="BQ139" i="31"/>
  <c r="BP139" i="31"/>
  <c r="BP235" i="31" s="1"/>
  <c r="BO139" i="31"/>
  <c r="BO164" i="31" s="1"/>
  <c r="R139" i="31"/>
  <c r="N139" i="31"/>
  <c r="M139" i="31"/>
  <c r="CN135" i="31"/>
  <c r="CK134" i="31"/>
  <c r="S135" i="31"/>
  <c r="CN133" i="31"/>
  <c r="CJ133" i="31"/>
  <c r="CF133" i="31"/>
  <c r="CB133" i="31"/>
  <c r="CO132" i="31"/>
  <c r="CN132" i="31"/>
  <c r="CK132" i="31"/>
  <c r="CJ132" i="31"/>
  <c r="CG132" i="31"/>
  <c r="CF132" i="31"/>
  <c r="CP131" i="31"/>
  <c r="CO131" i="31"/>
  <c r="CO133" i="31" s="1"/>
  <c r="CN131" i="31"/>
  <c r="CM131" i="31"/>
  <c r="CL131" i="31"/>
  <c r="CK131" i="31"/>
  <c r="CK133" i="31" s="1"/>
  <c r="CJ131" i="31"/>
  <c r="CI131" i="31"/>
  <c r="CH131" i="31"/>
  <c r="CG131" i="31"/>
  <c r="CG133" i="31" s="1"/>
  <c r="CF131" i="31"/>
  <c r="CE131" i="31"/>
  <c r="CD131" i="31"/>
  <c r="CC131" i="31"/>
  <c r="CC133" i="31" s="1"/>
  <c r="CB131" i="31"/>
  <c r="CA131" i="31"/>
  <c r="BZ131" i="31"/>
  <c r="S132" i="31"/>
  <c r="S131" i="31"/>
  <c r="CN129" i="31"/>
  <c r="CP128" i="31"/>
  <c r="CP129" i="31" s="1"/>
  <c r="CO128" i="31"/>
  <c r="CO134" i="31" s="1"/>
  <c r="CN128" i="31"/>
  <c r="CN134" i="31" s="1"/>
  <c r="CM128" i="31"/>
  <c r="CM130" i="31" s="1"/>
  <c r="CL128" i="31"/>
  <c r="CK128" i="31"/>
  <c r="CK130" i="31" s="1"/>
  <c r="CJ128" i="31"/>
  <c r="CJ134" i="31" s="1"/>
  <c r="S129" i="31"/>
  <c r="CP126" i="31"/>
  <c r="CO126" i="31"/>
  <c r="CL126" i="31"/>
  <c r="CK126" i="31"/>
  <c r="CH126" i="31"/>
  <c r="CG126" i="31"/>
  <c r="CP125" i="31"/>
  <c r="CP127" i="31" s="1"/>
  <c r="CO125" i="31"/>
  <c r="CO127" i="31" s="1"/>
  <c r="CN125" i="31"/>
  <c r="CN126" i="31" s="1"/>
  <c r="CM125" i="31"/>
  <c r="CL125" i="31"/>
  <c r="CL127" i="31" s="1"/>
  <c r="CK125" i="31"/>
  <c r="CK127" i="31" s="1"/>
  <c r="CJ125" i="31"/>
  <c r="CJ126" i="31" s="1"/>
  <c r="CI125" i="31"/>
  <c r="CH125" i="31"/>
  <c r="CH127" i="31" s="1"/>
  <c r="CG125" i="31"/>
  <c r="CG127" i="31" s="1"/>
  <c r="CF125" i="31"/>
  <c r="CF126" i="31" s="1"/>
  <c r="CE125" i="31"/>
  <c r="CD125" i="31"/>
  <c r="CD127" i="31" s="1"/>
  <c r="CC125" i="31"/>
  <c r="CC127" i="31" s="1"/>
  <c r="CB125" i="31"/>
  <c r="CA125" i="31"/>
  <c r="S126" i="31"/>
  <c r="BV121" i="31"/>
  <c r="BV122" i="31" s="1"/>
  <c r="BU121" i="31"/>
  <c r="BU122" i="31" s="1"/>
  <c r="BT121" i="31"/>
  <c r="BT122" i="31" s="1"/>
  <c r="BS121" i="31"/>
  <c r="BS122" i="31" s="1"/>
  <c r="BR121" i="31"/>
  <c r="BQ121" i="31"/>
  <c r="BP121" i="31"/>
  <c r="BO121" i="31"/>
  <c r="BN121" i="31"/>
  <c r="BM121" i="31"/>
  <c r="BL121" i="31"/>
  <c r="BK121" i="31"/>
  <c r="BJ121" i="31"/>
  <c r="BI121" i="31"/>
  <c r="BH121" i="31"/>
  <c r="BG121" i="31"/>
  <c r="BF121" i="31"/>
  <c r="BE121" i="31"/>
  <c r="BD121" i="31"/>
  <c r="BC121" i="31"/>
  <c r="BB121" i="31"/>
  <c r="BA121" i="31"/>
  <c r="AZ121" i="31"/>
  <c r="AY121" i="31"/>
  <c r="AX121" i="31"/>
  <c r="AW121" i="31"/>
  <c r="AV121" i="31"/>
  <c r="AU121" i="31"/>
  <c r="AT121" i="31"/>
  <c r="AS121" i="31"/>
  <c r="AR121" i="31"/>
  <c r="AQ121" i="31"/>
  <c r="AP121" i="31"/>
  <c r="AO121" i="31"/>
  <c r="AN121" i="31"/>
  <c r="AM121" i="31"/>
  <c r="AL121" i="31"/>
  <c r="AK121" i="31"/>
  <c r="AJ121" i="31"/>
  <c r="AI121" i="31"/>
  <c r="AH121" i="31"/>
  <c r="CT120" i="31"/>
  <c r="CS120" i="31"/>
  <c r="CR120" i="31"/>
  <c r="CQ120" i="31"/>
  <c r="T120" i="31" s="1"/>
  <c r="CP119" i="31"/>
  <c r="CO119" i="31"/>
  <c r="CN119" i="31"/>
  <c r="CM119" i="31"/>
  <c r="CL119" i="31"/>
  <c r="CK119" i="31"/>
  <c r="CJ119" i="31"/>
  <c r="Y120" i="31"/>
  <c r="Z120" i="31" s="1"/>
  <c r="AA120" i="31" s="1"/>
  <c r="AB120" i="31" s="1"/>
  <c r="AC120" i="31" s="1"/>
  <c r="AD120" i="31" s="1"/>
  <c r="AE120" i="31" s="1"/>
  <c r="AF120" i="31" s="1"/>
  <c r="U120" i="31"/>
  <c r="V120" i="31" s="1"/>
  <c r="W120" i="31" s="1"/>
  <c r="X120" i="31" s="1"/>
  <c r="CI109" i="31"/>
  <c r="BS109" i="31"/>
  <c r="CE104" i="31"/>
  <c r="BO104" i="31"/>
  <c r="CQ99" i="31"/>
  <c r="CQ110" i="31" s="1"/>
  <c r="CP99" i="31"/>
  <c r="CP110" i="31" s="1"/>
  <c r="CO99" i="31"/>
  <c r="CO110" i="31" s="1"/>
  <c r="CN99" i="31"/>
  <c r="CN110" i="31" s="1"/>
  <c r="CM99" i="31"/>
  <c r="CM105" i="31" s="1"/>
  <c r="CL99" i="31"/>
  <c r="CL110" i="31" s="1"/>
  <c r="CK99" i="31"/>
  <c r="CK110" i="31" s="1"/>
  <c r="CJ99" i="31"/>
  <c r="CJ110" i="31" s="1"/>
  <c r="CI99" i="31"/>
  <c r="CI105" i="31" s="1"/>
  <c r="CH99" i="31"/>
  <c r="CH110" i="31" s="1"/>
  <c r="CG99" i="31"/>
  <c r="CG110" i="31" s="1"/>
  <c r="CF99" i="31"/>
  <c r="CF110" i="31" s="1"/>
  <c r="CE99" i="31"/>
  <c r="CE110" i="31" s="1"/>
  <c r="CD99" i="31"/>
  <c r="CD110" i="31" s="1"/>
  <c r="CC99" i="31"/>
  <c r="CC110" i="31" s="1"/>
  <c r="CB99" i="31"/>
  <c r="CB110" i="31" s="1"/>
  <c r="CA99" i="31"/>
  <c r="CA110" i="31" s="1"/>
  <c r="BZ99" i="31"/>
  <c r="BZ110" i="31" s="1"/>
  <c r="BY99" i="31"/>
  <c r="BY110" i="31" s="1"/>
  <c r="BX99" i="31"/>
  <c r="BX110" i="31" s="1"/>
  <c r="BW99" i="31"/>
  <c r="BW105" i="31" s="1"/>
  <c r="BV99" i="31"/>
  <c r="BU99" i="31"/>
  <c r="BU110" i="31" s="1"/>
  <c r="BT99" i="31"/>
  <c r="BT110" i="31" s="1"/>
  <c r="BS99" i="31"/>
  <c r="BQ99" i="31"/>
  <c r="BP99" i="31"/>
  <c r="CP98" i="31"/>
  <c r="CP109" i="31" s="1"/>
  <c r="CO98" i="31"/>
  <c r="CO109" i="31" s="1"/>
  <c r="CN98" i="31"/>
  <c r="CN109" i="31" s="1"/>
  <c r="CM98" i="31"/>
  <c r="CM104" i="31" s="1"/>
  <c r="CL98" i="31"/>
  <c r="CL109" i="31" s="1"/>
  <c r="CK98" i="31"/>
  <c r="CK109" i="31" s="1"/>
  <c r="CJ98" i="31"/>
  <c r="CJ109" i="31" s="1"/>
  <c r="CI98" i="31"/>
  <c r="CI100" i="31" s="1"/>
  <c r="CH98" i="31"/>
  <c r="CH109" i="31" s="1"/>
  <c r="CG98" i="31"/>
  <c r="CG109" i="31" s="1"/>
  <c r="CF98" i="31"/>
  <c r="CF109" i="31" s="1"/>
  <c r="CE98" i="31"/>
  <c r="CE109" i="31" s="1"/>
  <c r="CD98" i="31"/>
  <c r="CD109" i="31" s="1"/>
  <c r="CC98" i="31"/>
  <c r="CC109" i="31" s="1"/>
  <c r="CB98" i="31"/>
  <c r="CB109" i="31" s="1"/>
  <c r="CA98" i="31"/>
  <c r="CA104" i="31" s="1"/>
  <c r="BZ98" i="31"/>
  <c r="BZ109" i="31" s="1"/>
  <c r="BY98" i="31"/>
  <c r="BY109" i="31" s="1"/>
  <c r="BX98" i="31"/>
  <c r="BX109" i="31" s="1"/>
  <c r="BW98" i="31"/>
  <c r="BW104" i="31" s="1"/>
  <c r="BV98" i="31"/>
  <c r="BV109" i="31" s="1"/>
  <c r="BU98" i="31"/>
  <c r="BU109" i="31" s="1"/>
  <c r="BT98" i="31"/>
  <c r="BT109" i="31" s="1"/>
  <c r="BS98" i="31"/>
  <c r="BS100" i="31" s="1"/>
  <c r="BR98" i="31"/>
  <c r="BR109" i="31" s="1"/>
  <c r="BQ98" i="31"/>
  <c r="BQ109" i="31" s="1"/>
  <c r="BP98" i="31"/>
  <c r="BP109" i="31" s="1"/>
  <c r="BO98" i="31"/>
  <c r="BO109" i="31" s="1"/>
  <c r="BN98" i="31"/>
  <c r="BM98" i="31"/>
  <c r="BL98" i="31"/>
  <c r="BK98" i="31"/>
  <c r="BK104" i="31" s="1"/>
  <c r="BG98" i="31"/>
  <c r="CT92" i="31"/>
  <c r="CS92" i="31"/>
  <c r="CR92" i="31"/>
  <c r="CQ92" i="31"/>
  <c r="CP92" i="31"/>
  <c r="CO92" i="31"/>
  <c r="CN92" i="31"/>
  <c r="CM92" i="31"/>
  <c r="CL92" i="31"/>
  <c r="CK92" i="31"/>
  <c r="CJ92" i="31"/>
  <c r="CI92" i="31"/>
  <c r="CH92" i="31"/>
  <c r="AX29" i="45" s="1"/>
  <c r="CG92" i="31"/>
  <c r="AW29" i="45" s="1"/>
  <c r="CF92" i="31"/>
  <c r="AV29" i="45" s="1"/>
  <c r="CE92" i="31"/>
  <c r="CD92" i="31"/>
  <c r="AT29" i="45" s="1"/>
  <c r="CC92" i="31"/>
  <c r="AS29" i="45" s="1"/>
  <c r="CB92" i="31"/>
  <c r="AR29" i="45" s="1"/>
  <c r="CA92" i="31"/>
  <c r="AQ29" i="45" s="1"/>
  <c r="BZ92" i="31"/>
  <c r="AP29" i="45" s="1"/>
  <c r="BY92" i="31"/>
  <c r="AO29" i="45" s="1"/>
  <c r="BX92" i="31"/>
  <c r="AN29" i="45" s="1"/>
  <c r="BW92" i="31"/>
  <c r="AM29" i="45" s="1"/>
  <c r="BV92" i="31"/>
  <c r="AL29" i="45" s="1"/>
  <c r="BU92" i="31"/>
  <c r="AK29" i="45" s="1"/>
  <c r="BT92" i="31"/>
  <c r="AJ29" i="45" s="1"/>
  <c r="BS92" i="31"/>
  <c r="AI29" i="45" s="1"/>
  <c r="BR92" i="31"/>
  <c r="AH29" i="45" s="1"/>
  <c r="BQ92" i="31"/>
  <c r="AG29" i="45" s="1"/>
  <c r="BP92" i="31"/>
  <c r="AF29" i="45" s="1"/>
  <c r="BO92" i="31"/>
  <c r="AE29" i="45" s="1"/>
  <c r="BK92" i="31"/>
  <c r="AA29" i="45" s="1"/>
  <c r="BG92" i="31"/>
  <c r="W29" i="45" s="1"/>
  <c r="CT91" i="31"/>
  <c r="CT93" i="31" s="1"/>
  <c r="CS91" i="31"/>
  <c r="CR91" i="31"/>
  <c r="CR93" i="31" s="1"/>
  <c r="CQ91" i="31"/>
  <c r="CQ93" i="31" s="1"/>
  <c r="CA91" i="31"/>
  <c r="CA93" i="31" s="1"/>
  <c r="AQ30" i="45" s="1"/>
  <c r="BN91" i="31"/>
  <c r="BM91" i="31"/>
  <c r="BL91" i="31"/>
  <c r="AF92" i="31"/>
  <c r="AE92" i="31"/>
  <c r="AD92" i="31"/>
  <c r="AC92" i="31"/>
  <c r="AB92" i="31"/>
  <c r="AA92" i="31"/>
  <c r="Z92" i="31"/>
  <c r="Y92" i="31"/>
  <c r="X92" i="31"/>
  <c r="W92" i="31"/>
  <c r="V92" i="31"/>
  <c r="U92" i="31"/>
  <c r="K92" i="31"/>
  <c r="X91" i="31"/>
  <c r="W91" i="31"/>
  <c r="W93" i="31" s="1"/>
  <c r="V91" i="31"/>
  <c r="U91" i="31"/>
  <c r="CT88" i="31"/>
  <c r="CS88" i="31"/>
  <c r="CR88" i="31"/>
  <c r="CQ88" i="31"/>
  <c r="CP88" i="31"/>
  <c r="CO88" i="31"/>
  <c r="CN88" i="31"/>
  <c r="CM88" i="31"/>
  <c r="CL88" i="31"/>
  <c r="CK88" i="31"/>
  <c r="CJ88" i="31"/>
  <c r="CI88" i="31"/>
  <c r="CH88" i="31"/>
  <c r="AX25" i="45" s="1"/>
  <c r="CG88" i="31"/>
  <c r="AW25" i="45" s="1"/>
  <c r="CF88" i="31"/>
  <c r="AV25" i="45" s="1"/>
  <c r="CE88" i="31"/>
  <c r="AU25" i="45" s="1"/>
  <c r="CD88" i="31"/>
  <c r="AT25" i="45" s="1"/>
  <c r="CC88" i="31"/>
  <c r="AS25" i="45" s="1"/>
  <c r="CB88" i="31"/>
  <c r="AR25" i="45" s="1"/>
  <c r="CA88" i="31"/>
  <c r="AQ25" i="45" s="1"/>
  <c r="BZ88" i="31"/>
  <c r="AP25" i="45" s="1"/>
  <c r="BY88" i="31"/>
  <c r="AO25" i="45" s="1"/>
  <c r="BX88" i="31"/>
  <c r="AN25" i="45" s="1"/>
  <c r="BW88" i="31"/>
  <c r="AM25" i="45" s="1"/>
  <c r="BV88" i="31"/>
  <c r="AL25" i="45" s="1"/>
  <c r="BU88" i="31"/>
  <c r="AK25" i="45" s="1"/>
  <c r="BT88" i="31"/>
  <c r="AJ25" i="45" s="1"/>
  <c r="BP88" i="31"/>
  <c r="AF25" i="45" s="1"/>
  <c r="BN88" i="31"/>
  <c r="BM88" i="31"/>
  <c r="BL88" i="31"/>
  <c r="BK88" i="31"/>
  <c r="BJ88" i="31"/>
  <c r="BI88" i="31"/>
  <c r="BH88" i="31"/>
  <c r="BG88" i="31"/>
  <c r="CT87" i="31"/>
  <c r="CS87" i="31"/>
  <c r="CR87" i="31"/>
  <c r="CQ87" i="31"/>
  <c r="CP87" i="31"/>
  <c r="CO87" i="31"/>
  <c r="CN87" i="31"/>
  <c r="CM87" i="31"/>
  <c r="CL87" i="31"/>
  <c r="CK87" i="31"/>
  <c r="CJ87" i="31"/>
  <c r="CI87" i="31"/>
  <c r="CH87" i="31"/>
  <c r="CG87" i="31"/>
  <c r="CF87" i="31"/>
  <c r="CE87" i="31"/>
  <c r="CD87" i="31"/>
  <c r="CC87" i="31"/>
  <c r="CB87" i="31"/>
  <c r="CA87" i="31"/>
  <c r="BZ87" i="31"/>
  <c r="BY87" i="31"/>
  <c r="BX87" i="31"/>
  <c r="BW87" i="31"/>
  <c r="BV87" i="31"/>
  <c r="BU87" i="31"/>
  <c r="BT87" i="31"/>
  <c r="BS87" i="31"/>
  <c r="BR87" i="31"/>
  <c r="BQ87" i="31"/>
  <c r="BP87" i="31"/>
  <c r="BO87" i="31"/>
  <c r="BN87" i="31"/>
  <c r="BM87" i="31"/>
  <c r="BL87" i="31"/>
  <c r="BK87" i="31"/>
  <c r="BJ87" i="31"/>
  <c r="BI87" i="31"/>
  <c r="BH87" i="31"/>
  <c r="BG87" i="31"/>
  <c r="AF88" i="31"/>
  <c r="AE88" i="31"/>
  <c r="AD88" i="31"/>
  <c r="AC88" i="31"/>
  <c r="AB88" i="31"/>
  <c r="AA88" i="31"/>
  <c r="Z88" i="31"/>
  <c r="Y88" i="31"/>
  <c r="X88" i="31"/>
  <c r="W88" i="31"/>
  <c r="V88" i="31"/>
  <c r="AF87" i="31"/>
  <c r="AE87" i="31"/>
  <c r="AD87" i="31"/>
  <c r="AC87" i="31"/>
  <c r="AB87" i="31"/>
  <c r="AA87" i="31"/>
  <c r="Z87" i="31"/>
  <c r="Y87" i="31"/>
  <c r="X87" i="31"/>
  <c r="W87" i="31"/>
  <c r="V87" i="31"/>
  <c r="U87" i="31"/>
  <c r="T87" i="31"/>
  <c r="S87" i="31"/>
  <c r="R87" i="31"/>
  <c r="Q87" i="31"/>
  <c r="P87" i="31"/>
  <c r="O87" i="31"/>
  <c r="N87" i="31"/>
  <c r="M87" i="31"/>
  <c r="L87" i="31"/>
  <c r="K87" i="31"/>
  <c r="CT85" i="31"/>
  <c r="CS85" i="31"/>
  <c r="CR85" i="31"/>
  <c r="CQ85" i="31"/>
  <c r="CP85" i="31"/>
  <c r="CO85" i="31"/>
  <c r="CN85" i="31"/>
  <c r="CM85" i="31"/>
  <c r="CL85" i="31"/>
  <c r="CK85" i="31"/>
  <c r="CJ85" i="31"/>
  <c r="CI85" i="31"/>
  <c r="CH85" i="31"/>
  <c r="CG85" i="31"/>
  <c r="CF85" i="31"/>
  <c r="CE85" i="31"/>
  <c r="CD85" i="31"/>
  <c r="CC85" i="31"/>
  <c r="CB85" i="31"/>
  <c r="CA85" i="31"/>
  <c r="BZ85" i="31"/>
  <c r="BY85" i="31"/>
  <c r="BX85" i="31"/>
  <c r="BW85" i="31"/>
  <c r="BV85" i="31"/>
  <c r="BU85" i="31"/>
  <c r="BT85" i="31"/>
  <c r="BS85" i="31"/>
  <c r="BR85" i="31"/>
  <c r="BQ85" i="31"/>
  <c r="BP85" i="31"/>
  <c r="BO85" i="31"/>
  <c r="BN85" i="31"/>
  <c r="BM85" i="31"/>
  <c r="BL85" i="31"/>
  <c r="BK85" i="31"/>
  <c r="BJ85" i="31"/>
  <c r="BI85" i="31"/>
  <c r="BH85" i="31"/>
  <c r="BG85" i="31"/>
  <c r="AF85" i="31"/>
  <c r="AE85" i="31"/>
  <c r="AD85" i="31"/>
  <c r="AC85" i="31"/>
  <c r="AB85" i="31"/>
  <c r="AA85" i="31"/>
  <c r="Z85" i="31"/>
  <c r="Y85" i="31"/>
  <c r="X85" i="31"/>
  <c r="W85" i="31"/>
  <c r="V85" i="31"/>
  <c r="U85" i="31"/>
  <c r="T85" i="31"/>
  <c r="S85" i="31"/>
  <c r="R85" i="31"/>
  <c r="Q85" i="31"/>
  <c r="P85" i="31"/>
  <c r="BO84" i="31"/>
  <c r="BS88" i="31" s="1"/>
  <c r="AI25" i="45" s="1"/>
  <c r="BN84" i="31"/>
  <c r="BM84" i="31"/>
  <c r="BM92" i="31" s="1"/>
  <c r="AC29" i="45" s="1"/>
  <c r="BL84" i="31"/>
  <c r="BL92" i="31" s="1"/>
  <c r="AB29" i="45" s="1"/>
  <c r="BK84" i="31"/>
  <c r="BJ84" i="31"/>
  <c r="BJ92" i="31" s="1"/>
  <c r="BI84" i="31"/>
  <c r="BI92" i="31" s="1"/>
  <c r="Y29" i="45" s="1"/>
  <c r="BH84" i="31"/>
  <c r="BH92" i="31" s="1"/>
  <c r="X29" i="45" s="1"/>
  <c r="BG84" i="31"/>
  <c r="BO83" i="31"/>
  <c r="BN83" i="31"/>
  <c r="BM83" i="31"/>
  <c r="BL83" i="31"/>
  <c r="BK83" i="31"/>
  <c r="BJ83" i="31"/>
  <c r="BI83" i="31"/>
  <c r="BH83" i="31"/>
  <c r="BG83" i="31"/>
  <c r="BO82" i="31"/>
  <c r="BP82" i="31" s="1"/>
  <c r="AF22" i="45" s="1"/>
  <c r="BN82" i="31"/>
  <c r="BM82" i="31"/>
  <c r="BL82" i="31"/>
  <c r="BK82" i="31"/>
  <c r="BJ82" i="31"/>
  <c r="BI82" i="31"/>
  <c r="BH82" i="31"/>
  <c r="BG82" i="31"/>
  <c r="BF82" i="31"/>
  <c r="BE82" i="31"/>
  <c r="BD82" i="31"/>
  <c r="BC82" i="31"/>
  <c r="BB82" i="31"/>
  <c r="L82" i="31"/>
  <c r="K82" i="31"/>
  <c r="J82" i="31"/>
  <c r="BO81" i="31"/>
  <c r="BN81" i="31"/>
  <c r="BM81" i="31"/>
  <c r="BL81" i="31"/>
  <c r="BK81" i="31"/>
  <c r="BJ81" i="31"/>
  <c r="BI81" i="31"/>
  <c r="BH81" i="31"/>
  <c r="BG81" i="31"/>
  <c r="BO80" i="31"/>
  <c r="BP80" i="31" s="1"/>
  <c r="BQ80" i="31" s="1"/>
  <c r="BR80" i="31" s="1"/>
  <c r="AH20" i="45" s="1"/>
  <c r="BN80" i="31"/>
  <c r="L80" i="31" s="1"/>
  <c r="BM80" i="31"/>
  <c r="BL80" i="31"/>
  <c r="BK80" i="31"/>
  <c r="BJ80" i="31"/>
  <c r="K80" i="31" s="1"/>
  <c r="BI80" i="31"/>
  <c r="BH80" i="31"/>
  <c r="BG80" i="31"/>
  <c r="A79" i="31"/>
  <c r="K70" i="31"/>
  <c r="O69" i="31"/>
  <c r="O70" i="31" s="1"/>
  <c r="N69" i="31"/>
  <c r="M69" i="31"/>
  <c r="L69" i="31"/>
  <c r="L70" i="31" s="1"/>
  <c r="K69" i="31"/>
  <c r="J69" i="31"/>
  <c r="I69" i="31"/>
  <c r="H17" i="28" s="1"/>
  <c r="H69" i="31"/>
  <c r="H70" i="31" s="1"/>
  <c r="G69" i="31"/>
  <c r="G70" i="31" s="1"/>
  <c r="F69" i="31"/>
  <c r="K60" i="31"/>
  <c r="K61" i="31" s="1"/>
  <c r="P62" i="31"/>
  <c r="O62" i="31"/>
  <c r="P60" i="31"/>
  <c r="P61" i="31" s="1"/>
  <c r="O60" i="31"/>
  <c r="O67" i="31" s="1"/>
  <c r="N60" i="31"/>
  <c r="N62" i="31" s="1"/>
  <c r="M60" i="31"/>
  <c r="L60" i="31"/>
  <c r="L62" i="31" s="1"/>
  <c r="J60" i="31"/>
  <c r="J67" i="31" s="1"/>
  <c r="BM58" i="31"/>
  <c r="BV56" i="31"/>
  <c r="BU56" i="31"/>
  <c r="BT56" i="31"/>
  <c r="BS56" i="31"/>
  <c r="BR56" i="31"/>
  <c r="BQ56" i="31"/>
  <c r="CH54" i="31"/>
  <c r="CG54" i="31"/>
  <c r="CF54" i="31"/>
  <c r="CE54" i="31"/>
  <c r="CD54" i="31"/>
  <c r="BS54" i="31"/>
  <c r="AF54" i="31"/>
  <c r="AE54" i="31"/>
  <c r="AD54" i="31"/>
  <c r="AC54" i="31"/>
  <c r="AB54" i="31"/>
  <c r="AA54" i="31"/>
  <c r="Z54" i="31"/>
  <c r="Y54" i="31"/>
  <c r="X54" i="31"/>
  <c r="W54" i="31"/>
  <c r="V54" i="31"/>
  <c r="BL53" i="31"/>
  <c r="BL54" i="31" s="1"/>
  <c r="BH53" i="31"/>
  <c r="BH54" i="31" s="1"/>
  <c r="BD53" i="31"/>
  <c r="BN51" i="31"/>
  <c r="BN52" i="31" s="1"/>
  <c r="BM51" i="31"/>
  <c r="BM53" i="31" s="1"/>
  <c r="BQ54" i="31" s="1"/>
  <c r="BL51" i="31"/>
  <c r="BL58" i="31" s="1"/>
  <c r="BK51" i="31"/>
  <c r="BJ51" i="31"/>
  <c r="BI51" i="31"/>
  <c r="BI53" i="31" s="1"/>
  <c r="BH51" i="31"/>
  <c r="BH58" i="31" s="1"/>
  <c r="BG51" i="31"/>
  <c r="BF51" i="31"/>
  <c r="J51" i="31" s="1"/>
  <c r="BE51" i="31"/>
  <c r="BE53" i="31" s="1"/>
  <c r="BD51" i="31"/>
  <c r="BD58" i="31" s="1"/>
  <c r="BC51" i="31"/>
  <c r="BB51" i="31"/>
  <c r="BA51" i="31"/>
  <c r="AZ51" i="31"/>
  <c r="AY51" i="31"/>
  <c r="AX51" i="31"/>
  <c r="AW51" i="31"/>
  <c r="AV51" i="31"/>
  <c r="AU51" i="31"/>
  <c r="AT51" i="31"/>
  <c r="AS51" i="31"/>
  <c r="AR51" i="31"/>
  <c r="AQ51" i="31"/>
  <c r="AP51" i="31"/>
  <c r="AO51" i="31"/>
  <c r="AN51" i="31"/>
  <c r="AM51" i="31"/>
  <c r="AL51" i="31"/>
  <c r="BM46" i="31"/>
  <c r="AC95" i="45" s="1"/>
  <c r="BN45" i="31"/>
  <c r="AD94" i="45" s="1"/>
  <c r="BM45" i="31"/>
  <c r="AC94" i="45" s="1"/>
  <c r="BJ45" i="31"/>
  <c r="Z94" i="45" s="1"/>
  <c r="BO44" i="31"/>
  <c r="BO46" i="31" s="1"/>
  <c r="AE95" i="45" s="1"/>
  <c r="BN44" i="31"/>
  <c r="BN46" i="31" s="1"/>
  <c r="AD95" i="45" s="1"/>
  <c r="BM44" i="31"/>
  <c r="BL44" i="31"/>
  <c r="BK44" i="31"/>
  <c r="BL46" i="31" s="1"/>
  <c r="AB95" i="45" s="1"/>
  <c r="BJ44" i="31"/>
  <c r="BJ46" i="31" s="1"/>
  <c r="Z95" i="45" s="1"/>
  <c r="BI44" i="31"/>
  <c r="BI45" i="31" s="1"/>
  <c r="Y94" i="45" s="1"/>
  <c r="BH44" i="31"/>
  <c r="BG44" i="31"/>
  <c r="K44" i="31" s="1"/>
  <c r="BF44" i="31"/>
  <c r="BF45" i="31" s="1"/>
  <c r="BE44" i="31"/>
  <c r="BE45" i="31" s="1"/>
  <c r="U94" i="45" s="1"/>
  <c r="BD44" i="31"/>
  <c r="BC44" i="31"/>
  <c r="J44" i="31" s="1"/>
  <c r="BB44" i="31"/>
  <c r="BB45" i="31" s="1"/>
  <c r="R94" i="45" s="1"/>
  <c r="BA44" i="31"/>
  <c r="BA45" i="31" s="1"/>
  <c r="Q94" i="45" s="1"/>
  <c r="AZ44" i="31"/>
  <c r="AY44" i="31"/>
  <c r="AX44" i="31"/>
  <c r="AX45" i="31" s="1"/>
  <c r="N94" i="45" s="1"/>
  <c r="AW44" i="31"/>
  <c r="AW45" i="31" s="1"/>
  <c r="M94" i="45" s="1"/>
  <c r="AV44" i="31"/>
  <c r="AU44" i="31"/>
  <c r="AU45" i="31" s="1"/>
  <c r="K94" i="45" s="1"/>
  <c r="AT44" i="31"/>
  <c r="AT45" i="31" s="1"/>
  <c r="J94" i="45" s="1"/>
  <c r="AS44" i="31"/>
  <c r="AS45" i="31" s="1"/>
  <c r="I94" i="45" s="1"/>
  <c r="AR44" i="31"/>
  <c r="AQ44" i="31"/>
  <c r="G44" i="31" s="1"/>
  <c r="AP44" i="31"/>
  <c r="AP45" i="31" s="1"/>
  <c r="AO44" i="31"/>
  <c r="AN44" i="31"/>
  <c r="AM44" i="31"/>
  <c r="F44" i="31" s="1"/>
  <c r="AL44" i="31"/>
  <c r="L44" i="31"/>
  <c r="H44" i="31"/>
  <c r="H45" i="31" s="1"/>
  <c r="CT42" i="31"/>
  <c r="CT53" i="31" s="1"/>
  <c r="CS42" i="31"/>
  <c r="CS53" i="31" s="1"/>
  <c r="CR42" i="31"/>
  <c r="CR53" i="31" s="1"/>
  <c r="CQ42" i="31"/>
  <c r="CQ53" i="31" s="1"/>
  <c r="CO42" i="31"/>
  <c r="CO53" i="31" s="1"/>
  <c r="CL42" i="31"/>
  <c r="CL53" i="31" s="1"/>
  <c r="CL54" i="31" s="1"/>
  <c r="CK42" i="31"/>
  <c r="CK53" i="31" s="1"/>
  <c r="CK54" i="31" s="1"/>
  <c r="CJ42" i="31"/>
  <c r="CJ53" i="31" s="1"/>
  <c r="CJ54" i="31" s="1"/>
  <c r="CI42" i="31"/>
  <c r="CI53" i="31" s="1"/>
  <c r="CI54" i="31" s="1"/>
  <c r="CH42" i="31"/>
  <c r="CG42" i="31"/>
  <c r="CF42" i="31"/>
  <c r="CE42" i="31"/>
  <c r="CD42" i="31"/>
  <c r="CC42" i="31"/>
  <c r="CB42" i="31"/>
  <c r="CA42" i="31"/>
  <c r="BZ42" i="31"/>
  <c r="BY42" i="31"/>
  <c r="BX42" i="31"/>
  <c r="BW42" i="31"/>
  <c r="CL41" i="31"/>
  <c r="CK41" i="31"/>
  <c r="CJ41" i="31"/>
  <c r="CI41" i="31"/>
  <c r="CH41" i="31"/>
  <c r="CG41" i="31"/>
  <c r="CF41" i="31"/>
  <c r="CE41" i="31"/>
  <c r="CD41" i="31"/>
  <c r="CC41" i="31"/>
  <c r="CB41" i="31"/>
  <c r="CA41" i="31"/>
  <c r="O40" i="31"/>
  <c r="O35" i="31"/>
  <c r="O39" i="31" s="1"/>
  <c r="CQ39" i="31"/>
  <c r="CP39" i="31"/>
  <c r="CO39" i="31"/>
  <c r="CP464" i="31" s="1"/>
  <c r="CN39" i="31"/>
  <c r="CM39" i="31"/>
  <c r="CL39" i="31"/>
  <c r="CK39" i="31"/>
  <c r="CJ39" i="31"/>
  <c r="CI39" i="31"/>
  <c r="CH39" i="31"/>
  <c r="CG39" i="31"/>
  <c r="CF39" i="31"/>
  <c r="CE39" i="31"/>
  <c r="CD39" i="31"/>
  <c r="CC39" i="31"/>
  <c r="CB39" i="31"/>
  <c r="CA39" i="31"/>
  <c r="BZ39" i="31"/>
  <c r="BY39" i="31"/>
  <c r="BX39" i="31"/>
  <c r="BW39" i="31"/>
  <c r="BV39" i="31"/>
  <c r="BU39" i="31"/>
  <c r="BT39" i="31"/>
  <c r="BQ39" i="31"/>
  <c r="H39" i="31"/>
  <c r="CS38" i="31"/>
  <c r="Q41" i="31"/>
  <c r="R40" i="31"/>
  <c r="Q40" i="31"/>
  <c r="P40" i="31"/>
  <c r="P41" i="31" s="1"/>
  <c r="P39" i="31"/>
  <c r="Y38" i="31"/>
  <c r="X38" i="31"/>
  <c r="W38" i="31"/>
  <c r="V38" i="31"/>
  <c r="CP37" i="31"/>
  <c r="CP91" i="31" s="1"/>
  <c r="CP93" i="31" s="1"/>
  <c r="CO37" i="31"/>
  <c r="CO91" i="31" s="1"/>
  <c r="CN37" i="31"/>
  <c r="CN91" i="31" s="1"/>
  <c r="CN93" i="31" s="1"/>
  <c r="CM37" i="31"/>
  <c r="CM91" i="31" s="1"/>
  <c r="CM93" i="31" s="1"/>
  <c r="CL37" i="31"/>
  <c r="CL91" i="31" s="1"/>
  <c r="CL93" i="31" s="1"/>
  <c r="CK37" i="31"/>
  <c r="CK91" i="31" s="1"/>
  <c r="CJ37" i="31"/>
  <c r="CJ91" i="31" s="1"/>
  <c r="CJ93" i="31" s="1"/>
  <c r="CI37" i="31"/>
  <c r="CI38" i="31" s="1"/>
  <c r="CH37" i="31"/>
  <c r="CH91" i="31" s="1"/>
  <c r="CH93" i="31" s="1"/>
  <c r="AX30" i="45" s="1"/>
  <c r="CG37" i="31"/>
  <c r="CG91" i="31" s="1"/>
  <c r="CF37" i="31"/>
  <c r="CF91" i="31" s="1"/>
  <c r="CF93" i="31" s="1"/>
  <c r="AV30" i="45" s="1"/>
  <c r="CE37" i="31"/>
  <c r="CE38" i="31" s="1"/>
  <c r="CD37" i="31"/>
  <c r="CD91" i="31" s="1"/>
  <c r="CD93" i="31" s="1"/>
  <c r="AT30" i="45" s="1"/>
  <c r="CC37" i="31"/>
  <c r="CC91" i="31" s="1"/>
  <c r="CB37" i="31"/>
  <c r="CB91" i="31" s="1"/>
  <c r="CB93" i="31" s="1"/>
  <c r="CA37" i="31"/>
  <c r="CA38" i="31" s="1"/>
  <c r="BZ37" i="31"/>
  <c r="BZ91" i="31" s="1"/>
  <c r="BZ93" i="31" s="1"/>
  <c r="AP30" i="45" s="1"/>
  <c r="BY37" i="31"/>
  <c r="BY91" i="31" s="1"/>
  <c r="BX37" i="31"/>
  <c r="BX91" i="31" s="1"/>
  <c r="BX93" i="31" s="1"/>
  <c r="AN30" i="45" s="1"/>
  <c r="BW37" i="31"/>
  <c r="BW91" i="31" s="1"/>
  <c r="BW93" i="31" s="1"/>
  <c r="AM30" i="45" s="1"/>
  <c r="BV37" i="31"/>
  <c r="BV91" i="31" s="1"/>
  <c r="BV93" i="31" s="1"/>
  <c r="AL30" i="45" s="1"/>
  <c r="BU37" i="31"/>
  <c r="BU91" i="31" s="1"/>
  <c r="BT37" i="31"/>
  <c r="BT91" i="31" s="1"/>
  <c r="BT93" i="31" s="1"/>
  <c r="AJ30" i="45" s="1"/>
  <c r="BS37" i="31"/>
  <c r="BS38" i="31" s="1"/>
  <c r="BR37" i="31"/>
  <c r="BR91" i="31" s="1"/>
  <c r="BR93" i="31" s="1"/>
  <c r="AH30" i="45" s="1"/>
  <c r="BQ37" i="31"/>
  <c r="BQ91" i="31" s="1"/>
  <c r="BP37" i="31"/>
  <c r="BP91" i="31" s="1"/>
  <c r="BP93" i="31" s="1"/>
  <c r="AF30" i="45" s="1"/>
  <c r="BO37" i="31"/>
  <c r="BO91" i="31" s="1"/>
  <c r="BO93" i="31" s="1"/>
  <c r="R37" i="31"/>
  <c r="R91" i="31" s="1"/>
  <c r="Q37" i="31"/>
  <c r="Q91" i="31" s="1"/>
  <c r="F35" i="31"/>
  <c r="G39" i="31" s="1"/>
  <c r="CQ36" i="31"/>
  <c r="CP36" i="31"/>
  <c r="CO36" i="31"/>
  <c r="CN36" i="31"/>
  <c r="CM36" i="31"/>
  <c r="CL36" i="31"/>
  <c r="CK36" i="31"/>
  <c r="CJ36" i="31"/>
  <c r="CI36" i="31"/>
  <c r="CH36" i="31"/>
  <c r="CG36" i="31"/>
  <c r="CF36" i="31"/>
  <c r="CE36" i="31"/>
  <c r="CD36" i="31"/>
  <c r="CC36" i="31"/>
  <c r="CB36" i="31"/>
  <c r="CA36" i="31"/>
  <c r="BZ36" i="31"/>
  <c r="BY36" i="31"/>
  <c r="BX36" i="31"/>
  <c r="BW36" i="31"/>
  <c r="BU36" i="31"/>
  <c r="BT36" i="31"/>
  <c r="AP35" i="31"/>
  <c r="AP39" i="31" s="1"/>
  <c r="AP47" i="31" s="1"/>
  <c r="CQ35" i="31"/>
  <c r="CR35" i="31" s="1"/>
  <c r="BR35" i="31"/>
  <c r="BR39" i="31" s="1"/>
  <c r="BJ35" i="31"/>
  <c r="BJ99" i="31" s="1"/>
  <c r="BI35" i="31"/>
  <c r="BI99" i="31" s="1"/>
  <c r="BH35" i="31"/>
  <c r="BH99" i="31" s="1"/>
  <c r="BG35" i="31"/>
  <c r="BG39" i="31" s="1"/>
  <c r="BF35" i="31"/>
  <c r="BF39" i="31" s="1"/>
  <c r="BF47" i="31" s="1"/>
  <c r="BE35" i="31"/>
  <c r="BE39" i="31" s="1"/>
  <c r="BE47" i="31" s="1"/>
  <c r="BD35" i="31"/>
  <c r="BD39" i="31" s="1"/>
  <c r="BC35" i="31"/>
  <c r="BC39" i="31" s="1"/>
  <c r="BB35" i="31"/>
  <c r="BB39" i="31" s="1"/>
  <c r="BB47" i="31" s="1"/>
  <c r="BA35" i="31"/>
  <c r="BA39" i="31" s="1"/>
  <c r="BA47" i="31" s="1"/>
  <c r="AZ35" i="31"/>
  <c r="AZ39" i="31" s="1"/>
  <c r="AY35" i="31"/>
  <c r="AY39" i="31" s="1"/>
  <c r="AX35" i="31"/>
  <c r="AX39" i="31" s="1"/>
  <c r="AX47" i="31" s="1"/>
  <c r="AW35" i="31"/>
  <c r="AW39" i="31" s="1"/>
  <c r="AW47" i="31" s="1"/>
  <c r="AV35" i="31"/>
  <c r="AV39" i="31" s="1"/>
  <c r="AU35" i="31"/>
  <c r="AU39" i="31" s="1"/>
  <c r="AT35" i="31"/>
  <c r="AT39" i="31" s="1"/>
  <c r="AT47" i="31" s="1"/>
  <c r="AS35" i="31"/>
  <c r="AS39" i="31" s="1"/>
  <c r="AS47" i="31" s="1"/>
  <c r="AR35" i="31"/>
  <c r="AR39" i="31" s="1"/>
  <c r="AQ35" i="31"/>
  <c r="AQ39" i="31" s="1"/>
  <c r="AO35" i="31"/>
  <c r="AO39" i="31" s="1"/>
  <c r="AO47" i="31" s="1"/>
  <c r="AN35" i="31"/>
  <c r="AM35" i="31"/>
  <c r="AM39" i="31" s="1"/>
  <c r="AL35" i="31"/>
  <c r="Z37" i="31"/>
  <c r="Z91" i="31" s="1"/>
  <c r="Z93" i="31" s="1"/>
  <c r="Y37" i="31"/>
  <c r="Y91" i="31" s="1"/>
  <c r="R36" i="31"/>
  <c r="Q36" i="31"/>
  <c r="S35" i="31"/>
  <c r="S39" i="31" s="1"/>
  <c r="R35" i="31"/>
  <c r="R39" i="31" s="1"/>
  <c r="Q35" i="31"/>
  <c r="Q39" i="31" s="1"/>
  <c r="P35" i="31"/>
  <c r="P37" i="31" s="1"/>
  <c r="N35" i="31"/>
  <c r="K35" i="31"/>
  <c r="K37" i="31" s="1"/>
  <c r="J35" i="31"/>
  <c r="K39" i="31" s="1"/>
  <c r="I35" i="31"/>
  <c r="I37" i="31" s="1"/>
  <c r="H35" i="31"/>
  <c r="H37" i="31" s="1"/>
  <c r="G35" i="31"/>
  <c r="G37" i="31" s="1"/>
  <c r="E35" i="31"/>
  <c r="F36" i="31" s="1"/>
  <c r="I32" i="31"/>
  <c r="G32" i="31"/>
  <c r="BL29" i="31"/>
  <c r="BM28" i="31"/>
  <c r="BI28" i="31"/>
  <c r="BE28" i="31"/>
  <c r="BA28" i="31"/>
  <c r="AW28" i="31"/>
  <c r="AS28" i="31"/>
  <c r="AO28" i="31"/>
  <c r="BU30" i="31"/>
  <c r="BV30" i="31" s="1"/>
  <c r="BW30" i="31" s="1"/>
  <c r="BX30" i="31" s="1"/>
  <c r="BY30" i="31" s="1"/>
  <c r="BZ30" i="31" s="1"/>
  <c r="CA30" i="31" s="1"/>
  <c r="CB30" i="31" s="1"/>
  <c r="CC30" i="31" s="1"/>
  <c r="CD30" i="31" s="1"/>
  <c r="CE30" i="31" s="1"/>
  <c r="CF30" i="31" s="1"/>
  <c r="CG30" i="31" s="1"/>
  <c r="CH30" i="31" s="1"/>
  <c r="CI30" i="31" s="1"/>
  <c r="CJ30" i="31" s="1"/>
  <c r="CK30" i="31" s="1"/>
  <c r="CL30" i="31" s="1"/>
  <c r="CM30" i="31" s="1"/>
  <c r="CN30" i="31" s="1"/>
  <c r="CO30" i="31" s="1"/>
  <c r="CP30" i="31" s="1"/>
  <c r="CQ30" i="31" s="1"/>
  <c r="CR30" i="31" s="1"/>
  <c r="CS30" i="31" s="1"/>
  <c r="CT30" i="31" s="1"/>
  <c r="BT30" i="31"/>
  <c r="BM27" i="31"/>
  <c r="BL27" i="31"/>
  <c r="BI27" i="31"/>
  <c r="BH27" i="31"/>
  <c r="BE27" i="31"/>
  <c r="BD27" i="31"/>
  <c r="BA27" i="31"/>
  <c r="AZ27" i="31"/>
  <c r="AW27" i="31"/>
  <c r="AV27" i="31"/>
  <c r="AS27" i="31"/>
  <c r="AR27" i="31"/>
  <c r="BO26" i="31"/>
  <c r="BN26" i="31"/>
  <c r="BN29" i="31" s="1"/>
  <c r="BM26" i="31"/>
  <c r="BM29" i="31" s="1"/>
  <c r="BL26" i="31"/>
  <c r="BK26" i="31"/>
  <c r="BJ26" i="31"/>
  <c r="BI26" i="31"/>
  <c r="BH26" i="31"/>
  <c r="BG26" i="31"/>
  <c r="BF26" i="31"/>
  <c r="BE26" i="31"/>
  <c r="BD26" i="31"/>
  <c r="BC26" i="31"/>
  <c r="BB26" i="31"/>
  <c r="BA26" i="31"/>
  <c r="AZ26" i="31"/>
  <c r="AY26" i="31"/>
  <c r="AX26" i="31"/>
  <c r="AW26" i="31"/>
  <c r="AV26" i="31"/>
  <c r="AU26" i="31"/>
  <c r="AT26" i="31"/>
  <c r="AS26" i="31"/>
  <c r="AR26" i="31"/>
  <c r="AQ26" i="31"/>
  <c r="AP26" i="31"/>
  <c r="AO26" i="31"/>
  <c r="AN26" i="31"/>
  <c r="AM26" i="31"/>
  <c r="AL26" i="31"/>
  <c r="L26" i="31"/>
  <c r="H26" i="31"/>
  <c r="L23" i="31"/>
  <c r="BH22" i="31"/>
  <c r="BH21" i="31"/>
  <c r="X87" i="45" s="1"/>
  <c r="CO20" i="31"/>
  <c r="BN20" i="31"/>
  <c r="BM20" i="31"/>
  <c r="BL20" i="31"/>
  <c r="BL22" i="31" s="1"/>
  <c r="AB88" i="45" s="1"/>
  <c r="BK20" i="31"/>
  <c r="AA86" i="45" s="1"/>
  <c r="AA100" i="45" s="1"/>
  <c r="BJ20" i="31"/>
  <c r="Z86" i="45" s="1"/>
  <c r="BI20" i="31"/>
  <c r="Y86" i="45" s="1"/>
  <c r="Y100" i="45" s="1"/>
  <c r="BH20" i="31"/>
  <c r="BG20" i="31"/>
  <c r="BF20" i="31"/>
  <c r="BE20" i="31"/>
  <c r="BD20" i="31"/>
  <c r="T86" i="45" s="1"/>
  <c r="T100" i="45" s="1"/>
  <c r="BB20" i="31"/>
  <c r="BA20" i="31"/>
  <c r="AZ20" i="31"/>
  <c r="P86" i="45" s="1"/>
  <c r="P100" i="45" s="1"/>
  <c r="AX20" i="31"/>
  <c r="AW20" i="31"/>
  <c r="AW21" i="31" s="1"/>
  <c r="M87" i="45" s="1"/>
  <c r="AV20" i="31"/>
  <c r="L86" i="45" s="1"/>
  <c r="AT20" i="31"/>
  <c r="J86" i="45" s="1"/>
  <c r="AS20" i="31"/>
  <c r="I86" i="45" s="1"/>
  <c r="AR20" i="31"/>
  <c r="H86" i="45" s="1"/>
  <c r="AP20" i="31"/>
  <c r="F86" i="45" s="1"/>
  <c r="AO20" i="31"/>
  <c r="E86" i="45" s="1"/>
  <c r="AN20" i="31"/>
  <c r="D86" i="45" s="1"/>
  <c r="AL20" i="31"/>
  <c r="B86" i="45" s="1"/>
  <c r="L20" i="31"/>
  <c r="BO17" i="31"/>
  <c r="BN17" i="31"/>
  <c r="BM17" i="31"/>
  <c r="BL17" i="31"/>
  <c r="BK17" i="31"/>
  <c r="BG17" i="31"/>
  <c r="BC17" i="31"/>
  <c r="AY17" i="31"/>
  <c r="AU17" i="31"/>
  <c r="AQ17" i="31"/>
  <c r="AM17" i="31"/>
  <c r="CO18" i="31"/>
  <c r="CN18" i="31"/>
  <c r="CK18" i="31"/>
  <c r="CJ18" i="31"/>
  <c r="CG18" i="31"/>
  <c r="CF18" i="31"/>
  <c r="CC18" i="31"/>
  <c r="CB18" i="31"/>
  <c r="BY18" i="31"/>
  <c r="BX18" i="31"/>
  <c r="BU18" i="31"/>
  <c r="BT18" i="31"/>
  <c r="BQ18" i="31"/>
  <c r="BP18" i="31"/>
  <c r="CP17" i="31"/>
  <c r="CO17" i="31"/>
  <c r="CN17" i="31"/>
  <c r="CM17" i="31"/>
  <c r="CL17" i="31"/>
  <c r="CK17" i="31"/>
  <c r="CJ17" i="31"/>
  <c r="CI17" i="31"/>
  <c r="CH17" i="31"/>
  <c r="CG17" i="31"/>
  <c r="CF17" i="31"/>
  <c r="CE17" i="31"/>
  <c r="CD17" i="31"/>
  <c r="CC17" i="31"/>
  <c r="CB17" i="31"/>
  <c r="CA17" i="31"/>
  <c r="BZ17" i="31"/>
  <c r="BY17" i="31"/>
  <c r="BX17" i="31"/>
  <c r="BW17" i="31"/>
  <c r="BV17" i="31"/>
  <c r="BU17" i="31"/>
  <c r="BT17" i="31"/>
  <c r="BS17" i="31"/>
  <c r="BR17" i="31"/>
  <c r="BQ17" i="31"/>
  <c r="BP17" i="31"/>
  <c r="CQ16" i="31"/>
  <c r="CQ11" i="31" s="1"/>
  <c r="CP16" i="31"/>
  <c r="CP18" i="31" s="1"/>
  <c r="CO16" i="31"/>
  <c r="CN16" i="31"/>
  <c r="CM16" i="31"/>
  <c r="CM18" i="31" s="1"/>
  <c r="CL16" i="31"/>
  <c r="CL18" i="31" s="1"/>
  <c r="CK16" i="31"/>
  <c r="CJ16" i="31"/>
  <c r="CI16" i="31"/>
  <c r="CH16" i="31"/>
  <c r="CH18" i="31" s="1"/>
  <c r="CG16" i="31"/>
  <c r="CF16" i="31"/>
  <c r="CE16" i="31"/>
  <c r="CD16" i="31"/>
  <c r="CD18" i="31" s="1"/>
  <c r="CC16" i="31"/>
  <c r="CB16" i="31"/>
  <c r="CA16" i="31"/>
  <c r="CA18" i="31" s="1"/>
  <c r="BZ16" i="31"/>
  <c r="BZ18" i="31" s="1"/>
  <c r="BY16" i="31"/>
  <c r="BX16" i="31"/>
  <c r="BW16" i="31"/>
  <c r="BV16" i="31"/>
  <c r="BV18" i="31" s="1"/>
  <c r="BU16" i="31"/>
  <c r="BT16" i="31"/>
  <c r="BS16" i="31"/>
  <c r="BS18" i="31" s="1"/>
  <c r="BR16" i="31"/>
  <c r="BR18" i="31" s="1"/>
  <c r="BQ16" i="31"/>
  <c r="BP16" i="31"/>
  <c r="BO16" i="31"/>
  <c r="BN16" i="31"/>
  <c r="BM16" i="31"/>
  <c r="BL16" i="31"/>
  <c r="BJ16" i="31"/>
  <c r="BJ18" i="31" s="1"/>
  <c r="BF16" i="31"/>
  <c r="BB16" i="31"/>
  <c r="AX16" i="31"/>
  <c r="AT16" i="31"/>
  <c r="AP16" i="31"/>
  <c r="R17" i="31"/>
  <c r="N17" i="31"/>
  <c r="N72" i="31" s="1"/>
  <c r="J17" i="31"/>
  <c r="J72" i="31" s="1"/>
  <c r="L16" i="31"/>
  <c r="H16" i="31"/>
  <c r="CP12" i="31"/>
  <c r="CO12" i="31"/>
  <c r="CN12" i="31"/>
  <c r="CM12" i="31"/>
  <c r="CL12" i="31"/>
  <c r="CK12" i="31"/>
  <c r="CJ12" i="31"/>
  <c r="CI12" i="31"/>
  <c r="CH12" i="31"/>
  <c r="CG12" i="31"/>
  <c r="CF12" i="31"/>
  <c r="CE12" i="31"/>
  <c r="CD12" i="31"/>
  <c r="CC12" i="31"/>
  <c r="CB12" i="31"/>
  <c r="CA12" i="31"/>
  <c r="BZ12" i="31"/>
  <c r="BY12" i="31"/>
  <c r="BX12" i="31"/>
  <c r="BW12" i="31"/>
  <c r="BV12" i="31"/>
  <c r="BU12" i="31"/>
  <c r="BT12" i="31"/>
  <c r="BS12" i="31"/>
  <c r="BR12" i="31"/>
  <c r="BQ12" i="31"/>
  <c r="BP12" i="31"/>
  <c r="BO12" i="31"/>
  <c r="R12" i="31"/>
  <c r="N12" i="31"/>
  <c r="J12" i="31"/>
  <c r="F12" i="31"/>
  <c r="BJ12" i="31"/>
  <c r="BG12" i="31"/>
  <c r="BF12" i="31"/>
  <c r="BC12" i="31"/>
  <c r="BB12" i="31"/>
  <c r="AY12" i="31"/>
  <c r="AX12" i="31"/>
  <c r="AU12" i="31"/>
  <c r="AT12" i="31"/>
  <c r="AQ12" i="31"/>
  <c r="AP12" i="31"/>
  <c r="BJ11" i="31"/>
  <c r="BJ98" i="31" s="1"/>
  <c r="BJ100" i="31" s="1"/>
  <c r="BI11" i="31"/>
  <c r="BI98" i="31" s="1"/>
  <c r="BI100" i="31" s="1"/>
  <c r="BH11" i="31"/>
  <c r="BG11" i="31"/>
  <c r="BF11" i="31"/>
  <c r="BE11" i="31"/>
  <c r="BF17" i="31" s="1"/>
  <c r="BD11" i="31"/>
  <c r="BC11" i="31"/>
  <c r="BB11" i="31"/>
  <c r="BA11" i="31"/>
  <c r="BB17" i="31" s="1"/>
  <c r="AZ11" i="31"/>
  <c r="AY11" i="31"/>
  <c r="AX11" i="31"/>
  <c r="AW11" i="31"/>
  <c r="AX17" i="31" s="1"/>
  <c r="AV11" i="31"/>
  <c r="AU11" i="31"/>
  <c r="AT11" i="31"/>
  <c r="AS11" i="31"/>
  <c r="AT17" i="31" s="1"/>
  <c r="AR11" i="31"/>
  <c r="AQ11" i="31"/>
  <c r="AP11" i="31"/>
  <c r="AO11" i="31"/>
  <c r="AP17" i="31" s="1"/>
  <c r="AN11" i="31"/>
  <c r="AM11" i="31"/>
  <c r="AL11" i="31"/>
  <c r="S11" i="31"/>
  <c r="R11" i="31"/>
  <c r="R16" i="31" s="1"/>
  <c r="Q11" i="31"/>
  <c r="Q17" i="31" s="1"/>
  <c r="P11" i="31"/>
  <c r="O11" i="31"/>
  <c r="N11" i="31"/>
  <c r="N16" i="31" s="1"/>
  <c r="M11" i="31"/>
  <c r="M17" i="31" s="1"/>
  <c r="L11" i="31"/>
  <c r="K11" i="31"/>
  <c r="J11" i="31"/>
  <c r="J16" i="31" s="1"/>
  <c r="I11" i="31"/>
  <c r="I17" i="31" s="1"/>
  <c r="H11" i="31"/>
  <c r="G11" i="31"/>
  <c r="F11" i="31"/>
  <c r="F17" i="31" s="1"/>
  <c r="F72" i="31" s="1"/>
  <c r="E11" i="31"/>
  <c r="BS9" i="31"/>
  <c r="W9" i="31"/>
  <c r="V9" i="31"/>
  <c r="U9" i="31"/>
  <c r="T9" i="31"/>
  <c r="S9" i="31"/>
  <c r="R9" i="31"/>
  <c r="Q9" i="31"/>
  <c r="P9" i="31"/>
  <c r="O9" i="31"/>
  <c r="N9" i="31"/>
  <c r="M9" i="31"/>
  <c r="A8" i="31"/>
  <c r="CT9" i="31"/>
  <c r="CS9" i="31"/>
  <c r="CR9" i="31"/>
  <c r="CQ9" i="31"/>
  <c r="CP9" i="31"/>
  <c r="CO9" i="31"/>
  <c r="CN9" i="31"/>
  <c r="CM9" i="31"/>
  <c r="CL9" i="31"/>
  <c r="CK9" i="31"/>
  <c r="CJ9" i="31"/>
  <c r="CI9" i="31"/>
  <c r="CH9" i="31"/>
  <c r="CG9" i="31"/>
  <c r="CF9" i="31"/>
  <c r="CE9" i="31"/>
  <c r="CD9" i="31"/>
  <c r="CC9" i="31"/>
  <c r="CB9" i="31"/>
  <c r="CA9" i="31"/>
  <c r="BN8" i="31"/>
  <c r="BM8" i="31"/>
  <c r="BL8" i="31"/>
  <c r="BK8" i="31"/>
  <c r="BJ8" i="31"/>
  <c r="BI8" i="31"/>
  <c r="BH8" i="31"/>
  <c r="BG8" i="31"/>
  <c r="BF8" i="31"/>
  <c r="BE8" i="31"/>
  <c r="BD8" i="31"/>
  <c r="BC8" i="31"/>
  <c r="BB8" i="31"/>
  <c r="BA8" i="31"/>
  <c r="AZ8" i="31"/>
  <c r="AY8" i="31"/>
  <c r="AX8" i="31"/>
  <c r="AW8" i="31"/>
  <c r="AV8" i="31"/>
  <c r="AU8" i="31"/>
  <c r="AT8" i="31"/>
  <c r="AS8" i="31"/>
  <c r="AR8" i="31"/>
  <c r="AQ8" i="31"/>
  <c r="AP8" i="31"/>
  <c r="BN7" i="31"/>
  <c r="BM7" i="31"/>
  <c r="BL7" i="31"/>
  <c r="BK7" i="31"/>
  <c r="BJ7" i="31"/>
  <c r="BI7" i="31"/>
  <c r="BH7" i="31"/>
  <c r="BG7" i="31"/>
  <c r="BF7" i="31"/>
  <c r="BE7" i="31"/>
  <c r="BD7" i="31"/>
  <c r="BC7" i="31"/>
  <c r="BB7" i="31"/>
  <c r="BA7" i="31"/>
  <c r="AZ7" i="31"/>
  <c r="AY7" i="31"/>
  <c r="AX7" i="31"/>
  <c r="AW7" i="31"/>
  <c r="AV7" i="31"/>
  <c r="AU7" i="31"/>
  <c r="AT7" i="31"/>
  <c r="AS7" i="31"/>
  <c r="AR7" i="31"/>
  <c r="AQ7" i="31"/>
  <c r="AP7" i="31"/>
  <c r="AO7" i="31"/>
  <c r="AN7" i="31"/>
  <c r="AM7" i="31"/>
  <c r="AL7" i="31"/>
  <c r="U8" i="31"/>
  <c r="L8" i="31"/>
  <c r="K8" i="31"/>
  <c r="F8" i="31"/>
  <c r="U7" i="31"/>
  <c r="L7" i="31"/>
  <c r="K7" i="31"/>
  <c r="J7" i="31"/>
  <c r="H68" i="81"/>
  <c r="H67" i="81"/>
  <c r="H66" i="81"/>
  <c r="H63" i="81"/>
  <c r="H62" i="81"/>
  <c r="H60" i="81"/>
  <c r="H59" i="81"/>
  <c r="C56" i="81"/>
  <c r="C55" i="81"/>
  <c r="C54" i="81"/>
  <c r="C53" i="81"/>
  <c r="H55" i="81"/>
  <c r="G55" i="81"/>
  <c r="F55" i="81"/>
  <c r="E55" i="81"/>
  <c r="H54" i="81"/>
  <c r="G54" i="81"/>
  <c r="F54" i="81"/>
  <c r="E54" i="81"/>
  <c r="H53" i="81"/>
  <c r="G53" i="81"/>
  <c r="F53" i="81"/>
  <c r="E53" i="81"/>
  <c r="C51" i="81"/>
  <c r="C50" i="81"/>
  <c r="C49" i="81"/>
  <c r="C48" i="81"/>
  <c r="C47" i="81"/>
  <c r="C46" i="81"/>
  <c r="H50" i="81"/>
  <c r="G50" i="81"/>
  <c r="F50" i="81"/>
  <c r="E50" i="81"/>
  <c r="H49" i="81"/>
  <c r="G49" i="81"/>
  <c r="F49" i="81"/>
  <c r="E49" i="81"/>
  <c r="H48" i="81"/>
  <c r="G48" i="81"/>
  <c r="F48" i="81"/>
  <c r="E48" i="81"/>
  <c r="H47" i="81"/>
  <c r="G47" i="81"/>
  <c r="F47" i="81"/>
  <c r="E47" i="81"/>
  <c r="H46" i="81"/>
  <c r="G46" i="81"/>
  <c r="F46" i="81"/>
  <c r="E46" i="81"/>
  <c r="H45" i="81"/>
  <c r="G45" i="81"/>
  <c r="F45" i="81"/>
  <c r="E45" i="81"/>
  <c r="D45" i="81"/>
  <c r="N42" i="81"/>
  <c r="N41" i="81"/>
  <c r="N40" i="81"/>
  <c r="N43" i="81" s="1"/>
  <c r="H43" i="81"/>
  <c r="G43" i="81"/>
  <c r="G56" i="81" s="1"/>
  <c r="F43" i="81"/>
  <c r="E43" i="81"/>
  <c r="E56" i="81" s="1"/>
  <c r="D43" i="81"/>
  <c r="H69" i="81" s="1"/>
  <c r="H39" i="81"/>
  <c r="G39" i="81"/>
  <c r="F39" i="81"/>
  <c r="E39" i="81"/>
  <c r="D39" i="81"/>
  <c r="N36" i="81"/>
  <c r="N35" i="81"/>
  <c r="N34" i="81"/>
  <c r="N33" i="81"/>
  <c r="N37" i="81" s="1"/>
  <c r="N32" i="81"/>
  <c r="H37" i="81"/>
  <c r="H51" i="81" s="1"/>
  <c r="G37" i="81"/>
  <c r="F37" i="81"/>
  <c r="F51" i="81" s="1"/>
  <c r="E37" i="81"/>
  <c r="D37" i="81"/>
  <c r="H64" i="81" s="1"/>
  <c r="H31" i="81"/>
  <c r="G31" i="81"/>
  <c r="F31" i="81"/>
  <c r="E31" i="81"/>
  <c r="D31" i="81"/>
  <c r="H22" i="81"/>
  <c r="G22" i="81"/>
  <c r="F22" i="81"/>
  <c r="E22" i="81"/>
  <c r="D22" i="81"/>
  <c r="C20" i="81"/>
  <c r="C29" i="81" s="1"/>
  <c r="C19" i="81"/>
  <c r="C28" i="81" s="1"/>
  <c r="C18" i="81"/>
  <c r="C27" i="81" s="1"/>
  <c r="C17" i="81"/>
  <c r="C26" i="81" s="1"/>
  <c r="C16" i="81"/>
  <c r="C25" i="81" s="1"/>
  <c r="C15" i="81"/>
  <c r="C24" i="81" s="1"/>
  <c r="C14" i="81"/>
  <c r="C23" i="81" s="1"/>
  <c r="J18" i="81"/>
  <c r="K18" i="81" s="1"/>
  <c r="L18" i="81" s="1"/>
  <c r="H19" i="81"/>
  <c r="G19" i="81"/>
  <c r="F19" i="81"/>
  <c r="E19" i="81"/>
  <c r="H18" i="81"/>
  <c r="G18" i="81"/>
  <c r="F18" i="81"/>
  <c r="E18" i="81"/>
  <c r="H17" i="81"/>
  <c r="G17" i="81"/>
  <c r="F17" i="81"/>
  <c r="E17" i="81"/>
  <c r="H16" i="81"/>
  <c r="G16" i="81"/>
  <c r="F16" i="81"/>
  <c r="E16" i="81"/>
  <c r="H15" i="81"/>
  <c r="G15" i="81"/>
  <c r="F15" i="81"/>
  <c r="E15" i="81"/>
  <c r="H14" i="81"/>
  <c r="G14" i="81"/>
  <c r="F14" i="81"/>
  <c r="E14" i="81"/>
  <c r="H13" i="81"/>
  <c r="G13" i="81"/>
  <c r="F13" i="81"/>
  <c r="E13" i="81"/>
  <c r="D13" i="81"/>
  <c r="H11" i="81"/>
  <c r="G11" i="81"/>
  <c r="G20" i="81" s="1"/>
  <c r="F11" i="81"/>
  <c r="F29" i="81" s="1"/>
  <c r="E11" i="81"/>
  <c r="D11" i="81"/>
  <c r="N10" i="81"/>
  <c r="N9" i="81"/>
  <c r="N8" i="81"/>
  <c r="N7" i="81"/>
  <c r="N6" i="81"/>
  <c r="N5" i="81"/>
  <c r="N11" i="81" s="1"/>
  <c r="N29" i="81" s="1"/>
  <c r="T4" i="81"/>
  <c r="S4" i="81"/>
  <c r="R4" i="81"/>
  <c r="Q4" i="81"/>
  <c r="P4" i="81"/>
  <c r="O4" i="81"/>
  <c r="N4" i="81"/>
  <c r="I10" i="81"/>
  <c r="J10" i="81" s="1"/>
  <c r="I9" i="81"/>
  <c r="J9" i="81" s="1"/>
  <c r="I8" i="81"/>
  <c r="I7" i="81"/>
  <c r="J7" i="81" s="1"/>
  <c r="I6" i="81"/>
  <c r="J6" i="81" s="1"/>
  <c r="I5" i="81"/>
  <c r="I11" i="81" s="1"/>
  <c r="L4" i="81"/>
  <c r="K4" i="81"/>
  <c r="J4" i="81"/>
  <c r="I4" i="81"/>
  <c r="CD152" i="30"/>
  <c r="CC152" i="30"/>
  <c r="CB152" i="30"/>
  <c r="CA152" i="30"/>
  <c r="BZ152" i="30"/>
  <c r="BY152" i="30"/>
  <c r="BX152" i="30"/>
  <c r="BW152" i="30"/>
  <c r="BV152" i="30"/>
  <c r="BU152" i="30"/>
  <c r="BT152" i="30"/>
  <c r="BS152" i="30"/>
  <c r="BR152" i="30"/>
  <c r="BQ152" i="30"/>
  <c r="BP152" i="30"/>
  <c r="BO152" i="30"/>
  <c r="BN152" i="30"/>
  <c r="BM152" i="30"/>
  <c r="BL152" i="30"/>
  <c r="BK152" i="30"/>
  <c r="BJ152" i="30"/>
  <c r="BI152" i="30"/>
  <c r="BH152" i="30"/>
  <c r="BG152" i="30"/>
  <c r="BF152" i="30"/>
  <c r="BE152" i="30"/>
  <c r="BD152" i="30"/>
  <c r="BC152" i="30"/>
  <c r="BB152" i="30"/>
  <c r="BA152" i="30"/>
  <c r="AZ152" i="30"/>
  <c r="AY152" i="30"/>
  <c r="AX152" i="30"/>
  <c r="AW152" i="30"/>
  <c r="AV152" i="30"/>
  <c r="AU152" i="30"/>
  <c r="AT152" i="30"/>
  <c r="AS152" i="30"/>
  <c r="AR152" i="30"/>
  <c r="AQ152" i="30"/>
  <c r="AP152" i="30"/>
  <c r="AO152" i="30"/>
  <c r="AN152" i="30"/>
  <c r="AM152" i="30"/>
  <c r="AL152" i="30"/>
  <c r="AK152" i="30"/>
  <c r="AJ152" i="30"/>
  <c r="AI152" i="30"/>
  <c r="AH152" i="30"/>
  <c r="AG152" i="30"/>
  <c r="AF152" i="30"/>
  <c r="AE152" i="30"/>
  <c r="AD152" i="30"/>
  <c r="AC152" i="30"/>
  <c r="AB152" i="30"/>
  <c r="AA152" i="30"/>
  <c r="Z152" i="30"/>
  <c r="R152" i="30"/>
  <c r="Q152" i="30"/>
  <c r="P152" i="30"/>
  <c r="O152" i="30"/>
  <c r="N152" i="30"/>
  <c r="M152" i="30"/>
  <c r="L152" i="30"/>
  <c r="K152" i="30"/>
  <c r="J152" i="30"/>
  <c r="I152" i="30"/>
  <c r="H152" i="30"/>
  <c r="G152" i="30"/>
  <c r="F152" i="30"/>
  <c r="E152" i="30"/>
  <c r="BB150" i="30"/>
  <c r="BA150" i="30"/>
  <c r="AZ150" i="30"/>
  <c r="AY150" i="30"/>
  <c r="AX150" i="30"/>
  <c r="AW150" i="30"/>
  <c r="AV150" i="30"/>
  <c r="AU150" i="30"/>
  <c r="AT150" i="30"/>
  <c r="AS150" i="30"/>
  <c r="AR150" i="30"/>
  <c r="AQ150" i="30"/>
  <c r="AP150" i="30"/>
  <c r="AO150" i="30"/>
  <c r="AN150" i="30"/>
  <c r="AM150" i="30"/>
  <c r="AL150" i="30"/>
  <c r="AK150" i="30"/>
  <c r="AJ150" i="30"/>
  <c r="AI150" i="30"/>
  <c r="AH150" i="30"/>
  <c r="AG150" i="30"/>
  <c r="AF150" i="30"/>
  <c r="AE150" i="30"/>
  <c r="AD150" i="30"/>
  <c r="AC150" i="30"/>
  <c r="AB150" i="30"/>
  <c r="AA150" i="30"/>
  <c r="Z150" i="30"/>
  <c r="CA149" i="30"/>
  <c r="BW149" i="30"/>
  <c r="BS149" i="30"/>
  <c r="BO149" i="30"/>
  <c r="BK149" i="30"/>
  <c r="BG149" i="30"/>
  <c r="CA148" i="30"/>
  <c r="BW148" i="30"/>
  <c r="BS148" i="30"/>
  <c r="BO148" i="30"/>
  <c r="BK148" i="30"/>
  <c r="BG148" i="30"/>
  <c r="K150" i="30"/>
  <c r="J150" i="30"/>
  <c r="I150" i="30"/>
  <c r="BB146" i="30"/>
  <c r="BA146" i="30"/>
  <c r="AZ146" i="30"/>
  <c r="AY146" i="30"/>
  <c r="AX146" i="30"/>
  <c r="AW146" i="30"/>
  <c r="AV146" i="30"/>
  <c r="AU146" i="30"/>
  <c r="AT146" i="30"/>
  <c r="AS146" i="30"/>
  <c r="AR146" i="30"/>
  <c r="AQ146" i="30"/>
  <c r="AP146" i="30"/>
  <c r="AO146" i="30"/>
  <c r="AN146" i="30"/>
  <c r="AM146" i="30"/>
  <c r="AL146" i="30"/>
  <c r="AK146" i="30"/>
  <c r="AJ146" i="30"/>
  <c r="AI146" i="30"/>
  <c r="AH146" i="30"/>
  <c r="AG146" i="30"/>
  <c r="AF146" i="30"/>
  <c r="AE146" i="30"/>
  <c r="AD146" i="30"/>
  <c r="AC146" i="30"/>
  <c r="AB146" i="30"/>
  <c r="AA146" i="30"/>
  <c r="Z146" i="30"/>
  <c r="K146" i="30"/>
  <c r="J146" i="30"/>
  <c r="I146" i="30"/>
  <c r="BN144" i="30"/>
  <c r="BM144" i="30"/>
  <c r="BL144" i="30"/>
  <c r="BK144" i="30"/>
  <c r="BJ144" i="30"/>
  <c r="BI144" i="30"/>
  <c r="BH144" i="30"/>
  <c r="BF144" i="30"/>
  <c r="BE144" i="30"/>
  <c r="BD144" i="30"/>
  <c r="BC144" i="30"/>
  <c r="BB144" i="30"/>
  <c r="BA144" i="30"/>
  <c r="AZ144" i="30"/>
  <c r="AY144" i="30"/>
  <c r="AX144" i="30"/>
  <c r="AW144" i="30"/>
  <c r="AV144" i="30"/>
  <c r="AU144" i="30"/>
  <c r="AT144" i="30"/>
  <c r="AS144" i="30"/>
  <c r="AR144" i="30"/>
  <c r="AQ144" i="30"/>
  <c r="AP144" i="30"/>
  <c r="AO144" i="30"/>
  <c r="AN144" i="30"/>
  <c r="AM144" i="30"/>
  <c r="AL144" i="30"/>
  <c r="AK144" i="30"/>
  <c r="AJ144" i="30"/>
  <c r="AI144" i="30"/>
  <c r="AH144" i="30"/>
  <c r="AG144" i="30"/>
  <c r="AF144" i="30"/>
  <c r="AE144" i="30"/>
  <c r="AD144" i="30"/>
  <c r="AC144" i="30"/>
  <c r="AB144" i="30"/>
  <c r="AA144" i="30"/>
  <c r="Z144" i="30"/>
  <c r="K144" i="30"/>
  <c r="J144" i="30"/>
  <c r="I144" i="30"/>
  <c r="H144" i="30"/>
  <c r="G144" i="30"/>
  <c r="F144" i="30"/>
  <c r="E144" i="30"/>
  <c r="CC141" i="30"/>
  <c r="CB141" i="30"/>
  <c r="CA141" i="30"/>
  <c r="BZ141" i="30"/>
  <c r="BY141" i="30"/>
  <c r="BX141" i="30"/>
  <c r="BW141" i="30"/>
  <c r="BV141" i="30"/>
  <c r="BU141" i="30"/>
  <c r="BT141" i="30"/>
  <c r="BS141" i="30"/>
  <c r="BR141" i="30"/>
  <c r="BQ141" i="30"/>
  <c r="BP141" i="30"/>
  <c r="BO141" i="30"/>
  <c r="BN141" i="30"/>
  <c r="BM141" i="30"/>
  <c r="BL141" i="30"/>
  <c r="BK141" i="30"/>
  <c r="BJ141" i="30"/>
  <c r="BI141" i="30"/>
  <c r="BH141" i="30"/>
  <c r="BG141" i="30"/>
  <c r="BF141" i="30"/>
  <c r="BE141" i="30"/>
  <c r="BA141" i="30"/>
  <c r="BC137" i="30"/>
  <c r="BB137" i="30"/>
  <c r="BA137" i="30"/>
  <c r="AZ137" i="30"/>
  <c r="AY137" i="30"/>
  <c r="AX137" i="30"/>
  <c r="AW137" i="30"/>
  <c r="AV137" i="30"/>
  <c r="AU137" i="30"/>
  <c r="AT137" i="30"/>
  <c r="AS137" i="30"/>
  <c r="AR137" i="30"/>
  <c r="AQ137" i="30"/>
  <c r="BC136" i="30"/>
  <c r="BB136" i="30"/>
  <c r="BA136" i="30"/>
  <c r="AZ136" i="30"/>
  <c r="AY136" i="30"/>
  <c r="AX136" i="30"/>
  <c r="AW136" i="30"/>
  <c r="AV136" i="30"/>
  <c r="AU136" i="30"/>
  <c r="AT136" i="30"/>
  <c r="AS136" i="30"/>
  <c r="AR136" i="30"/>
  <c r="AQ136" i="30"/>
  <c r="AQ138" i="30" s="1"/>
  <c r="AR135" i="30" s="1"/>
  <c r="AQ135" i="30"/>
  <c r="L137" i="30"/>
  <c r="K137" i="30"/>
  <c r="J137" i="30"/>
  <c r="I137" i="30"/>
  <c r="L136" i="30"/>
  <c r="K136" i="30"/>
  <c r="J136" i="30"/>
  <c r="I136" i="30"/>
  <c r="I135" i="30"/>
  <c r="I139" i="30" s="1"/>
  <c r="BU130" i="30"/>
  <c r="CB128" i="30"/>
  <c r="CB130" i="30" s="1"/>
  <c r="CA128" i="30"/>
  <c r="CA130" i="30" s="1"/>
  <c r="BW128" i="30"/>
  <c r="BW130" i="30" s="1"/>
  <c r="BV128" i="30"/>
  <c r="BV130" i="30" s="1"/>
  <c r="BU128" i="30"/>
  <c r="BT128" i="30"/>
  <c r="BT130" i="30" s="1"/>
  <c r="BS128" i="30"/>
  <c r="BS130" i="30" s="1"/>
  <c r="BR128" i="30"/>
  <c r="BR130" i="30" s="1"/>
  <c r="BQ128" i="30"/>
  <c r="BQ130" i="30" s="1"/>
  <c r="BP128" i="30"/>
  <c r="BP130" i="30" s="1"/>
  <c r="BO128" i="30"/>
  <c r="BO130" i="30" s="1"/>
  <c r="BK128" i="30"/>
  <c r="BK130" i="30" s="1"/>
  <c r="BG128" i="30"/>
  <c r="BG130" i="30" s="1"/>
  <c r="S129" i="30"/>
  <c r="T129" i="30" s="1"/>
  <c r="U129" i="30" s="1"/>
  <c r="V129" i="30" s="1"/>
  <c r="W129" i="30" s="1"/>
  <c r="X129" i="30" s="1"/>
  <c r="R129" i="30"/>
  <c r="Q129" i="30"/>
  <c r="P129" i="30"/>
  <c r="O129" i="30"/>
  <c r="BA125" i="30"/>
  <c r="AS125" i="30"/>
  <c r="AK125" i="30"/>
  <c r="BN124" i="30"/>
  <c r="BF124" i="30"/>
  <c r="AX124" i="30"/>
  <c r="AP124" i="30"/>
  <c r="AK124" i="30"/>
  <c r="AG124" i="30"/>
  <c r="BH123" i="30"/>
  <c r="BD123" i="30"/>
  <c r="AR123" i="30"/>
  <c r="AN123" i="30"/>
  <c r="AB123" i="30"/>
  <c r="CF122" i="30"/>
  <c r="CD122" i="30"/>
  <c r="CE122" i="30" s="1"/>
  <c r="CC122" i="30"/>
  <c r="CB122" i="30"/>
  <c r="BN122" i="30"/>
  <c r="BM122" i="30"/>
  <c r="BL122" i="30"/>
  <c r="BL123" i="30" s="1"/>
  <c r="BK122" i="30"/>
  <c r="BJ122" i="30"/>
  <c r="BJ126" i="30" s="1"/>
  <c r="BI122" i="30"/>
  <c r="BH122" i="30"/>
  <c r="BG122" i="30"/>
  <c r="BF122" i="30"/>
  <c r="BE122" i="30"/>
  <c r="BD122" i="30"/>
  <c r="BC122" i="30"/>
  <c r="BB122" i="30"/>
  <c r="BA122" i="30"/>
  <c r="AZ122" i="30"/>
  <c r="AY122" i="30"/>
  <c r="AX122" i="30"/>
  <c r="AW122" i="30"/>
  <c r="AV122" i="30"/>
  <c r="AV123" i="30" s="1"/>
  <c r="AU122" i="30"/>
  <c r="AT122" i="30"/>
  <c r="AS122" i="30"/>
  <c r="AR122" i="30"/>
  <c r="AQ122" i="30"/>
  <c r="AP122" i="30"/>
  <c r="AO122" i="30"/>
  <c r="AN122" i="30"/>
  <c r="AM122" i="30"/>
  <c r="AM132" i="30" s="1"/>
  <c r="AL122" i="30"/>
  <c r="AL124" i="30" s="1"/>
  <c r="AK122" i="30"/>
  <c r="AK132" i="30" s="1"/>
  <c r="AJ122" i="30"/>
  <c r="AI122" i="30"/>
  <c r="AI132" i="30" s="1"/>
  <c r="AH122" i="30"/>
  <c r="AH124" i="30" s="1"/>
  <c r="AG122" i="30"/>
  <c r="AG132" i="30" s="1"/>
  <c r="AF122" i="30"/>
  <c r="AF123" i="30" s="1"/>
  <c r="AE122" i="30"/>
  <c r="AD122" i="30"/>
  <c r="AC122" i="30"/>
  <c r="AC132" i="30" s="1"/>
  <c r="AB122" i="30"/>
  <c r="E122" i="30" s="1"/>
  <c r="E132" i="30" s="1"/>
  <c r="AA122" i="30"/>
  <c r="Z122" i="30"/>
  <c r="N122" i="30"/>
  <c r="M122" i="30"/>
  <c r="K122" i="30"/>
  <c r="I122" i="30"/>
  <c r="G122" i="30"/>
  <c r="G124" i="30" s="1"/>
  <c r="F122" i="30"/>
  <c r="BA116" i="30"/>
  <c r="BA115" i="30"/>
  <c r="AW115" i="30"/>
  <c r="AS115" i="30"/>
  <c r="AO115" i="30"/>
  <c r="AK115" i="30"/>
  <c r="AG115" i="30"/>
  <c r="AC115" i="30"/>
  <c r="CC117" i="30"/>
  <c r="CC114" i="30"/>
  <c r="CB114" i="30"/>
  <c r="CA114" i="30"/>
  <c r="BZ114" i="30"/>
  <c r="BY114" i="30"/>
  <c r="BX114" i="30"/>
  <c r="BW114" i="30"/>
  <c r="BV114" i="30"/>
  <c r="BU114" i="30"/>
  <c r="BT114" i="30"/>
  <c r="BS114" i="30"/>
  <c r="BR114" i="30"/>
  <c r="BQ114" i="30"/>
  <c r="BP114" i="30"/>
  <c r="BO114" i="30"/>
  <c r="BN114" i="30"/>
  <c r="BM114" i="30"/>
  <c r="BL114" i="30"/>
  <c r="BK114" i="30"/>
  <c r="BJ114" i="30"/>
  <c r="BI114" i="30"/>
  <c r="BF114" i="30"/>
  <c r="BE114" i="30"/>
  <c r="BB114" i="30"/>
  <c r="BA114" i="30"/>
  <c r="AX114" i="30"/>
  <c r="AW114" i="30"/>
  <c r="AT114" i="30"/>
  <c r="AS114" i="30"/>
  <c r="AP114" i="30"/>
  <c r="AO114" i="30"/>
  <c r="AL114" i="30"/>
  <c r="AK114" i="30"/>
  <c r="AH114" i="30"/>
  <c r="AG114" i="30"/>
  <c r="AD114" i="30"/>
  <c r="Q114" i="30"/>
  <c r="P114" i="30"/>
  <c r="CA113" i="30"/>
  <c r="BW113" i="30"/>
  <c r="BS113" i="30"/>
  <c r="BO113" i="30"/>
  <c r="CA112" i="30"/>
  <c r="BW112" i="30"/>
  <c r="BS112" i="30"/>
  <c r="BO112" i="30"/>
  <c r="S112" i="30"/>
  <c r="CE109" i="30"/>
  <c r="CE111" i="30" s="1"/>
  <c r="CE108" i="30"/>
  <c r="CE126" i="30" s="1"/>
  <c r="BD108" i="30"/>
  <c r="BH114" i="30" s="1"/>
  <c r="BC108" i="30"/>
  <c r="BG114" i="30" s="1"/>
  <c r="BB108" i="30"/>
  <c r="AZ108" i="30"/>
  <c r="AY108" i="30"/>
  <c r="AY115" i="30" s="1"/>
  <c r="AX108" i="30"/>
  <c r="AX115" i="30" s="1"/>
  <c r="AW108" i="30"/>
  <c r="AV108" i="30"/>
  <c r="AU108" i="30"/>
  <c r="AU115" i="30" s="1"/>
  <c r="AT108" i="30"/>
  <c r="AT115" i="30" s="1"/>
  <c r="AS108" i="30"/>
  <c r="AR108" i="30"/>
  <c r="AQ108" i="30"/>
  <c r="AQ115" i="30" s="1"/>
  <c r="AP108" i="30"/>
  <c r="AP115" i="30" s="1"/>
  <c r="AO108" i="30"/>
  <c r="AN108" i="30"/>
  <c r="AM108" i="30"/>
  <c r="AM115" i="30" s="1"/>
  <c r="AL108" i="30"/>
  <c r="AL115" i="30" s="1"/>
  <c r="AK108" i="30"/>
  <c r="AJ108" i="30"/>
  <c r="AI108" i="30"/>
  <c r="AI115" i="30" s="1"/>
  <c r="AH108" i="30"/>
  <c r="AH115" i="30" s="1"/>
  <c r="AG108" i="30"/>
  <c r="AF108" i="30"/>
  <c r="AE108" i="30"/>
  <c r="AE115" i="30" s="1"/>
  <c r="AD108" i="30"/>
  <c r="AD115" i="30" s="1"/>
  <c r="AC108" i="30"/>
  <c r="AB108" i="30"/>
  <c r="AA108" i="30"/>
  <c r="AA115" i="30" s="1"/>
  <c r="Z108" i="30"/>
  <c r="Z116" i="30" s="1"/>
  <c r="Q108" i="30"/>
  <c r="P108" i="30"/>
  <c r="O108" i="30"/>
  <c r="N108" i="30"/>
  <c r="M108" i="30"/>
  <c r="M117" i="30" s="1"/>
  <c r="A99" i="30"/>
  <c r="CD93" i="30"/>
  <c r="CD91" i="30"/>
  <c r="BQ93" i="30"/>
  <c r="BP93" i="30"/>
  <c r="BD91" i="30"/>
  <c r="CA92" i="30"/>
  <c r="BW92" i="30"/>
  <c r="BS92" i="30"/>
  <c r="BO92" i="30"/>
  <c r="BK92" i="30"/>
  <c r="BG92" i="30"/>
  <c r="CC91" i="30"/>
  <c r="CB91" i="30"/>
  <c r="CA91" i="30"/>
  <c r="BZ91" i="30"/>
  <c r="BY91" i="30"/>
  <c r="BX91" i="30"/>
  <c r="BW91" i="30"/>
  <c r="BV91" i="30"/>
  <c r="BU91" i="30"/>
  <c r="BT91" i="30"/>
  <c r="BS91" i="30"/>
  <c r="BR91" i="30"/>
  <c r="BQ91" i="30"/>
  <c r="BP91" i="30"/>
  <c r="BO91" i="30"/>
  <c r="BN91" i="30"/>
  <c r="BM91" i="30"/>
  <c r="BL91" i="30"/>
  <c r="BK91" i="30"/>
  <c r="BJ91" i="30"/>
  <c r="BI91" i="30"/>
  <c r="BH91" i="30"/>
  <c r="BG91" i="30"/>
  <c r="BF91" i="30"/>
  <c r="BE91" i="30"/>
  <c r="BC91" i="30"/>
  <c r="BB91" i="30"/>
  <c r="BA91" i="30"/>
  <c r="AZ91" i="30"/>
  <c r="AY91" i="30"/>
  <c r="AX91" i="30"/>
  <c r="AW91" i="30"/>
  <c r="AV91" i="30"/>
  <c r="AU91" i="30"/>
  <c r="AT91" i="30"/>
  <c r="AS91" i="30"/>
  <c r="AR91" i="30"/>
  <c r="AQ91" i="30"/>
  <c r="AP91" i="30"/>
  <c r="AO91" i="30"/>
  <c r="AN91" i="30"/>
  <c r="AM91" i="30"/>
  <c r="AL91" i="30"/>
  <c r="AK91" i="30"/>
  <c r="AJ91" i="30"/>
  <c r="AI91" i="30"/>
  <c r="AH91" i="30"/>
  <c r="AG91" i="30"/>
  <c r="AF91" i="30"/>
  <c r="AE91" i="30"/>
  <c r="AD91" i="30"/>
  <c r="AC91" i="30"/>
  <c r="AB91" i="30"/>
  <c r="AA91" i="30"/>
  <c r="Z91" i="30"/>
  <c r="S93" i="30"/>
  <c r="R93" i="30"/>
  <c r="Q93" i="30"/>
  <c r="Q78" i="30" s="1"/>
  <c r="P93" i="30"/>
  <c r="N93" i="30"/>
  <c r="M93" i="30"/>
  <c r="R91" i="30"/>
  <c r="Q91" i="30"/>
  <c r="P91" i="30"/>
  <c r="O91" i="30"/>
  <c r="N91" i="30"/>
  <c r="M91" i="30"/>
  <c r="L91" i="30"/>
  <c r="K91" i="30"/>
  <c r="J91" i="30"/>
  <c r="I91" i="30"/>
  <c r="H91" i="30"/>
  <c r="G91" i="30"/>
  <c r="F91" i="30"/>
  <c r="E91" i="30"/>
  <c r="CH87" i="30"/>
  <c r="CG87" i="30"/>
  <c r="CF87" i="30"/>
  <c r="S87" i="30" s="1"/>
  <c r="CE87" i="30"/>
  <c r="CD87" i="30"/>
  <c r="CC87" i="30"/>
  <c r="CB87" i="30"/>
  <c r="CA87" i="30"/>
  <c r="BZ87" i="30"/>
  <c r="BY87" i="30"/>
  <c r="BX87" i="30"/>
  <c r="Q87" i="30" s="1"/>
  <c r="BW87" i="30"/>
  <c r="BT86" i="30"/>
  <c r="BU86" i="30" s="1"/>
  <c r="BV86" i="30" s="1"/>
  <c r="BY84" i="30"/>
  <c r="BT84" i="30"/>
  <c r="BS84" i="30"/>
  <c r="BO84" i="30"/>
  <c r="CH85" i="30"/>
  <c r="CG85" i="30"/>
  <c r="CF85" i="30"/>
  <c r="CE85" i="30"/>
  <c r="CE84" i="30"/>
  <c r="BX82" i="30"/>
  <c r="BT79" i="30"/>
  <c r="BS79" i="30"/>
  <c r="P79" i="30" s="1"/>
  <c r="BR79" i="30"/>
  <c r="BQ79" i="30"/>
  <c r="BP79" i="30"/>
  <c r="BO79" i="30"/>
  <c r="O79" i="30" s="1"/>
  <c r="BN79" i="30"/>
  <c r="BM79" i="30"/>
  <c r="K77" i="30"/>
  <c r="K73" i="30"/>
  <c r="K72" i="30"/>
  <c r="CH78" i="30"/>
  <c r="CG78" i="30"/>
  <c r="CF78" i="30"/>
  <c r="CE78" i="30"/>
  <c r="CD78" i="30"/>
  <c r="CC78" i="30"/>
  <c r="CB78" i="30"/>
  <c r="CA78" i="30"/>
  <c r="BZ78" i="30"/>
  <c r="BY78" i="30"/>
  <c r="BX78" i="30"/>
  <c r="BW78" i="30"/>
  <c r="BV78" i="30"/>
  <c r="BU78" i="30"/>
  <c r="BT78" i="30"/>
  <c r="BS78" i="30"/>
  <c r="BR78" i="30"/>
  <c r="BP78" i="30"/>
  <c r="BO78" i="30"/>
  <c r="BN78" i="30"/>
  <c r="BM78" i="30"/>
  <c r="BL78" i="30"/>
  <c r="BK78" i="30"/>
  <c r="BJ78" i="30"/>
  <c r="BI78" i="30"/>
  <c r="BH78" i="30"/>
  <c r="BG78" i="30"/>
  <c r="BF78" i="30"/>
  <c r="BE78" i="30"/>
  <c r="BC78" i="30"/>
  <c r="CD77" i="30"/>
  <c r="CC77" i="30"/>
  <c r="CB77" i="30"/>
  <c r="CA77" i="30"/>
  <c r="BZ77" i="30"/>
  <c r="BY77" i="30"/>
  <c r="BX77" i="30"/>
  <c r="BW77" i="30"/>
  <c r="BV77" i="30"/>
  <c r="BU77" i="30"/>
  <c r="BT77" i="30"/>
  <c r="BS77" i="30"/>
  <c r="BR77" i="30"/>
  <c r="BQ77" i="30"/>
  <c r="BP77" i="30"/>
  <c r="BO77" i="30"/>
  <c r="BN77" i="30"/>
  <c r="BM77" i="30"/>
  <c r="BL77" i="30"/>
  <c r="BK77" i="30"/>
  <c r="BJ77" i="30"/>
  <c r="BI77" i="30"/>
  <c r="BH77" i="30"/>
  <c r="BG77" i="30"/>
  <c r="BF77" i="30"/>
  <c r="BE77" i="30"/>
  <c r="BD77" i="30"/>
  <c r="BC77" i="30"/>
  <c r="BB77" i="30"/>
  <c r="BA77" i="30"/>
  <c r="AZ77" i="30"/>
  <c r="AY77" i="30"/>
  <c r="CA75" i="30"/>
  <c r="BW75" i="30"/>
  <c r="BS75" i="30"/>
  <c r="BO75" i="30"/>
  <c r="BK75" i="30"/>
  <c r="BG75" i="30"/>
  <c r="CE74" i="30"/>
  <c r="CC74" i="30"/>
  <c r="CC84" i="30" s="1"/>
  <c r="CB74" i="30"/>
  <c r="CB84" i="30" s="1"/>
  <c r="CA74" i="30"/>
  <c r="CA84" i="30" s="1"/>
  <c r="BZ74" i="30"/>
  <c r="BZ84" i="30" s="1"/>
  <c r="BY74" i="30"/>
  <c r="BX74" i="30"/>
  <c r="BX84" i="30" s="1"/>
  <c r="BW74" i="30"/>
  <c r="BW84" i="30" s="1"/>
  <c r="BV74" i="30"/>
  <c r="BV84" i="30" s="1"/>
  <c r="BU74" i="30"/>
  <c r="BU84" i="30" s="1"/>
  <c r="BT74" i="30"/>
  <c r="BS74" i="30"/>
  <c r="BR74" i="30"/>
  <c r="BR84" i="30" s="1"/>
  <c r="BQ74" i="30"/>
  <c r="BQ84" i="30" s="1"/>
  <c r="BP74" i="30"/>
  <c r="BP84" i="30" s="1"/>
  <c r="BO74" i="30"/>
  <c r="BN74" i="30"/>
  <c r="BN84" i="30" s="1"/>
  <c r="BM74" i="30"/>
  <c r="BM84" i="30" s="1"/>
  <c r="BL74" i="30"/>
  <c r="BL84" i="30" s="1"/>
  <c r="BK74" i="30"/>
  <c r="BK84" i="30" s="1"/>
  <c r="BJ74" i="30"/>
  <c r="BI74" i="30"/>
  <c r="BH74" i="30"/>
  <c r="BG74" i="30"/>
  <c r="CD73" i="30"/>
  <c r="CC73" i="30"/>
  <c r="CB73" i="30"/>
  <c r="BN73" i="30"/>
  <c r="BM73" i="30"/>
  <c r="BL73" i="30"/>
  <c r="BK73" i="30"/>
  <c r="BJ73" i="30"/>
  <c r="BI73" i="30"/>
  <c r="BH73" i="30"/>
  <c r="BG73" i="30"/>
  <c r="BF73" i="30"/>
  <c r="BE73" i="30"/>
  <c r="BD73" i="30"/>
  <c r="BC73" i="30"/>
  <c r="BB73" i="30"/>
  <c r="BA73" i="30"/>
  <c r="AZ73" i="30"/>
  <c r="AY73" i="30"/>
  <c r="BB72" i="30"/>
  <c r="BA72" i="30"/>
  <c r="AZ72" i="30"/>
  <c r="AY72" i="30"/>
  <c r="AT75" i="30"/>
  <c r="AD75" i="30"/>
  <c r="AX72" i="30"/>
  <c r="AW72" i="30"/>
  <c r="AV72" i="30"/>
  <c r="AU72" i="30"/>
  <c r="AT72" i="30"/>
  <c r="AS72" i="30"/>
  <c r="AR72" i="30"/>
  <c r="AQ72" i="30"/>
  <c r="AP72" i="30"/>
  <c r="AO72" i="30"/>
  <c r="AN72" i="30"/>
  <c r="AM72" i="30"/>
  <c r="AL72" i="30"/>
  <c r="AK72" i="30"/>
  <c r="AJ72" i="30"/>
  <c r="AI72" i="30"/>
  <c r="AH72" i="30"/>
  <c r="AG72" i="30"/>
  <c r="AF72" i="30"/>
  <c r="AE72" i="30"/>
  <c r="AD72" i="30"/>
  <c r="AC72" i="30"/>
  <c r="AB72" i="30"/>
  <c r="AA72" i="30"/>
  <c r="Z72" i="30"/>
  <c r="X87" i="30"/>
  <c r="W87" i="30"/>
  <c r="V87" i="30"/>
  <c r="U87" i="30"/>
  <c r="T87" i="30"/>
  <c r="R87" i="30"/>
  <c r="P87" i="30"/>
  <c r="O87" i="30"/>
  <c r="X86" i="30"/>
  <c r="T86" i="30"/>
  <c r="U86" i="30" s="1"/>
  <c r="V86" i="30" s="1"/>
  <c r="W86" i="30" s="1"/>
  <c r="S86" i="30"/>
  <c r="R86" i="30"/>
  <c r="Q86" i="30"/>
  <c r="O86" i="30"/>
  <c r="S85" i="30"/>
  <c r="R85" i="30"/>
  <c r="Q85" i="30"/>
  <c r="P85" i="30"/>
  <c r="O85" i="30"/>
  <c r="P84" i="30"/>
  <c r="R83" i="30"/>
  <c r="Q83" i="30"/>
  <c r="P83" i="30"/>
  <c r="O83" i="30"/>
  <c r="S79" i="30"/>
  <c r="T79" i="30" s="1"/>
  <c r="U79" i="30" s="1"/>
  <c r="V79" i="30" s="1"/>
  <c r="W79" i="30" s="1"/>
  <c r="X79" i="30" s="1"/>
  <c r="R79" i="30"/>
  <c r="Q79" i="30"/>
  <c r="S78" i="30"/>
  <c r="R78" i="30"/>
  <c r="P78" i="30"/>
  <c r="R77" i="30"/>
  <c r="Q77" i="30"/>
  <c r="P77" i="30"/>
  <c r="O77" i="30"/>
  <c r="N79" i="30"/>
  <c r="M79" i="30"/>
  <c r="L79" i="30"/>
  <c r="N78" i="30"/>
  <c r="M78" i="30"/>
  <c r="N77" i="30"/>
  <c r="M77" i="30"/>
  <c r="L77" i="30"/>
  <c r="N73" i="30"/>
  <c r="M73" i="30"/>
  <c r="L73" i="30"/>
  <c r="J72" i="30"/>
  <c r="I72" i="30"/>
  <c r="BR68" i="30"/>
  <c r="BQ68" i="30"/>
  <c r="BP68" i="30"/>
  <c r="BO68" i="30"/>
  <c r="BN68" i="30"/>
  <c r="BM68" i="30"/>
  <c r="BL68" i="30"/>
  <c r="BK68" i="30"/>
  <c r="BJ68" i="30"/>
  <c r="BI68" i="30"/>
  <c r="BH68" i="30"/>
  <c r="BG68" i="30"/>
  <c r="BF68" i="30"/>
  <c r="BE68" i="30"/>
  <c r="BD68" i="30"/>
  <c r="BC68" i="30"/>
  <c r="AP68" i="30"/>
  <c r="AO68" i="30"/>
  <c r="AN68" i="30"/>
  <c r="AM68" i="30"/>
  <c r="AL68" i="30"/>
  <c r="AK68" i="30"/>
  <c r="AJ68" i="30"/>
  <c r="AI68" i="30"/>
  <c r="AH68" i="30"/>
  <c r="AG68" i="30"/>
  <c r="AF68" i="30"/>
  <c r="AE68" i="30"/>
  <c r="AD68" i="30"/>
  <c r="AC68" i="30"/>
  <c r="AB68" i="30"/>
  <c r="AA68" i="30"/>
  <c r="Z68" i="30"/>
  <c r="CB67" i="30"/>
  <c r="CA67" i="30"/>
  <c r="BW67" i="30"/>
  <c r="BT67" i="30"/>
  <c r="BS67" i="30"/>
  <c r="BO67" i="30"/>
  <c r="BL67" i="30"/>
  <c r="BK67" i="30"/>
  <c r="BG67" i="30"/>
  <c r="BD67" i="30"/>
  <c r="AN67" i="30"/>
  <c r="CH66" i="30"/>
  <c r="CH82" i="30" s="1"/>
  <c r="CG66" i="30"/>
  <c r="CG82" i="30" s="1"/>
  <c r="CF66" i="30"/>
  <c r="CF82" i="30" s="1"/>
  <c r="CE66" i="30"/>
  <c r="CE82" i="30" s="1"/>
  <c r="CD66" i="30"/>
  <c r="CD82" i="30" s="1"/>
  <c r="CC66" i="30"/>
  <c r="CC82" i="30" s="1"/>
  <c r="CB66" i="30"/>
  <c r="CB82" i="30" s="1"/>
  <c r="CA66" i="30"/>
  <c r="CA82" i="30" s="1"/>
  <c r="BZ66" i="30"/>
  <c r="BZ82" i="30" s="1"/>
  <c r="BY66" i="30"/>
  <c r="BY82" i="30" s="1"/>
  <c r="BX66" i="30"/>
  <c r="BW66" i="30"/>
  <c r="BW82" i="30" s="1"/>
  <c r="BV66" i="30"/>
  <c r="BV82" i="30" s="1"/>
  <c r="BU66" i="30"/>
  <c r="BU82" i="30" s="1"/>
  <c r="BT66" i="30"/>
  <c r="BT82" i="30" s="1"/>
  <c r="BS66" i="30"/>
  <c r="BS82" i="30" s="1"/>
  <c r="BR66" i="30"/>
  <c r="BR82" i="30" s="1"/>
  <c r="BQ66" i="30"/>
  <c r="BQ82" i="30" s="1"/>
  <c r="BP66" i="30"/>
  <c r="BP82" i="30" s="1"/>
  <c r="BO66" i="30"/>
  <c r="BO82" i="30" s="1"/>
  <c r="BN66" i="30"/>
  <c r="BN82" i="30" s="1"/>
  <c r="BM66" i="30"/>
  <c r="BM82" i="30" s="1"/>
  <c r="BL66" i="30"/>
  <c r="BL82" i="30" s="1"/>
  <c r="BK66" i="30"/>
  <c r="BK82" i="30" s="1"/>
  <c r="BJ66" i="30"/>
  <c r="BI66" i="30"/>
  <c r="BH66" i="30"/>
  <c r="BG66" i="30"/>
  <c r="BF66" i="30"/>
  <c r="BE66" i="30"/>
  <c r="BC66" i="30"/>
  <c r="BB65" i="30"/>
  <c r="BA65" i="30"/>
  <c r="AZ65" i="30"/>
  <c r="AY65" i="30"/>
  <c r="AX65" i="30"/>
  <c r="AW65" i="30"/>
  <c r="AV65" i="30"/>
  <c r="AU65" i="30"/>
  <c r="AT65" i="30"/>
  <c r="AS65" i="30"/>
  <c r="AR65" i="30"/>
  <c r="AQ65" i="30"/>
  <c r="AP65" i="30"/>
  <c r="AO65" i="30"/>
  <c r="AN65" i="30"/>
  <c r="AM65" i="30"/>
  <c r="AL65" i="30"/>
  <c r="AK65" i="30"/>
  <c r="AJ65" i="30"/>
  <c r="AI65" i="30"/>
  <c r="AH65" i="30"/>
  <c r="AG65" i="30"/>
  <c r="AF65" i="30"/>
  <c r="AE65" i="30"/>
  <c r="AD65" i="30"/>
  <c r="AC65" i="30"/>
  <c r="AB65" i="30"/>
  <c r="AA65" i="30"/>
  <c r="Z65" i="30"/>
  <c r="O68" i="30"/>
  <c r="N68" i="30"/>
  <c r="M68" i="30"/>
  <c r="L68" i="30"/>
  <c r="H68" i="30"/>
  <c r="G68" i="30"/>
  <c r="F68" i="30"/>
  <c r="E68" i="30"/>
  <c r="S66" i="30"/>
  <c r="R66" i="30"/>
  <c r="Q66" i="30"/>
  <c r="P66" i="30"/>
  <c r="N66" i="30"/>
  <c r="M66" i="30"/>
  <c r="K65" i="30"/>
  <c r="J65" i="30"/>
  <c r="I65" i="30"/>
  <c r="D61" i="30"/>
  <c r="D62" i="30" s="1"/>
  <c r="P56" i="30"/>
  <c r="O56" i="30"/>
  <c r="N56" i="30"/>
  <c r="AI55" i="30"/>
  <c r="Z55" i="30"/>
  <c r="G55" i="30"/>
  <c r="X51" i="30"/>
  <c r="W51" i="30"/>
  <c r="V51" i="30"/>
  <c r="U51" i="30"/>
  <c r="T51" i="30"/>
  <c r="S51" i="30"/>
  <c r="R51" i="30"/>
  <c r="Q51" i="30"/>
  <c r="P51" i="30"/>
  <c r="O51" i="30"/>
  <c r="N51" i="30"/>
  <c r="M51" i="30"/>
  <c r="K51" i="30"/>
  <c r="J51" i="30"/>
  <c r="I51" i="30"/>
  <c r="AO49" i="30"/>
  <c r="AK49" i="30"/>
  <c r="BV48" i="30"/>
  <c r="P48" i="30" s="1"/>
  <c r="BT48" i="30"/>
  <c r="BU48" i="30" s="1"/>
  <c r="BQ48" i="30"/>
  <c r="BP48" i="30"/>
  <c r="BL48" i="30"/>
  <c r="BG48" i="30"/>
  <c r="BF48" i="30"/>
  <c r="BE48" i="30"/>
  <c r="BB48" i="30"/>
  <c r="BA48" i="30"/>
  <c r="AZ48" i="30"/>
  <c r="AY48" i="30"/>
  <c r="K48" i="30" s="1"/>
  <c r="AX48" i="30"/>
  <c r="AW48" i="30"/>
  <c r="J48" i="30" s="1"/>
  <c r="AV48" i="30"/>
  <c r="AU48" i="30"/>
  <c r="AT48" i="30"/>
  <c r="AS48" i="30"/>
  <c r="AS49" i="30" s="1"/>
  <c r="AR48" i="30"/>
  <c r="AQ48" i="30"/>
  <c r="I48" i="30" s="1"/>
  <c r="AP48" i="30"/>
  <c r="AO48" i="30"/>
  <c r="AN48" i="30"/>
  <c r="AM48" i="30"/>
  <c r="AL48" i="30"/>
  <c r="AK48" i="30"/>
  <c r="AJ48" i="30"/>
  <c r="AI48" i="30"/>
  <c r="G48" i="30" s="1"/>
  <c r="AH48" i="30"/>
  <c r="AG48" i="30"/>
  <c r="F48" i="30" s="1"/>
  <c r="AF48" i="30"/>
  <c r="AE48" i="30"/>
  <c r="AD48" i="30"/>
  <c r="AC48" i="30"/>
  <c r="AC49" i="30" s="1"/>
  <c r="AB48" i="30"/>
  <c r="AA48" i="30"/>
  <c r="E48" i="30" s="1"/>
  <c r="Z48" i="30"/>
  <c r="AX47" i="30"/>
  <c r="AW47" i="30"/>
  <c r="AV47" i="30"/>
  <c r="J47" i="30" s="1"/>
  <c r="AU47" i="30"/>
  <c r="AT47" i="30"/>
  <c r="I47" i="30" s="1"/>
  <c r="AS47" i="30"/>
  <c r="AR47" i="30"/>
  <c r="AQ47" i="30"/>
  <c r="AP47" i="30"/>
  <c r="AO47" i="30"/>
  <c r="AN47" i="30"/>
  <c r="H47" i="30" s="1"/>
  <c r="AM47" i="30"/>
  <c r="AL47" i="30"/>
  <c r="AK47" i="30"/>
  <c r="AJ47" i="30"/>
  <c r="AI47" i="30"/>
  <c r="AH47" i="30"/>
  <c r="AG47" i="30"/>
  <c r="AF47" i="30"/>
  <c r="F47" i="30" s="1"/>
  <c r="AE47" i="30"/>
  <c r="AD47" i="30"/>
  <c r="E47" i="30" s="1"/>
  <c r="AC47" i="30"/>
  <c r="AB47" i="30"/>
  <c r="AA47" i="30"/>
  <c r="Z47" i="30"/>
  <c r="S48" i="30"/>
  <c r="R48" i="30"/>
  <c r="Q48" i="30"/>
  <c r="L48" i="30"/>
  <c r="H48" i="30"/>
  <c r="S47" i="30"/>
  <c r="R47" i="30"/>
  <c r="Q47" i="30"/>
  <c r="P47" i="30"/>
  <c r="O47" i="30"/>
  <c r="N47" i="30"/>
  <c r="M47" i="30"/>
  <c r="L47" i="30"/>
  <c r="K47" i="30"/>
  <c r="G47" i="30"/>
  <c r="CC46" i="30"/>
  <c r="CB46" i="30"/>
  <c r="BX46" i="30"/>
  <c r="BU46" i="30"/>
  <c r="BT46" i="30"/>
  <c r="BP46" i="30"/>
  <c r="BM46" i="30"/>
  <c r="BL46" i="30"/>
  <c r="BH46" i="30"/>
  <c r="AT46" i="30"/>
  <c r="AS46" i="30"/>
  <c r="AR46" i="30"/>
  <c r="AQ46" i="30"/>
  <c r="AP46" i="30"/>
  <c r="AP75" i="30" s="1"/>
  <c r="AO46" i="30"/>
  <c r="AO75" i="30" s="1"/>
  <c r="AN46" i="30"/>
  <c r="AN75" i="30" s="1"/>
  <c r="AM46" i="30"/>
  <c r="AL46" i="30"/>
  <c r="AL75" i="30" s="1"/>
  <c r="AK46" i="30"/>
  <c r="AK75" i="30" s="1"/>
  <c r="AJ46" i="30"/>
  <c r="AJ75" i="30" s="1"/>
  <c r="AI46" i="30"/>
  <c r="AH46" i="30"/>
  <c r="AH75" i="30" s="1"/>
  <c r="AG46" i="30"/>
  <c r="AG75" i="30" s="1"/>
  <c r="AF46" i="30"/>
  <c r="AF75" i="30" s="1"/>
  <c r="AE46" i="30"/>
  <c r="AE75" i="30" s="1"/>
  <c r="AD46" i="30"/>
  <c r="AC46" i="30"/>
  <c r="AC75" i="30" s="1"/>
  <c r="AB46" i="30"/>
  <c r="AB75" i="30" s="1"/>
  <c r="AA46" i="30"/>
  <c r="Z46" i="30"/>
  <c r="Z75" i="30" s="1"/>
  <c r="CB45" i="30"/>
  <c r="CC45" i="30" s="1"/>
  <c r="CD45" i="30" s="1"/>
  <c r="CA45" i="30"/>
  <c r="BX45" i="30"/>
  <c r="BW45" i="30"/>
  <c r="BT45" i="30"/>
  <c r="BS45" i="30"/>
  <c r="BP45" i="30"/>
  <c r="BQ45" i="30" s="1"/>
  <c r="BR45" i="30" s="1"/>
  <c r="BO45" i="30"/>
  <c r="BL45" i="30"/>
  <c r="BM45" i="30" s="1"/>
  <c r="BN45" i="30" s="1"/>
  <c r="BK45" i="30"/>
  <c r="BH45" i="30"/>
  <c r="BG45" i="30"/>
  <c r="BB45" i="30"/>
  <c r="BA45" i="30"/>
  <c r="AZ45" i="30"/>
  <c r="AY45" i="30"/>
  <c r="AX45" i="30"/>
  <c r="AW45" i="30"/>
  <c r="AV45" i="30"/>
  <c r="AU45" i="30"/>
  <c r="AT45" i="30"/>
  <c r="AS45" i="30"/>
  <c r="AR45" i="30"/>
  <c r="I45" i="30" s="1"/>
  <c r="AQ45" i="30"/>
  <c r="AP45" i="30"/>
  <c r="AO45" i="30"/>
  <c r="AN45" i="30"/>
  <c r="H45" i="30" s="1"/>
  <c r="AM45" i="30"/>
  <c r="AL45" i="30"/>
  <c r="AK45" i="30"/>
  <c r="AJ45" i="30"/>
  <c r="AI45" i="30"/>
  <c r="AH45" i="30"/>
  <c r="AG45" i="30"/>
  <c r="AF45" i="30"/>
  <c r="AE45" i="30"/>
  <c r="AD45" i="30"/>
  <c r="AC45" i="30"/>
  <c r="AB45" i="30"/>
  <c r="E45" i="30" s="1"/>
  <c r="AA45" i="30"/>
  <c r="Z45" i="30"/>
  <c r="S45" i="30"/>
  <c r="R45" i="30"/>
  <c r="N45" i="30"/>
  <c r="L45" i="30"/>
  <c r="J45" i="30"/>
  <c r="F45" i="30"/>
  <c r="CB44" i="30"/>
  <c r="CA44" i="30"/>
  <c r="CA49" i="30" s="1"/>
  <c r="BX44" i="30"/>
  <c r="BW44" i="30"/>
  <c r="BW49" i="30" s="1"/>
  <c r="BT44" i="30"/>
  <c r="BS44" i="30"/>
  <c r="BS49" i="30" s="1"/>
  <c r="BP44" i="30"/>
  <c r="BO44" i="30"/>
  <c r="BO49" i="30" s="1"/>
  <c r="BL44" i="30"/>
  <c r="BK44" i="30"/>
  <c r="BK49" i="30" s="1"/>
  <c r="BH44" i="30"/>
  <c r="BG44" i="30"/>
  <c r="BG49" i="30" s="1"/>
  <c r="BF44" i="30"/>
  <c r="BE44" i="30"/>
  <c r="BD44" i="30"/>
  <c r="BC44" i="30"/>
  <c r="BB44" i="30"/>
  <c r="BA44" i="30"/>
  <c r="AZ44" i="30"/>
  <c r="AY44" i="30"/>
  <c r="AX44" i="30"/>
  <c r="AW44" i="30"/>
  <c r="AV44" i="30"/>
  <c r="J44" i="30" s="1"/>
  <c r="AU44" i="30"/>
  <c r="AT44" i="30"/>
  <c r="AT49" i="30" s="1"/>
  <c r="AS44" i="30"/>
  <c r="AR44" i="30"/>
  <c r="AR49" i="30" s="1"/>
  <c r="AQ44" i="30"/>
  <c r="AP44" i="30"/>
  <c r="AP49" i="30" s="1"/>
  <c r="AO44" i="30"/>
  <c r="AN44" i="30"/>
  <c r="AM44" i="30"/>
  <c r="AL44" i="30"/>
  <c r="AL49" i="30" s="1"/>
  <c r="AK44" i="30"/>
  <c r="AJ44" i="30"/>
  <c r="AJ49" i="30" s="1"/>
  <c r="AI44" i="30"/>
  <c r="AH44" i="30"/>
  <c r="AH49" i="30" s="1"/>
  <c r="AG44" i="30"/>
  <c r="AF44" i="30"/>
  <c r="AF49" i="30" s="1"/>
  <c r="AE44" i="30"/>
  <c r="AD44" i="30"/>
  <c r="AD49" i="30" s="1"/>
  <c r="AC44" i="30"/>
  <c r="AB44" i="30"/>
  <c r="AB49" i="30" s="1"/>
  <c r="AA44" i="30"/>
  <c r="Z44" i="30"/>
  <c r="Z49" i="30" s="1"/>
  <c r="I44" i="30"/>
  <c r="S43" i="30"/>
  <c r="BW41" i="30"/>
  <c r="BS41" i="30"/>
  <c r="BO41" i="30"/>
  <c r="BK41" i="30"/>
  <c r="BG41" i="30"/>
  <c r="BE41" i="30"/>
  <c r="CC40" i="30"/>
  <c r="CD40" i="30" s="1"/>
  <c r="CB40" i="30"/>
  <c r="CA40" i="30"/>
  <c r="CA41" i="30" s="1"/>
  <c r="BY40" i="30"/>
  <c r="BZ40" i="30" s="1"/>
  <c r="BX40" i="30"/>
  <c r="BT40" i="30"/>
  <c r="BR40" i="30"/>
  <c r="BQ40" i="30"/>
  <c r="BP40" i="30"/>
  <c r="BN40" i="30"/>
  <c r="BM40" i="30"/>
  <c r="BL40" i="30"/>
  <c r="BI40" i="30"/>
  <c r="BJ40" i="30" s="1"/>
  <c r="BH40" i="30"/>
  <c r="S40" i="30"/>
  <c r="Q40" i="30"/>
  <c r="O40" i="30"/>
  <c r="M40" i="30"/>
  <c r="L40" i="30"/>
  <c r="BB40" i="30"/>
  <c r="BA40" i="30"/>
  <c r="AZ40" i="30"/>
  <c r="AY40" i="30"/>
  <c r="K40" i="30" s="1"/>
  <c r="AX40" i="30"/>
  <c r="AW40" i="30"/>
  <c r="AV40" i="30"/>
  <c r="AU40" i="30"/>
  <c r="J40" i="30" s="1"/>
  <c r="AT40" i="30"/>
  <c r="AS40" i="30"/>
  <c r="AR40" i="30"/>
  <c r="AQ40" i="30"/>
  <c r="I40" i="30" s="1"/>
  <c r="AP40" i="30"/>
  <c r="AO40" i="30"/>
  <c r="AN40" i="30"/>
  <c r="AM40" i="30"/>
  <c r="H40" i="30" s="1"/>
  <c r="AL40" i="30"/>
  <c r="AK40" i="30"/>
  <c r="AJ40" i="30"/>
  <c r="AI40" i="30"/>
  <c r="G40" i="30" s="1"/>
  <c r="AH40" i="30"/>
  <c r="AG40" i="30"/>
  <c r="AF40" i="30"/>
  <c r="AE40" i="30"/>
  <c r="F40" i="30" s="1"/>
  <c r="AD40" i="30"/>
  <c r="AC40" i="30"/>
  <c r="AB40" i="30"/>
  <c r="AA40" i="30"/>
  <c r="E40" i="30" s="1"/>
  <c r="Z40" i="30"/>
  <c r="BB39" i="30"/>
  <c r="BA39" i="30"/>
  <c r="AZ39" i="30"/>
  <c r="AY39" i="30"/>
  <c r="AX39" i="30"/>
  <c r="AW39" i="30"/>
  <c r="AV39" i="30"/>
  <c r="J39" i="30" s="1"/>
  <c r="AU39" i="30"/>
  <c r="AT39" i="30"/>
  <c r="AS39" i="30"/>
  <c r="AR39" i="30"/>
  <c r="AQ39" i="30"/>
  <c r="I39" i="30" s="1"/>
  <c r="AP39" i="30"/>
  <c r="AO39" i="30"/>
  <c r="AN39" i="30"/>
  <c r="AM39" i="30"/>
  <c r="H39" i="30" s="1"/>
  <c r="AL39" i="30"/>
  <c r="AK39" i="30"/>
  <c r="AJ39" i="30"/>
  <c r="AI39" i="30"/>
  <c r="AH39" i="30"/>
  <c r="AG39" i="30"/>
  <c r="AF39" i="30"/>
  <c r="F39" i="30" s="1"/>
  <c r="AE39" i="30"/>
  <c r="AD39" i="30"/>
  <c r="AC39" i="30"/>
  <c r="AB39" i="30"/>
  <c r="AA39" i="30"/>
  <c r="E39" i="30" s="1"/>
  <c r="Z39" i="30"/>
  <c r="BB38" i="30"/>
  <c r="BA38" i="30"/>
  <c r="K38" i="30" s="1"/>
  <c r="AZ38" i="30"/>
  <c r="AY38" i="30"/>
  <c r="AX38" i="30"/>
  <c r="AW38" i="30"/>
  <c r="J38" i="30" s="1"/>
  <c r="AV38" i="30"/>
  <c r="AU38" i="30"/>
  <c r="AT38" i="30"/>
  <c r="AS38" i="30"/>
  <c r="AR38" i="30"/>
  <c r="I38" i="30" s="1"/>
  <c r="AQ38" i="30"/>
  <c r="AP38" i="30"/>
  <c r="AO38" i="30"/>
  <c r="AO41" i="30" s="1"/>
  <c r="AN38" i="30"/>
  <c r="AM38" i="30"/>
  <c r="H38" i="30" s="1"/>
  <c r="AL38" i="30"/>
  <c r="AK38" i="30"/>
  <c r="AJ38" i="30"/>
  <c r="AI38" i="30"/>
  <c r="AH38" i="30"/>
  <c r="AG38" i="30"/>
  <c r="F38" i="30" s="1"/>
  <c r="AF38" i="30"/>
  <c r="AE38" i="30"/>
  <c r="AD38" i="30"/>
  <c r="AC38" i="30"/>
  <c r="AB38" i="30"/>
  <c r="E38" i="30" s="1"/>
  <c r="AA38" i="30"/>
  <c r="Z38" i="30"/>
  <c r="BB37" i="30"/>
  <c r="BA37" i="30"/>
  <c r="AZ37" i="30"/>
  <c r="AY37" i="30"/>
  <c r="AX37" i="30"/>
  <c r="J37" i="30" s="1"/>
  <c r="AW37" i="30"/>
  <c r="AV37" i="30"/>
  <c r="AU37" i="30"/>
  <c r="AT37" i="30"/>
  <c r="AS37" i="30"/>
  <c r="I37" i="30" s="1"/>
  <c r="AR37" i="30"/>
  <c r="AQ37" i="30"/>
  <c r="AP37" i="30"/>
  <c r="AO37" i="30"/>
  <c r="AN37" i="30"/>
  <c r="AM37" i="30"/>
  <c r="AL37" i="30"/>
  <c r="G37" i="30" s="1"/>
  <c r="AK37" i="30"/>
  <c r="AJ37" i="30"/>
  <c r="AI37" i="30"/>
  <c r="AH37" i="30"/>
  <c r="F37" i="30" s="1"/>
  <c r="AG37" i="30"/>
  <c r="AF37" i="30"/>
  <c r="AE37" i="30"/>
  <c r="AD37" i="30"/>
  <c r="AC37" i="30"/>
  <c r="E37" i="30" s="1"/>
  <c r="AB37" i="30"/>
  <c r="AA37" i="30"/>
  <c r="Z37" i="30"/>
  <c r="CD35" i="30"/>
  <c r="R35" i="30" s="1"/>
  <c r="CC35" i="30"/>
  <c r="CB35" i="30"/>
  <c r="BB36" i="30"/>
  <c r="BA36" i="30"/>
  <c r="AZ36" i="30"/>
  <c r="AY36" i="30"/>
  <c r="AX36" i="30"/>
  <c r="J36" i="30" s="1"/>
  <c r="AW36" i="30"/>
  <c r="AV36" i="30"/>
  <c r="AU36" i="30"/>
  <c r="AT36" i="30"/>
  <c r="AS36" i="30"/>
  <c r="I36" i="30" s="1"/>
  <c r="AR36" i="30"/>
  <c r="AQ36" i="30"/>
  <c r="BB35" i="30"/>
  <c r="K35" i="30" s="1"/>
  <c r="BA35" i="30"/>
  <c r="AZ35" i="30"/>
  <c r="AY35" i="30"/>
  <c r="AX35" i="30"/>
  <c r="J35" i="30" s="1"/>
  <c r="AW35" i="30"/>
  <c r="AV35" i="30"/>
  <c r="AU35" i="30"/>
  <c r="AT35" i="30"/>
  <c r="AT41" i="30" s="1"/>
  <c r="AS35" i="30"/>
  <c r="I35" i="30" s="1"/>
  <c r="AR35" i="30"/>
  <c r="AQ35" i="30"/>
  <c r="AP35" i="30"/>
  <c r="AO35" i="30"/>
  <c r="AN35" i="30"/>
  <c r="AM35" i="30"/>
  <c r="AL35" i="30"/>
  <c r="AK35" i="30"/>
  <c r="AJ35" i="30"/>
  <c r="AI35" i="30"/>
  <c r="AH35" i="30"/>
  <c r="F35" i="30" s="1"/>
  <c r="AG35" i="30"/>
  <c r="AF35" i="30"/>
  <c r="AE35" i="30"/>
  <c r="AD35" i="30"/>
  <c r="AC35" i="30"/>
  <c r="E35" i="30" s="1"/>
  <c r="AB35" i="30"/>
  <c r="AA35" i="30"/>
  <c r="Z35" i="30"/>
  <c r="S39" i="30"/>
  <c r="R39" i="30"/>
  <c r="Q39" i="30"/>
  <c r="P39" i="30"/>
  <c r="S38" i="30"/>
  <c r="R38" i="30"/>
  <c r="Q38" i="30"/>
  <c r="P38" i="30"/>
  <c r="S37" i="30"/>
  <c r="R37" i="30"/>
  <c r="Q37" i="30"/>
  <c r="P37" i="30"/>
  <c r="S36" i="30"/>
  <c r="R36" i="30"/>
  <c r="Q36" i="30"/>
  <c r="P36" i="30"/>
  <c r="S35" i="30"/>
  <c r="P35" i="30"/>
  <c r="L39" i="30"/>
  <c r="K39" i="30"/>
  <c r="G39" i="30"/>
  <c r="L38" i="30"/>
  <c r="G38" i="30"/>
  <c r="L37" i="30"/>
  <c r="K37" i="30"/>
  <c r="L36" i="30"/>
  <c r="K36" i="30"/>
  <c r="H36" i="30"/>
  <c r="G36" i="30"/>
  <c r="F36" i="30"/>
  <c r="E36" i="30"/>
  <c r="L35" i="30"/>
  <c r="G35" i="30"/>
  <c r="CE34" i="30"/>
  <c r="CC34" i="30"/>
  <c r="CB34" i="30"/>
  <c r="CB41" i="30" s="1"/>
  <c r="BX35" i="30"/>
  <c r="BZ34" i="30"/>
  <c r="BY34" i="30"/>
  <c r="BX34" i="30"/>
  <c r="BV35" i="30"/>
  <c r="BU35" i="30"/>
  <c r="BT35" i="30"/>
  <c r="BU34" i="30"/>
  <c r="BT34" i="30"/>
  <c r="BP35" i="30"/>
  <c r="BR34" i="30"/>
  <c r="BQ34" i="30"/>
  <c r="O34" i="30" s="1"/>
  <c r="BP34" i="30"/>
  <c r="BN35" i="30"/>
  <c r="BM35" i="30"/>
  <c r="BL35" i="30"/>
  <c r="BM34" i="30"/>
  <c r="BL34" i="30"/>
  <c r="BL149" i="30" s="1"/>
  <c r="BH34" i="30"/>
  <c r="BF34" i="30"/>
  <c r="BF41" i="30" s="1"/>
  <c r="BE34" i="30"/>
  <c r="BD34" i="30"/>
  <c r="BC34" i="30"/>
  <c r="BB34" i="30"/>
  <c r="BA34" i="30"/>
  <c r="AZ34" i="30"/>
  <c r="AY34" i="30"/>
  <c r="AX34" i="30"/>
  <c r="AW34" i="30"/>
  <c r="AV34" i="30"/>
  <c r="AU34" i="30"/>
  <c r="AT34" i="30"/>
  <c r="AS34" i="30"/>
  <c r="AR34" i="30"/>
  <c r="AQ34" i="30"/>
  <c r="AP34" i="30"/>
  <c r="AO34" i="30"/>
  <c r="AN34" i="30"/>
  <c r="AM34" i="30"/>
  <c r="AL34" i="30"/>
  <c r="AK34" i="30"/>
  <c r="AJ34" i="30"/>
  <c r="AI34" i="30"/>
  <c r="AH34" i="30"/>
  <c r="AG34" i="30"/>
  <c r="AF34" i="30"/>
  <c r="AE34" i="30"/>
  <c r="AD34" i="30"/>
  <c r="AC34" i="30"/>
  <c r="AB34" i="30"/>
  <c r="AA34" i="30"/>
  <c r="Z34" i="30"/>
  <c r="Q34" i="30"/>
  <c r="BB33" i="30"/>
  <c r="BB41" i="30" s="1"/>
  <c r="BA33" i="30"/>
  <c r="BA41" i="30" s="1"/>
  <c r="AZ33" i="30"/>
  <c r="AZ41" i="30" s="1"/>
  <c r="AY33" i="30"/>
  <c r="AX33" i="30"/>
  <c r="AX41" i="30" s="1"/>
  <c r="AW33" i="30"/>
  <c r="AW41" i="30" s="1"/>
  <c r="AV33" i="30"/>
  <c r="AU33" i="30"/>
  <c r="AT33" i="30"/>
  <c r="AS33" i="30"/>
  <c r="AS41" i="30" s="1"/>
  <c r="AR33" i="30"/>
  <c r="AR41" i="30" s="1"/>
  <c r="AQ33" i="30"/>
  <c r="AP33" i="30"/>
  <c r="AP41" i="30" s="1"/>
  <c r="AO33" i="30"/>
  <c r="AN33" i="30"/>
  <c r="AN41" i="30" s="1"/>
  <c r="AM33" i="30"/>
  <c r="AL33" i="30"/>
  <c r="AL41" i="30" s="1"/>
  <c r="AK33" i="30"/>
  <c r="AK41" i="30" s="1"/>
  <c r="AJ33" i="30"/>
  <c r="AJ41" i="30" s="1"/>
  <c r="AI33" i="30"/>
  <c r="AH33" i="30"/>
  <c r="AH41" i="30" s="1"/>
  <c r="AG33" i="30"/>
  <c r="AG41" i="30" s="1"/>
  <c r="AF33" i="30"/>
  <c r="AE33" i="30"/>
  <c r="AD33" i="30"/>
  <c r="AD41" i="30" s="1"/>
  <c r="AC33" i="30"/>
  <c r="AC41" i="30" s="1"/>
  <c r="AB33" i="30"/>
  <c r="AB41" i="30" s="1"/>
  <c r="AA33" i="30"/>
  <c r="Z33" i="30"/>
  <c r="Z41" i="30" s="1"/>
  <c r="S33" i="30"/>
  <c r="R33" i="30"/>
  <c r="CA30" i="30"/>
  <c r="BW30" i="30"/>
  <c r="BO30" i="30"/>
  <c r="BK30" i="30"/>
  <c r="BG30" i="30"/>
  <c r="BG53" i="30" s="1"/>
  <c r="BZ29" i="30"/>
  <c r="Q29" i="30" s="1"/>
  <c r="BY29" i="30"/>
  <c r="BX29" i="30"/>
  <c r="BW29" i="30"/>
  <c r="BU29" i="30"/>
  <c r="P29" i="30" s="1"/>
  <c r="BT29" i="30"/>
  <c r="S29" i="30"/>
  <c r="M29" i="30"/>
  <c r="L29" i="30"/>
  <c r="E29" i="30"/>
  <c r="CD29" i="30"/>
  <c r="CC29" i="30"/>
  <c r="CB29" i="30"/>
  <c r="R29" i="30" s="1"/>
  <c r="CD28" i="30"/>
  <c r="CC28" i="30"/>
  <c r="CB28" i="30"/>
  <c r="BY28" i="30"/>
  <c r="BZ28" i="30" s="1"/>
  <c r="BX28" i="30"/>
  <c r="BT28" i="30"/>
  <c r="BR29" i="30"/>
  <c r="BQ29" i="30"/>
  <c r="O29" i="30" s="1"/>
  <c r="BP29" i="30"/>
  <c r="BR28" i="30"/>
  <c r="BQ28" i="30"/>
  <c r="BP28" i="30"/>
  <c r="BM29" i="30"/>
  <c r="BN29" i="30" s="1"/>
  <c r="BL29" i="30"/>
  <c r="N29" i="30" s="1"/>
  <c r="BL28" i="30"/>
  <c r="BJ29" i="30"/>
  <c r="BI29" i="30"/>
  <c r="BH29" i="30"/>
  <c r="BJ28" i="30"/>
  <c r="M28" i="30" s="1"/>
  <c r="BI28" i="30"/>
  <c r="BH28" i="30"/>
  <c r="BB29" i="30"/>
  <c r="BA29" i="30"/>
  <c r="AZ29" i="30"/>
  <c r="AY29" i="30"/>
  <c r="K29" i="30" s="1"/>
  <c r="AX29" i="30"/>
  <c r="AW29" i="30"/>
  <c r="AV29" i="30"/>
  <c r="AU29" i="30"/>
  <c r="J29" i="30" s="1"/>
  <c r="AT29" i="30"/>
  <c r="AS29" i="30"/>
  <c r="I29" i="30" s="1"/>
  <c r="AR29" i="30"/>
  <c r="AQ29" i="30"/>
  <c r="AP29" i="30"/>
  <c r="AO29" i="30"/>
  <c r="AN29" i="30"/>
  <c r="AM29" i="30"/>
  <c r="AL29" i="30"/>
  <c r="AK29" i="30"/>
  <c r="AJ29" i="30"/>
  <c r="AI29" i="30"/>
  <c r="G29" i="30" s="1"/>
  <c r="AH29" i="30"/>
  <c r="AG29" i="30"/>
  <c r="AF29" i="30"/>
  <c r="AE29" i="30"/>
  <c r="F29" i="30" s="1"/>
  <c r="AD29" i="30"/>
  <c r="AC29" i="30"/>
  <c r="AB29" i="30"/>
  <c r="AA29" i="30"/>
  <c r="Z29" i="30"/>
  <c r="BB28" i="30"/>
  <c r="BA28" i="30"/>
  <c r="AZ28" i="30"/>
  <c r="AY28" i="30"/>
  <c r="AX28" i="30"/>
  <c r="AW28" i="30"/>
  <c r="AV28" i="30"/>
  <c r="J28" i="30" s="1"/>
  <c r="AU28" i="30"/>
  <c r="AT28" i="30"/>
  <c r="AS28" i="30"/>
  <c r="AR28" i="30"/>
  <c r="AQ28" i="30"/>
  <c r="AP28" i="30"/>
  <c r="H28" i="30" s="1"/>
  <c r="AO28" i="30"/>
  <c r="AN28" i="30"/>
  <c r="AM28" i="30"/>
  <c r="AL28" i="30"/>
  <c r="AK28" i="30"/>
  <c r="AJ28" i="30"/>
  <c r="AI28" i="30"/>
  <c r="AH28" i="30"/>
  <c r="AG28" i="30"/>
  <c r="AF28" i="30"/>
  <c r="F28" i="30" s="1"/>
  <c r="AE28" i="30"/>
  <c r="AD28" i="30"/>
  <c r="AC28" i="30"/>
  <c r="AB28" i="30"/>
  <c r="AA28" i="30"/>
  <c r="Z28" i="30"/>
  <c r="U28" i="30"/>
  <c r="T28" i="30"/>
  <c r="T85" i="30" s="1"/>
  <c r="S28" i="30"/>
  <c r="Q28" i="30"/>
  <c r="L28" i="30"/>
  <c r="I28" i="30"/>
  <c r="E28" i="30"/>
  <c r="S27" i="30"/>
  <c r="R27" i="30"/>
  <c r="Q27" i="30"/>
  <c r="P27" i="30"/>
  <c r="N27" i="30"/>
  <c r="M27" i="30"/>
  <c r="L27" i="30"/>
  <c r="H27" i="30"/>
  <c r="G27" i="30"/>
  <c r="F27" i="30"/>
  <c r="E27" i="30"/>
  <c r="BB27" i="30"/>
  <c r="BA27" i="30"/>
  <c r="K27" i="30" s="1"/>
  <c r="AZ27" i="30"/>
  <c r="AY27" i="30"/>
  <c r="AX27" i="30"/>
  <c r="AW27" i="30"/>
  <c r="AV27" i="30"/>
  <c r="J27" i="30" s="1"/>
  <c r="AU27" i="30"/>
  <c r="AT27" i="30"/>
  <c r="AS27" i="30"/>
  <c r="AR27" i="30"/>
  <c r="AQ27" i="30"/>
  <c r="BB26" i="30"/>
  <c r="BA26" i="30"/>
  <c r="AZ26" i="30"/>
  <c r="K26" i="30" s="1"/>
  <c r="AY26" i="30"/>
  <c r="AX26" i="30"/>
  <c r="AW26" i="30"/>
  <c r="AV26" i="30"/>
  <c r="AU26" i="30"/>
  <c r="AT26" i="30"/>
  <c r="AS26" i="30"/>
  <c r="I26" i="30" s="1"/>
  <c r="AR26" i="30"/>
  <c r="AQ26" i="30"/>
  <c r="AP26" i="30"/>
  <c r="AO26" i="30"/>
  <c r="H26" i="30" s="1"/>
  <c r="AN26" i="30"/>
  <c r="AM26" i="30"/>
  <c r="AL26" i="30"/>
  <c r="AK26" i="30"/>
  <c r="AJ26" i="30"/>
  <c r="G26" i="30" s="1"/>
  <c r="AI26" i="30"/>
  <c r="AH26" i="30"/>
  <c r="AG26" i="30"/>
  <c r="AF26" i="30"/>
  <c r="AE26" i="30"/>
  <c r="AD26" i="30"/>
  <c r="AC26" i="30"/>
  <c r="E26" i="30" s="1"/>
  <c r="AB26" i="30"/>
  <c r="AA26" i="30"/>
  <c r="Z26" i="30"/>
  <c r="CD26" i="30"/>
  <c r="CC26" i="30"/>
  <c r="CB26" i="30"/>
  <c r="CC25" i="30"/>
  <c r="CD25" i="30" s="1"/>
  <c r="CB25" i="30"/>
  <c r="R25" i="30" s="1"/>
  <c r="BT25" i="30"/>
  <c r="BT24" i="30"/>
  <c r="BT23" i="30"/>
  <c r="Q26" i="30"/>
  <c r="P26" i="30"/>
  <c r="L26" i="30"/>
  <c r="Q25" i="30"/>
  <c r="M25" i="30"/>
  <c r="CD24" i="30"/>
  <c r="CC24" i="30"/>
  <c r="CB24" i="30"/>
  <c r="S24" i="30"/>
  <c r="R24" i="30"/>
  <c r="O24" i="30"/>
  <c r="CC23" i="30"/>
  <c r="CD23" i="30" s="1"/>
  <c r="CB23" i="30"/>
  <c r="BX26" i="30"/>
  <c r="BY26" i="30" s="1"/>
  <c r="BZ26" i="30" s="1"/>
  <c r="BZ25" i="30"/>
  <c r="BY25" i="30"/>
  <c r="BX25" i="30"/>
  <c r="BZ24" i="30"/>
  <c r="BY24" i="30"/>
  <c r="BX24" i="30"/>
  <c r="Q24" i="30" s="1"/>
  <c r="BY23" i="30"/>
  <c r="BZ23" i="30" s="1"/>
  <c r="BX23" i="30"/>
  <c r="BV26" i="30"/>
  <c r="BU26" i="30"/>
  <c r="BV25" i="30"/>
  <c r="BU25" i="30"/>
  <c r="BV24" i="30"/>
  <c r="BU24" i="30"/>
  <c r="P24" i="30" s="1"/>
  <c r="BP26" i="30"/>
  <c r="BR25" i="30"/>
  <c r="BQ25" i="30"/>
  <c r="O25" i="30" s="1"/>
  <c r="BP25" i="30"/>
  <c r="BR24" i="30"/>
  <c r="BQ24" i="30"/>
  <c r="BP24" i="30"/>
  <c r="BQ23" i="30"/>
  <c r="BR23" i="30" s="1"/>
  <c r="BP23" i="30"/>
  <c r="BL26" i="30"/>
  <c r="BN25" i="30"/>
  <c r="BM25" i="30"/>
  <c r="BL25" i="30"/>
  <c r="N25" i="30" s="1"/>
  <c r="BN24" i="30"/>
  <c r="BM24" i="30"/>
  <c r="N24" i="30" s="1"/>
  <c r="BL24" i="30"/>
  <c r="BM23" i="30"/>
  <c r="BN23" i="30" s="1"/>
  <c r="BL23" i="30"/>
  <c r="N23" i="30" s="1"/>
  <c r="BH26" i="30"/>
  <c r="BI26" i="30" s="1"/>
  <c r="BJ26" i="30" s="1"/>
  <c r="BJ25" i="30"/>
  <c r="BI25" i="30"/>
  <c r="BH25" i="30"/>
  <c r="BJ24" i="30"/>
  <c r="BI24" i="30"/>
  <c r="BH24" i="30"/>
  <c r="BI23" i="30"/>
  <c r="BJ23" i="30" s="1"/>
  <c r="BH23" i="30"/>
  <c r="BF25" i="30"/>
  <c r="BE25" i="30"/>
  <c r="BD25" i="30"/>
  <c r="BC25" i="30"/>
  <c r="L25" i="30" s="1"/>
  <c r="BB25" i="30"/>
  <c r="BA25" i="30"/>
  <c r="AZ25" i="30"/>
  <c r="AY25" i="30"/>
  <c r="K25" i="30" s="1"/>
  <c r="AX25" i="30"/>
  <c r="AW25" i="30"/>
  <c r="AV25" i="30"/>
  <c r="AU25" i="30"/>
  <c r="J25" i="30" s="1"/>
  <c r="AT25" i="30"/>
  <c r="AS25" i="30"/>
  <c r="AR25" i="30"/>
  <c r="I25" i="30" s="1"/>
  <c r="AQ25" i="30"/>
  <c r="AP25" i="30"/>
  <c r="AO25" i="30"/>
  <c r="AN25" i="30"/>
  <c r="AM25" i="30"/>
  <c r="H25" i="30" s="1"/>
  <c r="AL25" i="30"/>
  <c r="AK25" i="30"/>
  <c r="AJ25" i="30"/>
  <c r="AI25" i="30"/>
  <c r="G25" i="30" s="1"/>
  <c r="AH25" i="30"/>
  <c r="AG25" i="30"/>
  <c r="AF25" i="30"/>
  <c r="AE25" i="30"/>
  <c r="F25" i="30" s="1"/>
  <c r="AD25" i="30"/>
  <c r="AC25" i="30"/>
  <c r="AB25" i="30"/>
  <c r="E25" i="30" s="1"/>
  <c r="AA25" i="30"/>
  <c r="Z25" i="30"/>
  <c r="BF24" i="30"/>
  <c r="BE24" i="30"/>
  <c r="BD24" i="30"/>
  <c r="BC24" i="30"/>
  <c r="BB24" i="30"/>
  <c r="BA24" i="30"/>
  <c r="K24" i="30" s="1"/>
  <c r="AZ24" i="30"/>
  <c r="AY24" i="30"/>
  <c r="AX24" i="30"/>
  <c r="AW24" i="30"/>
  <c r="AV24" i="30"/>
  <c r="J24" i="30" s="1"/>
  <c r="AU24" i="30"/>
  <c r="AT24" i="30"/>
  <c r="AS24" i="30"/>
  <c r="AR24" i="30"/>
  <c r="AQ24" i="30"/>
  <c r="AP24" i="30"/>
  <c r="AO24" i="30"/>
  <c r="AN24" i="30"/>
  <c r="AM24" i="30"/>
  <c r="AL24" i="30"/>
  <c r="AK24" i="30"/>
  <c r="G24" i="30" s="1"/>
  <c r="AJ24" i="30"/>
  <c r="AI24" i="30"/>
  <c r="AH24" i="30"/>
  <c r="AG24" i="30"/>
  <c r="AF24" i="30"/>
  <c r="F24" i="30" s="1"/>
  <c r="AE24" i="30"/>
  <c r="AD24" i="30"/>
  <c r="AC24" i="30"/>
  <c r="AB24" i="30"/>
  <c r="AA24" i="30"/>
  <c r="Z24" i="30"/>
  <c r="BF23" i="30"/>
  <c r="L23" i="30" s="1"/>
  <c r="BE23" i="30"/>
  <c r="BD23" i="30"/>
  <c r="BC23" i="30"/>
  <c r="BB23" i="30"/>
  <c r="BA23" i="30"/>
  <c r="K23" i="30" s="1"/>
  <c r="AZ23" i="30"/>
  <c r="AY23" i="30"/>
  <c r="AX23" i="30"/>
  <c r="AW23" i="30"/>
  <c r="AV23" i="30"/>
  <c r="AU23" i="30"/>
  <c r="AT23" i="30"/>
  <c r="AS23" i="30"/>
  <c r="AR23" i="30"/>
  <c r="AQ23" i="30"/>
  <c r="AP23" i="30"/>
  <c r="H23" i="30" s="1"/>
  <c r="AO23" i="30"/>
  <c r="AN23" i="30"/>
  <c r="AM23" i="30"/>
  <c r="AL23" i="30"/>
  <c r="AK23" i="30"/>
  <c r="G23" i="30" s="1"/>
  <c r="AJ23" i="30"/>
  <c r="AI23" i="30"/>
  <c r="AH23" i="30"/>
  <c r="AG23" i="30"/>
  <c r="AF23" i="30"/>
  <c r="AE23" i="30"/>
  <c r="AD23" i="30"/>
  <c r="AC23" i="30"/>
  <c r="AB23" i="30"/>
  <c r="AA23" i="30"/>
  <c r="Z23" i="30"/>
  <c r="Q23" i="30"/>
  <c r="I23" i="30"/>
  <c r="E23" i="30"/>
  <c r="BB22" i="30"/>
  <c r="BA22" i="30"/>
  <c r="AZ22" i="30"/>
  <c r="AY22" i="30"/>
  <c r="K22" i="30" s="1"/>
  <c r="AX22" i="30"/>
  <c r="AW22" i="30"/>
  <c r="AV22" i="30"/>
  <c r="AU22" i="30"/>
  <c r="J22" i="30" s="1"/>
  <c r="AT22" i="30"/>
  <c r="AS22" i="30"/>
  <c r="AR22" i="30"/>
  <c r="AQ22" i="30"/>
  <c r="I22" i="30" s="1"/>
  <c r="AP22" i="30"/>
  <c r="AO22" i="30"/>
  <c r="AN22" i="30"/>
  <c r="AM22" i="30"/>
  <c r="H22" i="30" s="1"/>
  <c r="AL22" i="30"/>
  <c r="AK22" i="30"/>
  <c r="AJ22" i="30"/>
  <c r="AI22" i="30"/>
  <c r="G22" i="30" s="1"/>
  <c r="AH22" i="30"/>
  <c r="AG22" i="30"/>
  <c r="AF22" i="30"/>
  <c r="AE22" i="30"/>
  <c r="F22" i="30" s="1"/>
  <c r="AD22" i="30"/>
  <c r="AC22" i="30"/>
  <c r="AB22" i="30"/>
  <c r="AA22" i="30"/>
  <c r="E22" i="30" s="1"/>
  <c r="Z22" i="30"/>
  <c r="S22" i="30"/>
  <c r="R22" i="30"/>
  <c r="Q22" i="30"/>
  <c r="P22" i="30"/>
  <c r="N22" i="30"/>
  <c r="M22" i="30"/>
  <c r="L22" i="30"/>
  <c r="CD21" i="30"/>
  <c r="CC21" i="30"/>
  <c r="CB21" i="30"/>
  <c r="BY21" i="30"/>
  <c r="BX21" i="30"/>
  <c r="BX148" i="30" s="1"/>
  <c r="BT21" i="30"/>
  <c r="BR21" i="30"/>
  <c r="BQ21" i="30"/>
  <c r="BP21" i="30"/>
  <c r="BN21" i="30"/>
  <c r="BM21" i="30"/>
  <c r="BL21" i="30"/>
  <c r="BI21" i="30"/>
  <c r="BH21" i="30"/>
  <c r="BH148" i="30" s="1"/>
  <c r="BF21" i="30"/>
  <c r="BE21" i="30"/>
  <c r="BD21" i="30"/>
  <c r="BC21" i="30"/>
  <c r="BC148" i="30" s="1"/>
  <c r="BB21" i="30"/>
  <c r="BA21" i="30"/>
  <c r="AZ21" i="30"/>
  <c r="AY21" i="30"/>
  <c r="AX21" i="30"/>
  <c r="AW21" i="30"/>
  <c r="AV21" i="30"/>
  <c r="AU21" i="30"/>
  <c r="AT21" i="30"/>
  <c r="AS21" i="30"/>
  <c r="AR21" i="30"/>
  <c r="AQ21" i="30"/>
  <c r="I21" i="30" s="1"/>
  <c r="AP21" i="30"/>
  <c r="AO21" i="30"/>
  <c r="AN21" i="30"/>
  <c r="AM21" i="30"/>
  <c r="H21" i="30" s="1"/>
  <c r="AL21" i="30"/>
  <c r="AK21" i="30"/>
  <c r="AJ21" i="30"/>
  <c r="AI21" i="30"/>
  <c r="AH21" i="30"/>
  <c r="AG21" i="30"/>
  <c r="AF21" i="30"/>
  <c r="AE21" i="30"/>
  <c r="AD21" i="30"/>
  <c r="AC21" i="30"/>
  <c r="AB21" i="30"/>
  <c r="AA21" i="30"/>
  <c r="E21" i="30" s="1"/>
  <c r="Z21" i="30"/>
  <c r="O21" i="30"/>
  <c r="K21" i="30"/>
  <c r="G21" i="30"/>
  <c r="S20" i="30"/>
  <c r="R20" i="30"/>
  <c r="CH19" i="30"/>
  <c r="CG19" i="30"/>
  <c r="CF19" i="30"/>
  <c r="CE19" i="30"/>
  <c r="CD19" i="30"/>
  <c r="CC19" i="30"/>
  <c r="CB19" i="30"/>
  <c r="BV19" i="30"/>
  <c r="BU19" i="30"/>
  <c r="BT19" i="30"/>
  <c r="BS19" i="30"/>
  <c r="BS30" i="30" s="1"/>
  <c r="BR19" i="30"/>
  <c r="O19" i="30" s="1"/>
  <c r="BQ19" i="30"/>
  <c r="BP19" i="30"/>
  <c r="S19" i="30"/>
  <c r="R19" i="30"/>
  <c r="M19" i="30"/>
  <c r="L19" i="30"/>
  <c r="BY19" i="30"/>
  <c r="BZ19" i="30" s="1"/>
  <c r="BX19" i="30"/>
  <c r="Q19" i="30" s="1"/>
  <c r="BX18" i="30"/>
  <c r="BV18" i="30"/>
  <c r="BU18" i="30"/>
  <c r="BT18" i="30"/>
  <c r="BR18" i="30"/>
  <c r="O18" i="30" s="1"/>
  <c r="BQ18" i="30"/>
  <c r="BP18" i="30"/>
  <c r="BB19" i="30"/>
  <c r="BA19" i="30"/>
  <c r="K19" i="30" s="1"/>
  <c r="AZ19" i="30"/>
  <c r="AY19" i="30"/>
  <c r="AX19" i="30"/>
  <c r="AW19" i="30"/>
  <c r="AV19" i="30"/>
  <c r="AU19" i="30"/>
  <c r="AT19" i="30"/>
  <c r="AS19" i="30"/>
  <c r="AR19" i="30"/>
  <c r="AQ19" i="30"/>
  <c r="AP19" i="30"/>
  <c r="AO19" i="30"/>
  <c r="AN19" i="30"/>
  <c r="AM19" i="30"/>
  <c r="AL19" i="30"/>
  <c r="AK19" i="30"/>
  <c r="G19" i="30" s="1"/>
  <c r="AJ19" i="30"/>
  <c r="AI19" i="30"/>
  <c r="AH19" i="30"/>
  <c r="AG19" i="30"/>
  <c r="AF19" i="30"/>
  <c r="AE19" i="30"/>
  <c r="AD19" i="30"/>
  <c r="AC19" i="30"/>
  <c r="AB19" i="30"/>
  <c r="AA19" i="30"/>
  <c r="Z19" i="30"/>
  <c r="BB18" i="30"/>
  <c r="K18" i="30" s="1"/>
  <c r="BA18" i="30"/>
  <c r="AZ18" i="30"/>
  <c r="AY18" i="30"/>
  <c r="AX18" i="30"/>
  <c r="AW18" i="30"/>
  <c r="AV18" i="30"/>
  <c r="AU18" i="30"/>
  <c r="AT18" i="30"/>
  <c r="AS18" i="30"/>
  <c r="AR18" i="30"/>
  <c r="AQ18" i="30"/>
  <c r="AP18" i="30"/>
  <c r="AO18" i="30"/>
  <c r="AN18" i="30"/>
  <c r="AM18" i="30"/>
  <c r="AL18" i="30"/>
  <c r="G18" i="30" s="1"/>
  <c r="AK18" i="30"/>
  <c r="AJ18" i="30"/>
  <c r="AI18" i="30"/>
  <c r="AH18" i="30"/>
  <c r="AG18" i="30"/>
  <c r="AF18" i="30"/>
  <c r="AE18" i="30"/>
  <c r="AD18" i="30"/>
  <c r="AC18" i="30"/>
  <c r="AB18" i="30"/>
  <c r="AA18" i="30"/>
  <c r="Z18" i="30"/>
  <c r="S18" i="30"/>
  <c r="P18" i="30"/>
  <c r="L18" i="30"/>
  <c r="H18" i="30"/>
  <c r="CD18" i="30"/>
  <c r="CC18" i="30"/>
  <c r="CB18" i="30"/>
  <c r="R18" i="30" s="1"/>
  <c r="CC17" i="30"/>
  <c r="CD17" i="30" s="1"/>
  <c r="CB17" i="30"/>
  <c r="BT17" i="30"/>
  <c r="BV17" i="30" s="1"/>
  <c r="BT16" i="30"/>
  <c r="BT92" i="30" s="1"/>
  <c r="BQ17" i="30"/>
  <c r="AX17" i="30"/>
  <c r="AW17" i="30"/>
  <c r="AV17" i="30"/>
  <c r="J17" i="30" s="1"/>
  <c r="AU17" i="30"/>
  <c r="AT17" i="30"/>
  <c r="AS17" i="30"/>
  <c r="AR17" i="30"/>
  <c r="AQ17" i="30"/>
  <c r="AP17" i="30"/>
  <c r="H17" i="30" s="1"/>
  <c r="AO17" i="30"/>
  <c r="AN17" i="30"/>
  <c r="AM17" i="30"/>
  <c r="AL17" i="30"/>
  <c r="AK17" i="30"/>
  <c r="AJ17" i="30"/>
  <c r="AI17" i="30"/>
  <c r="AH17" i="30"/>
  <c r="AG17" i="30"/>
  <c r="AF17" i="30"/>
  <c r="F17" i="30" s="1"/>
  <c r="AE17" i="30"/>
  <c r="AD17" i="30"/>
  <c r="AC17" i="30"/>
  <c r="AB17" i="30"/>
  <c r="AA17" i="30"/>
  <c r="Z17" i="30"/>
  <c r="S17" i="30"/>
  <c r="P17" i="30"/>
  <c r="I17" i="30"/>
  <c r="E17" i="30"/>
  <c r="CD16" i="30"/>
  <c r="CD92" i="30" s="1"/>
  <c r="CC16" i="30"/>
  <c r="CC92" i="30" s="1"/>
  <c r="CB16" i="30"/>
  <c r="CB92" i="30" s="1"/>
  <c r="BZ17" i="30"/>
  <c r="BY17" i="30"/>
  <c r="Q17" i="30" s="1"/>
  <c r="BX16" i="30"/>
  <c r="BU16" i="30"/>
  <c r="BU92" i="30" s="1"/>
  <c r="BP16" i="30"/>
  <c r="BP92" i="30" s="1"/>
  <c r="BN19" i="30"/>
  <c r="BM19" i="30"/>
  <c r="N19" i="30" s="1"/>
  <c r="BL19" i="30"/>
  <c r="BM18" i="30"/>
  <c r="BN18" i="30" s="1"/>
  <c r="BL18" i="30"/>
  <c r="N18" i="30" s="1"/>
  <c r="BL17" i="30"/>
  <c r="BN16" i="30"/>
  <c r="BN92" i="30" s="1"/>
  <c r="BM16" i="30"/>
  <c r="BM92" i="30" s="1"/>
  <c r="BL16" i="30"/>
  <c r="BL92" i="30" s="1"/>
  <c r="BJ18" i="30"/>
  <c r="BI18" i="30"/>
  <c r="BH18" i="30"/>
  <c r="BI17" i="30"/>
  <c r="BJ17" i="30" s="1"/>
  <c r="BH17" i="30"/>
  <c r="M17" i="30" s="1"/>
  <c r="BH16" i="30"/>
  <c r="BF16" i="30"/>
  <c r="BF92" i="30" s="1"/>
  <c r="BE16" i="30"/>
  <c r="BE92" i="30" s="1"/>
  <c r="BD16" i="30"/>
  <c r="BD92" i="30" s="1"/>
  <c r="BC16" i="30"/>
  <c r="BB16" i="30"/>
  <c r="BB92" i="30" s="1"/>
  <c r="BA16" i="30"/>
  <c r="BA92" i="30" s="1"/>
  <c r="BA93" i="30" s="1"/>
  <c r="BA78" i="30" s="1"/>
  <c r="AZ16" i="30"/>
  <c r="AZ92" i="30" s="1"/>
  <c r="AZ93" i="30" s="1"/>
  <c r="AY16" i="30"/>
  <c r="AX16" i="30"/>
  <c r="AX92" i="30" s="1"/>
  <c r="AW16" i="30"/>
  <c r="AW92" i="30" s="1"/>
  <c r="AV16" i="30"/>
  <c r="AV92" i="30" s="1"/>
  <c r="AV93" i="30" s="1"/>
  <c r="AV66" i="30" s="1"/>
  <c r="AU16" i="30"/>
  <c r="AU92" i="30" s="1"/>
  <c r="AU93" i="30" s="1"/>
  <c r="AU66" i="30" s="1"/>
  <c r="AT16" i="30"/>
  <c r="AT92" i="30" s="1"/>
  <c r="AS16" i="30"/>
  <c r="AS92" i="30" s="1"/>
  <c r="AS93" i="30" s="1"/>
  <c r="AS66" i="30" s="1"/>
  <c r="AR16" i="30"/>
  <c r="AR92" i="30" s="1"/>
  <c r="AR93" i="30" s="1"/>
  <c r="AR66" i="30" s="1"/>
  <c r="AQ16" i="30"/>
  <c r="AP16" i="30"/>
  <c r="AP92" i="30" s="1"/>
  <c r="AO16" i="30"/>
  <c r="AO92" i="30" s="1"/>
  <c r="AO93" i="30" s="1"/>
  <c r="AO66" i="30" s="1"/>
  <c r="AN16" i="30"/>
  <c r="AN92" i="30" s="1"/>
  <c r="AN93" i="30" s="1"/>
  <c r="AN66" i="30" s="1"/>
  <c r="AM16" i="30"/>
  <c r="AL16" i="30"/>
  <c r="AL92" i="30" s="1"/>
  <c r="AK16" i="30"/>
  <c r="AK92" i="30" s="1"/>
  <c r="AJ16" i="30"/>
  <c r="AJ92" i="30" s="1"/>
  <c r="AJ93" i="30" s="1"/>
  <c r="AJ66" i="30" s="1"/>
  <c r="AI16" i="30"/>
  <c r="AH16" i="30"/>
  <c r="AH92" i="30" s="1"/>
  <c r="AG16" i="30"/>
  <c r="AG92" i="30" s="1"/>
  <c r="AF16" i="30"/>
  <c r="AF92" i="30" s="1"/>
  <c r="AF93" i="30" s="1"/>
  <c r="AF66" i="30" s="1"/>
  <c r="AE16" i="30"/>
  <c r="AE92" i="30" s="1"/>
  <c r="AE93" i="30" s="1"/>
  <c r="AE66" i="30" s="1"/>
  <c r="AD16" i="30"/>
  <c r="AD92" i="30" s="1"/>
  <c r="AC16" i="30"/>
  <c r="AC92" i="30" s="1"/>
  <c r="AC93" i="30" s="1"/>
  <c r="AC66" i="30" s="1"/>
  <c r="AB16" i="30"/>
  <c r="AB92" i="30" s="1"/>
  <c r="AB93" i="30" s="1"/>
  <c r="AB66" i="30" s="1"/>
  <c r="AA16" i="30"/>
  <c r="Z16" i="30"/>
  <c r="Z92" i="30" s="1"/>
  <c r="R16" i="30"/>
  <c r="R92" i="30" s="1"/>
  <c r="N16" i="30"/>
  <c r="N92" i="30" s="1"/>
  <c r="F16" i="30"/>
  <c r="F92" i="30" s="1"/>
  <c r="F93" i="30" s="1"/>
  <c r="F66" i="30" s="1"/>
  <c r="AX15" i="30"/>
  <c r="AW15" i="30"/>
  <c r="AV15" i="30"/>
  <c r="AU15" i="30"/>
  <c r="AT15" i="30"/>
  <c r="AS15" i="30"/>
  <c r="AR15" i="30"/>
  <c r="I15" i="30" s="1"/>
  <c r="AQ15" i="30"/>
  <c r="AP15" i="30"/>
  <c r="AO15" i="30"/>
  <c r="AN15" i="30"/>
  <c r="AM15" i="30"/>
  <c r="H15" i="30" s="1"/>
  <c r="AL15" i="30"/>
  <c r="AK15" i="30"/>
  <c r="AJ15" i="30"/>
  <c r="AI15" i="30"/>
  <c r="G15" i="30" s="1"/>
  <c r="AH15" i="30"/>
  <c r="AG15" i="30"/>
  <c r="AF15" i="30"/>
  <c r="AE15" i="30"/>
  <c r="AD15" i="30"/>
  <c r="AC15" i="30"/>
  <c r="AB15" i="30"/>
  <c r="E15" i="30" s="1"/>
  <c r="AA15" i="30"/>
  <c r="Z15" i="30"/>
  <c r="BB14" i="30"/>
  <c r="BA14" i="30"/>
  <c r="AZ14" i="30"/>
  <c r="AY14" i="30"/>
  <c r="AX14" i="30"/>
  <c r="AW14" i="30"/>
  <c r="AV14" i="30"/>
  <c r="J14" i="30" s="1"/>
  <c r="AU14" i="30"/>
  <c r="AT14" i="30"/>
  <c r="AS14" i="30"/>
  <c r="AR14" i="30"/>
  <c r="AQ14" i="30"/>
  <c r="I14" i="30" s="1"/>
  <c r="AP14" i="30"/>
  <c r="AO14" i="30"/>
  <c r="AN14" i="30"/>
  <c r="AM14" i="30"/>
  <c r="AL14" i="30"/>
  <c r="AK14" i="30"/>
  <c r="G14" i="30" s="1"/>
  <c r="AJ14" i="30"/>
  <c r="AI14" i="30"/>
  <c r="AH14" i="30"/>
  <c r="AG14" i="30"/>
  <c r="AF14" i="30"/>
  <c r="F14" i="30" s="1"/>
  <c r="AE14" i="30"/>
  <c r="AD14" i="30"/>
  <c r="AC14" i="30"/>
  <c r="AB14" i="30"/>
  <c r="AA14" i="30"/>
  <c r="E14" i="30" s="1"/>
  <c r="Z14" i="30"/>
  <c r="S15" i="30"/>
  <c r="R15" i="30"/>
  <c r="Q15" i="30"/>
  <c r="P15" i="30"/>
  <c r="S14" i="30"/>
  <c r="R14" i="30"/>
  <c r="Q14" i="30"/>
  <c r="P14" i="30"/>
  <c r="J15" i="30"/>
  <c r="F15" i="30"/>
  <c r="H14" i="30"/>
  <c r="CD13" i="30"/>
  <c r="CC13" i="30"/>
  <c r="CC128" i="30" s="1"/>
  <c r="CC130" i="30" s="1"/>
  <c r="BX13" i="30"/>
  <c r="BN13" i="30"/>
  <c r="BN128" i="30" s="1"/>
  <c r="BN130" i="30" s="1"/>
  <c r="BM13" i="30"/>
  <c r="BM128" i="30" s="1"/>
  <c r="BM130" i="30" s="1"/>
  <c r="BL13" i="30"/>
  <c r="BL128" i="30" s="1"/>
  <c r="BL130" i="30" s="1"/>
  <c r="BJ13" i="30"/>
  <c r="BJ128" i="30" s="1"/>
  <c r="BJ130" i="30" s="1"/>
  <c r="BI13" i="30"/>
  <c r="BI128" i="30" s="1"/>
  <c r="BI130" i="30" s="1"/>
  <c r="BH13" i="30"/>
  <c r="BH128" i="30" s="1"/>
  <c r="BH130" i="30" s="1"/>
  <c r="BF13" i="30"/>
  <c r="BF128" i="30" s="1"/>
  <c r="BE13" i="30"/>
  <c r="BE128" i="30" s="1"/>
  <c r="BD13" i="30"/>
  <c r="BD128" i="30" s="1"/>
  <c r="BC13" i="30"/>
  <c r="BC128" i="30" s="1"/>
  <c r="BB13" i="30"/>
  <c r="BB128" i="30" s="1"/>
  <c r="BA13" i="30"/>
  <c r="BA30" i="30" s="1"/>
  <c r="AZ13" i="30"/>
  <c r="AZ128" i="30" s="1"/>
  <c r="AY13" i="30"/>
  <c r="AY128" i="30" s="1"/>
  <c r="AX13" i="30"/>
  <c r="AW13" i="30"/>
  <c r="AV13" i="30"/>
  <c r="AV128" i="30" s="1"/>
  <c r="AU13" i="30"/>
  <c r="AT13" i="30"/>
  <c r="AS13" i="30"/>
  <c r="AR13" i="30"/>
  <c r="AQ13" i="30"/>
  <c r="AP13" i="30"/>
  <c r="AO13" i="30"/>
  <c r="AN13" i="30"/>
  <c r="AM13" i="30"/>
  <c r="AL13" i="30"/>
  <c r="AK13" i="30"/>
  <c r="AK30" i="30" s="1"/>
  <c r="AJ13" i="30"/>
  <c r="AI13" i="30"/>
  <c r="AH13" i="30"/>
  <c r="AG13" i="30"/>
  <c r="AF13" i="30"/>
  <c r="AF128" i="30" s="1"/>
  <c r="AE13" i="30"/>
  <c r="AD13" i="30"/>
  <c r="AC13" i="30"/>
  <c r="AB13" i="30"/>
  <c r="AA13" i="30"/>
  <c r="Z13" i="30"/>
  <c r="Z73" i="30" s="1"/>
  <c r="P13" i="30"/>
  <c r="P128" i="30" s="1"/>
  <c r="P130" i="30" s="1"/>
  <c r="O13" i="30"/>
  <c r="O128" i="30" s="1"/>
  <c r="O130" i="30" s="1"/>
  <c r="L13" i="30"/>
  <c r="L128" i="30" s="1"/>
  <c r="AX12" i="30"/>
  <c r="AW12" i="30"/>
  <c r="AV12" i="30"/>
  <c r="J12" i="30" s="1"/>
  <c r="AU12" i="30"/>
  <c r="AT12" i="30"/>
  <c r="AS12" i="30"/>
  <c r="AR12" i="30"/>
  <c r="AQ12" i="30"/>
  <c r="AP12" i="30"/>
  <c r="H12" i="30" s="1"/>
  <c r="AO12" i="30"/>
  <c r="AN12" i="30"/>
  <c r="AM12" i="30"/>
  <c r="AL12" i="30"/>
  <c r="AK12" i="30"/>
  <c r="G12" i="30" s="1"/>
  <c r="AJ12" i="30"/>
  <c r="AI12" i="30"/>
  <c r="AH12" i="30"/>
  <c r="AG12" i="30"/>
  <c r="AF12" i="30"/>
  <c r="F12" i="30" s="1"/>
  <c r="AE12" i="30"/>
  <c r="AD12" i="30"/>
  <c r="AC12" i="30"/>
  <c r="AB12" i="30"/>
  <c r="AA12" i="30"/>
  <c r="Z12" i="30"/>
  <c r="S12" i="30"/>
  <c r="R12" i="30"/>
  <c r="I12" i="30"/>
  <c r="E12" i="30"/>
  <c r="S11" i="30"/>
  <c r="BY10" i="30"/>
  <c r="BX10" i="30"/>
  <c r="BT10" i="30"/>
  <c r="BR10" i="30"/>
  <c r="BQ10" i="30"/>
  <c r="O10" i="30" s="1"/>
  <c r="BP10" i="30"/>
  <c r="BP30" i="30" s="1"/>
  <c r="BN10" i="30"/>
  <c r="BM10" i="30"/>
  <c r="BL10" i="30"/>
  <c r="BI10" i="30"/>
  <c r="BH10" i="30"/>
  <c r="BB10" i="30"/>
  <c r="BA10" i="30"/>
  <c r="AZ10" i="30"/>
  <c r="AZ30" i="30" s="1"/>
  <c r="AY10" i="30"/>
  <c r="AX10" i="30"/>
  <c r="AW10" i="30"/>
  <c r="AV10" i="30"/>
  <c r="AV30" i="30" s="1"/>
  <c r="AU10" i="30"/>
  <c r="AT10" i="30"/>
  <c r="AS10" i="30"/>
  <c r="AR10" i="30"/>
  <c r="AQ10" i="30"/>
  <c r="AP10" i="30"/>
  <c r="AO10" i="30"/>
  <c r="AN10" i="30"/>
  <c r="AM10" i="30"/>
  <c r="AL10" i="30"/>
  <c r="AK10" i="30"/>
  <c r="AJ10" i="30"/>
  <c r="AI10" i="30"/>
  <c r="AH10" i="30"/>
  <c r="AG10" i="30"/>
  <c r="AF10" i="30"/>
  <c r="AF30" i="30" s="1"/>
  <c r="AE10" i="30"/>
  <c r="AD10" i="30"/>
  <c r="AC10" i="30"/>
  <c r="AB10" i="30"/>
  <c r="AA10" i="30"/>
  <c r="Z10" i="30"/>
  <c r="R10" i="30"/>
  <c r="J10" i="30"/>
  <c r="F10" i="30"/>
  <c r="BG8" i="30"/>
  <c r="BG144" i="30" s="1"/>
  <c r="CH8" i="30"/>
  <c r="CH144" i="30" s="1"/>
  <c r="CG8" i="30"/>
  <c r="CG144" i="30" s="1"/>
  <c r="CF8" i="30"/>
  <c r="CF144" i="30" s="1"/>
  <c r="CE8" i="30"/>
  <c r="CE144" i="30" s="1"/>
  <c r="CD8" i="30"/>
  <c r="CD144" i="30" s="1"/>
  <c r="CC8" i="30"/>
  <c r="CC144" i="30" s="1"/>
  <c r="CB8" i="30"/>
  <c r="CB144" i="30" s="1"/>
  <c r="CA8" i="30"/>
  <c r="CA144" i="30" s="1"/>
  <c r="BZ8" i="30"/>
  <c r="BZ144" i="30" s="1"/>
  <c r="BY8" i="30"/>
  <c r="BY144" i="30" s="1"/>
  <c r="BX8" i="30"/>
  <c r="BX144" i="30" s="1"/>
  <c r="BW8" i="30"/>
  <c r="BW144" i="30" s="1"/>
  <c r="BV8" i="30"/>
  <c r="BV144" i="30" s="1"/>
  <c r="BU8" i="30"/>
  <c r="BU144" i="30" s="1"/>
  <c r="BT8" i="30"/>
  <c r="BT144" i="30" s="1"/>
  <c r="BS8" i="30"/>
  <c r="BS144" i="30" s="1"/>
  <c r="BR8" i="30"/>
  <c r="BR144" i="30" s="1"/>
  <c r="BQ8" i="30"/>
  <c r="BQ144" i="30" s="1"/>
  <c r="BP8" i="30"/>
  <c r="BP144" i="30" s="1"/>
  <c r="BO8" i="30"/>
  <c r="BO144" i="30" s="1"/>
  <c r="BB7" i="30"/>
  <c r="BA7" i="30"/>
  <c r="AZ7" i="30"/>
  <c r="AY7" i="30"/>
  <c r="AX7" i="30"/>
  <c r="AW7" i="30"/>
  <c r="AV7" i="30"/>
  <c r="AU7" i="30"/>
  <c r="AT7" i="30"/>
  <c r="AS7" i="30"/>
  <c r="AR7" i="30"/>
  <c r="AQ7" i="30"/>
  <c r="AP7" i="30"/>
  <c r="AO7" i="30"/>
  <c r="AN7" i="30"/>
  <c r="AM7" i="30"/>
  <c r="AL7" i="30"/>
  <c r="AK7" i="30"/>
  <c r="AJ7" i="30"/>
  <c r="AI7" i="30"/>
  <c r="AH7" i="30"/>
  <c r="AG7" i="30"/>
  <c r="AF7" i="30"/>
  <c r="AE7" i="30"/>
  <c r="AD7" i="30"/>
  <c r="AC7" i="30"/>
  <c r="AB7" i="30"/>
  <c r="AA7" i="30"/>
  <c r="BB6" i="30"/>
  <c r="BA6" i="30"/>
  <c r="AZ6" i="30"/>
  <c r="AY6" i="30"/>
  <c r="AX6" i="30"/>
  <c r="AW6" i="30"/>
  <c r="AV6" i="30"/>
  <c r="AU6" i="30"/>
  <c r="AT6" i="30"/>
  <c r="AS6" i="30"/>
  <c r="AR6" i="30"/>
  <c r="AQ6" i="30"/>
  <c r="AP6" i="30"/>
  <c r="AO6" i="30"/>
  <c r="AN6" i="30"/>
  <c r="AM6" i="30"/>
  <c r="AL6" i="30"/>
  <c r="AK6" i="30"/>
  <c r="AJ6" i="30"/>
  <c r="AI6" i="30"/>
  <c r="AH6" i="30"/>
  <c r="AG6" i="30"/>
  <c r="AF6" i="30"/>
  <c r="AE6" i="30"/>
  <c r="AD6" i="30"/>
  <c r="AC6" i="30"/>
  <c r="AB6" i="30"/>
  <c r="AA6" i="30"/>
  <c r="Z6" i="30"/>
  <c r="X8" i="30"/>
  <c r="X144" i="30" s="1"/>
  <c r="W8" i="30"/>
  <c r="W144" i="30" s="1"/>
  <c r="V8" i="30"/>
  <c r="V144" i="30" s="1"/>
  <c r="U8" i="30"/>
  <c r="U144" i="30" s="1"/>
  <c r="T8" i="30"/>
  <c r="T144" i="30" s="1"/>
  <c r="S8" i="30"/>
  <c r="S144" i="30" s="1"/>
  <c r="R8" i="30"/>
  <c r="R144" i="30" s="1"/>
  <c r="Q8" i="30"/>
  <c r="Q144" i="30" s="1"/>
  <c r="P8" i="30"/>
  <c r="P144" i="30" s="1"/>
  <c r="O8" i="30"/>
  <c r="O144" i="30" s="1"/>
  <c r="N8" i="30"/>
  <c r="N144" i="30" s="1"/>
  <c r="M8" i="30"/>
  <c r="M144" i="30" s="1"/>
  <c r="L8" i="30"/>
  <c r="L144" i="30" s="1"/>
  <c r="K7" i="30"/>
  <c r="J7" i="30"/>
  <c r="E7" i="30"/>
  <c r="K6" i="30"/>
  <c r="J6" i="30"/>
  <c r="I6" i="30"/>
  <c r="I110" i="29"/>
  <c r="H110" i="29"/>
  <c r="G110" i="29"/>
  <c r="F110" i="29"/>
  <c r="E110" i="29"/>
  <c r="K108" i="29"/>
  <c r="J108" i="29"/>
  <c r="I108" i="29"/>
  <c r="BH103" i="29"/>
  <c r="BH102" i="29"/>
  <c r="BF103" i="29"/>
  <c r="BE103" i="29"/>
  <c r="BD103" i="29"/>
  <c r="BC103" i="29"/>
  <c r="BB103" i="29"/>
  <c r="BA103" i="29"/>
  <c r="AZ103" i="29"/>
  <c r="AY103" i="29"/>
  <c r="AX103" i="29"/>
  <c r="AW103" i="29"/>
  <c r="AV103" i="29"/>
  <c r="AU103" i="29"/>
  <c r="AT103" i="29"/>
  <c r="AS103" i="29"/>
  <c r="AR103" i="29"/>
  <c r="AQ103" i="29"/>
  <c r="AP103" i="29"/>
  <c r="AO103" i="29"/>
  <c r="AN103" i="29"/>
  <c r="AM103" i="29"/>
  <c r="AL103" i="29"/>
  <c r="AK103" i="29"/>
  <c r="AJ103" i="29"/>
  <c r="AI103" i="29"/>
  <c r="AH103" i="29"/>
  <c r="AG103" i="29"/>
  <c r="AF103" i="29"/>
  <c r="AE103" i="29"/>
  <c r="AD103" i="29"/>
  <c r="AC103" i="29"/>
  <c r="K103" i="29"/>
  <c r="J103" i="29"/>
  <c r="I103" i="29"/>
  <c r="H103" i="29"/>
  <c r="G103" i="29"/>
  <c r="F103" i="29"/>
  <c r="E103" i="29"/>
  <c r="D103" i="29"/>
  <c r="BT103" i="29"/>
  <c r="BU103" i="29" s="1"/>
  <c r="BS103" i="29"/>
  <c r="BR103" i="29"/>
  <c r="CG102" i="29"/>
  <c r="CF102" i="29"/>
  <c r="CE102" i="29"/>
  <c r="CD102" i="29"/>
  <c r="CC102" i="29"/>
  <c r="CB102" i="29"/>
  <c r="CA102" i="29"/>
  <c r="BZ102" i="29"/>
  <c r="BY102" i="29"/>
  <c r="BX102" i="29"/>
  <c r="BW102" i="29"/>
  <c r="BV102" i="29"/>
  <c r="BU102" i="29"/>
  <c r="BT102" i="29"/>
  <c r="BS102" i="29"/>
  <c r="BR102" i="29"/>
  <c r="BQ102" i="29"/>
  <c r="BP102" i="29"/>
  <c r="BO102" i="29"/>
  <c r="BN102" i="29"/>
  <c r="BM102" i="29"/>
  <c r="BL102" i="29"/>
  <c r="BK102" i="29"/>
  <c r="BJ102" i="29"/>
  <c r="BI102" i="29"/>
  <c r="BG102" i="29"/>
  <c r="BF102" i="29"/>
  <c r="BE102" i="29"/>
  <c r="BD102" i="29"/>
  <c r="BC102" i="29"/>
  <c r="BB102" i="29"/>
  <c r="BA102" i="29"/>
  <c r="AZ102" i="29"/>
  <c r="AX102" i="29"/>
  <c r="AW102" i="29"/>
  <c r="AV102" i="29"/>
  <c r="AT102" i="29"/>
  <c r="AS102" i="29"/>
  <c r="AR102" i="29"/>
  <c r="AP102" i="29"/>
  <c r="AO102" i="29"/>
  <c r="AN102" i="29"/>
  <c r="AL102" i="29"/>
  <c r="AK102" i="29"/>
  <c r="AJ102" i="29"/>
  <c r="AH102" i="29"/>
  <c r="AG102" i="29"/>
  <c r="AF102" i="29"/>
  <c r="AD102" i="29"/>
  <c r="AC102" i="29"/>
  <c r="N103" i="29"/>
  <c r="M103" i="29"/>
  <c r="R102" i="29"/>
  <c r="Q102" i="29"/>
  <c r="P102" i="29"/>
  <c r="O102" i="29"/>
  <c r="N102" i="29"/>
  <c r="M102" i="29"/>
  <c r="L102" i="29"/>
  <c r="K102" i="29"/>
  <c r="J102" i="29"/>
  <c r="I102" i="29"/>
  <c r="H102" i="29"/>
  <c r="G102" i="29"/>
  <c r="F102" i="29"/>
  <c r="E102" i="29"/>
  <c r="D102" i="29"/>
  <c r="CF97" i="29"/>
  <c r="BK97" i="29"/>
  <c r="AP97" i="29"/>
  <c r="CG93" i="29"/>
  <c r="CF93" i="29"/>
  <c r="CE93" i="29"/>
  <c r="CD93" i="29"/>
  <c r="CC93" i="29"/>
  <c r="CB93" i="29"/>
  <c r="CA93" i="29"/>
  <c r="BZ93" i="29"/>
  <c r="BY93" i="29"/>
  <c r="BX93" i="29"/>
  <c r="BW93" i="29"/>
  <c r="BV93" i="29"/>
  <c r="BU93" i="29"/>
  <c r="BT93" i="29"/>
  <c r="BS93" i="29"/>
  <c r="BR93" i="29"/>
  <c r="BQ93" i="29"/>
  <c r="BP93" i="29"/>
  <c r="BO93" i="29"/>
  <c r="BN93" i="29"/>
  <c r="BM93" i="29"/>
  <c r="BL93" i="29"/>
  <c r="BK93" i="29"/>
  <c r="BJ93" i="29"/>
  <c r="BI93" i="29"/>
  <c r="BH93" i="29"/>
  <c r="BG93" i="29"/>
  <c r="BF93" i="29"/>
  <c r="BE93" i="29"/>
  <c r="BK91" i="29"/>
  <c r="BK98" i="29" s="1"/>
  <c r="BJ91" i="29"/>
  <c r="BJ98" i="29" s="1"/>
  <c r="BI91" i="29"/>
  <c r="BI98" i="29" s="1"/>
  <c r="BH91" i="29"/>
  <c r="BH98" i="29" s="1"/>
  <c r="CK90" i="29"/>
  <c r="CJ90" i="29"/>
  <c r="CJ97" i="29" s="1"/>
  <c r="CI90" i="29"/>
  <c r="CI97" i="29" s="1"/>
  <c r="CH90" i="29"/>
  <c r="CH97" i="29" s="1"/>
  <c r="CG90" i="29"/>
  <c r="CF90" i="29"/>
  <c r="CE90" i="29"/>
  <c r="CE97" i="29" s="1"/>
  <c r="CD90" i="29"/>
  <c r="CD97" i="29" s="1"/>
  <c r="CC90" i="29"/>
  <c r="CB90" i="29"/>
  <c r="CB97" i="29" s="1"/>
  <c r="CA90" i="29"/>
  <c r="CA97" i="29" s="1"/>
  <c r="BZ90" i="29"/>
  <c r="BZ97" i="29" s="1"/>
  <c r="BY90" i="29"/>
  <c r="BX90" i="29"/>
  <c r="BX97" i="29" s="1"/>
  <c r="BW90" i="29"/>
  <c r="BW97" i="29" s="1"/>
  <c r="BV90" i="29"/>
  <c r="BV97" i="29" s="1"/>
  <c r="BU90" i="29"/>
  <c r="BT90" i="29"/>
  <c r="BT97" i="29" s="1"/>
  <c r="BS90" i="29"/>
  <c r="BS97" i="29" s="1"/>
  <c r="BR90" i="29"/>
  <c r="BR97" i="29" s="1"/>
  <c r="BQ90" i="29"/>
  <c r="BP90" i="29"/>
  <c r="BP97" i="29" s="1"/>
  <c r="BO90" i="29"/>
  <c r="BO97" i="29" s="1"/>
  <c r="BN90" i="29"/>
  <c r="BN97" i="29" s="1"/>
  <c r="BM90" i="29"/>
  <c r="BL90" i="29"/>
  <c r="BL97" i="29" s="1"/>
  <c r="BK90" i="29"/>
  <c r="BJ90" i="29"/>
  <c r="BJ97" i="29" s="1"/>
  <c r="BI90" i="29"/>
  <c r="BI97" i="29" s="1"/>
  <c r="BH90" i="29"/>
  <c r="BH97" i="29" s="1"/>
  <c r="BG90" i="29"/>
  <c r="BG97" i="29" s="1"/>
  <c r="BF90" i="29"/>
  <c r="BF97" i="29" s="1"/>
  <c r="BE90" i="29"/>
  <c r="BD90" i="29"/>
  <c r="BD97" i="29" s="1"/>
  <c r="BC90" i="29"/>
  <c r="BC97" i="29" s="1"/>
  <c r="BB90" i="29"/>
  <c r="BB97" i="29" s="1"/>
  <c r="BA90" i="29"/>
  <c r="AZ90" i="29"/>
  <c r="AZ97" i="29" s="1"/>
  <c r="AY90" i="29"/>
  <c r="AY97" i="29" s="1"/>
  <c r="AX90" i="29"/>
  <c r="AX97" i="29" s="1"/>
  <c r="AW90" i="29"/>
  <c r="AV90" i="29"/>
  <c r="AV97" i="29" s="1"/>
  <c r="AU90" i="29"/>
  <c r="AU97" i="29" s="1"/>
  <c r="AT90" i="29"/>
  <c r="AT97" i="29" s="1"/>
  <c r="AS90" i="29"/>
  <c r="AR90" i="29"/>
  <c r="AR97" i="29" s="1"/>
  <c r="AQ90" i="29"/>
  <c r="AQ97" i="29" s="1"/>
  <c r="AP90" i="29"/>
  <c r="AO90" i="29"/>
  <c r="AN90" i="29"/>
  <c r="AN97" i="29" s="1"/>
  <c r="AM90" i="29"/>
  <c r="AM97" i="29" s="1"/>
  <c r="AL90" i="29"/>
  <c r="AL97" i="29" s="1"/>
  <c r="AK90" i="29"/>
  <c r="AJ90" i="29"/>
  <c r="AJ97" i="29" s="1"/>
  <c r="AI90" i="29"/>
  <c r="AI97" i="29" s="1"/>
  <c r="AH90" i="29"/>
  <c r="AH97" i="29" s="1"/>
  <c r="AG90" i="29"/>
  <c r="AF90" i="29"/>
  <c r="AF97" i="29" s="1"/>
  <c r="AE90" i="29"/>
  <c r="AE97" i="29" s="1"/>
  <c r="AD90" i="29"/>
  <c r="AD97" i="29" s="1"/>
  <c r="AC90" i="29"/>
  <c r="AC97" i="29" s="1"/>
  <c r="BE89" i="29"/>
  <c r="BE96" i="29" s="1"/>
  <c r="BD89" i="29"/>
  <c r="BD96" i="29" s="1"/>
  <c r="BC89" i="29"/>
  <c r="BC96" i="29" s="1"/>
  <c r="BB89" i="29"/>
  <c r="BA89" i="29"/>
  <c r="BA96" i="29" s="1"/>
  <c r="AZ89" i="29"/>
  <c r="AZ96" i="29" s="1"/>
  <c r="AY89" i="29"/>
  <c r="AY96" i="29" s="1"/>
  <c r="AX89" i="29"/>
  <c r="AW89" i="29"/>
  <c r="AW96" i="29" s="1"/>
  <c r="AV89" i="29"/>
  <c r="AV96" i="29" s="1"/>
  <c r="AU89" i="29"/>
  <c r="AU96" i="29" s="1"/>
  <c r="AT89" i="29"/>
  <c r="AS89" i="29"/>
  <c r="AS96" i="29" s="1"/>
  <c r="AR89" i="29"/>
  <c r="AR96" i="29" s="1"/>
  <c r="AQ89" i="29"/>
  <c r="AQ96" i="29" s="1"/>
  <c r="AP89" i="29"/>
  <c r="AO89" i="29"/>
  <c r="AO96" i="29" s="1"/>
  <c r="AN89" i="29"/>
  <c r="AN96" i="29" s="1"/>
  <c r="AM89" i="29"/>
  <c r="AM96" i="29" s="1"/>
  <c r="AL89" i="29"/>
  <c r="AK89" i="29"/>
  <c r="AK96" i="29" s="1"/>
  <c r="AJ89" i="29"/>
  <c r="AJ96" i="29" s="1"/>
  <c r="AI89" i="29"/>
  <c r="AI96" i="29" s="1"/>
  <c r="AH89" i="29"/>
  <c r="AG89" i="29"/>
  <c r="AG96" i="29" s="1"/>
  <c r="AF89" i="29"/>
  <c r="AF96" i="29" s="1"/>
  <c r="AE89" i="29"/>
  <c r="AE96" i="29" s="1"/>
  <c r="AD89" i="29"/>
  <c r="AC89" i="29"/>
  <c r="AC96" i="29" s="1"/>
  <c r="X90" i="29"/>
  <c r="X97" i="29" s="1"/>
  <c r="W90" i="29"/>
  <c r="W97" i="29" s="1"/>
  <c r="V90" i="29"/>
  <c r="V97" i="29" s="1"/>
  <c r="U90" i="29"/>
  <c r="U97" i="29" s="1"/>
  <c r="T90" i="29"/>
  <c r="T97" i="29" s="1"/>
  <c r="S90" i="29"/>
  <c r="S97" i="29" s="1"/>
  <c r="R90" i="29"/>
  <c r="R97" i="29" s="1"/>
  <c r="Q90" i="29"/>
  <c r="Q97" i="29" s="1"/>
  <c r="P90" i="29"/>
  <c r="P97" i="29" s="1"/>
  <c r="O90" i="29"/>
  <c r="O97" i="29" s="1"/>
  <c r="N90" i="29"/>
  <c r="N97" i="29" s="1"/>
  <c r="M90" i="29"/>
  <c r="M97" i="29" s="1"/>
  <c r="L90" i="29"/>
  <c r="L97" i="29" s="1"/>
  <c r="K90" i="29"/>
  <c r="K97" i="29" s="1"/>
  <c r="J90" i="29"/>
  <c r="J97" i="29" s="1"/>
  <c r="I90" i="29"/>
  <c r="I97" i="29" s="1"/>
  <c r="H90" i="29"/>
  <c r="H97" i="29" s="1"/>
  <c r="G90" i="29"/>
  <c r="G97" i="29" s="1"/>
  <c r="F90" i="29"/>
  <c r="F97" i="29" s="1"/>
  <c r="E90" i="29"/>
  <c r="E97" i="29" s="1"/>
  <c r="K89" i="29"/>
  <c r="K96" i="29" s="1"/>
  <c r="J89" i="29"/>
  <c r="J96" i="29" s="1"/>
  <c r="I89" i="29"/>
  <c r="I96" i="29" s="1"/>
  <c r="CK85" i="29"/>
  <c r="CJ85" i="29"/>
  <c r="CI85" i="29"/>
  <c r="CH85" i="29"/>
  <c r="CG85" i="29"/>
  <c r="CF85" i="29"/>
  <c r="CE85" i="29"/>
  <c r="CD85" i="29"/>
  <c r="CC85" i="29"/>
  <c r="CB85" i="29"/>
  <c r="CA85" i="29"/>
  <c r="BZ85" i="29"/>
  <c r="BY85" i="29"/>
  <c r="BX85" i="29"/>
  <c r="BW85" i="29"/>
  <c r="BV85" i="29"/>
  <c r="BU85" i="29"/>
  <c r="BT85" i="29"/>
  <c r="BS85" i="29"/>
  <c r="BS86" i="29" s="1"/>
  <c r="BR85" i="29"/>
  <c r="BQ85" i="29"/>
  <c r="BQ86" i="29" s="1"/>
  <c r="BP85" i="29"/>
  <c r="BP86" i="29" s="1"/>
  <c r="BO85" i="29"/>
  <c r="BO86" i="29" s="1"/>
  <c r="BN85" i="29"/>
  <c r="BM85" i="29"/>
  <c r="BM86" i="29" s="1"/>
  <c r="BL85" i="29"/>
  <c r="BL86" i="29" s="1"/>
  <c r="BK85" i="29"/>
  <c r="BK86" i="29" s="1"/>
  <c r="BJ85" i="29"/>
  <c r="BI85" i="29"/>
  <c r="BI86" i="29" s="1"/>
  <c r="BH85" i="29"/>
  <c r="BH86" i="29" s="1"/>
  <c r="BG85" i="29"/>
  <c r="BF85" i="29"/>
  <c r="BE85" i="29"/>
  <c r="BD85" i="29"/>
  <c r="BC85" i="29"/>
  <c r="BB85" i="29"/>
  <c r="BA85" i="29"/>
  <c r="AZ85" i="29"/>
  <c r="AY85" i="29"/>
  <c r="AX85" i="29"/>
  <c r="AW85" i="29"/>
  <c r="AV85" i="29"/>
  <c r="AU85" i="29"/>
  <c r="AT85" i="29"/>
  <c r="AS85" i="29"/>
  <c r="AR85" i="29"/>
  <c r="AQ85" i="29"/>
  <c r="AP85" i="29"/>
  <c r="AO85" i="29"/>
  <c r="AN85" i="29"/>
  <c r="AM85" i="29"/>
  <c r="AL85" i="29"/>
  <c r="AK85" i="29"/>
  <c r="AJ85" i="29"/>
  <c r="AI85" i="29"/>
  <c r="AH85" i="29"/>
  <c r="AG85" i="29"/>
  <c r="AF85" i="29"/>
  <c r="AE85" i="29"/>
  <c r="AD85" i="29"/>
  <c r="BS84" i="29"/>
  <c r="BR84" i="29"/>
  <c r="BQ84" i="29"/>
  <c r="BP84" i="29"/>
  <c r="BO84" i="29"/>
  <c r="BN84" i="29"/>
  <c r="BM84" i="29"/>
  <c r="BL84" i="29"/>
  <c r="BK84" i="29"/>
  <c r="BJ84" i="29"/>
  <c r="BI84" i="29"/>
  <c r="BH84" i="29"/>
  <c r="X85" i="29"/>
  <c r="W85" i="29"/>
  <c r="V85" i="29"/>
  <c r="U85" i="29"/>
  <c r="T85" i="29"/>
  <c r="S85" i="29"/>
  <c r="R85" i="29"/>
  <c r="Q85" i="29"/>
  <c r="P85" i="29"/>
  <c r="O85" i="29"/>
  <c r="N85" i="29"/>
  <c r="M85" i="29"/>
  <c r="L85" i="29"/>
  <c r="K85" i="29"/>
  <c r="J85" i="29"/>
  <c r="I85" i="29"/>
  <c r="H85" i="29"/>
  <c r="G85" i="29"/>
  <c r="F85" i="29"/>
  <c r="E85" i="29"/>
  <c r="CG82" i="29"/>
  <c r="CF82" i="29"/>
  <c r="CE82" i="29"/>
  <c r="CD82" i="29"/>
  <c r="R82" i="29" s="1"/>
  <c r="CC82" i="29"/>
  <c r="CB82" i="29"/>
  <c r="CA82" i="29"/>
  <c r="BZ82" i="29"/>
  <c r="Q82" i="29"/>
  <c r="BE78" i="29"/>
  <c r="BD78" i="29"/>
  <c r="BC78" i="29"/>
  <c r="BA78" i="29"/>
  <c r="AZ78" i="29"/>
  <c r="AY78" i="29"/>
  <c r="AW78" i="29"/>
  <c r="AV78" i="29"/>
  <c r="AU78" i="29"/>
  <c r="AS78" i="29"/>
  <c r="AR78" i="29"/>
  <c r="AQ78" i="29"/>
  <c r="AO78" i="29"/>
  <c r="AN78" i="29"/>
  <c r="AM78" i="29"/>
  <c r="AK78" i="29"/>
  <c r="AJ78" i="29"/>
  <c r="AI78" i="29"/>
  <c r="AG78" i="29"/>
  <c r="AF78" i="29"/>
  <c r="AE78" i="29"/>
  <c r="AC78" i="29"/>
  <c r="BE77" i="29"/>
  <c r="BD77" i="29"/>
  <c r="BC77" i="29"/>
  <c r="BB77" i="29"/>
  <c r="BA77" i="29"/>
  <c r="AZ77" i="29"/>
  <c r="AY77" i="29"/>
  <c r="AX77" i="29"/>
  <c r="AW77" i="29"/>
  <c r="AV77" i="29"/>
  <c r="AU77" i="29"/>
  <c r="AT77" i="29"/>
  <c r="AS77" i="29"/>
  <c r="AR77" i="29"/>
  <c r="AQ77" i="29"/>
  <c r="AP77" i="29"/>
  <c r="AO77" i="29"/>
  <c r="AN77" i="29"/>
  <c r="AM77" i="29"/>
  <c r="AL77" i="29"/>
  <c r="AK77" i="29"/>
  <c r="AJ77" i="29"/>
  <c r="AI77" i="29"/>
  <c r="AH77" i="29"/>
  <c r="AG77" i="29"/>
  <c r="AF77" i="29"/>
  <c r="AE77" i="29"/>
  <c r="AD77" i="29"/>
  <c r="AC77" i="29"/>
  <c r="K77" i="29"/>
  <c r="J77" i="29"/>
  <c r="I77" i="29"/>
  <c r="CG68" i="29"/>
  <c r="CF68" i="29"/>
  <c r="CE68" i="29"/>
  <c r="CD68" i="29"/>
  <c r="CC68" i="29"/>
  <c r="CB68" i="29"/>
  <c r="CA68" i="29"/>
  <c r="BZ68" i="29"/>
  <c r="BY68" i="29"/>
  <c r="BX68" i="29"/>
  <c r="BW68" i="29"/>
  <c r="BV68" i="29"/>
  <c r="BW69" i="29" s="1"/>
  <c r="BW80" i="29" s="1"/>
  <c r="BU68" i="29"/>
  <c r="BT68" i="29"/>
  <c r="BS68" i="29"/>
  <c r="BS69" i="29" s="1"/>
  <c r="BS80" i="29" s="1"/>
  <c r="BR68" i="29"/>
  <c r="BQ68" i="29"/>
  <c r="BP68" i="29"/>
  <c r="BO68" i="29"/>
  <c r="BN68" i="29"/>
  <c r="BM68" i="29"/>
  <c r="BL68" i="29"/>
  <c r="BK68" i="29"/>
  <c r="BJ68" i="29"/>
  <c r="BI68" i="29"/>
  <c r="BH68" i="29"/>
  <c r="BG68" i="29"/>
  <c r="BE68" i="29"/>
  <c r="CJ62" i="29"/>
  <c r="CK62" i="29" s="1"/>
  <c r="CI62" i="29"/>
  <c r="CH62" i="29"/>
  <c r="CG62" i="29"/>
  <c r="CF62" i="29"/>
  <c r="CE62" i="29"/>
  <c r="CD62" i="29"/>
  <c r="CC62" i="29"/>
  <c r="CB62" i="29"/>
  <c r="CA62" i="29"/>
  <c r="BZ62" i="29"/>
  <c r="BY62" i="29"/>
  <c r="BX62" i="29"/>
  <c r="BW62" i="29"/>
  <c r="BV62" i="29"/>
  <c r="BU62" i="29"/>
  <c r="BS62" i="29"/>
  <c r="BR62" i="29"/>
  <c r="BQ62" i="29"/>
  <c r="BP62" i="29"/>
  <c r="BO62" i="29"/>
  <c r="BN62" i="29"/>
  <c r="BL62" i="29"/>
  <c r="BK62" i="29"/>
  <c r="BJ62" i="29"/>
  <c r="BI62" i="29"/>
  <c r="BH62" i="29"/>
  <c r="BF62" i="29"/>
  <c r="BE62" i="29"/>
  <c r="BF61" i="29"/>
  <c r="BE61" i="29"/>
  <c r="CG60" i="29"/>
  <c r="CF60" i="29"/>
  <c r="CE60" i="29"/>
  <c r="CD60" i="29"/>
  <c r="CC60" i="29"/>
  <c r="CB60" i="29"/>
  <c r="CA60" i="29"/>
  <c r="BZ60" i="29"/>
  <c r="BY60" i="29"/>
  <c r="BX60" i="29"/>
  <c r="BW60" i="29"/>
  <c r="BV60" i="29"/>
  <c r="BU60" i="29"/>
  <c r="BT60" i="29"/>
  <c r="BS60" i="29"/>
  <c r="BR60" i="29"/>
  <c r="BQ60" i="29"/>
  <c r="BP60" i="29"/>
  <c r="BO60" i="29"/>
  <c r="BN60" i="29"/>
  <c r="BM60" i="29"/>
  <c r="BL60" i="29"/>
  <c r="BK60" i="29"/>
  <c r="BJ60" i="29"/>
  <c r="BI60" i="29"/>
  <c r="BH60" i="29"/>
  <c r="CD59" i="29"/>
  <c r="CB59" i="29"/>
  <c r="CA59" i="29"/>
  <c r="BY59" i="29"/>
  <c r="BX59" i="29"/>
  <c r="BV59" i="29"/>
  <c r="BU59" i="29"/>
  <c r="BS59" i="29"/>
  <c r="BR59" i="29"/>
  <c r="BQ59" i="29"/>
  <c r="BO59" i="29"/>
  <c r="BN59" i="29"/>
  <c r="BL59" i="29"/>
  <c r="BK59" i="29"/>
  <c r="BJ59" i="29"/>
  <c r="BX58" i="29"/>
  <c r="BW58" i="29"/>
  <c r="BV58" i="29"/>
  <c r="BU58" i="29"/>
  <c r="BT58" i="29"/>
  <c r="BR58" i="29"/>
  <c r="BQ58" i="29"/>
  <c r="BM58" i="29"/>
  <c r="BL58" i="29"/>
  <c r="BK58" i="29"/>
  <c r="BJ58" i="29"/>
  <c r="BI58" i="29"/>
  <c r="BH58" i="29"/>
  <c r="BF60" i="29"/>
  <c r="BE60" i="29"/>
  <c r="BF59" i="29"/>
  <c r="BE59" i="29"/>
  <c r="BE57" i="29"/>
  <c r="V61" i="29"/>
  <c r="W61" i="29" s="1"/>
  <c r="X61" i="29" s="1"/>
  <c r="U61" i="29"/>
  <c r="BR54" i="29"/>
  <c r="BF54" i="29"/>
  <c r="O54" i="29"/>
  <c r="N54" i="29"/>
  <c r="BQ49" i="29"/>
  <c r="BH49" i="29"/>
  <c r="BG49" i="29"/>
  <c r="BE49" i="29"/>
  <c r="BR48" i="29"/>
  <c r="BR49" i="29" s="1"/>
  <c r="BI48" i="29"/>
  <c r="BI49" i="29" s="1"/>
  <c r="BF48" i="29"/>
  <c r="BF49" i="29" s="1"/>
  <c r="CD46" i="29"/>
  <c r="BO47" i="29"/>
  <c r="CH46" i="29"/>
  <c r="CI46" i="29" s="1"/>
  <c r="CJ46" i="29" s="1"/>
  <c r="CK46" i="29" s="1"/>
  <c r="S46" i="29" s="1"/>
  <c r="L49" i="29"/>
  <c r="M107" i="29" s="1"/>
  <c r="N48" i="29"/>
  <c r="L48" i="29"/>
  <c r="K48" i="29"/>
  <c r="R47" i="29"/>
  <c r="Q47" i="29"/>
  <c r="P47" i="29"/>
  <c r="O47" i="29"/>
  <c r="N47" i="29"/>
  <c r="M47" i="29"/>
  <c r="L47" i="29"/>
  <c r="K47" i="29"/>
  <c r="R46" i="29"/>
  <c r="Q46" i="29"/>
  <c r="Q109" i="29" s="1"/>
  <c r="P46" i="29"/>
  <c r="O46" i="29"/>
  <c r="O109" i="29" s="1"/>
  <c r="N46" i="29"/>
  <c r="M46" i="29"/>
  <c r="M109" i="29" s="1"/>
  <c r="L46" i="29"/>
  <c r="K46" i="29"/>
  <c r="S45" i="29"/>
  <c r="R45" i="29"/>
  <c r="Q45" i="29"/>
  <c r="K45" i="29"/>
  <c r="CH44" i="29"/>
  <c r="CI44" i="29" s="1"/>
  <c r="CJ44" i="29" s="1"/>
  <c r="CK44" i="29" s="1"/>
  <c r="S44" i="29" s="1"/>
  <c r="CH43" i="29"/>
  <c r="BT43" i="29"/>
  <c r="BD48" i="29"/>
  <c r="BC48" i="29"/>
  <c r="BB48" i="29"/>
  <c r="BA48" i="29"/>
  <c r="J48" i="29" s="1"/>
  <c r="AZ48" i="29"/>
  <c r="AY48" i="29"/>
  <c r="AX48" i="29"/>
  <c r="AW48" i="29"/>
  <c r="I48" i="29" s="1"/>
  <c r="AV48" i="29"/>
  <c r="AU48" i="29"/>
  <c r="AT48" i="29"/>
  <c r="AS48" i="29"/>
  <c r="H48" i="29" s="1"/>
  <c r="AR48" i="29"/>
  <c r="AQ48" i="29"/>
  <c r="AP48" i="29"/>
  <c r="AO48" i="29"/>
  <c r="G48" i="29" s="1"/>
  <c r="AN48" i="29"/>
  <c r="AM48" i="29"/>
  <c r="AL48" i="29"/>
  <c r="AK48" i="29"/>
  <c r="F48" i="29" s="1"/>
  <c r="AJ48" i="29"/>
  <c r="AI48" i="29"/>
  <c r="AH48" i="29"/>
  <c r="AG48" i="29"/>
  <c r="E48" i="29" s="1"/>
  <c r="AF48" i="29"/>
  <c r="AE48" i="29"/>
  <c r="AD48" i="29"/>
  <c r="AC48" i="29"/>
  <c r="D48" i="29" s="1"/>
  <c r="AW47" i="29"/>
  <c r="AV47" i="29"/>
  <c r="AU47" i="29"/>
  <c r="AT47" i="29"/>
  <c r="AS47" i="29"/>
  <c r="H47" i="29" s="1"/>
  <c r="AR47" i="29"/>
  <c r="AQ47" i="29"/>
  <c r="AP47" i="29"/>
  <c r="AO47" i="29"/>
  <c r="G47" i="29" s="1"/>
  <c r="AN47" i="29"/>
  <c r="AM47" i="29"/>
  <c r="AL47" i="29"/>
  <c r="AK47" i="29"/>
  <c r="F47" i="29" s="1"/>
  <c r="AJ47" i="29"/>
  <c r="AI47" i="29"/>
  <c r="AH47" i="29"/>
  <c r="AG47" i="29"/>
  <c r="E47" i="29" s="1"/>
  <c r="AF47" i="29"/>
  <c r="AE47" i="29"/>
  <c r="AD47" i="29"/>
  <c r="AC47" i="29"/>
  <c r="D47" i="29" s="1"/>
  <c r="BD46" i="29"/>
  <c r="BC46" i="29"/>
  <c r="BB46" i="29"/>
  <c r="BA46" i="29"/>
  <c r="J46" i="29" s="1"/>
  <c r="AZ46" i="29"/>
  <c r="AY46" i="29"/>
  <c r="AX46" i="29"/>
  <c r="AW46" i="29"/>
  <c r="I46" i="29" s="1"/>
  <c r="AV46" i="29"/>
  <c r="AU46" i="29"/>
  <c r="AT46" i="29"/>
  <c r="AS46" i="29"/>
  <c r="H46" i="29" s="1"/>
  <c r="AR46" i="29"/>
  <c r="AQ46" i="29"/>
  <c r="AP46" i="29"/>
  <c r="AO46" i="29"/>
  <c r="G46" i="29" s="1"/>
  <c r="AN46" i="29"/>
  <c r="AM46" i="29"/>
  <c r="AL46" i="29"/>
  <c r="AK46" i="29"/>
  <c r="F46" i="29" s="1"/>
  <c r="AJ46" i="29"/>
  <c r="AI46" i="29"/>
  <c r="AH46" i="29"/>
  <c r="AG46" i="29"/>
  <c r="E46" i="29" s="1"/>
  <c r="AF46" i="29"/>
  <c r="AE46" i="29"/>
  <c r="AD46" i="29"/>
  <c r="AC46" i="29"/>
  <c r="D46" i="29" s="1"/>
  <c r="BD45" i="29"/>
  <c r="BC45" i="29"/>
  <c r="BB45" i="29"/>
  <c r="BA45" i="29"/>
  <c r="J45" i="29" s="1"/>
  <c r="AZ45" i="29"/>
  <c r="AY45" i="29"/>
  <c r="AX45" i="29"/>
  <c r="AW45" i="29"/>
  <c r="I45" i="29" s="1"/>
  <c r="AV45" i="29"/>
  <c r="AU45" i="29"/>
  <c r="AT45" i="29"/>
  <c r="AS45" i="29"/>
  <c r="H45" i="29" s="1"/>
  <c r="AR45" i="29"/>
  <c r="AQ45" i="29"/>
  <c r="AP45" i="29"/>
  <c r="AO45" i="29"/>
  <c r="G45" i="29" s="1"/>
  <c r="AN45" i="29"/>
  <c r="AM45" i="29"/>
  <c r="AL45" i="29"/>
  <c r="AK45" i="29"/>
  <c r="F45" i="29" s="1"/>
  <c r="AJ45" i="29"/>
  <c r="AI45" i="29"/>
  <c r="AH45" i="29"/>
  <c r="AG45" i="29"/>
  <c r="E45" i="29" s="1"/>
  <c r="AF45" i="29"/>
  <c r="AE45" i="29"/>
  <c r="AD45" i="29"/>
  <c r="AC45" i="29"/>
  <c r="D45" i="29" s="1"/>
  <c r="BD44" i="29"/>
  <c r="BC44" i="29"/>
  <c r="BB44" i="29"/>
  <c r="BA44" i="29"/>
  <c r="J44" i="29" s="1"/>
  <c r="J112" i="29" s="1"/>
  <c r="AZ44" i="29"/>
  <c r="AY44" i="29"/>
  <c r="AX44" i="29"/>
  <c r="AW44" i="29"/>
  <c r="AV44" i="29"/>
  <c r="AU44" i="29"/>
  <c r="AT44" i="29"/>
  <c r="AS44" i="29"/>
  <c r="AR44" i="29"/>
  <c r="AQ44" i="29"/>
  <c r="AP44" i="29"/>
  <c r="AO44" i="29"/>
  <c r="G44" i="29" s="1"/>
  <c r="AN44" i="29"/>
  <c r="AM44" i="29"/>
  <c r="AL44" i="29"/>
  <c r="AK44" i="29"/>
  <c r="F44" i="29" s="1"/>
  <c r="F112" i="29" s="1"/>
  <c r="AJ44" i="29"/>
  <c r="AI44" i="29"/>
  <c r="AH44" i="29"/>
  <c r="AG44" i="29"/>
  <c r="AF44" i="29"/>
  <c r="AE44" i="29"/>
  <c r="AD44" i="29"/>
  <c r="AC44" i="29"/>
  <c r="BD43" i="29"/>
  <c r="BC43" i="29"/>
  <c r="BC54" i="29" s="1"/>
  <c r="BB43" i="29"/>
  <c r="BB54" i="29" s="1"/>
  <c r="BA43" i="29"/>
  <c r="BA54" i="29" s="1"/>
  <c r="AZ43" i="29"/>
  <c r="AY43" i="29"/>
  <c r="AX43" i="29"/>
  <c r="AX54" i="29" s="1"/>
  <c r="AW43" i="29"/>
  <c r="AW54" i="29" s="1"/>
  <c r="AV43" i="29"/>
  <c r="AU43" i="29"/>
  <c r="AU54" i="29" s="1"/>
  <c r="AT43" i="29"/>
  <c r="AT54" i="29" s="1"/>
  <c r="AS43" i="29"/>
  <c r="AS54" i="29" s="1"/>
  <c r="AR43" i="29"/>
  <c r="AR54" i="29" s="1"/>
  <c r="AQ43" i="29"/>
  <c r="AQ49" i="29" s="1"/>
  <c r="AP43" i="29"/>
  <c r="AP54" i="29" s="1"/>
  <c r="AO43" i="29"/>
  <c r="AO54" i="29" s="1"/>
  <c r="AN43" i="29"/>
  <c r="AN54" i="29" s="1"/>
  <c r="AM43" i="29"/>
  <c r="AM54" i="29" s="1"/>
  <c r="AL43" i="29"/>
  <c r="AL54" i="29" s="1"/>
  <c r="AK43" i="29"/>
  <c r="AK54" i="29" s="1"/>
  <c r="AJ43" i="29"/>
  <c r="AJ54" i="29" s="1"/>
  <c r="AI43" i="29"/>
  <c r="AI49" i="29" s="1"/>
  <c r="AH43" i="29"/>
  <c r="AH54" i="29" s="1"/>
  <c r="AG43" i="29"/>
  <c r="AG54" i="29" s="1"/>
  <c r="AF43" i="29"/>
  <c r="AF54" i="29" s="1"/>
  <c r="AE43" i="29"/>
  <c r="AE54" i="29" s="1"/>
  <c r="AD43" i="29"/>
  <c r="AD54" i="29" s="1"/>
  <c r="AC43" i="29"/>
  <c r="AC54" i="29" s="1"/>
  <c r="R44" i="29"/>
  <c r="Q44" i="29"/>
  <c r="Q112" i="29" s="1"/>
  <c r="P44" i="29"/>
  <c r="P112" i="29" s="1"/>
  <c r="O44" i="29"/>
  <c r="O112" i="29" s="1"/>
  <c r="N44" i="29"/>
  <c r="M44" i="29"/>
  <c r="M112" i="29" s="1"/>
  <c r="L44" i="29"/>
  <c r="L112" i="29" s="1"/>
  <c r="K44" i="29"/>
  <c r="I44" i="29"/>
  <c r="I112" i="29" s="1"/>
  <c r="H44" i="29"/>
  <c r="E44" i="29"/>
  <c r="E112" i="29" s="1"/>
  <c r="D44" i="29"/>
  <c r="R43" i="29"/>
  <c r="R111" i="29" s="1"/>
  <c r="Q43" i="29"/>
  <c r="P43" i="29"/>
  <c r="P111" i="29" s="1"/>
  <c r="O43" i="29"/>
  <c r="N43" i="29"/>
  <c r="N111" i="29" s="1"/>
  <c r="M43" i="29"/>
  <c r="M111" i="29" s="1"/>
  <c r="L43" i="29"/>
  <c r="L111" i="29" s="1"/>
  <c r="K43" i="29"/>
  <c r="K49" i="29" s="1"/>
  <c r="L107" i="29" s="1"/>
  <c r="J43" i="29"/>
  <c r="J111" i="29" s="1"/>
  <c r="I43" i="29"/>
  <c r="F43" i="29"/>
  <c r="F49" i="29" s="1"/>
  <c r="G107" i="29" s="1"/>
  <c r="BT39" i="29"/>
  <c r="BT62" i="29" s="1"/>
  <c r="BM39" i="29"/>
  <c r="BM62" i="29" s="1"/>
  <c r="BG39" i="29"/>
  <c r="BD39" i="29"/>
  <c r="BD62" i="29" s="1"/>
  <c r="BC39" i="29"/>
  <c r="BC62" i="29" s="1"/>
  <c r="BB39" i="29"/>
  <c r="BB62" i="29" s="1"/>
  <c r="BA39" i="29"/>
  <c r="BA62" i="29" s="1"/>
  <c r="AZ39" i="29"/>
  <c r="AZ62" i="29" s="1"/>
  <c r="AY39" i="29"/>
  <c r="AY62" i="29" s="1"/>
  <c r="AX39" i="29"/>
  <c r="AX62" i="29" s="1"/>
  <c r="AW39" i="29"/>
  <c r="AW62" i="29" s="1"/>
  <c r="AV39" i="29"/>
  <c r="AV62" i="29" s="1"/>
  <c r="AU39" i="29"/>
  <c r="AU62" i="29" s="1"/>
  <c r="AT39" i="29"/>
  <c r="AT62" i="29" s="1"/>
  <c r="AS39" i="29"/>
  <c r="AS62" i="29" s="1"/>
  <c r="AR39" i="29"/>
  <c r="AR62" i="29" s="1"/>
  <c r="AQ39" i="29"/>
  <c r="AQ62" i="29" s="1"/>
  <c r="AP39" i="29"/>
  <c r="AP62" i="29" s="1"/>
  <c r="AO39" i="29"/>
  <c r="AO62" i="29" s="1"/>
  <c r="AN39" i="29"/>
  <c r="AN62" i="29" s="1"/>
  <c r="AM39" i="29"/>
  <c r="AM62" i="29" s="1"/>
  <c r="AL39" i="29"/>
  <c r="AL62" i="29" s="1"/>
  <c r="AK39" i="29"/>
  <c r="AK62" i="29" s="1"/>
  <c r="AJ39" i="29"/>
  <c r="AJ62" i="29" s="1"/>
  <c r="AI39" i="29"/>
  <c r="AI62" i="29" s="1"/>
  <c r="AH39" i="29"/>
  <c r="AH62" i="29" s="1"/>
  <c r="AG39" i="29"/>
  <c r="AG62" i="29" s="1"/>
  <c r="AF39" i="29"/>
  <c r="AF62" i="29" s="1"/>
  <c r="AE39" i="29"/>
  <c r="AE62" i="29" s="1"/>
  <c r="AD39" i="29"/>
  <c r="AD62" i="29" s="1"/>
  <c r="AC39" i="29"/>
  <c r="AC62" i="29" s="1"/>
  <c r="R39" i="29"/>
  <c r="R62" i="29" s="1"/>
  <c r="Q39" i="29"/>
  <c r="P39" i="29"/>
  <c r="Q62" i="29" s="1"/>
  <c r="O39" i="29"/>
  <c r="P62" i="29" s="1"/>
  <c r="N39" i="29"/>
  <c r="O62" i="29" s="1"/>
  <c r="M39" i="29"/>
  <c r="N62" i="29" s="1"/>
  <c r="L39" i="29"/>
  <c r="M62" i="29" s="1"/>
  <c r="K39" i="29"/>
  <c r="L62" i="29" s="1"/>
  <c r="J39" i="29"/>
  <c r="K62" i="29" s="1"/>
  <c r="I39" i="29"/>
  <c r="J62" i="29" s="1"/>
  <c r="H39" i="29"/>
  <c r="G39" i="29"/>
  <c r="G62" i="29" s="1"/>
  <c r="F39" i="29"/>
  <c r="F62" i="29" s="1"/>
  <c r="E39" i="29"/>
  <c r="E62" i="29" s="1"/>
  <c r="D39" i="29"/>
  <c r="CD37" i="29"/>
  <c r="CH39" i="29"/>
  <c r="CI39" i="29" s="1"/>
  <c r="CJ39" i="29" s="1"/>
  <c r="CK39" i="29" s="1"/>
  <c r="S39" i="29" s="1"/>
  <c r="CH38" i="29"/>
  <c r="CI38" i="29" s="1"/>
  <c r="CJ38" i="29" s="1"/>
  <c r="CK38" i="29" s="1"/>
  <c r="S38" i="29" s="1"/>
  <c r="T38" i="29" s="1"/>
  <c r="U38" i="29" s="1"/>
  <c r="V38" i="29" s="1"/>
  <c r="W38" i="29" s="1"/>
  <c r="X38" i="29" s="1"/>
  <c r="BD37" i="29"/>
  <c r="BC37" i="29"/>
  <c r="BB37" i="29"/>
  <c r="BA37" i="29"/>
  <c r="J37" i="29" s="1"/>
  <c r="AZ37" i="29"/>
  <c r="AY37" i="29"/>
  <c r="AX37" i="29"/>
  <c r="AW37" i="29"/>
  <c r="I37" i="29" s="1"/>
  <c r="AV37" i="29"/>
  <c r="AU37" i="29"/>
  <c r="AT37" i="29"/>
  <c r="AS37" i="29"/>
  <c r="H37" i="29" s="1"/>
  <c r="AR37" i="29"/>
  <c r="AQ37" i="29"/>
  <c r="AP37" i="29"/>
  <c r="AO37" i="29"/>
  <c r="G37" i="29" s="1"/>
  <c r="AN37" i="29"/>
  <c r="AM37" i="29"/>
  <c r="AL37" i="29"/>
  <c r="AK37" i="29"/>
  <c r="F37" i="29" s="1"/>
  <c r="AJ37" i="29"/>
  <c r="AI37" i="29"/>
  <c r="AH37" i="29"/>
  <c r="AG37" i="29"/>
  <c r="E37" i="29" s="1"/>
  <c r="AF37" i="29"/>
  <c r="AE37" i="29"/>
  <c r="AD37" i="29"/>
  <c r="AC37" i="29"/>
  <c r="D37" i="29" s="1"/>
  <c r="BD36" i="29"/>
  <c r="BC36" i="29"/>
  <c r="BB36" i="29"/>
  <c r="BA36" i="29"/>
  <c r="J36" i="29" s="1"/>
  <c r="AZ36" i="29"/>
  <c r="AY36" i="29"/>
  <c r="AX36" i="29"/>
  <c r="AW36" i="29"/>
  <c r="AV36" i="29"/>
  <c r="AU36" i="29"/>
  <c r="AT36" i="29"/>
  <c r="AS36" i="29"/>
  <c r="H36" i="29" s="1"/>
  <c r="AR36" i="29"/>
  <c r="AQ36" i="29"/>
  <c r="AP36" i="29"/>
  <c r="AO36" i="29"/>
  <c r="G36" i="29" s="1"/>
  <c r="AN36" i="29"/>
  <c r="AM36" i="29"/>
  <c r="AL36" i="29"/>
  <c r="AK36" i="29"/>
  <c r="F36" i="29" s="1"/>
  <c r="AJ36" i="29"/>
  <c r="AI36" i="29"/>
  <c r="AH36" i="29"/>
  <c r="AG36" i="29"/>
  <c r="AF36" i="29"/>
  <c r="AE36" i="29"/>
  <c r="AD36" i="29"/>
  <c r="AC36" i="29"/>
  <c r="D36" i="29" s="1"/>
  <c r="R38" i="29"/>
  <c r="Q38" i="29"/>
  <c r="P38" i="29"/>
  <c r="O38" i="29"/>
  <c r="R37" i="29"/>
  <c r="Q37" i="29"/>
  <c r="P37" i="29"/>
  <c r="O37" i="29"/>
  <c r="R36" i="29"/>
  <c r="Q36" i="29"/>
  <c r="P36" i="29"/>
  <c r="O36" i="29"/>
  <c r="N36" i="29"/>
  <c r="M36" i="29"/>
  <c r="L36" i="29"/>
  <c r="K36" i="29"/>
  <c r="I36" i="29"/>
  <c r="E36" i="29"/>
  <c r="CE34" i="29"/>
  <c r="CE40" i="29" s="1"/>
  <c r="CA34" i="29"/>
  <c r="CA40" i="29" s="1"/>
  <c r="BE34" i="29"/>
  <c r="BE40" i="29" s="1"/>
  <c r="BE50" i="29" s="1"/>
  <c r="K33" i="29"/>
  <c r="K32" i="29"/>
  <c r="CG31" i="29"/>
  <c r="CG61" i="29" s="1"/>
  <c r="CH61" i="29" s="1"/>
  <c r="CI61" i="29" s="1"/>
  <c r="CJ61" i="29" s="1"/>
  <c r="CK61" i="29" s="1"/>
  <c r="CF31" i="29"/>
  <c r="CF61" i="29" s="1"/>
  <c r="CE31" i="29"/>
  <c r="CE61" i="29" s="1"/>
  <c r="CD31" i="29"/>
  <c r="CD61" i="29" s="1"/>
  <c r="CC31" i="29"/>
  <c r="CC61" i="29" s="1"/>
  <c r="CB31" i="29"/>
  <c r="CB61" i="29" s="1"/>
  <c r="CA31" i="29"/>
  <c r="CA61" i="29" s="1"/>
  <c r="BZ31" i="29"/>
  <c r="BZ61" i="29" s="1"/>
  <c r="BY31" i="29"/>
  <c r="BY61" i="29" s="1"/>
  <c r="BX31" i="29"/>
  <c r="BX61" i="29" s="1"/>
  <c r="BW31" i="29"/>
  <c r="BW61" i="29" s="1"/>
  <c r="BV31" i="29"/>
  <c r="BV61" i="29" s="1"/>
  <c r="BU31" i="29"/>
  <c r="BU61" i="29" s="1"/>
  <c r="BT31" i="29"/>
  <c r="BT61" i="29" s="1"/>
  <c r="BS31" i="29"/>
  <c r="BS61" i="29" s="1"/>
  <c r="BR31" i="29"/>
  <c r="BR61" i="29" s="1"/>
  <c r="BQ31" i="29"/>
  <c r="BQ61" i="29" s="1"/>
  <c r="BP31" i="29"/>
  <c r="BP61" i="29" s="1"/>
  <c r="BO31" i="29"/>
  <c r="BO61" i="29" s="1"/>
  <c r="BN31" i="29"/>
  <c r="BN61" i="29" s="1"/>
  <c r="BM31" i="29"/>
  <c r="BM61" i="29" s="1"/>
  <c r="BL31" i="29"/>
  <c r="BL61" i="29" s="1"/>
  <c r="BK31" i="29"/>
  <c r="BK61" i="29" s="1"/>
  <c r="BJ31" i="29"/>
  <c r="BJ61" i="29" s="1"/>
  <c r="BI31" i="29"/>
  <c r="BI61" i="29" s="1"/>
  <c r="BH31" i="29"/>
  <c r="BH61" i="29" s="1"/>
  <c r="BG31" i="29"/>
  <c r="BG34" i="29" s="1"/>
  <c r="BG40" i="29" s="1"/>
  <c r="CJ33" i="29"/>
  <c r="CK33" i="29" s="1"/>
  <c r="S33" i="29" s="1"/>
  <c r="CI33" i="29"/>
  <c r="CH33" i="29"/>
  <c r="CJ32" i="29"/>
  <c r="CK32" i="29" s="1"/>
  <c r="S32" i="29" s="1"/>
  <c r="T32" i="29" s="1"/>
  <c r="U32" i="29" s="1"/>
  <c r="V32" i="29" s="1"/>
  <c r="W32" i="29" s="1"/>
  <c r="X32" i="29" s="1"/>
  <c r="CI32" i="29"/>
  <c r="CH32" i="29"/>
  <c r="CJ29" i="29"/>
  <c r="CI29" i="29"/>
  <c r="CH29" i="29"/>
  <c r="BF29" i="29"/>
  <c r="BF68" i="29" s="1"/>
  <c r="BD33" i="29"/>
  <c r="BC33" i="29"/>
  <c r="BB33" i="29"/>
  <c r="BA33" i="29"/>
  <c r="J33" i="29" s="1"/>
  <c r="AZ33" i="29"/>
  <c r="AY33" i="29"/>
  <c r="AX33" i="29"/>
  <c r="AW33" i="29"/>
  <c r="I33" i="29" s="1"/>
  <c r="AV33" i="29"/>
  <c r="AU33" i="29"/>
  <c r="AT33" i="29"/>
  <c r="AS33" i="29"/>
  <c r="H33" i="29" s="1"/>
  <c r="AR33" i="29"/>
  <c r="AQ33" i="29"/>
  <c r="AP33" i="29"/>
  <c r="AO33" i="29"/>
  <c r="G33" i="29" s="1"/>
  <c r="AN33" i="29"/>
  <c r="AM33" i="29"/>
  <c r="AL33" i="29"/>
  <c r="AK33" i="29"/>
  <c r="F33" i="29" s="1"/>
  <c r="AJ33" i="29"/>
  <c r="AI33" i="29"/>
  <c r="AH33" i="29"/>
  <c r="AG33" i="29"/>
  <c r="E33" i="29" s="1"/>
  <c r="AF33" i="29"/>
  <c r="AE33" i="29"/>
  <c r="AD33" i="29"/>
  <c r="AC33" i="29"/>
  <c r="D33" i="29" s="1"/>
  <c r="BD32" i="29"/>
  <c r="BC32" i="29"/>
  <c r="BB32" i="29"/>
  <c r="BA32" i="29"/>
  <c r="J32" i="29" s="1"/>
  <c r="AZ32" i="29"/>
  <c r="AY32" i="29"/>
  <c r="AX32" i="29"/>
  <c r="AW32" i="29"/>
  <c r="I32" i="29" s="1"/>
  <c r="AV32" i="29"/>
  <c r="AU32" i="29"/>
  <c r="AT32" i="29"/>
  <c r="AS32" i="29"/>
  <c r="H32" i="29" s="1"/>
  <c r="AR32" i="29"/>
  <c r="AQ32" i="29"/>
  <c r="AP32" i="29"/>
  <c r="AO32" i="29"/>
  <c r="G32" i="29" s="1"/>
  <c r="AN32" i="29"/>
  <c r="AM32" i="29"/>
  <c r="AL32" i="29"/>
  <c r="AK32" i="29"/>
  <c r="F32" i="29" s="1"/>
  <c r="AJ32" i="29"/>
  <c r="AI32" i="29"/>
  <c r="AH32" i="29"/>
  <c r="AG32" i="29"/>
  <c r="E32" i="29" s="1"/>
  <c r="AF32" i="29"/>
  <c r="AE32" i="29"/>
  <c r="AD32" i="29"/>
  <c r="AC32" i="29"/>
  <c r="D32" i="29" s="1"/>
  <c r="BD31" i="29"/>
  <c r="BD61" i="29" s="1"/>
  <c r="BC31" i="29"/>
  <c r="BC61" i="29" s="1"/>
  <c r="BB31" i="29"/>
  <c r="BB61" i="29" s="1"/>
  <c r="BA31" i="29"/>
  <c r="BA61" i="29" s="1"/>
  <c r="AZ31" i="29"/>
  <c r="AZ61" i="29" s="1"/>
  <c r="AY31" i="29"/>
  <c r="AY61" i="29" s="1"/>
  <c r="AX31" i="29"/>
  <c r="AX61" i="29" s="1"/>
  <c r="AW31" i="29"/>
  <c r="AW61" i="29" s="1"/>
  <c r="AV31" i="29"/>
  <c r="AV61" i="29" s="1"/>
  <c r="AU31" i="29"/>
  <c r="AU61" i="29" s="1"/>
  <c r="AT31" i="29"/>
  <c r="AT61" i="29" s="1"/>
  <c r="AS31" i="29"/>
  <c r="AS61" i="29" s="1"/>
  <c r="AR31" i="29"/>
  <c r="AR61" i="29" s="1"/>
  <c r="AQ31" i="29"/>
  <c r="AQ61" i="29" s="1"/>
  <c r="AP31" i="29"/>
  <c r="AP61" i="29" s="1"/>
  <c r="AO31" i="29"/>
  <c r="AO61" i="29" s="1"/>
  <c r="AN31" i="29"/>
  <c r="AN61" i="29" s="1"/>
  <c r="AM31" i="29"/>
  <c r="AM61" i="29" s="1"/>
  <c r="AL31" i="29"/>
  <c r="AL61" i="29" s="1"/>
  <c r="AK31" i="29"/>
  <c r="AK61" i="29" s="1"/>
  <c r="AJ31" i="29"/>
  <c r="AJ61" i="29" s="1"/>
  <c r="AI31" i="29"/>
  <c r="AI61" i="29" s="1"/>
  <c r="AH31" i="29"/>
  <c r="AH61" i="29" s="1"/>
  <c r="AG31" i="29"/>
  <c r="AG61" i="29" s="1"/>
  <c r="AF31" i="29"/>
  <c r="AF61" i="29" s="1"/>
  <c r="AE31" i="29"/>
  <c r="AE61" i="29" s="1"/>
  <c r="AD31" i="29"/>
  <c r="AD61" i="29" s="1"/>
  <c r="AC31" i="29"/>
  <c r="AC61" i="29" s="1"/>
  <c r="BD30" i="29"/>
  <c r="BD60" i="29" s="1"/>
  <c r="BC30" i="29"/>
  <c r="BC60" i="29" s="1"/>
  <c r="BB30" i="29"/>
  <c r="BB60" i="29" s="1"/>
  <c r="BA30" i="29"/>
  <c r="BA60" i="29" s="1"/>
  <c r="AZ30" i="29"/>
  <c r="AZ60" i="29" s="1"/>
  <c r="AY30" i="29"/>
  <c r="AY60" i="29" s="1"/>
  <c r="AX30" i="29"/>
  <c r="AX60" i="29" s="1"/>
  <c r="AW30" i="29"/>
  <c r="AW60" i="29" s="1"/>
  <c r="AV30" i="29"/>
  <c r="AV60" i="29" s="1"/>
  <c r="AU30" i="29"/>
  <c r="AU60" i="29" s="1"/>
  <c r="AT30" i="29"/>
  <c r="AT60" i="29" s="1"/>
  <c r="AS30" i="29"/>
  <c r="AS60" i="29" s="1"/>
  <c r="AR30" i="29"/>
  <c r="AR60" i="29" s="1"/>
  <c r="AQ30" i="29"/>
  <c r="AQ60" i="29" s="1"/>
  <c r="AP30" i="29"/>
  <c r="AP60" i="29" s="1"/>
  <c r="AO30" i="29"/>
  <c r="AO60" i="29" s="1"/>
  <c r="AN30" i="29"/>
  <c r="AN60" i="29" s="1"/>
  <c r="AM30" i="29"/>
  <c r="AM60" i="29" s="1"/>
  <c r="AL30" i="29"/>
  <c r="AL60" i="29" s="1"/>
  <c r="AK30" i="29"/>
  <c r="AK60" i="29" s="1"/>
  <c r="AJ30" i="29"/>
  <c r="AJ60" i="29" s="1"/>
  <c r="AI30" i="29"/>
  <c r="AI60" i="29" s="1"/>
  <c r="AH30" i="29"/>
  <c r="AH60" i="29" s="1"/>
  <c r="AG30" i="29"/>
  <c r="AG60" i="29" s="1"/>
  <c r="AF30" i="29"/>
  <c r="AF60" i="29" s="1"/>
  <c r="AE30" i="29"/>
  <c r="AE60" i="29" s="1"/>
  <c r="AD30" i="29"/>
  <c r="AD60" i="29" s="1"/>
  <c r="AC30" i="29"/>
  <c r="BD29" i="29"/>
  <c r="BD68" i="29" s="1"/>
  <c r="BC29" i="29"/>
  <c r="BC68" i="29" s="1"/>
  <c r="BB29" i="29"/>
  <c r="BB68" i="29" s="1"/>
  <c r="BA29" i="29"/>
  <c r="BA68" i="29" s="1"/>
  <c r="AZ29" i="29"/>
  <c r="AZ68" i="29" s="1"/>
  <c r="AY29" i="29"/>
  <c r="AY68" i="29" s="1"/>
  <c r="AX29" i="29"/>
  <c r="AX68" i="29" s="1"/>
  <c r="AW29" i="29"/>
  <c r="AW68" i="29" s="1"/>
  <c r="AV29" i="29"/>
  <c r="AV68" i="29" s="1"/>
  <c r="AU29" i="29"/>
  <c r="AU68" i="29" s="1"/>
  <c r="AT29" i="29"/>
  <c r="AT68" i="29" s="1"/>
  <c r="AS29" i="29"/>
  <c r="AS68" i="29" s="1"/>
  <c r="AR29" i="29"/>
  <c r="AR68" i="29" s="1"/>
  <c r="AQ29" i="29"/>
  <c r="AQ68" i="29" s="1"/>
  <c r="AP29" i="29"/>
  <c r="AP68" i="29" s="1"/>
  <c r="AO29" i="29"/>
  <c r="AO68" i="29" s="1"/>
  <c r="AN29" i="29"/>
  <c r="AN68" i="29" s="1"/>
  <c r="AM29" i="29"/>
  <c r="AM68" i="29" s="1"/>
  <c r="AL29" i="29"/>
  <c r="AL68" i="29" s="1"/>
  <c r="AK29" i="29"/>
  <c r="AK68" i="29" s="1"/>
  <c r="AJ29" i="29"/>
  <c r="AI29" i="29"/>
  <c r="AI68" i="29" s="1"/>
  <c r="AH29" i="29"/>
  <c r="AH68" i="29" s="1"/>
  <c r="AG29" i="29"/>
  <c r="AG68" i="29" s="1"/>
  <c r="AF29" i="29"/>
  <c r="AE29" i="29"/>
  <c r="AE68" i="29" s="1"/>
  <c r="AD29" i="29"/>
  <c r="AD68" i="29" s="1"/>
  <c r="AC29" i="29"/>
  <c r="AC68" i="29" s="1"/>
  <c r="X33" i="29"/>
  <c r="T33" i="29"/>
  <c r="U33" i="29" s="1"/>
  <c r="V33" i="29" s="1"/>
  <c r="W33" i="29" s="1"/>
  <c r="R33" i="29"/>
  <c r="Q33" i="29"/>
  <c r="P33" i="29"/>
  <c r="O33" i="29"/>
  <c r="R32" i="29"/>
  <c r="Q32" i="29"/>
  <c r="P32" i="29"/>
  <c r="O32" i="29"/>
  <c r="R31" i="29"/>
  <c r="R61" i="29" s="1"/>
  <c r="Q31" i="29"/>
  <c r="P31" i="29"/>
  <c r="Q61" i="29" s="1"/>
  <c r="O31" i="29"/>
  <c r="P61" i="29" s="1"/>
  <c r="R30" i="29"/>
  <c r="R60" i="29" s="1"/>
  <c r="Q30" i="29"/>
  <c r="Q60" i="29" s="1"/>
  <c r="P30" i="29"/>
  <c r="P60" i="29" s="1"/>
  <c r="O30" i="29"/>
  <c r="O60" i="29" s="1"/>
  <c r="R29" i="29"/>
  <c r="Q29" i="29"/>
  <c r="Q68" i="29" s="1"/>
  <c r="P29" i="29"/>
  <c r="O29" i="29"/>
  <c r="N31" i="29"/>
  <c r="O61" i="29" s="1"/>
  <c r="M31" i="29"/>
  <c r="N61" i="29" s="1"/>
  <c r="L31" i="29"/>
  <c r="M61" i="29" s="1"/>
  <c r="K31" i="29"/>
  <c r="L61" i="29" s="1"/>
  <c r="J31" i="29"/>
  <c r="K61" i="29" s="1"/>
  <c r="I31" i="29"/>
  <c r="J61" i="29" s="1"/>
  <c r="H31" i="29"/>
  <c r="G31" i="29"/>
  <c r="G61" i="29" s="1"/>
  <c r="F31" i="29"/>
  <c r="F61" i="29" s="1"/>
  <c r="E31" i="29"/>
  <c r="E61" i="29" s="1"/>
  <c r="D31" i="29"/>
  <c r="N30" i="29"/>
  <c r="N60" i="29" s="1"/>
  <c r="M30" i="29"/>
  <c r="M60" i="29" s="1"/>
  <c r="L30" i="29"/>
  <c r="L60" i="29" s="1"/>
  <c r="K30" i="29"/>
  <c r="K60" i="29" s="1"/>
  <c r="J30" i="29"/>
  <c r="J60" i="29" s="1"/>
  <c r="I30" i="29"/>
  <c r="I60" i="29" s="1"/>
  <c r="H30" i="29"/>
  <c r="H60" i="29" s="1"/>
  <c r="G30" i="29"/>
  <c r="G60" i="29" s="1"/>
  <c r="F30" i="29"/>
  <c r="F60" i="29" s="1"/>
  <c r="E30" i="29"/>
  <c r="E60" i="29" s="1"/>
  <c r="D30" i="29"/>
  <c r="N29" i="29"/>
  <c r="M29" i="29"/>
  <c r="L29" i="29"/>
  <c r="K29" i="29"/>
  <c r="J29" i="29"/>
  <c r="I29" i="29"/>
  <c r="H29" i="29"/>
  <c r="G29" i="29"/>
  <c r="F29" i="29"/>
  <c r="E29" i="29"/>
  <c r="D29" i="29"/>
  <c r="BU26" i="29"/>
  <c r="BQ26" i="29"/>
  <c r="BI26" i="29"/>
  <c r="S25" i="29"/>
  <c r="R25" i="29"/>
  <c r="Q25" i="29"/>
  <c r="CH24" i="29"/>
  <c r="CI24" i="29" s="1"/>
  <c r="CJ24" i="29" s="1"/>
  <c r="CK24" i="29" s="1"/>
  <c r="S24" i="29" s="1"/>
  <c r="CG24" i="29"/>
  <c r="CG59" i="29" s="1"/>
  <c r="CH59" i="29" s="1"/>
  <c r="CI59" i="29" s="1"/>
  <c r="CJ59" i="29" s="1"/>
  <c r="CK59" i="29" s="1"/>
  <c r="CF24" i="29"/>
  <c r="CF59" i="29" s="1"/>
  <c r="CE24" i="29"/>
  <c r="CE59" i="29" s="1"/>
  <c r="CC24" i="29"/>
  <c r="CC59" i="29" s="1"/>
  <c r="BZ24" i="29"/>
  <c r="BZ59" i="29" s="1"/>
  <c r="BW24" i="29"/>
  <c r="BW59" i="29" s="1"/>
  <c r="BT24" i="29"/>
  <c r="BT59" i="29" s="1"/>
  <c r="BP24" i="29"/>
  <c r="BP59" i="29" s="1"/>
  <c r="BM24" i="29"/>
  <c r="BM59" i="29" s="1"/>
  <c r="BI24" i="29"/>
  <c r="BI59" i="29" s="1"/>
  <c r="BH24" i="29"/>
  <c r="BH59" i="29" s="1"/>
  <c r="P24" i="29"/>
  <c r="O24" i="29"/>
  <c r="N24" i="29"/>
  <c r="L24" i="29"/>
  <c r="K24" i="29"/>
  <c r="H24" i="29"/>
  <c r="D24" i="29"/>
  <c r="S23" i="29"/>
  <c r="S22" i="29"/>
  <c r="S17" i="29"/>
  <c r="S12" i="29"/>
  <c r="K23" i="29"/>
  <c r="I23" i="29"/>
  <c r="E23" i="29"/>
  <c r="K22" i="29"/>
  <c r="I22" i="29"/>
  <c r="E22" i="29"/>
  <c r="BD24" i="29"/>
  <c r="BD59" i="29" s="1"/>
  <c r="BC24" i="29"/>
  <c r="BC59" i="29" s="1"/>
  <c r="BB24" i="29"/>
  <c r="BB59" i="29" s="1"/>
  <c r="BA24" i="29"/>
  <c r="BA59" i="29" s="1"/>
  <c r="AZ24" i="29"/>
  <c r="AZ59" i="29" s="1"/>
  <c r="AY24" i="29"/>
  <c r="AY59" i="29" s="1"/>
  <c r="AX24" i="29"/>
  <c r="AX59" i="29" s="1"/>
  <c r="AW24" i="29"/>
  <c r="AW59" i="29" s="1"/>
  <c r="AV24" i="29"/>
  <c r="AV59" i="29" s="1"/>
  <c r="AU24" i="29"/>
  <c r="AU59" i="29" s="1"/>
  <c r="AT24" i="29"/>
  <c r="AT59" i="29" s="1"/>
  <c r="AS24" i="29"/>
  <c r="AS59" i="29" s="1"/>
  <c r="AR24" i="29"/>
  <c r="AR59" i="29" s="1"/>
  <c r="AQ24" i="29"/>
  <c r="AQ59" i="29" s="1"/>
  <c r="AP24" i="29"/>
  <c r="AP59" i="29" s="1"/>
  <c r="AO24" i="29"/>
  <c r="AO59" i="29" s="1"/>
  <c r="AN24" i="29"/>
  <c r="AN59" i="29" s="1"/>
  <c r="AM24" i="29"/>
  <c r="AM59" i="29" s="1"/>
  <c r="AL24" i="29"/>
  <c r="AL59" i="29" s="1"/>
  <c r="AK24" i="29"/>
  <c r="AK59" i="29" s="1"/>
  <c r="AJ24" i="29"/>
  <c r="AJ59" i="29" s="1"/>
  <c r="AI24" i="29"/>
  <c r="AI59" i="29" s="1"/>
  <c r="AH24" i="29"/>
  <c r="AH59" i="29" s="1"/>
  <c r="AG24" i="29"/>
  <c r="AG59" i="29" s="1"/>
  <c r="AF24" i="29"/>
  <c r="AF59" i="29" s="1"/>
  <c r="AE24" i="29"/>
  <c r="AE59" i="29" s="1"/>
  <c r="AD24" i="29"/>
  <c r="AD59" i="29" s="1"/>
  <c r="AC24" i="29"/>
  <c r="BD23" i="29"/>
  <c r="BC23" i="29"/>
  <c r="BB23" i="29"/>
  <c r="BA23" i="29"/>
  <c r="J23" i="29" s="1"/>
  <c r="AZ23" i="29"/>
  <c r="AY23" i="29"/>
  <c r="AX23" i="29"/>
  <c r="AW23" i="29"/>
  <c r="AV23" i="29"/>
  <c r="AU23" i="29"/>
  <c r="AT23" i="29"/>
  <c r="AS23" i="29"/>
  <c r="H23" i="29" s="1"/>
  <c r="AR23" i="29"/>
  <c r="AQ23" i="29"/>
  <c r="AP23" i="29"/>
  <c r="AO23" i="29"/>
  <c r="G23" i="29" s="1"/>
  <c r="AN23" i="29"/>
  <c r="AM23" i="29"/>
  <c r="AL23" i="29"/>
  <c r="AK23" i="29"/>
  <c r="F23" i="29" s="1"/>
  <c r="AJ23" i="29"/>
  <c r="AI23" i="29"/>
  <c r="AH23" i="29"/>
  <c r="AG23" i="29"/>
  <c r="AF23" i="29"/>
  <c r="AE23" i="29"/>
  <c r="AD23" i="29"/>
  <c r="AC23" i="29"/>
  <c r="D23" i="29" s="1"/>
  <c r="BD22" i="29"/>
  <c r="BC22" i="29"/>
  <c r="BB22" i="29"/>
  <c r="BA22" i="29"/>
  <c r="J22" i="29" s="1"/>
  <c r="AZ22" i="29"/>
  <c r="AY22" i="29"/>
  <c r="AX22" i="29"/>
  <c r="AW22" i="29"/>
  <c r="AV22" i="29"/>
  <c r="AU22" i="29"/>
  <c r="AT22" i="29"/>
  <c r="AS22" i="29"/>
  <c r="AR22" i="29"/>
  <c r="AQ22" i="29"/>
  <c r="AP22" i="29"/>
  <c r="AO22" i="29"/>
  <c r="G22" i="29" s="1"/>
  <c r="AN22" i="29"/>
  <c r="AM22" i="29"/>
  <c r="AL22" i="29"/>
  <c r="AK22" i="29"/>
  <c r="F22" i="29" s="1"/>
  <c r="AJ22" i="29"/>
  <c r="AI22" i="29"/>
  <c r="AH22" i="29"/>
  <c r="AG22" i="29"/>
  <c r="AF22" i="29"/>
  <c r="AE22" i="29"/>
  <c r="AD22" i="29"/>
  <c r="AC22" i="29"/>
  <c r="BD21" i="29"/>
  <c r="BC21" i="29"/>
  <c r="BB21" i="29"/>
  <c r="BA21" i="29"/>
  <c r="AZ21" i="29"/>
  <c r="AY21" i="29"/>
  <c r="AX21" i="29"/>
  <c r="AW21" i="29"/>
  <c r="I21" i="29" s="1"/>
  <c r="AV21" i="29"/>
  <c r="AU21" i="29"/>
  <c r="AT21" i="29"/>
  <c r="AS21" i="29"/>
  <c r="AR21" i="29"/>
  <c r="AQ21" i="29"/>
  <c r="AP21" i="29"/>
  <c r="AO21" i="29"/>
  <c r="AN21" i="29"/>
  <c r="AM21" i="29"/>
  <c r="AL21" i="29"/>
  <c r="AK21" i="29"/>
  <c r="AJ21" i="29"/>
  <c r="AI21" i="29"/>
  <c r="AH21" i="29"/>
  <c r="AG21" i="29"/>
  <c r="E21" i="29" s="1"/>
  <c r="AF21" i="29"/>
  <c r="AE21" i="29"/>
  <c r="AD21" i="29"/>
  <c r="AC21" i="29"/>
  <c r="CG20" i="29"/>
  <c r="CG91" i="29" s="1"/>
  <c r="CG98" i="29" s="1"/>
  <c r="CF20" i="29"/>
  <c r="CF91" i="29" s="1"/>
  <c r="CE20" i="29"/>
  <c r="CE91" i="29" s="1"/>
  <c r="CD20" i="29"/>
  <c r="CD91" i="29" s="1"/>
  <c r="CD98" i="29" s="1"/>
  <c r="CC20" i="29"/>
  <c r="CC91" i="29" s="1"/>
  <c r="CC98" i="29" s="1"/>
  <c r="CB20" i="29"/>
  <c r="CB91" i="29" s="1"/>
  <c r="CA20" i="29"/>
  <c r="CA91" i="29" s="1"/>
  <c r="BZ20" i="29"/>
  <c r="BZ91" i="29" s="1"/>
  <c r="BZ98" i="29" s="1"/>
  <c r="BY20" i="29"/>
  <c r="BY91" i="29" s="1"/>
  <c r="BY98" i="29" s="1"/>
  <c r="BX20" i="29"/>
  <c r="BX91" i="29" s="1"/>
  <c r="BW20" i="29"/>
  <c r="BW91" i="29" s="1"/>
  <c r="BV20" i="29"/>
  <c r="BV91" i="29" s="1"/>
  <c r="BV98" i="29" s="1"/>
  <c r="BU20" i="29"/>
  <c r="BU91" i="29" s="1"/>
  <c r="BU98" i="29" s="1"/>
  <c r="BT20" i="29"/>
  <c r="BT91" i="29" s="1"/>
  <c r="BS20" i="29"/>
  <c r="BS91" i="29" s="1"/>
  <c r="BR20" i="29"/>
  <c r="BR91" i="29" s="1"/>
  <c r="BR98" i="29" s="1"/>
  <c r="BQ20" i="29"/>
  <c r="BQ91" i="29" s="1"/>
  <c r="BQ98" i="29" s="1"/>
  <c r="BP20" i="29"/>
  <c r="BP91" i="29" s="1"/>
  <c r="BO20" i="29"/>
  <c r="BO91" i="29" s="1"/>
  <c r="BN20" i="29"/>
  <c r="BN91" i="29" s="1"/>
  <c r="BN98" i="29" s="1"/>
  <c r="BM20" i="29"/>
  <c r="BM91" i="29" s="1"/>
  <c r="BM98" i="29" s="1"/>
  <c r="BL20" i="29"/>
  <c r="BL91" i="29" s="1"/>
  <c r="BG20" i="29"/>
  <c r="BG91" i="29" s="1"/>
  <c r="BG98" i="29" s="1"/>
  <c r="BE20" i="29"/>
  <c r="BE91" i="29" s="1"/>
  <c r="BE98" i="29" s="1"/>
  <c r="BC20" i="29"/>
  <c r="BC91" i="29" s="1"/>
  <c r="AY20" i="29"/>
  <c r="AY91" i="29" s="1"/>
  <c r="AU20" i="29"/>
  <c r="AU91" i="29" s="1"/>
  <c r="AQ20" i="29"/>
  <c r="AQ91" i="29" s="1"/>
  <c r="AM20" i="29"/>
  <c r="AM91" i="29" s="1"/>
  <c r="AI20" i="29"/>
  <c r="AI91" i="29" s="1"/>
  <c r="AE20" i="29"/>
  <c r="AE91" i="29" s="1"/>
  <c r="BF19" i="29"/>
  <c r="BF18" i="29"/>
  <c r="BF20" i="29" s="1"/>
  <c r="CH21" i="29"/>
  <c r="CH93" i="29" s="1"/>
  <c r="CH18" i="29"/>
  <c r="BH18" i="29"/>
  <c r="BD19" i="29"/>
  <c r="BC19" i="29"/>
  <c r="BB19" i="29"/>
  <c r="BA19" i="29"/>
  <c r="AZ19" i="29"/>
  <c r="AY19" i="29"/>
  <c r="AX19" i="29"/>
  <c r="AW19" i="29"/>
  <c r="AV19" i="29"/>
  <c r="AU19" i="29"/>
  <c r="AT19" i="29"/>
  <c r="AS19" i="29"/>
  <c r="AR19" i="29"/>
  <c r="AQ19" i="29"/>
  <c r="AP19" i="29"/>
  <c r="AO19" i="29"/>
  <c r="G19" i="29" s="1"/>
  <c r="AN19" i="29"/>
  <c r="AM19" i="29"/>
  <c r="AL19" i="29"/>
  <c r="AK19" i="29"/>
  <c r="AJ19" i="29"/>
  <c r="AI19" i="29"/>
  <c r="AH19" i="29"/>
  <c r="AG19" i="29"/>
  <c r="AF19" i="29"/>
  <c r="AE19" i="29"/>
  <c r="AD19" i="29"/>
  <c r="AC19" i="29"/>
  <c r="BD18" i="29"/>
  <c r="BD20" i="29" s="1"/>
  <c r="BD91" i="29" s="1"/>
  <c r="BC18" i="29"/>
  <c r="BB18" i="29"/>
  <c r="BB20" i="29" s="1"/>
  <c r="BB91" i="29" s="1"/>
  <c r="BB98" i="29" s="1"/>
  <c r="BA18" i="29"/>
  <c r="BA20" i="29" s="1"/>
  <c r="AZ18" i="29"/>
  <c r="AZ20" i="29" s="1"/>
  <c r="AZ91" i="29" s="1"/>
  <c r="AY18" i="29"/>
  <c r="AX18" i="29"/>
  <c r="AX20" i="29" s="1"/>
  <c r="AX91" i="29" s="1"/>
  <c r="AX98" i="29" s="1"/>
  <c r="AW18" i="29"/>
  <c r="AW20" i="29" s="1"/>
  <c r="AV18" i="29"/>
  <c r="AV20" i="29" s="1"/>
  <c r="AV91" i="29" s="1"/>
  <c r="AU18" i="29"/>
  <c r="AT18" i="29"/>
  <c r="AT20" i="29" s="1"/>
  <c r="AT91" i="29" s="1"/>
  <c r="AT98" i="29" s="1"/>
  <c r="AS18" i="29"/>
  <c r="AS20" i="29" s="1"/>
  <c r="AR18" i="29"/>
  <c r="AR20" i="29" s="1"/>
  <c r="AR91" i="29" s="1"/>
  <c r="AQ18" i="29"/>
  <c r="AP18" i="29"/>
  <c r="AP20" i="29" s="1"/>
  <c r="AP91" i="29" s="1"/>
  <c r="AP98" i="29" s="1"/>
  <c r="AO18" i="29"/>
  <c r="AO20" i="29" s="1"/>
  <c r="AN18" i="29"/>
  <c r="AN20" i="29" s="1"/>
  <c r="AN91" i="29" s="1"/>
  <c r="AM18" i="29"/>
  <c r="AL18" i="29"/>
  <c r="AL20" i="29" s="1"/>
  <c r="AL91" i="29" s="1"/>
  <c r="AL98" i="29" s="1"/>
  <c r="AK18" i="29"/>
  <c r="AK20" i="29" s="1"/>
  <c r="AJ18" i="29"/>
  <c r="AJ20" i="29" s="1"/>
  <c r="AJ91" i="29" s="1"/>
  <c r="AI18" i="29"/>
  <c r="AH18" i="29"/>
  <c r="AH20" i="29" s="1"/>
  <c r="AH91" i="29" s="1"/>
  <c r="AH98" i="29" s="1"/>
  <c r="AG18" i="29"/>
  <c r="AG20" i="29" s="1"/>
  <c r="AF18" i="29"/>
  <c r="AF20" i="29" s="1"/>
  <c r="AF91" i="29" s="1"/>
  <c r="AE18" i="29"/>
  <c r="AD18" i="29"/>
  <c r="AD20" i="29" s="1"/>
  <c r="AD91" i="29" s="1"/>
  <c r="AD98" i="29" s="1"/>
  <c r="AC18" i="29"/>
  <c r="AC20" i="29" s="1"/>
  <c r="R21" i="29"/>
  <c r="Q21" i="29"/>
  <c r="P21" i="29"/>
  <c r="O21" i="29"/>
  <c r="N21" i="29"/>
  <c r="M21" i="29"/>
  <c r="L21" i="29"/>
  <c r="K21" i="29"/>
  <c r="J21" i="29"/>
  <c r="H21" i="29"/>
  <c r="G21" i="29"/>
  <c r="F21" i="29"/>
  <c r="D21" i="29"/>
  <c r="R20" i="29"/>
  <c r="R91" i="29" s="1"/>
  <c r="Q20" i="29"/>
  <c r="Q91" i="29" s="1"/>
  <c r="P20" i="29"/>
  <c r="P91" i="29" s="1"/>
  <c r="O20" i="29"/>
  <c r="O91" i="29" s="1"/>
  <c r="N20" i="29"/>
  <c r="N91" i="29" s="1"/>
  <c r="M20" i="29"/>
  <c r="M91" i="29" s="1"/>
  <c r="L20" i="29"/>
  <c r="L91" i="29" s="1"/>
  <c r="L98" i="29" s="1"/>
  <c r="K20" i="29"/>
  <c r="K91" i="29" s="1"/>
  <c r="K98" i="29" s="1"/>
  <c r="R19" i="29"/>
  <c r="Q19" i="29"/>
  <c r="P19" i="29"/>
  <c r="O19" i="29"/>
  <c r="N19" i="29"/>
  <c r="M19" i="29"/>
  <c r="L19" i="29"/>
  <c r="K19" i="29"/>
  <c r="J19" i="29"/>
  <c r="I19" i="29"/>
  <c r="H19" i="29"/>
  <c r="F19" i="29"/>
  <c r="E19" i="29"/>
  <c r="D19" i="29"/>
  <c r="R18" i="29"/>
  <c r="Q18" i="29"/>
  <c r="P18" i="29"/>
  <c r="O18" i="29"/>
  <c r="N18" i="29"/>
  <c r="M18" i="29"/>
  <c r="L18" i="29"/>
  <c r="K18" i="29"/>
  <c r="I18" i="29"/>
  <c r="H18" i="29"/>
  <c r="G18" i="29"/>
  <c r="E18" i="29"/>
  <c r="D18" i="29"/>
  <c r="BU16" i="29"/>
  <c r="BS16" i="29"/>
  <c r="BS26" i="29" s="1"/>
  <c r="BR16" i="29"/>
  <c r="BR26" i="29" s="1"/>
  <c r="BQ16" i="29"/>
  <c r="BO16" i="29"/>
  <c r="BL16" i="29"/>
  <c r="BK16" i="29"/>
  <c r="BJ16" i="29"/>
  <c r="BJ26" i="29" s="1"/>
  <c r="BI16" i="29"/>
  <c r="BG16" i="29"/>
  <c r="BG64" i="29" s="1"/>
  <c r="BZ15" i="29"/>
  <c r="BZ58" i="29" s="1"/>
  <c r="BS15" i="29"/>
  <c r="BS58" i="29" s="1"/>
  <c r="BP15" i="29"/>
  <c r="BP58" i="29" s="1"/>
  <c r="BO15" i="29"/>
  <c r="BO58" i="29" s="1"/>
  <c r="BN15" i="29"/>
  <c r="BN58" i="29" s="1"/>
  <c r="BG15" i="29"/>
  <c r="BF15" i="29"/>
  <c r="BF58" i="29" s="1"/>
  <c r="BD15" i="29"/>
  <c r="BD58" i="29" s="1"/>
  <c r="BC15" i="29"/>
  <c r="BC58" i="29" s="1"/>
  <c r="BB15" i="29"/>
  <c r="BB58" i="29" s="1"/>
  <c r="BA15" i="29"/>
  <c r="BA58" i="29" s="1"/>
  <c r="AZ15" i="29"/>
  <c r="AZ58" i="29" s="1"/>
  <c r="AY15" i="29"/>
  <c r="AY58" i="29" s="1"/>
  <c r="AX15" i="29"/>
  <c r="AX58" i="29" s="1"/>
  <c r="AW15" i="29"/>
  <c r="AW58" i="29" s="1"/>
  <c r="AV15" i="29"/>
  <c r="AV58" i="29" s="1"/>
  <c r="AU15" i="29"/>
  <c r="AU58" i="29" s="1"/>
  <c r="AT15" i="29"/>
  <c r="AT58" i="29" s="1"/>
  <c r="AS15" i="29"/>
  <c r="AS58" i="29" s="1"/>
  <c r="AR15" i="29"/>
  <c r="AR58" i="29" s="1"/>
  <c r="AQ15" i="29"/>
  <c r="AQ58" i="29" s="1"/>
  <c r="AP15" i="29"/>
  <c r="AP58" i="29" s="1"/>
  <c r="AO15" i="29"/>
  <c r="AO58" i="29" s="1"/>
  <c r="AN15" i="29"/>
  <c r="AN58" i="29" s="1"/>
  <c r="AM15" i="29"/>
  <c r="AM58" i="29" s="1"/>
  <c r="AL15" i="29"/>
  <c r="AL58" i="29" s="1"/>
  <c r="AK15" i="29"/>
  <c r="AK58" i="29" s="1"/>
  <c r="AJ15" i="29"/>
  <c r="AJ58" i="29" s="1"/>
  <c r="AI15" i="29"/>
  <c r="AI58" i="29" s="1"/>
  <c r="AH15" i="29"/>
  <c r="AH58" i="29" s="1"/>
  <c r="AG15" i="29"/>
  <c r="AG58" i="29" s="1"/>
  <c r="AF15" i="29"/>
  <c r="AF58" i="29" s="1"/>
  <c r="AE15" i="29"/>
  <c r="AE58" i="29" s="1"/>
  <c r="AD15" i="29"/>
  <c r="AD58" i="29" s="1"/>
  <c r="AC15" i="29"/>
  <c r="CA14" i="29"/>
  <c r="CB14" i="29" s="1"/>
  <c r="BY14" i="29"/>
  <c r="BY15" i="29" s="1"/>
  <c r="BH14" i="29"/>
  <c r="BH16" i="29" s="1"/>
  <c r="BF14" i="29"/>
  <c r="BE14" i="29"/>
  <c r="BE15" i="29" s="1"/>
  <c r="BD14" i="29"/>
  <c r="BC14" i="29"/>
  <c r="BB14" i="29"/>
  <c r="BA14" i="29"/>
  <c r="J14" i="29" s="1"/>
  <c r="AZ14" i="29"/>
  <c r="AY14" i="29"/>
  <c r="AX14" i="29"/>
  <c r="AW14" i="29"/>
  <c r="I14" i="29" s="1"/>
  <c r="AV14" i="29"/>
  <c r="AU14" i="29"/>
  <c r="AT14" i="29"/>
  <c r="AS14" i="29"/>
  <c r="H14" i="29" s="1"/>
  <c r="AR14" i="29"/>
  <c r="AQ14" i="29"/>
  <c r="AP14" i="29"/>
  <c r="AO14" i="29"/>
  <c r="AN14" i="29"/>
  <c r="AM14" i="29"/>
  <c r="AL14" i="29"/>
  <c r="AK14" i="29"/>
  <c r="F14" i="29" s="1"/>
  <c r="AJ14" i="29"/>
  <c r="AI14" i="29"/>
  <c r="AH14" i="29"/>
  <c r="AG14" i="29"/>
  <c r="E14" i="29" s="1"/>
  <c r="AF14" i="29"/>
  <c r="AE14" i="29"/>
  <c r="AD14" i="29"/>
  <c r="AC14" i="29"/>
  <c r="D14" i="29" s="1"/>
  <c r="BM13" i="29"/>
  <c r="BD13" i="29"/>
  <c r="BD57" i="29" s="1"/>
  <c r="BC13" i="29"/>
  <c r="BC57" i="29" s="1"/>
  <c r="BB13" i="29"/>
  <c r="BB57" i="29" s="1"/>
  <c r="BA13" i="29"/>
  <c r="BA57" i="29" s="1"/>
  <c r="AZ13" i="29"/>
  <c r="AZ57" i="29" s="1"/>
  <c r="AY13" i="29"/>
  <c r="AY57" i="29" s="1"/>
  <c r="AX13" i="29"/>
  <c r="AX57" i="29" s="1"/>
  <c r="AW13" i="29"/>
  <c r="AW57" i="29" s="1"/>
  <c r="AV13" i="29"/>
  <c r="AV57" i="29" s="1"/>
  <c r="AU13" i="29"/>
  <c r="AU57" i="29" s="1"/>
  <c r="AT13" i="29"/>
  <c r="AT57" i="29" s="1"/>
  <c r="AS13" i="29"/>
  <c r="AS57" i="29" s="1"/>
  <c r="AR13" i="29"/>
  <c r="AR57" i="29" s="1"/>
  <c r="AQ13" i="29"/>
  <c r="AQ57" i="29" s="1"/>
  <c r="AP13" i="29"/>
  <c r="AP57" i="29" s="1"/>
  <c r="AO13" i="29"/>
  <c r="AO57" i="29" s="1"/>
  <c r="AN13" i="29"/>
  <c r="AN57" i="29" s="1"/>
  <c r="AM13" i="29"/>
  <c r="AM57" i="29" s="1"/>
  <c r="AL13" i="29"/>
  <c r="AL57" i="29" s="1"/>
  <c r="AK13" i="29"/>
  <c r="AK57" i="29" s="1"/>
  <c r="AJ13" i="29"/>
  <c r="AJ57" i="29" s="1"/>
  <c r="AI13" i="29"/>
  <c r="AI57" i="29" s="1"/>
  <c r="AH13" i="29"/>
  <c r="AH57" i="29" s="1"/>
  <c r="AG13" i="29"/>
  <c r="AG57" i="29" s="1"/>
  <c r="AF13" i="29"/>
  <c r="AF57" i="29" s="1"/>
  <c r="AE13" i="29"/>
  <c r="AE57" i="29" s="1"/>
  <c r="AD13" i="29"/>
  <c r="AD57" i="29" s="1"/>
  <c r="AC13" i="29"/>
  <c r="O15" i="29"/>
  <c r="O58" i="29" s="1"/>
  <c r="N15" i="29"/>
  <c r="N58" i="29" s="1"/>
  <c r="M15" i="29"/>
  <c r="M58" i="29" s="1"/>
  <c r="L15" i="29"/>
  <c r="L58" i="29" s="1"/>
  <c r="J15" i="29"/>
  <c r="J58" i="29" s="1"/>
  <c r="I15" i="29"/>
  <c r="I58" i="29" s="1"/>
  <c r="H15" i="29"/>
  <c r="H58" i="29" s="1"/>
  <c r="G15" i="29"/>
  <c r="G58" i="29" s="1"/>
  <c r="F15" i="29"/>
  <c r="F58" i="29" s="1"/>
  <c r="E15" i="29"/>
  <c r="E58" i="29" s="1"/>
  <c r="D15" i="29"/>
  <c r="P14" i="29"/>
  <c r="O14" i="29"/>
  <c r="N14" i="29"/>
  <c r="M14" i="29"/>
  <c r="L14" i="29"/>
  <c r="K14" i="29"/>
  <c r="G14" i="29"/>
  <c r="R13" i="29"/>
  <c r="Q13" i="29"/>
  <c r="P13" i="29"/>
  <c r="O13" i="29"/>
  <c r="N13" i="29"/>
  <c r="M13" i="29"/>
  <c r="L13" i="29"/>
  <c r="K13" i="29"/>
  <c r="J13" i="29"/>
  <c r="I13" i="29"/>
  <c r="I57" i="29" s="1"/>
  <c r="H13" i="29"/>
  <c r="G13" i="29"/>
  <c r="F13" i="29"/>
  <c r="E13" i="29"/>
  <c r="D13" i="29"/>
  <c r="BE12" i="29"/>
  <c r="BE16" i="29" s="1"/>
  <c r="BD12" i="29"/>
  <c r="BC12" i="29"/>
  <c r="BB12" i="29"/>
  <c r="BA12" i="29"/>
  <c r="AZ12" i="29"/>
  <c r="AY12" i="29"/>
  <c r="AX12" i="29"/>
  <c r="AW12" i="29"/>
  <c r="AV12" i="29"/>
  <c r="AU12" i="29"/>
  <c r="AT12" i="29"/>
  <c r="AS12" i="29"/>
  <c r="AR12" i="29"/>
  <c r="AQ12" i="29"/>
  <c r="AP12" i="29"/>
  <c r="AO12" i="29"/>
  <c r="AN12" i="29"/>
  <c r="AM12" i="29"/>
  <c r="AL12" i="29"/>
  <c r="AK12" i="29"/>
  <c r="AJ12" i="29"/>
  <c r="AI12" i="29"/>
  <c r="AH12" i="29"/>
  <c r="AG12" i="29"/>
  <c r="AF12" i="29"/>
  <c r="AE12" i="29"/>
  <c r="AD12" i="29"/>
  <c r="AC12" i="29"/>
  <c r="K12" i="29"/>
  <c r="J12" i="29"/>
  <c r="I12" i="29"/>
  <c r="H12" i="29"/>
  <c r="G12" i="29"/>
  <c r="F12" i="29"/>
  <c r="E12" i="29"/>
  <c r="D12" i="29"/>
  <c r="BT11" i="29"/>
  <c r="BF11" i="29"/>
  <c r="AS11" i="29"/>
  <c r="AR11" i="29"/>
  <c r="AQ11" i="29"/>
  <c r="AP11" i="29"/>
  <c r="AQ84" i="29" s="1"/>
  <c r="AO11" i="29"/>
  <c r="G11" i="29" s="1"/>
  <c r="AN11" i="29"/>
  <c r="AM11" i="29"/>
  <c r="AL11" i="29"/>
  <c r="AM84" i="29" s="1"/>
  <c r="AK11" i="29"/>
  <c r="F11" i="29" s="1"/>
  <c r="AJ11" i="29"/>
  <c r="AI11" i="29"/>
  <c r="AH11" i="29"/>
  <c r="AI84" i="29" s="1"/>
  <c r="AG11" i="29"/>
  <c r="AF11" i="29"/>
  <c r="AE11" i="29"/>
  <c r="AD11" i="29"/>
  <c r="AE84" i="29" s="1"/>
  <c r="AC11" i="29"/>
  <c r="O11" i="29"/>
  <c r="O16" i="29" s="1"/>
  <c r="N11" i="29"/>
  <c r="N16" i="29" s="1"/>
  <c r="M11" i="29"/>
  <c r="M16" i="29" s="1"/>
  <c r="L11" i="29"/>
  <c r="L16" i="29" s="1"/>
  <c r="K11" i="29"/>
  <c r="H11" i="29"/>
  <c r="E11" i="29"/>
  <c r="D11" i="29"/>
  <c r="BJ8" i="29"/>
  <c r="CK8" i="29"/>
  <c r="CJ8" i="29"/>
  <c r="CI8" i="29"/>
  <c r="CH8" i="29"/>
  <c r="CG8" i="29"/>
  <c r="CF8" i="29"/>
  <c r="CE8" i="29"/>
  <c r="CD8" i="29"/>
  <c r="CC8" i="29"/>
  <c r="CB8" i="29"/>
  <c r="CA8" i="29"/>
  <c r="BZ8" i="29"/>
  <c r="BY8" i="29"/>
  <c r="BX8" i="29"/>
  <c r="BW8" i="29"/>
  <c r="BV8" i="29"/>
  <c r="BU8" i="29"/>
  <c r="BT8" i="29"/>
  <c r="BS8" i="29"/>
  <c r="BR8" i="29"/>
  <c r="CK7" i="29"/>
  <c r="CJ7" i="29"/>
  <c r="CI7" i="29"/>
  <c r="CH7" i="29"/>
  <c r="CG7" i="29"/>
  <c r="CF7" i="29"/>
  <c r="CE7" i="29"/>
  <c r="CD7" i="29"/>
  <c r="CC7" i="29"/>
  <c r="CB7" i="29"/>
  <c r="CA7" i="29"/>
  <c r="BZ7" i="29"/>
  <c r="BY7" i="29"/>
  <c r="BX7" i="29"/>
  <c r="BW7" i="29"/>
  <c r="BV7" i="29"/>
  <c r="BU7" i="29"/>
  <c r="BT7" i="29"/>
  <c r="BS7" i="29"/>
  <c r="CK6" i="29"/>
  <c r="CJ6" i="29"/>
  <c r="CI6" i="29"/>
  <c r="CH6" i="29"/>
  <c r="CG6" i="29"/>
  <c r="CF6" i="29"/>
  <c r="CE6" i="29"/>
  <c r="CD6" i="29"/>
  <c r="CC6" i="29"/>
  <c r="CB6" i="29"/>
  <c r="CA6" i="29"/>
  <c r="BZ6" i="29"/>
  <c r="BY6" i="29"/>
  <c r="BX6" i="29"/>
  <c r="BW6" i="29"/>
  <c r="BV6" i="29"/>
  <c r="BU6" i="29"/>
  <c r="BT6" i="29"/>
  <c r="BS6" i="29"/>
  <c r="BE7" i="29"/>
  <c r="BD7" i="29"/>
  <c r="BC7" i="29"/>
  <c r="BB7" i="29"/>
  <c r="BA7" i="29"/>
  <c r="AZ7" i="29"/>
  <c r="AY7" i="29"/>
  <c r="AX7" i="29"/>
  <c r="AW7" i="29"/>
  <c r="AV7" i="29"/>
  <c r="AU7" i="29"/>
  <c r="AT7" i="29"/>
  <c r="AS7" i="29"/>
  <c r="AR7" i="29"/>
  <c r="AQ7" i="29"/>
  <c r="AP7" i="29"/>
  <c r="AO7" i="29"/>
  <c r="AN7" i="29"/>
  <c r="AM7" i="29"/>
  <c r="AL7" i="29"/>
  <c r="AK7" i="29"/>
  <c r="AJ7" i="29"/>
  <c r="AI7" i="29"/>
  <c r="AH7" i="29"/>
  <c r="AG7" i="29"/>
  <c r="BE6" i="29"/>
  <c r="BD6" i="29"/>
  <c r="BC6" i="29"/>
  <c r="BB6" i="29"/>
  <c r="BA6" i="29"/>
  <c r="AZ6" i="29"/>
  <c r="AY6" i="29"/>
  <c r="AX6" i="29"/>
  <c r="AW6" i="29"/>
  <c r="AV6" i="29"/>
  <c r="AU6" i="29"/>
  <c r="AT6" i="29"/>
  <c r="AS6" i="29"/>
  <c r="AR6" i="29"/>
  <c r="AQ6" i="29"/>
  <c r="AP6" i="29"/>
  <c r="AO6" i="29"/>
  <c r="AN6" i="29"/>
  <c r="AM6" i="29"/>
  <c r="AL6" i="29"/>
  <c r="AK6" i="29"/>
  <c r="AJ6" i="29"/>
  <c r="AI6" i="29"/>
  <c r="AH6" i="29"/>
  <c r="AG6" i="29"/>
  <c r="AF6" i="29"/>
  <c r="AE6" i="29"/>
  <c r="AD6" i="29"/>
  <c r="AC6" i="29"/>
  <c r="X8" i="29"/>
  <c r="W8" i="29"/>
  <c r="V8" i="29"/>
  <c r="U8" i="29"/>
  <c r="T8" i="29"/>
  <c r="S8" i="29"/>
  <c r="R8" i="29"/>
  <c r="Q8" i="29"/>
  <c r="P8" i="29"/>
  <c r="O8" i="29"/>
  <c r="N8" i="29"/>
  <c r="M8" i="29"/>
  <c r="L8" i="29"/>
  <c r="K7" i="29"/>
  <c r="J7" i="29"/>
  <c r="E7" i="29"/>
  <c r="K6" i="29"/>
  <c r="J6" i="29"/>
  <c r="I6" i="29"/>
  <c r="S131" i="28"/>
  <c r="M131" i="28"/>
  <c r="CH126" i="28"/>
  <c r="CG126" i="28"/>
  <c r="CF126" i="28"/>
  <c r="CE126" i="28"/>
  <c r="CD126" i="28"/>
  <c r="CC126" i="28"/>
  <c r="CB126" i="28"/>
  <c r="CA126" i="28"/>
  <c r="BZ126" i="28"/>
  <c r="BY126" i="28"/>
  <c r="BX126" i="28"/>
  <c r="BW126" i="28"/>
  <c r="BV126" i="28"/>
  <c r="BU126" i="28"/>
  <c r="BT126" i="28"/>
  <c r="BS126" i="28"/>
  <c r="BR126" i="28"/>
  <c r="BQ126" i="28"/>
  <c r="BP126" i="28"/>
  <c r="BO126" i="28"/>
  <c r="BN126" i="28"/>
  <c r="BM126" i="28"/>
  <c r="BL126" i="28"/>
  <c r="BK126" i="28"/>
  <c r="CH122" i="28"/>
  <c r="CD122" i="28"/>
  <c r="BZ122" i="28"/>
  <c r="BW121" i="28"/>
  <c r="BR121" i="28"/>
  <c r="BV122" i="28" s="1"/>
  <c r="BQ121" i="28"/>
  <c r="BR120" i="28" s="1"/>
  <c r="BP121" i="28"/>
  <c r="BO121" i="28"/>
  <c r="BP120" i="28" s="1"/>
  <c r="N120" i="28" s="1"/>
  <c r="BQ120" i="28"/>
  <c r="BO120" i="28"/>
  <c r="F121" i="28"/>
  <c r="E121" i="28"/>
  <c r="F120" i="28"/>
  <c r="E120" i="28"/>
  <c r="BN117" i="28"/>
  <c r="AL108" i="45" s="1"/>
  <c r="BM117" i="28"/>
  <c r="AK108" i="45" s="1"/>
  <c r="BL117" i="28"/>
  <c r="AJ108" i="45" s="1"/>
  <c r="BK117" i="28"/>
  <c r="AI108" i="45" s="1"/>
  <c r="AX117" i="28"/>
  <c r="AW117" i="28"/>
  <c r="AV117" i="28"/>
  <c r="AU117" i="28"/>
  <c r="AT117" i="28"/>
  <c r="AS117" i="28"/>
  <c r="AR117" i="28"/>
  <c r="AQ117" i="28"/>
  <c r="AP117" i="28"/>
  <c r="AO117" i="28"/>
  <c r="AN117" i="28"/>
  <c r="AM117" i="28"/>
  <c r="AL117" i="28"/>
  <c r="AK117" i="28"/>
  <c r="AJ117" i="28"/>
  <c r="AI117" i="28"/>
  <c r="F117" i="28" s="1"/>
  <c r="AH117" i="28"/>
  <c r="AG117" i="28"/>
  <c r="AF117" i="28"/>
  <c r="AE117" i="28"/>
  <c r="AD117" i="28"/>
  <c r="O122" i="28"/>
  <c r="K122" i="28"/>
  <c r="G122" i="28"/>
  <c r="R121" i="28"/>
  <c r="R122" i="28" s="1"/>
  <c r="Q121" i="28"/>
  <c r="Q122" i="28" s="1"/>
  <c r="P121" i="28"/>
  <c r="P122" i="28" s="1"/>
  <c r="O121" i="28"/>
  <c r="N121" i="28"/>
  <c r="N122" i="28" s="1"/>
  <c r="M121" i="28"/>
  <c r="M122" i="28" s="1"/>
  <c r="L121" i="28"/>
  <c r="L122" i="28" s="1"/>
  <c r="K121" i="28"/>
  <c r="J121" i="28"/>
  <c r="J122" i="28" s="1"/>
  <c r="I121" i="28"/>
  <c r="I122" i="28" s="1"/>
  <c r="H121" i="28"/>
  <c r="H122" i="28" s="1"/>
  <c r="G121" i="28"/>
  <c r="X120" i="28"/>
  <c r="X108" i="28" s="1"/>
  <c r="W120" i="28"/>
  <c r="V120" i="28"/>
  <c r="V108" i="28" s="1"/>
  <c r="U120" i="28"/>
  <c r="T120" i="28"/>
  <c r="T108" i="28" s="1"/>
  <c r="P120" i="28"/>
  <c r="O120" i="28"/>
  <c r="M120" i="28"/>
  <c r="L120" i="28"/>
  <c r="K120" i="28"/>
  <c r="J120" i="28"/>
  <c r="I120" i="28"/>
  <c r="H120" i="28"/>
  <c r="G120" i="28"/>
  <c r="M117" i="28"/>
  <c r="M110" i="29" s="1"/>
  <c r="I117" i="28"/>
  <c r="H117" i="28"/>
  <c r="H118" i="28" s="1"/>
  <c r="G117" i="28"/>
  <c r="E117" i="28"/>
  <c r="CH120" i="28"/>
  <c r="CG120" i="28"/>
  <c r="CF120" i="28"/>
  <c r="CE120" i="28"/>
  <c r="R120" i="28" s="1"/>
  <c r="CD120" i="28"/>
  <c r="CC120" i="28"/>
  <c r="CB120" i="28"/>
  <c r="CA120" i="28"/>
  <c r="CA121" i="28" s="1"/>
  <c r="CH117" i="28"/>
  <c r="CG117" i="28"/>
  <c r="CF117" i="28"/>
  <c r="CE117" i="28"/>
  <c r="R117" i="28" s="1"/>
  <c r="R110" i="29" s="1"/>
  <c r="CD117" i="28"/>
  <c r="CC117" i="28"/>
  <c r="CB117" i="28"/>
  <c r="CA117" i="28"/>
  <c r="CH116" i="28"/>
  <c r="CG116" i="28"/>
  <c r="CF116" i="28"/>
  <c r="CE116" i="28"/>
  <c r="CD116" i="28"/>
  <c r="CC116" i="28"/>
  <c r="CB116" i="28"/>
  <c r="CA116" i="28"/>
  <c r="BZ117" i="28"/>
  <c r="AX108" i="45" s="1"/>
  <c r="BY117" i="28"/>
  <c r="AW108" i="45" s="1"/>
  <c r="BX117" i="28"/>
  <c r="AV108" i="45" s="1"/>
  <c r="BW117" i="28"/>
  <c r="AU108" i="45" s="1"/>
  <c r="AU120" i="45" s="1"/>
  <c r="BV117" i="28"/>
  <c r="BU117" i="28"/>
  <c r="AS108" i="45" s="1"/>
  <c r="BT117" i="28"/>
  <c r="AR108" i="45" s="1"/>
  <c r="BS117" i="28"/>
  <c r="AQ108" i="45" s="1"/>
  <c r="BR117" i="28"/>
  <c r="AP108" i="45" s="1"/>
  <c r="BQ117" i="28"/>
  <c r="AO108" i="45" s="1"/>
  <c r="BP117" i="28"/>
  <c r="AN108" i="45" s="1"/>
  <c r="BO117" i="28"/>
  <c r="AM108" i="45" s="1"/>
  <c r="BZ116" i="28"/>
  <c r="BY116" i="28"/>
  <c r="BX116" i="28"/>
  <c r="BW116" i="28"/>
  <c r="BV116" i="28"/>
  <c r="BU116" i="28"/>
  <c r="BT116" i="28"/>
  <c r="BS116" i="28"/>
  <c r="BR116" i="28"/>
  <c r="BQ116" i="28"/>
  <c r="BP116" i="28"/>
  <c r="BO116" i="28"/>
  <c r="BN116" i="28"/>
  <c r="BM116" i="28"/>
  <c r="BL116" i="28"/>
  <c r="BK116" i="28"/>
  <c r="BH116" i="28"/>
  <c r="BG116" i="28"/>
  <c r="BD116" i="28"/>
  <c r="BC116" i="28"/>
  <c r="O116" i="28"/>
  <c r="CL120" i="28"/>
  <c r="CL108" i="28" s="1"/>
  <c r="CK120" i="28"/>
  <c r="CJ120" i="28"/>
  <c r="CJ108" i="28" s="1"/>
  <c r="CI120" i="28"/>
  <c r="CI108" i="28" s="1"/>
  <c r="CI115" i="28"/>
  <c r="BE115" i="28"/>
  <c r="AU115" i="28"/>
  <c r="AQ115" i="28"/>
  <c r="AM115" i="28"/>
  <c r="AI115" i="28"/>
  <c r="AE115" i="28"/>
  <c r="R115" i="28"/>
  <c r="R116" i="28" s="1"/>
  <c r="Q115" i="28"/>
  <c r="P115" i="28"/>
  <c r="O115" i="28"/>
  <c r="P116" i="28" s="1"/>
  <c r="N115" i="28"/>
  <c r="N116" i="28" s="1"/>
  <c r="M115" i="28"/>
  <c r="L115" i="28"/>
  <c r="BR111" i="28"/>
  <c r="BQ111" i="28"/>
  <c r="BP111" i="28"/>
  <c r="BO111" i="28"/>
  <c r="BN111" i="28"/>
  <c r="BM111" i="28"/>
  <c r="BL111" i="28"/>
  <c r="BK111" i="28"/>
  <c r="BJ111" i="28"/>
  <c r="BI111" i="28"/>
  <c r="BF111" i="28"/>
  <c r="AX111" i="28"/>
  <c r="AH111" i="28"/>
  <c r="CH112" i="28"/>
  <c r="CG112" i="28"/>
  <c r="CF112" i="28"/>
  <c r="CE112" i="28"/>
  <c r="CD112" i="28"/>
  <c r="CC112" i="28"/>
  <c r="CB112" i="28"/>
  <c r="CA112" i="28"/>
  <c r="BZ112" i="28"/>
  <c r="BY112" i="28"/>
  <c r="BX112" i="28"/>
  <c r="BW112" i="28"/>
  <c r="BV112" i="28"/>
  <c r="BU112" i="28"/>
  <c r="BT112" i="28"/>
  <c r="CH111" i="28"/>
  <c r="CG111" i="28"/>
  <c r="CF111" i="28"/>
  <c r="CE111" i="28"/>
  <c r="CD111" i="28"/>
  <c r="CC111" i="28"/>
  <c r="CB111" i="28"/>
  <c r="CA111" i="28"/>
  <c r="BZ111" i="28"/>
  <c r="BY111" i="28"/>
  <c r="BX111" i="28"/>
  <c r="BW111" i="28"/>
  <c r="BV111" i="28"/>
  <c r="BU111" i="28"/>
  <c r="BT111" i="28"/>
  <c r="BS111" i="28"/>
  <c r="CH110" i="28"/>
  <c r="CG110" i="28"/>
  <c r="CF110" i="28"/>
  <c r="CE110" i="28"/>
  <c r="CD110" i="28"/>
  <c r="CC110" i="28"/>
  <c r="CB110" i="28"/>
  <c r="CA110" i="28"/>
  <c r="BZ110" i="28"/>
  <c r="BY110" i="28"/>
  <c r="BX110" i="28"/>
  <c r="BW110" i="28"/>
  <c r="BV110" i="28"/>
  <c r="BU110" i="28"/>
  <c r="BT110" i="28"/>
  <c r="BS110" i="28"/>
  <c r="BR110" i="28"/>
  <c r="BQ110" i="28"/>
  <c r="BP110" i="28"/>
  <c r="BO110" i="28"/>
  <c r="BN110" i="28"/>
  <c r="BM110" i="28"/>
  <c r="BL110" i="28"/>
  <c r="BJ110" i="28"/>
  <c r="BB110" i="28"/>
  <c r="AL110" i="28"/>
  <c r="N110" i="28"/>
  <c r="BG109" i="28"/>
  <c r="BF109" i="28"/>
  <c r="BE109" i="28"/>
  <c r="BE111" i="28" s="1"/>
  <c r="BD109" i="28"/>
  <c r="BD111" i="28" s="1"/>
  <c r="BB109" i="28"/>
  <c r="BA109" i="28"/>
  <c r="BA111" i="28" s="1"/>
  <c r="AZ109" i="28"/>
  <c r="AZ111" i="28" s="1"/>
  <c r="AY109" i="28"/>
  <c r="AX109" i="28"/>
  <c r="AX108" i="28" s="1"/>
  <c r="AW109" i="28"/>
  <c r="AW111" i="28" s="1"/>
  <c r="AV109" i="28"/>
  <c r="AV111" i="28" s="1"/>
  <c r="AU109" i="28"/>
  <c r="AT109" i="28"/>
  <c r="AT108" i="28" s="1"/>
  <c r="AS109" i="28"/>
  <c r="AS111" i="28" s="1"/>
  <c r="AR109" i="28"/>
  <c r="AR111" i="28" s="1"/>
  <c r="AQ109" i="28"/>
  <c r="AP109" i="28"/>
  <c r="AP108" i="28" s="1"/>
  <c r="AO109" i="28"/>
  <c r="AO111" i="28" s="1"/>
  <c r="AN109" i="28"/>
  <c r="AN111" i="28" s="1"/>
  <c r="AM109" i="28"/>
  <c r="AL109" i="28"/>
  <c r="AK109" i="28"/>
  <c r="AK111" i="28" s="1"/>
  <c r="AJ109" i="28"/>
  <c r="AJ111" i="28" s="1"/>
  <c r="AI109" i="28"/>
  <c r="AH109" i="28"/>
  <c r="AH108" i="28" s="1"/>
  <c r="AG109" i="28"/>
  <c r="AG111" i="28" s="1"/>
  <c r="AF109" i="28"/>
  <c r="AF111" i="28" s="1"/>
  <c r="AE109" i="28"/>
  <c r="AD109" i="28"/>
  <c r="I109" i="28"/>
  <c r="CH108" i="28"/>
  <c r="CG108" i="28"/>
  <c r="CF108" i="28"/>
  <c r="CE108" i="28"/>
  <c r="CD108" i="28"/>
  <c r="CC108" i="28"/>
  <c r="CB108" i="28"/>
  <c r="CA108" i="28"/>
  <c r="BZ108" i="28"/>
  <c r="BY108" i="28"/>
  <c r="BX108" i="28"/>
  <c r="BW108" i="28"/>
  <c r="BV108" i="28"/>
  <c r="BU108" i="28"/>
  <c r="BT108" i="28"/>
  <c r="BS108" i="28"/>
  <c r="BR108" i="28"/>
  <c r="BQ108" i="28"/>
  <c r="BP108" i="28"/>
  <c r="BO108" i="28"/>
  <c r="BN108" i="28"/>
  <c r="BM108" i="28"/>
  <c r="BL108" i="28"/>
  <c r="BK108" i="28"/>
  <c r="BG108" i="28"/>
  <c r="BH108" i="28" s="1"/>
  <c r="BI108" i="28" s="1"/>
  <c r="BJ108" i="28" s="1"/>
  <c r="BC108" i="28"/>
  <c r="AY108" i="28"/>
  <c r="AU108" i="28"/>
  <c r="AQ108" i="28"/>
  <c r="AM108" i="28"/>
  <c r="AI108" i="28"/>
  <c r="AE108" i="28"/>
  <c r="CH107" i="28"/>
  <c r="CG107" i="28"/>
  <c r="CF107" i="28"/>
  <c r="CE107" i="28"/>
  <c r="CD107" i="28"/>
  <c r="CC107" i="28"/>
  <c r="CB107" i="28"/>
  <c r="CA107" i="28"/>
  <c r="BZ107" i="28"/>
  <c r="BY107" i="28"/>
  <c r="BX107" i="28"/>
  <c r="BW107" i="28"/>
  <c r="BV107" i="28"/>
  <c r="BU107" i="28"/>
  <c r="BT107" i="28"/>
  <c r="BS107" i="28"/>
  <c r="BR107" i="28"/>
  <c r="BQ107" i="28"/>
  <c r="BP107" i="28"/>
  <c r="BO107" i="28"/>
  <c r="BI107" i="28"/>
  <c r="BA107" i="28"/>
  <c r="AS107" i="28"/>
  <c r="AK107" i="28"/>
  <c r="CK108" i="28"/>
  <c r="BJ106" i="28"/>
  <c r="BI106" i="28"/>
  <c r="BM107" i="28" s="1"/>
  <c r="BH106" i="28"/>
  <c r="BH107" i="28" s="1"/>
  <c r="BG106" i="28"/>
  <c r="BF106" i="28"/>
  <c r="BF126" i="28" s="1"/>
  <c r="BE106" i="28"/>
  <c r="BE107" i="28" s="1"/>
  <c r="BD106" i="28"/>
  <c r="BC106" i="28"/>
  <c r="BB106" i="28"/>
  <c r="BA106" i="28"/>
  <c r="AZ106" i="28"/>
  <c r="AZ107" i="28" s="1"/>
  <c r="AY106" i="28"/>
  <c r="AX106" i="28"/>
  <c r="AX126" i="28" s="1"/>
  <c r="AW106" i="28"/>
  <c r="AW107" i="28" s="1"/>
  <c r="AV106" i="28"/>
  <c r="I106" i="28" s="1"/>
  <c r="AU106" i="28"/>
  <c r="AU126" i="28" s="1"/>
  <c r="AT106" i="28"/>
  <c r="AT126" i="28" s="1"/>
  <c r="AS106" i="28"/>
  <c r="AR106" i="28"/>
  <c r="AR107" i="28" s="1"/>
  <c r="AQ106" i="28"/>
  <c r="AQ126" i="28" s="1"/>
  <c r="AP106" i="28"/>
  <c r="AP126" i="28" s="1"/>
  <c r="AO106" i="28"/>
  <c r="AO107" i="28" s="1"/>
  <c r="AN106" i="28"/>
  <c r="AM106" i="28"/>
  <c r="AM126" i="28" s="1"/>
  <c r="AL106" i="28"/>
  <c r="AL126" i="28" s="1"/>
  <c r="AK106" i="28"/>
  <c r="AJ106" i="28"/>
  <c r="AJ107" i="28" s="1"/>
  <c r="AI106" i="28"/>
  <c r="AI126" i="28" s="1"/>
  <c r="AH106" i="28"/>
  <c r="AH126" i="28" s="1"/>
  <c r="AG106" i="28"/>
  <c r="AF106" i="28"/>
  <c r="E106" i="28" s="1"/>
  <c r="AE106" i="28"/>
  <c r="AE126" i="28" s="1"/>
  <c r="AD106" i="28"/>
  <c r="AD126" i="28" s="1"/>
  <c r="R109" i="28"/>
  <c r="Q109" i="28"/>
  <c r="R110" i="28" s="1"/>
  <c r="P109" i="28"/>
  <c r="O109" i="28"/>
  <c r="O110" i="28" s="1"/>
  <c r="N109" i="28"/>
  <c r="W108" i="28"/>
  <c r="U108" i="28"/>
  <c r="R106" i="28"/>
  <c r="R126" i="28" s="1"/>
  <c r="Q106" i="28"/>
  <c r="Q126" i="28" s="1"/>
  <c r="P106" i="28"/>
  <c r="O106" i="28"/>
  <c r="O126" i="28" s="1"/>
  <c r="N106" i="28"/>
  <c r="N126" i="28" s="1"/>
  <c r="M106" i="28"/>
  <c r="L106" i="28"/>
  <c r="L126" i="28" s="1"/>
  <c r="F106" i="28"/>
  <c r="F126" i="28" s="1"/>
  <c r="BS103" i="28"/>
  <c r="CF102" i="28"/>
  <c r="CF101" i="28" s="1"/>
  <c r="CA102" i="28"/>
  <c r="CA101" i="28" s="1"/>
  <c r="BW102" i="28"/>
  <c r="CE101" i="28"/>
  <c r="BO102" i="28"/>
  <c r="BO101" i="28" s="1"/>
  <c r="S101" i="28"/>
  <c r="CH100" i="28"/>
  <c r="R100" i="28" s="1"/>
  <c r="S100" i="28"/>
  <c r="Q100" i="28"/>
  <c r="P100" i="28"/>
  <c r="O100" i="28"/>
  <c r="T99" i="28"/>
  <c r="R99" i="28"/>
  <c r="Q99" i="28"/>
  <c r="P99" i="28"/>
  <c r="O99" i="28"/>
  <c r="CL99" i="28"/>
  <c r="CK99" i="28"/>
  <c r="CJ99" i="28"/>
  <c r="CI99" i="28"/>
  <c r="CI102" i="28" s="1"/>
  <c r="CL98" i="28"/>
  <c r="CL102" i="28" s="1"/>
  <c r="CK98" i="28"/>
  <c r="CJ98" i="28"/>
  <c r="CJ102" i="28" s="1"/>
  <c r="CI98" i="28"/>
  <c r="CH98" i="28"/>
  <c r="BZ98" i="28"/>
  <c r="R98" i="28"/>
  <c r="Q98" i="28"/>
  <c r="O98" i="28"/>
  <c r="CG97" i="28"/>
  <c r="CF97" i="28"/>
  <c r="CE97" i="28"/>
  <c r="CD97" i="28"/>
  <c r="CC97" i="28"/>
  <c r="Q97" i="28" s="1"/>
  <c r="CB97" i="28"/>
  <c r="CA97" i="28"/>
  <c r="BZ97" i="28"/>
  <c r="BY97" i="28"/>
  <c r="BX97" i="28"/>
  <c r="BX98" i="28" s="1"/>
  <c r="BW97" i="28"/>
  <c r="BW98" i="28" s="1"/>
  <c r="BV97" i="28"/>
  <c r="BU97" i="28"/>
  <c r="BT97" i="28"/>
  <c r="BS97" i="28"/>
  <c r="BR97" i="28"/>
  <c r="BQ97" i="28"/>
  <c r="BP97" i="28"/>
  <c r="BO97" i="28"/>
  <c r="CH96" i="28"/>
  <c r="CH102" i="28" s="1"/>
  <c r="CG96" i="28"/>
  <c r="CG102" i="28" s="1"/>
  <c r="CG101" i="28" s="1"/>
  <c r="CF96" i="28"/>
  <c r="CE96" i="28"/>
  <c r="CE102" i="28" s="1"/>
  <c r="CB96" i="28"/>
  <c r="CB102" i="28" s="1"/>
  <c r="CB101" i="28" s="1"/>
  <c r="CA96" i="28"/>
  <c r="BX96" i="28"/>
  <c r="BX102" i="28" s="1"/>
  <c r="BX101" i="28" s="1"/>
  <c r="BW96" i="28"/>
  <c r="BV96" i="28"/>
  <c r="BV102" i="28" s="1"/>
  <c r="BU96" i="28"/>
  <c r="BU102" i="28" s="1"/>
  <c r="BT96" i="28"/>
  <c r="BT102" i="28" s="1"/>
  <c r="BT101" i="28" s="1"/>
  <c r="BS96" i="28"/>
  <c r="BQ96" i="28"/>
  <c r="BQ102" i="28" s="1"/>
  <c r="BQ101" i="28" s="1"/>
  <c r="BP96" i="28"/>
  <c r="BP102" i="28" s="1"/>
  <c r="BP101" i="28" s="1"/>
  <c r="BO96" i="28"/>
  <c r="BL96" i="28"/>
  <c r="BK96" i="28"/>
  <c r="AX96" i="28"/>
  <c r="AW96" i="28"/>
  <c r="AU96" i="28"/>
  <c r="AT96" i="28"/>
  <c r="AS96" i="28"/>
  <c r="AQ96" i="28"/>
  <c r="AP96" i="28"/>
  <c r="AO96" i="28"/>
  <c r="AM96" i="28"/>
  <c r="S97" i="28"/>
  <c r="R97" i="28"/>
  <c r="O96" i="28"/>
  <c r="E86" i="28"/>
  <c r="N86" i="28"/>
  <c r="M86" i="28"/>
  <c r="L86" i="28"/>
  <c r="K86" i="28"/>
  <c r="J86" i="28"/>
  <c r="I86" i="28"/>
  <c r="H86" i="28"/>
  <c r="G86" i="28"/>
  <c r="F86" i="28"/>
  <c r="P83" i="28"/>
  <c r="Q83" i="28" s="1"/>
  <c r="R83" i="28" s="1"/>
  <c r="M83" i="28"/>
  <c r="N83" i="28" s="1"/>
  <c r="O83" i="28" s="1"/>
  <c r="L83" i="28"/>
  <c r="K83" i="28"/>
  <c r="J83" i="28"/>
  <c r="H83" i="28"/>
  <c r="G83" i="28"/>
  <c r="F83" i="28"/>
  <c r="AE83" i="28"/>
  <c r="AF83" i="28" s="1"/>
  <c r="AG83" i="28" s="1"/>
  <c r="AH83" i="28" s="1"/>
  <c r="AI83" i="28" s="1"/>
  <c r="AJ83" i="28" s="1"/>
  <c r="AK83" i="28" s="1"/>
  <c r="AL83" i="28" s="1"/>
  <c r="AM83" i="28" s="1"/>
  <c r="AN83" i="28" s="1"/>
  <c r="AO83" i="28" s="1"/>
  <c r="AP83" i="28" s="1"/>
  <c r="AQ83" i="28" s="1"/>
  <c r="AR83" i="28" s="1"/>
  <c r="AS83" i="28" s="1"/>
  <c r="AT83" i="28" s="1"/>
  <c r="AU83" i="28" s="1"/>
  <c r="AV83" i="28" s="1"/>
  <c r="AW83" i="28" s="1"/>
  <c r="AX83" i="28" s="1"/>
  <c r="AY83" i="28" s="1"/>
  <c r="AZ83" i="28" s="1"/>
  <c r="BA83" i="28" s="1"/>
  <c r="BB83" i="28" s="1"/>
  <c r="BC83" i="28" s="1"/>
  <c r="BD83" i="28" s="1"/>
  <c r="BE83" i="28" s="1"/>
  <c r="BF83" i="28" s="1"/>
  <c r="BG83" i="28" s="1"/>
  <c r="BH83" i="28" s="1"/>
  <c r="BI83" i="28" s="1"/>
  <c r="BJ83" i="28" s="1"/>
  <c r="BK83" i="28" s="1"/>
  <c r="BL83" i="28" s="1"/>
  <c r="BM83" i="28" s="1"/>
  <c r="BN83" i="28" s="1"/>
  <c r="BO83" i="28" s="1"/>
  <c r="BP83" i="28" s="1"/>
  <c r="BQ83" i="28" s="1"/>
  <c r="BR83" i="28" s="1"/>
  <c r="BS83" i="28" s="1"/>
  <c r="BT83" i="28" s="1"/>
  <c r="BU83" i="28" s="1"/>
  <c r="BV83" i="28" s="1"/>
  <c r="BW83" i="28" s="1"/>
  <c r="BX83" i="28" s="1"/>
  <c r="BY83" i="28" s="1"/>
  <c r="BZ83" i="28" s="1"/>
  <c r="CA83" i="28" s="1"/>
  <c r="CB83" i="28" s="1"/>
  <c r="CC83" i="28" s="1"/>
  <c r="CD83" i="28" s="1"/>
  <c r="CE83" i="28" s="1"/>
  <c r="CF83" i="28" s="1"/>
  <c r="CG83" i="28" s="1"/>
  <c r="CH83" i="28" s="1"/>
  <c r="AD81" i="28"/>
  <c r="BR81" i="28"/>
  <c r="BQ81" i="28"/>
  <c r="BP81" i="28"/>
  <c r="BO81" i="28"/>
  <c r="BN81" i="28"/>
  <c r="BM81" i="28"/>
  <c r="BL81" i="28"/>
  <c r="BK81" i="28"/>
  <c r="BJ81" i="28"/>
  <c r="BI81" i="28"/>
  <c r="BH81" i="28"/>
  <c r="BG81" i="28"/>
  <c r="BF81" i="28"/>
  <c r="BE81" i="28"/>
  <c r="BD81" i="28"/>
  <c r="BC81" i="28"/>
  <c r="BB81" i="28"/>
  <c r="BA81" i="28"/>
  <c r="AZ81" i="28"/>
  <c r="AY81" i="28"/>
  <c r="AX81" i="28"/>
  <c r="AW81" i="28"/>
  <c r="AV81" i="28"/>
  <c r="AU81" i="28"/>
  <c r="AT81" i="28"/>
  <c r="AS81" i="28"/>
  <c r="AR81" i="28"/>
  <c r="AQ81" i="28"/>
  <c r="AP81" i="28"/>
  <c r="AO81" i="28"/>
  <c r="AN81" i="28"/>
  <c r="AM81" i="28"/>
  <c r="AL81" i="28"/>
  <c r="AK81" i="28"/>
  <c r="AJ81" i="28"/>
  <c r="AI81" i="28"/>
  <c r="AH81" i="28"/>
  <c r="AG81" i="28"/>
  <c r="AF81" i="28"/>
  <c r="AE81" i="28"/>
  <c r="U82" i="28"/>
  <c r="V82" i="28" s="1"/>
  <c r="W82" i="28" s="1"/>
  <c r="X82" i="28" s="1"/>
  <c r="T82" i="28"/>
  <c r="R81" i="28"/>
  <c r="Q81" i="28"/>
  <c r="P81" i="28"/>
  <c r="O81" i="28"/>
  <c r="M81" i="28"/>
  <c r="I81" i="28"/>
  <c r="E81" i="28"/>
  <c r="CD77" i="28"/>
  <c r="CC77" i="28"/>
  <c r="CB77" i="28"/>
  <c r="Q77" i="28" s="1"/>
  <c r="CA77" i="28"/>
  <c r="BZ77" i="28"/>
  <c r="BY77" i="28"/>
  <c r="BX77" i="28"/>
  <c r="P77" i="28" s="1"/>
  <c r="BW77" i="28"/>
  <c r="BT77" i="28"/>
  <c r="BE77" i="28"/>
  <c r="BD77" i="28"/>
  <c r="BC77" i="28"/>
  <c r="BB77" i="28"/>
  <c r="BA77" i="28"/>
  <c r="AZ77" i="28"/>
  <c r="J77" i="28" s="1"/>
  <c r="AY77" i="28"/>
  <c r="AX77" i="28"/>
  <c r="AW77" i="28"/>
  <c r="AV77" i="28"/>
  <c r="I77" i="28" s="1"/>
  <c r="AU77" i="28"/>
  <c r="AT77" i="28"/>
  <c r="AS77" i="28"/>
  <c r="AR77" i="28"/>
  <c r="H77" i="28" s="1"/>
  <c r="AQ77" i="28"/>
  <c r="AP77" i="28"/>
  <c r="AO77" i="28"/>
  <c r="AN77" i="28"/>
  <c r="AM77" i="28"/>
  <c r="AL77" i="28"/>
  <c r="AK77" i="28"/>
  <c r="AJ77" i="28"/>
  <c r="F77" i="28" s="1"/>
  <c r="AI77" i="28"/>
  <c r="AH77" i="28"/>
  <c r="AG77" i="28"/>
  <c r="AF77" i="28"/>
  <c r="E77" i="28" s="1"/>
  <c r="AE77" i="28"/>
  <c r="AD77" i="28"/>
  <c r="BB76" i="28"/>
  <c r="BA76" i="28"/>
  <c r="AZ76" i="28"/>
  <c r="AY76" i="28"/>
  <c r="AX76" i="28"/>
  <c r="AW76" i="28"/>
  <c r="I76" i="28" s="1"/>
  <c r="AV76" i="28"/>
  <c r="AU76" i="28"/>
  <c r="AT76" i="28"/>
  <c r="AS76" i="28"/>
  <c r="AR76" i="28"/>
  <c r="H76" i="28" s="1"/>
  <c r="AQ76" i="28"/>
  <c r="AP76" i="28"/>
  <c r="AO76" i="28"/>
  <c r="G76" i="28" s="1"/>
  <c r="AN76" i="28"/>
  <c r="AM76" i="28"/>
  <c r="AL76" i="28"/>
  <c r="AK76" i="28"/>
  <c r="AJ76" i="28"/>
  <c r="AI76" i="28"/>
  <c r="AH76" i="28"/>
  <c r="AG76" i="28"/>
  <c r="AF76" i="28"/>
  <c r="E76" i="28" s="1"/>
  <c r="AE76" i="28"/>
  <c r="AD76" i="28"/>
  <c r="W77" i="28"/>
  <c r="X77" i="28" s="1"/>
  <c r="S77" i="28"/>
  <c r="T77" i="28" s="1"/>
  <c r="U77" i="28" s="1"/>
  <c r="V77" i="28" s="1"/>
  <c r="R77" i="28"/>
  <c r="O77" i="28"/>
  <c r="N77" i="28"/>
  <c r="M77" i="28"/>
  <c r="L77" i="28"/>
  <c r="K77" i="28"/>
  <c r="G77" i="28"/>
  <c r="R76" i="28"/>
  <c r="Q76" i="28"/>
  <c r="P76" i="28"/>
  <c r="O76" i="28"/>
  <c r="N76" i="28"/>
  <c r="M76" i="28"/>
  <c r="L76" i="28"/>
  <c r="K76" i="28"/>
  <c r="J76" i="28"/>
  <c r="F76" i="28"/>
  <c r="CH70" i="28"/>
  <c r="CH69" i="28"/>
  <c r="R69" i="28" s="1"/>
  <c r="R71" i="28" s="1"/>
  <c r="X69" i="28"/>
  <c r="X70" i="28" s="1"/>
  <c r="T69" i="28"/>
  <c r="CL67" i="28"/>
  <c r="CL68" i="28" s="1"/>
  <c r="CK67" i="28"/>
  <c r="CK66" i="28" s="1"/>
  <c r="CJ67" i="28"/>
  <c r="CJ68" i="28" s="1"/>
  <c r="CL66" i="28"/>
  <c r="CJ66" i="28"/>
  <c r="CH65" i="28"/>
  <c r="BV65" i="28"/>
  <c r="BU65" i="28"/>
  <c r="BT65" i="28"/>
  <c r="BS65" i="28"/>
  <c r="BR65" i="28"/>
  <c r="N65" i="28" s="1"/>
  <c r="BQ65" i="28"/>
  <c r="BP65" i="28"/>
  <c r="BO65" i="28"/>
  <c r="BN65" i="28"/>
  <c r="M65" i="28" s="1"/>
  <c r="BM65" i="28"/>
  <c r="BL65" i="28"/>
  <c r="BK65" i="28"/>
  <c r="BJ65" i="28"/>
  <c r="BI65" i="28"/>
  <c r="BH65" i="28"/>
  <c r="S65" i="28"/>
  <c r="R64" i="28"/>
  <c r="O65" i="28"/>
  <c r="L65" i="28"/>
  <c r="O64" i="28"/>
  <c r="N64" i="28"/>
  <c r="M64" i="28"/>
  <c r="L64" i="28"/>
  <c r="X64" i="28"/>
  <c r="W64" i="28"/>
  <c r="W69" i="28" s="1"/>
  <c r="W70" i="28" s="1"/>
  <c r="V64" i="28"/>
  <c r="V69" i="28" s="1"/>
  <c r="U64" i="28"/>
  <c r="U69" i="28" s="1"/>
  <c r="U70" i="28" s="1"/>
  <c r="T64" i="28"/>
  <c r="CL64" i="28"/>
  <c r="CL69" i="28" s="1"/>
  <c r="CK64" i="28"/>
  <c r="CK69" i="28" s="1"/>
  <c r="CK70" i="28" s="1"/>
  <c r="CJ64" i="28"/>
  <c r="CJ69" i="28" s="1"/>
  <c r="CF59" i="28"/>
  <c r="CE59" i="28"/>
  <c r="CD59" i="28"/>
  <c r="Q59" i="28" s="1"/>
  <c r="CC59" i="28"/>
  <c r="S59" i="28"/>
  <c r="T59" i="28" s="1"/>
  <c r="U59" i="28" s="1"/>
  <c r="V59" i="28" s="1"/>
  <c r="W59" i="28" s="1"/>
  <c r="X59" i="28" s="1"/>
  <c r="R59" i="28"/>
  <c r="CH57" i="28"/>
  <c r="S58" i="28"/>
  <c r="R58" i="28"/>
  <c r="S57" i="28"/>
  <c r="R57" i="28"/>
  <c r="Q57" i="28"/>
  <c r="Q56" i="28"/>
  <c r="CL55" i="28"/>
  <c r="CK55" i="28"/>
  <c r="CJ55" i="28"/>
  <c r="CI55" i="28"/>
  <c r="CH55" i="28"/>
  <c r="CG55" i="28"/>
  <c r="CF55" i="28"/>
  <c r="CE55" i="28"/>
  <c r="CD55" i="28"/>
  <c r="CC55" i="28"/>
  <c r="CB55" i="28"/>
  <c r="CA55" i="28"/>
  <c r="CA48" i="28"/>
  <c r="BS48" i="28"/>
  <c r="BR48" i="28"/>
  <c r="BO48" i="28"/>
  <c r="BN48" i="28"/>
  <c r="BK48" i="28"/>
  <c r="BJ48" i="28"/>
  <c r="BB48" i="28"/>
  <c r="AY48" i="28"/>
  <c r="AX48" i="28"/>
  <c r="AU48" i="28"/>
  <c r="AT48" i="28"/>
  <c r="AQ48" i="28"/>
  <c r="AP48" i="28"/>
  <c r="AM48" i="28"/>
  <c r="AL48" i="28"/>
  <c r="AI48" i="28"/>
  <c r="AH48" i="28"/>
  <c r="CE47" i="28"/>
  <c r="CE48" i="28" s="1"/>
  <c r="CA47" i="28"/>
  <c r="BZ47" i="28"/>
  <c r="BY47" i="28"/>
  <c r="BX47" i="28"/>
  <c r="BW47" i="28"/>
  <c r="BW48" i="28" s="1"/>
  <c r="BV47" i="28"/>
  <c r="BV48" i="28" s="1"/>
  <c r="BU47" i="28"/>
  <c r="BT47" i="28"/>
  <c r="BS47" i="28"/>
  <c r="BR47" i="28"/>
  <c r="BQ47" i="28"/>
  <c r="BP47" i="28"/>
  <c r="N47" i="28" s="1"/>
  <c r="BO47" i="28"/>
  <c r="BN47" i="28"/>
  <c r="BM47" i="28"/>
  <c r="BL47" i="28"/>
  <c r="BK47" i="28"/>
  <c r="BJ47" i="28"/>
  <c r="BI47" i="28"/>
  <c r="BH47" i="28"/>
  <c r="BG47" i="28"/>
  <c r="BF47" i="28"/>
  <c r="BE47" i="28"/>
  <c r="BD47" i="28"/>
  <c r="BC47" i="28"/>
  <c r="BB47" i="28"/>
  <c r="BA47" i="28"/>
  <c r="AZ47" i="28"/>
  <c r="J47" i="28" s="1"/>
  <c r="AY47" i="28"/>
  <c r="AX47" i="28"/>
  <c r="AW47" i="28"/>
  <c r="AV47" i="28"/>
  <c r="AU47" i="28"/>
  <c r="AT47" i="28"/>
  <c r="AS47" i="28"/>
  <c r="AR47" i="28"/>
  <c r="AQ47" i="28"/>
  <c r="AP47" i="28"/>
  <c r="AO47" i="28"/>
  <c r="AN47" i="28"/>
  <c r="AM47" i="28"/>
  <c r="AL47" i="28"/>
  <c r="AK47" i="28"/>
  <c r="AJ47" i="28"/>
  <c r="F47" i="28" s="1"/>
  <c r="AI47" i="28"/>
  <c r="AH47" i="28"/>
  <c r="AG47" i="28"/>
  <c r="AF47" i="28"/>
  <c r="E47" i="28" s="1"/>
  <c r="AE47" i="28"/>
  <c r="AD47" i="28"/>
  <c r="S56" i="28"/>
  <c r="T56" i="28" s="1"/>
  <c r="R56" i="28"/>
  <c r="R55" i="28" s="1"/>
  <c r="R47" i="28"/>
  <c r="R73" i="30" s="1"/>
  <c r="K47" i="28"/>
  <c r="G47" i="28"/>
  <c r="CL45" i="28"/>
  <c r="CK45" i="28"/>
  <c r="CJ45" i="28"/>
  <c r="CI45" i="28"/>
  <c r="U45" i="28"/>
  <c r="T45" i="28"/>
  <c r="BF42" i="28"/>
  <c r="BE42" i="28"/>
  <c r="BD42" i="28"/>
  <c r="BC42" i="28"/>
  <c r="BB42" i="28"/>
  <c r="AY42" i="28"/>
  <c r="AX42" i="28"/>
  <c r="AU42" i="28"/>
  <c r="AT42" i="28"/>
  <c r="AQ42" i="28"/>
  <c r="AP42" i="28"/>
  <c r="AM42" i="28"/>
  <c r="AL42" i="28"/>
  <c r="AI42" i="28"/>
  <c r="AH42" i="28"/>
  <c r="AE42" i="28"/>
  <c r="AD42" i="28"/>
  <c r="V44" i="28"/>
  <c r="W44" i="28" s="1"/>
  <c r="U43" i="28"/>
  <c r="T43" i="28"/>
  <c r="U42" i="28"/>
  <c r="T42" i="28"/>
  <c r="CH41" i="28"/>
  <c r="CG41" i="28"/>
  <c r="CF41" i="28"/>
  <c r="CE41" i="28"/>
  <c r="CC41" i="28"/>
  <c r="CB41" i="28"/>
  <c r="CA41" i="28"/>
  <c r="BW41" i="28"/>
  <c r="BV41" i="28"/>
  <c r="BU41" i="28"/>
  <c r="BT41" i="28"/>
  <c r="BS41" i="28"/>
  <c r="BR41" i="28"/>
  <c r="BQ41" i="28"/>
  <c r="BP41" i="28"/>
  <c r="BO41" i="28"/>
  <c r="BN41" i="28"/>
  <c r="BM41" i="28"/>
  <c r="BL41" i="28"/>
  <c r="BK41" i="28"/>
  <c r="CG40" i="28"/>
  <c r="CF40" i="28"/>
  <c r="CE40" i="28"/>
  <c r="CA40" i="28"/>
  <c r="BZ40" i="28"/>
  <c r="BW40" i="28"/>
  <c r="BV40" i="28"/>
  <c r="BU40" i="28"/>
  <c r="BT40" i="28"/>
  <c r="BS40" i="28"/>
  <c r="BR40" i="28"/>
  <c r="BQ40" i="28"/>
  <c r="BP40" i="28"/>
  <c r="BO40" i="28"/>
  <c r="BN40" i="28"/>
  <c r="BM40" i="28"/>
  <c r="BL40" i="28"/>
  <c r="BK40" i="28"/>
  <c r="BJ40" i="28"/>
  <c r="BI40" i="28"/>
  <c r="BH40" i="28"/>
  <c r="CD39" i="28"/>
  <c r="CD41" i="28" s="1"/>
  <c r="BZ39" i="28"/>
  <c r="BY39" i="28"/>
  <c r="BY41" i="28" s="1"/>
  <c r="BX39" i="28"/>
  <c r="BW39" i="28"/>
  <c r="AZ40" i="28"/>
  <c r="AY40" i="28"/>
  <c r="AV40" i="28"/>
  <c r="AU40" i="28"/>
  <c r="AR40" i="28"/>
  <c r="AQ40" i="28"/>
  <c r="AN40" i="28"/>
  <c r="AM40" i="28"/>
  <c r="AJ40" i="28"/>
  <c r="AI40" i="28"/>
  <c r="BB39" i="28"/>
  <c r="BB40" i="28" s="1"/>
  <c r="BA39" i="28"/>
  <c r="BA40" i="28" s="1"/>
  <c r="AZ39" i="28"/>
  <c r="AZ42" i="28" s="1"/>
  <c r="AY39" i="28"/>
  <c r="AX39" i="28"/>
  <c r="AX40" i="28" s="1"/>
  <c r="AW39" i="28"/>
  <c r="AW40" i="28" s="1"/>
  <c r="AV39" i="28"/>
  <c r="AV42" i="28" s="1"/>
  <c r="AU39" i="28"/>
  <c r="AT39" i="28"/>
  <c r="AT40" i="28" s="1"/>
  <c r="AS39" i="28"/>
  <c r="AS40" i="28" s="1"/>
  <c r="AR39" i="28"/>
  <c r="AR42" i="28" s="1"/>
  <c r="AQ39" i="28"/>
  <c r="AP39" i="28"/>
  <c r="AP40" i="28" s="1"/>
  <c r="AO39" i="28"/>
  <c r="AO40" i="28" s="1"/>
  <c r="AN39" i="28"/>
  <c r="AN42" i="28" s="1"/>
  <c r="AM39" i="28"/>
  <c r="AL39" i="28"/>
  <c r="AL40" i="28" s="1"/>
  <c r="AK39" i="28"/>
  <c r="AK40" i="28" s="1"/>
  <c r="AJ39" i="28"/>
  <c r="AJ42" i="28" s="1"/>
  <c r="AI39" i="28"/>
  <c r="AH39" i="28"/>
  <c r="AH40" i="28" s="1"/>
  <c r="AG39" i="28"/>
  <c r="E39" i="28" s="1"/>
  <c r="AF39" i="28"/>
  <c r="AF42" i="28" s="1"/>
  <c r="AE39" i="28"/>
  <c r="AD39" i="28"/>
  <c r="R39" i="28"/>
  <c r="Q39" i="28"/>
  <c r="R40" i="28" s="1"/>
  <c r="P39" i="28"/>
  <c r="Q40" i="28" s="1"/>
  <c r="O39" i="28"/>
  <c r="N39" i="28"/>
  <c r="M39" i="28"/>
  <c r="N40" i="28" s="1"/>
  <c r="L39" i="28"/>
  <c r="M40" i="28" s="1"/>
  <c r="K39" i="28"/>
  <c r="H39" i="28"/>
  <c r="CL43" i="28"/>
  <c r="CK43" i="28"/>
  <c r="CJ43" i="28"/>
  <c r="CI43" i="28"/>
  <c r="CL38" i="28"/>
  <c r="CK38" i="28"/>
  <c r="CJ38" i="28"/>
  <c r="CI38" i="28"/>
  <c r="U38" i="28"/>
  <c r="T38" i="28"/>
  <c r="BD35" i="28"/>
  <c r="BC35" i="28"/>
  <c r="AZ35" i="28"/>
  <c r="AY35" i="28"/>
  <c r="AV35" i="28"/>
  <c r="AU35" i="28"/>
  <c r="AR35" i="28"/>
  <c r="AQ35" i="28"/>
  <c r="AN35" i="28"/>
  <c r="AM35" i="28"/>
  <c r="AJ35" i="28"/>
  <c r="AI35" i="28"/>
  <c r="AF35" i="28"/>
  <c r="AE35" i="28"/>
  <c r="V37" i="28"/>
  <c r="V38" i="28" s="1"/>
  <c r="U36" i="28"/>
  <c r="T36" i="28"/>
  <c r="U35" i="28"/>
  <c r="T35" i="28"/>
  <c r="CH34" i="28"/>
  <c r="CG34" i="28"/>
  <c r="CF34" i="28"/>
  <c r="CE34" i="28"/>
  <c r="CD34" i="28"/>
  <c r="CC34" i="28"/>
  <c r="CB34" i="28"/>
  <c r="CA34" i="28"/>
  <c r="BZ34" i="28"/>
  <c r="BY34" i="28"/>
  <c r="BX34" i="28"/>
  <c r="BW34" i="28"/>
  <c r="BV34" i="28"/>
  <c r="BR34" i="28"/>
  <c r="BQ34" i="28"/>
  <c r="BP34" i="28"/>
  <c r="BO34" i="28"/>
  <c r="BN34" i="28"/>
  <c r="BM34" i="28"/>
  <c r="BL34" i="28"/>
  <c r="BI34" i="28"/>
  <c r="BH34" i="28"/>
  <c r="CH33" i="28"/>
  <c r="CG33" i="28"/>
  <c r="CF33" i="28"/>
  <c r="CE33" i="28"/>
  <c r="CD33" i="28"/>
  <c r="CC33" i="28"/>
  <c r="CB33" i="28"/>
  <c r="CA33" i="28"/>
  <c r="BZ33" i="28"/>
  <c r="BY33" i="28"/>
  <c r="BX33" i="28"/>
  <c r="BV33" i="28"/>
  <c r="BU33" i="28"/>
  <c r="BT33" i="28"/>
  <c r="BR33" i="28"/>
  <c r="BQ33" i="28"/>
  <c r="BP33" i="28"/>
  <c r="BM33" i="28"/>
  <c r="BL33" i="28"/>
  <c r="BI33" i="28"/>
  <c r="BH33" i="28"/>
  <c r="BA33" i="28"/>
  <c r="AZ33" i="28"/>
  <c r="AW33" i="28"/>
  <c r="AV33" i="28"/>
  <c r="AS33" i="28"/>
  <c r="AR33" i="28"/>
  <c r="AO33" i="28"/>
  <c r="AN33" i="28"/>
  <c r="AK33" i="28"/>
  <c r="AJ33" i="28"/>
  <c r="CL36" i="28"/>
  <c r="CK36" i="28"/>
  <c r="CJ36" i="28"/>
  <c r="CI36" i="28"/>
  <c r="BT32" i="28"/>
  <c r="BS32" i="28"/>
  <c r="O32" i="28" s="1"/>
  <c r="BP32" i="28"/>
  <c r="BO32" i="28"/>
  <c r="BK32" i="28"/>
  <c r="BK34" i="28" s="1"/>
  <c r="BJ32" i="28"/>
  <c r="BJ34" i="28" s="1"/>
  <c r="BI32" i="28"/>
  <c r="BH32" i="28"/>
  <c r="BG32" i="28"/>
  <c r="BG34" i="28" s="1"/>
  <c r="BF32" i="28"/>
  <c r="BF35" i="28" s="1"/>
  <c r="BE32" i="28"/>
  <c r="BE35" i="28" s="1"/>
  <c r="BD32" i="28"/>
  <c r="BC32" i="28"/>
  <c r="K32" i="28" s="1"/>
  <c r="BB32" i="28"/>
  <c r="BB49" i="28" s="1"/>
  <c r="BA32" i="28"/>
  <c r="AZ32" i="28"/>
  <c r="AZ49" i="28" s="1"/>
  <c r="AY32" i="28"/>
  <c r="AY49" i="28" s="1"/>
  <c r="AX32" i="28"/>
  <c r="AX49" i="28" s="1"/>
  <c r="AW32" i="28"/>
  <c r="AV32" i="28"/>
  <c r="AV49" i="28" s="1"/>
  <c r="AU32" i="28"/>
  <c r="AU49" i="28" s="1"/>
  <c r="AT32" i="28"/>
  <c r="AT49" i="28" s="1"/>
  <c r="AS32" i="28"/>
  <c r="AR32" i="28"/>
  <c r="AR49" i="28" s="1"/>
  <c r="AQ32" i="28"/>
  <c r="AQ49" i="28" s="1"/>
  <c r="AP32" i="28"/>
  <c r="AP49" i="28" s="1"/>
  <c r="AO32" i="28"/>
  <c r="AN32" i="28"/>
  <c r="AN49" i="28" s="1"/>
  <c r="AM32" i="28"/>
  <c r="AM49" i="28" s="1"/>
  <c r="AL32" i="28"/>
  <c r="AL49" i="28" s="1"/>
  <c r="AK32" i="28"/>
  <c r="AJ32" i="28"/>
  <c r="AJ49" i="28" s="1"/>
  <c r="AI32" i="28"/>
  <c r="AI49" i="28" s="1"/>
  <c r="AH32" i="28"/>
  <c r="AH49" i="28" s="1"/>
  <c r="AG32" i="28"/>
  <c r="AF32" i="28"/>
  <c r="AF49" i="28" s="1"/>
  <c r="AE32" i="28"/>
  <c r="AE49" i="28" s="1"/>
  <c r="AD32" i="28"/>
  <c r="AD49" i="28" s="1"/>
  <c r="R32" i="28"/>
  <c r="Q32" i="28"/>
  <c r="Q28" i="28" s="1"/>
  <c r="P32" i="28"/>
  <c r="N32" i="28"/>
  <c r="M32" i="28"/>
  <c r="M28" i="28" s="1"/>
  <c r="I32" i="28"/>
  <c r="E32" i="28"/>
  <c r="L31" i="28"/>
  <c r="K31" i="28"/>
  <c r="BE30" i="28"/>
  <c r="BE28" i="28"/>
  <c r="BD28" i="28"/>
  <c r="BD30" i="28" s="1"/>
  <c r="BC28" i="28"/>
  <c r="BC30" i="28" s="1"/>
  <c r="R28" i="28"/>
  <c r="R29" i="28" s="1"/>
  <c r="P28" i="28"/>
  <c r="N28" i="28"/>
  <c r="CD29" i="28"/>
  <c r="BZ29" i="28"/>
  <c r="BV29" i="28"/>
  <c r="BN29" i="28"/>
  <c r="CH28" i="28"/>
  <c r="CG28" i="28"/>
  <c r="CG49" i="28" s="1"/>
  <c r="CF28" i="28"/>
  <c r="CF49" i="28" s="1"/>
  <c r="CE28" i="28"/>
  <c r="CE49" i="28" s="1"/>
  <c r="CD28" i="28"/>
  <c r="CC28" i="28"/>
  <c r="CC29" i="28" s="1"/>
  <c r="CB28" i="28"/>
  <c r="CB29" i="28" s="1"/>
  <c r="CA28" i="28"/>
  <c r="CA49" i="28" s="1"/>
  <c r="BZ28" i="28"/>
  <c r="BY28" i="28"/>
  <c r="BY29" i="28" s="1"/>
  <c r="BX28" i="28"/>
  <c r="BX29" i="28" s="1"/>
  <c r="BW28" i="28"/>
  <c r="BV28" i="28"/>
  <c r="BU28" i="28"/>
  <c r="BU29" i="28" s="1"/>
  <c r="BT28" i="28"/>
  <c r="BT29" i="28" s="1"/>
  <c r="BS28" i="28"/>
  <c r="BR28" i="28"/>
  <c r="BQ28" i="28"/>
  <c r="BQ29" i="28" s="1"/>
  <c r="BP28" i="28"/>
  <c r="BP29" i="28" s="1"/>
  <c r="BO28" i="28"/>
  <c r="BN28" i="28"/>
  <c r="BM28" i="28"/>
  <c r="BM29" i="28" s="1"/>
  <c r="BL28" i="28"/>
  <c r="BL29" i="28" s="1"/>
  <c r="BK28" i="28"/>
  <c r="BJ28" i="28"/>
  <c r="BI28" i="28"/>
  <c r="BI29" i="28" s="1"/>
  <c r="BH28" i="28"/>
  <c r="BH29" i="28" s="1"/>
  <c r="BG28" i="28"/>
  <c r="BF27" i="28"/>
  <c r="BE27" i="28"/>
  <c r="BD27" i="28"/>
  <c r="BB27" i="28"/>
  <c r="BA27" i="28"/>
  <c r="AZ27" i="28"/>
  <c r="AY27" i="28"/>
  <c r="BB26" i="28"/>
  <c r="BA26" i="28"/>
  <c r="AZ26" i="28"/>
  <c r="AY26" i="28"/>
  <c r="AX26" i="28"/>
  <c r="AW26" i="28"/>
  <c r="AV26" i="28"/>
  <c r="AU26" i="28"/>
  <c r="AT26" i="28"/>
  <c r="AS26" i="28"/>
  <c r="AR26" i="28"/>
  <c r="AQ26" i="28"/>
  <c r="AP26" i="28"/>
  <c r="AO26" i="28"/>
  <c r="AN26" i="28"/>
  <c r="AM26" i="28"/>
  <c r="AL26" i="28"/>
  <c r="AK26" i="28"/>
  <c r="AJ26" i="28"/>
  <c r="AI26" i="28"/>
  <c r="AH26" i="28"/>
  <c r="CI25" i="28"/>
  <c r="CH25" i="28"/>
  <c r="K25" i="28"/>
  <c r="J25" i="28"/>
  <c r="I25" i="28"/>
  <c r="AQ19" i="28"/>
  <c r="J19" i="28"/>
  <c r="K17" i="28"/>
  <c r="K19" i="28" s="1"/>
  <c r="I17" i="28"/>
  <c r="I19" i="28" s="1"/>
  <c r="G17" i="28"/>
  <c r="F17" i="28"/>
  <c r="E17" i="28"/>
  <c r="AG17" i="28"/>
  <c r="AG19" i="28" s="1"/>
  <c r="AF17" i="28"/>
  <c r="AF19" i="28" s="1"/>
  <c r="AE17" i="28"/>
  <c r="AE19" i="28" s="1"/>
  <c r="AD17" i="28"/>
  <c r="AD19" i="28" s="1"/>
  <c r="J16" i="28"/>
  <c r="I14" i="28"/>
  <c r="I16" i="28" s="1"/>
  <c r="E14" i="28"/>
  <c r="AG14" i="28"/>
  <c r="AG16" i="28" s="1"/>
  <c r="AF14" i="28"/>
  <c r="AF16" i="28" s="1"/>
  <c r="AD14" i="28"/>
  <c r="AD16" i="28" s="1"/>
  <c r="J13" i="28"/>
  <c r="BM18" i="28"/>
  <c r="BE18" i="28"/>
  <c r="AS18" i="28"/>
  <c r="CL17" i="28"/>
  <c r="CK17" i="28"/>
  <c r="CJ17" i="28"/>
  <c r="CI17" i="28"/>
  <c r="CH17" i="28"/>
  <c r="CG17" i="28"/>
  <c r="CF17" i="28"/>
  <c r="CE17" i="28"/>
  <c r="CD17" i="28"/>
  <c r="CC17" i="28"/>
  <c r="CB17" i="28"/>
  <c r="CA17" i="28"/>
  <c r="BZ17" i="28"/>
  <c r="BY17" i="28"/>
  <c r="BX17" i="28"/>
  <c r="BW17" i="28"/>
  <c r="BV17" i="28"/>
  <c r="BU17" i="28"/>
  <c r="BT17" i="28"/>
  <c r="BS17" i="28"/>
  <c r="BR17" i="28"/>
  <c r="BQ17" i="28"/>
  <c r="BQ18" i="28" s="1"/>
  <c r="BP17" i="28"/>
  <c r="BO17" i="28"/>
  <c r="BN17" i="28"/>
  <c r="BM17" i="28"/>
  <c r="BL17" i="28"/>
  <c r="BK17" i="28"/>
  <c r="BK18" i="28" s="1"/>
  <c r="BJ17" i="28"/>
  <c r="BI17" i="28"/>
  <c r="BI18" i="28" s="1"/>
  <c r="BH17" i="28"/>
  <c r="BG17" i="28"/>
  <c r="BG18" i="28" s="1"/>
  <c r="BF17" i="28"/>
  <c r="BE17" i="28"/>
  <c r="BE19" i="28" s="1"/>
  <c r="BD17" i="28"/>
  <c r="BC17" i="28"/>
  <c r="BC19" i="28" s="1"/>
  <c r="BB17" i="28"/>
  <c r="BB19" i="28" s="1"/>
  <c r="BA17" i="28"/>
  <c r="BA19" i="28" s="1"/>
  <c r="AZ17" i="28"/>
  <c r="AY17" i="28"/>
  <c r="AX17" i="28"/>
  <c r="AW17" i="28"/>
  <c r="AW19" i="28" s="1"/>
  <c r="AV17" i="28"/>
  <c r="AU17" i="28"/>
  <c r="AU19" i="28" s="1"/>
  <c r="AT17" i="28"/>
  <c r="AS17" i="28"/>
  <c r="AS19" i="28" s="1"/>
  <c r="AR17" i="28"/>
  <c r="AQ17" i="28"/>
  <c r="AQ18" i="28" s="1"/>
  <c r="AP17" i="28"/>
  <c r="AO17" i="28"/>
  <c r="AO19" i="28" s="1"/>
  <c r="AN17" i="28"/>
  <c r="AM17" i="28"/>
  <c r="AM19" i="28" s="1"/>
  <c r="AL17" i="28"/>
  <c r="AL19" i="28" s="1"/>
  <c r="AK17" i="28"/>
  <c r="AK19" i="28" s="1"/>
  <c r="AJ17" i="28"/>
  <c r="AI17" i="28"/>
  <c r="AI19" i="28" s="1"/>
  <c r="AH17" i="28"/>
  <c r="BF14" i="28"/>
  <c r="BF16" i="28" s="1"/>
  <c r="BE14" i="28"/>
  <c r="BE15" i="28" s="1"/>
  <c r="BD14" i="28"/>
  <c r="BB14" i="28"/>
  <c r="BB16" i="28" s="1"/>
  <c r="BA14" i="28"/>
  <c r="AZ14" i="28"/>
  <c r="AZ16" i="28" s="1"/>
  <c r="AX14" i="28"/>
  <c r="AW14" i="28"/>
  <c r="AV14" i="28"/>
  <c r="AT14" i="28"/>
  <c r="AS14" i="28"/>
  <c r="AS16" i="28" s="1"/>
  <c r="AR14" i="28"/>
  <c r="AP14" i="28"/>
  <c r="AP16" i="28" s="1"/>
  <c r="AO14" i="28"/>
  <c r="AO16" i="28" s="1"/>
  <c r="AN14" i="28"/>
  <c r="AN16" i="28" s="1"/>
  <c r="AL14" i="28"/>
  <c r="AL16" i="28" s="1"/>
  <c r="AK14" i="28"/>
  <c r="AK15" i="28" s="1"/>
  <c r="AJ14" i="28"/>
  <c r="AJ16" i="28" s="1"/>
  <c r="AH14" i="28"/>
  <c r="BA13" i="28"/>
  <c r="AS13" i="28"/>
  <c r="AK13" i="28"/>
  <c r="BC12" i="28"/>
  <c r="AU12" i="28"/>
  <c r="BG11" i="28"/>
  <c r="BF11" i="28"/>
  <c r="BF13" i="28" s="1"/>
  <c r="BE11" i="28"/>
  <c r="BD11" i="28"/>
  <c r="BC11" i="28"/>
  <c r="BC13" i="28" s="1"/>
  <c r="BB11" i="28"/>
  <c r="BB12" i="28" s="1"/>
  <c r="BA11" i="28"/>
  <c r="AZ11" i="28"/>
  <c r="AY11" i="28"/>
  <c r="AX11" i="28"/>
  <c r="AX13" i="28" s="1"/>
  <c r="AW11" i="28"/>
  <c r="AV11" i="28"/>
  <c r="AU11" i="28"/>
  <c r="AU13" i="28" s="1"/>
  <c r="AT11" i="28"/>
  <c r="AT12" i="28" s="1"/>
  <c r="AS11" i="28"/>
  <c r="AR11" i="28"/>
  <c r="AQ11" i="28"/>
  <c r="AP11" i="28"/>
  <c r="AP13" i="28" s="1"/>
  <c r="AO11" i="28"/>
  <c r="AN11" i="28"/>
  <c r="AM11" i="28"/>
  <c r="AM13" i="28" s="1"/>
  <c r="AL11" i="28"/>
  <c r="AL12" i="28" s="1"/>
  <c r="AK11" i="28"/>
  <c r="AJ11" i="28"/>
  <c r="AI11" i="28"/>
  <c r="AH11" i="28"/>
  <c r="AH13" i="28" s="1"/>
  <c r="AG11" i="28"/>
  <c r="AG13" i="28" s="1"/>
  <c r="AF11" i="28"/>
  <c r="AF13" i="28" s="1"/>
  <c r="AE11" i="28"/>
  <c r="AE13" i="28" s="1"/>
  <c r="AD11" i="28"/>
  <c r="AD13" i="28" s="1"/>
  <c r="X17" i="28"/>
  <c r="W17" i="28"/>
  <c r="V17" i="28"/>
  <c r="V18" i="28" s="1"/>
  <c r="U17" i="28"/>
  <c r="T17" i="28"/>
  <c r="S17" i="28"/>
  <c r="R17" i="28"/>
  <c r="Q17" i="28"/>
  <c r="J54" i="46"/>
  <c r="H53" i="46"/>
  <c r="J53" i="46" s="1"/>
  <c r="H52" i="46"/>
  <c r="J52" i="46" s="1"/>
  <c r="B52" i="46"/>
  <c r="B53" i="46" s="1"/>
  <c r="B54" i="46" s="1"/>
  <c r="B55" i="46" s="1"/>
  <c r="B44" i="46"/>
  <c r="B45" i="46" s="1"/>
  <c r="B36" i="46"/>
  <c r="B37" i="46" s="1"/>
  <c r="B28" i="46"/>
  <c r="B29" i="46" s="1"/>
  <c r="E25" i="46"/>
  <c r="E49" i="46" s="1"/>
  <c r="D25" i="46"/>
  <c r="D49" i="46" s="1"/>
  <c r="C25" i="46"/>
  <c r="C49" i="46" s="1"/>
  <c r="E22" i="46"/>
  <c r="E21" i="46"/>
  <c r="H18" i="46"/>
  <c r="H12" i="46"/>
  <c r="H8" i="46"/>
  <c r="J5" i="46"/>
  <c r="K5" i="46" s="1"/>
  <c r="I5" i="46"/>
  <c r="I18" i="46" s="1"/>
  <c r="BG20" i="71"/>
  <c r="BG35" i="71"/>
  <c r="CH28" i="70"/>
  <c r="CG44" i="70"/>
  <c r="CJ44" i="70"/>
  <c r="BG22" i="71"/>
  <c r="BG37" i="71"/>
  <c r="BG20" i="70"/>
  <c r="CI44" i="70"/>
  <c r="BG42" i="71"/>
  <c r="BG37" i="70"/>
  <c r="CH30" i="70"/>
  <c r="BG8" i="70"/>
  <c r="BG29" i="70"/>
  <c r="BG29" i="71"/>
  <c r="CH27" i="70"/>
  <c r="BG19" i="71"/>
  <c r="CD44" i="70"/>
  <c r="CE44" i="70"/>
  <c r="BG38" i="70"/>
  <c r="BG26" i="70"/>
  <c r="BG38" i="71"/>
  <c r="BG22" i="70"/>
  <c r="BG26" i="71"/>
  <c r="BG21" i="70"/>
  <c r="BG35" i="70"/>
  <c r="BG19" i="70"/>
  <c r="CH44" i="70"/>
  <c r="BG8" i="71"/>
  <c r="BA19" i="70"/>
  <c r="BG42" i="70"/>
  <c r="BG11" i="71"/>
  <c r="CH29" i="70"/>
  <c r="CF44" i="70"/>
  <c r="BG21" i="71"/>
  <c r="BG11" i="70"/>
  <c r="CI19" i="28" l="1"/>
  <c r="CI27" i="28"/>
  <c r="E20" i="81"/>
  <c r="E51" i="81"/>
  <c r="F56" i="81"/>
  <c r="G51" i="81"/>
  <c r="H56" i="81"/>
  <c r="H20" i="81"/>
  <c r="U56" i="28"/>
  <c r="T55" i="28"/>
  <c r="S55" i="28"/>
  <c r="O108" i="28"/>
  <c r="Q55" i="28"/>
  <c r="J31" i="81"/>
  <c r="J58" i="81"/>
  <c r="J71" i="81"/>
  <c r="Q39" i="81"/>
  <c r="Q58" i="81"/>
  <c r="Q71" i="81"/>
  <c r="K39" i="81"/>
  <c r="K58" i="81"/>
  <c r="K71" i="81"/>
  <c r="N45" i="81"/>
  <c r="N58" i="81"/>
  <c r="N71" i="81"/>
  <c r="R45" i="81"/>
  <c r="R58" i="81"/>
  <c r="R71" i="81"/>
  <c r="L13" i="81"/>
  <c r="L58" i="81"/>
  <c r="L71" i="81"/>
  <c r="O22" i="81"/>
  <c r="O58" i="81"/>
  <c r="O71" i="81"/>
  <c r="S22" i="81"/>
  <c r="S58" i="81"/>
  <c r="S71" i="81"/>
  <c r="I45" i="81"/>
  <c r="I58" i="81"/>
  <c r="I71" i="81"/>
  <c r="P31" i="81"/>
  <c r="P58" i="81"/>
  <c r="P71" i="81"/>
  <c r="T31" i="81"/>
  <c r="T58" i="81"/>
  <c r="T71" i="81"/>
  <c r="CH13" i="29"/>
  <c r="CE21" i="30" s="1"/>
  <c r="BU25" i="28"/>
  <c r="CC20" i="31"/>
  <c r="AS86" i="45" s="1"/>
  <c r="BM22" i="31"/>
  <c r="AC88" i="45" s="1"/>
  <c r="BP141" i="31"/>
  <c r="BR154" i="31"/>
  <c r="CD222" i="31"/>
  <c r="CG227" i="31"/>
  <c r="BR242" i="31"/>
  <c r="BV242" i="31"/>
  <c r="CA245" i="31"/>
  <c r="BZ246" i="31"/>
  <c r="BV250" i="31"/>
  <c r="BZ249" i="31"/>
  <c r="CH264" i="31"/>
  <c r="CL309" i="31"/>
  <c r="CI310" i="31"/>
  <c r="CE313" i="31"/>
  <c r="CJ313" i="31"/>
  <c r="CL314" i="31"/>
  <c r="CF315" i="31"/>
  <c r="CH316" i="31"/>
  <c r="CE317" i="31"/>
  <c r="CD318" i="31"/>
  <c r="CB319" i="31"/>
  <c r="CJ319" i="31"/>
  <c r="CF353" i="31"/>
  <c r="AC86" i="45"/>
  <c r="AC100" i="45" s="1"/>
  <c r="BU19" i="28"/>
  <c r="BN22" i="31"/>
  <c r="AD88" i="45" s="1"/>
  <c r="BW140" i="31"/>
  <c r="BW200" i="31"/>
  <c r="P223" i="31"/>
  <c r="BZ228" i="31"/>
  <c r="CF234" i="31"/>
  <c r="CE236" i="31"/>
  <c r="BW245" i="31"/>
  <c r="BZ250" i="31"/>
  <c r="BY276" i="31"/>
  <c r="CC276" i="31"/>
  <c r="BU277" i="31"/>
  <c r="R294" i="31"/>
  <c r="CE309" i="31"/>
  <c r="CA313" i="31"/>
  <c r="CF313" i="31"/>
  <c r="CL313" i="31"/>
  <c r="CA315" i="31"/>
  <c r="CI315" i="31"/>
  <c r="CL316" i="31"/>
  <c r="CF317" i="31"/>
  <c r="CH318" i="31"/>
  <c r="CE319" i="31"/>
  <c r="BZ341" i="31"/>
  <c r="AD86" i="45"/>
  <c r="P139" i="31"/>
  <c r="CF140" i="31"/>
  <c r="CD141" i="31"/>
  <c r="CE149" i="31"/>
  <c r="BZ154" i="31"/>
  <c r="BO157" i="31"/>
  <c r="BQ169" i="31"/>
  <c r="M209" i="31"/>
  <c r="P205" i="31"/>
  <c r="P206" i="31" s="1"/>
  <c r="BQ211" i="31"/>
  <c r="BU211" i="31"/>
  <c r="CF217" i="31"/>
  <c r="M227" i="31"/>
  <c r="M439" i="31" s="1"/>
  <c r="N233" i="31"/>
  <c r="CF236" i="31"/>
  <c r="CA252" i="31"/>
  <c r="BX246" i="31"/>
  <c r="BS245" i="31"/>
  <c r="BX245" i="31"/>
  <c r="CC252" i="31"/>
  <c r="CK264" i="31"/>
  <c r="N267" i="31"/>
  <c r="BZ276" i="31"/>
  <c r="BY277" i="31"/>
  <c r="CH309" i="31"/>
  <c r="CB313" i="31"/>
  <c r="CH313" i="31"/>
  <c r="CD314" i="31"/>
  <c r="CB315" i="31"/>
  <c r="CJ315" i="31"/>
  <c r="CA317" i="31"/>
  <c r="CI317" i="31"/>
  <c r="CL318" i="31"/>
  <c r="CF319" i="31"/>
  <c r="BU341" i="31"/>
  <c r="CA140" i="31"/>
  <c r="M143" i="31"/>
  <c r="N143" i="31"/>
  <c r="N209" i="31"/>
  <c r="CG217" i="31"/>
  <c r="O233" i="31"/>
  <c r="CB237" i="31"/>
  <c r="P240" i="31"/>
  <c r="Q241" i="31" s="1"/>
  <c r="Q245" i="31"/>
  <c r="CG249" i="31"/>
  <c r="CC277" i="31"/>
  <c r="CI309" i="31"/>
  <c r="CE310" i="31"/>
  <c r="CD313" i="31"/>
  <c r="CI313" i="31"/>
  <c r="CH314" i="31"/>
  <c r="CE315" i="31"/>
  <c r="CD316" i="31"/>
  <c r="CB317" i="31"/>
  <c r="CJ317" i="31"/>
  <c r="CA319" i="31"/>
  <c r="CI319" i="31"/>
  <c r="T451" i="31"/>
  <c r="AB86" i="45"/>
  <c r="AZ15" i="28"/>
  <c r="BB21" i="31"/>
  <c r="R87" i="45" s="1"/>
  <c r="R86" i="45"/>
  <c r="R100" i="45" s="1"/>
  <c r="AR21" i="31"/>
  <c r="H87" i="45" s="1"/>
  <c r="P67" i="31"/>
  <c r="AR15" i="28"/>
  <c r="AJ15" i="28"/>
  <c r="AR16" i="28"/>
  <c r="AJ18" i="28"/>
  <c r="AO18" i="28"/>
  <c r="AW18" i="28"/>
  <c r="BE21" i="31"/>
  <c r="U87" i="45" s="1"/>
  <c r="AZ21" i="31"/>
  <c r="P87" i="45" s="1"/>
  <c r="BI22" i="31"/>
  <c r="Y88" i="45" s="1"/>
  <c r="BQ93" i="31"/>
  <c r="AG30" i="45" s="1"/>
  <c r="BU93" i="31"/>
  <c r="AK30" i="45" s="1"/>
  <c r="BY93" i="31"/>
  <c r="AO30" i="45" s="1"/>
  <c r="CC93" i="31"/>
  <c r="AS30" i="45" s="1"/>
  <c r="CG93" i="31"/>
  <c r="AW30" i="45" s="1"/>
  <c r="CK93" i="31"/>
  <c r="CO93" i="31"/>
  <c r="Q42" i="31"/>
  <c r="CS54" i="31"/>
  <c r="L81" i="31"/>
  <c r="X93" i="31"/>
  <c r="CS93" i="31"/>
  <c r="BK93" i="31"/>
  <c r="AA30" i="45" s="1"/>
  <c r="R18" i="28"/>
  <c r="BD15" i="28"/>
  <c r="AS15" i="28"/>
  <c r="BD16" i="28"/>
  <c r="CC18" i="28"/>
  <c r="CK18" i="28"/>
  <c r="BA18" i="28"/>
  <c r="AJ19" i="28"/>
  <c r="BA21" i="31"/>
  <c r="Q87" i="45" s="1"/>
  <c r="Z100" i="45"/>
  <c r="BD21" i="31"/>
  <c r="T87" i="45" s="1"/>
  <c r="R42" i="31"/>
  <c r="L67" i="31"/>
  <c r="L83" i="31"/>
  <c r="L84" i="31"/>
  <c r="L92" i="31" s="1"/>
  <c r="U93" i="31"/>
  <c r="AF20" i="45"/>
  <c r="M86" i="45"/>
  <c r="M100" i="45" s="1"/>
  <c r="S18" i="28"/>
  <c r="W18" i="28"/>
  <c r="AV15" i="28"/>
  <c r="AK16" i="28"/>
  <c r="AY18" i="28"/>
  <c r="BO18" i="28"/>
  <c r="AK18" i="28"/>
  <c r="AU18" i="28"/>
  <c r="AY19" i="28"/>
  <c r="AS21" i="31"/>
  <c r="I87" i="45" s="1"/>
  <c r="AX21" i="31"/>
  <c r="N87" i="45" s="1"/>
  <c r="N86" i="45"/>
  <c r="N100" i="45" s="1"/>
  <c r="AV21" i="31"/>
  <c r="L87" i="45" s="1"/>
  <c r="Y93" i="31"/>
  <c r="AP49" i="31"/>
  <c r="R41" i="31"/>
  <c r="L61" i="31"/>
  <c r="K67" i="31"/>
  <c r="J70" i="31"/>
  <c r="N70" i="31"/>
  <c r="U86" i="45"/>
  <c r="U100" i="45" s="1"/>
  <c r="X100" i="45"/>
  <c r="AB100" i="45"/>
  <c r="V100" i="45"/>
  <c r="AD100" i="45"/>
  <c r="N107" i="28"/>
  <c r="N108" i="28"/>
  <c r="BV118" i="28"/>
  <c r="Q117" i="28"/>
  <c r="Q110" i="29" s="1"/>
  <c r="AT108" i="45"/>
  <c r="Q107" i="28"/>
  <c r="R108" i="28"/>
  <c r="CD47" i="29"/>
  <c r="CD44" i="29" s="1"/>
  <c r="R107" i="28"/>
  <c r="AI116" i="28"/>
  <c r="E41" i="46"/>
  <c r="E33" i="46"/>
  <c r="H3" i="71"/>
  <c r="S44" i="71"/>
  <c r="S66" i="71" s="1"/>
  <c r="S68" i="71" s="1"/>
  <c r="T29" i="71"/>
  <c r="T32" i="71"/>
  <c r="T21" i="71"/>
  <c r="S45" i="71"/>
  <c r="S60" i="71"/>
  <c r="S51" i="71"/>
  <c r="R61" i="71"/>
  <c r="R62" i="71" s="1"/>
  <c r="R69" i="71" s="1"/>
  <c r="S47" i="71"/>
  <c r="M29" i="70"/>
  <c r="M32" i="70"/>
  <c r="M21" i="70"/>
  <c r="M31" i="70" s="1"/>
  <c r="L67" i="70"/>
  <c r="M24" i="70"/>
  <c r="M89" i="70"/>
  <c r="M30" i="70"/>
  <c r="N19" i="70"/>
  <c r="CH43" i="70"/>
  <c r="M38" i="70"/>
  <c r="M37" i="70"/>
  <c r="M22" i="70"/>
  <c r="M12" i="70"/>
  <c r="N11" i="70"/>
  <c r="Q40" i="70"/>
  <c r="R33" i="70"/>
  <c r="G36" i="45"/>
  <c r="K36" i="45"/>
  <c r="K46" i="45"/>
  <c r="O46" i="45"/>
  <c r="O36" i="45"/>
  <c r="S46" i="45"/>
  <c r="S36" i="45"/>
  <c r="W46" i="45"/>
  <c r="W36" i="45"/>
  <c r="AA46" i="45"/>
  <c r="AA40" i="45"/>
  <c r="AA36" i="45"/>
  <c r="AE36" i="45"/>
  <c r="AE46" i="45"/>
  <c r="AE40" i="45"/>
  <c r="AI46" i="45"/>
  <c r="AI40" i="45"/>
  <c r="AI36" i="45"/>
  <c r="AM46" i="45"/>
  <c r="AM40" i="45"/>
  <c r="AM36" i="45"/>
  <c r="AQ46" i="45"/>
  <c r="AQ40" i="45"/>
  <c r="AQ36" i="45"/>
  <c r="AU36" i="45"/>
  <c r="AU46" i="45"/>
  <c r="AU40" i="45"/>
  <c r="H7" i="45"/>
  <c r="O7" i="45"/>
  <c r="O9" i="45" s="1"/>
  <c r="W7" i="45"/>
  <c r="W9" i="45" s="1"/>
  <c r="AE7" i="45"/>
  <c r="AE9" i="45" s="1"/>
  <c r="AM7" i="45"/>
  <c r="AM9" i="45" s="1"/>
  <c r="AU7" i="45"/>
  <c r="AU9" i="45" s="1"/>
  <c r="G47" i="45"/>
  <c r="K47" i="45"/>
  <c r="O47" i="45"/>
  <c r="S47" i="45"/>
  <c r="W47" i="45"/>
  <c r="AA47" i="45"/>
  <c r="AE47" i="45"/>
  <c r="AI47" i="45"/>
  <c r="AM47" i="45"/>
  <c r="AQ47" i="45"/>
  <c r="AU47" i="45"/>
  <c r="H46" i="45"/>
  <c r="H40" i="45"/>
  <c r="H36" i="45"/>
  <c r="L46" i="45"/>
  <c r="L40" i="45"/>
  <c r="P46" i="45"/>
  <c r="P36" i="45"/>
  <c r="P40" i="45"/>
  <c r="T46" i="45"/>
  <c r="T40" i="45"/>
  <c r="X46" i="45"/>
  <c r="X40" i="45"/>
  <c r="X36" i="45"/>
  <c r="AB46" i="45"/>
  <c r="AB40" i="45"/>
  <c r="AF46" i="45"/>
  <c r="AF40" i="45"/>
  <c r="AJ46" i="45"/>
  <c r="AJ40" i="45"/>
  <c r="AN46" i="45"/>
  <c r="AN40" i="45"/>
  <c r="AN36" i="45"/>
  <c r="AR46" i="45"/>
  <c r="AR40" i="45"/>
  <c r="AV46" i="45"/>
  <c r="AV40" i="45"/>
  <c r="I7" i="45"/>
  <c r="P7" i="45"/>
  <c r="X7" i="45"/>
  <c r="AF7" i="45"/>
  <c r="AN7" i="45"/>
  <c r="AV7" i="45"/>
  <c r="D34" i="45"/>
  <c r="D41" i="45" s="1"/>
  <c r="E16" i="45"/>
  <c r="H34" i="45"/>
  <c r="I16" i="45"/>
  <c r="L34" i="45"/>
  <c r="M16" i="45"/>
  <c r="P34" i="45"/>
  <c r="Q16" i="45"/>
  <c r="T34" i="45"/>
  <c r="U16" i="45"/>
  <c r="X34" i="45"/>
  <c r="Y16" i="45"/>
  <c r="AB34" i="45"/>
  <c r="AC16" i="45"/>
  <c r="AF34" i="45"/>
  <c r="AG16" i="45"/>
  <c r="AJ34" i="45"/>
  <c r="AK16" i="45"/>
  <c r="AN34" i="45"/>
  <c r="AO16" i="45"/>
  <c r="AR34" i="45"/>
  <c r="AS16" i="45"/>
  <c r="AV34" i="45"/>
  <c r="AW16" i="45"/>
  <c r="E14" i="45"/>
  <c r="E40" i="45"/>
  <c r="E46" i="45"/>
  <c r="E36" i="45"/>
  <c r="I46" i="45"/>
  <c r="I40" i="45"/>
  <c r="I36" i="45"/>
  <c r="M7" i="45"/>
  <c r="M9" i="45" s="1"/>
  <c r="M33" i="45"/>
  <c r="Q7" i="45"/>
  <c r="Q33" i="45"/>
  <c r="U7" i="45"/>
  <c r="U9" i="45" s="1"/>
  <c r="U33" i="45"/>
  <c r="Y7" i="45"/>
  <c r="Y33" i="45"/>
  <c r="AC7" i="45"/>
  <c r="AC9" i="45" s="1"/>
  <c r="AC33" i="45"/>
  <c r="AG7" i="45"/>
  <c r="AG33" i="45"/>
  <c r="AK7" i="45"/>
  <c r="AK9" i="45" s="1"/>
  <c r="AK33" i="45"/>
  <c r="AO7" i="45"/>
  <c r="AO33" i="45"/>
  <c r="AS7" i="45"/>
  <c r="AS9" i="45" s="1"/>
  <c r="AS33" i="45"/>
  <c r="AW7" i="45"/>
  <c r="AW33" i="45"/>
  <c r="E7" i="45"/>
  <c r="E9" i="45" s="1"/>
  <c r="C33" i="45"/>
  <c r="C36" i="45" s="1"/>
  <c r="C7" i="45"/>
  <c r="D7" i="45"/>
  <c r="E47" i="45"/>
  <c r="E41" i="45"/>
  <c r="I34" i="45"/>
  <c r="J16" i="45"/>
  <c r="M34" i="45"/>
  <c r="N16" i="45"/>
  <c r="Q34" i="45"/>
  <c r="R16" i="45"/>
  <c r="U34" i="45"/>
  <c r="V16" i="45"/>
  <c r="Y34" i="45"/>
  <c r="Z16" i="45"/>
  <c r="AC34" i="45"/>
  <c r="AD16" i="45"/>
  <c r="AG34" i="45"/>
  <c r="AH16" i="45"/>
  <c r="AK34" i="45"/>
  <c r="AL16" i="45"/>
  <c r="AO34" i="45"/>
  <c r="AP16" i="45"/>
  <c r="AS34" i="45"/>
  <c r="AT16" i="45"/>
  <c r="AW34" i="45"/>
  <c r="AX16" i="45"/>
  <c r="H14" i="45"/>
  <c r="P14" i="45"/>
  <c r="X14" i="45"/>
  <c r="AF14" i="45"/>
  <c r="AN14" i="45"/>
  <c r="AV14" i="45"/>
  <c r="F33" i="45"/>
  <c r="G40" i="45" s="1"/>
  <c r="F7" i="45"/>
  <c r="F9" i="45" s="1"/>
  <c r="J33" i="45"/>
  <c r="J7" i="45"/>
  <c r="N33" i="45"/>
  <c r="O40" i="45" s="1"/>
  <c r="N7" i="45"/>
  <c r="N9" i="45" s="1"/>
  <c r="R33" i="45"/>
  <c r="S40" i="45" s="1"/>
  <c r="R7" i="45"/>
  <c r="V33" i="45"/>
  <c r="W40" i="45" s="1"/>
  <c r="V7" i="45"/>
  <c r="V9" i="45" s="1"/>
  <c r="Z36" i="45"/>
  <c r="Z46" i="45"/>
  <c r="AD46" i="45"/>
  <c r="AD36" i="45"/>
  <c r="AD40" i="45"/>
  <c r="AH46" i="45"/>
  <c r="AH40" i="45"/>
  <c r="AL46" i="45"/>
  <c r="AL40" i="45"/>
  <c r="AP36" i="45"/>
  <c r="AP46" i="45"/>
  <c r="AT46" i="45"/>
  <c r="AT36" i="45"/>
  <c r="AT40" i="45"/>
  <c r="AX46" i="45"/>
  <c r="AX40" i="45"/>
  <c r="G7" i="45"/>
  <c r="G9" i="45" s="1"/>
  <c r="L7" i="45"/>
  <c r="L9" i="45" s="1"/>
  <c r="T7" i="45"/>
  <c r="T9" i="45" s="1"/>
  <c r="AB7" i="45"/>
  <c r="AB9" i="45" s="1"/>
  <c r="AJ7" i="45"/>
  <c r="AJ9" i="45" s="1"/>
  <c r="AR7" i="45"/>
  <c r="AR9" i="45" s="1"/>
  <c r="F14" i="45"/>
  <c r="J14" i="45"/>
  <c r="N14" i="45"/>
  <c r="R14" i="45"/>
  <c r="V14" i="45"/>
  <c r="Z14" i="45"/>
  <c r="AD14" i="45"/>
  <c r="AH14" i="45"/>
  <c r="AL14" i="45"/>
  <c r="AP14" i="45"/>
  <c r="AT14" i="45"/>
  <c r="AX14" i="45"/>
  <c r="I14" i="45"/>
  <c r="Q14" i="45"/>
  <c r="Y14" i="45"/>
  <c r="AG14" i="45"/>
  <c r="AO14" i="45"/>
  <c r="AW14" i="45"/>
  <c r="F16" i="45"/>
  <c r="Z7" i="45"/>
  <c r="AD7" i="45"/>
  <c r="AD9" i="45" s="1"/>
  <c r="AH7" i="45"/>
  <c r="AH9" i="45" s="1"/>
  <c r="AL7" i="45"/>
  <c r="AP7" i="45"/>
  <c r="AT7" i="45"/>
  <c r="AT9" i="45" s="1"/>
  <c r="AX7" i="45"/>
  <c r="AX9" i="45" s="1"/>
  <c r="C14" i="45"/>
  <c r="G14" i="45"/>
  <c r="K14" i="45"/>
  <c r="O14" i="45"/>
  <c r="S14" i="45"/>
  <c r="W14" i="45"/>
  <c r="AA14" i="45"/>
  <c r="AE14" i="45"/>
  <c r="AI14" i="45"/>
  <c r="AM14" i="45"/>
  <c r="AQ14" i="45"/>
  <c r="AU14" i="45"/>
  <c r="G16" i="45"/>
  <c r="K16" i="45"/>
  <c r="O16" i="45"/>
  <c r="S16" i="45"/>
  <c r="W16" i="45"/>
  <c r="AA16" i="45"/>
  <c r="AE16" i="45"/>
  <c r="AI16" i="45"/>
  <c r="AM16" i="45"/>
  <c r="AQ16" i="45"/>
  <c r="AU16" i="45"/>
  <c r="F34" i="45"/>
  <c r="J34" i="45"/>
  <c r="N34" i="45"/>
  <c r="O41" i="45" s="1"/>
  <c r="R34" i="45"/>
  <c r="V34" i="45"/>
  <c r="W41" i="45" s="1"/>
  <c r="Z34" i="45"/>
  <c r="AD34" i="45"/>
  <c r="AE41" i="45" s="1"/>
  <c r="AH34" i="45"/>
  <c r="AL34" i="45"/>
  <c r="AL36" i="45" s="1"/>
  <c r="AP34" i="45"/>
  <c r="AT34" i="45"/>
  <c r="AU41" i="45" s="1"/>
  <c r="AX34" i="45"/>
  <c r="D16" i="45"/>
  <c r="H16" i="45"/>
  <c r="L16" i="45"/>
  <c r="P16" i="45"/>
  <c r="T16" i="45"/>
  <c r="X16" i="45"/>
  <c r="AB16" i="45"/>
  <c r="AF16" i="45"/>
  <c r="AJ16" i="45"/>
  <c r="AN16" i="45"/>
  <c r="AR16" i="45"/>
  <c r="AV16" i="45"/>
  <c r="U109" i="45"/>
  <c r="AK109" i="45"/>
  <c r="AO109" i="45"/>
  <c r="AS109" i="45"/>
  <c r="AW109" i="45"/>
  <c r="V109" i="45"/>
  <c r="AL109" i="45"/>
  <c r="AP109" i="45"/>
  <c r="AT109" i="45"/>
  <c r="AX109" i="45"/>
  <c r="AJ109" i="45"/>
  <c r="AN109" i="45"/>
  <c r="AR109" i="45"/>
  <c r="AV109" i="45"/>
  <c r="S109" i="45"/>
  <c r="AI109" i="45"/>
  <c r="AM109" i="45"/>
  <c r="AQ109" i="45"/>
  <c r="AU109" i="45"/>
  <c r="T120" i="45"/>
  <c r="AV120" i="45"/>
  <c r="U120" i="45"/>
  <c r="AW120" i="45"/>
  <c r="V120" i="45"/>
  <c r="AX120" i="45"/>
  <c r="J20" i="50"/>
  <c r="AQ80" i="50"/>
  <c r="AQ81" i="50" s="1"/>
  <c r="AQ76" i="50"/>
  <c r="AN25" i="50"/>
  <c r="AN28" i="50"/>
  <c r="AO24" i="50"/>
  <c r="AO25" i="50" s="1"/>
  <c r="I6" i="50"/>
  <c r="I7" i="50" s="1"/>
  <c r="L13" i="50"/>
  <c r="AK25" i="50"/>
  <c r="AS25" i="50"/>
  <c r="AT46" i="50"/>
  <c r="AT33" i="50"/>
  <c r="AU32" i="50"/>
  <c r="AU33" i="50" s="1"/>
  <c r="F20" i="50"/>
  <c r="F75" i="50" s="1"/>
  <c r="AJ25" i="50"/>
  <c r="AJ28" i="50"/>
  <c r="AK24" i="50"/>
  <c r="AV25" i="50"/>
  <c r="AV28" i="50"/>
  <c r="AW26" i="50"/>
  <c r="AW24" i="50"/>
  <c r="AT75" i="50"/>
  <c r="F12" i="50"/>
  <c r="AV12" i="50"/>
  <c r="AW13" i="50"/>
  <c r="AW11" i="50"/>
  <c r="AW18" i="50"/>
  <c r="AW16" i="50"/>
  <c r="H16" i="50"/>
  <c r="G20" i="50"/>
  <c r="H17" i="50"/>
  <c r="L16" i="50"/>
  <c r="K20" i="50"/>
  <c r="L17" i="50"/>
  <c r="F28" i="50"/>
  <c r="G24" i="50"/>
  <c r="G33" i="50"/>
  <c r="H32" i="50"/>
  <c r="K33" i="50"/>
  <c r="L32" i="50"/>
  <c r="AW46" i="50"/>
  <c r="AX34" i="50"/>
  <c r="AX32" i="50"/>
  <c r="AR38" i="50"/>
  <c r="AS39" i="50"/>
  <c r="AS37" i="50"/>
  <c r="F46" i="50"/>
  <c r="F43" i="50"/>
  <c r="G42" i="50"/>
  <c r="G43" i="50"/>
  <c r="J43" i="50"/>
  <c r="K42" i="50"/>
  <c r="K43" i="50"/>
  <c r="N43" i="50"/>
  <c r="O42" i="50"/>
  <c r="O44" i="50"/>
  <c r="AP80" i="50"/>
  <c r="AP81" i="50" s="1"/>
  <c r="AP76" i="50"/>
  <c r="AR25" i="50"/>
  <c r="AR28" i="50"/>
  <c r="AS24" i="50"/>
  <c r="J28" i="50"/>
  <c r="K25" i="50"/>
  <c r="K24" i="50"/>
  <c r="AW56" i="50"/>
  <c r="AW58" i="50"/>
  <c r="AV57" i="50"/>
  <c r="G6" i="50"/>
  <c r="G7" i="50" s="1"/>
  <c r="K6" i="50"/>
  <c r="K7" i="50" s="1"/>
  <c r="AU6" i="50"/>
  <c r="AU8" i="50"/>
  <c r="AR75" i="50"/>
  <c r="I12" i="50"/>
  <c r="J11" i="50"/>
  <c r="J12" i="50" s="1"/>
  <c r="H20" i="50"/>
  <c r="W75" i="50"/>
  <c r="AA75" i="50"/>
  <c r="AE75" i="50"/>
  <c r="AI80" i="50"/>
  <c r="AI81" i="50" s="1"/>
  <c r="AI76" i="50"/>
  <c r="L28" i="50"/>
  <c r="M24" i="50"/>
  <c r="L25" i="50"/>
  <c r="AB24" i="50"/>
  <c r="G26" i="50"/>
  <c r="L33" i="50"/>
  <c r="AB80" i="50"/>
  <c r="AB81" i="50" s="1"/>
  <c r="AB76" i="50"/>
  <c r="AJ75" i="50"/>
  <c r="J51" i="50"/>
  <c r="J50" i="50"/>
  <c r="I51" i="50"/>
  <c r="N51" i="50"/>
  <c r="N50" i="50"/>
  <c r="M51" i="50"/>
  <c r="R51" i="50"/>
  <c r="R50" i="50"/>
  <c r="Q51" i="50"/>
  <c r="I17" i="50"/>
  <c r="AC80" i="50"/>
  <c r="AC81" i="50" s="1"/>
  <c r="AC76" i="50"/>
  <c r="AG80" i="50"/>
  <c r="AG81" i="50" s="1"/>
  <c r="AG76" i="50"/>
  <c r="AK75" i="50"/>
  <c r="AL24" i="50"/>
  <c r="AL25" i="50" s="1"/>
  <c r="AP24" i="50"/>
  <c r="AP25" i="50" s="1"/>
  <c r="AT24" i="50"/>
  <c r="AT25" i="50" s="1"/>
  <c r="AK28" i="50"/>
  <c r="AO28" i="50"/>
  <c r="AS28" i="50"/>
  <c r="G32" i="50"/>
  <c r="K32" i="50"/>
  <c r="AR46" i="50"/>
  <c r="L37" i="50"/>
  <c r="AX39" i="50"/>
  <c r="AX37" i="50"/>
  <c r="H46" i="50"/>
  <c r="L46" i="50"/>
  <c r="G46" i="50"/>
  <c r="AU11" i="50"/>
  <c r="AU12" i="50" s="1"/>
  <c r="V75" i="50"/>
  <c r="AD80" i="50"/>
  <c r="AD81" i="50" s="1"/>
  <c r="AD76" i="50"/>
  <c r="AH75" i="50"/>
  <c r="AM37" i="50"/>
  <c r="AL46" i="50"/>
  <c r="AL75" i="50" s="1"/>
  <c r="AM39" i="50"/>
  <c r="AL38" i="50"/>
  <c r="I46" i="50"/>
  <c r="I75" i="50" s="1"/>
  <c r="K46" i="50"/>
  <c r="J57" i="50"/>
  <c r="J56" i="50"/>
  <c r="AQ56" i="50"/>
  <c r="AQ57" i="50" s="1"/>
  <c r="AW63" i="50"/>
  <c r="AV62" i="50"/>
  <c r="AW61" i="50"/>
  <c r="I42" i="50"/>
  <c r="M42" i="50"/>
  <c r="H43" i="50"/>
  <c r="L43" i="50"/>
  <c r="AU67" i="50"/>
  <c r="AV66" i="50"/>
  <c r="L68" i="50"/>
  <c r="AV68" i="50"/>
  <c r="F62" i="50"/>
  <c r="G61" i="50"/>
  <c r="J62" i="50"/>
  <c r="K61" i="50"/>
  <c r="H56" i="50"/>
  <c r="L56" i="50"/>
  <c r="G62" i="50"/>
  <c r="AP62" i="50"/>
  <c r="AQ61" i="50"/>
  <c r="AQ62" i="50" s="1"/>
  <c r="AT62" i="50"/>
  <c r="AU61" i="50"/>
  <c r="AU62" i="50" s="1"/>
  <c r="AV71" i="50"/>
  <c r="AV73" i="50" s="1"/>
  <c r="AW71" i="50" s="1"/>
  <c r="AW73" i="50" s="1"/>
  <c r="AX71" i="50" s="1"/>
  <c r="AX73" i="50" s="1"/>
  <c r="AY71" i="50" s="1"/>
  <c r="AY73" i="50" s="1"/>
  <c r="M73" i="50" s="1"/>
  <c r="CQ98" i="31"/>
  <c r="CQ17" i="31"/>
  <c r="CQ12" i="31"/>
  <c r="CR11" i="31"/>
  <c r="CH102" i="29"/>
  <c r="AH16" i="28"/>
  <c r="AH15" i="28"/>
  <c r="BW18" i="31"/>
  <c r="AS48" i="31"/>
  <c r="BA48" i="31"/>
  <c r="AQ13" i="28"/>
  <c r="AQ12" i="28"/>
  <c r="G16" i="31"/>
  <c r="G17" i="31"/>
  <c r="G12" i="31"/>
  <c r="K16" i="31"/>
  <c r="K18" i="31" s="1"/>
  <c r="K17" i="31"/>
  <c r="K12" i="31"/>
  <c r="O16" i="31"/>
  <c r="O18" i="31" s="1"/>
  <c r="O17" i="31"/>
  <c r="O72" i="31" s="1"/>
  <c r="O12" i="31"/>
  <c r="S16" i="31"/>
  <c r="S18" i="31" s="1"/>
  <c r="S17" i="31"/>
  <c r="S12" i="31"/>
  <c r="P16" i="31"/>
  <c r="K11" i="28"/>
  <c r="K13" i="28" s="1"/>
  <c r="AP29" i="31"/>
  <c r="AT29" i="31"/>
  <c r="AX29" i="31"/>
  <c r="BB29" i="31"/>
  <c r="BF29" i="31"/>
  <c r="BR29" i="31"/>
  <c r="BN31" i="31"/>
  <c r="H38" i="31"/>
  <c r="N36" i="31"/>
  <c r="AT49" i="31"/>
  <c r="AT48" i="31"/>
  <c r="AX49" i="31"/>
  <c r="AX48" i="31"/>
  <c r="BB49" i="31"/>
  <c r="BB48" i="31"/>
  <c r="BF49" i="31"/>
  <c r="BF48" i="31"/>
  <c r="AX16" i="28"/>
  <c r="AX15" i="28"/>
  <c r="CE18" i="31"/>
  <c r="CQ18" i="31"/>
  <c r="CR16" i="31"/>
  <c r="G11" i="28"/>
  <c r="BM31" i="31"/>
  <c r="K91" i="31"/>
  <c r="K93" i="31" s="1"/>
  <c r="AW48" i="31"/>
  <c r="BE48" i="31"/>
  <c r="AI13" i="28"/>
  <c r="AI12" i="28"/>
  <c r="AY13" i="28"/>
  <c r="AY12" i="28"/>
  <c r="BG12" i="28"/>
  <c r="AT16" i="28"/>
  <c r="AT15" i="28"/>
  <c r="AM12" i="28"/>
  <c r="H17" i="31"/>
  <c r="H72" i="31" s="1"/>
  <c r="L17" i="31"/>
  <c r="L72" i="31" s="1"/>
  <c r="P17" i="31"/>
  <c r="AN17" i="31"/>
  <c r="AN29" i="31" s="1"/>
  <c r="AN31" i="31" s="1"/>
  <c r="AR17" i="31"/>
  <c r="AR29" i="31" s="1"/>
  <c r="AV17" i="31"/>
  <c r="AV29" i="31" s="1"/>
  <c r="AZ17" i="31"/>
  <c r="AZ29" i="31" s="1"/>
  <c r="BD17" i="31"/>
  <c r="BD29" i="31" s="1"/>
  <c r="BH17" i="31"/>
  <c r="BH29" i="31" s="1"/>
  <c r="AT21" i="31"/>
  <c r="J87" i="45" s="1"/>
  <c r="K20" i="31"/>
  <c r="AM29" i="31"/>
  <c r="AN28" i="31"/>
  <c r="AM28" i="31"/>
  <c r="F26" i="31"/>
  <c r="AM20" i="31"/>
  <c r="AQ29" i="31"/>
  <c r="AR28" i="31"/>
  <c r="G26" i="31"/>
  <c r="H27" i="31" s="1"/>
  <c r="AQ28" i="31"/>
  <c r="AQ27" i="31"/>
  <c r="AQ20" i="31"/>
  <c r="G86" i="45" s="1"/>
  <c r="AU29" i="31"/>
  <c r="AV28" i="31"/>
  <c r="AU28" i="31"/>
  <c r="AU27" i="31"/>
  <c r="AU20" i="31"/>
  <c r="K86" i="45" s="1"/>
  <c r="AY29" i="31"/>
  <c r="AZ28" i="31"/>
  <c r="AY28" i="31"/>
  <c r="AY27" i="31"/>
  <c r="I26" i="31"/>
  <c r="AY20" i="31"/>
  <c r="O86" i="45" s="1"/>
  <c r="O100" i="45" s="1"/>
  <c r="BC29" i="31"/>
  <c r="BD28" i="31"/>
  <c r="BC28" i="31"/>
  <c r="BC27" i="31"/>
  <c r="J26" i="31"/>
  <c r="BC20" i="31"/>
  <c r="S86" i="45" s="1"/>
  <c r="S100" i="45" s="1"/>
  <c r="BG29" i="31"/>
  <c r="BH28" i="31"/>
  <c r="K26" i="31"/>
  <c r="L27" i="31" s="1"/>
  <c r="BG28" i="31"/>
  <c r="BG27" i="31"/>
  <c r="BK29" i="31"/>
  <c r="BO29" i="31"/>
  <c r="I38" i="31"/>
  <c r="P91" i="31"/>
  <c r="Q38" i="31"/>
  <c r="CO54" i="31"/>
  <c r="G47" i="31"/>
  <c r="G45" i="31"/>
  <c r="F14" i="28"/>
  <c r="AY47" i="31"/>
  <c r="J47" i="31"/>
  <c r="K47" i="31"/>
  <c r="K45" i="31"/>
  <c r="BS80" i="31"/>
  <c r="M80" i="31"/>
  <c r="M81" i="31" s="1"/>
  <c r="CI18" i="31"/>
  <c r="AO29" i="31"/>
  <c r="AO31" i="31" s="1"/>
  <c r="BI29" i="31"/>
  <c r="G38" i="31"/>
  <c r="AE102" i="29"/>
  <c r="AO17" i="31"/>
  <c r="AN16" i="31"/>
  <c r="AI102" i="29"/>
  <c r="AS17" i="31"/>
  <c r="AS29" i="31" s="1"/>
  <c r="AR16" i="31"/>
  <c r="AR12" i="31"/>
  <c r="AM102" i="29"/>
  <c r="AW17" i="31"/>
  <c r="AW29" i="31" s="1"/>
  <c r="AV16" i="31"/>
  <c r="AV12" i="31"/>
  <c r="AQ102" i="29"/>
  <c r="BA17" i="31"/>
  <c r="BA29" i="31" s="1"/>
  <c r="AZ16" i="31"/>
  <c r="AZ12" i="31"/>
  <c r="AU102" i="29"/>
  <c r="BE17" i="31"/>
  <c r="BE29" i="31" s="1"/>
  <c r="BD16" i="31"/>
  <c r="BD12" i="31"/>
  <c r="BH98" i="31"/>
  <c r="BH100" i="31" s="1"/>
  <c r="AY102" i="29"/>
  <c r="BI17" i="31"/>
  <c r="BH16" i="31"/>
  <c r="BH18" i="31" s="1"/>
  <c r="BH12" i="31"/>
  <c r="AP21" i="31"/>
  <c r="F87" i="45" s="1"/>
  <c r="BF21" i="31"/>
  <c r="V87" i="45" s="1"/>
  <c r="BJ21" i="31"/>
  <c r="Z87" i="45" s="1"/>
  <c r="BJ22" i="31"/>
  <c r="Z88" i="45" s="1"/>
  <c r="CR99" i="31"/>
  <c r="CS35" i="31"/>
  <c r="CR39" i="31"/>
  <c r="CR36" i="31"/>
  <c r="AR47" i="31"/>
  <c r="AV47" i="31"/>
  <c r="AW49" i="31" s="1"/>
  <c r="AZ47" i="31"/>
  <c r="BD47" i="31"/>
  <c r="BE49" i="31" s="1"/>
  <c r="BT101" i="31"/>
  <c r="AZ36" i="31"/>
  <c r="BH36" i="31"/>
  <c r="AZ37" i="31"/>
  <c r="AN37" i="31"/>
  <c r="BX38" i="31"/>
  <c r="AN39" i="31"/>
  <c r="AN47" i="31" s="1"/>
  <c r="O36" i="31"/>
  <c r="AY45" i="31"/>
  <c r="O94" i="45" s="1"/>
  <c r="BJ53" i="31"/>
  <c r="BJ58" i="31"/>
  <c r="BW100" i="31"/>
  <c r="CE126" i="31"/>
  <c r="Q125" i="31"/>
  <c r="CE127" i="31"/>
  <c r="R140" i="31"/>
  <c r="CN413" i="31"/>
  <c r="CR175" i="31"/>
  <c r="CN175" i="31"/>
  <c r="AH12" i="28"/>
  <c r="AP12" i="28"/>
  <c r="AX12" i="28"/>
  <c r="BF12" i="28"/>
  <c r="AL13" i="28"/>
  <c r="AT13" i="28"/>
  <c r="BB13" i="28"/>
  <c r="AI14" i="28"/>
  <c r="AI16" i="28" s="1"/>
  <c r="AM14" i="28"/>
  <c r="AM16" i="28" s="1"/>
  <c r="AQ14" i="28"/>
  <c r="AQ16" i="28" s="1"/>
  <c r="AU14" i="28"/>
  <c r="AY14" i="28"/>
  <c r="AY16" i="28" s="1"/>
  <c r="BC14" i="28"/>
  <c r="BC16" i="28" s="1"/>
  <c r="BG14" i="28"/>
  <c r="AN15" i="28"/>
  <c r="AV16" i="28"/>
  <c r="BE16" i="28"/>
  <c r="AE14" i="28"/>
  <c r="AE16" i="28" s="1"/>
  <c r="K14" i="28"/>
  <c r="K16" i="28" s="1"/>
  <c r="I16" i="31"/>
  <c r="I18" i="31" s="1"/>
  <c r="M16" i="31"/>
  <c r="M18" i="31" s="1"/>
  <c r="Q16" i="31"/>
  <c r="Q18" i="31" s="1"/>
  <c r="AM16" i="31"/>
  <c r="AQ16" i="31"/>
  <c r="AU16" i="31"/>
  <c r="AY16" i="31"/>
  <c r="BC16" i="31"/>
  <c r="BG16" i="31"/>
  <c r="BI21" i="31"/>
  <c r="Y87" i="45" s="1"/>
  <c r="AP27" i="31"/>
  <c r="AT27" i="31"/>
  <c r="AX27" i="31"/>
  <c r="BB27" i="31"/>
  <c r="BF27" i="31"/>
  <c r="BJ27" i="31"/>
  <c r="BN27" i="31"/>
  <c r="AP28" i="31"/>
  <c r="AT28" i="31"/>
  <c r="AX28" i="31"/>
  <c r="BB28" i="31"/>
  <c r="BF28" i="31"/>
  <c r="BJ28" i="31"/>
  <c r="BN28" i="31"/>
  <c r="BL30" i="31"/>
  <c r="G36" i="31"/>
  <c r="K36" i="31"/>
  <c r="S36" i="31"/>
  <c r="AA37" i="31"/>
  <c r="AS36" i="31"/>
  <c r="AW36" i="31"/>
  <c r="BA36" i="31"/>
  <c r="BE36" i="31"/>
  <c r="BI36" i="31"/>
  <c r="AS37" i="31"/>
  <c r="AW37" i="31"/>
  <c r="BA37" i="31"/>
  <c r="BA38" i="31" s="1"/>
  <c r="BE37" i="31"/>
  <c r="BE38" i="31" s="1"/>
  <c r="BI37" i="31"/>
  <c r="F37" i="31"/>
  <c r="S37" i="31"/>
  <c r="AO37" i="31"/>
  <c r="BU38" i="31"/>
  <c r="BY38" i="31"/>
  <c r="CC38" i="31"/>
  <c r="CG38" i="31"/>
  <c r="CK38" i="31"/>
  <c r="CO38" i="31"/>
  <c r="R38" i="31"/>
  <c r="Z38" i="31"/>
  <c r="CT38" i="31"/>
  <c r="I39" i="31"/>
  <c r="BI39" i="31"/>
  <c r="BI47" i="31" s="1"/>
  <c r="O37" i="31"/>
  <c r="P42" i="31"/>
  <c r="CP42" i="31"/>
  <c r="CP53" i="31" s="1"/>
  <c r="CP54" i="31" s="1"/>
  <c r="I44" i="31"/>
  <c r="J45" i="31" s="1"/>
  <c r="AR45" i="31"/>
  <c r="H94" i="45" s="1"/>
  <c r="AV45" i="31"/>
  <c r="L94" i="45" s="1"/>
  <c r="AZ45" i="31"/>
  <c r="P94" i="45" s="1"/>
  <c r="BD45" i="31"/>
  <c r="T94" i="45" s="1"/>
  <c r="BH45" i="31"/>
  <c r="X94" i="45" s="1"/>
  <c r="BK45" i="31"/>
  <c r="AA94" i="45" s="1"/>
  <c r="BO45" i="31"/>
  <c r="AE94" i="45" s="1"/>
  <c r="AM47" i="31"/>
  <c r="AQ47" i="31"/>
  <c r="AU47" i="31"/>
  <c r="BC47" i="31"/>
  <c r="BG47" i="31"/>
  <c r="BG53" i="31"/>
  <c r="BK53" i="31"/>
  <c r="BM52" i="31"/>
  <c r="P63" i="31"/>
  <c r="O63" i="31"/>
  <c r="G72" i="31"/>
  <c r="G73" i="31" s="1"/>
  <c r="K72" i="31"/>
  <c r="K73" i="31" s="1"/>
  <c r="BN92" i="31"/>
  <c r="AD29" i="45" s="1"/>
  <c r="BR88" i="31"/>
  <c r="AH25" i="45" s="1"/>
  <c r="CE91" i="31"/>
  <c r="CE93" i="31" s="1"/>
  <c r="AU30" i="45" s="1"/>
  <c r="BG99" i="31"/>
  <c r="BG100" i="31" s="1"/>
  <c r="BM109" i="31"/>
  <c r="CA100" i="31"/>
  <c r="BS104" i="31"/>
  <c r="CI104" i="31"/>
  <c r="CE105" i="31"/>
  <c r="BW109" i="31"/>
  <c r="CM109" i="31"/>
  <c r="CI110" i="31"/>
  <c r="CO118" i="31"/>
  <c r="CO121" i="31" s="1"/>
  <c r="BQ149" i="31"/>
  <c r="M147" i="31"/>
  <c r="BQ154" i="31"/>
  <c r="BV148" i="31"/>
  <c r="BV154" i="31"/>
  <c r="BV149" i="31"/>
  <c r="BZ148" i="31"/>
  <c r="CA154" i="31"/>
  <c r="CA148" i="31"/>
  <c r="BU148" i="31"/>
  <c r="P413" i="31"/>
  <c r="P175" i="31"/>
  <c r="J36" i="31"/>
  <c r="J37" i="31"/>
  <c r="J38" i="31" s="1"/>
  <c r="AV36" i="31"/>
  <c r="AV37" i="31"/>
  <c r="AV38" i="31" s="1"/>
  <c r="BH37" i="31"/>
  <c r="BT38" i="31"/>
  <c r="CF38" i="31"/>
  <c r="CN38" i="31"/>
  <c r="BH39" i="31"/>
  <c r="BH47" i="31" s="1"/>
  <c r="AQ45" i="31"/>
  <c r="G94" i="45" s="1"/>
  <c r="BC45" i="31"/>
  <c r="S94" i="45" s="1"/>
  <c r="BG45" i="31"/>
  <c r="W94" i="45" s="1"/>
  <c r="H47" i="31"/>
  <c r="H48" i="31" s="1"/>
  <c r="BF53" i="31"/>
  <c r="BF58" i="31"/>
  <c r="CM100" i="31"/>
  <c r="CA105" i="31"/>
  <c r="R125" i="31"/>
  <c r="CI126" i="31"/>
  <c r="CI127" i="31"/>
  <c r="CK136" i="31"/>
  <c r="AK12" i="28"/>
  <c r="AO12" i="28"/>
  <c r="AS12" i="28"/>
  <c r="AW12" i="28"/>
  <c r="BA12" i="28"/>
  <c r="BE12" i="28"/>
  <c r="AO13" i="28"/>
  <c r="AW13" i="28"/>
  <c r="BE13" i="28"/>
  <c r="AO15" i="28"/>
  <c r="G14" i="28"/>
  <c r="AS12" i="31"/>
  <c r="AW12" i="31"/>
  <c r="BA12" i="31"/>
  <c r="BE12" i="31"/>
  <c r="BI12" i="31"/>
  <c r="H12" i="31"/>
  <c r="L12" i="31"/>
  <c r="P12" i="31"/>
  <c r="F16" i="31"/>
  <c r="BK27" i="31"/>
  <c r="BO27" i="31"/>
  <c r="BK28" i="31"/>
  <c r="BO28" i="31"/>
  <c r="H36" i="31"/>
  <c r="P36" i="31"/>
  <c r="AP36" i="31"/>
  <c r="AT36" i="31"/>
  <c r="AX36" i="31"/>
  <c r="BB36" i="31"/>
  <c r="BF36" i="31"/>
  <c r="BJ36" i="31"/>
  <c r="AT37" i="31"/>
  <c r="AT38" i="31" s="1"/>
  <c r="AX37" i="31"/>
  <c r="AX38" i="31" s="1"/>
  <c r="BB37" i="31"/>
  <c r="BF37" i="31"/>
  <c r="BJ37" i="31"/>
  <c r="BV36" i="31"/>
  <c r="AP37" i="31"/>
  <c r="BV38" i="31"/>
  <c r="BZ38" i="31"/>
  <c r="CD38" i="31"/>
  <c r="CH38" i="31"/>
  <c r="CL38" i="31"/>
  <c r="CP38" i="31"/>
  <c r="F39" i="31"/>
  <c r="F47" i="31" s="1"/>
  <c r="J39" i="31"/>
  <c r="BJ39" i="31"/>
  <c r="BJ47" i="31" s="1"/>
  <c r="CM42" i="31"/>
  <c r="L45" i="31"/>
  <c r="BL45" i="31"/>
  <c r="AB94" i="45" s="1"/>
  <c r="BK46" i="31"/>
  <c r="AA95" i="45" s="1"/>
  <c r="K51" i="31"/>
  <c r="BE58" i="31"/>
  <c r="BL93" i="31"/>
  <c r="AB30" i="45" s="1"/>
  <c r="BS91" i="31"/>
  <c r="BS93" i="31" s="1"/>
  <c r="AI30" i="45" s="1"/>
  <c r="CI91" i="31"/>
  <c r="CI93" i="31" s="1"/>
  <c r="BN109" i="31"/>
  <c r="CE100" i="31"/>
  <c r="BK109" i="31"/>
  <c r="CA109" i="31"/>
  <c r="BW110" i="31"/>
  <c r="CM110" i="31"/>
  <c r="CO136" i="31"/>
  <c r="CO135" i="31"/>
  <c r="O235" i="31"/>
  <c r="O218" i="31"/>
  <c r="O140" i="31"/>
  <c r="CG144" i="31"/>
  <c r="CG169" i="31"/>
  <c r="CG145" i="31"/>
  <c r="CK144" i="31"/>
  <c r="CK169" i="31"/>
  <c r="CK146" i="31"/>
  <c r="CK145" i="31"/>
  <c r="CO144" i="31"/>
  <c r="CO169" i="31"/>
  <c r="CO146" i="31"/>
  <c r="CO145" i="31"/>
  <c r="BR324" i="31"/>
  <c r="BR99" i="31"/>
  <c r="AR36" i="31"/>
  <c r="BD36" i="31"/>
  <c r="AR37" i="31"/>
  <c r="AR38" i="31" s="1"/>
  <c r="BD37" i="31"/>
  <c r="BD38" i="31" s="1"/>
  <c r="CB38" i="31"/>
  <c r="CJ38" i="31"/>
  <c r="BN53" i="31"/>
  <c r="BO51" i="31"/>
  <c r="L51" i="31"/>
  <c r="BN58" i="31"/>
  <c r="BJ52" i="31"/>
  <c r="BN93" i="31"/>
  <c r="AD30" i="45" s="1"/>
  <c r="CQ105" i="31"/>
  <c r="P125" i="31"/>
  <c r="S125" i="31"/>
  <c r="CM126" i="31"/>
  <c r="CM127" i="31"/>
  <c r="AW15" i="28"/>
  <c r="BA15" i="28"/>
  <c r="BA16" i="28"/>
  <c r="I12" i="31"/>
  <c r="M12" i="31"/>
  <c r="Q12" i="31"/>
  <c r="AO16" i="31"/>
  <c r="AS16" i="31"/>
  <c r="AW16" i="31"/>
  <c r="BA16" i="31"/>
  <c r="BE16" i="31"/>
  <c r="BI16" i="31"/>
  <c r="BI18" i="31" s="1"/>
  <c r="BJ17" i="31"/>
  <c r="BJ29" i="31" s="1"/>
  <c r="BL28" i="31"/>
  <c r="M35" i="31"/>
  <c r="N37" i="31" s="1"/>
  <c r="I36" i="31"/>
  <c r="BO35" i="31"/>
  <c r="AQ36" i="31"/>
  <c r="AU36" i="31"/>
  <c r="AY36" i="31"/>
  <c r="BC36" i="31"/>
  <c r="BG36" i="31"/>
  <c r="AQ37" i="31"/>
  <c r="AQ38" i="31" s="1"/>
  <c r="AU37" i="31"/>
  <c r="AY37" i="31"/>
  <c r="AY38" i="31" s="1"/>
  <c r="BC37" i="31"/>
  <c r="BC38" i="31" s="1"/>
  <c r="BG37" i="31"/>
  <c r="AM37" i="31"/>
  <c r="BW38" i="31"/>
  <c r="CM38" i="31"/>
  <c r="CR38" i="31"/>
  <c r="BS39" i="31"/>
  <c r="CN42" i="31"/>
  <c r="CN53" i="31" s="1"/>
  <c r="CN54" i="31" s="1"/>
  <c r="BI54" i="31"/>
  <c r="BM54" i="31"/>
  <c r="BI52" i="31"/>
  <c r="BI58" i="31"/>
  <c r="N67" i="31"/>
  <c r="M62" i="31"/>
  <c r="M63" i="31" s="1"/>
  <c r="N61" i="31"/>
  <c r="M67" i="31"/>
  <c r="M61" i="31"/>
  <c r="I70" i="31"/>
  <c r="I72" i="31"/>
  <c r="I73" i="31" s="1"/>
  <c r="M70" i="31"/>
  <c r="M72" i="31"/>
  <c r="M73" i="31" s="1"/>
  <c r="BQ82" i="31"/>
  <c r="AG22" i="45" s="1"/>
  <c r="BP83" i="31"/>
  <c r="AF23" i="45" s="1"/>
  <c r="V93" i="31"/>
  <c r="BM93" i="31"/>
  <c r="AC30" i="45" s="1"/>
  <c r="BV110" i="31"/>
  <c r="S148" i="31"/>
  <c r="CC118" i="31"/>
  <c r="CE209" i="31"/>
  <c r="CE204" i="31"/>
  <c r="CE203" i="31"/>
  <c r="CI201" i="31"/>
  <c r="K62" i="31"/>
  <c r="L63" i="31" s="1"/>
  <c r="BQ88" i="31"/>
  <c r="AG25" i="45" s="1"/>
  <c r="BP100" i="31"/>
  <c r="BT100" i="31"/>
  <c r="BX100" i="31"/>
  <c r="CB100" i="31"/>
  <c r="CF100" i="31"/>
  <c r="CJ100" i="31"/>
  <c r="CN100" i="31"/>
  <c r="BL104" i="31"/>
  <c r="BP104" i="31"/>
  <c r="BT104" i="31"/>
  <c r="BX104" i="31"/>
  <c r="CB104" i="31"/>
  <c r="CF104" i="31"/>
  <c r="CJ104" i="31"/>
  <c r="CN104" i="31"/>
  <c r="BT105" i="31"/>
  <c r="BX105" i="31"/>
  <c r="CB105" i="31"/>
  <c r="CF105" i="31"/>
  <c r="CJ105" i="31"/>
  <c r="CN105" i="31"/>
  <c r="BP222" i="31"/>
  <c r="BP204" i="31"/>
  <c r="BP169" i="31"/>
  <c r="BP154" i="31"/>
  <c r="BT222" i="31"/>
  <c r="BT204" i="31"/>
  <c r="BT169" i="31"/>
  <c r="BT145" i="31"/>
  <c r="BX222" i="31"/>
  <c r="BX204" i="31"/>
  <c r="BX169" i="31"/>
  <c r="BX145" i="31"/>
  <c r="CB222" i="31"/>
  <c r="CB204" i="31"/>
  <c r="CB169" i="31"/>
  <c r="CB145" i="31"/>
  <c r="BY145" i="31"/>
  <c r="CG148" i="31"/>
  <c r="BR156" i="31"/>
  <c r="CG164" i="31"/>
  <c r="CG163" i="31"/>
  <c r="CG162" i="31"/>
  <c r="Q161" i="31"/>
  <c r="CK164" i="31"/>
  <c r="CK163" i="31"/>
  <c r="R161" i="31"/>
  <c r="CK162" i="31"/>
  <c r="CO164" i="31"/>
  <c r="CO163" i="31"/>
  <c r="T161" i="31"/>
  <c r="CS163" i="31"/>
  <c r="CS162" i="31"/>
  <c r="CG425" i="31"/>
  <c r="CK425" i="31"/>
  <c r="CK194" i="31"/>
  <c r="CK192" i="31"/>
  <c r="CO425" i="31"/>
  <c r="CO194" i="31"/>
  <c r="CO192" i="31"/>
  <c r="CS425" i="31"/>
  <c r="CS192" i="31"/>
  <c r="CG186" i="31"/>
  <c r="CG185" i="31"/>
  <c r="CE222" i="31"/>
  <c r="CI219" i="31"/>
  <c r="CI227" i="31" s="1"/>
  <c r="CE221" i="31"/>
  <c r="BG52" i="31"/>
  <c r="BK52" i="31"/>
  <c r="BG58" i="31"/>
  <c r="BK58" i="31"/>
  <c r="BQ100" i="31"/>
  <c r="BU100" i="31"/>
  <c r="BY100" i="31"/>
  <c r="CC100" i="31"/>
  <c r="CG100" i="31"/>
  <c r="CK100" i="31"/>
  <c r="CO100" i="31"/>
  <c r="BM104" i="31"/>
  <c r="BQ104" i="31"/>
  <c r="BU104" i="31"/>
  <c r="BY104" i="31"/>
  <c r="CC104" i="31"/>
  <c r="CG104" i="31"/>
  <c r="CK104" i="31"/>
  <c r="CO104" i="31"/>
  <c r="BQ105" i="31"/>
  <c r="BU105" i="31"/>
  <c r="BY105" i="31"/>
  <c r="CC105" i="31"/>
  <c r="CG105" i="31"/>
  <c r="CK105" i="31"/>
  <c r="CO105" i="31"/>
  <c r="CA133" i="31"/>
  <c r="CE133" i="31"/>
  <c r="CD133" i="31"/>
  <c r="CD132" i="31"/>
  <c r="CI133" i="31"/>
  <c r="CH133" i="31"/>
  <c r="CH132" i="31"/>
  <c r="CM133" i="31"/>
  <c r="R131" i="31"/>
  <c r="CL133" i="31"/>
  <c r="CL134" i="31"/>
  <c r="CL132" i="31"/>
  <c r="CP133" i="31"/>
  <c r="CP134" i="31"/>
  <c r="CP132" i="31"/>
  <c r="M235" i="31"/>
  <c r="M157" i="31"/>
  <c r="M218" i="31"/>
  <c r="BQ218" i="31"/>
  <c r="BQ200" i="31"/>
  <c r="BQ235" i="31"/>
  <c r="BQ164" i="31"/>
  <c r="BQ157" i="31"/>
  <c r="BU158" i="31" s="1"/>
  <c r="BQ141" i="31"/>
  <c r="BU251" i="31"/>
  <c r="BU218" i="31"/>
  <c r="BU200" i="31"/>
  <c r="BU235" i="31"/>
  <c r="BU164" i="31"/>
  <c r="BY251" i="31"/>
  <c r="BY218" i="31"/>
  <c r="BY200" i="31"/>
  <c r="BY235" i="31"/>
  <c r="BY164" i="31"/>
  <c r="BY157" i="31"/>
  <c r="BY142" i="31" s="1"/>
  <c r="BY140" i="31"/>
  <c r="CC247" i="31"/>
  <c r="CC243" i="31"/>
  <c r="CC218" i="31"/>
  <c r="CC200" i="31"/>
  <c r="CC235" i="31"/>
  <c r="CC251" i="31"/>
  <c r="CC164" i="31"/>
  <c r="CC141" i="31"/>
  <c r="CC157" i="31"/>
  <c r="CC142" i="31" s="1"/>
  <c r="CG243" i="31"/>
  <c r="CG251" i="31"/>
  <c r="CG247" i="31"/>
  <c r="CG190" i="31"/>
  <c r="CG157" i="31"/>
  <c r="CG158" i="31" s="1"/>
  <c r="CH141" i="31"/>
  <c r="CG140" i="31"/>
  <c r="Q139" i="31"/>
  <c r="CG141" i="31"/>
  <c r="CG182" i="31"/>
  <c r="CK247" i="31"/>
  <c r="CK243" i="31"/>
  <c r="CK251" i="31"/>
  <c r="CL141" i="31"/>
  <c r="CK140" i="31"/>
  <c r="CK141" i="31"/>
  <c r="CP141" i="31"/>
  <c r="CO140" i="31"/>
  <c r="CO141" i="31"/>
  <c r="CO157" i="31"/>
  <c r="CO142" i="31" s="1"/>
  <c r="BU141" i="31"/>
  <c r="BX144" i="31"/>
  <c r="CC145" i="31"/>
  <c r="Q147" i="31"/>
  <c r="CK148" i="31"/>
  <c r="CK157" i="31"/>
  <c r="M164" i="31"/>
  <c r="N175" i="31"/>
  <c r="R183" i="31"/>
  <c r="CJ184" i="31"/>
  <c r="CJ185" i="31"/>
  <c r="CJ186" i="31"/>
  <c r="CN185" i="31"/>
  <c r="CN186" i="31"/>
  <c r="CR184" i="31"/>
  <c r="CR185" i="31"/>
  <c r="CF238" i="31"/>
  <c r="BH52" i="31"/>
  <c r="BL52" i="31"/>
  <c r="O61" i="31"/>
  <c r="BO88" i="31"/>
  <c r="AE25" i="45" s="1"/>
  <c r="BR100" i="31"/>
  <c r="BV100" i="31"/>
  <c r="BZ100" i="31"/>
  <c r="CD100" i="31"/>
  <c r="CH100" i="31"/>
  <c r="CI106" i="31" s="1"/>
  <c r="CL100" i="31"/>
  <c r="CP100" i="31"/>
  <c r="BN104" i="31"/>
  <c r="BR104" i="31"/>
  <c r="BV104" i="31"/>
  <c r="BZ104" i="31"/>
  <c r="CD104" i="31"/>
  <c r="CH104" i="31"/>
  <c r="CL104" i="31"/>
  <c r="CP104" i="31"/>
  <c r="BV105" i="31"/>
  <c r="BZ105" i="31"/>
  <c r="CD105" i="31"/>
  <c r="CH105" i="31"/>
  <c r="CL105" i="31"/>
  <c r="CP105" i="31"/>
  <c r="CO129" i="31"/>
  <c r="CO130" i="31"/>
  <c r="CM134" i="31"/>
  <c r="CJ146" i="31"/>
  <c r="CO148" i="31"/>
  <c r="CO149" i="31"/>
  <c r="CG151" i="31"/>
  <c r="CG152" i="31"/>
  <c r="CG154" i="31"/>
  <c r="CK151" i="31"/>
  <c r="CK154" i="31"/>
  <c r="CK152" i="31"/>
  <c r="CO151" i="31"/>
  <c r="CO152" i="31"/>
  <c r="BZ155" i="31"/>
  <c r="BZ118" i="31"/>
  <c r="BZ229" i="31"/>
  <c r="P164" i="31"/>
  <c r="N169" i="31"/>
  <c r="BT251" i="31"/>
  <c r="BT250" i="31"/>
  <c r="BT249" i="31"/>
  <c r="N248" i="31"/>
  <c r="BT147" i="31"/>
  <c r="BX251" i="31"/>
  <c r="BX250" i="31"/>
  <c r="BX249" i="31"/>
  <c r="O248" i="31"/>
  <c r="BY250" i="31"/>
  <c r="BX147" i="31"/>
  <c r="CB252" i="31"/>
  <c r="CC254" i="31" s="1"/>
  <c r="CB251" i="31"/>
  <c r="CB250" i="31"/>
  <c r="CF249" i="31"/>
  <c r="CB249" i="31"/>
  <c r="P248" i="31"/>
  <c r="CB147" i="31"/>
  <c r="P147" i="31" s="1"/>
  <c r="CC250" i="31"/>
  <c r="BU250" i="31"/>
  <c r="CC425" i="31"/>
  <c r="CC255" i="31"/>
  <c r="CD254" i="31"/>
  <c r="CH254" i="31"/>
  <c r="CG255" i="31"/>
  <c r="CG254" i="31"/>
  <c r="CG253" i="31"/>
  <c r="CL253" i="31"/>
  <c r="CL254" i="31"/>
  <c r="CB127" i="31"/>
  <c r="CF127" i="31"/>
  <c r="CJ127" i="31"/>
  <c r="CN127" i="31"/>
  <c r="S128" i="31"/>
  <c r="CL130" i="31"/>
  <c r="CP130" i="31"/>
  <c r="P131" i="31"/>
  <c r="N157" i="31"/>
  <c r="N158" i="31" s="1"/>
  <c r="S139" i="31"/>
  <c r="BR218" i="31"/>
  <c r="BR200" i="31"/>
  <c r="BR235" i="31"/>
  <c r="BR164" i="31"/>
  <c r="BR157" i="31"/>
  <c r="BV251" i="31"/>
  <c r="BV218" i="31"/>
  <c r="BV200" i="31"/>
  <c r="BV235" i="31"/>
  <c r="BV164" i="31"/>
  <c r="BV247" i="31"/>
  <c r="BV243" i="31"/>
  <c r="BV157" i="31"/>
  <c r="BV158" i="31" s="1"/>
  <c r="BZ251" i="31"/>
  <c r="BZ218" i="31"/>
  <c r="BZ200" i="31"/>
  <c r="BZ247" i="31"/>
  <c r="BZ235" i="31"/>
  <c r="BZ164" i="31"/>
  <c r="BZ243" i="31"/>
  <c r="BZ157" i="31"/>
  <c r="CD251" i="31"/>
  <c r="CD247" i="31"/>
  <c r="CD243" i="31"/>
  <c r="CD164" i="31"/>
  <c r="CD157" i="31"/>
  <c r="CD142" i="31" s="1"/>
  <c r="CH251" i="31"/>
  <c r="CH247" i="31"/>
  <c r="CH182" i="31"/>
  <c r="CH157" i="31"/>
  <c r="CH158" i="31" s="1"/>
  <c r="CL251" i="31"/>
  <c r="CL243" i="31"/>
  <c r="CL157" i="31"/>
  <c r="CP158" i="31"/>
  <c r="CF141" i="31"/>
  <c r="CJ141" i="31"/>
  <c r="CN141" i="31"/>
  <c r="CI144" i="31"/>
  <c r="BV141" i="31"/>
  <c r="BZ141" i="31"/>
  <c r="CE141" i="31"/>
  <c r="P143" i="31"/>
  <c r="P157" i="31" s="1"/>
  <c r="BU222" i="31"/>
  <c r="BU204" i="31"/>
  <c r="CC204" i="31"/>
  <c r="CC222" i="31"/>
  <c r="O143" i="31"/>
  <c r="BY144" i="31"/>
  <c r="BQ145" i="31"/>
  <c r="BV145" i="31"/>
  <c r="BZ145" i="31"/>
  <c r="CD145" i="31"/>
  <c r="CH145" i="31"/>
  <c r="CL145" i="31"/>
  <c r="CP145" i="31"/>
  <c r="CH148" i="31"/>
  <c r="CL148" i="31"/>
  <c r="CP148" i="31"/>
  <c r="CT148" i="31"/>
  <c r="CH152" i="31"/>
  <c r="CH154" i="31"/>
  <c r="CL152" i="31"/>
  <c r="CL154" i="31"/>
  <c r="CP152" i="31"/>
  <c r="CP154" i="31"/>
  <c r="CP194" i="31" s="1"/>
  <c r="T147" i="31"/>
  <c r="T148" i="31" s="1"/>
  <c r="BW154" i="31"/>
  <c r="CC149" i="31"/>
  <c r="BR149" i="31"/>
  <c r="BW149" i="31"/>
  <c r="CJ152" i="31"/>
  <c r="CD154" i="31"/>
  <c r="CH164" i="31"/>
  <c r="CL164" i="31"/>
  <c r="CP164" i="31"/>
  <c r="CT164" i="31"/>
  <c r="P167" i="31"/>
  <c r="O170" i="31"/>
  <c r="O167" i="31"/>
  <c r="BU169" i="31"/>
  <c r="CH413" i="31"/>
  <c r="CH177" i="31"/>
  <c r="CH175" i="31"/>
  <c r="CL413" i="31"/>
  <c r="CL177" i="31"/>
  <c r="CL175" i="31"/>
  <c r="CP413" i="31"/>
  <c r="CP177" i="31"/>
  <c r="CP175" i="31"/>
  <c r="CR417" i="31"/>
  <c r="CR414" i="31"/>
  <c r="CJ175" i="31"/>
  <c r="CB176" i="31"/>
  <c r="CR176" i="31"/>
  <c r="CL425" i="31"/>
  <c r="CL193" i="31"/>
  <c r="CL192" i="31"/>
  <c r="CP425" i="31"/>
  <c r="CP193" i="31"/>
  <c r="CP192" i="31"/>
  <c r="CT425" i="31"/>
  <c r="CT193" i="31"/>
  <c r="CT192" i="31"/>
  <c r="CJ181" i="31"/>
  <c r="CN182" i="31"/>
  <c r="CK186" i="31"/>
  <c r="CO186" i="31"/>
  <c r="CR189" i="31"/>
  <c r="CJ191" i="31"/>
  <c r="CE190" i="31"/>
  <c r="O198" i="31"/>
  <c r="O200" i="31"/>
  <c r="CF209" i="31"/>
  <c r="CF199" i="31"/>
  <c r="CJ197" i="31"/>
  <c r="CF200" i="31"/>
  <c r="CD200" i="31"/>
  <c r="N210" i="31"/>
  <c r="CD204" i="31"/>
  <c r="BW212" i="31"/>
  <c r="CA212" i="31"/>
  <c r="BR243" i="31"/>
  <c r="CI264" i="31"/>
  <c r="CI263" i="31"/>
  <c r="BZ310" i="31"/>
  <c r="CD309" i="31"/>
  <c r="BZ319" i="31"/>
  <c r="BZ317" i="31"/>
  <c r="BZ315" i="31"/>
  <c r="BZ313" i="31"/>
  <c r="BZ316" i="31"/>
  <c r="CA310" i="31"/>
  <c r="BZ318" i="31"/>
  <c r="BZ314" i="31"/>
  <c r="Q131" i="31"/>
  <c r="Q132" i="31" s="1"/>
  <c r="CE132" i="31"/>
  <c r="CI132" i="31"/>
  <c r="CM132" i="31"/>
  <c r="BO235" i="31"/>
  <c r="BO218" i="31"/>
  <c r="BO200" i="31"/>
  <c r="BS235" i="31"/>
  <c r="BS218" i="31"/>
  <c r="BS200" i="31"/>
  <c r="BS157" i="31"/>
  <c r="BS158" i="31" s="1"/>
  <c r="BW235" i="31"/>
  <c r="BW157" i="31"/>
  <c r="CA235" i="31"/>
  <c r="CA157" i="31"/>
  <c r="CA146" i="31" s="1"/>
  <c r="CA218" i="31"/>
  <c r="CA200" i="31"/>
  <c r="CE251" i="31"/>
  <c r="CE247" i="31"/>
  <c r="CE235" i="31"/>
  <c r="CE218" i="31"/>
  <c r="CE243" i="31"/>
  <c r="CE186" i="31"/>
  <c r="CE157" i="31"/>
  <c r="CE146" i="31" s="1"/>
  <c r="CE200" i="31"/>
  <c r="CI251" i="31"/>
  <c r="CI247" i="31"/>
  <c r="CI243" i="31"/>
  <c r="CI157" i="31"/>
  <c r="CM158" i="31"/>
  <c r="CQ158" i="31"/>
  <c r="CN140" i="31"/>
  <c r="CL142" i="31"/>
  <c r="CP142" i="31"/>
  <c r="CJ144" i="31"/>
  <c r="CN144" i="31"/>
  <c r="BZ140" i="31"/>
  <c r="BR141" i="31"/>
  <c r="BW141" i="31"/>
  <c r="CA141" i="31"/>
  <c r="N142" i="31"/>
  <c r="Q143" i="31"/>
  <c r="R143" i="31"/>
  <c r="BR222" i="31"/>
  <c r="BR204" i="31"/>
  <c r="BR169" i="31"/>
  <c r="BV222" i="31"/>
  <c r="BV204" i="31"/>
  <c r="BV169" i="31"/>
  <c r="BZ222" i="31"/>
  <c r="BZ204" i="31"/>
  <c r="BZ169" i="31"/>
  <c r="BZ144" i="31"/>
  <c r="BR145" i="31"/>
  <c r="BW145" i="31"/>
  <c r="CA145" i="31"/>
  <c r="CE145" i="31"/>
  <c r="CI145" i="31"/>
  <c r="CM145" i="31"/>
  <c r="CQ145" i="31"/>
  <c r="R147" i="31"/>
  <c r="R148" i="31" s="1"/>
  <c r="CE148" i="31"/>
  <c r="CI148" i="31"/>
  <c r="CM148" i="31"/>
  <c r="CQ148" i="31"/>
  <c r="CI149" i="31"/>
  <c r="CE154" i="31"/>
  <c r="CI154" i="31"/>
  <c r="CI194" i="31" s="1"/>
  <c r="CM154" i="31"/>
  <c r="S150" i="31"/>
  <c r="BS154" i="31"/>
  <c r="N147" i="31"/>
  <c r="N148" i="31" s="1"/>
  <c r="BW148" i="31"/>
  <c r="CC148" i="31"/>
  <c r="BS149" i="31"/>
  <c r="P151" i="31"/>
  <c r="CE151" i="31"/>
  <c r="CP151" i="31"/>
  <c r="BY154" i="31"/>
  <c r="BZ156" i="31" s="1"/>
  <c r="N164" i="31"/>
  <c r="BS164" i="31"/>
  <c r="CI164" i="31"/>
  <c r="P170" i="31"/>
  <c r="BY169" i="31"/>
  <c r="N413" i="31"/>
  <c r="CE174" i="31"/>
  <c r="CI174" i="31"/>
  <c r="R171" i="31"/>
  <c r="CM174" i="31"/>
  <c r="S171" i="31"/>
  <c r="S174" i="31" s="1"/>
  <c r="CQ174" i="31"/>
  <c r="T171" i="31"/>
  <c r="CF417" i="31"/>
  <c r="CF414" i="31"/>
  <c r="BX175" i="31"/>
  <c r="CF176" i="31"/>
  <c r="CE425" i="31"/>
  <c r="CE194" i="31"/>
  <c r="CI425" i="31"/>
  <c r="CI192" i="31"/>
  <c r="CI193" i="31"/>
  <c r="CM425" i="31"/>
  <c r="CM192" i="31"/>
  <c r="CQ425" i="31"/>
  <c r="CQ193" i="31"/>
  <c r="CQ192" i="31"/>
  <c r="CN181" i="31"/>
  <c r="CL186" i="31"/>
  <c r="CP186" i="31"/>
  <c r="CT186" i="31"/>
  <c r="CK190" i="31"/>
  <c r="CO190" i="31"/>
  <c r="CN191" i="31"/>
  <c r="CH190" i="31"/>
  <c r="CI200" i="31"/>
  <c r="O202" i="31"/>
  <c r="O227" i="31"/>
  <c r="O220" i="31"/>
  <c r="O222" i="31"/>
  <c r="CJ237" i="31"/>
  <c r="CJ234" i="31"/>
  <c r="CH243" i="31"/>
  <c r="CN130" i="31"/>
  <c r="BP218" i="31"/>
  <c r="BP200" i="31"/>
  <c r="BP164" i="31"/>
  <c r="BP157" i="31"/>
  <c r="BT218" i="31"/>
  <c r="BT200" i="31"/>
  <c r="BT157" i="31"/>
  <c r="BT158" i="31" s="1"/>
  <c r="BT235" i="31"/>
  <c r="BT164" i="31"/>
  <c r="BX218" i="31"/>
  <c r="BX200" i="31"/>
  <c r="BX157" i="31"/>
  <c r="BX142" i="31" s="1"/>
  <c r="BX235" i="31"/>
  <c r="BX164" i="31"/>
  <c r="CB247" i="31"/>
  <c r="CB243" i="31"/>
  <c r="CB218" i="31"/>
  <c r="CB200" i="31"/>
  <c r="CB157" i="31"/>
  <c r="CB158" i="31" s="1"/>
  <c r="CB235" i="31"/>
  <c r="CB164" i="31"/>
  <c r="CF251" i="31"/>
  <c r="CF247" i="31"/>
  <c r="CF243" i="31"/>
  <c r="CF235" i="31"/>
  <c r="CF157" i="31"/>
  <c r="CF218" i="31"/>
  <c r="CJ251" i="31"/>
  <c r="CJ247" i="31"/>
  <c r="CJ157" i="31"/>
  <c r="CN158" i="31"/>
  <c r="CF222" i="31"/>
  <c r="CF204" i="31"/>
  <c r="BT141" i="31"/>
  <c r="BX141" i="31"/>
  <c r="S143" i="31"/>
  <c r="BZ142" i="31"/>
  <c r="BO222" i="31"/>
  <c r="BO204" i="31"/>
  <c r="BO169" i="31"/>
  <c r="BS222" i="31"/>
  <c r="BS204" i="31"/>
  <c r="BS169" i="31"/>
  <c r="BW222" i="31"/>
  <c r="BW204" i="31"/>
  <c r="BW169" i="31"/>
  <c r="CA222" i="31"/>
  <c r="CA204" i="31"/>
  <c r="CA169" i="31"/>
  <c r="BW144" i="31"/>
  <c r="CA144" i="31"/>
  <c r="CF145" i="31"/>
  <c r="CJ145" i="31"/>
  <c r="CN145" i="31"/>
  <c r="CF146" i="31"/>
  <c r="CF148" i="31"/>
  <c r="CJ148" i="31"/>
  <c r="CN148" i="31"/>
  <c r="CR148" i="31"/>
  <c r="CF149" i="31"/>
  <c r="CF154" i="31"/>
  <c r="CJ154" i="31"/>
  <c r="CN154" i="31"/>
  <c r="CO156" i="31" s="1"/>
  <c r="BU149" i="31"/>
  <c r="BY148" i="31"/>
  <c r="CD148" i="31"/>
  <c r="BZ149" i="31"/>
  <c r="Q150" i="31"/>
  <c r="CF151" i="31"/>
  <c r="CM152" i="31"/>
  <c r="BU154" i="31"/>
  <c r="O164" i="31"/>
  <c r="BW164" i="31"/>
  <c r="CM164" i="31"/>
  <c r="M169" i="31"/>
  <c r="S170" i="31"/>
  <c r="CE169" i="31"/>
  <c r="CE168" i="31"/>
  <c r="Q166" i="31"/>
  <c r="Q174" i="31" s="1"/>
  <c r="R166" i="31"/>
  <c r="CI169" i="31"/>
  <c r="CI168" i="31"/>
  <c r="CM169" i="31"/>
  <c r="CM168" i="31"/>
  <c r="CQ169" i="31"/>
  <c r="CQ168" i="31"/>
  <c r="CM167" i="31"/>
  <c r="CC169" i="31"/>
  <c r="O413" i="31"/>
  <c r="O175" i="31"/>
  <c r="BP413" i="31"/>
  <c r="BP176" i="31"/>
  <c r="BT413" i="31"/>
  <c r="BT176" i="31"/>
  <c r="BX417" i="31"/>
  <c r="BX415" i="31"/>
  <c r="BX414" i="31"/>
  <c r="CB417" i="31"/>
  <c r="CB415" i="31"/>
  <c r="CB414" i="31"/>
  <c r="CJ417" i="31"/>
  <c r="CJ414" i="31"/>
  <c r="CB175" i="31"/>
  <c r="CJ176" i="31"/>
  <c r="CF191" i="31"/>
  <c r="CG193" i="31" s="1"/>
  <c r="CF182" i="31"/>
  <c r="CF181" i="31"/>
  <c r="T180" i="31"/>
  <c r="CR181" i="31"/>
  <c r="CI186" i="31"/>
  <c r="CM186" i="31"/>
  <c r="CL190" i="31"/>
  <c r="CP190" i="31"/>
  <c r="CT190" i="31"/>
  <c r="CN190" i="31"/>
  <c r="CR191" i="31"/>
  <c r="CG181" i="31"/>
  <c r="M200" i="31"/>
  <c r="CK200" i="31"/>
  <c r="CK199" i="31"/>
  <c r="BQ204" i="31"/>
  <c r="CC212" i="31"/>
  <c r="CD218" i="31"/>
  <c r="CE217" i="31"/>
  <c r="CD217" i="31"/>
  <c r="P215" i="31"/>
  <c r="CD227" i="31"/>
  <c r="CH215" i="31"/>
  <c r="BW218" i="31"/>
  <c r="BY222" i="31"/>
  <c r="BT450" i="31"/>
  <c r="BT252" i="31"/>
  <c r="BX237" i="31"/>
  <c r="BT237" i="31"/>
  <c r="CJ235" i="31"/>
  <c r="CE238" i="31"/>
  <c r="N450" i="31"/>
  <c r="N237" i="31"/>
  <c r="BU345" i="31"/>
  <c r="BU344" i="31"/>
  <c r="BU348" i="31" s="1"/>
  <c r="P162" i="31"/>
  <c r="CH162" i="31"/>
  <c r="CL162" i="31"/>
  <c r="CP162" i="31"/>
  <c r="CT162" i="31"/>
  <c r="CF163" i="31"/>
  <c r="CJ163" i="31"/>
  <c r="CN163" i="31"/>
  <c r="CR163" i="31"/>
  <c r="CF164" i="31"/>
  <c r="CJ164" i="31"/>
  <c r="CN164" i="31"/>
  <c r="P165" i="31"/>
  <c r="CF167" i="31"/>
  <c r="CJ167" i="31"/>
  <c r="CN167" i="31"/>
  <c r="CR167" i="31"/>
  <c r="CH168" i="31"/>
  <c r="CL168" i="31"/>
  <c r="CP168" i="31"/>
  <c r="P169" i="31"/>
  <c r="CH169" i="31"/>
  <c r="CL169" i="31"/>
  <c r="CP169" i="31"/>
  <c r="O172" i="31"/>
  <c r="BQ417" i="31"/>
  <c r="BQ415" i="31"/>
  <c r="BU414" i="31"/>
  <c r="BU417" i="31"/>
  <c r="BU415" i="31"/>
  <c r="BY417" i="31"/>
  <c r="BY415" i="31"/>
  <c r="BY414" i="31"/>
  <c r="CC431" i="31"/>
  <c r="CC417" i="31"/>
  <c r="CC415" i="31"/>
  <c r="CC414" i="31"/>
  <c r="CG174" i="31"/>
  <c r="CK174" i="31"/>
  <c r="CO174" i="31"/>
  <c r="BY175" i="31"/>
  <c r="CC175" i="31"/>
  <c r="BY176" i="31"/>
  <c r="CC176" i="31"/>
  <c r="BY177" i="31"/>
  <c r="CC177" i="31"/>
  <c r="BR176" i="31"/>
  <c r="R179" i="31"/>
  <c r="CK180" i="31"/>
  <c r="CO180" i="31"/>
  <c r="CS180" i="31"/>
  <c r="CK181" i="31"/>
  <c r="CO181" i="31"/>
  <c r="CS181" i="31"/>
  <c r="CK182" i="31"/>
  <c r="CO182" i="31"/>
  <c r="CK184" i="31"/>
  <c r="CO184" i="31"/>
  <c r="CS184" i="31"/>
  <c r="CK185" i="31"/>
  <c r="CO185" i="31"/>
  <c r="CS185" i="31"/>
  <c r="CK188" i="31"/>
  <c r="CO188" i="31"/>
  <c r="CS188" i="31"/>
  <c r="CK189" i="31"/>
  <c r="CO189" i="31"/>
  <c r="CS189" i="31"/>
  <c r="CH181" i="31"/>
  <c r="S183" i="31"/>
  <c r="CH185" i="31"/>
  <c r="S187" i="31"/>
  <c r="S188" i="31" s="1"/>
  <c r="CH186" i="31"/>
  <c r="CG200" i="31"/>
  <c r="CF203" i="31"/>
  <c r="N218" i="31"/>
  <c r="CI218" i="31"/>
  <c r="CF221" i="31"/>
  <c r="M222" i="31"/>
  <c r="Q223" i="31"/>
  <c r="BR443" i="31"/>
  <c r="BR441" i="31"/>
  <c r="BV443" i="31"/>
  <c r="BV441" i="31"/>
  <c r="BV440" i="31"/>
  <c r="BZ443" i="31"/>
  <c r="BZ441" i="31"/>
  <c r="BZ440" i="31"/>
  <c r="N235" i="31"/>
  <c r="CK236" i="31"/>
  <c r="CK235" i="31"/>
  <c r="CK234" i="31"/>
  <c r="CF237" i="31"/>
  <c r="M450" i="31"/>
  <c r="M454" i="31" s="1"/>
  <c r="M252" i="31"/>
  <c r="M425" i="31" s="1"/>
  <c r="M429" i="31" s="1"/>
  <c r="BO243" i="31"/>
  <c r="BS243" i="31"/>
  <c r="BW243" i="31"/>
  <c r="CJ252" i="31"/>
  <c r="CK242" i="31"/>
  <c r="CJ243" i="31"/>
  <c r="CJ242" i="31"/>
  <c r="CJ241" i="31"/>
  <c r="R240" i="31"/>
  <c r="R247" i="31"/>
  <c r="BU247" i="31"/>
  <c r="BU245" i="31"/>
  <c r="BY246" i="31"/>
  <c r="BY247" i="31"/>
  <c r="BY245" i="31"/>
  <c r="Q249" i="31"/>
  <c r="BU252" i="31"/>
  <c r="R300" i="31"/>
  <c r="Q300" i="31"/>
  <c r="R306" i="31"/>
  <c r="Q306" i="31"/>
  <c r="S161" i="31"/>
  <c r="P172" i="31"/>
  <c r="BR415" i="31"/>
  <c r="BR417" i="31"/>
  <c r="BV414" i="31"/>
  <c r="BV417" i="31"/>
  <c r="BV415" i="31"/>
  <c r="BZ414" i="31"/>
  <c r="BZ417" i="31"/>
  <c r="BZ415" i="31"/>
  <c r="CD431" i="31"/>
  <c r="CD414" i="31"/>
  <c r="CD415" i="31"/>
  <c r="CD417" i="31"/>
  <c r="BZ175" i="31"/>
  <c r="CD175" i="31"/>
  <c r="BZ176" i="31"/>
  <c r="CD176" i="31"/>
  <c r="BZ177" i="31"/>
  <c r="CD177" i="31"/>
  <c r="S179" i="31"/>
  <c r="CL180" i="31"/>
  <c r="CP180" i="31"/>
  <c r="CT180" i="31"/>
  <c r="CL181" i="31"/>
  <c r="CP181" i="31"/>
  <c r="CT181" i="31"/>
  <c r="CL182" i="31"/>
  <c r="CP182" i="31"/>
  <c r="CT182" i="31"/>
  <c r="CL184" i="31"/>
  <c r="CP184" i="31"/>
  <c r="CT184" i="31"/>
  <c r="CL185" i="31"/>
  <c r="CP185" i="31"/>
  <c r="CT185" i="31"/>
  <c r="CL188" i="31"/>
  <c r="CP188" i="31"/>
  <c r="CT188" i="31"/>
  <c r="CL189" i="31"/>
  <c r="CP189" i="31"/>
  <c r="CT189" i="31"/>
  <c r="Q183" i="31"/>
  <c r="Q186" i="31" s="1"/>
  <c r="T187" i="31"/>
  <c r="T188" i="31" s="1"/>
  <c r="CD199" i="31"/>
  <c r="P197" i="31"/>
  <c r="CH197" i="31"/>
  <c r="Q197" i="31" s="1"/>
  <c r="CE199" i="31"/>
  <c r="CG204" i="31"/>
  <c r="CG203" i="31"/>
  <c r="CK201" i="31"/>
  <c r="CC210" i="31"/>
  <c r="CC211" i="31"/>
  <c r="BV211" i="31"/>
  <c r="CJ217" i="31"/>
  <c r="CJ218" i="31"/>
  <c r="CG222" i="31"/>
  <c r="N222" i="31"/>
  <c r="CG229" i="31"/>
  <c r="CG228" i="31"/>
  <c r="O450" i="31"/>
  <c r="O237" i="31"/>
  <c r="CE234" i="31"/>
  <c r="CD236" i="31"/>
  <c r="CD235" i="31"/>
  <c r="CD234" i="31"/>
  <c r="CH232" i="31"/>
  <c r="BX450" i="31"/>
  <c r="BX252" i="31"/>
  <c r="CB452" i="31"/>
  <c r="CB454" i="31"/>
  <c r="CB451" i="31"/>
  <c r="BP450" i="31"/>
  <c r="BP252" i="31"/>
  <c r="BP243" i="31"/>
  <c r="BT243" i="31"/>
  <c r="BX243" i="31"/>
  <c r="R245" i="31"/>
  <c r="BV246" i="31"/>
  <c r="BU246" i="31"/>
  <c r="R252" i="31"/>
  <c r="R249" i="31"/>
  <c r="BS334" i="31"/>
  <c r="BS331" i="31"/>
  <c r="BT331" i="31"/>
  <c r="BW331" i="31"/>
  <c r="BW334" i="31" s="1"/>
  <c r="BW338" i="31"/>
  <c r="BX331" i="31"/>
  <c r="CA331" i="31"/>
  <c r="CA334" i="31" s="1"/>
  <c r="CA338" i="31"/>
  <c r="R367" i="31"/>
  <c r="R353" i="31"/>
  <c r="CH163" i="31"/>
  <c r="CL163" i="31"/>
  <c r="CP163" i="31"/>
  <c r="CT163" i="31"/>
  <c r="CF168" i="31"/>
  <c r="CJ168" i="31"/>
  <c r="CN168" i="31"/>
  <c r="CR168" i="31"/>
  <c r="BO417" i="31"/>
  <c r="BS417" i="31"/>
  <c r="BS414" i="31"/>
  <c r="BS415" i="31"/>
  <c r="BW415" i="31"/>
  <c r="BW417" i="31"/>
  <c r="BW414" i="31"/>
  <c r="CA417" i="31"/>
  <c r="CA414" i="31"/>
  <c r="CA415" i="31"/>
  <c r="BW175" i="31"/>
  <c r="CA175" i="31"/>
  <c r="BW176" i="31"/>
  <c r="CA176" i="31"/>
  <c r="BW177" i="31"/>
  <c r="CA177" i="31"/>
  <c r="BU176" i="31"/>
  <c r="CE182" i="31"/>
  <c r="CI180" i="31"/>
  <c r="CM180" i="31"/>
  <c r="CQ180" i="31"/>
  <c r="CI181" i="31"/>
  <c r="CM181" i="31"/>
  <c r="CQ181" i="31"/>
  <c r="CI182" i="31"/>
  <c r="CM182" i="31"/>
  <c r="CQ182" i="31"/>
  <c r="T183" i="31"/>
  <c r="CI184" i="31"/>
  <c r="CM184" i="31"/>
  <c r="CQ184" i="31"/>
  <c r="CI185" i="31"/>
  <c r="CM185" i="31"/>
  <c r="CQ185" i="31"/>
  <c r="CQ186" i="31"/>
  <c r="R187" i="31"/>
  <c r="CI188" i="31"/>
  <c r="CM188" i="31"/>
  <c r="CQ188" i="31"/>
  <c r="CI189" i="31"/>
  <c r="CM189" i="31"/>
  <c r="CQ189" i="31"/>
  <c r="CI190" i="31"/>
  <c r="CF190" i="31"/>
  <c r="CF189" i="31"/>
  <c r="Q187" i="31"/>
  <c r="Q191" i="31" s="1"/>
  <c r="CH425" i="31"/>
  <c r="CH194" i="31"/>
  <c r="CH193" i="31"/>
  <c r="N200" i="31"/>
  <c r="CD203" i="31"/>
  <c r="CD209" i="31"/>
  <c r="P201" i="31"/>
  <c r="CH201" i="31"/>
  <c r="Q201" i="31" s="1"/>
  <c r="O209" i="31"/>
  <c r="BZ212" i="31"/>
  <c r="CG209" i="31"/>
  <c r="CK218" i="31"/>
  <c r="P236" i="31"/>
  <c r="P235" i="31"/>
  <c r="P233" i="31"/>
  <c r="CI236" i="31"/>
  <c r="CI235" i="31"/>
  <c r="CI234" i="31"/>
  <c r="Q243" i="31"/>
  <c r="BQ243" i="31"/>
  <c r="BQ242" i="31"/>
  <c r="BU243" i="31"/>
  <c r="BU242" i="31"/>
  <c r="BU241" i="31"/>
  <c r="BY243" i="31"/>
  <c r="BY242" i="31"/>
  <c r="BY241" i="31"/>
  <c r="BZ242" i="31"/>
  <c r="O247" i="31"/>
  <c r="O245" i="31"/>
  <c r="CK255" i="31"/>
  <c r="CL264" i="31"/>
  <c r="CL263" i="31"/>
  <c r="BL330" i="31"/>
  <c r="BP330" i="31"/>
  <c r="BP337" i="31"/>
  <c r="BP327" i="31"/>
  <c r="BQ330" i="31"/>
  <c r="BQ334" i="31" s="1"/>
  <c r="BT330" i="31"/>
  <c r="BT334" i="31" s="1"/>
  <c r="BT337" i="31"/>
  <c r="BT327" i="31"/>
  <c r="BT341" i="31" s="1"/>
  <c r="BU330" i="31"/>
  <c r="BU334" i="31" s="1"/>
  <c r="BX330" i="31"/>
  <c r="BX334" i="31" s="1"/>
  <c r="BX337" i="31"/>
  <c r="BX327" i="31"/>
  <c r="BX341" i="31" s="1"/>
  <c r="BY330" i="31"/>
  <c r="BY334" i="31" s="1"/>
  <c r="CS372" i="31"/>
  <c r="CR372" i="31"/>
  <c r="CR385" i="31"/>
  <c r="R371" i="31"/>
  <c r="R385" i="31"/>
  <c r="S371" i="31"/>
  <c r="CI387" i="31"/>
  <c r="CI386" i="31"/>
  <c r="CM387" i="31"/>
  <c r="CM386" i="31"/>
  <c r="CQ387" i="31"/>
  <c r="CQ386" i="31"/>
  <c r="CJ201" i="31"/>
  <c r="Q205" i="31"/>
  <c r="Q206" i="31" s="1"/>
  <c r="BZ210" i="31"/>
  <c r="BZ211" i="31"/>
  <c r="CG218" i="31"/>
  <c r="CJ219" i="31"/>
  <c r="CJ227" i="31" s="1"/>
  <c r="P219" i="31"/>
  <c r="R223" i="31"/>
  <c r="BS440" i="31"/>
  <c r="BS443" i="31"/>
  <c r="BS441" i="31"/>
  <c r="BW440" i="31"/>
  <c r="BW443" i="31"/>
  <c r="BW441" i="31"/>
  <c r="CA440" i="31"/>
  <c r="CA443" i="31"/>
  <c r="CA441" i="31"/>
  <c r="CE227" i="31"/>
  <c r="BW228" i="31"/>
  <c r="CA228" i="31"/>
  <c r="BW229" i="31"/>
  <c r="CA229" i="31"/>
  <c r="Q232" i="31"/>
  <c r="BU454" i="31"/>
  <c r="BU452" i="31"/>
  <c r="BU237" i="31"/>
  <c r="CG234" i="31"/>
  <c r="CG235" i="31"/>
  <c r="BY454" i="31"/>
  <c r="BY451" i="31"/>
  <c r="BY452" i="31"/>
  <c r="CC454" i="31"/>
  <c r="CC451" i="31"/>
  <c r="CC452" i="31"/>
  <c r="CG236" i="31"/>
  <c r="BY237" i="31"/>
  <c r="CC237" i="31"/>
  <c r="BY238" i="31"/>
  <c r="CC238" i="31"/>
  <c r="BQ450" i="31"/>
  <c r="BR452" i="31" s="1"/>
  <c r="BQ252" i="31"/>
  <c r="N240" i="31"/>
  <c r="BO242" i="31"/>
  <c r="BS242" i="31"/>
  <c r="BW242" i="31"/>
  <c r="CA242" i="31"/>
  <c r="CA243" i="31"/>
  <c r="Q247" i="31"/>
  <c r="BV252" i="31"/>
  <c r="CD432" i="31"/>
  <c r="CD429" i="31"/>
  <c r="CD427" i="31"/>
  <c r="Q257" i="31"/>
  <c r="Q262" i="31" s="1"/>
  <c r="CK263" i="31"/>
  <c r="O267" i="31"/>
  <c r="BT277" i="31"/>
  <c r="BS276" i="31"/>
  <c r="N275" i="31"/>
  <c r="N276" i="31" s="1"/>
  <c r="BS277" i="31"/>
  <c r="O275" i="31"/>
  <c r="BX277" i="31"/>
  <c r="BW276" i="31"/>
  <c r="BW277" i="31"/>
  <c r="CB277" i="31"/>
  <c r="CA276" i="31"/>
  <c r="CA277" i="31"/>
  <c r="Q288" i="31"/>
  <c r="P308" i="31"/>
  <c r="P318" i="31" s="1"/>
  <c r="Q308" i="31"/>
  <c r="Q317" i="31" s="1"/>
  <c r="CC354" i="31"/>
  <c r="P352" i="31"/>
  <c r="Q353" i="31" s="1"/>
  <c r="CG353" i="31"/>
  <c r="CC353" i="31"/>
  <c r="CD354" i="31"/>
  <c r="CS367" i="31"/>
  <c r="CS354" i="31"/>
  <c r="T352" i="31"/>
  <c r="BZ354" i="31"/>
  <c r="CR463" i="31"/>
  <c r="CR464" i="31" s="1"/>
  <c r="CS363" i="31"/>
  <c r="CR363" i="31"/>
  <c r="R362" i="31"/>
  <c r="S362" i="31"/>
  <c r="CK393" i="31"/>
  <c r="CK392" i="31"/>
  <c r="CL393" i="31"/>
  <c r="CP393" i="31"/>
  <c r="CO393" i="31"/>
  <c r="CO392" i="31"/>
  <c r="CS392" i="31"/>
  <c r="T394" i="31"/>
  <c r="CN405" i="31"/>
  <c r="R205" i="31"/>
  <c r="R206" i="31" s="1"/>
  <c r="BW210" i="31"/>
  <c r="CA210" i="31"/>
  <c r="BW211" i="31"/>
  <c r="CA211" i="31"/>
  <c r="CK219" i="31"/>
  <c r="CG221" i="31"/>
  <c r="N227" i="31"/>
  <c r="BP441" i="31"/>
  <c r="BP443" i="31"/>
  <c r="BT440" i="31"/>
  <c r="BT443" i="31"/>
  <c r="BT441" i="31"/>
  <c r="BX440" i="31"/>
  <c r="BX441" i="31"/>
  <c r="BX443" i="31"/>
  <c r="CB440" i="31"/>
  <c r="CB441" i="31"/>
  <c r="CB443" i="31"/>
  <c r="CF227" i="31"/>
  <c r="BX228" i="31"/>
  <c r="CB228" i="31"/>
  <c r="R232" i="31"/>
  <c r="BV451" i="31"/>
  <c r="BV454" i="31"/>
  <c r="BV452" i="31"/>
  <c r="BV237" i="31"/>
  <c r="BZ451" i="31"/>
  <c r="BZ454" i="31"/>
  <c r="BZ452" i="31"/>
  <c r="BZ237" i="31"/>
  <c r="BZ238" i="31"/>
  <c r="BR454" i="31"/>
  <c r="O240" i="31"/>
  <c r="CA425" i="31"/>
  <c r="CA255" i="31"/>
  <c r="BP242" i="31"/>
  <c r="BT242" i="31"/>
  <c r="BX242" i="31"/>
  <c r="CB242" i="31"/>
  <c r="P243" i="31"/>
  <c r="P247" i="31"/>
  <c r="P245" i="31"/>
  <c r="BS247" i="31"/>
  <c r="BS246" i="31"/>
  <c r="BW247" i="31"/>
  <c r="BW246" i="31"/>
  <c r="CB246" i="31"/>
  <c r="CA247" i="31"/>
  <c r="CA246" i="31"/>
  <c r="BY252" i="31"/>
  <c r="CE255" i="31"/>
  <c r="CI255" i="31"/>
  <c r="BO252" i="31"/>
  <c r="BO425" i="31" s="1"/>
  <c r="BO431" i="31" s="1"/>
  <c r="CJ259" i="31"/>
  <c r="CI259" i="31"/>
  <c r="CI258" i="31"/>
  <c r="Q313" i="31"/>
  <c r="R291" i="31"/>
  <c r="R289" i="31"/>
  <c r="P315" i="31"/>
  <c r="R297" i="31"/>
  <c r="Q316" i="31"/>
  <c r="Q297" i="31"/>
  <c r="R303" i="31"/>
  <c r="Q303" i="31"/>
  <c r="CC318" i="31"/>
  <c r="CC316" i="31"/>
  <c r="CC314" i="31"/>
  <c r="CD310" i="31"/>
  <c r="CC310" i="31"/>
  <c r="CC309" i="31"/>
  <c r="CC319" i="31"/>
  <c r="CC317" i="31"/>
  <c r="CC315" i="31"/>
  <c r="CC313" i="31"/>
  <c r="CG318" i="31"/>
  <c r="CG316" i="31"/>
  <c r="CG314" i="31"/>
  <c r="CH310" i="31"/>
  <c r="CG310" i="31"/>
  <c r="CG309" i="31"/>
  <c r="CG319" i="31"/>
  <c r="CG317" i="31"/>
  <c r="CG315" i="31"/>
  <c r="CG313" i="31"/>
  <c r="CK318" i="31"/>
  <c r="CK316" i="31"/>
  <c r="CK314" i="31"/>
  <c r="CL310" i="31"/>
  <c r="CK310" i="31"/>
  <c r="CK309" i="31"/>
  <c r="CK319" i="31"/>
  <c r="CK317" i="31"/>
  <c r="CK315" i="31"/>
  <c r="CK313" i="31"/>
  <c r="R308" i="31"/>
  <c r="R314" i="31" s="1"/>
  <c r="P313" i="31"/>
  <c r="Q318" i="31"/>
  <c r="BV334" i="31"/>
  <c r="BZ334" i="31"/>
  <c r="BY348" i="31"/>
  <c r="BY345" i="31"/>
  <c r="CT369" i="31"/>
  <c r="CT368" i="31"/>
  <c r="T380" i="31"/>
  <c r="U380" i="31" s="1"/>
  <c r="V380" i="31" s="1"/>
  <c r="W380" i="31" s="1"/>
  <c r="X380" i="31" s="1"/>
  <c r="Y380" i="31" s="1"/>
  <c r="Z380" i="31" s="1"/>
  <c r="AA380" i="31" s="1"/>
  <c r="AB380" i="31" s="1"/>
  <c r="AC380" i="31" s="1"/>
  <c r="AD380" i="31" s="1"/>
  <c r="AE380" i="31" s="1"/>
  <c r="AF380" i="31" s="1"/>
  <c r="BX210" i="31"/>
  <c r="CB210" i="31"/>
  <c r="BX211" i="31"/>
  <c r="CB211" i="31"/>
  <c r="CH219" i="31"/>
  <c r="BQ443" i="31"/>
  <c r="BQ441" i="31"/>
  <c r="BU443" i="31"/>
  <c r="BU441" i="31"/>
  <c r="BU440" i="31"/>
  <c r="BY443" i="31"/>
  <c r="BY441" i="31"/>
  <c r="BY440" i="31"/>
  <c r="CC443" i="31"/>
  <c r="CC441" i="31"/>
  <c r="CC440" i="31"/>
  <c r="BY228" i="31"/>
  <c r="CC228" i="31"/>
  <c r="BY229" i="31"/>
  <c r="CC229" i="31"/>
  <c r="BS450" i="31"/>
  <c r="BS252" i="31"/>
  <c r="BS237" i="31"/>
  <c r="BW450" i="31"/>
  <c r="BW252" i="31"/>
  <c r="CA253" i="31" s="1"/>
  <c r="CA452" i="31"/>
  <c r="CA454" i="31"/>
  <c r="BW237" i="31"/>
  <c r="CA237" i="31"/>
  <c r="CE237" i="31"/>
  <c r="BW238" i="31"/>
  <c r="CA238" i="31"/>
  <c r="BT247" i="31"/>
  <c r="BX247" i="31"/>
  <c r="BT246" i="31"/>
  <c r="Q252" i="31"/>
  <c r="BS251" i="31"/>
  <c r="BW251" i="31"/>
  <c r="CA251" i="31"/>
  <c r="BZ252" i="31"/>
  <c r="CF255" i="31"/>
  <c r="CK253" i="31"/>
  <c r="BR252" i="31"/>
  <c r="CJ263" i="31"/>
  <c r="R262" i="31"/>
  <c r="Q315" i="31"/>
  <c r="R318" i="31"/>
  <c r="P319" i="31"/>
  <c r="BZ345" i="31"/>
  <c r="BZ344" i="31"/>
  <c r="BZ348" i="31" s="1"/>
  <c r="T365" i="31"/>
  <c r="U364" i="31"/>
  <c r="V364" i="31" s="1"/>
  <c r="W364" i="31" s="1"/>
  <c r="X364" i="31" s="1"/>
  <c r="Y364" i="31" s="1"/>
  <c r="Z364" i="31" s="1"/>
  <c r="AA364" i="31" s="1"/>
  <c r="AB364" i="31" s="1"/>
  <c r="AC364" i="31" s="1"/>
  <c r="AD364" i="31" s="1"/>
  <c r="AE364" i="31" s="1"/>
  <c r="AF364" i="31" s="1"/>
  <c r="CT375" i="31"/>
  <c r="T373" i="31"/>
  <c r="U391" i="31"/>
  <c r="V388" i="31"/>
  <c r="BS249" i="31"/>
  <c r="BS250" i="31"/>
  <c r="BW249" i="31"/>
  <c r="CA249" i="31"/>
  <c r="CE249" i="31"/>
  <c r="BW250" i="31"/>
  <c r="CA250" i="31"/>
  <c r="CE253" i="31"/>
  <c r="CI253" i="31"/>
  <c r="CE254" i="31"/>
  <c r="CI254" i="31"/>
  <c r="CJ258" i="31"/>
  <c r="BV277" i="31"/>
  <c r="BZ277" i="31"/>
  <c r="Q289" i="31"/>
  <c r="Q291" i="31"/>
  <c r="Q294" i="31"/>
  <c r="CF309" i="31"/>
  <c r="CJ309" i="31"/>
  <c r="CB310" i="31"/>
  <c r="CF310" i="31"/>
  <c r="CJ310" i="31"/>
  <c r="BY313" i="31"/>
  <c r="CA314" i="31"/>
  <c r="CE314" i="31"/>
  <c r="CI314" i="31"/>
  <c r="BY315" i="31"/>
  <c r="CA316" i="31"/>
  <c r="CE316" i="31"/>
  <c r="CI316" i="31"/>
  <c r="BY317" i="31"/>
  <c r="BY319" i="31"/>
  <c r="BS327" i="31"/>
  <c r="BW327" i="31"/>
  <c r="BW341" i="31" s="1"/>
  <c r="CA327" i="31"/>
  <c r="BO337" i="31"/>
  <c r="BS337" i="31"/>
  <c r="BW337" i="31"/>
  <c r="CA337" i="31"/>
  <c r="BV338" i="31"/>
  <c r="BZ338" i="31"/>
  <c r="S367" i="31"/>
  <c r="CH353" i="31"/>
  <c r="CD353" i="31"/>
  <c r="CJ405" i="31"/>
  <c r="CJ404" i="31"/>
  <c r="CS385" i="31"/>
  <c r="CS381" i="31"/>
  <c r="CR381" i="31"/>
  <c r="CJ387" i="31"/>
  <c r="CN387" i="31"/>
  <c r="R391" i="31"/>
  <c r="CS395" i="31"/>
  <c r="CS396" i="31"/>
  <c r="CT394" i="31"/>
  <c r="CR401" i="31"/>
  <c r="CF253" i="31"/>
  <c r="CF254" i="31"/>
  <c r="CB314" i="31"/>
  <c r="CF314" i="31"/>
  <c r="CJ314" i="31"/>
  <c r="CD315" i="31"/>
  <c r="CH315" i="31"/>
  <c r="CL315" i="31"/>
  <c r="CB316" i="31"/>
  <c r="CF316" i="31"/>
  <c r="CJ316" i="31"/>
  <c r="CD317" i="31"/>
  <c r="CH317" i="31"/>
  <c r="CL317" i="31"/>
  <c r="CQ369" i="31"/>
  <c r="CQ368" i="31"/>
  <c r="T358" i="31"/>
  <c r="CS382" i="31"/>
  <c r="CR384" i="31"/>
  <c r="CR383" i="31"/>
  <c r="Q391" i="31"/>
  <c r="BY314" i="31"/>
  <c r="BY316" i="31"/>
  <c r="Q403" i="31"/>
  <c r="CR367" i="31"/>
  <c r="CL403" i="31"/>
  <c r="CM369" i="31"/>
  <c r="CL369" i="31"/>
  <c r="CP403" i="31"/>
  <c r="CP369" i="31"/>
  <c r="CF369" i="31"/>
  <c r="T370" i="31"/>
  <c r="S392" i="31"/>
  <c r="R400" i="31"/>
  <c r="R398" i="31"/>
  <c r="CF405" i="31"/>
  <c r="S353" i="31"/>
  <c r="CR354" i="31"/>
  <c r="CQ363" i="31"/>
  <c r="CI403" i="31"/>
  <c r="CM403" i="31"/>
  <c r="CI368" i="31"/>
  <c r="CM368" i="31"/>
  <c r="CO369" i="31"/>
  <c r="CQ372" i="31"/>
  <c r="CQ381" i="31"/>
  <c r="CJ386" i="31"/>
  <c r="CN386" i="31"/>
  <c r="CN392" i="31"/>
  <c r="CT393" i="31"/>
  <c r="CR396" i="31"/>
  <c r="CH393" i="31"/>
  <c r="S400" i="31"/>
  <c r="S401" i="31" s="1"/>
  <c r="CN402" i="31"/>
  <c r="CN401" i="31"/>
  <c r="CO403" i="31"/>
  <c r="T412" i="31"/>
  <c r="T361" i="31"/>
  <c r="CJ368" i="31"/>
  <c r="CG403" i="31"/>
  <c r="CG405" i="31" s="1"/>
  <c r="CH369" i="31"/>
  <c r="T376" i="31"/>
  <c r="CJ392" i="31"/>
  <c r="CR395" i="31"/>
  <c r="CS397" i="31"/>
  <c r="CJ402" i="31"/>
  <c r="CH402" i="31"/>
  <c r="CQ464" i="31"/>
  <c r="CK403" i="31"/>
  <c r="CK368" i="31"/>
  <c r="CH405" i="31"/>
  <c r="CI369" i="31"/>
  <c r="Q400" i="31"/>
  <c r="O412" i="31"/>
  <c r="U423" i="31"/>
  <c r="V423" i="31" s="1"/>
  <c r="W423" i="31" s="1"/>
  <c r="X423" i="31" s="1"/>
  <c r="Y423" i="31" s="1"/>
  <c r="Z423" i="31" s="1"/>
  <c r="AA423" i="31" s="1"/>
  <c r="AB423" i="31" s="1"/>
  <c r="AC423" i="31" s="1"/>
  <c r="AD423" i="31" s="1"/>
  <c r="AE423" i="31" s="1"/>
  <c r="AF423" i="31" s="1"/>
  <c r="T424" i="31"/>
  <c r="CQ392" i="31"/>
  <c r="CQ395" i="31"/>
  <c r="CQ400" i="31"/>
  <c r="CR402" i="31" s="1"/>
  <c r="CQ399" i="31"/>
  <c r="CQ398" i="31"/>
  <c r="S398" i="31"/>
  <c r="CI401" i="31"/>
  <c r="CM401" i="31"/>
  <c r="O424" i="31"/>
  <c r="CL464" i="31"/>
  <c r="CL466" i="31" s="1"/>
  <c r="T440" i="31"/>
  <c r="T443" i="31"/>
  <c r="CI464" i="31"/>
  <c r="S454" i="31"/>
  <c r="CJ464" i="31"/>
  <c r="CM464" i="31"/>
  <c r="CK464" i="31"/>
  <c r="CN464" i="31"/>
  <c r="CO464" i="31"/>
  <c r="BW18" i="28"/>
  <c r="CA18" i="28"/>
  <c r="CE18" i="28"/>
  <c r="P17" i="28"/>
  <c r="BU18" i="28"/>
  <c r="CG18" i="28"/>
  <c r="CH18" i="28"/>
  <c r="BY18" i="28"/>
  <c r="F18" i="28"/>
  <c r="G18" i="28"/>
  <c r="CG57" i="29"/>
  <c r="K7" i="81"/>
  <c r="N24" i="81"/>
  <c r="N28" i="81"/>
  <c r="N25" i="81"/>
  <c r="I20" i="81"/>
  <c r="I29" i="81"/>
  <c r="K9" i="81"/>
  <c r="N26" i="81"/>
  <c r="K6" i="81"/>
  <c r="K10" i="81"/>
  <c r="N27" i="81"/>
  <c r="I13" i="81"/>
  <c r="N13" i="81"/>
  <c r="T13" i="81"/>
  <c r="F20" i="81"/>
  <c r="K22" i="81"/>
  <c r="G23" i="81"/>
  <c r="G24" i="81"/>
  <c r="G25" i="81"/>
  <c r="G26" i="81"/>
  <c r="G27" i="81"/>
  <c r="G28" i="81"/>
  <c r="G29" i="81"/>
  <c r="P22" i="81"/>
  <c r="T22" i="81"/>
  <c r="K31" i="81"/>
  <c r="Q31" i="81"/>
  <c r="L39" i="81"/>
  <c r="R39" i="81"/>
  <c r="J45" i="81"/>
  <c r="O45" i="81"/>
  <c r="S45" i="81"/>
  <c r="J13" i="81"/>
  <c r="P13" i="81"/>
  <c r="O13" i="81"/>
  <c r="L22" i="81"/>
  <c r="H23" i="81"/>
  <c r="H24" i="81"/>
  <c r="H25" i="81"/>
  <c r="H26" i="81"/>
  <c r="H27" i="81"/>
  <c r="H28" i="81"/>
  <c r="H29" i="81"/>
  <c r="Q22" i="81"/>
  <c r="N23" i="81"/>
  <c r="L31" i="81"/>
  <c r="R31" i="81"/>
  <c r="N31" i="81"/>
  <c r="I39" i="81"/>
  <c r="O39" i="81"/>
  <c r="S39" i="81"/>
  <c r="N39" i="81"/>
  <c r="K45" i="81"/>
  <c r="P45" i="81"/>
  <c r="T45" i="81"/>
  <c r="K13" i="81"/>
  <c r="R13" i="81"/>
  <c r="I22" i="81"/>
  <c r="E23" i="81"/>
  <c r="I23" i="81"/>
  <c r="E24" i="81"/>
  <c r="I24" i="81"/>
  <c r="E25" i="81"/>
  <c r="I25" i="81"/>
  <c r="E26" i="81"/>
  <c r="I26" i="81"/>
  <c r="E27" i="81"/>
  <c r="I27" i="81"/>
  <c r="E28" i="81"/>
  <c r="I28" i="81"/>
  <c r="E29" i="81"/>
  <c r="N22" i="81"/>
  <c r="R22" i="81"/>
  <c r="I31" i="81"/>
  <c r="O31" i="81"/>
  <c r="S31" i="81"/>
  <c r="J39" i="81"/>
  <c r="P39" i="81"/>
  <c r="T39" i="81"/>
  <c r="L45" i="81"/>
  <c r="Q45" i="81"/>
  <c r="J5" i="81"/>
  <c r="J8" i="81"/>
  <c r="S13" i="81"/>
  <c r="Q13" i="81"/>
  <c r="J22" i="81"/>
  <c r="F23" i="81"/>
  <c r="F24" i="81"/>
  <c r="F25" i="81"/>
  <c r="F26" i="81"/>
  <c r="F27" i="81"/>
  <c r="F28" i="81"/>
  <c r="AK61" i="30"/>
  <c r="AK53" i="30"/>
  <c r="BA61" i="30"/>
  <c r="AC128" i="30"/>
  <c r="AC73" i="30"/>
  <c r="AO128" i="30"/>
  <c r="AO73" i="30"/>
  <c r="BY18" i="30"/>
  <c r="BZ18" i="30" s="1"/>
  <c r="AI149" i="30"/>
  <c r="AI74" i="30"/>
  <c r="AI67" i="30"/>
  <c r="AL78" i="29"/>
  <c r="G34" i="30"/>
  <c r="AQ149" i="30"/>
  <c r="AQ67" i="30"/>
  <c r="AQ74" i="30"/>
  <c r="I34" i="30"/>
  <c r="AT78" i="29"/>
  <c r="BH149" i="30"/>
  <c r="BH41" i="30"/>
  <c r="BH67" i="30"/>
  <c r="BI34" i="30"/>
  <c r="CC149" i="30"/>
  <c r="CC113" i="30"/>
  <c r="CC112" i="30" s="1"/>
  <c r="CC67" i="30"/>
  <c r="CC41" i="30"/>
  <c r="CD34" i="30"/>
  <c r="BT122" i="30"/>
  <c r="BT73" i="30"/>
  <c r="Z30" i="30"/>
  <c r="AD30" i="30"/>
  <c r="AH30" i="30"/>
  <c r="AL30" i="30"/>
  <c r="AP30" i="30"/>
  <c r="AT30" i="30"/>
  <c r="AX30" i="30"/>
  <c r="BB30" i="30"/>
  <c r="BH30" i="30"/>
  <c r="BR96" i="28"/>
  <c r="BR102" i="28" s="1"/>
  <c r="BR101" i="28" s="1"/>
  <c r="BT30" i="30"/>
  <c r="BU10" i="30"/>
  <c r="BN148" i="30"/>
  <c r="N21" i="30"/>
  <c r="N148" i="30" s="1"/>
  <c r="BT148" i="30"/>
  <c r="BU21" i="30"/>
  <c r="N26" i="30"/>
  <c r="BM26" i="30"/>
  <c r="BN26" i="30" s="1"/>
  <c r="M26" i="30"/>
  <c r="BU23" i="30"/>
  <c r="BV23" i="30" s="1"/>
  <c r="P23" i="30"/>
  <c r="AO30" i="30"/>
  <c r="BQ35" i="30"/>
  <c r="AG128" i="30"/>
  <c r="AG73" i="30"/>
  <c r="AS128" i="30"/>
  <c r="AS73" i="30"/>
  <c r="BX92" i="30"/>
  <c r="BY16" i="30"/>
  <c r="P28" i="30"/>
  <c r="BU28" i="30"/>
  <c r="BV28" i="30" s="1"/>
  <c r="AE149" i="30"/>
  <c r="AE67" i="30"/>
  <c r="AE69" i="30" s="1"/>
  <c r="AE74" i="30"/>
  <c r="AH78" i="29"/>
  <c r="AU149" i="30"/>
  <c r="AU67" i="30"/>
  <c r="AU74" i="30"/>
  <c r="AX78" i="29"/>
  <c r="BC149" i="30"/>
  <c r="BC74" i="30"/>
  <c r="BC67" i="30"/>
  <c r="BC41" i="30"/>
  <c r="L34" i="30"/>
  <c r="BP122" i="30"/>
  <c r="BP73" i="30"/>
  <c r="O47" i="28"/>
  <c r="O73" i="30" s="1"/>
  <c r="P47" i="28"/>
  <c r="N10" i="30"/>
  <c r="AA30" i="30"/>
  <c r="AE30" i="30"/>
  <c r="AI30" i="30"/>
  <c r="AM30" i="30"/>
  <c r="AQ30" i="30"/>
  <c r="AU30" i="30"/>
  <c r="AY30" i="30"/>
  <c r="M10" i="30"/>
  <c r="BJ10" i="30"/>
  <c r="BP61" i="30"/>
  <c r="BX30" i="30"/>
  <c r="E13" i="30"/>
  <c r="E73" i="30" s="1"/>
  <c r="I13" i="30"/>
  <c r="CD128" i="30"/>
  <c r="CD130" i="30" s="1"/>
  <c r="CD30" i="30"/>
  <c r="J16" i="30"/>
  <c r="J92" i="30" s="1"/>
  <c r="M18" i="30"/>
  <c r="G17" i="30"/>
  <c r="E18" i="30"/>
  <c r="I18" i="30"/>
  <c r="E19" i="30"/>
  <c r="H19" i="30"/>
  <c r="I19" i="30"/>
  <c r="BS61" i="30"/>
  <c r="BS53" i="30"/>
  <c r="AB148" i="30"/>
  <c r="AF148" i="30"/>
  <c r="F21" i="30"/>
  <c r="AJ148" i="30"/>
  <c r="AJ154" i="30" s="1"/>
  <c r="AN148" i="30"/>
  <c r="AR148" i="30"/>
  <c r="AV148" i="30"/>
  <c r="J21" i="30"/>
  <c r="J148" i="30" s="1"/>
  <c r="AZ148" i="30"/>
  <c r="BD148" i="30"/>
  <c r="BI148" i="30"/>
  <c r="BJ21" i="30"/>
  <c r="BJ148" i="30" s="1"/>
  <c r="CD148" i="30"/>
  <c r="R21" i="30"/>
  <c r="M23" i="30"/>
  <c r="M24" i="30"/>
  <c r="O23" i="30"/>
  <c r="O148" i="30" s="1"/>
  <c r="BQ26" i="30"/>
  <c r="BR26" i="30" s="1"/>
  <c r="P25" i="30"/>
  <c r="U85" i="30"/>
  <c r="V28" i="30"/>
  <c r="G28" i="30"/>
  <c r="K28" i="30"/>
  <c r="H29" i="30"/>
  <c r="AC30" i="30"/>
  <c r="AS30" i="30"/>
  <c r="G33" i="30"/>
  <c r="AA41" i="30"/>
  <c r="AE41" i="30"/>
  <c r="AI41" i="30"/>
  <c r="H33" i="30"/>
  <c r="I33" i="30"/>
  <c r="F34" i="30"/>
  <c r="BM149" i="30"/>
  <c r="BM67" i="30"/>
  <c r="BM41" i="30"/>
  <c r="BN34" i="30"/>
  <c r="BY35" i="30"/>
  <c r="N40" i="30"/>
  <c r="AK128" i="30"/>
  <c r="AK73" i="30"/>
  <c r="AK76" i="30" s="1"/>
  <c r="AK80" i="30" s="1"/>
  <c r="G13" i="30"/>
  <c r="AW128" i="30"/>
  <c r="AW73" i="30"/>
  <c r="BA128" i="30"/>
  <c r="K13" i="30"/>
  <c r="K128" i="30" s="1"/>
  <c r="K129" i="30" s="1"/>
  <c r="BX128" i="30"/>
  <c r="BY13" i="30"/>
  <c r="BM17" i="30"/>
  <c r="K148" i="30"/>
  <c r="CC30" i="30"/>
  <c r="AA149" i="30"/>
  <c r="AA67" i="30"/>
  <c r="AA74" i="30"/>
  <c r="E34" i="30"/>
  <c r="AD78" i="29"/>
  <c r="AM149" i="30"/>
  <c r="AM67" i="30"/>
  <c r="AM74" i="30"/>
  <c r="AM76" i="30" s="1"/>
  <c r="AM80" i="30" s="1"/>
  <c r="AP78" i="29"/>
  <c r="H34" i="30"/>
  <c r="AY149" i="30"/>
  <c r="AY74" i="30"/>
  <c r="AY67" i="30"/>
  <c r="BB78" i="29"/>
  <c r="K34" i="30"/>
  <c r="P40" i="30"/>
  <c r="BU40" i="30"/>
  <c r="BV40" i="30" s="1"/>
  <c r="AB30" i="30"/>
  <c r="E10" i="30"/>
  <c r="AF61" i="30"/>
  <c r="AJ30" i="30"/>
  <c r="AN96" i="28"/>
  <c r="AN30" i="30"/>
  <c r="AR96" i="28"/>
  <c r="AR30" i="30"/>
  <c r="I10" i="30"/>
  <c r="AV96" i="28"/>
  <c r="AV61" i="30"/>
  <c r="AZ61" i="30"/>
  <c r="BL30" i="30"/>
  <c r="BZ10" i="30"/>
  <c r="CC96" i="28"/>
  <c r="CC102" i="28" s="1"/>
  <c r="CC101" i="28" s="1"/>
  <c r="H13" i="30"/>
  <c r="AA92" i="30"/>
  <c r="E16" i="30"/>
  <c r="E92" i="30" s="1"/>
  <c r="E93" i="30" s="1"/>
  <c r="E66" i="30" s="1"/>
  <c r="AI92" i="30"/>
  <c r="AI93" i="30" s="1"/>
  <c r="AI66" i="30" s="1"/>
  <c r="AI69" i="30" s="1"/>
  <c r="G16" i="30"/>
  <c r="G92" i="30" s="1"/>
  <c r="AM92" i="30"/>
  <c r="H16" i="30"/>
  <c r="H92" i="30" s="1"/>
  <c r="AQ92" i="30"/>
  <c r="AQ93" i="30" s="1"/>
  <c r="AQ66" i="30" s="1"/>
  <c r="I16" i="30"/>
  <c r="I92" i="30" s="1"/>
  <c r="AY92" i="30"/>
  <c r="K16" i="30"/>
  <c r="K92" i="30" s="1"/>
  <c r="BC92" i="30"/>
  <c r="L16" i="30"/>
  <c r="L92" i="30" s="1"/>
  <c r="BH92" i="30"/>
  <c r="BI16" i="30"/>
  <c r="R17" i="30"/>
  <c r="F18" i="30"/>
  <c r="J18" i="30"/>
  <c r="F19" i="30"/>
  <c r="J19" i="30"/>
  <c r="P19" i="30"/>
  <c r="G148" i="30"/>
  <c r="BY148" i="30"/>
  <c r="BZ21" i="30"/>
  <c r="BZ148" i="30" s="1"/>
  <c r="F23" i="30"/>
  <c r="J23" i="30"/>
  <c r="E24" i="30"/>
  <c r="E148" i="30" s="1"/>
  <c r="H24" i="30"/>
  <c r="H148" i="30" s="1"/>
  <c r="I24" i="30"/>
  <c r="I148" i="30" s="1"/>
  <c r="L24" i="30"/>
  <c r="R23" i="30"/>
  <c r="R30" i="30" s="1"/>
  <c r="R26" i="30"/>
  <c r="F26" i="30"/>
  <c r="J26" i="30"/>
  <c r="I27" i="30"/>
  <c r="BM28" i="30"/>
  <c r="BN28" i="30" s="1"/>
  <c r="O28" i="30"/>
  <c r="R28" i="30"/>
  <c r="AG30" i="30"/>
  <c r="AW30" i="30"/>
  <c r="F33" i="30"/>
  <c r="AF41" i="30"/>
  <c r="AF53" i="30" s="1"/>
  <c r="J33" i="30"/>
  <c r="AV41" i="30"/>
  <c r="J34" i="30"/>
  <c r="N35" i="30"/>
  <c r="O149" i="30"/>
  <c r="O74" i="30"/>
  <c r="O67" i="30"/>
  <c r="BU149" i="30"/>
  <c r="BU113" i="30"/>
  <c r="BU112" i="30" s="1"/>
  <c r="BU67" i="30"/>
  <c r="BU41" i="30"/>
  <c r="BV34" i="30"/>
  <c r="H35" i="30"/>
  <c r="H37" i="30"/>
  <c r="BP49" i="30"/>
  <c r="BQ44" i="30"/>
  <c r="AQ75" i="30"/>
  <c r="I46" i="30"/>
  <c r="I75" i="30" s="1"/>
  <c r="BQ122" i="30"/>
  <c r="BQ73" i="30"/>
  <c r="BU122" i="30"/>
  <c r="BU73" i="30"/>
  <c r="G10" i="30"/>
  <c r="K10" i="30"/>
  <c r="K30" i="30" s="1"/>
  <c r="K61" i="30" s="1"/>
  <c r="M13" i="30"/>
  <c r="M128" i="30" s="1"/>
  <c r="M129" i="30" s="1"/>
  <c r="AD128" i="30"/>
  <c r="AD73" i="30"/>
  <c r="AH128" i="30"/>
  <c r="AH73" i="30"/>
  <c r="AH76" i="30" s="1"/>
  <c r="AH80" i="30" s="1"/>
  <c r="AL128" i="30"/>
  <c r="AL73" i="30"/>
  <c r="AP128" i="30"/>
  <c r="AP73" i="30"/>
  <c r="AP76" i="30" s="1"/>
  <c r="AP80" i="30" s="1"/>
  <c r="AT128" i="30"/>
  <c r="AT73" i="30"/>
  <c r="AX128" i="30"/>
  <c r="AX73" i="30"/>
  <c r="AZ78" i="30"/>
  <c r="AZ66" i="30"/>
  <c r="BQ16" i="30"/>
  <c r="BV16" i="30"/>
  <c r="BV92" i="30" s="1"/>
  <c r="L21" i="30"/>
  <c r="L148" i="30" s="1"/>
  <c r="AC148" i="30"/>
  <c r="AC154" i="30" s="1"/>
  <c r="AG148" i="30"/>
  <c r="AK148" i="30"/>
  <c r="AO148" i="30"/>
  <c r="AS148" i="30"/>
  <c r="AS154" i="30" s="1"/>
  <c r="AW148" i="30"/>
  <c r="BA148" i="30"/>
  <c r="BE148" i="30"/>
  <c r="BP148" i="30"/>
  <c r="AB149" i="30"/>
  <c r="AB74" i="30"/>
  <c r="AF149" i="30"/>
  <c r="AF154" i="30" s="1"/>
  <c r="AF74" i="30"/>
  <c r="AJ149" i="30"/>
  <c r="AJ74" i="30"/>
  <c r="AN149" i="30"/>
  <c r="AN154" i="30" s="1"/>
  <c r="AN74" i="30"/>
  <c r="AR149" i="30"/>
  <c r="AR74" i="30"/>
  <c r="AV149" i="30"/>
  <c r="AV154" i="30" s="1"/>
  <c r="AV74" i="30"/>
  <c r="AZ149" i="30"/>
  <c r="AZ74" i="30"/>
  <c r="BD149" i="30"/>
  <c r="BD74" i="30"/>
  <c r="BP149" i="30"/>
  <c r="BP113" i="30"/>
  <c r="BP112" i="30" s="1"/>
  <c r="BX149" i="30"/>
  <c r="BX113" i="30"/>
  <c r="R40" i="30"/>
  <c r="E44" i="30"/>
  <c r="AA49" i="30"/>
  <c r="AE49" i="30"/>
  <c r="AI49" i="30"/>
  <c r="AM49" i="30"/>
  <c r="AQ49" i="30"/>
  <c r="I49" i="30" s="1"/>
  <c r="BL49" i="30"/>
  <c r="BM44" i="30"/>
  <c r="CB49" i="30"/>
  <c r="CC44" i="30"/>
  <c r="BU45" i="30"/>
  <c r="BV45" i="30" s="1"/>
  <c r="CC75" i="30"/>
  <c r="CD46" i="30"/>
  <c r="BR48" i="30"/>
  <c r="O48" i="30" s="1"/>
  <c r="BA66" i="30"/>
  <c r="P82" i="30"/>
  <c r="AB67" i="30"/>
  <c r="AR67" i="30"/>
  <c r="AF73" i="30"/>
  <c r="AI75" i="30"/>
  <c r="G46" i="30"/>
  <c r="G75" i="30" s="1"/>
  <c r="AG69" i="30"/>
  <c r="BR122" i="30"/>
  <c r="BR73" i="30"/>
  <c r="BV122" i="30"/>
  <c r="BV73" i="30"/>
  <c r="BV101" i="28"/>
  <c r="CE141" i="30"/>
  <c r="H10" i="30"/>
  <c r="F13" i="30"/>
  <c r="F30" i="30" s="1"/>
  <c r="J13" i="30"/>
  <c r="J30" i="30" s="1"/>
  <c r="J61" i="30" s="1"/>
  <c r="N13" i="30"/>
  <c r="N128" i="30" s="1"/>
  <c r="N129" i="30" s="1"/>
  <c r="R13" i="30"/>
  <c r="AA128" i="30"/>
  <c r="AA73" i="30"/>
  <c r="AE128" i="30"/>
  <c r="AE73" i="30"/>
  <c r="AI128" i="30"/>
  <c r="AI73" i="30"/>
  <c r="AM128" i="30"/>
  <c r="AM73" i="30"/>
  <c r="AQ128" i="30"/>
  <c r="AQ73" i="30"/>
  <c r="AU128" i="30"/>
  <c r="AU73" i="30"/>
  <c r="P16" i="30"/>
  <c r="P92" i="30" s="1"/>
  <c r="Q21" i="30"/>
  <c r="Q148" i="30" s="1"/>
  <c r="Z148" i="30"/>
  <c r="Z154" i="30" s="1"/>
  <c r="AD148" i="30"/>
  <c r="AH148" i="30"/>
  <c r="AL148" i="30"/>
  <c r="AP148" i="30"/>
  <c r="AP154" i="30" s="1"/>
  <c r="AT148" i="30"/>
  <c r="AX148" i="30"/>
  <c r="BB148" i="30"/>
  <c r="BF148" i="30"/>
  <c r="BL148" i="30"/>
  <c r="BQ148" i="30"/>
  <c r="CB148" i="30"/>
  <c r="BK53" i="30"/>
  <c r="BO61" i="30"/>
  <c r="BO53" i="30"/>
  <c r="BW61" i="30"/>
  <c r="BW53" i="30"/>
  <c r="CA61" i="30"/>
  <c r="CA53" i="30"/>
  <c r="E33" i="30"/>
  <c r="E41" i="30" s="1"/>
  <c r="AC149" i="30"/>
  <c r="AC74" i="30"/>
  <c r="AC67" i="30"/>
  <c r="AG149" i="30"/>
  <c r="AG74" i="30"/>
  <c r="AG67" i="30"/>
  <c r="AK149" i="30"/>
  <c r="AK74" i="30"/>
  <c r="AK67" i="30"/>
  <c r="AO149" i="30"/>
  <c r="AO74" i="30"/>
  <c r="AO67" i="30"/>
  <c r="AO69" i="30" s="1"/>
  <c r="AS149" i="30"/>
  <c r="AS74" i="30"/>
  <c r="AS67" i="30"/>
  <c r="AW149" i="30"/>
  <c r="AW74" i="30"/>
  <c r="AW67" i="30"/>
  <c r="BA149" i="30"/>
  <c r="BA74" i="30"/>
  <c r="BA67" i="30"/>
  <c r="BE149" i="30"/>
  <c r="BE74" i="30"/>
  <c r="BE67" i="30"/>
  <c r="BQ149" i="30"/>
  <c r="BQ113" i="30"/>
  <c r="BQ112" i="30" s="1"/>
  <c r="BQ67" i="30"/>
  <c r="BY149" i="30"/>
  <c r="BY113" i="30"/>
  <c r="BY112" i="30" s="1"/>
  <c r="BY67" i="30"/>
  <c r="CE149" i="30"/>
  <c r="CE67" i="30"/>
  <c r="CE41" i="30"/>
  <c r="F44" i="30"/>
  <c r="K44" i="30"/>
  <c r="AN49" i="30"/>
  <c r="L44" i="30"/>
  <c r="BI44" i="30"/>
  <c r="BX49" i="30"/>
  <c r="BY44" i="30"/>
  <c r="G45" i="30"/>
  <c r="K45" i="30"/>
  <c r="O45" i="30"/>
  <c r="F46" i="30"/>
  <c r="F75" i="30" s="1"/>
  <c r="BM75" i="30"/>
  <c r="BN46" i="30"/>
  <c r="BH48" i="30"/>
  <c r="BI48" i="30" s="1"/>
  <c r="BJ48" i="30" s="1"/>
  <c r="AG49" i="30"/>
  <c r="BG61" i="30"/>
  <c r="AF67" i="30"/>
  <c r="AV67" i="30"/>
  <c r="BP67" i="30"/>
  <c r="BX67" i="30"/>
  <c r="AB76" i="30"/>
  <c r="AB80" i="30" s="1"/>
  <c r="AF76" i="30"/>
  <c r="AF80" i="30" s="1"/>
  <c r="AV73" i="30"/>
  <c r="BD93" i="30"/>
  <c r="AA75" i="30"/>
  <c r="E46" i="30"/>
  <c r="E75" i="30" s="1"/>
  <c r="AM75" i="30"/>
  <c r="H46" i="30"/>
  <c r="H75" i="30" s="1"/>
  <c r="BH75" i="30"/>
  <c r="BI46" i="30"/>
  <c r="AC69" i="30"/>
  <c r="BO122" i="30"/>
  <c r="BO73" i="30"/>
  <c r="BS122" i="30"/>
  <c r="BS73" i="30"/>
  <c r="BW122" i="30"/>
  <c r="BW73" i="30"/>
  <c r="CA122" i="30"/>
  <c r="CA73" i="30"/>
  <c r="BZ48" i="28"/>
  <c r="AB128" i="30"/>
  <c r="AB73" i="30"/>
  <c r="AJ128" i="30"/>
  <c r="AJ73" i="30"/>
  <c r="AJ76" i="30" s="1"/>
  <c r="AJ80" i="30" s="1"/>
  <c r="AN128" i="30"/>
  <c r="AN73" i="30"/>
  <c r="AN76" i="30" s="1"/>
  <c r="AN80" i="30" s="1"/>
  <c r="AR128" i="30"/>
  <c r="AR73" i="30"/>
  <c r="AR76" i="30" s="1"/>
  <c r="AR80" i="30" s="1"/>
  <c r="AA148" i="30"/>
  <c r="AE148" i="30"/>
  <c r="AI148" i="30"/>
  <c r="AI154" i="30" s="1"/>
  <c r="AM148" i="30"/>
  <c r="AQ148" i="30"/>
  <c r="AU148" i="30"/>
  <c r="AY148" i="30"/>
  <c r="AY154" i="30" s="1"/>
  <c r="BM148" i="30"/>
  <c r="BR148" i="30"/>
  <c r="CC148" i="30"/>
  <c r="CB30" i="30"/>
  <c r="AM41" i="30"/>
  <c r="AQ41" i="30"/>
  <c r="I41" i="30" s="1"/>
  <c r="AU41" i="30"/>
  <c r="AY41" i="30"/>
  <c r="Q149" i="30"/>
  <c r="Q74" i="30"/>
  <c r="Z149" i="30"/>
  <c r="Z74" i="30"/>
  <c r="Z67" i="30"/>
  <c r="AD149" i="30"/>
  <c r="AD74" i="30"/>
  <c r="AD67" i="30"/>
  <c r="AH149" i="30"/>
  <c r="AH74" i="30"/>
  <c r="AH67" i="30"/>
  <c r="AL149" i="30"/>
  <c r="AL74" i="30"/>
  <c r="AL67" i="30"/>
  <c r="AP149" i="30"/>
  <c r="AP74" i="30"/>
  <c r="AP67" i="30"/>
  <c r="AT149" i="30"/>
  <c r="AT74" i="30"/>
  <c r="AT67" i="30"/>
  <c r="AX149" i="30"/>
  <c r="AX74" i="30"/>
  <c r="AX67" i="30"/>
  <c r="BB149" i="30"/>
  <c r="BB74" i="30"/>
  <c r="BB67" i="30"/>
  <c r="BF149" i="30"/>
  <c r="BF74" i="30"/>
  <c r="BF67" i="30"/>
  <c r="BR149" i="30"/>
  <c r="BR113" i="30"/>
  <c r="BR112" i="30" s="1"/>
  <c r="BR67" i="30"/>
  <c r="BT149" i="30"/>
  <c r="BT113" i="30"/>
  <c r="BZ149" i="30"/>
  <c r="BZ113" i="30"/>
  <c r="BZ112" i="30" s="1"/>
  <c r="BZ67" i="30"/>
  <c r="CB149" i="30"/>
  <c r="CB113" i="30"/>
  <c r="BD41" i="30"/>
  <c r="BL41" i="30"/>
  <c r="BP41" i="30"/>
  <c r="BP53" i="30" s="1"/>
  <c r="BT41" i="30"/>
  <c r="BX41" i="30"/>
  <c r="G44" i="30"/>
  <c r="BT49" i="30"/>
  <c r="BU44" i="30"/>
  <c r="BI45" i="30"/>
  <c r="BJ45" i="30" s="1"/>
  <c r="Q45" i="30"/>
  <c r="BY45" i="30"/>
  <c r="BZ45" i="30" s="1"/>
  <c r="BX75" i="30"/>
  <c r="BY46" i="30"/>
  <c r="BM48" i="30"/>
  <c r="BN48" i="30" s="1"/>
  <c r="BK61" i="30"/>
  <c r="Q67" i="30"/>
  <c r="AB69" i="30"/>
  <c r="AJ67" i="30"/>
  <c r="AZ67" i="30"/>
  <c r="AO76" i="30"/>
  <c r="AO80" i="30" s="1"/>
  <c r="I93" i="30"/>
  <c r="I66" i="30" s="1"/>
  <c r="H44" i="30"/>
  <c r="H49" i="30" s="1"/>
  <c r="AR75" i="30"/>
  <c r="BT75" i="30"/>
  <c r="AM69" i="30"/>
  <c r="P86" i="30"/>
  <c r="J93" i="30"/>
  <c r="J66" i="30" s="1"/>
  <c r="AA93" i="30"/>
  <c r="AA66" i="30" s="1"/>
  <c r="AA69" i="30" s="1"/>
  <c r="AM93" i="30"/>
  <c r="AM66" i="30" s="1"/>
  <c r="AY93" i="30"/>
  <c r="D96" i="30"/>
  <c r="AB141" i="30"/>
  <c r="AB126" i="30"/>
  <c r="AB115" i="30"/>
  <c r="E108" i="30"/>
  <c r="AB116" i="30"/>
  <c r="AF141" i="30"/>
  <c r="AF126" i="30"/>
  <c r="AF115" i="30"/>
  <c r="AF114" i="30"/>
  <c r="AF116" i="30"/>
  <c r="F108" i="30"/>
  <c r="AJ141" i="30"/>
  <c r="AJ126" i="30"/>
  <c r="AJ115" i="30"/>
  <c r="AJ114" i="30"/>
  <c r="AJ116" i="30"/>
  <c r="AN141" i="30"/>
  <c r="AN126" i="30"/>
  <c r="AN115" i="30"/>
  <c r="AN114" i="30"/>
  <c r="AN116" i="30"/>
  <c r="AR141" i="30"/>
  <c r="AR126" i="30"/>
  <c r="AR115" i="30"/>
  <c r="I108" i="30"/>
  <c r="AR114" i="30"/>
  <c r="AR116" i="30"/>
  <c r="AV141" i="30"/>
  <c r="AV126" i="30"/>
  <c r="AV115" i="30"/>
  <c r="AV114" i="30"/>
  <c r="AV116" i="30"/>
  <c r="J108" i="30"/>
  <c r="AZ141" i="30"/>
  <c r="AZ126" i="30"/>
  <c r="AZ115" i="30"/>
  <c r="AZ114" i="30"/>
  <c r="AZ116" i="30"/>
  <c r="AS75" i="30"/>
  <c r="BP103" i="30"/>
  <c r="BP75" i="30"/>
  <c r="BU75" i="30"/>
  <c r="AF69" i="30"/>
  <c r="AJ69" i="30"/>
  <c r="AN69" i="30"/>
  <c r="O82" i="30"/>
  <c r="Q82" i="30"/>
  <c r="R82" i="30"/>
  <c r="S82" i="30"/>
  <c r="Z76" i="30"/>
  <c r="Z80" i="30" s="1"/>
  <c r="AD76" i="30"/>
  <c r="AD80" i="30" s="1"/>
  <c r="AL76" i="30"/>
  <c r="AL80" i="30" s="1"/>
  <c r="AT76" i="30"/>
  <c r="AT80" i="30" s="1"/>
  <c r="G93" i="30"/>
  <c r="G66" i="30" s="1"/>
  <c r="K93" i="30"/>
  <c r="O93" i="30"/>
  <c r="BQ78" i="30"/>
  <c r="BL75" i="30"/>
  <c r="BQ46" i="30"/>
  <c r="BV46" i="30"/>
  <c r="CB75" i="30"/>
  <c r="AA76" i="30"/>
  <c r="AA80" i="30" s="1"/>
  <c r="AE76" i="30"/>
  <c r="AE80" i="30" s="1"/>
  <c r="AI76" i="30"/>
  <c r="AI80" i="30" s="1"/>
  <c r="AQ76" i="30"/>
  <c r="AQ80" i="30" s="1"/>
  <c r="Q84" i="30"/>
  <c r="O84" i="30"/>
  <c r="H93" i="30"/>
  <c r="H66" i="30" s="1"/>
  <c r="AG93" i="30"/>
  <c r="AG66" i="30" s="1"/>
  <c r="AK93" i="30"/>
  <c r="AK66" i="30" s="1"/>
  <c r="AW93" i="30"/>
  <c r="AW66" i="30" s="1"/>
  <c r="N132" i="30"/>
  <c r="N124" i="30"/>
  <c r="Z93" i="30"/>
  <c r="Z66" i="30" s="1"/>
  <c r="Z69" i="30" s="1"/>
  <c r="AD93" i="30"/>
  <c r="AD66" i="30" s="1"/>
  <c r="AD69" i="30" s="1"/>
  <c r="AH93" i="30"/>
  <c r="AH66" i="30" s="1"/>
  <c r="AH69" i="30" s="1"/>
  <c r="AL93" i="30"/>
  <c r="AL66" i="30" s="1"/>
  <c r="AL69" i="30" s="1"/>
  <c r="AP93" i="30"/>
  <c r="AP66" i="30" s="1"/>
  <c r="AP69" i="30" s="1"/>
  <c r="AT93" i="30"/>
  <c r="AT66" i="30" s="1"/>
  <c r="AX93" i="30"/>
  <c r="AX66" i="30" s="1"/>
  <c r="BB93" i="30"/>
  <c r="I132" i="30"/>
  <c r="I125" i="30"/>
  <c r="N126" i="30"/>
  <c r="N117" i="30"/>
  <c r="N114" i="30"/>
  <c r="Z125" i="30"/>
  <c r="Z132" i="30"/>
  <c r="AD124" i="30"/>
  <c r="CB132" i="30"/>
  <c r="CB126" i="30"/>
  <c r="CB117" i="30"/>
  <c r="CB123" i="30"/>
  <c r="G108" i="30"/>
  <c r="K108" i="30"/>
  <c r="AC126" i="30"/>
  <c r="AC141" i="30"/>
  <c r="AG126" i="30"/>
  <c r="AG141" i="30"/>
  <c r="AK126" i="30"/>
  <c r="AK141" i="30"/>
  <c r="AO141" i="30"/>
  <c r="AO126" i="30"/>
  <c r="AS141" i="30"/>
  <c r="AS126" i="30"/>
  <c r="AW141" i="30"/>
  <c r="AW126" i="30"/>
  <c r="BB141" i="30"/>
  <c r="BB126" i="30"/>
  <c r="CE110" i="30"/>
  <c r="AE114" i="30"/>
  <c r="AI114" i="30"/>
  <c r="AM114" i="30"/>
  <c r="AQ114" i="30"/>
  <c r="AU114" i="30"/>
  <c r="AY114" i="30"/>
  <c r="BC114" i="30"/>
  <c r="CE114" i="30"/>
  <c r="CE117" i="30"/>
  <c r="Z115" i="30"/>
  <c r="BB115" i="30"/>
  <c r="AC116" i="30"/>
  <c r="AG116" i="30"/>
  <c r="AK116" i="30"/>
  <c r="AO116" i="30"/>
  <c r="AS116" i="30"/>
  <c r="AW116" i="30"/>
  <c r="J122" i="30"/>
  <c r="AA132" i="30"/>
  <c r="AA125" i="30"/>
  <c r="AA123" i="30"/>
  <c r="AE132" i="30"/>
  <c r="AE124" i="30"/>
  <c r="AE125" i="30"/>
  <c r="AE123" i="30"/>
  <c r="D100" i="30"/>
  <c r="H108" i="30"/>
  <c r="L108" i="30"/>
  <c r="AD141" i="30"/>
  <c r="AD126" i="30"/>
  <c r="AH141" i="30"/>
  <c r="AH126" i="30"/>
  <c r="AL141" i="30"/>
  <c r="AL126" i="30"/>
  <c r="AP141" i="30"/>
  <c r="AP126" i="30"/>
  <c r="AT141" i="30"/>
  <c r="AT126" i="30"/>
  <c r="AX141" i="30"/>
  <c r="AX126" i="30"/>
  <c r="BC141" i="30"/>
  <c r="BC126" i="30"/>
  <c r="O114" i="30"/>
  <c r="BD114" i="30"/>
  <c r="AD116" i="30"/>
  <c r="AH116" i="30"/>
  <c r="AL116" i="30"/>
  <c r="AP116" i="30"/>
  <c r="AT116" i="30"/>
  <c r="AX116" i="30"/>
  <c r="BB116" i="30"/>
  <c r="F132" i="30"/>
  <c r="F124" i="30"/>
  <c r="K125" i="30"/>
  <c r="K132" i="30"/>
  <c r="AB125" i="30"/>
  <c r="AB132" i="30"/>
  <c r="AF125" i="30"/>
  <c r="AF132" i="30"/>
  <c r="AF124" i="30"/>
  <c r="AJ125" i="30"/>
  <c r="AJ132" i="30"/>
  <c r="AJ124" i="30"/>
  <c r="AN125" i="30"/>
  <c r="AN132" i="30"/>
  <c r="AN124" i="30"/>
  <c r="AR125" i="30"/>
  <c r="AR132" i="30"/>
  <c r="AR124" i="30"/>
  <c r="AV125" i="30"/>
  <c r="AV132" i="30"/>
  <c r="AV124" i="30"/>
  <c r="AZ125" i="30"/>
  <c r="AZ124" i="30"/>
  <c r="AZ132" i="30"/>
  <c r="L122" i="30"/>
  <c r="BD132" i="30"/>
  <c r="BD124" i="30"/>
  <c r="BH132" i="30"/>
  <c r="BH124" i="30"/>
  <c r="BH126" i="30"/>
  <c r="BL132" i="30"/>
  <c r="BL126" i="30"/>
  <c r="BL124" i="30"/>
  <c r="CE132" i="30"/>
  <c r="CE128" i="30"/>
  <c r="CE124" i="30"/>
  <c r="CE125" i="30"/>
  <c r="AJ123" i="30"/>
  <c r="AZ123" i="30"/>
  <c r="AR138" i="30"/>
  <c r="AS135" i="30" s="1"/>
  <c r="AR139" i="30"/>
  <c r="M126" i="30"/>
  <c r="AA126" i="30"/>
  <c r="AA141" i="30"/>
  <c r="AE141" i="30"/>
  <c r="AE126" i="30"/>
  <c r="AI126" i="30"/>
  <c r="AI141" i="30"/>
  <c r="AM141" i="30"/>
  <c r="AM126" i="30"/>
  <c r="AQ141" i="30"/>
  <c r="AQ126" i="30"/>
  <c r="AU141" i="30"/>
  <c r="AU126" i="30"/>
  <c r="AY141" i="30"/>
  <c r="AY126" i="30"/>
  <c r="BD141" i="30"/>
  <c r="BD126" i="30"/>
  <c r="AA116" i="30"/>
  <c r="AE116" i="30"/>
  <c r="AI116" i="30"/>
  <c r="AM116" i="30"/>
  <c r="AQ116" i="30"/>
  <c r="AU116" i="30"/>
  <c r="AY116" i="30"/>
  <c r="G132" i="30"/>
  <c r="M132" i="30"/>
  <c r="M124" i="30"/>
  <c r="CF128" i="30"/>
  <c r="CF124" i="30"/>
  <c r="CG122" i="30"/>
  <c r="CF132" i="30"/>
  <c r="AQ132" i="30"/>
  <c r="AQ124" i="30"/>
  <c r="AU132" i="30"/>
  <c r="AU124" i="30"/>
  <c r="AY132" i="30"/>
  <c r="AY124" i="30"/>
  <c r="BC132" i="30"/>
  <c r="BC124" i="30"/>
  <c r="BG132" i="30"/>
  <c r="BG126" i="30"/>
  <c r="BG124" i="30"/>
  <c r="BK132" i="30"/>
  <c r="BK126" i="30"/>
  <c r="BK124" i="30"/>
  <c r="AI123" i="30"/>
  <c r="AM123" i="30"/>
  <c r="AQ123" i="30"/>
  <c r="AU123" i="30"/>
  <c r="AY123" i="30"/>
  <c r="BC123" i="30"/>
  <c r="BG123" i="30"/>
  <c r="BK123" i="30"/>
  <c r="AI125" i="30"/>
  <c r="AQ125" i="30"/>
  <c r="AY125" i="30"/>
  <c r="AC125" i="30"/>
  <c r="AG154" i="30"/>
  <c r="AK154" i="30"/>
  <c r="AO154" i="30"/>
  <c r="AW154" i="30"/>
  <c r="BA154" i="30"/>
  <c r="H122" i="30"/>
  <c r="AO132" i="30"/>
  <c r="AO124" i="30"/>
  <c r="AS132" i="30"/>
  <c r="AS124" i="30"/>
  <c r="AW132" i="30"/>
  <c r="AW124" i="30"/>
  <c r="BA132" i="30"/>
  <c r="BA126" i="30"/>
  <c r="BA124" i="30"/>
  <c r="BE132" i="30"/>
  <c r="BE126" i="30"/>
  <c r="BE124" i="30"/>
  <c r="BI132" i="30"/>
  <c r="BI126" i="30"/>
  <c r="BI124" i="30"/>
  <c r="BM132" i="30"/>
  <c r="BM126" i="30"/>
  <c r="BM124" i="30"/>
  <c r="CC132" i="30"/>
  <c r="CC126" i="30"/>
  <c r="AC123" i="30"/>
  <c r="AG123" i="30"/>
  <c r="AK123" i="30"/>
  <c r="AO123" i="30"/>
  <c r="AS123" i="30"/>
  <c r="AW123" i="30"/>
  <c r="BA123" i="30"/>
  <c r="BE123" i="30"/>
  <c r="BI123" i="30"/>
  <c r="BM123" i="30"/>
  <c r="CC123" i="30"/>
  <c r="AM125" i="30"/>
  <c r="AU125" i="30"/>
  <c r="AD132" i="30"/>
  <c r="AD125" i="30"/>
  <c r="AH125" i="30"/>
  <c r="AH132" i="30"/>
  <c r="AL132" i="30"/>
  <c r="AL125" i="30"/>
  <c r="AP125" i="30"/>
  <c r="AP132" i="30"/>
  <c r="AT132" i="30"/>
  <c r="AT125" i="30"/>
  <c r="AX125" i="30"/>
  <c r="AX132" i="30"/>
  <c r="BB132" i="30"/>
  <c r="BB125" i="30"/>
  <c r="BF132" i="30"/>
  <c r="BJ132" i="30"/>
  <c r="BN132" i="30"/>
  <c r="CD125" i="30"/>
  <c r="CD132" i="30"/>
  <c r="AD123" i="30"/>
  <c r="AH123" i="30"/>
  <c r="AL123" i="30"/>
  <c r="AP123" i="30"/>
  <c r="AT123" i="30"/>
  <c r="AX123" i="30"/>
  <c r="BB123" i="30"/>
  <c r="BF123" i="30"/>
  <c r="BJ123" i="30"/>
  <c r="BN123" i="30"/>
  <c r="CD123" i="30"/>
  <c r="AI124" i="30"/>
  <c r="AM124" i="30"/>
  <c r="AT124" i="30"/>
  <c r="BB124" i="30"/>
  <c r="BJ124" i="30"/>
  <c r="AG125" i="30"/>
  <c r="AO125" i="30"/>
  <c r="AW125" i="30"/>
  <c r="BF126" i="30"/>
  <c r="BN126" i="30"/>
  <c r="AA154" i="30"/>
  <c r="AE154" i="30"/>
  <c r="AM154" i="30"/>
  <c r="AQ154" i="30"/>
  <c r="AU154" i="30"/>
  <c r="AQ139" i="30"/>
  <c r="I138" i="30"/>
  <c r="J135" i="30" s="1"/>
  <c r="AB154" i="30"/>
  <c r="AR154" i="30"/>
  <c r="AZ154" i="30"/>
  <c r="AD154" i="30"/>
  <c r="AH154" i="30"/>
  <c r="AL154" i="30"/>
  <c r="AT154" i="30"/>
  <c r="AX154" i="30"/>
  <c r="BB154" i="30"/>
  <c r="BE64" i="29"/>
  <c r="BE26" i="29"/>
  <c r="AF98" i="29"/>
  <c r="AN98" i="29"/>
  <c r="AV98" i="29"/>
  <c r="BD98" i="29"/>
  <c r="O64" i="29"/>
  <c r="O26" i="29"/>
  <c r="BH26" i="29"/>
  <c r="AC91" i="29"/>
  <c r="D20" i="29"/>
  <c r="AG91" i="29"/>
  <c r="AG98" i="29" s="1"/>
  <c r="E20" i="29"/>
  <c r="E91" i="29" s="1"/>
  <c r="AK91" i="29"/>
  <c r="AK98" i="29" s="1"/>
  <c r="F20" i="29"/>
  <c r="F91" i="29" s="1"/>
  <c r="AO91" i="29"/>
  <c r="AO98" i="29" s="1"/>
  <c r="G20" i="29"/>
  <c r="G91" i="29" s="1"/>
  <c r="G98" i="29" s="1"/>
  <c r="AS91" i="29"/>
  <c r="AS98" i="29" s="1"/>
  <c r="H20" i="29"/>
  <c r="H91" i="29" s="1"/>
  <c r="AW91" i="29"/>
  <c r="AW98" i="29" s="1"/>
  <c r="I20" i="29"/>
  <c r="I91" i="29" s="1"/>
  <c r="BA91" i="29"/>
  <c r="BA98" i="29" s="1"/>
  <c r="J20" i="29"/>
  <c r="J91" i="29" s="1"/>
  <c r="BF91" i="29"/>
  <c r="BF98" i="29" s="1"/>
  <c r="BF26" i="29"/>
  <c r="N64" i="29"/>
  <c r="N26" i="29"/>
  <c r="AJ98" i="29"/>
  <c r="AR98" i="29"/>
  <c r="AZ98" i="29"/>
  <c r="L64" i="29"/>
  <c r="L26" i="29"/>
  <c r="G84" i="29"/>
  <c r="G86" i="29" s="1"/>
  <c r="F16" i="29"/>
  <c r="H84" i="29"/>
  <c r="H86" i="29" s="1"/>
  <c r="G16" i="29"/>
  <c r="BY58" i="29"/>
  <c r="P15" i="29"/>
  <c r="P58" i="29" s="1"/>
  <c r="S93" i="29"/>
  <c r="T24" i="29"/>
  <c r="M64" i="29"/>
  <c r="BE58" i="29"/>
  <c r="K15" i="29"/>
  <c r="K58" i="29" s="1"/>
  <c r="CC14" i="29"/>
  <c r="CB15" i="29"/>
  <c r="CB58" i="29" s="1"/>
  <c r="BU84" i="29"/>
  <c r="BT84" i="29"/>
  <c r="O84" i="29"/>
  <c r="O86" i="29" s="1"/>
  <c r="CA15" i="29"/>
  <c r="CA58" i="29" s="1"/>
  <c r="AD16" i="29"/>
  <c r="AL16" i="29"/>
  <c r="AU98" i="29"/>
  <c r="BW98" i="29"/>
  <c r="AL93" i="29"/>
  <c r="AX93" i="29"/>
  <c r="L93" i="29"/>
  <c r="L59" i="29"/>
  <c r="K68" i="29"/>
  <c r="K34" i="29"/>
  <c r="K40" i="29" s="1"/>
  <c r="K50" i="29" s="1"/>
  <c r="AF84" i="29"/>
  <c r="AJ84" i="29"/>
  <c r="AJ86" i="29" s="1"/>
  <c r="AN84" i="29"/>
  <c r="AR84" i="29"/>
  <c r="L84" i="29"/>
  <c r="K57" i="29"/>
  <c r="P84" i="29"/>
  <c r="P86" i="29" s="1"/>
  <c r="AE16" i="29"/>
  <c r="AI16" i="29"/>
  <c r="AM16" i="29"/>
  <c r="AQ16" i="29"/>
  <c r="BP16" i="29"/>
  <c r="BT16" i="29"/>
  <c r="F18" i="29"/>
  <c r="J18" i="29"/>
  <c r="P98" i="29"/>
  <c r="CI21" i="29"/>
  <c r="BL98" i="29"/>
  <c r="BP98" i="29"/>
  <c r="BT98" i="29"/>
  <c r="BX98" i="29"/>
  <c r="CB98" i="29"/>
  <c r="CF98" i="29"/>
  <c r="AE93" i="29"/>
  <c r="AI93" i="29"/>
  <c r="AM93" i="29"/>
  <c r="AQ93" i="29"/>
  <c r="AU93" i="29"/>
  <c r="AY93" i="29"/>
  <c r="BC93" i="29"/>
  <c r="E24" i="29"/>
  <c r="I24" i="29"/>
  <c r="M24" i="29"/>
  <c r="Q24" i="29"/>
  <c r="D68" i="29"/>
  <c r="D34" i="29"/>
  <c r="D40" i="29" s="1"/>
  <c r="H68" i="29"/>
  <c r="H34" i="29"/>
  <c r="H40" i="29" s="1"/>
  <c r="L68" i="29"/>
  <c r="L34" i="29"/>
  <c r="L40" i="29" s="1"/>
  <c r="L50" i="29" s="1"/>
  <c r="L52" i="29" s="1"/>
  <c r="R68" i="29"/>
  <c r="R34" i="29"/>
  <c r="R40" i="29" s="1"/>
  <c r="G112" i="29"/>
  <c r="E109" i="29"/>
  <c r="F109" i="29"/>
  <c r="G109" i="29"/>
  <c r="H109" i="29"/>
  <c r="I109" i="29"/>
  <c r="J109" i="29"/>
  <c r="S109" i="29"/>
  <c r="T46" i="29"/>
  <c r="BG50" i="29"/>
  <c r="AH16" i="29"/>
  <c r="AP16" i="29"/>
  <c r="O98" i="29"/>
  <c r="AE98" i="29"/>
  <c r="AQ98" i="29"/>
  <c r="BC98" i="29"/>
  <c r="BS98" i="29"/>
  <c r="CE98" i="29"/>
  <c r="AH93" i="29"/>
  <c r="AT93" i="29"/>
  <c r="G68" i="29"/>
  <c r="G34" i="29"/>
  <c r="G40" i="29" s="1"/>
  <c r="BE52" i="29"/>
  <c r="S112" i="29"/>
  <c r="AG84" i="29"/>
  <c r="AK84" i="29"/>
  <c r="AO84" i="29"/>
  <c r="AS84" i="29"/>
  <c r="M84" i="29"/>
  <c r="M86" i="29" s="1"/>
  <c r="Q84" i="29"/>
  <c r="AF16" i="29"/>
  <c r="AJ16" i="29"/>
  <c r="AN16" i="29"/>
  <c r="AR16" i="29"/>
  <c r="BM16" i="29"/>
  <c r="M98" i="29"/>
  <c r="Q98" i="29"/>
  <c r="AF93" i="29"/>
  <c r="AJ93" i="29"/>
  <c r="AN93" i="29"/>
  <c r="AR93" i="29"/>
  <c r="AV93" i="29"/>
  <c r="AZ93" i="29"/>
  <c r="BD93" i="29"/>
  <c r="F24" i="29"/>
  <c r="J24" i="29"/>
  <c r="N93" i="29"/>
  <c r="N59" i="29"/>
  <c r="R24" i="29"/>
  <c r="BG26" i="29"/>
  <c r="BK26" i="29"/>
  <c r="BO26" i="29"/>
  <c r="E68" i="29"/>
  <c r="E34" i="29"/>
  <c r="E40" i="29" s="1"/>
  <c r="I68" i="29"/>
  <c r="I34" i="29"/>
  <c r="I40" i="29" s="1"/>
  <c r="M68" i="29"/>
  <c r="M34" i="29"/>
  <c r="M40" i="29" s="1"/>
  <c r="O68" i="29"/>
  <c r="O34" i="29"/>
  <c r="O40" i="29" s="1"/>
  <c r="T39" i="29"/>
  <c r="E54" i="29"/>
  <c r="G54" i="29"/>
  <c r="F84" i="29"/>
  <c r="K84" i="29"/>
  <c r="K86" i="29" s="1"/>
  <c r="J57" i="29"/>
  <c r="E16" i="29"/>
  <c r="BG92" i="29"/>
  <c r="BG99" i="29" s="1"/>
  <c r="AI98" i="29"/>
  <c r="AM98" i="29"/>
  <c r="AY98" i="29"/>
  <c r="BO98" i="29"/>
  <c r="CA98" i="29"/>
  <c r="AD93" i="29"/>
  <c r="AP93" i="29"/>
  <c r="BB93" i="29"/>
  <c r="H93" i="29"/>
  <c r="H59" i="29"/>
  <c r="P93" i="29"/>
  <c r="P59" i="29"/>
  <c r="E84" i="29"/>
  <c r="AD84" i="29"/>
  <c r="AD86" i="29" s="1"/>
  <c r="AH84" i="29"/>
  <c r="AL84" i="29"/>
  <c r="AP84" i="29"/>
  <c r="BG84" i="29"/>
  <c r="BF84" i="29"/>
  <c r="N84" i="29"/>
  <c r="R84" i="29"/>
  <c r="D16" i="29"/>
  <c r="H16" i="29"/>
  <c r="AC16" i="29"/>
  <c r="AG16" i="29"/>
  <c r="AK16" i="29"/>
  <c r="AO16" i="29"/>
  <c r="AS16" i="29"/>
  <c r="BN16" i="29"/>
  <c r="N98" i="29"/>
  <c r="R98" i="29"/>
  <c r="AC93" i="29"/>
  <c r="AG93" i="29"/>
  <c r="AK93" i="29"/>
  <c r="AO93" i="29"/>
  <c r="AS93" i="29"/>
  <c r="AW93" i="29"/>
  <c r="BA93" i="29"/>
  <c r="D22" i="29"/>
  <c r="H22" i="29"/>
  <c r="G24" i="29"/>
  <c r="K93" i="29"/>
  <c r="K59" i="29"/>
  <c r="O93" i="29"/>
  <c r="O59" i="29"/>
  <c r="BL26" i="29"/>
  <c r="F68" i="29"/>
  <c r="F34" i="29"/>
  <c r="F40" i="29" s="1"/>
  <c r="F50" i="29" s="1"/>
  <c r="J68" i="29"/>
  <c r="J34" i="29"/>
  <c r="J40" i="29" s="1"/>
  <c r="N68" i="29"/>
  <c r="N34" i="29"/>
  <c r="N40" i="29" s="1"/>
  <c r="I61" i="29"/>
  <c r="H61" i="29"/>
  <c r="P68" i="29"/>
  <c r="P34" i="29"/>
  <c r="P40" i="29" s="1"/>
  <c r="AF68" i="29"/>
  <c r="AF34" i="29"/>
  <c r="AF40" i="29" s="1"/>
  <c r="AJ68" i="29"/>
  <c r="AJ34" i="29"/>
  <c r="AJ40" i="29" s="1"/>
  <c r="AD73" i="29"/>
  <c r="AD69" i="29"/>
  <c r="AD80" i="29" s="1"/>
  <c r="AH73" i="29"/>
  <c r="AH69" i="29"/>
  <c r="AH80" i="29" s="1"/>
  <c r="AL73" i="29"/>
  <c r="AL74" i="29" s="1"/>
  <c r="AL69" i="29"/>
  <c r="AL80" i="29" s="1"/>
  <c r="AP73" i="29"/>
  <c r="AP69" i="29"/>
  <c r="AP80" i="29" s="1"/>
  <c r="AT69" i="29"/>
  <c r="AT80" i="29" s="1"/>
  <c r="AX69" i="29"/>
  <c r="AX80" i="29" s="1"/>
  <c r="BB69" i="29"/>
  <c r="BB80" i="29" s="1"/>
  <c r="Q34" i="29"/>
  <c r="Q40" i="29" s="1"/>
  <c r="AC34" i="29"/>
  <c r="AC40" i="29" s="1"/>
  <c r="AG34" i="29"/>
  <c r="AG40" i="29" s="1"/>
  <c r="AK34" i="29"/>
  <c r="AK40" i="29" s="1"/>
  <c r="AO34" i="29"/>
  <c r="AO40" i="29" s="1"/>
  <c r="AS34" i="29"/>
  <c r="AS40" i="29" s="1"/>
  <c r="AW34" i="29"/>
  <c r="AW40" i="29" s="1"/>
  <c r="BA34" i="29"/>
  <c r="BA40" i="29" s="1"/>
  <c r="BI34" i="29"/>
  <c r="BI40" i="29" s="1"/>
  <c r="BI50" i="29" s="1"/>
  <c r="BI52" i="29" s="1"/>
  <c r="BM34" i="29"/>
  <c r="BM40" i="29" s="1"/>
  <c r="BQ34" i="29"/>
  <c r="BQ40" i="29" s="1"/>
  <c r="BQ50" i="29" s="1"/>
  <c r="BQ52" i="29" s="1"/>
  <c r="BU34" i="29"/>
  <c r="BU40" i="29" s="1"/>
  <c r="BY34" i="29"/>
  <c r="BY40" i="29" s="1"/>
  <c r="CC34" i="29"/>
  <c r="CC40" i="29" s="1"/>
  <c r="CG34" i="29"/>
  <c r="CG40" i="29" s="1"/>
  <c r="D43" i="29"/>
  <c r="D49" i="29" s="1"/>
  <c r="E107" i="29" s="1"/>
  <c r="H43" i="29"/>
  <c r="K112" i="29"/>
  <c r="CI43" i="29"/>
  <c r="N49" i="29"/>
  <c r="O107" i="29" s="1"/>
  <c r="AC49" i="29"/>
  <c r="AC50" i="29" s="1"/>
  <c r="AG49" i="29"/>
  <c r="AK49" i="29"/>
  <c r="AO49" i="29"/>
  <c r="AO50" i="29" s="1"/>
  <c r="AS49" i="29"/>
  <c r="AS50" i="29" s="1"/>
  <c r="AW49" i="29"/>
  <c r="AI54" i="29"/>
  <c r="F54" i="29" s="1"/>
  <c r="AQ54" i="29"/>
  <c r="H54" i="29" s="1"/>
  <c r="AY54" i="29"/>
  <c r="J54" i="29" s="1"/>
  <c r="AE73" i="29"/>
  <c r="AE69" i="29"/>
  <c r="AE80" i="29" s="1"/>
  <c r="AI73" i="29"/>
  <c r="AI74" i="29" s="1"/>
  <c r="AI69" i="29"/>
  <c r="AI80" i="29" s="1"/>
  <c r="AM73" i="29"/>
  <c r="AM74" i="29" s="1"/>
  <c r="AM69" i="29"/>
  <c r="AM80" i="29" s="1"/>
  <c r="AQ73" i="29"/>
  <c r="AQ74" i="29" s="1"/>
  <c r="AQ69" i="29"/>
  <c r="AQ80" i="29" s="1"/>
  <c r="AU69" i="29"/>
  <c r="AU80" i="29" s="1"/>
  <c r="AY69" i="29"/>
  <c r="AY80" i="29" s="1"/>
  <c r="BC69" i="29"/>
  <c r="BC80" i="29" s="1"/>
  <c r="AD34" i="29"/>
  <c r="AD40" i="29" s="1"/>
  <c r="AH34" i="29"/>
  <c r="AH40" i="29" s="1"/>
  <c r="AL34" i="29"/>
  <c r="AL40" i="29" s="1"/>
  <c r="AP34" i="29"/>
  <c r="AP40" i="29" s="1"/>
  <c r="AT34" i="29"/>
  <c r="AT40" i="29" s="1"/>
  <c r="AX34" i="29"/>
  <c r="AX40" i="29" s="1"/>
  <c r="BB34" i="29"/>
  <c r="BB40" i="29" s="1"/>
  <c r="BF34" i="29"/>
  <c r="BF40" i="29" s="1"/>
  <c r="BF50" i="29" s="1"/>
  <c r="BJ34" i="29"/>
  <c r="BJ40" i="29" s="1"/>
  <c r="BN34" i="29"/>
  <c r="BN40" i="29" s="1"/>
  <c r="BR34" i="29"/>
  <c r="BR40" i="29" s="1"/>
  <c r="BR50" i="29" s="1"/>
  <c r="BV34" i="29"/>
  <c r="BV40" i="29" s="1"/>
  <c r="BZ34" i="29"/>
  <c r="BZ40" i="29" s="1"/>
  <c r="CD34" i="29"/>
  <c r="CD40" i="29" s="1"/>
  <c r="E43" i="29"/>
  <c r="I111" i="29"/>
  <c r="Q111" i="29"/>
  <c r="Q54" i="29"/>
  <c r="H112" i="29"/>
  <c r="AV54" i="29"/>
  <c r="I54" i="29" s="1"/>
  <c r="AZ54" i="29"/>
  <c r="BD54" i="29"/>
  <c r="BE54" i="29"/>
  <c r="K54" i="29" s="1"/>
  <c r="N109" i="29"/>
  <c r="R109" i="29"/>
  <c r="I47" i="29"/>
  <c r="I113" i="29" s="1"/>
  <c r="BJ48" i="29"/>
  <c r="BS48" i="29"/>
  <c r="AD49" i="29"/>
  <c r="AD50" i="29" s="1"/>
  <c r="AD70" i="29" s="1"/>
  <c r="AH49" i="29"/>
  <c r="AL49" i="29"/>
  <c r="AL50" i="29" s="1"/>
  <c r="AP49" i="29"/>
  <c r="AT49" i="29"/>
  <c r="AT50" i="29" s="1"/>
  <c r="AT70" i="29" s="1"/>
  <c r="R54" i="29"/>
  <c r="AN69" i="29"/>
  <c r="AN80" i="29" s="1"/>
  <c r="AN73" i="29"/>
  <c r="AR69" i="29"/>
  <c r="AR80" i="29" s="1"/>
  <c r="AR73" i="29"/>
  <c r="AV69" i="29"/>
  <c r="AV80" i="29" s="1"/>
  <c r="AZ69" i="29"/>
  <c r="AZ80" i="29" s="1"/>
  <c r="BD69" i="29"/>
  <c r="BD80" i="29" s="1"/>
  <c r="AE34" i="29"/>
  <c r="AE40" i="29" s="1"/>
  <c r="AI34" i="29"/>
  <c r="AI40" i="29" s="1"/>
  <c r="AI50" i="29" s="1"/>
  <c r="AM34" i="29"/>
  <c r="AM40" i="29" s="1"/>
  <c r="AQ34" i="29"/>
  <c r="AQ40" i="29" s="1"/>
  <c r="AQ50" i="29" s="1"/>
  <c r="AU34" i="29"/>
  <c r="AU40" i="29" s="1"/>
  <c r="AY34" i="29"/>
  <c r="AY40" i="29" s="1"/>
  <c r="BC34" i="29"/>
  <c r="BC40" i="29" s="1"/>
  <c r="BK34" i="29"/>
  <c r="BK40" i="29" s="1"/>
  <c r="BO34" i="29"/>
  <c r="BO40" i="29" s="1"/>
  <c r="BS34" i="29"/>
  <c r="BS40" i="29" s="1"/>
  <c r="BW34" i="29"/>
  <c r="BW40" i="29" s="1"/>
  <c r="H62" i="29"/>
  <c r="I62" i="29"/>
  <c r="BT54" i="29"/>
  <c r="BU54" i="29"/>
  <c r="K109" i="29"/>
  <c r="AE49" i="29"/>
  <c r="AE50" i="29" s="1"/>
  <c r="AE70" i="29" s="1"/>
  <c r="AM49" i="29"/>
  <c r="AU49" i="29"/>
  <c r="Q69" i="29"/>
  <c r="Q80" i="29" s="1"/>
  <c r="AC70" i="29"/>
  <c r="AC73" i="29"/>
  <c r="AG69" i="29"/>
  <c r="AG80" i="29" s="1"/>
  <c r="AG73" i="29"/>
  <c r="AG74" i="29" s="1"/>
  <c r="AK69" i="29"/>
  <c r="AK80" i="29" s="1"/>
  <c r="AK73" i="29"/>
  <c r="AK74" i="29" s="1"/>
  <c r="AO70" i="29"/>
  <c r="AO69" i="29"/>
  <c r="AO80" i="29" s="1"/>
  <c r="AO73" i="29"/>
  <c r="AO74" i="29" s="1"/>
  <c r="AS69" i="29"/>
  <c r="AS80" i="29" s="1"/>
  <c r="AS73" i="29"/>
  <c r="AW69" i="29"/>
  <c r="AW80" i="29" s="1"/>
  <c r="BA69" i="29"/>
  <c r="BA80" i="29" s="1"/>
  <c r="BF73" i="29"/>
  <c r="BF69" i="29"/>
  <c r="BF80" i="29" s="1"/>
  <c r="BG69" i="29"/>
  <c r="BG80" i="29" s="1"/>
  <c r="CK29" i="29"/>
  <c r="AN34" i="29"/>
  <c r="AN40" i="29" s="1"/>
  <c r="AR34" i="29"/>
  <c r="AR40" i="29" s="1"/>
  <c r="AV34" i="29"/>
  <c r="AV40" i="29" s="1"/>
  <c r="AZ34" i="29"/>
  <c r="AZ40" i="29" s="1"/>
  <c r="BD34" i="29"/>
  <c r="BD40" i="29" s="1"/>
  <c r="BH34" i="29"/>
  <c r="BH40" i="29" s="1"/>
  <c r="BH50" i="29" s="1"/>
  <c r="BL34" i="29"/>
  <c r="BL40" i="29" s="1"/>
  <c r="BP34" i="29"/>
  <c r="BP40" i="29" s="1"/>
  <c r="BT34" i="29"/>
  <c r="BT40" i="29" s="1"/>
  <c r="BX34" i="29"/>
  <c r="BX40" i="29" s="1"/>
  <c r="CB34" i="29"/>
  <c r="CB40" i="29" s="1"/>
  <c r="CF34" i="29"/>
  <c r="CF40" i="29" s="1"/>
  <c r="G43" i="29"/>
  <c r="K111" i="29"/>
  <c r="O111" i="29"/>
  <c r="N112" i="29"/>
  <c r="R112" i="29"/>
  <c r="L109" i="29"/>
  <c r="P109" i="29"/>
  <c r="I49" i="29"/>
  <c r="J107" i="29" s="1"/>
  <c r="AF49" i="29"/>
  <c r="AF50" i="29" s="1"/>
  <c r="AJ49" i="29"/>
  <c r="AN49" i="29"/>
  <c r="AN50" i="29" s="1"/>
  <c r="AN70" i="29" s="1"/>
  <c r="AR49" i="29"/>
  <c r="AV49" i="29"/>
  <c r="AV50" i="29" s="1"/>
  <c r="BH69" i="29"/>
  <c r="BH80" i="29" s="1"/>
  <c r="BH73" i="29"/>
  <c r="BL69" i="29"/>
  <c r="BL80" i="29" s="1"/>
  <c r="BL73" i="29"/>
  <c r="BP69" i="29"/>
  <c r="BP80" i="29" s="1"/>
  <c r="BP73" i="29"/>
  <c r="BT69" i="29"/>
  <c r="BT80" i="29" s="1"/>
  <c r="BT73" i="29"/>
  <c r="BX69" i="29"/>
  <c r="BX80" i="29" s="1"/>
  <c r="CB69" i="29"/>
  <c r="BE70" i="29"/>
  <c r="BI70" i="29"/>
  <c r="BQ70" i="29"/>
  <c r="AF86" i="29"/>
  <c r="AN86" i="29"/>
  <c r="AR86" i="29"/>
  <c r="BT86" i="29"/>
  <c r="BJ73" i="29"/>
  <c r="BJ69" i="29"/>
  <c r="BJ80" i="29" s="1"/>
  <c r="BN73" i="29"/>
  <c r="BN69" i="29"/>
  <c r="BN80" i="29" s="1"/>
  <c r="BR73" i="29"/>
  <c r="BR69" i="29"/>
  <c r="BR80" i="29" s="1"/>
  <c r="BV69" i="29"/>
  <c r="BV80" i="29" s="1"/>
  <c r="BZ69" i="29"/>
  <c r="CD69" i="29"/>
  <c r="CD80" i="29" s="1"/>
  <c r="BK69" i="29"/>
  <c r="BK80" i="29" s="1"/>
  <c r="CA69" i="29"/>
  <c r="BG70" i="29"/>
  <c r="BG73" i="29"/>
  <c r="BK73" i="29"/>
  <c r="BO73" i="29"/>
  <c r="BS73" i="29"/>
  <c r="CE69" i="29"/>
  <c r="BO69" i="29"/>
  <c r="BO80" i="29" s="1"/>
  <c r="E86" i="29"/>
  <c r="Q86" i="29"/>
  <c r="F86" i="29"/>
  <c r="N86" i="29"/>
  <c r="R86" i="29"/>
  <c r="AG86" i="29"/>
  <c r="AK86" i="29"/>
  <c r="AO86" i="29"/>
  <c r="AS86" i="29"/>
  <c r="BU86" i="29"/>
  <c r="CF69" i="29"/>
  <c r="BE73" i="29"/>
  <c r="BI73" i="29"/>
  <c r="BM73" i="29"/>
  <c r="BQ73" i="29"/>
  <c r="BU73" i="29"/>
  <c r="CD81" i="29"/>
  <c r="AH86" i="29"/>
  <c r="AL86" i="29"/>
  <c r="AP86" i="29"/>
  <c r="BF86" i="29"/>
  <c r="BJ86" i="29"/>
  <c r="BN86" i="29"/>
  <c r="BR86" i="29"/>
  <c r="AD96" i="29"/>
  <c r="AH96" i="29"/>
  <c r="AL96" i="29"/>
  <c r="AP96" i="29"/>
  <c r="AT96" i="29"/>
  <c r="AX96" i="29"/>
  <c r="BB96" i="29"/>
  <c r="BE69" i="29"/>
  <c r="BE80" i="29" s="1"/>
  <c r="BI69" i="29"/>
  <c r="BI80" i="29" s="1"/>
  <c r="BM69" i="29"/>
  <c r="BM80" i="29" s="1"/>
  <c r="BQ69" i="29"/>
  <c r="BQ80" i="29" s="1"/>
  <c r="BU69" i="29"/>
  <c r="BU80" i="29" s="1"/>
  <c r="BY69" i="29"/>
  <c r="BY80" i="29" s="1"/>
  <c r="CC69" i="29"/>
  <c r="CG69" i="29"/>
  <c r="L86" i="29"/>
  <c r="AE86" i="29"/>
  <c r="AI86" i="29"/>
  <c r="AM86" i="29"/>
  <c r="AQ86" i="29"/>
  <c r="BG86" i="29"/>
  <c r="AG97" i="29"/>
  <c r="AK97" i="29"/>
  <c r="AO97" i="29"/>
  <c r="AS97" i="29"/>
  <c r="AW97" i="29"/>
  <c r="BA97" i="29"/>
  <c r="BE97" i="29"/>
  <c r="BM97" i="29"/>
  <c r="BQ97" i="29"/>
  <c r="BU97" i="29"/>
  <c r="BY97" i="29"/>
  <c r="CC97" i="29"/>
  <c r="CG97" i="29"/>
  <c r="CK97" i="29"/>
  <c r="BV103" i="29"/>
  <c r="O103" i="29"/>
  <c r="T18" i="28"/>
  <c r="AN13" i="28"/>
  <c r="AN12" i="28"/>
  <c r="AV13" i="28"/>
  <c r="AV12" i="28"/>
  <c r="BD13" i="28"/>
  <c r="BD12" i="28"/>
  <c r="AP18" i="28"/>
  <c r="AP19" i="28"/>
  <c r="BF18" i="28"/>
  <c r="BF19" i="28"/>
  <c r="N17" i="28"/>
  <c r="CD18" i="28"/>
  <c r="BB18" i="28"/>
  <c r="F15" i="28"/>
  <c r="X18" i="28"/>
  <c r="AJ13" i="28"/>
  <c r="AJ12" i="28"/>
  <c r="AZ13" i="28"/>
  <c r="AZ12" i="28"/>
  <c r="AH19" i="28"/>
  <c r="AH18" i="28"/>
  <c r="BN18" i="28"/>
  <c r="M17" i="28"/>
  <c r="BZ18" i="28"/>
  <c r="CL18" i="28"/>
  <c r="BR18" i="28"/>
  <c r="Q18" i="28"/>
  <c r="AL18" i="28"/>
  <c r="CH19" i="28"/>
  <c r="AR13" i="28"/>
  <c r="AR12" i="28"/>
  <c r="AT18" i="28"/>
  <c r="AT19" i="28"/>
  <c r="AX19" i="28"/>
  <c r="AX18" i="28"/>
  <c r="BJ18" i="28"/>
  <c r="BV18" i="28"/>
  <c r="O17" i="28"/>
  <c r="L17" i="28"/>
  <c r="O33" i="28"/>
  <c r="O28" i="28"/>
  <c r="P29" i="28" s="1"/>
  <c r="AP15" i="28"/>
  <c r="BF15" i="28"/>
  <c r="AW16" i="28"/>
  <c r="AM18" i="28"/>
  <c r="BC18" i="28"/>
  <c r="BS18" i="28"/>
  <c r="CI18" i="28"/>
  <c r="G15" i="28"/>
  <c r="K35" i="28"/>
  <c r="K28" i="28"/>
  <c r="K30" i="28" s="1"/>
  <c r="K42" i="28"/>
  <c r="F48" i="28"/>
  <c r="N49" i="28"/>
  <c r="I18" i="28"/>
  <c r="N29" i="28"/>
  <c r="U18" i="28"/>
  <c r="AL15" i="28"/>
  <c r="BB15" i="28"/>
  <c r="AN18" i="28"/>
  <c r="AN19" i="28"/>
  <c r="AR18" i="28"/>
  <c r="AR19" i="28"/>
  <c r="AV18" i="28"/>
  <c r="AV19" i="28"/>
  <c r="AZ18" i="28"/>
  <c r="AZ19" i="28"/>
  <c r="BD18" i="28"/>
  <c r="BD19" i="28"/>
  <c r="BH18" i="28"/>
  <c r="BL18" i="28"/>
  <c r="BP18" i="28"/>
  <c r="BT18" i="28"/>
  <c r="BX18" i="28"/>
  <c r="CB18" i="28"/>
  <c r="CF18" i="28"/>
  <c r="CJ18" i="28"/>
  <c r="AI18" i="28"/>
  <c r="BU35" i="28"/>
  <c r="BU30" i="28"/>
  <c r="BU42" i="28"/>
  <c r="BJ49" i="28"/>
  <c r="BN49" i="28"/>
  <c r="BR49" i="28"/>
  <c r="BV49" i="28"/>
  <c r="BZ49" i="28"/>
  <c r="CH49" i="28"/>
  <c r="CH30" i="28"/>
  <c r="BR29" i="28"/>
  <c r="CH29" i="28"/>
  <c r="I49" i="28"/>
  <c r="Q29" i="28"/>
  <c r="W45" i="28"/>
  <c r="W42" i="28"/>
  <c r="X44" i="28"/>
  <c r="W43" i="28"/>
  <c r="G48" i="28"/>
  <c r="AI15" i="28"/>
  <c r="AQ15" i="28"/>
  <c r="AU15" i="28"/>
  <c r="AY15" i="28"/>
  <c r="AU16" i="28"/>
  <c r="H18" i="28"/>
  <c r="CH60" i="28"/>
  <c r="CH52" i="28"/>
  <c r="CH42" i="28"/>
  <c r="CH35" i="28"/>
  <c r="BG49" i="28"/>
  <c r="BG29" i="28"/>
  <c r="BK49" i="28"/>
  <c r="BK29" i="28"/>
  <c r="BO49" i="28"/>
  <c r="BO29" i="28"/>
  <c r="BS49" i="28"/>
  <c r="BS29" i="28"/>
  <c r="BW49" i="28"/>
  <c r="BW29" i="28"/>
  <c r="CA50" i="28"/>
  <c r="K49" i="28"/>
  <c r="K52" i="28" s="1"/>
  <c r="BF28" i="28"/>
  <c r="H32" i="28"/>
  <c r="L32" i="28"/>
  <c r="I33" i="28"/>
  <c r="Q33" i="28"/>
  <c r="AG49" i="28"/>
  <c r="AK49" i="28"/>
  <c r="AO49" i="28"/>
  <c r="AS49" i="28"/>
  <c r="AW49" i="28"/>
  <c r="BA49" i="28"/>
  <c r="AI33" i="28"/>
  <c r="AM33" i="28"/>
  <c r="AQ33" i="28"/>
  <c r="AU33" i="28"/>
  <c r="AY33" i="28"/>
  <c r="BK33" i="28"/>
  <c r="BO33" i="28"/>
  <c r="BS33" i="28"/>
  <c r="BW33" i="28"/>
  <c r="BS34" i="28"/>
  <c r="I35" i="28"/>
  <c r="AD35" i="28"/>
  <c r="AH35" i="28"/>
  <c r="AL35" i="28"/>
  <c r="AP35" i="28"/>
  <c r="AT35" i="28"/>
  <c r="AX35" i="28"/>
  <c r="BB35" i="28"/>
  <c r="G39" i="28"/>
  <c r="L40" i="28"/>
  <c r="P40" i="28"/>
  <c r="CD40" i="28"/>
  <c r="CH40" i="28"/>
  <c r="BZ41" i="28"/>
  <c r="V42" i="28"/>
  <c r="AG42" i="28"/>
  <c r="AK42" i="28"/>
  <c r="AO42" i="28"/>
  <c r="AS42" i="28"/>
  <c r="AW42" i="28"/>
  <c r="BA42" i="28"/>
  <c r="V45" i="28"/>
  <c r="K48" i="28"/>
  <c r="O48" i="28"/>
  <c r="V56" i="28"/>
  <c r="U55" i="28"/>
  <c r="BC49" i="28"/>
  <c r="CE50" i="28"/>
  <c r="CA29" i="28"/>
  <c r="CE29" i="28"/>
  <c r="E49" i="28"/>
  <c r="N33" i="28"/>
  <c r="R33" i="28"/>
  <c r="AD52" i="28"/>
  <c r="AD51" i="28"/>
  <c r="AH52" i="28"/>
  <c r="AH51" i="28"/>
  <c r="AH50" i="28"/>
  <c r="AL52" i="28"/>
  <c r="AL51" i="28"/>
  <c r="AL50" i="28"/>
  <c r="AP52" i="28"/>
  <c r="AP51" i="28"/>
  <c r="AP50" i="28"/>
  <c r="AT52" i="28"/>
  <c r="AT51" i="28"/>
  <c r="AT50" i="28"/>
  <c r="AX52" i="28"/>
  <c r="AX51" i="28"/>
  <c r="AX50" i="28"/>
  <c r="BB52" i="28"/>
  <c r="BB51" i="28"/>
  <c r="BB50" i="28"/>
  <c r="BT34" i="28"/>
  <c r="R49" i="28"/>
  <c r="AJ48" i="28"/>
  <c r="AN48" i="28"/>
  <c r="AR48" i="28"/>
  <c r="AV48" i="28"/>
  <c r="AZ48" i="28"/>
  <c r="BD49" i="28"/>
  <c r="BH49" i="28"/>
  <c r="BH48" i="28"/>
  <c r="BL49" i="28"/>
  <c r="BL48" i="28"/>
  <c r="BP49" i="28"/>
  <c r="BP48" i="28"/>
  <c r="BT49" i="28"/>
  <c r="BT48" i="28"/>
  <c r="BX49" i="28"/>
  <c r="BX48" i="28"/>
  <c r="J26" i="28"/>
  <c r="CF29" i="28"/>
  <c r="F32" i="28"/>
  <c r="J32" i="28"/>
  <c r="AE51" i="28"/>
  <c r="AE52" i="28"/>
  <c r="AI51" i="28"/>
  <c r="AI50" i="28"/>
  <c r="AI52" i="28"/>
  <c r="AM51" i="28"/>
  <c r="AM50" i="28"/>
  <c r="AM52" i="28"/>
  <c r="AQ51" i="28"/>
  <c r="AQ50" i="28"/>
  <c r="AQ52" i="28"/>
  <c r="AU51" i="28"/>
  <c r="AU50" i="28"/>
  <c r="AU52" i="28"/>
  <c r="AY51" i="28"/>
  <c r="AY50" i="28"/>
  <c r="AY52" i="28"/>
  <c r="BU34" i="28"/>
  <c r="V36" i="28"/>
  <c r="W37" i="28"/>
  <c r="CI39" i="28"/>
  <c r="I39" i="28"/>
  <c r="BX40" i="28"/>
  <c r="CB40" i="28"/>
  <c r="BX41" i="28"/>
  <c r="H47" i="28"/>
  <c r="H48" i="28" s="1"/>
  <c r="L47" i="28"/>
  <c r="AK48" i="28"/>
  <c r="AO48" i="28"/>
  <c r="AS48" i="28"/>
  <c r="AW48" i="28"/>
  <c r="BA48" i="28"/>
  <c r="BE49" i="28"/>
  <c r="BI49" i="28"/>
  <c r="BI48" i="28"/>
  <c r="BM49" i="28"/>
  <c r="BM48" i="28"/>
  <c r="BQ49" i="28"/>
  <c r="BQ48" i="28"/>
  <c r="BU49" i="28"/>
  <c r="BU52" i="28" s="1"/>
  <c r="BU48" i="28"/>
  <c r="BY49" i="28"/>
  <c r="BY48" i="28"/>
  <c r="CG29" i="28"/>
  <c r="G32" i="28"/>
  <c r="P33" i="28"/>
  <c r="AF52" i="28"/>
  <c r="AF51" i="28"/>
  <c r="AJ50" i="28"/>
  <c r="AJ52" i="28"/>
  <c r="AJ51" i="28"/>
  <c r="AN50" i="28"/>
  <c r="AN52" i="28"/>
  <c r="AN51" i="28"/>
  <c r="AR50" i="28"/>
  <c r="AR52" i="28"/>
  <c r="AR51" i="28"/>
  <c r="AV50" i="28"/>
  <c r="AV52" i="28"/>
  <c r="AV51" i="28"/>
  <c r="AZ50" i="28"/>
  <c r="AZ52" i="28"/>
  <c r="AZ51" i="28"/>
  <c r="CI32" i="28"/>
  <c r="CH30" i="29" s="1"/>
  <c r="CE23" i="30" s="1"/>
  <c r="AH33" i="28"/>
  <c r="AL33" i="28"/>
  <c r="AP33" i="28"/>
  <c r="AT33" i="28"/>
  <c r="AX33" i="28"/>
  <c r="BB33" i="28"/>
  <c r="BJ33" i="28"/>
  <c r="BN33" i="28"/>
  <c r="V35" i="28"/>
  <c r="AG35" i="28"/>
  <c r="AK35" i="28"/>
  <c r="AO35" i="28"/>
  <c r="AS35" i="28"/>
  <c r="AW35" i="28"/>
  <c r="BA35" i="28"/>
  <c r="F39" i="28"/>
  <c r="J39" i="28"/>
  <c r="K40" i="28" s="1"/>
  <c r="O40" i="28"/>
  <c r="BY40" i="28"/>
  <c r="CC40" i="28"/>
  <c r="V43" i="28"/>
  <c r="I47" i="28"/>
  <c r="M47" i="28"/>
  <c r="BF49" i="28"/>
  <c r="CK68" i="28"/>
  <c r="R73" i="28"/>
  <c r="V70" i="28"/>
  <c r="CL70" i="28"/>
  <c r="G81" i="28"/>
  <c r="K81" i="28"/>
  <c r="H81" i="28"/>
  <c r="L81" i="28"/>
  <c r="F81" i="28"/>
  <c r="J81" i="28"/>
  <c r="N81" i="28"/>
  <c r="R101" i="28"/>
  <c r="R102" i="28" s="1"/>
  <c r="R103" i="28" s="1"/>
  <c r="R112" i="28" s="1"/>
  <c r="CH101" i="28"/>
  <c r="BY98" i="28"/>
  <c r="P97" i="28"/>
  <c r="S98" i="28"/>
  <c r="CK102" i="28"/>
  <c r="BU101" i="28"/>
  <c r="E126" i="28"/>
  <c r="E115" i="28"/>
  <c r="I126" i="28"/>
  <c r="I115" i="28"/>
  <c r="BW101" i="28"/>
  <c r="I110" i="28"/>
  <c r="P98" i="28"/>
  <c r="S99" i="28"/>
  <c r="BS112" i="28"/>
  <c r="BS102" i="28"/>
  <c r="F107" i="28"/>
  <c r="M107" i="28"/>
  <c r="AJ108" i="28"/>
  <c r="AR108" i="28"/>
  <c r="AZ108" i="28"/>
  <c r="AE111" i="28"/>
  <c r="AI111" i="28"/>
  <c r="G109" i="28"/>
  <c r="AQ111" i="28"/>
  <c r="AU111" i="28"/>
  <c r="AY111" i="28"/>
  <c r="AT110" i="28"/>
  <c r="AP111" i="28"/>
  <c r="AQ116" i="28"/>
  <c r="R96" i="28"/>
  <c r="R113" i="28" s="1"/>
  <c r="J106" i="28"/>
  <c r="P108" i="28"/>
  <c r="P110" i="28"/>
  <c r="E109" i="28"/>
  <c r="E108" i="28" s="1"/>
  <c r="AH110" i="28"/>
  <c r="AX110" i="28"/>
  <c r="AT111" i="28"/>
  <c r="AY116" i="28"/>
  <c r="AU116" i="28"/>
  <c r="R118" i="28"/>
  <c r="CB121" i="28"/>
  <c r="CE122" i="28"/>
  <c r="CA122" i="28"/>
  <c r="AF126" i="28"/>
  <c r="AF115" i="28"/>
  <c r="AJ126" i="28"/>
  <c r="AJ115" i="28"/>
  <c r="AN126" i="28"/>
  <c r="AN115" i="28"/>
  <c r="AN116" i="28" s="1"/>
  <c r="G106" i="28"/>
  <c r="AR126" i="28"/>
  <c r="AR115" i="28"/>
  <c r="AV126" i="28"/>
  <c r="AV115" i="28"/>
  <c r="AZ117" i="28"/>
  <c r="AZ126" i="28"/>
  <c r="BD117" i="28"/>
  <c r="BD126" i="28"/>
  <c r="K106" i="28"/>
  <c r="BH117" i="28"/>
  <c r="BH126" i="28"/>
  <c r="AF108" i="28"/>
  <c r="AN108" i="28"/>
  <c r="AV108" i="28"/>
  <c r="BD108" i="28"/>
  <c r="I108" i="28"/>
  <c r="BI116" i="28"/>
  <c r="BE116" i="28"/>
  <c r="BE117" i="28"/>
  <c r="BF115" i="28"/>
  <c r="H106" i="28"/>
  <c r="I107" i="28" s="1"/>
  <c r="M126" i="28"/>
  <c r="M108" i="28"/>
  <c r="P126" i="28"/>
  <c r="P107" i="28"/>
  <c r="AG126" i="28"/>
  <c r="AG115" i="28"/>
  <c r="AG108" i="28"/>
  <c r="AK126" i="28"/>
  <c r="AK115" i="28"/>
  <c r="AK108" i="28"/>
  <c r="AO126" i="28"/>
  <c r="AO115" i="28"/>
  <c r="AO116" i="28" s="1"/>
  <c r="AO108" i="28"/>
  <c r="AS126" i="28"/>
  <c r="AS115" i="28"/>
  <c r="AS108" i="28"/>
  <c r="AW126" i="28"/>
  <c r="AW115" i="28"/>
  <c r="U123" i="45" s="1"/>
  <c r="AW108" i="28"/>
  <c r="BA126" i="28"/>
  <c r="BA117" i="28"/>
  <c r="BA108" i="28"/>
  <c r="BE126" i="28"/>
  <c r="BE108" i="28"/>
  <c r="BI126" i="28"/>
  <c r="BI117" i="28"/>
  <c r="AN107" i="28"/>
  <c r="AV107" i="28"/>
  <c r="BD107" i="28"/>
  <c r="BL107" i="28"/>
  <c r="F109" i="28"/>
  <c r="AL108" i="28"/>
  <c r="BC111" i="28"/>
  <c r="J109" i="28"/>
  <c r="BB108" i="28"/>
  <c r="BH111" i="28"/>
  <c r="BG111" i="28"/>
  <c r="BK110" i="28"/>
  <c r="BG110" i="28"/>
  <c r="L109" i="28"/>
  <c r="Q110" i="28"/>
  <c r="AP110" i="28"/>
  <c r="BF110" i="28"/>
  <c r="AL111" i="28"/>
  <c r="BB111" i="28"/>
  <c r="AM116" i="28"/>
  <c r="Q108" i="28"/>
  <c r="AY117" i="28"/>
  <c r="AY126" i="28"/>
  <c r="BC117" i="28"/>
  <c r="BC126" i="28"/>
  <c r="BG117" i="28"/>
  <c r="BG126" i="28"/>
  <c r="AI107" i="28"/>
  <c r="AM107" i="28"/>
  <c r="AQ107" i="28"/>
  <c r="AU107" i="28"/>
  <c r="AY107" i="28"/>
  <c r="BC107" i="28"/>
  <c r="BG107" i="28"/>
  <c r="BK107" i="28"/>
  <c r="BF108" i="28"/>
  <c r="H109" i="28"/>
  <c r="AK110" i="28"/>
  <c r="AO110" i="28"/>
  <c r="AS110" i="28"/>
  <c r="AW110" i="28"/>
  <c r="BA110" i="28"/>
  <c r="BE110" i="28"/>
  <c r="BI110" i="28"/>
  <c r="M116" i="28"/>
  <c r="Q116" i="28"/>
  <c r="AD115" i="28"/>
  <c r="AH115" i="28"/>
  <c r="AL115" i="28"/>
  <c r="AP115" i="28"/>
  <c r="AP116" i="28" s="1"/>
  <c r="AT115" i="28"/>
  <c r="AX115" i="28"/>
  <c r="V123" i="45" s="1"/>
  <c r="CJ115" i="28"/>
  <c r="F115" i="28"/>
  <c r="F116" i="28" s="1"/>
  <c r="G118" i="28"/>
  <c r="F118" i="28"/>
  <c r="AI110" i="28"/>
  <c r="AM110" i="28"/>
  <c r="AQ110" i="28"/>
  <c r="AU110" i="28"/>
  <c r="AY110" i="28"/>
  <c r="BC110" i="28"/>
  <c r="AM111" i="28"/>
  <c r="S120" i="28"/>
  <c r="CI121" i="28"/>
  <c r="BZ118" i="28"/>
  <c r="O107" i="28"/>
  <c r="BB117" i="28"/>
  <c r="BB126" i="28"/>
  <c r="BJ117" i="28"/>
  <c r="BJ126" i="28"/>
  <c r="AL107" i="28"/>
  <c r="AP107" i="28"/>
  <c r="AT107" i="28"/>
  <c r="AX107" i="28"/>
  <c r="BB107" i="28"/>
  <c r="BF107" i="28"/>
  <c r="BJ107" i="28"/>
  <c r="BN107" i="28"/>
  <c r="K109" i="28"/>
  <c r="AJ110" i="28"/>
  <c r="AN110" i="28"/>
  <c r="AR110" i="28"/>
  <c r="AV110" i="28"/>
  <c r="AZ110" i="28"/>
  <c r="BD110" i="28"/>
  <c r="BH110" i="28"/>
  <c r="CI116" i="28"/>
  <c r="N117" i="28"/>
  <c r="N110" i="29" s="1"/>
  <c r="BR118" i="28"/>
  <c r="BP118" i="28"/>
  <c r="BT118" i="28"/>
  <c r="BX118" i="28"/>
  <c r="CB118" i="28"/>
  <c r="CF118" i="28"/>
  <c r="O117" i="28"/>
  <c r="O110" i="29" s="1"/>
  <c r="I118" i="28"/>
  <c r="Q120" i="28"/>
  <c r="BS121" i="28"/>
  <c r="BT121" i="28" s="1"/>
  <c r="BX121" i="28"/>
  <c r="BQ118" i="28"/>
  <c r="BU118" i="28"/>
  <c r="BY118" i="28"/>
  <c r="CC118" i="28"/>
  <c r="CG118" i="28"/>
  <c r="P117" i="28"/>
  <c r="P110" i="29" s="1"/>
  <c r="CD118" i="28"/>
  <c r="CH118" i="28"/>
  <c r="BO118" i="28"/>
  <c r="BS118" i="28"/>
  <c r="BW118" i="28"/>
  <c r="CA118" i="28"/>
  <c r="CE118" i="28"/>
  <c r="B38" i="46"/>
  <c r="K18" i="46"/>
  <c r="M18" i="46" s="1"/>
  <c r="M19" i="46" s="1"/>
  <c r="L5" i="46"/>
  <c r="B30" i="46"/>
  <c r="B46" i="46"/>
  <c r="J18" i="46"/>
  <c r="J19" i="46" s="1"/>
  <c r="H19" i="46"/>
  <c r="C33" i="46"/>
  <c r="C41" i="46"/>
  <c r="I19" i="46"/>
  <c r="D33" i="46"/>
  <c r="D41" i="46"/>
  <c r="CI60" i="28" l="1"/>
  <c r="S102" i="28"/>
  <c r="P316" i="31"/>
  <c r="AP57" i="45"/>
  <c r="AS57" i="45"/>
  <c r="M443" i="31"/>
  <c r="O56" i="31"/>
  <c r="BZ20" i="31"/>
  <c r="AP86" i="45" s="1"/>
  <c r="BR25" i="28"/>
  <c r="BR52" i="28"/>
  <c r="R315" i="31"/>
  <c r="R313" i="31"/>
  <c r="N146" i="31"/>
  <c r="BJ25" i="28"/>
  <c r="BR20" i="31"/>
  <c r="BQ115" i="30"/>
  <c r="BT57" i="29"/>
  <c r="BG15" i="28"/>
  <c r="BT80" i="31"/>
  <c r="AI20" i="45"/>
  <c r="F20" i="31"/>
  <c r="C86" i="45"/>
  <c r="AA108" i="45"/>
  <c r="AY46" i="30"/>
  <c r="BE46" i="30"/>
  <c r="AG108" i="45"/>
  <c r="Q118" i="28"/>
  <c r="AE108" i="45"/>
  <c r="BC46" i="30"/>
  <c r="J117" i="28"/>
  <c r="J110" i="29" s="1"/>
  <c r="W108" i="45"/>
  <c r="AU46" i="30"/>
  <c r="X108" i="45"/>
  <c r="AV46" i="30"/>
  <c r="Z108" i="45"/>
  <c r="AX46" i="30"/>
  <c r="AL116" i="28"/>
  <c r="AX47" i="29"/>
  <c r="BA46" i="30"/>
  <c r="AC108" i="45"/>
  <c r="AB108" i="45"/>
  <c r="AZ46" i="30"/>
  <c r="AH108" i="45"/>
  <c r="BF46" i="30"/>
  <c r="AW46" i="30"/>
  <c r="Y108" i="45"/>
  <c r="AK116" i="28"/>
  <c r="AF108" i="45"/>
  <c r="BD46" i="30"/>
  <c r="AR116" i="28"/>
  <c r="M42" i="70"/>
  <c r="N37" i="70" s="1"/>
  <c r="M67" i="70"/>
  <c r="M35" i="70"/>
  <c r="T31" i="71"/>
  <c r="T25" i="71"/>
  <c r="T23" i="71"/>
  <c r="T67" i="71"/>
  <c r="T35" i="71"/>
  <c r="S61" i="71"/>
  <c r="S62" i="71" s="1"/>
  <c r="S69" i="71" s="1"/>
  <c r="R40" i="70"/>
  <c r="S33" i="70"/>
  <c r="N89" i="70"/>
  <c r="N30" i="70"/>
  <c r="O19" i="70"/>
  <c r="N24" i="70"/>
  <c r="M23" i="70"/>
  <c r="M25" i="70"/>
  <c r="L93" i="70"/>
  <c r="L95" i="70" s="1"/>
  <c r="L99" i="70" s="1"/>
  <c r="L60" i="70"/>
  <c r="N29" i="70"/>
  <c r="N12" i="70"/>
  <c r="O11" i="70"/>
  <c r="M90" i="70"/>
  <c r="M91" i="70" s="1"/>
  <c r="L66" i="70"/>
  <c r="L68" i="70" s="1"/>
  <c r="CH41" i="70"/>
  <c r="CH42" i="70" s="1"/>
  <c r="AL43" i="45"/>
  <c r="AL49" i="45"/>
  <c r="AM37" i="45"/>
  <c r="AP47" i="45"/>
  <c r="AP41" i="45"/>
  <c r="Z47" i="45"/>
  <c r="Z41" i="45"/>
  <c r="J47" i="45"/>
  <c r="J41" i="45"/>
  <c r="AL9" i="45"/>
  <c r="R9" i="45"/>
  <c r="J9" i="45"/>
  <c r="D37" i="45"/>
  <c r="C37" i="45"/>
  <c r="AS46" i="45"/>
  <c r="AS40" i="45"/>
  <c r="AS36" i="45"/>
  <c r="AK40" i="45"/>
  <c r="AK46" i="45"/>
  <c r="AK36" i="45"/>
  <c r="AC46" i="45"/>
  <c r="AC40" i="45"/>
  <c r="AC36" i="45"/>
  <c r="U40" i="45"/>
  <c r="U46" i="45"/>
  <c r="U36" i="45"/>
  <c r="M46" i="45"/>
  <c r="M40" i="45"/>
  <c r="M36" i="45"/>
  <c r="AR41" i="45"/>
  <c r="AR47" i="45"/>
  <c r="AJ41" i="45"/>
  <c r="AJ47" i="45"/>
  <c r="AB41" i="45"/>
  <c r="AB47" i="45"/>
  <c r="T47" i="45"/>
  <c r="T41" i="45"/>
  <c r="L47" i="45"/>
  <c r="L41" i="45"/>
  <c r="X9" i="45"/>
  <c r="P49" i="45"/>
  <c r="P43" i="45"/>
  <c r="AU49" i="45"/>
  <c r="AU43" i="45"/>
  <c r="AM49" i="45"/>
  <c r="AM43" i="45"/>
  <c r="AN37" i="45"/>
  <c r="AE49" i="45"/>
  <c r="AE43" i="45"/>
  <c r="W49" i="45"/>
  <c r="W43" i="45"/>
  <c r="X37" i="45"/>
  <c r="G49" i="45"/>
  <c r="G43" i="45"/>
  <c r="H37" i="45"/>
  <c r="S9" i="45"/>
  <c r="AL47" i="45"/>
  <c r="AL41" i="45"/>
  <c r="V47" i="45"/>
  <c r="V41" i="45"/>
  <c r="F47" i="45"/>
  <c r="F41" i="45"/>
  <c r="AT43" i="45"/>
  <c r="AU37" i="45"/>
  <c r="AT49" i="45"/>
  <c r="AP49" i="45"/>
  <c r="AQ37" i="45"/>
  <c r="AD43" i="45"/>
  <c r="AE37" i="45"/>
  <c r="AD49" i="45"/>
  <c r="AA37" i="45"/>
  <c r="R46" i="45"/>
  <c r="R40" i="45"/>
  <c r="R36" i="45"/>
  <c r="J36" i="45"/>
  <c r="J37" i="45" s="1"/>
  <c r="J46" i="45"/>
  <c r="J40" i="45"/>
  <c r="AS47" i="45"/>
  <c r="AS41" i="45"/>
  <c r="AK47" i="45"/>
  <c r="AK41" i="45"/>
  <c r="AC47" i="45"/>
  <c r="AC41" i="45"/>
  <c r="U47" i="45"/>
  <c r="U41" i="45"/>
  <c r="M47" i="45"/>
  <c r="M41" i="45"/>
  <c r="E43" i="45"/>
  <c r="E49" i="45"/>
  <c r="AV9" i="45"/>
  <c r="P9" i="45"/>
  <c r="AN43" i="45"/>
  <c r="AJ36" i="45"/>
  <c r="AN49" i="45" s="1"/>
  <c r="X43" i="45"/>
  <c r="T36" i="45"/>
  <c r="X49" i="45" s="1"/>
  <c r="I37" i="45"/>
  <c r="H43" i="45"/>
  <c r="AM41" i="45"/>
  <c r="G41" i="45"/>
  <c r="H9" i="45"/>
  <c r="AQ49" i="45"/>
  <c r="AQ43" i="45"/>
  <c r="AA49" i="45"/>
  <c r="AA43" i="45"/>
  <c r="K40" i="45"/>
  <c r="AQ9" i="45"/>
  <c r="AX47" i="45"/>
  <c r="AX41" i="45"/>
  <c r="AH47" i="45"/>
  <c r="AH41" i="45"/>
  <c r="R47" i="45"/>
  <c r="R41" i="45"/>
  <c r="AX36" i="45"/>
  <c r="AH36" i="45"/>
  <c r="AW40" i="45"/>
  <c r="AW46" i="45"/>
  <c r="AW36" i="45"/>
  <c r="AO46" i="45"/>
  <c r="AO40" i="45"/>
  <c r="AO36" i="45"/>
  <c r="AO37" i="45" s="1"/>
  <c r="AG40" i="45"/>
  <c r="AG46" i="45"/>
  <c r="AG36" i="45"/>
  <c r="Y46" i="45"/>
  <c r="Y40" i="45"/>
  <c r="Y36" i="45"/>
  <c r="Q40" i="45"/>
  <c r="Q46" i="45"/>
  <c r="Q36" i="45"/>
  <c r="I43" i="45"/>
  <c r="I49" i="45"/>
  <c r="AV41" i="45"/>
  <c r="AV47" i="45"/>
  <c r="AN41" i="45"/>
  <c r="AN47" i="45"/>
  <c r="AF41" i="45"/>
  <c r="AF47" i="45"/>
  <c r="X47" i="45"/>
  <c r="X41" i="45"/>
  <c r="P47" i="45"/>
  <c r="P41" i="45"/>
  <c r="H41" i="45"/>
  <c r="H47" i="45"/>
  <c r="AN9" i="45"/>
  <c r="I9" i="45"/>
  <c r="AR36" i="45"/>
  <c r="AR37" i="45" s="1"/>
  <c r="AB36" i="45"/>
  <c r="AQ41" i="45"/>
  <c r="AA41" i="45"/>
  <c r="K41" i="45"/>
  <c r="D40" i="45"/>
  <c r="G46" i="45"/>
  <c r="K9" i="45"/>
  <c r="AT47" i="45"/>
  <c r="AT41" i="45"/>
  <c r="AD47" i="45"/>
  <c r="AD41" i="45"/>
  <c r="N47" i="45"/>
  <c r="N41" i="45"/>
  <c r="AP9" i="45"/>
  <c r="Z9" i="45"/>
  <c r="AP40" i="45"/>
  <c r="Z40" i="45"/>
  <c r="V36" i="45"/>
  <c r="Z49" i="45" s="1"/>
  <c r="V46" i="45"/>
  <c r="V40" i="45"/>
  <c r="N46" i="45"/>
  <c r="N40" i="45"/>
  <c r="N36" i="45"/>
  <c r="F46" i="45"/>
  <c r="F40" i="45"/>
  <c r="F36" i="45"/>
  <c r="F37" i="45" s="1"/>
  <c r="AW47" i="45"/>
  <c r="AW41" i="45"/>
  <c r="AO47" i="45"/>
  <c r="AO41" i="45"/>
  <c r="AG47" i="45"/>
  <c r="AG41" i="45"/>
  <c r="Y47" i="45"/>
  <c r="Y41" i="45"/>
  <c r="Q41" i="45"/>
  <c r="Q47" i="45"/>
  <c r="I47" i="45"/>
  <c r="I41" i="45"/>
  <c r="AW9" i="45"/>
  <c r="AO9" i="45"/>
  <c r="AG9" i="45"/>
  <c r="Y9" i="45"/>
  <c r="Q9" i="45"/>
  <c r="AF9" i="45"/>
  <c r="AV36" i="45"/>
  <c r="AF36" i="45"/>
  <c r="AF37" i="45" s="1"/>
  <c r="L36" i="45"/>
  <c r="AI41" i="45"/>
  <c r="S41" i="45"/>
  <c r="D36" i="45"/>
  <c r="AI49" i="45"/>
  <c r="AI43" i="45"/>
  <c r="S49" i="45"/>
  <c r="S43" i="45"/>
  <c r="O49" i="45"/>
  <c r="O43" i="45"/>
  <c r="P37" i="45"/>
  <c r="K49" i="45"/>
  <c r="K43" i="45"/>
  <c r="L37" i="45"/>
  <c r="AA9" i="45"/>
  <c r="AI9" i="45"/>
  <c r="AL80" i="50"/>
  <c r="AL81" i="50" s="1"/>
  <c r="AL76" i="50"/>
  <c r="I80" i="50"/>
  <c r="I79" i="50" s="1"/>
  <c r="I104" i="50" s="1"/>
  <c r="I76" i="50"/>
  <c r="AX46" i="50"/>
  <c r="AY34" i="50"/>
  <c r="AY32" i="50"/>
  <c r="AX33" i="50"/>
  <c r="M66" i="50"/>
  <c r="L67" i="50"/>
  <c r="AJ80" i="50"/>
  <c r="AJ81" i="50" s="1"/>
  <c r="AJ76" i="50"/>
  <c r="G28" i="50"/>
  <c r="G75" i="50" s="1"/>
  <c r="H25" i="50"/>
  <c r="H24" i="50"/>
  <c r="G25" i="50"/>
  <c r="AE80" i="50"/>
  <c r="AE81" i="50" s="1"/>
  <c r="AE76" i="50"/>
  <c r="H75" i="50"/>
  <c r="AU20" i="50"/>
  <c r="AU75" i="50" s="1"/>
  <c r="L8" i="50"/>
  <c r="L20" i="50" s="1"/>
  <c r="L75" i="50" s="1"/>
  <c r="AV8" i="50"/>
  <c r="AV6" i="50"/>
  <c r="AU7" i="50"/>
  <c r="AS38" i="50"/>
  <c r="AT37" i="50"/>
  <c r="AT38" i="50" s="1"/>
  <c r="AS46" i="50"/>
  <c r="AS75" i="50" s="1"/>
  <c r="K75" i="50"/>
  <c r="AW12" i="50"/>
  <c r="AX13" i="50"/>
  <c r="AX11" i="50"/>
  <c r="AW68" i="50"/>
  <c r="AW66" i="50"/>
  <c r="AV67" i="50"/>
  <c r="AR80" i="50"/>
  <c r="AR81" i="50" s="1"/>
  <c r="AR76" i="50"/>
  <c r="P44" i="50"/>
  <c r="O43" i="50"/>
  <c r="P42" i="50"/>
  <c r="AT80" i="50"/>
  <c r="AT81" i="50" s="1"/>
  <c r="AT76" i="50"/>
  <c r="N71" i="50"/>
  <c r="N73" i="50"/>
  <c r="M72" i="50"/>
  <c r="AW62" i="50"/>
  <c r="AX61" i="50"/>
  <c r="AX63" i="50"/>
  <c r="AM46" i="50"/>
  <c r="AM75" i="50" s="1"/>
  <c r="AN39" i="50"/>
  <c r="J39" i="50"/>
  <c r="AM38" i="50"/>
  <c r="AN37" i="50"/>
  <c r="AH80" i="50"/>
  <c r="AH81" i="50" s="1"/>
  <c r="AH76" i="50"/>
  <c r="AX58" i="50"/>
  <c r="AW57" i="50"/>
  <c r="AX56" i="50"/>
  <c r="AW25" i="50"/>
  <c r="AW28" i="50"/>
  <c r="AX26" i="50"/>
  <c r="AX24" i="50"/>
  <c r="AK80" i="50"/>
  <c r="AK81" i="50" s="1"/>
  <c r="AK76" i="50"/>
  <c r="L12" i="50"/>
  <c r="M11" i="50"/>
  <c r="AX38" i="50"/>
  <c r="AY39" i="50"/>
  <c r="AY37" i="50"/>
  <c r="AX18" i="50"/>
  <c r="AX16" i="50"/>
  <c r="AW17" i="50"/>
  <c r="BJ30" i="31"/>
  <c r="BJ31" i="31"/>
  <c r="BN30" i="31"/>
  <c r="BE30" i="31"/>
  <c r="BE31" i="31"/>
  <c r="BA30" i="31"/>
  <c r="BA31" i="31"/>
  <c r="AW30" i="31"/>
  <c r="AW31" i="31"/>
  <c r="AS31" i="31"/>
  <c r="AS30" i="31"/>
  <c r="O73" i="31"/>
  <c r="P72" i="31"/>
  <c r="P69" i="31" s="1"/>
  <c r="P70" i="31" s="1"/>
  <c r="Q413" i="31"/>
  <c r="Q175" i="31"/>
  <c r="CI229" i="31"/>
  <c r="CI228" i="31"/>
  <c r="N91" i="31"/>
  <c r="AN49" i="31"/>
  <c r="AO49" i="31"/>
  <c r="Q209" i="31"/>
  <c r="Q202" i="31"/>
  <c r="P142" i="31"/>
  <c r="BH48" i="31"/>
  <c r="BH49" i="31"/>
  <c r="CM465" i="31"/>
  <c r="CM466" i="31"/>
  <c r="U361" i="31"/>
  <c r="T362" i="31"/>
  <c r="S403" i="31"/>
  <c r="S404" i="31" s="1"/>
  <c r="S368" i="31"/>
  <c r="BZ425" i="31"/>
  <c r="BZ255" i="31"/>
  <c r="BZ254" i="31"/>
  <c r="BZ253" i="31"/>
  <c r="CD253" i="31"/>
  <c r="CH221" i="31"/>
  <c r="R219" i="31"/>
  <c r="CL219" i="31"/>
  <c r="CH222" i="31"/>
  <c r="CA429" i="31"/>
  <c r="CA432" i="31"/>
  <c r="CA427" i="31"/>
  <c r="CG238" i="31"/>
  <c r="CG237" i="31"/>
  <c r="Q425" i="31"/>
  <c r="BP425" i="31"/>
  <c r="BP254" i="31"/>
  <c r="CJ255" i="31"/>
  <c r="CJ254" i="31"/>
  <c r="CJ253" i="31"/>
  <c r="R182" i="31"/>
  <c r="R180" i="31"/>
  <c r="R215" i="31"/>
  <c r="CH218" i="31"/>
  <c r="CH217" i="31"/>
  <c r="CL215" i="31"/>
  <c r="CJ156" i="31"/>
  <c r="CJ155" i="31"/>
  <c r="CJ118" i="31"/>
  <c r="CJ121" i="31" s="1"/>
  <c r="CJ20" i="31"/>
  <c r="CB25" i="28"/>
  <c r="CJ238" i="31"/>
  <c r="Q200" i="31"/>
  <c r="Q198" i="31"/>
  <c r="CL431" i="31"/>
  <c r="CL414" i="31"/>
  <c r="CL417" i="31"/>
  <c r="CL415" i="31"/>
  <c r="BX148" i="31"/>
  <c r="BX149" i="31"/>
  <c r="BX154" i="31"/>
  <c r="BY156" i="31" s="1"/>
  <c r="O147" i="31"/>
  <c r="BV101" i="31"/>
  <c r="BU111" i="31"/>
  <c r="BU106" i="31"/>
  <c r="CO101" i="31"/>
  <c r="CN111" i="31"/>
  <c r="CN106" i="31"/>
  <c r="CG146" i="31"/>
  <c r="BJ49" i="31"/>
  <c r="BJ48" i="31"/>
  <c r="R126" i="31"/>
  <c r="P148" i="31"/>
  <c r="AQ49" i="31"/>
  <c r="AQ48" i="31"/>
  <c r="BJ54" i="31"/>
  <c r="CR110" i="31"/>
  <c r="CR105" i="31"/>
  <c r="BC30" i="31"/>
  <c r="BC31" i="31"/>
  <c r="BD31" i="31"/>
  <c r="BD30" i="31"/>
  <c r="CN465" i="31"/>
  <c r="CN466" i="31"/>
  <c r="CK405" i="31"/>
  <c r="CK404" i="31"/>
  <c r="CS398" i="31"/>
  <c r="CS399" i="31"/>
  <c r="CT397" i="31"/>
  <c r="CS400" i="31"/>
  <c r="U392" i="31"/>
  <c r="U147" i="31"/>
  <c r="U148" i="31" s="1"/>
  <c r="CK254" i="31"/>
  <c r="BW452" i="31"/>
  <c r="BW451" i="31"/>
  <c r="BW454" i="31"/>
  <c r="O241" i="31"/>
  <c r="O243" i="31"/>
  <c r="R235" i="31"/>
  <c r="R233" i="31"/>
  <c r="R236" i="31"/>
  <c r="Q215" i="31"/>
  <c r="Q309" i="31"/>
  <c r="Q314" i="31"/>
  <c r="Q236" i="31"/>
  <c r="Q235" i="31"/>
  <c r="Q233" i="31"/>
  <c r="P222" i="31"/>
  <c r="P220" i="31"/>
  <c r="P227" i="31"/>
  <c r="CR387" i="31"/>
  <c r="CR386" i="31"/>
  <c r="CR143" i="31"/>
  <c r="BX348" i="31"/>
  <c r="BX344" i="31"/>
  <c r="BX345" i="31"/>
  <c r="BT344" i="31"/>
  <c r="BT348" i="31" s="1"/>
  <c r="BT345" i="31"/>
  <c r="CG212" i="31"/>
  <c r="CG211" i="31"/>
  <c r="CG210" i="31"/>
  <c r="P209" i="31"/>
  <c r="P202" i="31"/>
  <c r="BP452" i="31"/>
  <c r="BP454" i="31"/>
  <c r="BX425" i="31"/>
  <c r="BX254" i="31"/>
  <c r="BX253" i="31"/>
  <c r="CK204" i="31"/>
  <c r="CK203" i="31"/>
  <c r="CK209" i="31"/>
  <c r="CH199" i="31"/>
  <c r="CH200" i="31"/>
  <c r="CL197" i="31"/>
  <c r="CK238" i="31"/>
  <c r="CK237" i="31"/>
  <c r="S186" i="31"/>
  <c r="S184" i="31"/>
  <c r="CK413" i="31"/>
  <c r="CK177" i="31"/>
  <c r="CK176" i="31"/>
  <c r="CK175" i="31"/>
  <c r="BT452" i="31"/>
  <c r="BT454" i="31"/>
  <c r="BT451" i="31"/>
  <c r="CD229" i="31"/>
  <c r="CD228" i="31"/>
  <c r="T191" i="31"/>
  <c r="BT417" i="31"/>
  <c r="BT415" i="31"/>
  <c r="BT414" i="31"/>
  <c r="O414" i="31"/>
  <c r="O417" i="31"/>
  <c r="BU155" i="31"/>
  <c r="BU20" i="31"/>
  <c r="AK86" i="45" s="1"/>
  <c r="BM25" i="28"/>
  <c r="Q151" i="31"/>
  <c r="Q401" i="31" s="1"/>
  <c r="Q154" i="31"/>
  <c r="Q177" i="31" s="1"/>
  <c r="CF156" i="31"/>
  <c r="CF118" i="31"/>
  <c r="CF177" i="31"/>
  <c r="CF20" i="31"/>
  <c r="BX25" i="28"/>
  <c r="CJ158" i="31"/>
  <c r="CJ142" i="31"/>
  <c r="CF158" i="31"/>
  <c r="CF142" i="31"/>
  <c r="CN425" i="31"/>
  <c r="CN194" i="31"/>
  <c r="CN193" i="31"/>
  <c r="CN192" i="31"/>
  <c r="CQ429" i="31"/>
  <c r="CQ426" i="31"/>
  <c r="CQ427" i="31"/>
  <c r="CE426" i="31"/>
  <c r="CE429" i="31"/>
  <c r="CE427" i="31"/>
  <c r="R174" i="31"/>
  <c r="N417" i="31"/>
  <c r="N414" i="31"/>
  <c r="BS156" i="31"/>
  <c r="BS20" i="31"/>
  <c r="AI86" i="45" s="1"/>
  <c r="BK25" i="28"/>
  <c r="CE156" i="31"/>
  <c r="CE155" i="31"/>
  <c r="CE118" i="31"/>
  <c r="CE20" i="31"/>
  <c r="BW25" i="28"/>
  <c r="R146" i="31"/>
  <c r="R144" i="31"/>
  <c r="CH142" i="31"/>
  <c r="CI158" i="31"/>
  <c r="CI142" i="31"/>
  <c r="BW158" i="31"/>
  <c r="BW142" i="31"/>
  <c r="R197" i="31"/>
  <c r="CF212" i="31"/>
  <c r="CF211" i="31"/>
  <c r="CF210" i="31"/>
  <c r="CJ425" i="31"/>
  <c r="CJ194" i="31"/>
  <c r="CJ193" i="31"/>
  <c r="CJ192" i="31"/>
  <c r="BW156" i="31"/>
  <c r="BW155" i="31"/>
  <c r="BW118" i="31"/>
  <c r="BW20" i="31"/>
  <c r="AM86" i="45" s="1"/>
  <c r="BO25" i="28"/>
  <c r="CL156" i="31"/>
  <c r="CL155" i="31"/>
  <c r="CL118" i="31"/>
  <c r="CL121" i="31" s="1"/>
  <c r="CL20" i="31"/>
  <c r="O169" i="31"/>
  <c r="O144" i="31"/>
  <c r="CL158" i="31"/>
  <c r="BZ158" i="31"/>
  <c r="BZ146" i="31"/>
  <c r="CL255" i="31"/>
  <c r="CB154" i="31"/>
  <c r="CB148" i="31"/>
  <c r="CB149" i="31"/>
  <c r="CK155" i="31"/>
  <c r="CK118" i="31"/>
  <c r="CK121" i="31" s="1"/>
  <c r="CK156" i="31"/>
  <c r="CK20" i="31"/>
  <c r="CL111" i="31"/>
  <c r="CL106" i="31"/>
  <c r="CM101" i="31"/>
  <c r="BV111" i="31"/>
  <c r="BV106" i="31"/>
  <c r="BW101" i="31"/>
  <c r="CI199" i="31"/>
  <c r="Q148" i="31"/>
  <c r="CI146" i="31"/>
  <c r="Q157" i="31"/>
  <c r="Q158" i="31" s="1"/>
  <c r="R132" i="31"/>
  <c r="CH101" i="31"/>
  <c r="CG111" i="31"/>
  <c r="CG106" i="31"/>
  <c r="BR101" i="31"/>
  <c r="BQ106" i="31"/>
  <c r="CS429" i="31"/>
  <c r="CS426" i="31"/>
  <c r="CO426" i="31"/>
  <c r="CO427" i="31"/>
  <c r="CO429" i="31"/>
  <c r="CK426" i="31"/>
  <c r="CK427" i="31"/>
  <c r="CK429" i="31"/>
  <c r="CK432" i="31"/>
  <c r="CB146" i="31"/>
  <c r="CK101" i="31"/>
  <c r="CJ111" i="31"/>
  <c r="CJ106" i="31"/>
  <c r="BU101" i="31"/>
  <c r="BT111" i="31"/>
  <c r="BT106" i="31"/>
  <c r="BR82" i="31"/>
  <c r="AH22" i="45" s="1"/>
  <c r="BQ83" i="31"/>
  <c r="AG23" i="45" s="1"/>
  <c r="BO324" i="31"/>
  <c r="BO39" i="31"/>
  <c r="BO47" i="31" s="1"/>
  <c r="BS36" i="31"/>
  <c r="BN35" i="31"/>
  <c r="BO99" i="31"/>
  <c r="BP39" i="31"/>
  <c r="BP51" i="31"/>
  <c r="BO58" i="31"/>
  <c r="BO52" i="31"/>
  <c r="BR105" i="31"/>
  <c r="O157" i="31"/>
  <c r="N39" i="31"/>
  <c r="BJ38" i="31"/>
  <c r="BJ91" i="31"/>
  <c r="BJ93" i="31" s="1"/>
  <c r="Z30" i="45" s="1"/>
  <c r="CN101" i="31"/>
  <c r="CM111" i="31"/>
  <c r="CM106" i="31"/>
  <c r="P417" i="31"/>
  <c r="P414" i="31"/>
  <c r="CA156" i="31"/>
  <c r="CA155" i="31"/>
  <c r="CA118" i="31"/>
  <c r="CA20" i="31"/>
  <c r="AQ86" i="45" s="1"/>
  <c r="BS25" i="28"/>
  <c r="BO54" i="31"/>
  <c r="BK54" i="31"/>
  <c r="BG48" i="31"/>
  <c r="BG49" i="31"/>
  <c r="BI49" i="31"/>
  <c r="BI48" i="31"/>
  <c r="S91" i="31"/>
  <c r="S38" i="31"/>
  <c r="AA91" i="31"/>
  <c r="AA93" i="31" s="1"/>
  <c r="AA38" i="31"/>
  <c r="AB37" i="31"/>
  <c r="CN177" i="31"/>
  <c r="CJ101" i="31"/>
  <c r="AV49" i="31"/>
  <c r="AV48" i="31"/>
  <c r="BI31" i="31"/>
  <c r="BI30" i="31"/>
  <c r="G48" i="31"/>
  <c r="BK31" i="31"/>
  <c r="BK30" i="31"/>
  <c r="AY21" i="31"/>
  <c r="O87" i="45" s="1"/>
  <c r="I20" i="31"/>
  <c r="AQ30" i="31"/>
  <c r="AQ31" i="31"/>
  <c r="AZ31" i="31"/>
  <c r="AZ30" i="31"/>
  <c r="K38" i="31"/>
  <c r="BM30" i="31"/>
  <c r="BS105" i="31"/>
  <c r="AT30" i="31"/>
  <c r="AT31" i="31"/>
  <c r="L29" i="31"/>
  <c r="J18" i="31"/>
  <c r="L18" i="31"/>
  <c r="BW52" i="28"/>
  <c r="CO466" i="31"/>
  <c r="CO465" i="31"/>
  <c r="V391" i="31"/>
  <c r="W388" i="31"/>
  <c r="V187" i="31"/>
  <c r="V188" i="31" s="1"/>
  <c r="BW425" i="31"/>
  <c r="CA426" i="31" s="1"/>
  <c r="BW255" i="31"/>
  <c r="BW254" i="31"/>
  <c r="BW253" i="31"/>
  <c r="CK222" i="31"/>
  <c r="CK221" i="31"/>
  <c r="CS368" i="31"/>
  <c r="CS369" i="31"/>
  <c r="CS139" i="31"/>
  <c r="R255" i="31"/>
  <c r="R253" i="31"/>
  <c r="CJ229" i="31"/>
  <c r="CJ228" i="31"/>
  <c r="CO413" i="31"/>
  <c r="CO177" i="31"/>
  <c r="CO176" i="31"/>
  <c r="CO175" i="31"/>
  <c r="U188" i="31"/>
  <c r="CI156" i="31"/>
  <c r="CI155" i="31"/>
  <c r="CI118" i="31"/>
  <c r="CI20" i="31"/>
  <c r="CA25" i="28"/>
  <c r="CJ177" i="31"/>
  <c r="CH431" i="31"/>
  <c r="CH414" i="31"/>
  <c r="CH417" i="31"/>
  <c r="CD158" i="31"/>
  <c r="CD146" i="31"/>
  <c r="CP111" i="31"/>
  <c r="CP106" i="31"/>
  <c r="BY158" i="31"/>
  <c r="BY146" i="31"/>
  <c r="R162" i="31"/>
  <c r="R164" i="31"/>
  <c r="L53" i="31"/>
  <c r="L58" i="31"/>
  <c r="L52" i="31"/>
  <c r="BV156" i="31"/>
  <c r="BV155" i="31"/>
  <c r="BN25" i="28"/>
  <c r="BV20" i="31"/>
  <c r="AL86" i="45" s="1"/>
  <c r="CP466" i="31"/>
  <c r="BS29" i="31"/>
  <c r="BO30" i="31"/>
  <c r="BP30" i="31" s="1"/>
  <c r="BO31" i="31"/>
  <c r="J29" i="31"/>
  <c r="J27" i="31"/>
  <c r="I11" i="28"/>
  <c r="I13" i="28" s="1"/>
  <c r="CR98" i="31"/>
  <c r="CI102" i="29"/>
  <c r="CR12" i="31"/>
  <c r="BM52" i="28"/>
  <c r="BK52" i="28"/>
  <c r="G25" i="28"/>
  <c r="G13" i="28" s="1"/>
  <c r="CK466" i="31"/>
  <c r="CQ465" i="31"/>
  <c r="CQ466" i="31"/>
  <c r="CM404" i="31"/>
  <c r="CM405" i="31"/>
  <c r="R401" i="31"/>
  <c r="CL405" i="31"/>
  <c r="CL404" i="31"/>
  <c r="CS384" i="31"/>
  <c r="CS383" i="31"/>
  <c r="T382" i="31"/>
  <c r="CT382" i="31"/>
  <c r="CS166" i="31"/>
  <c r="CQ403" i="31"/>
  <c r="R392" i="31"/>
  <c r="T374" i="31"/>
  <c r="U374" i="31" s="1"/>
  <c r="V374" i="31" s="1"/>
  <c r="W374" i="31" s="1"/>
  <c r="X374" i="31" s="1"/>
  <c r="Y374" i="31" s="1"/>
  <c r="Z374" i="31" s="1"/>
  <c r="AA374" i="31" s="1"/>
  <c r="AB374" i="31" s="1"/>
  <c r="AC374" i="31" s="1"/>
  <c r="AD374" i="31" s="1"/>
  <c r="AE374" i="31" s="1"/>
  <c r="AF374" i="31" s="1"/>
  <c r="U373" i="31"/>
  <c r="V373" i="31" s="1"/>
  <c r="W373" i="31" s="1"/>
  <c r="X373" i="31" s="1"/>
  <c r="Y373" i="31" s="1"/>
  <c r="Z373" i="31" s="1"/>
  <c r="AA373" i="31" s="1"/>
  <c r="AB373" i="31" s="1"/>
  <c r="AC373" i="31" s="1"/>
  <c r="AD373" i="31" s="1"/>
  <c r="AE373" i="31" s="1"/>
  <c r="AF373" i="31" s="1"/>
  <c r="R263" i="31"/>
  <c r="CA451" i="31"/>
  <c r="U379" i="31"/>
  <c r="BY425" i="31"/>
  <c r="BY255" i="31"/>
  <c r="BY254" i="31"/>
  <c r="BY253" i="31"/>
  <c r="CA254" i="31"/>
  <c r="CF229" i="31"/>
  <c r="CF228" i="31"/>
  <c r="N439" i="31"/>
  <c r="N228" i="31"/>
  <c r="T353" i="31"/>
  <c r="U353" i="31" s="1"/>
  <c r="V353" i="31" s="1"/>
  <c r="W353" i="31" s="1"/>
  <c r="X353" i="31" s="1"/>
  <c r="Y353" i="31" s="1"/>
  <c r="Z353" i="31" s="1"/>
  <c r="AA353" i="31" s="1"/>
  <c r="AB353" i="31" s="1"/>
  <c r="AC353" i="31" s="1"/>
  <c r="AD353" i="31" s="1"/>
  <c r="AE353" i="31" s="1"/>
  <c r="AF353" i="31" s="1"/>
  <c r="T367" i="31"/>
  <c r="P314" i="31"/>
  <c r="P317" i="31"/>
  <c r="O276" i="31"/>
  <c r="BV425" i="31"/>
  <c r="BV254" i="31"/>
  <c r="BV253" i="31"/>
  <c r="BQ425" i="31"/>
  <c r="BQ254" i="31"/>
  <c r="CE229" i="31"/>
  <c r="CE228" i="31"/>
  <c r="CJ222" i="31"/>
  <c r="CJ221" i="31"/>
  <c r="P450" i="31"/>
  <c r="P237" i="31"/>
  <c r="CD212" i="31"/>
  <c r="CD211" i="31"/>
  <c r="CD210" i="31"/>
  <c r="R191" i="31"/>
  <c r="R188" i="31"/>
  <c r="T184" i="31"/>
  <c r="CA431" i="31"/>
  <c r="BX452" i="31"/>
  <c r="BX454" i="31"/>
  <c r="BX451" i="31"/>
  <c r="CD238" i="31"/>
  <c r="CD237" i="31"/>
  <c r="O454" i="31"/>
  <c r="O451" i="31"/>
  <c r="P200" i="31"/>
  <c r="P198" i="31"/>
  <c r="S164" i="31"/>
  <c r="S165" i="31"/>
  <c r="S162" i="31"/>
  <c r="CG413" i="31"/>
  <c r="CG177" i="31"/>
  <c r="CG176" i="31"/>
  <c r="CG175" i="31"/>
  <c r="N252" i="31"/>
  <c r="P218" i="31"/>
  <c r="P216" i="31"/>
  <c r="CQ413" i="31"/>
  <c r="CQ432" i="31" s="1"/>
  <c r="CQ176" i="31"/>
  <c r="CQ175" i="31"/>
  <c r="CI413" i="31"/>
  <c r="CI177" i="31"/>
  <c r="CI176" i="31"/>
  <c r="CI175" i="31"/>
  <c r="S151" i="31"/>
  <c r="S154" i="31"/>
  <c r="Q146" i="31"/>
  <c r="CE158" i="31"/>
  <c r="CE142" i="31"/>
  <c r="CL194" i="31"/>
  <c r="CP176" i="31"/>
  <c r="CL176" i="31"/>
  <c r="CH176" i="31"/>
  <c r="CB142" i="31"/>
  <c r="S157" i="31"/>
  <c r="S158" i="31" s="1"/>
  <c r="S140" i="31"/>
  <c r="CC429" i="31"/>
  <c r="CC426" i="31"/>
  <c r="CC432" i="31"/>
  <c r="P249" i="31"/>
  <c r="P252" i="31"/>
  <c r="O249" i="31"/>
  <c r="O252" i="31"/>
  <c r="BT148" i="31"/>
  <c r="BT149" i="31"/>
  <c r="BT154" i="31"/>
  <c r="BU156" i="31" s="1"/>
  <c r="CM136" i="31"/>
  <c r="CH111" i="31"/>
  <c r="CH106" i="31"/>
  <c r="CI101" i="31"/>
  <c r="BR106" i="31"/>
  <c r="BS101" i="31"/>
  <c r="R184" i="31"/>
  <c r="R186" i="31"/>
  <c r="CG142" i="31"/>
  <c r="CC158" i="31"/>
  <c r="CC146" i="31"/>
  <c r="CN136" i="31"/>
  <c r="CD101" i="31"/>
  <c r="CC111" i="31"/>
  <c r="CC106" i="31"/>
  <c r="Q219" i="31"/>
  <c r="Q227" i="31" s="1"/>
  <c r="BX146" i="31"/>
  <c r="BP20" i="31"/>
  <c r="AF86" i="45" s="1"/>
  <c r="BH25" i="28"/>
  <c r="BH51" i="28" s="1"/>
  <c r="CL146" i="31"/>
  <c r="CG101" i="31"/>
  <c r="CF111" i="31"/>
  <c r="CF106" i="31"/>
  <c r="BQ101" i="31"/>
  <c r="CI209" i="31"/>
  <c r="CI204" i="31"/>
  <c r="CI203" i="31"/>
  <c r="CE212" i="31"/>
  <c r="CE211" i="31"/>
  <c r="CE210" i="31"/>
  <c r="R154" i="31"/>
  <c r="AU38" i="31"/>
  <c r="BN54" i="31"/>
  <c r="BR54" i="31"/>
  <c r="BR331" i="31"/>
  <c r="BR334" i="31" s="1"/>
  <c r="BR327" i="31"/>
  <c r="CF101" i="31"/>
  <c r="CE106" i="31"/>
  <c r="CE111" i="31"/>
  <c r="BF38" i="31"/>
  <c r="BL109" i="31"/>
  <c r="BH91" i="31"/>
  <c r="BH93" i="31" s="1"/>
  <c r="X30" i="45" s="1"/>
  <c r="BH38" i="31"/>
  <c r="BQ156" i="31"/>
  <c r="BQ20" i="31"/>
  <c r="AG86" i="45" s="1"/>
  <c r="BI25" i="28"/>
  <c r="BC49" i="31"/>
  <c r="BC48" i="31"/>
  <c r="I45" i="31"/>
  <c r="H14" i="28"/>
  <c r="I47" i="31"/>
  <c r="I48" i="31" s="1"/>
  <c r="O91" i="31"/>
  <c r="O38" i="31"/>
  <c r="AW38" i="31"/>
  <c r="BG18" i="31"/>
  <c r="R157" i="31"/>
  <c r="BX101" i="31"/>
  <c r="BW111" i="31"/>
  <c r="BW106" i="31"/>
  <c r="AZ38" i="31"/>
  <c r="AR49" i="31"/>
  <c r="AR48" i="31"/>
  <c r="R18" i="31"/>
  <c r="AY49" i="31"/>
  <c r="AY48" i="31"/>
  <c r="P38" i="31"/>
  <c r="BG31" i="31"/>
  <c r="BG30" i="31"/>
  <c r="I29" i="31"/>
  <c r="I27" i="31"/>
  <c r="H11" i="28"/>
  <c r="AY31" i="31"/>
  <c r="AY30" i="31"/>
  <c r="J73" i="31"/>
  <c r="AV31" i="31"/>
  <c r="AV30" i="31"/>
  <c r="L73" i="31"/>
  <c r="H29" i="31"/>
  <c r="N18" i="31"/>
  <c r="N63" i="31"/>
  <c r="BF30" i="31"/>
  <c r="BF31" i="31"/>
  <c r="AP31" i="31"/>
  <c r="P18" i="31"/>
  <c r="AS49" i="31"/>
  <c r="CR17" i="31"/>
  <c r="U376" i="31"/>
  <c r="V376" i="31" s="1"/>
  <c r="W376" i="31" s="1"/>
  <c r="X376" i="31" s="1"/>
  <c r="Y376" i="31" s="1"/>
  <c r="Z376" i="31" s="1"/>
  <c r="AA376" i="31" s="1"/>
  <c r="AB376" i="31" s="1"/>
  <c r="AC376" i="31" s="1"/>
  <c r="AD376" i="31" s="1"/>
  <c r="AE376" i="31" s="1"/>
  <c r="AF376" i="31" s="1"/>
  <c r="T377" i="31"/>
  <c r="U377" i="31" s="1"/>
  <c r="V377" i="31" s="1"/>
  <c r="W377" i="31" s="1"/>
  <c r="X377" i="31" s="1"/>
  <c r="Y377" i="31" s="1"/>
  <c r="Z377" i="31" s="1"/>
  <c r="AA377" i="31" s="1"/>
  <c r="AB377" i="31" s="1"/>
  <c r="AC377" i="31" s="1"/>
  <c r="AD377" i="31" s="1"/>
  <c r="AE377" i="31" s="1"/>
  <c r="AF377" i="31" s="1"/>
  <c r="T385" i="31"/>
  <c r="T386" i="31" s="1"/>
  <c r="T371" i="31"/>
  <c r="U371" i="31" s="1"/>
  <c r="V371" i="31" s="1"/>
  <c r="W371" i="31" s="1"/>
  <c r="X371" i="31" s="1"/>
  <c r="Y371" i="31" s="1"/>
  <c r="Z371" i="31" s="1"/>
  <c r="AA371" i="31" s="1"/>
  <c r="AB371" i="31" s="1"/>
  <c r="AC371" i="31" s="1"/>
  <c r="AD371" i="31" s="1"/>
  <c r="AE371" i="31" s="1"/>
  <c r="AF371" i="31" s="1"/>
  <c r="BW344" i="31"/>
  <c r="BW345" i="31"/>
  <c r="BR425" i="31"/>
  <c r="BR254" i="31"/>
  <c r="BS452" i="31"/>
  <c r="BS451" i="31"/>
  <c r="BS454" i="31"/>
  <c r="T395" i="31"/>
  <c r="U394" i="31"/>
  <c r="CR465" i="31"/>
  <c r="CR466" i="31"/>
  <c r="CH203" i="31"/>
  <c r="CH209" i="31"/>
  <c r="CH204" i="31"/>
  <c r="CL201" i="31"/>
  <c r="R201" i="31"/>
  <c r="BT425" i="31"/>
  <c r="BT431" i="31" s="1"/>
  <c r="BT253" i="31"/>
  <c r="BT254" i="31"/>
  <c r="CR425" i="31"/>
  <c r="CR192" i="31"/>
  <c r="CR193" i="31"/>
  <c r="CF425" i="31"/>
  <c r="CF194" i="31"/>
  <c r="CF193" i="31"/>
  <c r="Q169" i="31"/>
  <c r="Q167" i="31"/>
  <c r="Q170" i="31"/>
  <c r="O439" i="31"/>
  <c r="O228" i="31"/>
  <c r="CM413" i="31"/>
  <c r="CM177" i="31"/>
  <c r="CM176" i="31"/>
  <c r="CM175" i="31"/>
  <c r="CP431" i="31"/>
  <c r="CP414" i="31"/>
  <c r="CP417" i="31"/>
  <c r="CD255" i="31"/>
  <c r="CD156" i="31"/>
  <c r="CD155" i="31"/>
  <c r="CD118" i="31"/>
  <c r="BV25" i="28"/>
  <c r="CD20" i="31"/>
  <c r="AT86" i="45" s="1"/>
  <c r="BZ111" i="31"/>
  <c r="BZ106" i="31"/>
  <c r="CA101" i="31"/>
  <c r="CP136" i="31"/>
  <c r="CP135" i="31"/>
  <c r="CL101" i="31"/>
  <c r="CK111" i="31"/>
  <c r="CK106" i="31"/>
  <c r="CI222" i="31"/>
  <c r="CI221" i="31"/>
  <c r="T162" i="31"/>
  <c r="BY101" i="31"/>
  <c r="BX111" i="31"/>
  <c r="BX106" i="31"/>
  <c r="CB101" i="31"/>
  <c r="CA106" i="31"/>
  <c r="CA111" i="31"/>
  <c r="AZ49" i="31"/>
  <c r="AZ48" i="31"/>
  <c r="J48" i="31"/>
  <c r="K29" i="31"/>
  <c r="K30" i="31" s="1"/>
  <c r="K27" i="31"/>
  <c r="AQ21" i="31"/>
  <c r="G87" i="45" s="1"/>
  <c r="G20" i="31"/>
  <c r="G21" i="31" s="1"/>
  <c r="AX30" i="31"/>
  <c r="AX31" i="31"/>
  <c r="BC15" i="28"/>
  <c r="AM15" i="28"/>
  <c r="CQ402" i="31"/>
  <c r="CQ401" i="31"/>
  <c r="CQ150" i="31"/>
  <c r="CO405" i="31"/>
  <c r="CO404" i="31"/>
  <c r="CI404" i="31"/>
  <c r="CI405" i="31"/>
  <c r="CP405" i="31"/>
  <c r="CP404" i="31"/>
  <c r="CR403" i="31"/>
  <c r="CR368" i="31"/>
  <c r="CR369" i="31"/>
  <c r="CR139" i="31"/>
  <c r="T359" i="31"/>
  <c r="U359" i="31" s="1"/>
  <c r="U358" i="31"/>
  <c r="V358" i="31" s="1"/>
  <c r="W358" i="31" s="1"/>
  <c r="X358" i="31" s="1"/>
  <c r="Y358" i="31" s="1"/>
  <c r="Z358" i="31" s="1"/>
  <c r="AA358" i="31" s="1"/>
  <c r="AB358" i="31" s="1"/>
  <c r="AC358" i="31" s="1"/>
  <c r="AD358" i="31" s="1"/>
  <c r="AE358" i="31" s="1"/>
  <c r="AF358" i="31" s="1"/>
  <c r="CT396" i="31"/>
  <c r="CT395" i="31"/>
  <c r="CS387" i="31"/>
  <c r="CS386" i="31"/>
  <c r="CS143" i="31"/>
  <c r="CA341" i="31"/>
  <c r="BS425" i="31"/>
  <c r="BS253" i="31"/>
  <c r="BS254" i="31"/>
  <c r="R316" i="31"/>
  <c r="R309" i="31"/>
  <c r="R319" i="31"/>
  <c r="BO432" i="31"/>
  <c r="BO429" i="31"/>
  <c r="R317" i="31"/>
  <c r="BQ454" i="31"/>
  <c r="BQ452" i="31"/>
  <c r="BU451" i="31"/>
  <c r="CJ209" i="31"/>
  <c r="CJ204" i="31"/>
  <c r="CJ203" i="31"/>
  <c r="R386" i="31"/>
  <c r="S386" i="31"/>
  <c r="CI238" i="31"/>
  <c r="CI237" i="31"/>
  <c r="CK227" i="31"/>
  <c r="O210" i="31"/>
  <c r="CH432" i="31"/>
  <c r="CH429" i="31"/>
  <c r="CH427" i="31"/>
  <c r="CH426" i="31"/>
  <c r="R368" i="31"/>
  <c r="R403" i="31"/>
  <c r="R404" i="31" s="1"/>
  <c r="P241" i="31"/>
  <c r="CH236" i="31"/>
  <c r="CH235" i="31"/>
  <c r="CH234" i="31"/>
  <c r="CL232" i="31"/>
  <c r="CH227" i="31"/>
  <c r="S182" i="31"/>
  <c r="S191" i="31"/>
  <c r="S180" i="31"/>
  <c r="Q319" i="31"/>
  <c r="BU425" i="31"/>
  <c r="BU254" i="31"/>
  <c r="BU253" i="31"/>
  <c r="R241" i="31"/>
  <c r="R243" i="31"/>
  <c r="CI217" i="31"/>
  <c r="N451" i="31"/>
  <c r="N454" i="31"/>
  <c r="BP431" i="31"/>
  <c r="BP417" i="31"/>
  <c r="BP415" i="31"/>
  <c r="R169" i="31"/>
  <c r="R167" i="31"/>
  <c r="S167" i="31"/>
  <c r="CN156" i="31"/>
  <c r="CN155" i="31"/>
  <c r="CN118" i="31"/>
  <c r="CN121" i="31" s="1"/>
  <c r="CN122" i="31" s="1"/>
  <c r="CN20" i="31"/>
  <c r="S144" i="31"/>
  <c r="S169" i="31"/>
  <c r="BX158" i="31"/>
  <c r="CM429" i="31"/>
  <c r="CM432" i="31"/>
  <c r="CM426" i="31"/>
  <c r="CM427" i="31"/>
  <c r="CI429" i="31"/>
  <c r="CI432" i="31"/>
  <c r="CI426" i="31"/>
  <c r="CI427" i="31"/>
  <c r="S413" i="31"/>
  <c r="S177" i="31"/>
  <c r="S175" i="31"/>
  <c r="CE413" i="31"/>
  <c r="CE432" i="31" s="1"/>
  <c r="CE177" i="31"/>
  <c r="CE176" i="31"/>
  <c r="CE175" i="31"/>
  <c r="BY212" i="31"/>
  <c r="BY155" i="31"/>
  <c r="BY118" i="31"/>
  <c r="BY20" i="31"/>
  <c r="AO86" i="45" s="1"/>
  <c r="BQ25" i="28"/>
  <c r="P154" i="31"/>
  <c r="BY149" i="31"/>
  <c r="CM156" i="31"/>
  <c r="CM155" i="31"/>
  <c r="CM118" i="31"/>
  <c r="CM121" i="31" s="1"/>
  <c r="CM20" i="31"/>
  <c r="CA158" i="31"/>
  <c r="CA142" i="31"/>
  <c r="R258" i="31"/>
  <c r="CJ199" i="31"/>
  <c r="CJ200" i="31"/>
  <c r="CT429" i="31"/>
  <c r="CT427" i="31"/>
  <c r="CT426" i="31"/>
  <c r="CP432" i="31"/>
  <c r="CP429" i="31"/>
  <c r="CP427" i="31"/>
  <c r="CP426" i="31"/>
  <c r="CL432" i="31"/>
  <c r="CL429" i="31"/>
  <c r="CL427" i="31"/>
  <c r="CL426" i="31"/>
  <c r="CP156" i="31"/>
  <c r="CP155" i="31"/>
  <c r="CP118" i="31"/>
  <c r="CP121" i="31" s="1"/>
  <c r="CP122" i="31" s="1"/>
  <c r="CP20" i="31"/>
  <c r="CH255" i="31"/>
  <c r="CH156" i="31"/>
  <c r="CH155" i="31"/>
  <c r="CH118" i="31"/>
  <c r="BZ25" i="28"/>
  <c r="BZ52" i="28" s="1"/>
  <c r="CH20" i="31"/>
  <c r="P146" i="31"/>
  <c r="CC253" i="31"/>
  <c r="CB425" i="31"/>
  <c r="CB255" i="31"/>
  <c r="CB254" i="31"/>
  <c r="CB253" i="31"/>
  <c r="CM194" i="31"/>
  <c r="CG118" i="31"/>
  <c r="CG155" i="31"/>
  <c r="CG20" i="31"/>
  <c r="BY25" i="28"/>
  <c r="CG156" i="31"/>
  <c r="CD111" i="31"/>
  <c r="CD106" i="31"/>
  <c r="CE101" i="31"/>
  <c r="CK158" i="31"/>
  <c r="CO158" i="31"/>
  <c r="CK142" i="31"/>
  <c r="CL136" i="31"/>
  <c r="CP101" i="31"/>
  <c r="CO111" i="31"/>
  <c r="CO106" i="31"/>
  <c r="BZ101" i="31"/>
  <c r="BY111" i="31"/>
  <c r="BY106" i="31"/>
  <c r="CG194" i="31"/>
  <c r="CS193" i="31"/>
  <c r="CO193" i="31"/>
  <c r="CK193" i="31"/>
  <c r="CG426" i="31"/>
  <c r="CG429" i="31"/>
  <c r="CG427" i="31"/>
  <c r="CG432" i="31"/>
  <c r="Q165" i="31"/>
  <c r="Q162" i="31"/>
  <c r="Q164" i="31"/>
  <c r="N154" i="31"/>
  <c r="CH146" i="31"/>
  <c r="CC101" i="31"/>
  <c r="CB111" i="31"/>
  <c r="CB106" i="31"/>
  <c r="CC155" i="31"/>
  <c r="R151" i="31"/>
  <c r="BW146" i="31"/>
  <c r="CR54" i="31"/>
  <c r="BG91" i="31"/>
  <c r="BG93" i="31" s="1"/>
  <c r="W30" i="45" s="1"/>
  <c r="BG38" i="31"/>
  <c r="CN176" i="31"/>
  <c r="S134" i="31"/>
  <c r="S119" i="31" s="1"/>
  <c r="K52" i="31"/>
  <c r="K53" i="31"/>
  <c r="K58" i="31"/>
  <c r="CM53" i="31"/>
  <c r="CM40" i="31"/>
  <c r="BB38" i="31"/>
  <c r="Q182" i="31"/>
  <c r="CO155" i="31"/>
  <c r="AU49" i="31"/>
  <c r="AU48" i="31"/>
  <c r="CT54" i="31"/>
  <c r="CP465" i="31"/>
  <c r="BI91" i="31"/>
  <c r="BI93" i="31" s="1"/>
  <c r="Y30" i="45" s="1"/>
  <c r="BI38" i="31"/>
  <c r="AS38" i="31"/>
  <c r="CN431" i="31"/>
  <c r="CN417" i="31"/>
  <c r="CN415" i="31"/>
  <c r="CN414" i="31"/>
  <c r="CI111" i="31"/>
  <c r="BS106" i="31"/>
  <c r="BD49" i="31"/>
  <c r="BD48" i="31"/>
  <c r="CS99" i="31"/>
  <c r="CS39" i="31"/>
  <c r="CS36" i="31"/>
  <c r="CT35" i="31"/>
  <c r="N73" i="31"/>
  <c r="K48" i="31"/>
  <c r="BG21" i="31"/>
  <c r="W87" i="45" s="1"/>
  <c r="BC21" i="31"/>
  <c r="S87" i="45" s="1"/>
  <c r="J20" i="31"/>
  <c r="AU21" i="31"/>
  <c r="K87" i="45" s="1"/>
  <c r="H20" i="31"/>
  <c r="AU31" i="31"/>
  <c r="AU30" i="31"/>
  <c r="G29" i="31"/>
  <c r="G27" i="31"/>
  <c r="F11" i="28"/>
  <c r="F29" i="31"/>
  <c r="E11" i="28"/>
  <c r="E25" i="28" s="1"/>
  <c r="BH31" i="31"/>
  <c r="BH30" i="31"/>
  <c r="AR31" i="31"/>
  <c r="AR30" i="31"/>
  <c r="H73" i="31"/>
  <c r="CR18" i="31"/>
  <c r="CS16" i="31"/>
  <c r="BR26" i="31"/>
  <c r="BV29" i="31"/>
  <c r="BB30" i="31"/>
  <c r="BB31" i="31"/>
  <c r="G18" i="31"/>
  <c r="H18" i="31"/>
  <c r="BA49" i="31"/>
  <c r="BL31" i="31"/>
  <c r="CQ104" i="31"/>
  <c r="CQ109" i="31"/>
  <c r="CQ100" i="31"/>
  <c r="E57" i="29"/>
  <c r="CH31" i="29"/>
  <c r="L7" i="81"/>
  <c r="K8" i="81"/>
  <c r="L6" i="81"/>
  <c r="CG77" i="29"/>
  <c r="CD65" i="30"/>
  <c r="CD81" i="30" s="1"/>
  <c r="CD146" i="30"/>
  <c r="J11" i="81"/>
  <c r="K5" i="81"/>
  <c r="L9" i="81"/>
  <c r="L10" i="81"/>
  <c r="Q44" i="30"/>
  <c r="F61" i="30"/>
  <c r="M16" i="30"/>
  <c r="M92" i="30" s="1"/>
  <c r="J96" i="30"/>
  <c r="J97" i="30" s="1"/>
  <c r="J100" i="30" s="1"/>
  <c r="J63" i="30"/>
  <c r="CG132" i="30"/>
  <c r="CG124" i="30"/>
  <c r="CH122" i="30"/>
  <c r="CG128" i="30"/>
  <c r="J132" i="30"/>
  <c r="J125" i="30"/>
  <c r="J124" i="30"/>
  <c r="K124" i="30"/>
  <c r="BQ75" i="30"/>
  <c r="BR46" i="30"/>
  <c r="F141" i="30"/>
  <c r="F126" i="30"/>
  <c r="F117" i="30"/>
  <c r="F114" i="30"/>
  <c r="BK103" i="30"/>
  <c r="BK96" i="30"/>
  <c r="BK97" i="30" s="1"/>
  <c r="BK63" i="30"/>
  <c r="BK62" i="30"/>
  <c r="BW103" i="30"/>
  <c r="BW96" i="30"/>
  <c r="BW97" i="30" s="1"/>
  <c r="BW64" i="30"/>
  <c r="BW63" i="30"/>
  <c r="BW62" i="30"/>
  <c r="BU132" i="30"/>
  <c r="BU124" i="30"/>
  <c r="BU125" i="30"/>
  <c r="BU123" i="30"/>
  <c r="CC61" i="30"/>
  <c r="F149" i="30"/>
  <c r="F74" i="30"/>
  <c r="F67" i="30"/>
  <c r="AC61" i="30"/>
  <c r="AC53" i="30"/>
  <c r="CD61" i="30"/>
  <c r="AU61" i="30"/>
  <c r="BH53" i="30"/>
  <c r="BH61" i="30"/>
  <c r="AP61" i="30"/>
  <c r="AP53" i="30"/>
  <c r="Z61" i="30"/>
  <c r="Z53" i="30"/>
  <c r="Z57" i="30" s="1"/>
  <c r="CD149" i="30"/>
  <c r="CD113" i="30"/>
  <c r="CD67" i="30"/>
  <c r="CD108" i="30"/>
  <c r="CG78" i="29"/>
  <c r="CD41" i="30"/>
  <c r="I149" i="30"/>
  <c r="I154" i="30" s="1"/>
  <c r="I74" i="30"/>
  <c r="I67" i="30"/>
  <c r="I78" i="29"/>
  <c r="G149" i="30"/>
  <c r="G67" i="30"/>
  <c r="G74" i="30"/>
  <c r="BA96" i="30"/>
  <c r="BA97" i="30" s="1"/>
  <c r="BA62" i="30"/>
  <c r="BA63" i="30"/>
  <c r="J138" i="30"/>
  <c r="K135" i="30" s="1"/>
  <c r="J139" i="30"/>
  <c r="H132" i="30"/>
  <c r="H124" i="30"/>
  <c r="AS139" i="30"/>
  <c r="AS138" i="30"/>
  <c r="AT135" i="30" s="1"/>
  <c r="H141" i="30"/>
  <c r="H126" i="30"/>
  <c r="H114" i="30"/>
  <c r="H117" i="30"/>
  <c r="K126" i="30"/>
  <c r="K141" i="30"/>
  <c r="K117" i="30"/>
  <c r="K116" i="30"/>
  <c r="K115" i="30"/>
  <c r="K114" i="30"/>
  <c r="AK69" i="30"/>
  <c r="K78" i="30"/>
  <c r="K66" i="30"/>
  <c r="BA103" i="30"/>
  <c r="M45" i="30"/>
  <c r="G49" i="30"/>
  <c r="BT112" i="30"/>
  <c r="P112" i="30" s="1"/>
  <c r="P113" i="30"/>
  <c r="BN75" i="30"/>
  <c r="N46" i="30"/>
  <c r="H96" i="28"/>
  <c r="H30" i="30"/>
  <c r="BQ92" i="30"/>
  <c r="BR16" i="30"/>
  <c r="O16" i="30" s="1"/>
  <c r="BQ30" i="30"/>
  <c r="K96" i="30"/>
  <c r="K97" i="30" s="1"/>
  <c r="K100" i="30" s="1"/>
  <c r="K63" i="30"/>
  <c r="BV149" i="30"/>
  <c r="BV113" i="30"/>
  <c r="BV112" i="30" s="1"/>
  <c r="BV67" i="30"/>
  <c r="BV41" i="30"/>
  <c r="J41" i="30"/>
  <c r="BI30" i="30"/>
  <c r="CD96" i="28"/>
  <c r="CD102" i="28" s="1"/>
  <c r="CD101" i="28" s="1"/>
  <c r="Q101" i="28" s="1"/>
  <c r="Q102" i="28" s="1"/>
  <c r="AZ96" i="30"/>
  <c r="AZ97" i="30" s="1"/>
  <c r="AZ63" i="30"/>
  <c r="AZ62" i="30"/>
  <c r="AN53" i="30"/>
  <c r="AN61" i="30"/>
  <c r="K149" i="30"/>
  <c r="K154" i="30" s="1"/>
  <c r="K74" i="30"/>
  <c r="K67" i="30"/>
  <c r="K78" i="29"/>
  <c r="K41" i="30"/>
  <c r="BY128" i="30"/>
  <c r="BZ13" i="30"/>
  <c r="O26" i="30"/>
  <c r="F148" i="30"/>
  <c r="AQ53" i="30"/>
  <c r="AQ61" i="30"/>
  <c r="AA53" i="30"/>
  <c r="AA61" i="30"/>
  <c r="L149" i="30"/>
  <c r="L74" i="30"/>
  <c r="L67" i="30"/>
  <c r="L41" i="30"/>
  <c r="AG76" i="30"/>
  <c r="AG80" i="30" s="1"/>
  <c r="BT61" i="30"/>
  <c r="BT53" i="30"/>
  <c r="BB61" i="30"/>
  <c r="AL61" i="30"/>
  <c r="AL53" i="30"/>
  <c r="BI149" i="30"/>
  <c r="BI67" i="30"/>
  <c r="BJ34" i="30"/>
  <c r="BI41" i="30"/>
  <c r="L141" i="30"/>
  <c r="L126" i="30"/>
  <c r="L114" i="30"/>
  <c r="M114" i="30"/>
  <c r="L117" i="30"/>
  <c r="O78" i="30"/>
  <c r="O66" i="30"/>
  <c r="O46" i="30"/>
  <c r="BO126" i="30"/>
  <c r="BO132" i="30"/>
  <c r="BO124" i="30"/>
  <c r="BO125" i="30"/>
  <c r="BO123" i="30"/>
  <c r="O122" i="30"/>
  <c r="BZ44" i="30"/>
  <c r="BY49" i="30"/>
  <c r="BV125" i="30"/>
  <c r="BV132" i="30"/>
  <c r="BV123" i="30"/>
  <c r="BV126" i="30"/>
  <c r="BV124" i="30"/>
  <c r="BI92" i="30"/>
  <c r="BJ16" i="30"/>
  <c r="BJ92" i="30" s="1"/>
  <c r="BL53" i="30"/>
  <c r="BL61" i="30"/>
  <c r="AF96" i="30"/>
  <c r="AF97" i="30" s="1"/>
  <c r="AF63" i="30"/>
  <c r="AF62" i="30"/>
  <c r="V85" i="30"/>
  <c r="W28" i="30"/>
  <c r="M96" i="28"/>
  <c r="P49" i="28"/>
  <c r="P73" i="30"/>
  <c r="BY92" i="30"/>
  <c r="BZ16" i="30"/>
  <c r="BZ92" i="30" s="1"/>
  <c r="CE130" i="30"/>
  <c r="CH19" i="29"/>
  <c r="CE13" i="30"/>
  <c r="CI47" i="28"/>
  <c r="L132" i="30"/>
  <c r="L124" i="30"/>
  <c r="G126" i="30"/>
  <c r="G141" i="30"/>
  <c r="G117" i="30"/>
  <c r="G114" i="30"/>
  <c r="J141" i="30"/>
  <c r="J126" i="30"/>
  <c r="J117" i="30"/>
  <c r="J116" i="30"/>
  <c r="J115" i="30"/>
  <c r="J114" i="30"/>
  <c r="I141" i="30"/>
  <c r="I126" i="30"/>
  <c r="I117" i="30"/>
  <c r="I116" i="30"/>
  <c r="I115" i="30"/>
  <c r="I114" i="30"/>
  <c r="N48" i="30"/>
  <c r="CA132" i="30"/>
  <c r="CA124" i="30"/>
  <c r="R122" i="30"/>
  <c r="CA117" i="30"/>
  <c r="BS126" i="30"/>
  <c r="BS132" i="30"/>
  <c r="BS124" i="30"/>
  <c r="BS125" i="30"/>
  <c r="P122" i="30"/>
  <c r="BS123" i="30"/>
  <c r="BD78" i="30"/>
  <c r="BD66" i="30"/>
  <c r="L93" i="30"/>
  <c r="BG103" i="30"/>
  <c r="BG96" i="30"/>
  <c r="BG97" i="30" s="1"/>
  <c r="BG63" i="30"/>
  <c r="BG62" i="30"/>
  <c r="M48" i="30"/>
  <c r="BJ44" i="30"/>
  <c r="M44" i="30"/>
  <c r="BI49" i="30"/>
  <c r="CA96" i="30"/>
  <c r="CA97" i="30" s="1"/>
  <c r="CA103" i="30"/>
  <c r="CA64" i="30"/>
  <c r="CA62" i="30"/>
  <c r="BO103" i="30"/>
  <c r="BO96" i="30"/>
  <c r="BO97" i="30" s="1"/>
  <c r="BO64" i="30"/>
  <c r="BO63" i="30"/>
  <c r="BO62" i="30"/>
  <c r="BR132" i="30"/>
  <c r="BR125" i="30"/>
  <c r="BR126" i="30"/>
  <c r="BR124" i="30"/>
  <c r="BR123" i="30"/>
  <c r="P45" i="30"/>
  <c r="BM49" i="30"/>
  <c r="BN44" i="30"/>
  <c r="E49" i="30"/>
  <c r="G30" i="30"/>
  <c r="G96" i="28"/>
  <c r="BQ132" i="30"/>
  <c r="BQ124" i="30"/>
  <c r="BQ123" i="30"/>
  <c r="BQ125" i="30"/>
  <c r="BQ126" i="30"/>
  <c r="AW61" i="30"/>
  <c r="N28" i="30"/>
  <c r="Q10" i="30"/>
  <c r="I30" i="30"/>
  <c r="I61" i="30" s="1"/>
  <c r="I96" i="28"/>
  <c r="E30" i="30"/>
  <c r="H149" i="30"/>
  <c r="H67" i="30"/>
  <c r="H74" i="30"/>
  <c r="BN17" i="30"/>
  <c r="BM30" i="30"/>
  <c r="BX130" i="30"/>
  <c r="CB47" i="28"/>
  <c r="L129" i="30"/>
  <c r="P34" i="30"/>
  <c r="H41" i="30"/>
  <c r="G41" i="30"/>
  <c r="R148" i="30"/>
  <c r="I128" i="30"/>
  <c r="I73" i="30"/>
  <c r="I76" i="30" s="1"/>
  <c r="BP96" i="30"/>
  <c r="BP97" i="30" s="1"/>
  <c r="BP64" i="30"/>
  <c r="BP62" i="30"/>
  <c r="AM53" i="30"/>
  <c r="AM61" i="30"/>
  <c r="N96" i="28"/>
  <c r="BU148" i="30"/>
  <c r="BV21" i="30"/>
  <c r="AX61" i="30"/>
  <c r="AH61" i="30"/>
  <c r="AH53" i="30"/>
  <c r="AK96" i="30"/>
  <c r="AK97" i="30" s="1"/>
  <c r="AK62" i="30"/>
  <c r="AK63" i="30"/>
  <c r="AY78" i="30"/>
  <c r="AY66" i="30"/>
  <c r="R113" i="30"/>
  <c r="CB112" i="30"/>
  <c r="S113" i="30"/>
  <c r="BW132" i="30"/>
  <c r="BW124" i="30"/>
  <c r="BW126" i="30"/>
  <c r="BW125" i="30"/>
  <c r="BW123" i="30"/>
  <c r="BW117" i="30"/>
  <c r="BI75" i="30"/>
  <c r="BJ46" i="30"/>
  <c r="F128" i="30"/>
  <c r="F73" i="30"/>
  <c r="E149" i="30"/>
  <c r="E74" i="30"/>
  <c r="E67" i="30"/>
  <c r="BY41" i="30"/>
  <c r="BZ35" i="30"/>
  <c r="BZ41" i="30" s="1"/>
  <c r="BX61" i="30"/>
  <c r="BX53" i="30"/>
  <c r="AE53" i="30"/>
  <c r="AE61" i="30"/>
  <c r="P48" i="28"/>
  <c r="CF130" i="30"/>
  <c r="CF13" i="30"/>
  <c r="CJ47" i="28"/>
  <c r="I124" i="30"/>
  <c r="BB78" i="30"/>
  <c r="BB66" i="30"/>
  <c r="BV75" i="30"/>
  <c r="P46" i="30"/>
  <c r="E141" i="30"/>
  <c r="E117" i="30"/>
  <c r="E115" i="30"/>
  <c r="BY75" i="30"/>
  <c r="BZ46" i="30"/>
  <c r="BV44" i="30"/>
  <c r="BV49" i="30" s="1"/>
  <c r="BU49" i="30"/>
  <c r="CB61" i="30"/>
  <c r="CB53" i="30"/>
  <c r="BH49" i="30"/>
  <c r="F49" i="30"/>
  <c r="M21" i="30"/>
  <c r="M148" i="30" s="1"/>
  <c r="J128" i="30"/>
  <c r="J73" i="30"/>
  <c r="CD103" i="30"/>
  <c r="CD75" i="30"/>
  <c r="R46" i="30"/>
  <c r="CC49" i="30"/>
  <c r="CC53" i="30" s="1"/>
  <c r="CD44" i="30"/>
  <c r="BX112" i="30"/>
  <c r="Q112" i="30" s="1"/>
  <c r="Q113" i="30"/>
  <c r="BQ49" i="30"/>
  <c r="BR44" i="30"/>
  <c r="BR49" i="30" s="1"/>
  <c r="J149" i="30"/>
  <c r="J154" i="30" s="1"/>
  <c r="J74" i="30"/>
  <c r="J67" i="30"/>
  <c r="J78" i="29"/>
  <c r="F41" i="30"/>
  <c r="F53" i="30" s="1"/>
  <c r="AG61" i="30"/>
  <c r="AG53" i="30"/>
  <c r="H128" i="30"/>
  <c r="H73" i="30"/>
  <c r="AV96" i="30"/>
  <c r="AV97" i="30" s="1"/>
  <c r="AV63" i="30"/>
  <c r="AV62" i="30"/>
  <c r="AR53" i="30"/>
  <c r="AR61" i="30"/>
  <c r="AJ53" i="30"/>
  <c r="AJ57" i="30" s="1"/>
  <c r="AJ61" i="30"/>
  <c r="AB53" i="30"/>
  <c r="AB61" i="30"/>
  <c r="G128" i="30"/>
  <c r="G73" i="30"/>
  <c r="BN149" i="30"/>
  <c r="BN67" i="30"/>
  <c r="BN41" i="30"/>
  <c r="N34" i="30"/>
  <c r="R34" i="30"/>
  <c r="AS61" i="30"/>
  <c r="AS53" i="30"/>
  <c r="BS103" i="30"/>
  <c r="BS96" i="30"/>
  <c r="BS97" i="30" s="1"/>
  <c r="BS64" i="30"/>
  <c r="BS63" i="30"/>
  <c r="BS62" i="30"/>
  <c r="BJ30" i="30"/>
  <c r="AY61" i="30"/>
  <c r="AI53" i="30"/>
  <c r="AI57" i="30" s="1"/>
  <c r="AI58" i="30" s="1"/>
  <c r="AI61" i="30"/>
  <c r="BP126" i="30"/>
  <c r="BP124" i="30"/>
  <c r="BP132" i="30"/>
  <c r="BP123" i="30"/>
  <c r="AS76" i="30"/>
  <c r="AS80" i="30" s="1"/>
  <c r="BR35" i="30"/>
  <c r="BQ41" i="30"/>
  <c r="AO61" i="30"/>
  <c r="AO53" i="30"/>
  <c r="BV10" i="30"/>
  <c r="BY96" i="28"/>
  <c r="BY102" i="28" s="1"/>
  <c r="BY101" i="28" s="1"/>
  <c r="BU30" i="30"/>
  <c r="AT61" i="30"/>
  <c r="AT53" i="30"/>
  <c r="AD61" i="30"/>
  <c r="AD53" i="30"/>
  <c r="BT125" i="30"/>
  <c r="BT132" i="30"/>
  <c r="BT126" i="30"/>
  <c r="BT124" i="30"/>
  <c r="BT123" i="30"/>
  <c r="Q18" i="30"/>
  <c r="AC76" i="30"/>
  <c r="AC80" i="30" s="1"/>
  <c r="BY30" i="30"/>
  <c r="AI70" i="29"/>
  <c r="BH52" i="29"/>
  <c r="BH70" i="29"/>
  <c r="BR52" i="29"/>
  <c r="BR70" i="29"/>
  <c r="AQ70" i="29"/>
  <c r="BF52" i="29"/>
  <c r="BF70" i="29"/>
  <c r="BH74" i="29"/>
  <c r="E111" i="29"/>
  <c r="E49" i="29"/>
  <c r="F107" i="29" s="1"/>
  <c r="AC64" i="29"/>
  <c r="AC92" i="29" s="1"/>
  <c r="AC99" i="29" s="1"/>
  <c r="AC26" i="29"/>
  <c r="I69" i="29"/>
  <c r="I80" i="29" s="1"/>
  <c r="T109" i="29"/>
  <c r="U46" i="29"/>
  <c r="D73" i="29"/>
  <c r="D74" i="29" s="1"/>
  <c r="M92" i="29"/>
  <c r="M65" i="29"/>
  <c r="L92" i="29"/>
  <c r="L99" i="29" s="1"/>
  <c r="N92" i="29"/>
  <c r="N65" i="29"/>
  <c r="AC98" i="29"/>
  <c r="AC95" i="29" s="1"/>
  <c r="AC88" i="29"/>
  <c r="BQ74" i="29"/>
  <c r="CF81" i="29"/>
  <c r="CF80" i="29"/>
  <c r="BZ81" i="29"/>
  <c r="BZ80" i="29"/>
  <c r="BR74" i="29"/>
  <c r="AJ50" i="29"/>
  <c r="AS70" i="29"/>
  <c r="AP50" i="29"/>
  <c r="BT48" i="29"/>
  <c r="BS49" i="29"/>
  <c r="BS50" i="29" s="1"/>
  <c r="AO52" i="29"/>
  <c r="CJ43" i="29"/>
  <c r="AP74" i="29"/>
  <c r="AJ70" i="29"/>
  <c r="AJ69" i="29"/>
  <c r="AJ80" i="29" s="1"/>
  <c r="AJ73" i="29"/>
  <c r="AJ74" i="29" s="1"/>
  <c r="J69" i="29"/>
  <c r="J80" i="29" s="1"/>
  <c r="G93" i="29"/>
  <c r="G59" i="29"/>
  <c r="BJ64" i="29"/>
  <c r="AO64" i="29"/>
  <c r="AO26" i="29"/>
  <c r="H64" i="29"/>
  <c r="H26" i="29"/>
  <c r="BS64" i="29"/>
  <c r="J93" i="29"/>
  <c r="J59" i="29"/>
  <c r="BI64" i="29"/>
  <c r="AR64" i="29"/>
  <c r="AR26" i="29"/>
  <c r="AH64" i="29"/>
  <c r="AH26" i="29"/>
  <c r="H50" i="29"/>
  <c r="H70" i="29" s="1"/>
  <c r="Q93" i="29"/>
  <c r="Q59" i="29"/>
  <c r="BT64" i="29"/>
  <c r="BT26" i="29"/>
  <c r="AI64" i="29"/>
  <c r="AI26" i="29"/>
  <c r="AI52" i="29" s="1"/>
  <c r="BO64" i="29"/>
  <c r="AD64" i="29"/>
  <c r="AD26" i="29"/>
  <c r="T93" i="29"/>
  <c r="U24" i="29"/>
  <c r="F64" i="29"/>
  <c r="F26" i="29"/>
  <c r="F52" i="29" s="1"/>
  <c r="I98" i="29"/>
  <c r="E98" i="29"/>
  <c r="K16" i="29"/>
  <c r="BE75" i="29"/>
  <c r="BE74" i="29"/>
  <c r="BS74" i="29"/>
  <c r="CA81" i="29"/>
  <c r="CA80" i="29"/>
  <c r="S29" i="29"/>
  <c r="BF74" i="29"/>
  <c r="AC52" i="29"/>
  <c r="AS64" i="29"/>
  <c r="AS26" i="29"/>
  <c r="AS52" i="29" s="1"/>
  <c r="E64" i="29"/>
  <c r="E26" i="29"/>
  <c r="O73" i="29"/>
  <c r="O69" i="29"/>
  <c r="O80" i="29" s="1"/>
  <c r="BM64" i="29"/>
  <c r="BM26" i="29"/>
  <c r="AF64" i="29"/>
  <c r="AF26" i="29"/>
  <c r="AF52" i="29" s="1"/>
  <c r="AP64" i="29"/>
  <c r="AP26" i="29"/>
  <c r="E93" i="29"/>
  <c r="E59" i="29"/>
  <c r="AL64" i="29"/>
  <c r="AL26" i="29"/>
  <c r="AL52" i="29" s="1"/>
  <c r="CD14" i="29"/>
  <c r="CC15" i="29"/>
  <c r="Q14" i="29"/>
  <c r="O92" i="29"/>
  <c r="O65" i="29"/>
  <c r="P103" i="29"/>
  <c r="BW103" i="29"/>
  <c r="CG81" i="29"/>
  <c r="CG80" i="29"/>
  <c r="CE81" i="29"/>
  <c r="CE80" i="29"/>
  <c r="BG74" i="29"/>
  <c r="CB81" i="29"/>
  <c r="CB80" i="29"/>
  <c r="G111" i="29"/>
  <c r="G49" i="29"/>
  <c r="H107" i="29" s="1"/>
  <c r="AU50" i="29"/>
  <c r="F111" i="29"/>
  <c r="AV70" i="29"/>
  <c r="AN74" i="29"/>
  <c r="BK48" i="29"/>
  <c r="BJ49" i="29"/>
  <c r="BJ50" i="29" s="1"/>
  <c r="AE74" i="29"/>
  <c r="AK50" i="29"/>
  <c r="AD74" i="29"/>
  <c r="N50" i="29"/>
  <c r="N52" i="29" s="1"/>
  <c r="AK64" i="29"/>
  <c r="AK26" i="29"/>
  <c r="D64" i="29"/>
  <c r="D26" i="29"/>
  <c r="D52" i="29" s="1"/>
  <c r="M73" i="29"/>
  <c r="M69" i="29"/>
  <c r="M80" i="29" s="1"/>
  <c r="E73" i="29"/>
  <c r="E69" i="29"/>
  <c r="E80" i="29" s="1"/>
  <c r="R93" i="29"/>
  <c r="R59" i="29"/>
  <c r="F93" i="29"/>
  <c r="F59" i="29"/>
  <c r="BU64" i="29"/>
  <c r="AN64" i="29"/>
  <c r="AN26" i="29"/>
  <c r="AN52" i="29" s="1"/>
  <c r="G50" i="29"/>
  <c r="BK64" i="29"/>
  <c r="BG52" i="29"/>
  <c r="R69" i="29"/>
  <c r="R80" i="29" s="1"/>
  <c r="H73" i="29"/>
  <c r="H69" i="29"/>
  <c r="H80" i="29" s="1"/>
  <c r="M93" i="29"/>
  <c r="M59" i="29"/>
  <c r="BP64" i="29"/>
  <c r="BP26" i="29"/>
  <c r="AE64" i="29"/>
  <c r="AE26" i="29"/>
  <c r="AE52" i="29" s="1"/>
  <c r="BH64" i="29"/>
  <c r="AD52" i="29"/>
  <c r="BN64" i="29"/>
  <c r="BN26" i="29"/>
  <c r="U39" i="29"/>
  <c r="L73" i="29"/>
  <c r="L70" i="29"/>
  <c r="L69" i="29"/>
  <c r="L80" i="29" s="1"/>
  <c r="CI93" i="29"/>
  <c r="CJ21" i="29"/>
  <c r="AM64" i="29"/>
  <c r="AM26" i="29"/>
  <c r="CC81" i="29"/>
  <c r="CC80" i="29"/>
  <c r="BI74" i="29"/>
  <c r="BJ74" i="29"/>
  <c r="AR50" i="29"/>
  <c r="AS74" i="29"/>
  <c r="AC74" i="29"/>
  <c r="AM50" i="29"/>
  <c r="AR74" i="29"/>
  <c r="AH50" i="29"/>
  <c r="AW50" i="29"/>
  <c r="AG50" i="29"/>
  <c r="H111" i="29"/>
  <c r="H49" i="29"/>
  <c r="I107" i="29" s="1"/>
  <c r="I114" i="29" s="1"/>
  <c r="I115" i="29" s="1"/>
  <c r="AL70" i="29"/>
  <c r="AH74" i="29"/>
  <c r="AF70" i="29"/>
  <c r="AF69" i="29"/>
  <c r="AF80" i="29" s="1"/>
  <c r="AF73" i="29"/>
  <c r="AF74" i="29" s="1"/>
  <c r="P69" i="29"/>
  <c r="P80" i="29" s="1"/>
  <c r="N73" i="29"/>
  <c r="N69" i="29"/>
  <c r="N80" i="29" s="1"/>
  <c r="N70" i="29"/>
  <c r="F73" i="29"/>
  <c r="F74" i="29" s="1"/>
  <c r="F70" i="29"/>
  <c r="F69" i="29"/>
  <c r="F80" i="29" s="1"/>
  <c r="BR64" i="29"/>
  <c r="AG64" i="29"/>
  <c r="AG26" i="29"/>
  <c r="BF64" i="29"/>
  <c r="I50" i="29"/>
  <c r="I70" i="29" s="1"/>
  <c r="BQ64" i="29"/>
  <c r="AJ64" i="29"/>
  <c r="AJ26" i="29"/>
  <c r="G73" i="29"/>
  <c r="G74" i="29" s="1"/>
  <c r="G70" i="29"/>
  <c r="G69" i="29"/>
  <c r="G80" i="29" s="1"/>
  <c r="D50" i="29"/>
  <c r="D70" i="29" s="1"/>
  <c r="I93" i="29"/>
  <c r="I59" i="29"/>
  <c r="BL64" i="29"/>
  <c r="AQ64" i="29"/>
  <c r="AQ26" i="29"/>
  <c r="AQ52" i="29" s="1"/>
  <c r="K70" i="29"/>
  <c r="K73" i="29"/>
  <c r="K71" i="29"/>
  <c r="K69" i="29"/>
  <c r="K80" i="29" s="1"/>
  <c r="M26" i="29"/>
  <c r="G64" i="29"/>
  <c r="G26" i="29"/>
  <c r="G52" i="29" s="1"/>
  <c r="J98" i="29"/>
  <c r="H98" i="29"/>
  <c r="F98" i="29"/>
  <c r="BE92" i="29"/>
  <c r="BU78" i="28"/>
  <c r="BQ150" i="30" s="1"/>
  <c r="BU54" i="28"/>
  <c r="BU60" i="28"/>
  <c r="BK78" i="28"/>
  <c r="BG150" i="30" s="1"/>
  <c r="BK60" i="28"/>
  <c r="BK54" i="28"/>
  <c r="BR78" i="28"/>
  <c r="BN150" i="30" s="1"/>
  <c r="BR60" i="28"/>
  <c r="BR54" i="28"/>
  <c r="BM78" i="28"/>
  <c r="BI150" i="30" s="1"/>
  <c r="BM54" i="28"/>
  <c r="BM60" i="28"/>
  <c r="K78" i="28"/>
  <c r="K60" i="28"/>
  <c r="K54" i="28"/>
  <c r="L108" i="28"/>
  <c r="L110" i="28"/>
  <c r="M110" i="28"/>
  <c r="AN78" i="28"/>
  <c r="AN60" i="28"/>
  <c r="AN54" i="28"/>
  <c r="AN53" i="28"/>
  <c r="AM78" i="28"/>
  <c r="AM60" i="28"/>
  <c r="AM54" i="28"/>
  <c r="AM53" i="28"/>
  <c r="BD50" i="28"/>
  <c r="BD52" i="28"/>
  <c r="BD51" i="28"/>
  <c r="AP78" i="28"/>
  <c r="AP53" i="28"/>
  <c r="AP60" i="28"/>
  <c r="AP54" i="28"/>
  <c r="L33" i="28"/>
  <c r="L28" i="28"/>
  <c r="BO51" i="28"/>
  <c r="BO50" i="28"/>
  <c r="CH51" i="28"/>
  <c r="O118" i="28"/>
  <c r="N118" i="28"/>
  <c r="BW122" i="28"/>
  <c r="CI122" i="28"/>
  <c r="CJ121" i="28"/>
  <c r="CI106" i="28"/>
  <c r="CJ116" i="28"/>
  <c r="CK115" i="28"/>
  <c r="H108" i="28"/>
  <c r="H110" i="28"/>
  <c r="F110" i="28"/>
  <c r="F108" i="28"/>
  <c r="AS116" i="28"/>
  <c r="H126" i="28"/>
  <c r="H115" i="28"/>
  <c r="H107" i="28"/>
  <c r="K126" i="28"/>
  <c r="K107" i="28"/>
  <c r="AJ116" i="28"/>
  <c r="CF122" i="28"/>
  <c r="CB122" i="28"/>
  <c r="CC121" i="28"/>
  <c r="I116" i="28"/>
  <c r="K82" i="28"/>
  <c r="BF52" i="28"/>
  <c r="BF51" i="28"/>
  <c r="BF50" i="28"/>
  <c r="M48" i="28"/>
  <c r="M49" i="28"/>
  <c r="CI35" i="28"/>
  <c r="CI34" i="28"/>
  <c r="CI33" i="28"/>
  <c r="AR78" i="28"/>
  <c r="AR60" i="28"/>
  <c r="AR54" i="28"/>
  <c r="AR53" i="28"/>
  <c r="BY51" i="28"/>
  <c r="BY50" i="28"/>
  <c r="BQ51" i="28"/>
  <c r="BQ50" i="28"/>
  <c r="BI51" i="28"/>
  <c r="BI50" i="28"/>
  <c r="AQ78" i="28"/>
  <c r="AQ60" i="28"/>
  <c r="AQ54" i="28"/>
  <c r="AQ53" i="28"/>
  <c r="J49" i="28"/>
  <c r="J35" i="28"/>
  <c r="J33" i="28"/>
  <c r="BO52" i="28"/>
  <c r="BT50" i="28"/>
  <c r="BL50" i="28"/>
  <c r="AT78" i="28"/>
  <c r="AT53" i="28"/>
  <c r="AT60" i="28"/>
  <c r="AT54" i="28"/>
  <c r="BC51" i="28"/>
  <c r="BC50" i="28"/>
  <c r="BC52" i="28"/>
  <c r="AS52" i="28"/>
  <c r="AS51" i="28"/>
  <c r="AS50" i="28"/>
  <c r="H33" i="28"/>
  <c r="H49" i="28"/>
  <c r="BS51" i="28"/>
  <c r="BS50" i="28"/>
  <c r="CH71" i="28"/>
  <c r="CH72" i="28" s="1"/>
  <c r="CH63" i="28"/>
  <c r="BV51" i="28"/>
  <c r="BV50" i="28"/>
  <c r="BN51" i="28"/>
  <c r="BN50" i="28"/>
  <c r="BY52" i="28"/>
  <c r="BI52" i="28"/>
  <c r="N48" i="28"/>
  <c r="O49" i="28"/>
  <c r="M18" i="28"/>
  <c r="BX122" i="28"/>
  <c r="BY121" i="28"/>
  <c r="J118" i="28"/>
  <c r="J115" i="28"/>
  <c r="J116" i="28" s="1"/>
  <c r="BS101" i="28"/>
  <c r="O102" i="28"/>
  <c r="F40" i="28"/>
  <c r="G49" i="28"/>
  <c r="G35" i="28"/>
  <c r="G33" i="28"/>
  <c r="G40" i="28"/>
  <c r="AW52" i="28"/>
  <c r="AW51" i="28"/>
  <c r="AW50" i="28"/>
  <c r="CH78" i="28"/>
  <c r="CD150" i="30" s="1"/>
  <c r="CH54" i="28"/>
  <c r="I51" i="28"/>
  <c r="I50" i="28"/>
  <c r="N50" i="28"/>
  <c r="O18" i="28"/>
  <c r="BU121" i="28"/>
  <c r="BU122" i="28" s="1"/>
  <c r="BT122" i="28"/>
  <c r="P118" i="28"/>
  <c r="K110" i="28"/>
  <c r="K108" i="28"/>
  <c r="AX116" i="28"/>
  <c r="BB116" i="28"/>
  <c r="AH116" i="28"/>
  <c r="J110" i="28"/>
  <c r="J108" i="28"/>
  <c r="BA116" i="28"/>
  <c r="AW116" i="28"/>
  <c r="L107" i="28"/>
  <c r="BF117" i="28"/>
  <c r="K117" i="28" s="1"/>
  <c r="K110" i="29" s="1"/>
  <c r="BF116" i="28"/>
  <c r="BJ116" i="28"/>
  <c r="AZ116" i="28"/>
  <c r="AV116" i="28"/>
  <c r="G126" i="28"/>
  <c r="G115" i="28"/>
  <c r="G116" i="28" s="1"/>
  <c r="G107" i="28"/>
  <c r="J126" i="28"/>
  <c r="J107" i="28"/>
  <c r="I48" i="28"/>
  <c r="AV78" i="28"/>
  <c r="AV60" i="28"/>
  <c r="AV54" i="28"/>
  <c r="AV53" i="28"/>
  <c r="AF78" i="28"/>
  <c r="AF60" i="28"/>
  <c r="AF63" i="28" s="1"/>
  <c r="AF54" i="28"/>
  <c r="BE52" i="28"/>
  <c r="BE51" i="28"/>
  <c r="BE50" i="28"/>
  <c r="I42" i="28"/>
  <c r="I40" i="28"/>
  <c r="AU78" i="28"/>
  <c r="AU60" i="28"/>
  <c r="AU54" i="28"/>
  <c r="AU53" i="28"/>
  <c r="AE78" i="28"/>
  <c r="AE60" i="28"/>
  <c r="AE63" i="28" s="1"/>
  <c r="AE54" i="28"/>
  <c r="F49" i="28"/>
  <c r="F33" i="28"/>
  <c r="AX78" i="28"/>
  <c r="AX53" i="28"/>
  <c r="AX60" i="28"/>
  <c r="AX54" i="28"/>
  <c r="AH78" i="28"/>
  <c r="AH53" i="28"/>
  <c r="AH60" i="28"/>
  <c r="AH54" i="28"/>
  <c r="AO52" i="28"/>
  <c r="AO51" i="28"/>
  <c r="AO50" i="28"/>
  <c r="M33" i="28"/>
  <c r="BF30" i="28"/>
  <c r="BJ29" i="28"/>
  <c r="BW51" i="28"/>
  <c r="BW50" i="28"/>
  <c r="BG50" i="28"/>
  <c r="J48" i="28"/>
  <c r="K33" i="28"/>
  <c r="L18" i="28"/>
  <c r="E52" i="28"/>
  <c r="E19" i="28"/>
  <c r="E16" i="28"/>
  <c r="L117" i="28"/>
  <c r="L110" i="29" s="1"/>
  <c r="X37" i="28"/>
  <c r="W36" i="28"/>
  <c r="W38" i="28"/>
  <c r="W35" i="28"/>
  <c r="AD78" i="28"/>
  <c r="AD60" i="28"/>
  <c r="AD63" i="28" s="1"/>
  <c r="AD54" i="28"/>
  <c r="AG52" i="28"/>
  <c r="AG51" i="28"/>
  <c r="AT116" i="28"/>
  <c r="G110" i="28"/>
  <c r="G108" i="28"/>
  <c r="J42" i="28"/>
  <c r="J40" i="28"/>
  <c r="AZ78" i="28"/>
  <c r="AZ60" i="28"/>
  <c r="AZ54" i="28"/>
  <c r="AZ53" i="28"/>
  <c r="AJ78" i="28"/>
  <c r="AJ60" i="28"/>
  <c r="AJ54" i="28"/>
  <c r="AJ53" i="28"/>
  <c r="BU51" i="28"/>
  <c r="BU50" i="28"/>
  <c r="BM51" i="28"/>
  <c r="BM50" i="28"/>
  <c r="L48" i="28"/>
  <c r="L49" i="28"/>
  <c r="CI42" i="28"/>
  <c r="CI41" i="28"/>
  <c r="CI40" i="28"/>
  <c r="CI28" i="28"/>
  <c r="AY78" i="28"/>
  <c r="AY60" i="28"/>
  <c r="AY54" i="28"/>
  <c r="AY53" i="28"/>
  <c r="AI78" i="28"/>
  <c r="AI60" i="28"/>
  <c r="AI54" i="28"/>
  <c r="AI53" i="28"/>
  <c r="BW78" i="28"/>
  <c r="BS150" i="30" s="1"/>
  <c r="BW60" i="28"/>
  <c r="BW54" i="28"/>
  <c r="BX51" i="28"/>
  <c r="BX50" i="28"/>
  <c r="BP50" i="28"/>
  <c r="BH50" i="28"/>
  <c r="BB78" i="28"/>
  <c r="BB53" i="28"/>
  <c r="BB60" i="28"/>
  <c r="BB54" i="28"/>
  <c r="AL78" i="28"/>
  <c r="AL53" i="28"/>
  <c r="AL60" i="28"/>
  <c r="AL54" i="28"/>
  <c r="V55" i="28"/>
  <c r="W56" i="28"/>
  <c r="H40" i="28"/>
  <c r="BA52" i="28"/>
  <c r="BA51" i="28"/>
  <c r="BA50" i="28"/>
  <c r="AK52" i="28"/>
  <c r="AK51" i="28"/>
  <c r="AK50" i="28"/>
  <c r="K50" i="28"/>
  <c r="K51" i="28"/>
  <c r="BK51" i="28"/>
  <c r="BK50" i="28"/>
  <c r="X45" i="28"/>
  <c r="X42" i="28"/>
  <c r="X43" i="28"/>
  <c r="BZ51" i="28"/>
  <c r="BZ50" i="28"/>
  <c r="BR51" i="28"/>
  <c r="BR50" i="28"/>
  <c r="BJ51" i="28"/>
  <c r="BJ50" i="28"/>
  <c r="BQ52" i="28"/>
  <c r="BU53" i="28" s="1"/>
  <c r="I52" i="28"/>
  <c r="O29" i="28"/>
  <c r="P18" i="28"/>
  <c r="N18" i="28"/>
  <c r="K19" i="46"/>
  <c r="B31" i="46"/>
  <c r="L18" i="46"/>
  <c r="L19" i="46" s="1"/>
  <c r="M5" i="46"/>
  <c r="B47" i="46"/>
  <c r="B39" i="46"/>
  <c r="AO57" i="45" l="1"/>
  <c r="AQ57" i="45"/>
  <c r="AH86" i="45"/>
  <c r="BR21" i="31"/>
  <c r="AH87" i="45" s="1"/>
  <c r="AM57" i="45"/>
  <c r="BI57" i="29"/>
  <c r="BF115" i="30"/>
  <c r="BJ19" i="28"/>
  <c r="BJ35" i="28"/>
  <c r="BJ52" i="28"/>
  <c r="BJ26" i="28"/>
  <c r="BF125" i="30"/>
  <c r="BJ30" i="28"/>
  <c r="BJ42" i="28"/>
  <c r="AT57" i="45"/>
  <c r="BW348" i="31"/>
  <c r="BQ57" i="29"/>
  <c r="BN115" i="30"/>
  <c r="BR42" i="28"/>
  <c r="BR35" i="28"/>
  <c r="BN125" i="30"/>
  <c r="BR19" i="28"/>
  <c r="BR30" i="28"/>
  <c r="BU80" i="31"/>
  <c r="AJ20" i="45"/>
  <c r="J21" i="31"/>
  <c r="BA49" i="30"/>
  <c r="BA53" i="30" s="1"/>
  <c r="BA75" i="30"/>
  <c r="BA76" i="30" s="1"/>
  <c r="BA80" i="30" s="1"/>
  <c r="AV75" i="30"/>
  <c r="AV76" i="30" s="1"/>
  <c r="AV80" i="30" s="1"/>
  <c r="AV104" i="30" s="1"/>
  <c r="AV49" i="30"/>
  <c r="AV53" i="30" s="1"/>
  <c r="AV103" i="30"/>
  <c r="Y109" i="45"/>
  <c r="AZ103" i="30"/>
  <c r="AZ75" i="30"/>
  <c r="AZ76" i="30" s="1"/>
  <c r="AZ80" i="30" s="1"/>
  <c r="AZ49" i="30"/>
  <c r="AZ53" i="30" s="1"/>
  <c r="AX75" i="30"/>
  <c r="AX76" i="30" s="1"/>
  <c r="AX80" i="30" s="1"/>
  <c r="AX49" i="30"/>
  <c r="AX53" i="30" s="1"/>
  <c r="X109" i="45"/>
  <c r="BC75" i="30"/>
  <c r="BC49" i="30"/>
  <c r="L46" i="30"/>
  <c r="BE49" i="30"/>
  <c r="BE75" i="30"/>
  <c r="AD108" i="45"/>
  <c r="BB46" i="30"/>
  <c r="BD75" i="30"/>
  <c r="BD49" i="30"/>
  <c r="AW49" i="30"/>
  <c r="AW53" i="30" s="1"/>
  <c r="AW75" i="30"/>
  <c r="AW76" i="30" s="1"/>
  <c r="AW80" i="30" s="1"/>
  <c r="AB109" i="45"/>
  <c r="AY47" i="29"/>
  <c r="AX49" i="29"/>
  <c r="AX50" i="29" s="1"/>
  <c r="Z109" i="45"/>
  <c r="J46" i="30"/>
  <c r="AU49" i="30"/>
  <c r="AU53" i="30" s="1"/>
  <c r="AU75" i="30"/>
  <c r="AU76" i="30" s="1"/>
  <c r="AU80" i="30" s="1"/>
  <c r="AY49" i="30"/>
  <c r="AY53" i="30" s="1"/>
  <c r="AY75" i="30"/>
  <c r="AY76" i="30" s="1"/>
  <c r="AY80" i="30" s="1"/>
  <c r="K46" i="30"/>
  <c r="BF49" i="30"/>
  <c r="BF75" i="30"/>
  <c r="AC109" i="45"/>
  <c r="W109" i="45"/>
  <c r="AA109" i="45"/>
  <c r="N38" i="70"/>
  <c r="N22" i="70"/>
  <c r="M44" i="70"/>
  <c r="M47" i="70" s="1"/>
  <c r="N21" i="70"/>
  <c r="N32" i="70"/>
  <c r="M45" i="70"/>
  <c r="CI43" i="70" s="1"/>
  <c r="T44" i="71"/>
  <c r="T45" i="71"/>
  <c r="T60" i="71"/>
  <c r="T51" i="71"/>
  <c r="O12" i="70"/>
  <c r="P11" i="70"/>
  <c r="N42" i="70"/>
  <c r="O89" i="70"/>
  <c r="O30" i="70"/>
  <c r="P19" i="70"/>
  <c r="S40" i="70"/>
  <c r="T33" i="70"/>
  <c r="T40" i="70" s="1"/>
  <c r="L61" i="70"/>
  <c r="L62" i="70" s="1"/>
  <c r="L69" i="70" s="1"/>
  <c r="M93" i="70"/>
  <c r="M95" i="70" s="1"/>
  <c r="M99" i="70" s="1"/>
  <c r="M60" i="70"/>
  <c r="M51" i="70"/>
  <c r="T37" i="45"/>
  <c r="AJ37" i="45"/>
  <c r="L49" i="45"/>
  <c r="L43" i="45"/>
  <c r="M37" i="45"/>
  <c r="N43" i="45"/>
  <c r="O37" i="45"/>
  <c r="N49" i="45"/>
  <c r="Z37" i="45"/>
  <c r="Y43" i="45"/>
  <c r="Y49" i="45"/>
  <c r="AH43" i="45"/>
  <c r="AH49" i="45"/>
  <c r="AI37" i="45"/>
  <c r="Y37" i="45"/>
  <c r="R43" i="45"/>
  <c r="R49" i="45"/>
  <c r="S37" i="45"/>
  <c r="AK43" i="45"/>
  <c r="AK49" i="45"/>
  <c r="AL37" i="45"/>
  <c r="D43" i="45"/>
  <c r="E37" i="45"/>
  <c r="AF49" i="45"/>
  <c r="AF43" i="45"/>
  <c r="AG37" i="45"/>
  <c r="F43" i="45"/>
  <c r="F49" i="45"/>
  <c r="G37" i="45"/>
  <c r="V43" i="45"/>
  <c r="V49" i="45"/>
  <c r="W37" i="45"/>
  <c r="Q49" i="45"/>
  <c r="Q43" i="45"/>
  <c r="R37" i="45"/>
  <c r="AW49" i="45"/>
  <c r="AW43" i="45"/>
  <c r="AX37" i="45"/>
  <c r="AX43" i="45"/>
  <c r="AX49" i="45"/>
  <c r="H49" i="45"/>
  <c r="Z43" i="45"/>
  <c r="Q37" i="45"/>
  <c r="AC49" i="45"/>
  <c r="AD37" i="45"/>
  <c r="AC43" i="45"/>
  <c r="AV49" i="45"/>
  <c r="AV43" i="45"/>
  <c r="AW37" i="45"/>
  <c r="AB49" i="45"/>
  <c r="AB43" i="45"/>
  <c r="AC37" i="45"/>
  <c r="AP37" i="45"/>
  <c r="AO49" i="45"/>
  <c r="AO43" i="45"/>
  <c r="AB37" i="45"/>
  <c r="T49" i="45"/>
  <c r="T43" i="45"/>
  <c r="U37" i="45"/>
  <c r="AJ49" i="45"/>
  <c r="AJ43" i="45"/>
  <c r="AK37" i="45"/>
  <c r="AV37" i="45"/>
  <c r="U43" i="45"/>
  <c r="U49" i="45"/>
  <c r="V37" i="45"/>
  <c r="AR49" i="45"/>
  <c r="AR43" i="45"/>
  <c r="AS37" i="45"/>
  <c r="AG49" i="45"/>
  <c r="AG43" i="45"/>
  <c r="AH37" i="45"/>
  <c r="J43" i="45"/>
  <c r="J49" i="45"/>
  <c r="K37" i="45"/>
  <c r="AP43" i="45"/>
  <c r="M49" i="45"/>
  <c r="N37" i="45"/>
  <c r="M43" i="45"/>
  <c r="AS49" i="45"/>
  <c r="AT37" i="45"/>
  <c r="AS43" i="45"/>
  <c r="L80" i="50"/>
  <c r="L76" i="50"/>
  <c r="G76" i="50"/>
  <c r="G80" i="50"/>
  <c r="G79" i="50" s="1"/>
  <c r="G104" i="50" s="1"/>
  <c r="AY18" i="50"/>
  <c r="AY16" i="50"/>
  <c r="AX17" i="50"/>
  <c r="K37" i="50"/>
  <c r="J38" i="50"/>
  <c r="J46" i="50"/>
  <c r="J75" i="50" s="1"/>
  <c r="K38" i="50"/>
  <c r="K76" i="50"/>
  <c r="K80" i="50"/>
  <c r="K79" i="50" s="1"/>
  <c r="K104" i="50" s="1"/>
  <c r="AU80" i="50"/>
  <c r="AU81" i="50" s="1"/>
  <c r="AU76" i="50"/>
  <c r="AY58" i="50"/>
  <c r="AY56" i="50"/>
  <c r="AX57" i="50"/>
  <c r="AX62" i="50"/>
  <c r="AY61" i="50"/>
  <c r="AY63" i="50"/>
  <c r="L7" i="50"/>
  <c r="M6" i="50"/>
  <c r="AN46" i="50"/>
  <c r="AN75" i="50" s="1"/>
  <c r="AO39" i="50"/>
  <c r="AN38" i="50"/>
  <c r="AO37" i="50"/>
  <c r="AS80" i="50"/>
  <c r="AS81" i="50" s="1"/>
  <c r="AS76" i="50"/>
  <c r="H80" i="50"/>
  <c r="H79" i="50" s="1"/>
  <c r="H104" i="50" s="1"/>
  <c r="H76" i="50"/>
  <c r="O71" i="50"/>
  <c r="O73" i="50"/>
  <c r="N72" i="50"/>
  <c r="AX68" i="50"/>
  <c r="AW67" i="50"/>
  <c r="AX66" i="50"/>
  <c r="AY46" i="50"/>
  <c r="AY33" i="50"/>
  <c r="M34" i="50"/>
  <c r="AY38" i="50"/>
  <c r="M39" i="50"/>
  <c r="AX28" i="50"/>
  <c r="AY26" i="50"/>
  <c r="AY24" i="50"/>
  <c r="AX25" i="50"/>
  <c r="AM80" i="50"/>
  <c r="AM81" i="50" s="1"/>
  <c r="AM76" i="50"/>
  <c r="Q44" i="50"/>
  <c r="P43" i="50"/>
  <c r="Q42" i="50"/>
  <c r="AY13" i="50"/>
  <c r="AY11" i="50"/>
  <c r="AX12" i="50"/>
  <c r="AV20" i="50"/>
  <c r="AV75" i="50" s="1"/>
  <c r="AV7" i="50"/>
  <c r="AW8" i="50"/>
  <c r="AW6" i="50"/>
  <c r="BZ78" i="28"/>
  <c r="BV150" i="30" s="1"/>
  <c r="BZ60" i="28"/>
  <c r="BZ54" i="28"/>
  <c r="Q439" i="31"/>
  <c r="Q229" i="31"/>
  <c r="Q228" i="31"/>
  <c r="CT16" i="31"/>
  <c r="CT18" i="31" s="1"/>
  <c r="CS18" i="31"/>
  <c r="CI115" i="31"/>
  <c r="CI114" i="31"/>
  <c r="CM54" i="31"/>
  <c r="CQ54" i="31"/>
  <c r="N20" i="31"/>
  <c r="N212" i="31"/>
  <c r="N238" i="31"/>
  <c r="N177" i="31"/>
  <c r="CO116" i="31"/>
  <c r="CO114" i="31"/>
  <c r="CO115" i="31"/>
  <c r="CM22" i="31"/>
  <c r="CM21" i="31"/>
  <c r="CL236" i="31"/>
  <c r="CL235" i="31"/>
  <c r="CL234" i="31"/>
  <c r="I12" i="28"/>
  <c r="H25" i="28"/>
  <c r="H12" i="28"/>
  <c r="P425" i="31"/>
  <c r="P253" i="31"/>
  <c r="P255" i="31"/>
  <c r="N229" i="31"/>
  <c r="K21" i="31"/>
  <c r="BV21" i="31"/>
  <c r="AL87" i="45" s="1"/>
  <c r="BV22" i="31"/>
  <c r="AL88" i="45" s="1"/>
  <c r="BZ21" i="31"/>
  <c r="AP87" i="45" s="1"/>
  <c r="CO431" i="31"/>
  <c r="CO417" i="31"/>
  <c r="CO414" i="31"/>
  <c r="CO415" i="31"/>
  <c r="CM116" i="31"/>
  <c r="CM115" i="31"/>
  <c r="CM114" i="31"/>
  <c r="R413" i="31"/>
  <c r="R177" i="31"/>
  <c r="R175" i="31"/>
  <c r="P212" i="31"/>
  <c r="P210" i="31"/>
  <c r="BI116" i="30"/>
  <c r="BL77" i="29"/>
  <c r="BI146" i="30"/>
  <c r="BI65" i="30"/>
  <c r="BG65" i="30"/>
  <c r="BG69" i="30" s="1"/>
  <c r="BG116" i="30"/>
  <c r="BJ77" i="29"/>
  <c r="BG146" i="30"/>
  <c r="BG154" i="30" s="1"/>
  <c r="BJ78" i="29"/>
  <c r="G115" i="30"/>
  <c r="G125" i="30"/>
  <c r="G57" i="29"/>
  <c r="F25" i="28"/>
  <c r="F12" i="28"/>
  <c r="CT99" i="31"/>
  <c r="CT39" i="31"/>
  <c r="CT36" i="31"/>
  <c r="T35" i="31"/>
  <c r="BY116" i="31"/>
  <c r="AO55" i="45" s="1"/>
  <c r="BY115" i="31"/>
  <c r="AO53" i="45" s="1"/>
  <c r="BY114" i="31"/>
  <c r="AO52" i="45" s="1"/>
  <c r="CH22" i="31"/>
  <c r="CH21" i="31"/>
  <c r="AX87" i="45" s="1"/>
  <c r="P118" i="31"/>
  <c r="P20" i="31"/>
  <c r="P177" i="31"/>
  <c r="R170" i="31"/>
  <c r="S425" i="31"/>
  <c r="S192" i="31"/>
  <c r="S194" i="31"/>
  <c r="CK229" i="31"/>
  <c r="CK228" i="31"/>
  <c r="CJ212" i="31"/>
  <c r="CJ211" i="31"/>
  <c r="CJ210" i="31"/>
  <c r="BS429" i="31"/>
  <c r="BS432" i="31"/>
  <c r="BS426" i="31"/>
  <c r="BS427" i="31"/>
  <c r="BS431" i="31"/>
  <c r="CR404" i="31"/>
  <c r="CR405" i="31"/>
  <c r="BV27" i="28"/>
  <c r="BR115" i="30"/>
  <c r="BV19" i="28"/>
  <c r="BV35" i="28"/>
  <c r="BV30" i="28"/>
  <c r="BV52" i="28"/>
  <c r="BV42" i="28"/>
  <c r="BV26" i="28"/>
  <c r="CM417" i="31"/>
  <c r="CM431" i="31"/>
  <c r="CM415" i="31"/>
  <c r="CM414" i="31"/>
  <c r="BT432" i="31"/>
  <c r="BT426" i="31"/>
  <c r="BT427" i="31"/>
  <c r="BT429" i="31"/>
  <c r="CH212" i="31"/>
  <c r="CH211" i="31"/>
  <c r="CH210" i="31"/>
  <c r="H30" i="31"/>
  <c r="BW114" i="31"/>
  <c r="BW115" i="31"/>
  <c r="AM53" i="45" s="1"/>
  <c r="CE115" i="31"/>
  <c r="AU53" i="45" s="1"/>
  <c r="CE114" i="31"/>
  <c r="AU52" i="45" s="1"/>
  <c r="CF116" i="31"/>
  <c r="AV55" i="45" s="1"/>
  <c r="CF115" i="31"/>
  <c r="AV53" i="45" s="1"/>
  <c r="CF114" i="31"/>
  <c r="AV52" i="45" s="1"/>
  <c r="BP21" i="31"/>
  <c r="AF87" i="45" s="1"/>
  <c r="CH116" i="31"/>
  <c r="AX55" i="45" s="1"/>
  <c r="CH115" i="31"/>
  <c r="AX53" i="45" s="1"/>
  <c r="CH114" i="31"/>
  <c r="AX52" i="45" s="1"/>
  <c r="S118" i="31"/>
  <c r="S121" i="31" s="1"/>
  <c r="S155" i="31"/>
  <c r="S20" i="31"/>
  <c r="N425" i="31"/>
  <c r="N253" i="31"/>
  <c r="CG431" i="31"/>
  <c r="CG417" i="31"/>
  <c r="CG415" i="31"/>
  <c r="CG414" i="31"/>
  <c r="BV432" i="31"/>
  <c r="BV429" i="31"/>
  <c r="BV427" i="31"/>
  <c r="BV426" i="31"/>
  <c r="BV431" i="31"/>
  <c r="T368" i="31"/>
  <c r="BY432" i="31"/>
  <c r="BY426" i="31"/>
  <c r="BY427" i="31"/>
  <c r="BY429" i="31"/>
  <c r="BY431" i="31"/>
  <c r="CS167" i="31"/>
  <c r="CS174" i="31"/>
  <c r="CS169" i="31"/>
  <c r="CS168" i="31"/>
  <c r="BQ30" i="31"/>
  <c r="BQ29" i="31" s="1"/>
  <c r="BP29" i="31"/>
  <c r="BN27" i="28"/>
  <c r="BJ115" i="30"/>
  <c r="BR26" i="28"/>
  <c r="BM57" i="29"/>
  <c r="BN26" i="28"/>
  <c r="BN30" i="28"/>
  <c r="BN52" i="28"/>
  <c r="BJ125" i="30"/>
  <c r="BN42" i="28"/>
  <c r="BN19" i="28"/>
  <c r="BN35" i="28"/>
  <c r="CP114" i="31"/>
  <c r="CP116" i="31" s="1"/>
  <c r="CP115" i="31"/>
  <c r="CT141" i="31"/>
  <c r="CS140" i="31"/>
  <c r="CS157" i="31"/>
  <c r="CS158" i="31" s="1"/>
  <c r="CS141" i="31"/>
  <c r="CS164" i="31"/>
  <c r="CS186" i="31"/>
  <c r="CS182" i="31"/>
  <c r="CS190" i="31"/>
  <c r="I21" i="31"/>
  <c r="O158" i="31"/>
  <c r="O142" i="31"/>
  <c r="BN324" i="31"/>
  <c r="BN99" i="31"/>
  <c r="BN39" i="31"/>
  <c r="BN47" i="31" s="1"/>
  <c r="L35" i="31"/>
  <c r="BM35" i="31"/>
  <c r="BR36" i="31"/>
  <c r="BO331" i="31"/>
  <c r="BO334" i="31" s="1"/>
  <c r="BP331" i="31"/>
  <c r="BP334" i="31" s="1"/>
  <c r="BS338" i="31"/>
  <c r="BO327" i="31"/>
  <c r="BT116" i="31"/>
  <c r="AJ55" i="45" s="1"/>
  <c r="BT115" i="31"/>
  <c r="AJ53" i="45" s="1"/>
  <c r="BT114" i="31"/>
  <c r="AJ52" i="45" s="1"/>
  <c r="CL114" i="31"/>
  <c r="CL116" i="31" s="1"/>
  <c r="CL115" i="31"/>
  <c r="CB156" i="31"/>
  <c r="CB155" i="31"/>
  <c r="CB238" i="31"/>
  <c r="CB118" i="31"/>
  <c r="CB20" i="31"/>
  <c r="BT25" i="28"/>
  <c r="CB212" i="31"/>
  <c r="CB229" i="31"/>
  <c r="CC156" i="31"/>
  <c r="CB177" i="31"/>
  <c r="CL21" i="31"/>
  <c r="CL22" i="31"/>
  <c r="BO35" i="28"/>
  <c r="BN57" i="29"/>
  <c r="BK115" i="30"/>
  <c r="BO19" i="28"/>
  <c r="BK125" i="30"/>
  <c r="BO42" i="28"/>
  <c r="BO26" i="28"/>
  <c r="BO27" i="28"/>
  <c r="BO30" i="28"/>
  <c r="CJ432" i="31"/>
  <c r="CJ426" i="31"/>
  <c r="CJ427" i="31"/>
  <c r="CJ429" i="31"/>
  <c r="CJ431" i="31"/>
  <c r="R200" i="31"/>
  <c r="R198" i="31"/>
  <c r="BW35" i="28"/>
  <c r="BS115" i="30"/>
  <c r="BV57" i="29"/>
  <c r="BW30" i="28"/>
  <c r="BW27" i="28"/>
  <c r="BW19" i="28"/>
  <c r="BW26" i="28"/>
  <c r="BW42" i="28"/>
  <c r="CN429" i="31"/>
  <c r="CN432" i="31"/>
  <c r="CN426" i="31"/>
  <c r="CN427" i="31"/>
  <c r="T425" i="31"/>
  <c r="T192" i="31"/>
  <c r="CT399" i="31"/>
  <c r="CT400" i="31"/>
  <c r="CT398" i="31"/>
  <c r="T397" i="31"/>
  <c r="BU115" i="31"/>
  <c r="AK53" i="45" s="1"/>
  <c r="BU114" i="31"/>
  <c r="AK52" i="45" s="1"/>
  <c r="BP429" i="31"/>
  <c r="BP427" i="31"/>
  <c r="BP432" i="31"/>
  <c r="Q212" i="31"/>
  <c r="Q210" i="31"/>
  <c r="CQ111" i="31"/>
  <c r="CQ106" i="31"/>
  <c r="CS110" i="31"/>
  <c r="CS105" i="31"/>
  <c r="CD22" i="31"/>
  <c r="AT88" i="45" s="1"/>
  <c r="CD21" i="31"/>
  <c r="AT87" i="45" s="1"/>
  <c r="O440" i="31"/>
  <c r="O443" i="31"/>
  <c r="Q56" i="31"/>
  <c r="BR432" i="31"/>
  <c r="BR429" i="31"/>
  <c r="BR427" i="31"/>
  <c r="BR431" i="31"/>
  <c r="CI212" i="31"/>
  <c r="CI211" i="31"/>
  <c r="CI210" i="31"/>
  <c r="Q222" i="31"/>
  <c r="Q220" i="31"/>
  <c r="P454" i="31"/>
  <c r="P451" i="31"/>
  <c r="CI22" i="31"/>
  <c r="CI21" i="31"/>
  <c r="BO100" i="31"/>
  <c r="BP105" i="31"/>
  <c r="BS110" i="31"/>
  <c r="CJ114" i="31"/>
  <c r="CJ116" i="31" s="1"/>
  <c r="CJ115" i="31"/>
  <c r="Q155" i="31"/>
  <c r="Q404" i="31" s="1"/>
  <c r="Q118" i="31"/>
  <c r="Q20" i="31"/>
  <c r="Q21" i="31" s="1"/>
  <c r="BX429" i="31"/>
  <c r="BX432" i="31"/>
  <c r="BX426" i="31"/>
  <c r="BX427" i="31"/>
  <c r="BX431" i="31"/>
  <c r="CR145" i="31"/>
  <c r="CR144" i="31"/>
  <c r="CR154" i="31"/>
  <c r="CR169" i="31"/>
  <c r="R450" i="31"/>
  <c r="R238" i="31"/>
  <c r="R237" i="31"/>
  <c r="CS402" i="31"/>
  <c r="CS401" i="31"/>
  <c r="CS150" i="31"/>
  <c r="BX238" i="31"/>
  <c r="BX156" i="31"/>
  <c r="BX155" i="31"/>
  <c r="BX118" i="31"/>
  <c r="BX20" i="31"/>
  <c r="AN86" i="45" s="1"/>
  <c r="BP25" i="28"/>
  <c r="N25" i="28" s="1"/>
  <c r="BX212" i="31"/>
  <c r="BX229" i="31"/>
  <c r="BX177" i="31"/>
  <c r="R222" i="31"/>
  <c r="R220" i="31"/>
  <c r="G19" i="28"/>
  <c r="G52" i="28"/>
  <c r="G78" i="28" s="1"/>
  <c r="G150" i="30" s="1"/>
  <c r="G42" i="28"/>
  <c r="BN146" i="30"/>
  <c r="BN154" i="30" s="1"/>
  <c r="BN65" i="30"/>
  <c r="BN81" i="30" s="1"/>
  <c r="BN116" i="30"/>
  <c r="BQ77" i="29"/>
  <c r="BQ78" i="29"/>
  <c r="BI69" i="30"/>
  <c r="G16" i="28"/>
  <c r="E13" i="28"/>
  <c r="BZ29" i="31"/>
  <c r="BV26" i="31"/>
  <c r="H21" i="31"/>
  <c r="BU115" i="30"/>
  <c r="BX57" i="29"/>
  <c r="BY35" i="28"/>
  <c r="BY19" i="28"/>
  <c r="BY27" i="28"/>
  <c r="BY26" i="28"/>
  <c r="BY42" i="28"/>
  <c r="BY30" i="28"/>
  <c r="CB429" i="31"/>
  <c r="CB426" i="31"/>
  <c r="CB432" i="31"/>
  <c r="CB427" i="31"/>
  <c r="CB431" i="31"/>
  <c r="P25" i="28"/>
  <c r="BZ27" i="28"/>
  <c r="BV115" i="30"/>
  <c r="BY57" i="29"/>
  <c r="BZ42" i="28"/>
  <c r="BZ26" i="28"/>
  <c r="BZ35" i="28"/>
  <c r="BZ19" i="28"/>
  <c r="BZ30" i="28"/>
  <c r="BM115" i="30"/>
  <c r="BP57" i="29"/>
  <c r="BQ35" i="28"/>
  <c r="BQ26" i="28"/>
  <c r="BQ42" i="28"/>
  <c r="BQ30" i="28"/>
  <c r="BU26" i="28"/>
  <c r="BM125" i="30"/>
  <c r="BQ19" i="28"/>
  <c r="BR27" i="28"/>
  <c r="S431" i="31"/>
  <c r="S459" i="31"/>
  <c r="S417" i="31"/>
  <c r="S414" i="31"/>
  <c r="S146" i="31"/>
  <c r="BU426" i="31"/>
  <c r="BU427" i="31"/>
  <c r="BU429" i="31"/>
  <c r="BU432" i="31"/>
  <c r="BU431" i="31"/>
  <c r="CA344" i="31"/>
  <c r="CA348" i="31" s="1"/>
  <c r="CA345" i="31"/>
  <c r="CR157" i="31"/>
  <c r="CR158" i="31" s="1"/>
  <c r="CR140" i="31"/>
  <c r="T139" i="31"/>
  <c r="CR141" i="31"/>
  <c r="CR190" i="31"/>
  <c r="CR164" i="31"/>
  <c r="CR182" i="31"/>
  <c r="CR186" i="31"/>
  <c r="CF426" i="31"/>
  <c r="CF429" i="31"/>
  <c r="CF427" i="31"/>
  <c r="CF432" i="31"/>
  <c r="CF431" i="31"/>
  <c r="CR429" i="31"/>
  <c r="CR426" i="31"/>
  <c r="CR427" i="31"/>
  <c r="CR432" i="31"/>
  <c r="CR431" i="31"/>
  <c r="R202" i="31"/>
  <c r="R209" i="31"/>
  <c r="V394" i="31"/>
  <c r="U395" i="31"/>
  <c r="U370" i="31"/>
  <c r="I30" i="31"/>
  <c r="I15" i="28"/>
  <c r="H15" i="28"/>
  <c r="BE115" i="30"/>
  <c r="BH57" i="29"/>
  <c r="BJ27" i="28"/>
  <c r="BI19" i="28"/>
  <c r="BI27" i="28"/>
  <c r="BI30" i="28"/>
  <c r="BI35" i="28"/>
  <c r="BI26" i="28"/>
  <c r="BE125" i="30"/>
  <c r="BI42" i="28"/>
  <c r="R155" i="31"/>
  <c r="R118" i="31"/>
  <c r="R20" i="31"/>
  <c r="CC115" i="31"/>
  <c r="AS53" i="45" s="1"/>
  <c r="CC114" i="31"/>
  <c r="O425" i="31"/>
  <c r="O253" i="31"/>
  <c r="CC427" i="31"/>
  <c r="CI417" i="31"/>
  <c r="CI431" i="31"/>
  <c r="CI414" i="31"/>
  <c r="CI415" i="31"/>
  <c r="CJ415" i="31"/>
  <c r="CQ417" i="31"/>
  <c r="CQ431" i="31"/>
  <c r="CQ414" i="31"/>
  <c r="CQ415" i="31"/>
  <c r="CR415" i="31"/>
  <c r="R425" i="31"/>
  <c r="R194" i="31"/>
  <c r="R192" i="31"/>
  <c r="P238" i="31"/>
  <c r="BQ429" i="31"/>
  <c r="BQ427" i="31"/>
  <c r="BQ432" i="31"/>
  <c r="BQ431" i="31"/>
  <c r="U352" i="31"/>
  <c r="N443" i="31"/>
  <c r="N440" i="31"/>
  <c r="P56" i="31"/>
  <c r="V379" i="31"/>
  <c r="CT384" i="31"/>
  <c r="CT383" i="31"/>
  <c r="CT166" i="31"/>
  <c r="CT385" i="31"/>
  <c r="CS11" i="31"/>
  <c r="BW29" i="31"/>
  <c r="BS31" i="31"/>
  <c r="BS26" i="31"/>
  <c r="L54" i="31"/>
  <c r="R165" i="31"/>
  <c r="BW429" i="31"/>
  <c r="BW432" i="31"/>
  <c r="BW426" i="31"/>
  <c r="BW427" i="31"/>
  <c r="BW431" i="31"/>
  <c r="W391" i="31"/>
  <c r="X388" i="31"/>
  <c r="W187" i="31"/>
  <c r="W188" i="31" s="1"/>
  <c r="L30" i="31"/>
  <c r="CO122" i="31"/>
  <c r="BP58" i="31"/>
  <c r="BP52" i="31"/>
  <c r="BQ51" i="31"/>
  <c r="CO432" i="31"/>
  <c r="BV115" i="31"/>
  <c r="AL53" i="45" s="1"/>
  <c r="BV114" i="31"/>
  <c r="BW22" i="31"/>
  <c r="AM88" i="45" s="1"/>
  <c r="BW21" i="31"/>
  <c r="AM87" i="45" s="1"/>
  <c r="CE22" i="31"/>
  <c r="AU88" i="45" s="1"/>
  <c r="CE21" i="31"/>
  <c r="AU87" i="45" s="1"/>
  <c r="BK35" i="28"/>
  <c r="BJ57" i="29"/>
  <c r="BG115" i="30"/>
  <c r="BK27" i="28"/>
  <c r="BK42" i="28"/>
  <c r="BK19" i="28"/>
  <c r="BG125" i="30"/>
  <c r="BK30" i="28"/>
  <c r="BX35" i="28"/>
  <c r="BT115" i="30"/>
  <c r="BW57" i="29"/>
  <c r="BX19" i="28"/>
  <c r="BX27" i="28"/>
  <c r="BX26" i="28"/>
  <c r="BX30" i="28"/>
  <c r="BX52" i="28"/>
  <c r="BX42" i="28"/>
  <c r="CF155" i="31"/>
  <c r="BI115" i="30"/>
  <c r="BI125" i="30"/>
  <c r="BL57" i="29"/>
  <c r="BM26" i="28"/>
  <c r="BM19" i="28"/>
  <c r="BM30" i="28"/>
  <c r="BM35" i="28"/>
  <c r="BM42" i="28"/>
  <c r="CK431" i="31"/>
  <c r="CK417" i="31"/>
  <c r="CK415" i="31"/>
  <c r="CK414" i="31"/>
  <c r="CK210" i="31"/>
  <c r="CK212" i="31"/>
  <c r="CK211" i="31"/>
  <c r="CN115" i="31"/>
  <c r="CN116" i="31" s="1"/>
  <c r="CN114" i="31"/>
  <c r="CB35" i="28"/>
  <c r="BX115" i="30"/>
  <c r="CA57" i="29"/>
  <c r="CB30" i="28"/>
  <c r="CB27" i="28"/>
  <c r="CB26" i="28"/>
  <c r="CB42" i="28"/>
  <c r="CB19" i="28"/>
  <c r="CB60" i="28"/>
  <c r="R218" i="31"/>
  <c r="R216" i="31"/>
  <c r="Q194" i="31"/>
  <c r="BZ432" i="31"/>
  <c r="BZ429" i="31"/>
  <c r="BZ427" i="31"/>
  <c r="BZ426" i="31"/>
  <c r="CD426" i="31"/>
  <c r="BZ431" i="31"/>
  <c r="V361" i="31"/>
  <c r="U161" i="31"/>
  <c r="Q431" i="31"/>
  <c r="Q414" i="31"/>
  <c r="Q417" i="31"/>
  <c r="CB115" i="31"/>
  <c r="AR53" i="45" s="1"/>
  <c r="CB114" i="31"/>
  <c r="CQ154" i="31"/>
  <c r="CQ151" i="31"/>
  <c r="CQ152" i="31"/>
  <c r="CR152" i="31"/>
  <c r="BV341" i="31"/>
  <c r="BH35" i="28"/>
  <c r="BD125" i="30"/>
  <c r="BH19" i="28"/>
  <c r="BH26" i="28"/>
  <c r="BH52" i="28"/>
  <c r="BH42" i="28"/>
  <c r="BD115" i="30"/>
  <c r="BH30" i="28"/>
  <c r="CQ404" i="31"/>
  <c r="CQ405" i="31"/>
  <c r="Q253" i="31"/>
  <c r="CA22" i="31"/>
  <c r="AQ88" i="45" s="1"/>
  <c r="CA21" i="31"/>
  <c r="AQ87" i="45" s="1"/>
  <c r="BS47" i="31"/>
  <c r="Q450" i="31"/>
  <c r="Q238" i="31"/>
  <c r="Q237" i="31"/>
  <c r="G26" i="28"/>
  <c r="H13" i="28"/>
  <c r="BL78" i="29"/>
  <c r="BI154" i="30"/>
  <c r="BR27" i="31"/>
  <c r="E35" i="28"/>
  <c r="E42" i="28"/>
  <c r="G30" i="31"/>
  <c r="CS464" i="31"/>
  <c r="CT464" i="31"/>
  <c r="CN40" i="31"/>
  <c r="CM41" i="31"/>
  <c r="CD115" i="31"/>
  <c r="AT53" i="45" s="1"/>
  <c r="CD114" i="31"/>
  <c r="CG22" i="31"/>
  <c r="CG21" i="31"/>
  <c r="AW87" i="45" s="1"/>
  <c r="CP21" i="31"/>
  <c r="CP22" i="31"/>
  <c r="BY22" i="31"/>
  <c r="AO88" i="45" s="1"/>
  <c r="BY21" i="31"/>
  <c r="AO87" i="45" s="1"/>
  <c r="BZ22" i="31"/>
  <c r="AP88" i="45" s="1"/>
  <c r="CC21" i="31"/>
  <c r="AS87" i="45" s="1"/>
  <c r="CE431" i="31"/>
  <c r="CE417" i="31"/>
  <c r="CE415" i="31"/>
  <c r="CE414" i="31"/>
  <c r="CF415" i="31"/>
  <c r="CN22" i="31"/>
  <c r="CN21" i="31"/>
  <c r="CO22" i="31"/>
  <c r="CH229" i="31"/>
  <c r="CH228" i="31"/>
  <c r="CH238" i="31"/>
  <c r="CH237" i="31"/>
  <c r="CS144" i="31"/>
  <c r="CS145" i="31"/>
  <c r="CA115" i="31"/>
  <c r="AQ53" i="45" s="1"/>
  <c r="CA114" i="31"/>
  <c r="AQ52" i="45" s="1"/>
  <c r="BX115" i="31"/>
  <c r="AN53" i="45" s="1"/>
  <c r="BX114" i="31"/>
  <c r="CK114" i="31"/>
  <c r="CK115" i="31"/>
  <c r="BZ116" i="31"/>
  <c r="AP55" i="45" s="1"/>
  <c r="BZ115" i="31"/>
  <c r="AP53" i="45" s="1"/>
  <c r="BZ114" i="31"/>
  <c r="AP52" i="45" s="1"/>
  <c r="CP415" i="31"/>
  <c r="CL203" i="31"/>
  <c r="CL209" i="31"/>
  <c r="CL204" i="31"/>
  <c r="R227" i="31"/>
  <c r="R158" i="31"/>
  <c r="R142" i="31"/>
  <c r="BQ22" i="31"/>
  <c r="AG88" i="45" s="1"/>
  <c r="BQ21" i="31"/>
  <c r="AG87" i="45" s="1"/>
  <c r="BR22" i="31"/>
  <c r="AH88" i="45" s="1"/>
  <c r="BT156" i="31"/>
  <c r="BT155" i="31"/>
  <c r="BT20" i="31"/>
  <c r="AJ86" i="45" s="1"/>
  <c r="BL25" i="28"/>
  <c r="M25" i="28" s="1"/>
  <c r="M51" i="28" s="1"/>
  <c r="S142" i="31"/>
  <c r="T383" i="31"/>
  <c r="U383" i="31" s="1"/>
  <c r="V383" i="31" s="1"/>
  <c r="W383" i="31" s="1"/>
  <c r="X383" i="31" s="1"/>
  <c r="Y383" i="31" s="1"/>
  <c r="Z383" i="31" s="1"/>
  <c r="AA383" i="31" s="1"/>
  <c r="AB383" i="31" s="1"/>
  <c r="AC383" i="31" s="1"/>
  <c r="AD383" i="31" s="1"/>
  <c r="AE383" i="31" s="1"/>
  <c r="AF383" i="31" s="1"/>
  <c r="CR109" i="31"/>
  <c r="CR104" i="31"/>
  <c r="CR100" i="31"/>
  <c r="CR101" i="31" s="1"/>
  <c r="J30" i="31"/>
  <c r="CQ101" i="31"/>
  <c r="CH415" i="31"/>
  <c r="CA35" i="28"/>
  <c r="BW115" i="30"/>
  <c r="BZ57" i="29"/>
  <c r="CA26" i="28"/>
  <c r="CA27" i="28"/>
  <c r="CA52" i="28"/>
  <c r="CA30" i="28"/>
  <c r="CA51" i="28"/>
  <c r="CA60" i="28"/>
  <c r="CA61" i="28" s="1"/>
  <c r="CA19" i="28"/>
  <c r="CA42" i="28"/>
  <c r="CS403" i="31"/>
  <c r="Q255" i="31"/>
  <c r="V392" i="31"/>
  <c r="V147" i="31"/>
  <c r="V148" i="31" s="1"/>
  <c r="E51" i="28"/>
  <c r="AB38" i="31"/>
  <c r="AC37" i="31"/>
  <c r="AB91" i="31"/>
  <c r="AB93" i="31" s="1"/>
  <c r="BR57" i="29"/>
  <c r="BO115" i="30"/>
  <c r="O25" i="28"/>
  <c r="BS35" i="28"/>
  <c r="BS27" i="28"/>
  <c r="BS30" i="28"/>
  <c r="BS52" i="28"/>
  <c r="BS42" i="28"/>
  <c r="BS26" i="28"/>
  <c r="BS19" i="28"/>
  <c r="BR83" i="31"/>
  <c r="AH23" i="45" s="1"/>
  <c r="M82" i="31"/>
  <c r="BS82" i="31"/>
  <c r="AI22" i="45" s="1"/>
  <c r="CS427" i="31"/>
  <c r="CG115" i="31"/>
  <c r="AW53" i="45" s="1"/>
  <c r="CG114" i="31"/>
  <c r="AW52" i="45" s="1"/>
  <c r="Q142" i="31"/>
  <c r="CK22" i="31"/>
  <c r="CK21" i="31"/>
  <c r="CO21" i="31"/>
  <c r="O146" i="31"/>
  <c r="BS22" i="31"/>
  <c r="AI88" i="45" s="1"/>
  <c r="CF22" i="31"/>
  <c r="BU22" i="31"/>
  <c r="AK88" i="45" s="1"/>
  <c r="BU21" i="31"/>
  <c r="AK87" i="45" s="1"/>
  <c r="CL199" i="31"/>
  <c r="CL200" i="31"/>
  <c r="BX255" i="31"/>
  <c r="P439" i="31"/>
  <c r="P229" i="31"/>
  <c r="P228" i="31"/>
  <c r="Q218" i="31"/>
  <c r="Q216" i="31"/>
  <c r="O148" i="31"/>
  <c r="O154" i="31"/>
  <c r="CJ22" i="31"/>
  <c r="CJ21" i="31"/>
  <c r="CL218" i="31"/>
  <c r="CL217" i="31"/>
  <c r="Q432" i="31"/>
  <c r="Q429" i="31"/>
  <c r="CL221" i="31"/>
  <c r="CL222" i="31"/>
  <c r="CL227" i="31"/>
  <c r="G12" i="28"/>
  <c r="P158" i="31"/>
  <c r="O10" i="81"/>
  <c r="K11" i="81"/>
  <c r="K26" i="81" s="1"/>
  <c r="L5" i="81"/>
  <c r="O6" i="81"/>
  <c r="O7" i="81"/>
  <c r="CE65" i="30"/>
  <c r="CE81" i="30" s="1"/>
  <c r="CE146" i="30"/>
  <c r="CE116" i="30"/>
  <c r="J29" i="81"/>
  <c r="J20" i="81"/>
  <c r="CF109" i="30"/>
  <c r="CJ25" i="28"/>
  <c r="J27" i="81"/>
  <c r="J24" i="81"/>
  <c r="J25" i="81"/>
  <c r="J28" i="81"/>
  <c r="L8" i="81"/>
  <c r="CH34" i="29"/>
  <c r="CE26" i="30"/>
  <c r="CD154" i="30"/>
  <c r="O9" i="81"/>
  <c r="J23" i="81"/>
  <c r="J26" i="81"/>
  <c r="O8" i="81"/>
  <c r="O92" i="30"/>
  <c r="O30" i="30"/>
  <c r="O61" i="30" s="1"/>
  <c r="BJ61" i="30"/>
  <c r="R149" i="30"/>
  <c r="R74" i="30"/>
  <c r="R67" i="30"/>
  <c r="R41" i="30"/>
  <c r="AB96" i="30"/>
  <c r="AB97" i="30" s="1"/>
  <c r="AB63" i="30"/>
  <c r="AB62" i="30"/>
  <c r="AG96" i="30"/>
  <c r="AG97" i="30" s="1"/>
  <c r="AG62" i="30"/>
  <c r="AG63" i="30"/>
  <c r="R75" i="30"/>
  <c r="AM96" i="30"/>
  <c r="AM97" i="30" s="1"/>
  <c r="AM63" i="30"/>
  <c r="AM62" i="30"/>
  <c r="M30" i="30"/>
  <c r="BY61" i="30"/>
  <c r="BY53" i="30"/>
  <c r="BU53" i="30"/>
  <c r="BU61" i="30"/>
  <c r="AO62" i="30"/>
  <c r="AO63" i="30"/>
  <c r="AO96" i="30"/>
  <c r="AO97" i="30" s="1"/>
  <c r="AS96" i="30"/>
  <c r="AS97" i="30" s="1"/>
  <c r="AS62" i="30"/>
  <c r="AS63" i="30"/>
  <c r="AV105" i="30"/>
  <c r="AJ58" i="30"/>
  <c r="AK55" i="30"/>
  <c r="AK57" i="30" s="1"/>
  <c r="O44" i="30"/>
  <c r="O49" i="30" s="1"/>
  <c r="BZ75" i="30"/>
  <c r="Q46" i="30"/>
  <c r="BJ103" i="30"/>
  <c r="BJ75" i="30"/>
  <c r="AH96" i="30"/>
  <c r="AH97" i="30" s="1"/>
  <c r="AH63" i="30"/>
  <c r="AH62" i="30"/>
  <c r="P149" i="30"/>
  <c r="P67" i="30"/>
  <c r="P74" i="30"/>
  <c r="P41" i="30"/>
  <c r="N17" i="30"/>
  <c r="N30" i="30" s="1"/>
  <c r="N61" i="30" s="1"/>
  <c r="BN30" i="30"/>
  <c r="Q96" i="28"/>
  <c r="Q113" i="28" s="1"/>
  <c r="BN49" i="30"/>
  <c r="N44" i="30"/>
  <c r="N49" i="30" s="1"/>
  <c r="BJ49" i="30"/>
  <c r="L78" i="30"/>
  <c r="L66" i="30"/>
  <c r="P132" i="30"/>
  <c r="P124" i="30"/>
  <c r="P117" i="30"/>
  <c r="P126" i="30"/>
  <c r="CE73" i="30"/>
  <c r="CI48" i="28"/>
  <c r="P52" i="28"/>
  <c r="BL96" i="30"/>
  <c r="BL97" i="30" s="1"/>
  <c r="BL63" i="30"/>
  <c r="BL62" i="30"/>
  <c r="BL103" i="30"/>
  <c r="I53" i="30"/>
  <c r="BY130" i="30"/>
  <c r="CC47" i="28"/>
  <c r="Q103" i="28"/>
  <c r="Q112" i="28" s="1"/>
  <c r="H53" i="30"/>
  <c r="H61" i="30"/>
  <c r="CD141" i="30"/>
  <c r="CD126" i="30"/>
  <c r="CD115" i="30"/>
  <c r="CD114" i="30"/>
  <c r="R108" i="30"/>
  <c r="CD117" i="30"/>
  <c r="CD74" i="30"/>
  <c r="CD116" i="30"/>
  <c r="AA55" i="30"/>
  <c r="AA57" i="30" s="1"/>
  <c r="D57" i="30"/>
  <c r="Z58" i="30"/>
  <c r="BH96" i="30"/>
  <c r="BH97" i="30" s="1"/>
  <c r="BH63" i="30"/>
  <c r="BH62" i="30"/>
  <c r="BH103" i="30"/>
  <c r="CC96" i="30"/>
  <c r="CC97" i="30" s="1"/>
  <c r="CC64" i="30"/>
  <c r="CC62" i="30"/>
  <c r="CC103" i="30"/>
  <c r="BR75" i="30"/>
  <c r="CG130" i="30"/>
  <c r="CG13" i="30"/>
  <c r="CK47" i="28"/>
  <c r="Q35" i="30"/>
  <c r="Q41" i="30" s="1"/>
  <c r="P44" i="30"/>
  <c r="P49" i="30" s="1"/>
  <c r="F96" i="30"/>
  <c r="F97" i="30" s="1"/>
  <c r="F100" i="30" s="1"/>
  <c r="F63" i="30"/>
  <c r="F62" i="30"/>
  <c r="R61" i="30"/>
  <c r="R103" i="30" s="1"/>
  <c r="AD96" i="30"/>
  <c r="AD97" i="30" s="1"/>
  <c r="AD63" i="30"/>
  <c r="AD62" i="30"/>
  <c r="AR96" i="30"/>
  <c r="AR97" i="30" s="1"/>
  <c r="AR63" i="30"/>
  <c r="AR62" i="30"/>
  <c r="AU105" i="30"/>
  <c r="BX96" i="30"/>
  <c r="BX97" i="30" s="1"/>
  <c r="BX64" i="30"/>
  <c r="BX63" i="30"/>
  <c r="BX62" i="30"/>
  <c r="BX103" i="30"/>
  <c r="O103" i="30"/>
  <c r="O75" i="30"/>
  <c r="BB96" i="30"/>
  <c r="BB97" i="30" s="1"/>
  <c r="BB63" i="30"/>
  <c r="BB62" i="30"/>
  <c r="BB103" i="30"/>
  <c r="Z96" i="30"/>
  <c r="Z97" i="30" s="1"/>
  <c r="Z63" i="30"/>
  <c r="Z62" i="30"/>
  <c r="CD64" i="30"/>
  <c r="CD63" i="30"/>
  <c r="CD62" i="30"/>
  <c r="CD96" i="30"/>
  <c r="CD97" i="30" s="1"/>
  <c r="CH128" i="30"/>
  <c r="CH132" i="30"/>
  <c r="CH124" i="30"/>
  <c r="Q49" i="30"/>
  <c r="BV146" i="30"/>
  <c r="BV116" i="30"/>
  <c r="BV65" i="30"/>
  <c r="BY78" i="29"/>
  <c r="BY77" i="29"/>
  <c r="BQ146" i="30"/>
  <c r="BQ154" i="30" s="1"/>
  <c r="BQ116" i="30"/>
  <c r="BQ65" i="30"/>
  <c r="BT78" i="29"/>
  <c r="BT77" i="29"/>
  <c r="BZ96" i="28"/>
  <c r="BZ102" i="28" s="1"/>
  <c r="BZ101" i="28" s="1"/>
  <c r="P101" i="28" s="1"/>
  <c r="P102" i="28" s="1"/>
  <c r="BV30" i="30"/>
  <c r="P10" i="30"/>
  <c r="O35" i="30"/>
  <c r="O41" i="30" s="1"/>
  <c r="BR41" i="30"/>
  <c r="N149" i="30"/>
  <c r="N74" i="30"/>
  <c r="N67" i="30"/>
  <c r="N41" i="30"/>
  <c r="AE96" i="30"/>
  <c r="AE97" i="30" s="1"/>
  <c r="AH100" i="30" s="1"/>
  <c r="AE63" i="30"/>
  <c r="AE62" i="30"/>
  <c r="AX96" i="30"/>
  <c r="AX97" i="30" s="1"/>
  <c r="AX63" i="30"/>
  <c r="AX62" i="30"/>
  <c r="AX103" i="30"/>
  <c r="BA105" i="30"/>
  <c r="G61" i="30"/>
  <c r="G53" i="30"/>
  <c r="G57" i="30" s="1"/>
  <c r="R132" i="30"/>
  <c r="CI19" i="29"/>
  <c r="CH20" i="29"/>
  <c r="CH91" i="29" s="1"/>
  <c r="CH98" i="29" s="1"/>
  <c r="AW88" i="30"/>
  <c r="AW104" i="30"/>
  <c r="AN96" i="30"/>
  <c r="AN97" i="30" s="1"/>
  <c r="AN63" i="30"/>
  <c r="AN62" i="30"/>
  <c r="BI61" i="30"/>
  <c r="BI53" i="30"/>
  <c r="N103" i="30"/>
  <c r="N75" i="30"/>
  <c r="M46" i="30"/>
  <c r="K139" i="30"/>
  <c r="K138" i="30"/>
  <c r="L135" i="30" s="1"/>
  <c r="CD112" i="30"/>
  <c r="R112" i="30" s="1"/>
  <c r="AU96" i="30"/>
  <c r="AU97" i="30" s="1"/>
  <c r="AU63" i="30"/>
  <c r="AU62" i="30"/>
  <c r="AU103" i="30"/>
  <c r="AX105" i="30"/>
  <c r="S122" i="30"/>
  <c r="AW106" i="30"/>
  <c r="BS146" i="30"/>
  <c r="BS154" i="30" s="1"/>
  <c r="BS116" i="30"/>
  <c r="BS65" i="30"/>
  <c r="BV78" i="29"/>
  <c r="BV77" i="29"/>
  <c r="AI96" i="30"/>
  <c r="AI97" i="30" s="1"/>
  <c r="AI63" i="30"/>
  <c r="AI62" i="30"/>
  <c r="P75" i="30"/>
  <c r="CF73" i="30"/>
  <c r="CJ48" i="28"/>
  <c r="E61" i="30"/>
  <c r="E53" i="30"/>
  <c r="AA96" i="30"/>
  <c r="AA97" i="30" s="1"/>
  <c r="AA63" i="30"/>
  <c r="AA62" i="30"/>
  <c r="BR92" i="30"/>
  <c r="BR30" i="30"/>
  <c r="AT96" i="30"/>
  <c r="AT97" i="30" s="1"/>
  <c r="AT63" i="30"/>
  <c r="AT62" i="30"/>
  <c r="AW105" i="30"/>
  <c r="AY96" i="30"/>
  <c r="AY97" i="30" s="1"/>
  <c r="BB100" i="30" s="1"/>
  <c r="AY63" i="30"/>
  <c r="AY62" i="30"/>
  <c r="BB105" i="30"/>
  <c r="AY103" i="30"/>
  <c r="AJ96" i="30"/>
  <c r="AJ97" i="30" s="1"/>
  <c r="AJ63" i="30"/>
  <c r="AJ62" i="30"/>
  <c r="CD49" i="30"/>
  <c r="CD53" i="30" s="1"/>
  <c r="R44" i="30"/>
  <c r="R49" i="30" s="1"/>
  <c r="R53" i="30" s="1"/>
  <c r="CB96" i="30"/>
  <c r="CB97" i="30" s="1"/>
  <c r="CB64" i="30"/>
  <c r="R64" i="30" s="1"/>
  <c r="CB62" i="30"/>
  <c r="CD105" i="30"/>
  <c r="CB103" i="30"/>
  <c r="BV148" i="30"/>
  <c r="P21" i="30"/>
  <c r="P148" i="30" s="1"/>
  <c r="BX122" i="30"/>
  <c r="BX73" i="30"/>
  <c r="CB49" i="28"/>
  <c r="CF48" i="28"/>
  <c r="CB48" i="28"/>
  <c r="BM61" i="30"/>
  <c r="BM53" i="30"/>
  <c r="I96" i="30"/>
  <c r="I97" i="30" s="1"/>
  <c r="I100" i="30" s="1"/>
  <c r="I62" i="30"/>
  <c r="I63" i="30"/>
  <c r="AW62" i="30"/>
  <c r="AW96" i="30"/>
  <c r="AW97" i="30" s="1"/>
  <c r="AZ100" i="30" s="1"/>
  <c r="AW63" i="30"/>
  <c r="AZ105" i="30"/>
  <c r="AY105" i="30"/>
  <c r="AW103" i="30"/>
  <c r="M49" i="30"/>
  <c r="W85" i="30"/>
  <c r="X28" i="30"/>
  <c r="X85" i="30" s="1"/>
  <c r="AI100" i="30"/>
  <c r="BZ49" i="30"/>
  <c r="O132" i="30"/>
  <c r="O125" i="30"/>
  <c r="O124" i="30"/>
  <c r="O117" i="30"/>
  <c r="O126" i="30"/>
  <c r="BJ149" i="30"/>
  <c r="BJ67" i="30"/>
  <c r="BJ41" i="30"/>
  <c r="BJ53" i="30" s="1"/>
  <c r="M34" i="30"/>
  <c r="AL96" i="30"/>
  <c r="AL97" i="30" s="1"/>
  <c r="AO100" i="30" s="1"/>
  <c r="AL63" i="30"/>
  <c r="AL62" i="30"/>
  <c r="BT96" i="30"/>
  <c r="BT97" i="30" s="1"/>
  <c r="BT64" i="30"/>
  <c r="BT63" i="30"/>
  <c r="BT62" i="30"/>
  <c r="BT103" i="30"/>
  <c r="AQ96" i="30"/>
  <c r="AQ97" i="30" s="1"/>
  <c r="AT100" i="30" s="1"/>
  <c r="AQ63" i="30"/>
  <c r="AQ62" i="30"/>
  <c r="BZ128" i="30"/>
  <c r="Q13" i="30"/>
  <c r="Q30" i="30" s="1"/>
  <c r="BZ30" i="30"/>
  <c r="BQ53" i="30"/>
  <c r="BQ61" i="30"/>
  <c r="AT138" i="30"/>
  <c r="AU135" i="30" s="1"/>
  <c r="AT139" i="30"/>
  <c r="AP96" i="30"/>
  <c r="AP97" i="30" s="1"/>
  <c r="AP63" i="30"/>
  <c r="AP62" i="30"/>
  <c r="AC96" i="30"/>
  <c r="AC97" i="30" s="1"/>
  <c r="AF100" i="30" s="1"/>
  <c r="AC62" i="30"/>
  <c r="AC63" i="30"/>
  <c r="Q16" i="30"/>
  <c r="Q92" i="30" s="1"/>
  <c r="BR92" i="29"/>
  <c r="BR65" i="29"/>
  <c r="AG52" i="29"/>
  <c r="AG70" i="29"/>
  <c r="BN92" i="29"/>
  <c r="BN65" i="29"/>
  <c r="AN92" i="29"/>
  <c r="AN65" i="29"/>
  <c r="O99" i="29"/>
  <c r="U93" i="29"/>
  <c r="V24" i="29"/>
  <c r="AQ92" i="29"/>
  <c r="AQ65" i="29"/>
  <c r="AJ92" i="29"/>
  <c r="AJ65" i="29"/>
  <c r="AG92" i="29"/>
  <c r="AG65" i="29"/>
  <c r="AW70" i="29"/>
  <c r="AX70" i="29"/>
  <c r="AE92" i="29"/>
  <c r="AE65" i="29"/>
  <c r="BP92" i="29"/>
  <c r="BP65" i="29"/>
  <c r="BK92" i="29"/>
  <c r="BK65" i="29"/>
  <c r="BJ52" i="29"/>
  <c r="BJ70" i="29"/>
  <c r="Q103" i="29"/>
  <c r="BX103" i="29"/>
  <c r="AL92" i="29"/>
  <c r="AL65" i="29"/>
  <c r="AF92" i="29"/>
  <c r="AF65" i="29"/>
  <c r="E92" i="29"/>
  <c r="E65" i="29"/>
  <c r="F92" i="29"/>
  <c r="F65" i="29"/>
  <c r="AI92" i="29"/>
  <c r="AI65" i="29"/>
  <c r="BT92" i="29"/>
  <c r="BT65" i="29"/>
  <c r="AR92" i="29"/>
  <c r="AR65" i="29"/>
  <c r="E50" i="29"/>
  <c r="E70" i="29" s="1"/>
  <c r="H92" i="29"/>
  <c r="H65" i="29"/>
  <c r="BS52" i="29"/>
  <c r="BS70" i="29"/>
  <c r="BQ92" i="29"/>
  <c r="BQ65" i="29"/>
  <c r="AH52" i="29"/>
  <c r="AH70" i="29"/>
  <c r="BJ92" i="29"/>
  <c r="BJ65" i="29"/>
  <c r="BE99" i="29"/>
  <c r="BE95" i="29" s="1"/>
  <c r="BE88" i="29"/>
  <c r="G92" i="29"/>
  <c r="G65" i="29"/>
  <c r="K75" i="29"/>
  <c r="K74" i="29"/>
  <c r="BL92" i="29"/>
  <c r="BL65" i="29"/>
  <c r="AR52" i="29"/>
  <c r="AR70" i="29"/>
  <c r="AM92" i="29"/>
  <c r="AM65" i="29"/>
  <c r="BH92" i="29"/>
  <c r="BH99" i="29" s="1"/>
  <c r="BH65" i="29"/>
  <c r="H74" i="29"/>
  <c r="E74" i="29"/>
  <c r="BL48" i="29"/>
  <c r="BK49" i="29"/>
  <c r="AU70" i="29"/>
  <c r="CC58" i="29"/>
  <c r="Q15" i="29"/>
  <c r="Q58" i="29" s="1"/>
  <c r="AD92" i="29"/>
  <c r="AD65" i="29"/>
  <c r="BI92" i="29"/>
  <c r="BI99" i="29" s="1"/>
  <c r="BI65" i="29"/>
  <c r="BU48" i="29"/>
  <c r="BT49" i="29"/>
  <c r="N99" i="29"/>
  <c r="L74" i="29"/>
  <c r="E52" i="29"/>
  <c r="T29" i="29"/>
  <c r="H52" i="29"/>
  <c r="M99" i="29"/>
  <c r="BF92" i="29"/>
  <c r="BF99" i="29" s="1"/>
  <c r="BF65" i="29"/>
  <c r="BG65" i="29"/>
  <c r="N74" i="29"/>
  <c r="AM52" i="29"/>
  <c r="AM70" i="29"/>
  <c r="CJ93" i="29"/>
  <c r="CK21" i="29"/>
  <c r="V39" i="29"/>
  <c r="BU92" i="29"/>
  <c r="BU65" i="29"/>
  <c r="AK92" i="29"/>
  <c r="AK65" i="29"/>
  <c r="AK52" i="29"/>
  <c r="AK70" i="29"/>
  <c r="CE14" i="29"/>
  <c r="AP92" i="29"/>
  <c r="AP65" i="29"/>
  <c r="BM92" i="29"/>
  <c r="BM65" i="29"/>
  <c r="AS92" i="29"/>
  <c r="AS65" i="29"/>
  <c r="K64" i="29"/>
  <c r="K26" i="29"/>
  <c r="K52" i="29" s="1"/>
  <c r="BO92" i="29"/>
  <c r="BO65" i="29"/>
  <c r="AH92" i="29"/>
  <c r="AH65" i="29"/>
  <c r="BS92" i="29"/>
  <c r="BS65" i="29"/>
  <c r="AO92" i="29"/>
  <c r="AO65" i="29"/>
  <c r="CK43" i="29"/>
  <c r="AP52" i="29"/>
  <c r="AP70" i="29"/>
  <c r="AJ52" i="29"/>
  <c r="U109" i="29"/>
  <c r="V46" i="29"/>
  <c r="G54" i="28"/>
  <c r="X56" i="28"/>
  <c r="X55" i="28" s="1"/>
  <c r="W55" i="28"/>
  <c r="AG78" i="28"/>
  <c r="AG54" i="28"/>
  <c r="AG60" i="28"/>
  <c r="AG63" i="28" s="1"/>
  <c r="K118" i="28"/>
  <c r="K115" i="28"/>
  <c r="BZ63" i="28"/>
  <c r="BO78" i="28"/>
  <c r="BK150" i="30" s="1"/>
  <c r="BO60" i="28"/>
  <c r="BO53" i="28"/>
  <c r="BO54" i="28"/>
  <c r="CK121" i="28"/>
  <c r="CJ122" i="28"/>
  <c r="CK106" i="28"/>
  <c r="AM84" i="28"/>
  <c r="AM80" i="28"/>
  <c r="AM79" i="28"/>
  <c r="AM82" i="28"/>
  <c r="AN84" i="28"/>
  <c r="AN80" i="28"/>
  <c r="AN79" i="28"/>
  <c r="AN82" i="28"/>
  <c r="K84" i="28"/>
  <c r="K87" i="28" s="1"/>
  <c r="K80" i="28"/>
  <c r="BM63" i="28"/>
  <c r="I78" i="28"/>
  <c r="I60" i="28"/>
  <c r="I54" i="28"/>
  <c r="BQ78" i="28"/>
  <c r="BM150" i="30" s="1"/>
  <c r="BQ54" i="28"/>
  <c r="BQ60" i="28"/>
  <c r="BQ53" i="28"/>
  <c r="AL84" i="28"/>
  <c r="AL80" i="28"/>
  <c r="AL79" i="28"/>
  <c r="AL82" i="28"/>
  <c r="BB84" i="28"/>
  <c r="BB80" i="28"/>
  <c r="BB79" i="28"/>
  <c r="BB82" i="28"/>
  <c r="AI63" i="28"/>
  <c r="AI61" i="28"/>
  <c r="AY61" i="28"/>
  <c r="AY63" i="28"/>
  <c r="AJ63" i="28"/>
  <c r="AJ61" i="28"/>
  <c r="AZ63" i="28"/>
  <c r="AZ61" i="28"/>
  <c r="AD84" i="28"/>
  <c r="AD80" i="28"/>
  <c r="AD82" i="28"/>
  <c r="L118" i="28"/>
  <c r="M118" i="28"/>
  <c r="AH63" i="28"/>
  <c r="AH61" i="28"/>
  <c r="AX61" i="28"/>
  <c r="AX63" i="28"/>
  <c r="AU61" i="28"/>
  <c r="AU63" i="28"/>
  <c r="AV63" i="28"/>
  <c r="AV61" i="28"/>
  <c r="BZ82" i="28"/>
  <c r="BZ84" i="28"/>
  <c r="BZ80" i="28"/>
  <c r="H50" i="28"/>
  <c r="H51" i="28"/>
  <c r="AT84" i="28"/>
  <c r="AT80" i="28"/>
  <c r="AT79" i="28"/>
  <c r="AT82" i="28"/>
  <c r="AR63" i="28"/>
  <c r="AR61" i="28"/>
  <c r="BR62" i="28"/>
  <c r="BR63" i="28"/>
  <c r="BK63" i="28"/>
  <c r="BU63" i="28"/>
  <c r="BU61" i="28"/>
  <c r="CI30" i="28"/>
  <c r="CI29" i="28"/>
  <c r="CI49" i="28"/>
  <c r="CH82" i="28"/>
  <c r="CH84" i="28"/>
  <c r="CH80" i="28"/>
  <c r="CI62" i="28"/>
  <c r="CI63" i="28"/>
  <c r="BA78" i="28"/>
  <c r="BA54" i="28"/>
  <c r="BA53" i="28"/>
  <c r="BA60" i="28"/>
  <c r="BW63" i="28"/>
  <c r="AI80" i="28"/>
  <c r="AI79" i="28"/>
  <c r="AI84" i="28"/>
  <c r="AI82" i="28"/>
  <c r="AY80" i="28"/>
  <c r="AY79" i="28"/>
  <c r="AY84" i="28"/>
  <c r="AY82" i="28"/>
  <c r="AJ84" i="28"/>
  <c r="AJ80" i="28"/>
  <c r="AJ79" i="28"/>
  <c r="AJ82" i="28"/>
  <c r="AZ84" i="28"/>
  <c r="AZ80" i="28"/>
  <c r="AZ79" i="28"/>
  <c r="AZ82" i="28"/>
  <c r="X38" i="28"/>
  <c r="X35" i="28"/>
  <c r="X36" i="28"/>
  <c r="AE84" i="28"/>
  <c r="AE80" i="28"/>
  <c r="AE82" i="28"/>
  <c r="AU84" i="28"/>
  <c r="AU80" i="28"/>
  <c r="AU79" i="28"/>
  <c r="AU82" i="28"/>
  <c r="BE78" i="28"/>
  <c r="BE54" i="28"/>
  <c r="BE60" i="28"/>
  <c r="BE63" i="28" s="1"/>
  <c r="AF84" i="28"/>
  <c r="AF80" i="28"/>
  <c r="AF82" i="28"/>
  <c r="AV84" i="28"/>
  <c r="AV80" i="28"/>
  <c r="AV79" i="28"/>
  <c r="AV82" i="28"/>
  <c r="O103" i="28"/>
  <c r="O112" i="28" s="1"/>
  <c r="O101" i="28"/>
  <c r="O50" i="28"/>
  <c r="O51" i="28"/>
  <c r="P50" i="28"/>
  <c r="BI78" i="28"/>
  <c r="BE150" i="30" s="1"/>
  <c r="BI54" i="28"/>
  <c r="BI60" i="28"/>
  <c r="BM61" i="28" s="1"/>
  <c r="BI53" i="28"/>
  <c r="AS78" i="28"/>
  <c r="AS54" i="28"/>
  <c r="AS53" i="28"/>
  <c r="AS60" i="28"/>
  <c r="AQ61" i="28"/>
  <c r="AQ63" i="28"/>
  <c r="AR84" i="28"/>
  <c r="AR80" i="28"/>
  <c r="AR79" i="28"/>
  <c r="AR82" i="28"/>
  <c r="CL115" i="28"/>
  <c r="CK116" i="28"/>
  <c r="CJ106" i="28"/>
  <c r="L29" i="28"/>
  <c r="M29" i="28"/>
  <c r="AP61" i="28"/>
  <c r="AP63" i="28"/>
  <c r="BD78" i="28"/>
  <c r="BD60" i="28"/>
  <c r="BD63" i="28" s="1"/>
  <c r="BD54" i="28"/>
  <c r="BM84" i="28"/>
  <c r="BM82" i="28"/>
  <c r="BM80" i="28"/>
  <c r="BR84" i="28"/>
  <c r="BR80" i="28"/>
  <c r="BR82" i="28"/>
  <c r="BK84" i="28"/>
  <c r="BK80" i="28"/>
  <c r="BK82" i="28"/>
  <c r="L50" i="28"/>
  <c r="CG122" i="28"/>
  <c r="CC122" i="28"/>
  <c r="AP80" i="28"/>
  <c r="AP79" i="28"/>
  <c r="AP84" i="28"/>
  <c r="AP82" i="28"/>
  <c r="AK78" i="28"/>
  <c r="AK54" i="28"/>
  <c r="AK53" i="28"/>
  <c r="AK60" i="28"/>
  <c r="AL63" i="28"/>
  <c r="AL61" i="28"/>
  <c r="BB63" i="28"/>
  <c r="BB61" i="28"/>
  <c r="BW80" i="28"/>
  <c r="BW84" i="28"/>
  <c r="BW82" i="28"/>
  <c r="E78" i="28"/>
  <c r="E150" i="30" s="1"/>
  <c r="E60" i="28"/>
  <c r="E54" i="28"/>
  <c r="AO78" i="28"/>
  <c r="AO54" i="28"/>
  <c r="AO53" i="28"/>
  <c r="AO60" i="28"/>
  <c r="AH80" i="28"/>
  <c r="AH79" i="28"/>
  <c r="AH84" i="28"/>
  <c r="AH82" i="28"/>
  <c r="AX80" i="28"/>
  <c r="AX79" i="28"/>
  <c r="AX84" i="28"/>
  <c r="AX82" i="28"/>
  <c r="F50" i="28"/>
  <c r="F51" i="28"/>
  <c r="AW78" i="28"/>
  <c r="AW54" i="28"/>
  <c r="AW53" i="28"/>
  <c r="AW60" i="28"/>
  <c r="G50" i="28"/>
  <c r="G51" i="28"/>
  <c r="BY122" i="28"/>
  <c r="BY78" i="28"/>
  <c r="BY54" i="28"/>
  <c r="BY60" i="28"/>
  <c r="BY53" i="28"/>
  <c r="BC78" i="28"/>
  <c r="BC60" i="28"/>
  <c r="BC63" i="28" s="1"/>
  <c r="BC54" i="28"/>
  <c r="AT63" i="28"/>
  <c r="AT61" i="28"/>
  <c r="J50" i="28"/>
  <c r="J51" i="28"/>
  <c r="J52" i="28"/>
  <c r="AQ80" i="28"/>
  <c r="AQ79" i="28"/>
  <c r="AQ84" i="28"/>
  <c r="AQ82" i="28"/>
  <c r="M50" i="28"/>
  <c r="BF78" i="28"/>
  <c r="BF60" i="28"/>
  <c r="BF63" i="28" s="1"/>
  <c r="BF54" i="28"/>
  <c r="H116" i="28"/>
  <c r="CI126" i="28"/>
  <c r="CI109" i="28"/>
  <c r="CI107" i="28"/>
  <c r="CI117" i="28"/>
  <c r="CE46" i="30" s="1"/>
  <c r="AM61" i="28"/>
  <c r="AM63" i="28"/>
  <c r="AN63" i="28"/>
  <c r="AN61" i="28"/>
  <c r="K63" i="28"/>
  <c r="BM53" i="28"/>
  <c r="BU84" i="28"/>
  <c r="BU82" i="28"/>
  <c r="BU80" i="28"/>
  <c r="K23" i="81" l="1"/>
  <c r="BJ79" i="28"/>
  <c r="AN57" i="45"/>
  <c r="AR57" i="45"/>
  <c r="BJ78" i="28"/>
  <c r="BJ60" i="28"/>
  <c r="BJ53" i="28"/>
  <c r="BJ54" i="28"/>
  <c r="CF21" i="31"/>
  <c r="AV87" i="45" s="1"/>
  <c r="AR86" i="45"/>
  <c r="G60" i="28"/>
  <c r="CG116" i="31"/>
  <c r="AW55" i="45" s="1"/>
  <c r="CK116" i="31"/>
  <c r="CD116" i="31"/>
  <c r="AT55" i="45" s="1"/>
  <c r="AT52" i="45"/>
  <c r="CB116" i="31"/>
  <c r="AR55" i="45" s="1"/>
  <c r="AR52" i="45"/>
  <c r="BU116" i="31"/>
  <c r="AK55" i="45" s="1"/>
  <c r="BW116" i="31"/>
  <c r="AM55" i="45" s="1"/>
  <c r="AM52" i="45"/>
  <c r="BX116" i="31"/>
  <c r="AN55" i="45" s="1"/>
  <c r="AN52" i="45"/>
  <c r="CA116" i="31"/>
  <c r="AQ55" i="45" s="1"/>
  <c r="CE116" i="31"/>
  <c r="AU55" i="45" s="1"/>
  <c r="CI116" i="31"/>
  <c r="BV116" i="31"/>
  <c r="AL55" i="45" s="1"/>
  <c r="AL52" i="45"/>
  <c r="CC116" i="31"/>
  <c r="AS55" i="45" s="1"/>
  <c r="AS52" i="45"/>
  <c r="BV80" i="31"/>
  <c r="AK20" i="45"/>
  <c r="AA118" i="45"/>
  <c r="AA120" i="45" s="1"/>
  <c r="AY106" i="30"/>
  <c r="AY88" i="30"/>
  <c r="BA106" i="30"/>
  <c r="AZ106" i="30"/>
  <c r="AY104" i="30"/>
  <c r="J62" i="30"/>
  <c r="J49" i="30"/>
  <c r="J53" i="30" s="1"/>
  <c r="J103" i="30"/>
  <c r="J75" i="30"/>
  <c r="J76" i="30" s="1"/>
  <c r="J80" i="30" s="1"/>
  <c r="J104" i="30" s="1"/>
  <c r="AZ47" i="29"/>
  <c r="AY49" i="29"/>
  <c r="AY50" i="29" s="1"/>
  <c r="AY70" i="29" s="1"/>
  <c r="BB75" i="30"/>
  <c r="BB76" i="30" s="1"/>
  <c r="BB80" i="30" s="1"/>
  <c r="BB49" i="30"/>
  <c r="BB53" i="30" s="1"/>
  <c r="L75" i="30"/>
  <c r="L49" i="30"/>
  <c r="AB118" i="45"/>
  <c r="AB120" i="45" s="1"/>
  <c r="AZ88" i="30"/>
  <c r="AZ104" i="30"/>
  <c r="AD109" i="45"/>
  <c r="AU88" i="30"/>
  <c r="W118" i="45"/>
  <c r="W120" i="45" s="1"/>
  <c r="AU106" i="30"/>
  <c r="AU104" i="30"/>
  <c r="Z118" i="45"/>
  <c r="Z120" i="45" s="1"/>
  <c r="AX88" i="30"/>
  <c r="AX104" i="30"/>
  <c r="AV88" i="30"/>
  <c r="X118" i="45"/>
  <c r="X120" i="45" s="1"/>
  <c r="K62" i="30"/>
  <c r="K103" i="30"/>
  <c r="K49" i="30"/>
  <c r="K53" i="30" s="1"/>
  <c r="K75" i="30"/>
  <c r="K76" i="30" s="1"/>
  <c r="K80" i="30" s="1"/>
  <c r="K104" i="30" s="1"/>
  <c r="AX106" i="30"/>
  <c r="Y118" i="45"/>
  <c r="Y120" i="45" s="1"/>
  <c r="AV106" i="30"/>
  <c r="AC118" i="45"/>
  <c r="AC120" i="45" s="1"/>
  <c r="BA88" i="30"/>
  <c r="BA104" i="30"/>
  <c r="CE75" i="30"/>
  <c r="M66" i="70"/>
  <c r="M68" i="70" s="1"/>
  <c r="CI41" i="70"/>
  <c r="CI42" i="70" s="1"/>
  <c r="N23" i="70"/>
  <c r="N90" i="70"/>
  <c r="N91" i="70" s="1"/>
  <c r="O24" i="70"/>
  <c r="N67" i="70"/>
  <c r="N31" i="70"/>
  <c r="N35" i="70" s="1"/>
  <c r="N45" i="70" s="1"/>
  <c r="CJ43" i="70" s="1"/>
  <c r="N25" i="70"/>
  <c r="T66" i="71"/>
  <c r="T68" i="71" s="1"/>
  <c r="T47" i="71"/>
  <c r="T61" i="71" s="1"/>
  <c r="T62" i="71" s="1"/>
  <c r="M61" i="70"/>
  <c r="M62" i="70" s="1"/>
  <c r="O38" i="70"/>
  <c r="O37" i="70"/>
  <c r="O22" i="70"/>
  <c r="P89" i="70"/>
  <c r="P30" i="70"/>
  <c r="Q19" i="70"/>
  <c r="P12" i="70"/>
  <c r="Q11" i="70"/>
  <c r="N34" i="50"/>
  <c r="M33" i="50"/>
  <c r="N32" i="50"/>
  <c r="AX67" i="50"/>
  <c r="AY66" i="50"/>
  <c r="AY68" i="50"/>
  <c r="AN80" i="50"/>
  <c r="AN81" i="50" s="1"/>
  <c r="AN76" i="50"/>
  <c r="AY57" i="50"/>
  <c r="M58" i="50"/>
  <c r="AW20" i="50"/>
  <c r="AW75" i="50" s="1"/>
  <c r="AW7" i="50"/>
  <c r="AX8" i="50"/>
  <c r="AX6" i="50"/>
  <c r="M38" i="50"/>
  <c r="N39" i="50"/>
  <c r="N37" i="50"/>
  <c r="M46" i="50"/>
  <c r="J80" i="50"/>
  <c r="J79" i="50" s="1"/>
  <c r="J104" i="50" s="1"/>
  <c r="J76" i="50"/>
  <c r="AV80" i="50"/>
  <c r="AV76" i="50"/>
  <c r="M26" i="50"/>
  <c r="AY25" i="50"/>
  <c r="AY28" i="50"/>
  <c r="AY12" i="50"/>
  <c r="M13" i="50"/>
  <c r="Q43" i="50"/>
  <c r="R42" i="50"/>
  <c r="R44" i="50"/>
  <c r="P73" i="50"/>
  <c r="O72" i="50"/>
  <c r="P71" i="50"/>
  <c r="AO46" i="50"/>
  <c r="AO75" i="50" s="1"/>
  <c r="AP37" i="50"/>
  <c r="AP38" i="50" s="1"/>
  <c r="AO38" i="50"/>
  <c r="M63" i="50"/>
  <c r="AY62" i="50"/>
  <c r="AY17" i="50"/>
  <c r="M18" i="50"/>
  <c r="AC91" i="31"/>
  <c r="AC93" i="31" s="1"/>
  <c r="AD37" i="31"/>
  <c r="AC38" i="31"/>
  <c r="BX65" i="30"/>
  <c r="BX81" i="30" s="1"/>
  <c r="BX88" i="30" s="1"/>
  <c r="BX104" i="30" s="1"/>
  <c r="CA77" i="29"/>
  <c r="BX146" i="30"/>
  <c r="BX116" i="30"/>
  <c r="CA78" i="29"/>
  <c r="CB62" i="28"/>
  <c r="CB63" i="28"/>
  <c r="M115" i="30"/>
  <c r="M30" i="28"/>
  <c r="M125" i="30"/>
  <c r="M57" i="29"/>
  <c r="M35" i="28"/>
  <c r="M42" i="28"/>
  <c r="M19" i="28"/>
  <c r="M52" i="28"/>
  <c r="W379" i="31"/>
  <c r="R451" i="31"/>
  <c r="R454" i="31"/>
  <c r="S451" i="31"/>
  <c r="CQ115" i="31"/>
  <c r="CQ114" i="31"/>
  <c r="CQ116" i="31" s="1"/>
  <c r="BR47" i="31"/>
  <c r="BN48" i="31"/>
  <c r="T37" i="31"/>
  <c r="T36" i="31"/>
  <c r="U35" i="31"/>
  <c r="T39" i="31"/>
  <c r="O118" i="31"/>
  <c r="O155" i="31"/>
  <c r="O20" i="31"/>
  <c r="O21" i="31" s="1"/>
  <c r="O177" i="31"/>
  <c r="O238" i="31"/>
  <c r="O229" i="31"/>
  <c r="O212" i="31"/>
  <c r="BT82" i="31"/>
  <c r="AJ22" i="45" s="1"/>
  <c r="BS83" i="31"/>
  <c r="AI23" i="45" s="1"/>
  <c r="BL35" i="28"/>
  <c r="BH115" i="30"/>
  <c r="BK57" i="29"/>
  <c r="BH125" i="30"/>
  <c r="BL30" i="28"/>
  <c r="BL52" i="28"/>
  <c r="BL27" i="28"/>
  <c r="BL26" i="28"/>
  <c r="BL42" i="28"/>
  <c r="BL19" i="28"/>
  <c r="BL51" i="28"/>
  <c r="CS146" i="31"/>
  <c r="CT466" i="31"/>
  <c r="CT465" i="31"/>
  <c r="U162" i="31"/>
  <c r="CA29" i="31"/>
  <c r="BW31" i="31"/>
  <c r="BW26" i="31"/>
  <c r="O255" i="31"/>
  <c r="R212" i="31"/>
  <c r="R210" i="31"/>
  <c r="T140" i="31"/>
  <c r="T182" i="31"/>
  <c r="T164" i="31"/>
  <c r="CD29" i="31"/>
  <c r="BZ26" i="31"/>
  <c r="BP35" i="28"/>
  <c r="BO57" i="29"/>
  <c r="BL115" i="30"/>
  <c r="BL125" i="30"/>
  <c r="BP19" i="28"/>
  <c r="BP30" i="28"/>
  <c r="BP27" i="28"/>
  <c r="BP26" i="28"/>
  <c r="BP42" i="28"/>
  <c r="BP52" i="28"/>
  <c r="BP51" i="28"/>
  <c r="P115" i="30"/>
  <c r="BN110" i="31"/>
  <c r="BN105" i="31"/>
  <c r="BN100" i="31"/>
  <c r="BO106" i="31" s="1"/>
  <c r="BR110" i="31"/>
  <c r="BP31" i="31"/>
  <c r="BT29" i="31"/>
  <c r="BP26" i="31"/>
  <c r="N429" i="31"/>
  <c r="N426" i="31"/>
  <c r="BV78" i="28"/>
  <c r="BV60" i="28"/>
  <c r="BV54" i="28"/>
  <c r="BV53" i="28"/>
  <c r="S460" i="31"/>
  <c r="S426" i="31"/>
  <c r="S429" i="31"/>
  <c r="S432" i="31"/>
  <c r="F16" i="28"/>
  <c r="F115" i="30"/>
  <c r="F42" i="28"/>
  <c r="F19" i="28"/>
  <c r="F57" i="29"/>
  <c r="F26" i="28"/>
  <c r="F35" i="28"/>
  <c r="F13" i="28"/>
  <c r="F52" i="28"/>
  <c r="F125" i="30"/>
  <c r="R459" i="31"/>
  <c r="R431" i="31"/>
  <c r="R417" i="31"/>
  <c r="R414" i="31"/>
  <c r="BZ53" i="28"/>
  <c r="CN41" i="31"/>
  <c r="CO40" i="31"/>
  <c r="BV345" i="31"/>
  <c r="BV344" i="31"/>
  <c r="BV348" i="31" s="1"/>
  <c r="BQ52" i="31"/>
  <c r="BR51" i="31"/>
  <c r="BQ58" i="31"/>
  <c r="U367" i="31"/>
  <c r="V352" i="31"/>
  <c r="U179" i="31"/>
  <c r="R460" i="31"/>
  <c r="R429" i="31"/>
  <c r="R432" i="31"/>
  <c r="R426" i="31"/>
  <c r="P35" i="28"/>
  <c r="P30" i="28"/>
  <c r="P19" i="28"/>
  <c r="P42" i="28"/>
  <c r="P57" i="29"/>
  <c r="P26" i="28"/>
  <c r="BP101" i="31"/>
  <c r="BS111" i="31"/>
  <c r="BP106" i="31"/>
  <c r="N57" i="29"/>
  <c r="N115" i="30"/>
  <c r="N125" i="30"/>
  <c r="N30" i="28"/>
  <c r="N26" i="28"/>
  <c r="N35" i="28"/>
  <c r="N52" i="28"/>
  <c r="N19" i="28"/>
  <c r="N51" i="28"/>
  <c r="N42" i="28"/>
  <c r="BS341" i="31"/>
  <c r="P432" i="31"/>
  <c r="P429" i="31"/>
  <c r="P426" i="31"/>
  <c r="P431" i="31"/>
  <c r="BE116" i="30"/>
  <c r="BH77" i="29"/>
  <c r="BE146" i="30"/>
  <c r="BE154" i="30" s="1"/>
  <c r="BH78" i="29"/>
  <c r="BE65" i="30"/>
  <c r="BE69" i="30" s="1"/>
  <c r="BM116" i="30"/>
  <c r="BP78" i="29"/>
  <c r="BP77" i="29"/>
  <c r="BM146" i="30"/>
  <c r="BM154" i="30" s="1"/>
  <c r="BM65" i="30"/>
  <c r="P125" i="30"/>
  <c r="M83" i="31"/>
  <c r="M84" i="31"/>
  <c r="CA54" i="28"/>
  <c r="CA53" i="28"/>
  <c r="CA78" i="28"/>
  <c r="U382" i="31"/>
  <c r="BT22" i="31"/>
  <c r="AJ88" i="45" s="1"/>
  <c r="BT21" i="31"/>
  <c r="AJ87" i="45" s="1"/>
  <c r="CL212" i="31"/>
  <c r="CL211" i="31"/>
  <c r="CL210" i="31"/>
  <c r="CS466" i="31"/>
  <c r="CS465" i="31"/>
  <c r="BO49" i="31"/>
  <c r="CQ156" i="31"/>
  <c r="CQ155" i="31"/>
  <c r="CQ118" i="31"/>
  <c r="CQ20" i="31"/>
  <c r="CQ194" i="31"/>
  <c r="CQ177" i="31"/>
  <c r="W361" i="31"/>
  <c r="V161" i="31"/>
  <c r="BX60" i="28"/>
  <c r="BY89" i="29" s="1"/>
  <c r="BY96" i="29" s="1"/>
  <c r="BX78" i="28"/>
  <c r="BX54" i="28"/>
  <c r="X391" i="31"/>
  <c r="Y388" i="31"/>
  <c r="X187" i="31"/>
  <c r="X188" i="31" s="1"/>
  <c r="CS98" i="31"/>
  <c r="CT11" i="31"/>
  <c r="CT17" i="31" s="1"/>
  <c r="CJ102" i="29"/>
  <c r="CS12" i="31"/>
  <c r="CS17" i="31"/>
  <c r="O426" i="31"/>
  <c r="O432" i="31"/>
  <c r="O429" i="31"/>
  <c r="O431" i="31"/>
  <c r="R21" i="31"/>
  <c r="U385" i="31"/>
  <c r="V370" i="31"/>
  <c r="U183" i="31"/>
  <c r="CR142" i="31"/>
  <c r="BQ27" i="28"/>
  <c r="BX22" i="31"/>
  <c r="AN88" i="45" s="1"/>
  <c r="BX21" i="31"/>
  <c r="AN87" i="45" s="1"/>
  <c r="CR156" i="31"/>
  <c r="CR155" i="31"/>
  <c r="CR177" i="31"/>
  <c r="CR118" i="31"/>
  <c r="CR20" i="31"/>
  <c r="CR194" i="31"/>
  <c r="CR146" i="31"/>
  <c r="BO105" i="31"/>
  <c r="BN69" i="30"/>
  <c r="CT401" i="31"/>
  <c r="CT402" i="31"/>
  <c r="CT150" i="31"/>
  <c r="T429" i="31"/>
  <c r="T426" i="31"/>
  <c r="BM324" i="31"/>
  <c r="BM99" i="31"/>
  <c r="BL35" i="31"/>
  <c r="BQ36" i="31"/>
  <c r="BN331" i="31"/>
  <c r="BN334" i="31" s="1"/>
  <c r="BN327" i="31"/>
  <c r="BR341" i="31" s="1"/>
  <c r="BR338" i="31"/>
  <c r="CS142" i="31"/>
  <c r="BN78" i="28"/>
  <c r="BN60" i="28"/>
  <c r="BN54" i="28"/>
  <c r="BR53" i="28"/>
  <c r="BN53" i="28"/>
  <c r="BQ26" i="31"/>
  <c r="BQ31" i="31"/>
  <c r="BU29" i="31"/>
  <c r="BR31" i="31"/>
  <c r="CS413" i="31"/>
  <c r="CS177" i="31"/>
  <c r="CS176" i="31"/>
  <c r="CS175" i="31"/>
  <c r="S21" i="31"/>
  <c r="P155" i="31"/>
  <c r="CS404" i="31"/>
  <c r="CS405" i="31"/>
  <c r="R439" i="31"/>
  <c r="R228" i="31"/>
  <c r="R229" i="31"/>
  <c r="BS49" i="31"/>
  <c r="BS44" i="31"/>
  <c r="AI93" i="45" s="1"/>
  <c r="AI100" i="45" s="1"/>
  <c r="BW47" i="31"/>
  <c r="CT167" i="31"/>
  <c r="CT168" i="31"/>
  <c r="CT174" i="31"/>
  <c r="W394" i="31"/>
  <c r="V395" i="31"/>
  <c r="T400" i="31"/>
  <c r="U397" i="31"/>
  <c r="T398" i="31"/>
  <c r="CB22" i="31"/>
  <c r="AR88" i="45" s="1"/>
  <c r="CB21" i="31"/>
  <c r="AR87" i="45" s="1"/>
  <c r="CC22" i="31"/>
  <c r="AS88" i="45" s="1"/>
  <c r="BU79" i="28"/>
  <c r="BK65" i="30"/>
  <c r="BK116" i="30"/>
  <c r="BN78" i="29"/>
  <c r="BN77" i="29"/>
  <c r="BK146" i="30"/>
  <c r="BK154" i="30" s="1"/>
  <c r="P51" i="28"/>
  <c r="CL229" i="31"/>
  <c r="CL228" i="31"/>
  <c r="Q426" i="31"/>
  <c r="P440" i="31"/>
  <c r="P443" i="31"/>
  <c r="BS54" i="28"/>
  <c r="BS78" i="28"/>
  <c r="BS60" i="28"/>
  <c r="BS53" i="28"/>
  <c r="BW53" i="28"/>
  <c r="O35" i="28"/>
  <c r="O42" i="28"/>
  <c r="O115" i="30"/>
  <c r="O57" i="29"/>
  <c r="O19" i="28"/>
  <c r="O52" i="28"/>
  <c r="P53" i="28" s="1"/>
  <c r="O30" i="28"/>
  <c r="O26" i="28"/>
  <c r="BW65" i="30"/>
  <c r="BW81" i="30" s="1"/>
  <c r="BW88" i="30" s="1"/>
  <c r="BW104" i="30" s="1"/>
  <c r="BZ77" i="29"/>
  <c r="BW116" i="30"/>
  <c r="BZ78" i="29"/>
  <c r="BW146" i="30"/>
  <c r="CA63" i="28"/>
  <c r="CA62" i="28"/>
  <c r="CR111" i="31"/>
  <c r="CR106" i="31"/>
  <c r="Q451" i="31"/>
  <c r="Q454" i="31"/>
  <c r="BH60" i="28"/>
  <c r="BH53" i="28"/>
  <c r="BH78" i="28"/>
  <c r="BH54" i="28"/>
  <c r="BM27" i="28"/>
  <c r="W392" i="31"/>
  <c r="W147" i="31"/>
  <c r="W148" i="31" s="1"/>
  <c r="BS28" i="31"/>
  <c r="BS27" i="31"/>
  <c r="CT386" i="31"/>
  <c r="CT387" i="31"/>
  <c r="CT143" i="31"/>
  <c r="CT169" i="31" s="1"/>
  <c r="CT403" i="31"/>
  <c r="BV27" i="31"/>
  <c r="CS151" i="31"/>
  <c r="CS154" i="31"/>
  <c r="CS152" i="31"/>
  <c r="BS57" i="29"/>
  <c r="BP115" i="30"/>
  <c r="BT42" i="28"/>
  <c r="BT35" i="28"/>
  <c r="BU27" i="28"/>
  <c r="BT52" i="28"/>
  <c r="BX53" i="28" s="1"/>
  <c r="BT19" i="28"/>
  <c r="BT30" i="28"/>
  <c r="BT26" i="28"/>
  <c r="BT27" i="28"/>
  <c r="BT51" i="28"/>
  <c r="BP125" i="30"/>
  <c r="BP63" i="30"/>
  <c r="L37" i="31"/>
  <c r="L36" i="31"/>
  <c r="L39" i="31"/>
  <c r="L47" i="31" s="1"/>
  <c r="L48" i="31" s="1"/>
  <c r="M36" i="31"/>
  <c r="M39" i="31"/>
  <c r="M37" i="31"/>
  <c r="T166" i="31"/>
  <c r="CT110" i="31"/>
  <c r="CT105" i="31"/>
  <c r="H57" i="29"/>
  <c r="H125" i="30"/>
  <c r="H52" i="28"/>
  <c r="H35" i="28"/>
  <c r="H16" i="28"/>
  <c r="H42" i="28"/>
  <c r="H26" i="28"/>
  <c r="H19" i="28"/>
  <c r="H115" i="30"/>
  <c r="I26" i="28"/>
  <c r="CL238" i="31"/>
  <c r="CL237" i="31"/>
  <c r="Q443" i="31"/>
  <c r="Q440" i="31"/>
  <c r="E63" i="28"/>
  <c r="E65" i="30"/>
  <c r="E69" i="30" s="1"/>
  <c r="E146" i="30"/>
  <c r="E154" i="30" s="1"/>
  <c r="E77" i="29"/>
  <c r="D77" i="29"/>
  <c r="E89" i="29"/>
  <c r="E96" i="29" s="1"/>
  <c r="E78" i="29"/>
  <c r="E116" i="30"/>
  <c r="G89" i="29"/>
  <c r="G96" i="29" s="1"/>
  <c r="G65" i="30"/>
  <c r="G69" i="30" s="1"/>
  <c r="G146" i="30"/>
  <c r="G154" i="30" s="1"/>
  <c r="G77" i="29"/>
  <c r="G116" i="30"/>
  <c r="G78" i="29"/>
  <c r="CF111" i="30"/>
  <c r="CF108" i="30"/>
  <c r="CF110" i="30"/>
  <c r="L11" i="81"/>
  <c r="L23" i="81"/>
  <c r="O5" i="81"/>
  <c r="O15" i="81"/>
  <c r="O74" i="81"/>
  <c r="P6" i="81"/>
  <c r="K20" i="81"/>
  <c r="K29" i="81"/>
  <c r="CG109" i="30"/>
  <c r="CK25" i="28"/>
  <c r="K25" i="81"/>
  <c r="K24" i="81"/>
  <c r="K28" i="81"/>
  <c r="K27" i="81"/>
  <c r="P9" i="81"/>
  <c r="O18" i="81"/>
  <c r="O77" i="81"/>
  <c r="O19" i="81"/>
  <c r="O78" i="81"/>
  <c r="P10" i="81"/>
  <c r="O76" i="81"/>
  <c r="O17" i="81"/>
  <c r="P17" i="81" s="1"/>
  <c r="Q17" i="81" s="1"/>
  <c r="R17" i="81" s="1"/>
  <c r="S17" i="81" s="1"/>
  <c r="T17" i="81" s="1"/>
  <c r="CJ32" i="28"/>
  <c r="CI13" i="29"/>
  <c r="CF21" i="30" s="1"/>
  <c r="CF125" i="30"/>
  <c r="CJ19" i="28"/>
  <c r="CJ27" i="28"/>
  <c r="CJ39" i="28"/>
  <c r="P7" i="81"/>
  <c r="O75" i="81"/>
  <c r="O16" i="81"/>
  <c r="Q61" i="30"/>
  <c r="BQ96" i="30"/>
  <c r="BQ97" i="30" s="1"/>
  <c r="BQ63" i="30"/>
  <c r="BQ64" i="30"/>
  <c r="BQ62" i="30"/>
  <c r="BQ103" i="30"/>
  <c r="BZ130" i="30"/>
  <c r="CD47" i="28"/>
  <c r="Q128" i="30"/>
  <c r="Q130" i="30" s="1"/>
  <c r="R128" i="30"/>
  <c r="R130" i="30" s="1"/>
  <c r="AW100" i="30"/>
  <c r="BX89" i="29"/>
  <c r="BX96" i="29" s="1"/>
  <c r="L138" i="30"/>
  <c r="L139" i="30"/>
  <c r="BI96" i="30"/>
  <c r="BI97" i="30" s="1"/>
  <c r="BI62" i="30"/>
  <c r="BI63" i="30"/>
  <c r="BL105" i="30"/>
  <c r="BI103" i="30"/>
  <c r="BJ105" i="30"/>
  <c r="BK105" i="30"/>
  <c r="AQ100" i="30"/>
  <c r="G58" i="30"/>
  <c r="H55" i="30"/>
  <c r="H57" i="30" s="1"/>
  <c r="P96" i="28"/>
  <c r="P113" i="28" s="1"/>
  <c r="P30" i="30"/>
  <c r="P61" i="30" s="1"/>
  <c r="BQ81" i="30"/>
  <c r="BQ88" i="30" s="1"/>
  <c r="BQ69" i="30"/>
  <c r="BV154" i="30"/>
  <c r="R117" i="30"/>
  <c r="R114" i="30"/>
  <c r="AK58" i="30"/>
  <c r="AL55" i="30"/>
  <c r="AL57" i="30" s="1"/>
  <c r="AE100" i="30"/>
  <c r="O96" i="30"/>
  <c r="O97" i="30" s="1"/>
  <c r="O100" i="30" s="1"/>
  <c r="O63" i="30"/>
  <c r="O62" i="30"/>
  <c r="BU150" i="30"/>
  <c r="AS100" i="30"/>
  <c r="M149" i="30"/>
  <c r="M74" i="30"/>
  <c r="M67" i="30"/>
  <c r="M41" i="30"/>
  <c r="BM96" i="30"/>
  <c r="BM97" i="30" s="1"/>
  <c r="BM62" i="30"/>
  <c r="BM63" i="30"/>
  <c r="BM103" i="30"/>
  <c r="CF50" i="28"/>
  <c r="CB52" i="28"/>
  <c r="CB51" i="28"/>
  <c r="CB50" i="28"/>
  <c r="BR61" i="30"/>
  <c r="BR53" i="30"/>
  <c r="AD100" i="30"/>
  <c r="CJ19" i="29"/>
  <c r="G96" i="30"/>
  <c r="G97" i="30" s="1"/>
  <c r="G100" i="30" s="1"/>
  <c r="G63" i="30"/>
  <c r="G62" i="30"/>
  <c r="BA100" i="30"/>
  <c r="BV61" i="30"/>
  <c r="BV53" i="30"/>
  <c r="Q53" i="30"/>
  <c r="AC100" i="30"/>
  <c r="AU100" i="30"/>
  <c r="AG100" i="30"/>
  <c r="P54" i="28"/>
  <c r="P78" i="28"/>
  <c r="P60" i="28"/>
  <c r="CD100" i="30"/>
  <c r="BM105" i="30"/>
  <c r="AV100" i="30"/>
  <c r="BY96" i="30"/>
  <c r="BY97" i="30" s="1"/>
  <c r="BY64" i="30"/>
  <c r="BY62" i="30"/>
  <c r="BY103" i="30"/>
  <c r="AJ100" i="30"/>
  <c r="BZ61" i="30"/>
  <c r="CB105" i="30" s="1"/>
  <c r="BZ53" i="30"/>
  <c r="M53" i="30"/>
  <c r="AL100" i="30"/>
  <c r="BS81" i="30"/>
  <c r="AX100" i="30"/>
  <c r="AN100" i="30"/>
  <c r="BV81" i="30"/>
  <c r="BV88" i="30" s="1"/>
  <c r="CH130" i="30"/>
  <c r="CL47" i="28"/>
  <c r="CH13" i="30"/>
  <c r="S13" i="30" s="1"/>
  <c r="S128" i="30"/>
  <c r="S130" i="30" s="1"/>
  <c r="CG73" i="30"/>
  <c r="CK48" i="28"/>
  <c r="D58" i="30"/>
  <c r="E55" i="30"/>
  <c r="E57" i="30" s="1"/>
  <c r="CD84" i="30"/>
  <c r="H96" i="30"/>
  <c r="H97" i="30" s="1"/>
  <c r="H100" i="30" s="1"/>
  <c r="H62" i="30"/>
  <c r="H63" i="30"/>
  <c r="BY122" i="30"/>
  <c r="BY73" i="30"/>
  <c r="CC49" i="28"/>
  <c r="CG48" i="28"/>
  <c r="CC48" i="28"/>
  <c r="BO105" i="30"/>
  <c r="S47" i="28"/>
  <c r="N53" i="30"/>
  <c r="BN61" i="30"/>
  <c r="BN53" i="30"/>
  <c r="AK100" i="30"/>
  <c r="BU96" i="30"/>
  <c r="BU97" i="30" s="1"/>
  <c r="BU62" i="30"/>
  <c r="BU63" i="30"/>
  <c r="BU64" i="30"/>
  <c r="BU103" i="30"/>
  <c r="BW105" i="30"/>
  <c r="BX105" i="30"/>
  <c r="M61" i="30"/>
  <c r="BU146" i="30"/>
  <c r="BU154" i="30" s="1"/>
  <c r="BU116" i="30"/>
  <c r="BU65" i="30"/>
  <c r="BX78" i="29"/>
  <c r="BX77" i="29"/>
  <c r="CA89" i="29"/>
  <c r="CA96" i="29" s="1"/>
  <c r="AU139" i="30"/>
  <c r="AU138" i="30"/>
  <c r="AV135" i="30" s="1"/>
  <c r="BX125" i="30"/>
  <c r="BX126" i="30"/>
  <c r="BX132" i="30"/>
  <c r="BX124" i="30"/>
  <c r="BX117" i="30"/>
  <c r="BX123" i="30"/>
  <c r="CB124" i="30"/>
  <c r="AM100" i="30"/>
  <c r="E96" i="30"/>
  <c r="E97" i="30" s="1"/>
  <c r="E100" i="30" s="1"/>
  <c r="E62" i="30"/>
  <c r="E63" i="30"/>
  <c r="AY100" i="30"/>
  <c r="BZ89" i="29"/>
  <c r="BZ96" i="29" s="1"/>
  <c r="T122" i="30"/>
  <c r="S132" i="30"/>
  <c r="S124" i="30"/>
  <c r="M75" i="30"/>
  <c r="M103" i="30"/>
  <c r="R96" i="30"/>
  <c r="R97" i="30" s="1"/>
  <c r="R100" i="30" s="1"/>
  <c r="R62" i="30"/>
  <c r="AA58" i="30"/>
  <c r="AB55" i="30"/>
  <c r="AB57" i="30" s="1"/>
  <c r="BN105" i="30"/>
  <c r="N96" i="30"/>
  <c r="N97" i="30" s="1"/>
  <c r="N100" i="30" s="1"/>
  <c r="N63" i="30"/>
  <c r="N62" i="30"/>
  <c r="Q103" i="30"/>
  <c r="Q75" i="30"/>
  <c r="O53" i="30"/>
  <c r="AR100" i="30"/>
  <c r="BJ100" i="30"/>
  <c r="AP100" i="30"/>
  <c r="BJ96" i="30"/>
  <c r="BJ97" i="30" s="1"/>
  <c r="BM100" i="30" s="1"/>
  <c r="BJ63" i="30"/>
  <c r="BJ62" i="30"/>
  <c r="AS99" i="29"/>
  <c r="AS95" i="29" s="1"/>
  <c r="AS88" i="29"/>
  <c r="CK93" i="29"/>
  <c r="S21" i="29"/>
  <c r="T21" i="29" s="1"/>
  <c r="U21" i="29" s="1"/>
  <c r="V21" i="29" s="1"/>
  <c r="W21" i="29" s="1"/>
  <c r="X21" i="29" s="1"/>
  <c r="H99" i="29"/>
  <c r="E99" i="29"/>
  <c r="AE99" i="29"/>
  <c r="AE95" i="29" s="1"/>
  <c r="AE88" i="29"/>
  <c r="S43" i="29"/>
  <c r="BS99" i="29"/>
  <c r="AK99" i="29"/>
  <c r="AK95" i="29" s="1"/>
  <c r="AK88" i="29"/>
  <c r="BU49" i="29"/>
  <c r="BV48" i="29"/>
  <c r="O48" i="29"/>
  <c r="O49" i="29" s="1"/>
  <c r="AD99" i="29"/>
  <c r="AD95" i="29" s="1"/>
  <c r="AD88" i="29"/>
  <c r="BJ99" i="29"/>
  <c r="BT99" i="29"/>
  <c r="F99" i="29"/>
  <c r="BY103" i="29"/>
  <c r="R103" i="29"/>
  <c r="U29" i="29"/>
  <c r="BT50" i="29"/>
  <c r="BT74" i="29"/>
  <c r="AL99" i="29"/>
  <c r="AL95" i="29" s="1"/>
  <c r="AL88" i="29"/>
  <c r="BK99" i="29"/>
  <c r="AJ99" i="29"/>
  <c r="AJ95" i="29" s="1"/>
  <c r="AJ88" i="29"/>
  <c r="K92" i="29"/>
  <c r="L65" i="29"/>
  <c r="BM99" i="29"/>
  <c r="W39" i="29"/>
  <c r="BK50" i="29"/>
  <c r="BK74" i="29"/>
  <c r="AM99" i="29"/>
  <c r="AM95" i="29" s="1"/>
  <c r="AM88" i="29"/>
  <c r="BL99" i="29"/>
  <c r="G99" i="29"/>
  <c r="G88" i="29"/>
  <c r="BQ99" i="29"/>
  <c r="AF99" i="29"/>
  <c r="AF95" i="29" s="1"/>
  <c r="AF88" i="29"/>
  <c r="BP99" i="29"/>
  <c r="AG99" i="29"/>
  <c r="AG95" i="29" s="1"/>
  <c r="AG88" i="29"/>
  <c r="AQ99" i="29"/>
  <c r="AQ95" i="29" s="1"/>
  <c r="AQ88" i="29"/>
  <c r="AP99" i="29"/>
  <c r="AP95" i="29" s="1"/>
  <c r="AP88" i="29"/>
  <c r="V109" i="29"/>
  <c r="W46" i="29"/>
  <c r="AO99" i="29"/>
  <c r="AO95" i="29" s="1"/>
  <c r="AO88" i="29"/>
  <c r="AH99" i="29"/>
  <c r="AH95" i="29" s="1"/>
  <c r="AH88" i="29"/>
  <c r="BO99" i="29"/>
  <c r="CE15" i="29"/>
  <c r="CE58" i="29" s="1"/>
  <c r="CF14" i="29"/>
  <c r="BU99" i="29"/>
  <c r="BL49" i="29"/>
  <c r="BM48" i="29"/>
  <c r="AR99" i="29"/>
  <c r="AR95" i="29" s="1"/>
  <c r="AR88" i="29"/>
  <c r="AI99" i="29"/>
  <c r="AI95" i="29" s="1"/>
  <c r="AI88" i="29"/>
  <c r="V93" i="29"/>
  <c r="W24" i="29"/>
  <c r="AN99" i="29"/>
  <c r="AN95" i="29" s="1"/>
  <c r="AN88" i="29"/>
  <c r="BN99" i="29"/>
  <c r="BR99" i="29"/>
  <c r="BY63" i="28"/>
  <c r="BY62" i="28"/>
  <c r="BY61" i="28"/>
  <c r="AH91" i="28"/>
  <c r="AH93" i="28"/>
  <c r="AH87" i="28"/>
  <c r="BI84" i="28"/>
  <c r="BI82" i="28"/>
  <c r="BI79" i="28"/>
  <c r="BI80" i="28"/>
  <c r="CH91" i="28"/>
  <c r="CH93" i="28"/>
  <c r="CH87" i="28"/>
  <c r="CD72" i="30" s="1"/>
  <c r="CD76" i="30" s="1"/>
  <c r="CD80" i="30" s="1"/>
  <c r="CH119" i="28"/>
  <c r="CK126" i="28"/>
  <c r="CK109" i="28"/>
  <c r="CK107" i="28"/>
  <c r="K116" i="28"/>
  <c r="L116" i="28"/>
  <c r="J78" i="28"/>
  <c r="J60" i="28"/>
  <c r="J54" i="28"/>
  <c r="J53" i="28"/>
  <c r="K53" i="28"/>
  <c r="AW84" i="28"/>
  <c r="AW82" i="28"/>
  <c r="AW80" i="28"/>
  <c r="AW79" i="28"/>
  <c r="E84" i="28"/>
  <c r="E80" i="28"/>
  <c r="E82" i="28"/>
  <c r="AK63" i="28"/>
  <c r="AK61" i="28"/>
  <c r="AP91" i="28"/>
  <c r="AP93" i="28"/>
  <c r="AP87" i="28"/>
  <c r="BK91" i="28"/>
  <c r="BK87" i="28"/>
  <c r="BG72" i="30" s="1"/>
  <c r="BK93" i="28"/>
  <c r="BR91" i="28"/>
  <c r="BR93" i="28"/>
  <c r="BR87" i="28"/>
  <c r="BN72" i="30" s="1"/>
  <c r="BR119" i="28"/>
  <c r="CK117" i="28"/>
  <c r="CG46" i="30" s="1"/>
  <c r="CG75" i="30" s="1"/>
  <c r="AS63" i="28"/>
  <c r="AS61" i="28"/>
  <c r="AF93" i="28"/>
  <c r="AF6" i="28" s="1"/>
  <c r="AF91" i="28"/>
  <c r="AF87" i="28"/>
  <c r="AF89" i="28" s="1"/>
  <c r="BE84" i="28"/>
  <c r="BE82" i="28"/>
  <c r="BE80" i="28"/>
  <c r="AU91" i="28"/>
  <c r="AU87" i="28"/>
  <c r="AU93" i="28"/>
  <c r="BA63" i="28"/>
  <c r="BA61" i="28"/>
  <c r="BZ91" i="28"/>
  <c r="BZ93" i="28"/>
  <c r="BZ87" i="28"/>
  <c r="BV72" i="30" s="1"/>
  <c r="BV76" i="30" s="1"/>
  <c r="BV80" i="30" s="1"/>
  <c r="BZ119" i="28"/>
  <c r="BQ63" i="28"/>
  <c r="BQ61" i="28"/>
  <c r="K91" i="28"/>
  <c r="K93" i="28"/>
  <c r="K89" i="28"/>
  <c r="AN93" i="28"/>
  <c r="AN91" i="28"/>
  <c r="AN87" i="28"/>
  <c r="BO63" i="28"/>
  <c r="BO61" i="28"/>
  <c r="K119" i="28"/>
  <c r="AG84" i="28"/>
  <c r="AG82" i="28"/>
  <c r="AG80" i="28"/>
  <c r="BF80" i="28"/>
  <c r="BF84" i="28"/>
  <c r="BF82" i="28"/>
  <c r="BC84" i="28"/>
  <c r="BC80" i="28"/>
  <c r="BC82" i="28"/>
  <c r="AS84" i="28"/>
  <c r="AS82" i="28"/>
  <c r="AS80" i="28"/>
  <c r="AS79" i="28"/>
  <c r="AE93" i="28"/>
  <c r="AE6" i="28" s="1"/>
  <c r="AE91" i="28"/>
  <c r="AE87" i="28"/>
  <c r="AE89" i="28" s="1"/>
  <c r="AT91" i="28"/>
  <c r="AT92" i="28" s="1"/>
  <c r="AT93" i="28"/>
  <c r="AT87" i="28"/>
  <c r="AQ93" i="28"/>
  <c r="AQ91" i="28"/>
  <c r="AQ87" i="28"/>
  <c r="BY84" i="28"/>
  <c r="BY82" i="28"/>
  <c r="BY79" i="28"/>
  <c r="BY80" i="28"/>
  <c r="AW63" i="28"/>
  <c r="AW61" i="28"/>
  <c r="AO84" i="28"/>
  <c r="AO80" i="28"/>
  <c r="AO79" i="28"/>
  <c r="AO82" i="28"/>
  <c r="BM79" i="28"/>
  <c r="BD84" i="28"/>
  <c r="BD80" i="28"/>
  <c r="BD82" i="28"/>
  <c r="CL116" i="28"/>
  <c r="S115" i="28"/>
  <c r="AR93" i="28"/>
  <c r="AR91" i="28"/>
  <c r="AR92" i="28" s="1"/>
  <c r="AR87" i="28"/>
  <c r="BI63" i="28"/>
  <c r="BI61" i="28"/>
  <c r="AV93" i="28"/>
  <c r="AV91" i="28"/>
  <c r="AV87" i="28"/>
  <c r="CI51" i="28"/>
  <c r="CI50" i="28"/>
  <c r="CI52" i="28"/>
  <c r="CI78" i="28" s="1"/>
  <c r="I63" i="28"/>
  <c r="CK122" i="28"/>
  <c r="CL121" i="28"/>
  <c r="BO80" i="28"/>
  <c r="BO84" i="28"/>
  <c r="BO79" i="28"/>
  <c r="BO82" i="28"/>
  <c r="G63" i="28"/>
  <c r="BU93" i="28"/>
  <c r="BU87" i="28"/>
  <c r="BQ72" i="30" s="1"/>
  <c r="BU91" i="28"/>
  <c r="BU119" i="28"/>
  <c r="CI118" i="28"/>
  <c r="AX91" i="28"/>
  <c r="AX93" i="28"/>
  <c r="AX87" i="28"/>
  <c r="AK84" i="28"/>
  <c r="AK82" i="28"/>
  <c r="AK80" i="28"/>
  <c r="AK79" i="28"/>
  <c r="BA84" i="28"/>
  <c r="BA82" i="28"/>
  <c r="BA80" i="28"/>
  <c r="BA79" i="28"/>
  <c r="CI111" i="28"/>
  <c r="CI110" i="28"/>
  <c r="AO63" i="28"/>
  <c r="AO61" i="28"/>
  <c r="BW93" i="28"/>
  <c r="BW91" i="28"/>
  <c r="BW87" i="28"/>
  <c r="BS72" i="30" s="1"/>
  <c r="BS76" i="30" s="1"/>
  <c r="BS80" i="30" s="1"/>
  <c r="BW119" i="28"/>
  <c r="BJ61" i="28"/>
  <c r="BM93" i="28"/>
  <c r="BM91" i="28"/>
  <c r="BM87" i="28"/>
  <c r="BI72" i="30" s="1"/>
  <c r="CJ126" i="28"/>
  <c r="CJ109" i="28"/>
  <c r="CJ107" i="28"/>
  <c r="CJ117" i="28"/>
  <c r="CF46" i="30" s="1"/>
  <c r="CF75" i="30" s="1"/>
  <c r="AZ93" i="28"/>
  <c r="AZ91" i="28"/>
  <c r="AZ87" i="28"/>
  <c r="AJ93" i="28"/>
  <c r="AJ91" i="28"/>
  <c r="AJ87" i="28"/>
  <c r="AY93" i="28"/>
  <c r="AY87" i="28"/>
  <c r="AY91" i="28"/>
  <c r="AI93" i="28"/>
  <c r="AI87" i="28"/>
  <c r="AI91" i="28"/>
  <c r="AI92" i="28" s="1"/>
  <c r="AD91" i="28"/>
  <c r="AD93" i="28"/>
  <c r="AD6" i="28" s="1"/>
  <c r="AD87" i="28"/>
  <c r="AD89" i="28" s="1"/>
  <c r="BB91" i="28"/>
  <c r="BB92" i="28" s="1"/>
  <c r="BB93" i="28"/>
  <c r="BB87" i="28"/>
  <c r="AL91" i="28"/>
  <c r="AL92" i="28" s="1"/>
  <c r="AL93" i="28"/>
  <c r="AL87" i="28"/>
  <c r="BQ84" i="28"/>
  <c r="BQ79" i="28"/>
  <c r="BQ82" i="28"/>
  <c r="BQ80" i="28"/>
  <c r="I84" i="28"/>
  <c r="I80" i="28"/>
  <c r="I82" i="28"/>
  <c r="AM91" i="28"/>
  <c r="AM87" i="28"/>
  <c r="AM93" i="28"/>
  <c r="BZ62" i="28"/>
  <c r="G84" i="28"/>
  <c r="G80" i="28"/>
  <c r="G82" i="28"/>
  <c r="M69" i="70" l="1"/>
  <c r="AM92" i="28"/>
  <c r="CJ60" i="28"/>
  <c r="CJ63" i="28" s="1"/>
  <c r="BF116" i="30"/>
  <c r="BJ62" i="28"/>
  <c r="BF146" i="30"/>
  <c r="BI77" i="29"/>
  <c r="BK62" i="28"/>
  <c r="BJ63" i="28"/>
  <c r="BI78" i="29"/>
  <c r="BF65" i="30"/>
  <c r="BF69" i="30" s="1"/>
  <c r="BQ76" i="30"/>
  <c r="BQ80" i="30" s="1"/>
  <c r="AS118" i="45" s="1"/>
  <c r="AS120" i="45" s="1"/>
  <c r="AS112" i="45"/>
  <c r="BF150" i="30"/>
  <c r="BJ84" i="28"/>
  <c r="BJ80" i="28"/>
  <c r="BJ82" i="28"/>
  <c r="BN76" i="30"/>
  <c r="BN80" i="30" s="1"/>
  <c r="AP118" i="45" s="1"/>
  <c r="AP120" i="45" s="1"/>
  <c r="AP112" i="45"/>
  <c r="BG76" i="30"/>
  <c r="BG80" i="30" s="1"/>
  <c r="AI118" i="45" s="1"/>
  <c r="AI120" i="45" s="1"/>
  <c r="AI112" i="45"/>
  <c r="BI76" i="30"/>
  <c r="BI80" i="30" s="1"/>
  <c r="AK118" i="45" s="1"/>
  <c r="AK120" i="45" s="1"/>
  <c r="AK112" i="45"/>
  <c r="AL20" i="45"/>
  <c r="N80" i="31"/>
  <c r="N81" i="31" s="1"/>
  <c r="BW80" i="31"/>
  <c r="AZ92" i="28"/>
  <c r="AX92" i="28"/>
  <c r="AY92" i="28"/>
  <c r="AJ92" i="28"/>
  <c r="BA47" i="29"/>
  <c r="AZ49" i="29"/>
  <c r="AZ50" i="29" s="1"/>
  <c r="AZ70" i="29" s="1"/>
  <c r="AD118" i="45"/>
  <c r="AD120" i="45" s="1"/>
  <c r="BB104" i="30"/>
  <c r="BB88" i="30"/>
  <c r="BB106" i="30"/>
  <c r="T69" i="71"/>
  <c r="U69" i="71" s="1"/>
  <c r="O42" i="70"/>
  <c r="P37" i="70" s="1"/>
  <c r="N44" i="70"/>
  <c r="N47" i="70" s="1"/>
  <c r="N61" i="70" s="1"/>
  <c r="N60" i="70"/>
  <c r="N51" i="70"/>
  <c r="N93" i="70"/>
  <c r="N95" i="70" s="1"/>
  <c r="N99" i="70" s="1"/>
  <c r="O21" i="70"/>
  <c r="O31" i="70" s="1"/>
  <c r="O32" i="70"/>
  <c r="P24" i="70" s="1"/>
  <c r="O29" i="70"/>
  <c r="Q12" i="70"/>
  <c r="R11" i="70"/>
  <c r="O90" i="70"/>
  <c r="O91" i="70" s="1"/>
  <c r="N66" i="70"/>
  <c r="N68" i="70" s="1"/>
  <c r="CJ41" i="70"/>
  <c r="CJ42" i="70" s="1"/>
  <c r="P22" i="70"/>
  <c r="Q89" i="70"/>
  <c r="Q30" i="70"/>
  <c r="R19" i="70"/>
  <c r="Q73" i="50"/>
  <c r="P72" i="50"/>
  <c r="Q71" i="50"/>
  <c r="AO80" i="50"/>
  <c r="AO81" i="50" s="1"/>
  <c r="AO76" i="50"/>
  <c r="R43" i="50"/>
  <c r="M12" i="50"/>
  <c r="N11" i="50"/>
  <c r="N13" i="50"/>
  <c r="M25" i="50"/>
  <c r="N24" i="50"/>
  <c r="N26" i="50"/>
  <c r="M28" i="50"/>
  <c r="AW80" i="50"/>
  <c r="AW76" i="50"/>
  <c r="N61" i="50"/>
  <c r="N63" i="50"/>
  <c r="M62" i="50"/>
  <c r="N58" i="50"/>
  <c r="N56" i="50"/>
  <c r="M57" i="50"/>
  <c r="AY67" i="50"/>
  <c r="M68" i="50"/>
  <c r="N38" i="50"/>
  <c r="O39" i="50"/>
  <c r="O37" i="50"/>
  <c r="N46" i="50"/>
  <c r="N18" i="50"/>
  <c r="M17" i="50"/>
  <c r="N16" i="50"/>
  <c r="AX20" i="50"/>
  <c r="AX75" i="50" s="1"/>
  <c r="AY8" i="50"/>
  <c r="AY6" i="50"/>
  <c r="AX7" i="50"/>
  <c r="N33" i="50"/>
  <c r="O32" i="50"/>
  <c r="O34" i="50"/>
  <c r="BK69" i="30"/>
  <c r="BK81" i="30"/>
  <c r="BJ146" i="30"/>
  <c r="BJ65" i="30"/>
  <c r="BJ69" i="30" s="1"/>
  <c r="BJ116" i="30"/>
  <c r="BM77" i="29"/>
  <c r="BN63" i="28"/>
  <c r="BM78" i="29"/>
  <c r="BN62" i="28"/>
  <c r="BR61" i="28"/>
  <c r="BN61" i="28"/>
  <c r="W370" i="31"/>
  <c r="V385" i="31"/>
  <c r="V183" i="31"/>
  <c r="CS109" i="31"/>
  <c r="CS104" i="31"/>
  <c r="CS100" i="31"/>
  <c r="CQ22" i="31"/>
  <c r="CQ21" i="31"/>
  <c r="BM81" i="30"/>
  <c r="BM69" i="30"/>
  <c r="U368" i="31"/>
  <c r="U139" i="31"/>
  <c r="U182" i="31" s="1"/>
  <c r="BR150" i="30"/>
  <c r="BV84" i="28"/>
  <c r="BV79" i="28"/>
  <c r="BZ79" i="28"/>
  <c r="BV82" i="28"/>
  <c r="BV80" i="28"/>
  <c r="BL78" i="28"/>
  <c r="BL60" i="28"/>
  <c r="BL53" i="28"/>
  <c r="BL54" i="28"/>
  <c r="T38" i="31"/>
  <c r="U38" i="31"/>
  <c r="T91" i="31"/>
  <c r="G95" i="29"/>
  <c r="T167" i="31"/>
  <c r="T169" i="31"/>
  <c r="T174" i="31"/>
  <c r="T170" i="31" s="1"/>
  <c r="W395" i="31"/>
  <c r="X394" i="31"/>
  <c r="BJ150" i="30"/>
  <c r="BN80" i="28"/>
  <c r="BN84" i="28"/>
  <c r="BR79" i="28"/>
  <c r="BN82" i="28"/>
  <c r="BN79" i="28"/>
  <c r="BM110" i="31"/>
  <c r="BM100" i="31"/>
  <c r="BQ110" i="31"/>
  <c r="U386" i="31"/>
  <c r="U143" i="31"/>
  <c r="X361" i="31"/>
  <c r="W161" i="31"/>
  <c r="V382" i="31"/>
  <c r="U166" i="31"/>
  <c r="CE29" i="31"/>
  <c r="CA31" i="31"/>
  <c r="CA26" i="31"/>
  <c r="CT145" i="31"/>
  <c r="CT144" i="31"/>
  <c r="CT157" i="31"/>
  <c r="T143" i="31"/>
  <c r="CR115" i="31"/>
  <c r="CR114" i="31"/>
  <c r="BR345" i="31"/>
  <c r="BR348" i="31" s="1"/>
  <c r="BR344" i="31"/>
  <c r="V162" i="31"/>
  <c r="N54" i="28"/>
  <c r="N53" i="28"/>
  <c r="N78" i="28"/>
  <c r="N60" i="28"/>
  <c r="F78" i="28"/>
  <c r="G53" i="28"/>
  <c r="F60" i="28"/>
  <c r="F53" i="28"/>
  <c r="F54" i="28"/>
  <c r="M54" i="28"/>
  <c r="M78" i="28"/>
  <c r="M60" i="28"/>
  <c r="AD91" i="31"/>
  <c r="AD93" i="31" s="1"/>
  <c r="AD38" i="31"/>
  <c r="AE37" i="31"/>
  <c r="BO62" i="28"/>
  <c r="M91" i="31"/>
  <c r="M38" i="31"/>
  <c r="N38" i="31"/>
  <c r="CS156" i="31"/>
  <c r="CS118" i="31"/>
  <c r="CS155" i="31"/>
  <c r="CS20" i="31"/>
  <c r="CS194" i="31"/>
  <c r="BD150" i="30"/>
  <c r="BH80" i="28"/>
  <c r="BH84" i="28"/>
  <c r="BH82" i="28"/>
  <c r="BH79" i="28"/>
  <c r="U398" i="31"/>
  <c r="V397" i="31"/>
  <c r="U400" i="31"/>
  <c r="CT413" i="31"/>
  <c r="CT176" i="31"/>
  <c r="CT175" i="31"/>
  <c r="BW44" i="31"/>
  <c r="AM93" i="45" s="1"/>
  <c r="AM100" i="45" s="1"/>
  <c r="CA47" i="31"/>
  <c r="BU31" i="31"/>
  <c r="BU26" i="31"/>
  <c r="BY29" i="31"/>
  <c r="BV31" i="31"/>
  <c r="BM327" i="31"/>
  <c r="BQ341" i="31" s="1"/>
  <c r="BM331" i="31"/>
  <c r="BM334" i="31" s="1"/>
  <c r="BQ338" i="31"/>
  <c r="CR22" i="31"/>
  <c r="CR21" i="31"/>
  <c r="Z388" i="31"/>
  <c r="Y391" i="31"/>
  <c r="Y187" i="31"/>
  <c r="Y188" i="31" s="1"/>
  <c r="BT150" i="30"/>
  <c r="BX80" i="28"/>
  <c r="BX82" i="28"/>
  <c r="BX84" i="28"/>
  <c r="BW150" i="30"/>
  <c r="BW154" i="30" s="1"/>
  <c r="CA84" i="28"/>
  <c r="CA80" i="28"/>
  <c r="CA79" i="28"/>
  <c r="CA82" i="28"/>
  <c r="P21" i="31"/>
  <c r="U191" i="31"/>
  <c r="U180" i="31"/>
  <c r="M51" i="31"/>
  <c r="BS51" i="31"/>
  <c r="BR58" i="31"/>
  <c r="BR52" i="31"/>
  <c r="BP54" i="28"/>
  <c r="BP78" i="28"/>
  <c r="BP53" i="28"/>
  <c r="BP60" i="28"/>
  <c r="BP89" i="29" s="1"/>
  <c r="CH29" i="31"/>
  <c r="CD26" i="31"/>
  <c r="U36" i="31"/>
  <c r="V35" i="31"/>
  <c r="U39" i="31"/>
  <c r="BR44" i="31"/>
  <c r="AH93" i="45" s="1"/>
  <c r="AH100" i="45" s="1"/>
  <c r="BV47" i="31"/>
  <c r="H60" i="28"/>
  <c r="H54" i="28"/>
  <c r="H53" i="28"/>
  <c r="I53" i="28"/>
  <c r="H78" i="28"/>
  <c r="BD65" i="30"/>
  <c r="BD69" i="30" s="1"/>
  <c r="BD116" i="30"/>
  <c r="BG77" i="29"/>
  <c r="BD146" i="30"/>
  <c r="BJ89" i="29"/>
  <c r="BG78" i="29"/>
  <c r="BJ75" i="29"/>
  <c r="BH63" i="28"/>
  <c r="BH61" i="28"/>
  <c r="BO150" i="30"/>
  <c r="BS82" i="28"/>
  <c r="BS80" i="28"/>
  <c r="BW79" i="28"/>
  <c r="BS84" i="28"/>
  <c r="BS79" i="28"/>
  <c r="CS431" i="31"/>
  <c r="CS417" i="31"/>
  <c r="CS415" i="31"/>
  <c r="CS414" i="31"/>
  <c r="CS432" i="31"/>
  <c r="BQ27" i="31"/>
  <c r="BQ28" i="31"/>
  <c r="BR28" i="31"/>
  <c r="BL324" i="31"/>
  <c r="BL99" i="31"/>
  <c r="BK35" i="31"/>
  <c r="BP36" i="31"/>
  <c r="BS114" i="31"/>
  <c r="BS115" i="31"/>
  <c r="AI53" i="45" s="1"/>
  <c r="BT31" i="31"/>
  <c r="BT26" i="31"/>
  <c r="BX29" i="31"/>
  <c r="BZ27" i="31"/>
  <c r="BR11" i="28"/>
  <c r="BR13" i="28" s="1"/>
  <c r="BI88" i="30"/>
  <c r="BI104" i="30"/>
  <c r="BI62" i="28"/>
  <c r="BN88" i="30"/>
  <c r="BN104" i="30" s="1"/>
  <c r="BG104" i="30"/>
  <c r="BG88" i="30"/>
  <c r="L91" i="31"/>
  <c r="L93" i="31" s="1"/>
  <c r="L38" i="31"/>
  <c r="BT54" i="28"/>
  <c r="BT78" i="28"/>
  <c r="BX79" i="28" s="1"/>
  <c r="BT53" i="28"/>
  <c r="BT60" i="28"/>
  <c r="BS75" i="29" s="1"/>
  <c r="CT405" i="31"/>
  <c r="CT404" i="31"/>
  <c r="O54" i="28"/>
  <c r="O53" i="28"/>
  <c r="O78" i="28"/>
  <c r="O60" i="28"/>
  <c r="P61" i="28" s="1"/>
  <c r="BO65" i="30"/>
  <c r="BR77" i="29"/>
  <c r="BU75" i="29"/>
  <c r="BR78" i="29"/>
  <c r="BT89" i="29"/>
  <c r="BS62" i="28"/>
  <c r="BS61" i="28"/>
  <c r="BW61" i="28"/>
  <c r="BO146" i="30"/>
  <c r="BS63" i="28"/>
  <c r="BO116" i="30"/>
  <c r="BT75" i="29"/>
  <c r="T401" i="31"/>
  <c r="T403" i="31"/>
  <c r="T404" i="31" s="1"/>
  <c r="BS46" i="31"/>
  <c r="AI95" i="45" s="1"/>
  <c r="BS45" i="31"/>
  <c r="AI94" i="45" s="1"/>
  <c r="BK14" i="28"/>
  <c r="R443" i="31"/>
  <c r="R440" i="31"/>
  <c r="S440" i="31"/>
  <c r="BM39" i="31"/>
  <c r="BM47" i="31" s="1"/>
  <c r="CT152" i="31"/>
  <c r="CT154" i="31"/>
  <c r="CT151" i="31"/>
  <c r="T150" i="31"/>
  <c r="U186" i="31"/>
  <c r="U184" i="31"/>
  <c r="CT98" i="31"/>
  <c r="CT12" i="31"/>
  <c r="T11" i="31"/>
  <c r="CK102" i="29"/>
  <c r="X392" i="31"/>
  <c r="X147" i="31"/>
  <c r="X148" i="31" s="1"/>
  <c r="BT65" i="30"/>
  <c r="BT81" i="30" s="1"/>
  <c r="BT88" i="30" s="1"/>
  <c r="BX63" i="28"/>
  <c r="BW78" i="29"/>
  <c r="BX62" i="28"/>
  <c r="BT116" i="30"/>
  <c r="CB61" i="28"/>
  <c r="BT146" i="30"/>
  <c r="BT154" i="30" s="1"/>
  <c r="BW77" i="29"/>
  <c r="BX61" i="28"/>
  <c r="M92" i="31"/>
  <c r="M88" i="31"/>
  <c r="BS344" i="31"/>
  <c r="BS345" i="31"/>
  <c r="V367" i="31"/>
  <c r="W352" i="31"/>
  <c r="V179" i="31"/>
  <c r="CO41" i="31"/>
  <c r="CP40" i="31"/>
  <c r="BR65" i="30"/>
  <c r="BV62" i="28"/>
  <c r="BU78" i="29"/>
  <c r="BZ61" i="28"/>
  <c r="BV61" i="28"/>
  <c r="BW62" i="28"/>
  <c r="BR116" i="30"/>
  <c r="BW89" i="29"/>
  <c r="BW96" i="29" s="1"/>
  <c r="BR146" i="30"/>
  <c r="BR154" i="30" s="1"/>
  <c r="BU77" i="29"/>
  <c r="BV63" i="28"/>
  <c r="BP28" i="31"/>
  <c r="BP27" i="31"/>
  <c r="M26" i="31"/>
  <c r="BN111" i="31"/>
  <c r="BN106" i="31"/>
  <c r="BO101" i="31"/>
  <c r="BR111" i="31"/>
  <c r="BW28" i="31"/>
  <c r="BW27" i="31"/>
  <c r="BU82" i="31"/>
  <c r="AK22" i="45" s="1"/>
  <c r="BT83" i="31"/>
  <c r="AJ23" i="45" s="1"/>
  <c r="X379" i="31"/>
  <c r="BS89" i="29"/>
  <c r="E95" i="29"/>
  <c r="G72" i="30"/>
  <c r="G76" i="30" s="1"/>
  <c r="G80" i="30" s="1"/>
  <c r="G108" i="29"/>
  <c r="E108" i="29"/>
  <c r="E72" i="30"/>
  <c r="E76" i="30" s="1"/>
  <c r="E80" i="30" s="1"/>
  <c r="E88" i="29"/>
  <c r="CF65" i="30"/>
  <c r="CF81" i="30" s="1"/>
  <c r="L20" i="81"/>
  <c r="L29" i="81"/>
  <c r="CH109" i="30"/>
  <c r="CL25" i="28"/>
  <c r="L28" i="81"/>
  <c r="L27" i="81"/>
  <c r="L24" i="81"/>
  <c r="L25" i="81"/>
  <c r="CJ42" i="28"/>
  <c r="CJ41" i="28"/>
  <c r="CJ40" i="28"/>
  <c r="CJ28" i="28"/>
  <c r="CI30" i="29"/>
  <c r="CF23" i="30" s="1"/>
  <c r="CJ35" i="28"/>
  <c r="CJ34" i="28"/>
  <c r="CI31" i="29"/>
  <c r="CJ33" i="28"/>
  <c r="CJ13" i="29"/>
  <c r="CG21" i="30" s="1"/>
  <c r="CK39" i="28"/>
  <c r="CK19" i="28"/>
  <c r="CK27" i="28"/>
  <c r="CK32" i="28"/>
  <c r="CG125" i="30"/>
  <c r="L26" i="81"/>
  <c r="P8" i="81"/>
  <c r="CG111" i="30"/>
  <c r="CG108" i="30"/>
  <c r="CG110" i="30"/>
  <c r="P74" i="81"/>
  <c r="Q6" i="81"/>
  <c r="P5" i="81"/>
  <c r="O14" i="81"/>
  <c r="P14" i="81" s="1"/>
  <c r="Q14" i="81" s="1"/>
  <c r="R14" i="81" s="1"/>
  <c r="S14" i="81" s="1"/>
  <c r="T14" i="81" s="1"/>
  <c r="O73" i="81"/>
  <c r="O11" i="81"/>
  <c r="O23" i="81" s="1"/>
  <c r="CF126" i="30"/>
  <c r="CF84" i="30"/>
  <c r="CF34" i="30"/>
  <c r="CF74" i="30"/>
  <c r="CF117" i="30"/>
  <c r="CF114" i="30"/>
  <c r="Q7" i="81"/>
  <c r="P75" i="81"/>
  <c r="P78" i="81"/>
  <c r="Q10" i="81"/>
  <c r="P77" i="81"/>
  <c r="Q9" i="81"/>
  <c r="AB58" i="30"/>
  <c r="AC55" i="30"/>
  <c r="AC57" i="30" s="1"/>
  <c r="BR96" i="30"/>
  <c r="BR97" i="30" s="1"/>
  <c r="BU100" i="30" s="1"/>
  <c r="BR64" i="30"/>
  <c r="O64" i="30" s="1"/>
  <c r="BR63" i="30"/>
  <c r="BR62" i="30"/>
  <c r="BU105" i="30"/>
  <c r="BR103" i="30"/>
  <c r="BK100" i="30"/>
  <c r="P96" i="30"/>
  <c r="P97" i="30" s="1"/>
  <c r="P100" i="30" s="1"/>
  <c r="P62" i="30"/>
  <c r="P63" i="30"/>
  <c r="P103" i="30"/>
  <c r="BT105" i="30"/>
  <c r="P103" i="28"/>
  <c r="P112" i="28" s="1"/>
  <c r="BN96" i="30"/>
  <c r="BN97" i="30" s="1"/>
  <c r="BN63" i="30"/>
  <c r="BN62" i="30"/>
  <c r="BN103" i="30"/>
  <c r="BQ105" i="30"/>
  <c r="BY132" i="30"/>
  <c r="BY126" i="30"/>
  <c r="BY124" i="30"/>
  <c r="BY123" i="30"/>
  <c r="BY117" i="30"/>
  <c r="CC124" i="30"/>
  <c r="BV104" i="30"/>
  <c r="BS88" i="30"/>
  <c r="Q64" i="30"/>
  <c r="CK19" i="29"/>
  <c r="CB53" i="28"/>
  <c r="CB78" i="28"/>
  <c r="CB54" i="28"/>
  <c r="BL100" i="30"/>
  <c r="BZ122" i="30"/>
  <c r="BZ73" i="30"/>
  <c r="CD49" i="28"/>
  <c r="CD48" i="28"/>
  <c r="CH48" i="28"/>
  <c r="Q47" i="28"/>
  <c r="BS105" i="30"/>
  <c r="BT100" i="30"/>
  <c r="BR100" i="30"/>
  <c r="BS100" i="30"/>
  <c r="T132" i="30"/>
  <c r="T128" i="30"/>
  <c r="U122" i="30"/>
  <c r="AV138" i="30"/>
  <c r="AW135" i="30" s="1"/>
  <c r="AV139" i="30"/>
  <c r="M96" i="30"/>
  <c r="M97" i="30" s="1"/>
  <c r="M100" i="30" s="1"/>
  <c r="M62" i="30"/>
  <c r="M63" i="30"/>
  <c r="R84" i="30"/>
  <c r="CD88" i="30"/>
  <c r="CH73" i="30"/>
  <c r="CL48" i="28"/>
  <c r="BZ100" i="30"/>
  <c r="P146" i="30"/>
  <c r="P116" i="30"/>
  <c r="P65" i="30"/>
  <c r="P78" i="29"/>
  <c r="P77" i="29"/>
  <c r="P89" i="29"/>
  <c r="P96" i="29" s="1"/>
  <c r="P71" i="29"/>
  <c r="P63" i="28"/>
  <c r="P53" i="30"/>
  <c r="BT104" i="30"/>
  <c r="Q96" i="30"/>
  <c r="Q97" i="30" s="1"/>
  <c r="Q100" i="30" s="1"/>
  <c r="Q62" i="30"/>
  <c r="BU81" i="30"/>
  <c r="BU88" i="30" s="1"/>
  <c r="S73" i="30"/>
  <c r="S48" i="28"/>
  <c r="CG50" i="28"/>
  <c r="CC50" i="28"/>
  <c r="E58" i="30"/>
  <c r="F55" i="30"/>
  <c r="F57" i="30" s="1"/>
  <c r="F58" i="30" s="1"/>
  <c r="BZ96" i="30"/>
  <c r="BZ97" i="30" s="1"/>
  <c r="CB100" i="30" s="1"/>
  <c r="BZ64" i="30"/>
  <c r="BZ62" i="30"/>
  <c r="BZ103" i="30"/>
  <c r="BZ105" i="30"/>
  <c r="CA105" i="30"/>
  <c r="CC105" i="30"/>
  <c r="P150" i="30"/>
  <c r="P136" i="28"/>
  <c r="P84" i="28"/>
  <c r="P80" i="28"/>
  <c r="P82" i="28"/>
  <c r="BV96" i="30"/>
  <c r="BV97" i="30" s="1"/>
  <c r="BY100" i="30" s="1"/>
  <c r="BV64" i="30"/>
  <c r="P64" i="30" s="1"/>
  <c r="BV63" i="30"/>
  <c r="BV62" i="30"/>
  <c r="BY105" i="30"/>
  <c r="BV103" i="30"/>
  <c r="BV105" i="30"/>
  <c r="BP105" i="30"/>
  <c r="AM55" i="30"/>
  <c r="AM57" i="30" s="1"/>
  <c r="AL58" i="30"/>
  <c r="BQ104" i="30"/>
  <c r="H58" i="30"/>
  <c r="I55" i="30"/>
  <c r="I57" i="30" s="1"/>
  <c r="BR105" i="30"/>
  <c r="BN100" i="30"/>
  <c r="X39" i="29"/>
  <c r="K99" i="29"/>
  <c r="K95" i="29" s="1"/>
  <c r="K88" i="29"/>
  <c r="P107" i="29"/>
  <c r="O70" i="29"/>
  <c r="O50" i="29"/>
  <c r="O52" i="29" s="1"/>
  <c r="O74" i="29"/>
  <c r="CG14" i="29"/>
  <c r="CF15" i="29"/>
  <c r="CF58" i="29" s="1"/>
  <c r="BK52" i="29"/>
  <c r="BK70" i="29"/>
  <c r="BZ103" i="29"/>
  <c r="CA103" i="29" s="1"/>
  <c r="CB103" i="29" s="1"/>
  <c r="CC103" i="29" s="1"/>
  <c r="CD103" i="29" s="1"/>
  <c r="CE103" i="29" s="1"/>
  <c r="CF103" i="29" s="1"/>
  <c r="CG103" i="29" s="1"/>
  <c r="CH103" i="29" s="1"/>
  <c r="CI103" i="29" s="1"/>
  <c r="CJ103" i="29" s="1"/>
  <c r="CK103" i="29" s="1"/>
  <c r="S103" i="29"/>
  <c r="T103" i="29" s="1"/>
  <c r="U103" i="29" s="1"/>
  <c r="V103" i="29" s="1"/>
  <c r="W103" i="29" s="1"/>
  <c r="X103" i="29" s="1"/>
  <c r="BV49" i="29"/>
  <c r="BV50" i="29" s="1"/>
  <c r="BW48" i="29"/>
  <c r="S111" i="29"/>
  <c r="S54" i="29"/>
  <c r="T43" i="29"/>
  <c r="BM49" i="29"/>
  <c r="M48" i="29"/>
  <c r="M49" i="29" s="1"/>
  <c r="BN48" i="29"/>
  <c r="BT52" i="29"/>
  <c r="BT70" i="29"/>
  <c r="BU50" i="29"/>
  <c r="BU74" i="29"/>
  <c r="W93" i="29"/>
  <c r="X24" i="29"/>
  <c r="BL50" i="29"/>
  <c r="BL74" i="29"/>
  <c r="W109" i="29"/>
  <c r="X46" i="29"/>
  <c r="X109" i="29" s="1"/>
  <c r="V29" i="29"/>
  <c r="AL89" i="28"/>
  <c r="AL88" i="28"/>
  <c r="BW6" i="28"/>
  <c r="AN88" i="28"/>
  <c r="AN89" i="28"/>
  <c r="AP89" i="28"/>
  <c r="AP88" i="28"/>
  <c r="BI93" i="28"/>
  <c r="BI87" i="28"/>
  <c r="BI91" i="28"/>
  <c r="BM92" i="28" s="1"/>
  <c r="AL94" i="28"/>
  <c r="AL7" i="28" s="1"/>
  <c r="AL6" i="28"/>
  <c r="AZ94" i="28"/>
  <c r="AZ7" i="28" s="1"/>
  <c r="AZ6" i="28"/>
  <c r="CJ118" i="28"/>
  <c r="BM96" i="28"/>
  <c r="BM89" i="28"/>
  <c r="BM88" i="28"/>
  <c r="AX89" i="28"/>
  <c r="AX88" i="28"/>
  <c r="BU89" i="28"/>
  <c r="CL122" i="28"/>
  <c r="S121" i="28"/>
  <c r="BD93" i="28"/>
  <c r="BD91" i="28"/>
  <c r="BD92" i="28" s="1"/>
  <c r="BD87" i="28"/>
  <c r="AQ92" i="28"/>
  <c r="AT89" i="28"/>
  <c r="AT88" i="28"/>
  <c r="AN92" i="28"/>
  <c r="K6" i="28"/>
  <c r="AU89" i="28"/>
  <c r="AU88" i="28"/>
  <c r="BE93" i="28"/>
  <c r="BE87" i="28"/>
  <c r="BE91" i="28"/>
  <c r="CK118" i="28"/>
  <c r="BK6" i="28"/>
  <c r="AP94" i="28"/>
  <c r="AP7" i="28" s="1"/>
  <c r="AP6" i="28"/>
  <c r="E87" i="28"/>
  <c r="E119" i="28"/>
  <c r="AW93" i="28"/>
  <c r="AW91" i="28"/>
  <c r="AW87" i="28"/>
  <c r="J63" i="28"/>
  <c r="J61" i="28"/>
  <c r="K61" i="28"/>
  <c r="AH89" i="28"/>
  <c r="AH88" i="28"/>
  <c r="BQ93" i="28"/>
  <c r="BQ87" i="28"/>
  <c r="BQ91" i="28"/>
  <c r="BQ92" i="28" s="1"/>
  <c r="BQ119" i="28"/>
  <c r="BB94" i="28"/>
  <c r="BB7" i="28" s="1"/>
  <c r="BB6" i="28"/>
  <c r="AK93" i="28"/>
  <c r="AK87" i="28"/>
  <c r="AK91" i="28"/>
  <c r="AV94" i="28"/>
  <c r="AV7" i="28" s="1"/>
  <c r="AV6" i="28"/>
  <c r="AQ89" i="28"/>
  <c r="AQ88" i="28"/>
  <c r="AU94" i="28"/>
  <c r="AU7" i="28" s="1"/>
  <c r="AU6" i="28"/>
  <c r="G87" i="28"/>
  <c r="G119" i="28"/>
  <c r="AY89" i="28"/>
  <c r="AY88" i="28"/>
  <c r="AJ94" i="28"/>
  <c r="AJ7" i="28" s="1"/>
  <c r="AJ6" i="28"/>
  <c r="BW89" i="28"/>
  <c r="AX94" i="28"/>
  <c r="AX7" i="28" s="1"/>
  <c r="AX6" i="28"/>
  <c r="BU6" i="28"/>
  <c r="CL106" i="28"/>
  <c r="CI54" i="28"/>
  <c r="AV88" i="28"/>
  <c r="AV89" i="28"/>
  <c r="AR94" i="28"/>
  <c r="AR7" i="28" s="1"/>
  <c r="AR6" i="28"/>
  <c r="AO93" i="28"/>
  <c r="AO87" i="28"/>
  <c r="AO91" i="28"/>
  <c r="AO92" i="28" s="1"/>
  <c r="AQ94" i="28"/>
  <c r="AQ7" i="28" s="1"/>
  <c r="AQ6" i="28"/>
  <c r="AT94" i="28"/>
  <c r="AT7" i="28" s="1"/>
  <c r="AT6" i="28"/>
  <c r="AS93" i="28"/>
  <c r="AS87" i="28"/>
  <c r="AS91" i="28"/>
  <c r="BF91" i="28"/>
  <c r="BF92" i="28" s="1"/>
  <c r="BF93" i="28"/>
  <c r="BF87" i="28"/>
  <c r="AN94" i="28"/>
  <c r="AN7" i="28" s="1"/>
  <c r="AN6" i="28"/>
  <c r="AU92" i="28"/>
  <c r="BR89" i="28"/>
  <c r="BK89" i="28"/>
  <c r="AP92" i="28"/>
  <c r="J80" i="28"/>
  <c r="J79" i="28"/>
  <c r="J84" i="28"/>
  <c r="J82" i="28"/>
  <c r="K79" i="28"/>
  <c r="CH89" i="28"/>
  <c r="AH94" i="28"/>
  <c r="AH7" i="28" s="1"/>
  <c r="AH6" i="28"/>
  <c r="I87" i="28"/>
  <c r="I119" i="28"/>
  <c r="AI94" i="28"/>
  <c r="AI7" i="28" s="1"/>
  <c r="AI6" i="28"/>
  <c r="AJ88" i="28"/>
  <c r="AJ89" i="28"/>
  <c r="AR88" i="28"/>
  <c r="AR89" i="28"/>
  <c r="BC91" i="28"/>
  <c r="BC92" i="28" s="1"/>
  <c r="BC87" i="28"/>
  <c r="BC93" i="28"/>
  <c r="BZ6" i="28"/>
  <c r="AM94" i="28"/>
  <c r="AM7" i="28" s="1"/>
  <c r="AM6" i="28"/>
  <c r="AM89" i="28"/>
  <c r="AM88" i="28"/>
  <c r="BB89" i="28"/>
  <c r="BB88" i="28"/>
  <c r="AI89" i="28"/>
  <c r="AI88" i="28"/>
  <c r="AY94" i="28"/>
  <c r="AY7" i="28" s="1"/>
  <c r="AY6" i="28"/>
  <c r="AZ88" i="28"/>
  <c r="AZ89" i="28"/>
  <c r="CJ111" i="28"/>
  <c r="CJ110" i="28"/>
  <c r="BM6" i="28"/>
  <c r="BA93" i="28"/>
  <c r="BA87" i="28"/>
  <c r="BA91" i="28"/>
  <c r="BA92" i="28" s="1"/>
  <c r="BO93" i="28"/>
  <c r="BO87" i="28"/>
  <c r="BK72" i="30" s="1"/>
  <c r="BO91" i="28"/>
  <c r="BO92" i="28" s="1"/>
  <c r="BO119" i="28"/>
  <c r="AV92" i="28"/>
  <c r="S116" i="28"/>
  <c r="T115" i="28"/>
  <c r="C26" i="46"/>
  <c r="BY93" i="28"/>
  <c r="BY87" i="28"/>
  <c r="BY91" i="28"/>
  <c r="BY92" i="28" s="1"/>
  <c r="BY119" i="28"/>
  <c r="AG93" i="28"/>
  <c r="AG6" i="28" s="1"/>
  <c r="AG91" i="28"/>
  <c r="AG87" i="28"/>
  <c r="AG89" i="28" s="1"/>
  <c r="BZ89" i="28"/>
  <c r="BR6" i="28"/>
  <c r="CK111" i="28"/>
  <c r="CK110" i="28"/>
  <c r="CH6" i="28"/>
  <c r="AH92" i="28"/>
  <c r="CJ62" i="28" l="1"/>
  <c r="CF116" i="30"/>
  <c r="CJ71" i="28"/>
  <c r="CJ72" i="28" s="1"/>
  <c r="CF146" i="30"/>
  <c r="CK60" i="28"/>
  <c r="CD6" i="30"/>
  <c r="CP7" i="31"/>
  <c r="BS348" i="31"/>
  <c r="BU89" i="29"/>
  <c r="BU88" i="29" s="1"/>
  <c r="BJ87" i="28"/>
  <c r="BJ91" i="28"/>
  <c r="BJ93" i="28"/>
  <c r="BF154" i="30"/>
  <c r="BK76" i="30"/>
  <c r="BK80" i="30" s="1"/>
  <c r="AM112" i="45"/>
  <c r="BP75" i="29"/>
  <c r="BX80" i="31"/>
  <c r="AM20" i="45"/>
  <c r="M93" i="31"/>
  <c r="CR116" i="31"/>
  <c r="BS116" i="31"/>
  <c r="AI55" i="45" s="1"/>
  <c r="AI52" i="45"/>
  <c r="BE92" i="28"/>
  <c r="BB47" i="29"/>
  <c r="J47" i="29"/>
  <c r="BA49" i="29"/>
  <c r="BA50" i="29" s="1"/>
  <c r="BA70" i="29" s="1"/>
  <c r="P38" i="70"/>
  <c r="P42" i="70"/>
  <c r="Q22" i="70" s="1"/>
  <c r="N62" i="70"/>
  <c r="N69" i="70" s="1"/>
  <c r="O25" i="70"/>
  <c r="O93" i="70" s="1"/>
  <c r="O95" i="70" s="1"/>
  <c r="O99" i="70" s="1"/>
  <c r="O45" i="70"/>
  <c r="O35" i="70"/>
  <c r="O67" i="70"/>
  <c r="O23" i="70"/>
  <c r="P21" i="70"/>
  <c r="P25" i="70" s="1"/>
  <c r="R89" i="70"/>
  <c r="R30" i="70"/>
  <c r="S19" i="70"/>
  <c r="P31" i="70"/>
  <c r="R12" i="70"/>
  <c r="S11" i="70"/>
  <c r="Q37" i="70"/>
  <c r="Q38" i="70"/>
  <c r="AY20" i="50"/>
  <c r="AY75" i="50" s="1"/>
  <c r="M8" i="50"/>
  <c r="AY7" i="50"/>
  <c r="AX80" i="50"/>
  <c r="AX76" i="50"/>
  <c r="P39" i="50"/>
  <c r="O38" i="50"/>
  <c r="P37" i="50"/>
  <c r="O46" i="50"/>
  <c r="N62" i="50"/>
  <c r="O61" i="50"/>
  <c r="O63" i="50"/>
  <c r="O11" i="50"/>
  <c r="O13" i="50"/>
  <c r="N12" i="50"/>
  <c r="O33" i="50"/>
  <c r="P32" i="50"/>
  <c r="P34" i="50"/>
  <c r="N66" i="50"/>
  <c r="N68" i="50"/>
  <c r="M67" i="50"/>
  <c r="O58" i="50"/>
  <c r="O56" i="50"/>
  <c r="N57" i="50"/>
  <c r="N17" i="50"/>
  <c r="O16" i="50"/>
  <c r="O18" i="50"/>
  <c r="N28" i="50"/>
  <c r="O26" i="50"/>
  <c r="O24" i="50"/>
  <c r="N25" i="50"/>
  <c r="R71" i="50"/>
  <c r="Q72" i="50"/>
  <c r="R73" i="50"/>
  <c r="R72" i="50" s="1"/>
  <c r="CT109" i="31"/>
  <c r="CT104" i="31"/>
  <c r="CT100" i="31"/>
  <c r="V36" i="31"/>
  <c r="V39" i="31"/>
  <c r="W35" i="31"/>
  <c r="CL29" i="31"/>
  <c r="CH26" i="31"/>
  <c r="M58" i="31"/>
  <c r="M53" i="31"/>
  <c r="M54" i="31" s="1"/>
  <c r="M52" i="31"/>
  <c r="U401" i="31"/>
  <c r="U150" i="31"/>
  <c r="M150" i="30"/>
  <c r="M136" i="28"/>
  <c r="M84" i="28"/>
  <c r="M80" i="28"/>
  <c r="M82" i="28"/>
  <c r="N150" i="30"/>
  <c r="N79" i="28"/>
  <c r="N84" i="28"/>
  <c r="N136" i="28"/>
  <c r="N80" i="28"/>
  <c r="N82" i="28"/>
  <c r="CT158" i="31"/>
  <c r="CT142" i="31"/>
  <c r="BN101" i="31"/>
  <c r="BM111" i="31"/>
  <c r="BQ111" i="31"/>
  <c r="BU88" i="28"/>
  <c r="BM72" i="30"/>
  <c r="Y379" i="31"/>
  <c r="BN115" i="31"/>
  <c r="AD53" i="45" s="1"/>
  <c r="BN114" i="31"/>
  <c r="BU96" i="29"/>
  <c r="BU95" i="29" s="1"/>
  <c r="O150" i="30"/>
  <c r="O136" i="28"/>
  <c r="O82" i="28"/>
  <c r="P79" i="28"/>
  <c r="O84" i="28"/>
  <c r="O80" i="28"/>
  <c r="O79" i="28"/>
  <c r="O26" i="31"/>
  <c r="BT27" i="31"/>
  <c r="BT28" i="31"/>
  <c r="N26" i="31"/>
  <c r="BL110" i="31"/>
  <c r="BL105" i="31"/>
  <c r="BL100" i="31"/>
  <c r="BM106" i="31" s="1"/>
  <c r="BP110" i="31"/>
  <c r="BJ96" i="29"/>
  <c r="BJ95" i="29" s="1"/>
  <c r="BJ88" i="29"/>
  <c r="BR45" i="31"/>
  <c r="AH94" i="45" s="1"/>
  <c r="BJ14" i="28"/>
  <c r="BL65" i="30"/>
  <c r="BL116" i="30"/>
  <c r="BO78" i="29"/>
  <c r="BO77" i="29"/>
  <c r="BL146" i="30"/>
  <c r="BP61" i="28"/>
  <c r="BR75" i="29"/>
  <c r="BR89" i="29"/>
  <c r="BP62" i="28"/>
  <c r="BP63" i="28"/>
  <c r="BQ89" i="29"/>
  <c r="BQ75" i="29"/>
  <c r="BQ62" i="28"/>
  <c r="CE47" i="31"/>
  <c r="CA44" i="31"/>
  <c r="AQ93" i="45" s="1"/>
  <c r="AQ100" i="45" s="1"/>
  <c r="V400" i="31"/>
  <c r="W397" i="31"/>
  <c r="V398" i="31"/>
  <c r="BH91" i="28"/>
  <c r="BH92" i="28" s="1"/>
  <c r="BH93" i="28"/>
  <c r="BH6" i="28" s="1"/>
  <c r="BH87" i="28"/>
  <c r="CA28" i="31"/>
  <c r="CA27" i="31"/>
  <c r="BS11" i="28"/>
  <c r="W382" i="31"/>
  <c r="V166" i="31"/>
  <c r="U144" i="31"/>
  <c r="BM105" i="31"/>
  <c r="Y394" i="31"/>
  <c r="X395" i="31"/>
  <c r="BH150" i="30"/>
  <c r="BL82" i="28"/>
  <c r="BL84" i="28"/>
  <c r="BL80" i="28"/>
  <c r="BL79" i="28"/>
  <c r="BJ154" i="30"/>
  <c r="BU7" i="31"/>
  <c r="BL6" i="29"/>
  <c r="BI6" i="30"/>
  <c r="BV6" i="30"/>
  <c r="CH7" i="31"/>
  <c r="BQ6" i="30"/>
  <c r="CC7" i="31"/>
  <c r="CQ40" i="31"/>
  <c r="CP41" i="31"/>
  <c r="S40" i="31"/>
  <c r="T154" i="31"/>
  <c r="T151" i="31"/>
  <c r="BK16" i="28"/>
  <c r="BK15" i="28"/>
  <c r="BP150" i="30"/>
  <c r="BT79" i="28"/>
  <c r="BT84" i="28"/>
  <c r="BT82" i="28"/>
  <c r="BT80" i="28"/>
  <c r="BX31" i="31"/>
  <c r="BX26" i="31"/>
  <c r="CB29" i="31"/>
  <c r="BK324" i="31"/>
  <c r="BK39" i="31"/>
  <c r="BK47" i="31" s="1"/>
  <c r="BK99" i="31"/>
  <c r="BO36" i="31"/>
  <c r="BS93" i="28"/>
  <c r="BS119" i="28"/>
  <c r="BS91" i="28"/>
  <c r="BW92" i="28" s="1"/>
  <c r="BS87" i="28"/>
  <c r="BV44" i="31"/>
  <c r="AL93" i="45" s="1"/>
  <c r="AL100" i="45" s="1"/>
  <c r="BZ47" i="31"/>
  <c r="BX91" i="28"/>
  <c r="BX93" i="28"/>
  <c r="BX87" i="28"/>
  <c r="BX119" i="28"/>
  <c r="BQ345" i="31"/>
  <c r="BQ344" i="31"/>
  <c r="AE91" i="31"/>
  <c r="AE93" i="31" s="1"/>
  <c r="AE38" i="31"/>
  <c r="AF37" i="31"/>
  <c r="F65" i="30"/>
  <c r="F69" i="30" s="1"/>
  <c r="G61" i="28"/>
  <c r="F146" i="30"/>
  <c r="F78" i="29"/>
  <c r="F63" i="28"/>
  <c r="F61" i="28"/>
  <c r="F89" i="29"/>
  <c r="F77" i="29"/>
  <c r="F116" i="30"/>
  <c r="U169" i="31"/>
  <c r="U167" i="31"/>
  <c r="U174" i="31"/>
  <c r="BH65" i="30"/>
  <c r="BH69" i="30" s="1"/>
  <c r="BH116" i="30"/>
  <c r="BK77" i="29"/>
  <c r="BH146" i="30"/>
  <c r="BN89" i="29"/>
  <c r="BK78" i="29"/>
  <c r="BL75" i="29"/>
  <c r="BN75" i="29"/>
  <c r="BM75" i="29"/>
  <c r="BL62" i="28"/>
  <c r="BM62" i="28"/>
  <c r="BL63" i="28"/>
  <c r="BL61" i="28"/>
  <c r="BL89" i="29"/>
  <c r="BM89" i="29"/>
  <c r="BK75" i="29"/>
  <c r="BK89" i="29"/>
  <c r="U157" i="31"/>
  <c r="U142" i="31"/>
  <c r="U140" i="31"/>
  <c r="U164" i="31"/>
  <c r="X370" i="31"/>
  <c r="W385" i="31"/>
  <c r="W183" i="31"/>
  <c r="BP96" i="29"/>
  <c r="BP95" i="29" s="1"/>
  <c r="BP88" i="29"/>
  <c r="BZ7" i="31"/>
  <c r="BN6" i="30"/>
  <c r="BQ6" i="29"/>
  <c r="BS7" i="31"/>
  <c r="BJ6" i="29"/>
  <c r="BG6" i="30"/>
  <c r="BE72" i="30"/>
  <c r="BE10" i="30"/>
  <c r="BE30" i="30" s="1"/>
  <c r="AG105" i="45" s="1"/>
  <c r="AG107" i="45" s="1"/>
  <c r="AG109" i="45" s="1"/>
  <c r="BR115" i="31"/>
  <c r="AH53" i="45" s="1"/>
  <c r="BR114" i="31"/>
  <c r="M29" i="31"/>
  <c r="M30" i="31" s="1"/>
  <c r="M27" i="31"/>
  <c r="V191" i="31"/>
  <c r="V182" i="31"/>
  <c r="V180" i="31"/>
  <c r="T17" i="31"/>
  <c r="T12" i="31"/>
  <c r="U11" i="31"/>
  <c r="S102" i="29"/>
  <c r="T16" i="31"/>
  <c r="T18" i="31" s="1"/>
  <c r="CT156" i="31"/>
  <c r="CT155" i="31"/>
  <c r="CT118" i="31"/>
  <c r="CT20" i="31"/>
  <c r="CT194" i="31"/>
  <c r="BO154" i="30"/>
  <c r="BT96" i="29"/>
  <c r="BT95" i="29" s="1"/>
  <c r="BT88" i="29"/>
  <c r="BO69" i="30"/>
  <c r="BO81" i="30"/>
  <c r="BP116" i="30"/>
  <c r="BS77" i="29"/>
  <c r="BT63" i="28"/>
  <c r="BS78" i="29"/>
  <c r="BP65" i="30"/>
  <c r="BT62" i="28"/>
  <c r="BT61" i="28"/>
  <c r="BV89" i="29"/>
  <c r="BV96" i="29" s="1"/>
  <c r="BU62" i="28"/>
  <c r="BP146" i="30"/>
  <c r="BP338" i="31"/>
  <c r="BL327" i="31"/>
  <c r="BP341" i="31" s="1"/>
  <c r="BD154" i="30"/>
  <c r="H150" i="30"/>
  <c r="H84" i="28"/>
  <c r="H82" i="28"/>
  <c r="H80" i="28"/>
  <c r="H79" i="28"/>
  <c r="I79" i="28"/>
  <c r="H65" i="30"/>
  <c r="H69" i="30" s="1"/>
  <c r="H78" i="29"/>
  <c r="H61" i="28"/>
  <c r="I61" i="28"/>
  <c r="H146" i="30"/>
  <c r="H63" i="28"/>
  <c r="H89" i="29"/>
  <c r="H77" i="29"/>
  <c r="H116" i="30"/>
  <c r="CD27" i="31"/>
  <c r="BV11" i="28"/>
  <c r="CA87" i="28"/>
  <c r="CA91" i="28"/>
  <c r="CA92" i="28" s="1"/>
  <c r="CA93" i="28"/>
  <c r="CA119" i="28"/>
  <c r="Y392" i="31"/>
  <c r="Y147" i="31"/>
  <c r="Y148" i="31" s="1"/>
  <c r="BY31" i="31"/>
  <c r="CC29" i="31"/>
  <c r="BY26" i="31"/>
  <c r="BZ31" i="31"/>
  <c r="BW49" i="31"/>
  <c r="CT177" i="31"/>
  <c r="CS22" i="31"/>
  <c r="CS21" i="31"/>
  <c r="F150" i="30"/>
  <c r="F80" i="28"/>
  <c r="F82" i="28"/>
  <c r="F79" i="28"/>
  <c r="F84" i="28"/>
  <c r="G79" i="28"/>
  <c r="BN87" i="28"/>
  <c r="BN91" i="28"/>
  <c r="BN93" i="28"/>
  <c r="BV91" i="28"/>
  <c r="BV119" i="28"/>
  <c r="BV93" i="28"/>
  <c r="BV87" i="28"/>
  <c r="U403" i="31"/>
  <c r="U404" i="31" s="1"/>
  <c r="V184" i="31"/>
  <c r="BO75" i="29"/>
  <c r="V368" i="31"/>
  <c r="V139" i="31"/>
  <c r="BQ47" i="31"/>
  <c r="BM48" i="31"/>
  <c r="BN49" i="31"/>
  <c r="O146" i="30"/>
  <c r="O154" i="30" s="1"/>
  <c r="O89" i="29"/>
  <c r="O75" i="29"/>
  <c r="O65" i="30"/>
  <c r="O69" i="30" s="1"/>
  <c r="O116" i="30"/>
  <c r="O61" i="28"/>
  <c r="O78" i="29"/>
  <c r="O71" i="29"/>
  <c r="O63" i="28"/>
  <c r="O77" i="29"/>
  <c r="Y361" i="31"/>
  <c r="X161" i="31"/>
  <c r="BU92" i="28"/>
  <c r="BS6" i="30"/>
  <c r="CE7" i="31"/>
  <c r="BS96" i="29"/>
  <c r="BS95" i="29" s="1"/>
  <c r="BS88" i="29"/>
  <c r="BV82" i="31"/>
  <c r="AL22" i="45" s="1"/>
  <c r="BU83" i="31"/>
  <c r="AK23" i="45" s="1"/>
  <c r="BR69" i="30"/>
  <c r="BR81" i="30"/>
  <c r="BR88" i="30" s="1"/>
  <c r="BU106" i="30" s="1"/>
  <c r="W367" i="31"/>
  <c r="X352" i="31"/>
  <c r="W179" i="31"/>
  <c r="BL39" i="31"/>
  <c r="BL47" i="31" s="1"/>
  <c r="BL150" i="30"/>
  <c r="BP79" i="28"/>
  <c r="BP82" i="28"/>
  <c r="BP84" i="28"/>
  <c r="BP80" i="28"/>
  <c r="BT51" i="31"/>
  <c r="BS58" i="31"/>
  <c r="BS52" i="31"/>
  <c r="U425" i="31"/>
  <c r="U192" i="31"/>
  <c r="AA388" i="31"/>
  <c r="Z391" i="31"/>
  <c r="Z187" i="31"/>
  <c r="Z188" i="31" s="1"/>
  <c r="BU27" i="31"/>
  <c r="BU28" i="31"/>
  <c r="BV28" i="31"/>
  <c r="BW45" i="31"/>
  <c r="AM94" i="45" s="1"/>
  <c r="CT431" i="31"/>
  <c r="CT414" i="31"/>
  <c r="CT417" i="31"/>
  <c r="CT415" i="31"/>
  <c r="CT432" i="31"/>
  <c r="M77" i="29"/>
  <c r="M146" i="30"/>
  <c r="M65" i="30"/>
  <c r="M69" i="30" s="1"/>
  <c r="M89" i="29"/>
  <c r="M116" i="30"/>
  <c r="M71" i="29"/>
  <c r="M75" i="29"/>
  <c r="M63" i="28"/>
  <c r="M78" i="29"/>
  <c r="N146" i="30"/>
  <c r="N65" i="30"/>
  <c r="N69" i="30" s="1"/>
  <c r="N89" i="29"/>
  <c r="N77" i="29"/>
  <c r="N116" i="30"/>
  <c r="N71" i="29"/>
  <c r="N75" i="29"/>
  <c r="N78" i="29"/>
  <c r="N61" i="28"/>
  <c r="N63" i="28"/>
  <c r="T144" i="31"/>
  <c r="T186" i="31"/>
  <c r="T157" i="31"/>
  <c r="CT146" i="31"/>
  <c r="CI29" i="31"/>
  <c r="CE31" i="31"/>
  <c r="CE26" i="31"/>
  <c r="W162" i="31"/>
  <c r="T413" i="31"/>
  <c r="T177" i="31"/>
  <c r="T175" i="31"/>
  <c r="T165" i="31"/>
  <c r="CT101" i="31"/>
  <c r="CS111" i="31"/>
  <c r="CS106" i="31"/>
  <c r="CS101" i="31"/>
  <c r="V386" i="31"/>
  <c r="V143" i="31"/>
  <c r="V186" i="31" s="1"/>
  <c r="BO89" i="29"/>
  <c r="G113" i="29"/>
  <c r="G114" i="29" s="1"/>
  <c r="G115" i="29" s="1"/>
  <c r="E113" i="29"/>
  <c r="E114" i="29" s="1"/>
  <c r="E115" i="29" s="1"/>
  <c r="P76" i="81"/>
  <c r="Q8" i="81"/>
  <c r="CK28" i="28"/>
  <c r="CK42" i="28"/>
  <c r="CK41" i="28"/>
  <c r="CK40" i="28"/>
  <c r="CH108" i="30"/>
  <c r="CH111" i="30"/>
  <c r="CH110" i="30"/>
  <c r="Q77" i="81"/>
  <c r="R9" i="81"/>
  <c r="O20" i="81"/>
  <c r="O79" i="81"/>
  <c r="O29" i="81"/>
  <c r="O27" i="81"/>
  <c r="O28" i="81"/>
  <c r="O24" i="81"/>
  <c r="O26" i="81"/>
  <c r="O25" i="81"/>
  <c r="P73" i="81"/>
  <c r="P11" i="81"/>
  <c r="P26" i="81" s="1"/>
  <c r="Q5" i="81"/>
  <c r="CJ31" i="29"/>
  <c r="CG26" i="30" s="1"/>
  <c r="CJ30" i="29"/>
  <c r="CK35" i="28"/>
  <c r="CK34" i="28"/>
  <c r="CK33" i="28"/>
  <c r="CF149" i="30"/>
  <c r="CI18" i="29"/>
  <c r="CF41" i="30"/>
  <c r="CF67" i="30"/>
  <c r="CG84" i="30"/>
  <c r="CG34" i="30"/>
  <c r="CG74" i="30"/>
  <c r="CG114" i="30"/>
  <c r="CG116" i="30"/>
  <c r="CG117" i="30"/>
  <c r="CG126" i="30"/>
  <c r="CI34" i="29"/>
  <c r="CF26" i="30"/>
  <c r="Q78" i="81"/>
  <c r="R10" i="81"/>
  <c r="R7" i="81"/>
  <c r="Q75" i="81"/>
  <c r="Q74" i="81"/>
  <c r="R6" i="81"/>
  <c r="CG146" i="30"/>
  <c r="CG65" i="30"/>
  <c r="CG81" i="30" s="1"/>
  <c r="CK62" i="28"/>
  <c r="CK71" i="28"/>
  <c r="CK72" i="28" s="1"/>
  <c r="CK63" i="28"/>
  <c r="CJ29" i="28"/>
  <c r="CJ30" i="28"/>
  <c r="CJ49" i="28"/>
  <c r="CL27" i="28"/>
  <c r="CK13" i="29"/>
  <c r="CL32" i="28"/>
  <c r="CL39" i="28"/>
  <c r="S39" i="28" s="1"/>
  <c r="CL19" i="28"/>
  <c r="CH125" i="30"/>
  <c r="S25" i="28"/>
  <c r="CJ89" i="29"/>
  <c r="CJ96" i="29" s="1"/>
  <c r="P108" i="29"/>
  <c r="P113" i="29" s="1"/>
  <c r="P114" i="29" s="1"/>
  <c r="P87" i="28"/>
  <c r="P119" i="28"/>
  <c r="BW106" i="30"/>
  <c r="CD104" i="30"/>
  <c r="R48" i="28"/>
  <c r="Q73" i="30"/>
  <c r="Q49" i="28"/>
  <c r="Q48" i="28"/>
  <c r="BW100" i="30"/>
  <c r="P81" i="30"/>
  <c r="P88" i="30" s="1"/>
  <c r="P104" i="30" s="1"/>
  <c r="BX100" i="30"/>
  <c r="AN55" i="30"/>
  <c r="AN57" i="30" s="1"/>
  <c r="AM58" i="30"/>
  <c r="BU104" i="30"/>
  <c r="BX106" i="30"/>
  <c r="T130" i="30"/>
  <c r="T47" i="28"/>
  <c r="T13" i="30"/>
  <c r="BX150" i="30"/>
  <c r="BX154" i="30" s="1"/>
  <c r="CB82" i="28"/>
  <c r="CB84" i="28"/>
  <c r="CB80" i="28"/>
  <c r="CB79" i="28"/>
  <c r="BQ100" i="30"/>
  <c r="BO100" i="30"/>
  <c r="BU72" i="30"/>
  <c r="BU76" i="30" s="1"/>
  <c r="BU80" i="30" s="1"/>
  <c r="BP100" i="30"/>
  <c r="BV100" i="30"/>
  <c r="U132" i="30"/>
  <c r="U128" i="30"/>
  <c r="V122" i="30"/>
  <c r="BZ132" i="30"/>
  <c r="BZ124" i="30"/>
  <c r="BZ123" i="30"/>
  <c r="CD124" i="30"/>
  <c r="BZ126" i="30"/>
  <c r="BZ117" i="30"/>
  <c r="CA123" i="30"/>
  <c r="CA126" i="30"/>
  <c r="Q122" i="30"/>
  <c r="BS104" i="30"/>
  <c r="BV106" i="30"/>
  <c r="AC58" i="30"/>
  <c r="AD55" i="30"/>
  <c r="AD57" i="30" s="1"/>
  <c r="CH50" i="28"/>
  <c r="CD50" i="28"/>
  <c r="J55" i="30"/>
  <c r="J57" i="30" s="1"/>
  <c r="CC100" i="30"/>
  <c r="CA100" i="30"/>
  <c r="P154" i="30"/>
  <c r="AW139" i="30"/>
  <c r="AW138" i="30"/>
  <c r="AX135" i="30" s="1"/>
  <c r="S19" i="29"/>
  <c r="T19" i="29" s="1"/>
  <c r="T111" i="29"/>
  <c r="U43" i="29"/>
  <c r="BM50" i="29"/>
  <c r="BM74" i="29"/>
  <c r="BV70" i="29"/>
  <c r="X93" i="29"/>
  <c r="N107" i="29"/>
  <c r="M70" i="29"/>
  <c r="M50" i="29"/>
  <c r="M52" i="29" s="1"/>
  <c r="M74" i="29"/>
  <c r="BW49" i="29"/>
  <c r="BW50" i="29" s="1"/>
  <c r="BX48" i="29"/>
  <c r="BU52" i="29"/>
  <c r="BU70" i="29"/>
  <c r="CH14" i="29"/>
  <c r="R14" i="29"/>
  <c r="W29" i="29"/>
  <c r="BL52" i="29"/>
  <c r="BL70" i="29"/>
  <c r="BN49" i="29"/>
  <c r="BO48" i="29"/>
  <c r="BD94" i="28"/>
  <c r="BD6" i="28"/>
  <c r="BI94" i="28"/>
  <c r="BI7" i="28" s="1"/>
  <c r="BI6" i="28"/>
  <c r="BO94" i="28"/>
  <c r="BO7" i="28" s="1"/>
  <c r="BO6" i="28"/>
  <c r="BM94" i="28"/>
  <c r="BM7" i="28" s="1"/>
  <c r="BJ92" i="28"/>
  <c r="BC89" i="28"/>
  <c r="BC88" i="28"/>
  <c r="AS92" i="28"/>
  <c r="AO89" i="28"/>
  <c r="AO88" i="28"/>
  <c r="CL126" i="28"/>
  <c r="CL109" i="28"/>
  <c r="CL107" i="28"/>
  <c r="S106" i="28"/>
  <c r="CL117" i="28"/>
  <c r="CH46" i="30" s="1"/>
  <c r="BE89" i="28"/>
  <c r="BE88" i="28"/>
  <c r="BS92" i="28"/>
  <c r="BO89" i="28"/>
  <c r="BO88" i="28"/>
  <c r="AK94" i="28"/>
  <c r="AK7" i="28" s="1"/>
  <c r="AK6" i="28"/>
  <c r="BY89" i="28"/>
  <c r="BY88" i="28"/>
  <c r="C27" i="46"/>
  <c r="C28" i="46"/>
  <c r="C30" i="46"/>
  <c r="C29" i="46"/>
  <c r="C31" i="46"/>
  <c r="BS88" i="28"/>
  <c r="BF89" i="28"/>
  <c r="BF88" i="28"/>
  <c r="AS89" i="28"/>
  <c r="AS88" i="28"/>
  <c r="AO94" i="28"/>
  <c r="AO7" i="28" s="1"/>
  <c r="AO6" i="28"/>
  <c r="AK92" i="28"/>
  <c r="AW89" i="28"/>
  <c r="AW88" i="28"/>
  <c r="E93" i="28"/>
  <c r="E6" i="28" s="1"/>
  <c r="F7" i="31" s="1"/>
  <c r="E91" i="28"/>
  <c r="E89" i="28"/>
  <c r="BE94" i="28"/>
  <c r="BE6" i="28"/>
  <c r="BD88" i="28"/>
  <c r="BD89" i="28"/>
  <c r="BI92" i="28"/>
  <c r="BA94" i="28"/>
  <c r="BA7" i="28" s="1"/>
  <c r="BA6" i="28"/>
  <c r="BC94" i="28"/>
  <c r="BC6" i="28"/>
  <c r="J87" i="28"/>
  <c r="J119" i="28"/>
  <c r="G93" i="28"/>
  <c r="G91" i="28"/>
  <c r="G89" i="28"/>
  <c r="BQ94" i="28"/>
  <c r="BQ7" i="28" s="1"/>
  <c r="BQ6" i="28"/>
  <c r="AW94" i="28"/>
  <c r="AW7" i="28" s="1"/>
  <c r="AW6" i="28"/>
  <c r="BY94" i="28"/>
  <c r="BY7" i="28" s="1"/>
  <c r="BY6" i="28"/>
  <c r="U115" i="28"/>
  <c r="D26" i="46"/>
  <c r="BA89" i="28"/>
  <c r="BA88" i="28"/>
  <c r="I93" i="28"/>
  <c r="I91" i="28"/>
  <c r="I89" i="28"/>
  <c r="BF94" i="28"/>
  <c r="BF6" i="28"/>
  <c r="AS94" i="28"/>
  <c r="AS7" i="28" s="1"/>
  <c r="AS6" i="28"/>
  <c r="BU94" i="28"/>
  <c r="BU7" i="28" s="1"/>
  <c r="AK89" i="28"/>
  <c r="AK88" i="28"/>
  <c r="BQ89" i="28"/>
  <c r="BQ88" i="28"/>
  <c r="AW92" i="28"/>
  <c r="S122" i="28"/>
  <c r="T121" i="28"/>
  <c r="T106" i="28" s="1"/>
  <c r="BI89" i="28"/>
  <c r="BI88" i="28"/>
  <c r="DE9" i="74"/>
  <c r="DF9" i="74"/>
  <c r="P23" i="81" l="1"/>
  <c r="BQ348" i="31"/>
  <c r="BM76" i="30"/>
  <c r="BM80" i="30" s="1"/>
  <c r="AO118" i="45" s="1"/>
  <c r="AO120" i="45" s="1"/>
  <c r="AO112" i="45"/>
  <c r="BE76" i="30"/>
  <c r="BE80" i="30" s="1"/>
  <c r="AG118" i="45" s="1"/>
  <c r="AG120" i="45" s="1"/>
  <c r="AG112" i="45"/>
  <c r="BL154" i="30"/>
  <c r="BK88" i="30"/>
  <c r="BK104" i="30" s="1"/>
  <c r="AM118" i="45"/>
  <c r="AM120" i="45" s="1"/>
  <c r="BF72" i="30"/>
  <c r="BF10" i="30"/>
  <c r="BF30" i="30" s="1"/>
  <c r="BJ88" i="28"/>
  <c r="BJ89" i="28"/>
  <c r="BH94" i="28"/>
  <c r="BH7" i="28" s="1"/>
  <c r="M154" i="30"/>
  <c r="BJ94" i="28"/>
  <c r="BJ7" i="28" s="1"/>
  <c r="BJ6" i="28"/>
  <c r="BN116" i="31"/>
  <c r="AD55" i="45" s="1"/>
  <c r="AD52" i="45"/>
  <c r="BW46" i="31"/>
  <c r="AM95" i="45" s="1"/>
  <c r="BR116" i="31"/>
  <c r="AH55" i="45" s="1"/>
  <c r="AH52" i="45"/>
  <c r="F154" i="30"/>
  <c r="BY80" i="31"/>
  <c r="AN20" i="45"/>
  <c r="J49" i="29"/>
  <c r="K113" i="29"/>
  <c r="J113" i="29"/>
  <c r="J114" i="29" s="1"/>
  <c r="J115" i="29" s="1"/>
  <c r="BC47" i="29"/>
  <c r="BB49" i="29"/>
  <c r="BB50" i="29" s="1"/>
  <c r="BB70" i="29" s="1"/>
  <c r="CH75" i="30"/>
  <c r="S46" i="30"/>
  <c r="S75" i="30" s="1"/>
  <c r="O51" i="70"/>
  <c r="O60" i="70"/>
  <c r="P35" i="70"/>
  <c r="Q21" i="70" s="1"/>
  <c r="P29" i="70"/>
  <c r="P32" i="70"/>
  <c r="O44" i="70"/>
  <c r="S89" i="70"/>
  <c r="S30" i="70"/>
  <c r="T19" i="70"/>
  <c r="S12" i="70"/>
  <c r="T11" i="70"/>
  <c r="T12" i="70" s="1"/>
  <c r="P93" i="70"/>
  <c r="P60" i="70"/>
  <c r="P51" i="70"/>
  <c r="Q42" i="70"/>
  <c r="M7" i="50"/>
  <c r="N6" i="50"/>
  <c r="N8" i="50"/>
  <c r="M20" i="50"/>
  <c r="M75" i="50" s="1"/>
  <c r="O28" i="50"/>
  <c r="P26" i="50"/>
  <c r="P24" i="50"/>
  <c r="O25" i="50"/>
  <c r="P58" i="50"/>
  <c r="P56" i="50"/>
  <c r="O57" i="50"/>
  <c r="Q34" i="50"/>
  <c r="Q32" i="50"/>
  <c r="P33" i="50"/>
  <c r="P13" i="50"/>
  <c r="O12" i="50"/>
  <c r="P11" i="50"/>
  <c r="Q39" i="50"/>
  <c r="Q37" i="50"/>
  <c r="P38" i="50"/>
  <c r="P46" i="50"/>
  <c r="P16" i="50"/>
  <c r="P18" i="50"/>
  <c r="O17" i="50"/>
  <c r="O68" i="50"/>
  <c r="N67" i="50"/>
  <c r="O66" i="50"/>
  <c r="P63" i="50"/>
  <c r="O62" i="50"/>
  <c r="P61" i="50"/>
  <c r="AY80" i="50"/>
  <c r="AY76" i="50"/>
  <c r="BU7" i="30"/>
  <c r="CG8" i="31"/>
  <c r="CE27" i="31"/>
  <c r="CE28" i="31"/>
  <c r="BW11" i="28"/>
  <c r="W368" i="31"/>
  <c r="W139" i="31"/>
  <c r="V425" i="31"/>
  <c r="V192" i="31"/>
  <c r="BM96" i="29"/>
  <c r="BM95" i="29" s="1"/>
  <c r="BM88" i="29"/>
  <c r="F96" i="29"/>
  <c r="F95" i="29" s="1"/>
  <c r="F88" i="29"/>
  <c r="T155" i="31"/>
  <c r="T118" i="31"/>
  <c r="T20" i="31"/>
  <c r="T21" i="31" s="1"/>
  <c r="T194" i="31"/>
  <c r="BP7" i="31"/>
  <c r="BD6" i="30"/>
  <c r="BG6" i="29"/>
  <c r="BM88" i="30"/>
  <c r="BM104" i="30" s="1"/>
  <c r="T459" i="31"/>
  <c r="T460" i="31" s="1"/>
  <c r="T431" i="31"/>
  <c r="T417" i="31"/>
  <c r="T414" i="31"/>
  <c r="T432" i="31"/>
  <c r="N154" i="30"/>
  <c r="BT58" i="31"/>
  <c r="BT52" i="31"/>
  <c r="BU51" i="31"/>
  <c r="BR104" i="30"/>
  <c r="BT106" i="30"/>
  <c r="V157" i="31"/>
  <c r="V158" i="31" s="1"/>
  <c r="V140" i="31"/>
  <c r="V164" i="31"/>
  <c r="BR72" i="30"/>
  <c r="BZ88" i="28"/>
  <c r="BV89" i="28"/>
  <c r="BV88" i="28"/>
  <c r="BN6" i="28"/>
  <c r="BR94" i="28"/>
  <c r="BR7" i="28" s="1"/>
  <c r="BN94" i="28"/>
  <c r="BN7" i="28" s="1"/>
  <c r="F108" i="29"/>
  <c r="F113" i="29" s="1"/>
  <c r="F114" i="29" s="1"/>
  <c r="F115" i="29" s="1"/>
  <c r="F119" i="28"/>
  <c r="F72" i="30"/>
  <c r="F76" i="30" s="1"/>
  <c r="F80" i="30" s="1"/>
  <c r="F87" i="28"/>
  <c r="CA6" i="28"/>
  <c r="CA94" i="28"/>
  <c r="CA7" i="28" s="1"/>
  <c r="H154" i="30"/>
  <c r="BP344" i="31"/>
  <c r="BP345" i="31"/>
  <c r="BP154" i="30"/>
  <c r="CT22" i="31"/>
  <c r="CT21" i="31"/>
  <c r="Y370" i="31"/>
  <c r="X183" i="31"/>
  <c r="U158" i="31"/>
  <c r="BL96" i="29"/>
  <c r="BL95" i="29" s="1"/>
  <c r="BL88" i="29"/>
  <c r="BO72" i="30"/>
  <c r="BW88" i="28"/>
  <c r="BS89" i="28"/>
  <c r="CB31" i="31"/>
  <c r="CB26" i="31"/>
  <c r="CF29" i="31"/>
  <c r="S42" i="31"/>
  <c r="S41" i="31"/>
  <c r="U146" i="31"/>
  <c r="CA45" i="31"/>
  <c r="AQ94" i="45" s="1"/>
  <c r="BR96" i="29"/>
  <c r="BR95" i="29" s="1"/>
  <c r="BR88" i="29"/>
  <c r="BJ15" i="28"/>
  <c r="BJ16" i="28"/>
  <c r="O29" i="31"/>
  <c r="O27" i="31"/>
  <c r="BQ115" i="31"/>
  <c r="BQ114" i="31"/>
  <c r="AG52" i="45" s="1"/>
  <c r="N137" i="28"/>
  <c r="N132" i="28" s="1"/>
  <c r="CP29" i="31"/>
  <c r="CL26" i="31"/>
  <c r="CT111" i="31"/>
  <c r="CT106" i="31"/>
  <c r="BP8" i="31"/>
  <c r="BD7" i="30"/>
  <c r="BG7" i="29"/>
  <c r="BK6" i="30"/>
  <c r="BN6" i="29"/>
  <c r="BW7" i="31"/>
  <c r="BU47" i="31"/>
  <c r="BQ44" i="31"/>
  <c r="AG93" i="45" s="1"/>
  <c r="AG100" i="45" s="1"/>
  <c r="BR49" i="31"/>
  <c r="BV92" i="28"/>
  <c r="BZ92" i="28"/>
  <c r="W386" i="31"/>
  <c r="W143" i="31"/>
  <c r="BX6" i="28"/>
  <c r="BK331" i="31"/>
  <c r="BK334" i="31" s="1"/>
  <c r="BK327" i="31"/>
  <c r="BO341" i="31" s="1"/>
  <c r="BO338" i="31"/>
  <c r="BS13" i="28"/>
  <c r="V401" i="31"/>
  <c r="V150" i="31"/>
  <c r="BL69" i="30"/>
  <c r="BL81" i="30"/>
  <c r="O108" i="29"/>
  <c r="O113" i="29" s="1"/>
  <c r="O114" i="29" s="1"/>
  <c r="O115" i="29" s="1"/>
  <c r="O87" i="28"/>
  <c r="O119" i="28"/>
  <c r="M137" i="28"/>
  <c r="M132" i="28" s="1"/>
  <c r="M133" i="28" s="1"/>
  <c r="N131" i="28" s="1"/>
  <c r="BW8" i="31"/>
  <c r="BK7" i="30"/>
  <c r="BN7" i="29"/>
  <c r="BQ7" i="30"/>
  <c r="CC8" i="31"/>
  <c r="BY7" i="31"/>
  <c r="BM6" i="30"/>
  <c r="BP6" i="29"/>
  <c r="BQ7" i="31"/>
  <c r="BE6" i="30"/>
  <c r="BH6" i="29"/>
  <c r="BO96" i="29"/>
  <c r="BO95" i="29" s="1"/>
  <c r="BO88" i="29"/>
  <c r="CM29" i="31"/>
  <c r="CI31" i="31"/>
  <c r="CI26" i="31"/>
  <c r="Z392" i="31"/>
  <c r="Z147" i="31"/>
  <c r="Z148" i="31" s="1"/>
  <c r="U426" i="31"/>
  <c r="U429" i="31"/>
  <c r="W180" i="31"/>
  <c r="W191" i="31"/>
  <c r="X162" i="31"/>
  <c r="BV6" i="28"/>
  <c r="BV94" i="28"/>
  <c r="BV7" i="28" s="1"/>
  <c r="BZ94" i="28"/>
  <c r="BZ7" i="28" s="1"/>
  <c r="BN92" i="28"/>
  <c r="BR92" i="28"/>
  <c r="BV13" i="28"/>
  <c r="BV12" i="28"/>
  <c r="H108" i="29"/>
  <c r="H87" i="28"/>
  <c r="H72" i="30"/>
  <c r="H76" i="30" s="1"/>
  <c r="H80" i="30" s="1"/>
  <c r="H119" i="28"/>
  <c r="BL331" i="31"/>
  <c r="BL334" i="31" s="1"/>
  <c r="BP81" i="30"/>
  <c r="BP88" i="30" s="1"/>
  <c r="BP69" i="30"/>
  <c r="BE53" i="30"/>
  <c r="BE61" i="30"/>
  <c r="BK96" i="29"/>
  <c r="BK95" i="29" s="1"/>
  <c r="BK88" i="29"/>
  <c r="BN96" i="29"/>
  <c r="BN95" i="29" s="1"/>
  <c r="BN88" i="29"/>
  <c r="BZ44" i="31"/>
  <c r="AP93" i="45" s="1"/>
  <c r="AP100" i="45" s="1"/>
  <c r="CD47" i="31"/>
  <c r="BK110" i="31"/>
  <c r="BK105" i="31"/>
  <c r="BK100" i="31"/>
  <c r="BO110" i="31"/>
  <c r="BX27" i="31"/>
  <c r="BX28" i="31"/>
  <c r="BT93" i="28"/>
  <c r="BX94" i="28" s="1"/>
  <c r="BX7" i="28" s="1"/>
  <c r="BT119" i="28"/>
  <c r="BT91" i="28"/>
  <c r="BX92" i="28" s="1"/>
  <c r="BT87" i="28"/>
  <c r="BX88" i="28" s="1"/>
  <c r="BL87" i="28"/>
  <c r="BL93" i="28"/>
  <c r="BL91" i="28"/>
  <c r="BL92" i="28" s="1"/>
  <c r="Z394" i="31"/>
  <c r="Y395" i="31"/>
  <c r="V169" i="31"/>
  <c r="V167" i="31"/>
  <c r="V174" i="31"/>
  <c r="CA49" i="31"/>
  <c r="BQ96" i="29"/>
  <c r="BQ95" i="29" s="1"/>
  <c r="BQ88" i="29"/>
  <c r="N29" i="31"/>
  <c r="N30" i="31" s="1"/>
  <c r="N27" i="31"/>
  <c r="N108" i="29"/>
  <c r="N113" i="29" s="1"/>
  <c r="N102" i="28"/>
  <c r="N101" i="28" s="1"/>
  <c r="N119" i="28"/>
  <c r="N87" i="28"/>
  <c r="U154" i="31"/>
  <c r="U151" i="31"/>
  <c r="W39" i="31"/>
  <c r="W36" i="31"/>
  <c r="X35" i="31"/>
  <c r="T158" i="31"/>
  <c r="T142" i="31"/>
  <c r="BV83" i="31"/>
  <c r="AL23" i="45" s="1"/>
  <c r="N82" i="31"/>
  <c r="BW82" i="31"/>
  <c r="AM22" i="45" s="1"/>
  <c r="CC26" i="31"/>
  <c r="CG29" i="31"/>
  <c r="CC31" i="31"/>
  <c r="CD31" i="31"/>
  <c r="BS94" i="28"/>
  <c r="BS7" i="28" s="1"/>
  <c r="BS6" i="28"/>
  <c r="BW94" i="28"/>
  <c r="BW7" i="28" s="1"/>
  <c r="BU6" i="30"/>
  <c r="CG7" i="31"/>
  <c r="BM7" i="30"/>
  <c r="BP7" i="29"/>
  <c r="BY8" i="31"/>
  <c r="BI7" i="30"/>
  <c r="BL7" i="29"/>
  <c r="BU8" i="31"/>
  <c r="BQ8" i="31"/>
  <c r="BE7" i="30"/>
  <c r="BH7" i="29"/>
  <c r="V144" i="31"/>
  <c r="V146" i="31"/>
  <c r="CS115" i="31"/>
  <c r="CS114" i="31"/>
  <c r="T146" i="31"/>
  <c r="N96" i="29"/>
  <c r="N95" i="29" s="1"/>
  <c r="N88" i="29"/>
  <c r="M96" i="29"/>
  <c r="M95" i="29" s="1"/>
  <c r="M88" i="29"/>
  <c r="AB388" i="31"/>
  <c r="AA391" i="31"/>
  <c r="AA187" i="31"/>
  <c r="AA188" i="31" s="1"/>
  <c r="BP91" i="28"/>
  <c r="BP87" i="28"/>
  <c r="BP119" i="28"/>
  <c r="BP93" i="28"/>
  <c r="BL48" i="31"/>
  <c r="BP47" i="31"/>
  <c r="BL49" i="31"/>
  <c r="X367" i="31"/>
  <c r="Y352" i="31"/>
  <c r="X179" i="31"/>
  <c r="Z361" i="31"/>
  <c r="Y161" i="31"/>
  <c r="O96" i="29"/>
  <c r="O95" i="29" s="1"/>
  <c r="O88" i="29"/>
  <c r="BM49" i="31"/>
  <c r="V403" i="31"/>
  <c r="V404" i="31" s="1"/>
  <c r="BJ72" i="30"/>
  <c r="BN89" i="28"/>
  <c r="BN96" i="28"/>
  <c r="BR88" i="28"/>
  <c r="BN88" i="28"/>
  <c r="BY27" i="31"/>
  <c r="BY28" i="31"/>
  <c r="BQ11" i="28"/>
  <c r="BQ13" i="28" s="1"/>
  <c r="BZ28" i="31"/>
  <c r="BW72" i="30"/>
  <c r="BW76" i="30" s="1"/>
  <c r="BW80" i="30" s="1"/>
  <c r="CA88" i="28"/>
  <c r="CA89" i="28"/>
  <c r="H96" i="29"/>
  <c r="H95" i="29" s="1"/>
  <c r="H88" i="29"/>
  <c r="BO88" i="30"/>
  <c r="O81" i="30"/>
  <c r="O88" i="30" s="1"/>
  <c r="O104" i="30" s="1"/>
  <c r="U17" i="31"/>
  <c r="V11" i="31"/>
  <c r="T102" i="29"/>
  <c r="U16" i="31"/>
  <c r="U18" i="31" s="1"/>
  <c r="W184" i="31"/>
  <c r="W186" i="31"/>
  <c r="BH154" i="30"/>
  <c r="U413" i="31"/>
  <c r="U175" i="31"/>
  <c r="U177" i="31"/>
  <c r="AF91" i="31"/>
  <c r="AF93" i="31" s="1"/>
  <c r="AF38" i="31"/>
  <c r="BT72" i="30"/>
  <c r="BT76" i="30" s="1"/>
  <c r="BT80" i="30" s="1"/>
  <c r="BX89" i="28"/>
  <c r="BV45" i="31"/>
  <c r="AL94" i="45" s="1"/>
  <c r="BK48" i="31"/>
  <c r="BK49" i="31"/>
  <c r="BO48" i="31"/>
  <c r="CR40" i="31"/>
  <c r="CQ41" i="31"/>
  <c r="X382" i="31"/>
  <c r="W166" i="31"/>
  <c r="BD10" i="30"/>
  <c r="BD30" i="30" s="1"/>
  <c r="AF105" i="45" s="1"/>
  <c r="AF107" i="45" s="1"/>
  <c r="AF109" i="45" s="1"/>
  <c r="BD72" i="30"/>
  <c r="BH88" i="28"/>
  <c r="BH89" i="28"/>
  <c r="X397" i="31"/>
  <c r="W400" i="31"/>
  <c r="W398" i="31"/>
  <c r="CE49" i="31"/>
  <c r="CE44" i="31"/>
  <c r="AU93" i="45" s="1"/>
  <c r="AU100" i="45" s="1"/>
  <c r="CI47" i="31"/>
  <c r="BM101" i="31"/>
  <c r="BL111" i="31"/>
  <c r="BP111" i="31"/>
  <c r="Z379" i="31"/>
  <c r="BM115" i="31"/>
  <c r="AC53" i="45" s="1"/>
  <c r="BM114" i="31"/>
  <c r="AC52" i="45" s="1"/>
  <c r="M108" i="29"/>
  <c r="M113" i="29" s="1"/>
  <c r="M114" i="29" s="1"/>
  <c r="M115" i="29" s="1"/>
  <c r="M87" i="28"/>
  <c r="M102" i="28"/>
  <c r="M101" i="28" s="1"/>
  <c r="M119" i="28"/>
  <c r="CH27" i="31"/>
  <c r="BZ11" i="28"/>
  <c r="E6" i="29"/>
  <c r="E6" i="30"/>
  <c r="CL60" i="28"/>
  <c r="CK30" i="29"/>
  <c r="CK31" i="29"/>
  <c r="CL33" i="28"/>
  <c r="CL35" i="28"/>
  <c r="CL34" i="28"/>
  <c r="S32" i="28"/>
  <c r="CJ51" i="28"/>
  <c r="CJ50" i="28"/>
  <c r="CJ52" i="28"/>
  <c r="CJ78" i="28" s="1"/>
  <c r="R78" i="81"/>
  <c r="S10" i="81"/>
  <c r="CG67" i="30"/>
  <c r="CG41" i="30"/>
  <c r="CG149" i="30"/>
  <c r="R8" i="81"/>
  <c r="Q76" i="81"/>
  <c r="H7" i="46"/>
  <c r="S19" i="28"/>
  <c r="S125" i="30"/>
  <c r="R75" i="81"/>
  <c r="S7" i="81"/>
  <c r="CG23" i="30"/>
  <c r="CJ34" i="29"/>
  <c r="R74" i="81"/>
  <c r="S6" i="81"/>
  <c r="CF141" i="30"/>
  <c r="CJ18" i="29"/>
  <c r="CI20" i="29"/>
  <c r="CI91" i="29" s="1"/>
  <c r="CI98" i="29" s="1"/>
  <c r="Q73" i="81"/>
  <c r="Q11" i="81"/>
  <c r="Q23" i="81" s="1"/>
  <c r="R5" i="81"/>
  <c r="S42" i="28"/>
  <c r="S40" i="28"/>
  <c r="S28" i="28"/>
  <c r="CL40" i="28"/>
  <c r="CL28" i="28"/>
  <c r="CL42" i="28"/>
  <c r="CL41" i="28"/>
  <c r="S13" i="29"/>
  <c r="CH21" i="30"/>
  <c r="S21" i="30" s="1"/>
  <c r="P79" i="81"/>
  <c r="P29" i="81"/>
  <c r="P20" i="81"/>
  <c r="T109" i="30"/>
  <c r="T22" i="28"/>
  <c r="P27" i="81"/>
  <c r="P24" i="81"/>
  <c r="P28" i="81"/>
  <c r="P25" i="81"/>
  <c r="R77" i="81"/>
  <c r="S9" i="81"/>
  <c r="CH34" i="30"/>
  <c r="CH74" i="30"/>
  <c r="CH84" i="30"/>
  <c r="S84" i="30" s="1"/>
  <c r="CH114" i="30"/>
  <c r="CH117" i="30"/>
  <c r="CH126" i="30"/>
  <c r="S108" i="30"/>
  <c r="CK29" i="28"/>
  <c r="CK30" i="28"/>
  <c r="CK49" i="28"/>
  <c r="Q132" i="30"/>
  <c r="Q124" i="30"/>
  <c r="Q117" i="30"/>
  <c r="Q126" i="30"/>
  <c r="R124" i="30"/>
  <c r="R126" i="30"/>
  <c r="V132" i="30"/>
  <c r="V128" i="30"/>
  <c r="W122" i="30"/>
  <c r="P72" i="30"/>
  <c r="P76" i="30" s="1"/>
  <c r="P80" i="30" s="1"/>
  <c r="P89" i="28"/>
  <c r="P88" i="28"/>
  <c r="P93" i="28"/>
  <c r="P6" i="28" s="1"/>
  <c r="Q7" i="31" s="1"/>
  <c r="P91" i="28"/>
  <c r="U19" i="29"/>
  <c r="CB87" i="28"/>
  <c r="CB119" i="28"/>
  <c r="CB93" i="28"/>
  <c r="CB91" i="28"/>
  <c r="AX138" i="30"/>
  <c r="AY135" i="30" s="1"/>
  <c r="AX139" i="30"/>
  <c r="AE55" i="30"/>
  <c r="AE57" i="30" s="1"/>
  <c r="AD58" i="30"/>
  <c r="U130" i="30"/>
  <c r="U47" i="28"/>
  <c r="U13" i="30"/>
  <c r="T97" i="28"/>
  <c r="T102" i="28" s="1"/>
  <c r="T73" i="30"/>
  <c r="T48" i="28"/>
  <c r="R50" i="28"/>
  <c r="Q50" i="28"/>
  <c r="CI14" i="29"/>
  <c r="K55" i="30"/>
  <c r="K57" i="30" s="1"/>
  <c r="AN58" i="30"/>
  <c r="AO55" i="30"/>
  <c r="AO57" i="30" s="1"/>
  <c r="BN50" i="29"/>
  <c r="BN74" i="29"/>
  <c r="BY48" i="29"/>
  <c r="BX49" i="29"/>
  <c r="BX50" i="29" s="1"/>
  <c r="BP48" i="29"/>
  <c r="BP49" i="29" s="1"/>
  <c r="BO49" i="29"/>
  <c r="X29" i="29"/>
  <c r="BW70" i="29"/>
  <c r="BM52" i="29"/>
  <c r="BM70" i="29"/>
  <c r="U111" i="29"/>
  <c r="V43" i="29"/>
  <c r="G6" i="28"/>
  <c r="H7" i="31" s="1"/>
  <c r="D28" i="46"/>
  <c r="D29" i="46"/>
  <c r="D27" i="46"/>
  <c r="D30" i="46"/>
  <c r="D31" i="46"/>
  <c r="CL118" i="28"/>
  <c r="S117" i="28"/>
  <c r="S110" i="29" s="1"/>
  <c r="V115" i="28"/>
  <c r="E26" i="46"/>
  <c r="J91" i="28"/>
  <c r="J93" i="28"/>
  <c r="J89" i="28"/>
  <c r="J88" i="28"/>
  <c r="K88" i="28"/>
  <c r="S126" i="28"/>
  <c r="S107" i="28"/>
  <c r="CL111" i="28"/>
  <c r="CL110" i="28"/>
  <c r="S109" i="28"/>
  <c r="T126" i="28"/>
  <c r="T107" i="28"/>
  <c r="T109" i="28"/>
  <c r="I6" i="28"/>
  <c r="T122" i="28"/>
  <c r="U121" i="28"/>
  <c r="U106" i="28" s="1"/>
  <c r="F129" i="67"/>
  <c r="E129" i="67"/>
  <c r="D129" i="67"/>
  <c r="C129" i="67"/>
  <c r="C128" i="67"/>
  <c r="F88" i="67"/>
  <c r="E88" i="67"/>
  <c r="D88" i="67"/>
  <c r="C88" i="67"/>
  <c r="F47" i="67"/>
  <c r="E47" i="67"/>
  <c r="D47" i="67"/>
  <c r="C47" i="67"/>
  <c r="C64" i="73"/>
  <c r="G51" i="73"/>
  <c r="F51" i="73"/>
  <c r="E51" i="73"/>
  <c r="D51" i="73"/>
  <c r="C51" i="73"/>
  <c r="G25" i="73"/>
  <c r="G22" i="73"/>
  <c r="F22" i="73"/>
  <c r="E22" i="73"/>
  <c r="D22" i="73"/>
  <c r="C22" i="73"/>
  <c r="G19" i="73"/>
  <c r="F87" i="67"/>
  <c r="E87" i="67"/>
  <c r="D87" i="67"/>
  <c r="C87" i="67"/>
  <c r="F60" i="67"/>
  <c r="E60" i="67"/>
  <c r="D60" i="67"/>
  <c r="C60" i="67"/>
  <c r="G90" i="73"/>
  <c r="J36" i="80"/>
  <c r="J35" i="80"/>
  <c r="J34" i="80"/>
  <c r="J33" i="80"/>
  <c r="J32" i="80"/>
  <c r="J31" i="80"/>
  <c r="J30" i="80"/>
  <c r="J25" i="80"/>
  <c r="B23" i="80"/>
  <c r="B24" i="80" s="1"/>
  <c r="B25" i="80" s="1"/>
  <c r="B26" i="80" s="1"/>
  <c r="B27" i="80" s="1"/>
  <c r="B28" i="80" s="1"/>
  <c r="B29" i="80" s="1"/>
  <c r="B30" i="80" s="1"/>
  <c r="B31" i="80" s="1"/>
  <c r="B32" i="80" s="1"/>
  <c r="B33" i="80" s="1"/>
  <c r="B34" i="80" s="1"/>
  <c r="B35" i="80" s="1"/>
  <c r="B36" i="80" s="1"/>
  <c r="CH116" i="30" l="1"/>
  <c r="BD76" i="30"/>
  <c r="BD80" i="30" s="1"/>
  <c r="AF118" i="45" s="1"/>
  <c r="AF120" i="45" s="1"/>
  <c r="AF112" i="45"/>
  <c r="BE104" i="30"/>
  <c r="BP348" i="31"/>
  <c r="BF7" i="30"/>
  <c r="BR8" i="31"/>
  <c r="BI7" i="29"/>
  <c r="BF6" i="30"/>
  <c r="BI6" i="29"/>
  <c r="BR7" i="31"/>
  <c r="BE88" i="30"/>
  <c r="BJ76" i="30"/>
  <c r="BJ80" i="30" s="1"/>
  <c r="AL118" i="45" s="1"/>
  <c r="AL120" i="45" s="1"/>
  <c r="AL112" i="45"/>
  <c r="AH105" i="45"/>
  <c r="AH107" i="45" s="1"/>
  <c r="AH109" i="45" s="1"/>
  <c r="BF61" i="30"/>
  <c r="BF53" i="30"/>
  <c r="BO76" i="30"/>
  <c r="BO80" i="30" s="1"/>
  <c r="AQ118" i="45" s="1"/>
  <c r="AQ120" i="45" s="1"/>
  <c r="AQ112" i="45"/>
  <c r="BR76" i="30"/>
  <c r="BR80" i="30" s="1"/>
  <c r="AT118" i="45" s="1"/>
  <c r="AT120" i="45" s="1"/>
  <c r="AT112" i="45"/>
  <c r="BF76" i="30"/>
  <c r="BF80" i="30" s="1"/>
  <c r="AH112" i="45"/>
  <c r="BM116" i="31"/>
  <c r="AC55" i="45" s="1"/>
  <c r="CS116" i="31"/>
  <c r="BZ80" i="31"/>
  <c r="AO20" i="45"/>
  <c r="BQ116" i="31"/>
  <c r="AG55" i="45" s="1"/>
  <c r="AG53" i="45"/>
  <c r="BP92" i="28"/>
  <c r="BD47" i="29"/>
  <c r="BD49" i="29" s="1"/>
  <c r="BD50" i="29" s="1"/>
  <c r="BD70" i="29" s="1"/>
  <c r="BC49" i="29"/>
  <c r="BC50" i="29" s="1"/>
  <c r="BC70" i="29" s="1"/>
  <c r="K107" i="29"/>
  <c r="K114" i="29" s="1"/>
  <c r="K115" i="29" s="1"/>
  <c r="J50" i="29"/>
  <c r="J70" i="29" s="1"/>
  <c r="Q29" i="70"/>
  <c r="Q32" i="70"/>
  <c r="Q23" i="70" s="1"/>
  <c r="P45" i="70"/>
  <c r="P44" i="70"/>
  <c r="O47" i="70"/>
  <c r="O61" i="70" s="1"/>
  <c r="O62" i="70" s="1"/>
  <c r="O66" i="70"/>
  <c r="O68" i="70" s="1"/>
  <c r="P90" i="70"/>
  <c r="P91" i="70" s="1"/>
  <c r="P95" i="70" s="1"/>
  <c r="P99" i="70" s="1"/>
  <c r="Q24" i="70"/>
  <c r="Q25" i="70" s="1"/>
  <c r="P23" i="70"/>
  <c r="P67" i="70"/>
  <c r="R37" i="70"/>
  <c r="R38" i="70"/>
  <c r="R22" i="70"/>
  <c r="Q31" i="70"/>
  <c r="Q35" i="70" s="1"/>
  <c r="T89" i="70"/>
  <c r="T30" i="70"/>
  <c r="Q90" i="70"/>
  <c r="Q91" i="70" s="1"/>
  <c r="P66" i="70"/>
  <c r="R34" i="50"/>
  <c r="R33" i="50" s="1"/>
  <c r="Q33" i="50"/>
  <c r="R32" i="50"/>
  <c r="M80" i="50"/>
  <c r="M76" i="50"/>
  <c r="P68" i="50"/>
  <c r="O67" i="50"/>
  <c r="P66" i="50"/>
  <c r="P12" i="50"/>
  <c r="Q13" i="50"/>
  <c r="Q11" i="50"/>
  <c r="N7" i="50"/>
  <c r="O6" i="50"/>
  <c r="O8" i="50"/>
  <c r="N20" i="50"/>
  <c r="N75" i="50" s="1"/>
  <c r="N80" i="50" s="1"/>
  <c r="Q63" i="50"/>
  <c r="P62" i="50"/>
  <c r="Q61" i="50"/>
  <c r="Q38" i="50"/>
  <c r="R37" i="50"/>
  <c r="R39" i="50"/>
  <c r="Q46" i="50"/>
  <c r="P28" i="50"/>
  <c r="Q26" i="50"/>
  <c r="Q24" i="50"/>
  <c r="P25" i="50"/>
  <c r="Q18" i="50"/>
  <c r="P17" i="50"/>
  <c r="Q16" i="50"/>
  <c r="P57" i="50"/>
  <c r="Q56" i="50"/>
  <c r="Q58" i="50"/>
  <c r="BT7" i="30"/>
  <c r="CF8" i="31"/>
  <c r="U431" i="31"/>
  <c r="U417" i="31"/>
  <c r="AA392" i="31"/>
  <c r="AA147" i="31"/>
  <c r="AA148" i="31" s="1"/>
  <c r="CG26" i="31"/>
  <c r="CG31" i="31"/>
  <c r="CK29" i="31"/>
  <c r="CH31" i="31"/>
  <c r="BL101" i="31"/>
  <c r="BK111" i="31"/>
  <c r="BK106" i="31"/>
  <c r="BK101" i="31"/>
  <c r="BO111" i="31"/>
  <c r="W157" i="31"/>
  <c r="W158" i="31" s="1"/>
  <c r="W140" i="31"/>
  <c r="W164" i="31"/>
  <c r="AA379" i="31"/>
  <c r="Y382" i="31"/>
  <c r="X166" i="31"/>
  <c r="V16" i="31"/>
  <c r="V18" i="31" s="1"/>
  <c r="W11" i="31"/>
  <c r="V17" i="31"/>
  <c r="U102" i="29"/>
  <c r="X180" i="31"/>
  <c r="X191" i="31"/>
  <c r="BT47" i="31"/>
  <c r="BP49" i="31"/>
  <c r="BP44" i="31"/>
  <c r="AF93" i="45" s="1"/>
  <c r="AF100" i="45" s="1"/>
  <c r="BL72" i="30"/>
  <c r="BP89" i="28"/>
  <c r="BP88" i="28"/>
  <c r="AB391" i="31"/>
  <c r="AC388" i="31"/>
  <c r="AB187" i="31"/>
  <c r="AB188" i="31" s="1"/>
  <c r="CA8" i="31"/>
  <c r="BO7" i="30"/>
  <c r="BR7" i="29"/>
  <c r="CC27" i="31"/>
  <c r="CC28" i="31"/>
  <c r="BU11" i="28"/>
  <c r="CD28" i="31"/>
  <c r="V413" i="31"/>
  <c r="V177" i="31"/>
  <c r="V175" i="31"/>
  <c r="Z395" i="31"/>
  <c r="AA394" i="31"/>
  <c r="BP72" i="30"/>
  <c r="BT88" i="28"/>
  <c r="BT89" i="28"/>
  <c r="BR7" i="30"/>
  <c r="CD8" i="31"/>
  <c r="W425" i="31"/>
  <c r="W192" i="31"/>
  <c r="CI28" i="31"/>
  <c r="CI27" i="31"/>
  <c r="CA11" i="28"/>
  <c r="O72" i="30"/>
  <c r="O76" i="30" s="1"/>
  <c r="O80" i="30" s="1"/>
  <c r="O91" i="28"/>
  <c r="O89" i="28"/>
  <c r="O88" i="28"/>
  <c r="O93" i="28"/>
  <c r="V151" i="31"/>
  <c r="V154" i="31"/>
  <c r="BQ49" i="31"/>
  <c r="O30" i="31"/>
  <c r="P29" i="31"/>
  <c r="X184" i="31"/>
  <c r="F88" i="28"/>
  <c r="F89" i="28"/>
  <c r="F93" i="28"/>
  <c r="F91" i="28"/>
  <c r="G88" i="28"/>
  <c r="BV8" i="31"/>
  <c r="BJ7" i="30"/>
  <c r="BM7" i="29"/>
  <c r="BL116" i="31"/>
  <c r="AB55" i="45" s="1"/>
  <c r="BL115" i="31"/>
  <c r="AB53" i="45" s="1"/>
  <c r="BL114" i="31"/>
  <c r="AB52" i="45" s="1"/>
  <c r="W167" i="31"/>
  <c r="W169" i="31"/>
  <c r="W174" i="31"/>
  <c r="BO104" i="30"/>
  <c r="BR106" i="30"/>
  <c r="N72" i="30"/>
  <c r="N76" i="30" s="1"/>
  <c r="N80" i="30" s="1"/>
  <c r="N104" i="30" s="1"/>
  <c r="N93" i="28"/>
  <c r="N88" i="28"/>
  <c r="N91" i="28"/>
  <c r="N89" i="28"/>
  <c r="BH72" i="30"/>
  <c r="BL88" i="28"/>
  <c r="BL89" i="28"/>
  <c r="BV7" i="30"/>
  <c r="CH8" i="31"/>
  <c r="CL27" i="31"/>
  <c r="CD11" i="28"/>
  <c r="CD12" i="28" s="1"/>
  <c r="CB27" i="31"/>
  <c r="CB28" i="31"/>
  <c r="BT11" i="28"/>
  <c r="BW6" i="30"/>
  <c r="CI7" i="31"/>
  <c r="BZ13" i="28"/>
  <c r="BZ12" i="28"/>
  <c r="BP115" i="31"/>
  <c r="AF53" i="45" s="1"/>
  <c r="BP114" i="31"/>
  <c r="AF52" i="45" s="1"/>
  <c r="CI44" i="31"/>
  <c r="CM47" i="31"/>
  <c r="W401" i="31"/>
  <c r="W150" i="31"/>
  <c r="BD88" i="30"/>
  <c r="BD104" i="30"/>
  <c r="BG106" i="30"/>
  <c r="BJ104" i="30"/>
  <c r="Y367" i="31"/>
  <c r="Z352" i="31"/>
  <c r="Y179" i="31"/>
  <c r="BX82" i="31"/>
  <c r="AN22" i="45" s="1"/>
  <c r="BW83" i="31"/>
  <c r="AM23" i="45" s="1"/>
  <c r="BT92" i="28"/>
  <c r="BE62" i="30"/>
  <c r="BE96" i="30"/>
  <c r="BE97" i="30" s="1"/>
  <c r="BE103" i="30"/>
  <c r="BH105" i="30"/>
  <c r="BE63" i="30"/>
  <c r="BP104" i="30"/>
  <c r="BS106" i="30"/>
  <c r="I88" i="28"/>
  <c r="H91" i="28"/>
  <c r="H88" i="28"/>
  <c r="H89" i="28"/>
  <c r="H93" i="28"/>
  <c r="BR6" i="30"/>
  <c r="CD7" i="31"/>
  <c r="U432" i="31"/>
  <c r="N114" i="29"/>
  <c r="N115" i="29" s="1"/>
  <c r="M138" i="28"/>
  <c r="BO344" i="31"/>
  <c r="BO345" i="31"/>
  <c r="W144" i="31"/>
  <c r="W146" i="31"/>
  <c r="BQ45" i="31"/>
  <c r="AG94" i="45" s="1"/>
  <c r="BI14" i="28"/>
  <c r="BQ46" i="31"/>
  <c r="AG95" i="45" s="1"/>
  <c r="BR46" i="31"/>
  <c r="AH95" i="45" s="1"/>
  <c r="CT29" i="31"/>
  <c r="CP26" i="31"/>
  <c r="X385" i="31"/>
  <c r="BZ8" i="31"/>
  <c r="BQ7" i="29"/>
  <c r="BN7" i="30"/>
  <c r="V142" i="31"/>
  <c r="W403" i="31"/>
  <c r="W404" i="31" s="1"/>
  <c r="AA361" i="31"/>
  <c r="Z161" i="31"/>
  <c r="CA7" i="31"/>
  <c r="BR6" i="29"/>
  <c r="BO6" i="30"/>
  <c r="BT94" i="28"/>
  <c r="BT7" i="28" s="1"/>
  <c r="BT6" i="28"/>
  <c r="BZ45" i="31"/>
  <c r="AP94" i="45" s="1"/>
  <c r="BT6" i="30"/>
  <c r="CF7" i="31"/>
  <c r="M72" i="30"/>
  <c r="M76" i="30" s="1"/>
  <c r="M80" i="30" s="1"/>
  <c r="M104" i="30" s="1"/>
  <c r="M89" i="28"/>
  <c r="M93" i="28"/>
  <c r="M6" i="28" s="1"/>
  <c r="M91" i="28"/>
  <c r="BL106" i="31"/>
  <c r="CE45" i="31"/>
  <c r="AU94" i="45" s="1"/>
  <c r="X400" i="31"/>
  <c r="X398" i="31"/>
  <c r="Y397" i="31"/>
  <c r="BD61" i="30"/>
  <c r="BD53" i="30"/>
  <c r="CR41" i="31"/>
  <c r="CS40" i="31"/>
  <c r="Y162" i="31"/>
  <c r="X368" i="31"/>
  <c r="X403" i="31"/>
  <c r="X404" i="31" s="1"/>
  <c r="X139" i="31"/>
  <c r="X182" i="31" s="1"/>
  <c r="BP94" i="28"/>
  <c r="BP7" i="28" s="1"/>
  <c r="BP6" i="28"/>
  <c r="BS7" i="30"/>
  <c r="CE8" i="31"/>
  <c r="N84" i="31"/>
  <c r="N83" i="31"/>
  <c r="Y35" i="31"/>
  <c r="X36" i="31"/>
  <c r="X39" i="31"/>
  <c r="U155" i="31"/>
  <c r="U118" i="31"/>
  <c r="U20" i="31"/>
  <c r="U21" i="31" s="1"/>
  <c r="U194" i="31"/>
  <c r="BL94" i="28"/>
  <c r="BL7" i="28" s="1"/>
  <c r="BL6" i="28"/>
  <c r="CD44" i="31"/>
  <c r="AT93" i="45" s="1"/>
  <c r="AT100" i="45" s="1"/>
  <c r="CH47" i="31"/>
  <c r="H113" i="29"/>
  <c r="H114" i="29" s="1"/>
  <c r="H115" i="29" s="1"/>
  <c r="W182" i="31"/>
  <c r="CQ29" i="31"/>
  <c r="CM31" i="31"/>
  <c r="CM26" i="31"/>
  <c r="N133" i="28"/>
  <c r="O131" i="28" s="1"/>
  <c r="O137" i="28" s="1"/>
  <c r="O138" i="28" s="1"/>
  <c r="BY47" i="31"/>
  <c r="BU49" i="31"/>
  <c r="BU44" i="31"/>
  <c r="AK93" i="45" s="1"/>
  <c r="AK100" i="45" s="1"/>
  <c r="BV49" i="31"/>
  <c r="CT114" i="31"/>
  <c r="CT116" i="31" s="1"/>
  <c r="CT115" i="31"/>
  <c r="N138" i="28"/>
  <c r="CA46" i="31"/>
  <c r="AQ95" i="45" s="1"/>
  <c r="CF31" i="31"/>
  <c r="CF26" i="31"/>
  <c r="CJ29" i="31"/>
  <c r="Y385" i="31"/>
  <c r="Z370" i="31"/>
  <c r="Y183" i="31"/>
  <c r="BW7" i="30"/>
  <c r="CI8" i="31"/>
  <c r="BV7" i="31"/>
  <c r="BJ6" i="30"/>
  <c r="BM6" i="29"/>
  <c r="BU58" i="31"/>
  <c r="BV51" i="31"/>
  <c r="BU52" i="31"/>
  <c r="V429" i="31"/>
  <c r="V426" i="31"/>
  <c r="BW12" i="28"/>
  <c r="BW13" i="28"/>
  <c r="G6" i="30"/>
  <c r="G6" i="29"/>
  <c r="T9" i="81"/>
  <c r="S77" i="81"/>
  <c r="S84" i="29"/>
  <c r="S86" i="29" s="1"/>
  <c r="S57" i="29"/>
  <c r="T57" i="29" s="1"/>
  <c r="Q79" i="81"/>
  <c r="Q29" i="81"/>
  <c r="Q20" i="81"/>
  <c r="U22" i="28"/>
  <c r="U109" i="30"/>
  <c r="Q28" i="81"/>
  <c r="Q27" i="81"/>
  <c r="Q25" i="81"/>
  <c r="Q24" i="81"/>
  <c r="T7" i="81"/>
  <c r="S75" i="81"/>
  <c r="S8" i="81"/>
  <c r="R76" i="81"/>
  <c r="S59" i="29"/>
  <c r="S62" i="29"/>
  <c r="S35" i="28"/>
  <c r="S33" i="28"/>
  <c r="S31" i="29"/>
  <c r="S61" i="29" s="1"/>
  <c r="CH26" i="30"/>
  <c r="S26" i="30" s="1"/>
  <c r="S60" i="28"/>
  <c r="CJ54" i="28"/>
  <c r="CH23" i="30"/>
  <c r="S23" i="30" s="1"/>
  <c r="S30" i="29"/>
  <c r="CK34" i="29"/>
  <c r="S117" i="30"/>
  <c r="S126" i="30"/>
  <c r="S114" i="30"/>
  <c r="CH67" i="30"/>
  <c r="CH41" i="30"/>
  <c r="CH149" i="30"/>
  <c r="T23" i="28"/>
  <c r="T24" i="28" s="1"/>
  <c r="U24" i="28" s="1"/>
  <c r="V24" i="28" s="1"/>
  <c r="W24" i="28" s="1"/>
  <c r="X24" i="28" s="1"/>
  <c r="T25" i="28"/>
  <c r="S29" i="28"/>
  <c r="S30" i="28"/>
  <c r="S49" i="28"/>
  <c r="S74" i="81"/>
  <c r="T6" i="81"/>
  <c r="S34" i="30"/>
  <c r="CH65" i="30"/>
  <c r="CH81" i="30" s="1"/>
  <c r="CH146" i="30"/>
  <c r="CL62" i="28"/>
  <c r="CL61" i="28"/>
  <c r="CL71" i="28"/>
  <c r="CL72" i="28" s="1"/>
  <c r="CL63" i="28"/>
  <c r="CK89" i="29"/>
  <c r="CK96" i="29" s="1"/>
  <c r="CK50" i="28"/>
  <c r="CK52" i="28"/>
  <c r="CK78" i="28" s="1"/>
  <c r="CK51" i="28"/>
  <c r="T108" i="30"/>
  <c r="T110" i="30"/>
  <c r="T111" i="30" s="1"/>
  <c r="CL29" i="28"/>
  <c r="CL30" i="28"/>
  <c r="CL49" i="28"/>
  <c r="R73" i="81"/>
  <c r="R11" i="81"/>
  <c r="R26" i="81" s="1"/>
  <c r="S5" i="81"/>
  <c r="CG141" i="30"/>
  <c r="CK18" i="29"/>
  <c r="CJ20" i="29"/>
  <c r="CJ91" i="29" s="1"/>
  <c r="CJ98" i="29" s="1"/>
  <c r="Q26" i="81"/>
  <c r="S78" i="81"/>
  <c r="T10" i="81"/>
  <c r="CJ14" i="29"/>
  <c r="AE58" i="30"/>
  <c r="AF55" i="30"/>
  <c r="AF57" i="30" s="1"/>
  <c r="AY139" i="30"/>
  <c r="AY138" i="30"/>
  <c r="AZ135" i="30" s="1"/>
  <c r="BX72" i="30"/>
  <c r="BX76" i="30" s="1"/>
  <c r="BX80" i="30" s="1"/>
  <c r="CB88" i="28"/>
  <c r="CB89" i="28"/>
  <c r="P6" i="30"/>
  <c r="P6" i="29"/>
  <c r="W128" i="30"/>
  <c r="X122" i="30"/>
  <c r="W132" i="30"/>
  <c r="K58" i="30"/>
  <c r="L55" i="30"/>
  <c r="U97" i="28"/>
  <c r="U102" i="28" s="1"/>
  <c r="U73" i="30"/>
  <c r="U48" i="28"/>
  <c r="CB92" i="28"/>
  <c r="AO58" i="30"/>
  <c r="AP55" i="30"/>
  <c r="AP57" i="30" s="1"/>
  <c r="CB94" i="28"/>
  <c r="CB7" i="28" s="1"/>
  <c r="CB6" i="28"/>
  <c r="V19" i="29"/>
  <c r="V130" i="30"/>
  <c r="V13" i="30"/>
  <c r="V97" i="28" s="1"/>
  <c r="V102" i="28" s="1"/>
  <c r="V47" i="28"/>
  <c r="BX70" i="29"/>
  <c r="BP50" i="29"/>
  <c r="BP74" i="29"/>
  <c r="V111" i="29"/>
  <c r="W43" i="29"/>
  <c r="BY49" i="29"/>
  <c r="BY50" i="29" s="1"/>
  <c r="P48" i="29"/>
  <c r="P49" i="29" s="1"/>
  <c r="BZ48" i="29"/>
  <c r="BN52" i="29"/>
  <c r="BN70" i="29"/>
  <c r="BO50" i="29"/>
  <c r="BO74" i="29"/>
  <c r="T110" i="28"/>
  <c r="T117" i="28"/>
  <c r="J92" i="28"/>
  <c r="K92" i="28"/>
  <c r="J94" i="28"/>
  <c r="J7" i="28" s="1"/>
  <c r="J6" i="28"/>
  <c r="K94" i="28"/>
  <c r="K7" i="28" s="1"/>
  <c r="U126" i="28"/>
  <c r="U109" i="28"/>
  <c r="U107" i="28"/>
  <c r="O132" i="28"/>
  <c r="O133" i="28" s="1"/>
  <c r="P131" i="28" s="1"/>
  <c r="E28" i="46"/>
  <c r="E29" i="46"/>
  <c r="E27" i="46"/>
  <c r="E30" i="46"/>
  <c r="E31" i="46"/>
  <c r="S110" i="28"/>
  <c r="S108" i="28"/>
  <c r="E10" i="46"/>
  <c r="V121" i="28"/>
  <c r="U122" i="28"/>
  <c r="W115" i="28"/>
  <c r="S118" i="28"/>
  <c r="BJ88" i="30" l="1"/>
  <c r="BF63" i="30"/>
  <c r="BF62" i="30"/>
  <c r="BF103" i="30"/>
  <c r="BF96" i="30"/>
  <c r="BF97" i="30" s="1"/>
  <c r="BI100" i="30" s="1"/>
  <c r="BI105" i="30"/>
  <c r="BL76" i="30"/>
  <c r="BL80" i="30" s="1"/>
  <c r="AN118" i="45" s="1"/>
  <c r="AN120" i="45" s="1"/>
  <c r="AN112" i="45"/>
  <c r="BO348" i="31"/>
  <c r="BL106" i="30"/>
  <c r="BP76" i="30"/>
  <c r="BP80" i="30" s="1"/>
  <c r="AR112" i="45"/>
  <c r="BH76" i="30"/>
  <c r="BH80" i="30" s="1"/>
  <c r="AJ118" i="45" s="1"/>
  <c r="AJ120" i="45" s="1"/>
  <c r="AJ112" i="45"/>
  <c r="BM106" i="30"/>
  <c r="O92" i="28"/>
  <c r="AH118" i="45"/>
  <c r="AH120" i="45" s="1"/>
  <c r="BF104" i="30"/>
  <c r="BF88" i="30"/>
  <c r="BP116" i="31"/>
  <c r="AF55" i="45" s="1"/>
  <c r="CE46" i="31"/>
  <c r="AU95" i="45" s="1"/>
  <c r="AP20" i="45"/>
  <c r="CA80" i="31"/>
  <c r="O80" i="31"/>
  <c r="O81" i="31" s="1"/>
  <c r="P92" i="28"/>
  <c r="T110" i="29"/>
  <c r="T46" i="30"/>
  <c r="T75" i="30" s="1"/>
  <c r="P68" i="70"/>
  <c r="P47" i="70"/>
  <c r="P61" i="70" s="1"/>
  <c r="P62" i="70" s="1"/>
  <c r="Q67" i="70"/>
  <c r="O69" i="70"/>
  <c r="R24" i="70"/>
  <c r="Q44" i="70"/>
  <c r="Q47" i="70" s="1"/>
  <c r="R29" i="70"/>
  <c r="R32" i="70"/>
  <c r="R21" i="70"/>
  <c r="Q45" i="70"/>
  <c r="Q93" i="70"/>
  <c r="Q95" i="70" s="1"/>
  <c r="Q99" i="70" s="1"/>
  <c r="Q60" i="70"/>
  <c r="Q51" i="70"/>
  <c r="R42" i="70"/>
  <c r="R58" i="50"/>
  <c r="R57" i="50" s="1"/>
  <c r="R56" i="50"/>
  <c r="Q57" i="50"/>
  <c r="R38" i="50"/>
  <c r="R46" i="50"/>
  <c r="O7" i="50"/>
  <c r="P6" i="50"/>
  <c r="P8" i="50"/>
  <c r="O20" i="50"/>
  <c r="O75" i="50" s="1"/>
  <c r="O80" i="50" s="1"/>
  <c r="Q12" i="50"/>
  <c r="R11" i="50"/>
  <c r="R13" i="50"/>
  <c r="Q66" i="50"/>
  <c r="Q68" i="50"/>
  <c r="P67" i="50"/>
  <c r="R18" i="50"/>
  <c r="Q17" i="50"/>
  <c r="R16" i="50"/>
  <c r="Q25" i="50"/>
  <c r="R26" i="50"/>
  <c r="R24" i="50"/>
  <c r="Q28" i="50"/>
  <c r="Q62" i="50"/>
  <c r="R63" i="50"/>
  <c r="R62" i="50" s="1"/>
  <c r="R61" i="50"/>
  <c r="BX6" i="30"/>
  <c r="CJ7" i="31"/>
  <c r="BW51" i="31"/>
  <c r="BV58" i="31"/>
  <c r="N51" i="31"/>
  <c r="BV52" i="31"/>
  <c r="AA370" i="31"/>
  <c r="Z183" i="31"/>
  <c r="BH6" i="30"/>
  <c r="BK6" i="29"/>
  <c r="BT7" i="31"/>
  <c r="Y398" i="31"/>
  <c r="Y400" i="31"/>
  <c r="Z397" i="31"/>
  <c r="BP6" i="30"/>
  <c r="CB7" i="31"/>
  <c r="O94" i="28"/>
  <c r="O7" i="28" s="1"/>
  <c r="P94" i="28"/>
  <c r="P7" i="28" s="1"/>
  <c r="O6" i="28"/>
  <c r="V431" i="31"/>
  <c r="V417" i="31"/>
  <c r="V432" i="31"/>
  <c r="CC47" i="31"/>
  <c r="BY44" i="31"/>
  <c r="AO93" i="45" s="1"/>
  <c r="AO100" i="45" s="1"/>
  <c r="BZ49" i="31"/>
  <c r="CH44" i="31"/>
  <c r="CL47" i="31"/>
  <c r="CM49" i="31" s="1"/>
  <c r="BL6" i="30"/>
  <c r="BO6" i="29"/>
  <c r="BX7" i="31"/>
  <c r="BP7" i="30"/>
  <c r="CB8" i="31"/>
  <c r="Z162" i="31"/>
  <c r="CP27" i="31"/>
  <c r="CH11" i="28"/>
  <c r="H92" i="28"/>
  <c r="I92" i="28"/>
  <c r="Y180" i="31"/>
  <c r="Y191" i="31"/>
  <c r="Y182" i="31"/>
  <c r="CQ47" i="31"/>
  <c r="CM44" i="31"/>
  <c r="N92" i="28"/>
  <c r="F92" i="28"/>
  <c r="G92" i="28"/>
  <c r="CA13" i="28"/>
  <c r="CA12" i="28"/>
  <c r="AC391" i="31"/>
  <c r="AD388" i="31"/>
  <c r="AC187" i="31"/>
  <c r="AC188" i="31" s="1"/>
  <c r="BL88" i="30"/>
  <c r="BL104" i="30" s="1"/>
  <c r="BO106" i="30"/>
  <c r="BN106" i="30"/>
  <c r="Z382" i="31"/>
  <c r="Y166" i="31"/>
  <c r="BO115" i="31"/>
  <c r="AE53" i="45" s="1"/>
  <c r="BO114" i="31"/>
  <c r="CG27" i="31"/>
  <c r="CG28" i="31"/>
  <c r="BY11" i="28"/>
  <c r="CH28" i="31"/>
  <c r="Y36" i="31"/>
  <c r="Z35" i="31"/>
  <c r="Y39" i="31"/>
  <c r="CS41" i="31"/>
  <c r="CT40" i="31"/>
  <c r="X386" i="31"/>
  <c r="X143" i="31"/>
  <c r="BY82" i="31"/>
  <c r="AO22" i="45" s="1"/>
  <c r="BX83" i="31"/>
  <c r="AN23" i="45" s="1"/>
  <c r="AA395" i="31"/>
  <c r="AB394" i="31"/>
  <c r="BT49" i="31"/>
  <c r="BX47" i="31"/>
  <c r="BY49" i="31" s="1"/>
  <c r="BT44" i="31"/>
  <c r="AJ93" i="45" s="1"/>
  <c r="AJ100" i="45" s="1"/>
  <c r="X167" i="31"/>
  <c r="X169" i="31"/>
  <c r="X174" i="31"/>
  <c r="BK115" i="31"/>
  <c r="AA53" i="45" s="1"/>
  <c r="BK114" i="31"/>
  <c r="BX7" i="30"/>
  <c r="CJ8" i="31"/>
  <c r="Y386" i="31"/>
  <c r="Y143" i="31"/>
  <c r="CQ31" i="31"/>
  <c r="CQ26" i="31"/>
  <c r="BH7" i="30"/>
  <c r="BK7" i="29"/>
  <c r="BT8" i="31"/>
  <c r="CJ31" i="31"/>
  <c r="CJ26" i="31"/>
  <c r="CN29" i="31"/>
  <c r="CD45" i="31"/>
  <c r="AT94" i="45" s="1"/>
  <c r="N85" i="31"/>
  <c r="N88" i="31"/>
  <c r="N92" i="31"/>
  <c r="N93" i="31" s="1"/>
  <c r="BL7" i="30"/>
  <c r="BO7" i="29"/>
  <c r="BX8" i="31"/>
  <c r="X401" i="31"/>
  <c r="X150" i="31"/>
  <c r="AB361" i="31"/>
  <c r="AA161" i="31"/>
  <c r="BI16" i="28"/>
  <c r="BI15" i="28"/>
  <c r="I94" i="28"/>
  <c r="I7" i="28" s="1"/>
  <c r="H6" i="28"/>
  <c r="H94" i="28"/>
  <c r="H7" i="28" s="1"/>
  <c r="Z367" i="31"/>
  <c r="AA352" i="31"/>
  <c r="Z179" i="31"/>
  <c r="CI49" i="31"/>
  <c r="G94" i="28"/>
  <c r="G7" i="28" s="1"/>
  <c r="F94" i="28"/>
  <c r="F7" i="28" s="1"/>
  <c r="F6" i="28"/>
  <c r="V118" i="31"/>
  <c r="V155" i="31"/>
  <c r="V20" i="31"/>
  <c r="V21" i="31" s="1"/>
  <c r="V194" i="31"/>
  <c r="W426" i="31"/>
  <c r="W429" i="31"/>
  <c r="W432" i="31"/>
  <c r="BU13" i="28"/>
  <c r="BU12" i="28"/>
  <c r="AB392" i="31"/>
  <c r="AB147" i="31"/>
  <c r="AB148" i="31" s="1"/>
  <c r="BP46" i="31"/>
  <c r="AF95" i="45" s="1"/>
  <c r="BP45" i="31"/>
  <c r="AF94" i="45" s="1"/>
  <c r="BH14" i="28"/>
  <c r="M44" i="31"/>
  <c r="X425" i="31"/>
  <c r="X192" i="31"/>
  <c r="W16" i="31"/>
  <c r="W18" i="31" s="1"/>
  <c r="W17" i="31"/>
  <c r="X11" i="31"/>
  <c r="V102" i="29"/>
  <c r="Y186" i="31"/>
  <c r="Y184" i="31"/>
  <c r="CF27" i="31"/>
  <c r="CF28" i="31"/>
  <c r="BX11" i="28"/>
  <c r="BU45" i="31"/>
  <c r="AK94" i="45" s="1"/>
  <c r="BV46" i="31"/>
  <c r="AL95" i="45" s="1"/>
  <c r="CM28" i="31"/>
  <c r="CM27" i="31"/>
  <c r="CE11" i="28"/>
  <c r="CE12" i="28" s="1"/>
  <c r="X140" i="31"/>
  <c r="X164" i="31"/>
  <c r="BD103" i="30"/>
  <c r="BD62" i="30"/>
  <c r="BD63" i="30"/>
  <c r="BD96" i="30"/>
  <c r="BD97" i="30" s="1"/>
  <c r="BG100" i="30" s="1"/>
  <c r="BG105" i="30"/>
  <c r="N7" i="31"/>
  <c r="M6" i="29"/>
  <c r="M6" i="30"/>
  <c r="CT26" i="31"/>
  <c r="Y403" i="31"/>
  <c r="Y404" i="31" s="1"/>
  <c r="Y368" i="31"/>
  <c r="Y139" i="31"/>
  <c r="W151" i="31"/>
  <c r="W154" i="31"/>
  <c r="CI45" i="31"/>
  <c r="BT13" i="28"/>
  <c r="P11" i="28"/>
  <c r="O11" i="28"/>
  <c r="O13" i="28" s="1"/>
  <c r="BH88" i="30"/>
  <c r="BH104" i="30"/>
  <c r="BK106" i="30"/>
  <c r="BJ106" i="30"/>
  <c r="BI106" i="30"/>
  <c r="BH106" i="30"/>
  <c r="N94" i="28"/>
  <c r="N7" i="28" s="1"/>
  <c r="N6" i="28"/>
  <c r="W413" i="31"/>
  <c r="W175" i="31"/>
  <c r="Q29" i="31"/>
  <c r="P26" i="31"/>
  <c r="P27" i="31" s="1"/>
  <c r="AB379" i="31"/>
  <c r="W142" i="31"/>
  <c r="CK31" i="31"/>
  <c r="CK26" i="31"/>
  <c r="CO29" i="31"/>
  <c r="CL31" i="31"/>
  <c r="T78" i="81"/>
  <c r="T5" i="81"/>
  <c r="S73" i="81"/>
  <c r="S11" i="81"/>
  <c r="S23" i="81" s="1"/>
  <c r="T74" i="81"/>
  <c r="S60" i="29"/>
  <c r="T60" i="29" s="1"/>
  <c r="S34" i="29"/>
  <c r="S146" i="30"/>
  <c r="S65" i="30"/>
  <c r="S89" i="29"/>
  <c r="S96" i="29" s="1"/>
  <c r="C34" i="46"/>
  <c r="S63" i="28"/>
  <c r="H10" i="46"/>
  <c r="H11" i="46" s="1"/>
  <c r="T75" i="81"/>
  <c r="CH141" i="30"/>
  <c r="S18" i="29"/>
  <c r="CK20" i="29"/>
  <c r="T26" i="28"/>
  <c r="I8" i="46" s="1"/>
  <c r="T19" i="28"/>
  <c r="I7" i="46"/>
  <c r="T39" i="28"/>
  <c r="T32" i="28"/>
  <c r="T125" i="30"/>
  <c r="S76" i="81"/>
  <c r="T8" i="81"/>
  <c r="U108" i="30"/>
  <c r="U110" i="30"/>
  <c r="U111" i="30" s="1"/>
  <c r="H13" i="46"/>
  <c r="H14" i="46" s="1"/>
  <c r="S149" i="30"/>
  <c r="S41" i="30"/>
  <c r="S74" i="30"/>
  <c r="S67" i="30"/>
  <c r="S50" i="28"/>
  <c r="S51" i="28"/>
  <c r="S52" i="28"/>
  <c r="S116" i="30"/>
  <c r="U23" i="28"/>
  <c r="U25" i="28"/>
  <c r="R79" i="81"/>
  <c r="R29" i="81"/>
  <c r="R20" i="81"/>
  <c r="V22" i="28"/>
  <c r="V109" i="30"/>
  <c r="R27" i="81"/>
  <c r="R28" i="81"/>
  <c r="R25" i="81"/>
  <c r="R24" i="81"/>
  <c r="CK54" i="28"/>
  <c r="S81" i="30"/>
  <c r="R23" i="81"/>
  <c r="CL51" i="28"/>
  <c r="CL52" i="28"/>
  <c r="CL78" i="28" s="1"/>
  <c r="CL50" i="28"/>
  <c r="T34" i="30"/>
  <c r="T114" i="30"/>
  <c r="T126" i="30"/>
  <c r="T117" i="30"/>
  <c r="T13" i="29"/>
  <c r="U57" i="29"/>
  <c r="T77" i="81"/>
  <c r="X132" i="30"/>
  <c r="X128" i="30"/>
  <c r="AZ138" i="30"/>
  <c r="BA135" i="30" s="1"/>
  <c r="AZ139" i="30"/>
  <c r="V73" i="30"/>
  <c r="V48" i="28"/>
  <c r="W19" i="29"/>
  <c r="W130" i="30"/>
  <c r="W13" i="30"/>
  <c r="W47" i="28"/>
  <c r="CK14" i="29"/>
  <c r="S14" i="29" s="1"/>
  <c r="AF58" i="30"/>
  <c r="AG55" i="30"/>
  <c r="AG57" i="30" s="1"/>
  <c r="AQ55" i="30"/>
  <c r="AQ57" i="30" s="1"/>
  <c r="AP58" i="30"/>
  <c r="BY70" i="29"/>
  <c r="W111" i="29"/>
  <c r="X43" i="29"/>
  <c r="BZ49" i="29"/>
  <c r="BZ50" i="29" s="1"/>
  <c r="CA48" i="29"/>
  <c r="BP52" i="29"/>
  <c r="BP70" i="29"/>
  <c r="BO52" i="29"/>
  <c r="BO70" i="29"/>
  <c r="Q107" i="29"/>
  <c r="P50" i="29"/>
  <c r="P70" i="29"/>
  <c r="P115" i="29"/>
  <c r="V122" i="28"/>
  <c r="W121" i="28"/>
  <c r="W106" i="28" s="1"/>
  <c r="H33" i="46"/>
  <c r="E11" i="46"/>
  <c r="T118" i="28"/>
  <c r="X115" i="28"/>
  <c r="P137" i="28"/>
  <c r="V106" i="28"/>
  <c r="U110" i="28"/>
  <c r="U117" i="28"/>
  <c r="S26" i="81" l="1"/>
  <c r="BP106" i="30"/>
  <c r="AR118" i="45"/>
  <c r="AR120" i="45" s="1"/>
  <c r="BQ106" i="30"/>
  <c r="BH100" i="30"/>
  <c r="BO116" i="31"/>
  <c r="AE55" i="45" s="1"/>
  <c r="AE52" i="45"/>
  <c r="CI46" i="31"/>
  <c r="AX93" i="45"/>
  <c r="AX100" i="45" s="1"/>
  <c r="CB80" i="31"/>
  <c r="AQ20" i="45"/>
  <c r="BK116" i="31"/>
  <c r="AA55" i="45" s="1"/>
  <c r="AA52" i="45"/>
  <c r="U46" i="30"/>
  <c r="U75" i="30" s="1"/>
  <c r="U110" i="29"/>
  <c r="R67" i="70"/>
  <c r="P69" i="70"/>
  <c r="Q61" i="70"/>
  <c r="Q62" i="70" s="1"/>
  <c r="R31" i="70"/>
  <c r="R35" i="70" s="1"/>
  <c r="R25" i="70"/>
  <c r="R23" i="70"/>
  <c r="S24" i="70"/>
  <c r="S38" i="70"/>
  <c r="S37" i="70"/>
  <c r="S22" i="70"/>
  <c r="Q66" i="70"/>
  <c r="Q68" i="70" s="1"/>
  <c r="R90" i="70"/>
  <c r="R91" i="70" s="1"/>
  <c r="R17" i="50"/>
  <c r="R12" i="50"/>
  <c r="Q8" i="50"/>
  <c r="P7" i="50"/>
  <c r="Q6" i="50"/>
  <c r="P20" i="50"/>
  <c r="P75" i="50" s="1"/>
  <c r="P80" i="50" s="1"/>
  <c r="R66" i="50"/>
  <c r="R68" i="50"/>
  <c r="R67" i="50" s="1"/>
  <c r="Q67" i="50"/>
  <c r="R28" i="50"/>
  <c r="R25" i="50"/>
  <c r="W155" i="31"/>
  <c r="W118" i="31"/>
  <c r="W20" i="31"/>
  <c r="W21" i="31" s="1"/>
  <c r="W194" i="31"/>
  <c r="AC379" i="31"/>
  <c r="W177" i="31"/>
  <c r="CT27" i="31"/>
  <c r="CL11" i="28"/>
  <c r="M45" i="31"/>
  <c r="M47" i="31"/>
  <c r="M48" i="31" s="1"/>
  <c r="G8" i="31"/>
  <c r="F7" i="30"/>
  <c r="F7" i="29"/>
  <c r="AC361" i="31"/>
  <c r="AB161" i="31"/>
  <c r="AC394" i="31"/>
  <c r="AB395" i="31"/>
  <c r="AA382" i="31"/>
  <c r="Z166" i="31"/>
  <c r="Y425" i="31"/>
  <c r="Y192" i="31"/>
  <c r="Z385" i="31"/>
  <c r="BH15" i="28"/>
  <c r="BH16" i="28"/>
  <c r="L14" i="28"/>
  <c r="L15" i="28" s="1"/>
  <c r="H8" i="31"/>
  <c r="G7" i="30"/>
  <c r="G7" i="29"/>
  <c r="Z368" i="31"/>
  <c r="Z139" i="31"/>
  <c r="X154" i="31"/>
  <c r="X151" i="31"/>
  <c r="CQ27" i="31"/>
  <c r="CQ28" i="31"/>
  <c r="CI11" i="28"/>
  <c r="BT46" i="31"/>
  <c r="AJ95" i="45" s="1"/>
  <c r="O44" i="31"/>
  <c r="BT45" i="31"/>
  <c r="AJ94" i="45" s="1"/>
  <c r="BL14" i="28"/>
  <c r="N44" i="31"/>
  <c r="Z39" i="31"/>
  <c r="Z36" i="31"/>
  <c r="AA35" i="31"/>
  <c r="BY12" i="28"/>
  <c r="BY13" i="28"/>
  <c r="AE388" i="31"/>
  <c r="AD391" i="31"/>
  <c r="AD187" i="31"/>
  <c r="AD188" i="31" s="1"/>
  <c r="CQ44" i="31"/>
  <c r="Q8" i="31"/>
  <c r="P7" i="30"/>
  <c r="P7" i="29"/>
  <c r="Z400" i="31"/>
  <c r="AA397" i="31"/>
  <c r="Z398" i="31"/>
  <c r="AB370" i="31"/>
  <c r="AA385" i="31"/>
  <c r="AA183" i="31"/>
  <c r="BX51" i="31"/>
  <c r="BW58" i="31"/>
  <c r="BW52" i="31"/>
  <c r="CO31" i="31"/>
  <c r="CS29" i="31"/>
  <c r="CO26" i="31"/>
  <c r="CP31" i="31"/>
  <c r="N7" i="30"/>
  <c r="N7" i="29"/>
  <c r="O8" i="31"/>
  <c r="CK27" i="31"/>
  <c r="CK28" i="31"/>
  <c r="CC11" i="28"/>
  <c r="CC12" i="28" s="1"/>
  <c r="CL28" i="31"/>
  <c r="BX12" i="28"/>
  <c r="BX13" i="28"/>
  <c r="AA367" i="31"/>
  <c r="AB352" i="31"/>
  <c r="AA179" i="31"/>
  <c r="J8" i="31"/>
  <c r="I7" i="30"/>
  <c r="I7" i="29"/>
  <c r="CJ27" i="31"/>
  <c r="CJ28" i="31"/>
  <c r="CB11" i="28"/>
  <c r="X144" i="31"/>
  <c r="X146" i="31"/>
  <c r="X186" i="31"/>
  <c r="CM45" i="31"/>
  <c r="CH13" i="28"/>
  <c r="CH12" i="28"/>
  <c r="P7" i="31"/>
  <c r="O6" i="30"/>
  <c r="O6" i="29"/>
  <c r="W431" i="31"/>
  <c r="W417" i="31"/>
  <c r="Y157" i="31"/>
  <c r="Y142" i="31"/>
  <c r="Y140" i="31"/>
  <c r="Y164" i="31"/>
  <c r="X157" i="31"/>
  <c r="R29" i="31"/>
  <c r="Q26" i="31"/>
  <c r="Q27" i="31" s="1"/>
  <c r="N6" i="30"/>
  <c r="O7" i="31"/>
  <c r="N6" i="29"/>
  <c r="BU46" i="31"/>
  <c r="AK95" i="45" s="1"/>
  <c r="X17" i="31"/>
  <c r="Y11" i="31"/>
  <c r="X16" i="31"/>
  <c r="X18" i="31" s="1"/>
  <c r="W102" i="29"/>
  <c r="I8" i="31"/>
  <c r="H7" i="30"/>
  <c r="H7" i="29"/>
  <c r="X413" i="31"/>
  <c r="X177" i="31"/>
  <c r="X175" i="31"/>
  <c r="BX49" i="31"/>
  <c r="CB47" i="31"/>
  <c r="BX44" i="31"/>
  <c r="AN93" i="45" s="1"/>
  <c r="AN100" i="45" s="1"/>
  <c r="CT41" i="31"/>
  <c r="T40" i="31"/>
  <c r="AC392" i="31"/>
  <c r="AC147" i="31"/>
  <c r="AC148" i="31" s="1"/>
  <c r="CL44" i="31"/>
  <c r="CM46" i="31" s="1"/>
  <c r="CP47" i="31"/>
  <c r="BY45" i="31"/>
  <c r="AO94" i="45" s="1"/>
  <c r="BZ46" i="31"/>
  <c r="AP95" i="45" s="1"/>
  <c r="P8" i="31"/>
  <c r="O7" i="30"/>
  <c r="O7" i="29"/>
  <c r="Y401" i="31"/>
  <c r="Y150" i="31"/>
  <c r="P12" i="28"/>
  <c r="P13" i="28"/>
  <c r="X432" i="31"/>
  <c r="X429" i="31"/>
  <c r="X426" i="31"/>
  <c r="G7" i="31"/>
  <c r="F6" i="29"/>
  <c r="F6" i="30"/>
  <c r="Z191" i="31"/>
  <c r="Z182" i="31"/>
  <c r="Z180" i="31"/>
  <c r="I7" i="31"/>
  <c r="H6" i="29"/>
  <c r="H6" i="30"/>
  <c r="AA162" i="31"/>
  <c r="CN31" i="31"/>
  <c r="CN26" i="31"/>
  <c r="CR29" i="31"/>
  <c r="Y146" i="31"/>
  <c r="Y144" i="31"/>
  <c r="BZ82" i="31"/>
  <c r="AP22" i="45" s="1"/>
  <c r="BY83" i="31"/>
  <c r="AO23" i="45" s="1"/>
  <c r="Y169" i="31"/>
  <c r="Y174" i="31"/>
  <c r="Y167" i="31"/>
  <c r="CH45" i="31"/>
  <c r="AX94" i="45" s="1"/>
  <c r="CG47" i="31"/>
  <c r="CC49" i="31"/>
  <c r="CC44" i="31"/>
  <c r="AS93" i="45" s="1"/>
  <c r="AS100" i="45" s="1"/>
  <c r="CD49" i="31"/>
  <c r="Z184" i="31"/>
  <c r="N52" i="31"/>
  <c r="N53" i="31"/>
  <c r="N54" i="31" s="1"/>
  <c r="N58" i="31"/>
  <c r="V57" i="29"/>
  <c r="U13" i="29"/>
  <c r="U84" i="29" s="1"/>
  <c r="U86" i="29" s="1"/>
  <c r="V110" i="30"/>
  <c r="V111" i="30" s="1"/>
  <c r="V108" i="30"/>
  <c r="S54" i="28"/>
  <c r="T73" i="81"/>
  <c r="T11" i="81"/>
  <c r="T23" i="81" s="1"/>
  <c r="T21" i="30"/>
  <c r="T84" i="29"/>
  <c r="T86" i="29" s="1"/>
  <c r="CL53" i="28"/>
  <c r="CL54" i="28"/>
  <c r="J7" i="46"/>
  <c r="U19" i="28"/>
  <c r="U39" i="28"/>
  <c r="U26" i="28"/>
  <c r="J8" i="46" s="1"/>
  <c r="U32" i="28"/>
  <c r="U125" i="30"/>
  <c r="U114" i="30"/>
  <c r="U34" i="30"/>
  <c r="U117" i="30"/>
  <c r="U126" i="30"/>
  <c r="CK91" i="29"/>
  <c r="CK98" i="29" s="1"/>
  <c r="S20" i="29"/>
  <c r="S91" i="29" s="1"/>
  <c r="S98" i="29" s="1"/>
  <c r="S20" i="81"/>
  <c r="S79" i="81"/>
  <c r="S29" i="81"/>
  <c r="W22" i="28"/>
  <c r="W109" i="30"/>
  <c r="S24" i="81"/>
  <c r="S28" i="81"/>
  <c r="S27" i="81"/>
  <c r="S25" i="81"/>
  <c r="V25" i="28"/>
  <c r="V23" i="28"/>
  <c r="T28" i="28"/>
  <c r="T40" i="28"/>
  <c r="T41" i="30"/>
  <c r="I13" i="46"/>
  <c r="I14" i="46" s="1"/>
  <c r="T84" i="30"/>
  <c r="T149" i="30"/>
  <c r="T67" i="30"/>
  <c r="T74" i="30"/>
  <c r="T76" i="81"/>
  <c r="T60" i="28"/>
  <c r="T31" i="29"/>
  <c r="T26" i="30" s="1"/>
  <c r="T33" i="28"/>
  <c r="T62" i="29"/>
  <c r="T59" i="29"/>
  <c r="T18" i="29"/>
  <c r="U60" i="29"/>
  <c r="T30" i="29"/>
  <c r="W73" i="30"/>
  <c r="W48" i="28"/>
  <c r="AR55" i="30"/>
  <c r="AR57" i="30" s="1"/>
  <c r="AQ58" i="30"/>
  <c r="AT11" i="29"/>
  <c r="T14" i="29"/>
  <c r="W97" i="28"/>
  <c r="W102" i="28" s="1"/>
  <c r="BA139" i="30"/>
  <c r="BA138" i="30"/>
  <c r="BB135" i="30" s="1"/>
  <c r="X130" i="30"/>
  <c r="X47" i="28"/>
  <c r="X13" i="30"/>
  <c r="X19" i="29"/>
  <c r="AG58" i="30"/>
  <c r="AH55" i="30"/>
  <c r="AH57" i="30" s="1"/>
  <c r="AH58" i="30" s="1"/>
  <c r="BZ70" i="29"/>
  <c r="X111" i="29"/>
  <c r="CA49" i="29"/>
  <c r="CA50" i="29" s="1"/>
  <c r="CB48" i="29"/>
  <c r="P132" i="28"/>
  <c r="P133" i="28" s="1"/>
  <c r="Q131" i="28" s="1"/>
  <c r="P138" i="28"/>
  <c r="V126" i="28"/>
  <c r="V107" i="28"/>
  <c r="V109" i="28"/>
  <c r="W126" i="28"/>
  <c r="W107" i="28"/>
  <c r="W109" i="28"/>
  <c r="U118" i="28"/>
  <c r="W122" i="28"/>
  <c r="X121" i="28"/>
  <c r="X122" i="28" s="1"/>
  <c r="T26" i="81" l="1"/>
  <c r="BY46" i="31"/>
  <c r="AO95" i="45" s="1"/>
  <c r="CC80" i="31"/>
  <c r="AR20" i="45"/>
  <c r="R44" i="70"/>
  <c r="S32" i="70"/>
  <c r="S23" i="70" s="1"/>
  <c r="S29" i="70"/>
  <c r="S21" i="70"/>
  <c r="R45" i="70"/>
  <c r="S67" i="70"/>
  <c r="R93" i="70"/>
  <c r="R95" i="70" s="1"/>
  <c r="R99" i="70" s="1"/>
  <c r="R60" i="70"/>
  <c r="R51" i="70"/>
  <c r="S42" i="70"/>
  <c r="Q69" i="70"/>
  <c r="Q7" i="50"/>
  <c r="R6" i="50"/>
  <c r="R8" i="50"/>
  <c r="Q20" i="50"/>
  <c r="Q75" i="50" s="1"/>
  <c r="Q80" i="50" s="1"/>
  <c r="R26" i="31"/>
  <c r="R27" i="31" s="1"/>
  <c r="S29" i="31"/>
  <c r="Z401" i="31"/>
  <c r="Z150" i="31"/>
  <c r="CL12" i="28"/>
  <c r="CL13" i="28"/>
  <c r="Y151" i="31"/>
  <c r="Y154" i="31"/>
  <c r="CP44" i="31"/>
  <c r="CQ46" i="31" s="1"/>
  <c r="CT47" i="31"/>
  <c r="CF47" i="31"/>
  <c r="CG49" i="31" s="1"/>
  <c r="CB49" i="31"/>
  <c r="CB44" i="31"/>
  <c r="AR93" i="45" s="1"/>
  <c r="AR100" i="45" s="1"/>
  <c r="X431" i="31"/>
  <c r="X417" i="31"/>
  <c r="CB12" i="28"/>
  <c r="CB13" i="28"/>
  <c r="AA368" i="31"/>
  <c r="AA139" i="31"/>
  <c r="CS26" i="31"/>
  <c r="CS31" i="31"/>
  <c r="CT31" i="31"/>
  <c r="BX58" i="31"/>
  <c r="BX52" i="31"/>
  <c r="BY51" i="31"/>
  <c r="N47" i="31"/>
  <c r="N48" i="31" s="1"/>
  <c r="N45" i="31"/>
  <c r="Z403" i="31"/>
  <c r="Z404" i="31" s="1"/>
  <c r="AB382" i="31"/>
  <c r="AA166" i="31"/>
  <c r="AD361" i="31"/>
  <c r="AC161" i="31"/>
  <c r="BZ83" i="31"/>
  <c r="AP23" i="45" s="1"/>
  <c r="O82" i="31"/>
  <c r="CA82" i="31"/>
  <c r="AQ22" i="45" s="1"/>
  <c r="CQ45" i="31"/>
  <c r="AD394" i="31"/>
  <c r="AC395" i="31"/>
  <c r="CC45" i="31"/>
  <c r="AS94" i="45" s="1"/>
  <c r="CC46" i="31"/>
  <c r="AS95" i="45" s="1"/>
  <c r="CD46" i="31"/>
  <c r="AT95" i="45" s="1"/>
  <c r="CR31" i="31"/>
  <c r="CR26" i="31"/>
  <c r="CL45" i="31"/>
  <c r="T41" i="31"/>
  <c r="T42" i="31"/>
  <c r="U42" i="31" s="1"/>
  <c r="V42" i="31" s="1"/>
  <c r="W42" i="31" s="1"/>
  <c r="X42" i="31" s="1"/>
  <c r="AA184" i="31"/>
  <c r="AB397" i="31"/>
  <c r="AA398" i="31"/>
  <c r="AA400" i="31"/>
  <c r="AD392" i="31"/>
  <c r="AD147" i="31"/>
  <c r="AD148" i="31" s="1"/>
  <c r="AA39" i="31"/>
  <c r="AB35" i="31"/>
  <c r="AA36" i="31"/>
  <c r="BL16" i="28"/>
  <c r="BL15" i="28"/>
  <c r="CI13" i="28"/>
  <c r="CI12" i="28"/>
  <c r="X118" i="31"/>
  <c r="X20" i="31"/>
  <c r="X21" i="31" s="1"/>
  <c r="X155" i="31"/>
  <c r="X194" i="31"/>
  <c r="Z140" i="31"/>
  <c r="Z164" i="31"/>
  <c r="Y426" i="31"/>
  <c r="Y429" i="31"/>
  <c r="CN27" i="31"/>
  <c r="CN28" i="31"/>
  <c r="CF11" i="28"/>
  <c r="CF12" i="28" s="1"/>
  <c r="AA191" i="31"/>
  <c r="AA182" i="31"/>
  <c r="AA180" i="31"/>
  <c r="AA386" i="31"/>
  <c r="AA143" i="31"/>
  <c r="AF388" i="31"/>
  <c r="AE391" i="31"/>
  <c r="AE187" i="31"/>
  <c r="AE188" i="31" s="1"/>
  <c r="CK47" i="31"/>
  <c r="CG44" i="31"/>
  <c r="AW93" i="45" s="1"/>
  <c r="AW100" i="45" s="1"/>
  <c r="CH49" i="31"/>
  <c r="Y413" i="31"/>
  <c r="Y432" i="31" s="1"/>
  <c r="Y175" i="31"/>
  <c r="Z425" i="31"/>
  <c r="Z192" i="31"/>
  <c r="BX46" i="31"/>
  <c r="AN95" i="45" s="1"/>
  <c r="BX45" i="31"/>
  <c r="AN94" i="45" s="1"/>
  <c r="Y17" i="31"/>
  <c r="Z11" i="31"/>
  <c r="Y16" i="31"/>
  <c r="Y18" i="31" s="1"/>
  <c r="X102" i="29"/>
  <c r="X158" i="31"/>
  <c r="X142" i="31"/>
  <c r="Y158" i="31"/>
  <c r="AB367" i="31"/>
  <c r="AC352" i="31"/>
  <c r="AB179" i="31"/>
  <c r="CO27" i="31"/>
  <c r="CO28" i="31"/>
  <c r="CG11" i="28"/>
  <c r="CG12" i="28" s="1"/>
  <c r="CP28" i="31"/>
  <c r="AC370" i="31"/>
  <c r="AB385" i="31"/>
  <c r="AB183" i="31"/>
  <c r="CQ49" i="31"/>
  <c r="O47" i="31"/>
  <c r="O45" i="31"/>
  <c r="Z386" i="31"/>
  <c r="Z143" i="31"/>
  <c r="Z169" i="31"/>
  <c r="Z167" i="31"/>
  <c r="Z174" i="31"/>
  <c r="AB162" i="31"/>
  <c r="AD379" i="31"/>
  <c r="T65" i="30"/>
  <c r="T89" i="29"/>
  <c r="T96" i="29" s="1"/>
  <c r="T81" i="30"/>
  <c r="T146" i="30"/>
  <c r="D34" i="46"/>
  <c r="T71" i="28"/>
  <c r="T72" i="28" s="1"/>
  <c r="T63" i="28"/>
  <c r="I10" i="46"/>
  <c r="I11" i="46" s="1"/>
  <c r="T61" i="28"/>
  <c r="T116" i="30"/>
  <c r="V19" i="28"/>
  <c r="K7" i="46"/>
  <c r="V32" i="28"/>
  <c r="V39" i="28"/>
  <c r="V26" i="28"/>
  <c r="V125" i="30"/>
  <c r="U74" i="30"/>
  <c r="U67" i="30"/>
  <c r="U149" i="30"/>
  <c r="U41" i="30"/>
  <c r="U84" i="30"/>
  <c r="J13" i="46"/>
  <c r="J14" i="46" s="1"/>
  <c r="T23" i="30"/>
  <c r="T34" i="29"/>
  <c r="W108" i="30"/>
  <c r="W110" i="30"/>
  <c r="W111" i="30" s="1"/>
  <c r="U28" i="28"/>
  <c r="U40" i="28"/>
  <c r="V60" i="29"/>
  <c r="U30" i="29"/>
  <c r="T30" i="28"/>
  <c r="T29" i="28"/>
  <c r="T49" i="28"/>
  <c r="W25" i="28"/>
  <c r="W23" i="28"/>
  <c r="U60" i="28"/>
  <c r="V34" i="30"/>
  <c r="V126" i="30"/>
  <c r="V117" i="30"/>
  <c r="U21" i="30"/>
  <c r="U18" i="29"/>
  <c r="T20" i="29"/>
  <c r="T91" i="29" s="1"/>
  <c r="T98" i="29" s="1"/>
  <c r="V114" i="30"/>
  <c r="U33" i="28"/>
  <c r="U31" i="29"/>
  <c r="U26" i="30" s="1"/>
  <c r="U62" i="29"/>
  <c r="U59" i="29"/>
  <c r="T79" i="81"/>
  <c r="T29" i="81"/>
  <c r="T20" i="81"/>
  <c r="X109" i="30"/>
  <c r="X22" i="28"/>
  <c r="T27" i="81"/>
  <c r="T25" i="81"/>
  <c r="T28" i="81"/>
  <c r="T24" i="81"/>
  <c r="V13" i="29"/>
  <c r="W57" i="29"/>
  <c r="X97" i="28"/>
  <c r="X102" i="28" s="1"/>
  <c r="X73" i="30"/>
  <c r="AS55" i="30"/>
  <c r="AS57" i="30" s="1"/>
  <c r="AU11" i="29"/>
  <c r="AR58" i="30" s="1"/>
  <c r="U14" i="29"/>
  <c r="BB138" i="30"/>
  <c r="BC135" i="30" s="1"/>
  <c r="BB139" i="30"/>
  <c r="AT84" i="29"/>
  <c r="AT86" i="29" s="1"/>
  <c r="AT73" i="29"/>
  <c r="AT74" i="29" s="1"/>
  <c r="AT16" i="29"/>
  <c r="X48" i="28"/>
  <c r="CB49" i="29"/>
  <c r="CB50" i="29" s="1"/>
  <c r="CC48" i="29"/>
  <c r="CA70" i="29"/>
  <c r="V110" i="28"/>
  <c r="V117" i="28"/>
  <c r="W110" i="28"/>
  <c r="W117" i="28"/>
  <c r="X106" i="28"/>
  <c r="CV93" i="74"/>
  <c r="CV89" i="74"/>
  <c r="CV88" i="74"/>
  <c r="AC22" i="79"/>
  <c r="CV149" i="74"/>
  <c r="CV148" i="74"/>
  <c r="CV87" i="74"/>
  <c r="CV82" i="74"/>
  <c r="CV80" i="74"/>
  <c r="CV79" i="74"/>
  <c r="CV78" i="74"/>
  <c r="CV75" i="74"/>
  <c r="CV74" i="74"/>
  <c r="CV71" i="74"/>
  <c r="CV70" i="74"/>
  <c r="CV68" i="74"/>
  <c r="CV64" i="74"/>
  <c r="CV63" i="74"/>
  <c r="CV65" i="74" s="1"/>
  <c r="CV66" i="74" s="1"/>
  <c r="CV21" i="74"/>
  <c r="CV18" i="74"/>
  <c r="CV19" i="74" s="1"/>
  <c r="CV13" i="74"/>
  <c r="CV77" i="74" s="1"/>
  <c r="CV10" i="74"/>
  <c r="CV73" i="74" s="1"/>
  <c r="CV7" i="74"/>
  <c r="CV69" i="74" s="1"/>
  <c r="V60" i="28" l="1"/>
  <c r="V81" i="30" s="1"/>
  <c r="CD80" i="31"/>
  <c r="AS20" i="45"/>
  <c r="W110" i="29"/>
  <c r="W46" i="30"/>
  <c r="W75" i="30" s="1"/>
  <c r="V110" i="29"/>
  <c r="V46" i="30"/>
  <c r="V75" i="30" s="1"/>
  <c r="T24" i="70"/>
  <c r="T38" i="70"/>
  <c r="T37" i="70"/>
  <c r="T22" i="70"/>
  <c r="S31" i="70"/>
  <c r="S35" i="70" s="1"/>
  <c r="S25" i="70"/>
  <c r="S90" i="70"/>
  <c r="S91" i="70" s="1"/>
  <c r="R66" i="70"/>
  <c r="R68" i="70" s="1"/>
  <c r="R47" i="70"/>
  <c r="R7" i="50"/>
  <c r="R20" i="50"/>
  <c r="R75" i="50" s="1"/>
  <c r="R80" i="50" s="1"/>
  <c r="AB386" i="31"/>
  <c r="AB143" i="31"/>
  <c r="AA144" i="31"/>
  <c r="AA146" i="31"/>
  <c r="AA401" i="31"/>
  <c r="AA150" i="31"/>
  <c r="AA167" i="31"/>
  <c r="AA169" i="31"/>
  <c r="AA174" i="31"/>
  <c r="Y155" i="31"/>
  <c r="Y118" i="31"/>
  <c r="Y20" i="31"/>
  <c r="Y21" i="31" s="1"/>
  <c r="Y194" i="31"/>
  <c r="O48" i="31"/>
  <c r="P47" i="31"/>
  <c r="AD370" i="31"/>
  <c r="AC183" i="31"/>
  <c r="Y177" i="31"/>
  <c r="AC382" i="31"/>
  <c r="AC385" i="31" s="1"/>
  <c r="AB166" i="31"/>
  <c r="BY58" i="31"/>
  <c r="BY52" i="31"/>
  <c r="BZ51" i="31"/>
  <c r="AA403" i="31"/>
  <c r="AA404" i="31" s="1"/>
  <c r="CT44" i="31"/>
  <c r="AE379" i="31"/>
  <c r="AB368" i="31"/>
  <c r="AB139" i="31"/>
  <c r="Z429" i="31"/>
  <c r="Z426" i="31"/>
  <c r="AA425" i="31"/>
  <c r="AA192" i="31"/>
  <c r="AE394" i="31"/>
  <c r="AD395" i="31"/>
  <c r="O84" i="31"/>
  <c r="O83" i="31"/>
  <c r="CJ47" i="31"/>
  <c r="CF49" i="31"/>
  <c r="CF44" i="31"/>
  <c r="AV93" i="45" s="1"/>
  <c r="AV100" i="45" s="1"/>
  <c r="Z154" i="31"/>
  <c r="Z151" i="31"/>
  <c r="Z146" i="31"/>
  <c r="Z144" i="31"/>
  <c r="Z186" i="31"/>
  <c r="AB180" i="31"/>
  <c r="AB191" i="31"/>
  <c r="Z16" i="31"/>
  <c r="Z18" i="31" s="1"/>
  <c r="AA11" i="31"/>
  <c r="Z17" i="31"/>
  <c r="CG45" i="31"/>
  <c r="AW94" i="45" s="1"/>
  <c r="CG46" i="31"/>
  <c r="AW95" i="45" s="1"/>
  <c r="CH46" i="31"/>
  <c r="AX95" i="45" s="1"/>
  <c r="AE392" i="31"/>
  <c r="AE147" i="31"/>
  <c r="AE148" i="31" s="1"/>
  <c r="Z157" i="31"/>
  <c r="AC397" i="31"/>
  <c r="AB400" i="31"/>
  <c r="AB403" i="31" s="1"/>
  <c r="AB404" i="31" s="1"/>
  <c r="AB398" i="31"/>
  <c r="U40" i="31"/>
  <c r="CR27" i="31"/>
  <c r="CR28" i="31"/>
  <c r="CJ11" i="28"/>
  <c r="AC162" i="31"/>
  <c r="CS27" i="31"/>
  <c r="CS28" i="31"/>
  <c r="CK11" i="28"/>
  <c r="CT28" i="31"/>
  <c r="CB46" i="31"/>
  <c r="AR95" i="45" s="1"/>
  <c r="CB45" i="31"/>
  <c r="AR94" i="45" s="1"/>
  <c r="CP45" i="31"/>
  <c r="S26" i="31"/>
  <c r="S27" i="31" s="1"/>
  <c r="T29" i="31"/>
  <c r="AC35" i="31"/>
  <c r="AB39" i="31"/>
  <c r="AB36" i="31"/>
  <c r="Z413" i="31"/>
  <c r="Z177" i="31"/>
  <c r="Z175" i="31"/>
  <c r="AB184" i="31"/>
  <c r="AB186" i="31"/>
  <c r="AC367" i="31"/>
  <c r="AD352" i="31"/>
  <c r="AC179" i="31"/>
  <c r="Y431" i="31"/>
  <c r="Y417" i="31"/>
  <c r="CO47" i="31"/>
  <c r="CK44" i="31"/>
  <c r="CL49" i="31"/>
  <c r="AF391" i="31"/>
  <c r="AF187" i="31"/>
  <c r="AF188" i="31" s="1"/>
  <c r="AA186" i="31"/>
  <c r="CB82" i="31"/>
  <c r="AR22" i="45" s="1"/>
  <c r="CA83" i="31"/>
  <c r="AQ23" i="45" s="1"/>
  <c r="AE361" i="31"/>
  <c r="AD161" i="31"/>
  <c r="AA157" i="31"/>
  <c r="AA158" i="31" s="1"/>
  <c r="AA140" i="31"/>
  <c r="AA164" i="31"/>
  <c r="V21" i="30"/>
  <c r="V18" i="29"/>
  <c r="U20" i="29"/>
  <c r="U91" i="29" s="1"/>
  <c r="U98" i="29" s="1"/>
  <c r="V67" i="30"/>
  <c r="V149" i="30"/>
  <c r="V41" i="30"/>
  <c r="V84" i="30"/>
  <c r="K13" i="46"/>
  <c r="K14" i="46" s="1"/>
  <c r="V74" i="30"/>
  <c r="T51" i="28"/>
  <c r="T50" i="28"/>
  <c r="T52" i="28"/>
  <c r="W60" i="29"/>
  <c r="V30" i="29"/>
  <c r="W34" i="30"/>
  <c r="W114" i="30"/>
  <c r="W117" i="30"/>
  <c r="W126" i="30"/>
  <c r="U23" i="30"/>
  <c r="U34" i="29"/>
  <c r="X23" i="28"/>
  <c r="X25" i="28"/>
  <c r="U81" i="30"/>
  <c r="U146" i="30"/>
  <c r="U65" i="30"/>
  <c r="U89" i="29"/>
  <c r="U96" i="29" s="1"/>
  <c r="U61" i="28"/>
  <c r="E34" i="46"/>
  <c r="U71" i="28"/>
  <c r="J10" i="46"/>
  <c r="J11" i="46" s="1"/>
  <c r="U63" i="28"/>
  <c r="U116" i="30"/>
  <c r="W13" i="29"/>
  <c r="W84" i="29" s="1"/>
  <c r="W86" i="29" s="1"/>
  <c r="X57" i="29"/>
  <c r="X13" i="29" s="1"/>
  <c r="W26" i="28"/>
  <c r="L8" i="46" s="1"/>
  <c r="L7" i="46"/>
  <c r="W39" i="28"/>
  <c r="W19" i="28"/>
  <c r="W32" i="28"/>
  <c r="W125" i="30"/>
  <c r="K8" i="46"/>
  <c r="M8" i="46"/>
  <c r="X108" i="30"/>
  <c r="X110" i="30"/>
  <c r="X111" i="30" s="1"/>
  <c r="V84" i="29"/>
  <c r="V86" i="29" s="1"/>
  <c r="U30" i="28"/>
  <c r="U29" i="28"/>
  <c r="U49" i="28"/>
  <c r="V40" i="28"/>
  <c r="V28" i="28"/>
  <c r="V33" i="28"/>
  <c r="V31" i="29"/>
  <c r="V26" i="30" s="1"/>
  <c r="V62" i="29"/>
  <c r="V59" i="29"/>
  <c r="BC139" i="30"/>
  <c r="BC138" i="30"/>
  <c r="AS58" i="30"/>
  <c r="AT55" i="30"/>
  <c r="AT57" i="30" s="1"/>
  <c r="AV11" i="29"/>
  <c r="AT26" i="29"/>
  <c r="AT52" i="29" s="1"/>
  <c r="AT64" i="29"/>
  <c r="AU73" i="29"/>
  <c r="AU74" i="29" s="1"/>
  <c r="AU16" i="29"/>
  <c r="AV84" i="29"/>
  <c r="AV86" i="29" s="1"/>
  <c r="AU84" i="29"/>
  <c r="AU86" i="29" s="1"/>
  <c r="V14" i="29"/>
  <c r="CB70" i="29"/>
  <c r="CC49" i="29"/>
  <c r="CC50" i="29" s="1"/>
  <c r="Q48" i="29"/>
  <c r="Q49" i="29" s="1"/>
  <c r="CD48" i="29"/>
  <c r="W118" i="28"/>
  <c r="X126" i="28"/>
  <c r="X107" i="28"/>
  <c r="X109" i="28"/>
  <c r="V118" i="28"/>
  <c r="Z117" i="28"/>
  <c r="CV17" i="74"/>
  <c r="CV25" i="74"/>
  <c r="V71" i="28" l="1"/>
  <c r="V72" i="28" s="1"/>
  <c r="V89" i="29"/>
  <c r="V96" i="29" s="1"/>
  <c r="V116" i="30"/>
  <c r="V65" i="30"/>
  <c r="V63" i="28"/>
  <c r="V61" i="28"/>
  <c r="V146" i="30"/>
  <c r="K10" i="46"/>
  <c r="K11" i="46" s="1"/>
  <c r="AT20" i="45"/>
  <c r="P80" i="31"/>
  <c r="P81" i="31" s="1"/>
  <c r="CE80" i="31"/>
  <c r="S44" i="70"/>
  <c r="S47" i="70" s="1"/>
  <c r="T32" i="70"/>
  <c r="T23" i="70" s="1"/>
  <c r="T29" i="70"/>
  <c r="T21" i="70"/>
  <c r="S45" i="70"/>
  <c r="T67" i="70"/>
  <c r="R61" i="70"/>
  <c r="R62" i="70" s="1"/>
  <c r="R69" i="70" s="1"/>
  <c r="S93" i="70"/>
  <c r="S95" i="70" s="1"/>
  <c r="S99" i="70" s="1"/>
  <c r="S60" i="70"/>
  <c r="S51" i="70"/>
  <c r="T42" i="70"/>
  <c r="AC386" i="31"/>
  <c r="AC143" i="31"/>
  <c r="AF392" i="31"/>
  <c r="AF147" i="31"/>
  <c r="AF148" i="31" s="1"/>
  <c r="CC82" i="31"/>
  <c r="AS22" i="45" s="1"/>
  <c r="CB83" i="31"/>
  <c r="AR23" i="45" s="1"/>
  <c r="AC368" i="31"/>
  <c r="AC139" i="31"/>
  <c r="AC36" i="31"/>
  <c r="AC39" i="31"/>
  <c r="AD35" i="31"/>
  <c r="CK13" i="28"/>
  <c r="CK12" i="28"/>
  <c r="U41" i="31"/>
  <c r="V40" i="31"/>
  <c r="AA16" i="31"/>
  <c r="AA18" i="31" s="1"/>
  <c r="AA17" i="31"/>
  <c r="AB11" i="31"/>
  <c r="CJ49" i="31"/>
  <c r="CN47" i="31"/>
  <c r="CJ44" i="31"/>
  <c r="AE395" i="31"/>
  <c r="AF394" i="31"/>
  <c r="AF395" i="31" s="1"/>
  <c r="CT45" i="31"/>
  <c r="Q47" i="31"/>
  <c r="P44" i="31"/>
  <c r="P45" i="31" s="1"/>
  <c r="CO49" i="31"/>
  <c r="CS47" i="31"/>
  <c r="CO44" i="31"/>
  <c r="CP49" i="31"/>
  <c r="AB425" i="31"/>
  <c r="AB192" i="31"/>
  <c r="AB157" i="31"/>
  <c r="AB158" i="31" s="1"/>
  <c r="AB142" i="31"/>
  <c r="AB140" i="31"/>
  <c r="AB164" i="31"/>
  <c r="CA51" i="31"/>
  <c r="BZ58" i="31"/>
  <c r="BZ52" i="31"/>
  <c r="O51" i="31"/>
  <c r="AD162" i="31"/>
  <c r="CK45" i="31"/>
  <c r="CK46" i="31"/>
  <c r="CL46" i="31"/>
  <c r="Z431" i="31"/>
  <c r="Z417" i="31"/>
  <c r="U29" i="31"/>
  <c r="T26" i="31"/>
  <c r="T27" i="31" s="1"/>
  <c r="CJ13" i="28"/>
  <c r="CJ12" i="28"/>
  <c r="Z158" i="31"/>
  <c r="Z142" i="31"/>
  <c r="Z118" i="31"/>
  <c r="Z155" i="31"/>
  <c r="Z20" i="31"/>
  <c r="Z21" i="31" s="1"/>
  <c r="Z194" i="31"/>
  <c r="AC186" i="31"/>
  <c r="AC184" i="31"/>
  <c r="AA151" i="31"/>
  <c r="AA154" i="31"/>
  <c r="AB144" i="31"/>
  <c r="AB146" i="31"/>
  <c r="AD367" i="31"/>
  <c r="AE352" i="31"/>
  <c r="AD179" i="31"/>
  <c r="AC398" i="31"/>
  <c r="AC400" i="31"/>
  <c r="AD397" i="31"/>
  <c r="AA426" i="31"/>
  <c r="AA429" i="31"/>
  <c r="AF379" i="31"/>
  <c r="AD382" i="31"/>
  <c r="AC166" i="31"/>
  <c r="AA142" i="31"/>
  <c r="AF361" i="31"/>
  <c r="AF161" i="31" s="1"/>
  <c r="AE161" i="31"/>
  <c r="CK49" i="31"/>
  <c r="AC180" i="31"/>
  <c r="AC191" i="31"/>
  <c r="AC182" i="31"/>
  <c r="AB401" i="31"/>
  <c r="AB150" i="31"/>
  <c r="AB182" i="31"/>
  <c r="CF46" i="31"/>
  <c r="AV95" i="45" s="1"/>
  <c r="CF45" i="31"/>
  <c r="AV94" i="45" s="1"/>
  <c r="O85" i="31"/>
  <c r="O92" i="31"/>
  <c r="O93" i="31" s="1"/>
  <c r="O88" i="31"/>
  <c r="Z432" i="31"/>
  <c r="AB167" i="31"/>
  <c r="AB169" i="31"/>
  <c r="AB174" i="31"/>
  <c r="AE370" i="31"/>
  <c r="AD183" i="31"/>
  <c r="AA413" i="31"/>
  <c r="AA432" i="31" s="1"/>
  <c r="AA177" i="31"/>
  <c r="AA175" i="31"/>
  <c r="W31" i="29"/>
  <c r="W26" i="30" s="1"/>
  <c r="W33" i="28"/>
  <c r="W62" i="29"/>
  <c r="W59" i="29"/>
  <c r="U50" i="28"/>
  <c r="U51" i="28"/>
  <c r="U52" i="28"/>
  <c r="V23" i="30"/>
  <c r="V34" i="29"/>
  <c r="W18" i="29"/>
  <c r="V20" i="29"/>
  <c r="V91" i="29" s="1"/>
  <c r="V98" i="29" s="1"/>
  <c r="X34" i="30"/>
  <c r="X114" i="30"/>
  <c r="X117" i="30"/>
  <c r="X126" i="30"/>
  <c r="W40" i="28"/>
  <c r="W28" i="28"/>
  <c r="X60" i="29"/>
  <c r="W30" i="29"/>
  <c r="W21" i="30"/>
  <c r="X84" i="29"/>
  <c r="X86" i="29" s="1"/>
  <c r="L13" i="46"/>
  <c r="L14" i="46" s="1"/>
  <c r="W41" i="30"/>
  <c r="W84" i="30"/>
  <c r="W74" i="30"/>
  <c r="W67" i="30"/>
  <c r="W149" i="30"/>
  <c r="V29" i="28"/>
  <c r="V30" i="28"/>
  <c r="V49" i="28"/>
  <c r="W60" i="28"/>
  <c r="X21" i="30"/>
  <c r="X39" i="28"/>
  <c r="Z25" i="28"/>
  <c r="M7" i="46"/>
  <c r="X26" i="28"/>
  <c r="X19" i="28"/>
  <c r="X32" i="28"/>
  <c r="X125" i="30"/>
  <c r="T54" i="28"/>
  <c r="T53" i="28"/>
  <c r="U72" i="28"/>
  <c r="U73" i="28"/>
  <c r="AU55" i="30"/>
  <c r="AU57" i="30" s="1"/>
  <c r="AW11" i="29"/>
  <c r="W14" i="29"/>
  <c r="AU64" i="29"/>
  <c r="AU26" i="29"/>
  <c r="AU52" i="29" s="1"/>
  <c r="AT92" i="29"/>
  <c r="AT65" i="29"/>
  <c r="AQ68" i="30" s="1"/>
  <c r="AQ69" i="30" s="1"/>
  <c r="AV16" i="29"/>
  <c r="AW84" i="29"/>
  <c r="AW86" i="29" s="1"/>
  <c r="AV73" i="29"/>
  <c r="AV74" i="29" s="1"/>
  <c r="CC70" i="29"/>
  <c r="CE48" i="29"/>
  <c r="CD49" i="29"/>
  <c r="CD50" i="29" s="1"/>
  <c r="R107" i="29"/>
  <c r="Q70" i="29"/>
  <c r="Q50" i="29"/>
  <c r="X110" i="28"/>
  <c r="X117" i="28"/>
  <c r="CV29" i="74"/>
  <c r="V73" i="28" l="1"/>
  <c r="X60" i="28"/>
  <c r="X116" i="30" s="1"/>
  <c r="CF80" i="31"/>
  <c r="AU20" i="45"/>
  <c r="X110" i="29"/>
  <c r="X46" i="30"/>
  <c r="X75" i="30" s="1"/>
  <c r="S61" i="70"/>
  <c r="S62" i="70" s="1"/>
  <c r="T31" i="70"/>
  <c r="T35" i="70" s="1"/>
  <c r="T44" i="70" s="1"/>
  <c r="T66" i="70" s="1"/>
  <c r="T68" i="70" s="1"/>
  <c r="T25" i="70"/>
  <c r="S66" i="70"/>
  <c r="S68" i="70" s="1"/>
  <c r="T90" i="70"/>
  <c r="T91" i="70" s="1"/>
  <c r="AC169" i="31"/>
  <c r="AC167" i="31"/>
  <c r="AC174" i="31"/>
  <c r="O52" i="31"/>
  <c r="O53" i="31"/>
  <c r="O54" i="31" s="1"/>
  <c r="O58" i="31"/>
  <c r="W40" i="31"/>
  <c r="V41" i="31"/>
  <c r="AB413" i="31"/>
  <c r="AB175" i="31"/>
  <c r="AE162" i="31"/>
  <c r="CS44" i="31"/>
  <c r="CT49" i="31"/>
  <c r="R47" i="31"/>
  <c r="Q44" i="31"/>
  <c r="Q45" i="31" s="1"/>
  <c r="AB17" i="31"/>
  <c r="AC11" i="31"/>
  <c r="AB16" i="31"/>
  <c r="AB18" i="31" s="1"/>
  <c r="AC401" i="31"/>
  <c r="AC150" i="31"/>
  <c r="V29" i="31"/>
  <c r="U26" i="31"/>
  <c r="U27" i="31" s="1"/>
  <c r="CO45" i="31"/>
  <c r="CP46" i="31"/>
  <c r="AD39" i="31"/>
  <c r="AE35" i="31"/>
  <c r="AD36" i="31"/>
  <c r="AC403" i="31"/>
  <c r="AC404" i="31" s="1"/>
  <c r="AD184" i="31"/>
  <c r="AC425" i="31"/>
  <c r="AC192" i="31"/>
  <c r="AF162" i="31"/>
  <c r="AD191" i="31"/>
  <c r="AD180" i="31"/>
  <c r="AB432" i="31"/>
  <c r="AB429" i="31"/>
  <c r="AB426" i="31"/>
  <c r="CJ46" i="31"/>
  <c r="CJ45" i="31"/>
  <c r="AC144" i="31"/>
  <c r="AF370" i="31"/>
  <c r="AE385" i="31"/>
  <c r="AE183" i="31"/>
  <c r="AD368" i="31"/>
  <c r="AD139" i="31"/>
  <c r="AA431" i="31"/>
  <c r="AA417" i="31"/>
  <c r="AE382" i="31"/>
  <c r="AD166" i="31"/>
  <c r="AD385" i="31"/>
  <c r="AD403" i="31" s="1"/>
  <c r="AD404" i="31" s="1"/>
  <c r="AB154" i="31"/>
  <c r="AB151" i="31"/>
  <c r="AD400" i="31"/>
  <c r="AD398" i="31"/>
  <c r="AE397" i="31"/>
  <c r="AE367" i="31"/>
  <c r="AF352" i="31"/>
  <c r="AE179" i="31"/>
  <c r="AA155" i="31"/>
  <c r="AA118" i="31"/>
  <c r="AA20" i="31"/>
  <c r="AA21" i="31" s="1"/>
  <c r="AA194" i="31"/>
  <c r="CB51" i="31"/>
  <c r="CA58" i="31"/>
  <c r="CA52" i="31"/>
  <c r="CN49" i="31"/>
  <c r="CR47" i="31"/>
  <c r="CN44" i="31"/>
  <c r="AC157" i="31"/>
  <c r="AC158" i="31" s="1"/>
  <c r="AC140" i="31"/>
  <c r="AC164" i="31"/>
  <c r="CD82" i="31"/>
  <c r="AT22" i="45" s="1"/>
  <c r="CC83" i="31"/>
  <c r="AS23" i="45" s="1"/>
  <c r="Z39" i="28"/>
  <c r="X40" i="28"/>
  <c r="X28" i="28"/>
  <c r="X31" i="29"/>
  <c r="X26" i="30" s="1"/>
  <c r="X33" i="28"/>
  <c r="Z32" i="28"/>
  <c r="X62" i="29"/>
  <c r="X59" i="29"/>
  <c r="W29" i="28"/>
  <c r="W30" i="28"/>
  <c r="W49" i="28"/>
  <c r="W146" i="30"/>
  <c r="W65" i="30"/>
  <c r="W89" i="29"/>
  <c r="W96" i="29" s="1"/>
  <c r="W81" i="30"/>
  <c r="L10" i="46"/>
  <c r="L11" i="46" s="1"/>
  <c r="W63" i="28"/>
  <c r="W71" i="28"/>
  <c r="W61" i="28"/>
  <c r="W116" i="30"/>
  <c r="W23" i="30"/>
  <c r="W34" i="29"/>
  <c r="X41" i="30"/>
  <c r="M13" i="46"/>
  <c r="M14" i="46" s="1"/>
  <c r="X149" i="30"/>
  <c r="X67" i="30"/>
  <c r="X74" i="30"/>
  <c r="X84" i="30"/>
  <c r="U53" i="28"/>
  <c r="U54" i="28"/>
  <c r="V50" i="28"/>
  <c r="V51" i="28"/>
  <c r="V52" i="28"/>
  <c r="X30" i="29"/>
  <c r="X18" i="29"/>
  <c r="X20" i="29" s="1"/>
  <c r="X91" i="29" s="1"/>
  <c r="X98" i="29" s="1"/>
  <c r="W20" i="29"/>
  <c r="W91" i="29" s="1"/>
  <c r="W98" i="29" s="1"/>
  <c r="AV64" i="29"/>
  <c r="AV26" i="29"/>
  <c r="AV52" i="29" s="1"/>
  <c r="AV55" i="30"/>
  <c r="AV57" i="30" s="1"/>
  <c r="AX11" i="29"/>
  <c r="AT88" i="29"/>
  <c r="AT99" i="29"/>
  <c r="AT95" i="29" s="1"/>
  <c r="I11" i="29"/>
  <c r="AX84" i="29"/>
  <c r="AX86" i="29" s="1"/>
  <c r="AW16" i="29"/>
  <c r="AW73" i="29"/>
  <c r="AW74" i="29" s="1"/>
  <c r="AU92" i="29"/>
  <c r="AU65" i="29"/>
  <c r="AR68" i="30" s="1"/>
  <c r="AR69" i="30" s="1"/>
  <c r="X14" i="29"/>
  <c r="AT58" i="30"/>
  <c r="CD70" i="29"/>
  <c r="CF48" i="29"/>
  <c r="CE49" i="29"/>
  <c r="CE50" i="29" s="1"/>
  <c r="CE70" i="29" s="1"/>
  <c r="X118" i="28"/>
  <c r="X63" i="28" l="1"/>
  <c r="M10" i="46"/>
  <c r="M11" i="46" s="1"/>
  <c r="X146" i="30"/>
  <c r="X89" i="29"/>
  <c r="X96" i="29" s="1"/>
  <c r="Z60" i="28"/>
  <c r="X81" i="30"/>
  <c r="X61" i="28"/>
  <c r="X71" i="28"/>
  <c r="X73" i="28" s="1"/>
  <c r="X65" i="30"/>
  <c r="CG80" i="31"/>
  <c r="AV20" i="45"/>
  <c r="S69" i="70"/>
  <c r="T93" i="70"/>
  <c r="T95" i="70" s="1"/>
  <c r="T99" i="70" s="1"/>
  <c r="T60" i="70"/>
  <c r="T51" i="70"/>
  <c r="T45" i="70"/>
  <c r="T47" i="70"/>
  <c r="T61" i="70" s="1"/>
  <c r="CN46" i="31"/>
  <c r="CN45" i="31"/>
  <c r="AE386" i="31"/>
  <c r="AE143" i="31"/>
  <c r="V26" i="31"/>
  <c r="V27" i="31" s="1"/>
  <c r="W29" i="31"/>
  <c r="CR44" i="31"/>
  <c r="CS46" i="31" s="1"/>
  <c r="CR49" i="31"/>
  <c r="CB58" i="31"/>
  <c r="CB52" i="31"/>
  <c r="CC51" i="31"/>
  <c r="AF397" i="31"/>
  <c r="AE400" i="31"/>
  <c r="AE398" i="31"/>
  <c r="AF382" i="31"/>
  <c r="AF166" i="31" s="1"/>
  <c r="AE166" i="31"/>
  <c r="AF183" i="31"/>
  <c r="AC426" i="31"/>
  <c r="AC432" i="31"/>
  <c r="AC429" i="31"/>
  <c r="CO46" i="31"/>
  <c r="AC151" i="31"/>
  <c r="AC154" i="31"/>
  <c r="CS45" i="31"/>
  <c r="CT46" i="31"/>
  <c r="W41" i="31"/>
  <c r="X40" i="31"/>
  <c r="AC413" i="31"/>
  <c r="AC175" i="31"/>
  <c r="AC177" i="31"/>
  <c r="CD83" i="31"/>
  <c r="AT23" i="45" s="1"/>
  <c r="P82" i="31"/>
  <c r="CE82" i="31"/>
  <c r="AU22" i="45" s="1"/>
  <c r="AE403" i="31"/>
  <c r="AE404" i="31" s="1"/>
  <c r="AE368" i="31"/>
  <c r="AE139" i="31"/>
  <c r="AD169" i="31"/>
  <c r="AD167" i="31"/>
  <c r="AD174" i="31"/>
  <c r="AD140" i="31"/>
  <c r="AD164" i="31"/>
  <c r="AD425" i="31"/>
  <c r="AD192" i="31"/>
  <c r="AC17" i="31"/>
  <c r="AD11" i="31"/>
  <c r="AC16" i="31"/>
  <c r="AC18" i="31" s="1"/>
  <c r="AC142" i="31"/>
  <c r="AE182" i="31"/>
  <c r="AE191" i="31"/>
  <c r="AE180" i="31"/>
  <c r="AB155" i="31"/>
  <c r="AB118" i="31"/>
  <c r="AB20" i="31"/>
  <c r="AB21" i="31" s="1"/>
  <c r="AB194" i="31"/>
  <c r="AE39" i="31"/>
  <c r="AF35" i="31"/>
  <c r="AE36" i="31"/>
  <c r="CS49" i="31"/>
  <c r="AB177" i="31"/>
  <c r="AF367" i="31"/>
  <c r="AF179" i="31"/>
  <c r="AD401" i="31"/>
  <c r="AD150" i="31"/>
  <c r="AD386" i="31"/>
  <c r="AD143" i="31"/>
  <c r="AE186" i="31"/>
  <c r="AE184" i="31"/>
  <c r="AC146" i="31"/>
  <c r="AD182" i="31"/>
  <c r="S47" i="31"/>
  <c r="R44" i="31"/>
  <c r="R45" i="31" s="1"/>
  <c r="AB431" i="31"/>
  <c r="AB417" i="31"/>
  <c r="W51" i="28"/>
  <c r="W50" i="28"/>
  <c r="W52" i="28"/>
  <c r="X23" i="30"/>
  <c r="X34" i="29"/>
  <c r="W73" i="28"/>
  <c r="W72" i="28"/>
  <c r="Z28" i="28"/>
  <c r="X29" i="28"/>
  <c r="X30" i="28"/>
  <c r="X49" i="28"/>
  <c r="V53" i="28"/>
  <c r="V54" i="28"/>
  <c r="AX73" i="29"/>
  <c r="AX16" i="29"/>
  <c r="I16" i="29"/>
  <c r="I84" i="29"/>
  <c r="I86" i="29" s="1"/>
  <c r="I73" i="29"/>
  <c r="I74" i="29" s="1"/>
  <c r="I58" i="30"/>
  <c r="AW55" i="30"/>
  <c r="AW57" i="30" s="1"/>
  <c r="AY11" i="29"/>
  <c r="AY84" i="29" s="1"/>
  <c r="AY86" i="29" s="1"/>
  <c r="AV92" i="29"/>
  <c r="AV65" i="29"/>
  <c r="AS68" i="30" s="1"/>
  <c r="AS69" i="30" s="1"/>
  <c r="AU99" i="29"/>
  <c r="AU95" i="29" s="1"/>
  <c r="AU88" i="29"/>
  <c r="AU58" i="30"/>
  <c r="AW26" i="29"/>
  <c r="AW52" i="29" s="1"/>
  <c r="AW64" i="29"/>
  <c r="CG48" i="29"/>
  <c r="CF49" i="29"/>
  <c r="CF50" i="29" s="1"/>
  <c r="CF70" i="29" s="1"/>
  <c r="AV58" i="30" l="1"/>
  <c r="X72" i="28"/>
  <c r="CH80" i="31"/>
  <c r="AW20" i="45"/>
  <c r="T62" i="70"/>
  <c r="T69" i="70" s="1"/>
  <c r="U69" i="70" s="1"/>
  <c r="AD151" i="31"/>
  <c r="AD154" i="31"/>
  <c r="CC58" i="31"/>
  <c r="CC52" i="31"/>
  <c r="CD51" i="31"/>
  <c r="AD144" i="31"/>
  <c r="AD186" i="31"/>
  <c r="AF191" i="31"/>
  <c r="AF180" i="31"/>
  <c r="AE425" i="31"/>
  <c r="AE192" i="31"/>
  <c r="AD16" i="31"/>
  <c r="AD18" i="31" s="1"/>
  <c r="AD17" i="31"/>
  <c r="AE11" i="31"/>
  <c r="AD429" i="31"/>
  <c r="AD426" i="31"/>
  <c r="AD157" i="31"/>
  <c r="AD146" i="31" s="1"/>
  <c r="AE157" i="31"/>
  <c r="AE140" i="31"/>
  <c r="AE142" i="31"/>
  <c r="AE164" i="31"/>
  <c r="P83" i="31"/>
  <c r="P84" i="31"/>
  <c r="AC431" i="31"/>
  <c r="AC417" i="31"/>
  <c r="AF184" i="31"/>
  <c r="W26" i="31"/>
  <c r="W27" i="31" s="1"/>
  <c r="X29" i="31"/>
  <c r="S44" i="31"/>
  <c r="S45" i="31" s="1"/>
  <c r="T47" i="31"/>
  <c r="CF82" i="31"/>
  <c r="AV22" i="45" s="1"/>
  <c r="CE83" i="31"/>
  <c r="AU23" i="45" s="1"/>
  <c r="AF167" i="31"/>
  <c r="AF174" i="31"/>
  <c r="CR46" i="31"/>
  <c r="CR45" i="31"/>
  <c r="AF368" i="31"/>
  <c r="AF139" i="31"/>
  <c r="AF182" i="31" s="1"/>
  <c r="AF36" i="31"/>
  <c r="AF39" i="31"/>
  <c r="AD413" i="31"/>
  <c r="AD432" i="31" s="1"/>
  <c r="AD177" i="31"/>
  <c r="AD175" i="31"/>
  <c r="X41" i="31"/>
  <c r="Y40" i="31"/>
  <c r="AF385" i="31"/>
  <c r="AE401" i="31"/>
  <c r="AE150" i="31"/>
  <c r="AC155" i="31"/>
  <c r="AC118" i="31"/>
  <c r="AC20" i="31"/>
  <c r="AC21" i="31" s="1"/>
  <c r="AC194" i="31"/>
  <c r="AE167" i="31"/>
  <c r="AE169" i="31"/>
  <c r="AE174" i="31"/>
  <c r="AF398" i="31"/>
  <c r="AF400" i="31"/>
  <c r="AF403" i="31" s="1"/>
  <c r="AF404" i="31" s="1"/>
  <c r="AE146" i="31"/>
  <c r="AE144" i="31"/>
  <c r="X50" i="28"/>
  <c r="X52" i="28"/>
  <c r="Z49" i="28"/>
  <c r="X51" i="28"/>
  <c r="W54" i="28"/>
  <c r="W53" i="28"/>
  <c r="AV99" i="29"/>
  <c r="AV95" i="29" s="1"/>
  <c r="AV88" i="29"/>
  <c r="I26" i="29"/>
  <c r="I52" i="29" s="1"/>
  <c r="I64" i="29"/>
  <c r="AY16" i="29"/>
  <c r="AY73" i="29"/>
  <c r="AX26" i="29"/>
  <c r="AX52" i="29" s="1"/>
  <c r="AX64" i="29"/>
  <c r="AW65" i="29"/>
  <c r="AT68" i="30" s="1"/>
  <c r="AT69" i="30" s="1"/>
  <c r="AW92" i="29"/>
  <c r="AX55" i="30"/>
  <c r="AX57" i="30" s="1"/>
  <c r="AZ11" i="29"/>
  <c r="AZ84" i="29" s="1"/>
  <c r="AZ86" i="29" s="1"/>
  <c r="AX75" i="29"/>
  <c r="AX74" i="29"/>
  <c r="CG49" i="29"/>
  <c r="CG50" i="29" s="1"/>
  <c r="CG70" i="29" s="1"/>
  <c r="R48" i="29"/>
  <c r="R49" i="29" s="1"/>
  <c r="CH48" i="29"/>
  <c r="CI48" i="29" s="1"/>
  <c r="CJ48" i="29" s="1"/>
  <c r="CK48" i="29" s="1"/>
  <c r="S48" i="29" s="1"/>
  <c r="T48" i="29" s="1"/>
  <c r="U48" i="29" s="1"/>
  <c r="V48" i="29" s="1"/>
  <c r="W48" i="29" s="1"/>
  <c r="X48" i="29" s="1"/>
  <c r="AX20" i="45" l="1"/>
  <c r="CI80" i="31"/>
  <c r="CJ80" i="31" s="1"/>
  <c r="CK80" i="31" s="1"/>
  <c r="CL80" i="31" s="1"/>
  <c r="Q80" i="31"/>
  <c r="Q81" i="31" s="1"/>
  <c r="AW58" i="30"/>
  <c r="AE413" i="31"/>
  <c r="AE432" i="31" s="1"/>
  <c r="AE175" i="31"/>
  <c r="T44" i="31"/>
  <c r="T45" i="31" s="1"/>
  <c r="U47" i="31"/>
  <c r="P92" i="31"/>
  <c r="P93" i="31" s="1"/>
  <c r="P88" i="31"/>
  <c r="CG82" i="31"/>
  <c r="AW22" i="45" s="1"/>
  <c r="CF83" i="31"/>
  <c r="AV23" i="45" s="1"/>
  <c r="AE426" i="31"/>
  <c r="AE429" i="31"/>
  <c r="AF386" i="31"/>
  <c r="AF143" i="31"/>
  <c r="AE158" i="31"/>
  <c r="AD118" i="31"/>
  <c r="AD155" i="31"/>
  <c r="AD20" i="31"/>
  <c r="AD21" i="31" s="1"/>
  <c r="AD194" i="31"/>
  <c r="AE154" i="31"/>
  <c r="AE177" i="31" s="1"/>
  <c r="AE151" i="31"/>
  <c r="AF413" i="31"/>
  <c r="AF175" i="31"/>
  <c r="AF401" i="31"/>
  <c r="AF150" i="31"/>
  <c r="Y41" i="31"/>
  <c r="Z40" i="31"/>
  <c r="AD431" i="31"/>
  <c r="AD417" i="31"/>
  <c r="AF157" i="31"/>
  <c r="AF158" i="31" s="1"/>
  <c r="AF140" i="31"/>
  <c r="AF164" i="31"/>
  <c r="Y29" i="31"/>
  <c r="X26" i="31"/>
  <c r="X27" i="31" s="1"/>
  <c r="AD158" i="31"/>
  <c r="AD142" i="31"/>
  <c r="AE16" i="31"/>
  <c r="AE18" i="31" s="1"/>
  <c r="AE17" i="31"/>
  <c r="AF11" i="31"/>
  <c r="AF425" i="31"/>
  <c r="AF192" i="31"/>
  <c r="CE51" i="31"/>
  <c r="P51" i="31"/>
  <c r="CD58" i="31"/>
  <c r="CD52" i="31"/>
  <c r="X53" i="28"/>
  <c r="X54" i="28"/>
  <c r="Z52" i="28"/>
  <c r="I92" i="29"/>
  <c r="I65" i="29"/>
  <c r="I68" i="30" s="1"/>
  <c r="I69" i="30" s="1"/>
  <c r="AW99" i="29"/>
  <c r="AW95" i="29" s="1"/>
  <c r="AW88" i="29"/>
  <c r="AZ16" i="29"/>
  <c r="AZ73" i="29"/>
  <c r="AY75" i="29"/>
  <c r="AY74" i="29"/>
  <c r="AY55" i="30"/>
  <c r="AY57" i="30" s="1"/>
  <c r="BA11" i="29"/>
  <c r="BA84" i="29" s="1"/>
  <c r="BA86" i="29" s="1"/>
  <c r="AX92" i="29"/>
  <c r="AX65" i="29"/>
  <c r="AU68" i="30" s="1"/>
  <c r="AU69" i="30" s="1"/>
  <c r="AY26" i="29"/>
  <c r="AY52" i="29" s="1"/>
  <c r="AY64" i="29"/>
  <c r="S107" i="29"/>
  <c r="R70" i="29"/>
  <c r="R50" i="29"/>
  <c r="CM80" i="31" l="1"/>
  <c r="CN80" i="31" s="1"/>
  <c r="CO80" i="31" s="1"/>
  <c r="CP80" i="31" s="1"/>
  <c r="R80" i="31"/>
  <c r="R81" i="31" s="1"/>
  <c r="P53" i="31"/>
  <c r="P54" i="31" s="1"/>
  <c r="P58" i="31"/>
  <c r="P52" i="31"/>
  <c r="AF432" i="31"/>
  <c r="AF429" i="31"/>
  <c r="AF426" i="31"/>
  <c r="AF154" i="31"/>
  <c r="AF151" i="31"/>
  <c r="AF431" i="31"/>
  <c r="AF417" i="31"/>
  <c r="AF144" i="31"/>
  <c r="AF146" i="31"/>
  <c r="AF186" i="31"/>
  <c r="AF169" i="31"/>
  <c r="CH82" i="31"/>
  <c r="AX22" i="45" s="1"/>
  <c r="CG83" i="31"/>
  <c r="AW23" i="45" s="1"/>
  <c r="CF51" i="31"/>
  <c r="CE58" i="31"/>
  <c r="CE52" i="31"/>
  <c r="AF17" i="31"/>
  <c r="AF16" i="31"/>
  <c r="AF18" i="31" s="1"/>
  <c r="Y26" i="31"/>
  <c r="Y27" i="31" s="1"/>
  <c r="Z29" i="31"/>
  <c r="AF142" i="31"/>
  <c r="Z41" i="31"/>
  <c r="AA40" i="31"/>
  <c r="AE155" i="31"/>
  <c r="AE118" i="31"/>
  <c r="AE20" i="31"/>
  <c r="AE21" i="31" s="1"/>
  <c r="AE194" i="31"/>
  <c r="V47" i="31"/>
  <c r="U44" i="31"/>
  <c r="U45" i="31" s="1"/>
  <c r="AE431" i="31"/>
  <c r="AE417" i="31"/>
  <c r="AY92" i="29"/>
  <c r="AY65" i="29"/>
  <c r="AV68" i="30" s="1"/>
  <c r="AV69" i="30" s="1"/>
  <c r="AX58" i="30"/>
  <c r="J11" i="29"/>
  <c r="BA73" i="29"/>
  <c r="BA16" i="29"/>
  <c r="AZ55" i="30"/>
  <c r="AZ57" i="30" s="1"/>
  <c r="BB11" i="29"/>
  <c r="AZ75" i="29"/>
  <c r="AZ74" i="29"/>
  <c r="AX99" i="29"/>
  <c r="AX95" i="29" s="1"/>
  <c r="AX88" i="29"/>
  <c r="AZ64" i="29"/>
  <c r="AZ26" i="29"/>
  <c r="AZ52" i="29" s="1"/>
  <c r="I99" i="29"/>
  <c r="I95" i="29" s="1"/>
  <c r="I88" i="29"/>
  <c r="B94" i="79"/>
  <c r="B93" i="79"/>
  <c r="S80" i="31" l="1"/>
  <c r="S81" i="31" s="1"/>
  <c r="CQ80" i="31"/>
  <c r="CR80" i="31" s="1"/>
  <c r="CS80" i="31" s="1"/>
  <c r="CT80" i="31" s="1"/>
  <c r="T80" i="31" s="1"/>
  <c r="W47" i="31"/>
  <c r="V44" i="31"/>
  <c r="V45" i="31" s="1"/>
  <c r="Z26" i="31"/>
  <c r="Z27" i="31" s="1"/>
  <c r="AA29" i="31"/>
  <c r="CH83" i="31"/>
  <c r="AX23" i="45" s="1"/>
  <c r="Q82" i="31"/>
  <c r="CI82" i="31"/>
  <c r="AF155" i="31"/>
  <c r="AF118" i="31"/>
  <c r="AF20" i="31"/>
  <c r="AF21" i="31" s="1"/>
  <c r="AF177" i="31"/>
  <c r="AF194" i="31"/>
  <c r="AA41" i="31"/>
  <c r="AB40" i="31"/>
  <c r="CF58" i="31"/>
  <c r="CF52" i="31"/>
  <c r="CG51" i="31"/>
  <c r="J16" i="29"/>
  <c r="J73" i="29"/>
  <c r="J58" i="30"/>
  <c r="J84" i="29"/>
  <c r="J86" i="29" s="1"/>
  <c r="AZ92" i="29"/>
  <c r="AZ65" i="29"/>
  <c r="AW68" i="30" s="1"/>
  <c r="AW69" i="30" s="1"/>
  <c r="BA64" i="29"/>
  <c r="BA26" i="29"/>
  <c r="BA52" i="29" s="1"/>
  <c r="BA55" i="30"/>
  <c r="BA57" i="30" s="1"/>
  <c r="BC11" i="29"/>
  <c r="BC84" i="29" s="1"/>
  <c r="BC86" i="29" s="1"/>
  <c r="BB16" i="29"/>
  <c r="BB73" i="29"/>
  <c r="BA74" i="29"/>
  <c r="BA75" i="29"/>
  <c r="AY58" i="30"/>
  <c r="BB84" i="29"/>
  <c r="BB86" i="29" s="1"/>
  <c r="AY99" i="29"/>
  <c r="AY95" i="29" s="1"/>
  <c r="AY88" i="29"/>
  <c r="T81" i="31" l="1"/>
  <c r="U80" i="31"/>
  <c r="V80" i="31" s="1"/>
  <c r="W80" i="31" s="1"/>
  <c r="X80" i="31" s="1"/>
  <c r="Y80" i="31" s="1"/>
  <c r="Z80" i="31" s="1"/>
  <c r="AA80" i="31" s="1"/>
  <c r="AB80" i="31" s="1"/>
  <c r="AC80" i="31" s="1"/>
  <c r="AD80" i="31" s="1"/>
  <c r="AE80" i="31" s="1"/>
  <c r="AF80" i="31" s="1"/>
  <c r="AB41" i="31"/>
  <c r="AC40" i="31"/>
  <c r="Q83" i="31"/>
  <c r="Q84" i="31"/>
  <c r="CH51" i="31"/>
  <c r="CG58" i="31"/>
  <c r="CG52" i="31"/>
  <c r="CJ82" i="31"/>
  <c r="CI83" i="31"/>
  <c r="AA26" i="31"/>
  <c r="AA27" i="31" s="1"/>
  <c r="AB29" i="31"/>
  <c r="W44" i="31"/>
  <c r="W45" i="31" s="1"/>
  <c r="X47" i="31"/>
  <c r="BB55" i="30"/>
  <c r="BB57" i="30" s="1"/>
  <c r="BD11" i="29"/>
  <c r="J74" i="29"/>
  <c r="J75" i="29"/>
  <c r="BC16" i="29"/>
  <c r="BC73" i="29"/>
  <c r="BA92" i="29"/>
  <c r="BA65" i="29"/>
  <c r="AX68" i="30" s="1"/>
  <c r="AX69" i="30" s="1"/>
  <c r="BB75" i="29"/>
  <c r="BB74" i="29"/>
  <c r="BB64" i="29"/>
  <c r="BB26" i="29"/>
  <c r="BB52" i="29" s="1"/>
  <c r="AZ58" i="30"/>
  <c r="AZ99" i="29"/>
  <c r="AZ95" i="29" s="1"/>
  <c r="AZ88" i="29"/>
  <c r="J64" i="29"/>
  <c r="J26" i="29"/>
  <c r="J52" i="29" s="1"/>
  <c r="CK82" i="31" l="1"/>
  <c r="CJ83" i="31"/>
  <c r="Q92" i="31"/>
  <c r="Q93" i="31" s="1"/>
  <c r="Q88" i="31"/>
  <c r="AC29" i="31"/>
  <c r="AB26" i="31"/>
  <c r="AB27" i="31" s="1"/>
  <c r="X44" i="31"/>
  <c r="X45" i="31" s="1"/>
  <c r="Y47" i="31"/>
  <c r="AC41" i="31"/>
  <c r="AD40" i="31"/>
  <c r="Q51" i="31"/>
  <c r="CI51" i="31"/>
  <c r="CH58" i="31"/>
  <c r="CH52" i="31"/>
  <c r="BC75" i="29"/>
  <c r="BC74" i="29"/>
  <c r="BC64" i="29"/>
  <c r="BC26" i="29"/>
  <c r="BC52" i="29" s="1"/>
  <c r="BE84" i="29"/>
  <c r="BE86" i="29" s="1"/>
  <c r="BD73" i="29"/>
  <c r="BD16" i="29"/>
  <c r="J92" i="29"/>
  <c r="J65" i="29"/>
  <c r="J68" i="30" s="1"/>
  <c r="J69" i="30" s="1"/>
  <c r="K65" i="29"/>
  <c r="K68" i="30" s="1"/>
  <c r="K69" i="30" s="1"/>
  <c r="BD84" i="29"/>
  <c r="BD86" i="29" s="1"/>
  <c r="BC55" i="30"/>
  <c r="BB58" i="30"/>
  <c r="BB92" i="29"/>
  <c r="BB65" i="29"/>
  <c r="AY68" i="30" s="1"/>
  <c r="AY69" i="30" s="1"/>
  <c r="BA99" i="29"/>
  <c r="BA95" i="29" s="1"/>
  <c r="BA88" i="29"/>
  <c r="BA58" i="30"/>
  <c r="CJ51" i="31" l="1"/>
  <c r="CI58" i="31"/>
  <c r="CI52" i="31"/>
  <c r="Q58" i="31"/>
  <c r="Q53" i="31"/>
  <c r="Q54" i="31" s="1"/>
  <c r="Q52" i="31"/>
  <c r="Z47" i="31"/>
  <c r="Y44" i="31"/>
  <c r="Y45" i="31" s="1"/>
  <c r="AE40" i="31"/>
  <c r="AD41" i="31"/>
  <c r="AD29" i="31"/>
  <c r="AC26" i="31"/>
  <c r="AC27" i="31" s="1"/>
  <c r="CL82" i="31"/>
  <c r="CK83" i="31"/>
  <c r="BD64" i="29"/>
  <c r="BD26" i="29"/>
  <c r="BD52" i="29" s="1"/>
  <c r="BC65" i="29"/>
  <c r="AZ68" i="30" s="1"/>
  <c r="AZ69" i="30" s="1"/>
  <c r="BC92" i="29"/>
  <c r="J99" i="29"/>
  <c r="J95" i="29" s="1"/>
  <c r="J88" i="29"/>
  <c r="BB88" i="29"/>
  <c r="BB99" i="29"/>
  <c r="BB95" i="29" s="1"/>
  <c r="BD74" i="29"/>
  <c r="BD75" i="29"/>
  <c r="H73" i="79"/>
  <c r="I73" i="79"/>
  <c r="I72" i="79" s="1"/>
  <c r="I71" i="79" s="1"/>
  <c r="J73" i="79"/>
  <c r="J72" i="79" s="1"/>
  <c r="J71" i="79" s="1"/>
  <c r="K73" i="79"/>
  <c r="K72" i="79" s="1"/>
  <c r="K71" i="79" s="1"/>
  <c r="L73" i="79"/>
  <c r="L72" i="79" s="1"/>
  <c r="L71" i="79" s="1"/>
  <c r="E33" i="79"/>
  <c r="D33" i="79"/>
  <c r="C33" i="79"/>
  <c r="L7" i="79"/>
  <c r="L18" i="79" s="1"/>
  <c r="L30" i="79" s="1"/>
  <c r="L40" i="79" s="1"/>
  <c r="L54" i="79" s="1"/>
  <c r="L92" i="79" s="1"/>
  <c r="K7" i="79"/>
  <c r="K18" i="79" s="1"/>
  <c r="K30" i="79" s="1"/>
  <c r="K40" i="79" s="1"/>
  <c r="K54" i="79" s="1"/>
  <c r="K92" i="79" s="1"/>
  <c r="J7" i="79"/>
  <c r="J18" i="79" s="1"/>
  <c r="J30" i="79" s="1"/>
  <c r="J40" i="79" s="1"/>
  <c r="J54" i="79" s="1"/>
  <c r="J92" i="79" s="1"/>
  <c r="I7" i="79"/>
  <c r="I18" i="79" s="1"/>
  <c r="I30" i="79" s="1"/>
  <c r="I40" i="79" s="1"/>
  <c r="I54" i="79" s="1"/>
  <c r="I92" i="79" s="1"/>
  <c r="H7" i="79"/>
  <c r="H18" i="79" s="1"/>
  <c r="H30" i="79" s="1"/>
  <c r="H40" i="79" s="1"/>
  <c r="H54" i="79" s="1"/>
  <c r="H92" i="79" s="1"/>
  <c r="F106" i="67"/>
  <c r="E106" i="67"/>
  <c r="AC71" i="79"/>
  <c r="AC72" i="79" s="1"/>
  <c r="AC73" i="79" s="1"/>
  <c r="AD56" i="79"/>
  <c r="C7" i="79"/>
  <c r="C18" i="79" s="1"/>
  <c r="C30" i="79" s="1"/>
  <c r="C40" i="79" s="1"/>
  <c r="C54" i="79" s="1"/>
  <c r="D7" i="79"/>
  <c r="D18" i="79" s="1"/>
  <c r="D30" i="79" s="1"/>
  <c r="D40" i="79" s="1"/>
  <c r="D54" i="79" s="1"/>
  <c r="E7" i="79"/>
  <c r="E18" i="79" s="1"/>
  <c r="E30" i="79" s="1"/>
  <c r="E40" i="79" s="1"/>
  <c r="E54" i="79" s="1"/>
  <c r="E92" i="79" s="1"/>
  <c r="F7" i="79"/>
  <c r="F18" i="79" s="1"/>
  <c r="F30" i="79" s="1"/>
  <c r="F40" i="79" s="1"/>
  <c r="F54" i="79" s="1"/>
  <c r="F92" i="79" s="1"/>
  <c r="G7" i="79"/>
  <c r="G18" i="79" s="1"/>
  <c r="G30" i="79" s="1"/>
  <c r="G40" i="79" s="1"/>
  <c r="G54" i="79" s="1"/>
  <c r="G92" i="79" s="1"/>
  <c r="AG71" i="79"/>
  <c r="AG70" i="79" s="1"/>
  <c r="AF71" i="79"/>
  <c r="AF72" i="79" s="1"/>
  <c r="AF73" i="79" s="1"/>
  <c r="AE71" i="79"/>
  <c r="AE70" i="79" s="1"/>
  <c r="AC33" i="79"/>
  <c r="AC90" i="79" s="1"/>
  <c r="AG7" i="79"/>
  <c r="AG18" i="79" s="1"/>
  <c r="AG40" i="79" s="1"/>
  <c r="AG54" i="79" s="1"/>
  <c r="AG68" i="79" s="1"/>
  <c r="AF7" i="79"/>
  <c r="AF18" i="79" s="1"/>
  <c r="AF40" i="79" s="1"/>
  <c r="AF54" i="79" s="1"/>
  <c r="AF68" i="79" s="1"/>
  <c r="AE7" i="79"/>
  <c r="AE18" i="79" s="1"/>
  <c r="AE30" i="79" s="1"/>
  <c r="AD7" i="79"/>
  <c r="AD18" i="79" s="1"/>
  <c r="AD40" i="79" s="1"/>
  <c r="AD54" i="79" s="1"/>
  <c r="AD68" i="79" s="1"/>
  <c r="AD26" i="31" l="1"/>
  <c r="AD27" i="31" s="1"/>
  <c r="AE29" i="31"/>
  <c r="AA47" i="31"/>
  <c r="Z44" i="31"/>
  <c r="Z45" i="31" s="1"/>
  <c r="CL83" i="31"/>
  <c r="R82" i="31"/>
  <c r="CM82" i="31"/>
  <c r="AE41" i="31"/>
  <c r="AF40" i="31"/>
  <c r="AF41" i="31" s="1"/>
  <c r="CJ58" i="31"/>
  <c r="CJ52" i="31"/>
  <c r="CK51" i="31"/>
  <c r="BC99" i="29"/>
  <c r="BC95" i="29" s="1"/>
  <c r="BC88" i="29"/>
  <c r="BE65" i="29"/>
  <c r="BB68" i="30" s="1"/>
  <c r="BB69" i="30" s="1"/>
  <c r="BD92" i="29"/>
  <c r="BD65" i="29"/>
  <c r="BA68" i="30" s="1"/>
  <c r="BA69" i="30" s="1"/>
  <c r="AD92" i="79"/>
  <c r="AF92" i="79"/>
  <c r="AG92" i="79"/>
  <c r="AC89" i="79"/>
  <c r="J70" i="79"/>
  <c r="J69" i="79"/>
  <c r="K70" i="79"/>
  <c r="K69" i="79"/>
  <c r="I70" i="79"/>
  <c r="I69" i="79"/>
  <c r="L70" i="79"/>
  <c r="L69" i="79"/>
  <c r="F33" i="79"/>
  <c r="F71" i="79"/>
  <c r="AC69" i="79"/>
  <c r="F69" i="79" s="1"/>
  <c r="AC70" i="79"/>
  <c r="F70" i="79" s="1"/>
  <c r="AG69" i="79"/>
  <c r="AE69" i="79"/>
  <c r="AE72" i="79"/>
  <c r="AE73" i="79" s="1"/>
  <c r="AG72" i="79"/>
  <c r="AF70" i="79"/>
  <c r="AF69" i="79"/>
  <c r="AD30" i="79"/>
  <c r="AE40" i="79"/>
  <c r="AE54" i="79" s="1"/>
  <c r="AF30" i="79"/>
  <c r="AG30" i="79"/>
  <c r="CN82" i="31" l="1"/>
  <c r="CM83" i="31"/>
  <c r="AA44" i="31"/>
  <c r="AA45" i="31" s="1"/>
  <c r="AB47" i="31"/>
  <c r="CL51" i="31"/>
  <c r="CK58" i="31"/>
  <c r="CK52" i="31"/>
  <c r="R84" i="31"/>
  <c r="R83" i="31"/>
  <c r="AE26" i="31"/>
  <c r="AE27" i="31" s="1"/>
  <c r="AF29" i="31"/>
  <c r="AF26" i="31" s="1"/>
  <c r="BD88" i="29"/>
  <c r="BD99" i="29"/>
  <c r="BD95" i="29" s="1"/>
  <c r="AE68" i="79"/>
  <c r="AE92" i="79"/>
  <c r="AG73" i="79"/>
  <c r="G72" i="79"/>
  <c r="G73" i="79" s="1"/>
  <c r="R88" i="31" l="1"/>
  <c r="R92" i="31"/>
  <c r="R93" i="31" s="1"/>
  <c r="AC47" i="31"/>
  <c r="AB44" i="31"/>
  <c r="AB45" i="31" s="1"/>
  <c r="AF27" i="31"/>
  <c r="CM51" i="31"/>
  <c r="CL58" i="31"/>
  <c r="CL52" i="31"/>
  <c r="R51" i="31"/>
  <c r="CO82" i="31"/>
  <c r="CN83" i="31"/>
  <c r="CP82" i="31" l="1"/>
  <c r="CO83" i="31"/>
  <c r="CN51" i="31"/>
  <c r="CM58" i="31"/>
  <c r="CM52" i="31"/>
  <c r="AD47" i="31"/>
  <c r="AC44" i="31"/>
  <c r="AC45" i="31" s="1"/>
  <c r="R52" i="31"/>
  <c r="R53" i="31"/>
  <c r="R54" i="31" s="1"/>
  <c r="R58" i="31"/>
  <c r="CN58" i="31" l="1"/>
  <c r="CN52" i="31"/>
  <c r="CO51" i="31"/>
  <c r="AE47" i="31"/>
  <c r="AD44" i="31"/>
  <c r="AD45" i="31" s="1"/>
  <c r="CP83" i="31"/>
  <c r="CQ82" i="31"/>
  <c r="S82" i="31"/>
  <c r="AE44" i="31" l="1"/>
  <c r="AE45" i="31" s="1"/>
  <c r="AF47" i="31"/>
  <c r="AF44" i="31" s="1"/>
  <c r="AF45" i="31" s="1"/>
  <c r="CR82" i="31"/>
  <c r="CQ83" i="31"/>
  <c r="CP51" i="31"/>
  <c r="CO58" i="31"/>
  <c r="CO52" i="31"/>
  <c r="S84" i="31"/>
  <c r="S83" i="31"/>
  <c r="V150" i="74"/>
  <c r="V87" i="74"/>
  <c r="V68" i="74"/>
  <c r="DA9" i="74"/>
  <c r="CZ149" i="74"/>
  <c r="CY149" i="74"/>
  <c r="CX149" i="74"/>
  <c r="CW149" i="74"/>
  <c r="CZ148" i="74"/>
  <c r="CY148" i="74"/>
  <c r="CX148" i="74"/>
  <c r="CW148" i="74"/>
  <c r="CZ118" i="74"/>
  <c r="CY118" i="74"/>
  <c r="CX118" i="74"/>
  <c r="CW118" i="74"/>
  <c r="CZ116" i="74"/>
  <c r="CY116" i="74"/>
  <c r="CX116" i="74"/>
  <c r="CW116" i="74"/>
  <c r="CZ114" i="74"/>
  <c r="CY114" i="74"/>
  <c r="CX114" i="74"/>
  <c r="CW114" i="74"/>
  <c r="CZ112" i="74"/>
  <c r="CY112" i="74"/>
  <c r="CX112" i="74"/>
  <c r="CW112" i="74"/>
  <c r="CZ110" i="74"/>
  <c r="CY110" i="74"/>
  <c r="CX110" i="74"/>
  <c r="CW110" i="74"/>
  <c r="CZ108" i="74"/>
  <c r="CY108" i="74"/>
  <c r="CX108" i="74"/>
  <c r="CW108" i="74"/>
  <c r="CZ105" i="74"/>
  <c r="CY105" i="74"/>
  <c r="CX105" i="74"/>
  <c r="CW105" i="74"/>
  <c r="CZ103" i="74"/>
  <c r="CY103" i="74"/>
  <c r="CX103" i="74"/>
  <c r="CW103" i="74"/>
  <c r="CZ101" i="74"/>
  <c r="CY101" i="74"/>
  <c r="CX101" i="74"/>
  <c r="CW101" i="74"/>
  <c r="CZ99" i="74"/>
  <c r="CY99" i="74"/>
  <c r="CX99" i="74"/>
  <c r="CW99" i="74"/>
  <c r="CZ96" i="74"/>
  <c r="CY96" i="74"/>
  <c r="CX96" i="74"/>
  <c r="CW96" i="74"/>
  <c r="CZ94" i="74"/>
  <c r="CY94" i="74"/>
  <c r="CX94" i="74"/>
  <c r="CW94" i="74"/>
  <c r="CZ92" i="74"/>
  <c r="CY92" i="74"/>
  <c r="CX92" i="74"/>
  <c r="CW92" i="74"/>
  <c r="CZ90" i="74"/>
  <c r="CY90" i="74"/>
  <c r="CX90" i="74"/>
  <c r="CW90" i="74"/>
  <c r="CZ87" i="74"/>
  <c r="CY87" i="74"/>
  <c r="CX87" i="74"/>
  <c r="CW87" i="74"/>
  <c r="CZ85" i="74"/>
  <c r="CY85" i="74"/>
  <c r="CX85" i="74"/>
  <c r="CW85" i="74"/>
  <c r="CZ83" i="74"/>
  <c r="CY83" i="74"/>
  <c r="CX83" i="74"/>
  <c r="CW83" i="74"/>
  <c r="CZ68" i="74"/>
  <c r="CY68" i="74"/>
  <c r="CX68" i="74"/>
  <c r="CW68" i="74"/>
  <c r="Y90" i="79"/>
  <c r="X90" i="79"/>
  <c r="W90" i="79"/>
  <c r="V90" i="79"/>
  <c r="U90" i="79"/>
  <c r="T90" i="79"/>
  <c r="S90" i="79"/>
  <c r="R90" i="79"/>
  <c r="Q90" i="79"/>
  <c r="P90" i="79"/>
  <c r="O90" i="79"/>
  <c r="N90" i="79"/>
  <c r="B88" i="79"/>
  <c r="B60" i="79"/>
  <c r="B59" i="79"/>
  <c r="B58" i="79"/>
  <c r="B57" i="79"/>
  <c r="B56" i="79"/>
  <c r="CS82" i="31" l="1"/>
  <c r="CR83" i="31"/>
  <c r="S92" i="31"/>
  <c r="S93" i="31" s="1"/>
  <c r="S88" i="31"/>
  <c r="CQ51" i="31"/>
  <c r="CP58" i="31"/>
  <c r="CP52" i="31"/>
  <c r="S51" i="31"/>
  <c r="Q15" i="79"/>
  <c r="P15" i="79"/>
  <c r="O15" i="79"/>
  <c r="N15" i="79"/>
  <c r="AB15" i="79"/>
  <c r="AC15" i="79" s="1"/>
  <c r="AD15" i="79" s="1"/>
  <c r="AA15" i="79"/>
  <c r="Z15" i="79"/>
  <c r="Y15" i="79"/>
  <c r="X15" i="79"/>
  <c r="W15" i="79"/>
  <c r="V15" i="79"/>
  <c r="R15" i="79"/>
  <c r="U83" i="79"/>
  <c r="T83" i="79"/>
  <c r="Q83" i="79"/>
  <c r="P83" i="79"/>
  <c r="O83" i="79"/>
  <c r="U82" i="79"/>
  <c r="T82" i="79"/>
  <c r="Q82" i="79"/>
  <c r="P82" i="79"/>
  <c r="O82" i="79"/>
  <c r="U81" i="79"/>
  <c r="T81" i="79"/>
  <c r="Q81" i="79"/>
  <c r="P81" i="79"/>
  <c r="O81" i="79"/>
  <c r="U80" i="79"/>
  <c r="T80" i="79"/>
  <c r="Q80" i="79"/>
  <c r="P80" i="79"/>
  <c r="O80" i="79"/>
  <c r="U79" i="79"/>
  <c r="T79" i="79"/>
  <c r="P79" i="79"/>
  <c r="O79" i="79"/>
  <c r="AB83" i="79"/>
  <c r="AA83" i="79"/>
  <c r="Y83" i="79"/>
  <c r="X83" i="79"/>
  <c r="W83" i="79"/>
  <c r="AB82" i="79"/>
  <c r="AA82" i="79"/>
  <c r="Y82" i="79"/>
  <c r="X82" i="79"/>
  <c r="W82" i="79"/>
  <c r="W81" i="79"/>
  <c r="X81" i="79"/>
  <c r="Y81" i="79"/>
  <c r="Z81" i="79"/>
  <c r="AA81" i="79"/>
  <c r="W80" i="79"/>
  <c r="X80" i="79"/>
  <c r="Z80" i="79"/>
  <c r="AA80" i="79"/>
  <c r="W79" i="79"/>
  <c r="X79" i="79"/>
  <c r="Y79" i="79"/>
  <c r="Z79" i="79"/>
  <c r="AA79" i="79"/>
  <c r="S52" i="31" l="1"/>
  <c r="S53" i="31"/>
  <c r="S54" i="31" s="1"/>
  <c r="S58" i="31"/>
  <c r="CR51" i="31"/>
  <c r="CQ58" i="31"/>
  <c r="CQ52" i="31"/>
  <c r="CT82" i="31"/>
  <c r="CS83" i="31"/>
  <c r="V80" i="79"/>
  <c r="E21" i="79"/>
  <c r="D20" i="79"/>
  <c r="D21" i="79"/>
  <c r="D22" i="79"/>
  <c r="D23" i="79"/>
  <c r="D24" i="79"/>
  <c r="AE15" i="79"/>
  <c r="AF15" i="79" s="1"/>
  <c r="AG15" i="79" s="1"/>
  <c r="V79" i="79"/>
  <c r="E20" i="79"/>
  <c r="V81" i="79"/>
  <c r="E22" i="79"/>
  <c r="V83" i="79"/>
  <c r="E24" i="79"/>
  <c r="C15" i="79"/>
  <c r="V82" i="79"/>
  <c r="E23" i="79"/>
  <c r="E15" i="79"/>
  <c r="F15" i="79"/>
  <c r="S81" i="79"/>
  <c r="S82" i="79"/>
  <c r="N79" i="79"/>
  <c r="C20" i="79"/>
  <c r="R79" i="79"/>
  <c r="N80" i="79"/>
  <c r="C21" i="79"/>
  <c r="R80" i="79"/>
  <c r="N81" i="79"/>
  <c r="C22" i="79"/>
  <c r="R81" i="79"/>
  <c r="N82" i="79"/>
  <c r="C23" i="79"/>
  <c r="R82" i="79"/>
  <c r="N83" i="79"/>
  <c r="C24" i="79"/>
  <c r="R83" i="79"/>
  <c r="Z83" i="79"/>
  <c r="S79" i="79"/>
  <c r="S83" i="79"/>
  <c r="Z82" i="79"/>
  <c r="S80" i="79"/>
  <c r="Q62" i="79"/>
  <c r="Q79" i="79"/>
  <c r="Y63" i="79"/>
  <c r="Y80" i="79"/>
  <c r="Q63" i="79"/>
  <c r="U63" i="79"/>
  <c r="Q64" i="79"/>
  <c r="Q65" i="79"/>
  <c r="Q66" i="79"/>
  <c r="Z63" i="79"/>
  <c r="V63" i="79"/>
  <c r="R62" i="79"/>
  <c r="R63" i="79"/>
  <c r="R64" i="79"/>
  <c r="R65" i="79"/>
  <c r="R66" i="79"/>
  <c r="X52" i="79"/>
  <c r="AB52" i="79"/>
  <c r="P52" i="79"/>
  <c r="X64" i="79"/>
  <c r="X66" i="79"/>
  <c r="W62" i="79"/>
  <c r="W64" i="79"/>
  <c r="Y66" i="79"/>
  <c r="S62" i="79"/>
  <c r="S63" i="79"/>
  <c r="S64" i="79"/>
  <c r="O65" i="79"/>
  <c r="S65" i="79"/>
  <c r="O66" i="79"/>
  <c r="Z62" i="79"/>
  <c r="V62" i="79"/>
  <c r="X63" i="79"/>
  <c r="Z64" i="79"/>
  <c r="V64" i="79"/>
  <c r="Y65" i="79"/>
  <c r="V66" i="79"/>
  <c r="Z66" i="79"/>
  <c r="P62" i="79"/>
  <c r="T62" i="79"/>
  <c r="P63" i="79"/>
  <c r="T63" i="79"/>
  <c r="P64" i="79"/>
  <c r="T64" i="79"/>
  <c r="P65" i="79"/>
  <c r="T65" i="79"/>
  <c r="P66" i="79"/>
  <c r="T66" i="79"/>
  <c r="W65" i="79"/>
  <c r="X65" i="79"/>
  <c r="O63" i="79"/>
  <c r="Y62" i="79"/>
  <c r="AA63" i="79"/>
  <c r="W63" i="79"/>
  <c r="Y64" i="79"/>
  <c r="V65" i="79"/>
  <c r="Z65" i="79"/>
  <c r="W66" i="79"/>
  <c r="AA66" i="79"/>
  <c r="U62" i="79"/>
  <c r="U64" i="79"/>
  <c r="U65" i="79"/>
  <c r="U66" i="79"/>
  <c r="X62" i="79"/>
  <c r="AA65" i="79"/>
  <c r="AB66" i="79"/>
  <c r="AA62" i="79"/>
  <c r="AA64" i="79"/>
  <c r="AB65" i="79"/>
  <c r="O62" i="79"/>
  <c r="O64" i="79"/>
  <c r="S66" i="79"/>
  <c r="R52" i="79"/>
  <c r="Z52" i="79"/>
  <c r="W52" i="79"/>
  <c r="AA52" i="79"/>
  <c r="O52" i="79"/>
  <c r="Y52" i="79"/>
  <c r="Q52" i="79"/>
  <c r="R36" i="79"/>
  <c r="V36" i="79"/>
  <c r="Z36" i="79"/>
  <c r="N36" i="79"/>
  <c r="W36" i="79"/>
  <c r="AA36" i="79"/>
  <c r="O36" i="79"/>
  <c r="X36" i="79"/>
  <c r="AB36" i="79"/>
  <c r="P36" i="79"/>
  <c r="Y36" i="79"/>
  <c r="Q36" i="79"/>
  <c r="CR58" i="31" l="1"/>
  <c r="CR52" i="31"/>
  <c r="CS51" i="31"/>
  <c r="CT83" i="31"/>
  <c r="T82" i="31"/>
  <c r="G15" i="79"/>
  <c r="E36" i="79"/>
  <c r="C36" i="79"/>
  <c r="CT51" i="31" l="1"/>
  <c r="CS52" i="31"/>
  <c r="CS58" i="31"/>
  <c r="T83" i="31"/>
  <c r="U82" i="31"/>
  <c r="T84" i="31"/>
  <c r="AB81" i="79"/>
  <c r="AB64" i="79"/>
  <c r="U83" i="31" l="1"/>
  <c r="V82" i="31"/>
  <c r="T51" i="31"/>
  <c r="CT58" i="31"/>
  <c r="CT52" i="31"/>
  <c r="U88" i="31"/>
  <c r="T92" i="31"/>
  <c r="T93" i="31" s="1"/>
  <c r="T88" i="31"/>
  <c r="AB80" i="79"/>
  <c r="AB63" i="79"/>
  <c r="T53" i="31" l="1"/>
  <c r="U51" i="31"/>
  <c r="T58" i="31"/>
  <c r="T52" i="31"/>
  <c r="V83" i="31"/>
  <c r="W82" i="31"/>
  <c r="AB79" i="79"/>
  <c r="AB62" i="79"/>
  <c r="Q10" i="79"/>
  <c r="P10" i="79"/>
  <c r="O10" i="79"/>
  <c r="N10" i="79"/>
  <c r="Q9" i="79"/>
  <c r="P9" i="79"/>
  <c r="Q7" i="79"/>
  <c r="Q18" i="79" s="1"/>
  <c r="Q30" i="79" s="1"/>
  <c r="P7" i="79"/>
  <c r="P18" i="79" s="1"/>
  <c r="P30" i="79" s="1"/>
  <c r="O7" i="79"/>
  <c r="O18" i="79" s="1"/>
  <c r="O30" i="79" s="1"/>
  <c r="N7" i="79"/>
  <c r="N18" i="79" s="1"/>
  <c r="N30" i="79" s="1"/>
  <c r="R7" i="79"/>
  <c r="R18" i="79" s="1"/>
  <c r="R30" i="79" s="1"/>
  <c r="S7" i="79"/>
  <c r="S18" i="79" s="1"/>
  <c r="S30" i="79" s="1"/>
  <c r="T7" i="79"/>
  <c r="T18" i="79" s="1"/>
  <c r="T30" i="79" s="1"/>
  <c r="U7" i="79"/>
  <c r="U18" i="79" s="1"/>
  <c r="U30" i="79" s="1"/>
  <c r="V7" i="79"/>
  <c r="V18" i="79" s="1"/>
  <c r="V30" i="79" s="1"/>
  <c r="W7" i="79"/>
  <c r="W18" i="79" s="1"/>
  <c r="W30" i="79" s="1"/>
  <c r="X7" i="79"/>
  <c r="X18" i="79" s="1"/>
  <c r="X30" i="79" s="1"/>
  <c r="Y7" i="79"/>
  <c r="Y18" i="79" s="1"/>
  <c r="Y30" i="79" s="1"/>
  <c r="Z7" i="79"/>
  <c r="Z18" i="79" s="1"/>
  <c r="Z30" i="79" s="1"/>
  <c r="AA7" i="79"/>
  <c r="AA18" i="79" s="1"/>
  <c r="AA30" i="79" s="1"/>
  <c r="AB7" i="79"/>
  <c r="AB18" i="79" s="1"/>
  <c r="AB30" i="79" s="1"/>
  <c r="AC7" i="79"/>
  <c r="AC18" i="79" s="1"/>
  <c r="AC30" i="79" s="1"/>
  <c r="V10" i="79"/>
  <c r="W10" i="79"/>
  <c r="X10" i="79"/>
  <c r="Z10" i="79"/>
  <c r="AA10" i="79"/>
  <c r="AB10" i="79"/>
  <c r="R9" i="79"/>
  <c r="S9" i="79"/>
  <c r="T9" i="79"/>
  <c r="U9" i="79"/>
  <c r="V9" i="79"/>
  <c r="W9" i="79"/>
  <c r="X9" i="79"/>
  <c r="Y9" i="79"/>
  <c r="Z9" i="79"/>
  <c r="AA9" i="79"/>
  <c r="AB9" i="79"/>
  <c r="W83" i="31" l="1"/>
  <c r="X82" i="31"/>
  <c r="U58" i="31"/>
  <c r="V51" i="31"/>
  <c r="U52" i="31"/>
  <c r="T54" i="31"/>
  <c r="U54" i="31"/>
  <c r="Y10" i="79"/>
  <c r="Z49" i="79" s="1"/>
  <c r="E9" i="79"/>
  <c r="D9" i="79"/>
  <c r="C10" i="79"/>
  <c r="AA48" i="79"/>
  <c r="W48" i="79"/>
  <c r="AA49" i="79"/>
  <c r="R48" i="79"/>
  <c r="AB49" i="79"/>
  <c r="X49" i="79"/>
  <c r="O49" i="79"/>
  <c r="Q49" i="79"/>
  <c r="Y48" i="79"/>
  <c r="U48" i="79"/>
  <c r="X48" i="79"/>
  <c r="T48" i="79"/>
  <c r="S48" i="79"/>
  <c r="W49" i="79"/>
  <c r="P49" i="79"/>
  <c r="AB48" i="79"/>
  <c r="Z48" i="79"/>
  <c r="V48" i="79"/>
  <c r="Q48" i="79"/>
  <c r="Z40" i="79"/>
  <c r="Z54" i="79" s="1"/>
  <c r="R40" i="79"/>
  <c r="R54" i="79" s="1"/>
  <c r="AC40" i="79"/>
  <c r="AC54" i="79" s="1"/>
  <c r="Y40" i="79"/>
  <c r="Y54" i="79" s="1"/>
  <c r="U40" i="79"/>
  <c r="U54" i="79" s="1"/>
  <c r="N40" i="79"/>
  <c r="N54" i="79" s="1"/>
  <c r="AB40" i="79"/>
  <c r="AB54" i="79" s="1"/>
  <c r="X40" i="79"/>
  <c r="X54" i="79" s="1"/>
  <c r="T40" i="79"/>
  <c r="T54" i="79" s="1"/>
  <c r="O40" i="79"/>
  <c r="O54" i="79" s="1"/>
  <c r="AA40" i="79"/>
  <c r="AA54" i="79" s="1"/>
  <c r="W40" i="79"/>
  <c r="W54" i="79" s="1"/>
  <c r="S40" i="79"/>
  <c r="S54" i="79" s="1"/>
  <c r="P40" i="79"/>
  <c r="P54" i="79" s="1"/>
  <c r="V40" i="79"/>
  <c r="V54" i="79" s="1"/>
  <c r="Q40" i="79"/>
  <c r="Q54" i="79" s="1"/>
  <c r="V52" i="31" l="1"/>
  <c r="V58" i="31"/>
  <c r="W51" i="31"/>
  <c r="X83" i="31"/>
  <c r="Y82" i="31"/>
  <c r="Y49" i="79"/>
  <c r="E10" i="79"/>
  <c r="P68" i="79"/>
  <c r="P92" i="79"/>
  <c r="R68" i="79"/>
  <c r="R92" i="79"/>
  <c r="S68" i="79"/>
  <c r="S92" i="79"/>
  <c r="U68" i="79"/>
  <c r="U92" i="79"/>
  <c r="Q68" i="79"/>
  <c r="Q92" i="79"/>
  <c r="W68" i="79"/>
  <c r="W92" i="79"/>
  <c r="X68" i="79"/>
  <c r="X92" i="79"/>
  <c r="Y68" i="79"/>
  <c r="Y92" i="79"/>
  <c r="V68" i="79"/>
  <c r="V92" i="79"/>
  <c r="AA68" i="79"/>
  <c r="AA92" i="79"/>
  <c r="AB68" i="79"/>
  <c r="AB92" i="79"/>
  <c r="AC68" i="79"/>
  <c r="AC92" i="79"/>
  <c r="O68" i="79"/>
  <c r="O92" i="79"/>
  <c r="N68" i="79"/>
  <c r="N92" i="79"/>
  <c r="T68" i="79"/>
  <c r="T92" i="79"/>
  <c r="Z68" i="79"/>
  <c r="Z92" i="79"/>
  <c r="W52" i="31" l="1"/>
  <c r="X51" i="31"/>
  <c r="W58" i="31"/>
  <c r="Y83" i="31"/>
  <c r="Z82" i="31"/>
  <c r="CU87" i="74"/>
  <c r="CU82" i="74"/>
  <c r="CU80" i="74"/>
  <c r="CU79" i="74"/>
  <c r="CU78" i="74"/>
  <c r="CU75" i="74"/>
  <c r="CU74" i="74"/>
  <c r="CU71" i="74"/>
  <c r="CU70" i="74"/>
  <c r="CU68" i="74"/>
  <c r="CU64" i="74"/>
  <c r="CU63" i="74"/>
  <c r="CU21" i="74"/>
  <c r="CU18" i="74"/>
  <c r="CU13" i="74"/>
  <c r="CU10" i="74"/>
  <c r="CU7" i="74"/>
  <c r="Y51" i="31" l="1"/>
  <c r="X58" i="31"/>
  <c r="X52" i="31"/>
  <c r="AA82" i="31"/>
  <c r="Z83" i="31"/>
  <c r="CV20" i="74"/>
  <c r="CV23" i="74"/>
  <c r="CU25" i="74"/>
  <c r="CU65" i="74"/>
  <c r="CU29" i="74"/>
  <c r="CU17" i="74"/>
  <c r="Y58" i="31" l="1"/>
  <c r="Y52" i="31"/>
  <c r="Z51" i="31"/>
  <c r="AA83" i="31"/>
  <c r="AB82" i="31"/>
  <c r="CV31" i="74"/>
  <c r="CV27" i="74"/>
  <c r="AB19" i="79"/>
  <c r="BY131" i="31"/>
  <c r="BX131" i="31"/>
  <c r="BW131" i="31"/>
  <c r="BV131" i="31"/>
  <c r="BU131" i="31"/>
  <c r="BT131" i="31"/>
  <c r="BS131" i="31"/>
  <c r="BR131" i="31"/>
  <c r="BQ131" i="31"/>
  <c r="BP131" i="31"/>
  <c r="BO131" i="31"/>
  <c r="BS133" i="31" l="1"/>
  <c r="BS132" i="31"/>
  <c r="N131" i="31"/>
  <c r="BT133" i="31"/>
  <c r="BT132" i="31"/>
  <c r="BX133" i="31"/>
  <c r="CB132" i="31"/>
  <c r="BX132" i="31"/>
  <c r="M131" i="31"/>
  <c r="BU133" i="31"/>
  <c r="BU132" i="31"/>
  <c r="BY133" i="31"/>
  <c r="CC132" i="31"/>
  <c r="BY132" i="31"/>
  <c r="BZ133" i="31"/>
  <c r="O131" i="31"/>
  <c r="CA132" i="31"/>
  <c r="BW133" i="31"/>
  <c r="BW132" i="31"/>
  <c r="BV133" i="31"/>
  <c r="BV132" i="31"/>
  <c r="BZ132" i="31"/>
  <c r="Z52" i="31"/>
  <c r="Z58" i="31"/>
  <c r="AA51" i="31"/>
  <c r="AB83" i="31"/>
  <c r="AC82" i="31"/>
  <c r="AB78" i="79"/>
  <c r="V139" i="74"/>
  <c r="V141" i="74"/>
  <c r="V140" i="74"/>
  <c r="O132" i="31" l="1"/>
  <c r="P132" i="31"/>
  <c r="N132" i="31"/>
  <c r="AC83" i="31"/>
  <c r="AD82" i="31"/>
  <c r="AA52" i="31"/>
  <c r="AB51" i="31"/>
  <c r="AA58" i="31"/>
  <c r="CG25" i="28"/>
  <c r="AB8" i="79"/>
  <c r="AB46" i="79" s="1"/>
  <c r="AC51" i="31" l="1"/>
  <c r="AB58" i="31"/>
  <c r="AB52" i="31"/>
  <c r="AE82" i="31"/>
  <c r="AD83" i="31"/>
  <c r="CC115" i="30"/>
  <c r="CC125" i="30"/>
  <c r="CF57" i="29"/>
  <c r="CG52" i="28"/>
  <c r="CG42" i="28"/>
  <c r="CG51" i="28"/>
  <c r="CG30" i="28"/>
  <c r="CG19" i="28"/>
  <c r="CG35" i="28"/>
  <c r="CH27" i="28"/>
  <c r="CG60" i="28"/>
  <c r="CC63" i="30"/>
  <c r="CG13" i="28"/>
  <c r="AB42" i="79"/>
  <c r="AB43" i="79"/>
  <c r="AE83" i="31" l="1"/>
  <c r="AF82" i="31"/>
  <c r="AF83" i="31" s="1"/>
  <c r="AC58" i="31"/>
  <c r="AD51" i="31"/>
  <c r="AC52" i="31"/>
  <c r="CC116" i="30"/>
  <c r="CC146" i="30"/>
  <c r="CF77" i="29"/>
  <c r="CC65" i="30"/>
  <c r="CC81" i="30" s="1"/>
  <c r="CC88" i="30" s="1"/>
  <c r="CF78" i="29"/>
  <c r="CH62" i="28"/>
  <c r="CG63" i="28"/>
  <c r="CI89" i="29"/>
  <c r="CI96" i="29" s="1"/>
  <c r="CK61" i="28"/>
  <c r="CG78" i="28"/>
  <c r="CG54" i="28"/>
  <c r="CK53" i="28"/>
  <c r="AB13" i="79"/>
  <c r="AB88" i="79" s="1"/>
  <c r="AD52" i="31" l="1"/>
  <c r="AE51" i="31"/>
  <c r="AD58" i="31"/>
  <c r="CC104" i="30"/>
  <c r="CC150" i="30"/>
  <c r="CG82" i="28"/>
  <c r="CG80" i="28"/>
  <c r="CG84" i="28"/>
  <c r="CC154" i="30"/>
  <c r="AB16" i="79"/>
  <c r="AB17" i="79" s="1"/>
  <c r="AB14" i="79"/>
  <c r="AB11" i="79"/>
  <c r="AB44" i="79" s="1"/>
  <c r="AE52" i="31" l="1"/>
  <c r="AF51" i="31"/>
  <c r="AE58" i="31"/>
  <c r="CG93" i="28"/>
  <c r="CG87" i="28"/>
  <c r="CG91" i="28"/>
  <c r="CG119" i="28"/>
  <c r="AB12" i="79"/>
  <c r="AC11" i="79"/>
  <c r="AF58" i="31" l="1"/>
  <c r="AF52" i="31"/>
  <c r="CG6" i="28"/>
  <c r="CO7" i="31" s="1"/>
  <c r="CC72" i="30"/>
  <c r="CC76" i="30" s="1"/>
  <c r="CC80" i="30" s="1"/>
  <c r="CG89" i="28"/>
  <c r="AB45" i="79"/>
  <c r="AC50" i="79"/>
  <c r="AD11" i="79"/>
  <c r="CC6" i="30" l="1"/>
  <c r="AD50" i="79"/>
  <c r="AE11" i="79"/>
  <c r="AE50" i="79" l="1"/>
  <c r="AF11" i="79"/>
  <c r="AF50" i="79" l="1"/>
  <c r="AG11" i="79"/>
  <c r="G11" i="79" l="1"/>
  <c r="AG50" i="79"/>
  <c r="H11" i="79" l="1"/>
  <c r="I11" i="79" l="1"/>
  <c r="J11" i="79" l="1"/>
  <c r="K11" i="79" l="1"/>
  <c r="L11" i="79" l="1"/>
  <c r="C55" i="73" l="1"/>
  <c r="AD150" i="74" l="1"/>
  <c r="AC150" i="74"/>
  <c r="AB150" i="74"/>
  <c r="AA150" i="74"/>
  <c r="Z150" i="74"/>
  <c r="Y150" i="74"/>
  <c r="X150" i="74"/>
  <c r="W150" i="74"/>
  <c r="U150" i="74"/>
  <c r="CU149" i="74"/>
  <c r="AD149" i="74"/>
  <c r="AC149" i="74"/>
  <c r="AB149" i="74"/>
  <c r="AA149" i="74"/>
  <c r="Z149" i="74"/>
  <c r="Y149" i="74"/>
  <c r="X149" i="74"/>
  <c r="W149" i="74"/>
  <c r="CU148" i="74"/>
  <c r="AD148" i="74"/>
  <c r="AC148" i="74"/>
  <c r="AB148" i="74"/>
  <c r="AA148" i="74"/>
  <c r="Z148" i="74"/>
  <c r="Y148" i="74"/>
  <c r="X148" i="74"/>
  <c r="W148" i="74"/>
  <c r="W105" i="74"/>
  <c r="CT87" i="74"/>
  <c r="CS87" i="74"/>
  <c r="CR87" i="74"/>
  <c r="CQ87" i="74"/>
  <c r="CP87" i="74"/>
  <c r="CO87" i="74"/>
  <c r="CN87" i="74"/>
  <c r="CM87" i="74"/>
  <c r="CL87" i="74"/>
  <c r="CK87" i="74"/>
  <c r="AD87" i="74"/>
  <c r="AC87" i="74"/>
  <c r="AB87" i="74"/>
  <c r="AA87" i="74"/>
  <c r="Z87" i="74"/>
  <c r="Y87" i="74"/>
  <c r="X87" i="74"/>
  <c r="W87" i="74"/>
  <c r="U87" i="74"/>
  <c r="T87" i="74"/>
  <c r="S87" i="74"/>
  <c r="CT82" i="74"/>
  <c r="CS82" i="74"/>
  <c r="CR82" i="74"/>
  <c r="CQ82" i="74"/>
  <c r="CP82" i="74"/>
  <c r="CO82" i="74"/>
  <c r="CN82" i="74"/>
  <c r="CM82" i="74"/>
  <c r="CL82" i="74"/>
  <c r="CK82" i="74"/>
  <c r="CJ82" i="74"/>
  <c r="CT80" i="74"/>
  <c r="CS80" i="74"/>
  <c r="CR80" i="74"/>
  <c r="CQ80" i="74"/>
  <c r="CP80" i="74"/>
  <c r="CO80" i="74"/>
  <c r="CN80" i="74"/>
  <c r="CM80" i="74"/>
  <c r="CL80" i="74"/>
  <c r="CK80" i="74"/>
  <c r="CT79" i="74"/>
  <c r="CS79" i="74"/>
  <c r="CR79" i="74"/>
  <c r="CQ79" i="74"/>
  <c r="CP79" i="74"/>
  <c r="CO79" i="74"/>
  <c r="CN79" i="74"/>
  <c r="CM79" i="74"/>
  <c r="CL79" i="74"/>
  <c r="CK79" i="74"/>
  <c r="CT78" i="74"/>
  <c r="CS78" i="74"/>
  <c r="CR78" i="74"/>
  <c r="CQ78" i="74"/>
  <c r="CP78" i="74"/>
  <c r="CO78" i="74"/>
  <c r="CN78" i="74"/>
  <c r="CM78" i="74"/>
  <c r="CL78" i="74"/>
  <c r="CK78" i="74"/>
  <c r="CT75" i="74"/>
  <c r="CS75" i="74"/>
  <c r="CR75" i="74"/>
  <c r="CQ75" i="74"/>
  <c r="CP75" i="74"/>
  <c r="CO75" i="74"/>
  <c r="CN75" i="74"/>
  <c r="CM75" i="74"/>
  <c r="CL75" i="74"/>
  <c r="CK75" i="74"/>
  <c r="CJ75" i="74"/>
  <c r="CT74" i="74"/>
  <c r="CS74" i="74"/>
  <c r="CR74" i="74"/>
  <c r="CQ74" i="74"/>
  <c r="CP74" i="74"/>
  <c r="CO74" i="74"/>
  <c r="CN74" i="74"/>
  <c r="CM74" i="74"/>
  <c r="CL74" i="74"/>
  <c r="CK74" i="74"/>
  <c r="CJ74" i="74"/>
  <c r="CT71" i="74"/>
  <c r="CS71" i="74"/>
  <c r="CR71" i="74"/>
  <c r="CQ71" i="74"/>
  <c r="CP71" i="74"/>
  <c r="CO71" i="74"/>
  <c r="CN71" i="74"/>
  <c r="CM71" i="74"/>
  <c r="CL71" i="74"/>
  <c r="CK71" i="74"/>
  <c r="CJ71" i="74"/>
  <c r="CT70" i="74"/>
  <c r="CS70" i="74"/>
  <c r="CR70" i="74"/>
  <c r="CQ70" i="74"/>
  <c r="CP70" i="74"/>
  <c r="CO70" i="74"/>
  <c r="CN70" i="74"/>
  <c r="CM70" i="74"/>
  <c r="CL70" i="74"/>
  <c r="CK70" i="74"/>
  <c r="CJ70" i="74"/>
  <c r="CT68" i="74"/>
  <c r="CS68" i="74"/>
  <c r="CR68" i="74"/>
  <c r="CQ68" i="74"/>
  <c r="CP68" i="74"/>
  <c r="CO68" i="74"/>
  <c r="CN68" i="74"/>
  <c r="CM68" i="74"/>
  <c r="CL68" i="74"/>
  <c r="CK68" i="74"/>
  <c r="CJ68" i="74"/>
  <c r="CI68" i="74"/>
  <c r="CH68" i="74"/>
  <c r="CG68" i="74"/>
  <c r="CF68" i="74"/>
  <c r="CE68" i="74"/>
  <c r="CD68" i="74"/>
  <c r="CC68" i="74"/>
  <c r="CB68" i="74"/>
  <c r="CA68" i="74"/>
  <c r="BZ68" i="74"/>
  <c r="BY68" i="74"/>
  <c r="BX68" i="74"/>
  <c r="BW68" i="74"/>
  <c r="BV68" i="74"/>
  <c r="BU68" i="74"/>
  <c r="BT68" i="74"/>
  <c r="BS68" i="74"/>
  <c r="BR68" i="74"/>
  <c r="BQ68" i="74"/>
  <c r="BP68" i="74"/>
  <c r="BO68" i="74"/>
  <c r="BN68" i="74"/>
  <c r="BM68" i="74"/>
  <c r="BL68" i="74"/>
  <c r="BK68" i="74"/>
  <c r="BJ68" i="74"/>
  <c r="BI68" i="74"/>
  <c r="BH68" i="74"/>
  <c r="BG68" i="74"/>
  <c r="BF68" i="74"/>
  <c r="BE68" i="74"/>
  <c r="BD68" i="74"/>
  <c r="BC68" i="74"/>
  <c r="BB68" i="74"/>
  <c r="BA68" i="74"/>
  <c r="AZ68" i="74"/>
  <c r="AY68" i="74"/>
  <c r="AX68" i="74"/>
  <c r="AW68" i="74"/>
  <c r="AV68" i="74"/>
  <c r="AU68" i="74"/>
  <c r="AT68" i="74"/>
  <c r="AS68" i="74"/>
  <c r="AR68" i="74"/>
  <c r="AQ68" i="74"/>
  <c r="AP68" i="74"/>
  <c r="AO68" i="74"/>
  <c r="AN68" i="74"/>
  <c r="AM68" i="74"/>
  <c r="AL68" i="74"/>
  <c r="AK68" i="74"/>
  <c r="AJ68" i="74"/>
  <c r="AI68" i="74"/>
  <c r="AH68" i="74"/>
  <c r="AG68" i="74"/>
  <c r="AF68" i="74"/>
  <c r="AD68" i="74"/>
  <c r="AC68" i="74"/>
  <c r="AB68" i="74"/>
  <c r="AA68" i="74"/>
  <c r="Z68" i="74"/>
  <c r="Y68" i="74"/>
  <c r="X68" i="74"/>
  <c r="W68" i="74"/>
  <c r="U68" i="74"/>
  <c r="T68" i="74"/>
  <c r="S68" i="74"/>
  <c r="R68" i="74"/>
  <c r="Q68" i="74"/>
  <c r="CT64" i="74"/>
  <c r="CS64" i="74"/>
  <c r="CR64" i="74"/>
  <c r="CQ64" i="74"/>
  <c r="CP64" i="74"/>
  <c r="CO64" i="74"/>
  <c r="CN64" i="74"/>
  <c r="CM64" i="74"/>
  <c r="CL64" i="74"/>
  <c r="CK64" i="74"/>
  <c r="CJ64" i="74"/>
  <c r="CI64" i="74"/>
  <c r="CH64" i="74"/>
  <c r="CG64" i="74"/>
  <c r="CF64" i="74"/>
  <c r="CT63" i="74"/>
  <c r="CT65" i="74" s="1"/>
  <c r="CS63" i="74"/>
  <c r="CR63" i="74"/>
  <c r="CR65" i="74" s="1"/>
  <c r="CQ63" i="74"/>
  <c r="CP63" i="74"/>
  <c r="CP65" i="74" s="1"/>
  <c r="CO63" i="74"/>
  <c r="CN63" i="74"/>
  <c r="CN65" i="74" s="1"/>
  <c r="CM63" i="74"/>
  <c r="CM65" i="74" s="1"/>
  <c r="CL63" i="74"/>
  <c r="CL65" i="74" s="1"/>
  <c r="CK63" i="74"/>
  <c r="CJ63" i="74"/>
  <c r="CJ65" i="74" s="1"/>
  <c r="CI63" i="74"/>
  <c r="CI65" i="74" s="1"/>
  <c r="CH63" i="74"/>
  <c r="CH65" i="74" s="1"/>
  <c r="CG63" i="74"/>
  <c r="CF63" i="74"/>
  <c r="CF65" i="74" s="1"/>
  <c r="CE48" i="74"/>
  <c r="CD48" i="74"/>
  <c r="CC48" i="74"/>
  <c r="CB48" i="74"/>
  <c r="CA48" i="74"/>
  <c r="BZ48" i="74"/>
  <c r="BY48" i="74"/>
  <c r="BX48" i="74"/>
  <c r="BW48" i="74"/>
  <c r="BV48" i="74"/>
  <c r="BU48" i="74"/>
  <c r="P48" i="74"/>
  <c r="P7" i="74" s="1"/>
  <c r="CE45" i="74"/>
  <c r="CD45" i="74"/>
  <c r="CC45" i="74"/>
  <c r="CB45" i="74"/>
  <c r="CA45" i="74"/>
  <c r="BZ45" i="74"/>
  <c r="BY45" i="74"/>
  <c r="BX45" i="74"/>
  <c r="BW45" i="74"/>
  <c r="BV45" i="74"/>
  <c r="BU45" i="74"/>
  <c r="P45" i="74"/>
  <c r="O45" i="74"/>
  <c r="N45" i="74"/>
  <c r="M45" i="74"/>
  <c r="L45" i="74"/>
  <c r="K45" i="74"/>
  <c r="T28" i="74"/>
  <c r="S28" i="74"/>
  <c r="R28" i="74"/>
  <c r="CT21" i="74"/>
  <c r="CS21" i="74"/>
  <c r="CR21" i="74"/>
  <c r="CV22" i="74" s="1"/>
  <c r="CQ21" i="74"/>
  <c r="CP21" i="74"/>
  <c r="CO21" i="74"/>
  <c r="CN21" i="74"/>
  <c r="CM21" i="74"/>
  <c r="CL21" i="74"/>
  <c r="CK21" i="74"/>
  <c r="CJ21" i="74"/>
  <c r="CI21" i="74"/>
  <c r="CH21" i="74"/>
  <c r="CG21" i="74"/>
  <c r="CT18" i="74"/>
  <c r="CS18" i="74"/>
  <c r="CR18" i="74"/>
  <c r="CQ18" i="74"/>
  <c r="CP18" i="74"/>
  <c r="CO18" i="74"/>
  <c r="CI128" i="31" s="1"/>
  <c r="CN18" i="74"/>
  <c r="CH128" i="31" s="1"/>
  <c r="CM18" i="74"/>
  <c r="CG128" i="31" s="1"/>
  <c r="CL18" i="74"/>
  <c r="CF128" i="31" s="1"/>
  <c r="CK18" i="74"/>
  <c r="CE128" i="31" s="1"/>
  <c r="CJ18" i="74"/>
  <c r="CD128" i="31" s="1"/>
  <c r="CI18" i="74"/>
  <c r="CC128" i="31" s="1"/>
  <c r="CH18" i="74"/>
  <c r="CB128" i="31" s="1"/>
  <c r="CG18" i="74"/>
  <c r="CA128" i="31" s="1"/>
  <c r="T16" i="74"/>
  <c r="T115" i="74" s="1"/>
  <c r="S16" i="74"/>
  <c r="S115" i="74" s="1"/>
  <c r="R16" i="74"/>
  <c r="BV13" i="74"/>
  <c r="T15" i="74"/>
  <c r="S15" i="74"/>
  <c r="R15" i="74"/>
  <c r="CF18" i="74"/>
  <c r="BZ128" i="31" s="1"/>
  <c r="T14" i="74"/>
  <c r="S14" i="74"/>
  <c r="R14" i="74"/>
  <c r="CT13" i="74"/>
  <c r="CS13" i="74"/>
  <c r="CR13" i="74"/>
  <c r="CQ13" i="74"/>
  <c r="CU77" i="74" s="1"/>
  <c r="CP13" i="74"/>
  <c r="CO13" i="74"/>
  <c r="CN13" i="74"/>
  <c r="CM13" i="74"/>
  <c r="CL13" i="74"/>
  <c r="CK13" i="74"/>
  <c r="CJ13" i="74"/>
  <c r="CI13" i="74"/>
  <c r="CH13" i="74"/>
  <c r="CG13" i="74"/>
  <c r="S13" i="74"/>
  <c r="S77" i="74" s="1"/>
  <c r="R13" i="74"/>
  <c r="T12" i="74"/>
  <c r="S12" i="74"/>
  <c r="S10" i="74" s="1"/>
  <c r="R12" i="74"/>
  <c r="CB10" i="74"/>
  <c r="CA10" i="74"/>
  <c r="BW10" i="74"/>
  <c r="T11" i="74"/>
  <c r="S11" i="74"/>
  <c r="R11" i="74"/>
  <c r="CT10" i="74"/>
  <c r="CS10" i="74"/>
  <c r="CR10" i="74"/>
  <c r="CQ10" i="74"/>
  <c r="CU73" i="74" s="1"/>
  <c r="CP10" i="74"/>
  <c r="CO10" i="74"/>
  <c r="CN10" i="74"/>
  <c r="CM10" i="74"/>
  <c r="CL10" i="74"/>
  <c r="CK10" i="74"/>
  <c r="CJ10" i="74"/>
  <c r="CI10" i="74"/>
  <c r="CH10" i="74"/>
  <c r="CG10" i="74"/>
  <c r="CF10" i="74"/>
  <c r="BX10" i="74"/>
  <c r="R10" i="74"/>
  <c r="BW21" i="74"/>
  <c r="BQ125" i="31" s="1"/>
  <c r="BV21" i="74"/>
  <c r="BP125" i="31" s="1"/>
  <c r="T9" i="74"/>
  <c r="S9" i="74"/>
  <c r="R9" i="74"/>
  <c r="T8" i="74"/>
  <c r="S8" i="74"/>
  <c r="R8" i="74"/>
  <c r="R7" i="74" s="1"/>
  <c r="CT7" i="74"/>
  <c r="CS7" i="74"/>
  <c r="CR7" i="74"/>
  <c r="CQ7" i="74"/>
  <c r="CU69" i="74" s="1"/>
  <c r="CP7" i="74"/>
  <c r="CO7" i="74"/>
  <c r="CN7" i="74"/>
  <c r="CM7" i="74"/>
  <c r="CL7" i="74"/>
  <c r="CK7" i="74"/>
  <c r="CJ7" i="74"/>
  <c r="CI7" i="74"/>
  <c r="CH7" i="74"/>
  <c r="CG7" i="74"/>
  <c r="CF7" i="74"/>
  <c r="T7" i="74"/>
  <c r="S7" i="74"/>
  <c r="CC134" i="31" l="1"/>
  <c r="CC130" i="31"/>
  <c r="CG130" i="31"/>
  <c r="CG129" i="31"/>
  <c r="CG134" i="31"/>
  <c r="CK129" i="31"/>
  <c r="CH129" i="31"/>
  <c r="CL129" i="31"/>
  <c r="CH134" i="31"/>
  <c r="CH130" i="31"/>
  <c r="CA130" i="31"/>
  <c r="CA134" i="31"/>
  <c r="P128" i="31"/>
  <c r="CE130" i="31"/>
  <c r="CE129" i="31"/>
  <c r="Q128" i="31"/>
  <c r="Q134" i="31" s="1"/>
  <c r="CE134" i="31"/>
  <c r="CI130" i="31"/>
  <c r="CI129" i="31"/>
  <c r="CM129" i="31"/>
  <c r="CI134" i="31"/>
  <c r="CJ130" i="31"/>
  <c r="R128" i="31"/>
  <c r="CD129" i="31"/>
  <c r="CD134" i="31"/>
  <c r="CD130" i="31"/>
  <c r="CB134" i="31"/>
  <c r="CB130" i="31"/>
  <c r="CF134" i="31"/>
  <c r="CJ129" i="31"/>
  <c r="CF129" i="31"/>
  <c r="CF130" i="31"/>
  <c r="DB9" i="74"/>
  <c r="DB10" i="74" s="1"/>
  <c r="CG65" i="74"/>
  <c r="CK65" i="74"/>
  <c r="CO65" i="74"/>
  <c r="CS66" i="74" s="1"/>
  <c r="CS65" i="74"/>
  <c r="CJ73" i="74"/>
  <c r="CP25" i="74"/>
  <c r="W19" i="79"/>
  <c r="BU63" i="74"/>
  <c r="BU65" i="74" s="1"/>
  <c r="BU7" i="74"/>
  <c r="BY7" i="74"/>
  <c r="CC63" i="74"/>
  <c r="CC65" i="74" s="1"/>
  <c r="CC7" i="74"/>
  <c r="CR17" i="74"/>
  <c r="CU19" i="74"/>
  <c r="CK22" i="74"/>
  <c r="T82" i="74"/>
  <c r="BV63" i="74"/>
  <c r="BV65" i="74" s="1"/>
  <c r="BV18" i="74"/>
  <c r="BP128" i="31" s="1"/>
  <c r="BP134" i="31" s="1"/>
  <c r="BZ63" i="74"/>
  <c r="BZ65" i="74" s="1"/>
  <c r="BZ18" i="74"/>
  <c r="BT128" i="31" s="1"/>
  <c r="CD63" i="74"/>
  <c r="CD65" i="74" s="1"/>
  <c r="CD70" i="74"/>
  <c r="U148" i="74"/>
  <c r="V148" i="74"/>
  <c r="CS17" i="74"/>
  <c r="BW18" i="74"/>
  <c r="BQ128" i="31" s="1"/>
  <c r="BQ134" i="31" s="1"/>
  <c r="CA63" i="74"/>
  <c r="CA65" i="74" s="1"/>
  <c r="CA7" i="74"/>
  <c r="CE63" i="74"/>
  <c r="CE65" i="74" s="1"/>
  <c r="CI66" i="74" s="1"/>
  <c r="CI70" i="74"/>
  <c r="S70" i="74"/>
  <c r="S89" i="74" s="1"/>
  <c r="CM73" i="74"/>
  <c r="T10" i="74"/>
  <c r="T73" i="74" s="1"/>
  <c r="O48" i="74"/>
  <c r="O7" i="74" s="1"/>
  <c r="P69" i="74" s="1"/>
  <c r="BX63" i="74"/>
  <c r="BX65" i="74" s="1"/>
  <c r="BX7" i="74"/>
  <c r="CB63" i="74"/>
  <c r="CB65" i="74" s="1"/>
  <c r="CF66" i="74" s="1"/>
  <c r="CB7" i="74"/>
  <c r="U149" i="74"/>
  <c r="V149" i="74"/>
  <c r="S73" i="74"/>
  <c r="CS22" i="74"/>
  <c r="CH25" i="74"/>
  <c r="CL25" i="74"/>
  <c r="CQ19" i="74"/>
  <c r="CK23" i="74"/>
  <c r="CO23" i="74"/>
  <c r="CS23" i="74"/>
  <c r="CK20" i="74"/>
  <c r="CO20" i="74"/>
  <c r="CU22" i="74"/>
  <c r="CN22" i="74"/>
  <c r="U19" i="79"/>
  <c r="CR22" i="74"/>
  <c r="CU23" i="74"/>
  <c r="T13" i="74"/>
  <c r="CS20" i="74"/>
  <c r="CQ65" i="74"/>
  <c r="CU66" i="74" s="1"/>
  <c r="CT25" i="74"/>
  <c r="CU20" i="74"/>
  <c r="CT17" i="74"/>
  <c r="CO22" i="74"/>
  <c r="CQ22" i="74"/>
  <c r="CD13" i="74"/>
  <c r="CH77" i="74" s="1"/>
  <c r="Q28" i="74"/>
  <c r="R82" i="74" s="1"/>
  <c r="Q11" i="74"/>
  <c r="Q74" i="74" s="1"/>
  <c r="BY13" i="74"/>
  <c r="O13" i="74"/>
  <c r="U140" i="74"/>
  <c r="Q9" i="74"/>
  <c r="Q71" i="74" s="1"/>
  <c r="CE10" i="74"/>
  <c r="CE73" i="74" s="1"/>
  <c r="W103" i="74"/>
  <c r="BZ13" i="74"/>
  <c r="BZ77" i="74" s="1"/>
  <c r="U139" i="74"/>
  <c r="P74" i="74"/>
  <c r="O10" i="74"/>
  <c r="BX13" i="74"/>
  <c r="CB13" i="74"/>
  <c r="BW13" i="74"/>
  <c r="CA13" i="74"/>
  <c r="CE13" i="74"/>
  <c r="CI77" i="74" s="1"/>
  <c r="P82" i="74"/>
  <c r="U141" i="74"/>
  <c r="S140" i="74"/>
  <c r="Q15" i="74"/>
  <c r="Q79" i="74" s="1"/>
  <c r="P13" i="74"/>
  <c r="BU13" i="74"/>
  <c r="Q16" i="74"/>
  <c r="Q80" i="74" s="1"/>
  <c r="CL69" i="74"/>
  <c r="CS19" i="74"/>
  <c r="O21" i="74"/>
  <c r="CE7" i="74"/>
  <c r="CI69" i="74" s="1"/>
  <c r="P75" i="74"/>
  <c r="BU10" i="74"/>
  <c r="BY10" i="74"/>
  <c r="CC10" i="74"/>
  <c r="CG73" i="74" s="1"/>
  <c r="CF13" i="74"/>
  <c r="CF17" i="74" s="1"/>
  <c r="Q14" i="74"/>
  <c r="Q78" i="74" s="1"/>
  <c r="CP66" i="74"/>
  <c r="P18" i="74"/>
  <c r="BX21" i="74"/>
  <c r="BR125" i="31" s="1"/>
  <c r="BV10" i="74"/>
  <c r="BZ10" i="74"/>
  <c r="CD10" i="74"/>
  <c r="CG17" i="74"/>
  <c r="P79" i="74"/>
  <c r="CM19" i="74"/>
  <c r="BY63" i="74"/>
  <c r="BY65" i="74" s="1"/>
  <c r="S139" i="74"/>
  <c r="T140" i="74"/>
  <c r="S141" i="74"/>
  <c r="CK69" i="74"/>
  <c r="BU21" i="74"/>
  <c r="BO125" i="31" s="1"/>
  <c r="CC13" i="74"/>
  <c r="CG77" i="74" s="1"/>
  <c r="CH17" i="74"/>
  <c r="CL17" i="74"/>
  <c r="CJ66" i="74"/>
  <c r="U28" i="74"/>
  <c r="U82" i="74" s="1"/>
  <c r="U11" i="74"/>
  <c r="U74" i="74" s="1"/>
  <c r="U12" i="74"/>
  <c r="BW23" i="74"/>
  <c r="T17" i="74"/>
  <c r="CF71" i="74"/>
  <c r="CB21" i="74"/>
  <c r="BV125" i="31" s="1"/>
  <c r="CB71" i="74"/>
  <c r="T69" i="74"/>
  <c r="T88" i="74" s="1"/>
  <c r="CP69" i="74"/>
  <c r="CT69" i="74"/>
  <c r="T70" i="74"/>
  <c r="T89" i="74" s="1"/>
  <c r="S71" i="74"/>
  <c r="S93" i="74" s="1"/>
  <c r="S21" i="74"/>
  <c r="BY71" i="74"/>
  <c r="BY21" i="74"/>
  <c r="BS125" i="31" s="1"/>
  <c r="CG71" i="74"/>
  <c r="CC71" i="74"/>
  <c r="CC21" i="74"/>
  <c r="BW125" i="31" s="1"/>
  <c r="CM69" i="74"/>
  <c r="CQ69" i="74"/>
  <c r="U8" i="74"/>
  <c r="P71" i="74"/>
  <c r="T71" i="74"/>
  <c r="T93" i="74" s="1"/>
  <c r="BZ71" i="74"/>
  <c r="CH71" i="74"/>
  <c r="CD71" i="74"/>
  <c r="S97" i="74"/>
  <c r="CK73" i="74"/>
  <c r="T97" i="74"/>
  <c r="CO73" i="74"/>
  <c r="CS73" i="74"/>
  <c r="S74" i="74"/>
  <c r="S98" i="74"/>
  <c r="BY74" i="74"/>
  <c r="CG74" i="74"/>
  <c r="CC74" i="74"/>
  <c r="CF75" i="74"/>
  <c r="CB75" i="74"/>
  <c r="CI17" i="74"/>
  <c r="CM77" i="74"/>
  <c r="CM17" i="74"/>
  <c r="CQ77" i="74"/>
  <c r="CQ17" i="74"/>
  <c r="CA78" i="74"/>
  <c r="CI78" i="74"/>
  <c r="CE78" i="74"/>
  <c r="S111" i="74"/>
  <c r="S79" i="74"/>
  <c r="BY79" i="74"/>
  <c r="CG79" i="74"/>
  <c r="CC79" i="74"/>
  <c r="CB80" i="74"/>
  <c r="CF80" i="74"/>
  <c r="T18" i="74"/>
  <c r="CJ20" i="74"/>
  <c r="CJ25" i="74"/>
  <c r="CJ19" i="74"/>
  <c r="CN20" i="74"/>
  <c r="CN25" i="74"/>
  <c r="CN19" i="74"/>
  <c r="CR20" i="74"/>
  <c r="CR25" i="74"/>
  <c r="CV26" i="74" s="1"/>
  <c r="CR19" i="74"/>
  <c r="CK19" i="74"/>
  <c r="CP19" i="74"/>
  <c r="CL20" i="74"/>
  <c r="CT20" i="74"/>
  <c r="T21" i="74"/>
  <c r="BZ21" i="74"/>
  <c r="BT125" i="31" s="1"/>
  <c r="CS25" i="74"/>
  <c r="CN66" i="74"/>
  <c r="CR66" i="74"/>
  <c r="CF69" i="74"/>
  <c r="CJ69" i="74"/>
  <c r="CN69" i="74"/>
  <c r="CR69" i="74"/>
  <c r="CF70" i="74"/>
  <c r="U9" i="74"/>
  <c r="CA71" i="74"/>
  <c r="CI71" i="74"/>
  <c r="CE71" i="74"/>
  <c r="P10" i="74"/>
  <c r="CL73" i="74"/>
  <c r="CP73" i="74"/>
  <c r="CT73" i="74"/>
  <c r="T98" i="74"/>
  <c r="T74" i="74"/>
  <c r="BZ74" i="74"/>
  <c r="CH74" i="74"/>
  <c r="CD74" i="74"/>
  <c r="S102" i="74"/>
  <c r="S75" i="74"/>
  <c r="BY75" i="74"/>
  <c r="CG75" i="74"/>
  <c r="CC75" i="74"/>
  <c r="CN77" i="74"/>
  <c r="CR77" i="74"/>
  <c r="R78" i="74"/>
  <c r="CB78" i="74"/>
  <c r="CJ78" i="74"/>
  <c r="CF78" i="74"/>
  <c r="T111" i="74"/>
  <c r="T79" i="74"/>
  <c r="BZ79" i="74"/>
  <c r="CH79" i="74"/>
  <c r="CD79" i="74"/>
  <c r="BY80" i="74"/>
  <c r="CC80" i="74"/>
  <c r="CN17" i="74"/>
  <c r="CG20" i="74"/>
  <c r="CL19" i="74"/>
  <c r="CM20" i="74"/>
  <c r="CA21" i="74"/>
  <c r="BU125" i="31" s="1"/>
  <c r="CH23" i="74"/>
  <c r="CL23" i="74"/>
  <c r="CL22" i="74"/>
  <c r="CP23" i="74"/>
  <c r="CP22" i="74"/>
  <c r="CT23" i="74"/>
  <c r="CT22" i="74"/>
  <c r="CG25" i="74"/>
  <c r="BW63" i="74"/>
  <c r="BW65" i="74" s="1"/>
  <c r="S69" i="74"/>
  <c r="S88" i="74" s="1"/>
  <c r="CS69" i="74"/>
  <c r="CQ73" i="74"/>
  <c r="CA74" i="74"/>
  <c r="CI74" i="74"/>
  <c r="CE74" i="74"/>
  <c r="T102" i="74"/>
  <c r="T75" i="74"/>
  <c r="BZ75" i="74"/>
  <c r="CH75" i="74"/>
  <c r="CD75" i="74"/>
  <c r="CK77" i="74"/>
  <c r="S106" i="74"/>
  <c r="T106" i="74"/>
  <c r="CO77" i="74"/>
  <c r="CS77" i="74"/>
  <c r="S78" i="74"/>
  <c r="S107" i="74"/>
  <c r="BY78" i="74"/>
  <c r="CG78" i="74"/>
  <c r="CC78" i="74"/>
  <c r="CA79" i="74"/>
  <c r="CI79" i="74"/>
  <c r="CE79" i="74"/>
  <c r="BZ80" i="74"/>
  <c r="CD80" i="74"/>
  <c r="R17" i="74"/>
  <c r="CJ17" i="74"/>
  <c r="CO17" i="74"/>
  <c r="R18" i="74"/>
  <c r="CH29" i="74"/>
  <c r="CP29" i="74"/>
  <c r="CT29" i="74"/>
  <c r="CH20" i="74"/>
  <c r="CP20" i="74"/>
  <c r="P21" i="74"/>
  <c r="CD21" i="74"/>
  <c r="BX125" i="31" s="1"/>
  <c r="CJ23" i="74"/>
  <c r="CI23" i="74"/>
  <c r="CN23" i="74"/>
  <c r="CM23" i="74"/>
  <c r="CR23" i="74"/>
  <c r="CQ23" i="74"/>
  <c r="CM22" i="74"/>
  <c r="CK25" i="74"/>
  <c r="CT26" i="74"/>
  <c r="CT66" i="74"/>
  <c r="CL66" i="74"/>
  <c r="CO69" i="74"/>
  <c r="CG70" i="74"/>
  <c r="R21" i="74"/>
  <c r="CA73" i="74"/>
  <c r="CB73" i="74"/>
  <c r="CF73" i="74"/>
  <c r="CN73" i="74"/>
  <c r="CR73" i="74"/>
  <c r="CF74" i="74"/>
  <c r="CB74" i="74"/>
  <c r="Q12" i="74"/>
  <c r="R75" i="74" s="1"/>
  <c r="CA75" i="74"/>
  <c r="CI75" i="74"/>
  <c r="CE75" i="74"/>
  <c r="T77" i="74"/>
  <c r="CL77" i="74"/>
  <c r="CP77" i="74"/>
  <c r="CT77" i="74"/>
  <c r="P78" i="74"/>
  <c r="T78" i="74"/>
  <c r="T107" i="74"/>
  <c r="BZ78" i="74"/>
  <c r="CH78" i="74"/>
  <c r="CD78" i="74"/>
  <c r="CB79" i="74"/>
  <c r="CJ79" i="74"/>
  <c r="CF79" i="74"/>
  <c r="CF21" i="74"/>
  <c r="BZ125" i="31" s="1"/>
  <c r="BZ134" i="31" s="1"/>
  <c r="P80" i="74"/>
  <c r="CA80" i="74"/>
  <c r="CE80" i="74"/>
  <c r="S17" i="74"/>
  <c r="CK17" i="74"/>
  <c r="CP17" i="74"/>
  <c r="S18" i="74"/>
  <c r="CI25" i="74"/>
  <c r="CM25" i="74"/>
  <c r="CQ25" i="74"/>
  <c r="CU26" i="74" s="1"/>
  <c r="CO19" i="74"/>
  <c r="CT19" i="74"/>
  <c r="CI20" i="74"/>
  <c r="CQ20" i="74"/>
  <c r="CE21" i="74"/>
  <c r="BY125" i="31" s="1"/>
  <c r="CO25" i="74"/>
  <c r="S82" i="74"/>
  <c r="BY82" i="74"/>
  <c r="CG82" i="74"/>
  <c r="CC82" i="74"/>
  <c r="BZ82" i="74"/>
  <c r="CH82" i="74"/>
  <c r="CD82" i="74"/>
  <c r="CA82" i="74"/>
  <c r="CE82" i="74"/>
  <c r="CI82" i="74"/>
  <c r="CF82" i="74"/>
  <c r="CB82" i="74"/>
  <c r="CM66" i="74"/>
  <c r="U16" i="74"/>
  <c r="U115" i="74" s="1"/>
  <c r="T139" i="74"/>
  <c r="T141" i="74"/>
  <c r="X104" i="74"/>
  <c r="BU127" i="31" l="1"/>
  <c r="BU126" i="31"/>
  <c r="BT126" i="31"/>
  <c r="BT127" i="31"/>
  <c r="CF135" i="31"/>
  <c r="CJ135" i="31"/>
  <c r="BY127" i="31"/>
  <c r="BY126" i="31"/>
  <c r="CC126" i="31"/>
  <c r="O19" i="79"/>
  <c r="O57" i="79" s="1"/>
  <c r="CB119" i="31"/>
  <c r="CB121" i="31" s="1"/>
  <c r="BW127" i="31"/>
  <c r="BW126" i="31"/>
  <c r="O125" i="31"/>
  <c r="O126" i="31" s="1"/>
  <c r="CA126" i="31"/>
  <c r="R129" i="31"/>
  <c r="R134" i="31"/>
  <c r="BX126" i="31"/>
  <c r="CB126" i="31"/>
  <c r="BX127" i="31"/>
  <c r="BT134" i="31"/>
  <c r="BT129" i="31"/>
  <c r="CD136" i="31"/>
  <c r="CD135" i="31"/>
  <c r="CM135" i="31"/>
  <c r="CI135" i="31"/>
  <c r="CI136" i="31"/>
  <c r="CJ136" i="31"/>
  <c r="CF136" i="31"/>
  <c r="CE136" i="31"/>
  <c r="CE135" i="31"/>
  <c r="CH136" i="31"/>
  <c r="CL135" i="31"/>
  <c r="CH135" i="31"/>
  <c r="CK135" i="31"/>
  <c r="CG136" i="31"/>
  <c r="CG135" i="31"/>
  <c r="BV127" i="31"/>
  <c r="BV126" i="31"/>
  <c r="CB136" i="31"/>
  <c r="BZ127" i="31"/>
  <c r="BZ126" i="31"/>
  <c r="CD126" i="31"/>
  <c r="CA127" i="31"/>
  <c r="BS126" i="31"/>
  <c r="BS127" i="31"/>
  <c r="Q119" i="31"/>
  <c r="Q121" i="31" s="1"/>
  <c r="P134" i="31"/>
  <c r="Q135" i="31" s="1"/>
  <c r="CA136" i="31"/>
  <c r="CC136" i="31"/>
  <c r="CH70" i="74"/>
  <c r="Q8" i="74"/>
  <c r="R70" i="74" s="1"/>
  <c r="O18" i="74"/>
  <c r="P19" i="74" s="1"/>
  <c r="P22" i="74"/>
  <c r="BV7" i="74"/>
  <c r="BV25" i="74"/>
  <c r="BV29" i="74" s="1"/>
  <c r="CD7" i="74"/>
  <c r="CH69" i="74" s="1"/>
  <c r="CD18" i="74"/>
  <c r="CK66" i="74"/>
  <c r="R71" i="74"/>
  <c r="CG66" i="74"/>
  <c r="BX18" i="74"/>
  <c r="BR128" i="31" s="1"/>
  <c r="BR134" i="31" s="1"/>
  <c r="CO66" i="74"/>
  <c r="R74" i="74"/>
  <c r="BX17" i="74"/>
  <c r="CB69" i="74"/>
  <c r="BY18" i="74"/>
  <c r="CA18" i="74"/>
  <c r="BU128" i="31" s="1"/>
  <c r="CB66" i="74"/>
  <c r="BZ70" i="74"/>
  <c r="CI73" i="74"/>
  <c r="BZ7" i="74"/>
  <c r="BZ19" i="74"/>
  <c r="Q82" i="74"/>
  <c r="CC69" i="74"/>
  <c r="BY69" i="74"/>
  <c r="P77" i="74"/>
  <c r="T22" i="74"/>
  <c r="CE77" i="74"/>
  <c r="CC70" i="74"/>
  <c r="CT27" i="74"/>
  <c r="CB70" i="74"/>
  <c r="CE70" i="74"/>
  <c r="BW7" i="74"/>
  <c r="O17" i="74"/>
  <c r="CB18" i="74"/>
  <c r="BV128" i="31" s="1"/>
  <c r="CE18" i="74"/>
  <c r="CA70" i="74"/>
  <c r="CQ66" i="74"/>
  <c r="CG69" i="74"/>
  <c r="BZ66" i="74"/>
  <c r="CB17" i="74"/>
  <c r="CC18" i="74"/>
  <c r="P70" i="74"/>
  <c r="BY70" i="74"/>
  <c r="BU18" i="74"/>
  <c r="CD77" i="74"/>
  <c r="BY66" i="74"/>
  <c r="P73" i="74"/>
  <c r="BY77" i="74"/>
  <c r="O25" i="79"/>
  <c r="O26" i="79" s="1"/>
  <c r="O60" i="79"/>
  <c r="CU27" i="74"/>
  <c r="AA19" i="79"/>
  <c r="CL26" i="74"/>
  <c r="U7" i="74"/>
  <c r="U69" i="74" s="1"/>
  <c r="U88" i="74" s="1"/>
  <c r="W78" i="79"/>
  <c r="W56" i="79"/>
  <c r="W60" i="79"/>
  <c r="W59" i="79"/>
  <c r="W57" i="79"/>
  <c r="W58" i="79"/>
  <c r="U78" i="79"/>
  <c r="U56" i="79"/>
  <c r="U59" i="79"/>
  <c r="U60" i="79"/>
  <c r="U25" i="79"/>
  <c r="U57" i="79"/>
  <c r="U58" i="79"/>
  <c r="CL29" i="74"/>
  <c r="CP26" i="74"/>
  <c r="X19" i="79"/>
  <c r="CI22" i="74"/>
  <c r="CL27" i="74"/>
  <c r="CJ77" i="74"/>
  <c r="CF25" i="74"/>
  <c r="CF29" i="74" s="1"/>
  <c r="BZ119" i="31" s="1"/>
  <c r="BZ121" i="31" s="1"/>
  <c r="V19" i="79"/>
  <c r="CU31" i="74"/>
  <c r="BX23" i="74"/>
  <c r="BZ69" i="74"/>
  <c r="R79" i="74"/>
  <c r="CE17" i="74"/>
  <c r="CD73" i="74"/>
  <c r="CF77" i="74"/>
  <c r="CD66" i="74"/>
  <c r="CC66" i="74"/>
  <c r="CB77" i="74"/>
  <c r="Q13" i="74"/>
  <c r="R77" i="74" s="1"/>
  <c r="CH73" i="74"/>
  <c r="BW17" i="74"/>
  <c r="BZ17" i="74"/>
  <c r="BU17" i="74"/>
  <c r="CC77" i="74"/>
  <c r="U15" i="74"/>
  <c r="U79" i="74" s="1"/>
  <c r="CA77" i="74"/>
  <c r="CC17" i="74"/>
  <c r="CA17" i="74"/>
  <c r="BZ73" i="74"/>
  <c r="CA66" i="74"/>
  <c r="BV17" i="74"/>
  <c r="BY73" i="74"/>
  <c r="CH66" i="74"/>
  <c r="CC73" i="74"/>
  <c r="CE69" i="74"/>
  <c r="U14" i="74"/>
  <c r="U107" i="74" s="1"/>
  <c r="BY17" i="74"/>
  <c r="BV23" i="74"/>
  <c r="CE66" i="74"/>
  <c r="U75" i="74"/>
  <c r="U98" i="74"/>
  <c r="U10" i="74"/>
  <c r="U73" i="74" s="1"/>
  <c r="U102" i="74"/>
  <c r="X105" i="74"/>
  <c r="Y104" i="74"/>
  <c r="X103" i="74"/>
  <c r="CI29" i="74"/>
  <c r="CI27" i="74"/>
  <c r="Q21" i="74"/>
  <c r="Q22" i="74" s="1"/>
  <c r="CQ29" i="74"/>
  <c r="CQ26" i="74"/>
  <c r="CQ27" i="74"/>
  <c r="CM29" i="74"/>
  <c r="CG119" i="31" s="1"/>
  <c r="CG121" i="31" s="1"/>
  <c r="CM26" i="74"/>
  <c r="CM27" i="74"/>
  <c r="S25" i="74"/>
  <c r="S19" i="74"/>
  <c r="CK29" i="74"/>
  <c r="CE119" i="31" s="1"/>
  <c r="CE121" i="31" s="1"/>
  <c r="CK26" i="74"/>
  <c r="CK27" i="74"/>
  <c r="CD23" i="74"/>
  <c r="CD22" i="74"/>
  <c r="CH22" i="74"/>
  <c r="CB20" i="74"/>
  <c r="CB25" i="74"/>
  <c r="CS29" i="74"/>
  <c r="CS26" i="74"/>
  <c r="CS27" i="74"/>
  <c r="CR27" i="74"/>
  <c r="CR29" i="74"/>
  <c r="CR26" i="74"/>
  <c r="T25" i="74"/>
  <c r="T19" i="74"/>
  <c r="U70" i="74"/>
  <c r="U89" i="74" s="1"/>
  <c r="CG22" i="74"/>
  <c r="CC22" i="74"/>
  <c r="CC23" i="74"/>
  <c r="Q75" i="74"/>
  <c r="Q10" i="74"/>
  <c r="R25" i="74"/>
  <c r="CG29" i="74"/>
  <c r="BZ23" i="74"/>
  <c r="BZ22" i="74"/>
  <c r="CA25" i="74"/>
  <c r="CA20" i="74"/>
  <c r="CA19" i="74"/>
  <c r="Q70" i="74"/>
  <c r="Q18" i="74"/>
  <c r="R19" i="74" s="1"/>
  <c r="S22" i="74"/>
  <c r="BZ25" i="74"/>
  <c r="CD25" i="74"/>
  <c r="CA23" i="74"/>
  <c r="CA22" i="74"/>
  <c r="CJ27" i="74"/>
  <c r="CJ29" i="74"/>
  <c r="CB23" i="74"/>
  <c r="CB22" i="74"/>
  <c r="CA69" i="74"/>
  <c r="CE23" i="74"/>
  <c r="CE22" i="74"/>
  <c r="CF23" i="74"/>
  <c r="CG23" i="74"/>
  <c r="CF22" i="74"/>
  <c r="CJ22" i="74"/>
  <c r="CT30" i="74"/>
  <c r="CO29" i="74"/>
  <c r="CI119" i="31" s="1"/>
  <c r="CI121" i="31" s="1"/>
  <c r="CO26" i="74"/>
  <c r="CO27" i="74"/>
  <c r="CP27" i="74"/>
  <c r="CH27" i="74"/>
  <c r="U71" i="74"/>
  <c r="U93" i="74" s="1"/>
  <c r="CN27" i="74"/>
  <c r="CN29" i="74"/>
  <c r="CH119" i="31" s="1"/>
  <c r="CH121" i="31" s="1"/>
  <c r="CN26" i="74"/>
  <c r="BW25" i="74"/>
  <c r="BW20" i="74"/>
  <c r="BY22" i="74"/>
  <c r="BY23" i="74"/>
  <c r="P25" i="74"/>
  <c r="CF19" i="74"/>
  <c r="P17" i="74"/>
  <c r="CL122" i="31" l="1"/>
  <c r="CH122" i="31"/>
  <c r="O58" i="79"/>
  <c r="O56" i="79"/>
  <c r="BV129" i="31"/>
  <c r="BV130" i="31"/>
  <c r="BV134" i="31"/>
  <c r="BZ129" i="31"/>
  <c r="CD19" i="74"/>
  <c r="BX128" i="31"/>
  <c r="BT135" i="31"/>
  <c r="R135" i="31"/>
  <c r="R119" i="31"/>
  <c r="R121" i="31" s="1"/>
  <c r="P19" i="79"/>
  <c r="CC119" i="31"/>
  <c r="CC121" i="31" s="1"/>
  <c r="CG122" i="31" s="1"/>
  <c r="CF20" i="74"/>
  <c r="BY128" i="31"/>
  <c r="BY19" i="74"/>
  <c r="BS128" i="31"/>
  <c r="N19" i="79"/>
  <c r="N57" i="79" s="1"/>
  <c r="CA119" i="31"/>
  <c r="CA121" i="31" s="1"/>
  <c r="CK122" i="31"/>
  <c r="CP30" i="74"/>
  <c r="CF119" i="31"/>
  <c r="CF121" i="31" s="1"/>
  <c r="CJ122" i="31" s="1"/>
  <c r="O59" i="79"/>
  <c r="O78" i="79"/>
  <c r="CD20" i="74"/>
  <c r="BW128" i="31"/>
  <c r="P119" i="31"/>
  <c r="P121" i="31" s="1"/>
  <c r="CI122" i="31"/>
  <c r="CM122" i="31"/>
  <c r="Q19" i="79"/>
  <c r="CD119" i="31"/>
  <c r="CD121" i="31" s="1"/>
  <c r="CD122" i="31" s="1"/>
  <c r="Q122" i="31"/>
  <c r="CI19" i="74"/>
  <c r="BU25" i="74"/>
  <c r="BO128" i="31"/>
  <c r="BU130" i="31"/>
  <c r="BU129" i="31"/>
  <c r="BU134" i="31"/>
  <c r="CF122" i="31"/>
  <c r="CB122" i="31"/>
  <c r="CL30" i="74"/>
  <c r="O25" i="74"/>
  <c r="O29" i="74" s="1"/>
  <c r="CD69" i="74"/>
  <c r="CH19" i="74"/>
  <c r="Q7" i="74"/>
  <c r="CB19" i="74"/>
  <c r="CD17" i="74"/>
  <c r="CE20" i="74"/>
  <c r="BX25" i="74"/>
  <c r="BX29" i="74" s="1"/>
  <c r="BY20" i="74"/>
  <c r="CE25" i="74"/>
  <c r="CI26" i="74" s="1"/>
  <c r="BX20" i="74"/>
  <c r="CE19" i="74"/>
  <c r="Y19" i="79"/>
  <c r="BY25" i="74"/>
  <c r="CC19" i="74"/>
  <c r="BZ20" i="74"/>
  <c r="CV30" i="74"/>
  <c r="CC25" i="74"/>
  <c r="CC29" i="74" s="1"/>
  <c r="BW119" i="31" s="1"/>
  <c r="BW121" i="31" s="1"/>
  <c r="CC20" i="74"/>
  <c r="CG19" i="74"/>
  <c r="BU29" i="74"/>
  <c r="BV31" i="74" s="1"/>
  <c r="BV27" i="74"/>
  <c r="R19" i="79"/>
  <c r="R56" i="79" s="1"/>
  <c r="S19" i="79"/>
  <c r="S60" i="79" s="1"/>
  <c r="T19" i="79"/>
  <c r="T56" i="79" s="1"/>
  <c r="E19" i="79"/>
  <c r="U27" i="79"/>
  <c r="U85" i="79" s="1"/>
  <c r="U26" i="79"/>
  <c r="C19" i="79"/>
  <c r="W96" i="74"/>
  <c r="W94" i="74"/>
  <c r="CG27" i="74"/>
  <c r="CJ26" i="74"/>
  <c r="BV20" i="74"/>
  <c r="Q77" i="74"/>
  <c r="S59" i="79"/>
  <c r="O28" i="79"/>
  <c r="O29" i="79" s="1"/>
  <c r="O84" i="79"/>
  <c r="N59" i="79"/>
  <c r="N56" i="79"/>
  <c r="Z19" i="79"/>
  <c r="P78" i="79"/>
  <c r="P25" i="79"/>
  <c r="P56" i="79"/>
  <c r="P58" i="79"/>
  <c r="P60" i="79"/>
  <c r="P59" i="79"/>
  <c r="P57" i="79"/>
  <c r="Q78" i="79"/>
  <c r="Q25" i="79"/>
  <c r="Q58" i="79"/>
  <c r="Q59" i="79"/>
  <c r="Q56" i="79"/>
  <c r="Q60" i="79"/>
  <c r="Q57" i="79"/>
  <c r="AA78" i="79"/>
  <c r="AA58" i="79"/>
  <c r="AA59" i="79"/>
  <c r="AA56" i="79"/>
  <c r="AA60" i="79"/>
  <c r="AA57" i="79"/>
  <c r="O27" i="79"/>
  <c r="O85" i="79" s="1"/>
  <c r="V78" i="79"/>
  <c r="V59" i="79"/>
  <c r="V56" i="79"/>
  <c r="V58" i="79"/>
  <c r="V60" i="79"/>
  <c r="V57" i="79"/>
  <c r="Y78" i="79"/>
  <c r="Y60" i="79"/>
  <c r="Y57" i="79"/>
  <c r="Y58" i="79"/>
  <c r="Y59" i="79"/>
  <c r="Y56" i="79"/>
  <c r="X78" i="79"/>
  <c r="X58" i="79"/>
  <c r="X56" i="79"/>
  <c r="X57" i="79"/>
  <c r="X59" i="79"/>
  <c r="X60" i="79"/>
  <c r="U84" i="79"/>
  <c r="U28" i="79"/>
  <c r="AA25" i="79"/>
  <c r="AA26" i="79" s="1"/>
  <c r="W25" i="79"/>
  <c r="W26" i="79" s="1"/>
  <c r="CC26" i="74"/>
  <c r="CP31" i="74"/>
  <c r="CL31" i="74"/>
  <c r="CU30" i="74"/>
  <c r="CT31" i="74"/>
  <c r="CG26" i="74"/>
  <c r="CC27" i="74"/>
  <c r="U21" i="74"/>
  <c r="U22" i="74" s="1"/>
  <c r="U111" i="74"/>
  <c r="U13" i="74"/>
  <c r="U106" i="74" s="1"/>
  <c r="U78" i="74"/>
  <c r="U18" i="74"/>
  <c r="U97" i="74"/>
  <c r="CG31" i="74"/>
  <c r="CG30" i="74"/>
  <c r="S29" i="74"/>
  <c r="S26" i="74"/>
  <c r="BW29" i="74"/>
  <c r="BW31" i="74" s="1"/>
  <c r="BW27" i="74"/>
  <c r="CJ30" i="74"/>
  <c r="CJ31" i="74"/>
  <c r="CD29" i="74"/>
  <c r="BX119" i="31" s="1"/>
  <c r="BX121" i="31" s="1"/>
  <c r="CD27" i="74"/>
  <c r="CD26" i="74"/>
  <c r="CH26" i="74"/>
  <c r="T29" i="74"/>
  <c r="T30" i="74" s="1"/>
  <c r="T26" i="74"/>
  <c r="CB27" i="74"/>
  <c r="CB29" i="74"/>
  <c r="CF26" i="74"/>
  <c r="CN30" i="74"/>
  <c r="CN31" i="74"/>
  <c r="BY29" i="74"/>
  <c r="BY26" i="74"/>
  <c r="BY27" i="74"/>
  <c r="Q73" i="74"/>
  <c r="R73" i="74"/>
  <c r="CH31" i="74"/>
  <c r="CK31" i="74"/>
  <c r="CK30" i="74"/>
  <c r="P29" i="74"/>
  <c r="BZ29" i="74"/>
  <c r="BZ27" i="74"/>
  <c r="BZ26" i="74"/>
  <c r="Q69" i="74"/>
  <c r="R69" i="74"/>
  <c r="R29" i="74"/>
  <c r="CQ30" i="74"/>
  <c r="CQ31" i="74"/>
  <c r="CO31" i="74"/>
  <c r="CO30" i="74"/>
  <c r="CE27" i="74"/>
  <c r="Q25" i="74"/>
  <c r="Q19" i="74"/>
  <c r="CA29" i="74"/>
  <c r="CA26" i="74"/>
  <c r="CA27" i="74"/>
  <c r="R22" i="74"/>
  <c r="Q17" i="74"/>
  <c r="CR30" i="74"/>
  <c r="CR31" i="74"/>
  <c r="CS31" i="74"/>
  <c r="CS30" i="74"/>
  <c r="CM30" i="74"/>
  <c r="CM31" i="74"/>
  <c r="CI31" i="74"/>
  <c r="Y103" i="74"/>
  <c r="Z104" i="74"/>
  <c r="Y105" i="74"/>
  <c r="P26" i="74" l="1"/>
  <c r="N58" i="79"/>
  <c r="N78" i="79"/>
  <c r="BU135" i="31"/>
  <c r="BU136" i="31"/>
  <c r="BV136" i="31"/>
  <c r="BV135" i="31"/>
  <c r="BZ135" i="31"/>
  <c r="N25" i="79"/>
  <c r="N84" i="79" s="1"/>
  <c r="BW130" i="31"/>
  <c r="BW129" i="31"/>
  <c r="O128" i="31"/>
  <c r="BW134" i="31"/>
  <c r="CA129" i="31"/>
  <c r="CA122" i="31"/>
  <c r="BY134" i="31"/>
  <c r="BY130" i="31"/>
  <c r="BY129" i="31"/>
  <c r="BZ130" i="31"/>
  <c r="CC129" i="31"/>
  <c r="S122" i="31"/>
  <c r="R122" i="31"/>
  <c r="BX134" i="31"/>
  <c r="BX129" i="31"/>
  <c r="BX130" i="31"/>
  <c r="CB129" i="31"/>
  <c r="CE122" i="31"/>
  <c r="N60" i="79"/>
  <c r="M128" i="31"/>
  <c r="BO134" i="31"/>
  <c r="M134" i="31" s="1"/>
  <c r="BS130" i="31"/>
  <c r="BS129" i="31"/>
  <c r="N128" i="31"/>
  <c r="BS134" i="31"/>
  <c r="BT130" i="31"/>
  <c r="CE26" i="74"/>
  <c r="R60" i="79"/>
  <c r="CF27" i="74"/>
  <c r="CE29" i="74"/>
  <c r="BY119" i="31" s="1"/>
  <c r="BY121" i="31" s="1"/>
  <c r="CC122" i="31" s="1"/>
  <c r="P30" i="74"/>
  <c r="CB26" i="74"/>
  <c r="BX27" i="74"/>
  <c r="S25" i="79"/>
  <c r="S26" i="79" s="1"/>
  <c r="R57" i="79"/>
  <c r="T60" i="79"/>
  <c r="R25" i="79"/>
  <c r="R26" i="79" s="1"/>
  <c r="R59" i="79"/>
  <c r="T57" i="79"/>
  <c r="T78" i="79"/>
  <c r="R58" i="79"/>
  <c r="R78" i="79"/>
  <c r="T25" i="79"/>
  <c r="T27" i="79" s="1"/>
  <c r="T85" i="79" s="1"/>
  <c r="T58" i="79"/>
  <c r="T59" i="79"/>
  <c r="S58" i="79"/>
  <c r="S57" i="79"/>
  <c r="S56" i="79"/>
  <c r="S78" i="79"/>
  <c r="D19" i="79"/>
  <c r="Q27" i="79"/>
  <c r="Q85" i="79" s="1"/>
  <c r="Q26" i="79"/>
  <c r="N27" i="79"/>
  <c r="N85" i="79" s="1"/>
  <c r="N26" i="79"/>
  <c r="P27" i="79"/>
  <c r="P85" i="79" s="1"/>
  <c r="P26" i="79"/>
  <c r="U29" i="79"/>
  <c r="U87" i="79" s="1"/>
  <c r="C25" i="79"/>
  <c r="C58" i="79"/>
  <c r="C60" i="79"/>
  <c r="C57" i="79"/>
  <c r="C56" i="79"/>
  <c r="C59" i="79"/>
  <c r="E25" i="79"/>
  <c r="E56" i="79"/>
  <c r="E57" i="79"/>
  <c r="E60" i="79"/>
  <c r="E59" i="79"/>
  <c r="E58" i="79"/>
  <c r="Y95" i="74"/>
  <c r="X96" i="74"/>
  <c r="X94" i="74"/>
  <c r="R28" i="79"/>
  <c r="N28" i="79"/>
  <c r="N29" i="79" s="1"/>
  <c r="O86" i="79"/>
  <c r="O87" i="79"/>
  <c r="Q28" i="79"/>
  <c r="Q29" i="79" s="1"/>
  <c r="Q84" i="79"/>
  <c r="Z78" i="79"/>
  <c r="Z60" i="79"/>
  <c r="Z59" i="79"/>
  <c r="Z57" i="79"/>
  <c r="Z56" i="79"/>
  <c r="Z58" i="79"/>
  <c r="P28" i="79"/>
  <c r="P29" i="79" s="1"/>
  <c r="P84" i="79"/>
  <c r="U19" i="74"/>
  <c r="U86" i="79"/>
  <c r="W28" i="79"/>
  <c r="W84" i="79"/>
  <c r="AA28" i="79"/>
  <c r="AA84" i="79"/>
  <c r="W27" i="79"/>
  <c r="W85" i="79" s="1"/>
  <c r="AA27" i="79"/>
  <c r="AA85" i="79" s="1"/>
  <c r="Z25" i="79"/>
  <c r="Z26" i="79" s="1"/>
  <c r="Y25" i="79"/>
  <c r="Y26" i="79" s="1"/>
  <c r="X25" i="79"/>
  <c r="V25" i="79"/>
  <c r="CF31" i="74"/>
  <c r="U77" i="74"/>
  <c r="U25" i="74"/>
  <c r="U29" i="74" s="1"/>
  <c r="U30" i="74" s="1"/>
  <c r="U17" i="74"/>
  <c r="BX31" i="74"/>
  <c r="CA30" i="74"/>
  <c r="CA31" i="74"/>
  <c r="BZ30" i="74"/>
  <c r="BZ31" i="74"/>
  <c r="S30" i="74"/>
  <c r="BY31" i="74"/>
  <c r="BY30" i="74"/>
  <c r="CC30" i="74"/>
  <c r="Q29" i="74"/>
  <c r="Q30" i="74" s="1"/>
  <c r="Q26" i="74"/>
  <c r="R26" i="74"/>
  <c r="CB30" i="74"/>
  <c r="CB31" i="74"/>
  <c r="CC31" i="74"/>
  <c r="Z103" i="74"/>
  <c r="Z105" i="74"/>
  <c r="AA104" i="74"/>
  <c r="AB104" i="74" s="1"/>
  <c r="CE31" i="74"/>
  <c r="CF30" i="74"/>
  <c r="CD30" i="74"/>
  <c r="CD31" i="74"/>
  <c r="CH30" i="74"/>
  <c r="O134" i="31" l="1"/>
  <c r="BW136" i="31"/>
  <c r="BW135" i="31"/>
  <c r="CA135" i="31"/>
  <c r="S28" i="79"/>
  <c r="BY136" i="31"/>
  <c r="BY135" i="31"/>
  <c r="BZ136" i="31"/>
  <c r="CC135" i="31"/>
  <c r="O129" i="31"/>
  <c r="CE30" i="74"/>
  <c r="CI30" i="74"/>
  <c r="BS135" i="31"/>
  <c r="N134" i="31"/>
  <c r="N135" i="31" s="1"/>
  <c r="BS136" i="31"/>
  <c r="BT136" i="31"/>
  <c r="BX135" i="31"/>
  <c r="BX136" i="31"/>
  <c r="CB135" i="31"/>
  <c r="S84" i="79"/>
  <c r="R27" i="79"/>
  <c r="R85" i="79" s="1"/>
  <c r="S27" i="79"/>
  <c r="S85" i="79" s="1"/>
  <c r="R84" i="79"/>
  <c r="D57" i="79"/>
  <c r="D94" i="79"/>
  <c r="E94" i="79"/>
  <c r="D59" i="79"/>
  <c r="D25" i="79"/>
  <c r="D28" i="79" s="1"/>
  <c r="T28" i="79"/>
  <c r="T29" i="79" s="1"/>
  <c r="T87" i="79" s="1"/>
  <c r="T84" i="79"/>
  <c r="T26" i="79"/>
  <c r="D56" i="79"/>
  <c r="D60" i="79"/>
  <c r="D58" i="79"/>
  <c r="X67" i="79"/>
  <c r="X26" i="79"/>
  <c r="C28" i="79"/>
  <c r="C29" i="79" s="1"/>
  <c r="C26" i="79"/>
  <c r="V67" i="79"/>
  <c r="V26" i="79"/>
  <c r="E28" i="79"/>
  <c r="E29" i="79" s="1"/>
  <c r="E26" i="79"/>
  <c r="S29" i="79"/>
  <c r="S87" i="79" s="1"/>
  <c r="R29" i="79"/>
  <c r="R87" i="79" s="1"/>
  <c r="W67" i="79"/>
  <c r="Y67" i="79"/>
  <c r="Z67" i="79"/>
  <c r="AA67" i="79"/>
  <c r="W86" i="79"/>
  <c r="W29" i="79"/>
  <c r="W87" i="79" s="1"/>
  <c r="E27" i="79"/>
  <c r="C27" i="79"/>
  <c r="AA86" i="79"/>
  <c r="AA29" i="79"/>
  <c r="AA87" i="79" s="1"/>
  <c r="Z95" i="74"/>
  <c r="Y96" i="74"/>
  <c r="Y94" i="74"/>
  <c r="P86" i="79"/>
  <c r="P87" i="79"/>
  <c r="Q86" i="79"/>
  <c r="Q87" i="79"/>
  <c r="N86" i="79"/>
  <c r="N87" i="79"/>
  <c r="S86" i="79"/>
  <c r="R86" i="79"/>
  <c r="AC19" i="79"/>
  <c r="V28" i="79"/>
  <c r="V84" i="79"/>
  <c r="X28" i="79"/>
  <c r="X84" i="79"/>
  <c r="Y28" i="79"/>
  <c r="Y84" i="79"/>
  <c r="Z28" i="79"/>
  <c r="Z84" i="79"/>
  <c r="AB60" i="79"/>
  <c r="AB59" i="79"/>
  <c r="AB58" i="79"/>
  <c r="AB57" i="79"/>
  <c r="AB56" i="79"/>
  <c r="AB25" i="79"/>
  <c r="AB26" i="79" s="1"/>
  <c r="Y27" i="79"/>
  <c r="Y85" i="79" s="1"/>
  <c r="Z27" i="79"/>
  <c r="Z85" i="79" s="1"/>
  <c r="X27" i="79"/>
  <c r="X85" i="79" s="1"/>
  <c r="V27" i="79"/>
  <c r="V85" i="79" s="1"/>
  <c r="U26" i="74"/>
  <c r="AA103" i="74"/>
  <c r="AA105" i="74"/>
  <c r="R30" i="74"/>
  <c r="O135" i="31" l="1"/>
  <c r="O119" i="31"/>
  <c r="O121" i="31" s="1"/>
  <c r="P122" i="31" s="1"/>
  <c r="P135" i="31"/>
  <c r="T86" i="79"/>
  <c r="D26" i="79"/>
  <c r="D97" i="79"/>
  <c r="E97" i="79"/>
  <c r="F19" i="79"/>
  <c r="D27" i="79"/>
  <c r="D29" i="79"/>
  <c r="AB67" i="79"/>
  <c r="Y86" i="79"/>
  <c r="F20" i="79"/>
  <c r="F23" i="79"/>
  <c r="F36" i="79" s="1"/>
  <c r="F22" i="79"/>
  <c r="V86" i="79"/>
  <c r="V29" i="79"/>
  <c r="V87" i="79" s="1"/>
  <c r="Z86" i="79"/>
  <c r="Z29" i="79"/>
  <c r="Z87" i="79" s="1"/>
  <c r="X86" i="79"/>
  <c r="X29" i="79"/>
  <c r="X87" i="79" s="1"/>
  <c r="AB84" i="79"/>
  <c r="AC78" i="79"/>
  <c r="Z96" i="74"/>
  <c r="AA95" i="74"/>
  <c r="Z94" i="74"/>
  <c r="AE56" i="79"/>
  <c r="AF56" i="79" s="1"/>
  <c r="AG56" i="79" s="1"/>
  <c r="AD58" i="79"/>
  <c r="Y29" i="79"/>
  <c r="Y87" i="79" s="1"/>
  <c r="AB27" i="79"/>
  <c r="AB28" i="79"/>
  <c r="AB105" i="74"/>
  <c r="AC104" i="74"/>
  <c r="AD104" i="74" s="1"/>
  <c r="AB103" i="74"/>
  <c r="F94" i="79" l="1"/>
  <c r="AB29" i="79"/>
  <c r="AC81" i="79"/>
  <c r="F58" i="79"/>
  <c r="AC64" i="79"/>
  <c r="AC82" i="79"/>
  <c r="AC65" i="79"/>
  <c r="F59" i="79"/>
  <c r="AC79" i="79"/>
  <c r="AC62" i="79"/>
  <c r="AB85" i="79"/>
  <c r="AB86" i="79"/>
  <c r="AE58" i="79"/>
  <c r="AA96" i="74"/>
  <c r="AA94" i="74"/>
  <c r="AB95" i="74"/>
  <c r="AB31" i="79"/>
  <c r="AC103" i="74"/>
  <c r="AC105" i="74"/>
  <c r="F56" i="79" l="1"/>
  <c r="AB87" i="79"/>
  <c r="AC95" i="74"/>
  <c r="AB94" i="74"/>
  <c r="AB96" i="74"/>
  <c r="AB32" i="79"/>
  <c r="AB34" i="79"/>
  <c r="AD103" i="74"/>
  <c r="AD105" i="74"/>
  <c r="AG58" i="79" l="1"/>
  <c r="AD95" i="74"/>
  <c r="AC94" i="74"/>
  <c r="AC96" i="74"/>
  <c r="AB35" i="79"/>
  <c r="AB37" i="79"/>
  <c r="AB38" i="79" s="1"/>
  <c r="AD94" i="74" l="1"/>
  <c r="AD96" i="74"/>
  <c r="C236" i="73" l="1"/>
  <c r="BF3" i="61"/>
  <c r="BE3" i="61"/>
  <c r="BD3" i="61"/>
  <c r="BC3" i="61"/>
  <c r="BB3" i="61"/>
  <c r="BA3" i="61"/>
  <c r="S164" i="61"/>
  <c r="AB160" i="61"/>
  <c r="AA160" i="61"/>
  <c r="Z159" i="61"/>
  <c r="Y159" i="61"/>
  <c r="X159" i="61"/>
  <c r="W159" i="61"/>
  <c r="V159" i="61"/>
  <c r="U159" i="61"/>
  <c r="T159" i="61"/>
  <c r="S159" i="61"/>
  <c r="R159" i="61"/>
  <c r="Q159" i="61"/>
  <c r="D8" i="73" l="1"/>
  <c r="V251" i="73" l="1"/>
  <c r="U250" i="73"/>
  <c r="V250" i="73" s="1"/>
  <c r="W250" i="73" s="1"/>
  <c r="X250" i="73" s="1"/>
  <c r="Y250" i="73" s="1"/>
  <c r="Z250" i="73" s="1"/>
  <c r="U252" i="73" l="1"/>
  <c r="V252" i="73"/>
  <c r="W251" i="73"/>
  <c r="X251" i="73" l="1"/>
  <c r="W252" i="73"/>
  <c r="Y251" i="73" l="1"/>
  <c r="X252" i="73"/>
  <c r="Z251" i="73" l="1"/>
  <c r="Z252" i="73" s="1"/>
  <c r="Y252" i="73"/>
  <c r="P236" i="73" l="1"/>
  <c r="O236" i="73"/>
  <c r="N236" i="73"/>
  <c r="M236" i="73"/>
  <c r="L236" i="73"/>
  <c r="K236" i="73"/>
  <c r="J236" i="73"/>
  <c r="I236" i="73"/>
  <c r="H236" i="73"/>
  <c r="G236" i="73"/>
  <c r="F236" i="73"/>
  <c r="E236" i="73"/>
  <c r="D236" i="73"/>
  <c r="H234" i="73"/>
  <c r="H215" i="73"/>
  <c r="H207" i="73"/>
  <c r="H202" i="73"/>
  <c r="P189" i="73"/>
  <c r="O189" i="73"/>
  <c r="N189" i="73"/>
  <c r="M189" i="73"/>
  <c r="L189" i="73"/>
  <c r="K189" i="73"/>
  <c r="J189" i="73"/>
  <c r="I189" i="73"/>
  <c r="H189" i="73"/>
  <c r="G189" i="73"/>
  <c r="F189" i="73"/>
  <c r="E189" i="73"/>
  <c r="P180" i="73"/>
  <c r="O180" i="73"/>
  <c r="N180" i="73"/>
  <c r="M180" i="73"/>
  <c r="L180" i="73"/>
  <c r="E166" i="73"/>
  <c r="D166" i="73"/>
  <c r="D161" i="73"/>
  <c r="D142" i="73" s="1"/>
  <c r="F153" i="73"/>
  <c r="G153" i="73" s="1"/>
  <c r="H153" i="73" s="1"/>
  <c r="I153" i="73" s="1"/>
  <c r="J153" i="73" s="1"/>
  <c r="K153" i="73" s="1"/>
  <c r="L153" i="73" s="1"/>
  <c r="M153" i="73" s="1"/>
  <c r="N153" i="73" s="1"/>
  <c r="O153" i="73" s="1"/>
  <c r="P153" i="73" s="1"/>
  <c r="E141" i="73"/>
  <c r="F141" i="73" s="1"/>
  <c r="G141" i="73" s="1"/>
  <c r="H141" i="73" s="1"/>
  <c r="I141" i="73" s="1"/>
  <c r="J141" i="73" s="1"/>
  <c r="K141" i="73" s="1"/>
  <c r="L141" i="73" s="1"/>
  <c r="M141" i="73" s="1"/>
  <c r="N141" i="73" s="1"/>
  <c r="O141" i="73" s="1"/>
  <c r="P141" i="73" s="1"/>
  <c r="D141" i="73"/>
  <c r="D140" i="73"/>
  <c r="E140" i="73" s="1"/>
  <c r="F140" i="73" s="1"/>
  <c r="C136" i="73"/>
  <c r="D135" i="73"/>
  <c r="E135" i="73" s="1"/>
  <c r="F135" i="73" s="1"/>
  <c r="G135" i="73" s="1"/>
  <c r="H135" i="73" s="1"/>
  <c r="I135" i="73" s="1"/>
  <c r="J135" i="73" s="1"/>
  <c r="K135" i="73" s="1"/>
  <c r="L135" i="73" s="1"/>
  <c r="M135" i="73" s="1"/>
  <c r="N135" i="73" s="1"/>
  <c r="O135" i="73" s="1"/>
  <c r="P135" i="73" s="1"/>
  <c r="L134" i="73"/>
  <c r="M134" i="73" s="1"/>
  <c r="N134" i="73" s="1"/>
  <c r="O134" i="73" s="1"/>
  <c r="P134" i="73" s="1"/>
  <c r="F134" i="73"/>
  <c r="G134" i="73" s="1"/>
  <c r="H134" i="73" s="1"/>
  <c r="I134" i="73" s="1"/>
  <c r="J134" i="73" s="1"/>
  <c r="K134" i="73" s="1"/>
  <c r="D134" i="73"/>
  <c r="E134" i="73" s="1"/>
  <c r="F133" i="73"/>
  <c r="G133" i="73" s="1"/>
  <c r="E133" i="73"/>
  <c r="D133" i="73"/>
  <c r="D136" i="73" s="1"/>
  <c r="C129" i="73"/>
  <c r="D128" i="73"/>
  <c r="E128" i="73" s="1"/>
  <c r="F128" i="73" s="1"/>
  <c r="G128" i="73" s="1"/>
  <c r="H128" i="73" s="1"/>
  <c r="I128" i="73" s="1"/>
  <c r="J128" i="73" s="1"/>
  <c r="K128" i="73" s="1"/>
  <c r="L128" i="73" s="1"/>
  <c r="M128" i="73" s="1"/>
  <c r="N128" i="73" s="1"/>
  <c r="O128" i="73" s="1"/>
  <c r="P128" i="73" s="1"/>
  <c r="D127" i="73"/>
  <c r="E127" i="73" s="1"/>
  <c r="F127" i="73" s="1"/>
  <c r="G127" i="73" s="1"/>
  <c r="H127" i="73" s="1"/>
  <c r="I127" i="73" s="1"/>
  <c r="J127" i="73" s="1"/>
  <c r="K127" i="73" s="1"/>
  <c r="L127" i="73" s="1"/>
  <c r="M127" i="73" s="1"/>
  <c r="N127" i="73" s="1"/>
  <c r="O127" i="73" s="1"/>
  <c r="P127" i="73" s="1"/>
  <c r="D126" i="73"/>
  <c r="E126" i="73" s="1"/>
  <c r="D125" i="73"/>
  <c r="P122" i="73"/>
  <c r="O122" i="73"/>
  <c r="N122" i="73"/>
  <c r="M122" i="73"/>
  <c r="L122" i="73"/>
  <c r="K122" i="73"/>
  <c r="J122" i="73"/>
  <c r="C122" i="73"/>
  <c r="C121" i="73"/>
  <c r="D121" i="73" s="1"/>
  <c r="E121" i="73" s="1"/>
  <c r="F121" i="73" s="1"/>
  <c r="G121" i="73" s="1"/>
  <c r="H121" i="73" s="1"/>
  <c r="I121" i="73" s="1"/>
  <c r="J121" i="73" s="1"/>
  <c r="K121" i="73" s="1"/>
  <c r="L121" i="73" s="1"/>
  <c r="M121" i="73" s="1"/>
  <c r="N121" i="73" s="1"/>
  <c r="O121" i="73" s="1"/>
  <c r="P121" i="73" s="1"/>
  <c r="D112" i="73"/>
  <c r="E112" i="73" s="1"/>
  <c r="F112" i="73" s="1"/>
  <c r="C111" i="73"/>
  <c r="D110" i="73"/>
  <c r="H107" i="73"/>
  <c r="H156" i="73" s="1"/>
  <c r="D103" i="73"/>
  <c r="E92" i="73"/>
  <c r="F92" i="73" s="1"/>
  <c r="D91" i="73"/>
  <c r="C91" i="73"/>
  <c r="B79" i="73"/>
  <c r="E72" i="73"/>
  <c r="D72" i="73"/>
  <c r="P66" i="73"/>
  <c r="O66" i="73"/>
  <c r="N66" i="73"/>
  <c r="M66" i="73"/>
  <c r="L66" i="73"/>
  <c r="K66" i="73"/>
  <c r="J66" i="73"/>
  <c r="I66" i="73"/>
  <c r="H66" i="73"/>
  <c r="G66" i="73"/>
  <c r="F66" i="73"/>
  <c r="E66" i="73"/>
  <c r="C52" i="73"/>
  <c r="D52" i="73" s="1"/>
  <c r="E52" i="73" s="1"/>
  <c r="F52" i="73" s="1"/>
  <c r="G52" i="73" s="1"/>
  <c r="J43" i="73"/>
  <c r="J42" i="73" s="1"/>
  <c r="I43" i="73"/>
  <c r="E42" i="73"/>
  <c r="I42" i="73"/>
  <c r="H42" i="73"/>
  <c r="G42" i="73"/>
  <c r="F42" i="73"/>
  <c r="D42" i="73"/>
  <c r="C42" i="73"/>
  <c r="P35" i="73"/>
  <c r="O35" i="73"/>
  <c r="N35" i="73"/>
  <c r="M35" i="73"/>
  <c r="L35" i="73"/>
  <c r="K35" i="73"/>
  <c r="J35" i="73"/>
  <c r="I35" i="73"/>
  <c r="H35" i="73"/>
  <c r="G35" i="73"/>
  <c r="F35" i="73"/>
  <c r="E35" i="73"/>
  <c r="D35" i="73"/>
  <c r="C35" i="73"/>
  <c r="B18" i="73"/>
  <c r="B17" i="73"/>
  <c r="B15" i="73"/>
  <c r="B14" i="73"/>
  <c r="B12" i="73"/>
  <c r="P8" i="73"/>
  <c r="O8" i="73"/>
  <c r="N8" i="73"/>
  <c r="M8" i="73"/>
  <c r="L8" i="73"/>
  <c r="K8" i="73"/>
  <c r="J8" i="73"/>
  <c r="I8" i="73"/>
  <c r="H8" i="73"/>
  <c r="G8" i="73"/>
  <c r="F8" i="73"/>
  <c r="E8" i="73"/>
  <c r="C8" i="73"/>
  <c r="B5" i="73"/>
  <c r="B3" i="73"/>
  <c r="I2" i="73"/>
  <c r="J2" i="73" s="1"/>
  <c r="G2" i="73"/>
  <c r="F2" i="73"/>
  <c r="E2" i="73"/>
  <c r="D2" i="73"/>
  <c r="C2" i="73"/>
  <c r="C107" i="73" s="1"/>
  <c r="C156" i="73" s="1"/>
  <c r="B2" i="73"/>
  <c r="E125" i="73" l="1"/>
  <c r="E129" i="73" s="1"/>
  <c r="D82" i="73"/>
  <c r="D81" i="73" s="1"/>
  <c r="E91" i="73"/>
  <c r="J234" i="73"/>
  <c r="J207" i="73"/>
  <c r="J215" i="73"/>
  <c r="J202" i="73"/>
  <c r="J107" i="73"/>
  <c r="J156" i="73" s="1"/>
  <c r="K2" i="73"/>
  <c r="G234" i="73"/>
  <c r="G215" i="73"/>
  <c r="G207" i="73"/>
  <c r="G202" i="73"/>
  <c r="G107" i="73"/>
  <c r="G156" i="73" s="1"/>
  <c r="F234" i="73"/>
  <c r="F207" i="73"/>
  <c r="F202" i="73"/>
  <c r="F215" i="73"/>
  <c r="F107" i="73"/>
  <c r="F156" i="73" s="1"/>
  <c r="I234" i="73"/>
  <c r="I207" i="73"/>
  <c r="I215" i="73"/>
  <c r="I202" i="73"/>
  <c r="I107" i="73"/>
  <c r="I156" i="73" s="1"/>
  <c r="K43" i="73"/>
  <c r="F91" i="73"/>
  <c r="D215" i="73"/>
  <c r="D234" i="73"/>
  <c r="D207" i="73"/>
  <c r="D202" i="73"/>
  <c r="D107" i="73"/>
  <c r="D156" i="73" s="1"/>
  <c r="E234" i="73"/>
  <c r="E207" i="73"/>
  <c r="E215" i="73"/>
  <c r="E202" i="73"/>
  <c r="E107" i="73"/>
  <c r="E156" i="73" s="1"/>
  <c r="F111" i="73"/>
  <c r="G112" i="73"/>
  <c r="E111" i="73"/>
  <c r="F126" i="73"/>
  <c r="E136" i="73"/>
  <c r="H133" i="73"/>
  <c r="G136" i="73"/>
  <c r="G140" i="73"/>
  <c r="D129" i="73"/>
  <c r="D111" i="73"/>
  <c r="F136" i="73"/>
  <c r="F125" i="73" l="1"/>
  <c r="L43" i="73"/>
  <c r="K42" i="73"/>
  <c r="H92" i="73"/>
  <c r="G91" i="73"/>
  <c r="H140" i="73"/>
  <c r="G111" i="73"/>
  <c r="H112" i="73"/>
  <c r="K234" i="73"/>
  <c r="K215" i="73"/>
  <c r="K207" i="73"/>
  <c r="K202" i="73"/>
  <c r="K107" i="73"/>
  <c r="K156" i="73" s="1"/>
  <c r="L2" i="73"/>
  <c r="H136" i="73"/>
  <c r="I133" i="73"/>
  <c r="G125" i="73" l="1"/>
  <c r="F129" i="73"/>
  <c r="M43" i="73"/>
  <c r="L42" i="73"/>
  <c r="L215" i="73"/>
  <c r="L234" i="73"/>
  <c r="L207" i="73"/>
  <c r="L202" i="73"/>
  <c r="L107" i="73"/>
  <c r="L156" i="73" s="1"/>
  <c r="M2" i="73"/>
  <c r="I140" i="73"/>
  <c r="H91" i="73"/>
  <c r="I92" i="73"/>
  <c r="I136" i="73"/>
  <c r="J133" i="73"/>
  <c r="I112" i="73"/>
  <c r="H111" i="73"/>
  <c r="H125" i="73" l="1"/>
  <c r="J92" i="73"/>
  <c r="I91" i="73"/>
  <c r="J140" i="73"/>
  <c r="N43" i="73"/>
  <c r="M42" i="73"/>
  <c r="I111" i="73"/>
  <c r="J112" i="73"/>
  <c r="M234" i="73"/>
  <c r="M207" i="73"/>
  <c r="M215" i="73"/>
  <c r="M202" i="73"/>
  <c r="M107" i="73"/>
  <c r="M156" i="73" s="1"/>
  <c r="N2" i="73"/>
  <c r="J136" i="73"/>
  <c r="K133" i="73"/>
  <c r="I125" i="73" l="1"/>
  <c r="K140" i="73"/>
  <c r="N234" i="73"/>
  <c r="N207" i="73"/>
  <c r="N202" i="73"/>
  <c r="N215" i="73"/>
  <c r="N107" i="73"/>
  <c r="N156" i="73" s="1"/>
  <c r="O2" i="73"/>
  <c r="J111" i="73"/>
  <c r="K112" i="73"/>
  <c r="L133" i="73"/>
  <c r="K136" i="73"/>
  <c r="N42" i="73"/>
  <c r="O43" i="73"/>
  <c r="J91" i="73"/>
  <c r="K92" i="73"/>
  <c r="J125" i="73" l="1"/>
  <c r="K125" i="73" s="1"/>
  <c r="L125" i="73" s="1"/>
  <c r="P43" i="73"/>
  <c r="P42" i="73" s="1"/>
  <c r="O42" i="73"/>
  <c r="O234" i="73"/>
  <c r="O202" i="73"/>
  <c r="O215" i="73"/>
  <c r="O207" i="73"/>
  <c r="O107" i="73"/>
  <c r="O156" i="73" s="1"/>
  <c r="P2" i="73"/>
  <c r="L140" i="73"/>
  <c r="L92" i="73"/>
  <c r="K91" i="73"/>
  <c r="L112" i="73"/>
  <c r="K111" i="73"/>
  <c r="L136" i="73"/>
  <c r="M133" i="73"/>
  <c r="M136" i="73" l="1"/>
  <c r="N133" i="73"/>
  <c r="M112" i="73"/>
  <c r="L111" i="73"/>
  <c r="M125" i="73"/>
  <c r="L91" i="73"/>
  <c r="M92" i="73"/>
  <c r="M140" i="73"/>
  <c r="P215" i="73"/>
  <c r="P234" i="73"/>
  <c r="P207" i="73"/>
  <c r="P202" i="73"/>
  <c r="P107" i="73"/>
  <c r="P156" i="73" s="1"/>
  <c r="N125" i="73" l="1"/>
  <c r="M111" i="73"/>
  <c r="N112" i="73"/>
  <c r="N140" i="73"/>
  <c r="N136" i="73"/>
  <c r="O133" i="73"/>
  <c r="N92" i="73"/>
  <c r="M91" i="73"/>
  <c r="N111" i="73" l="1"/>
  <c r="O112" i="73"/>
  <c r="O92" i="73"/>
  <c r="N91" i="73"/>
  <c r="P133" i="73"/>
  <c r="P136" i="73" s="1"/>
  <c r="O136" i="73"/>
  <c r="O125" i="73"/>
  <c r="O140" i="73"/>
  <c r="P140" i="73" l="1"/>
  <c r="P92" i="73"/>
  <c r="P91" i="73" s="1"/>
  <c r="O91" i="73"/>
  <c r="O111" i="73"/>
  <c r="P112" i="73"/>
  <c r="P111" i="73" s="1"/>
  <c r="P125" i="73"/>
  <c r="E26" i="69" l="1"/>
  <c r="F26" i="69" s="1"/>
  <c r="G26" i="69" s="1"/>
  <c r="G28" i="69" s="1"/>
  <c r="D26" i="69"/>
  <c r="E91" i="68"/>
  <c r="E90" i="68"/>
  <c r="E89" i="68"/>
  <c r="E88" i="68"/>
  <c r="P83" i="68"/>
  <c r="P82" i="68"/>
  <c r="P81" i="68"/>
  <c r="P80" i="68"/>
  <c r="P79" i="68"/>
  <c r="V79" i="68" s="1"/>
  <c r="P78" i="68"/>
  <c r="V82" i="68"/>
  <c r="U82" i="68"/>
  <c r="W82" i="68" s="1"/>
  <c r="E85" i="68"/>
  <c r="E84" i="68"/>
  <c r="E83" i="68"/>
  <c r="E82" i="68"/>
  <c r="R80" i="68"/>
  <c r="E79" i="68"/>
  <c r="G79" i="68" s="1"/>
  <c r="E78" i="68"/>
  <c r="G78" i="68" s="1"/>
  <c r="E77" i="68"/>
  <c r="G77" i="68" s="1"/>
  <c r="E76" i="68"/>
  <c r="G76" i="68" s="1"/>
  <c r="V80" i="68"/>
  <c r="U80" i="68"/>
  <c r="W80" i="68" s="1"/>
  <c r="U79" i="68"/>
  <c r="W79" i="68" s="1"/>
  <c r="W78" i="68"/>
  <c r="V78" i="68"/>
  <c r="U78" i="68"/>
  <c r="A74" i="68"/>
  <c r="E73" i="68"/>
  <c r="G73" i="68" s="1"/>
  <c r="E72" i="68"/>
  <c r="G72" i="68" s="1"/>
  <c r="E71" i="68"/>
  <c r="G71" i="68" s="1"/>
  <c r="E70" i="68"/>
  <c r="G70" i="68" s="1"/>
  <c r="E67" i="68"/>
  <c r="G67" i="68" s="1"/>
  <c r="E66" i="68"/>
  <c r="G66" i="68" s="1"/>
  <c r="E65" i="68"/>
  <c r="G65" i="68" s="1"/>
  <c r="E64" i="68"/>
  <c r="G64" i="68" s="1"/>
  <c r="E61" i="68"/>
  <c r="G61" i="68" s="1"/>
  <c r="E60" i="68"/>
  <c r="G60" i="68" s="1"/>
  <c r="E59" i="68"/>
  <c r="G59" i="68" s="1"/>
  <c r="E58" i="68"/>
  <c r="G58" i="68" s="1"/>
  <c r="E55" i="68"/>
  <c r="G55" i="68" s="1"/>
  <c r="E54" i="68"/>
  <c r="G54" i="68" s="1"/>
  <c r="E53" i="68"/>
  <c r="G53" i="68" s="1"/>
  <c r="E52" i="68"/>
  <c r="G52" i="68" s="1"/>
  <c r="A50" i="68"/>
  <c r="E49" i="68"/>
  <c r="G49" i="68" s="1"/>
  <c r="E48" i="68"/>
  <c r="G48" i="68" s="1"/>
  <c r="E47" i="68"/>
  <c r="G47" i="68" s="1"/>
  <c r="E46" i="68"/>
  <c r="G46" i="68" s="1"/>
  <c r="E43" i="68"/>
  <c r="G43" i="68" s="1"/>
  <c r="E42" i="68"/>
  <c r="G42" i="68" s="1"/>
  <c r="E41" i="68"/>
  <c r="G41" i="68" s="1"/>
  <c r="E40" i="68"/>
  <c r="G40" i="68" s="1"/>
  <c r="E37" i="68"/>
  <c r="G37" i="68" s="1"/>
  <c r="E36" i="68"/>
  <c r="G36" i="68" s="1"/>
  <c r="E35" i="68"/>
  <c r="G35" i="68" s="1"/>
  <c r="E34" i="68"/>
  <c r="G34" i="68" s="1"/>
  <c r="E31" i="68"/>
  <c r="G31" i="68" s="1"/>
  <c r="E30" i="68"/>
  <c r="G30" i="68" s="1"/>
  <c r="G90" i="68" s="1"/>
  <c r="E29" i="68"/>
  <c r="G29" i="68" s="1"/>
  <c r="G89" i="68" s="1"/>
  <c r="E28" i="68"/>
  <c r="G28" i="68" s="1"/>
  <c r="G88" i="68" s="1"/>
  <c r="A26" i="68"/>
  <c r="E25" i="68"/>
  <c r="G25" i="68" s="1"/>
  <c r="E24" i="68"/>
  <c r="G24" i="68" s="1"/>
  <c r="E23" i="68"/>
  <c r="G23" i="68" s="1"/>
  <c r="E22" i="68"/>
  <c r="G22" i="68" s="1"/>
  <c r="E19" i="68"/>
  <c r="G19" i="68" s="1"/>
  <c r="E18" i="68"/>
  <c r="G18" i="68" s="1"/>
  <c r="E17" i="68"/>
  <c r="G17" i="68" s="1"/>
  <c r="E16" i="68"/>
  <c r="G16" i="68" s="1"/>
  <c r="E13" i="68"/>
  <c r="G13" i="68" s="1"/>
  <c r="E12" i="68"/>
  <c r="G12" i="68" s="1"/>
  <c r="E11" i="68"/>
  <c r="G11" i="68" s="1"/>
  <c r="E10" i="68"/>
  <c r="G10" i="68" s="1"/>
  <c r="E7" i="68"/>
  <c r="G7" i="68" s="1"/>
  <c r="E6" i="68"/>
  <c r="G6" i="68" s="1"/>
  <c r="E5" i="68"/>
  <c r="G5" i="68" s="1"/>
  <c r="E4" i="68"/>
  <c r="G4" i="68" s="1"/>
  <c r="Z160" i="61"/>
  <c r="Y160" i="61"/>
  <c r="X160" i="61"/>
  <c r="W160" i="61"/>
  <c r="V160" i="61"/>
  <c r="U160" i="61"/>
  <c r="X163" i="61"/>
  <c r="W163" i="61"/>
  <c r="V163" i="61"/>
  <c r="U163" i="61"/>
  <c r="T163" i="61"/>
  <c r="S163" i="61"/>
  <c r="L90" i="73"/>
  <c r="K90" i="73"/>
  <c r="J90" i="73"/>
  <c r="I90" i="73"/>
  <c r="H90" i="73"/>
  <c r="N9" i="79"/>
  <c r="O9" i="79" l="1"/>
  <c r="C9" i="79" s="1"/>
  <c r="T10" i="79"/>
  <c r="U10" i="79"/>
  <c r="R10" i="79"/>
  <c r="S10" i="79"/>
  <c r="S15" i="79"/>
  <c r="D224" i="73"/>
  <c r="O159" i="61"/>
  <c r="S160" i="61"/>
  <c r="E224" i="73"/>
  <c r="T165" i="61"/>
  <c r="T164" i="61"/>
  <c r="N159" i="61"/>
  <c r="AB159" i="61"/>
  <c r="P159" i="61"/>
  <c r="M159" i="61"/>
  <c r="S165" i="61"/>
  <c r="AA159" i="61"/>
  <c r="H27" i="69"/>
  <c r="H26" i="69"/>
  <c r="G91" i="68"/>
  <c r="Q160" i="61"/>
  <c r="U164" i="61"/>
  <c r="R160" i="61"/>
  <c r="O160" i="61"/>
  <c r="P160" i="61"/>
  <c r="T160" i="61"/>
  <c r="CF25" i="28" l="1"/>
  <c r="CC25" i="28"/>
  <c r="CE25" i="28"/>
  <c r="T49" i="79"/>
  <c r="S49" i="79"/>
  <c r="R49" i="79"/>
  <c r="D10" i="79"/>
  <c r="V49" i="79"/>
  <c r="U49" i="79"/>
  <c r="O48" i="79"/>
  <c r="P48" i="79"/>
  <c r="P8" i="79"/>
  <c r="S36" i="79"/>
  <c r="S52" i="79"/>
  <c r="U15" i="79"/>
  <c r="T15" i="79"/>
  <c r="T8" i="79"/>
  <c r="AA8" i="79"/>
  <c r="S8" i="79"/>
  <c r="V8" i="79"/>
  <c r="R8" i="79"/>
  <c r="Q8" i="79"/>
  <c r="N8" i="79"/>
  <c r="W8" i="79"/>
  <c r="U8" i="79"/>
  <c r="Z8" i="79"/>
  <c r="X8" i="79"/>
  <c r="F82" i="68"/>
  <c r="G82" i="68" s="1"/>
  <c r="F83" i="68"/>
  <c r="G83" i="68" s="1"/>
  <c r="Q115" i="30"/>
  <c r="CD25" i="28" l="1"/>
  <c r="CE27" i="28" s="1"/>
  <c r="CC26" i="28"/>
  <c r="CB57" i="29"/>
  <c r="BY115" i="30"/>
  <c r="Q25" i="28"/>
  <c r="CC27" i="28"/>
  <c r="CC60" i="28"/>
  <c r="CC30" i="28"/>
  <c r="CC35" i="28"/>
  <c r="CC42" i="28"/>
  <c r="CC19" i="28"/>
  <c r="BY63" i="30"/>
  <c r="CC52" i="28"/>
  <c r="CC51" i="28"/>
  <c r="BY125" i="30"/>
  <c r="CC13" i="28"/>
  <c r="CG26" i="28"/>
  <c r="BO11" i="28"/>
  <c r="BK11" i="28"/>
  <c r="CE35" i="28"/>
  <c r="CA115" i="30"/>
  <c r="CE60" i="28"/>
  <c r="CE30" i="28"/>
  <c r="CE52" i="28"/>
  <c r="CE42" i="28"/>
  <c r="R25" i="28"/>
  <c r="CE19" i="28"/>
  <c r="CE51" i="28"/>
  <c r="CE26" i="28"/>
  <c r="CA125" i="30"/>
  <c r="CA63" i="30"/>
  <c r="CE13" i="28"/>
  <c r="CF35" i="28"/>
  <c r="CE57" i="29"/>
  <c r="CB115" i="30"/>
  <c r="CB125" i="30"/>
  <c r="CF52" i="28"/>
  <c r="CF60" i="28"/>
  <c r="CF19" i="28"/>
  <c r="CF27" i="28"/>
  <c r="CF30" i="28"/>
  <c r="CF51" i="28"/>
  <c r="CF42" i="28"/>
  <c r="CF26" i="28"/>
  <c r="CB63" i="30"/>
  <c r="CF13" i="28"/>
  <c r="CG27" i="28"/>
  <c r="C117" i="73"/>
  <c r="C118" i="73"/>
  <c r="D15" i="79"/>
  <c r="D8" i="79"/>
  <c r="U36" i="79"/>
  <c r="U52" i="79"/>
  <c r="V52" i="79"/>
  <c r="AC36" i="79"/>
  <c r="AC52" i="79"/>
  <c r="T36" i="79"/>
  <c r="D36" i="79" s="1"/>
  <c r="T52" i="79"/>
  <c r="Q42" i="79"/>
  <c r="Q43" i="79"/>
  <c r="Q46" i="79"/>
  <c r="AA46" i="79"/>
  <c r="AA42" i="79"/>
  <c r="AA43" i="79"/>
  <c r="Y8" i="79"/>
  <c r="E8" i="79" s="1"/>
  <c r="X43" i="79"/>
  <c r="X46" i="79"/>
  <c r="X42" i="79"/>
  <c r="N46" i="79"/>
  <c r="N42" i="79"/>
  <c r="N43" i="79"/>
  <c r="V42" i="79"/>
  <c r="V43" i="79"/>
  <c r="V46" i="79"/>
  <c r="U46" i="79"/>
  <c r="U43" i="79"/>
  <c r="U42" i="79"/>
  <c r="W43" i="79"/>
  <c r="W42" i="79"/>
  <c r="W46" i="79"/>
  <c r="R42" i="79"/>
  <c r="R46" i="79"/>
  <c r="R43" i="79"/>
  <c r="S43" i="79"/>
  <c r="S42" i="79"/>
  <c r="S46" i="79"/>
  <c r="P46" i="79"/>
  <c r="P42" i="79"/>
  <c r="P43" i="79"/>
  <c r="O8" i="79"/>
  <c r="C8" i="79" s="1"/>
  <c r="Z46" i="79"/>
  <c r="Z42" i="79"/>
  <c r="Z43" i="79"/>
  <c r="T42" i="79"/>
  <c r="T46" i="79"/>
  <c r="T43" i="79"/>
  <c r="BD4" i="61"/>
  <c r="BA4" i="61"/>
  <c r="U165" i="61"/>
  <c r="BC4" i="61"/>
  <c r="F224" i="73"/>
  <c r="BJ11" i="28" l="1"/>
  <c r="CE78" i="28"/>
  <c r="CE54" i="28"/>
  <c r="CE53" i="28"/>
  <c r="CI53" i="28"/>
  <c r="BO13" i="28"/>
  <c r="BO12" i="28"/>
  <c r="BS12" i="28"/>
  <c r="CC54" i="28"/>
  <c r="CC78" i="28"/>
  <c r="CC53" i="28"/>
  <c r="CG53" i="28"/>
  <c r="Q30" i="28"/>
  <c r="Q35" i="28"/>
  <c r="Q57" i="29"/>
  <c r="Q42" i="28"/>
  <c r="Q26" i="28"/>
  <c r="Q19" i="28"/>
  <c r="Q60" i="28"/>
  <c r="Q63" i="30"/>
  <c r="Q52" i="28"/>
  <c r="Q125" i="30"/>
  <c r="Q51" i="28"/>
  <c r="CB116" i="30"/>
  <c r="CB146" i="30"/>
  <c r="CE78" i="29"/>
  <c r="CE77" i="29"/>
  <c r="CB65" i="30"/>
  <c r="CB81" i="30" s="1"/>
  <c r="CB88" i="30" s="1"/>
  <c r="CF61" i="28"/>
  <c r="CF63" i="28"/>
  <c r="BD5" i="61" s="1"/>
  <c r="CF62" i="28"/>
  <c r="CH89" i="29"/>
  <c r="CH96" i="29" s="1"/>
  <c r="CJ61" i="28"/>
  <c r="CG62" i="28"/>
  <c r="R57" i="29"/>
  <c r="R52" i="28"/>
  <c r="R30" i="28"/>
  <c r="R19" i="28"/>
  <c r="R42" i="28"/>
  <c r="R72" i="28"/>
  <c r="R35" i="28"/>
  <c r="R51" i="28"/>
  <c r="R60" i="28"/>
  <c r="R125" i="30"/>
  <c r="R63" i="30"/>
  <c r="CA146" i="30"/>
  <c r="CA65" i="30"/>
  <c r="CA81" i="30" s="1"/>
  <c r="CA116" i="30"/>
  <c r="CD78" i="29"/>
  <c r="CD77" i="29"/>
  <c r="CE63" i="28"/>
  <c r="CG89" i="29"/>
  <c r="CG96" i="29" s="1"/>
  <c r="CE61" i="28"/>
  <c r="CI61" i="28"/>
  <c r="BK13" i="28"/>
  <c r="BK12" i="28"/>
  <c r="CD27" i="28"/>
  <c r="CC57" i="29"/>
  <c r="BZ115" i="30"/>
  <c r="CD26" i="28"/>
  <c r="CD42" i="28"/>
  <c r="CD60" i="28"/>
  <c r="CD89" i="29" s="1"/>
  <c r="CD96" i="29" s="1"/>
  <c r="CD35" i="28"/>
  <c r="CH26" i="28"/>
  <c r="CD19" i="28"/>
  <c r="CD30" i="28"/>
  <c r="BZ63" i="30"/>
  <c r="CD13" i="28"/>
  <c r="CD52" i="28"/>
  <c r="BZ125" i="30"/>
  <c r="CD51" i="28"/>
  <c r="CF78" i="28"/>
  <c r="CF54" i="28"/>
  <c r="CF53" i="28"/>
  <c r="CJ53" i="28"/>
  <c r="BY116" i="30"/>
  <c r="BY146" i="30"/>
  <c r="CC89" i="29"/>
  <c r="CC96" i="29" s="1"/>
  <c r="CB78" i="29"/>
  <c r="CB77" i="29"/>
  <c r="BY65" i="30"/>
  <c r="BY81" i="30" s="1"/>
  <c r="CE89" i="29"/>
  <c r="CE96" i="29" s="1"/>
  <c r="CC62" i="28"/>
  <c r="CC63" i="28"/>
  <c r="BA5" i="61" s="1"/>
  <c r="CB89" i="29"/>
  <c r="CB96" i="29" s="1"/>
  <c r="CC61" i="28"/>
  <c r="CG61" i="28"/>
  <c r="BA96" i="28"/>
  <c r="AZ96" i="28"/>
  <c r="E95" i="79"/>
  <c r="D93" i="79"/>
  <c r="D95" i="79"/>
  <c r="E93" i="79"/>
  <c r="C46" i="79"/>
  <c r="C43" i="79"/>
  <c r="C42" i="79"/>
  <c r="E46" i="79"/>
  <c r="E43" i="79"/>
  <c r="E42" i="79"/>
  <c r="D46" i="79"/>
  <c r="D42" i="79"/>
  <c r="D43" i="79"/>
  <c r="AA13" i="79"/>
  <c r="AA88" i="79" s="1"/>
  <c r="Z13" i="79"/>
  <c r="V13" i="79"/>
  <c r="V88" i="79" s="1"/>
  <c r="X13" i="79"/>
  <c r="X88" i="79" s="1"/>
  <c r="W13" i="79"/>
  <c r="W88" i="79" s="1"/>
  <c r="Q13" i="79"/>
  <c r="N13" i="79"/>
  <c r="O13" i="79"/>
  <c r="O46" i="79"/>
  <c r="O42" i="79"/>
  <c r="O43" i="79"/>
  <c r="Y43" i="79"/>
  <c r="Y46" i="79"/>
  <c r="Y42" i="79"/>
  <c r="BC5" i="61"/>
  <c r="V165" i="61"/>
  <c r="BB4" i="61"/>
  <c r="F84" i="68"/>
  <c r="G84" i="68" s="1"/>
  <c r="O53" i="79" l="1"/>
  <c r="BO14" i="28"/>
  <c r="BY88" i="30"/>
  <c r="CD53" i="28"/>
  <c r="CD54" i="28"/>
  <c r="CD78" i="28"/>
  <c r="CH53" i="28"/>
  <c r="CA88" i="30"/>
  <c r="R81" i="30"/>
  <c r="R88" i="30" s="1"/>
  <c r="R104" i="30" s="1"/>
  <c r="R89" i="29"/>
  <c r="R96" i="29" s="1"/>
  <c r="R77" i="29"/>
  <c r="R146" i="30"/>
  <c r="R78" i="29"/>
  <c r="R63" i="28"/>
  <c r="R65" i="30"/>
  <c r="R71" i="29"/>
  <c r="R61" i="28"/>
  <c r="R116" i="30"/>
  <c r="S61" i="28"/>
  <c r="CC80" i="28"/>
  <c r="CC79" i="28"/>
  <c r="BY150" i="30"/>
  <c r="BY154" i="30" s="1"/>
  <c r="CC84" i="28"/>
  <c r="CC82" i="28"/>
  <c r="CG79" i="28"/>
  <c r="AD8" i="79"/>
  <c r="AD9" i="79" s="1"/>
  <c r="CB150" i="30"/>
  <c r="CB154" i="30" s="1"/>
  <c r="CF80" i="28"/>
  <c r="CF82" i="28"/>
  <c r="CF84" i="28"/>
  <c r="CF79" i="28"/>
  <c r="Q54" i="28"/>
  <c r="Q78" i="28"/>
  <c r="Q53" i="28"/>
  <c r="CA150" i="30"/>
  <c r="CA154" i="30" s="1"/>
  <c r="CE84" i="28"/>
  <c r="CE79" i="28"/>
  <c r="CE82" i="28"/>
  <c r="CE80" i="28"/>
  <c r="BN11" i="28"/>
  <c r="BJ13" i="28"/>
  <c r="BJ12" i="28"/>
  <c r="BZ116" i="30"/>
  <c r="BZ146" i="30"/>
  <c r="BZ65" i="30"/>
  <c r="BZ81" i="30" s="1"/>
  <c r="BZ88" i="30" s="1"/>
  <c r="CF89" i="29"/>
  <c r="CF96" i="29" s="1"/>
  <c r="CC78" i="29"/>
  <c r="CC77" i="29"/>
  <c r="CD63" i="28"/>
  <c r="CH61" i="28"/>
  <c r="CD62" i="28"/>
  <c r="CD61" i="28"/>
  <c r="CE62" i="28"/>
  <c r="R78" i="28"/>
  <c r="R54" i="28"/>
  <c r="R53" i="28"/>
  <c r="S53" i="28"/>
  <c r="CB104" i="30"/>
  <c r="Q146" i="30"/>
  <c r="Q77" i="29"/>
  <c r="Q89" i="29"/>
  <c r="Q96" i="29" s="1"/>
  <c r="Q65" i="30"/>
  <c r="Q78" i="29"/>
  <c r="Q71" i="29"/>
  <c r="Q116" i="30"/>
  <c r="Q63" i="28"/>
  <c r="Q61" i="28"/>
  <c r="BB96" i="28"/>
  <c r="Y13" i="79"/>
  <c r="Y16" i="79" s="1"/>
  <c r="Y17" i="79" s="1"/>
  <c r="AD10" i="79"/>
  <c r="AD44" i="79"/>
  <c r="Q88" i="79"/>
  <c r="Q11" i="79"/>
  <c r="Q12" i="79" s="1"/>
  <c r="AA53" i="79"/>
  <c r="AA31" i="79"/>
  <c r="AA32" i="79" s="1"/>
  <c r="W11" i="79"/>
  <c r="W44" i="79" s="1"/>
  <c r="N14" i="79"/>
  <c r="Z88" i="79"/>
  <c r="Z31" i="79"/>
  <c r="Z32" i="79" s="1"/>
  <c r="V31" i="79"/>
  <c r="V32" i="79" s="1"/>
  <c r="Z14" i="79"/>
  <c r="AA14" i="79"/>
  <c r="V11" i="79"/>
  <c r="Z16" i="79"/>
  <c r="Z17" i="79" s="1"/>
  <c r="AA11" i="79"/>
  <c r="AA44" i="79" s="1"/>
  <c r="V14" i="79"/>
  <c r="Z11" i="79"/>
  <c r="AA16" i="79"/>
  <c r="AA17" i="79" s="1"/>
  <c r="AB53" i="79"/>
  <c r="W31" i="79"/>
  <c r="W32" i="79" s="1"/>
  <c r="W14" i="79"/>
  <c r="W53" i="79"/>
  <c r="W16" i="79"/>
  <c r="W17" i="79" s="1"/>
  <c r="CE115" i="30"/>
  <c r="V16" i="79"/>
  <c r="V17" i="79" s="1"/>
  <c r="N16" i="79"/>
  <c r="N17" i="79" s="1"/>
  <c r="R115" i="30"/>
  <c r="X14" i="79"/>
  <c r="O16" i="79"/>
  <c r="O17" i="79" s="1"/>
  <c r="R13" i="79"/>
  <c r="R11" i="79" s="1"/>
  <c r="X16" i="79"/>
  <c r="X17" i="79" s="1"/>
  <c r="Z53" i="79"/>
  <c r="X53" i="79"/>
  <c r="X11" i="79"/>
  <c r="Y53" i="79"/>
  <c r="X31" i="79"/>
  <c r="X32" i="79" s="1"/>
  <c r="N31" i="79"/>
  <c r="N34" i="79" s="1"/>
  <c r="O14" i="79"/>
  <c r="Q16" i="79"/>
  <c r="Q17" i="79" s="1"/>
  <c r="O11" i="79"/>
  <c r="O44" i="79" s="1"/>
  <c r="N11" i="79"/>
  <c r="O88" i="79"/>
  <c r="N88" i="79"/>
  <c r="O31" i="79"/>
  <c r="O34" i="79" s="1"/>
  <c r="Q31" i="79"/>
  <c r="Q32" i="79" s="1"/>
  <c r="Q14" i="79"/>
  <c r="T13" i="79"/>
  <c r="P13" i="79"/>
  <c r="C13" i="79" s="1"/>
  <c r="C16" i="79" s="1"/>
  <c r="C17" i="79" s="1"/>
  <c r="AC8" i="79"/>
  <c r="S13" i="79"/>
  <c r="S11" i="79" s="1"/>
  <c r="U13" i="79"/>
  <c r="G224" i="73"/>
  <c r="BE4" i="61"/>
  <c r="W165" i="61"/>
  <c r="BB5" i="61"/>
  <c r="V164" i="61"/>
  <c r="BI11" i="28"/>
  <c r="BH11" i="28"/>
  <c r="AY96" i="28"/>
  <c r="Y88" i="79" l="1"/>
  <c r="Y14" i="79"/>
  <c r="Y11" i="79"/>
  <c r="Y12" i="79" s="1"/>
  <c r="Y31" i="79"/>
  <c r="Y34" i="79" s="1"/>
  <c r="Y37" i="79" s="1"/>
  <c r="Y38" i="79" s="1"/>
  <c r="BI12" i="28"/>
  <c r="BI13" i="28"/>
  <c r="AE8" i="79"/>
  <c r="AE9" i="79" s="1"/>
  <c r="R150" i="30"/>
  <c r="R154" i="30" s="1"/>
  <c r="R84" i="28"/>
  <c r="R82" i="28"/>
  <c r="R80" i="28"/>
  <c r="R136" i="28"/>
  <c r="R79" i="28"/>
  <c r="CE91" i="28"/>
  <c r="CE92" i="28" s="1"/>
  <c r="CE119" i="28"/>
  <c r="CE93" i="28"/>
  <c r="CE87" i="28"/>
  <c r="BO16" i="28"/>
  <c r="BO15" i="28"/>
  <c r="CC106" i="30"/>
  <c r="BZ104" i="30"/>
  <c r="BN13" i="28"/>
  <c r="BN12" i="28"/>
  <c r="BR12" i="28"/>
  <c r="CA104" i="30"/>
  <c r="CD106" i="30"/>
  <c r="CF93" i="28"/>
  <c r="CF119" i="28"/>
  <c r="CF91" i="28"/>
  <c r="CF92" i="28" s="1"/>
  <c r="CF87" i="28"/>
  <c r="CC91" i="28"/>
  <c r="CC87" i="28"/>
  <c r="CC119" i="28"/>
  <c r="CC93" i="28"/>
  <c r="Q81" i="30"/>
  <c r="Q88" i="30" s="1"/>
  <c r="Q104" i="30" s="1"/>
  <c r="BS14" i="28"/>
  <c r="BH12" i="28"/>
  <c r="BH13" i="28"/>
  <c r="L11" i="28"/>
  <c r="L12" i="28" s="1"/>
  <c r="Q150" i="30"/>
  <c r="Q154" i="30" s="1"/>
  <c r="Q82" i="28"/>
  <c r="Q80" i="28"/>
  <c r="Q84" i="28"/>
  <c r="Q79" i="28"/>
  <c r="Q136" i="28"/>
  <c r="CD79" i="28"/>
  <c r="CD84" i="28"/>
  <c r="BZ150" i="30"/>
  <c r="BZ154" i="30" s="1"/>
  <c r="CD80" i="28"/>
  <c r="CD82" i="28"/>
  <c r="CH79" i="28"/>
  <c r="BY104" i="30"/>
  <c r="BZ106" i="30"/>
  <c r="CB106" i="30"/>
  <c r="CA106" i="30"/>
  <c r="BY106" i="30"/>
  <c r="BD96" i="28"/>
  <c r="R53" i="79"/>
  <c r="F8" i="79"/>
  <c r="AC10" i="79"/>
  <c r="AD49" i="79" s="1"/>
  <c r="AC9" i="79"/>
  <c r="AD12" i="79"/>
  <c r="AD33" i="79"/>
  <c r="W12" i="79"/>
  <c r="W45" i="79" s="1"/>
  <c r="AA34" i="79"/>
  <c r="AA35" i="79" s="1"/>
  <c r="U88" i="79"/>
  <c r="U11" i="79"/>
  <c r="T88" i="79"/>
  <c r="T11" i="79"/>
  <c r="T12" i="79" s="1"/>
  <c r="C31" i="79"/>
  <c r="C34" i="79" s="1"/>
  <c r="C14" i="79"/>
  <c r="X50" i="79"/>
  <c r="W50" i="79"/>
  <c r="V44" i="79"/>
  <c r="AA12" i="79"/>
  <c r="AB50" i="79"/>
  <c r="S88" i="79"/>
  <c r="N44" i="79"/>
  <c r="R16" i="79"/>
  <c r="R17" i="79" s="1"/>
  <c r="D13" i="79"/>
  <c r="Z44" i="79"/>
  <c r="F11" i="79"/>
  <c r="V34" i="79"/>
  <c r="V35" i="79" s="1"/>
  <c r="Z34" i="79"/>
  <c r="Z35" i="79" s="1"/>
  <c r="W34" i="79"/>
  <c r="W35" i="79" s="1"/>
  <c r="Z12" i="79"/>
  <c r="Z45" i="79" s="1"/>
  <c r="V12" i="79"/>
  <c r="AA50" i="79"/>
  <c r="R31" i="79"/>
  <c r="R32" i="79" s="1"/>
  <c r="Z50" i="79"/>
  <c r="X44" i="79"/>
  <c r="Y45" i="79"/>
  <c r="R14" i="79"/>
  <c r="CF115" i="30"/>
  <c r="X12" i="79"/>
  <c r="Y51" i="79" s="1"/>
  <c r="R88" i="79"/>
  <c r="Q44" i="79"/>
  <c r="X34" i="79"/>
  <c r="X35" i="79" s="1"/>
  <c r="O32" i="79"/>
  <c r="Q34" i="79"/>
  <c r="Q37" i="79" s="1"/>
  <c r="Q38" i="79" s="1"/>
  <c r="O50" i="79"/>
  <c r="N32" i="79"/>
  <c r="T14" i="79"/>
  <c r="N12" i="79"/>
  <c r="T31" i="79"/>
  <c r="T32" i="79" s="1"/>
  <c r="T16" i="79"/>
  <c r="T17" i="79" s="1"/>
  <c r="O12" i="79"/>
  <c r="O45" i="79" s="1"/>
  <c r="Q45" i="79"/>
  <c r="Y35" i="79"/>
  <c r="N35" i="79"/>
  <c r="N37" i="79"/>
  <c r="N38" i="79" s="1"/>
  <c r="O35" i="79"/>
  <c r="O37" i="79"/>
  <c r="O38" i="79" s="1"/>
  <c r="P88" i="79"/>
  <c r="P16" i="79"/>
  <c r="P17" i="79" s="1"/>
  <c r="P14" i="79"/>
  <c r="P53" i="79"/>
  <c r="P31" i="79"/>
  <c r="P11" i="79"/>
  <c r="C11" i="79" s="1"/>
  <c r="Q53" i="79"/>
  <c r="S53" i="79"/>
  <c r="U53" i="79"/>
  <c r="V53" i="79"/>
  <c r="T53" i="79"/>
  <c r="AC46" i="79"/>
  <c r="AC44" i="79"/>
  <c r="U16" i="79"/>
  <c r="U31" i="79"/>
  <c r="U32" i="79" s="1"/>
  <c r="S16" i="79"/>
  <c r="S31" i="79"/>
  <c r="S32" i="79" s="1"/>
  <c r="S14" i="79"/>
  <c r="U14" i="79"/>
  <c r="H224" i="73"/>
  <c r="W164" i="61"/>
  <c r="X165" i="61"/>
  <c r="BC96" i="28"/>
  <c r="Y32" i="79" l="1"/>
  <c r="Y44" i="79"/>
  <c r="E11" i="79"/>
  <c r="E12" i="79" s="1"/>
  <c r="E13" i="79" s="1"/>
  <c r="E96" i="79" s="1"/>
  <c r="Y50" i="79"/>
  <c r="AE44" i="79"/>
  <c r="BR14" i="28"/>
  <c r="BL11" i="28"/>
  <c r="AE10" i="79"/>
  <c r="Q137" i="28"/>
  <c r="Q132" i="28" s="1"/>
  <c r="Q133" i="28" s="1"/>
  <c r="R131" i="28" s="1"/>
  <c r="R137" i="28" s="1"/>
  <c r="R132" i="28" s="1"/>
  <c r="BY72" i="30"/>
  <c r="BY76" i="30" s="1"/>
  <c r="BY80" i="30" s="1"/>
  <c r="CC89" i="28"/>
  <c r="CC88" i="28"/>
  <c r="CG88" i="28"/>
  <c r="CB72" i="30"/>
  <c r="CB76" i="30" s="1"/>
  <c r="CB80" i="30" s="1"/>
  <c r="CF89" i="28"/>
  <c r="CF88" i="28"/>
  <c r="BW14" i="28"/>
  <c r="BN14" i="28"/>
  <c r="CD87" i="28"/>
  <c r="CD91" i="28"/>
  <c r="CD93" i="28"/>
  <c r="CD119" i="28"/>
  <c r="Q119" i="28"/>
  <c r="Q108" i="29"/>
  <c r="Q87" i="28"/>
  <c r="CC6" i="28"/>
  <c r="CK7" i="31" s="1"/>
  <c r="CC94" i="28"/>
  <c r="CC7" i="28" s="1"/>
  <c r="CG94" i="28"/>
  <c r="CG7" i="28" s="1"/>
  <c r="CA72" i="30"/>
  <c r="CA76" i="30" s="1"/>
  <c r="CA80" i="30" s="1"/>
  <c r="CE88" i="28"/>
  <c r="CE89" i="28"/>
  <c r="R108" i="29"/>
  <c r="R87" i="28"/>
  <c r="R119" i="28"/>
  <c r="BM11" i="28"/>
  <c r="BS16" i="28"/>
  <c r="BS15" i="28"/>
  <c r="CC92" i="28"/>
  <c r="CG92" i="28"/>
  <c r="BM14" i="28"/>
  <c r="CF6" i="28"/>
  <c r="CN7" i="31" s="1"/>
  <c r="CF94" i="28"/>
  <c r="CF7" i="28" s="1"/>
  <c r="CE6" i="28"/>
  <c r="CM7" i="31" s="1"/>
  <c r="CE94" i="28"/>
  <c r="CE7" i="28" s="1"/>
  <c r="J96" i="28"/>
  <c r="BE96" i="28"/>
  <c r="Z51" i="79"/>
  <c r="D16" i="79"/>
  <c r="D17" i="79" s="1"/>
  <c r="D96" i="79"/>
  <c r="E223" i="73"/>
  <c r="F46" i="79"/>
  <c r="F93" i="79"/>
  <c r="F95" i="79"/>
  <c r="AE49" i="79"/>
  <c r="AD45" i="79"/>
  <c r="AD13" i="79"/>
  <c r="AD14" i="79" s="1"/>
  <c r="F9" i="79"/>
  <c r="F42" i="79" s="1"/>
  <c r="AC48" i="79"/>
  <c r="AD48" i="79"/>
  <c r="F10" i="79"/>
  <c r="F43" i="79" s="1"/>
  <c r="AC49" i="79"/>
  <c r="AE48" i="79"/>
  <c r="AE12" i="79"/>
  <c r="AE33" i="79"/>
  <c r="AA37" i="79"/>
  <c r="AA38" i="79" s="1"/>
  <c r="C32" i="79"/>
  <c r="C44" i="79"/>
  <c r="C12" i="79"/>
  <c r="F44" i="79"/>
  <c r="W51" i="79"/>
  <c r="D31" i="79"/>
  <c r="D34" i="79" s="1"/>
  <c r="D14" i="79"/>
  <c r="V37" i="79"/>
  <c r="V38" i="79" s="1"/>
  <c r="AA45" i="79"/>
  <c r="AB51" i="79"/>
  <c r="E44" i="79"/>
  <c r="T44" i="79"/>
  <c r="Z37" i="79"/>
  <c r="Z38" i="79" s="1"/>
  <c r="AA51" i="79"/>
  <c r="V45" i="79"/>
  <c r="X45" i="79"/>
  <c r="C35" i="79"/>
  <c r="C37" i="79"/>
  <c r="C38" i="79" s="1"/>
  <c r="N45" i="79"/>
  <c r="R50" i="79"/>
  <c r="D11" i="79"/>
  <c r="W37" i="79"/>
  <c r="W38" i="79" s="1"/>
  <c r="R34" i="79"/>
  <c r="R35" i="79" s="1"/>
  <c r="D222" i="73"/>
  <c r="X51" i="79"/>
  <c r="X37" i="79"/>
  <c r="X38" i="79" s="1"/>
  <c r="S50" i="79"/>
  <c r="R12" i="79"/>
  <c r="R44" i="79"/>
  <c r="Q35" i="79"/>
  <c r="T34" i="79"/>
  <c r="T35" i="79" s="1"/>
  <c r="O51" i="79"/>
  <c r="P44" i="79"/>
  <c r="P50" i="79"/>
  <c r="P12" i="79"/>
  <c r="Q50" i="79"/>
  <c r="P32" i="79"/>
  <c r="P34" i="79"/>
  <c r="U34" i="79"/>
  <c r="U35" i="79" s="1"/>
  <c r="S34" i="79"/>
  <c r="S35" i="79" s="1"/>
  <c r="U50" i="79"/>
  <c r="V50" i="79"/>
  <c r="T45" i="79"/>
  <c r="T50" i="79"/>
  <c r="S17" i="79"/>
  <c r="U17" i="79"/>
  <c r="S12" i="79"/>
  <c r="S44" i="79"/>
  <c r="U12" i="79"/>
  <c r="U44" i="79"/>
  <c r="AC12" i="79"/>
  <c r="I224" i="73"/>
  <c r="D221" i="73"/>
  <c r="X164" i="61"/>
  <c r="F85" i="68"/>
  <c r="G85" i="68" s="1"/>
  <c r="BE5" i="61"/>
  <c r="CI14" i="28"/>
  <c r="CA14" i="28"/>
  <c r="CA7" i="30" l="1"/>
  <c r="CM8" i="31"/>
  <c r="CC7" i="30"/>
  <c r="CO8" i="31"/>
  <c r="CB7" i="30"/>
  <c r="CN8" i="31"/>
  <c r="BY7" i="30"/>
  <c r="CK8" i="31"/>
  <c r="R138" i="28"/>
  <c r="BM15" i="28"/>
  <c r="M14" i="28"/>
  <c r="BM16" i="28"/>
  <c r="R72" i="30"/>
  <c r="R76" i="30" s="1"/>
  <c r="R80" i="30" s="1"/>
  <c r="R89" i="28"/>
  <c r="R93" i="28"/>
  <c r="R91" i="28"/>
  <c r="R88" i="28"/>
  <c r="BR15" i="28"/>
  <c r="BR16" i="28"/>
  <c r="CA6" i="30"/>
  <c r="R113" i="29"/>
  <c r="R114" i="29" s="1"/>
  <c r="R115" i="29" s="1"/>
  <c r="Q91" i="28"/>
  <c r="Q92" i="28" s="1"/>
  <c r="Q93" i="28"/>
  <c r="Q88" i="28"/>
  <c r="Q72" i="30"/>
  <c r="Q76" i="30" s="1"/>
  <c r="Q80" i="30" s="1"/>
  <c r="Q89" i="28"/>
  <c r="CD94" i="28"/>
  <c r="CD7" i="28" s="1"/>
  <c r="CD6" i="28"/>
  <c r="CL7" i="31" s="1"/>
  <c r="CH94" i="28"/>
  <c r="CH7" i="28" s="1"/>
  <c r="BN15" i="28"/>
  <c r="BN16" i="28"/>
  <c r="BQ14" i="28"/>
  <c r="CA16" i="28"/>
  <c r="CA15" i="28"/>
  <c r="BP11" i="28"/>
  <c r="BM13" i="28"/>
  <c r="BM12" i="28"/>
  <c r="BQ12" i="28"/>
  <c r="Q113" i="29"/>
  <c r="Q114" i="29" s="1"/>
  <c r="Q115" i="29" s="1"/>
  <c r="CD92" i="28"/>
  <c r="CH92" i="28"/>
  <c r="BW16" i="28"/>
  <c r="BW15" i="28"/>
  <c r="Q138" i="28"/>
  <c r="BL13" i="28"/>
  <c r="BL12" i="28"/>
  <c r="M11" i="28"/>
  <c r="BV14" i="28"/>
  <c r="CI16" i="28"/>
  <c r="AF8" i="79"/>
  <c r="AF10" i="79" s="1"/>
  <c r="CB6" i="30"/>
  <c r="BY6" i="30"/>
  <c r="CD89" i="28"/>
  <c r="BZ72" i="30"/>
  <c r="BZ76" i="30" s="1"/>
  <c r="BZ80" i="30" s="1"/>
  <c r="CD88" i="28"/>
  <c r="CH88" i="28"/>
  <c r="BH96" i="28"/>
  <c r="BI96" i="28"/>
  <c r="BJ96" i="28"/>
  <c r="BF96" i="28"/>
  <c r="D74" i="79"/>
  <c r="D75" i="79" s="1"/>
  <c r="D98" i="79"/>
  <c r="AF9" i="79"/>
  <c r="F12" i="79"/>
  <c r="F13" i="79" s="1"/>
  <c r="F16" i="79" s="1"/>
  <c r="F17" i="79" s="1"/>
  <c r="AE51" i="79"/>
  <c r="AE13" i="79"/>
  <c r="AE45" i="79"/>
  <c r="C45" i="79"/>
  <c r="D32" i="79"/>
  <c r="E31" i="79"/>
  <c r="E32" i="79" s="1"/>
  <c r="E16" i="79"/>
  <c r="E17" i="79" s="1"/>
  <c r="D44" i="79"/>
  <c r="D12" i="79"/>
  <c r="D45" i="79" s="1"/>
  <c r="E14" i="79"/>
  <c r="E45" i="79"/>
  <c r="D35" i="79"/>
  <c r="D37" i="79"/>
  <c r="D38" i="79" s="1"/>
  <c r="R37" i="79"/>
  <c r="R38" i="79" s="1"/>
  <c r="AD51" i="79"/>
  <c r="D223" i="73"/>
  <c r="D225" i="73" s="1"/>
  <c r="CH115" i="30"/>
  <c r="CG115" i="30"/>
  <c r="R45" i="79"/>
  <c r="R51" i="79"/>
  <c r="T37" i="79"/>
  <c r="T38" i="79" s="1"/>
  <c r="P45" i="79"/>
  <c r="P51" i="79"/>
  <c r="Q51" i="79"/>
  <c r="P35" i="79"/>
  <c r="P37" i="79"/>
  <c r="P38" i="79" s="1"/>
  <c r="AC51" i="79"/>
  <c r="U37" i="79"/>
  <c r="U38" i="79" s="1"/>
  <c r="S37" i="79"/>
  <c r="S38" i="79" s="1"/>
  <c r="S45" i="79"/>
  <c r="S51" i="79"/>
  <c r="T51" i="79"/>
  <c r="U45" i="79"/>
  <c r="U51" i="79"/>
  <c r="V51" i="79"/>
  <c r="AC13" i="79"/>
  <c r="AC45" i="79"/>
  <c r="J224" i="73"/>
  <c r="E221" i="73"/>
  <c r="C5" i="73"/>
  <c r="AF44" i="79" l="1"/>
  <c r="BZ7" i="30"/>
  <c r="CL8" i="31"/>
  <c r="CD7" i="30"/>
  <c r="CP8" i="31"/>
  <c r="Q6" i="28"/>
  <c r="R7" i="31" s="1"/>
  <c r="Q94" i="28"/>
  <c r="Q7" i="28" s="1"/>
  <c r="R8" i="31" s="1"/>
  <c r="BQ15" i="28"/>
  <c r="BQ16" i="28"/>
  <c r="R92" i="28"/>
  <c r="BU14" i="28"/>
  <c r="AG8" i="79"/>
  <c r="BV15" i="28"/>
  <c r="BV16" i="28"/>
  <c r="M13" i="28"/>
  <c r="M12" i="28"/>
  <c r="R6" i="28"/>
  <c r="S7" i="31" s="1"/>
  <c r="R94" i="28"/>
  <c r="R7" i="28" s="1"/>
  <c r="S8" i="31" s="1"/>
  <c r="M15" i="28"/>
  <c r="M16" i="28"/>
  <c r="CE14" i="28"/>
  <c r="BZ14" i="28"/>
  <c r="BP13" i="28"/>
  <c r="BP12" i="28"/>
  <c r="BT12" i="28"/>
  <c r="N11" i="28"/>
  <c r="BZ6" i="30"/>
  <c r="K96" i="28"/>
  <c r="AG10" i="79"/>
  <c r="G10" i="79" s="1"/>
  <c r="AG44" i="79"/>
  <c r="CH14" i="28"/>
  <c r="F45" i="79"/>
  <c r="E222" i="73"/>
  <c r="E225" i="73" s="1"/>
  <c r="AF33" i="79"/>
  <c r="AF12" i="79"/>
  <c r="AF48" i="79"/>
  <c r="AF49" i="79"/>
  <c r="F96" i="79"/>
  <c r="AE53" i="79"/>
  <c r="AE14" i="79"/>
  <c r="AG33" i="79"/>
  <c r="H8" i="79"/>
  <c r="E34" i="79"/>
  <c r="AD53" i="79"/>
  <c r="F14" i="79"/>
  <c r="S115" i="30"/>
  <c r="BF4" i="61"/>
  <c r="AC88" i="79"/>
  <c r="AC16" i="79"/>
  <c r="AC17" i="79" s="1"/>
  <c r="AC53" i="79"/>
  <c r="AC14" i="79"/>
  <c r="C50" i="73"/>
  <c r="K224" i="73"/>
  <c r="F221" i="73"/>
  <c r="BY14" i="28"/>
  <c r="BP14" i="28" l="1"/>
  <c r="N12" i="28"/>
  <c r="N13" i="28"/>
  <c r="O12" i="28"/>
  <c r="BZ15" i="28"/>
  <c r="BZ16" i="28"/>
  <c r="BU16" i="28"/>
  <c r="BU15" i="28"/>
  <c r="CH16" i="28"/>
  <c r="Q7" i="29"/>
  <c r="Q7" i="30"/>
  <c r="BY16" i="28"/>
  <c r="BY15" i="28"/>
  <c r="CE16" i="28"/>
  <c r="CE15" i="28"/>
  <c r="CI15" i="28"/>
  <c r="R7" i="29"/>
  <c r="R7" i="30"/>
  <c r="Q6" i="29"/>
  <c r="Q6" i="30"/>
  <c r="CD14" i="28"/>
  <c r="E4" i="73"/>
  <c r="T115" i="30"/>
  <c r="R6" i="29"/>
  <c r="R6" i="30"/>
  <c r="AG9" i="79"/>
  <c r="AG12" i="79" s="1"/>
  <c r="G8" i="79"/>
  <c r="G43" i="79" s="1"/>
  <c r="H43" i="79" s="1"/>
  <c r="AG49" i="79"/>
  <c r="G33" i="79"/>
  <c r="H33" i="79" s="1"/>
  <c r="I33" i="79" s="1"/>
  <c r="J33" i="79" s="1"/>
  <c r="K33" i="79" s="1"/>
  <c r="L33" i="79" s="1"/>
  <c r="F223" i="73"/>
  <c r="G223" i="73"/>
  <c r="F222" i="73"/>
  <c r="E74" i="79"/>
  <c r="E98" i="79"/>
  <c r="AF45" i="79"/>
  <c r="AF13" i="79"/>
  <c r="AF51" i="79"/>
  <c r="D4" i="73"/>
  <c r="H9" i="79"/>
  <c r="H44" i="79"/>
  <c r="E37" i="79"/>
  <c r="E38" i="79" s="1"/>
  <c r="E35" i="79"/>
  <c r="C4" i="73"/>
  <c r="L224" i="73"/>
  <c r="G221" i="73"/>
  <c r="AG45" i="79" l="1"/>
  <c r="AG13" i="79"/>
  <c r="AG14" i="79" s="1"/>
  <c r="AG51" i="79"/>
  <c r="H93" i="79"/>
  <c r="I43" i="79"/>
  <c r="J43" i="79" s="1"/>
  <c r="K43" i="79" s="1"/>
  <c r="L43" i="79" s="1"/>
  <c r="H10" i="79"/>
  <c r="BP16" i="28"/>
  <c r="BP15" i="28"/>
  <c r="N14" i="28"/>
  <c r="CD15" i="28"/>
  <c r="CD16" i="28"/>
  <c r="CC14" i="28"/>
  <c r="G46" i="79"/>
  <c r="H46" i="79" s="1"/>
  <c r="G93" i="79"/>
  <c r="G44" i="79"/>
  <c r="CH15" i="28"/>
  <c r="BT14" i="28"/>
  <c r="G9" i="79"/>
  <c r="AG48" i="79"/>
  <c r="F225" i="73"/>
  <c r="I8" i="79"/>
  <c r="I93" i="79" s="1"/>
  <c r="G222" i="73"/>
  <c r="G225" i="73" s="1"/>
  <c r="E75" i="79"/>
  <c r="E99" i="79"/>
  <c r="AF14" i="79"/>
  <c r="AF53" i="79"/>
  <c r="AG53" i="79"/>
  <c r="V115" i="30"/>
  <c r="J8" i="79"/>
  <c r="H12" i="79"/>
  <c r="CG14" i="28"/>
  <c r="CL14" i="28"/>
  <c r="M224" i="73"/>
  <c r="H221" i="73"/>
  <c r="BX14" i="28" l="1"/>
  <c r="CC15" i="28"/>
  <c r="CC16" i="28"/>
  <c r="Q11" i="28"/>
  <c r="CL15" i="28"/>
  <c r="CL16" i="28"/>
  <c r="G42" i="79"/>
  <c r="J42" i="79" s="1"/>
  <c r="K42" i="79" s="1"/>
  <c r="L42" i="79" s="1"/>
  <c r="G12" i="79"/>
  <c r="F4" i="73"/>
  <c r="U115" i="30"/>
  <c r="I46" i="79"/>
  <c r="J46" i="79" s="1"/>
  <c r="K46" i="79" s="1"/>
  <c r="L46" i="79" s="1"/>
  <c r="H15" i="79"/>
  <c r="N15" i="28"/>
  <c r="N16" i="28"/>
  <c r="CG15" i="28"/>
  <c r="CG16" i="28"/>
  <c r="BT15" i="28"/>
  <c r="BT16" i="28"/>
  <c r="O14" i="28"/>
  <c r="P14" i="28"/>
  <c r="I9" i="79"/>
  <c r="I44" i="79"/>
  <c r="I10" i="79"/>
  <c r="H223" i="73"/>
  <c r="I223" i="73"/>
  <c r="H222" i="73"/>
  <c r="J93" i="79"/>
  <c r="I12" i="79"/>
  <c r="I45" i="79" s="1"/>
  <c r="G4" i="73"/>
  <c r="W115" i="30"/>
  <c r="K8" i="79"/>
  <c r="H45" i="79"/>
  <c r="H13" i="79"/>
  <c r="J10" i="79"/>
  <c r="J9" i="79"/>
  <c r="J44" i="79"/>
  <c r="N224" i="73"/>
  <c r="I221" i="73"/>
  <c r="D5" i="73"/>
  <c r="CB14" i="28"/>
  <c r="J15" i="79" l="1"/>
  <c r="I15" i="79"/>
  <c r="P16" i="28"/>
  <c r="P15" i="28"/>
  <c r="G45" i="79"/>
  <c r="G13" i="79"/>
  <c r="Q12" i="28"/>
  <c r="Q13" i="28"/>
  <c r="CK14" i="28"/>
  <c r="CB15" i="28"/>
  <c r="CB16" i="28"/>
  <c r="R11" i="28"/>
  <c r="BX16" i="28"/>
  <c r="BX15" i="28"/>
  <c r="O15" i="28"/>
  <c r="O16" i="28"/>
  <c r="H96" i="79"/>
  <c r="H225" i="73"/>
  <c r="I222" i="73"/>
  <c r="I225" i="73" s="1"/>
  <c r="K93" i="79"/>
  <c r="I13" i="79"/>
  <c r="I96" i="79" s="1"/>
  <c r="H4" i="73"/>
  <c r="J12" i="79"/>
  <c r="H16" i="79"/>
  <c r="H17" i="79" s="1"/>
  <c r="H14" i="79"/>
  <c r="K10" i="79"/>
  <c r="K9" i="79"/>
  <c r="K15" i="79"/>
  <c r="K44" i="79"/>
  <c r="X115" i="30"/>
  <c r="L8" i="79"/>
  <c r="O224" i="73"/>
  <c r="J221" i="73"/>
  <c r="I4" i="73"/>
  <c r="S11" i="28" l="1"/>
  <c r="CF14" i="28"/>
  <c r="CK15" i="28"/>
  <c r="CK16" i="28"/>
  <c r="G96" i="79"/>
  <c r="G16" i="79"/>
  <c r="G17" i="79" s="1"/>
  <c r="G14" i="79"/>
  <c r="R12" i="28"/>
  <c r="R13" i="28"/>
  <c r="Q14" i="28"/>
  <c r="J223" i="73"/>
  <c r="J222" i="73"/>
  <c r="K223" i="73"/>
  <c r="I16" i="79"/>
  <c r="I17" i="79" s="1"/>
  <c r="K12" i="79"/>
  <c r="K45" i="79" s="1"/>
  <c r="I14" i="79"/>
  <c r="L10" i="79"/>
  <c r="L44" i="79"/>
  <c r="L9" i="79"/>
  <c r="L15" i="79"/>
  <c r="J45" i="79"/>
  <c r="J13" i="79"/>
  <c r="J96" i="79" s="1"/>
  <c r="CJ14" i="28"/>
  <c r="P224" i="73"/>
  <c r="I5" i="73"/>
  <c r="K221" i="73"/>
  <c r="H5" i="73"/>
  <c r="T11" i="28" l="1"/>
  <c r="CF15" i="28"/>
  <c r="CF16" i="28"/>
  <c r="S13" i="28"/>
  <c r="S12" i="28"/>
  <c r="CJ15" i="28"/>
  <c r="CJ16" i="28"/>
  <c r="Q15" i="28"/>
  <c r="Q16" i="28"/>
  <c r="J4" i="73"/>
  <c r="J5" i="73" s="1"/>
  <c r="K13" i="79"/>
  <c r="K96" i="79" s="1"/>
  <c r="J225" i="73"/>
  <c r="K222" i="73"/>
  <c r="K225" i="73" s="1"/>
  <c r="L12" i="79"/>
  <c r="J16" i="79"/>
  <c r="J17" i="79" s="1"/>
  <c r="J14" i="79"/>
  <c r="L221" i="73"/>
  <c r="K4" i="73"/>
  <c r="C106" i="67"/>
  <c r="U11" i="28" l="1"/>
  <c r="T12" i="28"/>
  <c r="T13" i="28"/>
  <c r="R14" i="28"/>
  <c r="S14" i="28"/>
  <c r="K16" i="79"/>
  <c r="K17" i="79" s="1"/>
  <c r="K14" i="79"/>
  <c r="L222" i="73"/>
  <c r="L223" i="73"/>
  <c r="M223" i="73"/>
  <c r="L45" i="79"/>
  <c r="L13" i="79"/>
  <c r="K5" i="73"/>
  <c r="M221" i="73"/>
  <c r="C7" i="73"/>
  <c r="U12" i="28" l="1"/>
  <c r="U13" i="28"/>
  <c r="V11" i="28"/>
  <c r="R15" i="28"/>
  <c r="R16" i="28"/>
  <c r="T14" i="28"/>
  <c r="S15" i="28"/>
  <c r="S16" i="28"/>
  <c r="L4" i="73"/>
  <c r="L5" i="73" s="1"/>
  <c r="L225" i="73"/>
  <c r="D106" i="67"/>
  <c r="M222" i="73"/>
  <c r="M225" i="73" s="1"/>
  <c r="L14" i="79"/>
  <c r="L16" i="79"/>
  <c r="L17" i="79" s="1"/>
  <c r="N221" i="73"/>
  <c r="W11" i="28" l="1"/>
  <c r="V12" i="28"/>
  <c r="V13" i="28"/>
  <c r="T15" i="28"/>
  <c r="T16" i="28"/>
  <c r="U14" i="28"/>
  <c r="M4" i="73"/>
  <c r="N222" i="73"/>
  <c r="O223" i="73"/>
  <c r="N223" i="73"/>
  <c r="O221" i="73"/>
  <c r="M5" i="73"/>
  <c r="W12" i="28" l="1"/>
  <c r="W13" i="28"/>
  <c r="X11" i="28"/>
  <c r="U15" i="28"/>
  <c r="U16" i="28"/>
  <c r="V14" i="28"/>
  <c r="N225" i="73"/>
  <c r="O222" i="73"/>
  <c r="O225" i="73" s="1"/>
  <c r="N4" i="73"/>
  <c r="N5" i="73" s="1"/>
  <c r="P221" i="73"/>
  <c r="X12" i="28" l="1"/>
  <c r="X13" i="28"/>
  <c r="V15" i="28"/>
  <c r="V16" i="28"/>
  <c r="W14" i="28"/>
  <c r="O4" i="73"/>
  <c r="O5" i="73" s="1"/>
  <c r="P222" i="73"/>
  <c r="P223" i="73"/>
  <c r="P4" i="73"/>
  <c r="W15" i="28" l="1"/>
  <c r="W16" i="28"/>
  <c r="X14" i="28"/>
  <c r="P225" i="73"/>
  <c r="P5" i="73"/>
  <c r="X15" i="28" l="1"/>
  <c r="X16" i="28"/>
  <c r="C6" i="73" l="1"/>
  <c r="C9" i="73" l="1"/>
  <c r="C1" i="73"/>
  <c r="E91" i="67" l="1"/>
  <c r="D91" i="67"/>
  <c r="C91" i="67"/>
  <c r="D130" i="67"/>
  <c r="C130" i="67"/>
  <c r="E130" i="67"/>
  <c r="E86" i="67" l="1"/>
  <c r="E105" i="67" s="1"/>
  <c r="E110" i="67" s="1"/>
  <c r="E116" i="67" s="1"/>
  <c r="F86" i="67"/>
  <c r="F105" i="67"/>
  <c r="F110" i="67" s="1"/>
  <c r="F116" i="67" s="1"/>
  <c r="E59" i="67"/>
  <c r="F59" i="67"/>
  <c r="U58" i="61" l="1"/>
  <c r="C86" i="67"/>
  <c r="C105" i="67" s="1"/>
  <c r="C110" i="67" s="1"/>
  <c r="C116" i="67" s="1"/>
  <c r="D59" i="67"/>
  <c r="D86" i="67"/>
  <c r="D105" i="67" s="1"/>
  <c r="D110" i="67" s="1"/>
  <c r="D116" i="67" s="1"/>
  <c r="AD59" i="61"/>
  <c r="AC59" i="61"/>
  <c r="AB59" i="61"/>
  <c r="AA59" i="61"/>
  <c r="N13" i="67"/>
  <c r="N14" i="67" s="1"/>
  <c r="N15" i="67" s="1"/>
  <c r="N16" i="67" s="1"/>
  <c r="N17" i="67" s="1"/>
  <c r="N18" i="67" s="1"/>
  <c r="N19" i="67" s="1"/>
  <c r="N20" i="67" s="1"/>
  <c r="N21" i="67" s="1"/>
  <c r="N22" i="67" s="1"/>
  <c r="B21" i="67"/>
  <c r="C9" i="67"/>
  <c r="AK4" i="63"/>
  <c r="AL4" i="63"/>
  <c r="AM4" i="63"/>
  <c r="AP4" i="63"/>
  <c r="AK5" i="63"/>
  <c r="AL5" i="63"/>
  <c r="AM5" i="63"/>
  <c r="AP5" i="63"/>
  <c r="AO15" i="63" s="1"/>
  <c r="AK6" i="63"/>
  <c r="AL6" i="63"/>
  <c r="AM6" i="63"/>
  <c r="AP6" i="63"/>
  <c r="F9" i="63"/>
  <c r="G9" i="63"/>
  <c r="K9" i="63"/>
  <c r="Q9" i="63"/>
  <c r="AD9" i="63"/>
  <c r="AH9" i="63"/>
  <c r="AP9" i="63"/>
  <c r="AP14" i="63" s="1"/>
  <c r="F10" i="63"/>
  <c r="K10" i="63"/>
  <c r="Q10" i="63"/>
  <c r="AD10" i="63"/>
  <c r="AH10" i="63"/>
  <c r="AP10" i="63"/>
  <c r="F11" i="63"/>
  <c r="G11" i="63"/>
  <c r="G14" i="63" s="1"/>
  <c r="G73" i="63" s="1"/>
  <c r="K11" i="63"/>
  <c r="Q11" i="63"/>
  <c r="Q14" i="63" s="1"/>
  <c r="R16" i="63"/>
  <c r="AD11" i="63"/>
  <c r="AD14" i="63"/>
  <c r="AH11" i="63"/>
  <c r="AH14" i="63"/>
  <c r="AP11" i="63"/>
  <c r="F12" i="63"/>
  <c r="G12" i="63"/>
  <c r="H12" i="63" s="1"/>
  <c r="H60" i="63" s="1"/>
  <c r="K12" i="63"/>
  <c r="Q12" i="63"/>
  <c r="AD12" i="63"/>
  <c r="AH12" i="63"/>
  <c r="AP12" i="63"/>
  <c r="C14" i="63"/>
  <c r="K14" i="63"/>
  <c r="O14" i="63"/>
  <c r="P14" i="63"/>
  <c r="AF14" i="63"/>
  <c r="AG14" i="63"/>
  <c r="AN14" i="63"/>
  <c r="AO14" i="63"/>
  <c r="O15" i="63"/>
  <c r="P15" i="63"/>
  <c r="F16" i="63"/>
  <c r="O16" i="63"/>
  <c r="P16" i="63"/>
  <c r="Q16" i="63"/>
  <c r="B18" i="63"/>
  <c r="C18" i="63"/>
  <c r="D18" i="63"/>
  <c r="E18" i="63"/>
  <c r="F18" i="63"/>
  <c r="Y18" i="63"/>
  <c r="AB18" i="63"/>
  <c r="AC18" i="63"/>
  <c r="AD18" i="63"/>
  <c r="B21" i="63"/>
  <c r="C21" i="63"/>
  <c r="D21" i="63"/>
  <c r="D19" i="63" s="1"/>
  <c r="E21" i="63"/>
  <c r="E19" i="63" s="1"/>
  <c r="F21" i="63"/>
  <c r="F19" i="63" s="1"/>
  <c r="Y21" i="63"/>
  <c r="AB21" i="63"/>
  <c r="AB19" i="63"/>
  <c r="AC21" i="63"/>
  <c r="AC19" i="63"/>
  <c r="AD21" i="63"/>
  <c r="AD19" i="63"/>
  <c r="AO22" i="63"/>
  <c r="AS22" i="63"/>
  <c r="AO23" i="63"/>
  <c r="AO30" i="63" s="1"/>
  <c r="AS23" i="63"/>
  <c r="AO24" i="63"/>
  <c r="AS24" i="63"/>
  <c r="Z25" i="63"/>
  <c r="AA25" i="63"/>
  <c r="AA27" i="63" s="1"/>
  <c r="AD25" i="63"/>
  <c r="AE25" i="63"/>
  <c r="AE27" i="63" s="1"/>
  <c r="AO25" i="63"/>
  <c r="AO32" i="63" s="1"/>
  <c r="AS25" i="63"/>
  <c r="Z26" i="63"/>
  <c r="AA26" i="63"/>
  <c r="AD26" i="63"/>
  <c r="AD47" i="63" s="1"/>
  <c r="AE26" i="63"/>
  <c r="Z27" i="63"/>
  <c r="AD27" i="63"/>
  <c r="AO29" i="63"/>
  <c r="AD30" i="63"/>
  <c r="AF30" i="63"/>
  <c r="AH30" i="63"/>
  <c r="AG30" i="63"/>
  <c r="AD31" i="63"/>
  <c r="AF31" i="63"/>
  <c r="AG31" i="63"/>
  <c r="AO31" i="63"/>
  <c r="AD32" i="63"/>
  <c r="AD36" i="63" s="1"/>
  <c r="AF32" i="63"/>
  <c r="AH32" i="63" s="1"/>
  <c r="AG32" i="63"/>
  <c r="AD33" i="63"/>
  <c r="AF33" i="63"/>
  <c r="AH33" i="63" s="1"/>
  <c r="AG33" i="63"/>
  <c r="AG55" i="63" s="1"/>
  <c r="AH55" i="63" s="1"/>
  <c r="AF35" i="63"/>
  <c r="Y39" i="63"/>
  <c r="AB39" i="63"/>
  <c r="AC39" i="63"/>
  <c r="AD39" i="63"/>
  <c r="AB40" i="63"/>
  <c r="Y42" i="63"/>
  <c r="AB42" i="63"/>
  <c r="AC42" i="63"/>
  <c r="AC40" i="63"/>
  <c r="Z46" i="63"/>
  <c r="AA46" i="63"/>
  <c r="AD46" i="63"/>
  <c r="AE46" i="63"/>
  <c r="Z47" i="63"/>
  <c r="AA47" i="63"/>
  <c r="AE47" i="63"/>
  <c r="Z48" i="63"/>
  <c r="AA48" i="63"/>
  <c r="AE48" i="63"/>
  <c r="Y52" i="63"/>
  <c r="AD52" i="63"/>
  <c r="AF52" i="63"/>
  <c r="AH52" i="63"/>
  <c r="AG52" i="63"/>
  <c r="Y53" i="63"/>
  <c r="AD53" i="63"/>
  <c r="AF53" i="63"/>
  <c r="AG53" i="63"/>
  <c r="Y54" i="63"/>
  <c r="AD54" i="63"/>
  <c r="AD58" i="63" s="1"/>
  <c r="AF54" i="63"/>
  <c r="AF58" i="63" s="1"/>
  <c r="Y55" i="63"/>
  <c r="AD55" i="63"/>
  <c r="AF55" i="63"/>
  <c r="F56" i="63"/>
  <c r="F60" i="63"/>
  <c r="Y61" i="63"/>
  <c r="AB61" i="63"/>
  <c r="AC61" i="63"/>
  <c r="AD61" i="63"/>
  <c r="C63" i="63"/>
  <c r="D63" i="63"/>
  <c r="G63" i="63"/>
  <c r="H63" i="63"/>
  <c r="I63" i="63"/>
  <c r="D64" i="63"/>
  <c r="E64" i="63"/>
  <c r="F64" i="63"/>
  <c r="I64" i="63"/>
  <c r="J64" i="63"/>
  <c r="K64" i="63"/>
  <c r="Y64" i="63"/>
  <c r="AB64" i="63"/>
  <c r="AB62" i="63"/>
  <c r="AC64" i="63"/>
  <c r="AC62" i="63" s="1"/>
  <c r="AD64" i="63"/>
  <c r="AD62" i="63" s="1"/>
  <c r="B65" i="63"/>
  <c r="B77" i="63" s="1"/>
  <c r="C65" i="63"/>
  <c r="D65" i="63"/>
  <c r="E65" i="63"/>
  <c r="F65" i="63" s="1"/>
  <c r="F77" i="63" s="1"/>
  <c r="G65" i="63"/>
  <c r="I65" i="63"/>
  <c r="K65" i="63" s="1"/>
  <c r="H65" i="63" s="1"/>
  <c r="H77" i="63" s="1"/>
  <c r="J65" i="63"/>
  <c r="B66" i="63"/>
  <c r="D66" i="63"/>
  <c r="E66" i="63"/>
  <c r="F66" i="63" s="1"/>
  <c r="I66" i="63"/>
  <c r="K66" i="63" s="1"/>
  <c r="J66" i="63"/>
  <c r="B67" i="63"/>
  <c r="B79" i="63" s="1"/>
  <c r="C67" i="63"/>
  <c r="D67" i="63"/>
  <c r="D79" i="63" s="1"/>
  <c r="D69" i="63" s="1"/>
  <c r="E67" i="63"/>
  <c r="E79" i="63" s="1"/>
  <c r="G67" i="63"/>
  <c r="G79" i="63" s="1"/>
  <c r="G69" i="63" s="1"/>
  <c r="I67" i="63"/>
  <c r="K67" i="63" s="1"/>
  <c r="J67" i="63"/>
  <c r="B71" i="63"/>
  <c r="C71" i="63"/>
  <c r="D71" i="63"/>
  <c r="E71" i="63"/>
  <c r="F71" i="63"/>
  <c r="G71" i="63"/>
  <c r="I71" i="63"/>
  <c r="K71" i="63" s="1"/>
  <c r="H71" i="63" s="1"/>
  <c r="J71" i="63"/>
  <c r="B73" i="63"/>
  <c r="C73" i="63"/>
  <c r="B74" i="63"/>
  <c r="B75" i="63"/>
  <c r="C77" i="63"/>
  <c r="D77" i="63"/>
  <c r="G77" i="63"/>
  <c r="C79" i="63"/>
  <c r="G84" i="63"/>
  <c r="D84" i="63" s="1"/>
  <c r="G85" i="63"/>
  <c r="D85" i="63" s="1"/>
  <c r="G86" i="63"/>
  <c r="G87" i="63" s="1"/>
  <c r="C87" i="63"/>
  <c r="G89" i="63"/>
  <c r="D89" i="63" s="1"/>
  <c r="G7" i="60"/>
  <c r="G16" i="60" s="1"/>
  <c r="G23" i="60" s="1"/>
  <c r="K7" i="60"/>
  <c r="G8" i="60"/>
  <c r="K8" i="60"/>
  <c r="G9" i="60"/>
  <c r="G19" i="60" s="1"/>
  <c r="K9" i="60"/>
  <c r="K12" i="60" s="1"/>
  <c r="G10" i="60"/>
  <c r="G27" i="60" s="1"/>
  <c r="K10" i="60"/>
  <c r="B16" i="60"/>
  <c r="E16" i="60"/>
  <c r="F16" i="60"/>
  <c r="B19" i="60"/>
  <c r="E19" i="60"/>
  <c r="E17" i="60" s="1"/>
  <c r="F19" i="60"/>
  <c r="F17" i="60" s="1"/>
  <c r="C30" i="60"/>
  <c r="D30" i="60"/>
  <c r="E30" i="60"/>
  <c r="H30" i="60"/>
  <c r="I30" i="60"/>
  <c r="E31" i="60"/>
  <c r="F31" i="60"/>
  <c r="G31" i="60"/>
  <c r="I31" i="60"/>
  <c r="J31" i="60"/>
  <c r="K31" i="60"/>
  <c r="B32" i="60"/>
  <c r="E32" i="60"/>
  <c r="F32" i="60"/>
  <c r="G32" i="60"/>
  <c r="G44" i="60" s="1"/>
  <c r="I32" i="60"/>
  <c r="J32" i="60"/>
  <c r="K32" i="60"/>
  <c r="B33" i="60"/>
  <c r="E33" i="60"/>
  <c r="F33" i="60"/>
  <c r="G33" i="60" s="1"/>
  <c r="I33" i="60"/>
  <c r="K33" i="60" s="1"/>
  <c r="J33" i="60"/>
  <c r="B34" i="60"/>
  <c r="E34" i="60"/>
  <c r="G34" i="60" s="1"/>
  <c r="F34" i="60"/>
  <c r="I34" i="60"/>
  <c r="K34" i="60" s="1"/>
  <c r="K40" i="60" s="1"/>
  <c r="J34" i="60"/>
  <c r="B38" i="60"/>
  <c r="E38" i="60"/>
  <c r="G38" i="60" s="1"/>
  <c r="F38" i="60"/>
  <c r="I38" i="60"/>
  <c r="J38" i="60"/>
  <c r="K38" i="60"/>
  <c r="B40" i="60"/>
  <c r="B41" i="60"/>
  <c r="B42" i="60"/>
  <c r="B44" i="60"/>
  <c r="E44" i="60"/>
  <c r="F44" i="60"/>
  <c r="F36" i="60" s="1"/>
  <c r="B46" i="60"/>
  <c r="F46" i="60"/>
  <c r="D51" i="60"/>
  <c r="E51" i="60" s="1"/>
  <c r="D52" i="60"/>
  <c r="E52" i="60" s="1"/>
  <c r="D53" i="60"/>
  <c r="D54" i="60" s="1"/>
  <c r="C54" i="60"/>
  <c r="D56" i="60"/>
  <c r="E56" i="60" s="1"/>
  <c r="H5" i="38"/>
  <c r="I5" i="38"/>
  <c r="J5" i="38"/>
  <c r="K5" i="38"/>
  <c r="L5" i="38"/>
  <c r="M5" i="38"/>
  <c r="N5" i="38"/>
  <c r="O5" i="38"/>
  <c r="P5" i="38"/>
  <c r="Q5" i="38"/>
  <c r="R5" i="38"/>
  <c r="S5" i="38"/>
  <c r="BB5" i="38"/>
  <c r="BC5" i="38"/>
  <c r="BD5" i="38"/>
  <c r="BE5" i="38"/>
  <c r="BF5" i="38"/>
  <c r="BG5" i="38"/>
  <c r="BH5" i="38"/>
  <c r="BI5" i="38"/>
  <c r="BJ5" i="38"/>
  <c r="BK5" i="38"/>
  <c r="BL5" i="38"/>
  <c r="BM5" i="38"/>
  <c r="BN5" i="38"/>
  <c r="BO5" i="38"/>
  <c r="BP5" i="38"/>
  <c r="BQ5" i="38"/>
  <c r="BR5" i="38"/>
  <c r="BS5" i="38"/>
  <c r="BT5" i="38"/>
  <c r="BU5" i="38"/>
  <c r="BV5" i="38"/>
  <c r="BW5" i="38"/>
  <c r="BX5" i="38"/>
  <c r="BY5" i="38"/>
  <c r="BZ5" i="38"/>
  <c r="CA5" i="38"/>
  <c r="CB5" i="38"/>
  <c r="CC5" i="38"/>
  <c r="CD5" i="38"/>
  <c r="CE5" i="38"/>
  <c r="CF5" i="38"/>
  <c r="CG5" i="38"/>
  <c r="CH5" i="38"/>
  <c r="CI5" i="38"/>
  <c r="CJ5" i="38"/>
  <c r="CK5" i="38"/>
  <c r="CL5" i="38"/>
  <c r="J9" i="38"/>
  <c r="P9" i="38"/>
  <c r="Q9" i="38"/>
  <c r="S9" i="38"/>
  <c r="BK38" i="38"/>
  <c r="BL38" i="38"/>
  <c r="BO10" i="38"/>
  <c r="BQ10" i="38"/>
  <c r="BS10" i="38"/>
  <c r="BU10" i="38"/>
  <c r="BZ10" i="38"/>
  <c r="CA10" i="38"/>
  <c r="CK9" i="38"/>
  <c r="R9" i="38" s="1"/>
  <c r="R10" i="38" s="1"/>
  <c r="Q10" i="38"/>
  <c r="CD10" i="38"/>
  <c r="CE10" i="38"/>
  <c r="CF10" i="38"/>
  <c r="CG10" i="38"/>
  <c r="CH10" i="38"/>
  <c r="CI10" i="38"/>
  <c r="CJ10" i="38"/>
  <c r="CL10" i="38"/>
  <c r="J12" i="38"/>
  <c r="J14" i="38"/>
  <c r="BT55" i="37"/>
  <c r="BU13" i="38"/>
  <c r="BZ13" i="38"/>
  <c r="BY13" i="38"/>
  <c r="CK12" i="38"/>
  <c r="CD13" i="38"/>
  <c r="CE13" i="38"/>
  <c r="CF13" i="38"/>
  <c r="CG13" i="38"/>
  <c r="CH13" i="38"/>
  <c r="CI13" i="38"/>
  <c r="CJ13" i="38"/>
  <c r="CK13" i="38"/>
  <c r="CL13" i="38"/>
  <c r="CA14" i="38"/>
  <c r="CB14" i="38"/>
  <c r="CC14" i="38"/>
  <c r="CD14" i="38"/>
  <c r="CE14" i="38"/>
  <c r="CF14" i="38"/>
  <c r="CG14" i="38"/>
  <c r="CH14" i="38"/>
  <c r="CI14" i="38"/>
  <c r="CJ14" i="38"/>
  <c r="CK14" i="38"/>
  <c r="CL14" i="38"/>
  <c r="BZ17" i="38"/>
  <c r="CA17" i="38"/>
  <c r="CB17" i="38"/>
  <c r="CC17" i="38"/>
  <c r="CD17" i="38"/>
  <c r="CE17" i="38"/>
  <c r="Q17" i="38" s="1"/>
  <c r="Q12" i="38" s="1"/>
  <c r="CF17" i="38"/>
  <c r="CG17" i="38"/>
  <c r="CH17" i="38"/>
  <c r="CI17" i="38"/>
  <c r="CJ17" i="38"/>
  <c r="CK17" i="38"/>
  <c r="R17" i="38" s="1"/>
  <c r="R12" i="38" s="1"/>
  <c r="CL17" i="38"/>
  <c r="S17" i="38"/>
  <c r="S12" i="38" s="1"/>
  <c r="BJ19" i="38"/>
  <c r="BK16" i="38" s="1"/>
  <c r="BK19" i="38"/>
  <c r="BL16" i="38" s="1"/>
  <c r="BL19" i="38"/>
  <c r="BM19" i="38"/>
  <c r="BN16" i="38"/>
  <c r="BN19" i="38"/>
  <c r="BO16" i="38" s="1"/>
  <c r="BO19" i="38"/>
  <c r="BP16" i="38" s="1"/>
  <c r="BP19" i="38"/>
  <c r="BQ19" i="38"/>
  <c r="BR16" i="38" s="1"/>
  <c r="BR19" i="38"/>
  <c r="BS19" i="38"/>
  <c r="BT16" i="38" s="1"/>
  <c r="BT19" i="38"/>
  <c r="BU19" i="38"/>
  <c r="BV16" i="38"/>
  <c r="BV19" i="38"/>
  <c r="BW16" i="38" s="1"/>
  <c r="BW19" i="38"/>
  <c r="BX16" i="38" s="1"/>
  <c r="BX19" i="38"/>
  <c r="BY19" i="38"/>
  <c r="BZ16" i="38" s="1"/>
  <c r="BZ19" i="38"/>
  <c r="CA19" i="38"/>
  <c r="CB16" i="38" s="1"/>
  <c r="CB20" i="38" s="1"/>
  <c r="CB19" i="38"/>
  <c r="CC19" i="38"/>
  <c r="CD16" i="38" s="1"/>
  <c r="CD19" i="38"/>
  <c r="CE16" i="38" s="1"/>
  <c r="CE19" i="38"/>
  <c r="CF16" i="38" s="1"/>
  <c r="CF20" i="38" s="1"/>
  <c r="CF19" i="38"/>
  <c r="CG19" i="38"/>
  <c r="CH16" i="38" s="1"/>
  <c r="CH19" i="38"/>
  <c r="CI16" i="38" s="1"/>
  <c r="CI19" i="38"/>
  <c r="CJ16" i="38" s="1"/>
  <c r="CJ20" i="38" s="1"/>
  <c r="CJ19" i="38"/>
  <c r="CK19" i="38"/>
  <c r="CL16" i="38" s="1"/>
  <c r="CL19" i="38"/>
  <c r="L23" i="38"/>
  <c r="M23" i="38"/>
  <c r="S23" i="38"/>
  <c r="S25" i="38"/>
  <c r="L24" i="38"/>
  <c r="M24" i="38"/>
  <c r="N24" i="38"/>
  <c r="O24" i="38"/>
  <c r="P24" i="38"/>
  <c r="Q24" i="38"/>
  <c r="R24" i="38"/>
  <c r="S24" i="38"/>
  <c r="BJ24" i="38"/>
  <c r="BN24" i="38"/>
  <c r="BI25" i="38"/>
  <c r="BJ25" i="38"/>
  <c r="BJ23" i="38" s="1"/>
  <c r="BJ31" i="38" s="1"/>
  <c r="BK25" i="38"/>
  <c r="BK23" i="38" s="1"/>
  <c r="BK31" i="38" s="1"/>
  <c r="BL27" i="38" s="1"/>
  <c r="BL25" i="38"/>
  <c r="BL23" i="38" s="1"/>
  <c r="BL31" i="38" s="1"/>
  <c r="BM25" i="38"/>
  <c r="L25" i="38" s="1"/>
  <c r="BN25" i="38"/>
  <c r="BN23" i="38" s="1"/>
  <c r="BN31" i="38" s="1"/>
  <c r="BO25" i="38"/>
  <c r="BO23" i="38" s="1"/>
  <c r="BO31" i="38" s="1"/>
  <c r="BP25" i="38"/>
  <c r="BP23" i="38" s="1"/>
  <c r="BP31" i="38" s="1"/>
  <c r="BQ32" i="38" s="1"/>
  <c r="BQ25" i="38"/>
  <c r="M25" i="38" s="1"/>
  <c r="BR25" i="38"/>
  <c r="BR23" i="38"/>
  <c r="BS25" i="38"/>
  <c r="BS23" i="38" s="1"/>
  <c r="BS31" i="38" s="1"/>
  <c r="BT25" i="38"/>
  <c r="BT23" i="38" s="1"/>
  <c r="BT31" i="38" s="1"/>
  <c r="BU25" i="38"/>
  <c r="N25" i="38" s="1"/>
  <c r="BV25" i="38"/>
  <c r="BV23" i="38" s="1"/>
  <c r="BV31" i="38" s="1"/>
  <c r="BW25" i="38"/>
  <c r="BW23" i="38" s="1"/>
  <c r="BW31" i="38" s="1"/>
  <c r="BX27" i="38" s="1"/>
  <c r="BX25" i="38"/>
  <c r="BX23" i="38" s="1"/>
  <c r="BX31" i="38" s="1"/>
  <c r="BY25" i="38"/>
  <c r="O25" i="38" s="1"/>
  <c r="BZ25" i="38"/>
  <c r="BZ23" i="38"/>
  <c r="CA25" i="38"/>
  <c r="CA23" i="38" s="1"/>
  <c r="CA31" i="38" s="1"/>
  <c r="CB25" i="38"/>
  <c r="CB23" i="38"/>
  <c r="CB31" i="38" s="1"/>
  <c r="CC25" i="38"/>
  <c r="CC23" i="38" s="1"/>
  <c r="CD25" i="38"/>
  <c r="CD23" i="38" s="1"/>
  <c r="CD31" i="38" s="1"/>
  <c r="CE25" i="38"/>
  <c r="CE23" i="38" s="1"/>
  <c r="CE31" i="38" s="1"/>
  <c r="CF25" i="38"/>
  <c r="CF23" i="38" s="1"/>
  <c r="CF31" i="38" s="1"/>
  <c r="CG32" i="38" s="1"/>
  <c r="CG25" i="38"/>
  <c r="CG23" i="38" s="1"/>
  <c r="CG31" i="38" s="1"/>
  <c r="Q31" i="38" s="1"/>
  <c r="CH25" i="38"/>
  <c r="CH23" i="38" s="1"/>
  <c r="CH31" i="38" s="1"/>
  <c r="CI25" i="38"/>
  <c r="CI23" i="38"/>
  <c r="CI31" i="38" s="1"/>
  <c r="CJ25" i="38"/>
  <c r="CJ23" i="38"/>
  <c r="CJ31" i="38"/>
  <c r="CK25" i="38"/>
  <c r="CK23" i="38" s="1"/>
  <c r="CL25" i="38"/>
  <c r="CL23" i="38"/>
  <c r="BZ28" i="38"/>
  <c r="CA28" i="38"/>
  <c r="CB28" i="38"/>
  <c r="CB46" i="38" s="1"/>
  <c r="CC28" i="38"/>
  <c r="CD28" i="38"/>
  <c r="CE28" i="38"/>
  <c r="CF28" i="38"/>
  <c r="Q28" i="38" s="1"/>
  <c r="CG28" i="38"/>
  <c r="CH28" i="38"/>
  <c r="CI28" i="38"/>
  <c r="CJ28" i="38"/>
  <c r="CJ46" i="38" s="1"/>
  <c r="CK28" i="38"/>
  <c r="CL28" i="38"/>
  <c r="S28" i="38" s="1"/>
  <c r="L30" i="38"/>
  <c r="M30" i="38"/>
  <c r="N30" i="38"/>
  <c r="O30" i="38"/>
  <c r="P30" i="38"/>
  <c r="S31" i="38"/>
  <c r="BI31" i="38"/>
  <c r="BJ27" i="38" s="1"/>
  <c r="L27" i="38" s="1"/>
  <c r="BM31" i="38"/>
  <c r="BN27" i="38" s="1"/>
  <c r="M27" i="38" s="1"/>
  <c r="BQ31" i="38"/>
  <c r="BR27" i="38" s="1"/>
  <c r="N27" i="38" s="1"/>
  <c r="BR31" i="38"/>
  <c r="BZ31" i="38"/>
  <c r="CL31" i="38"/>
  <c r="BJ37" i="38"/>
  <c r="L37" i="38" s="1"/>
  <c r="BM38" i="38"/>
  <c r="BO38" i="38"/>
  <c r="BQ38" i="38"/>
  <c r="BU38" i="38"/>
  <c r="BV38" i="38"/>
  <c r="BW38" i="38"/>
  <c r="BZ38" i="38"/>
  <c r="BZ46" i="38" s="1"/>
  <c r="CA38" i="38"/>
  <c r="CB38" i="38"/>
  <c r="CC38" i="38"/>
  <c r="CD38" i="38"/>
  <c r="CE38" i="38"/>
  <c r="CF38" i="38"/>
  <c r="CF46" i="38" s="1"/>
  <c r="CG38" i="38"/>
  <c r="CH38" i="38"/>
  <c r="R38" i="38" s="1"/>
  <c r="CI38" i="38"/>
  <c r="CJ38" i="38"/>
  <c r="CK38" i="38"/>
  <c r="CK46" i="38" s="1"/>
  <c r="CL38" i="38"/>
  <c r="S38" i="38" s="1"/>
  <c r="L40" i="38"/>
  <c r="M40" i="38"/>
  <c r="N40" i="38"/>
  <c r="O40" i="38"/>
  <c r="R41" i="38"/>
  <c r="S42" i="38" s="1"/>
  <c r="S41" i="38"/>
  <c r="BI41" i="38"/>
  <c r="BJ41" i="38"/>
  <c r="BJ42" i="38" s="1"/>
  <c r="BK41" i="38"/>
  <c r="BL37" i="38"/>
  <c r="BL41" i="38"/>
  <c r="BM37" i="38"/>
  <c r="BM41" i="38"/>
  <c r="BN37" i="38" s="1"/>
  <c r="M37" i="38" s="1"/>
  <c r="L41" i="38"/>
  <c r="BN41" i="38"/>
  <c r="BN42" i="38" s="1"/>
  <c r="BO41" i="38"/>
  <c r="BP37" i="38"/>
  <c r="BP41" i="38"/>
  <c r="BQ37" i="38"/>
  <c r="BQ41" i="38"/>
  <c r="M41" i="38" s="1"/>
  <c r="BR41" i="38"/>
  <c r="BS41" i="38"/>
  <c r="BT37" i="38"/>
  <c r="BT41" i="38"/>
  <c r="BU37" i="38"/>
  <c r="BU41" i="38"/>
  <c r="BV37" i="38" s="1"/>
  <c r="O37" i="38" s="1"/>
  <c r="BV41" i="38"/>
  <c r="BW41" i="38"/>
  <c r="BX37" i="38"/>
  <c r="BX41" i="38"/>
  <c r="BY37" i="38" s="1"/>
  <c r="BY41" i="38"/>
  <c r="O41" i="38" s="1"/>
  <c r="BZ41" i="38"/>
  <c r="CA41" i="38"/>
  <c r="CB37" i="38" s="1"/>
  <c r="CB41" i="38"/>
  <c r="CB39" i="38" s="1"/>
  <c r="CC37" i="38"/>
  <c r="CC41" i="38"/>
  <c r="P41" i="38" s="1"/>
  <c r="CD41" i="38"/>
  <c r="CE41" i="38"/>
  <c r="CF37" i="38" s="1"/>
  <c r="CF39" i="38" s="1"/>
  <c r="CF41" i="38"/>
  <c r="CG37" i="38"/>
  <c r="CG41" i="38"/>
  <c r="CH37" i="38" s="1"/>
  <c r="CH41" i="38"/>
  <c r="CI41" i="38"/>
  <c r="CJ37" i="38"/>
  <c r="CJ41" i="38"/>
  <c r="CK37" i="38" s="1"/>
  <c r="R37" i="38" s="1"/>
  <c r="CK41" i="38"/>
  <c r="CL42" i="38" s="1"/>
  <c r="CL41" i="38"/>
  <c r="BR42" i="38"/>
  <c r="BZ42" i="38"/>
  <c r="CE46" i="38"/>
  <c r="S49" i="38"/>
  <c r="S50" i="38"/>
  <c r="S51" i="38"/>
  <c r="S52" i="38"/>
  <c r="S53" i="38"/>
  <c r="P56" i="38"/>
  <c r="Q56" i="38"/>
  <c r="R56" i="38"/>
  <c r="S57" i="38" s="1"/>
  <c r="S56" i="38"/>
  <c r="S59" i="38" s="1"/>
  <c r="BH57" i="38"/>
  <c r="BJ28" i="38"/>
  <c r="BL57" i="38"/>
  <c r="BN28" i="38"/>
  <c r="BR28" i="38"/>
  <c r="BV28" i="38"/>
  <c r="BX57" i="38"/>
  <c r="BF57" i="38"/>
  <c r="CD57" i="38"/>
  <c r="CE57" i="38"/>
  <c r="CF57" i="38"/>
  <c r="CG57" i="38"/>
  <c r="CH57" i="38"/>
  <c r="CI57" i="38"/>
  <c r="CJ57" i="38"/>
  <c r="CK57" i="38"/>
  <c r="CL57" i="38"/>
  <c r="P59" i="38"/>
  <c r="BZ59" i="38"/>
  <c r="CA59" i="38"/>
  <c r="CB59" i="38"/>
  <c r="CC59" i="38"/>
  <c r="CD59" i="38"/>
  <c r="CE59" i="38"/>
  <c r="CF59" i="38"/>
  <c r="CG59" i="38"/>
  <c r="CH59" i="38"/>
  <c r="CI59" i="38"/>
  <c r="CJ59" i="38"/>
  <c r="CK59" i="38"/>
  <c r="CL59" i="38"/>
  <c r="O61" i="38"/>
  <c r="BC61" i="38"/>
  <c r="BD61" i="38"/>
  <c r="BH63" i="38" s="1"/>
  <c r="BG61" i="38"/>
  <c r="BM61" i="38"/>
  <c r="L61" i="38" s="1"/>
  <c r="BQ61" i="38"/>
  <c r="BU61" i="38"/>
  <c r="CA63" i="38"/>
  <c r="I63" i="38"/>
  <c r="J63" i="38"/>
  <c r="BF63" i="38"/>
  <c r="BJ63" i="38"/>
  <c r="BL63" i="38"/>
  <c r="BN63" i="38"/>
  <c r="BO63" i="38"/>
  <c r="BP63" i="38"/>
  <c r="BR63" i="38"/>
  <c r="BS63" i="38"/>
  <c r="BT63" i="38"/>
  <c r="BV63" i="38"/>
  <c r="BW63" i="38"/>
  <c r="BX63" i="38"/>
  <c r="CB64" i="38"/>
  <c r="CB63" i="38" s="1"/>
  <c r="CC64" i="38"/>
  <c r="BZ66" i="38"/>
  <c r="CA66" i="38"/>
  <c r="CB66" i="38"/>
  <c r="CC66" i="38"/>
  <c r="BZ67" i="38"/>
  <c r="CA67" i="38"/>
  <c r="CB67" i="38"/>
  <c r="CC67" i="38"/>
  <c r="O68" i="38"/>
  <c r="CJ68" i="38" s="1"/>
  <c r="BC68" i="38"/>
  <c r="BG68" i="38"/>
  <c r="BI68" i="38" s="1"/>
  <c r="BM68" i="38"/>
  <c r="L68" i="38" s="1"/>
  <c r="BQ68" i="38"/>
  <c r="M68" i="38" s="1"/>
  <c r="BU68" i="38"/>
  <c r="BZ69" i="38"/>
  <c r="I70" i="38"/>
  <c r="J70" i="38"/>
  <c r="BF70" i="38"/>
  <c r="BG70" i="38"/>
  <c r="BJ70" i="38"/>
  <c r="P72" i="38"/>
  <c r="Q72" i="38" s="1"/>
  <c r="BC72" i="38"/>
  <c r="BD72" i="38" s="1"/>
  <c r="CA72" i="38"/>
  <c r="CC72" i="38"/>
  <c r="H73" i="38"/>
  <c r="BZ73" i="38"/>
  <c r="I74" i="38"/>
  <c r="J74" i="38"/>
  <c r="H76" i="38"/>
  <c r="H69" i="38"/>
  <c r="I76" i="38"/>
  <c r="J76" i="38"/>
  <c r="J56" i="38" s="1"/>
  <c r="BB76" i="38"/>
  <c r="BB73" i="38" s="1"/>
  <c r="BC76" i="38"/>
  <c r="BH76" i="38"/>
  <c r="BJ76" i="38"/>
  <c r="BJ69" i="38" s="1"/>
  <c r="BL76" i="38"/>
  <c r="BL62" i="38" s="1"/>
  <c r="BR76" i="38"/>
  <c r="BT76" i="38"/>
  <c r="BT62" i="38" s="1"/>
  <c r="BV76" i="38"/>
  <c r="BV69" i="38" s="1"/>
  <c r="BX76" i="38"/>
  <c r="BZ76" i="38"/>
  <c r="H77" i="38"/>
  <c r="BB77" i="38"/>
  <c r="BC77" i="38"/>
  <c r="BZ77" i="38"/>
  <c r="L80" i="38"/>
  <c r="M80" i="38"/>
  <c r="N80" i="38"/>
  <c r="O80" i="38"/>
  <c r="BC80" i="38"/>
  <c r="BD80" i="38" s="1"/>
  <c r="BE80" i="38" s="1"/>
  <c r="BG80" i="38"/>
  <c r="BG82" i="38" s="1"/>
  <c r="CA80" i="38"/>
  <c r="H81" i="38"/>
  <c r="BZ81" i="38"/>
  <c r="I82" i="38"/>
  <c r="J82" i="38"/>
  <c r="BF82" i="38"/>
  <c r="BJ82" i="38"/>
  <c r="H83" i="38"/>
  <c r="BB83" i="38"/>
  <c r="BB84" i="38" s="1"/>
  <c r="BZ83" i="38"/>
  <c r="BZ84" i="38"/>
  <c r="H84" i="38"/>
  <c r="I5" i="36"/>
  <c r="J5" i="36"/>
  <c r="K5" i="36"/>
  <c r="L5" i="36"/>
  <c r="M5" i="36"/>
  <c r="N5" i="36"/>
  <c r="O5" i="36"/>
  <c r="P5" i="36"/>
  <c r="Q5" i="36"/>
  <c r="R5" i="36"/>
  <c r="S5" i="36"/>
  <c r="BJ5" i="36"/>
  <c r="BK5" i="36"/>
  <c r="BL5" i="36"/>
  <c r="BM5" i="36"/>
  <c r="BN5" i="36"/>
  <c r="BO5" i="36"/>
  <c r="BP5" i="36"/>
  <c r="BQ5" i="36"/>
  <c r="BR5" i="36"/>
  <c r="BS5" i="36"/>
  <c r="BT5" i="36"/>
  <c r="BU5" i="36"/>
  <c r="BV5" i="36"/>
  <c r="BW5" i="36"/>
  <c r="BX5" i="36"/>
  <c r="BY5" i="36"/>
  <c r="BZ5" i="36"/>
  <c r="CA5" i="36"/>
  <c r="CB5" i="36"/>
  <c r="CC5" i="36"/>
  <c r="CD5" i="36"/>
  <c r="CE5" i="36"/>
  <c r="CF5" i="36"/>
  <c r="CG5" i="36"/>
  <c r="CH5" i="36"/>
  <c r="CI5" i="36"/>
  <c r="CJ5" i="36"/>
  <c r="CK5" i="36"/>
  <c r="CL5" i="36"/>
  <c r="BR9" i="36"/>
  <c r="BS9" i="36"/>
  <c r="BT9" i="36"/>
  <c r="BU9" i="36"/>
  <c r="BY10" i="36" s="1"/>
  <c r="BV9" i="36"/>
  <c r="BV10" i="36"/>
  <c r="BW9" i="36"/>
  <c r="BX9" i="36"/>
  <c r="CB10" i="36" s="1"/>
  <c r="BY9" i="36"/>
  <c r="BZ9" i="36"/>
  <c r="BZ10" i="36"/>
  <c r="CA9" i="36"/>
  <c r="CB9" i="36"/>
  <c r="CC9" i="36"/>
  <c r="CC10" i="36"/>
  <c r="CD9" i="36"/>
  <c r="CE9" i="36"/>
  <c r="CF9" i="36"/>
  <c r="CG9" i="36"/>
  <c r="CG10" i="36" s="1"/>
  <c r="CH9" i="36"/>
  <c r="CI9" i="36"/>
  <c r="CJ9" i="36"/>
  <c r="CK9" i="36"/>
  <c r="CL9" i="36"/>
  <c r="CL10" i="36" s="1"/>
  <c r="BW10" i="36"/>
  <c r="CA10" i="36"/>
  <c r="CE10" i="36"/>
  <c r="CF10" i="36"/>
  <c r="CI10" i="36"/>
  <c r="CJ10" i="36"/>
  <c r="BR11" i="36"/>
  <c r="N11" i="36" s="1"/>
  <c r="BS11" i="36"/>
  <c r="BT11" i="36"/>
  <c r="BU11" i="36"/>
  <c r="BV11" i="36"/>
  <c r="BV17" i="36" s="1"/>
  <c r="BW11" i="36"/>
  <c r="BX11" i="36"/>
  <c r="BY11" i="36"/>
  <c r="BY12" i="36"/>
  <c r="BZ11" i="36"/>
  <c r="CA11" i="36"/>
  <c r="P11" i="36" s="1"/>
  <c r="CB11" i="36"/>
  <c r="CC11" i="36"/>
  <c r="CC12" i="36"/>
  <c r="CD11" i="36"/>
  <c r="CE11" i="36"/>
  <c r="CF11" i="36"/>
  <c r="CG11" i="36"/>
  <c r="CG12" i="36" s="1"/>
  <c r="CH11" i="36"/>
  <c r="CH17" i="36" s="1"/>
  <c r="CI11" i="36"/>
  <c r="CJ11" i="36"/>
  <c r="CK11" i="36"/>
  <c r="CL11" i="36"/>
  <c r="S11" i="36" s="1"/>
  <c r="BV12" i="36"/>
  <c r="BW12" i="36"/>
  <c r="CA12" i="36"/>
  <c r="CD12" i="36"/>
  <c r="CE12" i="36"/>
  <c r="CH12" i="36"/>
  <c r="CI12" i="36"/>
  <c r="CL12" i="36"/>
  <c r="BV13" i="36"/>
  <c r="O13" i="36" s="1"/>
  <c r="BW13" i="36"/>
  <c r="CA14" i="36" s="1"/>
  <c r="BX13" i="36"/>
  <c r="BY13" i="36"/>
  <c r="BZ13" i="36"/>
  <c r="P13" i="36"/>
  <c r="CA13" i="36"/>
  <c r="CB13" i="36"/>
  <c r="CC13" i="36"/>
  <c r="CG14" i="36" s="1"/>
  <c r="CC14" i="36"/>
  <c r="CD13" i="36"/>
  <c r="CE13" i="36"/>
  <c r="Q13" i="36" s="1"/>
  <c r="Q14" i="36" s="1"/>
  <c r="CF13" i="36"/>
  <c r="CF14" i="36" s="1"/>
  <c r="CG13" i="36"/>
  <c r="CH13" i="36"/>
  <c r="R13" i="36" s="1"/>
  <c r="CI13" i="36"/>
  <c r="CI14" i="36" s="1"/>
  <c r="CJ13" i="36"/>
  <c r="CK13" i="36"/>
  <c r="CK14" i="36" s="1"/>
  <c r="CL13" i="36"/>
  <c r="S13" i="36" s="1"/>
  <c r="BZ14" i="36"/>
  <c r="CB14" i="36"/>
  <c r="CD14" i="36"/>
  <c r="CE14" i="36"/>
  <c r="CH14" i="36"/>
  <c r="CL14" i="36"/>
  <c r="BR15" i="36"/>
  <c r="N15" i="36" s="1"/>
  <c r="BS15" i="36"/>
  <c r="BS17" i="36" s="1"/>
  <c r="BS21" i="36" s="1"/>
  <c r="BT15" i="36"/>
  <c r="BU15" i="36"/>
  <c r="BV15" i="36"/>
  <c r="BW15" i="36"/>
  <c r="CA16" i="36" s="1"/>
  <c r="BX15" i="36"/>
  <c r="BY15" i="36"/>
  <c r="BY16" i="36"/>
  <c r="BZ15" i="36"/>
  <c r="P15" i="36" s="1"/>
  <c r="CA15" i="36"/>
  <c r="CB15" i="36"/>
  <c r="CC15" i="36"/>
  <c r="CC16" i="36" s="1"/>
  <c r="CD15" i="36"/>
  <c r="CE15" i="36"/>
  <c r="CF15" i="36"/>
  <c r="CG15" i="36"/>
  <c r="Q15" i="36" s="1"/>
  <c r="Q16" i="36" s="1"/>
  <c r="CG16" i="36"/>
  <c r="CH15" i="36"/>
  <c r="CI15" i="36"/>
  <c r="CJ15" i="36"/>
  <c r="R15" i="36"/>
  <c r="CK15" i="36"/>
  <c r="CK16" i="36" s="1"/>
  <c r="CL15" i="36"/>
  <c r="CL17" i="36" s="1"/>
  <c r="BV16" i="36"/>
  <c r="BX16" i="36"/>
  <c r="BZ16" i="36"/>
  <c r="CB16" i="36"/>
  <c r="CE16" i="36"/>
  <c r="CF16" i="36"/>
  <c r="CH16" i="36"/>
  <c r="CI16" i="36"/>
  <c r="CJ16" i="36"/>
  <c r="BU17" i="36"/>
  <c r="BU21" i="36" s="1"/>
  <c r="CA17" i="36"/>
  <c r="CA21" i="36" s="1"/>
  <c r="CA32" i="36" s="1"/>
  <c r="CD17" i="36"/>
  <c r="CE17" i="36"/>
  <c r="CK17" i="36"/>
  <c r="CE18" i="36"/>
  <c r="BR19" i="36"/>
  <c r="BV20" i="36" s="1"/>
  <c r="BS19" i="36"/>
  <c r="BT19" i="36"/>
  <c r="BU19" i="36"/>
  <c r="BU80" i="36"/>
  <c r="BV19" i="36"/>
  <c r="BW19" i="36"/>
  <c r="BX19" i="36"/>
  <c r="BX20" i="36"/>
  <c r="BY19" i="36"/>
  <c r="BY20" i="36" s="1"/>
  <c r="BZ19" i="36"/>
  <c r="CA19" i="36"/>
  <c r="CB19" i="36"/>
  <c r="CB20" i="36"/>
  <c r="CC19" i="36"/>
  <c r="CC20" i="36" s="1"/>
  <c r="CD19" i="36"/>
  <c r="CE19" i="36"/>
  <c r="CF19" i="36"/>
  <c r="CF20" i="36"/>
  <c r="CG19" i="36"/>
  <c r="CG20" i="36" s="1"/>
  <c r="CH19" i="36"/>
  <c r="CI19" i="36"/>
  <c r="CJ19" i="36"/>
  <c r="CJ20" i="36" s="1"/>
  <c r="CK19" i="36"/>
  <c r="CL19" i="36"/>
  <c r="CL20" i="36" s="1"/>
  <c r="BW20" i="36"/>
  <c r="BZ20" i="36"/>
  <c r="CA20" i="36"/>
  <c r="CD20" i="36"/>
  <c r="CE20" i="36"/>
  <c r="CH20" i="36"/>
  <c r="CI20" i="36"/>
  <c r="CE21" i="36"/>
  <c r="CE32" i="36" s="1"/>
  <c r="BN22" i="36"/>
  <c r="BO22" i="36"/>
  <c r="BP22" i="36"/>
  <c r="BQ22" i="36"/>
  <c r="N24" i="36"/>
  <c r="O24" i="36"/>
  <c r="BZ24" i="36"/>
  <c r="CB24" i="36"/>
  <c r="CC24" i="36"/>
  <c r="P24" i="36"/>
  <c r="CD24" i="36"/>
  <c r="CE24" i="36"/>
  <c r="Q24" i="36" s="1"/>
  <c r="CF24" i="36"/>
  <c r="CG24" i="36"/>
  <c r="BR25" i="36"/>
  <c r="BS25" i="36"/>
  <c r="BT25" i="36"/>
  <c r="N25" i="36" s="1"/>
  <c r="N30" i="36" s="1"/>
  <c r="BU25" i="36"/>
  <c r="BV25" i="36"/>
  <c r="O25" i="36" s="1"/>
  <c r="BW25" i="36"/>
  <c r="BX25" i="36"/>
  <c r="BY25" i="36"/>
  <c r="BZ25" i="36"/>
  <c r="CA25" i="36"/>
  <c r="CE26" i="36" s="1"/>
  <c r="CB25" i="36"/>
  <c r="CC25" i="36"/>
  <c r="CC26" i="36"/>
  <c r="CD25" i="36"/>
  <c r="CD26" i="36"/>
  <c r="CE25" i="36"/>
  <c r="CG25" i="36"/>
  <c r="CA26" i="36"/>
  <c r="CB26" i="36"/>
  <c r="N27" i="36"/>
  <c r="O27" i="36"/>
  <c r="P27" i="36"/>
  <c r="Q27" i="36"/>
  <c r="N28" i="36"/>
  <c r="O28" i="36"/>
  <c r="P28" i="36"/>
  <c r="Q28" i="36"/>
  <c r="N29" i="36"/>
  <c r="O29" i="36"/>
  <c r="P29" i="36"/>
  <c r="CF29" i="36"/>
  <c r="Q29" i="36"/>
  <c r="S30" i="36"/>
  <c r="BR30" i="36"/>
  <c r="BS30" i="36"/>
  <c r="BT30" i="36"/>
  <c r="BU30" i="36"/>
  <c r="BV30" i="36"/>
  <c r="BW30" i="36"/>
  <c r="BW31" i="36" s="1"/>
  <c r="BX30" i="36"/>
  <c r="BY30" i="36"/>
  <c r="BY31" i="36" s="1"/>
  <c r="CF30" i="36"/>
  <c r="CJ30" i="36"/>
  <c r="R30" i="36" s="1"/>
  <c r="BV31" i="36"/>
  <c r="BZ31" i="36"/>
  <c r="CA31" i="36"/>
  <c r="CD31" i="36"/>
  <c r="CE31" i="36"/>
  <c r="CF31" i="36"/>
  <c r="CG31" i="36"/>
  <c r="CH31" i="36"/>
  <c r="CI31" i="36"/>
  <c r="CJ31" i="36"/>
  <c r="CK31" i="36"/>
  <c r="N34" i="36"/>
  <c r="O34" i="36"/>
  <c r="P34" i="36"/>
  <c r="Q34" i="36"/>
  <c r="BR35" i="36"/>
  <c r="N35" i="36" s="1"/>
  <c r="BS35" i="36"/>
  <c r="BT35" i="36"/>
  <c r="BU35" i="36"/>
  <c r="BV35" i="36"/>
  <c r="O35" i="36" s="1"/>
  <c r="BW35" i="36"/>
  <c r="BX35" i="36"/>
  <c r="BY35" i="36"/>
  <c r="BZ35" i="36"/>
  <c r="CA35" i="36"/>
  <c r="CA36" i="36"/>
  <c r="CB35" i="36"/>
  <c r="CF36" i="36" s="1"/>
  <c r="CC35" i="36"/>
  <c r="CD35" i="36"/>
  <c r="CE35" i="36"/>
  <c r="CE36" i="36"/>
  <c r="CF35" i="36"/>
  <c r="CG35" i="36"/>
  <c r="CC36" i="36"/>
  <c r="CG36" i="36"/>
  <c r="N37" i="36"/>
  <c r="O37" i="36"/>
  <c r="P37" i="36"/>
  <c r="Q37" i="36"/>
  <c r="N38" i="36"/>
  <c r="O38" i="36"/>
  <c r="P38" i="36"/>
  <c r="Q38" i="36"/>
  <c r="BR39" i="36"/>
  <c r="BS39" i="36"/>
  <c r="BS41" i="36" s="1"/>
  <c r="BT39" i="36"/>
  <c r="BU39" i="36"/>
  <c r="BV39" i="36"/>
  <c r="BW39" i="36"/>
  <c r="BX39" i="36"/>
  <c r="BY39" i="36"/>
  <c r="CC40" i="36" s="1"/>
  <c r="CH39" i="36"/>
  <c r="CL39" i="36"/>
  <c r="BX40" i="36"/>
  <c r="BY40" i="36"/>
  <c r="CB40" i="36"/>
  <c r="CD40" i="36"/>
  <c r="CE40" i="36"/>
  <c r="CF40" i="36"/>
  <c r="CG40" i="36"/>
  <c r="CI40" i="36"/>
  <c r="CJ40" i="36"/>
  <c r="CK40" i="36"/>
  <c r="N43" i="36"/>
  <c r="O43" i="36"/>
  <c r="P43" i="36"/>
  <c r="Q43" i="36"/>
  <c r="BS44" i="36"/>
  <c r="BT44" i="36"/>
  <c r="BU44" i="36"/>
  <c r="BW44" i="36"/>
  <c r="BY44" i="36"/>
  <c r="CC45" i="36" s="1"/>
  <c r="BZ44" i="36"/>
  <c r="CA44" i="36"/>
  <c r="CA45" i="36"/>
  <c r="CB44" i="36"/>
  <c r="CF45" i="36" s="1"/>
  <c r="CC44" i="36"/>
  <c r="CD44" i="36"/>
  <c r="CE44" i="36"/>
  <c r="CE45" i="36"/>
  <c r="CF44" i="36"/>
  <c r="CG44" i="36"/>
  <c r="CD45" i="36"/>
  <c r="CG45" i="36"/>
  <c r="P46" i="36"/>
  <c r="BR46" i="36"/>
  <c r="BT46" i="36"/>
  <c r="BV46" i="36"/>
  <c r="BV44" i="36"/>
  <c r="BZ45" i="36" s="1"/>
  <c r="N47" i="36"/>
  <c r="O47" i="36"/>
  <c r="P47" i="36"/>
  <c r="P48" i="36"/>
  <c r="BR48" i="36"/>
  <c r="N48" i="36"/>
  <c r="BX48" i="36"/>
  <c r="O48" i="36" s="1"/>
  <c r="S49" i="36"/>
  <c r="BR49" i="36"/>
  <c r="BS49" i="36"/>
  <c r="BT49" i="36"/>
  <c r="BT52" i="36"/>
  <c r="BU49" i="36"/>
  <c r="BV49" i="36"/>
  <c r="BW49" i="36"/>
  <c r="BX49" i="36"/>
  <c r="BX52" i="36"/>
  <c r="BY49" i="36"/>
  <c r="BZ49" i="36"/>
  <c r="BZ50" i="36" s="1"/>
  <c r="CA49" i="36"/>
  <c r="CA52" i="36"/>
  <c r="CB49" i="36"/>
  <c r="CB52" i="36"/>
  <c r="CC49" i="36"/>
  <c r="CD49" i="36"/>
  <c r="CE49" i="36"/>
  <c r="CE52" i="36"/>
  <c r="CF49" i="36"/>
  <c r="CF52" i="36"/>
  <c r="CG49" i="36"/>
  <c r="CI49" i="36"/>
  <c r="R49" i="36" s="1"/>
  <c r="CJ49" i="36"/>
  <c r="CJ50" i="36" s="1"/>
  <c r="CK49" i="36"/>
  <c r="CK50" i="36" s="1"/>
  <c r="BV50" i="36"/>
  <c r="BW50" i="36"/>
  <c r="BX50" i="36"/>
  <c r="BY50" i="36"/>
  <c r="CA50" i="36"/>
  <c r="CB50" i="36"/>
  <c r="CC50" i="36"/>
  <c r="CE50" i="36"/>
  <c r="CF50" i="36"/>
  <c r="CG50" i="36"/>
  <c r="CH50" i="36"/>
  <c r="BR52" i="36"/>
  <c r="BU52" i="36"/>
  <c r="BV52" i="36"/>
  <c r="BY52" i="36"/>
  <c r="BY53" i="36"/>
  <c r="CC52" i="36"/>
  <c r="CC53" i="36" s="1"/>
  <c r="CD52" i="36"/>
  <c r="CG52" i="36"/>
  <c r="CG53" i="36"/>
  <c r="CH52" i="36"/>
  <c r="CL52" i="36"/>
  <c r="N56" i="36"/>
  <c r="O56" i="36"/>
  <c r="P56" i="36"/>
  <c r="P57" i="36" s="1"/>
  <c r="Q56" i="36"/>
  <c r="Q57" i="36" s="1"/>
  <c r="R56" i="36"/>
  <c r="R57" i="36" s="1"/>
  <c r="S56" i="36"/>
  <c r="O57" i="36"/>
  <c r="S57" i="36"/>
  <c r="BS57" i="36"/>
  <c r="BT57" i="36"/>
  <c r="BU57" i="36"/>
  <c r="BV57" i="36"/>
  <c r="BW57" i="36"/>
  <c r="BX57" i="36"/>
  <c r="BY57" i="36"/>
  <c r="BZ57" i="36"/>
  <c r="CA57" i="36"/>
  <c r="CB57" i="36"/>
  <c r="CC57" i="36"/>
  <c r="CD57" i="36"/>
  <c r="CE57" i="36"/>
  <c r="CF57" i="36"/>
  <c r="CG57" i="36"/>
  <c r="CH57" i="36"/>
  <c r="CI57" i="36"/>
  <c r="CJ57" i="36"/>
  <c r="CK57" i="36"/>
  <c r="CL57" i="36"/>
  <c r="BU59" i="36"/>
  <c r="CF59" i="36"/>
  <c r="CK59" i="36"/>
  <c r="BR59" i="36"/>
  <c r="BS59" i="36"/>
  <c r="BT59" i="36"/>
  <c r="BV59" i="36"/>
  <c r="BW59" i="36"/>
  <c r="BX59" i="36"/>
  <c r="BY59" i="36"/>
  <c r="CE59" i="36"/>
  <c r="CL59" i="36"/>
  <c r="BU60" i="36"/>
  <c r="BV60" i="36"/>
  <c r="BV61" i="36" s="1"/>
  <c r="CK60" i="36"/>
  <c r="CL60" i="36"/>
  <c r="BT60" i="36"/>
  <c r="BX60" i="36"/>
  <c r="BY60" i="36"/>
  <c r="BZ60" i="36"/>
  <c r="CA60" i="36"/>
  <c r="CB60" i="36"/>
  <c r="CC60" i="36"/>
  <c r="O64" i="36"/>
  <c r="BR64" i="36"/>
  <c r="BS64" i="36"/>
  <c r="BS66" i="36"/>
  <c r="BT64" i="36"/>
  <c r="BT66" i="36"/>
  <c r="BT68" i="36" s="1"/>
  <c r="BU64" i="36"/>
  <c r="BV64" i="36"/>
  <c r="BW64" i="36"/>
  <c r="BW66" i="36"/>
  <c r="BX64" i="36"/>
  <c r="BX61" i="36" s="1"/>
  <c r="BX62" i="36" s="1"/>
  <c r="BX66" i="36"/>
  <c r="BX68" i="36" s="1"/>
  <c r="BY64" i="36"/>
  <c r="BZ64" i="36"/>
  <c r="CA64" i="36"/>
  <c r="CA66" i="36"/>
  <c r="CB64" i="36"/>
  <c r="CB66" i="36"/>
  <c r="CB68" i="36" s="1"/>
  <c r="CC64" i="36"/>
  <c r="CD64" i="36"/>
  <c r="CE64" i="36"/>
  <c r="CE66" i="36" s="1"/>
  <c r="CF64" i="36"/>
  <c r="CF66" i="36" s="1"/>
  <c r="CF68" i="36" s="1"/>
  <c r="CG64" i="36"/>
  <c r="CG65" i="36"/>
  <c r="O66" i="36"/>
  <c r="BR66" i="36"/>
  <c r="BU66" i="36"/>
  <c r="BV66" i="36"/>
  <c r="BY66" i="36"/>
  <c r="BZ66" i="36"/>
  <c r="CC66" i="36"/>
  <c r="CD66" i="36"/>
  <c r="CG66" i="36"/>
  <c r="CI66" i="36"/>
  <c r="CJ66" i="36" s="1"/>
  <c r="O67" i="36"/>
  <c r="BT67" i="36"/>
  <c r="BU67" i="36"/>
  <c r="BX67" i="36"/>
  <c r="BY67" i="36"/>
  <c r="CB67" i="36"/>
  <c r="CC67" i="36"/>
  <c r="CF67" i="36"/>
  <c r="CG67" i="36"/>
  <c r="CI67" i="36"/>
  <c r="CJ67" i="36"/>
  <c r="CK67" i="36"/>
  <c r="CL67" i="36"/>
  <c r="O68" i="36"/>
  <c r="BU68" i="36"/>
  <c r="BY68" i="36"/>
  <c r="CC68" i="36"/>
  <c r="CG68" i="36"/>
  <c r="CH68" i="36"/>
  <c r="BN71" i="36"/>
  <c r="BO71" i="36"/>
  <c r="BP71" i="36"/>
  <c r="BQ71" i="36"/>
  <c r="BJ72" i="36"/>
  <c r="BK72" i="36"/>
  <c r="BL72" i="36"/>
  <c r="BM72" i="36"/>
  <c r="BN72" i="36"/>
  <c r="BO72" i="36"/>
  <c r="BP72" i="36"/>
  <c r="BQ72" i="36"/>
  <c r="BR80" i="36"/>
  <c r="BS80" i="36"/>
  <c r="N80" i="36" s="1"/>
  <c r="BT80" i="36"/>
  <c r="BV80" i="36"/>
  <c r="BW80" i="36"/>
  <c r="BX80" i="36"/>
  <c r="BZ80" i="36"/>
  <c r="CA80" i="36"/>
  <c r="CB80" i="36"/>
  <c r="CD80" i="36"/>
  <c r="CE80" i="36"/>
  <c r="CF80" i="36"/>
  <c r="CH80" i="36"/>
  <c r="CI80" i="36"/>
  <c r="CJ80" i="36"/>
  <c r="CL80" i="36"/>
  <c r="S80" i="36"/>
  <c r="N81" i="36"/>
  <c r="BR81" i="36"/>
  <c r="BT81" i="36"/>
  <c r="BV81" i="36"/>
  <c r="O81" i="36"/>
  <c r="BX81" i="36"/>
  <c r="BZ81" i="36"/>
  <c r="CB81" i="36"/>
  <c r="P81" i="36" s="1"/>
  <c r="CC81" i="36"/>
  <c r="BJ82" i="36"/>
  <c r="BK82" i="36"/>
  <c r="BL82" i="36"/>
  <c r="BM82" i="36"/>
  <c r="BN82" i="36"/>
  <c r="BO82" i="36"/>
  <c r="BP82" i="36"/>
  <c r="BQ82" i="36"/>
  <c r="S85" i="36"/>
  <c r="BR85" i="36"/>
  <c r="BS85" i="36"/>
  <c r="BT85" i="36"/>
  <c r="BU85" i="36"/>
  <c r="N85" i="36" s="1"/>
  <c r="BV85" i="36"/>
  <c r="BW85" i="36"/>
  <c r="BW86" i="36"/>
  <c r="BX85" i="36"/>
  <c r="BX86" i="36" s="1"/>
  <c r="BY85" i="36"/>
  <c r="O85" i="36"/>
  <c r="BZ85" i="36"/>
  <c r="CA85" i="36"/>
  <c r="CA86" i="36" s="1"/>
  <c r="CB85" i="36"/>
  <c r="CB86" i="36"/>
  <c r="CC85" i="36"/>
  <c r="P85" i="36" s="1"/>
  <c r="CD85" i="36"/>
  <c r="CE85" i="36"/>
  <c r="CI86" i="36" s="1"/>
  <c r="CF85" i="36"/>
  <c r="CF86" i="36"/>
  <c r="CG85" i="36"/>
  <c r="CK86" i="36" s="1"/>
  <c r="CH85" i="36"/>
  <c r="CI85" i="36"/>
  <c r="CJ85" i="36"/>
  <c r="CJ86" i="36" s="1"/>
  <c r="CK85" i="36"/>
  <c r="R85" i="36" s="1"/>
  <c r="BV86" i="36"/>
  <c r="BY86" i="36"/>
  <c r="BZ86" i="36"/>
  <c r="CC86" i="36"/>
  <c r="CD86" i="36"/>
  <c r="CG86" i="36"/>
  <c r="CH86" i="36"/>
  <c r="S87" i="36"/>
  <c r="S89" i="36"/>
  <c r="BR89" i="36"/>
  <c r="BS89" i="36"/>
  <c r="BT89" i="36"/>
  <c r="BU89" i="36"/>
  <c r="N89" i="36"/>
  <c r="BV89" i="36"/>
  <c r="BZ90" i="36" s="1"/>
  <c r="BW89" i="36"/>
  <c r="BX89" i="36"/>
  <c r="BY89" i="36"/>
  <c r="CC90" i="36" s="1"/>
  <c r="BZ89" i="36"/>
  <c r="CA89" i="36"/>
  <c r="CB89" i="36"/>
  <c r="CC89" i="36"/>
  <c r="P89" i="36" s="1"/>
  <c r="CD89" i="36"/>
  <c r="CD90" i="36" s="1"/>
  <c r="CE89" i="36"/>
  <c r="CF89" i="36"/>
  <c r="CG89" i="36"/>
  <c r="Q89" i="36" s="1"/>
  <c r="Q90" i="36" s="1"/>
  <c r="CH89" i="36"/>
  <c r="CH90" i="36"/>
  <c r="CI89" i="36"/>
  <c r="CJ89" i="36"/>
  <c r="CK89" i="36"/>
  <c r="CK90" i="36"/>
  <c r="BW90" i="36"/>
  <c r="BX90" i="36"/>
  <c r="CA90" i="36"/>
  <c r="CB90" i="36"/>
  <c r="CE90" i="36"/>
  <c r="CF90" i="36"/>
  <c r="CI90" i="36"/>
  <c r="CJ90" i="36"/>
  <c r="S91" i="36"/>
  <c r="BN92" i="36"/>
  <c r="BO92" i="36"/>
  <c r="BP92" i="36"/>
  <c r="BQ92" i="36"/>
  <c r="BK93" i="36"/>
  <c r="BL93" i="36"/>
  <c r="BM93" i="36"/>
  <c r="BN93" i="36"/>
  <c r="BO93" i="36"/>
  <c r="BP93" i="36"/>
  <c r="BQ93" i="36"/>
  <c r="N96" i="36"/>
  <c r="O96" i="36"/>
  <c r="P96" i="36"/>
  <c r="Q96" i="36"/>
  <c r="Q97" i="36" s="1"/>
  <c r="R96" i="36"/>
  <c r="S96" i="36"/>
  <c r="S97" i="36" s="1"/>
  <c r="O97" i="36"/>
  <c r="P97" i="36"/>
  <c r="BV97" i="36"/>
  <c r="BW97" i="36"/>
  <c r="BX97" i="36"/>
  <c r="BY97" i="36"/>
  <c r="BZ97" i="36"/>
  <c r="CA97" i="36"/>
  <c r="CB97" i="36"/>
  <c r="CC97" i="36"/>
  <c r="CD97" i="36"/>
  <c r="CE97" i="36"/>
  <c r="CF97" i="36"/>
  <c r="CG97" i="36"/>
  <c r="CH97" i="36"/>
  <c r="CI97" i="36"/>
  <c r="CJ97" i="36"/>
  <c r="CK97" i="36"/>
  <c r="CL97" i="36"/>
  <c r="N100" i="36"/>
  <c r="O100" i="36"/>
  <c r="P100" i="36"/>
  <c r="Q100" i="36"/>
  <c r="Q101" i="36" s="1"/>
  <c r="R100" i="36"/>
  <c r="R101" i="36" s="1"/>
  <c r="S100" i="36"/>
  <c r="P101" i="36"/>
  <c r="BV101" i="36"/>
  <c r="BW101" i="36"/>
  <c r="BX101" i="36"/>
  <c r="BY101" i="36"/>
  <c r="BZ101" i="36"/>
  <c r="CA101" i="36"/>
  <c r="CB101" i="36"/>
  <c r="CC101" i="36"/>
  <c r="CD101" i="36"/>
  <c r="CE101" i="36"/>
  <c r="CF101" i="36"/>
  <c r="CG101" i="36"/>
  <c r="CH101" i="36"/>
  <c r="CI101" i="36"/>
  <c r="CJ101" i="36"/>
  <c r="CK101" i="36"/>
  <c r="CL101" i="36"/>
  <c r="BS102" i="36"/>
  <c r="BT102" i="36"/>
  <c r="BU102" i="36"/>
  <c r="BV102" i="36"/>
  <c r="BW102" i="36"/>
  <c r="BW103" i="36" s="1"/>
  <c r="BX102" i="36"/>
  <c r="BY102" i="36"/>
  <c r="BY103" i="36" s="1"/>
  <c r="BZ102" i="36"/>
  <c r="CA102" i="36"/>
  <c r="CB102" i="36"/>
  <c r="CB103" i="36" s="1"/>
  <c r="CC102" i="36"/>
  <c r="CC103" i="36"/>
  <c r="CD102" i="36"/>
  <c r="CE102" i="36"/>
  <c r="CF102" i="36"/>
  <c r="CG102" i="36"/>
  <c r="CG103" i="36"/>
  <c r="CH102" i="36"/>
  <c r="CH103" i="36" s="1"/>
  <c r="CI102" i="36"/>
  <c r="CJ102" i="36"/>
  <c r="BX103" i="36"/>
  <c r="BZ103" i="36"/>
  <c r="CA103" i="36"/>
  <c r="CD103" i="36"/>
  <c r="CE103" i="36"/>
  <c r="CF103" i="36"/>
  <c r="CI103" i="36"/>
  <c r="CJ103" i="36"/>
  <c r="N109" i="36"/>
  <c r="O110" i="36" s="1"/>
  <c r="O109" i="36"/>
  <c r="P109" i="36"/>
  <c r="Q110" i="36" s="1"/>
  <c r="Q109" i="36"/>
  <c r="R110" i="36" s="1"/>
  <c r="R109" i="36"/>
  <c r="S109" i="36"/>
  <c r="S113" i="36"/>
  <c r="BW110" i="36"/>
  <c r="BX110" i="36"/>
  <c r="BY110" i="36"/>
  <c r="BZ110" i="36"/>
  <c r="CA110" i="36"/>
  <c r="CB110" i="36"/>
  <c r="CC110" i="36"/>
  <c r="CD110" i="36"/>
  <c r="CE110" i="36"/>
  <c r="CF110" i="36"/>
  <c r="CG110" i="36"/>
  <c r="CH110" i="36"/>
  <c r="CI110" i="36"/>
  <c r="CJ110" i="36"/>
  <c r="CK110" i="36"/>
  <c r="BR111" i="36"/>
  <c r="BS111" i="36"/>
  <c r="BT111" i="36"/>
  <c r="BU111" i="36"/>
  <c r="BV111" i="36"/>
  <c r="BW111" i="36"/>
  <c r="BX111" i="36"/>
  <c r="BX112" i="36" s="1"/>
  <c r="BY111" i="36"/>
  <c r="BY112" i="36"/>
  <c r="BZ111" i="36"/>
  <c r="CA111" i="36"/>
  <c r="CB111" i="36"/>
  <c r="CC111" i="36"/>
  <c r="CC112" i="36"/>
  <c r="CD111" i="36"/>
  <c r="CD112" i="36" s="1"/>
  <c r="CE111" i="36"/>
  <c r="CF111" i="36"/>
  <c r="CG111" i="36"/>
  <c r="CG112" i="36" s="1"/>
  <c r="CH111" i="36"/>
  <c r="CI111" i="36"/>
  <c r="CI112" i="36" s="1"/>
  <c r="CJ111" i="36"/>
  <c r="CK111" i="36"/>
  <c r="CK112" i="36" s="1"/>
  <c r="CL111" i="36"/>
  <c r="BV112" i="36"/>
  <c r="BW112" i="36"/>
  <c r="BZ112" i="36"/>
  <c r="CA112" i="36"/>
  <c r="CB112" i="36"/>
  <c r="CE112" i="36"/>
  <c r="CF112" i="36"/>
  <c r="CH112" i="36"/>
  <c r="CJ112" i="36"/>
  <c r="P113" i="36"/>
  <c r="BR113" i="36"/>
  <c r="BR117" i="36" s="1"/>
  <c r="BS113" i="36"/>
  <c r="BT113" i="36"/>
  <c r="BX114" i="36" s="1"/>
  <c r="BU113" i="36"/>
  <c r="BU126" i="36" s="1"/>
  <c r="BV113" i="36"/>
  <c r="BV117" i="36"/>
  <c r="BW113" i="36"/>
  <c r="BW115" i="36" s="1"/>
  <c r="BX113" i="36"/>
  <c r="BY113" i="36"/>
  <c r="BY114" i="36"/>
  <c r="BZ113" i="36"/>
  <c r="BZ117" i="36" s="1"/>
  <c r="CA113" i="36"/>
  <c r="CA115" i="36" s="1"/>
  <c r="CB113" i="36"/>
  <c r="CF114" i="36" s="1"/>
  <c r="CC113" i="36"/>
  <c r="CC114" i="36" s="1"/>
  <c r="CD113" i="36"/>
  <c r="CD117" i="36"/>
  <c r="CE113" i="36"/>
  <c r="CE115" i="36" s="1"/>
  <c r="CF113" i="36"/>
  <c r="CG113" i="36"/>
  <c r="CG114" i="36"/>
  <c r="CH113" i="36"/>
  <c r="CH129" i="36" s="1"/>
  <c r="CI113" i="36"/>
  <c r="CI115" i="36" s="1"/>
  <c r="CJ113" i="36"/>
  <c r="CK113" i="36"/>
  <c r="CK114" i="36" s="1"/>
  <c r="CL113" i="36"/>
  <c r="CL129" i="36"/>
  <c r="BW114" i="36"/>
  <c r="CA114" i="36"/>
  <c r="CB114" i="36"/>
  <c r="CE114" i="36"/>
  <c r="CI114" i="36"/>
  <c r="CJ114" i="36"/>
  <c r="BV115" i="36"/>
  <c r="BX115" i="36"/>
  <c r="BY115" i="36"/>
  <c r="BZ115" i="36"/>
  <c r="CB115" i="36"/>
  <c r="CC115" i="36"/>
  <c r="CD115" i="36"/>
  <c r="CF115" i="36"/>
  <c r="CG115" i="36"/>
  <c r="CH115" i="36"/>
  <c r="CJ115" i="36"/>
  <c r="CK115" i="36"/>
  <c r="CL115" i="36"/>
  <c r="N116" i="36"/>
  <c r="O116" i="36"/>
  <c r="O124" i="36"/>
  <c r="P116" i="36"/>
  <c r="P124" i="36" s="1"/>
  <c r="Q116" i="36"/>
  <c r="BS117" i="36"/>
  <c r="BT117" i="36"/>
  <c r="BU117" i="36"/>
  <c r="BW117" i="36"/>
  <c r="BX117" i="36"/>
  <c r="BY117" i="36"/>
  <c r="CA117" i="36"/>
  <c r="CB117" i="36"/>
  <c r="CC117" i="36"/>
  <c r="CF117" i="36"/>
  <c r="CG117" i="36"/>
  <c r="N118" i="36"/>
  <c r="O118" i="36"/>
  <c r="P118" i="36"/>
  <c r="Q118" i="36"/>
  <c r="Q124" i="36" s="1"/>
  <c r="BS119" i="36"/>
  <c r="BT119" i="36"/>
  <c r="BU119" i="36"/>
  <c r="BW119" i="36"/>
  <c r="BX119" i="36"/>
  <c r="BY119" i="36"/>
  <c r="CA119" i="36"/>
  <c r="CB119" i="36"/>
  <c r="CC119" i="36"/>
  <c r="CE119" i="36"/>
  <c r="CF119" i="36"/>
  <c r="CG119" i="36"/>
  <c r="S124" i="36"/>
  <c r="BV124" i="36"/>
  <c r="BV125" i="36" s="1"/>
  <c r="BW124" i="36"/>
  <c r="CA125" i="36" s="1"/>
  <c r="BX124" i="36"/>
  <c r="BX126" i="36"/>
  <c r="BY124" i="36"/>
  <c r="BZ124" i="36"/>
  <c r="CA124" i="36"/>
  <c r="CB124" i="36"/>
  <c r="CB126" i="36" s="1"/>
  <c r="CC124" i="36"/>
  <c r="CD124" i="36"/>
  <c r="CD125" i="36" s="1"/>
  <c r="CE124" i="36"/>
  <c r="CE125" i="36" s="1"/>
  <c r="CF124" i="36"/>
  <c r="CF126" i="36"/>
  <c r="CG124" i="36"/>
  <c r="CG125" i="36" s="1"/>
  <c r="CK124" i="36"/>
  <c r="CK129" i="36" s="1"/>
  <c r="CK75" i="36" s="1"/>
  <c r="BY125" i="36"/>
  <c r="BZ125" i="36"/>
  <c r="CC125" i="36"/>
  <c r="CH125" i="36"/>
  <c r="CL125" i="36"/>
  <c r="BS126" i="36"/>
  <c r="BT126" i="36"/>
  <c r="BW126" i="36"/>
  <c r="CA126" i="36"/>
  <c r="CE126" i="36"/>
  <c r="CI126" i="36"/>
  <c r="CJ126" i="36"/>
  <c r="BR127" i="36"/>
  <c r="BU127" i="36"/>
  <c r="BV127" i="36"/>
  <c r="BY127" i="36"/>
  <c r="CC127" i="36"/>
  <c r="CG127" i="36"/>
  <c r="BS129" i="36"/>
  <c r="BS75" i="36" s="1"/>
  <c r="BS130" i="36"/>
  <c r="BT129" i="36"/>
  <c r="BT75" i="36" s="1"/>
  <c r="BU129" i="36"/>
  <c r="BU75" i="36"/>
  <c r="BY129" i="36"/>
  <c r="BY75" i="36" s="1"/>
  <c r="CC129" i="36"/>
  <c r="CC75" i="36"/>
  <c r="CG129" i="36"/>
  <c r="CG75" i="36" s="1"/>
  <c r="CI129" i="36"/>
  <c r="CI75" i="36" s="1"/>
  <c r="CI130" i="36"/>
  <c r="CJ129" i="36"/>
  <c r="CJ75" i="36" s="1"/>
  <c r="BS132" i="36"/>
  <c r="BT132" i="36"/>
  <c r="BW132" i="36"/>
  <c r="BX132" i="36"/>
  <c r="CA132" i="36"/>
  <c r="CB132" i="36"/>
  <c r="CE132" i="36"/>
  <c r="CF132" i="36"/>
  <c r="CI132" i="36"/>
  <c r="CJ132" i="36"/>
  <c r="N135" i="36"/>
  <c r="O135" i="36"/>
  <c r="O137" i="36" s="1"/>
  <c r="P135" i="36"/>
  <c r="Q136" i="36" s="1"/>
  <c r="Q135" i="36"/>
  <c r="R135" i="36"/>
  <c r="R137" i="36" s="1"/>
  <c r="S135" i="36"/>
  <c r="BV136" i="36"/>
  <c r="BW136" i="36"/>
  <c r="BX136" i="36"/>
  <c r="BY136" i="36"/>
  <c r="BZ136" i="36"/>
  <c r="CA136" i="36"/>
  <c r="CB136" i="36"/>
  <c r="CC136" i="36"/>
  <c r="CD136" i="36"/>
  <c r="CE136" i="36"/>
  <c r="CF136" i="36"/>
  <c r="CG136" i="36"/>
  <c r="CH136" i="36"/>
  <c r="CI136" i="36"/>
  <c r="CJ136" i="36"/>
  <c r="CK136" i="36"/>
  <c r="P137" i="36"/>
  <c r="Q137" i="36"/>
  <c r="BS137" i="36"/>
  <c r="BT137" i="36"/>
  <c r="BU137" i="36"/>
  <c r="BV137" i="36"/>
  <c r="BW137" i="36"/>
  <c r="BX137" i="36"/>
  <c r="BY137" i="36"/>
  <c r="BZ137" i="36"/>
  <c r="CA137" i="36"/>
  <c r="CB137" i="36"/>
  <c r="CC137" i="36"/>
  <c r="CD137" i="36"/>
  <c r="CE137" i="36"/>
  <c r="CF137" i="36"/>
  <c r="CG137" i="36"/>
  <c r="CH137" i="36"/>
  <c r="CI137" i="36"/>
  <c r="CJ137" i="36"/>
  <c r="CK137" i="36"/>
  <c r="N141" i="36"/>
  <c r="O141" i="36"/>
  <c r="P141" i="36"/>
  <c r="P143" i="36" s="1"/>
  <c r="Q141" i="36"/>
  <c r="R141" i="36"/>
  <c r="R143" i="36" s="1"/>
  <c r="O142" i="36"/>
  <c r="O143" i="36"/>
  <c r="BS143" i="36"/>
  <c r="BT143" i="36"/>
  <c r="BU143" i="36"/>
  <c r="BV143" i="36"/>
  <c r="BW143" i="36"/>
  <c r="BX143" i="36"/>
  <c r="BY143" i="36"/>
  <c r="BZ143" i="36"/>
  <c r="CA143" i="36"/>
  <c r="CB143" i="36"/>
  <c r="CC143" i="36"/>
  <c r="CD143" i="36"/>
  <c r="CE143" i="36"/>
  <c r="CF143" i="36"/>
  <c r="CG143" i="36"/>
  <c r="CH143" i="36"/>
  <c r="N144" i="36"/>
  <c r="O146" i="36"/>
  <c r="O144" i="36"/>
  <c r="P144" i="36"/>
  <c r="Q144" i="36"/>
  <c r="Q146" i="36" s="1"/>
  <c r="Q145" i="36"/>
  <c r="R144" i="36"/>
  <c r="S144" i="36"/>
  <c r="S146" i="36" s="1"/>
  <c r="P145" i="36"/>
  <c r="BV145" i="36"/>
  <c r="BW145" i="36"/>
  <c r="BX145" i="36"/>
  <c r="BY145" i="36"/>
  <c r="BZ145" i="36"/>
  <c r="CA145" i="36"/>
  <c r="CB145" i="36"/>
  <c r="CC145" i="36"/>
  <c r="CD145" i="36"/>
  <c r="CE145" i="36"/>
  <c r="CF145" i="36"/>
  <c r="CG145" i="36"/>
  <c r="CH145" i="36"/>
  <c r="CI145" i="36"/>
  <c r="CJ145" i="36"/>
  <c r="CK145" i="36"/>
  <c r="P146" i="36"/>
  <c r="R146" i="36"/>
  <c r="BS146" i="36"/>
  <c r="BT146" i="36"/>
  <c r="BU146" i="36"/>
  <c r="BV146" i="36"/>
  <c r="BW146" i="36"/>
  <c r="BX146" i="36"/>
  <c r="BY146" i="36"/>
  <c r="BZ146" i="36"/>
  <c r="CA146" i="36"/>
  <c r="CB146" i="36"/>
  <c r="CC146" i="36"/>
  <c r="CD146" i="36"/>
  <c r="CE146" i="36"/>
  <c r="CF146" i="36"/>
  <c r="CG146" i="36"/>
  <c r="CH146" i="36"/>
  <c r="CI146" i="36"/>
  <c r="CJ146" i="36"/>
  <c r="CK146" i="36"/>
  <c r="O147" i="36"/>
  <c r="P147" i="36"/>
  <c r="P148" i="36" s="1"/>
  <c r="BR147" i="36"/>
  <c r="BR87" i="36"/>
  <c r="BR91" i="36" s="1"/>
  <c r="BS147" i="36"/>
  <c r="BS87" i="36" s="1"/>
  <c r="BT147" i="36"/>
  <c r="BT87" i="36"/>
  <c r="BU147" i="36"/>
  <c r="BU87" i="36" s="1"/>
  <c r="BV147" i="36"/>
  <c r="BV148" i="36"/>
  <c r="BW147" i="36"/>
  <c r="BW87" i="36" s="1"/>
  <c r="BW88" i="36" s="1"/>
  <c r="BX147" i="36"/>
  <c r="BX87" i="36"/>
  <c r="BX88" i="36"/>
  <c r="BY147" i="36"/>
  <c r="BY148" i="36" s="1"/>
  <c r="BZ147" i="36"/>
  <c r="BZ148" i="36"/>
  <c r="CA147" i="36"/>
  <c r="CA149" i="36" s="1"/>
  <c r="CB147" i="36"/>
  <c r="CB87" i="36"/>
  <c r="CB88" i="36"/>
  <c r="CC147" i="36"/>
  <c r="CC148" i="36" s="1"/>
  <c r="CD147" i="36"/>
  <c r="CD148" i="36"/>
  <c r="CE147" i="36"/>
  <c r="CE87" i="36" s="1"/>
  <c r="CF147" i="36"/>
  <c r="CF87" i="36"/>
  <c r="CF88" i="36"/>
  <c r="CG147" i="36"/>
  <c r="CG148" i="36" s="1"/>
  <c r="CH147" i="36"/>
  <c r="CH148" i="36"/>
  <c r="CI147" i="36"/>
  <c r="CI87" i="36" s="1"/>
  <c r="CI88" i="36" s="1"/>
  <c r="CJ147" i="36"/>
  <c r="CJ87" i="36"/>
  <c r="CJ88" i="36"/>
  <c r="CK147" i="36"/>
  <c r="CK148" i="36" s="1"/>
  <c r="BW148" i="36"/>
  <c r="BX148" i="36"/>
  <c r="CA148" i="36"/>
  <c r="CB148" i="36"/>
  <c r="CE148" i="36"/>
  <c r="CF148" i="36"/>
  <c r="CI148" i="36"/>
  <c r="CJ148" i="36"/>
  <c r="P149" i="36"/>
  <c r="BS149" i="36"/>
  <c r="BW149" i="36"/>
  <c r="BW150" i="36" s="1"/>
  <c r="CE149" i="36"/>
  <c r="CI149" i="36"/>
  <c r="CE150" i="36"/>
  <c r="CI150" i="36"/>
  <c r="N151" i="36"/>
  <c r="O151" i="36"/>
  <c r="P102" i="36"/>
  <c r="P151" i="36"/>
  <c r="Q151" i="36"/>
  <c r="Q153" i="36" s="1"/>
  <c r="Q152" i="36"/>
  <c r="R151" i="36"/>
  <c r="S102" i="36" s="1"/>
  <c r="S151" i="36"/>
  <c r="CK151" i="36"/>
  <c r="CK102" i="36" s="1"/>
  <c r="CK103" i="36" s="1"/>
  <c r="CL102" i="36"/>
  <c r="CL103" i="36" s="1"/>
  <c r="P152" i="36"/>
  <c r="BN152" i="36"/>
  <c r="BO152" i="36"/>
  <c r="BP152" i="36"/>
  <c r="BQ152" i="36"/>
  <c r="BR152" i="36"/>
  <c r="BS152" i="36"/>
  <c r="BT152" i="36"/>
  <c r="BU152" i="36"/>
  <c r="BV152" i="36"/>
  <c r="BW152" i="36"/>
  <c r="BX152" i="36"/>
  <c r="BY152" i="36"/>
  <c r="BZ152" i="36"/>
  <c r="CA152" i="36"/>
  <c r="CB152" i="36"/>
  <c r="CC152" i="36"/>
  <c r="CD152" i="36"/>
  <c r="CE152" i="36"/>
  <c r="CF152" i="36"/>
  <c r="CG152" i="36"/>
  <c r="CH152" i="36"/>
  <c r="CI152" i="36"/>
  <c r="CJ152" i="36"/>
  <c r="CK152" i="36"/>
  <c r="CL152" i="36"/>
  <c r="P153" i="36"/>
  <c r="Q260" i="36"/>
  <c r="R153" i="36"/>
  <c r="R260" i="36" s="1"/>
  <c r="BK153" i="36"/>
  <c r="BL153" i="36"/>
  <c r="BM153" i="36"/>
  <c r="BN153" i="36"/>
  <c r="BO153" i="36"/>
  <c r="BP153" i="36"/>
  <c r="BQ153" i="36"/>
  <c r="BR153" i="36"/>
  <c r="BS153" i="36"/>
  <c r="BT153" i="36"/>
  <c r="BU153" i="36"/>
  <c r="BV153" i="36"/>
  <c r="BW153" i="36"/>
  <c r="BX153" i="36"/>
  <c r="BY153" i="36"/>
  <c r="BZ153" i="36"/>
  <c r="CA153" i="36"/>
  <c r="CB153" i="36"/>
  <c r="CC153" i="36"/>
  <c r="CD153" i="36"/>
  <c r="CE153" i="36"/>
  <c r="CF153" i="36"/>
  <c r="CG153" i="36"/>
  <c r="CH153" i="36"/>
  <c r="CI153" i="36"/>
  <c r="CJ153" i="36"/>
  <c r="CK153" i="36"/>
  <c r="BV157" i="36"/>
  <c r="BW157" i="36"/>
  <c r="BX157" i="36"/>
  <c r="BY157" i="36"/>
  <c r="BZ157" i="36"/>
  <c r="CA157" i="36"/>
  <c r="CB157" i="36"/>
  <c r="CC157" i="36"/>
  <c r="CD157" i="36"/>
  <c r="CE157" i="36"/>
  <c r="CF157" i="36"/>
  <c r="CG157" i="36"/>
  <c r="CH157" i="36"/>
  <c r="CI157" i="36"/>
  <c r="CJ157" i="36"/>
  <c r="CK157" i="36"/>
  <c r="CL157" i="36"/>
  <c r="N158" i="36"/>
  <c r="O158" i="36"/>
  <c r="O159" i="36" s="1"/>
  <c r="P158" i="36"/>
  <c r="P159" i="36"/>
  <c r="Q158" i="36"/>
  <c r="Q160" i="36" s="1"/>
  <c r="R158" i="36"/>
  <c r="S158" i="36"/>
  <c r="S159" i="36"/>
  <c r="BV159" i="36"/>
  <c r="BW159" i="36"/>
  <c r="BX159" i="36"/>
  <c r="BY159" i="36"/>
  <c r="BZ159" i="36"/>
  <c r="CA159" i="36"/>
  <c r="CB159" i="36"/>
  <c r="CC159" i="36"/>
  <c r="CD159" i="36"/>
  <c r="CE159" i="36"/>
  <c r="CF159" i="36"/>
  <c r="CG159" i="36"/>
  <c r="CH159" i="36"/>
  <c r="CI159" i="36"/>
  <c r="CJ159" i="36"/>
  <c r="CK159" i="36"/>
  <c r="CL159" i="36"/>
  <c r="BS160" i="36"/>
  <c r="BT160" i="36"/>
  <c r="BU160" i="36"/>
  <c r="BV160" i="36"/>
  <c r="BW160" i="36"/>
  <c r="BX160" i="36"/>
  <c r="BY160" i="36"/>
  <c r="BZ160" i="36"/>
  <c r="CA160" i="36"/>
  <c r="CB160" i="36"/>
  <c r="CC160" i="36"/>
  <c r="CD160" i="36"/>
  <c r="CE160" i="36"/>
  <c r="CF160" i="36"/>
  <c r="CG160" i="36"/>
  <c r="CH160" i="36"/>
  <c r="CI160" i="36"/>
  <c r="CJ160" i="36"/>
  <c r="CK160" i="36"/>
  <c r="CL160" i="36"/>
  <c r="N161" i="36"/>
  <c r="N111" i="36" s="1"/>
  <c r="O161" i="36"/>
  <c r="P161" i="36"/>
  <c r="Q161" i="36"/>
  <c r="Q162" i="36" s="1"/>
  <c r="R161" i="36"/>
  <c r="S161" i="36"/>
  <c r="S164" i="36" s="1"/>
  <c r="BN162" i="36"/>
  <c r="BO162" i="36"/>
  <c r="BP162" i="36"/>
  <c r="BQ162" i="36"/>
  <c r="BR162" i="36"/>
  <c r="BS162" i="36"/>
  <c r="BT162" i="36"/>
  <c r="BU162" i="36"/>
  <c r="BV162" i="36"/>
  <c r="BW162" i="36"/>
  <c r="BX162" i="36"/>
  <c r="BY162" i="36"/>
  <c r="BZ162" i="36"/>
  <c r="CA162" i="36"/>
  <c r="CB162" i="36"/>
  <c r="CC162" i="36"/>
  <c r="CD162" i="36"/>
  <c r="CE162" i="36"/>
  <c r="CF162" i="36"/>
  <c r="CG162" i="36"/>
  <c r="CH162" i="36"/>
  <c r="CI162" i="36"/>
  <c r="CJ162" i="36"/>
  <c r="CK162" i="36"/>
  <c r="CL162" i="36"/>
  <c r="P163" i="36"/>
  <c r="BK163" i="36"/>
  <c r="BL163" i="36"/>
  <c r="BM163" i="36"/>
  <c r="BN163" i="36"/>
  <c r="BO163" i="36"/>
  <c r="BP163" i="36"/>
  <c r="BQ163" i="36"/>
  <c r="BR163" i="36"/>
  <c r="BS163" i="36"/>
  <c r="BT163" i="36"/>
  <c r="BU163" i="36"/>
  <c r="BV163" i="36"/>
  <c r="BW163" i="36"/>
  <c r="BX163" i="36"/>
  <c r="BY163" i="36"/>
  <c r="BZ163" i="36"/>
  <c r="CA163" i="36"/>
  <c r="CB163" i="36"/>
  <c r="CC163" i="36"/>
  <c r="CD163" i="36"/>
  <c r="CE163" i="36"/>
  <c r="CF163" i="36"/>
  <c r="CG163" i="36"/>
  <c r="CH163" i="36"/>
  <c r="CI163" i="36"/>
  <c r="CJ163" i="36"/>
  <c r="CK163" i="36"/>
  <c r="CL163" i="36"/>
  <c r="R164" i="36"/>
  <c r="BR164" i="36"/>
  <c r="BR166" i="36" s="1"/>
  <c r="BS164" i="36"/>
  <c r="BS166" i="36"/>
  <c r="BT164" i="36"/>
  <c r="BT166" i="36" s="1"/>
  <c r="BU164" i="36"/>
  <c r="BV164" i="36"/>
  <c r="BV166" i="36"/>
  <c r="BW164" i="36"/>
  <c r="BW166" i="36"/>
  <c r="BX164" i="36"/>
  <c r="BX166" i="36"/>
  <c r="BY164" i="36"/>
  <c r="BZ164" i="36"/>
  <c r="BZ166" i="36"/>
  <c r="CA164" i="36"/>
  <c r="CA166" i="36" s="1"/>
  <c r="CB164" i="36"/>
  <c r="CB166" i="36"/>
  <c r="CC164" i="36"/>
  <c r="CD164" i="36"/>
  <c r="CD166" i="36"/>
  <c r="CE164" i="36"/>
  <c r="CE166" i="36"/>
  <c r="CF164" i="36"/>
  <c r="CF166" i="36"/>
  <c r="CG164" i="36"/>
  <c r="CH164" i="36"/>
  <c r="CH166" i="36" s="1"/>
  <c r="CI164" i="36"/>
  <c r="CI166" i="36" s="1"/>
  <c r="CJ164" i="36"/>
  <c r="CJ166" i="36" s="1"/>
  <c r="CK164" i="36"/>
  <c r="CK166" i="36" s="1"/>
  <c r="CL164" i="36"/>
  <c r="BU166" i="36"/>
  <c r="BY166" i="36"/>
  <c r="CC166" i="36"/>
  <c r="CG166" i="36"/>
  <c r="N168" i="36"/>
  <c r="O168" i="36"/>
  <c r="O176" i="36" s="1"/>
  <c r="P168" i="36"/>
  <c r="P169" i="36" s="1"/>
  <c r="Q168" i="36"/>
  <c r="R169" i="36" s="1"/>
  <c r="R168" i="36"/>
  <c r="R170" i="36" s="1"/>
  <c r="S168" i="36"/>
  <c r="S176" i="36" s="1"/>
  <c r="O169" i="36"/>
  <c r="S169" i="36"/>
  <c r="BZ169" i="36"/>
  <c r="CA169" i="36"/>
  <c r="CB169" i="36"/>
  <c r="CC169" i="36"/>
  <c r="CD169" i="36"/>
  <c r="CE169" i="36"/>
  <c r="CF169" i="36"/>
  <c r="CG169" i="36"/>
  <c r="CH169" i="36"/>
  <c r="CI169" i="36"/>
  <c r="CJ169" i="36"/>
  <c r="CK169" i="36"/>
  <c r="CL169" i="36"/>
  <c r="BS170" i="36"/>
  <c r="BT170" i="36"/>
  <c r="BU170" i="36"/>
  <c r="BV170" i="36"/>
  <c r="BW170" i="36"/>
  <c r="CA171" i="36" s="1"/>
  <c r="BX170" i="36"/>
  <c r="BY170" i="36"/>
  <c r="BZ170" i="36"/>
  <c r="BZ171" i="36"/>
  <c r="CA170" i="36"/>
  <c r="CB170" i="36"/>
  <c r="CC170" i="36"/>
  <c r="CC171" i="36" s="1"/>
  <c r="CD170" i="36"/>
  <c r="CD171" i="36"/>
  <c r="CE170" i="36"/>
  <c r="CE171" i="36"/>
  <c r="CF170" i="36"/>
  <c r="CG170" i="36"/>
  <c r="CG171" i="36" s="1"/>
  <c r="CH170" i="36"/>
  <c r="CH171" i="36"/>
  <c r="CI170" i="36"/>
  <c r="CI171" i="36"/>
  <c r="CJ170" i="36"/>
  <c r="CB171" i="36"/>
  <c r="CF171" i="36"/>
  <c r="CJ171" i="36"/>
  <c r="N172" i="36"/>
  <c r="O172" i="36"/>
  <c r="P172" i="36"/>
  <c r="P173" i="36"/>
  <c r="Q172" i="36"/>
  <c r="R172" i="36"/>
  <c r="R173" i="36" s="1"/>
  <c r="S172" i="36"/>
  <c r="O173" i="36"/>
  <c r="S173" i="36"/>
  <c r="BZ173" i="36"/>
  <c r="CA173" i="36"/>
  <c r="CB173" i="36"/>
  <c r="CC173" i="36"/>
  <c r="CD173" i="36"/>
  <c r="CE173" i="36"/>
  <c r="CF173" i="36"/>
  <c r="CG173" i="36"/>
  <c r="CH173" i="36"/>
  <c r="CI173" i="36"/>
  <c r="CJ173" i="36"/>
  <c r="CK173" i="36"/>
  <c r="CL173" i="36"/>
  <c r="O174" i="36"/>
  <c r="P175" i="36" s="1"/>
  <c r="P174" i="36"/>
  <c r="Q174" i="36"/>
  <c r="Q175" i="36" s="1"/>
  <c r="R174" i="36"/>
  <c r="R175" i="36" s="1"/>
  <c r="S174" i="36"/>
  <c r="S175" i="36"/>
  <c r="BZ175" i="36"/>
  <c r="CA175" i="36"/>
  <c r="CB175" i="36"/>
  <c r="CC175" i="36"/>
  <c r="CD175" i="36"/>
  <c r="CE175" i="36"/>
  <c r="CF175" i="36"/>
  <c r="CG175" i="36"/>
  <c r="CH175" i="36"/>
  <c r="CI175" i="36"/>
  <c r="CJ175" i="36"/>
  <c r="CK175" i="36"/>
  <c r="CL175" i="36"/>
  <c r="N176" i="36"/>
  <c r="R176" i="36"/>
  <c r="BR176" i="36"/>
  <c r="BR180" i="36"/>
  <c r="BS176" i="36"/>
  <c r="BS180" i="36"/>
  <c r="BT176" i="36"/>
  <c r="BT188" i="36"/>
  <c r="BU176" i="36"/>
  <c r="BV176" i="36"/>
  <c r="BV180" i="36" s="1"/>
  <c r="BW176" i="36"/>
  <c r="BW188" i="36" s="1"/>
  <c r="BW76" i="36" s="1"/>
  <c r="BX176" i="36"/>
  <c r="BX188" i="36" s="1"/>
  <c r="BY176" i="36"/>
  <c r="BY180" i="36" s="1"/>
  <c r="BZ176" i="36"/>
  <c r="BZ180" i="36"/>
  <c r="CA176" i="36"/>
  <c r="CA188" i="36" s="1"/>
  <c r="CA76" i="36" s="1"/>
  <c r="CA177" i="36"/>
  <c r="CB176" i="36"/>
  <c r="CB188" i="36"/>
  <c r="CC176" i="36"/>
  <c r="CD176" i="36"/>
  <c r="CH177" i="36" s="1"/>
  <c r="CE176" i="36"/>
  <c r="CE177" i="36" s="1"/>
  <c r="CF176" i="36"/>
  <c r="CF188" i="36" s="1"/>
  <c r="CG176" i="36"/>
  <c r="CK177" i="36" s="1"/>
  <c r="CH176" i="36"/>
  <c r="CH185" i="36"/>
  <c r="CI176" i="36"/>
  <c r="CI177" i="36"/>
  <c r="CJ176" i="36"/>
  <c r="CJ188" i="36"/>
  <c r="CK176" i="36"/>
  <c r="CL176" i="36"/>
  <c r="CL191" i="36" s="1"/>
  <c r="BV177" i="36"/>
  <c r="BZ177" i="36"/>
  <c r="CD177" i="36"/>
  <c r="CL177" i="36"/>
  <c r="N179" i="36"/>
  <c r="N180" i="36" s="1"/>
  <c r="O179" i="36"/>
  <c r="P179" i="36"/>
  <c r="Q179" i="36"/>
  <c r="Q183" i="36" s="1"/>
  <c r="BU180" i="36"/>
  <c r="CC180" i="36"/>
  <c r="CG180" i="36"/>
  <c r="N181" i="36"/>
  <c r="O181" i="36"/>
  <c r="P181" i="36"/>
  <c r="Q181" i="36"/>
  <c r="BU182" i="36"/>
  <c r="CC182" i="36"/>
  <c r="CG182" i="36"/>
  <c r="N183" i="36"/>
  <c r="O183" i="36"/>
  <c r="O184" i="36" s="1"/>
  <c r="P183" i="36"/>
  <c r="BR183" i="36"/>
  <c r="BR185" i="36" s="1"/>
  <c r="BS183" i="36"/>
  <c r="BS188" i="36" s="1"/>
  <c r="BS76" i="36" s="1"/>
  <c r="BT183" i="36"/>
  <c r="BU183" i="36"/>
  <c r="BU185" i="36" s="1"/>
  <c r="BV183" i="36"/>
  <c r="BV185" i="36"/>
  <c r="BW183" i="36"/>
  <c r="BX183" i="36"/>
  <c r="BX184" i="36" s="1"/>
  <c r="BY183" i="36"/>
  <c r="BY184" i="36"/>
  <c r="BZ183" i="36"/>
  <c r="BZ185" i="36"/>
  <c r="CA183" i="36"/>
  <c r="CA186" i="36"/>
  <c r="CB183" i="36"/>
  <c r="CC183" i="36"/>
  <c r="CC184" i="36" s="1"/>
  <c r="CD183" i="36"/>
  <c r="CD186" i="36" s="1"/>
  <c r="CE183" i="36"/>
  <c r="CE186" i="36" s="1"/>
  <c r="CF183" i="36"/>
  <c r="CJ184" i="36" s="1"/>
  <c r="CG183" i="36"/>
  <c r="CG184" i="36"/>
  <c r="CK183" i="36"/>
  <c r="R183" i="36"/>
  <c r="CL183" i="36"/>
  <c r="CL185" i="36"/>
  <c r="CB184" i="36"/>
  <c r="BY185" i="36"/>
  <c r="CG185" i="36"/>
  <c r="CK185" i="36"/>
  <c r="BR186" i="36"/>
  <c r="BV186" i="36"/>
  <c r="BY186" i="36"/>
  <c r="CG186" i="36"/>
  <c r="CH186" i="36"/>
  <c r="CL186" i="36"/>
  <c r="BZ188" i="36"/>
  <c r="BZ76" i="36"/>
  <c r="CH188" i="36"/>
  <c r="CH76" i="36"/>
  <c r="CI188" i="36"/>
  <c r="CI76" i="36"/>
  <c r="BR191" i="36"/>
  <c r="BU191" i="36"/>
  <c r="CC191" i="36"/>
  <c r="CG191" i="36"/>
  <c r="CK191" i="36"/>
  <c r="N193" i="36"/>
  <c r="N170" i="36" s="1"/>
  <c r="O193" i="36"/>
  <c r="O194" i="36" s="1"/>
  <c r="P193" i="36"/>
  <c r="Q193" i="36"/>
  <c r="Q195" i="36" s="1"/>
  <c r="R193" i="36"/>
  <c r="S194" i="36" s="1"/>
  <c r="R195" i="36"/>
  <c r="S193" i="36"/>
  <c r="S195" i="36"/>
  <c r="R194" i="36"/>
  <c r="BV194" i="36"/>
  <c r="BW194" i="36"/>
  <c r="BX194" i="36"/>
  <c r="BY194" i="36"/>
  <c r="BZ194" i="36"/>
  <c r="CA194" i="36"/>
  <c r="CB194" i="36"/>
  <c r="CC194" i="36"/>
  <c r="CD194" i="36"/>
  <c r="CE194" i="36"/>
  <c r="CF194" i="36"/>
  <c r="CG194" i="36"/>
  <c r="CH194" i="36"/>
  <c r="CI194" i="36"/>
  <c r="CJ194" i="36"/>
  <c r="CK194" i="36"/>
  <c r="CL194" i="36"/>
  <c r="BS195" i="36"/>
  <c r="BT195" i="36"/>
  <c r="BU195" i="36"/>
  <c r="BV195" i="36"/>
  <c r="BW195" i="36"/>
  <c r="BX195" i="36"/>
  <c r="BY195" i="36"/>
  <c r="BZ195" i="36"/>
  <c r="CA195" i="36"/>
  <c r="CB195" i="36"/>
  <c r="CC195" i="36"/>
  <c r="CD195" i="36"/>
  <c r="CE195" i="36"/>
  <c r="CF195" i="36"/>
  <c r="CG195" i="36"/>
  <c r="CH195" i="36"/>
  <c r="CI195" i="36"/>
  <c r="CJ195" i="36"/>
  <c r="CK195" i="36"/>
  <c r="CL195" i="36"/>
  <c r="N197" i="36"/>
  <c r="O198" i="36" s="1"/>
  <c r="O197" i="36"/>
  <c r="P197" i="36"/>
  <c r="Q197" i="36"/>
  <c r="R198" i="36" s="1"/>
  <c r="R197" i="36"/>
  <c r="S197" i="36"/>
  <c r="S198" i="36" s="1"/>
  <c r="Q198" i="36"/>
  <c r="BZ198" i="36"/>
  <c r="CA198" i="36"/>
  <c r="CB198" i="36"/>
  <c r="CC198" i="36"/>
  <c r="CD198" i="36"/>
  <c r="CE198" i="36"/>
  <c r="CF198" i="36"/>
  <c r="CG198" i="36"/>
  <c r="CH198" i="36"/>
  <c r="CI198" i="36"/>
  <c r="CJ198" i="36"/>
  <c r="CK198" i="36"/>
  <c r="CL198" i="36"/>
  <c r="BS199" i="36"/>
  <c r="BT199" i="36"/>
  <c r="BU199" i="36"/>
  <c r="BV199" i="36"/>
  <c r="BW199" i="36"/>
  <c r="BX199" i="36"/>
  <c r="CB200" i="36" s="1"/>
  <c r="BY199" i="36"/>
  <c r="BZ199" i="36"/>
  <c r="BZ200" i="36" s="1"/>
  <c r="CA199" i="36"/>
  <c r="CE200" i="36" s="1"/>
  <c r="CB199" i="36"/>
  <c r="CC199" i="36"/>
  <c r="CC200" i="36" s="1"/>
  <c r="CD199" i="36"/>
  <c r="CD200" i="36" s="1"/>
  <c r="CE199" i="36"/>
  <c r="CF199" i="36"/>
  <c r="CJ200" i="36" s="1"/>
  <c r="CG199" i="36"/>
  <c r="CG200" i="36" s="1"/>
  <c r="CH199" i="36"/>
  <c r="CH200" i="36" s="1"/>
  <c r="CI199" i="36"/>
  <c r="CJ199" i="36"/>
  <c r="CK199" i="36"/>
  <c r="CK200" i="36" s="1"/>
  <c r="CA200" i="36"/>
  <c r="CF200" i="36"/>
  <c r="CI200" i="36"/>
  <c r="N201" i="36"/>
  <c r="N218" i="36" s="1"/>
  <c r="O201" i="36"/>
  <c r="O202" i="36" s="1"/>
  <c r="P201" i="36"/>
  <c r="P203" i="36" s="1"/>
  <c r="Q201" i="36"/>
  <c r="Q202" i="36" s="1"/>
  <c r="R201" i="36"/>
  <c r="R218" i="36"/>
  <c r="S201" i="36"/>
  <c r="S202" i="36"/>
  <c r="R202" i="36"/>
  <c r="BV202" i="36"/>
  <c r="BW202" i="36"/>
  <c r="BX202" i="36"/>
  <c r="BY202" i="36"/>
  <c r="BZ202" i="36"/>
  <c r="CA202" i="36"/>
  <c r="CB202" i="36"/>
  <c r="CC202" i="36"/>
  <c r="CD202" i="36"/>
  <c r="CE202" i="36"/>
  <c r="CF202" i="36"/>
  <c r="CG202" i="36"/>
  <c r="CH202" i="36"/>
  <c r="CI202" i="36"/>
  <c r="CJ202" i="36"/>
  <c r="CK202" i="36"/>
  <c r="CL202" i="36"/>
  <c r="N203" i="36"/>
  <c r="N207" i="36" s="1"/>
  <c r="Q203" i="36"/>
  <c r="R204" i="36" s="1"/>
  <c r="R203" i="36"/>
  <c r="BR203" i="36"/>
  <c r="BR212" i="36" s="1"/>
  <c r="BS203" i="36"/>
  <c r="BS207" i="36"/>
  <c r="BT203" i="36"/>
  <c r="BT207" i="36"/>
  <c r="BU203" i="36"/>
  <c r="BV203" i="36"/>
  <c r="BV204" i="36" s="1"/>
  <c r="BW203" i="36"/>
  <c r="BW204" i="36" s="1"/>
  <c r="BX203" i="36"/>
  <c r="BX204" i="36" s="1"/>
  <c r="BY203" i="36"/>
  <c r="BY215" i="36" s="1"/>
  <c r="BZ203" i="36"/>
  <c r="BZ204" i="36" s="1"/>
  <c r="CA203" i="36"/>
  <c r="CA207" i="36"/>
  <c r="CB203" i="36"/>
  <c r="CB204" i="36"/>
  <c r="CC203" i="36"/>
  <c r="CC215" i="36"/>
  <c r="CD203" i="36"/>
  <c r="CE203" i="36"/>
  <c r="CE207" i="36" s="1"/>
  <c r="CF203" i="36"/>
  <c r="CF215" i="36" s="1"/>
  <c r="CF77" i="36" s="1"/>
  <c r="CG203" i="36"/>
  <c r="CG215" i="36" s="1"/>
  <c r="CH203" i="36"/>
  <c r="CH204" i="36" s="1"/>
  <c r="CI203" i="36"/>
  <c r="CI212" i="36"/>
  <c r="CJ203" i="36"/>
  <c r="CJ204" i="36"/>
  <c r="CK203" i="36"/>
  <c r="CL203" i="36"/>
  <c r="CL204" i="36" s="1"/>
  <c r="CA204" i="36"/>
  <c r="CE204" i="36"/>
  <c r="CI204" i="36"/>
  <c r="N206" i="36"/>
  <c r="O206" i="36"/>
  <c r="O210" i="36" s="1"/>
  <c r="O211" i="36" s="1"/>
  <c r="P206" i="36"/>
  <c r="P210" i="36" s="1"/>
  <c r="Q206" i="36"/>
  <c r="Q207" i="36"/>
  <c r="BV207" i="36"/>
  <c r="CD207" i="36"/>
  <c r="N208" i="36"/>
  <c r="O208" i="36"/>
  <c r="P208" i="36"/>
  <c r="Q208" i="36"/>
  <c r="Q209" i="36" s="1"/>
  <c r="BR209" i="36"/>
  <c r="BZ209" i="36"/>
  <c r="CD209" i="36"/>
  <c r="N210" i="36"/>
  <c r="Q210" i="36"/>
  <c r="Q212" i="36" s="1"/>
  <c r="BR210" i="36"/>
  <c r="BR213" i="36" s="1"/>
  <c r="BS210" i="36"/>
  <c r="BS215" i="36" s="1"/>
  <c r="BS77" i="36" s="1"/>
  <c r="BT210" i="36"/>
  <c r="BT213" i="36" s="1"/>
  <c r="BU210" i="36"/>
  <c r="BU215" i="36" s="1"/>
  <c r="BV210" i="36"/>
  <c r="BV211" i="36"/>
  <c r="BW210" i="36"/>
  <c r="BW212" i="36"/>
  <c r="BX210" i="36"/>
  <c r="BX213" i="36"/>
  <c r="BY210" i="36"/>
  <c r="BZ210" i="36"/>
  <c r="BZ211" i="36" s="1"/>
  <c r="CA210" i="36"/>
  <c r="CA212" i="36" s="1"/>
  <c r="CB210" i="36"/>
  <c r="CB213" i="36" s="1"/>
  <c r="CC210" i="36"/>
  <c r="CC211" i="36" s="1"/>
  <c r="CD210" i="36"/>
  <c r="CD211" i="36"/>
  <c r="CE210" i="36"/>
  <c r="CE212" i="36"/>
  <c r="CF210" i="36"/>
  <c r="CF213" i="36"/>
  <c r="CG210" i="36"/>
  <c r="CK210" i="36"/>
  <c r="CK215" i="36" s="1"/>
  <c r="CL210" i="36"/>
  <c r="S210" i="36"/>
  <c r="CG211" i="36"/>
  <c r="BV212" i="36"/>
  <c r="CD212" i="36"/>
  <c r="CL212" i="36"/>
  <c r="BV213" i="36"/>
  <c r="BY213" i="36"/>
  <c r="CC213" i="36"/>
  <c r="CD213" i="36"/>
  <c r="CG213" i="36"/>
  <c r="CH213" i="36"/>
  <c r="CL213" i="36"/>
  <c r="N215" i="36"/>
  <c r="N216" i="36" s="1"/>
  <c r="Q215" i="36"/>
  <c r="Q216" i="36" s="1"/>
  <c r="BR215" i="36"/>
  <c r="BR77" i="36" s="1"/>
  <c r="BT215" i="36"/>
  <c r="BT77" i="36" s="1"/>
  <c r="BV215" i="36"/>
  <c r="BV77" i="36" s="1"/>
  <c r="BW215" i="36"/>
  <c r="BW77" i="36" s="1"/>
  <c r="BX215" i="36"/>
  <c r="BX77" i="36" s="1"/>
  <c r="BZ215" i="36"/>
  <c r="BZ77" i="36" s="1"/>
  <c r="CA215" i="36"/>
  <c r="CA77" i="36" s="1"/>
  <c r="CB215" i="36"/>
  <c r="CB77" i="36" s="1"/>
  <c r="CD215" i="36"/>
  <c r="CD77" i="36" s="1"/>
  <c r="CE215" i="36"/>
  <c r="CE77" i="36" s="1"/>
  <c r="CH215" i="36"/>
  <c r="CH77" i="36" s="1"/>
  <c r="CI215" i="36"/>
  <c r="CI77" i="36" s="1"/>
  <c r="CJ215" i="36"/>
  <c r="CJ77" i="36" s="1"/>
  <c r="BV218" i="36"/>
  <c r="CD218" i="36"/>
  <c r="CL218" i="36"/>
  <c r="N220" i="36"/>
  <c r="O220" i="36"/>
  <c r="N221" i="36"/>
  <c r="N199" i="36"/>
  <c r="O221" i="36"/>
  <c r="P199" i="36"/>
  <c r="P221" i="36"/>
  <c r="Q199" i="36"/>
  <c r="Q221" i="36"/>
  <c r="R221" i="36"/>
  <c r="R222" i="36" s="1"/>
  <c r="S221" i="36"/>
  <c r="S223" i="36" s="1"/>
  <c r="Q222" i="36"/>
  <c r="BV222" i="36"/>
  <c r="BW222" i="36"/>
  <c r="BX222" i="36"/>
  <c r="BY222" i="36"/>
  <c r="BZ222" i="36"/>
  <c r="CA222" i="36"/>
  <c r="CB222" i="36"/>
  <c r="CC222" i="36"/>
  <c r="CD222" i="36"/>
  <c r="CE222" i="36"/>
  <c r="CF222" i="36"/>
  <c r="CG222" i="36"/>
  <c r="CH222" i="36"/>
  <c r="CI222" i="36"/>
  <c r="CJ222" i="36"/>
  <c r="CK222" i="36"/>
  <c r="O223" i="36"/>
  <c r="Q223" i="36"/>
  <c r="BS223" i="36"/>
  <c r="BT223" i="36"/>
  <c r="BU223" i="36"/>
  <c r="BV223" i="36"/>
  <c r="BW223" i="36"/>
  <c r="BX223" i="36"/>
  <c r="BY223" i="36"/>
  <c r="BZ223" i="36"/>
  <c r="CA223" i="36"/>
  <c r="CB223" i="36"/>
  <c r="CC223" i="36"/>
  <c r="CD223" i="36"/>
  <c r="CE223" i="36"/>
  <c r="CF223" i="36"/>
  <c r="CG223" i="36"/>
  <c r="CH223" i="36"/>
  <c r="CI223" i="36"/>
  <c r="CJ223" i="36"/>
  <c r="CK223" i="36"/>
  <c r="N225" i="36"/>
  <c r="O225" i="36"/>
  <c r="O226" i="36" s="1"/>
  <c r="P225" i="36"/>
  <c r="Q226" i="36" s="1"/>
  <c r="Q225" i="36"/>
  <c r="R225" i="36"/>
  <c r="S225" i="36"/>
  <c r="S226" i="36" s="1"/>
  <c r="BV226" i="36"/>
  <c r="BW226" i="36"/>
  <c r="BX226" i="36"/>
  <c r="BY226" i="36"/>
  <c r="BZ226" i="36"/>
  <c r="CA226" i="36"/>
  <c r="CB226" i="36"/>
  <c r="CC226" i="36"/>
  <c r="CD226" i="36"/>
  <c r="CE226" i="36"/>
  <c r="CF226" i="36"/>
  <c r="CG226" i="36"/>
  <c r="CH226" i="36"/>
  <c r="CI226" i="36"/>
  <c r="CJ226" i="36"/>
  <c r="CK226" i="36"/>
  <c r="CL226" i="36"/>
  <c r="P246" i="36"/>
  <c r="Q246" i="36"/>
  <c r="S246" i="36"/>
  <c r="CD246" i="36"/>
  <c r="CK246" i="36"/>
  <c r="R246" i="36" s="1"/>
  <c r="R247" i="36" s="1"/>
  <c r="CL246" i="36"/>
  <c r="CL247" i="36" s="1"/>
  <c r="Q247" i="36"/>
  <c r="CA247" i="36"/>
  <c r="CB247" i="36"/>
  <c r="CC247" i="36"/>
  <c r="CD247" i="36"/>
  <c r="CF247" i="36"/>
  <c r="CG247" i="36"/>
  <c r="CH247" i="36"/>
  <c r="CI247" i="36"/>
  <c r="CJ247" i="36"/>
  <c r="CK247" i="36"/>
  <c r="P248" i="36"/>
  <c r="S248" i="36"/>
  <c r="CA248" i="36"/>
  <c r="CA258" i="36"/>
  <c r="CB248" i="36"/>
  <c r="CD248" i="36"/>
  <c r="CE248" i="36" s="1"/>
  <c r="P250" i="36"/>
  <c r="CD254" i="36"/>
  <c r="CE254" i="36"/>
  <c r="CF254" i="36"/>
  <c r="CG254" i="36"/>
  <c r="CH254" i="36"/>
  <c r="CI254" i="36"/>
  <c r="CJ254" i="36"/>
  <c r="CK254" i="36"/>
  <c r="CL254" i="36"/>
  <c r="P256" i="36"/>
  <c r="Q256" i="36" s="1"/>
  <c r="R256" i="36" s="1"/>
  <c r="CA256" i="36"/>
  <c r="CA257" i="36"/>
  <c r="CB256" i="36"/>
  <c r="CC256" i="36"/>
  <c r="CB258" i="36"/>
  <c r="CC258" i="36"/>
  <c r="BZ260" i="36"/>
  <c r="BZ262" i="36" s="1"/>
  <c r="CA260" i="36"/>
  <c r="CB260" i="36"/>
  <c r="CC260" i="36"/>
  <c r="CC262" i="36" s="1"/>
  <c r="CD260" i="36"/>
  <c r="CD262" i="36" s="1"/>
  <c r="CE260" i="36"/>
  <c r="CF260" i="36"/>
  <c r="CG260" i="36"/>
  <c r="CG262" i="36" s="1"/>
  <c r="CH260" i="36"/>
  <c r="CH262" i="36" s="1"/>
  <c r="CI260" i="36"/>
  <c r="CJ260" i="36"/>
  <c r="CK260" i="36"/>
  <c r="CK262" i="36" s="1"/>
  <c r="CL260" i="36"/>
  <c r="CL262" i="36" s="1"/>
  <c r="BZ261" i="36"/>
  <c r="CA261" i="36"/>
  <c r="CA262" i="36" s="1"/>
  <c r="CB261" i="36"/>
  <c r="CC261" i="36"/>
  <c r="CD261" i="36"/>
  <c r="CE261" i="36"/>
  <c r="CE262" i="36" s="1"/>
  <c r="CF261" i="36"/>
  <c r="CG261" i="36"/>
  <c r="CH261" i="36"/>
  <c r="CI261" i="36"/>
  <c r="CI262" i="36" s="1"/>
  <c r="CJ261" i="36"/>
  <c r="CK261" i="36"/>
  <c r="CL261" i="36"/>
  <c r="CB262" i="36"/>
  <c r="CF262" i="36"/>
  <c r="CJ262" i="36"/>
  <c r="CK263" i="36"/>
  <c r="CL263" i="36"/>
  <c r="CK264" i="36"/>
  <c r="CL264" i="36"/>
  <c r="CK265" i="36"/>
  <c r="CL265" i="36"/>
  <c r="I5" i="40"/>
  <c r="J5" i="40"/>
  <c r="K5" i="40"/>
  <c r="L5" i="40"/>
  <c r="M5" i="40"/>
  <c r="N5" i="40"/>
  <c r="O5" i="40"/>
  <c r="P5" i="40"/>
  <c r="Q5" i="40"/>
  <c r="R5" i="40"/>
  <c r="S5" i="40"/>
  <c r="BB5" i="40"/>
  <c r="BC5" i="40"/>
  <c r="BD5" i="40"/>
  <c r="BE5" i="40"/>
  <c r="BF5" i="40"/>
  <c r="BG5" i="40"/>
  <c r="BH5" i="40"/>
  <c r="BI5" i="40"/>
  <c r="BJ5" i="40"/>
  <c r="BK5" i="40"/>
  <c r="BL5" i="40"/>
  <c r="BM5" i="40"/>
  <c r="BN5" i="40"/>
  <c r="BO5" i="40"/>
  <c r="BP5" i="40"/>
  <c r="BQ5" i="40"/>
  <c r="BR5" i="40"/>
  <c r="BS5" i="40"/>
  <c r="BT5" i="40"/>
  <c r="BU5" i="40"/>
  <c r="BV5" i="40"/>
  <c r="BW5" i="40"/>
  <c r="BX5" i="40"/>
  <c r="BY5" i="40"/>
  <c r="BZ5" i="40"/>
  <c r="CA5" i="40"/>
  <c r="CB5" i="40"/>
  <c r="CC5" i="40"/>
  <c r="CD5" i="40"/>
  <c r="CE5" i="40"/>
  <c r="CF5" i="40"/>
  <c r="CG5" i="40"/>
  <c r="CH5" i="40"/>
  <c r="CI5" i="40"/>
  <c r="CJ5" i="40"/>
  <c r="CK5" i="40"/>
  <c r="CL5" i="40"/>
  <c r="I6" i="40"/>
  <c r="K10" i="40"/>
  <c r="L10" i="40"/>
  <c r="M10" i="40"/>
  <c r="M34" i="40" s="1"/>
  <c r="N10" i="40"/>
  <c r="N34" i="40" s="1"/>
  <c r="O10" i="40"/>
  <c r="O34" i="40" s="1"/>
  <c r="P10" i="40"/>
  <c r="Q10" i="40"/>
  <c r="Q34" i="40" s="1"/>
  <c r="S10" i="40"/>
  <c r="CK10" i="40"/>
  <c r="R10" i="40" s="1"/>
  <c r="R108" i="37" s="1"/>
  <c r="K11" i="40"/>
  <c r="L11" i="40"/>
  <c r="M11" i="40"/>
  <c r="N11" i="40"/>
  <c r="O11" i="40"/>
  <c r="K12" i="40"/>
  <c r="L12" i="40"/>
  <c r="M12" i="40"/>
  <c r="N12" i="40"/>
  <c r="O12" i="40"/>
  <c r="P12" i="40"/>
  <c r="Q12" i="40"/>
  <c r="R12" i="40"/>
  <c r="S12" i="40"/>
  <c r="CK12" i="40"/>
  <c r="J13" i="40"/>
  <c r="K13" i="40"/>
  <c r="L13" i="40"/>
  <c r="M13" i="40"/>
  <c r="N13" i="40"/>
  <c r="O13" i="40"/>
  <c r="P13" i="40"/>
  <c r="Q13" i="40"/>
  <c r="S13" i="40"/>
  <c r="CK13" i="40"/>
  <c r="R13" i="40"/>
  <c r="K14" i="40"/>
  <c r="L14" i="40"/>
  <c r="M14" i="40"/>
  <c r="N14" i="40"/>
  <c r="O14" i="40"/>
  <c r="P14" i="40"/>
  <c r="R14" i="40"/>
  <c r="S14" i="40"/>
  <c r="K15" i="40"/>
  <c r="L15" i="40"/>
  <c r="M15" i="40"/>
  <c r="N15" i="40"/>
  <c r="O15" i="40"/>
  <c r="P15" i="40"/>
  <c r="Q15" i="40"/>
  <c r="R15" i="40"/>
  <c r="S15" i="40"/>
  <c r="CK15" i="40"/>
  <c r="K16" i="40"/>
  <c r="L16" i="40"/>
  <c r="M16" i="40"/>
  <c r="N16" i="40"/>
  <c r="O16" i="40"/>
  <c r="P16" i="40"/>
  <c r="R16" i="40"/>
  <c r="S16" i="40"/>
  <c r="K17" i="40"/>
  <c r="L17" i="40"/>
  <c r="M17" i="40"/>
  <c r="N17" i="40"/>
  <c r="O17" i="40"/>
  <c r="P17" i="40"/>
  <c r="R17" i="40"/>
  <c r="S17" i="40"/>
  <c r="K18" i="40"/>
  <c r="L18" i="40"/>
  <c r="M18" i="40"/>
  <c r="N18" i="40"/>
  <c r="O18" i="40"/>
  <c r="P18" i="40"/>
  <c r="R18" i="40"/>
  <c r="S18" i="40"/>
  <c r="K19" i="40"/>
  <c r="L19" i="40"/>
  <c r="M19" i="40"/>
  <c r="N19" i="40"/>
  <c r="O19" i="40"/>
  <c r="P19" i="40"/>
  <c r="R19" i="40"/>
  <c r="S19" i="40"/>
  <c r="K20" i="40"/>
  <c r="L20" i="40"/>
  <c r="M20" i="40"/>
  <c r="N20" i="40"/>
  <c r="O20" i="40"/>
  <c r="P20" i="40"/>
  <c r="Q20" i="40"/>
  <c r="R20" i="40"/>
  <c r="S20" i="40"/>
  <c r="CK20" i="40"/>
  <c r="K21" i="40"/>
  <c r="L21" i="40"/>
  <c r="M21" i="40"/>
  <c r="N21" i="40"/>
  <c r="O21" i="40"/>
  <c r="P21" i="40"/>
  <c r="R21" i="40"/>
  <c r="S21" i="40"/>
  <c r="K22" i="40"/>
  <c r="L22" i="40"/>
  <c r="M22" i="40"/>
  <c r="N22" i="40"/>
  <c r="O22" i="40"/>
  <c r="P22" i="40"/>
  <c r="S22" i="40"/>
  <c r="CK22" i="40"/>
  <c r="R22" i="40" s="1"/>
  <c r="K23" i="40"/>
  <c r="L23" i="40"/>
  <c r="M23" i="40"/>
  <c r="N23" i="40"/>
  <c r="O23" i="40"/>
  <c r="P23" i="40"/>
  <c r="Q23" i="40"/>
  <c r="S23" i="40"/>
  <c r="CK23" i="40"/>
  <c r="R23" i="40" s="1"/>
  <c r="S24" i="40"/>
  <c r="K25" i="40"/>
  <c r="L25" i="40"/>
  <c r="M25" i="40"/>
  <c r="N25" i="40"/>
  <c r="O25" i="40"/>
  <c r="O120" i="40" s="1"/>
  <c r="P25" i="40"/>
  <c r="Q25" i="40"/>
  <c r="S25" i="40"/>
  <c r="CK25" i="40"/>
  <c r="R25" i="40" s="1"/>
  <c r="K26" i="40"/>
  <c r="L26" i="40"/>
  <c r="M26" i="40"/>
  <c r="N26" i="40"/>
  <c r="O26" i="40"/>
  <c r="P26" i="40"/>
  <c r="Q26" i="40"/>
  <c r="S26" i="40"/>
  <c r="K27" i="40"/>
  <c r="K120" i="40" s="1"/>
  <c r="L27" i="40"/>
  <c r="M27" i="40"/>
  <c r="N27" i="40"/>
  <c r="O27" i="40"/>
  <c r="P27" i="40"/>
  <c r="Q27" i="40"/>
  <c r="S27" i="40"/>
  <c r="CK27" i="40"/>
  <c r="R27" i="40" s="1"/>
  <c r="K28" i="40"/>
  <c r="L28" i="40"/>
  <c r="M28" i="40"/>
  <c r="N28" i="40"/>
  <c r="O28" i="40"/>
  <c r="P28" i="40"/>
  <c r="Q28" i="40"/>
  <c r="S28" i="40"/>
  <c r="CK28" i="40"/>
  <c r="R28" i="40" s="1"/>
  <c r="K29" i="40"/>
  <c r="L29" i="40"/>
  <c r="M29" i="40"/>
  <c r="N29" i="40"/>
  <c r="O29" i="40"/>
  <c r="P29" i="40"/>
  <c r="Q29" i="40"/>
  <c r="CK29" i="40"/>
  <c r="R29" i="40" s="1"/>
  <c r="CL29" i="40"/>
  <c r="S29" i="40" s="1"/>
  <c r="K30" i="40"/>
  <c r="L30" i="40"/>
  <c r="M30" i="40"/>
  <c r="N30" i="40"/>
  <c r="N120" i="40"/>
  <c r="O30" i="40"/>
  <c r="P30" i="40"/>
  <c r="Q30" i="40"/>
  <c r="R30" i="40"/>
  <c r="S30" i="40"/>
  <c r="K31" i="40"/>
  <c r="L31" i="40"/>
  <c r="M31" i="40"/>
  <c r="N31" i="40"/>
  <c r="O31" i="40"/>
  <c r="P31" i="40"/>
  <c r="Q31" i="40"/>
  <c r="R31" i="40"/>
  <c r="S31" i="40"/>
  <c r="K32" i="40"/>
  <c r="L32" i="40"/>
  <c r="M32" i="40"/>
  <c r="N32" i="40"/>
  <c r="O32" i="40"/>
  <c r="P32" i="40"/>
  <c r="Q32" i="40"/>
  <c r="CK32" i="40"/>
  <c r="R32" i="40" s="1"/>
  <c r="CL32" i="40"/>
  <c r="S32" i="40" s="1"/>
  <c r="L33" i="40"/>
  <c r="M33" i="40"/>
  <c r="N33" i="40"/>
  <c r="O33" i="40"/>
  <c r="P33" i="40"/>
  <c r="Q33" i="40"/>
  <c r="R33" i="40"/>
  <c r="S33" i="40"/>
  <c r="K34" i="40"/>
  <c r="L34" i="40"/>
  <c r="L65" i="40" s="1"/>
  <c r="P34" i="40"/>
  <c r="P65" i="40" s="1"/>
  <c r="CH34" i="40"/>
  <c r="CH65" i="40" s="1"/>
  <c r="CI34" i="40"/>
  <c r="CJ34" i="40"/>
  <c r="CL34" i="40"/>
  <c r="CL65" i="40" s="1"/>
  <c r="CT34" i="40"/>
  <c r="K37" i="40"/>
  <c r="K121" i="40"/>
  <c r="L37" i="40"/>
  <c r="M37" i="40"/>
  <c r="M45" i="40" s="1"/>
  <c r="N37" i="40"/>
  <c r="N45" i="40" s="1"/>
  <c r="O37" i="40"/>
  <c r="O121" i="40" s="1"/>
  <c r="P37" i="40"/>
  <c r="P45" i="40" s="1"/>
  <c r="Q37" i="40"/>
  <c r="S37" i="40"/>
  <c r="S121" i="40" s="1"/>
  <c r="CK37" i="40"/>
  <c r="R37" i="40" s="1"/>
  <c r="R121" i="40" s="1"/>
  <c r="K38" i="40"/>
  <c r="L38" i="40"/>
  <c r="M38" i="40"/>
  <c r="N38" i="40"/>
  <c r="O38" i="40"/>
  <c r="P38" i="40"/>
  <c r="Q38" i="40"/>
  <c r="R38" i="40"/>
  <c r="S38" i="40"/>
  <c r="K39" i="40"/>
  <c r="L39" i="40"/>
  <c r="M39" i="40"/>
  <c r="N39" i="40"/>
  <c r="O39" i="40"/>
  <c r="P39" i="40"/>
  <c r="Q39" i="40"/>
  <c r="Q45" i="40" s="1"/>
  <c r="S39" i="40"/>
  <c r="CK39" i="40"/>
  <c r="R39" i="40" s="1"/>
  <c r="K40" i="40"/>
  <c r="L40" i="40"/>
  <c r="M40" i="40"/>
  <c r="N40" i="40"/>
  <c r="O40" i="40"/>
  <c r="P40" i="40"/>
  <c r="Q40" i="40"/>
  <c r="S40" i="40"/>
  <c r="CK40" i="40"/>
  <c r="R40" i="40" s="1"/>
  <c r="K41" i="40"/>
  <c r="L41" i="40"/>
  <c r="M41" i="40"/>
  <c r="N41" i="40"/>
  <c r="O41" i="40"/>
  <c r="P41" i="40"/>
  <c r="Q41" i="40"/>
  <c r="R41" i="40"/>
  <c r="S41" i="40"/>
  <c r="K42" i="40"/>
  <c r="L42" i="40"/>
  <c r="M42" i="40"/>
  <c r="N42" i="40"/>
  <c r="O42" i="40"/>
  <c r="P42" i="40"/>
  <c r="Q42" i="40"/>
  <c r="R42" i="40"/>
  <c r="S42" i="40"/>
  <c r="N43" i="40"/>
  <c r="O43" i="40"/>
  <c r="P43" i="40"/>
  <c r="Q43" i="40"/>
  <c r="R43" i="40"/>
  <c r="S43" i="40"/>
  <c r="K44" i="40"/>
  <c r="L44" i="40"/>
  <c r="M44" i="40"/>
  <c r="N44" i="40"/>
  <c r="O44" i="40"/>
  <c r="P44" i="40"/>
  <c r="Q44" i="40"/>
  <c r="S44" i="40"/>
  <c r="CK44" i="40"/>
  <c r="R44" i="40" s="1"/>
  <c r="K45" i="40"/>
  <c r="L45" i="40"/>
  <c r="CH45" i="40"/>
  <c r="CI45" i="40"/>
  <c r="CJ45" i="40"/>
  <c r="CL45" i="40"/>
  <c r="K48" i="40"/>
  <c r="L48" i="40"/>
  <c r="M48" i="40"/>
  <c r="N48" i="40"/>
  <c r="N56" i="40" s="1"/>
  <c r="O48" i="40"/>
  <c r="P48" i="40"/>
  <c r="P56" i="40" s="1"/>
  <c r="Q48" i="40"/>
  <c r="R48" i="40"/>
  <c r="S48" i="40"/>
  <c r="K49" i="40"/>
  <c r="L49" i="40"/>
  <c r="M49" i="40"/>
  <c r="M56" i="40" s="1"/>
  <c r="N49" i="40"/>
  <c r="O49" i="40"/>
  <c r="P49" i="40"/>
  <c r="Q49" i="40"/>
  <c r="S49" i="40"/>
  <c r="CK49" i="40"/>
  <c r="R49" i="40" s="1"/>
  <c r="K50" i="40"/>
  <c r="L50" i="40"/>
  <c r="M50" i="40"/>
  <c r="N50" i="40"/>
  <c r="O50" i="40"/>
  <c r="P50" i="40"/>
  <c r="Q50" i="40"/>
  <c r="Q56" i="40" s="1"/>
  <c r="R50" i="40"/>
  <c r="S50" i="40"/>
  <c r="K51" i="40"/>
  <c r="L51" i="40"/>
  <c r="M51" i="40"/>
  <c r="N51" i="40"/>
  <c r="O51" i="40"/>
  <c r="P51" i="40"/>
  <c r="Q51" i="40"/>
  <c r="S51" i="40"/>
  <c r="CK51" i="40"/>
  <c r="R51" i="40" s="1"/>
  <c r="K52" i="40"/>
  <c r="L52" i="40"/>
  <c r="M52" i="40"/>
  <c r="N52" i="40"/>
  <c r="O52" i="40"/>
  <c r="P52" i="40"/>
  <c r="Q52" i="40"/>
  <c r="R52" i="40"/>
  <c r="S52" i="40"/>
  <c r="K53" i="40"/>
  <c r="L53" i="40"/>
  <c r="M53" i="40"/>
  <c r="N53" i="40"/>
  <c r="O53" i="40"/>
  <c r="P53" i="40"/>
  <c r="Q53" i="40"/>
  <c r="S53" i="40"/>
  <c r="CK53" i="40"/>
  <c r="R53" i="40" s="1"/>
  <c r="K54" i="40"/>
  <c r="L54" i="40"/>
  <c r="M54" i="40"/>
  <c r="N54" i="40"/>
  <c r="O54" i="40"/>
  <c r="O56" i="40" s="1"/>
  <c r="P54" i="40"/>
  <c r="Q54" i="40"/>
  <c r="S54" i="40"/>
  <c r="L55" i="40"/>
  <c r="M55" i="40"/>
  <c r="N55" i="40"/>
  <c r="O55" i="40"/>
  <c r="P55" i="40"/>
  <c r="Q55" i="40"/>
  <c r="S55" i="40"/>
  <c r="CK55" i="40"/>
  <c r="R55" i="40"/>
  <c r="K56" i="40"/>
  <c r="L56" i="40"/>
  <c r="CH56" i="40"/>
  <c r="CI56" i="40"/>
  <c r="CJ56" i="40"/>
  <c r="CJ60" i="40" s="1"/>
  <c r="CL56" i="40"/>
  <c r="M58" i="40"/>
  <c r="N58" i="40"/>
  <c r="O58" i="40"/>
  <c r="L58" i="40"/>
  <c r="BM60" i="40"/>
  <c r="BZ60" i="40"/>
  <c r="CA60" i="40"/>
  <c r="CB60" i="40"/>
  <c r="CC60" i="40"/>
  <c r="CD60" i="40"/>
  <c r="CE60" i="40"/>
  <c r="CF60" i="40"/>
  <c r="CG60" i="40"/>
  <c r="CI60" i="40"/>
  <c r="K61" i="40"/>
  <c r="BF63" i="40"/>
  <c r="BG63" i="40"/>
  <c r="BH63" i="40"/>
  <c r="BI63" i="40"/>
  <c r="G65" i="40"/>
  <c r="H65" i="40"/>
  <c r="J65" i="40"/>
  <c r="K65" i="40"/>
  <c r="BB65" i="40"/>
  <c r="BC65" i="40"/>
  <c r="BD65" i="40"/>
  <c r="BE65" i="40"/>
  <c r="BF65" i="40"/>
  <c r="BG65" i="40"/>
  <c r="BG76" i="40"/>
  <c r="BH65" i="40"/>
  <c r="BH76" i="40"/>
  <c r="BI65" i="40"/>
  <c r="BI76" i="40"/>
  <c r="BJ65" i="40"/>
  <c r="BK65" i="40"/>
  <c r="BK76" i="40" s="1"/>
  <c r="BL65" i="40"/>
  <c r="BL76" i="40" s="1"/>
  <c r="BM65" i="40"/>
  <c r="BM76" i="40" s="1"/>
  <c r="BN65" i="40"/>
  <c r="BN76" i="40" s="1"/>
  <c r="BO65" i="40"/>
  <c r="BO76" i="40"/>
  <c r="BP65" i="40"/>
  <c r="BP76" i="40"/>
  <c r="BQ65" i="40"/>
  <c r="BQ72" i="40"/>
  <c r="BR65" i="40"/>
  <c r="BS65" i="40"/>
  <c r="BS76" i="40" s="1"/>
  <c r="BT65" i="40"/>
  <c r="BT76" i="40" s="1"/>
  <c r="BU65" i="40"/>
  <c r="BU72" i="40" s="1"/>
  <c r="BU73" i="40" s="1"/>
  <c r="BV65" i="40"/>
  <c r="BW65" i="40"/>
  <c r="BW76" i="40" s="1"/>
  <c r="BX65" i="40"/>
  <c r="BX76" i="40" s="1"/>
  <c r="BY65" i="40"/>
  <c r="BY72" i="40" s="1"/>
  <c r="BZ65" i="40"/>
  <c r="BZ72" i="40" s="1"/>
  <c r="CA65" i="40"/>
  <c r="CA76" i="40"/>
  <c r="CB65" i="40"/>
  <c r="CB76" i="40"/>
  <c r="CC65" i="40"/>
  <c r="CC72" i="40"/>
  <c r="CD65" i="40"/>
  <c r="CE65" i="40"/>
  <c r="CE76" i="40" s="1"/>
  <c r="CF65" i="40"/>
  <c r="CF66" i="40" s="1"/>
  <c r="CG65" i="40"/>
  <c r="CG72" i="40" s="1"/>
  <c r="CI65" i="40"/>
  <c r="CI66" i="40" s="1"/>
  <c r="CJ65" i="40"/>
  <c r="CJ66" i="40" s="1"/>
  <c r="CD66" i="40"/>
  <c r="M71" i="40"/>
  <c r="N71" i="40"/>
  <c r="O71" i="40"/>
  <c r="P71" i="40"/>
  <c r="Q71" i="40"/>
  <c r="CK71" i="40"/>
  <c r="BO72" i="40"/>
  <c r="BP72" i="40"/>
  <c r="BR72" i="40"/>
  <c r="BR73" i="40" s="1"/>
  <c r="BT72" i="40"/>
  <c r="BV72" i="40"/>
  <c r="BW72" i="40"/>
  <c r="BW73" i="40" s="1"/>
  <c r="CA72" i="40"/>
  <c r="CA73" i="40" s="1"/>
  <c r="CB72" i="40"/>
  <c r="CB79" i="40" s="1"/>
  <c r="CD72" i="40"/>
  <c r="CD73" i="40" s="1"/>
  <c r="CE72" i="40"/>
  <c r="CE79" i="40" s="1"/>
  <c r="CF72" i="40"/>
  <c r="CF79" i="40" s="1"/>
  <c r="CJ72" i="40"/>
  <c r="CJ73" i="40" s="1"/>
  <c r="BT73" i="40"/>
  <c r="BV73" i="40"/>
  <c r="CB73" i="40"/>
  <c r="CE73" i="40"/>
  <c r="BF76" i="40"/>
  <c r="BJ76" i="40"/>
  <c r="BR76" i="40"/>
  <c r="BV76" i="40"/>
  <c r="BZ76" i="40"/>
  <c r="CD76" i="40"/>
  <c r="R77" i="40"/>
  <c r="S77" i="40"/>
  <c r="S83" i="40"/>
  <c r="S103" i="40"/>
  <c r="S106" i="40"/>
  <c r="L120" i="40"/>
  <c r="M120" i="40"/>
  <c r="P120" i="40"/>
  <c r="Q120" i="40"/>
  <c r="BB120" i="40"/>
  <c r="BC120" i="40"/>
  <c r="BD120" i="40"/>
  <c r="BE120" i="40"/>
  <c r="BF120" i="40"/>
  <c r="BG120" i="40"/>
  <c r="BH120" i="40"/>
  <c r="BI120" i="40"/>
  <c r="BJ120" i="40"/>
  <c r="BK120" i="40"/>
  <c r="BL120" i="40"/>
  <c r="BM120" i="40"/>
  <c r="BN120" i="40"/>
  <c r="BO120" i="40"/>
  <c r="BP120" i="40"/>
  <c r="BQ120" i="40"/>
  <c r="BR120" i="40"/>
  <c r="BS120" i="40"/>
  <c r="BT120" i="40"/>
  <c r="BU120" i="40"/>
  <c r="BV120" i="40"/>
  <c r="BW120" i="40"/>
  <c r="BX120" i="40"/>
  <c r="BY120" i="40"/>
  <c r="BZ120" i="40"/>
  <c r="CA120" i="40"/>
  <c r="CB120" i="40"/>
  <c r="CC120" i="40"/>
  <c r="CD120" i="40"/>
  <c r="CE120" i="40"/>
  <c r="CF120" i="40"/>
  <c r="CG120" i="40"/>
  <c r="CH120" i="40"/>
  <c r="CI120" i="40"/>
  <c r="CJ120" i="40"/>
  <c r="CL120" i="40"/>
  <c r="J121" i="40"/>
  <c r="L121" i="40"/>
  <c r="M121" i="40"/>
  <c r="N121" i="40"/>
  <c r="P121" i="40"/>
  <c r="Q121" i="40"/>
  <c r="BB121" i="40"/>
  <c r="BC121" i="40"/>
  <c r="BD121" i="40"/>
  <c r="BE121" i="40"/>
  <c r="BF121" i="40"/>
  <c r="BG121" i="40"/>
  <c r="BH121" i="40"/>
  <c r="BI121" i="40"/>
  <c r="BJ121" i="40"/>
  <c r="BK121" i="40"/>
  <c r="BL121" i="40"/>
  <c r="BM121" i="40"/>
  <c r="BN121" i="40"/>
  <c r="BO121" i="40"/>
  <c r="BP121" i="40"/>
  <c r="BQ121" i="40"/>
  <c r="BR121" i="40"/>
  <c r="BS121" i="40"/>
  <c r="BT121" i="40"/>
  <c r="BU121" i="40"/>
  <c r="BV121" i="40"/>
  <c r="BW121" i="40"/>
  <c r="BX121" i="40"/>
  <c r="BY121" i="40"/>
  <c r="BZ121" i="40"/>
  <c r="CA121" i="40"/>
  <c r="CB121" i="40"/>
  <c r="CC121" i="40"/>
  <c r="CD121" i="40"/>
  <c r="CE121" i="40"/>
  <c r="CF121" i="40"/>
  <c r="CG121" i="40"/>
  <c r="CH121" i="40"/>
  <c r="CI121" i="40"/>
  <c r="CJ121" i="40"/>
  <c r="CK121" i="40"/>
  <c r="CL121" i="40"/>
  <c r="J124" i="40"/>
  <c r="BR124" i="40"/>
  <c r="BS124" i="40"/>
  <c r="BT124" i="40"/>
  <c r="BV124" i="40"/>
  <c r="BX124" i="40"/>
  <c r="BY124" i="40"/>
  <c r="BZ124" i="40"/>
  <c r="CA124" i="40"/>
  <c r="CB124" i="40"/>
  <c r="CC124" i="40"/>
  <c r="CD124" i="40"/>
  <c r="CE124" i="40"/>
  <c r="CF124" i="40"/>
  <c r="CG124" i="40"/>
  <c r="CH124" i="40"/>
  <c r="CK124" i="40"/>
  <c r="CL124" i="40"/>
  <c r="J5" i="39"/>
  <c r="K5" i="39"/>
  <c r="L5" i="39"/>
  <c r="M5" i="39"/>
  <c r="N5" i="39"/>
  <c r="O5" i="39"/>
  <c r="P5" i="39"/>
  <c r="Q5" i="39"/>
  <c r="R5" i="39"/>
  <c r="S5" i="39"/>
  <c r="BB5" i="39"/>
  <c r="BC5" i="39"/>
  <c r="BD5" i="39"/>
  <c r="BE5" i="39"/>
  <c r="BF5" i="39"/>
  <c r="BG5" i="39"/>
  <c r="BH5" i="39"/>
  <c r="BI5" i="39"/>
  <c r="BJ5" i="39"/>
  <c r="BK5" i="39"/>
  <c r="BL5" i="39"/>
  <c r="BM5" i="39"/>
  <c r="BN5" i="39"/>
  <c r="BO5" i="39"/>
  <c r="BP5" i="39"/>
  <c r="BQ5" i="39"/>
  <c r="BR5" i="39"/>
  <c r="BS5" i="39"/>
  <c r="BT5" i="39"/>
  <c r="BU5" i="39"/>
  <c r="BV5" i="39"/>
  <c r="BW5" i="39"/>
  <c r="BX5" i="39"/>
  <c r="BY5" i="39"/>
  <c r="BZ5" i="39"/>
  <c r="CA5" i="39"/>
  <c r="CB5" i="39"/>
  <c r="CC5" i="39"/>
  <c r="CD5" i="39"/>
  <c r="CE5" i="39"/>
  <c r="CF5" i="39"/>
  <c r="CG5" i="39"/>
  <c r="CH5" i="39"/>
  <c r="CI5" i="39"/>
  <c r="CJ5" i="39"/>
  <c r="CK5" i="39"/>
  <c r="CL5" i="39"/>
  <c r="J10" i="39"/>
  <c r="K10" i="39"/>
  <c r="L10" i="39"/>
  <c r="M10" i="39"/>
  <c r="N10" i="39"/>
  <c r="O10" i="39"/>
  <c r="O17" i="39" s="1"/>
  <c r="P10" i="39"/>
  <c r="P17" i="39" s="1"/>
  <c r="Q10" i="39"/>
  <c r="R10" i="39"/>
  <c r="S10" i="39"/>
  <c r="CU10" i="39"/>
  <c r="J11" i="39"/>
  <c r="K11" i="39"/>
  <c r="K17" i="39" s="1"/>
  <c r="L11" i="39"/>
  <c r="L17" i="39" s="1"/>
  <c r="M11" i="39"/>
  <c r="M17" i="39" s="1"/>
  <c r="N11" i="39"/>
  <c r="O11" i="39"/>
  <c r="P11" i="39"/>
  <c r="Q11" i="39"/>
  <c r="R11" i="39"/>
  <c r="CU11" i="39" s="1"/>
  <c r="S11" i="39"/>
  <c r="J12" i="39"/>
  <c r="K12" i="39"/>
  <c r="L12" i="39"/>
  <c r="M12" i="39"/>
  <c r="N12" i="39"/>
  <c r="O12" i="39"/>
  <c r="P12" i="39"/>
  <c r="Q12" i="39"/>
  <c r="Q17" i="39" s="1"/>
  <c r="Q76" i="39" s="1"/>
  <c r="Q105" i="39" s="1"/>
  <c r="Q112" i="39" s="1"/>
  <c r="R12" i="39"/>
  <c r="S12" i="39"/>
  <c r="S17" i="39" s="1"/>
  <c r="J13" i="39"/>
  <c r="K13" i="39"/>
  <c r="L13" i="39"/>
  <c r="M13" i="39"/>
  <c r="N13" i="39"/>
  <c r="O13" i="39"/>
  <c r="P13" i="39"/>
  <c r="Q13" i="39"/>
  <c r="S13" i="39"/>
  <c r="J14" i="39"/>
  <c r="K14" i="39"/>
  <c r="L14" i="39"/>
  <c r="M14" i="39"/>
  <c r="N14" i="39"/>
  <c r="O14" i="39"/>
  <c r="P14" i="39"/>
  <c r="Q14" i="39"/>
  <c r="R14" i="39"/>
  <c r="CU14" i="39"/>
  <c r="S14" i="39"/>
  <c r="J15" i="39"/>
  <c r="K15" i="39"/>
  <c r="L15" i="39"/>
  <c r="M15" i="39"/>
  <c r="N15" i="39"/>
  <c r="O15" i="39"/>
  <c r="P15" i="39"/>
  <c r="Q15" i="39"/>
  <c r="R15" i="39"/>
  <c r="S15" i="39"/>
  <c r="CU15" i="39"/>
  <c r="J16" i="39"/>
  <c r="K16" i="39"/>
  <c r="L16" i="39"/>
  <c r="M16" i="39"/>
  <c r="N16" i="39"/>
  <c r="N17" i="39" s="1"/>
  <c r="O16" i="39"/>
  <c r="P16" i="39"/>
  <c r="Q16" i="39"/>
  <c r="R16" i="39"/>
  <c r="CU16" i="39" s="1"/>
  <c r="S16" i="39"/>
  <c r="BE17" i="39"/>
  <c r="J17" i="39" s="1"/>
  <c r="BF17" i="39"/>
  <c r="BF29" i="39"/>
  <c r="BG17" i="39"/>
  <c r="BG29" i="39" s="1"/>
  <c r="BH17" i="39"/>
  <c r="BI17" i="39"/>
  <c r="BI29" i="39" s="1"/>
  <c r="BJ17" i="39"/>
  <c r="BJ29" i="39" s="1"/>
  <c r="BK17" i="39"/>
  <c r="BK29" i="39" s="1"/>
  <c r="BL17" i="39"/>
  <c r="BM17" i="39"/>
  <c r="BM29" i="39" s="1"/>
  <c r="BN17" i="39"/>
  <c r="BN29" i="39"/>
  <c r="BO17" i="39"/>
  <c r="BO29" i="39" s="1"/>
  <c r="BP17" i="39"/>
  <c r="BQ17" i="39"/>
  <c r="BQ29" i="39" s="1"/>
  <c r="BR17" i="39"/>
  <c r="BR29" i="39"/>
  <c r="BS17" i="39"/>
  <c r="BS29" i="39" s="1"/>
  <c r="BT17" i="39"/>
  <c r="BU17" i="39"/>
  <c r="BU29" i="39" s="1"/>
  <c r="BV17" i="39"/>
  <c r="BV29" i="39"/>
  <c r="BW17" i="39"/>
  <c r="BW29" i="39" s="1"/>
  <c r="BX17" i="39"/>
  <c r="BY17" i="39"/>
  <c r="BY29" i="39" s="1"/>
  <c r="BZ17" i="39"/>
  <c r="BZ29" i="39"/>
  <c r="CA17" i="39"/>
  <c r="CA29" i="39" s="1"/>
  <c r="CB17" i="39"/>
  <c r="CC17" i="39"/>
  <c r="CC29" i="39" s="1"/>
  <c r="CD17" i="39"/>
  <c r="CD29" i="39" s="1"/>
  <c r="CE17" i="39"/>
  <c r="CE29" i="39" s="1"/>
  <c r="CE57" i="39" s="1"/>
  <c r="CF17" i="39"/>
  <c r="CG17" i="39"/>
  <c r="CG29" i="39" s="1"/>
  <c r="CH17" i="39"/>
  <c r="CH29" i="39" s="1"/>
  <c r="CH57" i="39" s="1"/>
  <c r="CI17" i="39"/>
  <c r="CI29" i="39" s="1"/>
  <c r="CI57" i="39" s="1"/>
  <c r="CJ17" i="39"/>
  <c r="CL17" i="39"/>
  <c r="CL29" i="39" s="1"/>
  <c r="K18" i="39"/>
  <c r="L18" i="39"/>
  <c r="M18" i="39"/>
  <c r="N18" i="39"/>
  <c r="O18" i="39"/>
  <c r="P18" i="39"/>
  <c r="Q18" i="39"/>
  <c r="R18" i="39"/>
  <c r="CU18" i="39" s="1"/>
  <c r="S18" i="39"/>
  <c r="K19" i="39"/>
  <c r="L19" i="39"/>
  <c r="M19" i="39"/>
  <c r="N19" i="39"/>
  <c r="O19" i="39"/>
  <c r="P19" i="39"/>
  <c r="Q19" i="39"/>
  <c r="R19" i="39"/>
  <c r="CU19" i="39" s="1"/>
  <c r="S19" i="39"/>
  <c r="J20" i="39"/>
  <c r="J19" i="39" s="1"/>
  <c r="K20" i="39"/>
  <c r="L20" i="39"/>
  <c r="M20" i="39"/>
  <c r="N20" i="39"/>
  <c r="N29" i="39" s="1"/>
  <c r="O20" i="39"/>
  <c r="P20" i="39"/>
  <c r="Q20" i="39"/>
  <c r="R20" i="39"/>
  <c r="CU20" i="39" s="1"/>
  <c r="S20" i="39"/>
  <c r="M21" i="39"/>
  <c r="N21" i="39"/>
  <c r="O21" i="39"/>
  <c r="P21" i="39"/>
  <c r="P106" i="39" s="1"/>
  <c r="Q21" i="39"/>
  <c r="S21" i="39"/>
  <c r="CU21" i="39"/>
  <c r="K22" i="39"/>
  <c r="L22" i="39"/>
  <c r="M22" i="39"/>
  <c r="N22" i="39"/>
  <c r="O22" i="39"/>
  <c r="P22" i="39"/>
  <c r="Q22" i="39"/>
  <c r="R22" i="39"/>
  <c r="CU22" i="39" s="1"/>
  <c r="S22" i="39"/>
  <c r="K23" i="39"/>
  <c r="L23" i="39" s="1"/>
  <c r="M23" i="39"/>
  <c r="N23" i="39"/>
  <c r="O23" i="39"/>
  <c r="P23" i="39"/>
  <c r="Q23" i="39"/>
  <c r="R23" i="39"/>
  <c r="CU23" i="39" s="1"/>
  <c r="S23" i="39"/>
  <c r="L24" i="39"/>
  <c r="M24" i="39"/>
  <c r="N24" i="39"/>
  <c r="O24" i="39"/>
  <c r="P24" i="39"/>
  <c r="Q24" i="39"/>
  <c r="R24" i="39"/>
  <c r="CU24" i="39" s="1"/>
  <c r="S24" i="39"/>
  <c r="J25" i="39"/>
  <c r="K25" i="39"/>
  <c r="K19" i="38" s="1"/>
  <c r="L16" i="38" s="1"/>
  <c r="L25" i="39"/>
  <c r="L19" i="38" s="1"/>
  <c r="M25" i="39"/>
  <c r="M19" i="38"/>
  <c r="N25" i="39"/>
  <c r="O25" i="39"/>
  <c r="P25" i="39"/>
  <c r="Q25" i="39"/>
  <c r="R25" i="39"/>
  <c r="S25" i="39"/>
  <c r="CU25" i="39"/>
  <c r="J26" i="39"/>
  <c r="K26" i="39"/>
  <c r="L26" i="39"/>
  <c r="M26" i="39"/>
  <c r="N26" i="39"/>
  <c r="O26" i="39"/>
  <c r="P26" i="39"/>
  <c r="P29" i="39" s="1"/>
  <c r="Q26" i="39"/>
  <c r="R26" i="39"/>
  <c r="CU26" i="39" s="1"/>
  <c r="S26" i="39"/>
  <c r="M27" i="39"/>
  <c r="N27" i="39"/>
  <c r="O27" i="39"/>
  <c r="P27" i="39"/>
  <c r="Q27" i="39"/>
  <c r="R27" i="39"/>
  <c r="CU27" i="39" s="1"/>
  <c r="S27" i="39"/>
  <c r="J28" i="39"/>
  <c r="K28" i="39"/>
  <c r="L28" i="39"/>
  <c r="L29" i="39" s="1"/>
  <c r="M28" i="39"/>
  <c r="N28" i="39"/>
  <c r="O28" i="39"/>
  <c r="P28" i="39"/>
  <c r="Q28" i="39"/>
  <c r="R28" i="39"/>
  <c r="CU28" i="39" s="1"/>
  <c r="S28" i="39"/>
  <c r="BE29" i="39"/>
  <c r="J29" i="39" s="1"/>
  <c r="BH29" i="39"/>
  <c r="BL29" i="39"/>
  <c r="BP29" i="39"/>
  <c r="BT29" i="39"/>
  <c r="BX29" i="39"/>
  <c r="CB29" i="39"/>
  <c r="CF29" i="39"/>
  <c r="CJ29" i="39"/>
  <c r="CU30" i="39"/>
  <c r="CU31" i="39"/>
  <c r="J32" i="39"/>
  <c r="K32" i="39"/>
  <c r="K80" i="39" s="1"/>
  <c r="L32" i="39"/>
  <c r="M32" i="39"/>
  <c r="N32" i="39"/>
  <c r="O32" i="39"/>
  <c r="O80" i="39" s="1"/>
  <c r="P32" i="39"/>
  <c r="Q32" i="39"/>
  <c r="Q40" i="39" s="1"/>
  <c r="Q47" i="39" s="1"/>
  <c r="R32" i="39"/>
  <c r="S32" i="39"/>
  <c r="CU32" i="39"/>
  <c r="J33" i="39"/>
  <c r="K33" i="39"/>
  <c r="L33" i="39"/>
  <c r="M33" i="39"/>
  <c r="N33" i="39"/>
  <c r="O33" i="39"/>
  <c r="P33" i="39"/>
  <c r="Q33" i="39"/>
  <c r="R33" i="39"/>
  <c r="S33" i="39"/>
  <c r="J34" i="39"/>
  <c r="K34" i="39"/>
  <c r="L34" i="39"/>
  <c r="M34" i="39"/>
  <c r="N34" i="39"/>
  <c r="O34" i="39"/>
  <c r="P34" i="39"/>
  <c r="Q34" i="39"/>
  <c r="S34" i="39"/>
  <c r="CK34" i="39"/>
  <c r="R34" i="39" s="1"/>
  <c r="CL34" i="39"/>
  <c r="J35" i="39"/>
  <c r="K35" i="39"/>
  <c r="L35" i="39"/>
  <c r="M35" i="39"/>
  <c r="N35" i="39"/>
  <c r="O35" i="39"/>
  <c r="P35" i="39"/>
  <c r="Q35" i="39"/>
  <c r="R35" i="39"/>
  <c r="CU35" i="39"/>
  <c r="S35" i="39"/>
  <c r="J36" i="39"/>
  <c r="K36" i="39"/>
  <c r="L36" i="39"/>
  <c r="M36" i="39"/>
  <c r="N36" i="39"/>
  <c r="O36" i="39"/>
  <c r="P36" i="39"/>
  <c r="Q36" i="39"/>
  <c r="R36" i="39"/>
  <c r="CU36" i="39" s="1"/>
  <c r="S36" i="39"/>
  <c r="CL36" i="39"/>
  <c r="CL40" i="39" s="1"/>
  <c r="J37" i="39"/>
  <c r="K37" i="39"/>
  <c r="L37" i="39"/>
  <c r="M37" i="39"/>
  <c r="N37" i="39"/>
  <c r="O37" i="39"/>
  <c r="P37" i="39"/>
  <c r="Q37" i="39"/>
  <c r="R37" i="39"/>
  <c r="CU37" i="39" s="1"/>
  <c r="S37" i="39"/>
  <c r="CL37" i="39"/>
  <c r="J38" i="39"/>
  <c r="K38" i="39"/>
  <c r="L38" i="39"/>
  <c r="M38" i="39"/>
  <c r="N38" i="39"/>
  <c r="O38" i="39"/>
  <c r="P38" i="39"/>
  <c r="Q38" i="39"/>
  <c r="R38" i="39"/>
  <c r="CU38" i="39" s="1"/>
  <c r="S38" i="39"/>
  <c r="Q39" i="39"/>
  <c r="R39" i="39"/>
  <c r="CU39" i="39" s="1"/>
  <c r="S39" i="39"/>
  <c r="BH40" i="39"/>
  <c r="K39" i="39"/>
  <c r="K40" i="39" s="1"/>
  <c r="K47" i="39" s="1"/>
  <c r="K56" i="39" s="1"/>
  <c r="K57" i="39" s="1"/>
  <c r="BK40" i="39"/>
  <c r="BL40" i="39"/>
  <c r="BR40" i="39"/>
  <c r="BS40" i="39"/>
  <c r="BV40" i="39"/>
  <c r="CC40" i="39"/>
  <c r="BF40" i="39"/>
  <c r="BG40" i="39"/>
  <c r="BG76" i="39" s="1"/>
  <c r="BJ40" i="39"/>
  <c r="BJ47" i="39" s="1"/>
  <c r="BJ56" i="39" s="1"/>
  <c r="BN40" i="39"/>
  <c r="BN47" i="39" s="1"/>
  <c r="BO40" i="39"/>
  <c r="BP40" i="39"/>
  <c r="BP47" i="39" s="1"/>
  <c r="BT40" i="39"/>
  <c r="BT47" i="39"/>
  <c r="BT56" i="39" s="1"/>
  <c r="BW40" i="39"/>
  <c r="BX40" i="39"/>
  <c r="BZ40" i="39"/>
  <c r="CA40" i="39"/>
  <c r="CB40" i="39"/>
  <c r="CB47" i="39" s="1"/>
  <c r="CB56" i="39" s="1"/>
  <c r="CD40" i="39"/>
  <c r="CD47" i="39" s="1"/>
  <c r="CD56" i="39" s="1"/>
  <c r="CE40" i="39"/>
  <c r="CF40" i="39"/>
  <c r="CF47" i="39"/>
  <c r="CG40" i="39"/>
  <c r="CG47" i="39" s="1"/>
  <c r="CH40" i="39"/>
  <c r="CI40" i="39"/>
  <c r="CJ40" i="39"/>
  <c r="CJ47" i="39" s="1"/>
  <c r="J41" i="39"/>
  <c r="J80" i="39" s="1"/>
  <c r="K41" i="39"/>
  <c r="L41" i="39"/>
  <c r="M41" i="39"/>
  <c r="N41" i="39"/>
  <c r="N80" i="39"/>
  <c r="O41" i="39"/>
  <c r="P41" i="39"/>
  <c r="Q41" i="39"/>
  <c r="R41" i="39"/>
  <c r="CU41" i="39" s="1"/>
  <c r="S41" i="39"/>
  <c r="S80" i="39"/>
  <c r="S89" i="39"/>
  <c r="J42" i="39"/>
  <c r="K42" i="39"/>
  <c r="L42" i="39"/>
  <c r="M42" i="39"/>
  <c r="N42" i="39"/>
  <c r="O42" i="39"/>
  <c r="P42" i="39"/>
  <c r="P118" i="40"/>
  <c r="Q42" i="39"/>
  <c r="Q118" i="40" s="1"/>
  <c r="R42" i="39"/>
  <c r="R118" i="40" s="1"/>
  <c r="CU42" i="39"/>
  <c r="S42" i="39"/>
  <c r="S118" i="40" s="1"/>
  <c r="CL42" i="39"/>
  <c r="J43" i="39"/>
  <c r="K43" i="39"/>
  <c r="L43" i="39"/>
  <c r="M43" i="39"/>
  <c r="N43" i="39"/>
  <c r="O43" i="39"/>
  <c r="P43" i="39"/>
  <c r="Q43" i="39"/>
  <c r="R43" i="39"/>
  <c r="CU43" i="39" s="1"/>
  <c r="S43" i="39"/>
  <c r="J44" i="39"/>
  <c r="K44" i="39"/>
  <c r="L44" i="39"/>
  <c r="M44" i="39"/>
  <c r="N44" i="39"/>
  <c r="O44" i="39"/>
  <c r="P44" i="39"/>
  <c r="Q44" i="39"/>
  <c r="R44" i="39"/>
  <c r="CU44" i="39" s="1"/>
  <c r="S44" i="39"/>
  <c r="J45" i="39"/>
  <c r="P45" i="39"/>
  <c r="Q45" i="39"/>
  <c r="S45" i="39"/>
  <c r="CU45" i="39"/>
  <c r="J46" i="39"/>
  <c r="K46" i="39"/>
  <c r="L46" i="39"/>
  <c r="M46" i="39"/>
  <c r="N46" i="39"/>
  <c r="O46" i="39"/>
  <c r="P46" i="39"/>
  <c r="Q46" i="39"/>
  <c r="R46" i="39"/>
  <c r="CU46" i="39" s="1"/>
  <c r="S46" i="39"/>
  <c r="BF47" i="39"/>
  <c r="BG47" i="39"/>
  <c r="BO47" i="39"/>
  <c r="BO56" i="39" s="1"/>
  <c r="BW47" i="39"/>
  <c r="BW56" i="39" s="1"/>
  <c r="BZ47" i="39"/>
  <c r="CA47" i="39"/>
  <c r="CA56" i="39" s="1"/>
  <c r="CE47" i="39"/>
  <c r="CE56" i="39" s="1"/>
  <c r="CH47" i="39"/>
  <c r="CI47" i="39"/>
  <c r="CI56" i="39" s="1"/>
  <c r="CU48" i="39"/>
  <c r="K49" i="39"/>
  <c r="L49" i="39"/>
  <c r="M49" i="39"/>
  <c r="M55" i="39" s="1"/>
  <c r="M90" i="39" s="1"/>
  <c r="N49" i="39"/>
  <c r="O49" i="39"/>
  <c r="O55" i="39" s="1"/>
  <c r="P49" i="39"/>
  <c r="Q49" i="39"/>
  <c r="R49" i="39" s="1"/>
  <c r="BF55" i="39"/>
  <c r="BG55" i="39"/>
  <c r="BH55" i="39"/>
  <c r="J50" i="39"/>
  <c r="K50" i="39"/>
  <c r="K55" i="39" s="1"/>
  <c r="K66" i="39" s="1"/>
  <c r="L50" i="39"/>
  <c r="M50" i="39"/>
  <c r="N50" i="39"/>
  <c r="N55" i="39" s="1"/>
  <c r="N86" i="39" s="1"/>
  <c r="O50" i="39"/>
  <c r="P50" i="39"/>
  <c r="Q50" i="39"/>
  <c r="R50" i="39"/>
  <c r="CU50" i="39" s="1"/>
  <c r="S50" i="39"/>
  <c r="J51" i="39"/>
  <c r="K51" i="39"/>
  <c r="L51" i="39"/>
  <c r="M51" i="39"/>
  <c r="N51" i="39"/>
  <c r="O51" i="39"/>
  <c r="P51" i="39"/>
  <c r="Q51" i="39"/>
  <c r="R51" i="39"/>
  <c r="CU51" i="39" s="1"/>
  <c r="S51" i="39"/>
  <c r="J52" i="39"/>
  <c r="K52" i="39"/>
  <c r="L52" i="39"/>
  <c r="M52" i="39"/>
  <c r="N52" i="39"/>
  <c r="O52" i="39"/>
  <c r="P52" i="39"/>
  <c r="P55" i="39" s="1"/>
  <c r="P86" i="39" s="1"/>
  <c r="Q52" i="39"/>
  <c r="S52" i="39"/>
  <c r="CK52" i="39"/>
  <c r="R52" i="39" s="1"/>
  <c r="J53" i="39"/>
  <c r="K53" i="39"/>
  <c r="L53" i="39"/>
  <c r="M53" i="39"/>
  <c r="N53" i="39"/>
  <c r="O53" i="39"/>
  <c r="P53" i="39"/>
  <c r="Q53" i="39"/>
  <c r="R53" i="39"/>
  <c r="CU53" i="39"/>
  <c r="S53" i="39"/>
  <c r="J54" i="39"/>
  <c r="K54" i="39"/>
  <c r="L54" i="39"/>
  <c r="M54" i="39"/>
  <c r="N54" i="39"/>
  <c r="O54" i="39"/>
  <c r="P54" i="39"/>
  <c r="Q54" i="39"/>
  <c r="Q55" i="39" s="1"/>
  <c r="R54" i="39"/>
  <c r="CU54" i="39" s="1"/>
  <c r="S54" i="39"/>
  <c r="L55" i="39"/>
  <c r="BI55" i="39"/>
  <c r="BI86" i="39" s="1"/>
  <c r="BJ55" i="39"/>
  <c r="BK55" i="39"/>
  <c r="BL55" i="39"/>
  <c r="BM55" i="39"/>
  <c r="BM86" i="39" s="1"/>
  <c r="BN55" i="39"/>
  <c r="BO55" i="39"/>
  <c r="BP55" i="39"/>
  <c r="BQ55" i="39"/>
  <c r="BR55" i="39"/>
  <c r="BS55" i="39"/>
  <c r="BT55" i="39"/>
  <c r="BU55" i="39"/>
  <c r="BU86" i="39" s="1"/>
  <c r="BV55" i="39"/>
  <c r="BW55" i="39"/>
  <c r="BX55" i="39"/>
  <c r="BY55" i="39"/>
  <c r="BZ55" i="39"/>
  <c r="BZ56" i="39" s="1"/>
  <c r="CA55" i="39"/>
  <c r="CB55" i="39"/>
  <c r="CC55" i="39"/>
  <c r="CC86" i="39" s="1"/>
  <c r="CD55" i="39"/>
  <c r="CE55" i="39"/>
  <c r="CF55" i="39"/>
  <c r="CG55" i="39"/>
  <c r="CH55" i="39"/>
  <c r="CH56" i="39" s="1"/>
  <c r="CI55" i="39"/>
  <c r="CJ55" i="39"/>
  <c r="CK55" i="39"/>
  <c r="CK86" i="39" s="1"/>
  <c r="CL55" i="39"/>
  <c r="CF56" i="39"/>
  <c r="BB57" i="39"/>
  <c r="BC57" i="39"/>
  <c r="BD57" i="39"/>
  <c r="BT57" i="39"/>
  <c r="CF57" i="39"/>
  <c r="J64" i="39"/>
  <c r="K64" i="39"/>
  <c r="J65" i="39"/>
  <c r="K65" i="39"/>
  <c r="BF76" i="39"/>
  <c r="BN76" i="39"/>
  <c r="BO76" i="39"/>
  <c r="BW76" i="39"/>
  <c r="BZ76" i="39"/>
  <c r="CA76" i="39"/>
  <c r="CE76" i="39"/>
  <c r="CH76" i="39"/>
  <c r="CH105" i="39" s="1"/>
  <c r="CH112" i="39" s="1"/>
  <c r="CI76" i="39"/>
  <c r="L80" i="39"/>
  <c r="L86" i="39"/>
  <c r="M80" i="39"/>
  <c r="P80" i="39"/>
  <c r="Q80" i="39"/>
  <c r="Q81" i="39" s="1"/>
  <c r="BF80" i="39"/>
  <c r="BG80" i="39"/>
  <c r="BG81" i="39" s="1"/>
  <c r="BH80" i="39"/>
  <c r="BI81" i="39" s="1"/>
  <c r="BI80" i="39"/>
  <c r="BJ80" i="39"/>
  <c r="BK80" i="39"/>
  <c r="BK81" i="39" s="1"/>
  <c r="BL80" i="39"/>
  <c r="BM80" i="39"/>
  <c r="BM81" i="39"/>
  <c r="BN80" i="39"/>
  <c r="BO81" i="39" s="1"/>
  <c r="BO80" i="39"/>
  <c r="BP80" i="39"/>
  <c r="BQ81" i="39" s="1"/>
  <c r="BQ80" i="39"/>
  <c r="BQ86" i="39" s="1"/>
  <c r="BR80" i="39"/>
  <c r="BS80" i="39"/>
  <c r="BT80" i="39"/>
  <c r="BU81" i="39" s="1"/>
  <c r="BU82" i="39" s="1"/>
  <c r="BU80" i="39"/>
  <c r="BV80" i="39"/>
  <c r="BW81" i="39"/>
  <c r="BW82" i="39" s="1"/>
  <c r="BW80" i="39"/>
  <c r="BX80" i="39"/>
  <c r="BY80" i="39"/>
  <c r="BY86" i="39" s="1"/>
  <c r="BZ80" i="39"/>
  <c r="CA80" i="39"/>
  <c r="CB80" i="39"/>
  <c r="CC81" i="39" s="1"/>
  <c r="CC82" i="39" s="1"/>
  <c r="CC80" i="39"/>
  <c r="CD80" i="39"/>
  <c r="CE81" i="39"/>
  <c r="CE82" i="39" s="1"/>
  <c r="CE80" i="39"/>
  <c r="CF80" i="39"/>
  <c r="CG80" i="39"/>
  <c r="CG86" i="39" s="1"/>
  <c r="CH80" i="39"/>
  <c r="CI80" i="39"/>
  <c r="CJ80" i="39"/>
  <c r="CK81" i="39" s="1"/>
  <c r="CK82" i="39" s="1"/>
  <c r="CK80" i="39"/>
  <c r="CL80" i="39"/>
  <c r="BS81" i="39"/>
  <c r="BS82" i="39" s="1"/>
  <c r="CA81" i="39"/>
  <c r="CA82" i="39"/>
  <c r="CI81" i="39"/>
  <c r="BZ83" i="39"/>
  <c r="P83" i="39" s="1"/>
  <c r="CA83" i="39"/>
  <c r="CB83" i="39"/>
  <c r="CC83" i="39"/>
  <c r="CD83" i="39"/>
  <c r="Q83" i="39" s="1"/>
  <c r="CE83" i="39"/>
  <c r="CF83" i="39"/>
  <c r="CG83" i="39"/>
  <c r="CH83" i="39"/>
  <c r="CJ83" i="39"/>
  <c r="CK83" i="39"/>
  <c r="CL83" i="39"/>
  <c r="S83" i="39" s="1"/>
  <c r="S62" i="37" s="1"/>
  <c r="Q85" i="39"/>
  <c r="R85" i="39"/>
  <c r="BL86" i="39"/>
  <c r="BP86" i="39"/>
  <c r="BT86" i="39"/>
  <c r="BX86" i="39"/>
  <c r="CB86" i="39"/>
  <c r="CF86" i="39"/>
  <c r="CJ86" i="39"/>
  <c r="L89" i="39"/>
  <c r="M89" i="39"/>
  <c r="P89" i="39"/>
  <c r="BF89" i="39"/>
  <c r="BG89" i="39"/>
  <c r="BH89" i="39"/>
  <c r="BI89" i="39"/>
  <c r="BI90" i="39"/>
  <c r="BJ89" i="39"/>
  <c r="BK89" i="39"/>
  <c r="BK90" i="39" s="1"/>
  <c r="BL89" i="39"/>
  <c r="BM89" i="39"/>
  <c r="BM90" i="39" s="1"/>
  <c r="BN89" i="39"/>
  <c r="BO89" i="39"/>
  <c r="BP89" i="39"/>
  <c r="BR89" i="39"/>
  <c r="BS89" i="39"/>
  <c r="BU89" i="39"/>
  <c r="BU90" i="39" s="1"/>
  <c r="BV89" i="39"/>
  <c r="BW89" i="39"/>
  <c r="BX89" i="39"/>
  <c r="BX90" i="39" s="1"/>
  <c r="BZ89" i="39"/>
  <c r="CA89" i="39"/>
  <c r="CA90" i="39" s="1"/>
  <c r="CC89" i="39"/>
  <c r="CC90" i="39" s="1"/>
  <c r="CD89" i="39"/>
  <c r="CE89" i="39"/>
  <c r="CF89" i="39"/>
  <c r="CH89" i="39"/>
  <c r="CI89" i="39"/>
  <c r="CK89" i="39"/>
  <c r="CK90" i="39" s="1"/>
  <c r="CL89" i="39"/>
  <c r="BL90" i="39"/>
  <c r="BO90" i="39"/>
  <c r="BP90" i="39"/>
  <c r="BS90" i="39"/>
  <c r="BW90" i="39"/>
  <c r="CE90" i="39"/>
  <c r="CF90" i="39"/>
  <c r="CI90" i="39"/>
  <c r="BR96" i="39"/>
  <c r="BS96" i="39"/>
  <c r="BT96" i="39"/>
  <c r="BT97" i="39" s="1"/>
  <c r="BV96" i="39"/>
  <c r="BX96" i="39"/>
  <c r="BX97" i="39" s="1"/>
  <c r="BY96" i="39"/>
  <c r="BY97" i="39" s="1"/>
  <c r="BZ96" i="39"/>
  <c r="BZ97" i="39" s="1"/>
  <c r="CA96" i="39"/>
  <c r="CB96" i="39"/>
  <c r="CB97" i="39" s="1"/>
  <c r="CC96" i="39"/>
  <c r="CC97" i="39" s="1"/>
  <c r="CD96" i="39"/>
  <c r="CE96" i="39"/>
  <c r="Q96" i="39"/>
  <c r="Q97" i="39" s="1"/>
  <c r="CF96" i="39"/>
  <c r="CF97" i="39" s="1"/>
  <c r="CG96" i="39"/>
  <c r="CG97" i="39" s="1"/>
  <c r="CH96" i="39"/>
  <c r="CH97" i="39" s="1"/>
  <c r="CI96" i="39"/>
  <c r="CK96" i="39"/>
  <c r="CK97" i="39" s="1"/>
  <c r="CL96" i="39"/>
  <c r="S96" i="39" s="1"/>
  <c r="S97" i="39" s="1"/>
  <c r="BR97" i="39"/>
  <c r="BS97" i="39"/>
  <c r="BV97" i="39"/>
  <c r="CA97" i="39"/>
  <c r="CD97" i="39"/>
  <c r="CE97" i="39"/>
  <c r="CI97" i="39"/>
  <c r="CL97" i="39"/>
  <c r="J104" i="39"/>
  <c r="K104" i="39"/>
  <c r="L104" i="39"/>
  <c r="L111" i="39"/>
  <c r="M104" i="39"/>
  <c r="M111" i="39"/>
  <c r="N104" i="39"/>
  <c r="O104" i="39"/>
  <c r="O111" i="39" s="1"/>
  <c r="P104" i="39"/>
  <c r="P111" i="39"/>
  <c r="Q104" i="39"/>
  <c r="Q111" i="39"/>
  <c r="R104" i="39"/>
  <c r="S104" i="39"/>
  <c r="BF104" i="39"/>
  <c r="BF111" i="39"/>
  <c r="BG104" i="39"/>
  <c r="BG111" i="39"/>
  <c r="BH104" i="39"/>
  <c r="BI104" i="39"/>
  <c r="BI111" i="39" s="1"/>
  <c r="BJ104" i="39"/>
  <c r="BJ111" i="39"/>
  <c r="BK104" i="39"/>
  <c r="BK111" i="39"/>
  <c r="BL104" i="39"/>
  <c r="BM104" i="39"/>
  <c r="BN104" i="39"/>
  <c r="BN111" i="39"/>
  <c r="BO104" i="39"/>
  <c r="BO111" i="39"/>
  <c r="BP104" i="39"/>
  <c r="BQ104" i="39"/>
  <c r="BQ111" i="39" s="1"/>
  <c r="BR104" i="39"/>
  <c r="BR111" i="39"/>
  <c r="BS104" i="39"/>
  <c r="BS111" i="39"/>
  <c r="BT104" i="39"/>
  <c r="BU104" i="39"/>
  <c r="BV104" i="39"/>
  <c r="BV111" i="39"/>
  <c r="BW104" i="39"/>
  <c r="BW111" i="39"/>
  <c r="BX104" i="39"/>
  <c r="BY104" i="39"/>
  <c r="BY111" i="39" s="1"/>
  <c r="BZ104" i="39"/>
  <c r="BZ111" i="39"/>
  <c r="CA104" i="39"/>
  <c r="CA111" i="39"/>
  <c r="CB104" i="39"/>
  <c r="CC104" i="39"/>
  <c r="CD104" i="39"/>
  <c r="CD111" i="39"/>
  <c r="CE104" i="39"/>
  <c r="CE111" i="39"/>
  <c r="CF104" i="39"/>
  <c r="CG104" i="39"/>
  <c r="CG111" i="39" s="1"/>
  <c r="CH104" i="39"/>
  <c r="CH111" i="39"/>
  <c r="CI104" i="39"/>
  <c r="CI111" i="39"/>
  <c r="CJ104" i="39"/>
  <c r="CK104" i="39"/>
  <c r="CL104" i="39"/>
  <c r="CL111" i="39"/>
  <c r="BO105" i="39"/>
  <c r="BO112" i="39" s="1"/>
  <c r="BW105" i="39"/>
  <c r="BW112" i="39" s="1"/>
  <c r="CA105" i="39"/>
  <c r="CA112" i="39" s="1"/>
  <c r="CE105" i="39"/>
  <c r="CE112" i="39" s="1"/>
  <c r="CI105" i="39"/>
  <c r="CI112" i="39"/>
  <c r="J106" i="39"/>
  <c r="K106" i="39"/>
  <c r="N106" i="39"/>
  <c r="O106" i="39"/>
  <c r="R106" i="39"/>
  <c r="S106" i="39"/>
  <c r="BF106" i="39"/>
  <c r="BG106" i="39"/>
  <c r="BH106" i="39"/>
  <c r="BI106" i="39"/>
  <c r="BJ106" i="39"/>
  <c r="BK106" i="39"/>
  <c r="BL106" i="39"/>
  <c r="BM106" i="39"/>
  <c r="BN106" i="39"/>
  <c r="BO106" i="39"/>
  <c r="BP106" i="39"/>
  <c r="BQ106" i="39"/>
  <c r="BR106" i="39"/>
  <c r="BS106" i="39"/>
  <c r="BT106" i="39"/>
  <c r="BU106" i="39"/>
  <c r="BV106" i="39"/>
  <c r="BW106" i="39"/>
  <c r="BX106" i="39"/>
  <c r="BY106" i="39"/>
  <c r="BZ106" i="39"/>
  <c r="CA106" i="39"/>
  <c r="CB106" i="39"/>
  <c r="CC106" i="39"/>
  <c r="CD106" i="39"/>
  <c r="CE106" i="39"/>
  <c r="CF106" i="39"/>
  <c r="CG106" i="39"/>
  <c r="CH106" i="39"/>
  <c r="CI106" i="39"/>
  <c r="CJ106" i="39"/>
  <c r="CK106" i="39"/>
  <c r="CL106" i="39"/>
  <c r="J111" i="39"/>
  <c r="K111" i="39"/>
  <c r="N111" i="39"/>
  <c r="R111" i="39"/>
  <c r="S111" i="39"/>
  <c r="BH111" i="39"/>
  <c r="BL111" i="39"/>
  <c r="BM111" i="39"/>
  <c r="BP111" i="39"/>
  <c r="BT111" i="39"/>
  <c r="BU111" i="39"/>
  <c r="BX111" i="39"/>
  <c r="CB111" i="39"/>
  <c r="CC111" i="39"/>
  <c r="CF111" i="39"/>
  <c r="CJ111" i="39"/>
  <c r="CK111" i="39"/>
  <c r="J120" i="39"/>
  <c r="BR120" i="39"/>
  <c r="BS120" i="39"/>
  <c r="BT120" i="39"/>
  <c r="BU120" i="39"/>
  <c r="BV120" i="39"/>
  <c r="BV121" i="39"/>
  <c r="BW120" i="39"/>
  <c r="BW121" i="39" s="1"/>
  <c r="BX120" i="39"/>
  <c r="BY120" i="39"/>
  <c r="BZ120" i="39"/>
  <c r="BZ121" i="39" s="1"/>
  <c r="CA120" i="39"/>
  <c r="CA121" i="39"/>
  <c r="CB120" i="39"/>
  <c r="CC120" i="39"/>
  <c r="CD120" i="39"/>
  <c r="CD121" i="39"/>
  <c r="CE120" i="39"/>
  <c r="CE121" i="39" s="1"/>
  <c r="CF120" i="39"/>
  <c r="CG120" i="39"/>
  <c r="CH120" i="39"/>
  <c r="CH121" i="39" s="1"/>
  <c r="CJ120" i="39"/>
  <c r="CK120" i="39"/>
  <c r="CK121" i="39" s="1"/>
  <c r="CL120" i="39"/>
  <c r="CL121" i="39" s="1"/>
  <c r="BX121" i="39"/>
  <c r="BY121" i="39"/>
  <c r="CB121" i="39"/>
  <c r="CF121" i="39"/>
  <c r="CG121" i="39"/>
  <c r="CJ121" i="39"/>
  <c r="A125" i="39"/>
  <c r="A126" i="39"/>
  <c r="A127" i="39"/>
  <c r="A128" i="39"/>
  <c r="A129" i="39"/>
  <c r="Q129" i="39"/>
  <c r="A130" i="39"/>
  <c r="A131" i="39"/>
  <c r="A132" i="39"/>
  <c r="A133" i="39"/>
  <c r="A134" i="39"/>
  <c r="A135" i="39"/>
  <c r="A136" i="39"/>
  <c r="A137" i="39"/>
  <c r="A138" i="39"/>
  <c r="A139" i="39"/>
  <c r="A140" i="39"/>
  <c r="A141" i="39"/>
  <c r="A142" i="39"/>
  <c r="A143" i="39"/>
  <c r="A144" i="39"/>
  <c r="A145" i="39"/>
  <c r="A146" i="39"/>
  <c r="A147" i="39"/>
  <c r="A148" i="39"/>
  <c r="A149" i="39"/>
  <c r="A150" i="39"/>
  <c r="A151" i="39"/>
  <c r="A152" i="39"/>
  <c r="A153" i="39"/>
  <c r="A154" i="39"/>
  <c r="A155" i="39"/>
  <c r="A156" i="39"/>
  <c r="A157" i="39"/>
  <c r="J163" i="39"/>
  <c r="K163" i="39" s="1"/>
  <c r="BB163" i="39"/>
  <c r="Q173" i="39"/>
  <c r="Q174" i="39"/>
  <c r="R174" i="39"/>
  <c r="CC175" i="39"/>
  <c r="CD173" i="39"/>
  <c r="Q178" i="39"/>
  <c r="Q179" i="39"/>
  <c r="R179" i="39"/>
  <c r="CC180" i="39"/>
  <c r="CD178" i="39" s="1"/>
  <c r="CD180" i="39" s="1"/>
  <c r="CE178" i="39" s="1"/>
  <c r="Q183" i="39"/>
  <c r="Q184" i="39"/>
  <c r="R184" i="39"/>
  <c r="CC185" i="39"/>
  <c r="CD183" i="39" s="1"/>
  <c r="CD185" i="39" s="1"/>
  <c r="CE183" i="39" s="1"/>
  <c r="Q188" i="39"/>
  <c r="Q197" i="39" s="1"/>
  <c r="CK188" i="39"/>
  <c r="Q189" i="39"/>
  <c r="Q198" i="39" s="1"/>
  <c r="CC190" i="39"/>
  <c r="CD188" i="39"/>
  <c r="CK190" i="39"/>
  <c r="CK128" i="39" s="1"/>
  <c r="CL188" i="39"/>
  <c r="Q193" i="39"/>
  <c r="CF193" i="39"/>
  <c r="Q194" i="39"/>
  <c r="R194" i="39"/>
  <c r="CF195" i="39"/>
  <c r="CG193" i="39" s="1"/>
  <c r="CG195" i="39" s="1"/>
  <c r="P197" i="39"/>
  <c r="CC197" i="39"/>
  <c r="P198" i="39"/>
  <c r="CC198" i="39"/>
  <c r="CD198" i="39"/>
  <c r="CE198" i="39"/>
  <c r="CF198" i="39"/>
  <c r="CG198" i="39"/>
  <c r="CH198" i="39"/>
  <c r="CI198" i="39"/>
  <c r="CK198" i="39"/>
  <c r="CL198" i="39"/>
  <c r="P199" i="39"/>
  <c r="Q203" i="39"/>
  <c r="Q204" i="39"/>
  <c r="R204" i="39"/>
  <c r="CC205" i="39"/>
  <c r="CD203" i="39"/>
  <c r="Q208" i="39"/>
  <c r="CD208" i="39"/>
  <c r="Q209" i="39"/>
  <c r="R209" i="39"/>
  <c r="CC210" i="39"/>
  <c r="Q213" i="39"/>
  <c r="Q214" i="39"/>
  <c r="R214" i="39"/>
  <c r="CC215" i="39"/>
  <c r="CD213" i="39" s="1"/>
  <c r="Q218" i="39"/>
  <c r="Q219" i="39"/>
  <c r="R219" i="39"/>
  <c r="CC220" i="39"/>
  <c r="CD218" i="39" s="1"/>
  <c r="Q223" i="39"/>
  <c r="Q224" i="39"/>
  <c r="R224" i="39"/>
  <c r="CC225" i="39"/>
  <c r="CD223" i="39" s="1"/>
  <c r="Q228" i="39"/>
  <c r="Q229" i="39"/>
  <c r="Q238" i="39" s="1"/>
  <c r="R229" i="39"/>
  <c r="CC230" i="39"/>
  <c r="CD228" i="39" s="1"/>
  <c r="Q233" i="39"/>
  <c r="Q237" i="39"/>
  <c r="Q234" i="39"/>
  <c r="R234" i="39"/>
  <c r="R238" i="39"/>
  <c r="CC235" i="39"/>
  <c r="CD233" i="39"/>
  <c r="CD237" i="39" s="1"/>
  <c r="P237" i="39"/>
  <c r="CC237" i="39"/>
  <c r="P238" i="39"/>
  <c r="CC238" i="39"/>
  <c r="CD238" i="39"/>
  <c r="CE238" i="39"/>
  <c r="CF238" i="39"/>
  <c r="CG238" i="39"/>
  <c r="CH238" i="39"/>
  <c r="CI238" i="39"/>
  <c r="CJ238" i="39"/>
  <c r="CK238" i="39"/>
  <c r="CL238" i="39"/>
  <c r="P239" i="39"/>
  <c r="Q243" i="39"/>
  <c r="CJ243" i="39"/>
  <c r="CJ245" i="39" s="1"/>
  <c r="CK243" i="39" s="1"/>
  <c r="Q244" i="39"/>
  <c r="CC245" i="39"/>
  <c r="CD243" i="39" s="1"/>
  <c r="CD245" i="39" s="1"/>
  <c r="CE243" i="39" s="1"/>
  <c r="Q248" i="39"/>
  <c r="Q249" i="39"/>
  <c r="R249" i="39"/>
  <c r="CC250" i="39"/>
  <c r="CD248" i="39"/>
  <c r="Q253" i="39"/>
  <c r="Q254" i="39"/>
  <c r="R254" i="39"/>
  <c r="CC255" i="39"/>
  <c r="CD253" i="39"/>
  <c r="Q258" i="39"/>
  <c r="Q259" i="39"/>
  <c r="R259" i="39"/>
  <c r="CC260" i="39"/>
  <c r="CD258" i="39" s="1"/>
  <c r="Q263" i="39"/>
  <c r="Q264" i="39"/>
  <c r="R264" i="39"/>
  <c r="CC265" i="39"/>
  <c r="CD263" i="39" s="1"/>
  <c r="Q268" i="39"/>
  <c r="Q269" i="39"/>
  <c r="R269" i="39"/>
  <c r="CC270" i="39"/>
  <c r="CD268" i="39"/>
  <c r="Q273" i="39"/>
  <c r="Q274" i="39"/>
  <c r="R274" i="39"/>
  <c r="CC275" i="39"/>
  <c r="CD273" i="39"/>
  <c r="Q278" i="39"/>
  <c r="CD278" i="39"/>
  <c r="R279" i="39"/>
  <c r="CD280" i="39"/>
  <c r="CE278" i="39"/>
  <c r="Q283" i="39"/>
  <c r="Q284" i="39"/>
  <c r="R284" i="39"/>
  <c r="CC285" i="39"/>
  <c r="CD283" i="39" s="1"/>
  <c r="Q288" i="39"/>
  <c r="Q289" i="39"/>
  <c r="R289" i="39"/>
  <c r="CC290" i="39"/>
  <c r="CD288" i="39"/>
  <c r="Q293" i="39"/>
  <c r="Q294" i="39"/>
  <c r="R294" i="39"/>
  <c r="CC295" i="39"/>
  <c r="CD293" i="39"/>
  <c r="Q298" i="39"/>
  <c r="Q299" i="39"/>
  <c r="R299" i="39"/>
  <c r="CC300" i="39"/>
  <c r="CD298" i="39" s="1"/>
  <c r="CD300" i="39" s="1"/>
  <c r="CE298" i="39" s="1"/>
  <c r="Q303" i="39"/>
  <c r="CD303" i="39"/>
  <c r="Q304" i="39"/>
  <c r="R304" i="39"/>
  <c r="CC305" i="39"/>
  <c r="Q308" i="39"/>
  <c r="Q309" i="39"/>
  <c r="R309" i="39"/>
  <c r="CC310" i="39"/>
  <c r="CD308" i="39"/>
  <c r="Q313" i="39"/>
  <c r="Q314" i="39"/>
  <c r="R314" i="39"/>
  <c r="CC315" i="39"/>
  <c r="Q318" i="39"/>
  <c r="Q319" i="39"/>
  <c r="R319" i="39"/>
  <c r="CC320" i="39"/>
  <c r="CD318" i="39" s="1"/>
  <c r="CD320" i="39" s="1"/>
  <c r="P323" i="39"/>
  <c r="CC323" i="39"/>
  <c r="P324" i="39"/>
  <c r="CC324" i="39"/>
  <c r="CD324" i="39"/>
  <c r="CF324" i="39"/>
  <c r="CG324" i="39"/>
  <c r="CH324" i="39"/>
  <c r="CJ324" i="39"/>
  <c r="CK324" i="39"/>
  <c r="CL324" i="39"/>
  <c r="P325" i="39"/>
  <c r="M10" i="37"/>
  <c r="BE11" i="37"/>
  <c r="BG11" i="37"/>
  <c r="BK11" i="37"/>
  <c r="BN10" i="37"/>
  <c r="BR10" i="37"/>
  <c r="BW11" i="37"/>
  <c r="BF10" i="37"/>
  <c r="M14" i="37"/>
  <c r="BC15" i="37"/>
  <c r="BF14" i="37"/>
  <c r="BW15" i="37"/>
  <c r="BX14" i="37"/>
  <c r="BY14" i="37"/>
  <c r="N14" i="37"/>
  <c r="BH14" i="37"/>
  <c r="BL14" i="37"/>
  <c r="BP14" i="37"/>
  <c r="BT14" i="37"/>
  <c r="BD15" i="37"/>
  <c r="BH15" i="37"/>
  <c r="BL15" i="37"/>
  <c r="BG18" i="37"/>
  <c r="BK19" i="37"/>
  <c r="BN18" i="37"/>
  <c r="BP19" i="37"/>
  <c r="BR18" i="37"/>
  <c r="BS18" i="37"/>
  <c r="BV19" i="37"/>
  <c r="BW19" i="37"/>
  <c r="BY18" i="37"/>
  <c r="BF18" i="37"/>
  <c r="BJ18" i="37"/>
  <c r="BF19" i="37"/>
  <c r="K22" i="37"/>
  <c r="BD23" i="37"/>
  <c r="BE23" i="37"/>
  <c r="BI23" i="37"/>
  <c r="BM22" i="37"/>
  <c r="BQ23" i="37"/>
  <c r="BT22" i="37"/>
  <c r="BW22" i="37"/>
  <c r="BX22" i="37"/>
  <c r="BY22" i="37"/>
  <c r="M22" i="37"/>
  <c r="N22" i="37"/>
  <c r="BH22" i="37"/>
  <c r="BH23" i="37"/>
  <c r="BI26" i="37"/>
  <c r="BM26" i="37"/>
  <c r="BQ26" i="37"/>
  <c r="BU27" i="37"/>
  <c r="BY26" i="37"/>
  <c r="BF26" i="37"/>
  <c r="BG30" i="37"/>
  <c r="BN30" i="37"/>
  <c r="BO30" i="37"/>
  <c r="BS30" i="37"/>
  <c r="BW30" i="37"/>
  <c r="BX30" i="37"/>
  <c r="BK30" i="37"/>
  <c r="BR30" i="37"/>
  <c r="BB37" i="37"/>
  <c r="BD33" i="37"/>
  <c r="BG69" i="39"/>
  <c r="BH24" i="37"/>
  <c r="BL69" i="39"/>
  <c r="BO28" i="37"/>
  <c r="BP24" i="37"/>
  <c r="BS34" i="37"/>
  <c r="BU34" i="37"/>
  <c r="BU32" i="37" s="1"/>
  <c r="CA34" i="37"/>
  <c r="CE35" i="37" s="1"/>
  <c r="CE34" i="37"/>
  <c r="P38" i="37"/>
  <c r="S38" i="37"/>
  <c r="BH39" i="37"/>
  <c r="BL39" i="37"/>
  <c r="BM39" i="37"/>
  <c r="BP39" i="37"/>
  <c r="BR38" i="37"/>
  <c r="BS38" i="37"/>
  <c r="BT38" i="37"/>
  <c r="BU38" i="37"/>
  <c r="BV38" i="37"/>
  <c r="BX38" i="37"/>
  <c r="CF38" i="37"/>
  <c r="CF39" i="37" s="1"/>
  <c r="CJ38" i="37"/>
  <c r="R38" i="37" s="1"/>
  <c r="BF39" i="37"/>
  <c r="BV39" i="37"/>
  <c r="BY39" i="37"/>
  <c r="BZ39" i="37"/>
  <c r="CA39" i="37"/>
  <c r="CC39" i="37"/>
  <c r="CD39" i="37"/>
  <c r="CE39" i="37"/>
  <c r="CG39" i="37"/>
  <c r="CH39" i="37"/>
  <c r="CI39" i="37"/>
  <c r="CK39" i="37"/>
  <c r="CL39" i="37"/>
  <c r="BD40" i="37"/>
  <c r="BU40" i="37"/>
  <c r="CA40" i="37"/>
  <c r="CE40" i="37"/>
  <c r="BE43" i="37"/>
  <c r="BF42" i="37"/>
  <c r="BG42" i="37"/>
  <c r="BJ43" i="37"/>
  <c r="BL44" i="37"/>
  <c r="BO42" i="37"/>
  <c r="BR41" i="37"/>
  <c r="N41" i="37" s="1"/>
  <c r="BS41" i="37"/>
  <c r="BT41" i="37"/>
  <c r="BU41" i="37"/>
  <c r="BU43" i="37"/>
  <c r="BV41" i="37"/>
  <c r="BV42" i="37" s="1"/>
  <c r="BW41" i="37"/>
  <c r="BX41" i="37"/>
  <c r="BX44" i="37" s="1"/>
  <c r="BY41" i="37"/>
  <c r="BZ41" i="37"/>
  <c r="CA41" i="37"/>
  <c r="CB41" i="37"/>
  <c r="CC41" i="37"/>
  <c r="CD41" i="37"/>
  <c r="Q41" i="37" s="1"/>
  <c r="CE41" i="37"/>
  <c r="CF41" i="37"/>
  <c r="CG41" i="37"/>
  <c r="CG44" i="37" s="1"/>
  <c r="CJ74" i="39" s="1"/>
  <c r="CH41" i="37"/>
  <c r="CH42" i="37" s="1"/>
  <c r="CI41" i="37"/>
  <c r="CJ41" i="37"/>
  <c r="CK41" i="37"/>
  <c r="CK44" i="37" s="1"/>
  <c r="CL41" i="37"/>
  <c r="S41" i="37" s="1"/>
  <c r="BZ42" i="37"/>
  <c r="CA42" i="37"/>
  <c r="CE42" i="37"/>
  <c r="CI42" i="37"/>
  <c r="CL42" i="37"/>
  <c r="BC43" i="37"/>
  <c r="CA43" i="37"/>
  <c r="CE43" i="37"/>
  <c r="BR44" i="37"/>
  <c r="BR70" i="39" s="1"/>
  <c r="BT44" i="37"/>
  <c r="BU44" i="37"/>
  <c r="BX74" i="39" s="1"/>
  <c r="BW44" i="37"/>
  <c r="BY44" i="37"/>
  <c r="CB74" i="39"/>
  <c r="BZ44" i="37"/>
  <c r="CA44" i="37"/>
  <c r="CD74" i="39" s="1"/>
  <c r="CB44" i="37"/>
  <c r="CC44" i="37"/>
  <c r="CF74" i="39" s="1"/>
  <c r="CE44" i="37"/>
  <c r="CF44" i="37"/>
  <c r="CH44" i="37"/>
  <c r="CH70" i="39"/>
  <c r="CI44" i="37"/>
  <c r="CL74" i="39" s="1"/>
  <c r="CJ44" i="37"/>
  <c r="CL44" i="37"/>
  <c r="CL71" i="39" s="1"/>
  <c r="CA45" i="37"/>
  <c r="CE45" i="37"/>
  <c r="CI45" i="37"/>
  <c r="CL45" i="37"/>
  <c r="CA46" i="37"/>
  <c r="CE46" i="37"/>
  <c r="BU47" i="37"/>
  <c r="CA47" i="37"/>
  <c r="CA94" i="39" s="1"/>
  <c r="CE47" i="37"/>
  <c r="CE48" i="37"/>
  <c r="CA50" i="37"/>
  <c r="CE50" i="37"/>
  <c r="S52" i="37"/>
  <c r="BF54" i="37"/>
  <c r="BG54" i="37"/>
  <c r="BI54" i="37"/>
  <c r="BJ54" i="37"/>
  <c r="BK54" i="37"/>
  <c r="BM53" i="37"/>
  <c r="BO54" i="37"/>
  <c r="BR52" i="37"/>
  <c r="BR53" i="37" s="1"/>
  <c r="BS52" i="37"/>
  <c r="BS54" i="37" s="1"/>
  <c r="BT52" i="37"/>
  <c r="BT53" i="37" s="1"/>
  <c r="BU52" i="37"/>
  <c r="BU102" i="39" s="1"/>
  <c r="BU109" i="39" s="1"/>
  <c r="BV52" i="37"/>
  <c r="BW52" i="37"/>
  <c r="BX52" i="37"/>
  <c r="BZ52" i="37"/>
  <c r="CA52" i="37"/>
  <c r="CA54" i="37" s="1"/>
  <c r="CB52" i="37"/>
  <c r="CC52" i="37"/>
  <c r="CD52" i="37"/>
  <c r="CE52" i="37"/>
  <c r="CE54" i="37" s="1"/>
  <c r="CF52" i="37"/>
  <c r="CG52" i="37"/>
  <c r="CH52" i="37"/>
  <c r="CI52" i="37"/>
  <c r="CJ52" i="37"/>
  <c r="CK52" i="37"/>
  <c r="CK53" i="37" s="1"/>
  <c r="CL52" i="37"/>
  <c r="BH53" i="37"/>
  <c r="BI53" i="37"/>
  <c r="BL53" i="37"/>
  <c r="BP53" i="37"/>
  <c r="BX53" i="37"/>
  <c r="CB53" i="37"/>
  <c r="CF53" i="37"/>
  <c r="BD54" i="37"/>
  <c r="BU54" i="37"/>
  <c r="S55" i="37"/>
  <c r="BD12" i="38"/>
  <c r="BE57" i="37"/>
  <c r="BF12" i="38"/>
  <c r="BH56" i="37"/>
  <c r="BI12" i="38"/>
  <c r="BM12" i="38"/>
  <c r="BQ56" i="37"/>
  <c r="BR55" i="37"/>
  <c r="BR56" i="37" s="1"/>
  <c r="BS55" i="37"/>
  <c r="BU55" i="37"/>
  <c r="BV55" i="37"/>
  <c r="BV56" i="37" s="1"/>
  <c r="BW55" i="37"/>
  <c r="BY55" i="37"/>
  <c r="BZ55" i="37"/>
  <c r="CA55" i="37"/>
  <c r="CB55" i="37"/>
  <c r="CC55" i="37"/>
  <c r="CC56" i="37" s="1"/>
  <c r="CD55" i="37"/>
  <c r="CE55" i="37"/>
  <c r="CF55" i="37"/>
  <c r="CG55" i="37"/>
  <c r="CH55" i="37"/>
  <c r="CI55" i="37"/>
  <c r="CJ55" i="37"/>
  <c r="CK55" i="37"/>
  <c r="CL55" i="37"/>
  <c r="BM56" i="37"/>
  <c r="CD56" i="37"/>
  <c r="CG56" i="37"/>
  <c r="CH56" i="37"/>
  <c r="CK56" i="37"/>
  <c r="CL56" i="37"/>
  <c r="BN57" i="37"/>
  <c r="BQ57" i="37"/>
  <c r="BU58" i="37"/>
  <c r="BU61" i="37" s="1"/>
  <c r="CA58" i="37"/>
  <c r="N62" i="37"/>
  <c r="O62" i="37"/>
  <c r="P62" i="37"/>
  <c r="P120" i="39" s="1"/>
  <c r="Q62" i="37"/>
  <c r="Q63" i="37" s="1"/>
  <c r="BB120" i="39"/>
  <c r="BB121" i="39" s="1"/>
  <c r="BC120" i="39"/>
  <c r="BC121" i="39" s="1"/>
  <c r="BF120" i="39"/>
  <c r="BF121" i="39" s="1"/>
  <c r="BG120" i="39"/>
  <c r="BK120" i="39"/>
  <c r="BN120" i="39"/>
  <c r="BS63" i="37"/>
  <c r="CI62" i="37"/>
  <c r="CI120" i="39" s="1"/>
  <c r="CI121" i="39" s="1"/>
  <c r="P63" i="37"/>
  <c r="BV63" i="37"/>
  <c r="BW63" i="37"/>
  <c r="BX63" i="37"/>
  <c r="BY63" i="37"/>
  <c r="BZ63" i="37"/>
  <c r="CA63" i="37"/>
  <c r="CB63" i="37"/>
  <c r="CC63" i="37"/>
  <c r="CD63" i="37"/>
  <c r="CE63" i="37"/>
  <c r="CF63" i="37"/>
  <c r="CG63" i="37"/>
  <c r="CH63" i="37"/>
  <c r="CI63" i="37"/>
  <c r="CJ63" i="37"/>
  <c r="CK63" i="37"/>
  <c r="CL63" i="37"/>
  <c r="BS64" i="37"/>
  <c r="BU64" i="37"/>
  <c r="CA64" i="37"/>
  <c r="CE64" i="37"/>
  <c r="P65" i="37"/>
  <c r="Q66" i="37"/>
  <c r="Q65" i="37"/>
  <c r="S65" i="37"/>
  <c r="BC124" i="40"/>
  <c r="BH66" i="37"/>
  <c r="BN96" i="39"/>
  <c r="BN97" i="39" s="1"/>
  <c r="BP96" i="39"/>
  <c r="BP97" i="39" s="1"/>
  <c r="BU65" i="37"/>
  <c r="BU124" i="40"/>
  <c r="BW65" i="37"/>
  <c r="CJ65" i="37"/>
  <c r="CJ124" i="40"/>
  <c r="BG66" i="37"/>
  <c r="BN66" i="37"/>
  <c r="BV66" i="37"/>
  <c r="BW66" i="37"/>
  <c r="BX66" i="37"/>
  <c r="BY66" i="37"/>
  <c r="BZ66" i="37"/>
  <c r="CA66" i="37"/>
  <c r="CB66" i="37"/>
  <c r="CC66" i="37"/>
  <c r="CD66" i="37"/>
  <c r="CE66" i="37"/>
  <c r="CF66" i="37"/>
  <c r="CG66" i="37"/>
  <c r="CH66" i="37"/>
  <c r="CI66" i="37"/>
  <c r="BS67" i="37"/>
  <c r="BU67" i="37"/>
  <c r="CA67" i="37"/>
  <c r="CE67" i="37"/>
  <c r="S75" i="37"/>
  <c r="BG76" i="37"/>
  <c r="BH76" i="37"/>
  <c r="BI76" i="37"/>
  <c r="BJ76" i="37"/>
  <c r="BN76" i="37"/>
  <c r="BO76" i="37"/>
  <c r="BT75" i="37"/>
  <c r="BU75" i="37"/>
  <c r="BW75" i="37"/>
  <c r="BX75" i="37"/>
  <c r="O75" i="37" s="1"/>
  <c r="BY75" i="37"/>
  <c r="BZ75" i="37"/>
  <c r="CB75" i="37"/>
  <c r="CC75" i="37"/>
  <c r="CD75" i="37"/>
  <c r="Q75" i="37" s="1"/>
  <c r="CE75" i="37"/>
  <c r="CF75" i="37"/>
  <c r="CG75" i="37"/>
  <c r="CH75" i="37"/>
  <c r="CI75" i="37"/>
  <c r="CJ75" i="37"/>
  <c r="CK75" i="37"/>
  <c r="BF76" i="37"/>
  <c r="BQ76" i="37"/>
  <c r="BV76" i="37"/>
  <c r="BW76" i="37"/>
  <c r="BZ76" i="37"/>
  <c r="CA76" i="37"/>
  <c r="L79" i="37"/>
  <c r="M79" i="37" s="1"/>
  <c r="N79" i="37" s="1"/>
  <c r="O79" i="37" s="1"/>
  <c r="P79" i="37" s="1"/>
  <c r="Q79" i="37" s="1"/>
  <c r="R79" i="37" s="1"/>
  <c r="S79" i="37" s="1"/>
  <c r="BD79" i="37"/>
  <c r="BC79" i="37" s="1"/>
  <c r="BB79" i="37" s="1"/>
  <c r="BE79" i="37"/>
  <c r="BH79" i="37"/>
  <c r="BG79" i="37" s="1"/>
  <c r="BF79" i="37" s="1"/>
  <c r="BI79" i="37"/>
  <c r="BL79" i="37"/>
  <c r="BK79" i="37" s="1"/>
  <c r="BJ79" i="37" s="1"/>
  <c r="BM79" i="37"/>
  <c r="BF89" i="37"/>
  <c r="BI89" i="37"/>
  <c r="BK89" i="37"/>
  <c r="BN89" i="37"/>
  <c r="BQ89" i="37"/>
  <c r="P90" i="37"/>
  <c r="Q90" i="37"/>
  <c r="R90" i="37"/>
  <c r="J91" i="37"/>
  <c r="K91" i="37"/>
  <c r="BF92" i="37"/>
  <c r="BK92" i="37"/>
  <c r="BO73" i="40"/>
  <c r="K92" i="37"/>
  <c r="BV92" i="37"/>
  <c r="BW92" i="37"/>
  <c r="BX92" i="37"/>
  <c r="BY92" i="37"/>
  <c r="BZ92" i="37"/>
  <c r="CA92" i="37"/>
  <c r="CB92" i="37"/>
  <c r="CC92" i="37"/>
  <c r="CD92" i="37"/>
  <c r="CE92" i="37"/>
  <c r="CF92" i="37"/>
  <c r="CG92" i="37"/>
  <c r="CH92" i="37"/>
  <c r="CI92" i="37"/>
  <c r="CJ92" i="37"/>
  <c r="CK92" i="37"/>
  <c r="CL92" i="37"/>
  <c r="BZ94" i="37"/>
  <c r="BD98" i="37"/>
  <c r="BF98" i="37"/>
  <c r="BG97" i="37"/>
  <c r="BL94" i="37"/>
  <c r="BO97" i="37"/>
  <c r="BP97" i="37"/>
  <c r="BR97" i="37"/>
  <c r="BS97" i="37"/>
  <c r="BT98" i="37"/>
  <c r="BW97" i="37"/>
  <c r="BX94" i="37"/>
  <c r="BB98" i="37"/>
  <c r="BJ98" i="37"/>
  <c r="BR98" i="37"/>
  <c r="BV98" i="37"/>
  <c r="BY98" i="37"/>
  <c r="CC98" i="37"/>
  <c r="BR100" i="37"/>
  <c r="N100" i="37" s="1"/>
  <c r="BS100" i="37"/>
  <c r="BT100" i="37"/>
  <c r="BU100" i="37"/>
  <c r="BV100" i="37"/>
  <c r="BW100" i="37"/>
  <c r="BX100" i="37"/>
  <c r="BY100" i="37"/>
  <c r="BZ100" i="37"/>
  <c r="CA100" i="37"/>
  <c r="CB100" i="37"/>
  <c r="CC100" i="37"/>
  <c r="CD100" i="37"/>
  <c r="CE100" i="37"/>
  <c r="CF100" i="37"/>
  <c r="Q100" i="37" s="1"/>
  <c r="CG100" i="37"/>
  <c r="CH100" i="37"/>
  <c r="CI100" i="37"/>
  <c r="R100" i="37"/>
  <c r="CJ100" i="37"/>
  <c r="CK100" i="37"/>
  <c r="CL100" i="37"/>
  <c r="S100" i="37"/>
  <c r="L102" i="37"/>
  <c r="M102" i="37"/>
  <c r="BB102" i="37"/>
  <c r="BB103" i="37" s="1"/>
  <c r="BD102" i="37"/>
  <c r="BE102" i="37"/>
  <c r="BF102" i="37" s="1"/>
  <c r="CA102" i="37"/>
  <c r="K103" i="37"/>
  <c r="BZ103" i="37"/>
  <c r="BZ104" i="37" s="1"/>
  <c r="BZ59" i="39" s="1"/>
  <c r="J108" i="37"/>
  <c r="J59" i="39" s="1"/>
  <c r="K108" i="37"/>
  <c r="L108" i="37"/>
  <c r="M108" i="37"/>
  <c r="N108" i="37"/>
  <c r="O108" i="37"/>
  <c r="P108" i="37"/>
  <c r="Q108" i="37"/>
  <c r="S108" i="37"/>
  <c r="BF108" i="37"/>
  <c r="BF59" i="39"/>
  <c r="BG108" i="37"/>
  <c r="BG59" i="39" s="1"/>
  <c r="BH108" i="37"/>
  <c r="BH59" i="39" s="1"/>
  <c r="K59" i="39" s="1"/>
  <c r="BI108" i="37"/>
  <c r="BI59" i="39" s="1"/>
  <c r="BJ108" i="37"/>
  <c r="BJ59" i="39"/>
  <c r="BK108" i="37"/>
  <c r="BK59" i="39" s="1"/>
  <c r="BL108" i="37"/>
  <c r="BL59" i="39" s="1"/>
  <c r="BM108" i="37"/>
  <c r="BM59" i="39" s="1"/>
  <c r="BN108" i="37"/>
  <c r="BN59" i="39"/>
  <c r="BO108" i="37"/>
  <c r="BO59" i="39" s="1"/>
  <c r="BP108" i="37"/>
  <c r="BP59" i="39"/>
  <c r="BQ108" i="37"/>
  <c r="BQ59" i="39" s="1"/>
  <c r="BR108" i="37"/>
  <c r="BR59" i="39"/>
  <c r="BS108" i="37"/>
  <c r="BS59" i="39"/>
  <c r="BT108" i="37"/>
  <c r="BT59" i="39"/>
  <c r="BU108" i="37"/>
  <c r="BU59" i="39"/>
  <c r="BV108" i="37"/>
  <c r="BV59" i="39"/>
  <c r="BW108" i="37"/>
  <c r="BW59" i="39"/>
  <c r="BX108" i="37"/>
  <c r="BX59" i="39"/>
  <c r="BY108" i="37"/>
  <c r="BY59" i="39"/>
  <c r="BZ108" i="37"/>
  <c r="CA108" i="37"/>
  <c r="CA118" i="37" s="1"/>
  <c r="CB108" i="37"/>
  <c r="CC108" i="37"/>
  <c r="CD108" i="37"/>
  <c r="CE108" i="37"/>
  <c r="CE118" i="37" s="1"/>
  <c r="CF108" i="37"/>
  <c r="CG108" i="37"/>
  <c r="CH108" i="37"/>
  <c r="CI108" i="37"/>
  <c r="CJ108" i="37"/>
  <c r="CK108" i="37"/>
  <c r="CL108" i="37"/>
  <c r="K109" i="37"/>
  <c r="L109" i="37"/>
  <c r="M109" i="37"/>
  <c r="N109" i="37"/>
  <c r="O109" i="37"/>
  <c r="P109" i="37"/>
  <c r="Q109" i="37"/>
  <c r="R109" i="37"/>
  <c r="J110" i="37"/>
  <c r="L110" i="37"/>
  <c r="M110" i="37"/>
  <c r="N110" i="37"/>
  <c r="O110" i="37"/>
  <c r="P110" i="37"/>
  <c r="Q110" i="37"/>
  <c r="R110" i="37"/>
  <c r="BF110" i="37"/>
  <c r="BG110" i="37"/>
  <c r="BH110" i="37"/>
  <c r="M111" i="37"/>
  <c r="N111" i="37"/>
  <c r="O111" i="37"/>
  <c r="P111" i="37"/>
  <c r="Q111" i="37"/>
  <c r="R111" i="37"/>
  <c r="BF111" i="37"/>
  <c r="BG111" i="37"/>
  <c r="BH111" i="37"/>
  <c r="BK111" i="37"/>
  <c r="L111" i="37" s="1"/>
  <c r="L112" i="37"/>
  <c r="M112" i="37"/>
  <c r="N112" i="37"/>
  <c r="O112" i="37"/>
  <c r="P112" i="37"/>
  <c r="Q112" i="37"/>
  <c r="R112" i="37"/>
  <c r="BF112" i="37"/>
  <c r="K112" i="37" s="1"/>
  <c r="BG112" i="37"/>
  <c r="BH112" i="37"/>
  <c r="K113" i="37"/>
  <c r="L113" i="37"/>
  <c r="P113" i="37"/>
  <c r="Q113" i="37"/>
  <c r="R113" i="37"/>
  <c r="BN113" i="37"/>
  <c r="M113" i="37" s="1"/>
  <c r="BQ113" i="37"/>
  <c r="BQ117" i="37" s="1"/>
  <c r="BU113" i="37"/>
  <c r="BW113" i="37"/>
  <c r="O113" i="37" s="1"/>
  <c r="M114" i="37"/>
  <c r="N114" i="37"/>
  <c r="O114" i="37"/>
  <c r="P114" i="37"/>
  <c r="R114" i="37"/>
  <c r="BK114" i="37"/>
  <c r="L114" i="37" s="1"/>
  <c r="CF114" i="37"/>
  <c r="Q114" i="37" s="1"/>
  <c r="K115" i="37"/>
  <c r="L115" i="37"/>
  <c r="M115" i="37"/>
  <c r="N115" i="37"/>
  <c r="O115" i="37"/>
  <c r="P115" i="37"/>
  <c r="Q115" i="37"/>
  <c r="R115" i="37"/>
  <c r="K116" i="37"/>
  <c r="M116" i="37"/>
  <c r="N116" i="37"/>
  <c r="O116" i="37"/>
  <c r="BK116" i="37"/>
  <c r="L116" i="37" s="1"/>
  <c r="BL116" i="37"/>
  <c r="BT116" i="37"/>
  <c r="BZ116" i="37"/>
  <c r="BZ117" i="37" s="1"/>
  <c r="CB116" i="37"/>
  <c r="CB117" i="37"/>
  <c r="CC116" i="37"/>
  <c r="P116" i="37"/>
  <c r="CD116" i="37"/>
  <c r="CE116" i="37"/>
  <c r="CF116" i="37"/>
  <c r="Q116" i="37" s="1"/>
  <c r="CG116" i="37"/>
  <c r="CH116" i="37"/>
  <c r="CI116" i="37"/>
  <c r="CJ116" i="37"/>
  <c r="CJ117" i="37" s="1"/>
  <c r="CK116" i="37"/>
  <c r="BN117" i="37"/>
  <c r="BO117" i="37"/>
  <c r="BP117" i="37"/>
  <c r="BR117" i="37"/>
  <c r="BS117" i="37"/>
  <c r="BT117" i="37"/>
  <c r="BV117" i="37"/>
  <c r="BW117" i="37"/>
  <c r="BX117" i="37"/>
  <c r="BY117" i="37"/>
  <c r="CA117" i="37"/>
  <c r="CD117" i="37"/>
  <c r="CE117" i="37"/>
  <c r="CH117" i="37"/>
  <c r="CI117" i="37"/>
  <c r="CL117" i="37"/>
  <c r="S118" i="37"/>
  <c r="BN118" i="37"/>
  <c r="BO118" i="37"/>
  <c r="BP118" i="37"/>
  <c r="BR118" i="37"/>
  <c r="BS118" i="37"/>
  <c r="BT118" i="37"/>
  <c r="BV118" i="37"/>
  <c r="BW118" i="37"/>
  <c r="BX118" i="37"/>
  <c r="BY118" i="37"/>
  <c r="CB118" i="37"/>
  <c r="CD118" i="37"/>
  <c r="CH118" i="37"/>
  <c r="CI118" i="37"/>
  <c r="CL118" i="37"/>
  <c r="D3" i="61"/>
  <c r="E3" i="61"/>
  <c r="F3" i="61"/>
  <c r="H3" i="61"/>
  <c r="I3" i="61"/>
  <c r="J3" i="61"/>
  <c r="K3" i="61"/>
  <c r="L3" i="61"/>
  <c r="M3" i="61"/>
  <c r="N3" i="61"/>
  <c r="AF3" i="61"/>
  <c r="AG3" i="61"/>
  <c r="AH3" i="61"/>
  <c r="AI3" i="61"/>
  <c r="AJ3" i="61"/>
  <c r="AK3" i="61"/>
  <c r="AL3" i="61"/>
  <c r="AM3" i="61"/>
  <c r="AN3" i="61"/>
  <c r="AO3" i="61"/>
  <c r="AP3" i="61"/>
  <c r="AQ3" i="61"/>
  <c r="AR3" i="61"/>
  <c r="AS3" i="61"/>
  <c r="AT3" i="61"/>
  <c r="AU3" i="61"/>
  <c r="AV3" i="61"/>
  <c r="AW3" i="61"/>
  <c r="AX3" i="61"/>
  <c r="AY3" i="61"/>
  <c r="AZ3" i="61"/>
  <c r="D27" i="61"/>
  <c r="E27" i="61"/>
  <c r="F27" i="61"/>
  <c r="H27" i="61"/>
  <c r="I27" i="61"/>
  <c r="J27" i="61"/>
  <c r="K27" i="61"/>
  <c r="L27" i="61"/>
  <c r="M27" i="61"/>
  <c r="N27" i="61"/>
  <c r="C28" i="61"/>
  <c r="C29" i="61"/>
  <c r="C30" i="61"/>
  <c r="C31" i="61"/>
  <c r="D31" i="61"/>
  <c r="E31" i="61"/>
  <c r="F31" i="61"/>
  <c r="G31" i="61"/>
  <c r="H31" i="61"/>
  <c r="I31" i="61"/>
  <c r="J31" i="61"/>
  <c r="K31" i="61"/>
  <c r="L31" i="61"/>
  <c r="M31" i="61"/>
  <c r="N31" i="61"/>
  <c r="O31" i="61"/>
  <c r="P31" i="61"/>
  <c r="Q31" i="61"/>
  <c r="R31" i="61"/>
  <c r="C32" i="61"/>
  <c r="C33" i="61"/>
  <c r="D34" i="61"/>
  <c r="E34" i="61"/>
  <c r="F34" i="61"/>
  <c r="D57" i="61"/>
  <c r="E57" i="61"/>
  <c r="F57" i="61"/>
  <c r="H57" i="61"/>
  <c r="I57" i="61"/>
  <c r="J57" i="61"/>
  <c r="K57" i="61"/>
  <c r="L57" i="61"/>
  <c r="M57" i="61"/>
  <c r="N57" i="61"/>
  <c r="D58" i="61"/>
  <c r="E58" i="61"/>
  <c r="F58" i="61"/>
  <c r="G58" i="61"/>
  <c r="H58" i="61"/>
  <c r="I58" i="61"/>
  <c r="J58" i="61"/>
  <c r="K58" i="61"/>
  <c r="L58" i="61"/>
  <c r="M58" i="61"/>
  <c r="N58" i="61"/>
  <c r="O58" i="61"/>
  <c r="P58" i="61"/>
  <c r="Q58" i="61"/>
  <c r="R58" i="61"/>
  <c r="T58" i="61"/>
  <c r="V58" i="61"/>
  <c r="X58" i="61"/>
  <c r="Y58" i="61"/>
  <c r="Z59" i="61"/>
  <c r="D82" i="61"/>
  <c r="E82" i="61"/>
  <c r="F82" i="61"/>
  <c r="H82" i="61"/>
  <c r="I82" i="61"/>
  <c r="J82" i="61"/>
  <c r="K82" i="61"/>
  <c r="L82" i="61"/>
  <c r="M82" i="61"/>
  <c r="N82" i="61"/>
  <c r="AA82" i="61"/>
  <c r="AB82" i="61"/>
  <c r="AA84" i="61"/>
  <c r="AB84" i="61"/>
  <c r="AA85" i="61"/>
  <c r="AB85" i="61"/>
  <c r="AA86" i="61"/>
  <c r="AB86" i="61"/>
  <c r="C108" i="61"/>
  <c r="D108" i="61"/>
  <c r="E108" i="61"/>
  <c r="E111" i="61" s="1"/>
  <c r="T108" i="61" s="1"/>
  <c r="F108" i="61"/>
  <c r="F111" i="61" s="1"/>
  <c r="U108" i="61" s="1"/>
  <c r="G108" i="61"/>
  <c r="G111" i="61" s="1"/>
  <c r="V108" i="61" s="1"/>
  <c r="H108" i="61"/>
  <c r="H111" i="61" s="1"/>
  <c r="W108" i="61" s="1"/>
  <c r="I108" i="61"/>
  <c r="I111" i="61" s="1"/>
  <c r="X108" i="61" s="1"/>
  <c r="J108" i="61"/>
  <c r="J111" i="61" s="1"/>
  <c r="Y108" i="61" s="1"/>
  <c r="K108" i="61"/>
  <c r="K111" i="61" s="1"/>
  <c r="Z108" i="61" s="1"/>
  <c r="L108" i="61"/>
  <c r="L111" i="61" s="1"/>
  <c r="AA108" i="61" s="1"/>
  <c r="M108" i="61"/>
  <c r="M111" i="61" s="1"/>
  <c r="AB108" i="61" s="1"/>
  <c r="C109" i="61"/>
  <c r="C110" i="61"/>
  <c r="D111" i="61"/>
  <c r="S108" i="61" s="1"/>
  <c r="C112" i="61"/>
  <c r="C113" i="61"/>
  <c r="C114" i="61"/>
  <c r="I86" i="54"/>
  <c r="J86" i="54"/>
  <c r="K86" i="54"/>
  <c r="L86" i="54"/>
  <c r="M86" i="54"/>
  <c r="N86" i="54"/>
  <c r="I89" i="54"/>
  <c r="J89" i="54"/>
  <c r="K89" i="54"/>
  <c r="L89" i="54"/>
  <c r="M89" i="54"/>
  <c r="N89" i="54"/>
  <c r="C95" i="54"/>
  <c r="D95" i="54"/>
  <c r="E95" i="54"/>
  <c r="F95" i="54"/>
  <c r="G95" i="54"/>
  <c r="H95" i="54"/>
  <c r="I95" i="54"/>
  <c r="J95" i="54"/>
  <c r="C99" i="54"/>
  <c r="D99" i="54"/>
  <c r="E99" i="54"/>
  <c r="F99" i="54"/>
  <c r="G99" i="54"/>
  <c r="H99" i="54"/>
  <c r="I99" i="54"/>
  <c r="C102" i="54"/>
  <c r="Q102" i="54"/>
  <c r="I106" i="54"/>
  <c r="J106" i="54"/>
  <c r="K106" i="54"/>
  <c r="L106" i="54"/>
  <c r="M106" i="54"/>
  <c r="N106" i="54"/>
  <c r="I109" i="54"/>
  <c r="J109" i="54"/>
  <c r="K109" i="54"/>
  <c r="L109" i="54"/>
  <c r="M109" i="54"/>
  <c r="N109" i="54"/>
  <c r="K115" i="54"/>
  <c r="P82" i="61"/>
  <c r="R27" i="61"/>
  <c r="S158" i="61"/>
  <c r="T158" i="61"/>
  <c r="X27" i="61"/>
  <c r="Y82" i="61"/>
  <c r="E59" i="61"/>
  <c r="F59" i="61"/>
  <c r="H59" i="61"/>
  <c r="I59" i="61"/>
  <c r="J59" i="61"/>
  <c r="L59" i="61"/>
  <c r="M59" i="61"/>
  <c r="N59" i="61"/>
  <c r="P59" i="61"/>
  <c r="Q59" i="61"/>
  <c r="R59" i="61"/>
  <c r="T59" i="61"/>
  <c r="U59" i="61"/>
  <c r="V59" i="61"/>
  <c r="X59" i="61"/>
  <c r="Y83" i="61"/>
  <c r="D29" i="61"/>
  <c r="D30" i="61"/>
  <c r="R30" i="61"/>
  <c r="AA58" i="61"/>
  <c r="G3" i="61"/>
  <c r="P3" i="61"/>
  <c r="Q3" i="61"/>
  <c r="T3" i="61"/>
  <c r="X3" i="61"/>
  <c r="Y3" i="61"/>
  <c r="H11" i="54"/>
  <c r="G61" i="54" s="1"/>
  <c r="I11" i="54"/>
  <c r="G70" i="54" s="1"/>
  <c r="J11" i="54"/>
  <c r="J100" i="54" s="1"/>
  <c r="G98" i="54"/>
  <c r="J98" i="54"/>
  <c r="D28" i="10"/>
  <c r="D29" i="10"/>
  <c r="B20" i="3"/>
  <c r="C20" i="3"/>
  <c r="D20" i="3"/>
  <c r="E20" i="3"/>
  <c r="F20" i="3"/>
  <c r="G20" i="3"/>
  <c r="H20" i="3"/>
  <c r="I20" i="3"/>
  <c r="J20" i="3"/>
  <c r="K20" i="3"/>
  <c r="L20" i="3"/>
  <c r="M20" i="3"/>
  <c r="N20" i="3"/>
  <c r="O20" i="3"/>
  <c r="P20" i="3"/>
  <c r="Q20" i="3"/>
  <c r="R20" i="3"/>
  <c r="S20" i="3"/>
  <c r="T20" i="3"/>
  <c r="U20" i="3"/>
  <c r="V20" i="3"/>
  <c r="W20" i="3"/>
  <c r="X20" i="3"/>
  <c r="Y20" i="3"/>
  <c r="Z20" i="3"/>
  <c r="AB20" i="3"/>
  <c r="AC20" i="3" s="1"/>
  <c r="X23" i="3"/>
  <c r="X24" i="3"/>
  <c r="X25" i="3"/>
  <c r="K26" i="3"/>
  <c r="L26" i="3"/>
  <c r="M26" i="3"/>
  <c r="N26" i="3"/>
  <c r="O26" i="3"/>
  <c r="P26" i="3"/>
  <c r="Q26" i="3"/>
  <c r="R26" i="3"/>
  <c r="S26" i="3"/>
  <c r="T26" i="3"/>
  <c r="U26" i="3"/>
  <c r="V26" i="3"/>
  <c r="W26" i="3"/>
  <c r="Y26" i="3"/>
  <c r="Z26" i="3"/>
  <c r="X28" i="3"/>
  <c r="X29" i="3" s="1"/>
  <c r="X35" i="3" s="1"/>
  <c r="K29" i="3"/>
  <c r="K30" i="3" s="1"/>
  <c r="L29" i="3"/>
  <c r="M29" i="3"/>
  <c r="N29" i="3"/>
  <c r="N30" i="3" s="1"/>
  <c r="O29" i="3"/>
  <c r="O30" i="3" s="1"/>
  <c r="P29" i="3"/>
  <c r="Q29" i="3"/>
  <c r="Q30" i="3" s="1"/>
  <c r="R29" i="3"/>
  <c r="R30" i="3" s="1"/>
  <c r="S29" i="3"/>
  <c r="S30" i="3" s="1"/>
  <c r="T29" i="3"/>
  <c r="U29" i="3"/>
  <c r="V29" i="3"/>
  <c r="V30" i="3" s="1"/>
  <c r="W29" i="3"/>
  <c r="W30" i="3" s="1"/>
  <c r="Y29" i="3"/>
  <c r="Y30" i="3" s="1"/>
  <c r="Z29" i="3"/>
  <c r="L30" i="3"/>
  <c r="M30" i="3"/>
  <c r="P30" i="3"/>
  <c r="T30" i="3"/>
  <c r="U30" i="3"/>
  <c r="Z30" i="3"/>
  <c r="B33" i="3"/>
  <c r="C33" i="3"/>
  <c r="C36" i="3" s="1"/>
  <c r="C58" i="3" s="1"/>
  <c r="D33" i="3"/>
  <c r="E33" i="3"/>
  <c r="F33" i="3"/>
  <c r="G33" i="3"/>
  <c r="G36" i="3" s="1"/>
  <c r="G58" i="3" s="1"/>
  <c r="H33" i="3"/>
  <c r="I33" i="3"/>
  <c r="J33" i="3"/>
  <c r="K33" i="3"/>
  <c r="K36" i="3" s="1"/>
  <c r="L33" i="3"/>
  <c r="M33" i="3"/>
  <c r="N33" i="3"/>
  <c r="O33" i="3"/>
  <c r="P33" i="3"/>
  <c r="Q33" i="3"/>
  <c r="R33" i="3"/>
  <c r="S33" i="3"/>
  <c r="T33" i="3"/>
  <c r="U33" i="3"/>
  <c r="V33" i="3"/>
  <c r="W33" i="3"/>
  <c r="W36" i="3" s="1"/>
  <c r="X33" i="3"/>
  <c r="Y33" i="3"/>
  <c r="Z33" i="3"/>
  <c r="B34" i="3"/>
  <c r="C34" i="3"/>
  <c r="D34" i="3"/>
  <c r="E34" i="3"/>
  <c r="F34" i="3"/>
  <c r="G34" i="3"/>
  <c r="H34" i="3"/>
  <c r="I34" i="3"/>
  <c r="J34" i="3"/>
  <c r="K34" i="3"/>
  <c r="L34" i="3"/>
  <c r="M34" i="3"/>
  <c r="N34" i="3"/>
  <c r="O34" i="3"/>
  <c r="O36" i="3" s="1"/>
  <c r="P34" i="3"/>
  <c r="Q34" i="3"/>
  <c r="R34" i="3"/>
  <c r="S34" i="3"/>
  <c r="S36" i="3" s="1"/>
  <c r="T34" i="3"/>
  <c r="U34" i="3"/>
  <c r="V34" i="3"/>
  <c r="W34" i="3"/>
  <c r="Y34" i="3"/>
  <c r="Z34" i="3"/>
  <c r="B35" i="3"/>
  <c r="C35" i="3"/>
  <c r="D35" i="3"/>
  <c r="E35" i="3"/>
  <c r="E36" i="3" s="1"/>
  <c r="E58" i="3" s="1"/>
  <c r="E61" i="3" s="1"/>
  <c r="E62" i="3" s="1"/>
  <c r="F35" i="3"/>
  <c r="G35" i="3"/>
  <c r="H35" i="3"/>
  <c r="I35" i="3"/>
  <c r="I36" i="3"/>
  <c r="I58" i="3" s="1"/>
  <c r="I61" i="3" s="1"/>
  <c r="I62" i="3" s="1"/>
  <c r="J35" i="3"/>
  <c r="K35" i="3"/>
  <c r="L35" i="3"/>
  <c r="M35" i="3"/>
  <c r="M36" i="3" s="1"/>
  <c r="N35" i="3"/>
  <c r="O35" i="3"/>
  <c r="P35" i="3"/>
  <c r="Q35" i="3"/>
  <c r="Q36" i="3" s="1"/>
  <c r="R35" i="3"/>
  <c r="S35" i="3"/>
  <c r="T35" i="3"/>
  <c r="U35" i="3"/>
  <c r="U36" i="3"/>
  <c r="V35" i="3"/>
  <c r="W35" i="3"/>
  <c r="Y35" i="3"/>
  <c r="Y36" i="3"/>
  <c r="Z35" i="3"/>
  <c r="D36" i="3"/>
  <c r="H36" i="3"/>
  <c r="L36" i="3"/>
  <c r="P36" i="3"/>
  <c r="T36" i="3"/>
  <c r="B44" i="3"/>
  <c r="C44" i="3"/>
  <c r="D44" i="3"/>
  <c r="D55" i="3"/>
  <c r="E44" i="3"/>
  <c r="F44" i="3"/>
  <c r="G44" i="3"/>
  <c r="H44" i="3"/>
  <c r="H55" i="3" s="1"/>
  <c r="H58" i="3" s="1"/>
  <c r="H79" i="3" s="1"/>
  <c r="H90" i="3" s="1"/>
  <c r="H105" i="3" s="1"/>
  <c r="I44" i="3"/>
  <c r="J44" i="3"/>
  <c r="K44" i="3"/>
  <c r="L44" i="3"/>
  <c r="M44" i="3"/>
  <c r="N44" i="3"/>
  <c r="O44" i="3"/>
  <c r="P44" i="3"/>
  <c r="Q44" i="3"/>
  <c r="R44" i="3"/>
  <c r="S44" i="3"/>
  <c r="T44" i="3"/>
  <c r="U44" i="3"/>
  <c r="V44" i="3"/>
  <c r="W44" i="3"/>
  <c r="X44" i="3"/>
  <c r="X53" i="3"/>
  <c r="Y44" i="3"/>
  <c r="Z44" i="3"/>
  <c r="K49" i="3"/>
  <c r="K51" i="3" s="1"/>
  <c r="K55" i="3" s="1"/>
  <c r="L49" i="3"/>
  <c r="L51" i="3" s="1"/>
  <c r="L55" i="3" s="1"/>
  <c r="L58" i="3" s="1"/>
  <c r="M49" i="3"/>
  <c r="M51" i="3" s="1"/>
  <c r="M55" i="3" s="1"/>
  <c r="M58" i="3" s="1"/>
  <c r="M59" i="3" s="1"/>
  <c r="O49" i="3"/>
  <c r="O51" i="3" s="1"/>
  <c r="O55" i="3" s="1"/>
  <c r="P49" i="3"/>
  <c r="P51" i="3" s="1"/>
  <c r="P55" i="3" s="1"/>
  <c r="P58" i="3" s="1"/>
  <c r="Q49" i="3"/>
  <c r="Q51" i="3" s="1"/>
  <c r="Q55" i="3" s="1"/>
  <c r="Q58" i="3" s="1"/>
  <c r="T49" i="3"/>
  <c r="T51" i="3" s="1"/>
  <c r="T55" i="3" s="1"/>
  <c r="T58" i="3" s="1"/>
  <c r="T59" i="3" s="1"/>
  <c r="U49" i="3"/>
  <c r="U51" i="3" s="1"/>
  <c r="U55" i="3" s="1"/>
  <c r="U58" i="3" s="1"/>
  <c r="V49" i="3"/>
  <c r="V51" i="3" s="1"/>
  <c r="V55" i="3" s="1"/>
  <c r="V58" i="3" s="1"/>
  <c r="W49" i="3"/>
  <c r="W51" i="3" s="1"/>
  <c r="W55" i="3" s="1"/>
  <c r="X47" i="3"/>
  <c r="X49" i="3" s="1"/>
  <c r="Y49" i="3"/>
  <c r="Y51" i="3" s="1"/>
  <c r="Y55" i="3" s="1"/>
  <c r="Y58" i="3" s="1"/>
  <c r="Z49" i="3"/>
  <c r="Z51" i="3" s="1"/>
  <c r="Z55" i="3" s="1"/>
  <c r="X48" i="3"/>
  <c r="N49" i="3"/>
  <c r="N51" i="3" s="1"/>
  <c r="N55" i="3" s="1"/>
  <c r="N58" i="3" s="1"/>
  <c r="R49" i="3"/>
  <c r="R51" i="3" s="1"/>
  <c r="R55" i="3" s="1"/>
  <c r="S49" i="3"/>
  <c r="S51" i="3" s="1"/>
  <c r="S55" i="3" s="1"/>
  <c r="X50" i="3"/>
  <c r="X51" i="3" s="1"/>
  <c r="X55" i="3" s="1"/>
  <c r="B55" i="3"/>
  <c r="C55" i="3"/>
  <c r="E55" i="3"/>
  <c r="F55" i="3"/>
  <c r="G55" i="3"/>
  <c r="I55" i="3"/>
  <c r="J55" i="3"/>
  <c r="B76" i="3"/>
  <c r="C76" i="3"/>
  <c r="C79" i="3" s="1"/>
  <c r="D76" i="3"/>
  <c r="E76" i="3"/>
  <c r="F76" i="3"/>
  <c r="G76" i="3"/>
  <c r="G79" i="3" s="1"/>
  <c r="H76" i="3"/>
  <c r="I76" i="3"/>
  <c r="J76" i="3"/>
  <c r="K76" i="3"/>
  <c r="L76" i="3"/>
  <c r="M76" i="3"/>
  <c r="N76" i="3"/>
  <c r="O76" i="3"/>
  <c r="P76" i="3"/>
  <c r="Q76" i="3"/>
  <c r="R76" i="3"/>
  <c r="S76" i="3"/>
  <c r="T76" i="3"/>
  <c r="U76" i="3"/>
  <c r="V76" i="3"/>
  <c r="W76" i="3"/>
  <c r="X76" i="3"/>
  <c r="Y76" i="3"/>
  <c r="Z76" i="3"/>
  <c r="B88" i="3"/>
  <c r="C88" i="3"/>
  <c r="D88" i="3"/>
  <c r="E88" i="3"/>
  <c r="F88" i="3"/>
  <c r="G88" i="3"/>
  <c r="H88" i="3"/>
  <c r="I88" i="3"/>
  <c r="J88" i="3"/>
  <c r="K88" i="3"/>
  <c r="L88" i="3"/>
  <c r="M88" i="3"/>
  <c r="N88" i="3"/>
  <c r="O88" i="3"/>
  <c r="P88" i="3"/>
  <c r="Q88" i="3"/>
  <c r="R88" i="3"/>
  <c r="S88" i="3"/>
  <c r="T88" i="3"/>
  <c r="U88" i="3"/>
  <c r="V88" i="3"/>
  <c r="W88" i="3"/>
  <c r="X88" i="3"/>
  <c r="Y88" i="3"/>
  <c r="Z88" i="3"/>
  <c r="B96" i="3"/>
  <c r="C96" i="3"/>
  <c r="D96" i="3"/>
  <c r="E96" i="3"/>
  <c r="F96" i="3"/>
  <c r="G96" i="3"/>
  <c r="H96" i="3"/>
  <c r="I96" i="3"/>
  <c r="J96" i="3"/>
  <c r="K96" i="3"/>
  <c r="L96" i="3"/>
  <c r="M96" i="3"/>
  <c r="N96" i="3"/>
  <c r="O96" i="3"/>
  <c r="P96" i="3"/>
  <c r="Q96" i="3"/>
  <c r="R96" i="3"/>
  <c r="S96" i="3"/>
  <c r="T96" i="3"/>
  <c r="U96" i="3"/>
  <c r="V96" i="3"/>
  <c r="W96" i="3"/>
  <c r="X96" i="3"/>
  <c r="Y96" i="3"/>
  <c r="Z96" i="3"/>
  <c r="B102" i="3"/>
  <c r="C102" i="3"/>
  <c r="D102" i="3"/>
  <c r="E102" i="3"/>
  <c r="F102" i="3"/>
  <c r="G102" i="3"/>
  <c r="H102" i="3"/>
  <c r="I102" i="3"/>
  <c r="J102" i="3"/>
  <c r="K102" i="3"/>
  <c r="L102" i="3"/>
  <c r="M102" i="3"/>
  <c r="N102" i="3"/>
  <c r="O102" i="3"/>
  <c r="P102" i="3"/>
  <c r="Q102" i="3"/>
  <c r="R102" i="3"/>
  <c r="S102" i="3"/>
  <c r="T102" i="3"/>
  <c r="U102" i="3"/>
  <c r="V102" i="3"/>
  <c r="W102" i="3"/>
  <c r="X102" i="3"/>
  <c r="Y102" i="3"/>
  <c r="Z102" i="3"/>
  <c r="B113" i="3"/>
  <c r="C113" i="3"/>
  <c r="D113" i="3"/>
  <c r="E113" i="3"/>
  <c r="F113" i="3"/>
  <c r="G113" i="3"/>
  <c r="H113" i="3"/>
  <c r="I113" i="3"/>
  <c r="J113" i="3"/>
  <c r="K113" i="3"/>
  <c r="L113" i="3"/>
  <c r="M113" i="3"/>
  <c r="N113" i="3"/>
  <c r="O113" i="3"/>
  <c r="P113" i="3"/>
  <c r="Q113" i="3"/>
  <c r="R113" i="3"/>
  <c r="S113" i="3"/>
  <c r="T113" i="3"/>
  <c r="U113" i="3"/>
  <c r="V113" i="3"/>
  <c r="W113" i="3"/>
  <c r="X113" i="3"/>
  <c r="Y113" i="3"/>
  <c r="Z113" i="3"/>
  <c r="L118" i="3"/>
  <c r="M118" i="3"/>
  <c r="N118" i="3"/>
  <c r="O118" i="3"/>
  <c r="P118" i="3"/>
  <c r="Q118" i="3"/>
  <c r="R118" i="3"/>
  <c r="S118" i="3"/>
  <c r="T118" i="3"/>
  <c r="U118" i="3"/>
  <c r="V118" i="3"/>
  <c r="W118" i="3"/>
  <c r="X118" i="3"/>
  <c r="Y118" i="3"/>
  <c r="Z118" i="3"/>
  <c r="B134" i="3"/>
  <c r="C134" i="3"/>
  <c r="D134" i="3"/>
  <c r="E134" i="3"/>
  <c r="F134" i="3"/>
  <c r="G134" i="3"/>
  <c r="H134" i="3"/>
  <c r="I134" i="3"/>
  <c r="J134" i="3"/>
  <c r="K134" i="3"/>
  <c r="L134" i="3"/>
  <c r="M134" i="3"/>
  <c r="N134" i="3"/>
  <c r="O134" i="3"/>
  <c r="P134" i="3"/>
  <c r="Q134" i="3"/>
  <c r="R134" i="3"/>
  <c r="S134" i="3"/>
  <c r="T134" i="3"/>
  <c r="U134" i="3"/>
  <c r="V134" i="3"/>
  <c r="W134" i="3"/>
  <c r="O2" i="2"/>
  <c r="P2" i="2"/>
  <c r="Q2" i="2"/>
  <c r="R2" i="2"/>
  <c r="S2" i="2"/>
  <c r="T2" i="2"/>
  <c r="U2" i="2"/>
  <c r="V2" i="2"/>
  <c r="W2" i="2"/>
  <c r="T4" i="2"/>
  <c r="U4" i="2"/>
  <c r="V4" i="2"/>
  <c r="W4" i="2"/>
  <c r="X4" i="2"/>
  <c r="I16" i="2"/>
  <c r="J16" i="2"/>
  <c r="K16" i="2"/>
  <c r="K17" i="2"/>
  <c r="L16" i="2"/>
  <c r="L17" i="2"/>
  <c r="M16" i="2"/>
  <c r="N16" i="2"/>
  <c r="O16" i="2"/>
  <c r="O17" i="2"/>
  <c r="P16" i="2"/>
  <c r="P17" i="2" s="1"/>
  <c r="Q16" i="2"/>
  <c r="R16" i="2"/>
  <c r="S16" i="2"/>
  <c r="S17" i="2"/>
  <c r="T16" i="2"/>
  <c r="T17" i="2" s="1"/>
  <c r="U16" i="2"/>
  <c r="V16" i="2"/>
  <c r="W16" i="2"/>
  <c r="W17" i="2" s="1"/>
  <c r="X16" i="2"/>
  <c r="X17" i="2"/>
  <c r="B17" i="2"/>
  <c r="C17" i="2"/>
  <c r="D17" i="2"/>
  <c r="E17" i="2"/>
  <c r="F17" i="2"/>
  <c r="G17" i="2"/>
  <c r="H17" i="2"/>
  <c r="I17" i="2"/>
  <c r="J17" i="2"/>
  <c r="M17" i="2"/>
  <c r="N17" i="2"/>
  <c r="Q17" i="2"/>
  <c r="R17" i="2"/>
  <c r="U17" i="2"/>
  <c r="V17" i="2"/>
  <c r="B23" i="2"/>
  <c r="B25" i="2"/>
  <c r="B33" i="2" s="1"/>
  <c r="C25" i="2"/>
  <c r="D25" i="2"/>
  <c r="E25" i="2"/>
  <c r="E33" i="2" s="1"/>
  <c r="F25" i="2"/>
  <c r="F33" i="2" s="1"/>
  <c r="G25" i="2"/>
  <c r="H25" i="2"/>
  <c r="I25" i="2"/>
  <c r="J25" i="2"/>
  <c r="K25" i="2"/>
  <c r="L25" i="2"/>
  <c r="M25" i="2"/>
  <c r="N25" i="2"/>
  <c r="O25" i="2"/>
  <c r="P25" i="2"/>
  <c r="Q25" i="2"/>
  <c r="R25" i="2"/>
  <c r="S25" i="2"/>
  <c r="T25" i="2"/>
  <c r="U25" i="2"/>
  <c r="V25" i="2"/>
  <c r="W25" i="2"/>
  <c r="X25" i="2"/>
  <c r="B30" i="2"/>
  <c r="C30" i="2"/>
  <c r="C33" i="2"/>
  <c r="D30" i="2"/>
  <c r="E30" i="2"/>
  <c r="G30" i="2"/>
  <c r="G33" i="2"/>
  <c r="H30" i="2"/>
  <c r="I30" i="2"/>
  <c r="J30" i="2"/>
  <c r="J32" i="2" s="1"/>
  <c r="J58" i="2" s="1"/>
  <c r="K30" i="2"/>
  <c r="L30" i="2"/>
  <c r="L32" i="2" s="1"/>
  <c r="M30" i="2"/>
  <c r="M32" i="2" s="1"/>
  <c r="N30" i="2"/>
  <c r="N32" i="2" s="1"/>
  <c r="O30" i="2"/>
  <c r="O32" i="2" s="1"/>
  <c r="P30" i="2"/>
  <c r="P32" i="2" s="1"/>
  <c r="Q30" i="2"/>
  <c r="R30" i="2"/>
  <c r="R32" i="2" s="1"/>
  <c r="R58" i="2" s="1"/>
  <c r="S30" i="2"/>
  <c r="T30" i="2"/>
  <c r="T32" i="2" s="1"/>
  <c r="U30" i="2"/>
  <c r="U32" i="2" s="1"/>
  <c r="V30" i="2"/>
  <c r="V32" i="2" s="1"/>
  <c r="W30" i="2"/>
  <c r="W32" i="2" s="1"/>
  <c r="X30" i="2"/>
  <c r="X32" i="2" s="1"/>
  <c r="K32" i="2"/>
  <c r="S32" i="2"/>
  <c r="D33" i="2"/>
  <c r="H33" i="2"/>
  <c r="X40" i="2"/>
  <c r="B43" i="2"/>
  <c r="C43" i="2"/>
  <c r="D43" i="2"/>
  <c r="E43" i="2"/>
  <c r="F43" i="2"/>
  <c r="G43" i="2"/>
  <c r="H43" i="2"/>
  <c r="I43" i="2"/>
  <c r="J43" i="2"/>
  <c r="K43" i="2"/>
  <c r="L43" i="2"/>
  <c r="M43" i="2"/>
  <c r="N43" i="2"/>
  <c r="O43" i="2"/>
  <c r="P43" i="2"/>
  <c r="Q43" i="2"/>
  <c r="R43" i="2"/>
  <c r="S43" i="2"/>
  <c r="T43" i="2"/>
  <c r="U43" i="2"/>
  <c r="V43" i="2"/>
  <c r="W43" i="2"/>
  <c r="X43" i="2"/>
  <c r="B56" i="2"/>
  <c r="C56" i="2"/>
  <c r="D56" i="2"/>
  <c r="D57" i="2"/>
  <c r="D58" i="2" s="1"/>
  <c r="E56" i="2"/>
  <c r="E57" i="2"/>
  <c r="E58" i="2" s="1"/>
  <c r="F56" i="2"/>
  <c r="G56" i="2"/>
  <c r="H56" i="2"/>
  <c r="H57" i="2" s="1"/>
  <c r="H58" i="2" s="1"/>
  <c r="I56" i="2"/>
  <c r="I57" i="2"/>
  <c r="J56" i="2"/>
  <c r="K56" i="2"/>
  <c r="L56" i="2"/>
  <c r="L57" i="2"/>
  <c r="L58" i="2" s="1"/>
  <c r="M56" i="2"/>
  <c r="M57" i="2" s="1"/>
  <c r="M58" i="2" s="1"/>
  <c r="N56" i="2"/>
  <c r="O56" i="2"/>
  <c r="P56" i="2"/>
  <c r="P57" i="2"/>
  <c r="P58" i="2" s="1"/>
  <c r="Q56" i="2"/>
  <c r="Q57" i="2" s="1"/>
  <c r="R56" i="2"/>
  <c r="S56" i="2"/>
  <c r="T56" i="2"/>
  <c r="T57" i="2" s="1"/>
  <c r="T58" i="2" s="1"/>
  <c r="U56" i="2"/>
  <c r="U57" i="2" s="1"/>
  <c r="U58" i="2" s="1"/>
  <c r="V56" i="2"/>
  <c r="W56" i="2"/>
  <c r="X56" i="2"/>
  <c r="X57" i="2" s="1"/>
  <c r="X58" i="2" s="1"/>
  <c r="B57" i="2"/>
  <c r="B58" i="2" s="1"/>
  <c r="C57" i="2"/>
  <c r="F57" i="2"/>
  <c r="F58" i="2" s="1"/>
  <c r="G57" i="2"/>
  <c r="J57" i="2"/>
  <c r="K57" i="2"/>
  <c r="K58" i="2" s="1"/>
  <c r="N57" i="2"/>
  <c r="O57" i="2"/>
  <c r="O58" i="2" s="1"/>
  <c r="R57" i="2"/>
  <c r="S57" i="2"/>
  <c r="S58" i="2" s="1"/>
  <c r="V57" i="2"/>
  <c r="W57" i="2"/>
  <c r="W58" i="2" s="1"/>
  <c r="C58" i="2"/>
  <c r="G58" i="2"/>
  <c r="B59" i="2"/>
  <c r="C59" i="2"/>
  <c r="D59" i="2"/>
  <c r="E59" i="2"/>
  <c r="F59" i="2"/>
  <c r="G59" i="2"/>
  <c r="H59" i="2"/>
  <c r="I59" i="2"/>
  <c r="J59" i="2"/>
  <c r="K59" i="2"/>
  <c r="L59" i="2"/>
  <c r="M59" i="2"/>
  <c r="N59" i="2"/>
  <c r="O59" i="2"/>
  <c r="P59" i="2"/>
  <c r="Q59" i="2"/>
  <c r="R59" i="2"/>
  <c r="S59" i="2"/>
  <c r="T59" i="2"/>
  <c r="U59" i="2"/>
  <c r="V59" i="2"/>
  <c r="W59" i="2"/>
  <c r="X59" i="2"/>
  <c r="K74" i="2"/>
  <c r="L74" i="2"/>
  <c r="M74" i="2"/>
  <c r="N74" i="2"/>
  <c r="O74" i="2"/>
  <c r="P74" i="2"/>
  <c r="Q74" i="2"/>
  <c r="R74" i="2"/>
  <c r="S74" i="2"/>
  <c r="T74" i="2"/>
  <c r="U74" i="2"/>
  <c r="V74" i="2"/>
  <c r="W74" i="2"/>
  <c r="X80" i="2"/>
  <c r="X81" i="2"/>
  <c r="K82" i="2"/>
  <c r="L82" i="2"/>
  <c r="M82" i="2"/>
  <c r="N82" i="2"/>
  <c r="O82" i="2"/>
  <c r="P82" i="2"/>
  <c r="Q82" i="2"/>
  <c r="R82" i="2"/>
  <c r="S82" i="2"/>
  <c r="T82" i="2"/>
  <c r="U82" i="2"/>
  <c r="V82" i="2"/>
  <c r="W82" i="2"/>
  <c r="X85" i="2"/>
  <c r="X88" i="2" s="1"/>
  <c r="X87" i="2"/>
  <c r="K88" i="2"/>
  <c r="L88" i="2"/>
  <c r="M88" i="2"/>
  <c r="N88" i="2"/>
  <c r="N89" i="2" s="1"/>
  <c r="O88" i="2"/>
  <c r="P88" i="2"/>
  <c r="Q88" i="2"/>
  <c r="R88" i="2"/>
  <c r="R89" i="2"/>
  <c r="S88" i="2"/>
  <c r="S89" i="2" s="1"/>
  <c r="T88" i="2"/>
  <c r="U88" i="2"/>
  <c r="V88" i="2"/>
  <c r="V89" i="2" s="1"/>
  <c r="W88" i="2"/>
  <c r="K89" i="2"/>
  <c r="L89" i="2"/>
  <c r="O89" i="2"/>
  <c r="P89" i="2"/>
  <c r="T89" i="2"/>
  <c r="W89" i="2"/>
  <c r="X95" i="2"/>
  <c r="X96" i="2"/>
  <c r="X98" i="2"/>
  <c r="X104" i="2" s="1"/>
  <c r="X101" i="2"/>
  <c r="X102" i="2"/>
  <c r="X103" i="2"/>
  <c r="K104" i="2"/>
  <c r="L104" i="2"/>
  <c r="M104" i="2"/>
  <c r="N104" i="2"/>
  <c r="O104" i="2"/>
  <c r="P104" i="2"/>
  <c r="Q104" i="2"/>
  <c r="R104" i="2"/>
  <c r="S104" i="2"/>
  <c r="T104" i="2"/>
  <c r="U104" i="2"/>
  <c r="V104" i="2"/>
  <c r="W104" i="2"/>
  <c r="X107" i="2"/>
  <c r="X108" i="2"/>
  <c r="X109" i="2"/>
  <c r="X110" i="2" s="1"/>
  <c r="K110" i="2"/>
  <c r="L110" i="2"/>
  <c r="M110" i="2"/>
  <c r="N110" i="2"/>
  <c r="O110" i="2"/>
  <c r="P110" i="2"/>
  <c r="Q110" i="2"/>
  <c r="R110" i="2"/>
  <c r="S110" i="2"/>
  <c r="T110" i="2"/>
  <c r="U110" i="2"/>
  <c r="V110" i="2"/>
  <c r="W110" i="2"/>
  <c r="X112" i="2"/>
  <c r="X113" i="2"/>
  <c r="X114" i="2"/>
  <c r="X115" i="2"/>
  <c r="X119" i="2" s="1"/>
  <c r="X120" i="2" s="1"/>
  <c r="X117" i="2"/>
  <c r="K119" i="2"/>
  <c r="K120" i="2" s="1"/>
  <c r="K121" i="2" s="1"/>
  <c r="L119" i="2"/>
  <c r="L120" i="2" s="1"/>
  <c r="L121" i="2" s="1"/>
  <c r="M119" i="2"/>
  <c r="N119" i="2"/>
  <c r="N120" i="2" s="1"/>
  <c r="N121" i="2" s="1"/>
  <c r="O119" i="2"/>
  <c r="O120" i="2" s="1"/>
  <c r="O121" i="2" s="1"/>
  <c r="P119" i="2"/>
  <c r="P120" i="2" s="1"/>
  <c r="P121" i="2" s="1"/>
  <c r="Q119" i="2"/>
  <c r="R119" i="2"/>
  <c r="R120" i="2" s="1"/>
  <c r="R121" i="2" s="1"/>
  <c r="S119" i="2"/>
  <c r="S120" i="2" s="1"/>
  <c r="S121" i="2" s="1"/>
  <c r="T119" i="2"/>
  <c r="T120" i="2" s="1"/>
  <c r="T121" i="2" s="1"/>
  <c r="U119" i="2"/>
  <c r="V119" i="2"/>
  <c r="V120" i="2" s="1"/>
  <c r="V121" i="2" s="1"/>
  <c r="W119" i="2"/>
  <c r="W120" i="2" s="1"/>
  <c r="W121" i="2" s="1"/>
  <c r="M120" i="2"/>
  <c r="Q120" i="2"/>
  <c r="U120" i="2"/>
  <c r="B132" i="2"/>
  <c r="C132" i="2"/>
  <c r="D132" i="2"/>
  <c r="E132" i="2"/>
  <c r="F132" i="2"/>
  <c r="G132" i="2"/>
  <c r="H132" i="2"/>
  <c r="I132" i="2"/>
  <c r="J132" i="2"/>
  <c r="K132" i="2"/>
  <c r="L132" i="2"/>
  <c r="M132" i="2"/>
  <c r="N132" i="2"/>
  <c r="O132" i="2"/>
  <c r="P132" i="2"/>
  <c r="Q132" i="2"/>
  <c r="R132" i="2"/>
  <c r="S132" i="2"/>
  <c r="T132" i="2"/>
  <c r="U132" i="2"/>
  <c r="V132" i="2"/>
  <c r="W132" i="2"/>
  <c r="X132" i="2"/>
  <c r="B133" i="2"/>
  <c r="C133" i="2"/>
  <c r="D133" i="2"/>
  <c r="E133" i="2"/>
  <c r="F133" i="2"/>
  <c r="G133" i="2"/>
  <c r="H133" i="2"/>
  <c r="I133" i="2"/>
  <c r="J133" i="2"/>
  <c r="K133" i="2"/>
  <c r="L133" i="2"/>
  <c r="M133" i="2"/>
  <c r="N133" i="2"/>
  <c r="O133" i="2"/>
  <c r="P133" i="2"/>
  <c r="Q133" i="2"/>
  <c r="R133" i="2"/>
  <c r="S133" i="2"/>
  <c r="T133" i="2"/>
  <c r="U133" i="2"/>
  <c r="V133" i="2"/>
  <c r="W133" i="2"/>
  <c r="X133" i="2"/>
  <c r="B142" i="2"/>
  <c r="C142" i="2"/>
  <c r="D142" i="2"/>
  <c r="E142" i="2"/>
  <c r="F142" i="2"/>
  <c r="G142" i="2"/>
  <c r="H142" i="2"/>
  <c r="I142" i="2"/>
  <c r="J142" i="2"/>
  <c r="K142" i="2"/>
  <c r="L142" i="2"/>
  <c r="M142" i="2"/>
  <c r="N142" i="2"/>
  <c r="O142" i="2"/>
  <c r="P142" i="2"/>
  <c r="Q142" i="2"/>
  <c r="R142" i="2"/>
  <c r="S142" i="2"/>
  <c r="T142" i="2"/>
  <c r="U142" i="2"/>
  <c r="V142" i="2"/>
  <c r="W142" i="2"/>
  <c r="X142" i="2"/>
  <c r="X147" i="2"/>
  <c r="Y147" i="2" s="1"/>
  <c r="AA147" i="2" s="1"/>
  <c r="Y151" i="2"/>
  <c r="W152" i="2"/>
  <c r="X152" i="2"/>
  <c r="Y152" i="2" s="1"/>
  <c r="X157" i="2"/>
  <c r="X158" i="2"/>
  <c r="X159" i="2"/>
  <c r="X160" i="2"/>
  <c r="W163" i="2"/>
  <c r="X163" i="2"/>
  <c r="D164" i="2"/>
  <c r="D189" i="2" s="1"/>
  <c r="D192" i="2" s="1"/>
  <c r="E191" i="2" s="1"/>
  <c r="E164" i="2"/>
  <c r="F164" i="2"/>
  <c r="G164" i="2"/>
  <c r="H164" i="2"/>
  <c r="H189" i="2" s="1"/>
  <c r="I164" i="2"/>
  <c r="J164" i="2"/>
  <c r="K164" i="2"/>
  <c r="L164" i="2"/>
  <c r="M164" i="2"/>
  <c r="N164" i="2"/>
  <c r="O164" i="2"/>
  <c r="P164" i="2"/>
  <c r="Q164" i="2"/>
  <c r="R164" i="2"/>
  <c r="S164" i="2"/>
  <c r="T164" i="2"/>
  <c r="T189" i="2" s="1"/>
  <c r="U164" i="2"/>
  <c r="V164" i="2"/>
  <c r="W164" i="2"/>
  <c r="X164" i="2"/>
  <c r="X174" i="2"/>
  <c r="X175" i="2"/>
  <c r="D175" i="2"/>
  <c r="E175" i="2"/>
  <c r="F175" i="2"/>
  <c r="G175" i="2"/>
  <c r="G189" i="2" s="1"/>
  <c r="H175" i="2"/>
  <c r="I175" i="2"/>
  <c r="J175" i="2"/>
  <c r="J189" i="2" s="1"/>
  <c r="K175" i="2"/>
  <c r="L175" i="2"/>
  <c r="M175" i="2"/>
  <c r="N175" i="2"/>
  <c r="O175" i="2"/>
  <c r="O189" i="2" s="1"/>
  <c r="P175" i="2"/>
  <c r="P189" i="2" s="1"/>
  <c r="Q175" i="2"/>
  <c r="R175" i="2"/>
  <c r="R189" i="2" s="1"/>
  <c r="S175" i="2"/>
  <c r="T175" i="2"/>
  <c r="U175" i="2"/>
  <c r="V175" i="2"/>
  <c r="W175" i="2"/>
  <c r="W189" i="2" s="1"/>
  <c r="X178" i="2"/>
  <c r="X180" i="2"/>
  <c r="X185" i="2" s="1"/>
  <c r="X181" i="2"/>
  <c r="X184" i="2"/>
  <c r="D185" i="2"/>
  <c r="E185" i="2"/>
  <c r="E189" i="2" s="1"/>
  <c r="F185" i="2"/>
  <c r="F189" i="2" s="1"/>
  <c r="G185" i="2"/>
  <c r="H185" i="2"/>
  <c r="I185" i="2"/>
  <c r="I189" i="2" s="1"/>
  <c r="J185" i="2"/>
  <c r="K185" i="2"/>
  <c r="K189" i="2" s="1"/>
  <c r="L185" i="2"/>
  <c r="M185" i="2"/>
  <c r="M189" i="2"/>
  <c r="N185" i="2"/>
  <c r="N189" i="2" s="1"/>
  <c r="O185" i="2"/>
  <c r="P185" i="2"/>
  <c r="Q185" i="2"/>
  <c r="Q189" i="2" s="1"/>
  <c r="R185" i="2"/>
  <c r="S185" i="2"/>
  <c r="S189" i="2" s="1"/>
  <c r="T185" i="2"/>
  <c r="U185" i="2"/>
  <c r="U189" i="2" s="1"/>
  <c r="V185" i="2"/>
  <c r="V189" i="2" s="1"/>
  <c r="W185" i="2"/>
  <c r="L189" i="2"/>
  <c r="D191" i="2"/>
  <c r="K218" i="2"/>
  <c r="K234" i="2" s="1"/>
  <c r="K236" i="2" s="1"/>
  <c r="L218" i="2"/>
  <c r="L234" i="2" s="1"/>
  <c r="L236" i="2" s="1"/>
  <c r="M218" i="2"/>
  <c r="M234" i="2" s="1"/>
  <c r="M236" i="2" s="1"/>
  <c r="N218" i="2"/>
  <c r="N234" i="2" s="1"/>
  <c r="N236" i="2" s="1"/>
  <c r="P218" i="2"/>
  <c r="P234" i="2" s="1"/>
  <c r="P236" i="2" s="1"/>
  <c r="Q218" i="2"/>
  <c r="Q234" i="2" s="1"/>
  <c r="Q236" i="2" s="1"/>
  <c r="T218" i="2"/>
  <c r="T234" i="2" s="1"/>
  <c r="T236" i="2" s="1"/>
  <c r="U218" i="2"/>
  <c r="U234" i="2" s="1"/>
  <c r="U236" i="2" s="1"/>
  <c r="Y204" i="2"/>
  <c r="O218" i="2"/>
  <c r="O234" i="2" s="1"/>
  <c r="O236" i="2" s="1"/>
  <c r="R218" i="2"/>
  <c r="R234" i="2" s="1"/>
  <c r="R236" i="2" s="1"/>
  <c r="S218" i="2"/>
  <c r="S234" i="2" s="1"/>
  <c r="S236" i="2" s="1"/>
  <c r="V218" i="2"/>
  <c r="V234" i="2" s="1"/>
  <c r="V236" i="2" s="1"/>
  <c r="W218" i="2"/>
  <c r="W234" i="2" s="1"/>
  <c r="W236" i="2" s="1"/>
  <c r="X218" i="2"/>
  <c r="K224" i="2"/>
  <c r="L224" i="2"/>
  <c r="M224" i="2"/>
  <c r="N224" i="2"/>
  <c r="O224" i="2"/>
  <c r="P224" i="2"/>
  <c r="Q224" i="2"/>
  <c r="R224" i="2"/>
  <c r="S224" i="2"/>
  <c r="T224" i="2"/>
  <c r="U224" i="2"/>
  <c r="V224" i="2"/>
  <c r="W224" i="2"/>
  <c r="X224" i="2"/>
  <c r="X227" i="2"/>
  <c r="X232" i="2" s="1"/>
  <c r="X234" i="2" s="1"/>
  <c r="X236" i="2" s="1"/>
  <c r="X68" i="2" s="1"/>
  <c r="X74" i="2" s="1"/>
  <c r="K232" i="2"/>
  <c r="L232" i="2"/>
  <c r="M232" i="2"/>
  <c r="N232" i="2"/>
  <c r="O232" i="2"/>
  <c r="P232" i="2"/>
  <c r="Q232" i="2"/>
  <c r="R232" i="2"/>
  <c r="S232" i="2"/>
  <c r="T232" i="2"/>
  <c r="U232" i="2"/>
  <c r="V232" i="2"/>
  <c r="W232" i="2"/>
  <c r="G236" i="2"/>
  <c r="H236" i="2"/>
  <c r="I236" i="2"/>
  <c r="J236" i="2"/>
  <c r="W239" i="2"/>
  <c r="D58" i="3"/>
  <c r="U89" i="2"/>
  <c r="U121" i="2" s="1"/>
  <c r="Q89" i="2"/>
  <c r="Q121" i="2"/>
  <c r="M89" i="2"/>
  <c r="M121" i="2" s="1"/>
  <c r="Q32" i="2"/>
  <c r="Q58" i="2" s="1"/>
  <c r="I32" i="2"/>
  <c r="I58" i="2"/>
  <c r="C61" i="3"/>
  <c r="C62" i="3"/>
  <c r="C59" i="3"/>
  <c r="I59" i="3"/>
  <c r="I79" i="3"/>
  <c r="I90" i="3" s="1"/>
  <c r="I105" i="3" s="1"/>
  <c r="I106" i="3" s="1"/>
  <c r="E59" i="3"/>
  <c r="E79" i="3"/>
  <c r="E90" i="3" s="1"/>
  <c r="E105" i="3" s="1"/>
  <c r="Z36" i="3"/>
  <c r="V36" i="3"/>
  <c r="R36" i="3"/>
  <c r="N36" i="3"/>
  <c r="J36" i="3"/>
  <c r="J58" i="3" s="1"/>
  <c r="F36" i="3"/>
  <c r="F58" i="3"/>
  <c r="B36" i="3"/>
  <c r="B58" i="3" s="1"/>
  <c r="X26" i="3"/>
  <c r="H98" i="54"/>
  <c r="G11" i="54"/>
  <c r="G52" i="54" s="1"/>
  <c r="G86" i="61"/>
  <c r="X34" i="3"/>
  <c r="X36" i="3"/>
  <c r="X58" i="3"/>
  <c r="X79" i="3"/>
  <c r="X90" i="3" s="1"/>
  <c r="X105" i="3" s="1"/>
  <c r="I98" i="54"/>
  <c r="T5" i="61"/>
  <c r="P28" i="61"/>
  <c r="Y86" i="61"/>
  <c r="E86" i="61"/>
  <c r="G28" i="61"/>
  <c r="X5" i="61"/>
  <c r="R5" i="61"/>
  <c r="S5" i="61"/>
  <c r="P29" i="61"/>
  <c r="R85" i="61"/>
  <c r="S83" i="61"/>
  <c r="K83" i="61"/>
  <c r="V5" i="61"/>
  <c r="W5" i="61"/>
  <c r="S29" i="61"/>
  <c r="S86" i="61"/>
  <c r="Y85" i="61"/>
  <c r="E28" i="61"/>
  <c r="E85" i="61"/>
  <c r="J99" i="54"/>
  <c r="R102" i="54"/>
  <c r="R116" i="37"/>
  <c r="R118" i="37" s="1"/>
  <c r="P118" i="37"/>
  <c r="N102" i="37"/>
  <c r="R75" i="37"/>
  <c r="P75" i="37"/>
  <c r="BU76" i="37"/>
  <c r="BY76" i="37"/>
  <c r="N75" i="37"/>
  <c r="BK76" i="37"/>
  <c r="BU66" i="37"/>
  <c r="BM66" i="37"/>
  <c r="BI66" i="37"/>
  <c r="N120" i="39"/>
  <c r="CE58" i="37"/>
  <c r="P55" i="37"/>
  <c r="CJ70" i="39"/>
  <c r="CJ71" i="39"/>
  <c r="CJ72" i="39"/>
  <c r="CJ73" i="39"/>
  <c r="CJ45" i="37"/>
  <c r="CI74" i="39"/>
  <c r="CF70" i="39"/>
  <c r="CF71" i="39"/>
  <c r="CF72" i="39"/>
  <c r="CF73" i="39"/>
  <c r="CF45" i="37"/>
  <c r="CE74" i="39"/>
  <c r="CB70" i="39"/>
  <c r="CB71" i="39"/>
  <c r="CB72" i="39"/>
  <c r="CB73" i="39"/>
  <c r="BW74" i="39"/>
  <c r="BT70" i="39"/>
  <c r="BT71" i="39"/>
  <c r="BT72" i="39"/>
  <c r="BT73" i="39"/>
  <c r="P41" i="37"/>
  <c r="Q42" i="37" s="1"/>
  <c r="BN37" i="37"/>
  <c r="BX27" i="37"/>
  <c r="BT27" i="37"/>
  <c r="BP27" i="37"/>
  <c r="BL27" i="37"/>
  <c r="BH27" i="37"/>
  <c r="BD27" i="37"/>
  <c r="N26" i="37"/>
  <c r="BY23" i="37"/>
  <c r="BQ22" i="37"/>
  <c r="BM23" i="37"/>
  <c r="O22" i="37"/>
  <c r="BN20" i="37"/>
  <c r="BJ20" i="37"/>
  <c r="BF20" i="37"/>
  <c r="BB20" i="37"/>
  <c r="BX11" i="37"/>
  <c r="BT11" i="37"/>
  <c r="BP11" i="37"/>
  <c r="BL11" i="37"/>
  <c r="BH11" i="37"/>
  <c r="BD11" i="37"/>
  <c r="N10" i="37"/>
  <c r="J10" i="37"/>
  <c r="CD152" i="39"/>
  <c r="CD146" i="39"/>
  <c r="CD270" i="39"/>
  <c r="CE268" i="39"/>
  <c r="CD250" i="39"/>
  <c r="CE248" i="39"/>
  <c r="CD141" i="39"/>
  <c r="CL190" i="39"/>
  <c r="CE185" i="39"/>
  <c r="CF183" i="39" s="1"/>
  <c r="R83" i="61"/>
  <c r="BP120" i="39"/>
  <c r="BP165" i="39" s="1"/>
  <c r="BP124" i="40"/>
  <c r="BP63" i="37"/>
  <c r="BT63" i="37"/>
  <c r="BP64" i="37"/>
  <c r="BL120" i="39"/>
  <c r="BL124" i="40"/>
  <c r="BL63" i="37"/>
  <c r="BL64" i="37"/>
  <c r="BH120" i="39"/>
  <c r="BH124" i="40"/>
  <c r="BH63" i="37"/>
  <c r="BH82" i="39"/>
  <c r="BD120" i="39"/>
  <c r="BD124" i="40"/>
  <c r="BD64" i="37"/>
  <c r="CA61" i="37"/>
  <c r="CA68" i="37"/>
  <c r="BX39" i="37"/>
  <c r="CB39" i="37"/>
  <c r="BS44" i="37"/>
  <c r="N38" i="37"/>
  <c r="BW39" i="37"/>
  <c r="BO39" i="37"/>
  <c r="BG39" i="37"/>
  <c r="BW26" i="37"/>
  <c r="BS26" i="37"/>
  <c r="BO26" i="37"/>
  <c r="BK26" i="37"/>
  <c r="BG26" i="37"/>
  <c r="BW10" i="37"/>
  <c r="BS10" i="37"/>
  <c r="BS12" i="37"/>
  <c r="BO10" i="37"/>
  <c r="BO12" i="37"/>
  <c r="BO11" i="37"/>
  <c r="BK10" i="37"/>
  <c r="BK12" i="37"/>
  <c r="BG10" i="37"/>
  <c r="BG12" i="37"/>
  <c r="BC12" i="37"/>
  <c r="BC11" i="37"/>
  <c r="CE318" i="39"/>
  <c r="CD313" i="39"/>
  <c r="CC325" i="39"/>
  <c r="CD305" i="39"/>
  <c r="CD153" i="39" s="1"/>
  <c r="CE303" i="39"/>
  <c r="CE300" i="39"/>
  <c r="CF298" i="39" s="1"/>
  <c r="CD295" i="39"/>
  <c r="CE293" i="39" s="1"/>
  <c r="CD285" i="39"/>
  <c r="CE283" i="39"/>
  <c r="CE141" i="39"/>
  <c r="CE245" i="39"/>
  <c r="CF243" i="39" s="1"/>
  <c r="CD190" i="39"/>
  <c r="CD197" i="39"/>
  <c r="CE180" i="39"/>
  <c r="CF178" i="39" s="1"/>
  <c r="K95" i="54"/>
  <c r="U83" i="61"/>
  <c r="Q83" i="61"/>
  <c r="M83" i="61"/>
  <c r="I83" i="61"/>
  <c r="E83" i="61"/>
  <c r="CK117" i="37"/>
  <c r="R117" i="37"/>
  <c r="CK118" i="37"/>
  <c r="CG117" i="37"/>
  <c r="CG118" i="37"/>
  <c r="CC117" i="37"/>
  <c r="CC118" i="37"/>
  <c r="K111" i="37"/>
  <c r="O59" i="39"/>
  <c r="CA103" i="37"/>
  <c r="CA104" i="37" s="1"/>
  <c r="CA59" i="39" s="1"/>
  <c r="CB102" i="37"/>
  <c r="P100" i="37"/>
  <c r="O100" i="37"/>
  <c r="BN100" i="37"/>
  <c r="BN92" i="37"/>
  <c r="BR92" i="37"/>
  <c r="BJ100" i="37"/>
  <c r="BJ92" i="37"/>
  <c r="BQ96" i="39"/>
  <c r="BQ97" i="39" s="1"/>
  <c r="CL53" i="37"/>
  <c r="R52" i="37"/>
  <c r="CH53" i="37"/>
  <c r="CD53" i="37"/>
  <c r="Q52" i="37"/>
  <c r="BJ53" i="37"/>
  <c r="BB54" i="37"/>
  <c r="CJ42" i="37"/>
  <c r="CF42" i="37"/>
  <c r="CB42" i="37"/>
  <c r="BX42" i="37"/>
  <c r="O41" i="37"/>
  <c r="BT42" i="37"/>
  <c r="BP42" i="37"/>
  <c r="BL42" i="37"/>
  <c r="BH42" i="37"/>
  <c r="R41" i="37"/>
  <c r="BS40" i="37"/>
  <c r="BC40" i="37"/>
  <c r="O38" i="37"/>
  <c r="BY31" i="37"/>
  <c r="BI31" i="37"/>
  <c r="BS28" i="37"/>
  <c r="BK28" i="37"/>
  <c r="BC28" i="37"/>
  <c r="BX19" i="37"/>
  <c r="BH19" i="37"/>
  <c r="BY15" i="37"/>
  <c r="BQ14" i="37"/>
  <c r="BM14" i="37"/>
  <c r="BM16" i="37"/>
  <c r="BM15" i="37"/>
  <c r="BI14" i="37"/>
  <c r="BI15" i="37"/>
  <c r="BE15" i="37"/>
  <c r="O14" i="37"/>
  <c r="K14" i="37"/>
  <c r="BF12" i="37"/>
  <c r="CD310" i="39"/>
  <c r="CE308" i="39" s="1"/>
  <c r="CD154" i="39"/>
  <c r="CD290" i="39"/>
  <c r="CE288" i="39" s="1"/>
  <c r="CD230" i="39"/>
  <c r="CD137" i="39" s="1"/>
  <c r="CE228" i="39"/>
  <c r="CD220" i="39"/>
  <c r="CD135" i="39" s="1"/>
  <c r="CE218" i="39"/>
  <c r="S120" i="39"/>
  <c r="S124" i="40"/>
  <c r="X83" i="61"/>
  <c r="T83" i="61"/>
  <c r="P83" i="61"/>
  <c r="L83" i="61"/>
  <c r="H83" i="61"/>
  <c r="D83" i="61"/>
  <c r="BU117" i="37"/>
  <c r="N113" i="37"/>
  <c r="N118" i="37"/>
  <c r="BU118" i="37"/>
  <c r="Q118" i="37"/>
  <c r="BF103" i="37"/>
  <c r="BG102" i="37"/>
  <c r="O76" i="37"/>
  <c r="Q76" i="37"/>
  <c r="CI56" i="37"/>
  <c r="R55" i="37"/>
  <c r="CE56" i="37"/>
  <c r="CE57" i="37"/>
  <c r="CA56" i="37"/>
  <c r="CA57" i="37"/>
  <c r="BW56" i="37"/>
  <c r="BS56" i="37"/>
  <c r="BS57" i="37"/>
  <c r="BO56" i="37"/>
  <c r="BO57" i="37"/>
  <c r="BK12" i="38"/>
  <c r="BK56" i="37"/>
  <c r="BK57" i="37"/>
  <c r="BG12" i="38"/>
  <c r="BG56" i="37"/>
  <c r="BG57" i="37"/>
  <c r="BC12" i="38"/>
  <c r="BC57" i="37"/>
  <c r="BN58" i="38"/>
  <c r="BN35" i="37"/>
  <c r="BN40" i="37"/>
  <c r="BN64" i="37"/>
  <c r="BN69" i="39"/>
  <c r="BN32" i="37"/>
  <c r="BN33" i="37"/>
  <c r="BN36" i="37"/>
  <c r="BO37" i="37"/>
  <c r="BN67" i="37"/>
  <c r="BJ58" i="38"/>
  <c r="BJ79" i="38"/>
  <c r="BJ35" i="37"/>
  <c r="BJ40" i="37"/>
  <c r="BJ64" i="37"/>
  <c r="BJ69" i="39"/>
  <c r="BJ32" i="37"/>
  <c r="BJ33" i="37"/>
  <c r="BJ36" i="37"/>
  <c r="BK37" i="37"/>
  <c r="BJ67" i="37"/>
  <c r="BF58" i="38"/>
  <c r="BF69" i="39"/>
  <c r="BF35" i="37"/>
  <c r="BF40" i="37"/>
  <c r="BF64" i="37"/>
  <c r="BF32" i="37"/>
  <c r="BF33" i="37"/>
  <c r="BF36" i="37"/>
  <c r="BG37" i="37"/>
  <c r="BF67" i="37"/>
  <c r="BB58" i="38"/>
  <c r="BB79" i="38"/>
  <c r="BB40" i="37"/>
  <c r="BB43" i="37"/>
  <c r="BB64" i="37"/>
  <c r="BB32" i="37"/>
  <c r="BB33" i="37"/>
  <c r="BC37" i="37"/>
  <c r="BB67" i="37"/>
  <c r="BL32" i="37"/>
  <c r="BW18" i="37"/>
  <c r="BS19" i="37"/>
  <c r="BK18" i="37"/>
  <c r="BG20" i="37"/>
  <c r="M18" i="37"/>
  <c r="Q323" i="39"/>
  <c r="CD275" i="39"/>
  <c r="CE273" i="39" s="1"/>
  <c r="CD265" i="39"/>
  <c r="CE263" i="39" s="1"/>
  <c r="CD255" i="39"/>
  <c r="CE253" i="39"/>
  <c r="CK245" i="39"/>
  <c r="CD235" i="39"/>
  <c r="CD138" i="39" s="1"/>
  <c r="CD210" i="39"/>
  <c r="CE208" i="39" s="1"/>
  <c r="CD205" i="39"/>
  <c r="CE203" i="39"/>
  <c r="Q195" i="39"/>
  <c r="R193" i="39"/>
  <c r="CH193" i="39"/>
  <c r="CH195" i="39"/>
  <c r="CI193" i="39" s="1"/>
  <c r="CD175" i="39"/>
  <c r="CE173" i="39" s="1"/>
  <c r="BB165" i="39"/>
  <c r="BB166" i="39" s="1"/>
  <c r="CF117" i="37"/>
  <c r="Q117" i="37" s="1"/>
  <c r="BW94" i="37"/>
  <c r="BS94" i="37"/>
  <c r="BO94" i="37"/>
  <c r="BK94" i="37"/>
  <c r="O120" i="39"/>
  <c r="O121" i="39" s="1"/>
  <c r="BU94" i="39"/>
  <c r="BU116" i="40"/>
  <c r="CE58" i="38"/>
  <c r="CE69" i="39"/>
  <c r="CA58" i="38"/>
  <c r="CA69" i="39"/>
  <c r="BS24" i="37"/>
  <c r="BO24" i="37"/>
  <c r="BK24" i="37"/>
  <c r="BG24" i="37"/>
  <c r="BC24" i="37"/>
  <c r="BI20" i="37"/>
  <c r="BS16" i="37"/>
  <c r="BO16" i="37"/>
  <c r="BK16" i="37"/>
  <c r="BG16" i="37"/>
  <c r="BC16" i="37"/>
  <c r="J165" i="39"/>
  <c r="BC163" i="39"/>
  <c r="L163" i="39"/>
  <c r="CD156" i="39"/>
  <c r="BU93" i="39"/>
  <c r="P90" i="39"/>
  <c r="BU87" i="39"/>
  <c r="M81" i="39"/>
  <c r="BN105" i="39"/>
  <c r="BN112" i="39" s="1"/>
  <c r="BF77" i="39"/>
  <c r="BF105" i="39"/>
  <c r="BF112" i="39" s="1"/>
  <c r="CK73" i="39"/>
  <c r="CC73" i="39"/>
  <c r="BU73" i="39"/>
  <c r="CG72" i="39"/>
  <c r="BY72" i="39"/>
  <c r="CK71" i="39"/>
  <c r="CC71" i="39"/>
  <c r="BU71" i="39"/>
  <c r="CG70" i="39"/>
  <c r="BY70" i="39"/>
  <c r="Q56" i="39"/>
  <c r="O65" i="40"/>
  <c r="N65" i="40"/>
  <c r="N60" i="40"/>
  <c r="Q200" i="36"/>
  <c r="R185" i="36"/>
  <c r="R184" i="36"/>
  <c r="CJ76" i="36"/>
  <c r="CJ189" i="36"/>
  <c r="CF76" i="36"/>
  <c r="CF189" i="36"/>
  <c r="CB76" i="36"/>
  <c r="CB189" i="36"/>
  <c r="BX76" i="36"/>
  <c r="BX189" i="36"/>
  <c r="BT76" i="36"/>
  <c r="BT189" i="36"/>
  <c r="BR92" i="36"/>
  <c r="BR93" i="36"/>
  <c r="Q125" i="36"/>
  <c r="CF186" i="36"/>
  <c r="CF81" i="36"/>
  <c r="CF53" i="36"/>
  <c r="CF127" i="36"/>
  <c r="CB186" i="36"/>
  <c r="CB53" i="36"/>
  <c r="CB127" i="36"/>
  <c r="BX186" i="36"/>
  <c r="BX53" i="36"/>
  <c r="BX127" i="36"/>
  <c r="BT186" i="36"/>
  <c r="BT127" i="36"/>
  <c r="CD126" i="39"/>
  <c r="CJ96" i="39"/>
  <c r="BQ82" i="39"/>
  <c r="CI86" i="39"/>
  <c r="CE87" i="39"/>
  <c r="CE86" i="39"/>
  <c r="CA87" i="39"/>
  <c r="CA86" i="39"/>
  <c r="BW86" i="39"/>
  <c r="BS86" i="39"/>
  <c r="BO86" i="39"/>
  <c r="BK86" i="39"/>
  <c r="BG86" i="39"/>
  <c r="M86" i="39"/>
  <c r="CI77" i="39"/>
  <c r="CA77" i="39"/>
  <c r="CH73" i="39"/>
  <c r="BZ73" i="39"/>
  <c r="BR73" i="39"/>
  <c r="CL72" i="39"/>
  <c r="CH71" i="39"/>
  <c r="BZ71" i="39"/>
  <c r="BR71" i="39"/>
  <c r="CL70" i="39"/>
  <c r="M59" i="39"/>
  <c r="P81" i="39"/>
  <c r="O89" i="39"/>
  <c r="L81" i="39"/>
  <c r="K89" i="39"/>
  <c r="CH72" i="40"/>
  <c r="CH66" i="40"/>
  <c r="CH76" i="40"/>
  <c r="Q65" i="40"/>
  <c r="Q60" i="40"/>
  <c r="M65" i="40"/>
  <c r="M60" i="40"/>
  <c r="S256" i="36"/>
  <c r="R257" i="36"/>
  <c r="N87" i="36"/>
  <c r="BU91" i="36"/>
  <c r="CJ78" i="36"/>
  <c r="P126" i="36"/>
  <c r="P125" i="36"/>
  <c r="CL75" i="36"/>
  <c r="CL130" i="36"/>
  <c r="CH75" i="36"/>
  <c r="CH130" i="36"/>
  <c r="N91" i="36"/>
  <c r="CE54" i="36"/>
  <c r="CE81" i="36"/>
  <c r="CE53" i="36"/>
  <c r="CE127" i="36"/>
  <c r="CE70" i="36"/>
  <c r="CE213" i="36"/>
  <c r="CA54" i="36"/>
  <c r="CA127" i="36"/>
  <c r="CA70" i="36"/>
  <c r="CA213" i="36"/>
  <c r="Q64" i="36"/>
  <c r="Q67" i="36"/>
  <c r="R72" i="38"/>
  <c r="R65" i="37"/>
  <c r="N65" i="37"/>
  <c r="O63" i="37"/>
  <c r="BK82" i="39"/>
  <c r="Q124" i="40"/>
  <c r="Q82" i="39"/>
  <c r="CJ56" i="37"/>
  <c r="CF56" i="37"/>
  <c r="CI53" i="37"/>
  <c r="CE53" i="37"/>
  <c r="CA53" i="37"/>
  <c r="BW53" i="37"/>
  <c r="BS53" i="37"/>
  <c r="BO53" i="37"/>
  <c r="BK53" i="37"/>
  <c r="CE116" i="40"/>
  <c r="CE93" i="39"/>
  <c r="CE102" i="39"/>
  <c r="CA116" i="40"/>
  <c r="CA93" i="39"/>
  <c r="CA102" i="39"/>
  <c r="CK45" i="37"/>
  <c r="CG45" i="37"/>
  <c r="CC45" i="37"/>
  <c r="BY45" i="37"/>
  <c r="CI70" i="39"/>
  <c r="CI71" i="39"/>
  <c r="CI72" i="39"/>
  <c r="CI73" i="39"/>
  <c r="CE70" i="39"/>
  <c r="CE71" i="39"/>
  <c r="CE72" i="39"/>
  <c r="CE73" i="39"/>
  <c r="CA70" i="39"/>
  <c r="CA71" i="39"/>
  <c r="CA72" i="39"/>
  <c r="CA73" i="39"/>
  <c r="BW70" i="39"/>
  <c r="BW71" i="39"/>
  <c r="BW72" i="39"/>
  <c r="BW73" i="39"/>
  <c r="CK42" i="37"/>
  <c r="CG42" i="37"/>
  <c r="CC42" i="37"/>
  <c r="BY42" i="37"/>
  <c r="BM42" i="37"/>
  <c r="S39" i="37"/>
  <c r="BU69" i="39"/>
  <c r="BQ58" i="38"/>
  <c r="BI69" i="39"/>
  <c r="BV31" i="37"/>
  <c r="BR31" i="37"/>
  <c r="BN31" i="37"/>
  <c r="BJ31" i="37"/>
  <c r="BF31" i="37"/>
  <c r="BY30" i="37"/>
  <c r="BU30" i="37"/>
  <c r="BQ30" i="37"/>
  <c r="BM30" i="37"/>
  <c r="BI30" i="37"/>
  <c r="BY27" i="37"/>
  <c r="BI27" i="37"/>
  <c r="BX26" i="37"/>
  <c r="BT26" i="37"/>
  <c r="BP26" i="37"/>
  <c r="BL26" i="37"/>
  <c r="BH26" i="37"/>
  <c r="J26" i="37"/>
  <c r="BY19" i="37"/>
  <c r="BI19" i="37"/>
  <c r="BX18" i="37"/>
  <c r="BT18" i="37"/>
  <c r="BP18" i="37"/>
  <c r="BL18" i="37"/>
  <c r="BH18" i="37"/>
  <c r="BS15" i="37"/>
  <c r="BX10" i="37"/>
  <c r="BT10" i="37"/>
  <c r="BP10" i="37"/>
  <c r="BL10" i="37"/>
  <c r="BH10" i="37"/>
  <c r="CC239" i="39"/>
  <c r="R190" i="39"/>
  <c r="CD127" i="39"/>
  <c r="CL90" i="39"/>
  <c r="CH90" i="39"/>
  <c r="CD90" i="39"/>
  <c r="BZ90" i="39"/>
  <c r="BV90" i="39"/>
  <c r="BR90" i="39"/>
  <c r="BN90" i="39"/>
  <c r="BJ90" i="39"/>
  <c r="L90" i="39"/>
  <c r="CL86" i="39"/>
  <c r="CL81" i="39"/>
  <c r="CL82" i="39"/>
  <c r="CH86" i="39"/>
  <c r="CH81" i="39"/>
  <c r="CH82" i="39"/>
  <c r="CD86" i="39"/>
  <c r="CD81" i="39"/>
  <c r="CD82" i="39"/>
  <c r="BZ86" i="39"/>
  <c r="BZ81" i="39"/>
  <c r="BZ82" i="39" s="1"/>
  <c r="BV86" i="39"/>
  <c r="BV81" i="39"/>
  <c r="BV82" i="39"/>
  <c r="BR86" i="39"/>
  <c r="BR81" i="39"/>
  <c r="BR82" i="39"/>
  <c r="BN86" i="39"/>
  <c r="BN81" i="39"/>
  <c r="BJ86" i="39"/>
  <c r="BJ81" i="39"/>
  <c r="BF81" i="39"/>
  <c r="BZ105" i="39"/>
  <c r="BZ112" i="39" s="1"/>
  <c r="CK74" i="39"/>
  <c r="CC74" i="39"/>
  <c r="BU74" i="39"/>
  <c r="CG73" i="39"/>
  <c r="BY73" i="39"/>
  <c r="CK72" i="39"/>
  <c r="CC72" i="39"/>
  <c r="BU72" i="39"/>
  <c r="CG71" i="39"/>
  <c r="BY71" i="39"/>
  <c r="CC70" i="39"/>
  <c r="BU70" i="39"/>
  <c r="O81" i="39"/>
  <c r="O82" i="39" s="1"/>
  <c r="N89" i="39"/>
  <c r="K81" i="39"/>
  <c r="J89" i="39"/>
  <c r="CG73" i="40"/>
  <c r="CG79" i="40"/>
  <c r="CC73" i="40"/>
  <c r="CC79" i="40"/>
  <c r="BY73" i="40"/>
  <c r="BY79" i="40"/>
  <c r="BQ73" i="40"/>
  <c r="K66" i="40"/>
  <c r="K69" i="40" s="1"/>
  <c r="R56" i="40"/>
  <c r="CL72" i="40"/>
  <c r="CL66" i="40"/>
  <c r="CL76" i="40"/>
  <c r="P72" i="40"/>
  <c r="P76" i="40"/>
  <c r="R77" i="36"/>
  <c r="CK77" i="36"/>
  <c r="CK216" i="36"/>
  <c r="CG77" i="36"/>
  <c r="Q77" i="36"/>
  <c r="CG216" i="36"/>
  <c r="CC77" i="36"/>
  <c r="P77" i="36" s="1"/>
  <c r="CC216" i="36"/>
  <c r="BY77" i="36"/>
  <c r="BY216" i="36"/>
  <c r="BU77" i="36"/>
  <c r="N77" i="36"/>
  <c r="BU216" i="36"/>
  <c r="O125" i="36"/>
  <c r="P129" i="36"/>
  <c r="P130" i="36" s="1"/>
  <c r="S126" i="36"/>
  <c r="S132" i="36"/>
  <c r="S129" i="36"/>
  <c r="S130" i="36" s="1"/>
  <c r="P86" i="36"/>
  <c r="O86" i="36"/>
  <c r="CI78" i="36"/>
  <c r="CK66" i="36"/>
  <c r="CJ68" i="36"/>
  <c r="S50" i="36"/>
  <c r="P64" i="36"/>
  <c r="P67" i="36" s="1"/>
  <c r="P68" i="36" s="1"/>
  <c r="N59" i="39"/>
  <c r="BO92" i="37"/>
  <c r="BW124" i="40"/>
  <c r="BW96" i="39"/>
  <c r="CI124" i="40"/>
  <c r="CI83" i="39"/>
  <c r="R83" i="39"/>
  <c r="CI82" i="39"/>
  <c r="BN82" i="39"/>
  <c r="BN124" i="40"/>
  <c r="BJ82" i="39"/>
  <c r="BJ124" i="40"/>
  <c r="BF82" i="39"/>
  <c r="BF124" i="40"/>
  <c r="BB124" i="40"/>
  <c r="P82" i="39"/>
  <c r="P124" i="40"/>
  <c r="BL57" i="37"/>
  <c r="BN14" i="38"/>
  <c r="BQ13" i="38"/>
  <c r="BU50" i="37"/>
  <c r="BU46" i="37"/>
  <c r="CJ39" i="37"/>
  <c r="BL37" i="37"/>
  <c r="CE36" i="37"/>
  <c r="BS36" i="37"/>
  <c r="BO36" i="37"/>
  <c r="BK36" i="37"/>
  <c r="BG36" i="37"/>
  <c r="BQ35" i="37"/>
  <c r="BS33" i="37"/>
  <c r="BC33" i="37"/>
  <c r="CJ141" i="39"/>
  <c r="CD215" i="39"/>
  <c r="CE213" i="39"/>
  <c r="Q120" i="39"/>
  <c r="Q121" i="39"/>
  <c r="P96" i="39"/>
  <c r="P97" i="39"/>
  <c r="BU96" i="39"/>
  <c r="BU97" i="39"/>
  <c r="CE94" i="39"/>
  <c r="BU91" i="39"/>
  <c r="CF81" i="39"/>
  <c r="CF82" i="39"/>
  <c r="BX81" i="39"/>
  <c r="BX82" i="39" s="1"/>
  <c r="BP81" i="39"/>
  <c r="BP82" i="39"/>
  <c r="BH81" i="39"/>
  <c r="N81" i="39"/>
  <c r="N82" i="39"/>
  <c r="Q86" i="39"/>
  <c r="CH74" i="39"/>
  <c r="BZ74" i="39"/>
  <c r="CL73" i="39"/>
  <c r="CH72" i="39"/>
  <c r="BZ72" i="39"/>
  <c r="BR72" i="39"/>
  <c r="CG56" i="39"/>
  <c r="CG57" i="39"/>
  <c r="R45" i="40"/>
  <c r="L76" i="40"/>
  <c r="CD256" i="36"/>
  <c r="CC257" i="36"/>
  <c r="S257" i="36"/>
  <c r="O77" i="36"/>
  <c r="R188" i="36"/>
  <c r="R189" i="36" s="1"/>
  <c r="S177" i="36"/>
  <c r="S191" i="36"/>
  <c r="O180" i="36"/>
  <c r="O182" i="36"/>
  <c r="O188" i="36"/>
  <c r="O189" i="36"/>
  <c r="O177" i="36"/>
  <c r="O185" i="36"/>
  <c r="O191" i="36"/>
  <c r="BT78" i="36"/>
  <c r="BT82" i="36" s="1"/>
  <c r="BT83" i="36" s="1"/>
  <c r="BT91" i="36"/>
  <c r="BS78" i="36"/>
  <c r="BS82" i="36"/>
  <c r="CH18" i="36"/>
  <c r="CH21" i="36"/>
  <c r="N16" i="38"/>
  <c r="S199" i="36"/>
  <c r="O199" i="36"/>
  <c r="O200" i="36" s="1"/>
  <c r="P170" i="36"/>
  <c r="R111" i="36"/>
  <c r="R102" i="36"/>
  <c r="S103" i="36"/>
  <c r="N102" i="36"/>
  <c r="CG81" i="36"/>
  <c r="N39" i="36"/>
  <c r="P25" i="36"/>
  <c r="P26" i="36" s="1"/>
  <c r="BZ26" i="36"/>
  <c r="CK21" i="36"/>
  <c r="I73" i="38"/>
  <c r="I83" i="38"/>
  <c r="I69" i="38"/>
  <c r="BE72" i="38"/>
  <c r="CJ61" i="38"/>
  <c r="O56" i="38"/>
  <c r="BW57" i="38"/>
  <c r="CA57" i="38"/>
  <c r="BS58" i="38"/>
  <c r="BS57" i="38"/>
  <c r="BO58" i="38"/>
  <c r="BO57" i="38"/>
  <c r="BK58" i="38"/>
  <c r="BK57" i="38"/>
  <c r="BG58" i="38"/>
  <c r="BG57" i="38"/>
  <c r="BC58" i="38"/>
  <c r="Q57" i="38"/>
  <c r="J59" i="38"/>
  <c r="BU39" i="38"/>
  <c r="BS28" i="38"/>
  <c r="CK27" i="38"/>
  <c r="CG27" i="38"/>
  <c r="BY27" i="38"/>
  <c r="BU27" i="38"/>
  <c r="CK31" i="38"/>
  <c r="R23" i="38"/>
  <c r="R25" i="38" s="1"/>
  <c r="BW13" i="38"/>
  <c r="CA13" i="38"/>
  <c r="BS13" i="38"/>
  <c r="BO13" i="38"/>
  <c r="S40" i="39"/>
  <c r="S47" i="39"/>
  <c r="S29" i="39"/>
  <c r="O29" i="39"/>
  <c r="K29" i="39"/>
  <c r="K117" i="39"/>
  <c r="M16" i="38"/>
  <c r="CJ81" i="40"/>
  <c r="CG76" i="40"/>
  <c r="CC76" i="40"/>
  <c r="BY76" i="40"/>
  <c r="BU76" i="40"/>
  <c r="BQ76" i="40"/>
  <c r="K76" i="40"/>
  <c r="CK56" i="40"/>
  <c r="S56" i="40"/>
  <c r="CK45" i="40"/>
  <c r="S45" i="40"/>
  <c r="O45" i="40"/>
  <c r="O60" i="40" s="1"/>
  <c r="CB257" i="36"/>
  <c r="Q257" i="36"/>
  <c r="CE249" i="36"/>
  <c r="BZ248" i="36"/>
  <c r="P222" i="36"/>
  <c r="CK218" i="36"/>
  <c r="CG218" i="36"/>
  <c r="CC218" i="36"/>
  <c r="BY218" i="36"/>
  <c r="BU218" i="36"/>
  <c r="CJ216" i="36"/>
  <c r="CF216" i="36"/>
  <c r="CB216" i="36"/>
  <c r="BX216" i="36"/>
  <c r="BT216" i="36"/>
  <c r="CK212" i="36"/>
  <c r="CG212" i="36"/>
  <c r="CC212" i="36"/>
  <c r="BY212" i="36"/>
  <c r="BU212" i="36"/>
  <c r="CJ211" i="36"/>
  <c r="CF211" i="36"/>
  <c r="CB211" i="36"/>
  <c r="BX211" i="36"/>
  <c r="CG209" i="36"/>
  <c r="CC209" i="36"/>
  <c r="BY209" i="36"/>
  <c r="BU209" i="36"/>
  <c r="CG207" i="36"/>
  <c r="CC207" i="36"/>
  <c r="BY207" i="36"/>
  <c r="BU207" i="36"/>
  <c r="R199" i="36"/>
  <c r="R200" i="36"/>
  <c r="P195" i="36"/>
  <c r="CJ191" i="36"/>
  <c r="CF191" i="36"/>
  <c r="CB191" i="36"/>
  <c r="BX191" i="36"/>
  <c r="BT191" i="36"/>
  <c r="R191" i="36"/>
  <c r="N191" i="36"/>
  <c r="CI189" i="36"/>
  <c r="CA189" i="36"/>
  <c r="BW189" i="36"/>
  <c r="BS189" i="36"/>
  <c r="CL188" i="36"/>
  <c r="CJ185" i="36"/>
  <c r="CF185" i="36"/>
  <c r="CB185" i="36"/>
  <c r="BX185" i="36"/>
  <c r="BT185" i="36"/>
  <c r="N185" i="36"/>
  <c r="CI184" i="36"/>
  <c r="CE184" i="36"/>
  <c r="CA184" i="36"/>
  <c r="BW184" i="36"/>
  <c r="Q184" i="36"/>
  <c r="CF182" i="36"/>
  <c r="CB182" i="36"/>
  <c r="BX182" i="36"/>
  <c r="BT182" i="36"/>
  <c r="CF180" i="36"/>
  <c r="CB180" i="36"/>
  <c r="BX180" i="36"/>
  <c r="BT180" i="36"/>
  <c r="Q176" i="36"/>
  <c r="R177" i="36" s="1"/>
  <c r="S170" i="36"/>
  <c r="S171" i="36"/>
  <c r="O170" i="36"/>
  <c r="O171" i="36"/>
  <c r="S163" i="36"/>
  <c r="O163" i="36"/>
  <c r="P160" i="36"/>
  <c r="R157" i="36"/>
  <c r="S152" i="36"/>
  <c r="O152" i="36"/>
  <c r="CH149" i="36"/>
  <c r="CD149" i="36"/>
  <c r="BZ149" i="36"/>
  <c r="BV149" i="36"/>
  <c r="BZ150" i="36" s="1"/>
  <c r="S145" i="36"/>
  <c r="O145" i="36"/>
  <c r="S136" i="36"/>
  <c r="O136" i="36"/>
  <c r="CL132" i="36"/>
  <c r="CH132" i="36"/>
  <c r="CD132" i="36"/>
  <c r="BZ132" i="36"/>
  <c r="BV132" i="36"/>
  <c r="BR132" i="36"/>
  <c r="P132" i="36"/>
  <c r="CK130" i="36"/>
  <c r="CG130" i="36"/>
  <c r="CC130" i="36"/>
  <c r="BY130" i="36"/>
  <c r="BU130" i="36"/>
  <c r="CF129" i="36"/>
  <c r="CB129" i="36"/>
  <c r="BX129" i="36"/>
  <c r="CL126" i="36"/>
  <c r="CH126" i="36"/>
  <c r="CD126" i="36"/>
  <c r="BZ126" i="36"/>
  <c r="BV126" i="36"/>
  <c r="BR126" i="36"/>
  <c r="P119" i="36"/>
  <c r="P117" i="36"/>
  <c r="O113" i="36"/>
  <c r="P114" i="36" s="1"/>
  <c r="Q102" i="36"/>
  <c r="Q103" i="36"/>
  <c r="CI98" i="36"/>
  <c r="CI99" i="36"/>
  <c r="CE98" i="36"/>
  <c r="CA98" i="36"/>
  <c r="BW98" i="36"/>
  <c r="BS98" i="36"/>
  <c r="P98" i="36"/>
  <c r="CJ91" i="36"/>
  <c r="CF91" i="36"/>
  <c r="CB91" i="36"/>
  <c r="BX91" i="36"/>
  <c r="O89" i="36"/>
  <c r="O90" i="36"/>
  <c r="CH87" i="36"/>
  <c r="CD87" i="36"/>
  <c r="BZ87" i="36"/>
  <c r="BV87" i="36"/>
  <c r="S86" i="36"/>
  <c r="CE67" i="36"/>
  <c r="CE68" i="36"/>
  <c r="CA67" i="36"/>
  <c r="CA68" i="36"/>
  <c r="BW67" i="36"/>
  <c r="BW68" i="36"/>
  <c r="BS67" i="36"/>
  <c r="BS68" i="36"/>
  <c r="CI60" i="36"/>
  <c r="BS60" i="36"/>
  <c r="BS61" i="36" s="1"/>
  <c r="BS62" i="36" s="1"/>
  <c r="CD59" i="36"/>
  <c r="S39" i="36"/>
  <c r="CL40" i="36"/>
  <c r="BU32" i="36"/>
  <c r="CE22" i="36"/>
  <c r="CE41" i="36"/>
  <c r="CD21" i="36"/>
  <c r="BY17" i="36"/>
  <c r="P14" i="36"/>
  <c r="P9" i="36"/>
  <c r="I81" i="38"/>
  <c r="BH80" i="38"/>
  <c r="BI80" i="38"/>
  <c r="K80" i="38" s="1"/>
  <c r="BL77" i="38"/>
  <c r="BL81" i="38"/>
  <c r="BL83" i="38"/>
  <c r="BL84" i="38" s="1"/>
  <c r="BC79" i="38"/>
  <c r="BC83" i="38"/>
  <c r="BC84" i="38" s="1"/>
  <c r="BC73" i="38"/>
  <c r="K68" i="38"/>
  <c r="BC62" i="38"/>
  <c r="M61" i="38"/>
  <c r="N61" i="38"/>
  <c r="BW59" i="38"/>
  <c r="BO59" i="38"/>
  <c r="BG59" i="38"/>
  <c r="Q59" i="38"/>
  <c r="R57" i="38"/>
  <c r="I56" i="38"/>
  <c r="CG46" i="38"/>
  <c r="CG39" i="38"/>
  <c r="CC46" i="38"/>
  <c r="CC39" i="38"/>
  <c r="CI27" i="38"/>
  <c r="BS27" i="38"/>
  <c r="BR32" i="38"/>
  <c r="BK32" i="38"/>
  <c r="BK27" i="38"/>
  <c r="BJ32" i="38"/>
  <c r="R28" i="38"/>
  <c r="BO28" i="38"/>
  <c r="BX32" i="38"/>
  <c r="CH27" i="38"/>
  <c r="R27" i="38" s="1"/>
  <c r="CG29" i="38"/>
  <c r="CH32" i="38"/>
  <c r="BQ27" i="38"/>
  <c r="Q23" i="38"/>
  <c r="Q25" i="38" s="1"/>
  <c r="R14" i="38"/>
  <c r="R13" i="38"/>
  <c r="CI20" i="38"/>
  <c r="CI18" i="38"/>
  <c r="BK18" i="38"/>
  <c r="BS14" i="38"/>
  <c r="BX10" i="38"/>
  <c r="CB10" i="38"/>
  <c r="BX38" i="38"/>
  <c r="BT10" i="38"/>
  <c r="BT38" i="38"/>
  <c r="BT39" i="38" s="1"/>
  <c r="BP10" i="38"/>
  <c r="BP38" i="38"/>
  <c r="Q106" i="39"/>
  <c r="M106" i="39"/>
  <c r="CG76" i="39"/>
  <c r="CH77" i="39"/>
  <c r="R55" i="39"/>
  <c r="CU55" i="39" s="1"/>
  <c r="R40" i="39"/>
  <c r="R47" i="39" s="1"/>
  <c r="R56" i="39" s="1"/>
  <c r="CU33" i="39"/>
  <c r="CU12" i="39"/>
  <c r="CJ76" i="40"/>
  <c r="CF76" i="40"/>
  <c r="CG66" i="40"/>
  <c r="CL60" i="40"/>
  <c r="CH60" i="40"/>
  <c r="P60" i="40"/>
  <c r="L60" i="40"/>
  <c r="S247" i="36"/>
  <c r="R226" i="36"/>
  <c r="O222" i="36"/>
  <c r="CJ218" i="36"/>
  <c r="CF218" i="36"/>
  <c r="CB218" i="36"/>
  <c r="BX218" i="36"/>
  <c r="BT218" i="36"/>
  <c r="CI216" i="36"/>
  <c r="CE216" i="36"/>
  <c r="CA216" i="36"/>
  <c r="BW216" i="36"/>
  <c r="BS216" i="36"/>
  <c r="CL215" i="36"/>
  <c r="CJ212" i="36"/>
  <c r="CF212" i="36"/>
  <c r="CB212" i="36"/>
  <c r="BX212" i="36"/>
  <c r="BT212" i="36"/>
  <c r="N212" i="36"/>
  <c r="CI211" i="36"/>
  <c r="CE211" i="36"/>
  <c r="CA211" i="36"/>
  <c r="BW211" i="36"/>
  <c r="Q211" i="36"/>
  <c r="CF209" i="36"/>
  <c r="CB209" i="36"/>
  <c r="BX209" i="36"/>
  <c r="BT209" i="36"/>
  <c r="CF207" i="36"/>
  <c r="CB207" i="36"/>
  <c r="BX207" i="36"/>
  <c r="CK204" i="36"/>
  <c r="CG204" i="36"/>
  <c r="CC204" i="36"/>
  <c r="BY204" i="36"/>
  <c r="P202" i="36"/>
  <c r="P198" i="36"/>
  <c r="Q194" i="36"/>
  <c r="CI191" i="36"/>
  <c r="CE191" i="36"/>
  <c r="CA191" i="36"/>
  <c r="BW191" i="36"/>
  <c r="BS191" i="36"/>
  <c r="CH189" i="36"/>
  <c r="BZ189" i="36"/>
  <c r="CK188" i="36"/>
  <c r="CI185" i="36"/>
  <c r="CE185" i="36"/>
  <c r="CA185" i="36"/>
  <c r="BW185" i="36"/>
  <c r="BS185" i="36"/>
  <c r="Q185" i="36"/>
  <c r="CL184" i="36"/>
  <c r="CH184" i="36"/>
  <c r="CD184" i="36"/>
  <c r="BZ184" i="36"/>
  <c r="BV184" i="36"/>
  <c r="P184" i="36"/>
  <c r="S183" i="36"/>
  <c r="S188" i="36"/>
  <c r="S189" i="36" s="1"/>
  <c r="CE182" i="36"/>
  <c r="CA182" i="36"/>
  <c r="BW182" i="36"/>
  <c r="BS182" i="36"/>
  <c r="CE180" i="36"/>
  <c r="CA180" i="36"/>
  <c r="BW180" i="36"/>
  <c r="CJ177" i="36"/>
  <c r="CF177" i="36"/>
  <c r="CB177" i="36"/>
  <c r="BX177" i="36"/>
  <c r="P176" i="36"/>
  <c r="Q173" i="36"/>
  <c r="Q169" i="36"/>
  <c r="P164" i="36"/>
  <c r="P166" i="36"/>
  <c r="P162" i="36"/>
  <c r="S160" i="36"/>
  <c r="O160" i="36"/>
  <c r="Q159" i="36"/>
  <c r="Q157" i="36"/>
  <c r="R152" i="36"/>
  <c r="CK149" i="36"/>
  <c r="CG149" i="36"/>
  <c r="CC149" i="36"/>
  <c r="CG150" i="36" s="1"/>
  <c r="BY149" i="36"/>
  <c r="BU149" i="36"/>
  <c r="BY150" i="36" s="1"/>
  <c r="R147" i="36"/>
  <c r="N147" i="36"/>
  <c r="R145" i="36"/>
  <c r="Q143" i="36"/>
  <c r="R136" i="36"/>
  <c r="CK132" i="36"/>
  <c r="CG132" i="36"/>
  <c r="CC132" i="36"/>
  <c r="BY132" i="36"/>
  <c r="BU132" i="36"/>
  <c r="CJ130" i="36"/>
  <c r="BT130" i="36"/>
  <c r="CE129" i="36"/>
  <c r="CA129" i="36"/>
  <c r="BW129" i="36"/>
  <c r="CL127" i="36"/>
  <c r="CH127" i="36"/>
  <c r="CD127" i="36"/>
  <c r="CK126" i="36"/>
  <c r="CG126" i="36"/>
  <c r="CC126" i="36"/>
  <c r="BY126" i="36"/>
  <c r="CJ125" i="36"/>
  <c r="CF125" i="36"/>
  <c r="CB125" i="36"/>
  <c r="BX125" i="36"/>
  <c r="CL114" i="36"/>
  <c r="CH114" i="36"/>
  <c r="CD114" i="36"/>
  <c r="BZ114" i="36"/>
  <c r="BV114" i="36"/>
  <c r="R113" i="36"/>
  <c r="S114" i="36"/>
  <c r="N113" i="36"/>
  <c r="N132" i="36"/>
  <c r="P111" i="36"/>
  <c r="P110" i="36"/>
  <c r="S101" i="36"/>
  <c r="O101" i="36"/>
  <c r="CH98" i="36"/>
  <c r="CH99" i="36"/>
  <c r="CD98" i="36"/>
  <c r="BZ98" i="36"/>
  <c r="BV98" i="36"/>
  <c r="BZ99" i="36" s="1"/>
  <c r="R97" i="36"/>
  <c r="CI91" i="36"/>
  <c r="CE91" i="36"/>
  <c r="BW91" i="36"/>
  <c r="R89" i="36"/>
  <c r="R90" i="36"/>
  <c r="CK87" i="36"/>
  <c r="CG87" i="36"/>
  <c r="CC87" i="36"/>
  <c r="BY87" i="36"/>
  <c r="CK80" i="36"/>
  <c r="R80" i="36" s="1"/>
  <c r="CG80" i="36"/>
  <c r="Q80" i="36"/>
  <c r="CC80" i="36"/>
  <c r="P80" i="36" s="1"/>
  <c r="BY80" i="36"/>
  <c r="O80" i="36"/>
  <c r="BU70" i="36"/>
  <c r="CD67" i="36"/>
  <c r="CD68" i="36"/>
  <c r="BZ67" i="36"/>
  <c r="BZ68" i="36"/>
  <c r="BV67" i="36"/>
  <c r="BV68" i="36"/>
  <c r="BR67" i="36"/>
  <c r="BR68" i="36"/>
  <c r="CH60" i="36"/>
  <c r="CD60" i="36"/>
  <c r="BR60" i="36"/>
  <c r="CG59" i="36"/>
  <c r="CL53" i="36"/>
  <c r="CH53" i="36"/>
  <c r="BV53" i="36"/>
  <c r="CJ52" i="36"/>
  <c r="CE51" i="36"/>
  <c r="CA51" i="36"/>
  <c r="P44" i="36"/>
  <c r="P49" i="36" s="1"/>
  <c r="BW40" i="36"/>
  <c r="R39" i="36"/>
  <c r="CH41" i="36"/>
  <c r="CH40" i="36"/>
  <c r="BV40" i="36"/>
  <c r="BZ40" i="36"/>
  <c r="CD36" i="36"/>
  <c r="Q35" i="36"/>
  <c r="P35" i="36"/>
  <c r="BZ36" i="36"/>
  <c r="BS32" i="36"/>
  <c r="CC31" i="36"/>
  <c r="BX31" i="36"/>
  <c r="CB31" i="36"/>
  <c r="CG26" i="36"/>
  <c r="R19" i="36"/>
  <c r="CC17" i="36"/>
  <c r="CJ14" i="36"/>
  <c r="S14" i="36"/>
  <c r="CJ12" i="36"/>
  <c r="CJ17" i="36"/>
  <c r="CF12" i="36"/>
  <c r="CF17" i="36"/>
  <c r="CB12" i="36"/>
  <c r="CB17" i="36"/>
  <c r="BX12" i="36"/>
  <c r="BX17" i="36"/>
  <c r="BT17" i="36"/>
  <c r="BT21" i="36"/>
  <c r="R11" i="36"/>
  <c r="O9" i="36"/>
  <c r="CJ80" i="38"/>
  <c r="J78" i="38"/>
  <c r="BT77" i="38"/>
  <c r="BT81" i="38"/>
  <c r="BT83" i="38"/>
  <c r="BK76" i="38"/>
  <c r="BG76" i="38"/>
  <c r="BT69" i="38"/>
  <c r="BL69" i="38"/>
  <c r="N68" i="38"/>
  <c r="O70" i="38"/>
  <c r="BX62" i="38"/>
  <c r="CG48" i="38"/>
  <c r="CI46" i="38"/>
  <c r="CA46" i="38"/>
  <c r="P42" i="38"/>
  <c r="BM39" i="38"/>
  <c r="P28" i="38"/>
  <c r="BK28" i="38"/>
  <c r="CH20" i="38"/>
  <c r="BZ20" i="38"/>
  <c r="BV20" i="38"/>
  <c r="BR20" i="38"/>
  <c r="BN20" i="38"/>
  <c r="BN18" i="38"/>
  <c r="P17" i="38"/>
  <c r="BO14" i="38"/>
  <c r="S13" i="38"/>
  <c r="L106" i="39"/>
  <c r="R80" i="39"/>
  <c r="CJ76" i="39"/>
  <c r="CF76" i="39"/>
  <c r="CB76" i="39"/>
  <c r="BT76" i="39"/>
  <c r="BP76" i="39"/>
  <c r="M29" i="39"/>
  <c r="P223" i="36"/>
  <c r="CI218" i="36"/>
  <c r="CE218" i="36"/>
  <c r="CA218" i="36"/>
  <c r="BW218" i="36"/>
  <c r="BS218" i="36"/>
  <c r="CH216" i="36"/>
  <c r="CD216" i="36"/>
  <c r="BZ216" i="36"/>
  <c r="BV216" i="36"/>
  <c r="BR216" i="36"/>
  <c r="CL211" i="36"/>
  <c r="CH211" i="36"/>
  <c r="CE209" i="36"/>
  <c r="CA209" i="36"/>
  <c r="BW209" i="36"/>
  <c r="BS209" i="36"/>
  <c r="P194" i="36"/>
  <c r="CH191" i="36"/>
  <c r="CD191" i="36"/>
  <c r="BZ191" i="36"/>
  <c r="P191" i="36"/>
  <c r="N188" i="36"/>
  <c r="N189" i="36" s="1"/>
  <c r="CK184" i="36"/>
  <c r="CD182" i="36"/>
  <c r="BZ182" i="36"/>
  <c r="BV182" i="36"/>
  <c r="BR182" i="36"/>
  <c r="N182" i="36"/>
  <c r="S153" i="36"/>
  <c r="O153" i="36"/>
  <c r="P157" i="36"/>
  <c r="CJ149" i="36"/>
  <c r="CF149" i="36"/>
  <c r="CF150" i="36" s="1"/>
  <c r="CB149" i="36"/>
  <c r="BX149" i="36"/>
  <c r="BX150" i="36" s="1"/>
  <c r="BT149" i="36"/>
  <c r="Q147" i="36"/>
  <c r="R132" i="36"/>
  <c r="CD129" i="36"/>
  <c r="BZ129" i="36"/>
  <c r="BV129" i="36"/>
  <c r="BR129" i="36"/>
  <c r="CI125" i="36"/>
  <c r="CD119" i="36"/>
  <c r="BZ119" i="36"/>
  <c r="BV119" i="36"/>
  <c r="BR119" i="36"/>
  <c r="Q113" i="36"/>
  <c r="O111" i="36"/>
  <c r="O112" i="36"/>
  <c r="CK98" i="36"/>
  <c r="CG98" i="36"/>
  <c r="CK99" i="36" s="1"/>
  <c r="CG99" i="36"/>
  <c r="CC98" i="36"/>
  <c r="BY98" i="36"/>
  <c r="BU98" i="36"/>
  <c r="BY99" i="36" s="1"/>
  <c r="CG90" i="36"/>
  <c r="CL81" i="36"/>
  <c r="S81" i="36"/>
  <c r="CH81" i="36"/>
  <c r="CD81" i="36"/>
  <c r="Q81" i="36"/>
  <c r="CI68" i="36"/>
  <c r="N64" i="36"/>
  <c r="CI52" i="36"/>
  <c r="BW52" i="36"/>
  <c r="CA53" i="36"/>
  <c r="BS52" i="36"/>
  <c r="N46" i="36"/>
  <c r="BR44" i="36"/>
  <c r="N44" i="36"/>
  <c r="N49" i="36"/>
  <c r="Q44" i="36"/>
  <c r="CA40" i="36"/>
  <c r="O39" i="36"/>
  <c r="CA41" i="36"/>
  <c r="O19" i="36"/>
  <c r="CL18" i="36"/>
  <c r="CL21" i="36"/>
  <c r="CL54" i="36" s="1"/>
  <c r="CG17" i="36"/>
  <c r="BV21" i="36"/>
  <c r="BV51" i="36" s="1"/>
  <c r="O15" i="36"/>
  <c r="O16" i="36"/>
  <c r="O11" i="36"/>
  <c r="O12" i="36"/>
  <c r="R9" i="36"/>
  <c r="CH10" i="36"/>
  <c r="Q9" i="36"/>
  <c r="CD10" i="36"/>
  <c r="N9" i="36"/>
  <c r="N17" i="36"/>
  <c r="BC81" i="38"/>
  <c r="CB80" i="38"/>
  <c r="I78" i="38"/>
  <c r="BW76" i="38"/>
  <c r="BW62" i="38" s="1"/>
  <c r="BS76" i="38"/>
  <c r="BS79" i="38" s="1"/>
  <c r="BO76" i="38"/>
  <c r="J81" i="38"/>
  <c r="J73" i="38"/>
  <c r="J83" i="38"/>
  <c r="BD68" i="38"/>
  <c r="BC69" i="38"/>
  <c r="BY63" i="38"/>
  <c r="BU63" i="38"/>
  <c r="BQ63" i="38"/>
  <c r="O63" i="38"/>
  <c r="I62" i="38"/>
  <c r="BI61" i="38"/>
  <c r="BG63" i="38"/>
  <c r="BK63" i="38"/>
  <c r="K61" i="38"/>
  <c r="BS59" i="38"/>
  <c r="BK59" i="38"/>
  <c r="BC59" i="38"/>
  <c r="BX59" i="38"/>
  <c r="BX28" i="38"/>
  <c r="BT59" i="38"/>
  <c r="BT28" i="38"/>
  <c r="BP59" i="38"/>
  <c r="BP28" i="38"/>
  <c r="BL59" i="38"/>
  <c r="BL58" i="38"/>
  <c r="BL28" i="38"/>
  <c r="BH59" i="38"/>
  <c r="BD59" i="38"/>
  <c r="R59" i="38"/>
  <c r="R46" i="38"/>
  <c r="CI37" i="38"/>
  <c r="CI42" i="38"/>
  <c r="CE37" i="38"/>
  <c r="CE42" i="38"/>
  <c r="CA37" i="38"/>
  <c r="CA42" i="38"/>
  <c r="BV39" i="38"/>
  <c r="BW37" i="38"/>
  <c r="BW42" i="38"/>
  <c r="BS37" i="38"/>
  <c r="BS42" i="38"/>
  <c r="BO37" i="38"/>
  <c r="BO42" i="38"/>
  <c r="BK37" i="38"/>
  <c r="BK42" i="38"/>
  <c r="BV46" i="38"/>
  <c r="BQ39" i="38"/>
  <c r="CK32" i="38"/>
  <c r="CA27" i="38"/>
  <c r="BO27" i="38"/>
  <c r="BN32" i="38"/>
  <c r="BW28" i="38"/>
  <c r="BY23" i="38"/>
  <c r="BK29" i="38"/>
  <c r="CK16" i="38"/>
  <c r="CK20" i="38"/>
  <c r="CJ18" i="38"/>
  <c r="CG16" i="38"/>
  <c r="CG20" i="38" s="1"/>
  <c r="CF18" i="38"/>
  <c r="CC16" i="38"/>
  <c r="CC20" i="38" s="1"/>
  <c r="CB18" i="38"/>
  <c r="BY16" i="38"/>
  <c r="BY20" i="38"/>
  <c r="BX18" i="38"/>
  <c r="BU16" i="38"/>
  <c r="BU20" i="38"/>
  <c r="BT18" i="38"/>
  <c r="BQ16" i="38"/>
  <c r="BQ20" i="38"/>
  <c r="BP18" i="38"/>
  <c r="BM16" i="38"/>
  <c r="BM20" i="38" s="1"/>
  <c r="BL18" i="38"/>
  <c r="P38" i="38"/>
  <c r="O46" i="36"/>
  <c r="CF25" i="36"/>
  <c r="CF26" i="36" s="1"/>
  <c r="BJ72" i="38"/>
  <c r="BV62" i="38"/>
  <c r="BJ62" i="38"/>
  <c r="BB62" i="38"/>
  <c r="H62" i="38"/>
  <c r="BU59" i="38"/>
  <c r="H56" i="38"/>
  <c r="CH46" i="38"/>
  <c r="CD46" i="38"/>
  <c r="CK42" i="38"/>
  <c r="CG42" i="38"/>
  <c r="CC42" i="38"/>
  <c r="BY42" i="38"/>
  <c r="BU42" i="38"/>
  <c r="BQ42" i="38"/>
  <c r="BM42" i="38"/>
  <c r="CE39" i="38"/>
  <c r="CA39" i="38"/>
  <c r="BW39" i="38"/>
  <c r="L31" i="38"/>
  <c r="CK18" i="38"/>
  <c r="CG18" i="38"/>
  <c r="CC18" i="38"/>
  <c r="BY18" i="38"/>
  <c r="BU18" i="38"/>
  <c r="BQ18" i="38"/>
  <c r="BV72" i="38"/>
  <c r="CJ42" i="38"/>
  <c r="CF42" i="38"/>
  <c r="CB42" i="38"/>
  <c r="BX42" i="38"/>
  <c r="BT42" i="38"/>
  <c r="BP42" i="38"/>
  <c r="BL42" i="38"/>
  <c r="AH36" i="63"/>
  <c r="AH35" i="63"/>
  <c r="K73" i="63"/>
  <c r="C19" i="63"/>
  <c r="H9" i="63"/>
  <c r="H18" i="63" s="1"/>
  <c r="G18" i="63"/>
  <c r="AF57" i="63"/>
  <c r="C69" i="63"/>
  <c r="AG35" i="63"/>
  <c r="AG54" i="63"/>
  <c r="AG36" i="63"/>
  <c r="H11" i="63"/>
  <c r="G16" i="63"/>
  <c r="G75" i="63"/>
  <c r="AP15" i="63"/>
  <c r="F14" i="63"/>
  <c r="Q15" i="63"/>
  <c r="L63" i="38"/>
  <c r="K63" i="38"/>
  <c r="BM63" i="38"/>
  <c r="BS77" i="38"/>
  <c r="Q10" i="36"/>
  <c r="CG18" i="36"/>
  <c r="CG21" i="36"/>
  <c r="O40" i="36"/>
  <c r="CI186" i="36"/>
  <c r="CI81" i="36"/>
  <c r="CI53" i="36"/>
  <c r="CI127" i="36"/>
  <c r="CI213" i="36"/>
  <c r="BR75" i="36"/>
  <c r="BR130" i="36"/>
  <c r="S260" i="36"/>
  <c r="S157" i="36"/>
  <c r="P12" i="38"/>
  <c r="O10" i="36"/>
  <c r="O17" i="36"/>
  <c r="BV41" i="36"/>
  <c r="Q87" i="36"/>
  <c r="CG88" i="36"/>
  <c r="CG91" i="36"/>
  <c r="CE130" i="36"/>
  <c r="CE75" i="36"/>
  <c r="CG35" i="38"/>
  <c r="CG45" i="38"/>
  <c r="BN34" i="38"/>
  <c r="M63" i="38"/>
  <c r="P10" i="36"/>
  <c r="P17" i="36"/>
  <c r="CD41" i="36"/>
  <c r="CD32" i="36"/>
  <c r="CD70" i="36"/>
  <c r="CD34" i="37"/>
  <c r="CE233" i="36"/>
  <c r="CE230" i="36"/>
  <c r="CE234" i="36"/>
  <c r="CE231" i="36"/>
  <c r="CE232" i="36"/>
  <c r="CD88" i="36"/>
  <c r="CD91" i="36"/>
  <c r="BX93" i="36"/>
  <c r="BX92" i="36"/>
  <c r="CA99" i="36"/>
  <c r="O114" i="36"/>
  <c r="O117" i="36"/>
  <c r="O119" i="36"/>
  <c r="O132" i="36"/>
  <c r="O115" i="36"/>
  <c r="P115" i="36"/>
  <c r="O129" i="36"/>
  <c r="O130" i="36" s="1"/>
  <c r="CF75" i="36"/>
  <c r="CF78" i="36" s="1"/>
  <c r="CF82" i="36" s="1"/>
  <c r="CF83" i="36" s="1"/>
  <c r="CF130" i="36"/>
  <c r="CH150" i="36"/>
  <c r="P16" i="36"/>
  <c r="BT92" i="36"/>
  <c r="O96" i="39"/>
  <c r="O97" i="39" s="1"/>
  <c r="BW97" i="39"/>
  <c r="CL66" i="36"/>
  <c r="CL68" i="36"/>
  <c r="CK68" i="36"/>
  <c r="S90" i="36"/>
  <c r="P79" i="40"/>
  <c r="S188" i="39"/>
  <c r="Q66" i="36"/>
  <c r="Q68" i="36" s="1"/>
  <c r="CA72" i="36"/>
  <c r="R75" i="36"/>
  <c r="CH78" i="36"/>
  <c r="CH82" i="36" s="1"/>
  <c r="CH83" i="36" s="1"/>
  <c r="P200" i="36"/>
  <c r="M76" i="40"/>
  <c r="M72" i="40"/>
  <c r="K90" i="39"/>
  <c r="O72" i="40"/>
  <c r="O76" i="40"/>
  <c r="CE132" i="39"/>
  <c r="CE205" i="39"/>
  <c r="CF203" i="39"/>
  <c r="CD143" i="39"/>
  <c r="CD145" i="39"/>
  <c r="BG13" i="38"/>
  <c r="S56" i="37"/>
  <c r="BH102" i="37"/>
  <c r="BG103" i="37"/>
  <c r="CE220" i="39"/>
  <c r="CF218" i="39" s="1"/>
  <c r="O42" i="37"/>
  <c r="CE149" i="39"/>
  <c r="CE285" i="39"/>
  <c r="CF283" i="39"/>
  <c r="CD132" i="39"/>
  <c r="CE270" i="39"/>
  <c r="CF268" i="39"/>
  <c r="P76" i="37"/>
  <c r="F11" i="54"/>
  <c r="C43" i="54" s="1"/>
  <c r="U5" i="61"/>
  <c r="C11" i="54"/>
  <c r="C16" i="54" s="1"/>
  <c r="F61" i="3"/>
  <c r="F62" i="3" s="1"/>
  <c r="F59" i="3"/>
  <c r="F79" i="3"/>
  <c r="F90" i="3"/>
  <c r="F105" i="3" s="1"/>
  <c r="F106" i="3" s="1"/>
  <c r="L59" i="3"/>
  <c r="BZ74" i="38"/>
  <c r="BK45" i="38"/>
  <c r="BK35" i="38"/>
  <c r="BL46" i="38"/>
  <c r="BW69" i="38"/>
  <c r="CC80" i="38"/>
  <c r="CL32" i="36"/>
  <c r="CL51" i="36"/>
  <c r="CL22" i="36"/>
  <c r="CL70" i="36"/>
  <c r="CL34" i="37"/>
  <c r="N66" i="36"/>
  <c r="N67" i="36"/>
  <c r="BV75" i="36"/>
  <c r="BV130" i="36"/>
  <c r="R98" i="36"/>
  <c r="Q149" i="36"/>
  <c r="Q148" i="36"/>
  <c r="BP105" i="39"/>
  <c r="BP112" i="39" s="1"/>
  <c r="CF77" i="39"/>
  <c r="CF105" i="39"/>
  <c r="CF112" i="39" s="1"/>
  <c r="BK79" i="38"/>
  <c r="BK83" i="38"/>
  <c r="BK84" i="38" s="1"/>
  <c r="BK69" i="38"/>
  <c r="BK81" i="38"/>
  <c r="BK62" i="38"/>
  <c r="BK72" i="38"/>
  <c r="BK73" i="38" s="1"/>
  <c r="BK77" i="38"/>
  <c r="CB21" i="36"/>
  <c r="CB18" i="36"/>
  <c r="CJ21" i="36"/>
  <c r="CJ18" i="36"/>
  <c r="CC18" i="36"/>
  <c r="CC21" i="36"/>
  <c r="CJ213" i="36"/>
  <c r="CJ186" i="36"/>
  <c r="CJ54" i="36"/>
  <c r="CJ81" i="36"/>
  <c r="CJ53" i="36"/>
  <c r="CJ127" i="36"/>
  <c r="BU72" i="36"/>
  <c r="BU71" i="36"/>
  <c r="R87" i="36"/>
  <c r="CK88" i="36"/>
  <c r="CK91" i="36"/>
  <c r="CL87" i="36" s="1"/>
  <c r="CL88" i="36" s="1"/>
  <c r="P112" i="36"/>
  <c r="N98" i="36"/>
  <c r="O98" i="36"/>
  <c r="O99" i="36"/>
  <c r="O149" i="36"/>
  <c r="CC150" i="36"/>
  <c r="P180" i="36"/>
  <c r="P182" i="36"/>
  <c r="P188" i="36"/>
  <c r="P189" i="36"/>
  <c r="P177" i="36"/>
  <c r="CH29" i="38"/>
  <c r="CG47" i="38"/>
  <c r="I57" i="38"/>
  <c r="J57" i="38"/>
  <c r="S12" i="36"/>
  <c r="Q25" i="36"/>
  <c r="CH88" i="36"/>
  <c r="CH91" i="36"/>
  <c r="CB92" i="36"/>
  <c r="P99" i="36"/>
  <c r="CE99" i="36"/>
  <c r="Q177" i="36"/>
  <c r="Q191" i="36"/>
  <c r="Q180" i="36"/>
  <c r="Q182" i="36"/>
  <c r="Q188" i="36"/>
  <c r="Q189" i="36" s="1"/>
  <c r="CL76" i="36"/>
  <c r="S76" i="36" s="1"/>
  <c r="S78" i="36" s="1"/>
  <c r="S82" i="36" s="1"/>
  <c r="CL189" i="36"/>
  <c r="BY248" i="36"/>
  <c r="CD249" i="36"/>
  <c r="BZ258" i="36"/>
  <c r="CL27" i="38"/>
  <c r="CK29" i="38"/>
  <c r="R31" i="38"/>
  <c r="CL32" i="38"/>
  <c r="BX29" i="38"/>
  <c r="BX35" i="38" s="1"/>
  <c r="P80" i="38"/>
  <c r="Q98" i="36"/>
  <c r="Q99" i="36"/>
  <c r="P171" i="36"/>
  <c r="P90" i="36"/>
  <c r="O148" i="36"/>
  <c r="CD257" i="36"/>
  <c r="CE256" i="36"/>
  <c r="P66" i="36"/>
  <c r="CI82" i="36"/>
  <c r="O126" i="36"/>
  <c r="S76" i="39"/>
  <c r="CD134" i="39"/>
  <c r="CE109" i="39"/>
  <c r="R66" i="37"/>
  <c r="S72" i="38"/>
  <c r="CE72" i="36"/>
  <c r="CE71" i="36"/>
  <c r="BU92" i="36"/>
  <c r="BU93" i="36"/>
  <c r="CH79" i="40"/>
  <c r="CH73" i="40"/>
  <c r="P12" i="36"/>
  <c r="M163" i="39"/>
  <c r="CD125" i="39"/>
  <c r="R245" i="39"/>
  <c r="S243" i="39" s="1"/>
  <c r="CL243" i="39"/>
  <c r="CE230" i="39"/>
  <c r="CE137" i="39" s="1"/>
  <c r="R42" i="37"/>
  <c r="R44" i="37"/>
  <c r="S53" i="37"/>
  <c r="R53" i="37"/>
  <c r="P121" i="39"/>
  <c r="CD149" i="39"/>
  <c r="CE152" i="39"/>
  <c r="CD155" i="39"/>
  <c r="CD315" i="39"/>
  <c r="CA70" i="37"/>
  <c r="CA78" i="37"/>
  <c r="CA80" i="37"/>
  <c r="CA77" i="37"/>
  <c r="CA103" i="39" s="1"/>
  <c r="BP121" i="39"/>
  <c r="P44" i="37"/>
  <c r="P42" i="37"/>
  <c r="CE59" i="37"/>
  <c r="CE61" i="37"/>
  <c r="CE68" i="37"/>
  <c r="N124" i="40"/>
  <c r="R76" i="37"/>
  <c r="S76" i="37"/>
  <c r="O102" i="37"/>
  <c r="E11" i="54"/>
  <c r="C35" i="54" s="1"/>
  <c r="G53" i="54"/>
  <c r="G100" i="54"/>
  <c r="J52" i="54"/>
  <c r="AG58" i="63"/>
  <c r="AG57" i="63"/>
  <c r="P46" i="38"/>
  <c r="CK34" i="38"/>
  <c r="CK48" i="38"/>
  <c r="R17" i="36"/>
  <c r="R10" i="36"/>
  <c r="BV32" i="36"/>
  <c r="BV70" i="36"/>
  <c r="BV34" i="37"/>
  <c r="BS54" i="36"/>
  <c r="BS127" i="36"/>
  <c r="BS70" i="36"/>
  <c r="BS213" i="36"/>
  <c r="CC99" i="36"/>
  <c r="Q115" i="36"/>
  <c r="Q129" i="36"/>
  <c r="Q130" i="36" s="1"/>
  <c r="Q114" i="36"/>
  <c r="Q117" i="36"/>
  <c r="Q119" i="36"/>
  <c r="Q132" i="36"/>
  <c r="BZ75" i="36"/>
  <c r="BZ130" i="36"/>
  <c r="CJ150" i="36"/>
  <c r="BT105" i="39"/>
  <c r="BT112" i="39" s="1"/>
  <c r="CJ77" i="39"/>
  <c r="CJ105" i="39"/>
  <c r="CJ112" i="39"/>
  <c r="BK34" i="38"/>
  <c r="BT84" i="38"/>
  <c r="BT22" i="36"/>
  <c r="BT70" i="36"/>
  <c r="BT32" i="36"/>
  <c r="BT41" i="36"/>
  <c r="BT51" i="36"/>
  <c r="BT34" i="37"/>
  <c r="P36" i="36"/>
  <c r="P39" i="36"/>
  <c r="O87" i="36"/>
  <c r="BY88" i="36"/>
  <c r="BY91" i="36"/>
  <c r="CE93" i="36"/>
  <c r="N117" i="36"/>
  <c r="N119" i="36"/>
  <c r="N126" i="36"/>
  <c r="N129" i="36"/>
  <c r="N130" i="36" s="1"/>
  <c r="BW130" i="36"/>
  <c r="BW75" i="36"/>
  <c r="BW78" i="36"/>
  <c r="BW82" i="36" s="1"/>
  <c r="R149" i="36"/>
  <c r="R148" i="36"/>
  <c r="S184" i="36"/>
  <c r="S185" i="36"/>
  <c r="CL77" i="36"/>
  <c r="S77" i="36"/>
  <c r="CL216" i="36"/>
  <c r="BI82" i="38"/>
  <c r="S40" i="36"/>
  <c r="S52" i="36"/>
  <c r="S186" i="36"/>
  <c r="BV88" i="36"/>
  <c r="BV91" i="36"/>
  <c r="CF93" i="36"/>
  <c r="CF92" i="36"/>
  <c r="BX75" i="36"/>
  <c r="BX78" i="36"/>
  <c r="BX82" i="36"/>
  <c r="BX130" i="36"/>
  <c r="I85" i="38"/>
  <c r="I86" i="38"/>
  <c r="CK32" i="36"/>
  <c r="CK22" i="36"/>
  <c r="CK41" i="36"/>
  <c r="CK51" i="36"/>
  <c r="CK34" i="37"/>
  <c r="CH32" i="36"/>
  <c r="CH51" i="36"/>
  <c r="CH70" i="36"/>
  <c r="CH22" i="36"/>
  <c r="CH34" i="37"/>
  <c r="BS186" i="36"/>
  <c r="CE239" i="36"/>
  <c r="CE240" i="36"/>
  <c r="CE241" i="36"/>
  <c r="CE238" i="36"/>
  <c r="CE243" i="36" s="1"/>
  <c r="CE242" i="36"/>
  <c r="CD51" i="36"/>
  <c r="BV54" i="36"/>
  <c r="N90" i="39"/>
  <c r="CA109" i="39"/>
  <c r="S75" i="36"/>
  <c r="CL78" i="36"/>
  <c r="CL82" i="36" s="1"/>
  <c r="CL83" i="36" s="1"/>
  <c r="Q76" i="40"/>
  <c r="Q72" i="40"/>
  <c r="O90" i="39"/>
  <c r="CJ97" i="39"/>
  <c r="R96" i="39"/>
  <c r="R97" i="39" s="1"/>
  <c r="Q126" i="36"/>
  <c r="N76" i="40"/>
  <c r="N72" i="40"/>
  <c r="BD163" i="39"/>
  <c r="BC165" i="39"/>
  <c r="BC166" i="39" s="1"/>
  <c r="CK141" i="39"/>
  <c r="O39" i="37"/>
  <c r="O44" i="37"/>
  <c r="P39" i="37"/>
  <c r="CC102" i="37"/>
  <c r="CB103" i="37"/>
  <c r="CB104" i="37"/>
  <c r="CB59" i="39"/>
  <c r="CE188" i="39"/>
  <c r="CD199" i="39"/>
  <c r="CE305" i="39"/>
  <c r="CF303" i="39"/>
  <c r="N44" i="37"/>
  <c r="CE250" i="39"/>
  <c r="CE142" i="39" s="1"/>
  <c r="CF248" i="39"/>
  <c r="L5" i="61"/>
  <c r="D11" i="54"/>
  <c r="G25" i="54" s="1"/>
  <c r="X59" i="3"/>
  <c r="X61" i="3"/>
  <c r="X62" i="3"/>
  <c r="P5" i="61"/>
  <c r="O5" i="61"/>
  <c r="D59" i="3"/>
  <c r="D61" i="3"/>
  <c r="D62" i="3" s="1"/>
  <c r="H14" i="63"/>
  <c r="H21" i="63"/>
  <c r="H16" i="63"/>
  <c r="AH54" i="63"/>
  <c r="O23" i="38"/>
  <c r="BY31" i="38"/>
  <c r="BH70" i="38"/>
  <c r="BE68" i="38"/>
  <c r="BD76" i="38"/>
  <c r="BD69" i="38" s="1"/>
  <c r="J86" i="38"/>
  <c r="J85" i="38"/>
  <c r="BO79" i="38"/>
  <c r="BO83" i="38"/>
  <c r="BO69" i="38"/>
  <c r="BO72" i="38"/>
  <c r="BO62" i="38"/>
  <c r="BO77" i="38"/>
  <c r="BO78" i="38"/>
  <c r="BO81" i="38"/>
  <c r="Q49" i="36"/>
  <c r="Q45" i="36"/>
  <c r="BW53" i="36"/>
  <c r="BW127" i="36"/>
  <c r="BW213" i="36"/>
  <c r="CD75" i="36"/>
  <c r="CD130" i="36"/>
  <c r="S81" i="39"/>
  <c r="S82" i="39"/>
  <c r="R89" i="39"/>
  <c r="R86" i="39"/>
  <c r="R81" i="39"/>
  <c r="CK44" i="38"/>
  <c r="N70" i="38"/>
  <c r="BX18" i="36"/>
  <c r="BX21" i="36"/>
  <c r="CF18" i="36"/>
  <c r="CF21" i="36"/>
  <c r="Q39" i="36"/>
  <c r="R40" i="36"/>
  <c r="Q36" i="36"/>
  <c r="R52" i="36"/>
  <c r="P87" i="36"/>
  <c r="CC88" i="36"/>
  <c r="CC91" i="36"/>
  <c r="CI92" i="36"/>
  <c r="CI93" i="36"/>
  <c r="CI94" i="36"/>
  <c r="CD99" i="36"/>
  <c r="R115" i="36"/>
  <c r="R114" i="36"/>
  <c r="CA130" i="36"/>
  <c r="CA75" i="36"/>
  <c r="CA78" i="36"/>
  <c r="CA82" i="36" s="1"/>
  <c r="CA83" i="36" s="1"/>
  <c r="CK150" i="36"/>
  <c r="CK76" i="36"/>
  <c r="CK189" i="36"/>
  <c r="CG105" i="39"/>
  <c r="CG112" i="39" s="1"/>
  <c r="CG77" i="39"/>
  <c r="BP46" i="38"/>
  <c r="BP39" i="38"/>
  <c r="CH34" i="38"/>
  <c r="CH44" i="38"/>
  <c r="CH48" i="38"/>
  <c r="N63" i="38"/>
  <c r="K70" i="38"/>
  <c r="L70" i="38"/>
  <c r="BH82" i="38"/>
  <c r="BY18" i="36"/>
  <c r="BY21" i="36"/>
  <c r="CL41" i="36"/>
  <c r="BZ88" i="36"/>
  <c r="BZ91" i="36"/>
  <c r="CJ93" i="36"/>
  <c r="CJ94" i="36"/>
  <c r="CJ92" i="36"/>
  <c r="BW99" i="36"/>
  <c r="CB75" i="36"/>
  <c r="CB78" i="36"/>
  <c r="CB82" i="36" s="1"/>
  <c r="CB83" i="36" s="1"/>
  <c r="CB130" i="36"/>
  <c r="CD150" i="36"/>
  <c r="CK18" i="36"/>
  <c r="R103" i="36"/>
  <c r="S200" i="36"/>
  <c r="R166" i="36"/>
  <c r="BW186" i="36"/>
  <c r="CE134" i="39"/>
  <c r="CE215" i="39"/>
  <c r="CF213" i="39"/>
  <c r="P30" i="36"/>
  <c r="CD54" i="36"/>
  <c r="S115" i="36"/>
  <c r="P185" i="36"/>
  <c r="CL79" i="40"/>
  <c r="CL73" i="40"/>
  <c r="K76" i="39"/>
  <c r="K105" i="39" s="1"/>
  <c r="K112" i="39" s="1"/>
  <c r="N52" i="36"/>
  <c r="CJ82" i="36"/>
  <c r="BT54" i="36"/>
  <c r="CH54" i="36"/>
  <c r="CE233" i="39"/>
  <c r="CE143" i="39"/>
  <c r="CE255" i="39"/>
  <c r="CF253" i="39" s="1"/>
  <c r="P102" i="37"/>
  <c r="S102" i="54"/>
  <c r="CE126" i="39"/>
  <c r="CD128" i="39"/>
  <c r="CE156" i="39"/>
  <c r="CE320" i="39"/>
  <c r="BS70" i="39"/>
  <c r="BS71" i="39"/>
  <c r="BS72" i="39"/>
  <c r="BS73" i="39"/>
  <c r="BS47" i="37"/>
  <c r="BV74" i="39"/>
  <c r="BW45" i="37"/>
  <c r="BS46" i="37"/>
  <c r="CL128" i="39"/>
  <c r="CD142" i="39"/>
  <c r="CD323" i="39"/>
  <c r="S66" i="37"/>
  <c r="K5" i="61"/>
  <c r="G29" i="61"/>
  <c r="N5" i="61"/>
  <c r="H59" i="3"/>
  <c r="H61" i="3"/>
  <c r="H62" i="3"/>
  <c r="Y59" i="3"/>
  <c r="Y79" i="3"/>
  <c r="Y90" i="3" s="1"/>
  <c r="Y105" i="3" s="1"/>
  <c r="Y106" i="3" s="1"/>
  <c r="Y61" i="3"/>
  <c r="Y62" i="3" s="1"/>
  <c r="D79" i="3"/>
  <c r="D90" i="3" s="1"/>
  <c r="D105" i="3" s="1"/>
  <c r="AB36" i="3"/>
  <c r="CF134" i="39"/>
  <c r="CF215" i="39"/>
  <c r="CG213" i="39" s="1"/>
  <c r="CF22" i="36"/>
  <c r="CF32" i="36"/>
  <c r="CF41" i="36"/>
  <c r="CF70" i="36"/>
  <c r="CF51" i="36"/>
  <c r="CF34" i="37"/>
  <c r="CF54" i="36"/>
  <c r="BO73" i="38"/>
  <c r="BO74" i="38"/>
  <c r="J25" i="54"/>
  <c r="CE153" i="39"/>
  <c r="CD102" i="37"/>
  <c r="CC103" i="37"/>
  <c r="CC104" i="37" s="1"/>
  <c r="CC59" i="39" s="1"/>
  <c r="N75" i="40"/>
  <c r="CH58" i="38"/>
  <c r="CH69" i="39"/>
  <c r="CH47" i="37"/>
  <c r="CH35" i="37"/>
  <c r="CH40" i="37"/>
  <c r="CH43" i="37"/>
  <c r="CH46" i="37"/>
  <c r="CH64" i="37"/>
  <c r="CH36" i="37"/>
  <c r="CH67" i="37"/>
  <c r="CH57" i="37"/>
  <c r="CH54" i="37"/>
  <c r="BT69" i="39"/>
  <c r="BT37" i="37"/>
  <c r="BU37" i="37"/>
  <c r="BT54" i="37"/>
  <c r="BT67" i="37"/>
  <c r="BT28" i="37"/>
  <c r="BT35" i="37"/>
  <c r="BT40" i="37"/>
  <c r="BT64" i="37"/>
  <c r="BT12" i="37"/>
  <c r="BT47" i="37"/>
  <c r="BT20" i="37"/>
  <c r="BT24" i="37"/>
  <c r="BT79" i="38"/>
  <c r="BT16" i="37"/>
  <c r="BT43" i="37"/>
  <c r="BT46" i="37"/>
  <c r="BT32" i="37"/>
  <c r="BT58" i="38"/>
  <c r="BT72" i="36"/>
  <c r="BT71" i="36"/>
  <c r="BS72" i="36"/>
  <c r="BS71" i="36"/>
  <c r="CE70" i="37"/>
  <c r="CE69" i="37"/>
  <c r="CE80" i="37"/>
  <c r="CE78" i="37"/>
  <c r="CE77" i="37"/>
  <c r="CE103" i="39"/>
  <c r="Q80" i="38"/>
  <c r="CK35" i="38"/>
  <c r="CK39" i="38"/>
  <c r="CK47" i="38"/>
  <c r="CK45" i="38"/>
  <c r="CH92" i="36"/>
  <c r="CL92" i="36"/>
  <c r="CH93" i="36"/>
  <c r="CJ22" i="36"/>
  <c r="CJ70" i="36"/>
  <c r="CJ83" i="36" s="1"/>
  <c r="CJ32" i="36"/>
  <c r="CJ41" i="36"/>
  <c r="CJ34" i="37"/>
  <c r="CJ51" i="36"/>
  <c r="N68" i="36"/>
  <c r="CE146" i="39"/>
  <c r="CF285" i="39"/>
  <c r="CG283" i="39"/>
  <c r="O18" i="36"/>
  <c r="O21" i="36"/>
  <c r="BS116" i="40"/>
  <c r="BS93" i="39"/>
  <c r="BS102" i="39"/>
  <c r="BS109" i="39" s="1"/>
  <c r="BS94" i="39"/>
  <c r="BS50" i="37"/>
  <c r="BS58" i="37"/>
  <c r="BS91" i="39"/>
  <c r="BS87" i="39"/>
  <c r="CE235" i="39"/>
  <c r="CE138" i="39" s="1"/>
  <c r="CC92" i="36"/>
  <c r="CC93" i="36"/>
  <c r="R50" i="36"/>
  <c r="BI70" i="38"/>
  <c r="Q5" i="61"/>
  <c r="M5" i="61"/>
  <c r="CE190" i="39"/>
  <c r="Q75" i="40"/>
  <c r="Q79" i="40"/>
  <c r="CH230" i="36"/>
  <c r="CH234" i="36"/>
  <c r="CH231" i="36"/>
  <c r="CH232" i="36"/>
  <c r="CH233" i="36"/>
  <c r="BV92" i="36"/>
  <c r="BV93" i="36"/>
  <c r="BV94" i="36"/>
  <c r="O88" i="36"/>
  <c r="O91" i="36"/>
  <c r="BV79" i="38"/>
  <c r="BV58" i="38"/>
  <c r="BV69" i="39"/>
  <c r="BV40" i="37"/>
  <c r="BV43" i="37"/>
  <c r="BV64" i="37"/>
  <c r="BV32" i="37"/>
  <c r="BV67" i="37"/>
  <c r="BV57" i="37"/>
  <c r="BV37" i="37"/>
  <c r="BV20" i="37"/>
  <c r="CD130" i="39"/>
  <c r="S105" i="39"/>
  <c r="S112" i="39"/>
  <c r="BX45" i="38"/>
  <c r="S27" i="38"/>
  <c r="CL29" i="38"/>
  <c r="CC32" i="36"/>
  <c r="CC22" i="36"/>
  <c r="CC70" i="36"/>
  <c r="CC41" i="36"/>
  <c r="CC51" i="36"/>
  <c r="CC54" i="36"/>
  <c r="CC34" i="37"/>
  <c r="CD37" i="37"/>
  <c r="O75" i="36"/>
  <c r="CL58" i="38"/>
  <c r="CL47" i="37"/>
  <c r="CL69" i="39"/>
  <c r="S34" i="37"/>
  <c r="CL35" i="37"/>
  <c r="CL40" i="37"/>
  <c r="CL43" i="37"/>
  <c r="CL46" i="37"/>
  <c r="CL64" i="37"/>
  <c r="CL36" i="37"/>
  <c r="CL67" i="37"/>
  <c r="CL57" i="37"/>
  <c r="CL37" i="37"/>
  <c r="CL54" i="37"/>
  <c r="J5" i="61"/>
  <c r="CF205" i="39"/>
  <c r="CF132" i="39" s="1"/>
  <c r="CG203" i="39"/>
  <c r="CD92" i="36"/>
  <c r="CD93" i="36"/>
  <c r="CD58" i="38"/>
  <c r="CD40" i="37"/>
  <c r="CD43" i="37"/>
  <c r="CD64" i="37"/>
  <c r="CD69" i="39"/>
  <c r="CE37" i="37"/>
  <c r="CD67" i="37"/>
  <c r="CD57" i="37"/>
  <c r="CD54" i="37"/>
  <c r="CG92" i="36"/>
  <c r="CG93" i="36"/>
  <c r="CG94" i="36" s="1"/>
  <c r="CG32" i="36"/>
  <c r="CG41" i="36"/>
  <c r="CG70" i="36"/>
  <c r="CG22" i="36"/>
  <c r="CG51" i="36"/>
  <c r="CG54" i="36"/>
  <c r="CG34" i="37"/>
  <c r="Q34" i="37"/>
  <c r="CF318" i="39"/>
  <c r="N186" i="36"/>
  <c r="N127" i="36"/>
  <c r="N213" i="36"/>
  <c r="BY41" i="36"/>
  <c r="BY70" i="36"/>
  <c r="BY22" i="36"/>
  <c r="BY51" i="36"/>
  <c r="BY54" i="36"/>
  <c r="BY34" i="37"/>
  <c r="BY32" i="36"/>
  <c r="BX22" i="36"/>
  <c r="BX32" i="36"/>
  <c r="BX41" i="36"/>
  <c r="BX70" i="36"/>
  <c r="BX51" i="36"/>
  <c r="BX34" i="37"/>
  <c r="BX54" i="36"/>
  <c r="Q75" i="36"/>
  <c r="BO84" i="38"/>
  <c r="BD77" i="38"/>
  <c r="BD83" i="38"/>
  <c r="BD62" i="38"/>
  <c r="BH78" i="38"/>
  <c r="BD73" i="38"/>
  <c r="BD81" i="38"/>
  <c r="BZ27" i="38"/>
  <c r="O31" i="38"/>
  <c r="BZ32" i="38"/>
  <c r="BY32" i="38"/>
  <c r="H57" i="63"/>
  <c r="CF250" i="39"/>
  <c r="CG248" i="39"/>
  <c r="O72" i="39"/>
  <c r="O74" i="39"/>
  <c r="O45" i="37"/>
  <c r="O70" i="39"/>
  <c r="O73" i="39"/>
  <c r="O71" i="39"/>
  <c r="CH71" i="36"/>
  <c r="CH72" i="36"/>
  <c r="CK58" i="38"/>
  <c r="CK69" i="39"/>
  <c r="CK40" i="37"/>
  <c r="CK64" i="37"/>
  <c r="CK37" i="37"/>
  <c r="CK57" i="37"/>
  <c r="CK47" i="37"/>
  <c r="CK36" i="37"/>
  <c r="CK67" i="37"/>
  <c r="CK54" i="37"/>
  <c r="CK43" i="37"/>
  <c r="CK46" i="37"/>
  <c r="BX83" i="36"/>
  <c r="P40" i="36"/>
  <c r="BV72" i="36"/>
  <c r="R21" i="36"/>
  <c r="P71" i="39"/>
  <c r="P73" i="39"/>
  <c r="P70" i="39"/>
  <c r="P72" i="39"/>
  <c r="P74" i="39"/>
  <c r="P45" i="37"/>
  <c r="CA88" i="37"/>
  <c r="CA119" i="37"/>
  <c r="CA84" i="37"/>
  <c r="CA86" i="37"/>
  <c r="CA83" i="37"/>
  <c r="CE313" i="39"/>
  <c r="R74" i="39"/>
  <c r="R71" i="39"/>
  <c r="R73" i="39"/>
  <c r="R72" i="39"/>
  <c r="CL245" i="39"/>
  <c r="CL141" i="39"/>
  <c r="CE257" i="36"/>
  <c r="CF256" i="36"/>
  <c r="CL34" i="38"/>
  <c r="CL48" i="38"/>
  <c r="CL44" i="38"/>
  <c r="Q26" i="36"/>
  <c r="Q30" i="36"/>
  <c r="R88" i="36"/>
  <c r="S88" i="36"/>
  <c r="R91" i="36"/>
  <c r="CB22" i="36"/>
  <c r="CB70" i="36"/>
  <c r="CB32" i="36"/>
  <c r="CB41" i="36"/>
  <c r="CB51" i="36"/>
  <c r="CB34" i="37"/>
  <c r="CB54" i="36"/>
  <c r="CL71" i="36"/>
  <c r="CL72" i="36"/>
  <c r="BI102" i="37"/>
  <c r="BH103" i="37"/>
  <c r="O75" i="40"/>
  <c r="S190" i="39"/>
  <c r="S128" i="39" s="1"/>
  <c r="P75" i="40"/>
  <c r="CE235" i="36"/>
  <c r="CD72" i="36"/>
  <c r="P18" i="36"/>
  <c r="Q13" i="38"/>
  <c r="Q14" i="38"/>
  <c r="N75" i="36"/>
  <c r="BZ92" i="36"/>
  <c r="BZ93" i="36"/>
  <c r="CD94" i="36" s="1"/>
  <c r="BZ94" i="36"/>
  <c r="CK78" i="36"/>
  <c r="R76" i="36"/>
  <c r="R78" i="36"/>
  <c r="P88" i="36"/>
  <c r="P91" i="36"/>
  <c r="R54" i="36"/>
  <c r="R186" i="36"/>
  <c r="Q40" i="36"/>
  <c r="R90" i="39"/>
  <c r="AH57" i="63"/>
  <c r="AH58" i="63"/>
  <c r="N74" i="39"/>
  <c r="N72" i="39"/>
  <c r="N70" i="39"/>
  <c r="N71" i="39"/>
  <c r="N73" i="39"/>
  <c r="CF153" i="39"/>
  <c r="CF305" i="39"/>
  <c r="CG303" i="39" s="1"/>
  <c r="BE163" i="39"/>
  <c r="BD165" i="39"/>
  <c r="BD166" i="39" s="1"/>
  <c r="CK231" i="36"/>
  <c r="CK232" i="36"/>
  <c r="CK233" i="36"/>
  <c r="CK230" i="36"/>
  <c r="CK234" i="36"/>
  <c r="S53" i="36"/>
  <c r="S127" i="36"/>
  <c r="S213" i="36"/>
  <c r="BY92" i="36"/>
  <c r="BY93" i="36"/>
  <c r="BY94" i="36"/>
  <c r="P75" i="36"/>
  <c r="BZ78" i="36"/>
  <c r="BZ82" i="36" s="1"/>
  <c r="N163" i="39"/>
  <c r="BS83" i="36"/>
  <c r="S32" i="38"/>
  <c r="R32" i="38"/>
  <c r="CH39" i="38"/>
  <c r="CH47" i="38" s="1"/>
  <c r="CH45" i="38"/>
  <c r="CH35" i="38"/>
  <c r="CK92" i="36"/>
  <c r="CL221" i="36"/>
  <c r="CK93" i="36"/>
  <c r="CK94" i="36"/>
  <c r="CL93" i="36"/>
  <c r="CL94" i="36" s="1"/>
  <c r="CL89" i="36"/>
  <c r="CL90" i="36"/>
  <c r="CL147" i="36"/>
  <c r="CL85" i="36"/>
  <c r="CL86" i="36" s="1"/>
  <c r="R99" i="36"/>
  <c r="CL230" i="36"/>
  <c r="CL234" i="36"/>
  <c r="CL231" i="36"/>
  <c r="CL232" i="36"/>
  <c r="CL233" i="36"/>
  <c r="CF146" i="39"/>
  <c r="CF270" i="39"/>
  <c r="CG268" i="39"/>
  <c r="BW93" i="36"/>
  <c r="Q88" i="36"/>
  <c r="Q69" i="39"/>
  <c r="Q67" i="37"/>
  <c r="Q43" i="37"/>
  <c r="Q64" i="37"/>
  <c r="Q58" i="38"/>
  <c r="Q54" i="37"/>
  <c r="S34" i="38"/>
  <c r="S48" i="38"/>
  <c r="S44" i="38"/>
  <c r="S69" i="39"/>
  <c r="S58" i="38"/>
  <c r="S40" i="37"/>
  <c r="S57" i="37"/>
  <c r="S67" i="37"/>
  <c r="S54" i="37"/>
  <c r="S64" i="37"/>
  <c r="CL39" i="38"/>
  <c r="CL47" i="38"/>
  <c r="CL45" i="38"/>
  <c r="S29" i="38"/>
  <c r="CL35" i="38"/>
  <c r="R80" i="38"/>
  <c r="CE110" i="39"/>
  <c r="CE108" i="39" s="1"/>
  <c r="CE101" i="39"/>
  <c r="R48" i="38"/>
  <c r="R44" i="38"/>
  <c r="R34" i="38"/>
  <c r="O163" i="39"/>
  <c r="N165" i="39"/>
  <c r="BF163" i="39"/>
  <c r="P92" i="36"/>
  <c r="P93" i="36"/>
  <c r="S92" i="36"/>
  <c r="S93" i="36"/>
  <c r="CE315" i="39"/>
  <c r="CE155" i="39" s="1"/>
  <c r="CA6" i="37"/>
  <c r="CF142" i="39"/>
  <c r="BZ34" i="38"/>
  <c r="BZ44" i="38"/>
  <c r="BZ48" i="38"/>
  <c r="BD84" i="38"/>
  <c r="BX69" i="39"/>
  <c r="BX36" i="37"/>
  <c r="BX54" i="37"/>
  <c r="BX67" i="37"/>
  <c r="BX28" i="37"/>
  <c r="BX35" i="37"/>
  <c r="BX64" i="37"/>
  <c r="BX20" i="37"/>
  <c r="BX12" i="37"/>
  <c r="BX43" i="37"/>
  <c r="BX33" i="37"/>
  <c r="BX16" i="37"/>
  <c r="BX79" i="38"/>
  <c r="BX58" i="38"/>
  <c r="BX40" i="37"/>
  <c r="BX24" i="37"/>
  <c r="BX32" i="37"/>
  <c r="CG231" i="36"/>
  <c r="CG232" i="36"/>
  <c r="CG233" i="36"/>
  <c r="CG235" i="36" s="1"/>
  <c r="CG230" i="36"/>
  <c r="CG234" i="36"/>
  <c r="O92" i="36"/>
  <c r="O93" i="36"/>
  <c r="CJ58" i="38"/>
  <c r="CJ69" i="39"/>
  <c r="CJ36" i="37"/>
  <c r="CJ54" i="37"/>
  <c r="CJ67" i="37"/>
  <c r="CJ35" i="37"/>
  <c r="CJ40" i="37"/>
  <c r="CJ64" i="37"/>
  <c r="CJ47" i="37"/>
  <c r="CJ43" i="37"/>
  <c r="CJ46" i="37"/>
  <c r="CJ57" i="37"/>
  <c r="CJ232" i="36"/>
  <c r="CJ233" i="36"/>
  <c r="CJ230" i="36"/>
  <c r="CJ234" i="36"/>
  <c r="CJ231" i="36"/>
  <c r="CH240" i="36"/>
  <c r="CH241" i="36"/>
  <c r="CH238" i="36"/>
  <c r="CH242" i="36"/>
  <c r="CH239" i="36"/>
  <c r="CF72" i="36"/>
  <c r="CF71" i="36"/>
  <c r="CG69" i="39"/>
  <c r="CG58" i="38"/>
  <c r="CG35" i="37"/>
  <c r="CG40" i="37"/>
  <c r="CG64" i="37"/>
  <c r="CG37" i="37"/>
  <c r="CG57" i="37"/>
  <c r="CG47" i="37"/>
  <c r="CG67" i="37"/>
  <c r="CG36" i="37"/>
  <c r="CG54" i="37"/>
  <c r="CG43" i="37"/>
  <c r="CG46" i="37"/>
  <c r="CC58" i="38"/>
  <c r="CC69" i="39"/>
  <c r="CC35" i="37"/>
  <c r="CC40" i="37"/>
  <c r="CC64" i="37"/>
  <c r="CC37" i="37"/>
  <c r="CC57" i="37"/>
  <c r="CC47" i="37"/>
  <c r="CC36" i="37"/>
  <c r="CC54" i="37"/>
  <c r="CC67" i="37"/>
  <c r="CC46" i="37"/>
  <c r="CC43" i="37"/>
  <c r="CC72" i="36"/>
  <c r="CC71" i="36"/>
  <c r="CF188" i="39"/>
  <c r="BT94" i="39"/>
  <c r="BT116" i="40"/>
  <c r="BT87" i="39"/>
  <c r="BT93" i="39"/>
  <c r="BT49" i="37"/>
  <c r="BT102" i="39"/>
  <c r="BT109" i="39" s="1"/>
  <c r="BT50" i="37"/>
  <c r="BU51" i="37"/>
  <c r="BT51" i="37"/>
  <c r="BU49" i="37"/>
  <c r="CH37" i="37"/>
  <c r="CD103" i="37"/>
  <c r="CD104" i="37"/>
  <c r="CD59" i="39" s="1"/>
  <c r="CE102" i="37"/>
  <c r="CG270" i="39"/>
  <c r="CL235" i="36"/>
  <c r="CL148" i="36"/>
  <c r="CL149" i="36"/>
  <c r="CL150" i="36"/>
  <c r="CL144" i="36"/>
  <c r="CL166" i="36"/>
  <c r="CL98" i="36"/>
  <c r="CL99" i="36"/>
  <c r="CL135" i="36"/>
  <c r="CL222" i="36"/>
  <c r="CL199" i="36"/>
  <c r="CL200" i="36"/>
  <c r="CL223" i="36"/>
  <c r="CB58" i="38"/>
  <c r="CB69" i="39"/>
  <c r="CB37" i="37"/>
  <c r="CB36" i="37"/>
  <c r="CB54" i="37"/>
  <c r="CB67" i="37"/>
  <c r="CB35" i="37"/>
  <c r="CB40" i="37"/>
  <c r="CB64" i="37"/>
  <c r="CB47" i="37"/>
  <c r="CB46" i="37"/>
  <c r="CB57" i="37"/>
  <c r="CB43" i="37"/>
  <c r="CB72" i="36"/>
  <c r="CB71" i="36"/>
  <c r="CG256" i="36"/>
  <c r="CF257" i="36"/>
  <c r="CK94" i="39"/>
  <c r="CK116" i="40"/>
  <c r="CK50" i="37"/>
  <c r="CK58" i="37"/>
  <c r="CK48" i="37"/>
  <c r="CK49" i="37"/>
  <c r="CK102" i="39"/>
  <c r="CK87" i="39"/>
  <c r="CK93" i="39"/>
  <c r="CK51" i="37"/>
  <c r="BX72" i="36"/>
  <c r="BX71" i="36"/>
  <c r="CF320" i="39"/>
  <c r="CF156" i="39"/>
  <c r="CG205" i="39"/>
  <c r="CC94" i="36"/>
  <c r="CF233" i="39"/>
  <c r="BS61" i="37"/>
  <c r="BS68" i="37"/>
  <c r="O41" i="36"/>
  <c r="CG285" i="39"/>
  <c r="CG149" i="39"/>
  <c r="CH94" i="36"/>
  <c r="CH102" i="39"/>
  <c r="CH116" i="40"/>
  <c r="CH51" i="37"/>
  <c r="CH94" i="39"/>
  <c r="CH50" i="37"/>
  <c r="CH58" i="37"/>
  <c r="CH87" i="39"/>
  <c r="CH93" i="39"/>
  <c r="CH49" i="37"/>
  <c r="CF58" i="38"/>
  <c r="CF69" i="39"/>
  <c r="CF37" i="37"/>
  <c r="CF36" i="37"/>
  <c r="CF54" i="37"/>
  <c r="CF67" i="37"/>
  <c r="CF35" i="37"/>
  <c r="CF40" i="37"/>
  <c r="CF64" i="37"/>
  <c r="CF47" i="37"/>
  <c r="CF57" i="37"/>
  <c r="CF46" i="37"/>
  <c r="CF43" i="37"/>
  <c r="CK241" i="36"/>
  <c r="CK238" i="36"/>
  <c r="CK242" i="36"/>
  <c r="CK239" i="36"/>
  <c r="CK240" i="36"/>
  <c r="CG72" i="36"/>
  <c r="CG71" i="36"/>
  <c r="CK235" i="36"/>
  <c r="BI103" i="37"/>
  <c r="BJ102" i="37"/>
  <c r="Q31" i="36"/>
  <c r="Q52" i="36"/>
  <c r="R31" i="36"/>
  <c r="R32" i="36"/>
  <c r="R70" i="36"/>
  <c r="R51" i="36"/>
  <c r="R41" i="36"/>
  <c r="CK35" i="37"/>
  <c r="CG142" i="39"/>
  <c r="CG250" i="39"/>
  <c r="P27" i="38"/>
  <c r="BZ29" i="38"/>
  <c r="BY69" i="39"/>
  <c r="BY58" i="38"/>
  <c r="BY28" i="37"/>
  <c r="BY35" i="37"/>
  <c r="BY40" i="37"/>
  <c r="BY64" i="37"/>
  <c r="BY37" i="37"/>
  <c r="BY57" i="37"/>
  <c r="BY12" i="37"/>
  <c r="BY20" i="37"/>
  <c r="BY47" i="37"/>
  <c r="BY67" i="37"/>
  <c r="BY33" i="37"/>
  <c r="BY32" i="37"/>
  <c r="BY36" i="37"/>
  <c r="BY24" i="37"/>
  <c r="BY16" i="37"/>
  <c r="BY46" i="37"/>
  <c r="BY43" i="37"/>
  <c r="BY72" i="36"/>
  <c r="BY71" i="36"/>
  <c r="CL240" i="36"/>
  <c r="CL241" i="36"/>
  <c r="CL238" i="36"/>
  <c r="CL242" i="36"/>
  <c r="CL239" i="36"/>
  <c r="CL102" i="39"/>
  <c r="CL116" i="40"/>
  <c r="CL93" i="39"/>
  <c r="CL51" i="37"/>
  <c r="CL50" i="37"/>
  <c r="CL58" i="37"/>
  <c r="CL94" i="39"/>
  <c r="S47" i="37"/>
  <c r="CL48" i="37"/>
  <c r="CL49" i="37"/>
  <c r="CL87" i="39"/>
  <c r="CH235" i="36"/>
  <c r="CE128" i="39"/>
  <c r="CF149" i="39"/>
  <c r="CJ72" i="36"/>
  <c r="CJ71" i="36"/>
  <c r="CE88" i="37"/>
  <c r="CE89" i="37"/>
  <c r="CE119" i="37"/>
  <c r="CE84" i="37"/>
  <c r="CE86" i="37"/>
  <c r="CE87" i="37" s="1"/>
  <c r="CE81" i="37"/>
  <c r="CE83" i="37"/>
  <c r="CF232" i="36"/>
  <c r="CF233" i="36"/>
  <c r="CF230" i="36"/>
  <c r="CF234" i="36"/>
  <c r="CF231" i="36"/>
  <c r="CF235" i="36" s="1"/>
  <c r="CF94" i="39"/>
  <c r="CF116" i="40"/>
  <c r="CF87" i="39"/>
  <c r="CF93" i="39"/>
  <c r="CF48" i="37"/>
  <c r="CF49" i="37"/>
  <c r="CF102" i="39"/>
  <c r="CF50" i="37"/>
  <c r="CF58" i="37"/>
  <c r="CF51" i="37"/>
  <c r="CH91" i="39"/>
  <c r="CJ238" i="36"/>
  <c r="CJ242" i="36"/>
  <c r="CJ239" i="36"/>
  <c r="CJ240" i="36"/>
  <c r="CJ241" i="36"/>
  <c r="P94" i="36"/>
  <c r="BF165" i="39"/>
  <c r="BF166" i="39" s="1"/>
  <c r="BG163" i="39"/>
  <c r="S80" i="38"/>
  <c r="S35" i="38"/>
  <c r="S39" i="38"/>
  <c r="S47" i="38" s="1"/>
  <c r="S45" i="38"/>
  <c r="S94" i="39"/>
  <c r="S116" i="40"/>
  <c r="S91" i="39"/>
  <c r="S50" i="37"/>
  <c r="S58" i="37"/>
  <c r="S93" i="39"/>
  <c r="S102" i="39"/>
  <c r="S87" i="39"/>
  <c r="CB94" i="39"/>
  <c r="CB116" i="40"/>
  <c r="CB87" i="39"/>
  <c r="CB93" i="39"/>
  <c r="CB49" i="37"/>
  <c r="CB102" i="39"/>
  <c r="CB50" i="37"/>
  <c r="CB58" i="37"/>
  <c r="CB51" i="37"/>
  <c r="CL243" i="36"/>
  <c r="BZ45" i="38"/>
  <c r="BZ35" i="38"/>
  <c r="CK61" i="37"/>
  <c r="CK68" i="37"/>
  <c r="CH256" i="36"/>
  <c r="CG257" i="36"/>
  <c r="CE103" i="37"/>
  <c r="CE104" i="37"/>
  <c r="CE59" i="39" s="1"/>
  <c r="CF102" i="37"/>
  <c r="O165" i="39"/>
  <c r="O166" i="39" s="1"/>
  <c r="P163" i="39"/>
  <c r="Q149" i="39"/>
  <c r="CL59" i="37"/>
  <c r="CL60" i="37"/>
  <c r="CL61" i="37"/>
  <c r="CL68" i="37"/>
  <c r="R72" i="36"/>
  <c r="Q213" i="36"/>
  <c r="Q127" i="36"/>
  <c r="Q186" i="36"/>
  <c r="R53" i="36"/>
  <c r="CF238" i="36"/>
  <c r="CF242" i="36"/>
  <c r="CF239" i="36"/>
  <c r="CF240" i="36"/>
  <c r="CF241" i="36"/>
  <c r="Q285" i="39"/>
  <c r="R283" i="39" s="1"/>
  <c r="CH283" i="39"/>
  <c r="CH203" i="39"/>
  <c r="Q205" i="39"/>
  <c r="R203" i="39"/>
  <c r="CK109" i="39"/>
  <c r="Q270" i="39"/>
  <c r="R268" i="39" s="1"/>
  <c r="CH268" i="39"/>
  <c r="CC94" i="39"/>
  <c r="CC116" i="40"/>
  <c r="CC50" i="37"/>
  <c r="CC58" i="37"/>
  <c r="CC48" i="37"/>
  <c r="CC49" i="37"/>
  <c r="CC102" i="39"/>
  <c r="CC87" i="39"/>
  <c r="CC93" i="39"/>
  <c r="CC51" i="37"/>
  <c r="CJ94" i="39"/>
  <c r="CJ116" i="40"/>
  <c r="CJ87" i="39"/>
  <c r="CJ93" i="39"/>
  <c r="CJ48" i="37"/>
  <c r="CJ102" i="39"/>
  <c r="CJ50" i="37"/>
  <c r="CJ58" i="37"/>
  <c r="CF313" i="39"/>
  <c r="CH61" i="37"/>
  <c r="CH68" i="37"/>
  <c r="BS70" i="37"/>
  <c r="BS78" i="37"/>
  <c r="BS80" i="37"/>
  <c r="BS77" i="37"/>
  <c r="BS103" i="39" s="1"/>
  <c r="BS110" i="39" s="1"/>
  <c r="CL146" i="36"/>
  <c r="CL145" i="36"/>
  <c r="CF190" i="39"/>
  <c r="CF128" i="39" s="1"/>
  <c r="CF235" i="39"/>
  <c r="CF138" i="39" s="1"/>
  <c r="CG318" i="39"/>
  <c r="CL137" i="36"/>
  <c r="CL136" i="36"/>
  <c r="CG241" i="36"/>
  <c r="CG238" i="36"/>
  <c r="CG242" i="36"/>
  <c r="CG239" i="36"/>
  <c r="CG240" i="36"/>
  <c r="CE6" i="37"/>
  <c r="CE85" i="37"/>
  <c r="CL109" i="39"/>
  <c r="BY94" i="39"/>
  <c r="BY116" i="40"/>
  <c r="BY50" i="37"/>
  <c r="BY87" i="39"/>
  <c r="BY93" i="39"/>
  <c r="BY48" i="37"/>
  <c r="CH248" i="39"/>
  <c r="CH250" i="39" s="1"/>
  <c r="CI248" i="39" s="1"/>
  <c r="Q250" i="39"/>
  <c r="R248" i="39" s="1"/>
  <c r="BJ103" i="37"/>
  <c r="BK102" i="37"/>
  <c r="CH109" i="39"/>
  <c r="CG132" i="39"/>
  <c r="CG146" i="39"/>
  <c r="Q146" i="39"/>
  <c r="CG94" i="39"/>
  <c r="CG116" i="40"/>
  <c r="CG102" i="39"/>
  <c r="CG50" i="37"/>
  <c r="CG58" i="37"/>
  <c r="CG87" i="39"/>
  <c r="CG93" i="39"/>
  <c r="CG48" i="37"/>
  <c r="CG49" i="37"/>
  <c r="CG51" i="37"/>
  <c r="CH243" i="36"/>
  <c r="CJ235" i="36"/>
  <c r="Q142" i="39"/>
  <c r="CA6" i="36"/>
  <c r="CA6" i="38"/>
  <c r="CA6" i="40"/>
  <c r="CA6" i="39"/>
  <c r="CG61" i="37"/>
  <c r="CG68" i="37"/>
  <c r="CG59" i="37"/>
  <c r="CG60" i="37"/>
  <c r="CF315" i="39"/>
  <c r="CF155" i="39" s="1"/>
  <c r="CJ61" i="37"/>
  <c r="CJ68" i="37"/>
  <c r="CJ59" i="37"/>
  <c r="CF243" i="36"/>
  <c r="S61" i="37"/>
  <c r="S68" i="37"/>
  <c r="CH60" i="37"/>
  <c r="CH285" i="39"/>
  <c r="CI283" i="39"/>
  <c r="CL69" i="37"/>
  <c r="CL78" i="37"/>
  <c r="CL80" i="37"/>
  <c r="CL70" i="37"/>
  <c r="CL77" i="37"/>
  <c r="CL103" i="39" s="1"/>
  <c r="CH257" i="36"/>
  <c r="CI256" i="36"/>
  <c r="CK59" i="37"/>
  <c r="CB109" i="39"/>
  <c r="S109" i="39"/>
  <c r="CF61" i="37"/>
  <c r="CF68" i="37"/>
  <c r="CF59" i="37"/>
  <c r="CF60" i="37"/>
  <c r="CG109" i="39"/>
  <c r="BL102" i="37"/>
  <c r="BM102" i="37" s="1"/>
  <c r="CG188" i="39"/>
  <c r="CJ109" i="39"/>
  <c r="CC109" i="39"/>
  <c r="CC61" i="37"/>
  <c r="CC68" i="37"/>
  <c r="CC77" i="37" s="1"/>
  <c r="CC103" i="39" s="1"/>
  <c r="CC60" i="37"/>
  <c r="CH270" i="39"/>
  <c r="CI268" i="39"/>
  <c r="CI146" i="39" s="1"/>
  <c r="CK60" i="37"/>
  <c r="BH163" i="39"/>
  <c r="CE6" i="36"/>
  <c r="CE6" i="40"/>
  <c r="CE6" i="38"/>
  <c r="CE6" i="39"/>
  <c r="CE7" i="37"/>
  <c r="CG243" i="36"/>
  <c r="CG320" i="39"/>
  <c r="Q320" i="39" s="1"/>
  <c r="R318" i="39" s="1"/>
  <c r="CG233" i="39"/>
  <c r="BS88" i="37"/>
  <c r="BS89" i="37" s="1"/>
  <c r="BS119" i="37"/>
  <c r="BS84" i="37"/>
  <c r="BS6" i="37" s="1"/>
  <c r="BS86" i="37"/>
  <c r="BS83" i="37"/>
  <c r="CH78" i="37"/>
  <c r="CH80" i="37"/>
  <c r="CH70" i="37"/>
  <c r="CH77" i="37"/>
  <c r="CH103" i="39" s="1"/>
  <c r="CH205" i="39"/>
  <c r="CI203" i="39"/>
  <c r="P165" i="39"/>
  <c r="P166" i="39" s="1"/>
  <c r="Q163" i="39"/>
  <c r="Q165" i="39" s="1"/>
  <c r="Q166" i="39" s="1"/>
  <c r="CG102" i="37"/>
  <c r="CH102" i="37" s="1"/>
  <c r="CF103" i="37"/>
  <c r="CF104" i="37"/>
  <c r="CF59" i="39" s="1"/>
  <c r="CK77" i="37"/>
  <c r="CK103" i="39" s="1"/>
  <c r="CK110" i="39" s="1"/>
  <c r="CK69" i="37"/>
  <c r="CK78" i="37"/>
  <c r="CK80" i="37"/>
  <c r="CK70" i="37"/>
  <c r="CB61" i="37"/>
  <c r="CB68" i="37"/>
  <c r="CB60" i="37"/>
  <c r="CF109" i="39"/>
  <c r="CG313" i="39"/>
  <c r="CG155" i="39" s="1"/>
  <c r="CE7" i="36"/>
  <c r="CE7" i="38"/>
  <c r="CE7" i="40"/>
  <c r="CE7" i="39"/>
  <c r="CI270" i="39"/>
  <c r="CJ268" i="39" s="1"/>
  <c r="CG235" i="39"/>
  <c r="CG138" i="39" s="1"/>
  <c r="Q138" i="39" s="1"/>
  <c r="CH318" i="39"/>
  <c r="CH320" i="39" s="1"/>
  <c r="CH146" i="39"/>
  <c r="CI285" i="39"/>
  <c r="CJ283" i="39" s="1"/>
  <c r="R163" i="39"/>
  <c r="S163" i="39" s="1"/>
  <c r="CF78" i="37"/>
  <c r="CG156" i="39"/>
  <c r="Q156" i="39" s="1"/>
  <c r="CG128" i="39"/>
  <c r="CG190" i="39"/>
  <c r="BL103" i="37"/>
  <c r="CI257" i="36"/>
  <c r="CJ256" i="36"/>
  <c r="CL84" i="37"/>
  <c r="CL86" i="37"/>
  <c r="CL83" i="37"/>
  <c r="CL88" i="37"/>
  <c r="CL82" i="37"/>
  <c r="CL81" i="37"/>
  <c r="CL119" i="37"/>
  <c r="CH149" i="39"/>
  <c r="S94" i="40"/>
  <c r="S122" i="40"/>
  <c r="S78" i="37"/>
  <c r="S71" i="37"/>
  <c r="S77" i="37"/>
  <c r="S80" i="37"/>
  <c r="S70" i="37"/>
  <c r="CJ70" i="37"/>
  <c r="CJ80" i="37"/>
  <c r="CJ78" i="37"/>
  <c r="CJ77" i="37"/>
  <c r="CJ103" i="39" s="1"/>
  <c r="CB78" i="37"/>
  <c r="CH84" i="37"/>
  <c r="CH6" i="37" s="1"/>
  <c r="CH86" i="37"/>
  <c r="CH83" i="37"/>
  <c r="CH88" i="37"/>
  <c r="CH119" i="37"/>
  <c r="CC78" i="37"/>
  <c r="CG103" i="37"/>
  <c r="CG104" i="37" s="1"/>
  <c r="CG59" i="39" s="1"/>
  <c r="CK83" i="37"/>
  <c r="CK82" i="37"/>
  <c r="CK84" i="37"/>
  <c r="CK86" i="37"/>
  <c r="CK88" i="37"/>
  <c r="CK119" i="37"/>
  <c r="CH132" i="39"/>
  <c r="BI163" i="39"/>
  <c r="BH165" i="39"/>
  <c r="BH166" i="39" s="1"/>
  <c r="CG77" i="37"/>
  <c r="CG103" i="39" s="1"/>
  <c r="CG69" i="37"/>
  <c r="CG78" i="37"/>
  <c r="CG80" i="37"/>
  <c r="CK81" i="37" s="1"/>
  <c r="CG70" i="37"/>
  <c r="CJ88" i="37"/>
  <c r="CJ83" i="37"/>
  <c r="CJ86" i="37"/>
  <c r="CJ84" i="37"/>
  <c r="CL89" i="37"/>
  <c r="CG83" i="37"/>
  <c r="CG84" i="37"/>
  <c r="CG86" i="37"/>
  <c r="CG88" i="37"/>
  <c r="CK89" i="37" s="1"/>
  <c r="CG119" i="37"/>
  <c r="BJ163" i="39"/>
  <c r="CK87" i="37"/>
  <c r="CH82" i="37"/>
  <c r="S87" i="40"/>
  <c r="S103" i="39"/>
  <c r="S101" i="39" s="1"/>
  <c r="CK256" i="36"/>
  <c r="CJ257" i="36"/>
  <c r="CK85" i="37"/>
  <c r="CK6" i="37"/>
  <c r="S73" i="37"/>
  <c r="CH188" i="39"/>
  <c r="Q190" i="39"/>
  <c r="CG315" i="39"/>
  <c r="Q315" i="39" s="1"/>
  <c r="R313" i="39" s="1"/>
  <c r="S83" i="37"/>
  <c r="S119" i="37"/>
  <c r="CL6" i="37"/>
  <c r="Q128" i="39"/>
  <c r="CI149" i="39"/>
  <c r="Q235" i="39"/>
  <c r="CH233" i="39"/>
  <c r="CH235" i="39"/>
  <c r="CL6" i="36"/>
  <c r="CL6" i="38"/>
  <c r="CL6" i="40"/>
  <c r="CH313" i="39"/>
  <c r="CH315" i="39" s="1"/>
  <c r="CI313" i="39" s="1"/>
  <c r="R233" i="39"/>
  <c r="BK163" i="39"/>
  <c r="CG6" i="37"/>
  <c r="CH190" i="39"/>
  <c r="CK6" i="38"/>
  <c r="CK6" i="40"/>
  <c r="CK6" i="39"/>
  <c r="CK6" i="36"/>
  <c r="CK7" i="37"/>
  <c r="CK7" i="38" s="1"/>
  <c r="CJ6" i="37"/>
  <c r="CJ6" i="39" s="1"/>
  <c r="CL256" i="36"/>
  <c r="CL257" i="36" s="1"/>
  <c r="CK257" i="36"/>
  <c r="CI188" i="39"/>
  <c r="CJ6" i="38"/>
  <c r="CK7" i="40"/>
  <c r="CK7" i="39"/>
  <c r="CH128" i="39"/>
  <c r="R128" i="39" s="1"/>
  <c r="CG6" i="38"/>
  <c r="CG6" i="36"/>
  <c r="CG6" i="40"/>
  <c r="CG6" i="39"/>
  <c r="CI233" i="39"/>
  <c r="BL163" i="39"/>
  <c r="CH138" i="39"/>
  <c r="R138" i="39" s="1"/>
  <c r="CI235" i="39"/>
  <c r="CI138" i="39"/>
  <c r="CI128" i="39"/>
  <c r="CI190" i="39"/>
  <c r="BM163" i="39"/>
  <c r="BL165" i="39"/>
  <c r="CJ188" i="39"/>
  <c r="B28" i="67"/>
  <c r="BN163" i="39"/>
  <c r="CJ233" i="39"/>
  <c r="BO163" i="39"/>
  <c r="CJ128" i="39"/>
  <c r="CJ189" i="39"/>
  <c r="CJ138" i="39"/>
  <c r="CJ235" i="39"/>
  <c r="CK233" i="39"/>
  <c r="R189" i="39"/>
  <c r="R198" i="39" s="1"/>
  <c r="CJ198" i="39"/>
  <c r="BP163" i="39"/>
  <c r="BQ163" i="39"/>
  <c r="CK235" i="39"/>
  <c r="CL233" i="39"/>
  <c r="R235" i="39"/>
  <c r="BR163" i="39"/>
  <c r="CK138" i="39"/>
  <c r="CL235" i="39"/>
  <c r="Z5" i="61"/>
  <c r="Z29" i="61"/>
  <c r="Z86" i="61"/>
  <c r="Z32" i="61"/>
  <c r="Y59" i="61"/>
  <c r="K11" i="54"/>
  <c r="K100" i="54" s="1"/>
  <c r="Z3" i="61"/>
  <c r="O82" i="61"/>
  <c r="K59" i="61"/>
  <c r="S59" i="61"/>
  <c r="G83" i="61"/>
  <c r="O83" i="61"/>
  <c r="W83" i="61"/>
  <c r="O30" i="61"/>
  <c r="Z58" i="61"/>
  <c r="G59" i="61"/>
  <c r="O59" i="61"/>
  <c r="W59" i="61"/>
  <c r="E29" i="61"/>
  <c r="N83" i="61"/>
  <c r="F28" i="61"/>
  <c r="P86" i="61"/>
  <c r="W58" i="61"/>
  <c r="S58" i="61"/>
  <c r="F83" i="61"/>
  <c r="V83" i="61"/>
  <c r="J83" i="61"/>
  <c r="F85" i="61"/>
  <c r="Z83" i="61"/>
  <c r="D28" i="61"/>
  <c r="D85" i="61"/>
  <c r="H86" i="61"/>
  <c r="R29" i="61"/>
  <c r="R86" i="61"/>
  <c r="R28" i="61"/>
  <c r="X31" i="61"/>
  <c r="J30" i="61"/>
  <c r="D86" i="61"/>
  <c r="Y29" i="61"/>
  <c r="T31" i="61"/>
  <c r="Y31" i="61"/>
  <c r="Z31" i="61"/>
  <c r="Z30" i="61"/>
  <c r="W31" i="61"/>
  <c r="U30" i="61"/>
  <c r="Q29" i="61"/>
  <c r="Q86" i="61"/>
  <c r="Q85" i="61"/>
  <c r="H29" i="61"/>
  <c r="G85" i="61"/>
  <c r="Q28" i="61"/>
  <c r="G33" i="61"/>
  <c r="K29" i="61"/>
  <c r="O86" i="61"/>
  <c r="K28" i="61"/>
  <c r="K85" i="61"/>
  <c r="O28" i="61"/>
  <c r="C8" i="60"/>
  <c r="D33" i="61"/>
  <c r="H30" i="61"/>
  <c r="Q33" i="61"/>
  <c r="E33" i="61"/>
  <c r="M86" i="61"/>
  <c r="M29" i="61"/>
  <c r="E30" i="61"/>
  <c r="J28" i="61"/>
  <c r="J85" i="61"/>
  <c r="W30" i="61"/>
  <c r="D59" i="61"/>
  <c r="V27" i="61"/>
  <c r="AD57" i="61"/>
  <c r="U158" i="61"/>
  <c r="Q158" i="61"/>
  <c r="O85" i="61"/>
  <c r="X28" i="61"/>
  <c r="X85" i="61"/>
  <c r="R33" i="61"/>
  <c r="J86" i="61"/>
  <c r="J29" i="61"/>
  <c r="R32" i="61"/>
  <c r="Y30" i="61"/>
  <c r="X30" i="61"/>
  <c r="S28" i="61"/>
  <c r="S85" i="61"/>
  <c r="T30" i="61"/>
  <c r="U28" i="61"/>
  <c r="U85" i="61"/>
  <c r="V30" i="61"/>
  <c r="S30" i="61"/>
  <c r="T28" i="61"/>
  <c r="T85" i="61"/>
  <c r="J33" i="61"/>
  <c r="S33" i="61"/>
  <c r="E32" i="61"/>
  <c r="D32" i="61"/>
  <c r="L30" i="61"/>
  <c r="N28" i="61"/>
  <c r="N85" i="61"/>
  <c r="K30" i="61"/>
  <c r="I28" i="61"/>
  <c r="I85" i="61"/>
  <c r="M28" i="61"/>
  <c r="Q34" i="61"/>
  <c r="M85" i="61"/>
  <c r="J32" i="61"/>
  <c r="I100" i="54" l="1"/>
  <c r="BE28" i="37"/>
  <c r="BT20" i="38"/>
  <c r="BP20" i="38"/>
  <c r="BL20" i="38"/>
  <c r="BW98" i="37"/>
  <c r="BU56" i="37"/>
  <c r="BW60" i="36"/>
  <c r="BX20" i="38"/>
  <c r="CF32" i="38"/>
  <c r="CF27" i="38"/>
  <c r="CF29" i="38" s="1"/>
  <c r="CE20" i="38"/>
  <c r="CE18" i="38"/>
  <c r="BX70" i="39"/>
  <c r="BX45" i="37"/>
  <c r="BX71" i="39"/>
  <c r="BX47" i="37"/>
  <c r="BX72" i="39"/>
  <c r="CB45" i="37"/>
  <c r="CA74" i="39"/>
  <c r="BX73" i="39"/>
  <c r="BX46" i="37"/>
  <c r="CE32" i="38"/>
  <c r="CE27" i="38"/>
  <c r="CE29" i="38" s="1"/>
  <c r="CB27" i="38"/>
  <c r="CA32" i="38"/>
  <c r="CB32" i="38"/>
  <c r="CL18" i="38"/>
  <c r="CL20" i="38"/>
  <c r="CD20" i="38"/>
  <c r="CD18" i="38"/>
  <c r="CC31" i="38"/>
  <c r="P23" i="38"/>
  <c r="P25" i="38" s="1"/>
  <c r="BT32" i="38"/>
  <c r="BT48" i="38" s="1"/>
  <c r="BT27" i="38"/>
  <c r="BT29" i="38" s="1"/>
  <c r="BS32" i="38"/>
  <c r="BS34" i="38" s="1"/>
  <c r="BM32" i="38"/>
  <c r="BL29" i="38"/>
  <c r="BL45" i="38" s="1"/>
  <c r="BM27" i="38"/>
  <c r="BL32" i="38"/>
  <c r="CJ110" i="39"/>
  <c r="CJ108" i="39" s="1"/>
  <c r="CJ101" i="39"/>
  <c r="L59" i="39"/>
  <c r="S44" i="37"/>
  <c r="S43" i="37"/>
  <c r="S42" i="37"/>
  <c r="CI29" i="38"/>
  <c r="CI32" i="38"/>
  <c r="CJ32" i="38"/>
  <c r="CJ27" i="38"/>
  <c r="CJ29" i="38" s="1"/>
  <c r="CC32" i="38"/>
  <c r="CB29" i="38"/>
  <c r="CC27" i="38"/>
  <c r="BW32" i="38"/>
  <c r="BW44" i="38" s="1"/>
  <c r="BW27" i="38"/>
  <c r="BW29" i="38" s="1"/>
  <c r="BP27" i="38"/>
  <c r="BP29" i="38" s="1"/>
  <c r="BO29" i="38"/>
  <c r="BO45" i="38" s="1"/>
  <c r="BP32" i="38"/>
  <c r="BO32" i="38"/>
  <c r="BO34" i="38" s="1"/>
  <c r="CF69" i="37"/>
  <c r="K110" i="37"/>
  <c r="BV54" i="37"/>
  <c r="BU39" i="37"/>
  <c r="BV24" i="37"/>
  <c r="BO20" i="38"/>
  <c r="BK20" i="38"/>
  <c r="BW34" i="38"/>
  <c r="BT34" i="38"/>
  <c r="CJ53" i="37"/>
  <c r="BU24" i="37"/>
  <c r="BU23" i="38"/>
  <c r="BZ18" i="38"/>
  <c r="CK7" i="36"/>
  <c r="CJ243" i="36"/>
  <c r="BP47" i="38"/>
  <c r="CA29" i="38"/>
  <c r="BW42" i="37"/>
  <c r="S90" i="40"/>
  <c r="CL87" i="37"/>
  <c r="CK243" i="36"/>
  <c r="BP34" i="38"/>
  <c r="BS29" i="38"/>
  <c r="X82" i="2"/>
  <c r="X89" i="2" s="1"/>
  <c r="X121" i="2" s="1"/>
  <c r="Q55" i="37"/>
  <c r="BR42" i="37"/>
  <c r="BR39" i="37"/>
  <c r="CC121" i="39"/>
  <c r="BM44" i="38"/>
  <c r="BL72" i="39"/>
  <c r="BL47" i="37"/>
  <c r="BL70" i="39"/>
  <c r="BC98" i="37"/>
  <c r="BR63" i="37"/>
  <c r="BK33" i="37"/>
  <c r="BC20" i="37"/>
  <c r="M34" i="37"/>
  <c r="M32" i="37" s="1"/>
  <c r="I34" i="37"/>
  <c r="I28" i="37" s="1"/>
  <c r="BV10" i="37"/>
  <c r="BB12" i="37"/>
  <c r="BT47" i="38"/>
  <c r="BV18" i="37"/>
  <c r="BV83" i="38"/>
  <c r="BZ78" i="38"/>
  <c r="P68" i="38"/>
  <c r="BL39" i="38"/>
  <c r="BM100" i="37"/>
  <c r="BS98" i="37"/>
  <c r="BF57" i="37"/>
  <c r="BK31" i="37"/>
  <c r="K43" i="54"/>
  <c r="D35" i="54"/>
  <c r="N53" i="54"/>
  <c r="L52" i="54"/>
  <c r="L70" i="54"/>
  <c r="H17" i="54"/>
  <c r="E53" i="54"/>
  <c r="C52" i="54"/>
  <c r="H80" i="54"/>
  <c r="H79" i="54" s="1"/>
  <c r="H82" i="54" s="1"/>
  <c r="H83" i="54" s="1"/>
  <c r="I16" i="54"/>
  <c r="I34" i="54"/>
  <c r="M80" i="54"/>
  <c r="M79" i="54" s="1"/>
  <c r="M82" i="54" s="1"/>
  <c r="M83" i="54" s="1"/>
  <c r="F17" i="54"/>
  <c r="D16" i="54"/>
  <c r="F35" i="54"/>
  <c r="K35" i="54"/>
  <c r="G80" i="54"/>
  <c r="G79" i="54" s="1"/>
  <c r="G82" i="54" s="1"/>
  <c r="G83" i="54" s="1"/>
  <c r="M17" i="54"/>
  <c r="K16" i="54"/>
  <c r="M35" i="54"/>
  <c r="G34" i="54"/>
  <c r="M44" i="54"/>
  <c r="D44" i="54"/>
  <c r="I43" i="54"/>
  <c r="F44" i="54"/>
  <c r="F100" i="54"/>
  <c r="F80" i="54"/>
  <c r="F79" i="54" s="1"/>
  <c r="F82" i="54" s="1"/>
  <c r="F83" i="54" s="1"/>
  <c r="L80" i="54"/>
  <c r="L79" i="54" s="1"/>
  <c r="L82" i="54" s="1"/>
  <c r="L83" i="54" s="1"/>
  <c r="K80" i="54"/>
  <c r="K79" i="54" s="1"/>
  <c r="K82" i="54" s="1"/>
  <c r="K83" i="54" s="1"/>
  <c r="N80" i="54"/>
  <c r="N79" i="54" s="1"/>
  <c r="N82" i="54" s="1"/>
  <c r="N83" i="54" s="1"/>
  <c r="I80" i="54"/>
  <c r="I79" i="54" s="1"/>
  <c r="I82" i="54" s="1"/>
  <c r="I83" i="54" s="1"/>
  <c r="D80" i="54"/>
  <c r="D79" i="54" s="1"/>
  <c r="D82" i="54" s="1"/>
  <c r="D83" i="54" s="1"/>
  <c r="C80" i="54"/>
  <c r="C79" i="54" s="1"/>
  <c r="C82" i="54" s="1"/>
  <c r="C83" i="54" s="1"/>
  <c r="J80" i="54"/>
  <c r="J79" i="54" s="1"/>
  <c r="J82" i="54" s="1"/>
  <c r="J83" i="54" s="1"/>
  <c r="E80" i="54"/>
  <c r="E79" i="54" s="1"/>
  <c r="E82" i="54" s="1"/>
  <c r="E83" i="54" s="1"/>
  <c r="G12" i="60"/>
  <c r="N70" i="54"/>
  <c r="G71" i="54"/>
  <c r="G73" i="54" s="1"/>
  <c r="G74" i="54" s="1"/>
  <c r="I71" i="54"/>
  <c r="C70" i="54"/>
  <c r="E70" i="54"/>
  <c r="G26" i="54"/>
  <c r="G28" i="54" s="1"/>
  <c r="G29" i="54" s="1"/>
  <c r="N26" i="54"/>
  <c r="L25" i="54"/>
  <c r="I26" i="54"/>
  <c r="C25" i="54"/>
  <c r="E25" i="54"/>
  <c r="E62" i="54"/>
  <c r="J44" i="54"/>
  <c r="F43" i="54"/>
  <c r="M43" i="54"/>
  <c r="H44" i="54"/>
  <c r="D43" i="54"/>
  <c r="C44" i="54"/>
  <c r="C46" i="54" s="1"/>
  <c r="C47" i="54" s="1"/>
  <c r="F61" i="54"/>
  <c r="C62" i="54"/>
  <c r="N43" i="54"/>
  <c r="I44" i="54"/>
  <c r="E43" i="54"/>
  <c r="L43" i="54"/>
  <c r="K44" i="54"/>
  <c r="K46" i="54" s="1"/>
  <c r="K47" i="54" s="1"/>
  <c r="G43" i="54"/>
  <c r="L62" i="54"/>
  <c r="N44" i="54"/>
  <c r="J43" i="54"/>
  <c r="J46" i="54" s="1"/>
  <c r="J47" i="54" s="1"/>
  <c r="E44" i="54"/>
  <c r="L44" i="54"/>
  <c r="H43" i="54"/>
  <c r="H46" i="54" s="1"/>
  <c r="H47" i="54" s="1"/>
  <c r="G44" i="54"/>
  <c r="J62" i="54"/>
  <c r="H61" i="54"/>
  <c r="J17" i="54"/>
  <c r="F16" i="54"/>
  <c r="F19" i="54" s="1"/>
  <c r="F20" i="54" s="1"/>
  <c r="M16" i="54"/>
  <c r="M19" i="54" s="1"/>
  <c r="M20" i="54" s="1"/>
  <c r="L17" i="54"/>
  <c r="H16" i="54"/>
  <c r="C17" i="54"/>
  <c r="C19" i="54" s="1"/>
  <c r="C20" i="54" s="1"/>
  <c r="C91" i="54" s="1"/>
  <c r="C115" i="54" s="1"/>
  <c r="J35" i="54"/>
  <c r="F34" i="54"/>
  <c r="F37" i="54" s="1"/>
  <c r="F38" i="54" s="1"/>
  <c r="M34" i="54"/>
  <c r="M37" i="54" s="1"/>
  <c r="M38" i="54" s="1"/>
  <c r="H35" i="54"/>
  <c r="D34" i="54"/>
  <c r="D37" i="54" s="1"/>
  <c r="D38" i="54" s="1"/>
  <c r="K34" i="54"/>
  <c r="N62" i="54"/>
  <c r="J61" i="54"/>
  <c r="I62" i="54"/>
  <c r="E61" i="54"/>
  <c r="L61" i="54"/>
  <c r="G62" i="54"/>
  <c r="G64" i="54" s="1"/>
  <c r="G65" i="54" s="1"/>
  <c r="C61" i="54"/>
  <c r="G55" i="54"/>
  <c r="G56" i="54" s="1"/>
  <c r="N16" i="54"/>
  <c r="I17" i="54"/>
  <c r="E16" i="54"/>
  <c r="D17" i="54"/>
  <c r="K17" i="54"/>
  <c r="G16" i="54"/>
  <c r="E100" i="54"/>
  <c r="N34" i="54"/>
  <c r="I35" i="54"/>
  <c r="E34" i="54"/>
  <c r="L34" i="54"/>
  <c r="G35" i="54"/>
  <c r="C34" i="54"/>
  <c r="C37" i="54" s="1"/>
  <c r="C38" i="54" s="1"/>
  <c r="F62" i="54"/>
  <c r="H100" i="54"/>
  <c r="M61" i="54"/>
  <c r="H62" i="54"/>
  <c r="D61" i="54"/>
  <c r="K61" i="54"/>
  <c r="N17" i="54"/>
  <c r="J16" i="54"/>
  <c r="E17" i="54"/>
  <c r="C100" i="54"/>
  <c r="L16" i="54"/>
  <c r="G17" i="54"/>
  <c r="N35" i="54"/>
  <c r="J34" i="54"/>
  <c r="E35" i="54"/>
  <c r="L35" i="54"/>
  <c r="H34" i="54"/>
  <c r="N61" i="54"/>
  <c r="M62" i="54"/>
  <c r="I61" i="54"/>
  <c r="D62" i="54"/>
  <c r="K62" i="54"/>
  <c r="J26" i="54"/>
  <c r="J28" i="54" s="1"/>
  <c r="J29" i="54" s="1"/>
  <c r="F25" i="54"/>
  <c r="E26" i="54"/>
  <c r="L26" i="54"/>
  <c r="H25" i="54"/>
  <c r="C26" i="54"/>
  <c r="J53" i="54"/>
  <c r="J55" i="54" s="1"/>
  <c r="J56" i="54" s="1"/>
  <c r="F52" i="54"/>
  <c r="M52" i="54"/>
  <c r="L53" i="54"/>
  <c r="L55" i="54" s="1"/>
  <c r="L56" i="54" s="1"/>
  <c r="H52" i="54"/>
  <c r="C53" i="54"/>
  <c r="N71" i="54"/>
  <c r="J70" i="54"/>
  <c r="E71" i="54"/>
  <c r="L71" i="54"/>
  <c r="H70" i="54"/>
  <c r="C71" i="54"/>
  <c r="F26" i="54"/>
  <c r="D100" i="54"/>
  <c r="M25" i="54"/>
  <c r="H26" i="54"/>
  <c r="D25" i="54"/>
  <c r="K25" i="54"/>
  <c r="F53" i="54"/>
  <c r="M53" i="54"/>
  <c r="I52" i="54"/>
  <c r="H53" i="54"/>
  <c r="D52" i="54"/>
  <c r="K52" i="54"/>
  <c r="J71" i="54"/>
  <c r="F70" i="54"/>
  <c r="M70" i="54"/>
  <c r="H71" i="54"/>
  <c r="D70" i="54"/>
  <c r="K70" i="54"/>
  <c r="N25" i="54"/>
  <c r="N28" i="54" s="1"/>
  <c r="N29" i="54" s="1"/>
  <c r="M26" i="54"/>
  <c r="I25" i="54"/>
  <c r="D26" i="54"/>
  <c r="K26" i="54"/>
  <c r="N52" i="54"/>
  <c r="I53" i="54"/>
  <c r="E52" i="54"/>
  <c r="D53" i="54"/>
  <c r="K53" i="54"/>
  <c r="F71" i="54"/>
  <c r="M71" i="54"/>
  <c r="I70" i="54"/>
  <c r="I73" i="54" s="1"/>
  <c r="I74" i="54" s="1"/>
  <c r="D71" i="54"/>
  <c r="K71" i="54"/>
  <c r="R35" i="61"/>
  <c r="AC60" i="61"/>
  <c r="M20" i="37"/>
  <c r="M16" i="37"/>
  <c r="M21" i="36"/>
  <c r="M28" i="37"/>
  <c r="M24" i="37"/>
  <c r="M69" i="39"/>
  <c r="M12" i="37"/>
  <c r="P59" i="3"/>
  <c r="P61" i="3"/>
  <c r="P62" i="3" s="1"/>
  <c r="P79" i="3"/>
  <c r="P90" i="3" s="1"/>
  <c r="P105" i="3" s="1"/>
  <c r="BG121" i="39"/>
  <c r="BG165" i="39"/>
  <c r="BG166" i="39" s="1"/>
  <c r="BL35" i="38"/>
  <c r="BD79" i="38"/>
  <c r="BV16" i="37"/>
  <c r="BT121" i="39"/>
  <c r="BT44" i="38"/>
  <c r="BV73" i="38"/>
  <c r="BS83" i="38"/>
  <c r="BD58" i="38"/>
  <c r="BP58" i="38"/>
  <c r="BU28" i="37"/>
  <c r="BO33" i="37"/>
  <c r="BH37" i="37"/>
  <c r="BD57" i="37"/>
  <c r="BV14" i="37"/>
  <c r="BE27" i="37"/>
  <c r="BG82" i="39"/>
  <c r="BG19" i="37"/>
  <c r="BK20" i="37"/>
  <c r="BO18" i="37"/>
  <c r="BH32" i="37"/>
  <c r="BD19" i="37"/>
  <c r="BT19" i="37"/>
  <c r="K41" i="37"/>
  <c r="K42" i="37" s="1"/>
  <c r="BP43" i="37"/>
  <c r="BL46" i="37"/>
  <c r="BL71" i="39"/>
  <c r="BS11" i="37"/>
  <c r="BL50" i="37"/>
  <c r="BL87" i="39"/>
  <c r="BH64" i="37"/>
  <c r="BI22" i="37"/>
  <c r="BU22" i="37"/>
  <c r="BK98" i="37"/>
  <c r="BU97" i="37"/>
  <c r="BL98" i="37"/>
  <c r="BP67" i="37"/>
  <c r="BD67" i="37"/>
  <c r="BK64" i="37"/>
  <c r="BG63" i="37"/>
  <c r="BH54" i="37"/>
  <c r="BH40" i="37"/>
  <c r="BH36" i="37"/>
  <c r="BO31" i="37"/>
  <c r="BW27" i="37"/>
  <c r="BS27" i="37"/>
  <c r="BK27" i="37"/>
  <c r="BB28" i="37"/>
  <c r="BJ10" i="37"/>
  <c r="BW61" i="36"/>
  <c r="BW62" i="36" s="1"/>
  <c r="CB57" i="38"/>
  <c r="BR59" i="38"/>
  <c r="BB59" i="38"/>
  <c r="BK103" i="37"/>
  <c r="BL47" i="38"/>
  <c r="BV12" i="37"/>
  <c r="BT33" i="37"/>
  <c r="BT36" i="37"/>
  <c r="BT46" i="38"/>
  <c r="BS81" i="38"/>
  <c r="BH58" i="38"/>
  <c r="BG33" i="37"/>
  <c r="BP37" i="37"/>
  <c r="BS92" i="37"/>
  <c r="BM27" i="37"/>
  <c r="BO82" i="39"/>
  <c r="BU68" i="37"/>
  <c r="BC19" i="37"/>
  <c r="BO19" i="37"/>
  <c r="BS20" i="37"/>
  <c r="BP32" i="37"/>
  <c r="BJ12" i="37"/>
  <c r="J18" i="37"/>
  <c r="BL19" i="37"/>
  <c r="BL43" i="37"/>
  <c r="BL73" i="39"/>
  <c r="BO74" i="39"/>
  <c r="BL102" i="39"/>
  <c r="BL109" i="39" s="1"/>
  <c r="BL94" i="39"/>
  <c r="BM24" i="37"/>
  <c r="BU23" i="37"/>
  <c r="BS76" i="37"/>
  <c r="BU57" i="37"/>
  <c r="BL54" i="37"/>
  <c r="BH44" i="37"/>
  <c r="BJ42" i="37"/>
  <c r="J44" i="37"/>
  <c r="J71" i="39" s="1"/>
  <c r="BL35" i="37"/>
  <c r="BK32" i="37"/>
  <c r="BS72" i="38"/>
  <c r="BL79" i="38"/>
  <c r="BO120" i="39"/>
  <c r="BS121" i="39" s="1"/>
  <c r="BQ27" i="37"/>
  <c r="BO20" i="37"/>
  <c r="BX31" i="37"/>
  <c r="BF43" i="37"/>
  <c r="BN43" i="37"/>
  <c r="M38" i="37"/>
  <c r="BN12" i="37"/>
  <c r="N18" i="37"/>
  <c r="BH43" i="37"/>
  <c r="BL58" i="37"/>
  <c r="BO98" i="37"/>
  <c r="BR76" i="37"/>
  <c r="BR66" i="37"/>
  <c r="BO64" i="37"/>
  <c r="BO63" i="37"/>
  <c r="BY56" i="37"/>
  <c r="BF44" i="37"/>
  <c r="BF70" i="39" s="1"/>
  <c r="BD43" i="37"/>
  <c r="BL40" i="37"/>
  <c r="BL36" i="37"/>
  <c r="BH35" i="37"/>
  <c r="N55" i="37"/>
  <c r="BT56" i="37"/>
  <c r="BT58" i="37"/>
  <c r="BT57" i="37"/>
  <c r="BG69" i="38"/>
  <c r="BG83" i="38"/>
  <c r="BK85" i="38" s="1"/>
  <c r="BG81" i="38"/>
  <c r="BG62" i="38"/>
  <c r="BG78" i="38"/>
  <c r="BG79" i="38"/>
  <c r="BG77" i="38"/>
  <c r="BK78" i="38"/>
  <c r="BX46" i="38"/>
  <c r="BX48" i="38"/>
  <c r="BX39" i="38"/>
  <c r="BX47" i="38" s="1"/>
  <c r="BX44" i="38"/>
  <c r="BK13" i="38"/>
  <c r="BG14" i="38"/>
  <c r="BM94" i="37"/>
  <c r="BN94" i="37"/>
  <c r="BM120" i="39"/>
  <c r="BM64" i="37"/>
  <c r="L62" i="37"/>
  <c r="BM82" i="39"/>
  <c r="BE120" i="39"/>
  <c r="BE64" i="37"/>
  <c r="BN53" i="37"/>
  <c r="BN54" i="37"/>
  <c r="BR23" i="37"/>
  <c r="BS23" i="37"/>
  <c r="BG23" i="37"/>
  <c r="BF22" i="37"/>
  <c r="BC23" i="37"/>
  <c r="BB24" i="37"/>
  <c r="BU11" i="37"/>
  <c r="BU12" i="37"/>
  <c r="BU10" i="37"/>
  <c r="BN11" i="37"/>
  <c r="BM10" i="37"/>
  <c r="CG60" i="36"/>
  <c r="CF60" i="36"/>
  <c r="CB59" i="36"/>
  <c r="CC59" i="36"/>
  <c r="CC61" i="36" s="1"/>
  <c r="CC62" i="36" s="1"/>
  <c r="BP14" i="38"/>
  <c r="M12" i="38"/>
  <c r="BY10" i="38"/>
  <c r="BY52" i="37"/>
  <c r="CC53" i="37" s="1"/>
  <c r="O9" i="38"/>
  <c r="P10" i="38" s="1"/>
  <c r="L9" i="38"/>
  <c r="BJ38" i="38"/>
  <c r="BP166" i="39"/>
  <c r="BT14" i="38"/>
  <c r="P57" i="38"/>
  <c r="BD121" i="39"/>
  <c r="BH121" i="39"/>
  <c r="T61" i="3"/>
  <c r="T62" i="3" s="1"/>
  <c r="T79" i="3"/>
  <c r="T90" i="3" s="1"/>
  <c r="T105" i="3" s="1"/>
  <c r="Q79" i="3"/>
  <c r="Q90" i="3" s="1"/>
  <c r="Q105" i="3" s="1"/>
  <c r="Q61" i="3"/>
  <c r="Q62" i="3" s="1"/>
  <c r="Q59" i="3"/>
  <c r="M61" i="3"/>
  <c r="M62" i="3" s="1"/>
  <c r="M79" i="3"/>
  <c r="M90" i="3" s="1"/>
  <c r="M105" i="3" s="1"/>
  <c r="BB57" i="37"/>
  <c r="BB12" i="38"/>
  <c r="BF13" i="38" s="1"/>
  <c r="BG53" i="37"/>
  <c r="BC54" i="37"/>
  <c r="BQ69" i="39"/>
  <c r="BU35" i="37"/>
  <c r="BQ24" i="37"/>
  <c r="BQ28" i="37"/>
  <c r="BM69" i="39"/>
  <c r="BM28" i="37"/>
  <c r="BM35" i="37"/>
  <c r="BI57" i="37"/>
  <c r="BI67" i="37"/>
  <c r="K34" i="37"/>
  <c r="BI35" i="37"/>
  <c r="BI37" i="37"/>
  <c r="BI24" i="37"/>
  <c r="BI16" i="37"/>
  <c r="BI28" i="37"/>
  <c r="BE54" i="37"/>
  <c r="BE67" i="37"/>
  <c r="BE69" i="39"/>
  <c r="BF37" i="37"/>
  <c r="BE24" i="37"/>
  <c r="BE16" i="37"/>
  <c r="BT31" i="37"/>
  <c r="BU31" i="37"/>
  <c r="BT30" i="37"/>
  <c r="BQ31" i="37"/>
  <c r="BP31" i="37"/>
  <c r="BP30" i="37"/>
  <c r="BP33" i="37"/>
  <c r="BL31" i="37"/>
  <c r="BM31" i="37"/>
  <c r="BL30" i="37"/>
  <c r="BL33" i="37"/>
  <c r="BH31" i="37"/>
  <c r="BH30" i="37"/>
  <c r="BH33" i="37"/>
  <c r="BD32" i="37"/>
  <c r="BE31" i="37"/>
  <c r="BD31" i="37"/>
  <c r="O30" i="37"/>
  <c r="N30" i="37"/>
  <c r="K30" i="37"/>
  <c r="J30" i="37"/>
  <c r="J34" i="37"/>
  <c r="BU18" i="37"/>
  <c r="BU20" i="37"/>
  <c r="BU19" i="37"/>
  <c r="BQ20" i="37"/>
  <c r="BQ19" i="37"/>
  <c r="BQ18" i="37"/>
  <c r="BR19" i="37"/>
  <c r="BN19" i="37"/>
  <c r="BM20" i="37"/>
  <c r="BM19" i="37"/>
  <c r="BM18" i="37"/>
  <c r="BI18" i="37"/>
  <c r="BJ19" i="37"/>
  <c r="BE20" i="37"/>
  <c r="BE19" i="37"/>
  <c r="K20" i="37"/>
  <c r="L18" i="37"/>
  <c r="J49" i="39"/>
  <c r="BE55" i="39"/>
  <c r="J55" i="39" s="1"/>
  <c r="BX72" i="38"/>
  <c r="BX81" i="38"/>
  <c r="BX78" i="38"/>
  <c r="BX83" i="38"/>
  <c r="BX77" i="38"/>
  <c r="J96" i="37"/>
  <c r="J98" i="37" s="1"/>
  <c r="BE98" i="37"/>
  <c r="K62" i="37"/>
  <c r="BI124" i="40"/>
  <c r="BI120" i="39"/>
  <c r="BI82" i="39"/>
  <c r="BI63" i="37"/>
  <c r="BI56" i="37"/>
  <c r="BE12" i="38"/>
  <c r="BF53" i="37"/>
  <c r="K52" i="37"/>
  <c r="BN27" i="37"/>
  <c r="BO27" i="37"/>
  <c r="BN28" i="37"/>
  <c r="BN26" i="37"/>
  <c r="BG27" i="37"/>
  <c r="BF27" i="37"/>
  <c r="BF28" i="37"/>
  <c r="BN23" i="37"/>
  <c r="BN24" i="37"/>
  <c r="BN22" i="37"/>
  <c r="BQ10" i="37"/>
  <c r="BR11" i="37"/>
  <c r="BQ11" i="37"/>
  <c r="BI10" i="37"/>
  <c r="BJ11" i="37"/>
  <c r="BI11" i="37"/>
  <c r="K12" i="37"/>
  <c r="L10" i="37"/>
  <c r="O12" i="38"/>
  <c r="BX13" i="38"/>
  <c r="BX14" i="38"/>
  <c r="CB13" i="38"/>
  <c r="BN10" i="38"/>
  <c r="BN38" i="38"/>
  <c r="M9" i="38"/>
  <c r="M52" i="37" s="1"/>
  <c r="M54" i="37" s="1"/>
  <c r="BO165" i="39"/>
  <c r="BG72" i="38"/>
  <c r="BK74" i="38" s="1"/>
  <c r="BO18" i="38"/>
  <c r="CB105" i="39"/>
  <c r="CB112" i="39" s="1"/>
  <c r="CB77" i="39"/>
  <c r="BM11" i="37"/>
  <c r="BR22" i="37"/>
  <c r="BE124" i="40"/>
  <c r="N52" i="37"/>
  <c r="N53" i="37" s="1"/>
  <c r="L61" i="3"/>
  <c r="L62" i="3" s="1"/>
  <c r="L79" i="3"/>
  <c r="L90" i="3" s="1"/>
  <c r="L105" i="3" s="1"/>
  <c r="BT92" i="37"/>
  <c r="BP73" i="40"/>
  <c r="BP92" i="37"/>
  <c r="BP76" i="37"/>
  <c r="BT76" i="37"/>
  <c r="M75" i="37"/>
  <c r="N76" i="37" s="1"/>
  <c r="BX55" i="37"/>
  <c r="BP57" i="37"/>
  <c r="BP56" i="37"/>
  <c r="M55" i="37"/>
  <c r="BL12" i="38"/>
  <c r="BL56" i="37"/>
  <c r="L55" i="37"/>
  <c r="BH12" i="38"/>
  <c r="K55" i="37"/>
  <c r="BH57" i="37"/>
  <c r="BQ43" i="37"/>
  <c r="BU42" i="37"/>
  <c r="BQ42" i="37"/>
  <c r="BM43" i="37"/>
  <c r="BM44" i="37"/>
  <c r="L41" i="37"/>
  <c r="L42" i="37" s="1"/>
  <c r="BI44" i="37"/>
  <c r="BI42" i="37"/>
  <c r="BO44" i="37"/>
  <c r="BS39" i="37"/>
  <c r="BK40" i="37"/>
  <c r="BK39" i="37"/>
  <c r="L38" i="37"/>
  <c r="BK44" i="37"/>
  <c r="BG44" i="37"/>
  <c r="K38" i="37"/>
  <c r="BG40" i="37"/>
  <c r="J70" i="39"/>
  <c r="J74" i="39"/>
  <c r="J72" i="39"/>
  <c r="J73" i="39"/>
  <c r="BV26" i="37"/>
  <c r="BN14" i="37"/>
  <c r="BN15" i="37"/>
  <c r="BO15" i="37"/>
  <c r="BR14" i="37"/>
  <c r="BK15" i="37"/>
  <c r="BJ16" i="37"/>
  <c r="BJ14" i="37"/>
  <c r="BG15" i="37"/>
  <c r="BF16" i="37"/>
  <c r="BV11" i="37"/>
  <c r="CC47" i="39"/>
  <c r="CC76" i="39"/>
  <c r="O39" i="39"/>
  <c r="O40" i="39" s="1"/>
  <c r="O76" i="39" s="1"/>
  <c r="BY40" i="39"/>
  <c r="N39" i="39"/>
  <c r="N40" i="39" s="1"/>
  <c r="BU40" i="39"/>
  <c r="M39" i="39"/>
  <c r="M40" i="39" s="1"/>
  <c r="BQ40" i="39"/>
  <c r="L39" i="39"/>
  <c r="L40" i="39" s="1"/>
  <c r="L47" i="39" s="1"/>
  <c r="L56" i="39" s="1"/>
  <c r="L57" i="39" s="1"/>
  <c r="BM40" i="39"/>
  <c r="J39" i="39"/>
  <c r="BE40" i="39"/>
  <c r="BK61" i="40"/>
  <c r="BK62" i="40" s="1"/>
  <c r="BJ63" i="40"/>
  <c r="CB61" i="36"/>
  <c r="CB62" i="36" s="1"/>
  <c r="BH69" i="38"/>
  <c r="BL78" i="38"/>
  <c r="BH79" i="38"/>
  <c r="BH83" i="38"/>
  <c r="BH81" i="38"/>
  <c r="BH77" i="38"/>
  <c r="BH72" i="38"/>
  <c r="BH62" i="38"/>
  <c r="P70" i="38"/>
  <c r="Q71" i="38"/>
  <c r="BZ63" i="38"/>
  <c r="BZ62" i="38"/>
  <c r="K96" i="37"/>
  <c r="BI97" i="37"/>
  <c r="BQ124" i="40"/>
  <c r="BU63" i="37"/>
  <c r="BQ64" i="37"/>
  <c r="BQ63" i="37"/>
  <c r="BQ120" i="39"/>
  <c r="BV53" i="37"/>
  <c r="BZ53" i="37"/>
  <c r="BJ26" i="37"/>
  <c r="BJ28" i="37"/>
  <c r="BW23" i="37"/>
  <c r="BV22" i="37"/>
  <c r="BJ22" i="37"/>
  <c r="BK23" i="37"/>
  <c r="BY10" i="37"/>
  <c r="BY11" i="37"/>
  <c r="BP77" i="39"/>
  <c r="BO77" i="39"/>
  <c r="BW18" i="38"/>
  <c r="BW20" i="38"/>
  <c r="BU14" i="38"/>
  <c r="N12" i="38"/>
  <c r="BT13" i="38"/>
  <c r="BO85" i="38"/>
  <c r="BV28" i="37"/>
  <c r="CC10" i="38"/>
  <c r="BW47" i="38"/>
  <c r="BI64" i="37"/>
  <c r="BO23" i="37"/>
  <c r="BM63" i="37"/>
  <c r="BM124" i="40"/>
  <c r="M39" i="37"/>
  <c r="N39" i="37"/>
  <c r="M40" i="37"/>
  <c r="BX98" i="37"/>
  <c r="BL92" i="37"/>
  <c r="BO66" i="37"/>
  <c r="BO124" i="40"/>
  <c r="M65" i="37"/>
  <c r="BK67" i="37"/>
  <c r="BK66" i="37"/>
  <c r="BK124" i="40"/>
  <c r="K65" i="37"/>
  <c r="BG124" i="40"/>
  <c r="BQ44" i="37"/>
  <c r="BF46" i="37"/>
  <c r="BI74" i="39"/>
  <c r="BF47" i="37"/>
  <c r="BF72" i="39"/>
  <c r="BF73" i="39"/>
  <c r="BF71" i="39"/>
  <c r="BU16" i="37"/>
  <c r="BU15" i="37"/>
  <c r="BU14" i="37"/>
  <c r="BQ15" i="37"/>
  <c r="BQ16" i="37"/>
  <c r="BF11" i="37"/>
  <c r="BX47" i="39"/>
  <c r="BX76" i="39"/>
  <c r="BI40" i="39"/>
  <c r="BR77" i="38"/>
  <c r="BR72" i="38"/>
  <c r="BR62" i="38"/>
  <c r="BY28" i="38"/>
  <c r="BY59" i="38"/>
  <c r="BU28" i="38"/>
  <c r="BU76" i="38"/>
  <c r="N56" i="38"/>
  <c r="O57" i="38" s="1"/>
  <c r="BU58" i="38"/>
  <c r="BQ28" i="38"/>
  <c r="BQ29" i="38" s="1"/>
  <c r="BQ59" i="38"/>
  <c r="BM57" i="38"/>
  <c r="BM59" i="38"/>
  <c r="BM58" i="38"/>
  <c r="BI59" i="38"/>
  <c r="BI76" i="38"/>
  <c r="BI58" i="38"/>
  <c r="BE59" i="38"/>
  <c r="BE58" i="38"/>
  <c r="BW46" i="38"/>
  <c r="BW48" i="38"/>
  <c r="BO48" i="38"/>
  <c r="BO46" i="38"/>
  <c r="BO39" i="38"/>
  <c r="BO47" i="38" s="1"/>
  <c r="BO44" i="38"/>
  <c r="BJ73" i="38"/>
  <c r="BR61" i="36"/>
  <c r="BR62" i="36" s="1"/>
  <c r="BS63" i="36" s="1"/>
  <c r="M38" i="38"/>
  <c r="BP100" i="37"/>
  <c r="BL100" i="37"/>
  <c r="BJ94" i="37"/>
  <c r="BO89" i="37"/>
  <c r="BS35" i="37"/>
  <c r="BN16" i="37"/>
  <c r="BF24" i="37"/>
  <c r="L30" i="37"/>
  <c r="BC27" i="37"/>
  <c r="M26" i="37"/>
  <c r="BT23" i="37"/>
  <c r="J14" i="37"/>
  <c r="BM89" i="37"/>
  <c r="BF63" i="37"/>
  <c r="BN39" i="37"/>
  <c r="L26" i="37"/>
  <c r="L22" i="37"/>
  <c r="O18" i="37"/>
  <c r="K18" i="37"/>
  <c r="L14" i="37"/>
  <c r="O10" i="37"/>
  <c r="K10" i="37"/>
  <c r="J76" i="40"/>
  <c r="BT57" i="38"/>
  <c r="O17" i="38"/>
  <c r="N17" i="38"/>
  <c r="N20" i="38" s="1"/>
  <c r="L17" i="38"/>
  <c r="L18" i="38" s="1"/>
  <c r="BO35" i="38"/>
  <c r="CG61" i="36"/>
  <c r="CG62" i="36" s="1"/>
  <c r="R58" i="3"/>
  <c r="R59" i="3" s="1"/>
  <c r="BL89" i="37"/>
  <c r="BQ67" i="37"/>
  <c r="BL24" i="37"/>
  <c r="BL16" i="37"/>
  <c r="O83" i="39"/>
  <c r="M83" i="39"/>
  <c r="M62" i="37" s="1"/>
  <c r="I65" i="40"/>
  <c r="BR57" i="38"/>
  <c r="N79" i="3"/>
  <c r="N90" i="3" s="1"/>
  <c r="N105" i="3" s="1"/>
  <c r="N61" i="3"/>
  <c r="N62" i="3" s="1"/>
  <c r="N59" i="3"/>
  <c r="BK121" i="39"/>
  <c r="BK165" i="39"/>
  <c r="BK166" i="39" s="1"/>
  <c r="BU61" i="36"/>
  <c r="BU62" i="36" s="1"/>
  <c r="BR121" i="39"/>
  <c r="BN165" i="39"/>
  <c r="BM13" i="38"/>
  <c r="BI14" i="38"/>
  <c r="BI13" i="38"/>
  <c r="BR29" i="38"/>
  <c r="BR35" i="38" s="1"/>
  <c r="N28" i="38"/>
  <c r="BR34" i="38"/>
  <c r="BS6" i="38"/>
  <c r="BS6" i="40"/>
  <c r="BS6" i="39"/>
  <c r="BS6" i="36"/>
  <c r="BM14" i="38"/>
  <c r="BL13" i="38"/>
  <c r="BP13" i="38"/>
  <c r="BL14" i="38"/>
  <c r="N47" i="39"/>
  <c r="N56" i="39" s="1"/>
  <c r="N57" i="39" s="1"/>
  <c r="N76" i="39"/>
  <c r="BL61" i="40"/>
  <c r="BL62" i="40" s="1"/>
  <c r="BK63" i="40"/>
  <c r="BU46" i="38"/>
  <c r="BO121" i="39"/>
  <c r="K12" i="38"/>
  <c r="BU94" i="37"/>
  <c r="BR94" i="37"/>
  <c r="BN97" i="37"/>
  <c r="BJ97" i="37"/>
  <c r="BG98" i="37"/>
  <c r="BH92" i="37"/>
  <c r="BP66" i="37"/>
  <c r="BN63" i="37"/>
  <c r="BN56" i="37"/>
  <c r="BQ40" i="37"/>
  <c r="M30" i="37"/>
  <c r="BL23" i="37"/>
  <c r="BL22" i="37"/>
  <c r="J22" i="37"/>
  <c r="BD16" i="37"/>
  <c r="BL12" i="37"/>
  <c r="BH12" i="37"/>
  <c r="BD12" i="37"/>
  <c r="CC76" i="38"/>
  <c r="CC69" i="38" s="1"/>
  <c r="BR13" i="38"/>
  <c r="BQ98" i="37"/>
  <c r="BN98" i="37"/>
  <c r="BT66" i="37"/>
  <c r="BK63" i="37"/>
  <c r="BC64" i="37"/>
  <c r="BH28" i="37"/>
  <c r="BP22" i="37"/>
  <c r="BQ14" i="38"/>
  <c r="BJ63" i="37"/>
  <c r="BM47" i="37"/>
  <c r="BL20" i="37"/>
  <c r="BH20" i="37"/>
  <c r="BD20" i="37"/>
  <c r="L83" i="39"/>
  <c r="CD61" i="36"/>
  <c r="CD62" i="36" s="1"/>
  <c r="CH62" i="36" s="1"/>
  <c r="CH61" i="36" s="1"/>
  <c r="BK97" i="37"/>
  <c r="L52" i="37"/>
  <c r="M53" i="37" s="1"/>
  <c r="BH69" i="39"/>
  <c r="BX15" i="37"/>
  <c r="BT15" i="37"/>
  <c r="BP15" i="37"/>
  <c r="BF15" i="37"/>
  <c r="BP57" i="38"/>
  <c r="BM48" i="38"/>
  <c r="BR18" i="38"/>
  <c r="CB76" i="38"/>
  <c r="CB62" i="38" s="1"/>
  <c r="P61" i="38"/>
  <c r="P76" i="38" s="1"/>
  <c r="P77" i="38" s="1"/>
  <c r="P60" i="61"/>
  <c r="P27" i="61"/>
  <c r="Z57" i="61"/>
  <c r="Z27" i="61"/>
  <c r="AB158" i="61"/>
  <c r="N158" i="61"/>
  <c r="Z82" i="61"/>
  <c r="W158" i="61"/>
  <c r="Y27" i="61"/>
  <c r="Y57" i="61"/>
  <c r="Y158" i="61"/>
  <c r="K98" i="54"/>
  <c r="F98" i="54"/>
  <c r="E98" i="54"/>
  <c r="U3" i="61"/>
  <c r="V3" i="61"/>
  <c r="R3" i="61"/>
  <c r="W3" i="61"/>
  <c r="S3" i="61"/>
  <c r="O3" i="61"/>
  <c r="G17" i="60"/>
  <c r="G24" i="60"/>
  <c r="G25" i="60" s="1"/>
  <c r="U86" i="61"/>
  <c r="U29" i="61"/>
  <c r="Y28" i="61"/>
  <c r="W28" i="61"/>
  <c r="W85" i="61"/>
  <c r="V85" i="61"/>
  <c r="V28" i="61"/>
  <c r="AD60" i="61"/>
  <c r="N106" i="3"/>
  <c r="BX63" i="36"/>
  <c r="U79" i="3"/>
  <c r="U90" i="3" s="1"/>
  <c r="U105" i="3" s="1"/>
  <c r="U61" i="3"/>
  <c r="U62" i="3" s="1"/>
  <c r="U59" i="3"/>
  <c r="BR47" i="39"/>
  <c r="BR56" i="39" s="1"/>
  <c r="BR76" i="39"/>
  <c r="BK48" i="38"/>
  <c r="L38" i="38"/>
  <c r="BK39" i="38"/>
  <c r="BK47" i="38" s="1"/>
  <c r="BK44" i="38"/>
  <c r="BK46" i="38"/>
  <c r="BM61" i="40"/>
  <c r="BM62" i="40" s="1"/>
  <c r="BL63" i="40"/>
  <c r="V59" i="3"/>
  <c r="V79" i="3"/>
  <c r="V90" i="3" s="1"/>
  <c r="V105" i="3" s="1"/>
  <c r="V61" i="3"/>
  <c r="V62" i="3" s="1"/>
  <c r="K61" i="39"/>
  <c r="J66" i="39"/>
  <c r="J90" i="39"/>
  <c r="BF90" i="39"/>
  <c r="BF56" i="39"/>
  <c r="BF57" i="39" s="1"/>
  <c r="BF86" i="39"/>
  <c r="BG105" i="39"/>
  <c r="BG112" i="39" s="1"/>
  <c r="BG77" i="39"/>
  <c r="BV62" i="36"/>
  <c r="BV63" i="36" s="1"/>
  <c r="BL47" i="39"/>
  <c r="BL76" i="39"/>
  <c r="BH47" i="39"/>
  <c r="BH56" i="39" s="1"/>
  <c r="BH57" i="39" s="1"/>
  <c r="BH76" i="39"/>
  <c r="BJ34" i="38"/>
  <c r="BJ29" i="38"/>
  <c r="BJ46" i="38"/>
  <c r="BW81" i="38"/>
  <c r="BW72" i="38"/>
  <c r="BR45" i="38"/>
  <c r="O28" i="38"/>
  <c r="BD14" i="38"/>
  <c r="BK100" i="37"/>
  <c r="BU98" i="37"/>
  <c r="BP98" i="37"/>
  <c r="BX97" i="37"/>
  <c r="BM97" i="37"/>
  <c r="BV94" i="37"/>
  <c r="BP94" i="37"/>
  <c r="BL97" i="37"/>
  <c r="L96" i="37"/>
  <c r="BJ89" i="37"/>
  <c r="BG89" i="37"/>
  <c r="BH89" i="37"/>
  <c r="BL76" i="37"/>
  <c r="BS66" i="37"/>
  <c r="BL66" i="37"/>
  <c r="BO96" i="39"/>
  <c r="BO97" i="39" s="1"/>
  <c r="BD44" i="37"/>
  <c r="BG43" i="37"/>
  <c r="BJ39" i="37"/>
  <c r="BT39" i="37"/>
  <c r="BP69" i="39"/>
  <c r="BD37" i="37"/>
  <c r="BW31" i="37"/>
  <c r="BG31" i="37"/>
  <c r="BV27" i="37"/>
  <c r="BX23" i="37"/>
  <c r="BV23" i="37"/>
  <c r="BJ23" i="37"/>
  <c r="BF23" i="37"/>
  <c r="BW14" i="37"/>
  <c r="BP16" i="37"/>
  <c r="BJ15" i="37"/>
  <c r="N83" i="39"/>
  <c r="BZ57" i="39"/>
  <c r="BW57" i="39"/>
  <c r="J120" i="40"/>
  <c r="BT61" i="36"/>
  <c r="BJ83" i="38"/>
  <c r="BJ81" i="38"/>
  <c r="BJ77" i="38"/>
  <c r="CA76" i="38"/>
  <c r="CA62" i="38" s="1"/>
  <c r="BR69" i="38"/>
  <c r="BL72" i="38"/>
  <c r="BM72" i="38" s="1"/>
  <c r="BJ59" i="38"/>
  <c r="CC57" i="38"/>
  <c r="BM28" i="38"/>
  <c r="BV18" i="38"/>
  <c r="O18" i="38" s="1"/>
  <c r="BV13" i="38"/>
  <c r="BZ14" i="38"/>
  <c r="BW14" i="38"/>
  <c r="BR14" i="38"/>
  <c r="O58" i="3"/>
  <c r="L34" i="37"/>
  <c r="BM33" i="37"/>
  <c r="BP20" i="37"/>
  <c r="BP12" i="37"/>
  <c r="BN56" i="39"/>
  <c r="J117" i="39"/>
  <c r="L76" i="39"/>
  <c r="BW78" i="38"/>
  <c r="BW83" i="38"/>
  <c r="BX34" i="38"/>
  <c r="Z58" i="3"/>
  <c r="BD103" i="37"/>
  <c r="BD99" i="37"/>
  <c r="BQ97" i="37"/>
  <c r="BH97" i="37"/>
  <c r="BT94" i="37"/>
  <c r="BG92" i="37"/>
  <c r="L75" i="37"/>
  <c r="BO67" i="37"/>
  <c r="BH67" i="37"/>
  <c r="BC67" i="37"/>
  <c r="BG64" i="37"/>
  <c r="BM57" i="37"/>
  <c r="BF56" i="37"/>
  <c r="BP54" i="37"/>
  <c r="BU53" i="37"/>
  <c r="BJ44" i="37"/>
  <c r="BN42" i="37"/>
  <c r="BC44" i="37"/>
  <c r="BP40" i="37"/>
  <c r="BB44" i="37"/>
  <c r="BJ37" i="37"/>
  <c r="BG28" i="37"/>
  <c r="O26" i="37"/>
  <c r="BP23" i="37"/>
  <c r="BD24" i="37"/>
  <c r="BH16" i="37"/>
  <c r="BH90" i="39"/>
  <c r="BJ76" i="39"/>
  <c r="BR57" i="39"/>
  <c r="BO57" i="39"/>
  <c r="CE60" i="36"/>
  <c r="CE61" i="36" s="1"/>
  <c r="CE62" i="36" s="1"/>
  <c r="BP76" i="38"/>
  <c r="BP69" i="38" s="1"/>
  <c r="BY57" i="38"/>
  <c r="BJ57" i="38"/>
  <c r="CC13" i="38"/>
  <c r="BY14" i="38"/>
  <c r="BV14" i="38"/>
  <c r="BW10" i="38"/>
  <c r="BV10" i="38"/>
  <c r="Q106" i="3"/>
  <c r="BW77" i="38"/>
  <c r="BV74" i="38"/>
  <c r="M10" i="38"/>
  <c r="L94" i="37"/>
  <c r="BL121" i="39"/>
  <c r="BM98" i="37"/>
  <c r="BY97" i="37"/>
  <c r="BY94" i="37"/>
  <c r="O94" i="37" s="1"/>
  <c r="BV97" i="37"/>
  <c r="BT97" i="37"/>
  <c r="BQ94" i="37"/>
  <c r="BC99" i="37"/>
  <c r="L91" i="37"/>
  <c r="BI98" i="37"/>
  <c r="BP89" i="37"/>
  <c r="BM67" i="37"/>
  <c r="BG67" i="37"/>
  <c r="L65" i="37"/>
  <c r="BJ66" i="37"/>
  <c r="BJ57" i="37"/>
  <c r="BM54" i="37"/>
  <c r="M41" i="37"/>
  <c r="BI39" i="37"/>
  <c r="BP36" i="37"/>
  <c r="BP35" i="37"/>
  <c r="BQ32" i="37"/>
  <c r="BL28" i="37"/>
  <c r="BE32" i="37"/>
  <c r="BG32" i="37"/>
  <c r="BC32" i="37"/>
  <c r="BR26" i="37"/>
  <c r="BK22" i="37"/>
  <c r="BV15" i="37"/>
  <c r="BK14" i="37"/>
  <c r="CB57" i="39"/>
  <c r="L20" i="38"/>
  <c r="CA57" i="39"/>
  <c r="BN57" i="39"/>
  <c r="K58" i="40"/>
  <c r="BY61" i="36"/>
  <c r="BY62" i="36" s="1"/>
  <c r="BY63" i="36" s="1"/>
  <c r="BR83" i="38"/>
  <c r="BR81" i="38"/>
  <c r="BY76" i="38"/>
  <c r="BU72" i="38"/>
  <c r="BU62" i="38"/>
  <c r="BS38" i="38"/>
  <c r="M17" i="38"/>
  <c r="M18" i="38" s="1"/>
  <c r="R15" i="63"/>
  <c r="Z85" i="61"/>
  <c r="Z28" i="61"/>
  <c r="AA57" i="61"/>
  <c r="V82" i="61"/>
  <c r="R60" i="61"/>
  <c r="P87" i="61"/>
  <c r="S35" i="61"/>
  <c r="Q60" i="61"/>
  <c r="I60" i="61"/>
  <c r="P57" i="61"/>
  <c r="H60" i="61"/>
  <c r="W27" i="61"/>
  <c r="W57" i="61"/>
  <c r="S27" i="61"/>
  <c r="S57" i="61"/>
  <c r="O57" i="61"/>
  <c r="M158" i="61"/>
  <c r="X158" i="61"/>
  <c r="W82" i="61"/>
  <c r="S82" i="61"/>
  <c r="O27" i="61"/>
  <c r="AB60" i="61"/>
  <c r="Z60" i="61"/>
  <c r="W60" i="61"/>
  <c r="O60" i="61"/>
  <c r="V57" i="61"/>
  <c r="J87" i="61"/>
  <c r="M87" i="61"/>
  <c r="O87" i="61"/>
  <c r="N87" i="61"/>
  <c r="L87" i="61"/>
  <c r="K87" i="61"/>
  <c r="AG4" i="61"/>
  <c r="Q87" i="61"/>
  <c r="S36" i="61"/>
  <c r="Y60" i="61"/>
  <c r="X60" i="61"/>
  <c r="AA60" i="61"/>
  <c r="AC57" i="61"/>
  <c r="AA158" i="61"/>
  <c r="U82" i="61"/>
  <c r="U27" i="61"/>
  <c r="U57" i="61"/>
  <c r="R82" i="61"/>
  <c r="R57" i="61"/>
  <c r="P158" i="61"/>
  <c r="G57" i="61"/>
  <c r="G27" i="61"/>
  <c r="G82" i="61"/>
  <c r="X57" i="61"/>
  <c r="V158" i="61"/>
  <c r="X82" i="61"/>
  <c r="E35" i="61"/>
  <c r="Q35" i="61"/>
  <c r="S87" i="61"/>
  <c r="U87" i="61"/>
  <c r="T87" i="61"/>
  <c r="R87" i="61"/>
  <c r="AB57" i="61"/>
  <c r="Z158" i="61"/>
  <c r="T57" i="61"/>
  <c r="T82" i="61"/>
  <c r="R158" i="61"/>
  <c r="V60" i="61"/>
  <c r="T60" i="61"/>
  <c r="S60" i="61"/>
  <c r="U60" i="61"/>
  <c r="Q82" i="61"/>
  <c r="Q57" i="61"/>
  <c r="Q27" i="61"/>
  <c r="O158" i="61"/>
  <c r="T27" i="61"/>
  <c r="V87" i="61"/>
  <c r="X87" i="61"/>
  <c r="J35" i="61"/>
  <c r="J60" i="61"/>
  <c r="K86" i="61"/>
  <c r="AL4" i="61"/>
  <c r="N86" i="61"/>
  <c r="N29" i="61"/>
  <c r="AF4" i="61"/>
  <c r="I30" i="61"/>
  <c r="F30" i="61"/>
  <c r="F86" i="61"/>
  <c r="F33" i="61"/>
  <c r="F29" i="61"/>
  <c r="O29" i="61"/>
  <c r="P85" i="61"/>
  <c r="G34" i="61"/>
  <c r="AH53" i="63"/>
  <c r="AH31" i="63"/>
  <c r="CB77" i="38"/>
  <c r="CB83" i="38"/>
  <c r="CB81" i="38"/>
  <c r="CB69" i="38"/>
  <c r="CB73" i="38"/>
  <c r="CC63" i="38"/>
  <c r="R36" i="61"/>
  <c r="E36" i="61"/>
  <c r="W87" i="61"/>
  <c r="N11" i="54"/>
  <c r="N100" i="54" s="1"/>
  <c r="M11" i="54"/>
  <c r="M100" i="54" s="1"/>
  <c r="S31" i="61"/>
  <c r="AT4" i="61"/>
  <c r="G35" i="61"/>
  <c r="G36" i="61"/>
  <c r="S233" i="39"/>
  <c r="CJ149" i="39"/>
  <c r="CJ285" i="39"/>
  <c r="CK283" i="39" s="1"/>
  <c r="CC110" i="39"/>
  <c r="CI142" i="39"/>
  <c r="CI250" i="39"/>
  <c r="CJ248" i="39" s="1"/>
  <c r="M33" i="61"/>
  <c r="C33" i="60"/>
  <c r="Q36" i="61"/>
  <c r="V31" i="61"/>
  <c r="BR165" i="39"/>
  <c r="BR166" i="39" s="1"/>
  <c r="BS163" i="39"/>
  <c r="CG101" i="39"/>
  <c r="CG110" i="39"/>
  <c r="CG108" i="39" s="1"/>
  <c r="CL110" i="39"/>
  <c r="Q155" i="39"/>
  <c r="N30" i="61"/>
  <c r="J36" i="61"/>
  <c r="O32" i="61"/>
  <c r="Q30" i="61"/>
  <c r="H87" i="61"/>
  <c r="G87" i="61"/>
  <c r="I87" i="61"/>
  <c r="N60" i="61"/>
  <c r="L60" i="61"/>
  <c r="M60" i="61"/>
  <c r="K60" i="61"/>
  <c r="D35" i="61"/>
  <c r="D36" i="61"/>
  <c r="O34" i="61"/>
  <c r="K34" i="61"/>
  <c r="AQ4" i="61"/>
  <c r="CL138" i="39"/>
  <c r="CI315" i="39"/>
  <c r="CJ313" i="39" s="1"/>
  <c r="CI155" i="39"/>
  <c r="CH6" i="38"/>
  <c r="CL7" i="37"/>
  <c r="CH6" i="40"/>
  <c r="CH6" i="39"/>
  <c r="CH6" i="36"/>
  <c r="CI318" i="39"/>
  <c r="CH156" i="39"/>
  <c r="CJ270" i="39"/>
  <c r="CK268" i="39" s="1"/>
  <c r="CI102" i="37"/>
  <c r="CH103" i="37"/>
  <c r="CH104" i="37" s="1"/>
  <c r="CH59" i="39" s="1"/>
  <c r="CI132" i="39"/>
  <c r="CH110" i="39"/>
  <c r="CH108" i="39" s="1"/>
  <c r="CH101" i="39"/>
  <c r="BM103" i="37"/>
  <c r="BN102" i="37"/>
  <c r="CF143" i="39"/>
  <c r="CF255" i="39"/>
  <c r="CG253" i="39" s="1"/>
  <c r="CA110" i="39"/>
  <c r="CA108" i="39" s="1"/>
  <c r="CA101" i="39"/>
  <c r="BS45" i="38"/>
  <c r="BS35" i="38"/>
  <c r="CE197" i="39"/>
  <c r="CE175" i="39"/>
  <c r="CE265" i="39"/>
  <c r="CF263" i="39" s="1"/>
  <c r="CE290" i="39"/>
  <c r="CF288" i="39" s="1"/>
  <c r="CF245" i="39"/>
  <c r="CG243" i="39" s="1"/>
  <c r="CE295" i="39"/>
  <c r="CF293" i="39" s="1"/>
  <c r="B79" i="3"/>
  <c r="B90" i="3" s="1"/>
  <c r="B105" i="3" s="1"/>
  <c r="B61" i="3"/>
  <c r="B62" i="3" s="1"/>
  <c r="B59" i="3"/>
  <c r="BL166" i="39"/>
  <c r="CH155" i="39"/>
  <c r="CJ6" i="40"/>
  <c r="S110" i="39"/>
  <c r="S108" i="39" s="1"/>
  <c r="R188" i="39"/>
  <c r="Q102" i="37"/>
  <c r="CC70" i="37"/>
  <c r="CB77" i="37"/>
  <c r="CB103" i="39" s="1"/>
  <c r="CB70" i="37"/>
  <c r="CI205" i="39"/>
  <c r="CJ203" i="39" s="1"/>
  <c r="CF77" i="37"/>
  <c r="CF103" i="39" s="1"/>
  <c r="CF70" i="37"/>
  <c r="S245" i="39"/>
  <c r="S141" i="39"/>
  <c r="U106" i="3"/>
  <c r="CF220" i="39"/>
  <c r="CG218" i="39" s="1"/>
  <c r="CA35" i="38"/>
  <c r="CA45" i="38"/>
  <c r="CA47" i="38"/>
  <c r="CD63" i="36"/>
  <c r="L82" i="38"/>
  <c r="K82" i="38"/>
  <c r="CI195" i="39"/>
  <c r="CJ193" i="39" s="1"/>
  <c r="CJ195" i="39" s="1"/>
  <c r="CK193" i="39" s="1"/>
  <c r="CE275" i="39"/>
  <c r="CF273" i="39" s="1"/>
  <c r="CE147" i="39"/>
  <c r="CF180" i="39"/>
  <c r="CG178" i="39" s="1"/>
  <c r="CF300" i="39"/>
  <c r="CG298" i="39" s="1"/>
  <c r="Z59" i="3"/>
  <c r="Z79" i="3"/>
  <c r="Z90" i="3" s="1"/>
  <c r="Z105" i="3" s="1"/>
  <c r="Z106" i="3" s="1"/>
  <c r="Z61" i="3"/>
  <c r="Z62" i="3" s="1"/>
  <c r="CJ6" i="36"/>
  <c r="S104" i="40"/>
  <c r="CL85" i="37"/>
  <c r="S95" i="40"/>
  <c r="S84" i="40" s="1"/>
  <c r="S85" i="40" s="1"/>
  <c r="CB80" i="37"/>
  <c r="CJ69" i="37"/>
  <c r="CF80" i="37"/>
  <c r="CH142" i="39"/>
  <c r="Q132" i="39"/>
  <c r="R71" i="38"/>
  <c r="H56" i="63"/>
  <c r="H58" i="63" s="1"/>
  <c r="H19" i="63"/>
  <c r="P52" i="36"/>
  <c r="Q50" i="36"/>
  <c r="K14" i="38"/>
  <c r="K13" i="38"/>
  <c r="CE310" i="39"/>
  <c r="CF308" i="39" s="1"/>
  <c r="CF127" i="39"/>
  <c r="CF185" i="39"/>
  <c r="R61" i="3"/>
  <c r="R62" i="3" s="1"/>
  <c r="E106" i="3"/>
  <c r="S98" i="40"/>
  <c r="CC80" i="37"/>
  <c r="CG305" i="39"/>
  <c r="CG134" i="39"/>
  <c r="Q134" i="39" s="1"/>
  <c r="CG215" i="39"/>
  <c r="CK62" i="36"/>
  <c r="CK61" i="36" s="1"/>
  <c r="CK64" i="36" s="1"/>
  <c r="CE210" i="39"/>
  <c r="CF208" i="39" s="1"/>
  <c r="CE133" i="39"/>
  <c r="J61" i="3"/>
  <c r="J62" i="3" s="1"/>
  <c r="J59" i="3"/>
  <c r="J79" i="3"/>
  <c r="J90" i="3" s="1"/>
  <c r="J105" i="3" s="1"/>
  <c r="J106" i="3" s="1"/>
  <c r="S58" i="3"/>
  <c r="O59" i="3"/>
  <c r="O79" i="3"/>
  <c r="O90" i="3" s="1"/>
  <c r="O105" i="3" s="1"/>
  <c r="O61" i="3"/>
  <c r="O62" i="3" s="1"/>
  <c r="BE74" i="39"/>
  <c r="BF45" i="37"/>
  <c r="CD260" i="39"/>
  <c r="BX56" i="39"/>
  <c r="BX57" i="39"/>
  <c r="BK47" i="39"/>
  <c r="BK56" i="39" s="1"/>
  <c r="BK76" i="39"/>
  <c r="CF228" i="39"/>
  <c r="BS62" i="38"/>
  <c r="BS69" i="38"/>
  <c r="BN74" i="38"/>
  <c r="BR73" i="38"/>
  <c r="CB150" i="36"/>
  <c r="CD147" i="39"/>
  <c r="CD151" i="39"/>
  <c r="CE127" i="39"/>
  <c r="W58" i="3"/>
  <c r="K58" i="3"/>
  <c r="G61" i="3"/>
  <c r="G62" i="3" s="1"/>
  <c r="G59" i="3"/>
  <c r="BG56" i="39"/>
  <c r="BG57" i="39" s="1"/>
  <c r="BG90" i="39"/>
  <c r="CU49" i="39"/>
  <c r="S49" i="39"/>
  <c r="S55" i="39" s="1"/>
  <c r="J81" i="39"/>
  <c r="J82" i="39" s="1"/>
  <c r="J86" i="39"/>
  <c r="BP56" i="39"/>
  <c r="BP57" i="39"/>
  <c r="BK57" i="39"/>
  <c r="K60" i="40"/>
  <c r="K62" i="40" s="1"/>
  <c r="L61" i="40" s="1"/>
  <c r="L62" i="40" s="1"/>
  <c r="P212" i="36"/>
  <c r="P211" i="36"/>
  <c r="P209" i="36"/>
  <c r="P215" i="36"/>
  <c r="P216" i="36" s="1"/>
  <c r="P218" i="36"/>
  <c r="Q204" i="36"/>
  <c r="CE135" i="39"/>
  <c r="BR74" i="38"/>
  <c r="CD133" i="39"/>
  <c r="CD150" i="39"/>
  <c r="CJ56" i="39"/>
  <c r="CJ57" i="39"/>
  <c r="BV47" i="39"/>
  <c r="BV56" i="39" s="1"/>
  <c r="BV76" i="39"/>
  <c r="BS47" i="39"/>
  <c r="BS56" i="39" s="1"/>
  <c r="BS76" i="39"/>
  <c r="Q29" i="39"/>
  <c r="Q57" i="39" s="1"/>
  <c r="CD57" i="39"/>
  <c r="BJ57" i="39"/>
  <c r="S120" i="40"/>
  <c r="S126" i="40" s="1"/>
  <c r="S34" i="40"/>
  <c r="BS78" i="38"/>
  <c r="BM18" i="38"/>
  <c r="J69" i="39"/>
  <c r="J16" i="37"/>
  <c r="X189" i="2"/>
  <c r="E192" i="2"/>
  <c r="F191" i="2" s="1"/>
  <c r="F192" i="2" s="1"/>
  <c r="G191" i="2" s="1"/>
  <c r="G192" i="2" s="1"/>
  <c r="H191" i="2" s="1"/>
  <c r="H192" i="2" s="1"/>
  <c r="I191" i="2" s="1"/>
  <c r="I192" i="2" s="1"/>
  <c r="J191" i="2" s="1"/>
  <c r="J192" i="2" s="1"/>
  <c r="K191" i="2" s="1"/>
  <c r="K192" i="2" s="1"/>
  <c r="L191" i="2" s="1"/>
  <c r="L192" i="2" s="1"/>
  <c r="M191" i="2" s="1"/>
  <c r="M192" i="2" s="1"/>
  <c r="N191" i="2" s="1"/>
  <c r="N192" i="2" s="1"/>
  <c r="O191" i="2" s="1"/>
  <c r="O192" i="2" s="1"/>
  <c r="P191" i="2" s="1"/>
  <c r="P192" i="2" s="1"/>
  <c r="Q191" i="2" s="1"/>
  <c r="Q192" i="2" s="1"/>
  <c r="R191" i="2" s="1"/>
  <c r="R192" i="2" s="1"/>
  <c r="S191" i="2" s="1"/>
  <c r="S192" i="2" s="1"/>
  <c r="T191" i="2" s="1"/>
  <c r="T192" i="2" s="1"/>
  <c r="U191" i="2" s="1"/>
  <c r="U192" i="2" s="1"/>
  <c r="V191" i="2" s="1"/>
  <c r="V192" i="2" s="1"/>
  <c r="W191" i="2" s="1"/>
  <c r="W192" i="2" s="1"/>
  <c r="X191" i="2" s="1"/>
  <c r="V58" i="2"/>
  <c r="N58" i="2"/>
  <c r="G90" i="3"/>
  <c r="G105" i="3" s="1"/>
  <c r="G106" i="3" s="1"/>
  <c r="C90" i="3"/>
  <c r="C105" i="3" s="1"/>
  <c r="D106" i="3" s="1"/>
  <c r="AC30" i="3"/>
  <c r="AD30" i="3" s="1"/>
  <c r="AC36" i="3" s="1"/>
  <c r="AA36" i="3" s="1"/>
  <c r="Y5" i="61"/>
  <c r="O118" i="37"/>
  <c r="M118" i="37"/>
  <c r="CD225" i="39"/>
  <c r="CL47" i="39"/>
  <c r="CL56" i="39" s="1"/>
  <c r="CL76" i="39"/>
  <c r="CL105" i="39" s="1"/>
  <c r="CL112" i="39" s="1"/>
  <c r="O86" i="39"/>
  <c r="K86" i="39"/>
  <c r="CL57" i="39"/>
  <c r="BZ73" i="40"/>
  <c r="CC81" i="40"/>
  <c r="CE258" i="36"/>
  <c r="CF248" i="36"/>
  <c r="P103" i="36"/>
  <c r="CJ118" i="37"/>
  <c r="CJ119" i="37" s="1"/>
  <c r="BZ118" i="37"/>
  <c r="BQ118" i="37"/>
  <c r="BC103" i="37"/>
  <c r="BE103" i="37"/>
  <c r="J102" i="37"/>
  <c r="J103" i="37" s="1"/>
  <c r="BO100" i="37"/>
  <c r="BE99" i="37"/>
  <c r="BH98" i="37"/>
  <c r="BF97" i="37"/>
  <c r="BU92" i="37"/>
  <c r="BM92" i="37"/>
  <c r="BM76" i="37"/>
  <c r="BQ66" i="37"/>
  <c r="O65" i="37"/>
  <c r="BJ120" i="39"/>
  <c r="R62" i="37"/>
  <c r="BZ56" i="37"/>
  <c r="BJ56" i="37"/>
  <c r="BJ12" i="38"/>
  <c r="CG53" i="37"/>
  <c r="BQ53" i="37"/>
  <c r="BZ70" i="39"/>
  <c r="BN44" i="37"/>
  <c r="BJ70" i="39"/>
  <c r="BE44" i="37"/>
  <c r="BK43" i="37"/>
  <c r="BS42" i="37"/>
  <c r="BK42" i="37"/>
  <c r="BM40" i="37"/>
  <c r="BE40" i="37"/>
  <c r="BQ39" i="37"/>
  <c r="Q38" i="37"/>
  <c r="BM37" i="37"/>
  <c r="BQ36" i="37"/>
  <c r="BI36" i="37"/>
  <c r="BO35" i="37"/>
  <c r="BG35" i="37"/>
  <c r="BS69" i="39"/>
  <c r="BQ12" i="37"/>
  <c r="BO69" i="39"/>
  <c r="BM12" i="37"/>
  <c r="BK69" i="39"/>
  <c r="BI12" i="37"/>
  <c r="BE12" i="37"/>
  <c r="BI33" i="37"/>
  <c r="BM32" i="37"/>
  <c r="BS31" i="37"/>
  <c r="BC31" i="37"/>
  <c r="BJ30" i="37"/>
  <c r="BS32" i="37"/>
  <c r="BR27" i="37"/>
  <c r="K26" i="37"/>
  <c r="BJ24" i="37"/>
  <c r="BO22" i="37"/>
  <c r="BG22" i="37"/>
  <c r="BB16" i="37"/>
  <c r="BO14" i="37"/>
  <c r="BG14" i="37"/>
  <c r="BR15" i="37"/>
  <c r="CC199" i="39"/>
  <c r="CB89" i="39"/>
  <c r="BY89" i="39"/>
  <c r="Q89" i="39"/>
  <c r="CB81" i="39"/>
  <c r="CB82" i="39" s="1"/>
  <c r="CG81" i="39"/>
  <c r="CG82" i="39" s="1"/>
  <c r="BY81" i="39"/>
  <c r="BY82" i="39" s="1"/>
  <c r="P39" i="39"/>
  <c r="P40" i="39" s="1"/>
  <c r="CU34" i="39"/>
  <c r="BV79" i="40"/>
  <c r="CF73" i="40"/>
  <c r="CJ79" i="40"/>
  <c r="CD79" i="40"/>
  <c r="BX72" i="40"/>
  <c r="BS72" i="40"/>
  <c r="BS73" i="40" s="1"/>
  <c r="BN72" i="40"/>
  <c r="BN73" i="40" s="1"/>
  <c r="CE66" i="40"/>
  <c r="CI76" i="40"/>
  <c r="R223" i="36"/>
  <c r="S222" i="36"/>
  <c r="BZ218" i="36"/>
  <c r="BZ212" i="36"/>
  <c r="CK211" i="36"/>
  <c r="BS212" i="36"/>
  <c r="BV209" i="36"/>
  <c r="N209" i="36"/>
  <c r="BR207" i="36"/>
  <c r="CD204" i="36"/>
  <c r="CF204" i="36"/>
  <c r="BW207" i="36"/>
  <c r="O203" i="36"/>
  <c r="O195" i="36"/>
  <c r="BV191" i="36"/>
  <c r="CG188" i="36"/>
  <c r="CD188" i="36"/>
  <c r="BY188" i="36"/>
  <c r="BV188" i="36"/>
  <c r="CC186" i="36"/>
  <c r="BU186" i="36"/>
  <c r="CC185" i="36"/>
  <c r="CF184" i="36"/>
  <c r="CD185" i="36"/>
  <c r="CG177" i="36"/>
  <c r="BY177" i="36"/>
  <c r="CD180" i="36"/>
  <c r="BW177" i="36"/>
  <c r="N164" i="36"/>
  <c r="N166" i="36" s="1"/>
  <c r="S162" i="36"/>
  <c r="Q163" i="36"/>
  <c r="R159" i="36"/>
  <c r="R160" i="36"/>
  <c r="O102" i="36"/>
  <c r="O103" i="36" s="1"/>
  <c r="BS91" i="36"/>
  <c r="O30" i="36"/>
  <c r="BU54" i="36"/>
  <c r="BU41" i="36"/>
  <c r="BU22" i="36"/>
  <c r="BU51" i="36"/>
  <c r="R16" i="36"/>
  <c r="BS51" i="36"/>
  <c r="BS22" i="36"/>
  <c r="R14" i="36"/>
  <c r="K75" i="37"/>
  <c r="P52" i="37"/>
  <c r="BU33" i="37"/>
  <c r="BE33" i="37"/>
  <c r="BI32" i="37"/>
  <c r="BO32" i="37"/>
  <c r="Q218" i="36"/>
  <c r="O164" i="36"/>
  <c r="O166" i="36" s="1"/>
  <c r="M42" i="38"/>
  <c r="S46" i="38"/>
  <c r="S14" i="38"/>
  <c r="S10" i="38"/>
  <c r="AD65" i="63"/>
  <c r="AD48" i="63"/>
  <c r="BQ100" i="37"/>
  <c r="BZ96" i="37"/>
  <c r="BQ92" i="37"/>
  <c r="BI92" i="37"/>
  <c r="BX76" i="37"/>
  <c r="BL67" i="37"/>
  <c r="BF66" i="37"/>
  <c r="BQ54" i="37"/>
  <c r="CD44" i="37"/>
  <c r="BV44" i="37"/>
  <c r="BP44" i="37"/>
  <c r="BS43" i="37"/>
  <c r="BI43" i="37"/>
  <c r="BI40" i="37"/>
  <c r="BE37" i="37"/>
  <c r="BM36" i="37"/>
  <c r="BK35" i="37"/>
  <c r="BQ33" i="37"/>
  <c r="BV30" i="37"/>
  <c r="BF30" i="37"/>
  <c r="BD28" i="37"/>
  <c r="BJ27" i="37"/>
  <c r="BU26" i="37"/>
  <c r="BS22" i="37"/>
  <c r="BS14" i="37"/>
  <c r="CJ89" i="39"/>
  <c r="CG89" i="39"/>
  <c r="BT89" i="39"/>
  <c r="BQ89" i="39"/>
  <c r="CJ81" i="39"/>
  <c r="CJ82" i="39" s="1"/>
  <c r="BL81" i="39"/>
  <c r="BL82" i="39" s="1"/>
  <c r="CU52" i="39"/>
  <c r="CK40" i="39"/>
  <c r="CD258" i="36"/>
  <c r="CH218" i="36"/>
  <c r="BR218" i="36"/>
  <c r="CH212" i="36"/>
  <c r="BZ207" i="36"/>
  <c r="P207" i="36"/>
  <c r="S203" i="36"/>
  <c r="Q170" i="36"/>
  <c r="Q171" i="36" s="1"/>
  <c r="CE188" i="36"/>
  <c r="CC188" i="36"/>
  <c r="BU188" i="36"/>
  <c r="BR188" i="36"/>
  <c r="CC177" i="36"/>
  <c r="R163" i="36"/>
  <c r="CG34" i="38"/>
  <c r="CG44" i="38"/>
  <c r="BN29" i="38"/>
  <c r="CF118" i="37"/>
  <c r="CF119" i="37" s="1"/>
  <c r="CC97" i="37"/>
  <c r="BO43" i="37"/>
  <c r="CD42" i="37"/>
  <c r="BO40" i="37"/>
  <c r="BQ37" i="37"/>
  <c r="BU36" i="37"/>
  <c r="BP28" i="37"/>
  <c r="BH86" i="39"/>
  <c r="BT81" i="39"/>
  <c r="BT82" i="39" s="1"/>
  <c r="CD76" i="39"/>
  <c r="BW79" i="40"/>
  <c r="CI72" i="40"/>
  <c r="P226" i="36"/>
  <c r="BU213" i="36"/>
  <c r="BY211" i="36"/>
  <c r="R210" i="36"/>
  <c r="BY191" i="36"/>
  <c r="BY182" i="36"/>
  <c r="Q164" i="36"/>
  <c r="Q166" i="36" s="1"/>
  <c r="R162" i="36"/>
  <c r="O162" i="36"/>
  <c r="CA150" i="36"/>
  <c r="S31" i="36"/>
  <c r="BQ48" i="38"/>
  <c r="BQ44" i="38"/>
  <c r="G40" i="60"/>
  <c r="G46" i="60"/>
  <c r="S137" i="36"/>
  <c r="CK125" i="36"/>
  <c r="BW125" i="36"/>
  <c r="R124" i="36"/>
  <c r="CF98" i="36"/>
  <c r="BX98" i="36"/>
  <c r="BY90" i="36"/>
  <c r="BV90" i="36"/>
  <c r="CE86" i="36"/>
  <c r="P19" i="36"/>
  <c r="Q11" i="36"/>
  <c r="BR17" i="36"/>
  <c r="CD37" i="38"/>
  <c r="K31" i="38"/>
  <c r="L32" i="38" s="1"/>
  <c r="F57" i="63"/>
  <c r="F58" i="63" s="1"/>
  <c r="AD57" i="63"/>
  <c r="AD35" i="63"/>
  <c r="G21" i="63"/>
  <c r="AN15" i="63"/>
  <c r="R14" i="63"/>
  <c r="BT98" i="36"/>
  <c r="CJ59" i="36"/>
  <c r="CA59" i="36"/>
  <c r="CA61" i="36" s="1"/>
  <c r="CA62" i="36" s="1"/>
  <c r="BZ52" i="36"/>
  <c r="CI50" i="36"/>
  <c r="BX44" i="36"/>
  <c r="CB36" i="36"/>
  <c r="CK20" i="36"/>
  <c r="Q19" i="36"/>
  <c r="S19" i="36"/>
  <c r="S20" i="36" s="1"/>
  <c r="CI17" i="36"/>
  <c r="BZ17" i="36"/>
  <c r="CD16" i="36"/>
  <c r="BX10" i="36"/>
  <c r="CK10" i="36"/>
  <c r="BB81" i="38"/>
  <c r="BT78" i="38"/>
  <c r="BU77" i="38"/>
  <c r="BF76" i="38"/>
  <c r="J62" i="38"/>
  <c r="BT72" i="38"/>
  <c r="BX69" i="38"/>
  <c r="BV59" i="38"/>
  <c r="BF59" i="38"/>
  <c r="BV57" i="38"/>
  <c r="BQ57" i="38"/>
  <c r="CH42" i="38"/>
  <c r="N41" i="38"/>
  <c r="O42" i="38" s="1"/>
  <c r="BY38" i="38"/>
  <c r="CL37" i="38"/>
  <c r="S37" i="38" s="1"/>
  <c r="BZ37" i="38"/>
  <c r="BR37" i="38"/>
  <c r="N37" i="38" s="1"/>
  <c r="CH18" i="38"/>
  <c r="BR10" i="38"/>
  <c r="CK10" i="38"/>
  <c r="N9" i="38"/>
  <c r="E46" i="60"/>
  <c r="E36" i="60" s="1"/>
  <c r="D86" i="63"/>
  <c r="AF36" i="63"/>
  <c r="P136" i="36"/>
  <c r="CJ98" i="36"/>
  <c r="CJ99" i="36" s="1"/>
  <c r="CB98" i="36"/>
  <c r="CB99" i="36" s="1"/>
  <c r="CA87" i="36"/>
  <c r="Q85" i="36"/>
  <c r="R86" i="36" s="1"/>
  <c r="CJ60" i="36"/>
  <c r="CI59" i="36"/>
  <c r="BZ59" i="36"/>
  <c r="BZ61" i="36" s="1"/>
  <c r="CF61" i="36"/>
  <c r="CK52" i="36"/>
  <c r="CD50" i="36"/>
  <c r="N19" i="36"/>
  <c r="O20" i="36" s="1"/>
  <c r="BW17" i="36"/>
  <c r="CA18" i="36" s="1"/>
  <c r="BW16" i="36"/>
  <c r="S15" i="36"/>
  <c r="BZ12" i="36"/>
  <c r="CK12" i="36"/>
  <c r="S9" i="36"/>
  <c r="BV81" i="38"/>
  <c r="BV77" i="38"/>
  <c r="BN76" i="38"/>
  <c r="J69" i="38"/>
  <c r="BE61" i="38"/>
  <c r="BU57" i="38"/>
  <c r="CD42" i="38"/>
  <c r="Q41" i="38"/>
  <c r="R42" i="38" s="1"/>
  <c r="Q38" i="38"/>
  <c r="BR38" i="38"/>
  <c r="CA16" i="38"/>
  <c r="BS16" i="38"/>
  <c r="E53" i="60"/>
  <c r="E77" i="63"/>
  <c r="E69" i="63" s="1"/>
  <c r="F67" i="63"/>
  <c r="AD42" i="63"/>
  <c r="S147" i="36"/>
  <c r="CE117" i="36"/>
  <c r="Q111" i="36"/>
  <c r="CH59" i="36"/>
  <c r="BV78" i="38"/>
  <c r="BQ76" i="38"/>
  <c r="BB69" i="38"/>
  <c r="BN59" i="38"/>
  <c r="BZ57" i="38"/>
  <c r="BN57" i="38"/>
  <c r="BI57" i="38"/>
  <c r="BV42" i="38"/>
  <c r="CL46" i="38"/>
  <c r="M31" i="38"/>
  <c r="CC83" i="38" l="1"/>
  <c r="CC77" i="38"/>
  <c r="D19" i="54"/>
  <c r="D20" i="54" s="1"/>
  <c r="CE45" i="38"/>
  <c r="CE47" i="38"/>
  <c r="CE35" i="38"/>
  <c r="BP48" i="38"/>
  <c r="BP44" i="38"/>
  <c r="CC44" i="38"/>
  <c r="CC48" i="38"/>
  <c r="CC34" i="38"/>
  <c r="CI35" i="38"/>
  <c r="R29" i="38"/>
  <c r="CI39" i="38"/>
  <c r="CI47" i="38" s="1"/>
  <c r="CI45" i="38"/>
  <c r="BT35" i="38"/>
  <c r="BT45" i="38"/>
  <c r="Q18" i="38"/>
  <c r="CB44" i="38"/>
  <c r="CB48" i="38"/>
  <c r="CB34" i="38"/>
  <c r="BU31" i="38"/>
  <c r="N23" i="38"/>
  <c r="CJ35" i="38"/>
  <c r="CJ39" i="38"/>
  <c r="CJ47" i="38" s="1"/>
  <c r="CJ45" i="38"/>
  <c r="CA34" i="38"/>
  <c r="CA44" i="38"/>
  <c r="CA48" i="38"/>
  <c r="CE44" i="38"/>
  <c r="CE34" i="38"/>
  <c r="CE48" i="38"/>
  <c r="CF35" i="38"/>
  <c r="CF45" i="38"/>
  <c r="CF47" i="38"/>
  <c r="O59" i="38"/>
  <c r="R56" i="37"/>
  <c r="Q57" i="37"/>
  <c r="Q56" i="37"/>
  <c r="BP35" i="38"/>
  <c r="BP45" i="38"/>
  <c r="CJ48" i="38"/>
  <c r="CJ34" i="38"/>
  <c r="CJ44" i="38"/>
  <c r="CF34" i="38"/>
  <c r="CF44" i="38"/>
  <c r="CF48" i="38"/>
  <c r="BW45" i="38"/>
  <c r="BW35" i="38"/>
  <c r="CB47" i="38"/>
  <c r="CB35" i="38"/>
  <c r="CB45" i="38"/>
  <c r="CI44" i="38"/>
  <c r="CI48" i="38"/>
  <c r="CI34" i="38"/>
  <c r="S72" i="39"/>
  <c r="S70" i="39"/>
  <c r="S74" i="39"/>
  <c r="S71" i="39"/>
  <c r="S45" i="37"/>
  <c r="S73" i="39"/>
  <c r="S46" i="37"/>
  <c r="BL48" i="38"/>
  <c r="BL34" i="38"/>
  <c r="BL44" i="38"/>
  <c r="CC29" i="38"/>
  <c r="P31" i="38"/>
  <c r="CD27" i="38"/>
  <c r="CD32" i="38"/>
  <c r="S18" i="38"/>
  <c r="CB48" i="37"/>
  <c r="BY49" i="37"/>
  <c r="BX93" i="39"/>
  <c r="BY51" i="37"/>
  <c r="BX94" i="39"/>
  <c r="BX48" i="37"/>
  <c r="BX116" i="40"/>
  <c r="BX102" i="39"/>
  <c r="BX109" i="39" s="1"/>
  <c r="BX87" i="39"/>
  <c r="BX50" i="37"/>
  <c r="L56" i="37"/>
  <c r="BV84" i="38"/>
  <c r="BZ85" i="38"/>
  <c r="BL93" i="39"/>
  <c r="BL116" i="40"/>
  <c r="BL91" i="39"/>
  <c r="H19" i="54"/>
  <c r="H20" i="54" s="1"/>
  <c r="K73" i="54"/>
  <c r="K74" i="54" s="1"/>
  <c r="I19" i="54"/>
  <c r="I20" i="54" s="1"/>
  <c r="N55" i="54"/>
  <c r="N56" i="54" s="1"/>
  <c r="E55" i="54"/>
  <c r="E56" i="54" s="1"/>
  <c r="G37" i="54"/>
  <c r="G38" i="54" s="1"/>
  <c r="L73" i="54"/>
  <c r="L74" i="54" s="1"/>
  <c r="C55" i="54"/>
  <c r="C56" i="54" s="1"/>
  <c r="I37" i="54"/>
  <c r="I38" i="54" s="1"/>
  <c r="K19" i="54"/>
  <c r="K20" i="54" s="1"/>
  <c r="L64" i="54"/>
  <c r="L65" i="54" s="1"/>
  <c r="F73" i="54"/>
  <c r="F74" i="54" s="1"/>
  <c r="E28" i="54"/>
  <c r="E29" i="54" s="1"/>
  <c r="F91" i="54" s="1"/>
  <c r="F115" i="54" s="1"/>
  <c r="D46" i="54"/>
  <c r="D47" i="54" s="1"/>
  <c r="L28" i="54"/>
  <c r="L29" i="54" s="1"/>
  <c r="K37" i="54"/>
  <c r="K38" i="54" s="1"/>
  <c r="I46" i="54"/>
  <c r="I47" i="54" s="1"/>
  <c r="M46" i="54"/>
  <c r="M47" i="54" s="1"/>
  <c r="F46" i="54"/>
  <c r="F47" i="54" s="1"/>
  <c r="N73" i="54"/>
  <c r="N74" i="54" s="1"/>
  <c r="C28" i="54"/>
  <c r="C29" i="54" s="1"/>
  <c r="D91" i="54" s="1"/>
  <c r="D115" i="54" s="1"/>
  <c r="J64" i="54"/>
  <c r="J65" i="54" s="1"/>
  <c r="E64" i="54"/>
  <c r="E65" i="54" s="1"/>
  <c r="C73" i="54"/>
  <c r="C74" i="54" s="1"/>
  <c r="E73" i="54"/>
  <c r="E74" i="54" s="1"/>
  <c r="H37" i="54"/>
  <c r="H38" i="54" s="1"/>
  <c r="I28" i="54"/>
  <c r="I29" i="54" s="1"/>
  <c r="J19" i="54"/>
  <c r="J20" i="54" s="1"/>
  <c r="D64" i="54"/>
  <c r="D65" i="54" s="1"/>
  <c r="F64" i="54"/>
  <c r="F65" i="54" s="1"/>
  <c r="N46" i="54"/>
  <c r="N47" i="54" s="1"/>
  <c r="E46" i="54"/>
  <c r="E47" i="54" s="1"/>
  <c r="K64" i="54"/>
  <c r="K65" i="54" s="1"/>
  <c r="L46" i="54"/>
  <c r="L47" i="54" s="1"/>
  <c r="E37" i="54"/>
  <c r="E38" i="54" s="1"/>
  <c r="G19" i="54"/>
  <c r="G20" i="54" s="1"/>
  <c r="C64" i="54"/>
  <c r="C65" i="54" s="1"/>
  <c r="J37" i="54"/>
  <c r="J38" i="54" s="1"/>
  <c r="M73" i="54"/>
  <c r="M74" i="54" s="1"/>
  <c r="H64" i="54"/>
  <c r="H65" i="54" s="1"/>
  <c r="D73" i="54"/>
  <c r="D74" i="54" s="1"/>
  <c r="I55" i="54"/>
  <c r="I56" i="54" s="1"/>
  <c r="G46" i="54"/>
  <c r="G47" i="54" s="1"/>
  <c r="M28" i="54"/>
  <c r="M29" i="54" s="1"/>
  <c r="M55" i="54"/>
  <c r="M56" i="54" s="1"/>
  <c r="E19" i="54"/>
  <c r="E20" i="54" s="1"/>
  <c r="L19" i="54"/>
  <c r="L20" i="54" s="1"/>
  <c r="L37" i="54"/>
  <c r="L38" i="54" s="1"/>
  <c r="N64" i="54"/>
  <c r="N65" i="54" s="1"/>
  <c r="K55" i="54"/>
  <c r="K56" i="54" s="1"/>
  <c r="N19" i="54"/>
  <c r="N20" i="54" s="1"/>
  <c r="I64" i="54"/>
  <c r="I65" i="54" s="1"/>
  <c r="D28" i="54"/>
  <c r="D29" i="54" s="1"/>
  <c r="F55" i="54"/>
  <c r="F56" i="54" s="1"/>
  <c r="M64" i="54"/>
  <c r="M65" i="54" s="1"/>
  <c r="N37" i="54"/>
  <c r="N38" i="54" s="1"/>
  <c r="D55" i="54"/>
  <c r="D56" i="54" s="1"/>
  <c r="J73" i="54"/>
  <c r="J74" i="54" s="1"/>
  <c r="F28" i="54"/>
  <c r="F29" i="54" s="1"/>
  <c r="H55" i="54"/>
  <c r="H56" i="54" s="1"/>
  <c r="K28" i="54"/>
  <c r="K29" i="54" s="1"/>
  <c r="H73" i="54"/>
  <c r="H74" i="54" s="1"/>
  <c r="H28" i="54"/>
  <c r="H29" i="54" s="1"/>
  <c r="CC81" i="38"/>
  <c r="CC78" i="38"/>
  <c r="CC62" i="38"/>
  <c r="CC73" i="38"/>
  <c r="CC79" i="38"/>
  <c r="BQ45" i="38"/>
  <c r="BQ35" i="38"/>
  <c r="V106" i="3"/>
  <c r="L53" i="37"/>
  <c r="CC63" i="36"/>
  <c r="BU77" i="37"/>
  <c r="BU103" i="39" s="1"/>
  <c r="BU110" i="39" s="1"/>
  <c r="BU80" i="37"/>
  <c r="BU70" i="37"/>
  <c r="BU78" i="37"/>
  <c r="BS85" i="38"/>
  <c r="BS84" i="38"/>
  <c r="BL61" i="37"/>
  <c r="BL68" i="37"/>
  <c r="BS73" i="38"/>
  <c r="BS74" i="38"/>
  <c r="BH72" i="39"/>
  <c r="BK74" i="39"/>
  <c r="BH73" i="39"/>
  <c r="BH70" i="39"/>
  <c r="BH46" i="37"/>
  <c r="BL45" i="37"/>
  <c r="BH71" i="39"/>
  <c r="BH47" i="37"/>
  <c r="N13" i="38"/>
  <c r="N14" i="38"/>
  <c r="BH84" i="38"/>
  <c r="BL85" i="38"/>
  <c r="BH85" i="38"/>
  <c r="BG71" i="39"/>
  <c r="BG47" i="37"/>
  <c r="BG72" i="39"/>
  <c r="BG46" i="37"/>
  <c r="BG70" i="39"/>
  <c r="BJ74" i="39"/>
  <c r="BG73" i="39"/>
  <c r="O14" i="38"/>
  <c r="O13" i="38"/>
  <c r="P13" i="38"/>
  <c r="P14" i="38"/>
  <c r="BP78" i="38"/>
  <c r="P63" i="38"/>
  <c r="O47" i="39"/>
  <c r="O56" i="39" s="1"/>
  <c r="O57" i="39" s="1"/>
  <c r="BC14" i="38"/>
  <c r="BQ34" i="38"/>
  <c r="BQ46" i="38"/>
  <c r="M28" i="38"/>
  <c r="K67" i="37"/>
  <c r="K66" i="37"/>
  <c r="M124" i="40"/>
  <c r="N66" i="37"/>
  <c r="M67" i="37"/>
  <c r="O52" i="37"/>
  <c r="O53" i="37" s="1"/>
  <c r="K97" i="37"/>
  <c r="K98" i="37"/>
  <c r="J40" i="39"/>
  <c r="J76" i="39" s="1"/>
  <c r="BE47" i="39"/>
  <c r="BQ47" i="39"/>
  <c r="BQ76" i="39"/>
  <c r="BY47" i="39"/>
  <c r="BY76" i="39"/>
  <c r="K40" i="37"/>
  <c r="K44" i="37"/>
  <c r="K39" i="37"/>
  <c r="BN46" i="38"/>
  <c r="BN39" i="38"/>
  <c r="M39" i="38" s="1"/>
  <c r="BN48" i="38"/>
  <c r="BN44" i="38"/>
  <c r="K53" i="37"/>
  <c r="K54" i="37"/>
  <c r="K9" i="38"/>
  <c r="K10" i="38" s="1"/>
  <c r="K82" i="39"/>
  <c r="K64" i="37"/>
  <c r="K124" i="40"/>
  <c r="K120" i="39"/>
  <c r="K63" i="37"/>
  <c r="BX84" i="38"/>
  <c r="BX85" i="38"/>
  <c r="K116" i="39"/>
  <c r="K16" i="37"/>
  <c r="K28" i="37"/>
  <c r="K69" i="39"/>
  <c r="K37" i="37"/>
  <c r="K36" i="37"/>
  <c r="K24" i="37"/>
  <c r="K35" i="37"/>
  <c r="K32" i="37"/>
  <c r="K21" i="36"/>
  <c r="K47" i="37"/>
  <c r="K43" i="37"/>
  <c r="N56" i="37"/>
  <c r="BT74" i="39"/>
  <c r="BU45" i="37"/>
  <c r="BQ46" i="37"/>
  <c r="BQ72" i="39"/>
  <c r="BQ70" i="39"/>
  <c r="BQ73" i="39"/>
  <c r="BQ71" i="39"/>
  <c r="BQ45" i="37"/>
  <c r="M76" i="39"/>
  <c r="M105" i="39" s="1"/>
  <c r="M112" i="39" s="1"/>
  <c r="M47" i="39"/>
  <c r="M56" i="39" s="1"/>
  <c r="M57" i="39" s="1"/>
  <c r="BI72" i="39"/>
  <c r="BI70" i="39"/>
  <c r="BI73" i="39"/>
  <c r="BI71" i="39"/>
  <c r="BI46" i="37"/>
  <c r="BL74" i="39"/>
  <c r="BY53" i="37"/>
  <c r="BY54" i="37"/>
  <c r="BY102" i="39"/>
  <c r="BY58" i="37"/>
  <c r="R79" i="3"/>
  <c r="R90" i="3" s="1"/>
  <c r="R105" i="3" s="1"/>
  <c r="R106" i="3" s="1"/>
  <c r="BQ47" i="38"/>
  <c r="Q64" i="38"/>
  <c r="R64" i="38" s="1"/>
  <c r="N94" i="37"/>
  <c r="M46" i="38"/>
  <c r="BI69" i="38"/>
  <c r="BI77" i="38"/>
  <c r="BI62" i="38"/>
  <c r="BI81" i="38"/>
  <c r="BI79" i="38"/>
  <c r="BI72" i="38"/>
  <c r="BI83" i="38"/>
  <c r="BI84" i="38" s="1"/>
  <c r="BY29" i="38"/>
  <c r="BY34" i="38"/>
  <c r="BI47" i="39"/>
  <c r="BI76" i="39"/>
  <c r="BI105" i="39" s="1"/>
  <c r="BI112" i="39" s="1"/>
  <c r="BF102" i="39"/>
  <c r="BF58" i="37"/>
  <c r="BF116" i="40"/>
  <c r="BF94" i="39"/>
  <c r="BF91" i="39"/>
  <c r="BF50" i="37"/>
  <c r="BF87" i="39"/>
  <c r="BF93" i="39"/>
  <c r="BI47" i="37"/>
  <c r="BU121" i="39"/>
  <c r="BQ121" i="39"/>
  <c r="BQ165" i="39"/>
  <c r="BH74" i="38"/>
  <c r="BH73" i="38"/>
  <c r="BM47" i="39"/>
  <c r="BM76" i="39"/>
  <c r="BU47" i="39"/>
  <c r="BU76" i="39"/>
  <c r="CC77" i="39"/>
  <c r="CC105" i="39"/>
  <c r="BK71" i="39"/>
  <c r="BN74" i="39"/>
  <c r="BK72" i="39"/>
  <c r="BK45" i="37"/>
  <c r="BK70" i="39"/>
  <c r="BK47" i="37"/>
  <c r="BK73" i="39"/>
  <c r="BK46" i="37"/>
  <c r="K57" i="37"/>
  <c r="K56" i="37"/>
  <c r="O55" i="37"/>
  <c r="CB56" i="37"/>
  <c r="BX57" i="37"/>
  <c r="BX56" i="37"/>
  <c r="BX58" i="37"/>
  <c r="BG74" i="38"/>
  <c r="BG73" i="38"/>
  <c r="BF14" i="38"/>
  <c r="BE14" i="38"/>
  <c r="BI121" i="39"/>
  <c r="BI165" i="39"/>
  <c r="BQ47" i="37"/>
  <c r="BJ39" i="38"/>
  <c r="BJ48" i="38"/>
  <c r="BJ44" i="38"/>
  <c r="BG85" i="38"/>
  <c r="BG84" i="38"/>
  <c r="BU60" i="37"/>
  <c r="BT68" i="37"/>
  <c r="BT61" i="37"/>
  <c r="BT60" i="37"/>
  <c r="L63" i="37"/>
  <c r="L82" i="39"/>
  <c r="L120" i="39"/>
  <c r="P86" i="38"/>
  <c r="M120" i="39"/>
  <c r="M63" i="37"/>
  <c r="N63" i="37"/>
  <c r="M82" i="39"/>
  <c r="M64" i="37"/>
  <c r="BU69" i="38"/>
  <c r="BU81" i="38"/>
  <c r="BU83" i="38"/>
  <c r="BU84" i="38" s="1"/>
  <c r="BU79" i="38"/>
  <c r="BX77" i="39"/>
  <c r="BX105" i="39"/>
  <c r="BX112" i="39" s="1"/>
  <c r="CC57" i="39"/>
  <c r="CC56" i="39"/>
  <c r="L39" i="37"/>
  <c r="L44" i="37"/>
  <c r="BO72" i="39"/>
  <c r="BO45" i="37"/>
  <c r="BS45" i="37"/>
  <c r="BO73" i="39"/>
  <c r="BO46" i="37"/>
  <c r="BO71" i="39"/>
  <c r="BO47" i="37"/>
  <c r="BR74" i="39"/>
  <c r="BO70" i="39"/>
  <c r="BM73" i="39"/>
  <c r="BM71" i="39"/>
  <c r="BM72" i="39"/>
  <c r="BP74" i="39"/>
  <c r="BM45" i="37"/>
  <c r="BM70" i="39"/>
  <c r="BM46" i="37"/>
  <c r="BH13" i="38"/>
  <c r="BH14" i="38"/>
  <c r="M57" i="37"/>
  <c r="M56" i="37"/>
  <c r="CB74" i="38"/>
  <c r="BX73" i="38"/>
  <c r="J32" i="37"/>
  <c r="J58" i="38"/>
  <c r="J79" i="38"/>
  <c r="J37" i="37"/>
  <c r="J28" i="37"/>
  <c r="J20" i="37"/>
  <c r="J24" i="37"/>
  <c r="J57" i="37"/>
  <c r="J35" i="37"/>
  <c r="J12" i="37"/>
  <c r="J21" i="36"/>
  <c r="J67" i="37"/>
  <c r="J64" i="37"/>
  <c r="J47" i="37"/>
  <c r="J54" i="37"/>
  <c r="J116" i="39"/>
  <c r="J40" i="37"/>
  <c r="J43" i="37"/>
  <c r="J46" i="37"/>
  <c r="M106" i="3"/>
  <c r="L10" i="38"/>
  <c r="BE121" i="39"/>
  <c r="BE165" i="39"/>
  <c r="BE166" i="39" s="1"/>
  <c r="BM121" i="39"/>
  <c r="BM165" i="39"/>
  <c r="CL62" i="36"/>
  <c r="CL61" i="36" s="1"/>
  <c r="CH64" i="36"/>
  <c r="CH65" i="36" s="1"/>
  <c r="BO166" i="39"/>
  <c r="N77" i="39"/>
  <c r="N105" i="39"/>
  <c r="N112" i="39" s="1"/>
  <c r="L39" i="38"/>
  <c r="BM58" i="37"/>
  <c r="BM93" i="39"/>
  <c r="BM48" i="37"/>
  <c r="BM91" i="39"/>
  <c r="BM102" i="39"/>
  <c r="BM109" i="39" s="1"/>
  <c r="BM49" i="37"/>
  <c r="BM51" i="37"/>
  <c r="BM94" i="39"/>
  <c r="BM116" i="40"/>
  <c r="BM87" i="39"/>
  <c r="BM50" i="37"/>
  <c r="P73" i="38"/>
  <c r="P62" i="38"/>
  <c r="P69" i="38"/>
  <c r="P83" i="38"/>
  <c r="P84" i="38" s="1"/>
  <c r="P81" i="38"/>
  <c r="CB79" i="38"/>
  <c r="CB78" i="38"/>
  <c r="C74" i="67"/>
  <c r="K104" i="54"/>
  <c r="J104" i="54"/>
  <c r="I104" i="54"/>
  <c r="H104" i="54"/>
  <c r="G104" i="54"/>
  <c r="C98" i="54"/>
  <c r="C104" i="54"/>
  <c r="D98" i="54"/>
  <c r="AU9" i="63"/>
  <c r="AX9" i="63" s="1"/>
  <c r="D74" i="67"/>
  <c r="X29" i="61"/>
  <c r="X86" i="61"/>
  <c r="W29" i="61"/>
  <c r="W86" i="61"/>
  <c r="U33" i="61"/>
  <c r="U35" i="61" s="1"/>
  <c r="U34" i="61"/>
  <c r="Y33" i="61"/>
  <c r="AM10" i="63"/>
  <c r="Y34" i="61"/>
  <c r="Y32" i="61"/>
  <c r="W32" i="61"/>
  <c r="W33" i="61"/>
  <c r="W34" i="61"/>
  <c r="C10" i="63"/>
  <c r="Z10" i="63"/>
  <c r="AK10" i="63"/>
  <c r="BM76" i="38"/>
  <c r="BM74" i="38"/>
  <c r="O95" i="37"/>
  <c r="M100" i="37"/>
  <c r="BS44" i="38"/>
  <c r="BS46" i="38"/>
  <c r="BS48" i="38"/>
  <c r="N42" i="37"/>
  <c r="M44" i="37"/>
  <c r="M43" i="37"/>
  <c r="M42" i="37"/>
  <c r="L124" i="40"/>
  <c r="M66" i="37"/>
  <c r="L66" i="37"/>
  <c r="L67" i="37"/>
  <c r="M20" i="38"/>
  <c r="CI62" i="36"/>
  <c r="CI61" i="36" s="1"/>
  <c r="CI64" i="36" s="1"/>
  <c r="CE63" i="36"/>
  <c r="BJ105" i="39"/>
  <c r="BJ112" i="39" s="1"/>
  <c r="BB47" i="37"/>
  <c r="BB46" i="37"/>
  <c r="BJ45" i="37"/>
  <c r="BJ47" i="37"/>
  <c r="BJ73" i="39"/>
  <c r="BM74" i="39"/>
  <c r="BJ72" i="39"/>
  <c r="BJ46" i="37"/>
  <c r="BJ71" i="39"/>
  <c r="BW85" i="38"/>
  <c r="BW84" i="38"/>
  <c r="L77" i="39"/>
  <c r="M77" i="39"/>
  <c r="L105" i="39"/>
  <c r="L112" i="39" s="1"/>
  <c r="BM34" i="38"/>
  <c r="BM46" i="38"/>
  <c r="BM29" i="38"/>
  <c r="L29" i="38" s="1"/>
  <c r="BJ84" i="38"/>
  <c r="M94" i="37"/>
  <c r="N95" i="37" s="1"/>
  <c r="BH77" i="39"/>
  <c r="BH105" i="39"/>
  <c r="O77" i="39"/>
  <c r="O105" i="39"/>
  <c r="O112" i="39" s="1"/>
  <c r="BR84" i="38"/>
  <c r="BV85" i="38"/>
  <c r="L103" i="37"/>
  <c r="L92" i="37"/>
  <c r="L66" i="40"/>
  <c r="L69" i="40" s="1"/>
  <c r="CA69" i="38"/>
  <c r="CA81" i="38"/>
  <c r="CA79" i="38"/>
  <c r="CA83" i="38"/>
  <c r="CA77" i="38"/>
  <c r="CA78" i="38"/>
  <c r="CA73" i="38"/>
  <c r="BT62" i="36"/>
  <c r="N61" i="36"/>
  <c r="N62" i="36" s="1"/>
  <c r="BD47" i="37"/>
  <c r="BH45" i="37"/>
  <c r="BG74" i="39"/>
  <c r="BD46" i="37"/>
  <c r="L28" i="38"/>
  <c r="L46" i="38" s="1"/>
  <c r="BV57" i="39"/>
  <c r="BU73" i="38"/>
  <c r="BC46" i="37"/>
  <c r="BC47" i="37"/>
  <c r="BF74" i="39"/>
  <c r="BG45" i="37"/>
  <c r="M76" i="37"/>
  <c r="L24" i="37"/>
  <c r="L54" i="37"/>
  <c r="L28" i="37"/>
  <c r="M36" i="37"/>
  <c r="L35" i="37"/>
  <c r="L37" i="37"/>
  <c r="L32" i="37"/>
  <c r="L12" i="37"/>
  <c r="L43" i="37"/>
  <c r="L40" i="37"/>
  <c r="M37" i="37"/>
  <c r="L21" i="36"/>
  <c r="L16" i="37"/>
  <c r="L57" i="37"/>
  <c r="L64" i="37"/>
  <c r="M35" i="37"/>
  <c r="L20" i="37"/>
  <c r="L69" i="39"/>
  <c r="L36" i="37"/>
  <c r="L97" i="37"/>
  <c r="L99" i="37"/>
  <c r="L98" i="37"/>
  <c r="M96" i="37"/>
  <c r="M99" i="37" s="1"/>
  <c r="BJ45" i="38"/>
  <c r="BJ35" i="38"/>
  <c r="BJ47" i="38"/>
  <c r="BL105" i="39"/>
  <c r="BM77" i="39"/>
  <c r="O61" i="36"/>
  <c r="O62" i="36" s="1"/>
  <c r="BN61" i="40"/>
  <c r="BM63" i="40"/>
  <c r="BR77" i="39"/>
  <c r="BR105" i="39"/>
  <c r="BR112" i="39" s="1"/>
  <c r="BW63" i="36"/>
  <c r="BY72" i="38"/>
  <c r="O72" i="38" s="1"/>
  <c r="BY62" i="38"/>
  <c r="BY78" i="38"/>
  <c r="BY77" i="38"/>
  <c r="BY69" i="38"/>
  <c r="BY81" i="38"/>
  <c r="BY79" i="38"/>
  <c r="BY83" i="38"/>
  <c r="M95" i="37"/>
  <c r="BP72" i="38"/>
  <c r="BP81" i="38"/>
  <c r="BP79" i="38"/>
  <c r="BP62" i="38"/>
  <c r="BP83" i="38"/>
  <c r="BP77" i="38"/>
  <c r="BS39" i="38"/>
  <c r="BS47" i="38" s="1"/>
  <c r="BL73" i="38"/>
  <c r="BL74" i="38"/>
  <c r="L72" i="38"/>
  <c r="BW73" i="38"/>
  <c r="BW74" i="38"/>
  <c r="CA74" i="38"/>
  <c r="BL57" i="39"/>
  <c r="BL56" i="39"/>
  <c r="S61" i="36"/>
  <c r="CL64" i="36"/>
  <c r="AU10" i="63"/>
  <c r="Z33" i="61"/>
  <c r="AL5" i="61"/>
  <c r="F35" i="61"/>
  <c r="F36" i="61"/>
  <c r="P33" i="61"/>
  <c r="J34" i="61"/>
  <c r="L29" i="61"/>
  <c r="L86" i="61"/>
  <c r="M30" i="61"/>
  <c r="F32" i="61"/>
  <c r="H28" i="61"/>
  <c r="H85" i="61"/>
  <c r="N34" i="61"/>
  <c r="N33" i="61"/>
  <c r="N35" i="61" s="1"/>
  <c r="R34" i="61"/>
  <c r="I32" i="61"/>
  <c r="S34" i="61"/>
  <c r="O33" i="61"/>
  <c r="O35" i="61" s="1"/>
  <c r="I86" i="61"/>
  <c r="I29" i="61"/>
  <c r="K33" i="61"/>
  <c r="P30" i="61"/>
  <c r="K32" i="61"/>
  <c r="G30" i="61"/>
  <c r="L85" i="61"/>
  <c r="P34" i="61"/>
  <c r="L28" i="61"/>
  <c r="CB84" i="38"/>
  <c r="CB85" i="38"/>
  <c r="L11" i="54"/>
  <c r="L100" i="54" s="1"/>
  <c r="O106" i="3"/>
  <c r="P106" i="3"/>
  <c r="P47" i="39"/>
  <c r="P56" i="39" s="1"/>
  <c r="P57" i="39" s="1"/>
  <c r="P76" i="39"/>
  <c r="R18" i="38"/>
  <c r="BY46" i="38"/>
  <c r="BY39" i="38"/>
  <c r="O38" i="38"/>
  <c r="BY48" i="38"/>
  <c r="BY44" i="38"/>
  <c r="BZ21" i="36"/>
  <c r="CD18" i="36"/>
  <c r="BZ18" i="36"/>
  <c r="Q20" i="36"/>
  <c r="R20" i="36"/>
  <c r="Q37" i="38"/>
  <c r="CD39" i="38"/>
  <c r="P21" i="36"/>
  <c r="P20" i="36"/>
  <c r="BX99" i="36"/>
  <c r="R215" i="36"/>
  <c r="R216" i="36" s="1"/>
  <c r="R212" i="36"/>
  <c r="S211" i="36"/>
  <c r="R213" i="36"/>
  <c r="R211" i="36"/>
  <c r="CI73" i="40"/>
  <c r="CI79" i="40"/>
  <c r="CE76" i="36"/>
  <c r="CE78" i="36" s="1"/>
  <c r="CE82" i="36" s="1"/>
  <c r="CE83" i="36" s="1"/>
  <c r="CE189" i="36"/>
  <c r="CJ90" i="39"/>
  <c r="BV71" i="39"/>
  <c r="BV45" i="37"/>
  <c r="BY74" i="39"/>
  <c r="BV46" i="37"/>
  <c r="BV72" i="39"/>
  <c r="BV47" i="37"/>
  <c r="BV70" i="39"/>
  <c r="BV73" i="39"/>
  <c r="Q42" i="38"/>
  <c r="K76" i="37"/>
  <c r="BS92" i="36"/>
  <c r="BS93" i="36"/>
  <c r="BW94" i="36" s="1"/>
  <c r="BT93" i="36"/>
  <c r="BX94" i="36" s="1"/>
  <c r="BW92" i="36"/>
  <c r="CG76" i="36"/>
  <c r="CG78" i="36" s="1"/>
  <c r="CG82" i="36" s="1"/>
  <c r="CG83" i="36" s="1"/>
  <c r="CG189" i="36"/>
  <c r="BY90" i="39"/>
  <c r="O66" i="37"/>
  <c r="O124" i="40"/>
  <c r="BS105" i="39"/>
  <c r="BS77" i="39"/>
  <c r="BT77" i="39"/>
  <c r="P66" i="37"/>
  <c r="K61" i="3"/>
  <c r="K62" i="3" s="1"/>
  <c r="K59" i="3"/>
  <c r="L76" i="37"/>
  <c r="CH213" i="39"/>
  <c r="Q215" i="39"/>
  <c r="R213" i="39" s="1"/>
  <c r="CH303" i="39"/>
  <c r="Q305" i="39"/>
  <c r="R303" i="39" s="1"/>
  <c r="AC58" i="61"/>
  <c r="CB83" i="37"/>
  <c r="CB84" i="37"/>
  <c r="CB82" i="37"/>
  <c r="CB86" i="37"/>
  <c r="CB88" i="37"/>
  <c r="CB119" i="37"/>
  <c r="CG300" i="39"/>
  <c r="CG152" i="39" s="1"/>
  <c r="CF295" i="39"/>
  <c r="CG293" i="39" s="1"/>
  <c r="CF290" i="39"/>
  <c r="CG288" i="39" s="1"/>
  <c r="CF150" i="39"/>
  <c r="CF173" i="39"/>
  <c r="CE199" i="39"/>
  <c r="BN103" i="37"/>
  <c r="BO102" i="37"/>
  <c r="CK146" i="39"/>
  <c r="CK270" i="39"/>
  <c r="CL108" i="39"/>
  <c r="N32" i="61"/>
  <c r="CK285" i="39"/>
  <c r="CK149" i="39"/>
  <c r="R149" i="39" s="1"/>
  <c r="CA88" i="36"/>
  <c r="CA91" i="36"/>
  <c r="V86" i="61"/>
  <c r="V29" i="61"/>
  <c r="BE76" i="38"/>
  <c r="BI63" i="38"/>
  <c r="BE62" i="38"/>
  <c r="N59" i="38"/>
  <c r="N10" i="38"/>
  <c r="O10" i="38"/>
  <c r="BT73" i="38"/>
  <c r="BT74" i="38"/>
  <c r="N72" i="38"/>
  <c r="BX74" i="38"/>
  <c r="BF78" i="38"/>
  <c r="BF77" i="38"/>
  <c r="BJ78" i="38"/>
  <c r="BF83" i="38"/>
  <c r="BF69" i="38"/>
  <c r="BF81" i="38"/>
  <c r="BF72" i="38"/>
  <c r="BF79" i="38"/>
  <c r="BF62" i="38"/>
  <c r="K76" i="38"/>
  <c r="CI18" i="36"/>
  <c r="CI21" i="36"/>
  <c r="BZ186" i="36"/>
  <c r="CD53" i="36"/>
  <c r="BZ54" i="36"/>
  <c r="BZ53" i="36"/>
  <c r="CF99" i="36"/>
  <c r="G36" i="60"/>
  <c r="BR76" i="36"/>
  <c r="BR189" i="36"/>
  <c r="CK47" i="39"/>
  <c r="CU40" i="39"/>
  <c r="BQ90" i="39"/>
  <c r="BQ91" i="39"/>
  <c r="CH45" i="37"/>
  <c r="CD71" i="39"/>
  <c r="CD45" i="37"/>
  <c r="CD47" i="37"/>
  <c r="CD46" i="37"/>
  <c r="CD72" i="39"/>
  <c r="CD70" i="39"/>
  <c r="CD73" i="39"/>
  <c r="CG74" i="39"/>
  <c r="CA96" i="37"/>
  <c r="BZ97" i="37"/>
  <c r="BZ98" i="37"/>
  <c r="CE88" i="36"/>
  <c r="BV76" i="36"/>
  <c r="BV189" i="36"/>
  <c r="BZ213" i="36"/>
  <c r="BX79" i="40"/>
  <c r="BX73" i="40"/>
  <c r="CB90" i="39"/>
  <c r="BH74" i="39"/>
  <c r="BE71" i="39"/>
  <c r="BE72" i="39"/>
  <c r="BE70" i="39"/>
  <c r="BE73" i="39"/>
  <c r="BI45" i="37"/>
  <c r="BE46" i="37"/>
  <c r="R171" i="36"/>
  <c r="W59" i="3"/>
  <c r="W79" i="3"/>
  <c r="W90" i="3" s="1"/>
  <c r="W105" i="3" s="1"/>
  <c r="W61" i="3"/>
  <c r="W62" i="3" s="1"/>
  <c r="N21" i="36"/>
  <c r="CC88" i="37"/>
  <c r="CC82" i="37"/>
  <c r="CC84" i="37"/>
  <c r="CC119" i="37"/>
  <c r="CG81" i="37"/>
  <c r="CC83" i="37"/>
  <c r="CC86" i="37"/>
  <c r="S71" i="38"/>
  <c r="CG180" i="39"/>
  <c r="CG126" i="39"/>
  <c r="CF147" i="39"/>
  <c r="CF275" i="39"/>
  <c r="CG273" i="39" s="1"/>
  <c r="CE151" i="39"/>
  <c r="CE150" i="39"/>
  <c r="AY4" i="61"/>
  <c r="AK9" i="63"/>
  <c r="Z9" i="63"/>
  <c r="CL101" i="39"/>
  <c r="S96" i="40"/>
  <c r="BS165" i="39"/>
  <c r="BS166" i="39" s="1"/>
  <c r="BT163" i="39"/>
  <c r="S235" i="39"/>
  <c r="S138" i="39" s="1"/>
  <c r="P61" i="36"/>
  <c r="P62" i="36" s="1"/>
  <c r="P63" i="36" s="1"/>
  <c r="BZ62" i="36"/>
  <c r="BZ63" i="36" s="1"/>
  <c r="S148" i="36"/>
  <c r="S149" i="36"/>
  <c r="S98" i="36"/>
  <c r="S99" i="36" s="1"/>
  <c r="U31" i="61"/>
  <c r="T29" i="61"/>
  <c r="T86" i="61"/>
  <c r="M32" i="38"/>
  <c r="AD43" i="63"/>
  <c r="AD40" i="63"/>
  <c r="BS20" i="38"/>
  <c r="BS18" i="38"/>
  <c r="N18" i="38" s="1"/>
  <c r="N19" i="38" s="1"/>
  <c r="O16" i="38" s="1"/>
  <c r="S10" i="36"/>
  <c r="S17" i="36"/>
  <c r="CK53" i="36"/>
  <c r="CK127" i="36"/>
  <c r="CK213" i="36"/>
  <c r="CK81" i="36"/>
  <c r="CK70" i="36"/>
  <c r="CK54" i="36"/>
  <c r="P37" i="38"/>
  <c r="BZ39" i="38"/>
  <c r="CB63" i="36"/>
  <c r="G19" i="63"/>
  <c r="BR21" i="36"/>
  <c r="BV18" i="36"/>
  <c r="S125" i="36"/>
  <c r="R129" i="36"/>
  <c r="R130" i="36" s="1"/>
  <c r="R125" i="36"/>
  <c r="R126" i="36"/>
  <c r="R127" i="36"/>
  <c r="CD105" i="39"/>
  <c r="CD112" i="39" s="1"/>
  <c r="CE77" i="39"/>
  <c r="BN45" i="38"/>
  <c r="M29" i="38"/>
  <c r="BN47" i="38"/>
  <c r="BN35" i="38"/>
  <c r="BZ127" i="36"/>
  <c r="BU76" i="36"/>
  <c r="BU78" i="36" s="1"/>
  <c r="BU82" i="36" s="1"/>
  <c r="BU83" i="36" s="1"/>
  <c r="BU189" i="36"/>
  <c r="S212" i="36"/>
  <c r="S215" i="36"/>
  <c r="S216" i="36" s="1"/>
  <c r="S218" i="36"/>
  <c r="S204" i="36"/>
  <c r="BT90" i="39"/>
  <c r="BT91" i="39"/>
  <c r="BE47" i="37"/>
  <c r="O31" i="36"/>
  <c r="P31" i="36"/>
  <c r="O32" i="36"/>
  <c r="BY76" i="36"/>
  <c r="BY78" i="36" s="1"/>
  <c r="BY82" i="36" s="1"/>
  <c r="BY83" i="36" s="1"/>
  <c r="BY189" i="36"/>
  <c r="Q39" i="37"/>
  <c r="R39" i="37"/>
  <c r="Q40" i="37"/>
  <c r="Q44" i="37"/>
  <c r="R124" i="40"/>
  <c r="R82" i="39"/>
  <c r="R120" i="39"/>
  <c r="S63" i="37"/>
  <c r="R63" i="37"/>
  <c r="CE223" i="39"/>
  <c r="CD239" i="39"/>
  <c r="S60" i="40"/>
  <c r="S65" i="40"/>
  <c r="BW77" i="39"/>
  <c r="BV105" i="39"/>
  <c r="BV112" i="39" s="1"/>
  <c r="BV77" i="39"/>
  <c r="H106" i="3"/>
  <c r="S166" i="36"/>
  <c r="BK105" i="39"/>
  <c r="BK77" i="39"/>
  <c r="BL77" i="39"/>
  <c r="CE258" i="39"/>
  <c r="CD325" i="39"/>
  <c r="S59" i="3"/>
  <c r="S61" i="3"/>
  <c r="S62" i="3" s="1"/>
  <c r="S79" i="3"/>
  <c r="S90" i="3" s="1"/>
  <c r="S105" i="3" s="1"/>
  <c r="CF210" i="39"/>
  <c r="CG208" i="39" s="1"/>
  <c r="S99" i="40"/>
  <c r="S91" i="40" s="1"/>
  <c r="CF154" i="39"/>
  <c r="CF310" i="39"/>
  <c r="CG308" i="39" s="1"/>
  <c r="P213" i="36"/>
  <c r="Q53" i="36"/>
  <c r="P186" i="36"/>
  <c r="P54" i="36"/>
  <c r="P127" i="36"/>
  <c r="Q70" i="38"/>
  <c r="CF126" i="39"/>
  <c r="Q126" i="39" s="1"/>
  <c r="CK195" i="39"/>
  <c r="CK129" i="39" s="1"/>
  <c r="CG220" i="39"/>
  <c r="CG135" i="39"/>
  <c r="CF101" i="39"/>
  <c r="CF110" i="39"/>
  <c r="CF108" i="39" s="1"/>
  <c r="S32" i="61"/>
  <c r="CG245" i="39"/>
  <c r="CG141" i="39" s="1"/>
  <c r="CF265" i="39"/>
  <c r="CG263" i="39" s="1"/>
  <c r="CF145" i="39"/>
  <c r="CE125" i="39"/>
  <c r="CI156" i="39"/>
  <c r="CI320" i="39"/>
  <c r="CJ318" i="39" s="1"/>
  <c r="G32" i="61"/>
  <c r="M36" i="61"/>
  <c r="M35" i="61"/>
  <c r="BR48" i="38"/>
  <c r="BR46" i="38"/>
  <c r="BR39" i="38"/>
  <c r="N38" i="38"/>
  <c r="BR44" i="38"/>
  <c r="AB58" i="61"/>
  <c r="Q46" i="38"/>
  <c r="BQ69" i="38"/>
  <c r="BQ77" i="38"/>
  <c r="BQ81" i="38"/>
  <c r="BQ83" i="38"/>
  <c r="BU78" i="38"/>
  <c r="BQ79" i="38"/>
  <c r="BQ62" i="38"/>
  <c r="BQ72" i="38"/>
  <c r="BQ78" i="38"/>
  <c r="Q112" i="36"/>
  <c r="R112" i="36"/>
  <c r="F79" i="63"/>
  <c r="F73" i="63"/>
  <c r="F75" i="63"/>
  <c r="H67" i="63"/>
  <c r="CA18" i="38"/>
  <c r="CA20" i="38"/>
  <c r="BN73" i="38"/>
  <c r="BR78" i="38"/>
  <c r="BN81" i="38"/>
  <c r="BN83" i="38"/>
  <c r="BN69" i="38"/>
  <c r="BN77" i="38"/>
  <c r="BN78" i="38"/>
  <c r="M76" i="38"/>
  <c r="BN79" i="38"/>
  <c r="BN62" i="38"/>
  <c r="BW18" i="36"/>
  <c r="BW21" i="36"/>
  <c r="CF62" i="36"/>
  <c r="Q61" i="36"/>
  <c r="Q62" i="36" s="1"/>
  <c r="Q86" i="36"/>
  <c r="Q91" i="36"/>
  <c r="CB45" i="36"/>
  <c r="O44" i="36"/>
  <c r="L48" i="38"/>
  <c r="L44" i="38"/>
  <c r="Q12" i="36"/>
  <c r="Q17" i="36"/>
  <c r="R12" i="36"/>
  <c r="CC76" i="36"/>
  <c r="CC189" i="36"/>
  <c r="CG90" i="39"/>
  <c r="CG91" i="39"/>
  <c r="BP47" i="37"/>
  <c r="BT45" i="37"/>
  <c r="BP71" i="39"/>
  <c r="BP46" i="37"/>
  <c r="BP72" i="39"/>
  <c r="BS74" i="39"/>
  <c r="BP73" i="39"/>
  <c r="BP70" i="39"/>
  <c r="BP45" i="37"/>
  <c r="N42" i="38"/>
  <c r="Q53" i="37"/>
  <c r="CD76" i="36"/>
  <c r="CD189" i="36"/>
  <c r="O207" i="36"/>
  <c r="O212" i="36"/>
  <c r="O215" i="36"/>
  <c r="O216" i="36" s="1"/>
  <c r="O209" i="36"/>
  <c r="O218" i="36"/>
  <c r="P204" i="36"/>
  <c r="O204" i="36"/>
  <c r="Q90" i="39"/>
  <c r="BN71" i="39"/>
  <c r="BN45" i="37"/>
  <c r="BR45" i="37"/>
  <c r="BN46" i="37"/>
  <c r="BN70" i="39"/>
  <c r="BN73" i="39"/>
  <c r="BQ74" i="39"/>
  <c r="BN47" i="37"/>
  <c r="BN72" i="39"/>
  <c r="L12" i="38"/>
  <c r="BK14" i="38"/>
  <c r="BJ14" i="38"/>
  <c r="BJ13" i="38"/>
  <c r="BN13" i="38"/>
  <c r="BJ121" i="39"/>
  <c r="BJ165" i="39"/>
  <c r="CG248" i="36"/>
  <c r="CF249" i="36"/>
  <c r="CF258" i="36"/>
  <c r="BS57" i="39"/>
  <c r="CD136" i="39"/>
  <c r="CD139" i="39" s="1"/>
  <c r="BN121" i="39"/>
  <c r="X192" i="2"/>
  <c r="S86" i="39"/>
  <c r="S90" i="39"/>
  <c r="S56" i="39"/>
  <c r="S57" i="39" s="1"/>
  <c r="CF137" i="39"/>
  <c r="CF230" i="39"/>
  <c r="CK186" i="36"/>
  <c r="CD144" i="39"/>
  <c r="BZ45" i="37"/>
  <c r="K79" i="3"/>
  <c r="K90" i="3" s="1"/>
  <c r="K105" i="3" s="1"/>
  <c r="CG153" i="39"/>
  <c r="Q153" i="39" s="1"/>
  <c r="CG183" i="39"/>
  <c r="CE154" i="39"/>
  <c r="CG82" i="37"/>
  <c r="CF81" i="37"/>
  <c r="CF83" i="37"/>
  <c r="CJ81" i="37"/>
  <c r="CF82" i="37"/>
  <c r="CF86" i="37"/>
  <c r="CF88" i="37"/>
  <c r="CF84" i="37"/>
  <c r="CF152" i="39"/>
  <c r="CI129" i="39"/>
  <c r="CF135" i="39"/>
  <c r="Q135" i="39" s="1"/>
  <c r="CJ205" i="39"/>
  <c r="CK203" i="39" s="1"/>
  <c r="CB101" i="39"/>
  <c r="CB110" i="39"/>
  <c r="CB108" i="39" s="1"/>
  <c r="CF141" i="39"/>
  <c r="CE145" i="39"/>
  <c r="CG255" i="39"/>
  <c r="CG143" i="39" s="1"/>
  <c r="Q143" i="39" s="1"/>
  <c r="CJ102" i="37"/>
  <c r="CI103" i="37"/>
  <c r="CI104" i="37" s="1"/>
  <c r="CI59" i="39" s="1"/>
  <c r="CJ146" i="39"/>
  <c r="R146" i="39" s="1"/>
  <c r="CL7" i="40"/>
  <c r="CL7" i="36"/>
  <c r="CL7" i="38"/>
  <c r="CJ315" i="39"/>
  <c r="CK313" i="39" s="1"/>
  <c r="CJ155" i="39"/>
  <c r="CC84" i="38"/>
  <c r="CC85" i="38"/>
  <c r="Q32" i="61"/>
  <c r="CJ250" i="39"/>
  <c r="CK248" i="39" s="1"/>
  <c r="Q63" i="38" l="1"/>
  <c r="Q63" i="36"/>
  <c r="BM166" i="39"/>
  <c r="P32" i="38"/>
  <c r="Q32" i="38"/>
  <c r="R39" i="38"/>
  <c r="R47" i="38" s="1"/>
  <c r="R45" i="38"/>
  <c r="R35" i="38"/>
  <c r="CC35" i="38"/>
  <c r="CC45" i="38"/>
  <c r="CC47" i="38"/>
  <c r="P29" i="38"/>
  <c r="CD44" i="38"/>
  <c r="CD34" i="38"/>
  <c r="CD48" i="38"/>
  <c r="BV27" i="38"/>
  <c r="N31" i="38"/>
  <c r="BU32" i="38"/>
  <c r="BV32" i="38"/>
  <c r="BU29" i="38"/>
  <c r="Q27" i="38"/>
  <c r="CD29" i="38"/>
  <c r="CD47" i="38" s="1"/>
  <c r="J91" i="54"/>
  <c r="J115" i="54" s="1"/>
  <c r="I91" i="54"/>
  <c r="I115" i="54" s="1"/>
  <c r="E91" i="54"/>
  <c r="E115" i="54" s="1"/>
  <c r="K91" i="54"/>
  <c r="G91" i="54"/>
  <c r="G115" i="54" s="1"/>
  <c r="M91" i="54"/>
  <c r="M115" i="54" s="1"/>
  <c r="H91" i="54"/>
  <c r="H115" i="54" s="1"/>
  <c r="N91" i="54"/>
  <c r="N115" i="54" s="1"/>
  <c r="L91" i="54"/>
  <c r="L115" i="54" s="1"/>
  <c r="U36" i="61"/>
  <c r="AW9" i="63"/>
  <c r="AV9" i="63"/>
  <c r="BU88" i="37"/>
  <c r="BU89" i="37" s="1"/>
  <c r="BU83" i="37"/>
  <c r="BU84" i="37"/>
  <c r="BU6" i="37" s="1"/>
  <c r="BU119" i="37"/>
  <c r="BU86" i="37"/>
  <c r="BL48" i="37"/>
  <c r="BH116" i="40"/>
  <c r="BH102" i="39"/>
  <c r="BH109" i="39" s="1"/>
  <c r="BH87" i="39"/>
  <c r="BH50" i="37"/>
  <c r="BH58" i="37"/>
  <c r="BH93" i="39"/>
  <c r="BH94" i="39"/>
  <c r="BH91" i="39"/>
  <c r="BL70" i="37"/>
  <c r="BL122" i="40"/>
  <c r="BL126" i="40" s="1"/>
  <c r="BL78" i="37"/>
  <c r="BL80" i="37"/>
  <c r="BL71" i="37"/>
  <c r="BL77" i="37"/>
  <c r="BL103" i="39" s="1"/>
  <c r="BL110" i="39" s="1"/>
  <c r="L71" i="39"/>
  <c r="L70" i="39"/>
  <c r="L73" i="39"/>
  <c r="L45" i="37"/>
  <c r="L74" i="39"/>
  <c r="L72" i="39"/>
  <c r="BQ94" i="39"/>
  <c r="BQ116" i="40"/>
  <c r="BQ93" i="39"/>
  <c r="BQ87" i="39"/>
  <c r="BQ102" i="39"/>
  <c r="BQ109" i="39" s="1"/>
  <c r="BU48" i="37"/>
  <c r="BQ50" i="37"/>
  <c r="BQ58" i="37"/>
  <c r="BX68" i="37"/>
  <c r="BX61" i="37"/>
  <c r="BX59" i="37"/>
  <c r="CB59" i="37"/>
  <c r="P56" i="37"/>
  <c r="O56" i="37"/>
  <c r="BM56" i="39"/>
  <c r="BM57" i="39"/>
  <c r="BQ166" i="39"/>
  <c r="BY59" i="37"/>
  <c r="BY60" i="37"/>
  <c r="BY61" i="37"/>
  <c r="CC59" i="37"/>
  <c r="BY68" i="37"/>
  <c r="K94" i="39"/>
  <c r="K93" i="39"/>
  <c r="K51" i="37"/>
  <c r="K50" i="37"/>
  <c r="K116" i="40"/>
  <c r="K48" i="37"/>
  <c r="K91" i="39"/>
  <c r="K58" i="37"/>
  <c r="K87" i="39"/>
  <c r="K102" i="39"/>
  <c r="K109" i="39" s="1"/>
  <c r="J47" i="39"/>
  <c r="J56" i="39" s="1"/>
  <c r="J57" i="39" s="1"/>
  <c r="BE56" i="39"/>
  <c r="BE57" i="39" s="1"/>
  <c r="BH51" i="37"/>
  <c r="BG94" i="39"/>
  <c r="BG50" i="37"/>
  <c r="BG116" i="40"/>
  <c r="BG51" i="37"/>
  <c r="BG87" i="39"/>
  <c r="BG91" i="39"/>
  <c r="BG102" i="39"/>
  <c r="BG58" i="37"/>
  <c r="BH49" i="37"/>
  <c r="BG93" i="39"/>
  <c r="BG49" i="37"/>
  <c r="L46" i="37"/>
  <c r="BI77" i="39"/>
  <c r="BJ77" i="39"/>
  <c r="J91" i="39"/>
  <c r="J102" i="39"/>
  <c r="J87" i="39"/>
  <c r="J94" i="39"/>
  <c r="J50" i="37"/>
  <c r="J93" i="39"/>
  <c r="J51" i="37"/>
  <c r="J116" i="40"/>
  <c r="J58" i="37"/>
  <c r="CC112" i="39"/>
  <c r="CC108" i="39" s="1"/>
  <c r="CC101" i="39"/>
  <c r="BN77" i="39"/>
  <c r="BM105" i="39"/>
  <c r="BM112" i="39" s="1"/>
  <c r="BI91" i="39"/>
  <c r="BI51" i="37"/>
  <c r="BI116" i="40"/>
  <c r="BI50" i="37"/>
  <c r="BI102" i="39"/>
  <c r="BI109" i="39" s="1"/>
  <c r="BI87" i="39"/>
  <c r="BI94" i="39"/>
  <c r="BI93" i="39"/>
  <c r="BI58" i="37"/>
  <c r="BI49" i="37"/>
  <c r="BF109" i="39"/>
  <c r="BY45" i="38"/>
  <c r="BY35" i="38"/>
  <c r="BQ57" i="39"/>
  <c r="BQ56" i="39"/>
  <c r="BO116" i="40"/>
  <c r="BO48" i="37"/>
  <c r="BO102" i="39"/>
  <c r="BO109" i="39" s="1"/>
  <c r="BO58" i="37"/>
  <c r="BO93" i="39"/>
  <c r="BO87" i="39"/>
  <c r="BO94" i="39"/>
  <c r="BO50" i="37"/>
  <c r="BO91" i="39"/>
  <c r="BS48" i="37"/>
  <c r="L165" i="39"/>
  <c r="L121" i="39"/>
  <c r="BT78" i="37"/>
  <c r="BT77" i="37"/>
  <c r="BT103" i="39" s="1"/>
  <c r="BT70" i="37"/>
  <c r="BT80" i="37"/>
  <c r="BI166" i="39"/>
  <c r="BK102" i="39"/>
  <c r="BK109" i="39" s="1"/>
  <c r="BK58" i="37"/>
  <c r="BK91" i="39"/>
  <c r="BK94" i="39"/>
  <c r="BK87" i="39"/>
  <c r="BK116" i="40"/>
  <c r="BL51" i="37"/>
  <c r="BK93" i="39"/>
  <c r="BK50" i="37"/>
  <c r="BL49" i="37"/>
  <c r="BK48" i="37"/>
  <c r="BU105" i="39"/>
  <c r="BU77" i="39"/>
  <c r="BI56" i="39"/>
  <c r="BI57" i="39"/>
  <c r="BI73" i="38"/>
  <c r="BI74" i="38"/>
  <c r="BY109" i="39"/>
  <c r="K22" i="36"/>
  <c r="BY57" i="39"/>
  <c r="BY56" i="39"/>
  <c r="K77" i="39"/>
  <c r="J105" i="39"/>
  <c r="J112" i="39" s="1"/>
  <c r="J77" i="39"/>
  <c r="BY77" i="39"/>
  <c r="BZ77" i="39"/>
  <c r="BY105" i="39"/>
  <c r="BY112" i="39" s="1"/>
  <c r="L34" i="38"/>
  <c r="P53" i="37"/>
  <c r="L47" i="37"/>
  <c r="L50" i="37" s="1"/>
  <c r="BQ48" i="37"/>
  <c r="N121" i="39"/>
  <c r="M165" i="39"/>
  <c r="M121" i="39"/>
  <c r="BU56" i="39"/>
  <c r="BU57" i="39"/>
  <c r="BF61" i="37"/>
  <c r="BF68" i="37"/>
  <c r="K121" i="39"/>
  <c r="K165" i="39"/>
  <c r="K166" i="39" s="1"/>
  <c r="K45" i="37"/>
  <c r="K72" i="39"/>
  <c r="K70" i="39"/>
  <c r="K73" i="39"/>
  <c r="K46" i="37"/>
  <c r="K71" i="39"/>
  <c r="K74" i="39"/>
  <c r="BQ105" i="39"/>
  <c r="BQ112" i="39" s="1"/>
  <c r="BQ77" i="39"/>
  <c r="CA63" i="36"/>
  <c r="BM60" i="37"/>
  <c r="BQ59" i="37"/>
  <c r="BM59" i="37"/>
  <c r="BM68" i="37"/>
  <c r="BM61" i="37"/>
  <c r="D104" i="54"/>
  <c r="J84" i="61"/>
  <c r="S100" i="40"/>
  <c r="E74" i="67"/>
  <c r="X32" i="61"/>
  <c r="X33" i="61"/>
  <c r="X35" i="61" s="1"/>
  <c r="AL10" i="63"/>
  <c r="AR10" i="63" s="1"/>
  <c r="AR30" i="63" s="1"/>
  <c r="AA10" i="63"/>
  <c r="AA31" i="63" s="1"/>
  <c r="AA53" i="63" s="1"/>
  <c r="AM9" i="63"/>
  <c r="Y36" i="61"/>
  <c r="Y35" i="61"/>
  <c r="Z31" i="63"/>
  <c r="G10" i="63"/>
  <c r="G66" i="63" s="1"/>
  <c r="C66" i="63"/>
  <c r="W36" i="61"/>
  <c r="W35" i="61"/>
  <c r="L35" i="38"/>
  <c r="L47" i="38"/>
  <c r="L45" i="38"/>
  <c r="S62" i="36"/>
  <c r="S64" i="36"/>
  <c r="BD49" i="37"/>
  <c r="BC51" i="37"/>
  <c r="BC58" i="37"/>
  <c r="BC94" i="39"/>
  <c r="BG48" i="37"/>
  <c r="BC116" i="40"/>
  <c r="BC49" i="37"/>
  <c r="BC93" i="39"/>
  <c r="BC50" i="37"/>
  <c r="BH112" i="39"/>
  <c r="CC74" i="38"/>
  <c r="BY74" i="38"/>
  <c r="BY73" i="38"/>
  <c r="BL112" i="39"/>
  <c r="BL108" i="39" s="1"/>
  <c r="BL101" i="39"/>
  <c r="L48" i="37"/>
  <c r="L102" i="39"/>
  <c r="L116" i="40"/>
  <c r="L58" i="37"/>
  <c r="L93" i="39"/>
  <c r="BD93" i="39"/>
  <c r="BD51" i="37"/>
  <c r="BH48" i="37"/>
  <c r="BD50" i="37"/>
  <c r="BD94" i="39"/>
  <c r="BD58" i="37"/>
  <c r="BD116" i="40"/>
  <c r="M91" i="37"/>
  <c r="P74" i="38"/>
  <c r="CJ72" i="38"/>
  <c r="O76" i="38"/>
  <c r="O73" i="38" s="1"/>
  <c r="BP85" i="38"/>
  <c r="BP84" i="38"/>
  <c r="BT85" i="38"/>
  <c r="BP73" i="38"/>
  <c r="BP74" i="38"/>
  <c r="BY84" i="38"/>
  <c r="BY85" i="38"/>
  <c r="M61" i="40"/>
  <c r="M62" i="40" s="1"/>
  <c r="BN62" i="40"/>
  <c r="N96" i="37"/>
  <c r="M97" i="37"/>
  <c r="BM35" i="38"/>
  <c r="BM45" i="38"/>
  <c r="BM47" i="38"/>
  <c r="BB51" i="37"/>
  <c r="BB93" i="39"/>
  <c r="BB94" i="39"/>
  <c r="BB50" i="37"/>
  <c r="BB116" i="40"/>
  <c r="BB58" i="37"/>
  <c r="BF48" i="37"/>
  <c r="M70" i="39"/>
  <c r="M46" i="37"/>
  <c r="M47" i="37"/>
  <c r="M72" i="39"/>
  <c r="N45" i="37"/>
  <c r="M71" i="39"/>
  <c r="M74" i="39"/>
  <c r="M73" i="39"/>
  <c r="M45" i="37"/>
  <c r="BM73" i="38"/>
  <c r="BM81" i="38"/>
  <c r="L76" i="38"/>
  <c r="L73" i="38" s="1"/>
  <c r="BM62" i="38"/>
  <c r="BM79" i="38"/>
  <c r="BM78" i="38"/>
  <c r="BM83" i="38"/>
  <c r="BM77" i="38"/>
  <c r="BM69" i="38"/>
  <c r="O63" i="36"/>
  <c r="L22" i="36"/>
  <c r="M22" i="36"/>
  <c r="BT63" i="36"/>
  <c r="BU63" i="36"/>
  <c r="CA85" i="38"/>
  <c r="CA84" i="38"/>
  <c r="BJ116" i="40"/>
  <c r="BJ58" i="37"/>
  <c r="BJ49" i="37"/>
  <c r="BK49" i="37"/>
  <c r="BJ51" i="37"/>
  <c r="BJ87" i="39"/>
  <c r="BK51" i="37"/>
  <c r="BJ94" i="39"/>
  <c r="BJ93" i="39"/>
  <c r="BJ91" i="39"/>
  <c r="BJ102" i="39"/>
  <c r="BJ50" i="37"/>
  <c r="BJ48" i="37"/>
  <c r="Z36" i="61"/>
  <c r="Z35" i="61"/>
  <c r="AX10" i="63"/>
  <c r="AW10" i="63"/>
  <c r="AV10" i="63"/>
  <c r="N36" i="61"/>
  <c r="O36" i="61"/>
  <c r="Q76" i="38"/>
  <c r="Q69" i="38" s="1"/>
  <c r="AM4" i="61"/>
  <c r="H32" i="61"/>
  <c r="H33" i="61"/>
  <c r="H36" i="61" s="1"/>
  <c r="H34" i="61"/>
  <c r="K36" i="61"/>
  <c r="K35" i="61"/>
  <c r="I34" i="61"/>
  <c r="I33" i="61"/>
  <c r="M34" i="61"/>
  <c r="AK4" i="61"/>
  <c r="AH4" i="61"/>
  <c r="M32" i="61"/>
  <c r="L32" i="61"/>
  <c r="L33" i="61"/>
  <c r="L36" i="61" s="1"/>
  <c r="L34" i="61"/>
  <c r="P32" i="61"/>
  <c r="P35" i="61"/>
  <c r="P36" i="61"/>
  <c r="R63" i="38"/>
  <c r="S64" i="38"/>
  <c r="AS4" i="61"/>
  <c r="CK155" i="39"/>
  <c r="R155" i="39" s="1"/>
  <c r="CK315" i="39"/>
  <c r="CK205" i="39"/>
  <c r="CK132" i="39" s="1"/>
  <c r="Q152" i="39"/>
  <c r="CJ85" i="37"/>
  <c r="CF6" i="37"/>
  <c r="CF85" i="37"/>
  <c r="K106" i="3"/>
  <c r="L106" i="3"/>
  <c r="CH248" i="36"/>
  <c r="CG249" i="36"/>
  <c r="Q248" i="36"/>
  <c r="CG258" i="36"/>
  <c r="M13" i="38"/>
  <c r="M14" i="38"/>
  <c r="L13" i="38"/>
  <c r="L14" i="38"/>
  <c r="CD78" i="36"/>
  <c r="CD82" i="36" s="1"/>
  <c r="CD83" i="36" s="1"/>
  <c r="Q76" i="36"/>
  <c r="Q78" i="36" s="1"/>
  <c r="Q82" i="36" s="1"/>
  <c r="O49" i="36"/>
  <c r="P45" i="36"/>
  <c r="O45" i="36"/>
  <c r="R92" i="36"/>
  <c r="Q92" i="36"/>
  <c r="R93" i="36"/>
  <c r="Q93" i="36"/>
  <c r="Q94" i="36" s="1"/>
  <c r="BW22" i="36"/>
  <c r="BW32" i="36"/>
  <c r="BW51" i="36"/>
  <c r="BW34" i="37"/>
  <c r="CA22" i="36"/>
  <c r="BW70" i="36"/>
  <c r="BW54" i="36"/>
  <c r="BW41" i="36"/>
  <c r="M79" i="38"/>
  <c r="M77" i="38"/>
  <c r="M56" i="38"/>
  <c r="M69" i="38"/>
  <c r="M62" i="38"/>
  <c r="M81" i="38"/>
  <c r="M86" i="38"/>
  <c r="M83" i="38"/>
  <c r="BR85" i="38"/>
  <c r="BN85" i="38"/>
  <c r="BN84" i="38"/>
  <c r="CG145" i="39"/>
  <c r="CG265" i="39"/>
  <c r="CH218" i="39"/>
  <c r="Q220" i="39"/>
  <c r="R218" i="39" s="1"/>
  <c r="CG310" i="39"/>
  <c r="CG154" i="39"/>
  <c r="CF133" i="39"/>
  <c r="CE237" i="39"/>
  <c r="CE136" i="39"/>
  <c r="CE139" i="39" s="1"/>
  <c r="CE225" i="39"/>
  <c r="Q72" i="39"/>
  <c r="Q45" i="37"/>
  <c r="R45" i="37"/>
  <c r="Q47" i="37"/>
  <c r="Q74" i="39"/>
  <c r="Q71" i="39"/>
  <c r="Q70" i="39"/>
  <c r="Q73" i="39"/>
  <c r="Q46" i="37"/>
  <c r="O20" i="38"/>
  <c r="O19" i="38"/>
  <c r="P16" i="38" s="1"/>
  <c r="T32" i="61"/>
  <c r="U32" i="61"/>
  <c r="CH178" i="39"/>
  <c r="Q180" i="39"/>
  <c r="R178" i="39" s="1"/>
  <c r="S70" i="38"/>
  <c r="BV78" i="36"/>
  <c r="BV82" i="36" s="1"/>
  <c r="BV83" i="36" s="1"/>
  <c r="O76" i="36"/>
  <c r="O78" i="36" s="1"/>
  <c r="O82" i="36" s="1"/>
  <c r="CK56" i="39"/>
  <c r="CU56" i="39" s="1"/>
  <c r="CU47" i="39"/>
  <c r="BF73" i="38"/>
  <c r="BF74" i="38"/>
  <c r="K72" i="38"/>
  <c r="BJ74" i="38"/>
  <c r="O74" i="38"/>
  <c r="N76" i="38"/>
  <c r="N73" i="38" s="1"/>
  <c r="V33" i="61"/>
  <c r="V35" i="61" s="1"/>
  <c r="Z34" i="61"/>
  <c r="V34" i="61"/>
  <c r="P41" i="36"/>
  <c r="P22" i="36"/>
  <c r="P32" i="36"/>
  <c r="P70" i="36"/>
  <c r="P51" i="36"/>
  <c r="CK250" i="39"/>
  <c r="CK142" i="39"/>
  <c r="Q145" i="39"/>
  <c r="CJ132" i="39"/>
  <c r="CF89" i="37"/>
  <c r="CJ89" i="37"/>
  <c r="Q154" i="39"/>
  <c r="BP87" i="39"/>
  <c r="BP102" i="39"/>
  <c r="BQ49" i="37"/>
  <c r="BP51" i="37"/>
  <c r="BT48" i="37"/>
  <c r="BP93" i="39"/>
  <c r="BP50" i="37"/>
  <c r="BP94" i="39"/>
  <c r="BP48" i="37"/>
  <c r="BQ51" i="37"/>
  <c r="BP116" i="40"/>
  <c r="BP91" i="39"/>
  <c r="BP58" i="37"/>
  <c r="BP49" i="37"/>
  <c r="P76" i="36"/>
  <c r="P78" i="36" s="1"/>
  <c r="P82" i="36" s="1"/>
  <c r="P83" i="36" s="1"/>
  <c r="CC78" i="36"/>
  <c r="CC82" i="36" s="1"/>
  <c r="CC83" i="36" s="1"/>
  <c r="Q18" i="36"/>
  <c r="R18" i="36"/>
  <c r="Q21" i="36"/>
  <c r="P18" i="38"/>
  <c r="AI4" i="61"/>
  <c r="AU4" i="61"/>
  <c r="C4" i="63"/>
  <c r="Z4" i="63" s="1"/>
  <c r="C7" i="60"/>
  <c r="R121" i="39"/>
  <c r="R165" i="39"/>
  <c r="R166" i="39" s="1"/>
  <c r="S121" i="39"/>
  <c r="BE58" i="37"/>
  <c r="BE116" i="40"/>
  <c r="BE51" i="37"/>
  <c r="BE93" i="39"/>
  <c r="BF51" i="37"/>
  <c r="BE50" i="37"/>
  <c r="BF49" i="37"/>
  <c r="BE94" i="39"/>
  <c r="BE49" i="37"/>
  <c r="BI48" i="37"/>
  <c r="M45" i="38"/>
  <c r="M35" i="38"/>
  <c r="M47" i="38"/>
  <c r="BR54" i="36"/>
  <c r="BR51" i="36"/>
  <c r="BR34" i="37"/>
  <c r="BR22" i="36"/>
  <c r="BV22" i="36"/>
  <c r="BR32" i="36"/>
  <c r="BR70" i="36"/>
  <c r="BR41" i="36"/>
  <c r="P39" i="38"/>
  <c r="P47" i="38" s="1"/>
  <c r="BZ47" i="38"/>
  <c r="CK72" i="36"/>
  <c r="CK71" i="36"/>
  <c r="M44" i="38"/>
  <c r="M48" i="38"/>
  <c r="M34" i="38"/>
  <c r="Z18" i="63"/>
  <c r="Z30" i="63"/>
  <c r="CG275" i="39"/>
  <c r="CG147" i="39"/>
  <c r="Q147" i="39" s="1"/>
  <c r="R70" i="38"/>
  <c r="CG87" i="37"/>
  <c r="CC6" i="37"/>
  <c r="CG85" i="37"/>
  <c r="N22" i="36"/>
  <c r="N32" i="36"/>
  <c r="N70" i="36"/>
  <c r="N72" i="36" s="1"/>
  <c r="O22" i="36"/>
  <c r="N51" i="36"/>
  <c r="N41" i="36"/>
  <c r="N54" i="36"/>
  <c r="CH48" i="37"/>
  <c r="CD116" i="40"/>
  <c r="CE51" i="37"/>
  <c r="CD49" i="37"/>
  <c r="CD93" i="39"/>
  <c r="CD58" i="37"/>
  <c r="CF91" i="39"/>
  <c r="CD51" i="37"/>
  <c r="CD94" i="39"/>
  <c r="CD87" i="39"/>
  <c r="CE91" i="39"/>
  <c r="CD102" i="39"/>
  <c r="CD50" i="37"/>
  <c r="CE49" i="37"/>
  <c r="CD91" i="39"/>
  <c r="K62" i="38"/>
  <c r="K56" i="38"/>
  <c r="K78" i="38"/>
  <c r="K69" i="38"/>
  <c r="K79" i="38"/>
  <c r="L78" i="38"/>
  <c r="K81" i="38"/>
  <c r="CL268" i="39"/>
  <c r="R270" i="39"/>
  <c r="S268" i="39" s="1"/>
  <c r="CG150" i="39"/>
  <c r="Q150" i="39" s="1"/>
  <c r="CG290" i="39"/>
  <c r="CH305" i="39"/>
  <c r="CI303" i="39" s="1"/>
  <c r="BS112" i="39"/>
  <c r="BS108" i="39" s="1"/>
  <c r="BS101" i="39"/>
  <c r="BV51" i="37"/>
  <c r="BV49" i="37"/>
  <c r="BV91" i="39"/>
  <c r="BV102" i="39"/>
  <c r="BV50" i="37"/>
  <c r="BV94" i="39"/>
  <c r="BV116" i="40"/>
  <c r="BV87" i="39"/>
  <c r="BV93" i="39"/>
  <c r="BV58" i="37"/>
  <c r="P77" i="39"/>
  <c r="P105" i="39"/>
  <c r="P112" i="39" s="1"/>
  <c r="CJ142" i="39"/>
  <c r="V32" i="61"/>
  <c r="CK102" i="37"/>
  <c r="CJ103" i="37"/>
  <c r="CJ104" i="37" s="1"/>
  <c r="CJ59" i="39" s="1"/>
  <c r="Q141" i="39"/>
  <c r="AD58" i="61"/>
  <c r="CJ87" i="37"/>
  <c r="CF87" i="37"/>
  <c r="CG228" i="39"/>
  <c r="BJ166" i="39"/>
  <c r="BN166" i="39"/>
  <c r="BN91" i="39"/>
  <c r="BN116" i="40"/>
  <c r="BN58" i="37"/>
  <c r="BO51" i="37"/>
  <c r="BN93" i="39"/>
  <c r="BN94" i="39"/>
  <c r="BN87" i="39"/>
  <c r="BN51" i="37"/>
  <c r="BN48" i="37"/>
  <c r="BO49" i="37"/>
  <c r="BN102" i="39"/>
  <c r="BN50" i="37"/>
  <c r="BN49" i="37"/>
  <c r="F69" i="63"/>
  <c r="M72" i="38"/>
  <c r="N74" i="38" s="1"/>
  <c r="BQ73" i="38"/>
  <c r="BU74" i="38"/>
  <c r="BQ74" i="38"/>
  <c r="BQ84" i="38"/>
  <c r="BQ85" i="38"/>
  <c r="BU85" i="38"/>
  <c r="N46" i="38"/>
  <c r="L104" i="54"/>
  <c r="C75" i="67"/>
  <c r="CJ320" i="39"/>
  <c r="CK318" i="39" s="1"/>
  <c r="CE130" i="39"/>
  <c r="CH243" i="39"/>
  <c r="Q245" i="39"/>
  <c r="R243" i="39" s="1"/>
  <c r="R195" i="39"/>
  <c r="S193" i="39" s="1"/>
  <c r="CL193" i="39"/>
  <c r="S102" i="40"/>
  <c r="S105" i="40" s="1"/>
  <c r="S92" i="40"/>
  <c r="BK112" i="39"/>
  <c r="R81" i="36"/>
  <c r="R82" i="36" s="1"/>
  <c r="R83" i="36" s="1"/>
  <c r="CK82" i="36"/>
  <c r="CK83" i="36" s="1"/>
  <c r="S18" i="36"/>
  <c r="S21" i="36"/>
  <c r="D8" i="60"/>
  <c r="T34" i="61"/>
  <c r="X34" i="61"/>
  <c r="T33" i="61"/>
  <c r="T35" i="61" s="1"/>
  <c r="BU163" i="39"/>
  <c r="BT165" i="39"/>
  <c r="BT166" i="39" s="1"/>
  <c r="BR78" i="36"/>
  <c r="BR82" i="36" s="1"/>
  <c r="BR83" i="36" s="1"/>
  <c r="N76" i="36"/>
  <c r="N78" i="36" s="1"/>
  <c r="N82" i="36" s="1"/>
  <c r="N83" i="36" s="1"/>
  <c r="BE83" i="38"/>
  <c r="BE73" i="38"/>
  <c r="BI78" i="38"/>
  <c r="BE69" i="38"/>
  <c r="BE77" i="38"/>
  <c r="BE81" i="38"/>
  <c r="BE79" i="38"/>
  <c r="CG295" i="39"/>
  <c r="CB6" i="37"/>
  <c r="O46" i="38"/>
  <c r="CH253" i="39"/>
  <c r="Q255" i="39"/>
  <c r="R253" i="39" s="1"/>
  <c r="R129" i="39"/>
  <c r="CG127" i="39"/>
  <c r="Q127" i="39" s="1"/>
  <c r="CG185" i="39"/>
  <c r="CD157" i="39"/>
  <c r="CD159" i="39" s="1"/>
  <c r="CD161" i="39" s="1"/>
  <c r="CJ62" i="36"/>
  <c r="CJ61" i="36" s="1"/>
  <c r="CF63" i="36"/>
  <c r="CG63" i="36"/>
  <c r="H79" i="63"/>
  <c r="H75" i="63"/>
  <c r="H73" i="63"/>
  <c r="N39" i="38"/>
  <c r="BR47" i="38"/>
  <c r="CG210" i="39"/>
  <c r="S106" i="3"/>
  <c r="T106" i="3"/>
  <c r="CE260" i="39"/>
  <c r="CF258" i="39" s="1"/>
  <c r="CE323" i="39"/>
  <c r="S72" i="40"/>
  <c r="S79" i="40" s="1"/>
  <c r="S76" i="40"/>
  <c r="CG89" i="37"/>
  <c r="W106" i="3"/>
  <c r="X106" i="3"/>
  <c r="CB96" i="37"/>
  <c r="CA97" i="37"/>
  <c r="CA98" i="37"/>
  <c r="CI32" i="36"/>
  <c r="CI34" i="37"/>
  <c r="CI51" i="36"/>
  <c r="CI22" i="36"/>
  <c r="CI41" i="36"/>
  <c r="CI54" i="36"/>
  <c r="CI70" i="36"/>
  <c r="BF84" i="38"/>
  <c r="BF85" i="38"/>
  <c r="K83" i="38"/>
  <c r="BJ85" i="38"/>
  <c r="V36" i="61"/>
  <c r="CA93" i="36"/>
  <c r="CA92" i="36"/>
  <c r="CB93" i="36"/>
  <c r="CE92" i="36"/>
  <c r="H3" i="60"/>
  <c r="CL283" i="39"/>
  <c r="R285" i="39"/>
  <c r="S283" i="39" s="1"/>
  <c r="AP4" i="61"/>
  <c r="BO103" i="37"/>
  <c r="BP102" i="37"/>
  <c r="CF175" i="39"/>
  <c r="CF125" i="39" s="1"/>
  <c r="CF197" i="39"/>
  <c r="CF151" i="39"/>
  <c r="CH298" i="39"/>
  <c r="Q300" i="39"/>
  <c r="R298" i="39" s="1"/>
  <c r="CH134" i="39"/>
  <c r="CH215" i="39"/>
  <c r="CI213" i="39" s="1"/>
  <c r="BZ41" i="36"/>
  <c r="BZ34" i="37"/>
  <c r="BZ51" i="36"/>
  <c r="BZ32" i="36"/>
  <c r="CD22" i="36"/>
  <c r="BZ70" i="36"/>
  <c r="BZ22" i="36"/>
  <c r="BY47" i="38"/>
  <c r="O39" i="38"/>
  <c r="Q86" i="38" l="1"/>
  <c r="M78" i="38"/>
  <c r="N29" i="38"/>
  <c r="BU47" i="38"/>
  <c r="BU35" i="38"/>
  <c r="BU45" i="38"/>
  <c r="O27" i="38"/>
  <c r="BV29" i="38"/>
  <c r="P45" i="38"/>
  <c r="P35" i="38"/>
  <c r="P44" i="38"/>
  <c r="P48" i="38"/>
  <c r="P34" i="38"/>
  <c r="BV48" i="38"/>
  <c r="BV44" i="38"/>
  <c r="BV34" i="38"/>
  <c r="CD35" i="38"/>
  <c r="Q29" i="38"/>
  <c r="CD45" i="38"/>
  <c r="BU44" i="38"/>
  <c r="BU48" i="38"/>
  <c r="BU34" i="38"/>
  <c r="N47" i="38"/>
  <c r="O32" i="38"/>
  <c r="N32" i="38"/>
  <c r="Q34" i="38"/>
  <c r="Q48" i="38"/>
  <c r="Q44" i="38"/>
  <c r="BL73" i="37"/>
  <c r="BH68" i="37"/>
  <c r="BH61" i="37"/>
  <c r="BL59" i="37"/>
  <c r="BU6" i="36"/>
  <c r="BU6" i="38"/>
  <c r="BU6" i="40"/>
  <c r="BU6" i="39"/>
  <c r="BL83" i="37"/>
  <c r="BL84" i="37"/>
  <c r="BL118" i="37"/>
  <c r="BL119" i="37" s="1"/>
  <c r="BL86" i="37"/>
  <c r="BX78" i="37"/>
  <c r="BX77" i="37"/>
  <c r="BX103" i="39" s="1"/>
  <c r="BX80" i="37"/>
  <c r="BX70" i="37"/>
  <c r="CB69" i="37"/>
  <c r="BX69" i="37"/>
  <c r="BO68" i="37"/>
  <c r="BS59" i="37"/>
  <c r="BO61" i="37"/>
  <c r="BO59" i="37"/>
  <c r="L51" i="37"/>
  <c r="L87" i="39"/>
  <c r="L94" i="39"/>
  <c r="M166" i="39"/>
  <c r="N166" i="39"/>
  <c r="BU112" i="39"/>
  <c r="BU108" i="39" s="1"/>
  <c r="BU101" i="39"/>
  <c r="L166" i="39"/>
  <c r="BI60" i="37"/>
  <c r="BI61" i="37"/>
  <c r="BI68" i="37"/>
  <c r="BM69" i="37" s="1"/>
  <c r="J109" i="39"/>
  <c r="BG60" i="37"/>
  <c r="BH60" i="37"/>
  <c r="BG68" i="37"/>
  <c r="BG61" i="37"/>
  <c r="BK68" i="37"/>
  <c r="BL60" i="37"/>
  <c r="BK59" i="37"/>
  <c r="BK61" i="37"/>
  <c r="BF71" i="37"/>
  <c r="BF73" i="37" s="1"/>
  <c r="BF80" i="37"/>
  <c r="BF77" i="37"/>
  <c r="BF103" i="39" s="1"/>
  <c r="BF78" i="37"/>
  <c r="BF122" i="40"/>
  <c r="BF126" i="40" s="1"/>
  <c r="BF70" i="37"/>
  <c r="BT101" i="39"/>
  <c r="BT110" i="39"/>
  <c r="BT108" i="39" s="1"/>
  <c r="BQ68" i="37"/>
  <c r="BU59" i="37"/>
  <c r="BQ61" i="37"/>
  <c r="L91" i="39"/>
  <c r="BT88" i="37"/>
  <c r="BT89" i="37" s="1"/>
  <c r="BU82" i="37"/>
  <c r="BT86" i="37"/>
  <c r="BT82" i="37"/>
  <c r="BT119" i="37"/>
  <c r="BT84" i="37"/>
  <c r="BT6" i="37" s="1"/>
  <c r="BT83" i="37"/>
  <c r="J61" i="37"/>
  <c r="J68" i="37"/>
  <c r="BG109" i="39"/>
  <c r="K61" i="37"/>
  <c r="K59" i="37"/>
  <c r="K68" i="37"/>
  <c r="BY70" i="37"/>
  <c r="BY77" i="37"/>
  <c r="BY103" i="39" s="1"/>
  <c r="BY80" i="37"/>
  <c r="CC69" i="37"/>
  <c r="BY78" i="37"/>
  <c r="BY69" i="37"/>
  <c r="BM77" i="37"/>
  <c r="BM103" i="39" s="1"/>
  <c r="BM70" i="37"/>
  <c r="BM71" i="37"/>
  <c r="BQ69" i="37"/>
  <c r="BM80" i="37"/>
  <c r="BM122" i="40"/>
  <c r="BM126" i="40" s="1"/>
  <c r="X36" i="61"/>
  <c r="AQ10" i="63"/>
  <c r="AS10" i="63" s="1"/>
  <c r="AS30" i="63" s="1"/>
  <c r="AE10" i="63"/>
  <c r="F74" i="67"/>
  <c r="AL9" i="63"/>
  <c r="AZ4" i="61"/>
  <c r="AA9" i="63"/>
  <c r="H10" i="63"/>
  <c r="H66" i="63"/>
  <c r="Z53" i="63"/>
  <c r="AE53" i="63" s="1"/>
  <c r="AE31" i="63"/>
  <c r="Q73" i="38"/>
  <c r="BJ109" i="39"/>
  <c r="N97" i="37"/>
  <c r="O96" i="37"/>
  <c r="O97" i="37" s="1"/>
  <c r="L59" i="37"/>
  <c r="L61" i="37"/>
  <c r="L68" i="37"/>
  <c r="L109" i="39"/>
  <c r="Q83" i="38"/>
  <c r="Q84" i="38" s="1"/>
  <c r="BJ59" i="37"/>
  <c r="BJ60" i="37"/>
  <c r="BK60" i="37"/>
  <c r="BJ61" i="37"/>
  <c r="BJ68" i="37"/>
  <c r="BM84" i="38"/>
  <c r="BM85" i="38"/>
  <c r="L83" i="38"/>
  <c r="L86" i="38"/>
  <c r="L56" i="38"/>
  <c r="L57" i="38" s="1"/>
  <c r="L69" i="38"/>
  <c r="L79" i="38"/>
  <c r="L62" i="38"/>
  <c r="L81" i="38"/>
  <c r="BO61" i="40"/>
  <c r="BO62" i="40" s="1"/>
  <c r="BN63" i="40"/>
  <c r="O77" i="38"/>
  <c r="O62" i="38"/>
  <c r="O86" i="38"/>
  <c r="O81" i="38"/>
  <c r="O83" i="38"/>
  <c r="CJ76" i="38"/>
  <c r="O69" i="38"/>
  <c r="P78" i="38"/>
  <c r="M73" i="40"/>
  <c r="M103" i="37"/>
  <c r="M66" i="40"/>
  <c r="M69" i="40" s="1"/>
  <c r="M92" i="37"/>
  <c r="M98" i="37"/>
  <c r="BD60" i="37"/>
  <c r="BC60" i="37"/>
  <c r="BG59" i="37"/>
  <c r="BC61" i="37"/>
  <c r="BC68" i="37"/>
  <c r="M93" i="39"/>
  <c r="M50" i="37"/>
  <c r="M102" i="39"/>
  <c r="M91" i="39"/>
  <c r="M94" i="39"/>
  <c r="M87" i="39"/>
  <c r="M116" i="40"/>
  <c r="M58" i="37"/>
  <c r="M51" i="37"/>
  <c r="M48" i="37"/>
  <c r="BF59" i="37"/>
  <c r="BB68" i="37"/>
  <c r="BB61" i="37"/>
  <c r="N61" i="40"/>
  <c r="N62" i="40" s="1"/>
  <c r="M63" i="40"/>
  <c r="S67" i="36"/>
  <c r="S66" i="36"/>
  <c r="Q79" i="38"/>
  <c r="BD61" i="37"/>
  <c r="BD68" i="37"/>
  <c r="BH59" i="37"/>
  <c r="H35" i="61"/>
  <c r="Q62" i="38"/>
  <c r="Q78" i="38"/>
  <c r="Q77" i="38"/>
  <c r="Q81" i="38"/>
  <c r="R76" i="38"/>
  <c r="R73" i="38" s="1"/>
  <c r="I36" i="61"/>
  <c r="I35" i="61"/>
  <c r="AR4" i="61"/>
  <c r="AN4" i="61"/>
  <c r="AO4" i="61"/>
  <c r="AJ4" i="61"/>
  <c r="L35" i="61"/>
  <c r="S63" i="38"/>
  <c r="S76" i="38"/>
  <c r="S62" i="38" s="1"/>
  <c r="CF130" i="39"/>
  <c r="S285" i="39"/>
  <c r="S149" i="39" s="1"/>
  <c r="CD234" i="36"/>
  <c r="CD233" i="36"/>
  <c r="CD231" i="36"/>
  <c r="CD230" i="36"/>
  <c r="CD232" i="36"/>
  <c r="F110" i="61"/>
  <c r="F109" i="61"/>
  <c r="CL285" i="39"/>
  <c r="CL149" i="39"/>
  <c r="CE94" i="36"/>
  <c r="CA94" i="36"/>
  <c r="CF260" i="39"/>
  <c r="CG258" i="39" s="1"/>
  <c r="CH208" i="39"/>
  <c r="Q210" i="39"/>
  <c r="R208" i="39" s="1"/>
  <c r="R61" i="36"/>
  <c r="CJ64" i="36"/>
  <c r="CH255" i="39"/>
  <c r="CI253" i="39" s="1"/>
  <c r="CK156" i="39"/>
  <c r="CK320" i="39"/>
  <c r="BN109" i="39"/>
  <c r="BN59" i="37"/>
  <c r="BN60" i="37"/>
  <c r="BN68" i="37"/>
  <c r="BN61" i="37"/>
  <c r="BO60" i="37"/>
  <c r="CL102" i="37"/>
  <c r="CL103" i="37" s="1"/>
  <c r="CL104" i="37" s="1"/>
  <c r="CL59" i="39" s="1"/>
  <c r="CK103" i="37"/>
  <c r="CK104" i="37" s="1"/>
  <c r="CK59" i="39" s="1"/>
  <c r="AX4" i="61"/>
  <c r="H4" i="63"/>
  <c r="AE4" i="63" s="1"/>
  <c r="CI305" i="39"/>
  <c r="CJ303" i="39" s="1"/>
  <c r="CD61" i="37"/>
  <c r="CD60" i="37"/>
  <c r="CE60" i="37"/>
  <c r="CD68" i="37"/>
  <c r="CH59" i="37"/>
  <c r="E109" i="61"/>
  <c r="CL248" i="39"/>
  <c r="R250" i="39"/>
  <c r="S248" i="39" s="1"/>
  <c r="L74" i="38"/>
  <c r="K74" i="38"/>
  <c r="K73" i="38"/>
  <c r="CH220" i="39"/>
  <c r="CI218" i="39" s="1"/>
  <c r="CH263" i="39"/>
  <c r="Q265" i="39"/>
  <c r="R263" i="39" s="1"/>
  <c r="M58" i="38"/>
  <c r="M59" i="38"/>
  <c r="N57" i="38"/>
  <c r="R94" i="36"/>
  <c r="S94" i="36"/>
  <c r="CL313" i="39"/>
  <c r="R315" i="39"/>
  <c r="S313" i="39" s="1"/>
  <c r="BZ35" i="37"/>
  <c r="BZ64" i="37"/>
  <c r="BZ67" i="37"/>
  <c r="P34" i="37"/>
  <c r="CD35" i="37"/>
  <c r="BZ58" i="38"/>
  <c r="BZ40" i="37"/>
  <c r="BZ69" i="39"/>
  <c r="BZ57" i="37"/>
  <c r="BZ79" i="38"/>
  <c r="BZ43" i="37"/>
  <c r="BZ36" i="37"/>
  <c r="BZ37" i="37"/>
  <c r="CD36" i="37"/>
  <c r="BZ47" i="37"/>
  <c r="BZ46" i="37"/>
  <c r="CA37" i="37"/>
  <c r="BZ54" i="37"/>
  <c r="CH300" i="39"/>
  <c r="CI298" i="39" s="1"/>
  <c r="CH152" i="39"/>
  <c r="CG173" i="39"/>
  <c r="CF199" i="39"/>
  <c r="R84" i="61"/>
  <c r="H4" i="60"/>
  <c r="AT5" i="61"/>
  <c r="CI233" i="36"/>
  <c r="CI232" i="36"/>
  <c r="CI230" i="36"/>
  <c r="CI234" i="36"/>
  <c r="CI231" i="36"/>
  <c r="CB98" i="37"/>
  <c r="CB97" i="37"/>
  <c r="CC94" i="37"/>
  <c r="P94" i="37" s="1"/>
  <c r="H69" i="63"/>
  <c r="CH293" i="39"/>
  <c r="Q295" i="39"/>
  <c r="R293" i="39" s="1"/>
  <c r="BU165" i="39"/>
  <c r="BU166" i="39" s="1"/>
  <c r="BV163" i="39"/>
  <c r="D33" i="60"/>
  <c r="H33" i="60" s="1"/>
  <c r="H8" i="60"/>
  <c r="S22" i="36"/>
  <c r="S41" i="36"/>
  <c r="S51" i="36"/>
  <c r="S32" i="36"/>
  <c r="S70" i="36"/>
  <c r="S54" i="36"/>
  <c r="CH245" i="39"/>
  <c r="CI243" i="39" s="1"/>
  <c r="CH141" i="39"/>
  <c r="CJ156" i="39"/>
  <c r="R156" i="39" s="1"/>
  <c r="CG230" i="39"/>
  <c r="CH153" i="39"/>
  <c r="S270" i="39"/>
  <c r="S146" i="39"/>
  <c r="CD109" i="39"/>
  <c r="CC6" i="38"/>
  <c r="CG7" i="37"/>
  <c r="CC6" i="40"/>
  <c r="CC6" i="39"/>
  <c r="CC6" i="36"/>
  <c r="CH273" i="39"/>
  <c r="Q275" i="39"/>
  <c r="R273" i="39" s="1"/>
  <c r="BE68" i="37"/>
  <c r="BE61" i="37"/>
  <c r="BF60" i="37"/>
  <c r="BE60" i="37"/>
  <c r="BI59" i="37"/>
  <c r="C16" i="60"/>
  <c r="C32" i="60"/>
  <c r="Q41" i="36"/>
  <c r="Q70" i="36"/>
  <c r="Q83" i="36" s="1"/>
  <c r="Q51" i="36"/>
  <c r="Q22" i="36"/>
  <c r="Q32" i="36"/>
  <c r="R22" i="36"/>
  <c r="Q54" i="36"/>
  <c r="AW4" i="61"/>
  <c r="G4" i="63"/>
  <c r="AD4" i="63" s="1"/>
  <c r="CH308" i="39"/>
  <c r="Q310" i="39"/>
  <c r="R308" i="39" s="1"/>
  <c r="BW72" i="36"/>
  <c r="CA71" i="36"/>
  <c r="BW71" i="36"/>
  <c r="BW83" i="36"/>
  <c r="CH249" i="36"/>
  <c r="CH258" i="36"/>
  <c r="CI248" i="36"/>
  <c r="BZ72" i="36"/>
  <c r="CD71" i="36"/>
  <c r="BZ71" i="36"/>
  <c r="BZ83" i="36"/>
  <c r="CI215" i="39"/>
  <c r="CJ213" i="39" s="1"/>
  <c r="BQ102" i="37"/>
  <c r="BP103" i="37"/>
  <c r="CB94" i="36"/>
  <c r="CF94" i="36"/>
  <c r="CI71" i="36"/>
  <c r="CI72" i="36"/>
  <c r="CI83" i="36"/>
  <c r="E104" i="54"/>
  <c r="CB6" i="38"/>
  <c r="CB6" i="39"/>
  <c r="CB6" i="36"/>
  <c r="CB6" i="40"/>
  <c r="CG151" i="39"/>
  <c r="Q151" i="39" s="1"/>
  <c r="CL195" i="39"/>
  <c r="CL129" i="39"/>
  <c r="M73" i="38"/>
  <c r="M74" i="38"/>
  <c r="R102" i="37"/>
  <c r="S102" i="37" s="1"/>
  <c r="BV68" i="37"/>
  <c r="BV60" i="37"/>
  <c r="BV61" i="37"/>
  <c r="BV109" i="39"/>
  <c r="CL270" i="39"/>
  <c r="CL146" i="39" s="1"/>
  <c r="K59" i="38"/>
  <c r="K57" i="38"/>
  <c r="K58" i="38"/>
  <c r="Z52" i="63"/>
  <c r="Z39" i="63"/>
  <c r="BR72" i="36"/>
  <c r="BR71" i="36"/>
  <c r="BV71" i="36"/>
  <c r="BR37" i="37"/>
  <c r="BR57" i="37"/>
  <c r="BR69" i="39"/>
  <c r="BR40" i="37"/>
  <c r="BR32" i="37"/>
  <c r="BR67" i="37"/>
  <c r="BV36" i="37"/>
  <c r="BR47" i="37"/>
  <c r="BR43" i="37"/>
  <c r="BR33" i="37"/>
  <c r="BV35" i="37"/>
  <c r="BR12" i="37"/>
  <c r="BR58" i="38"/>
  <c r="BR28" i="37"/>
  <c r="BR46" i="37"/>
  <c r="BR36" i="37"/>
  <c r="BR24" i="37"/>
  <c r="BR20" i="37"/>
  <c r="BR54" i="37"/>
  <c r="BR79" i="38"/>
  <c r="BR35" i="37"/>
  <c r="BR64" i="37"/>
  <c r="BS37" i="37"/>
  <c r="N34" i="37"/>
  <c r="BV33" i="37"/>
  <c r="BR16" i="37"/>
  <c r="BP109" i="39"/>
  <c r="R132" i="39"/>
  <c r="N86" i="38"/>
  <c r="N81" i="38"/>
  <c r="N83" i="38"/>
  <c r="N69" i="38"/>
  <c r="O78" i="38"/>
  <c r="N77" i="38"/>
  <c r="N78" i="38"/>
  <c r="N79" i="38"/>
  <c r="N62" i="38"/>
  <c r="P20" i="38"/>
  <c r="P19" i="38"/>
  <c r="Q16" i="38" s="1"/>
  <c r="Q116" i="40"/>
  <c r="Q50" i="37"/>
  <c r="Q93" i="39"/>
  <c r="Q58" i="37"/>
  <c r="Q102" i="39"/>
  <c r="Q94" i="39"/>
  <c r="Q87" i="39"/>
  <c r="Q91" i="39"/>
  <c r="CF223" i="39"/>
  <c r="CE239" i="39"/>
  <c r="M84" i="38"/>
  <c r="M85" i="38"/>
  <c r="CF6" i="39"/>
  <c r="CF6" i="36"/>
  <c r="CF6" i="40"/>
  <c r="CF6" i="38"/>
  <c r="CF7" i="37"/>
  <c r="CJ7" i="37"/>
  <c r="CL203" i="39"/>
  <c r="R205" i="39"/>
  <c r="S203" i="39" s="1"/>
  <c r="G110" i="61"/>
  <c r="G109" i="61"/>
  <c r="K86" i="38"/>
  <c r="K85" i="38"/>
  <c r="L85" i="38"/>
  <c r="CI47" i="37"/>
  <c r="CI35" i="37"/>
  <c r="CI43" i="37"/>
  <c r="CI54" i="37"/>
  <c r="CI64" i="37"/>
  <c r="CI40" i="37"/>
  <c r="CI46" i="37"/>
  <c r="CI67" i="37"/>
  <c r="CI57" i="37"/>
  <c r="CI58" i="38"/>
  <c r="CI36" i="37"/>
  <c r="CI69" i="39"/>
  <c r="CI37" i="37"/>
  <c r="R34" i="37"/>
  <c r="CJ37" i="37"/>
  <c r="CE144" i="39"/>
  <c r="CG133" i="39"/>
  <c r="CH183" i="39"/>
  <c r="Q185" i="39"/>
  <c r="BE84" i="38"/>
  <c r="BI85" i="38"/>
  <c r="AK11" i="63"/>
  <c r="Z11" i="63"/>
  <c r="S195" i="39"/>
  <c r="S129" i="39"/>
  <c r="R142" i="39"/>
  <c r="CH288" i="39"/>
  <c r="Q290" i="39"/>
  <c r="R288" i="39" s="1"/>
  <c r="BQ60" i="37"/>
  <c r="BT59" i="37"/>
  <c r="BP61" i="37"/>
  <c r="BP68" i="37"/>
  <c r="BP60" i="37"/>
  <c r="BP59" i="37"/>
  <c r="P72" i="36"/>
  <c r="CH180" i="39"/>
  <c r="CI178" i="39" s="1"/>
  <c r="CH126" i="39"/>
  <c r="T36" i="61"/>
  <c r="D4" i="63"/>
  <c r="AA4" i="63" s="1"/>
  <c r="AV4" i="61"/>
  <c r="D7" i="60"/>
  <c r="BW40" i="37"/>
  <c r="BW46" i="37"/>
  <c r="BW47" i="37"/>
  <c r="BW28" i="37"/>
  <c r="BW35" i="37"/>
  <c r="BW43" i="37"/>
  <c r="BW54" i="37"/>
  <c r="BW69" i="39"/>
  <c r="CA35" i="37"/>
  <c r="BW64" i="37"/>
  <c r="BW33" i="37"/>
  <c r="BW79" i="38"/>
  <c r="BW12" i="37"/>
  <c r="BW20" i="37"/>
  <c r="BW16" i="37"/>
  <c r="BW58" i="38"/>
  <c r="BW37" i="37"/>
  <c r="BX37" i="37"/>
  <c r="BW57" i="37"/>
  <c r="BW24" i="37"/>
  <c r="CA36" i="37"/>
  <c r="BW36" i="37"/>
  <c r="O34" i="37"/>
  <c r="BW67" i="37"/>
  <c r="BW32" i="37"/>
  <c r="O50" i="36"/>
  <c r="O51" i="36"/>
  <c r="P50" i="36"/>
  <c r="O52" i="36"/>
  <c r="Q249" i="36"/>
  <c r="Q250" i="36"/>
  <c r="Q258" i="36"/>
  <c r="Q35" i="38" l="1"/>
  <c r="Q39" i="38"/>
  <c r="Q47" i="38" s="1"/>
  <c r="Q45" i="38"/>
  <c r="N44" i="38"/>
  <c r="N48" i="38"/>
  <c r="N34" i="38"/>
  <c r="O34" i="38"/>
  <c r="O48" i="38"/>
  <c r="O44" i="38"/>
  <c r="BV35" i="38"/>
  <c r="BV47" i="38"/>
  <c r="BV45" i="38"/>
  <c r="O29" i="38"/>
  <c r="N35" i="38"/>
  <c r="N45" i="38"/>
  <c r="BL6" i="37"/>
  <c r="BH71" i="37"/>
  <c r="BH122" i="40"/>
  <c r="BH126" i="40" s="1"/>
  <c r="BH77" i="37"/>
  <c r="BH103" i="39" s="1"/>
  <c r="BH80" i="37"/>
  <c r="BH70" i="37"/>
  <c r="BH78" i="37"/>
  <c r="BL69" i="37"/>
  <c r="BY110" i="39"/>
  <c r="BY108" i="39" s="1"/>
  <c r="BY101" i="39"/>
  <c r="BQ78" i="37"/>
  <c r="BQ71" i="37"/>
  <c r="BQ73" i="37" s="1"/>
  <c r="BQ122" i="40"/>
  <c r="BQ126" i="40" s="1"/>
  <c r="BQ70" i="37"/>
  <c r="BQ80" i="37"/>
  <c r="BQ77" i="37"/>
  <c r="BQ103" i="39" s="1"/>
  <c r="BU69" i="37"/>
  <c r="K69" i="37"/>
  <c r="K122" i="40"/>
  <c r="K126" i="40" s="1"/>
  <c r="K70" i="37"/>
  <c r="K71" i="37"/>
  <c r="K77" i="37"/>
  <c r="K103" i="39" s="1"/>
  <c r="K80" i="37"/>
  <c r="K78" i="37"/>
  <c r="BT6" i="38"/>
  <c r="BT6" i="36"/>
  <c r="BT6" i="39"/>
  <c r="BT6" i="40"/>
  <c r="BF110" i="39"/>
  <c r="BF108" i="39" s="1"/>
  <c r="BF101" i="39"/>
  <c r="BX110" i="39"/>
  <c r="BX108" i="39" s="1"/>
  <c r="BX101" i="39"/>
  <c r="BY81" i="37"/>
  <c r="BY86" i="37"/>
  <c r="BY82" i="37"/>
  <c r="BY83" i="37"/>
  <c r="BY119" i="37"/>
  <c r="BY84" i="37"/>
  <c r="BY88" i="37"/>
  <c r="CC81" i="37"/>
  <c r="J70" i="37"/>
  <c r="J122" i="40"/>
  <c r="J126" i="40" s="1"/>
  <c r="J78" i="37"/>
  <c r="J71" i="37"/>
  <c r="J73" i="37" s="1"/>
  <c r="J77" i="37"/>
  <c r="J103" i="39" s="1"/>
  <c r="J80" i="37"/>
  <c r="BF83" i="37"/>
  <c r="BF86" i="37"/>
  <c r="BF84" i="37"/>
  <c r="BF6" i="37" s="1"/>
  <c r="BF118" i="37"/>
  <c r="BF119" i="37" s="1"/>
  <c r="BG71" i="37"/>
  <c r="BG73" i="37" s="1"/>
  <c r="BG70" i="37"/>
  <c r="BG122" i="40"/>
  <c r="BG126" i="40" s="1"/>
  <c r="BG78" i="37"/>
  <c r="BG80" i="37"/>
  <c r="BG77" i="37"/>
  <c r="BG103" i="39" s="1"/>
  <c r="BI80" i="37"/>
  <c r="BM81" i="37" s="1"/>
  <c r="BI122" i="40"/>
  <c r="BI126" i="40" s="1"/>
  <c r="BI71" i="37"/>
  <c r="BI73" i="37" s="1"/>
  <c r="BI77" i="37"/>
  <c r="BI103" i="39" s="1"/>
  <c r="BI70" i="37"/>
  <c r="BI78" i="37"/>
  <c r="BK80" i="37"/>
  <c r="BK70" i="37"/>
  <c r="BK122" i="40"/>
  <c r="BK126" i="40" s="1"/>
  <c r="BK71" i="37"/>
  <c r="BK78" i="37"/>
  <c r="BK69" i="37"/>
  <c r="BK77" i="37"/>
  <c r="BK103" i="39" s="1"/>
  <c r="BO70" i="37"/>
  <c r="BO77" i="37"/>
  <c r="BO103" i="39" s="1"/>
  <c r="BO69" i="37"/>
  <c r="BO78" i="37"/>
  <c r="BS69" i="37"/>
  <c r="BO122" i="40"/>
  <c r="BO126" i="40" s="1"/>
  <c r="BO71" i="37"/>
  <c r="BO80" i="37"/>
  <c r="BX119" i="37"/>
  <c r="BX81" i="37"/>
  <c r="BX83" i="37"/>
  <c r="BX88" i="37"/>
  <c r="BX84" i="37"/>
  <c r="BX86" i="37"/>
  <c r="CB81" i="37"/>
  <c r="BM83" i="37"/>
  <c r="BM82" i="37"/>
  <c r="BM86" i="37"/>
  <c r="BM118" i="37"/>
  <c r="BM119" i="37" s="1"/>
  <c r="BQ81" i="37"/>
  <c r="BM84" i="37"/>
  <c r="BM101" i="39"/>
  <c r="BM110" i="39"/>
  <c r="BM108" i="39" s="1"/>
  <c r="BM73" i="37"/>
  <c r="R86" i="38"/>
  <c r="R81" i="38"/>
  <c r="E84" i="61"/>
  <c r="AG5" i="61"/>
  <c r="AQ30" i="63"/>
  <c r="C3" i="60"/>
  <c r="D97" i="54"/>
  <c r="C87" i="54"/>
  <c r="C90" i="54" s="1"/>
  <c r="C92" i="54" s="1"/>
  <c r="C93" i="54" s="1"/>
  <c r="C97" i="54"/>
  <c r="C101" i="54" s="1"/>
  <c r="D87" i="54"/>
  <c r="D90" i="54" s="1"/>
  <c r="D92" i="54" s="1"/>
  <c r="D93" i="54" s="1"/>
  <c r="AQ9" i="63"/>
  <c r="AR9" i="63"/>
  <c r="AR29" i="63" s="1"/>
  <c r="AA30" i="63"/>
  <c r="AA18" i="63"/>
  <c r="AE9" i="63"/>
  <c r="AE18" i="63" s="1"/>
  <c r="I109" i="61"/>
  <c r="AM11" i="63"/>
  <c r="R69" i="38"/>
  <c r="R62" i="38"/>
  <c r="R77" i="38"/>
  <c r="Q85" i="38"/>
  <c r="BD70" i="37"/>
  <c r="BD122" i="40"/>
  <c r="BD126" i="40" s="1"/>
  <c r="BD78" i="37"/>
  <c r="BD71" i="37"/>
  <c r="BD80" i="37"/>
  <c r="BD77" i="37"/>
  <c r="BH69" i="37"/>
  <c r="S68" i="36"/>
  <c r="O61" i="40"/>
  <c r="O62" i="40" s="1"/>
  <c r="P61" i="40" s="1"/>
  <c r="N63" i="40"/>
  <c r="BC70" i="37"/>
  <c r="BC78" i="37"/>
  <c r="BC80" i="37"/>
  <c r="BC77" i="37"/>
  <c r="BC122" i="40"/>
  <c r="BC126" i="40" s="1"/>
  <c r="BC71" i="37"/>
  <c r="BG69" i="37"/>
  <c r="BP61" i="40"/>
  <c r="BP62" i="40" s="1"/>
  <c r="BO63" i="40"/>
  <c r="BJ80" i="37"/>
  <c r="BJ71" i="37"/>
  <c r="BJ122" i="40"/>
  <c r="BJ126" i="40" s="1"/>
  <c r="BJ78" i="37"/>
  <c r="BJ70" i="37"/>
  <c r="BJ69" i="37"/>
  <c r="BJ77" i="37"/>
  <c r="BJ103" i="39" s="1"/>
  <c r="L71" i="37"/>
  <c r="L69" i="37"/>
  <c r="L80" i="37"/>
  <c r="L122" i="40"/>
  <c r="L126" i="40" s="1"/>
  <c r="L70" i="37"/>
  <c r="L78" i="37"/>
  <c r="L77" i="37"/>
  <c r="L103" i="39" s="1"/>
  <c r="R78" i="38"/>
  <c r="R83" i="38"/>
  <c r="R84" i="38" s="1"/>
  <c r="BB80" i="37"/>
  <c r="BB71" i="37"/>
  <c r="BF69" i="37"/>
  <c r="BB78" i="37"/>
  <c r="BB122" i="40"/>
  <c r="BB126" i="40" s="1"/>
  <c r="BB70" i="37"/>
  <c r="BB77" i="37"/>
  <c r="M61" i="37"/>
  <c r="M68" i="37"/>
  <c r="M59" i="37"/>
  <c r="O84" i="38"/>
  <c r="CJ83" i="38"/>
  <c r="P85" i="38"/>
  <c r="L58" i="38"/>
  <c r="L59" i="38"/>
  <c r="R79" i="38"/>
  <c r="M57" i="38"/>
  <c r="M109" i="39"/>
  <c r="S83" i="38"/>
  <c r="S84" i="38" s="1"/>
  <c r="S69" i="38"/>
  <c r="S79" i="38"/>
  <c r="S77" i="38"/>
  <c r="S78" i="38"/>
  <c r="S81" i="38"/>
  <c r="S86" i="38"/>
  <c r="S73" i="38"/>
  <c r="O54" i="36"/>
  <c r="O53" i="36"/>
  <c r="O127" i="36"/>
  <c r="O70" i="36"/>
  <c r="O213" i="36"/>
  <c r="O186" i="36"/>
  <c r="P53" i="36"/>
  <c r="CI180" i="39"/>
  <c r="CJ178" i="39" s="1"/>
  <c r="CH290" i="39"/>
  <c r="CI288" i="39" s="1"/>
  <c r="CH150" i="39"/>
  <c r="Z21" i="63"/>
  <c r="Z32" i="63"/>
  <c r="Z14" i="63"/>
  <c r="CJ7" i="36"/>
  <c r="CJ7" i="40"/>
  <c r="CJ7" i="39"/>
  <c r="CJ7" i="38"/>
  <c r="Q61" i="37"/>
  <c r="Q68" i="37"/>
  <c r="CI134" i="39"/>
  <c r="CI258" i="36"/>
  <c r="CJ248" i="36"/>
  <c r="CI249" i="36"/>
  <c r="CH310" i="39"/>
  <c r="CI308" i="39" s="1"/>
  <c r="CH154" i="39"/>
  <c r="S72" i="36"/>
  <c r="S71" i="36"/>
  <c r="S83" i="36"/>
  <c r="CH295" i="39"/>
  <c r="CI293" i="39" s="1"/>
  <c r="CD242" i="36"/>
  <c r="CD240" i="36"/>
  <c r="CD241" i="36"/>
  <c r="CD239" i="36"/>
  <c r="CD238" i="36"/>
  <c r="G3" i="60"/>
  <c r="CD80" i="37"/>
  <c r="CD70" i="37"/>
  <c r="CD77" i="37"/>
  <c r="CD103" i="39" s="1"/>
  <c r="CH69" i="37"/>
  <c r="CD78" i="37"/>
  <c r="BN78" i="37"/>
  <c r="BN122" i="40"/>
  <c r="BN126" i="40" s="1"/>
  <c r="BN80" i="37"/>
  <c r="BN71" i="37"/>
  <c r="BN70" i="37"/>
  <c r="BN69" i="37"/>
  <c r="BN77" i="37"/>
  <c r="BN103" i="39" s="1"/>
  <c r="CI255" i="39"/>
  <c r="CJ253" i="39" s="1"/>
  <c r="CG260" i="39"/>
  <c r="CD235" i="36"/>
  <c r="BP71" i="37"/>
  <c r="BP80" i="37"/>
  <c r="BP70" i="37"/>
  <c r="BP77" i="37"/>
  <c r="BP103" i="39" s="1"/>
  <c r="BP122" i="40"/>
  <c r="BP126" i="40" s="1"/>
  <c r="BP78" i="37"/>
  <c r="BP69" i="37"/>
  <c r="BT69" i="37"/>
  <c r="AK15" i="63"/>
  <c r="AK16" i="63"/>
  <c r="AK14" i="63"/>
  <c r="R183" i="39"/>
  <c r="CI241" i="36"/>
  <c r="CI238" i="36"/>
  <c r="CI239" i="36"/>
  <c r="CI242" i="36"/>
  <c r="CI243" i="36" s="1"/>
  <c r="CI240" i="36"/>
  <c r="CF7" i="38"/>
  <c r="CF7" i="36"/>
  <c r="CF7" i="40"/>
  <c r="CF7" i="39"/>
  <c r="Q20" i="38"/>
  <c r="Q19" i="38"/>
  <c r="R16" i="38" s="1"/>
  <c r="N84" i="38"/>
  <c r="O85" i="38"/>
  <c r="N85" i="38"/>
  <c r="Z61" i="63"/>
  <c r="CJ215" i="39"/>
  <c r="CK213" i="39" s="1"/>
  <c r="H109" i="61"/>
  <c r="H110" i="61"/>
  <c r="I110" i="61"/>
  <c r="CI235" i="36"/>
  <c r="CG125" i="39"/>
  <c r="CG175" i="39"/>
  <c r="CG197" i="39"/>
  <c r="CH145" i="39"/>
  <c r="CH265" i="39"/>
  <c r="CI263" i="39" s="1"/>
  <c r="CJ305" i="39"/>
  <c r="CK303" i="39" s="1"/>
  <c r="CJ153" i="39"/>
  <c r="CH143" i="39"/>
  <c r="CF144" i="39"/>
  <c r="CF157" i="39" s="1"/>
  <c r="D32" i="60"/>
  <c r="D44" i="60" s="1"/>
  <c r="D16" i="60"/>
  <c r="AY5" i="61"/>
  <c r="W84" i="61"/>
  <c r="CH185" i="39"/>
  <c r="CH127" i="39"/>
  <c r="CE157" i="39"/>
  <c r="CE159" i="39" s="1"/>
  <c r="S35" i="37"/>
  <c r="R40" i="37"/>
  <c r="R67" i="37"/>
  <c r="R46" i="37"/>
  <c r="R36" i="37"/>
  <c r="R58" i="38"/>
  <c r="R54" i="37"/>
  <c r="S37" i="37"/>
  <c r="R35" i="37"/>
  <c r="R69" i="39"/>
  <c r="R57" i="37"/>
  <c r="R43" i="37"/>
  <c r="R37" i="37"/>
  <c r="S36" i="37"/>
  <c r="R64" i="37"/>
  <c r="S205" i="39"/>
  <c r="S132" i="39"/>
  <c r="CF225" i="39"/>
  <c r="CF136" i="39"/>
  <c r="CF237" i="39"/>
  <c r="BV70" i="37"/>
  <c r="BV77" i="37"/>
  <c r="BV103" i="39" s="1"/>
  <c r="BV78" i="37"/>
  <c r="BV80" i="37"/>
  <c r="F84" i="61"/>
  <c r="AH5" i="61"/>
  <c r="BQ103" i="37"/>
  <c r="BR102" i="37"/>
  <c r="Q72" i="36"/>
  <c r="Q71" i="36"/>
  <c r="R71" i="36"/>
  <c r="H7" i="60"/>
  <c r="H16" i="60" s="1"/>
  <c r="H23" i="60" s="1"/>
  <c r="BE70" i="37"/>
  <c r="BE71" i="37"/>
  <c r="BE122" i="40"/>
  <c r="BE126" i="40" s="1"/>
  <c r="BE77" i="37"/>
  <c r="BE78" i="37"/>
  <c r="BE80" i="37"/>
  <c r="BI69" i="37"/>
  <c r="CH275" i="39"/>
  <c r="CI273" i="39" s="1"/>
  <c r="CG7" i="36"/>
  <c r="CG7" i="38"/>
  <c r="CG7" i="40"/>
  <c r="CG7" i="39"/>
  <c r="Q230" i="39"/>
  <c r="CH228" i="39"/>
  <c r="P36" i="37"/>
  <c r="P57" i="37"/>
  <c r="Q37" i="37"/>
  <c r="P58" i="38"/>
  <c r="P35" i="37"/>
  <c r="P67" i="37"/>
  <c r="P43" i="37"/>
  <c r="P69" i="39"/>
  <c r="P40" i="37"/>
  <c r="P37" i="37"/>
  <c r="P46" i="37"/>
  <c r="P47" i="37"/>
  <c r="P64" i="37"/>
  <c r="Q35" i="37"/>
  <c r="P79" i="38"/>
  <c r="Q36" i="37"/>
  <c r="P54" i="37"/>
  <c r="S155" i="39"/>
  <c r="S315" i="39"/>
  <c r="CI220" i="39"/>
  <c r="CJ218" i="39" s="1"/>
  <c r="S249" i="39"/>
  <c r="S324" i="39" s="1"/>
  <c r="S142" i="39"/>
  <c r="C5" i="63"/>
  <c r="C9" i="60"/>
  <c r="CI153" i="39"/>
  <c r="CL318" i="39"/>
  <c r="R320" i="39"/>
  <c r="S318" i="39" s="1"/>
  <c r="Q261" i="36"/>
  <c r="Q262" i="36" s="1"/>
  <c r="Q254" i="36"/>
  <c r="O35" i="37"/>
  <c r="O47" i="37"/>
  <c r="O24" i="37"/>
  <c r="O54" i="37"/>
  <c r="O46" i="37"/>
  <c r="O37" i="37"/>
  <c r="O32" i="37"/>
  <c r="O64" i="37"/>
  <c r="O58" i="38"/>
  <c r="O69" i="39"/>
  <c r="O12" i="37"/>
  <c r="O36" i="37"/>
  <c r="O16" i="37"/>
  <c r="O43" i="37"/>
  <c r="O28" i="37"/>
  <c r="O20" i="37"/>
  <c r="O57" i="37"/>
  <c r="O40" i="37"/>
  <c r="O79" i="38"/>
  <c r="O67" i="37"/>
  <c r="BW58" i="37"/>
  <c r="BW50" i="37"/>
  <c r="CA48" i="37"/>
  <c r="BZ91" i="39"/>
  <c r="BW87" i="39"/>
  <c r="BW116" i="40"/>
  <c r="BW48" i="37"/>
  <c r="BW93" i="39"/>
  <c r="BW51" i="37"/>
  <c r="BW49" i="37"/>
  <c r="BW102" i="39"/>
  <c r="BW94" i="39"/>
  <c r="BX49" i="37"/>
  <c r="BX51" i="37"/>
  <c r="BY91" i="39"/>
  <c r="BX91" i="39"/>
  <c r="BW91" i="39"/>
  <c r="CI48" i="37"/>
  <c r="CI50" i="37"/>
  <c r="CI94" i="39"/>
  <c r="CI58" i="37"/>
  <c r="CI116" i="40"/>
  <c r="CI91" i="39"/>
  <c r="CI93" i="39"/>
  <c r="CK91" i="39"/>
  <c r="CI51" i="37"/>
  <c r="CI49" i="37"/>
  <c r="CI102" i="39"/>
  <c r="R47" i="37"/>
  <c r="CJ49" i="37"/>
  <c r="CJ51" i="37"/>
  <c r="CI87" i="39"/>
  <c r="CL91" i="39"/>
  <c r="CJ91" i="39"/>
  <c r="CL205" i="39"/>
  <c r="CL132" i="39" s="1"/>
  <c r="Q133" i="39"/>
  <c r="Q109" i="39"/>
  <c r="N35" i="37"/>
  <c r="N43" i="37"/>
  <c r="N32" i="37"/>
  <c r="N54" i="37"/>
  <c r="N37" i="37"/>
  <c r="N12" i="37"/>
  <c r="N69" i="39"/>
  <c r="N16" i="37"/>
  <c r="N40" i="37"/>
  <c r="N46" i="37"/>
  <c r="N36" i="37"/>
  <c r="N47" i="37"/>
  <c r="N64" i="37"/>
  <c r="N67" i="37"/>
  <c r="N57" i="37"/>
  <c r="N28" i="37"/>
  <c r="N20" i="37"/>
  <c r="N24" i="37"/>
  <c r="N58" i="38"/>
  <c r="BR116" i="40"/>
  <c r="BR58" i="37"/>
  <c r="BR49" i="37"/>
  <c r="BR51" i="37"/>
  <c r="BR87" i="39"/>
  <c r="BR91" i="39"/>
  <c r="BR94" i="39"/>
  <c r="BR93" i="39"/>
  <c r="BS51" i="37"/>
  <c r="BS49" i="37"/>
  <c r="BR102" i="39"/>
  <c r="BR50" i="37"/>
  <c r="BR48" i="37"/>
  <c r="BV48" i="37"/>
  <c r="C44" i="60"/>
  <c r="CG137" i="39"/>
  <c r="Q137" i="39" s="1"/>
  <c r="CI141" i="39"/>
  <c r="R141" i="39" s="1"/>
  <c r="CI244" i="39"/>
  <c r="BW163" i="39"/>
  <c r="BV165" i="39"/>
  <c r="BV166" i="39" s="1"/>
  <c r="P95" i="37"/>
  <c r="P96" i="37"/>
  <c r="CI300" i="39"/>
  <c r="CJ298" i="39" s="1"/>
  <c r="CI152" i="39"/>
  <c r="BZ102" i="39"/>
  <c r="CA51" i="37"/>
  <c r="CA49" i="37"/>
  <c r="CC91" i="39"/>
  <c r="BZ116" i="40"/>
  <c r="BZ58" i="37"/>
  <c r="BZ48" i="37"/>
  <c r="BZ94" i="39"/>
  <c r="BZ87" i="39"/>
  <c r="BZ51" i="37"/>
  <c r="BZ50" i="37"/>
  <c r="BZ93" i="39"/>
  <c r="BZ49" i="37"/>
  <c r="CA91" i="39"/>
  <c r="CB91" i="39"/>
  <c r="CD48" i="37"/>
  <c r="CL315" i="39"/>
  <c r="CL155" i="39" s="1"/>
  <c r="CH135" i="39"/>
  <c r="CL250" i="39"/>
  <c r="CL142" i="39" s="1"/>
  <c r="R64" i="36"/>
  <c r="R62" i="36"/>
  <c r="CH210" i="39"/>
  <c r="CI208" i="39" s="1"/>
  <c r="O35" i="38" l="1"/>
  <c r="O45" i="38"/>
  <c r="O47" i="38"/>
  <c r="BH73" i="37"/>
  <c r="BL72" i="37"/>
  <c r="BH118" i="37"/>
  <c r="BH119" i="37" s="1"/>
  <c r="BH86" i="37"/>
  <c r="BL87" i="37" s="1"/>
  <c r="BH83" i="37"/>
  <c r="BH84" i="37"/>
  <c r="BL81" i="37"/>
  <c r="BH110" i="39"/>
  <c r="BH108" i="39" s="1"/>
  <c r="BH101" i="39"/>
  <c r="BL6" i="39"/>
  <c r="BL6" i="36"/>
  <c r="BL6" i="40"/>
  <c r="BL6" i="38"/>
  <c r="BM72" i="37"/>
  <c r="BX6" i="37"/>
  <c r="BX85" i="37"/>
  <c r="CB85" i="37"/>
  <c r="BK72" i="37"/>
  <c r="BK73" i="37"/>
  <c r="J118" i="37"/>
  <c r="J119" i="37" s="1"/>
  <c r="J83" i="37"/>
  <c r="J115" i="39" s="1"/>
  <c r="J114" i="39" s="1"/>
  <c r="J84" i="37"/>
  <c r="J6" i="37" s="1"/>
  <c r="J86" i="37"/>
  <c r="BY85" i="37"/>
  <c r="BY6" i="37"/>
  <c r="CC85" i="37"/>
  <c r="BY87" i="37"/>
  <c r="CC87" i="37"/>
  <c r="K81" i="37"/>
  <c r="K84" i="37"/>
  <c r="K83" i="37"/>
  <c r="K115" i="39" s="1"/>
  <c r="K114" i="39" s="1"/>
  <c r="K118" i="37"/>
  <c r="K119" i="37" s="1"/>
  <c r="K86" i="37"/>
  <c r="BQ119" i="37"/>
  <c r="BQ84" i="37"/>
  <c r="BQ6" i="37" s="1"/>
  <c r="BU81" i="37"/>
  <c r="BQ86" i="37"/>
  <c r="BU87" i="37" s="1"/>
  <c r="BQ83" i="37"/>
  <c r="BX89" i="37"/>
  <c r="CB89" i="37"/>
  <c r="BO119" i="37"/>
  <c r="BO83" i="37"/>
  <c r="BO84" i="37"/>
  <c r="BO81" i="37"/>
  <c r="BS81" i="37"/>
  <c r="BO86" i="37"/>
  <c r="BK110" i="39"/>
  <c r="BK108" i="39" s="1"/>
  <c r="BK101" i="39"/>
  <c r="BI83" i="37"/>
  <c r="BI86" i="37"/>
  <c r="BI84" i="37"/>
  <c r="BI6" i="37" s="1"/>
  <c r="BI118" i="37"/>
  <c r="BI119" i="37" s="1"/>
  <c r="BI82" i="37"/>
  <c r="BF6" i="40"/>
  <c r="BF6" i="39"/>
  <c r="BF6" i="38"/>
  <c r="J110" i="39"/>
  <c r="J108" i="39" s="1"/>
  <c r="J101" i="39"/>
  <c r="K110" i="39"/>
  <c r="K108" i="39" s="1"/>
  <c r="K101" i="39"/>
  <c r="BO72" i="37"/>
  <c r="BO73" i="37"/>
  <c r="BI110" i="39"/>
  <c r="BI108" i="39" s="1"/>
  <c r="BI101" i="39"/>
  <c r="BG110" i="39"/>
  <c r="BG108" i="39" s="1"/>
  <c r="BG101" i="39"/>
  <c r="K73" i="37"/>
  <c r="K72" i="37"/>
  <c r="BX87" i="37"/>
  <c r="CB87" i="37"/>
  <c r="BO101" i="39"/>
  <c r="BO110" i="39"/>
  <c r="BO108" i="39" s="1"/>
  <c r="BK86" i="37"/>
  <c r="BK83" i="37"/>
  <c r="BK118" i="37"/>
  <c r="BK119" i="37" s="1"/>
  <c r="BL82" i="37"/>
  <c r="BK84" i="37"/>
  <c r="BK6" i="37" s="1"/>
  <c r="BK81" i="37"/>
  <c r="BG86" i="37"/>
  <c r="BG83" i="37"/>
  <c r="BG118" i="37"/>
  <c r="BG119" i="37" s="1"/>
  <c r="BG84" i="37"/>
  <c r="BG82" i="37"/>
  <c r="BH82" i="37"/>
  <c r="BY89" i="37"/>
  <c r="CC89" i="37"/>
  <c r="BQ101" i="39"/>
  <c r="BQ110" i="39"/>
  <c r="BQ108" i="39" s="1"/>
  <c r="P62" i="40"/>
  <c r="BM6" i="37"/>
  <c r="BM87" i="37"/>
  <c r="BQ87" i="37"/>
  <c r="D50" i="73"/>
  <c r="C4" i="60"/>
  <c r="O84" i="61"/>
  <c r="AQ5" i="61"/>
  <c r="D84" i="61"/>
  <c r="AF5" i="61"/>
  <c r="E87" i="54"/>
  <c r="E90" i="54" s="1"/>
  <c r="E92" i="54" s="1"/>
  <c r="E93" i="54" s="1"/>
  <c r="E97" i="54"/>
  <c r="AL11" i="63"/>
  <c r="AQ11" i="63" s="1"/>
  <c r="AA11" i="63"/>
  <c r="AA52" i="63"/>
  <c r="AA39" i="63"/>
  <c r="AE30" i="63"/>
  <c r="AE39" i="63" s="1"/>
  <c r="AQ29" i="63"/>
  <c r="AS9" i="63"/>
  <c r="AS29" i="63" s="1"/>
  <c r="AN16" i="63"/>
  <c r="AP16" i="63"/>
  <c r="AM15" i="63"/>
  <c r="AM14" i="63"/>
  <c r="AO16" i="63"/>
  <c r="Y84" i="61"/>
  <c r="S85" i="38"/>
  <c r="R85" i="38"/>
  <c r="M80" i="37"/>
  <c r="M78" i="37"/>
  <c r="M122" i="40"/>
  <c r="M126" i="40" s="1"/>
  <c r="M71" i="37"/>
  <c r="M73" i="37" s="1"/>
  <c r="M70" i="37"/>
  <c r="M77" i="37"/>
  <c r="M103" i="39" s="1"/>
  <c r="M69" i="37"/>
  <c r="BB86" i="37"/>
  <c r="BF87" i="37" s="1"/>
  <c r="BF81" i="37"/>
  <c r="BB83" i="37"/>
  <c r="BB84" i="37"/>
  <c r="BJ118" i="37"/>
  <c r="BJ119" i="37" s="1"/>
  <c r="BJ84" i="37"/>
  <c r="BJ83" i="37"/>
  <c r="BJ86" i="37"/>
  <c r="BJ87" i="37" s="1"/>
  <c r="BJ81" i="37"/>
  <c r="BK82" i="37"/>
  <c r="BJ82" i="37"/>
  <c r="BG72" i="37"/>
  <c r="BC73" i="37"/>
  <c r="BH72" i="37"/>
  <c r="BD73" i="37"/>
  <c r="L73" i="37"/>
  <c r="L72" i="37"/>
  <c r="BJ110" i="39"/>
  <c r="BJ108" i="39" s="1"/>
  <c r="BJ101" i="39"/>
  <c r="BP63" i="40"/>
  <c r="BQ61" i="40"/>
  <c r="BQ62" i="40" s="1"/>
  <c r="BB73" i="37"/>
  <c r="BF72" i="37"/>
  <c r="L110" i="39"/>
  <c r="L108" i="39" s="1"/>
  <c r="L101" i="39"/>
  <c r="L118" i="37"/>
  <c r="L119" i="37" s="1"/>
  <c r="L84" i="37"/>
  <c r="L83" i="37"/>
  <c r="L86" i="37"/>
  <c r="L87" i="37" s="1"/>
  <c r="L81" i="37"/>
  <c r="BJ73" i="37"/>
  <c r="BJ72" i="37"/>
  <c r="BC82" i="37"/>
  <c r="BG81" i="37"/>
  <c r="BC83" i="37"/>
  <c r="BC84" i="37"/>
  <c r="BC86" i="37"/>
  <c r="Q61" i="40"/>
  <c r="Q62" i="40" s="1"/>
  <c r="P63" i="40"/>
  <c r="BD83" i="37"/>
  <c r="BD86" i="37"/>
  <c r="BH87" i="37" s="1"/>
  <c r="BH81" i="37"/>
  <c r="BD84" i="37"/>
  <c r="BD82" i="37"/>
  <c r="D3" i="60"/>
  <c r="I84" i="61"/>
  <c r="AK5" i="61"/>
  <c r="K84" i="61"/>
  <c r="AM5" i="61"/>
  <c r="R244" i="39"/>
  <c r="R324" i="39" s="1"/>
  <c r="CI324" i="39"/>
  <c r="CI109" i="39"/>
  <c r="BW109" i="39"/>
  <c r="C12" i="60"/>
  <c r="C40" i="60" s="1"/>
  <c r="C14" i="60"/>
  <c r="C42" i="60" s="1"/>
  <c r="C19" i="60"/>
  <c r="C34" i="60"/>
  <c r="C13" i="60"/>
  <c r="C41" i="60" s="1"/>
  <c r="CF139" i="39"/>
  <c r="BP110" i="39"/>
  <c r="BP108" i="39" s="1"/>
  <c r="BP101" i="39"/>
  <c r="CJ255" i="39"/>
  <c r="CK253" i="39" s="1"/>
  <c r="BN73" i="37"/>
  <c r="BN72" i="37"/>
  <c r="CD243" i="36"/>
  <c r="G112" i="61"/>
  <c r="G113" i="61"/>
  <c r="I97" i="54"/>
  <c r="G114" i="61"/>
  <c r="CI265" i="39"/>
  <c r="CJ263" i="39" s="1"/>
  <c r="CI145" i="39"/>
  <c r="Q175" i="39"/>
  <c r="CH173" i="39"/>
  <c r="CG199" i="39"/>
  <c r="CJ134" i="39"/>
  <c r="R19" i="38"/>
  <c r="S16" i="38" s="1"/>
  <c r="R20" i="38"/>
  <c r="D9" i="60"/>
  <c r="D5" i="63"/>
  <c r="CI143" i="39"/>
  <c r="BN110" i="39"/>
  <c r="BN108" i="39" s="1"/>
  <c r="BN101" i="39"/>
  <c r="BN81" i="37"/>
  <c r="BN84" i="37"/>
  <c r="BN82" i="37"/>
  <c r="BN86" i="37"/>
  <c r="BN119" i="37"/>
  <c r="BN83" i="37"/>
  <c r="BO82" i="37"/>
  <c r="CD110" i="39"/>
  <c r="CD108" i="39" s="1"/>
  <c r="CD101" i="39"/>
  <c r="CI310" i="39"/>
  <c r="CJ308" i="39" s="1"/>
  <c r="Z19" i="63"/>
  <c r="CJ180" i="39"/>
  <c r="CK178" i="39" s="1"/>
  <c r="CJ126" i="39"/>
  <c r="G87" i="54"/>
  <c r="G90" i="54" s="1"/>
  <c r="BZ68" i="37"/>
  <c r="BZ60" i="37"/>
  <c r="BZ61" i="37"/>
  <c r="BZ59" i="37"/>
  <c r="CA60" i="37"/>
  <c r="CD59" i="37"/>
  <c r="P97" i="37"/>
  <c r="P99" i="37"/>
  <c r="P91" i="37" s="1"/>
  <c r="P98" i="37" s="1"/>
  <c r="CF159" i="39"/>
  <c r="CD86" i="37"/>
  <c r="CD119" i="37"/>
  <c r="CD82" i="37"/>
  <c r="CD83" i="37"/>
  <c r="CE82" i="37"/>
  <c r="CD88" i="37"/>
  <c r="CH81" i="37"/>
  <c r="CD84" i="37"/>
  <c r="AS5" i="61"/>
  <c r="G4" i="60"/>
  <c r="Q84" i="61"/>
  <c r="H87" i="54"/>
  <c r="H90" i="54" s="1"/>
  <c r="CH258" i="39"/>
  <c r="Q260" i="39"/>
  <c r="R258" i="39" s="1"/>
  <c r="G20" i="60"/>
  <c r="G13" i="60"/>
  <c r="G41" i="60"/>
  <c r="G35" i="60"/>
  <c r="CI295" i="39"/>
  <c r="CJ293" i="39" s="1"/>
  <c r="CK248" i="36"/>
  <c r="CJ258" i="36"/>
  <c r="CJ249" i="36"/>
  <c r="I87" i="54"/>
  <c r="I90" i="54" s="1"/>
  <c r="Z42" i="63"/>
  <c r="Z54" i="63"/>
  <c r="Z36" i="63"/>
  <c r="Z37" i="63"/>
  <c r="Z35" i="63"/>
  <c r="CI126" i="39"/>
  <c r="C6" i="63"/>
  <c r="AU5" i="61"/>
  <c r="S84" i="61"/>
  <c r="G5" i="63"/>
  <c r="CK134" i="39"/>
  <c r="R134" i="39" s="1"/>
  <c r="CK215" i="39"/>
  <c r="BZ109" i="39"/>
  <c r="H32" i="60"/>
  <c r="H44" i="60" s="1"/>
  <c r="BR109" i="39"/>
  <c r="O102" i="39"/>
  <c r="O48" i="37"/>
  <c r="O50" i="37"/>
  <c r="O93" i="39"/>
  <c r="O94" i="39"/>
  <c r="O58" i="37"/>
  <c r="O51" i="37"/>
  <c r="O116" i="40"/>
  <c r="O87" i="39"/>
  <c r="O91" i="39"/>
  <c r="H5" i="63"/>
  <c r="C68" i="63"/>
  <c r="C15" i="63"/>
  <c r="C74" i="63" s="1"/>
  <c r="C22" i="63"/>
  <c r="Z5" i="63"/>
  <c r="Z22" i="63" s="1"/>
  <c r="P102" i="39"/>
  <c r="P50" i="37"/>
  <c r="P94" i="39"/>
  <c r="P116" i="40"/>
  <c r="P58" i="37"/>
  <c r="P48" i="37"/>
  <c r="P93" i="39"/>
  <c r="P91" i="39"/>
  <c r="P51" i="37"/>
  <c r="P87" i="39"/>
  <c r="Q48" i="37"/>
  <c r="Q51" i="37"/>
  <c r="CH230" i="39"/>
  <c r="CH137" i="39"/>
  <c r="BE82" i="37"/>
  <c r="BE86" i="37"/>
  <c r="BI87" i="37" s="1"/>
  <c r="BE83" i="37"/>
  <c r="BF82" i="37"/>
  <c r="BE84" i="37"/>
  <c r="BI81" i="37"/>
  <c r="BE73" i="37"/>
  <c r="BI72" i="37"/>
  <c r="BR103" i="37"/>
  <c r="BS102" i="37"/>
  <c r="BV84" i="37"/>
  <c r="BV88" i="37"/>
  <c r="BV119" i="37"/>
  <c r="BV86" i="37"/>
  <c r="BV82" i="37"/>
  <c r="BV83" i="37"/>
  <c r="CG223" i="39"/>
  <c r="CF239" i="39"/>
  <c r="CI210" i="39"/>
  <c r="CJ208" i="39" s="1"/>
  <c r="CI133" i="39"/>
  <c r="R63" i="36"/>
  <c r="S63" i="36"/>
  <c r="BR60" i="37"/>
  <c r="BR68" i="37"/>
  <c r="BS60" i="37"/>
  <c r="BR61" i="37"/>
  <c r="BR59" i="37"/>
  <c r="BV59" i="37"/>
  <c r="CA59" i="37"/>
  <c r="BW59" i="37"/>
  <c r="BW61" i="37"/>
  <c r="BW60" i="37"/>
  <c r="BW68" i="37"/>
  <c r="BX60" i="37"/>
  <c r="S320" i="39"/>
  <c r="S156" i="39" s="1"/>
  <c r="CJ220" i="39"/>
  <c r="CK218" i="39" s="1"/>
  <c r="R228" i="39"/>
  <c r="CI275" i="39"/>
  <c r="CJ273" i="39" s="1"/>
  <c r="CG130" i="39"/>
  <c r="Q130" i="39" s="1"/>
  <c r="Q125" i="39"/>
  <c r="AK12" i="63"/>
  <c r="Z12" i="63"/>
  <c r="BP81" i="37"/>
  <c r="BP84" i="37"/>
  <c r="BQ82" i="37"/>
  <c r="BP83" i="37"/>
  <c r="BP119" i="37"/>
  <c r="BP86" i="37"/>
  <c r="BP82" i="37"/>
  <c r="BT81" i="37"/>
  <c r="CH133" i="39"/>
  <c r="R66" i="36"/>
  <c r="R67" i="36"/>
  <c r="G97" i="54"/>
  <c r="E112" i="61"/>
  <c r="E114" i="61"/>
  <c r="CJ300" i="39"/>
  <c r="CK298" i="39" s="1"/>
  <c r="BX163" i="39"/>
  <c r="BW165" i="39"/>
  <c r="BW166" i="39" s="1"/>
  <c r="AI5" i="61"/>
  <c r="G84" i="61"/>
  <c r="N84" i="61"/>
  <c r="AP5" i="61"/>
  <c r="N116" i="40"/>
  <c r="N50" i="37"/>
  <c r="N91" i="39"/>
  <c r="N48" i="37"/>
  <c r="N94" i="39"/>
  <c r="N102" i="39"/>
  <c r="N87" i="39"/>
  <c r="N51" i="37"/>
  <c r="N93" i="39"/>
  <c r="N58" i="37"/>
  <c r="R93" i="39"/>
  <c r="R58" i="37"/>
  <c r="R48" i="37"/>
  <c r="R51" i="37"/>
  <c r="S51" i="37"/>
  <c r="R94" i="39"/>
  <c r="R102" i="39"/>
  <c r="R109" i="39" s="1"/>
  <c r="R87" i="39"/>
  <c r="S48" i="37"/>
  <c r="R116" i="40"/>
  <c r="R50" i="37"/>
  <c r="R91" i="39"/>
  <c r="CI59" i="37"/>
  <c r="CI61" i="37"/>
  <c r="CI68" i="37"/>
  <c r="CI60" i="37"/>
  <c r="CJ60" i="37"/>
  <c r="CL320" i="39"/>
  <c r="CL156" i="39" s="1"/>
  <c r="CI135" i="39"/>
  <c r="CH147" i="39"/>
  <c r="BV110" i="39"/>
  <c r="BV108" i="39" s="1"/>
  <c r="BV101" i="39"/>
  <c r="Q144" i="39"/>
  <c r="CI183" i="39"/>
  <c r="CK305" i="39"/>
  <c r="CK153" i="39"/>
  <c r="R153" i="39" s="1"/>
  <c r="BP72" i="37"/>
  <c r="BP73" i="37"/>
  <c r="F112" i="61"/>
  <c r="F113" i="61"/>
  <c r="F114" i="61"/>
  <c r="H97" i="54"/>
  <c r="CG144" i="39"/>
  <c r="CH151" i="39"/>
  <c r="Q122" i="40"/>
  <c r="Q126" i="40" s="1"/>
  <c r="Q71" i="37"/>
  <c r="Q77" i="37"/>
  <c r="Q103" i="39" s="1"/>
  <c r="Q70" i="37"/>
  <c r="Q80" i="37"/>
  <c r="Q78" i="37"/>
  <c r="CI150" i="39"/>
  <c r="CI290" i="39"/>
  <c r="CJ288" i="39" s="1"/>
  <c r="O72" i="36"/>
  <c r="O71" i="36"/>
  <c r="O83" i="36"/>
  <c r="P71" i="36"/>
  <c r="BG87" i="37" l="1"/>
  <c r="BQ85" i="37"/>
  <c r="BM85" i="37"/>
  <c r="K87" i="37"/>
  <c r="BH6" i="37"/>
  <c r="BL85" i="37"/>
  <c r="BN87" i="37"/>
  <c r="BK6" i="38"/>
  <c r="BK6" i="36"/>
  <c r="BK6" i="39"/>
  <c r="BK6" i="40"/>
  <c r="BK87" i="37"/>
  <c r="BY7" i="37"/>
  <c r="BY6" i="40"/>
  <c r="BY6" i="38"/>
  <c r="BY6" i="36"/>
  <c r="BY6" i="39"/>
  <c r="CC7" i="37"/>
  <c r="BI6" i="40"/>
  <c r="BI6" i="38"/>
  <c r="BI6" i="39"/>
  <c r="BS85" i="37"/>
  <c r="BO85" i="37"/>
  <c r="BO6" i="37"/>
  <c r="BQ6" i="40"/>
  <c r="BQ6" i="38"/>
  <c r="BQ6" i="36"/>
  <c r="BU7" i="37"/>
  <c r="BQ6" i="39"/>
  <c r="BX6" i="39"/>
  <c r="BX7" i="37"/>
  <c r="BX6" i="38"/>
  <c r="BX6" i="36"/>
  <c r="BX6" i="40"/>
  <c r="CB7" i="37"/>
  <c r="BK85" i="37"/>
  <c r="BG6" i="37"/>
  <c r="BO87" i="37"/>
  <c r="BS87" i="37"/>
  <c r="K6" i="37"/>
  <c r="K85" i="37"/>
  <c r="J6" i="39"/>
  <c r="J6" i="36"/>
  <c r="J6" i="38"/>
  <c r="J6" i="40"/>
  <c r="BM7" i="37"/>
  <c r="BM7" i="36" s="1"/>
  <c r="BM6" i="36"/>
  <c r="BM6" i="40"/>
  <c r="BQ7" i="37"/>
  <c r="BM6" i="38"/>
  <c r="BM6" i="39"/>
  <c r="AU11" i="63"/>
  <c r="AQ14" i="63"/>
  <c r="AQ31" i="63"/>
  <c r="AZ5" i="61"/>
  <c r="X84" i="61"/>
  <c r="AM16" i="63"/>
  <c r="AA61" i="63"/>
  <c r="AE52" i="63"/>
  <c r="AE61" i="63" s="1"/>
  <c r="AA32" i="63"/>
  <c r="AA21" i="63"/>
  <c r="AA19" i="63" s="1"/>
  <c r="AD16" i="63"/>
  <c r="AA14" i="63"/>
  <c r="AE11" i="63"/>
  <c r="AA16" i="63"/>
  <c r="I114" i="61"/>
  <c r="I112" i="61"/>
  <c r="K97" i="54"/>
  <c r="AL14" i="63"/>
  <c r="AL15" i="63"/>
  <c r="AL16" i="63"/>
  <c r="AR11" i="63"/>
  <c r="AS11" i="63" s="1"/>
  <c r="K87" i="54"/>
  <c r="K90" i="54" s="1"/>
  <c r="K92" i="54" s="1"/>
  <c r="K93" i="54" s="1"/>
  <c r="K99" i="54" s="1"/>
  <c r="AM12" i="63"/>
  <c r="BH85" i="37"/>
  <c r="BD6" i="37"/>
  <c r="L6" i="37"/>
  <c r="L85" i="37"/>
  <c r="BR61" i="40"/>
  <c r="BR62" i="40" s="1"/>
  <c r="BQ63" i="40"/>
  <c r="BJ85" i="37"/>
  <c r="BJ6" i="37"/>
  <c r="M83" i="37"/>
  <c r="M81" i="37"/>
  <c r="M119" i="37"/>
  <c r="M84" i="37"/>
  <c r="M86" i="37"/>
  <c r="M87" i="37" s="1"/>
  <c r="M72" i="37"/>
  <c r="BB6" i="37"/>
  <c r="BF85" i="37"/>
  <c r="Q63" i="40"/>
  <c r="R61" i="40"/>
  <c r="BC6" i="37"/>
  <c r="BG85" i="37"/>
  <c r="M110" i="39"/>
  <c r="M108" i="39" s="1"/>
  <c r="M101" i="39"/>
  <c r="D4" i="60"/>
  <c r="AR5" i="61"/>
  <c r="P84" i="61"/>
  <c r="AN5" i="61"/>
  <c r="L84" i="61"/>
  <c r="AJ5" i="61"/>
  <c r="H84" i="61"/>
  <c r="M84" i="61"/>
  <c r="AO5" i="61"/>
  <c r="W110" i="61"/>
  <c r="Q110" i="39"/>
  <c r="Q108" i="39" s="1"/>
  <c r="Q101" i="39"/>
  <c r="CK300" i="39"/>
  <c r="BP6" i="37"/>
  <c r="BP85" i="37"/>
  <c r="BT85" i="37"/>
  <c r="Z33" i="63"/>
  <c r="J87" i="54"/>
  <c r="J90" i="54" s="1"/>
  <c r="N61" i="37"/>
  <c r="N68" i="37"/>
  <c r="N59" i="37"/>
  <c r="N109" i="39"/>
  <c r="CJ152" i="39"/>
  <c r="R68" i="36"/>
  <c r="CJ210" i="39"/>
  <c r="CK208" i="39" s="1"/>
  <c r="CI228" i="39"/>
  <c r="V84" i="61"/>
  <c r="H6" i="63"/>
  <c r="AX5" i="61"/>
  <c r="O61" i="37"/>
  <c r="O68" i="37"/>
  <c r="O59" i="37"/>
  <c r="CJ151" i="39"/>
  <c r="CJ295" i="39"/>
  <c r="CK293" i="39" s="1"/>
  <c r="CK126" i="39"/>
  <c r="R126" i="39" s="1"/>
  <c r="CK180" i="39"/>
  <c r="CJ310" i="39"/>
  <c r="CK308" i="39" s="1"/>
  <c r="D13" i="60"/>
  <c r="D41" i="60" s="1"/>
  <c r="D19" i="60"/>
  <c r="D12" i="60"/>
  <c r="D40" i="60" s="1"/>
  <c r="D34" i="60"/>
  <c r="H34" i="60" s="1"/>
  <c r="D14" i="60"/>
  <c r="D42" i="60" s="1"/>
  <c r="G14" i="60"/>
  <c r="S20" i="38"/>
  <c r="S19" i="38"/>
  <c r="H112" i="61"/>
  <c r="H114" i="61"/>
  <c r="H113" i="61"/>
  <c r="J97" i="54"/>
  <c r="I113" i="61"/>
  <c r="CH175" i="39"/>
  <c r="CH125" i="39"/>
  <c r="CH197" i="39"/>
  <c r="C46" i="60"/>
  <c r="H9" i="60"/>
  <c r="BP87" i="37"/>
  <c r="BT87" i="37"/>
  <c r="CK220" i="39"/>
  <c r="Z43" i="63"/>
  <c r="Z40" i="63"/>
  <c r="R248" i="36"/>
  <c r="CL248" i="36"/>
  <c r="CK249" i="36"/>
  <c r="CK258" i="36"/>
  <c r="P128" i="40"/>
  <c r="P66" i="40"/>
  <c r="P69" i="40" s="1"/>
  <c r="P103" i="37"/>
  <c r="P104" i="37" s="1"/>
  <c r="P59" i="39" s="1"/>
  <c r="P73" i="40"/>
  <c r="P74" i="40" s="1"/>
  <c r="BZ69" i="37"/>
  <c r="BZ80" i="37"/>
  <c r="BZ78" i="37"/>
  <c r="BZ70" i="37"/>
  <c r="BZ77" i="37"/>
  <c r="BZ103" i="39" s="1"/>
  <c r="CD69" i="37"/>
  <c r="CJ150" i="39"/>
  <c r="CJ290" i="39"/>
  <c r="CK288" i="39" s="1"/>
  <c r="Q83" i="37"/>
  <c r="Q119" i="37"/>
  <c r="Q73" i="37"/>
  <c r="CI70" i="37"/>
  <c r="CI69" i="37"/>
  <c r="CI78" i="37"/>
  <c r="CI77" i="37"/>
  <c r="CI103" i="39" s="1"/>
  <c r="CI80" i="37"/>
  <c r="CG225" i="39"/>
  <c r="CG136" i="39"/>
  <c r="CG237" i="39"/>
  <c r="BV6" i="37"/>
  <c r="BE6" i="37"/>
  <c r="BI85" i="37"/>
  <c r="O109" i="39"/>
  <c r="U84" i="61"/>
  <c r="AW5" i="61"/>
  <c r="G6" i="63"/>
  <c r="CI151" i="39"/>
  <c r="CH89" i="37"/>
  <c r="CI154" i="39"/>
  <c r="R173" i="39"/>
  <c r="R197" i="39" s="1"/>
  <c r="Q199" i="39"/>
  <c r="CK255" i="39"/>
  <c r="CK143" i="39" s="1"/>
  <c r="C17" i="60"/>
  <c r="C20" i="60"/>
  <c r="CJ275" i="39"/>
  <c r="CK273" i="39" s="1"/>
  <c r="BW70" i="37"/>
  <c r="CA69" i="37"/>
  <c r="BW80" i="37"/>
  <c r="BW78" i="37"/>
  <c r="BW77" i="37"/>
  <c r="BW103" i="39" s="1"/>
  <c r="BW69" i="37"/>
  <c r="Z6" i="63"/>
  <c r="Z15" i="63"/>
  <c r="CD6" i="37"/>
  <c r="CH85" i="37"/>
  <c r="AA5" i="63"/>
  <c r="F22" i="63"/>
  <c r="F15" i="63"/>
  <c r="F74" i="63"/>
  <c r="F68" i="63"/>
  <c r="CL303" i="39"/>
  <c r="R305" i="39"/>
  <c r="S303" i="39" s="1"/>
  <c r="CI185" i="39"/>
  <c r="CI127" i="39"/>
  <c r="R59" i="37"/>
  <c r="S59" i="37"/>
  <c r="R61" i="37"/>
  <c r="R68" i="37"/>
  <c r="BY163" i="39"/>
  <c r="BX165" i="39"/>
  <c r="BX166" i="39" s="1"/>
  <c r="C10" i="60"/>
  <c r="CI147" i="39"/>
  <c r="CJ135" i="39"/>
  <c r="BR69" i="37"/>
  <c r="BR77" i="37"/>
  <c r="BR103" i="39" s="1"/>
  <c r="BR78" i="37"/>
  <c r="BR80" i="37"/>
  <c r="BR70" i="37"/>
  <c r="BV69" i="37"/>
  <c r="BS103" i="37"/>
  <c r="BT102" i="37"/>
  <c r="P68" i="37"/>
  <c r="P61" i="37"/>
  <c r="P59" i="37"/>
  <c r="Q59" i="37"/>
  <c r="P109" i="39"/>
  <c r="H15" i="63"/>
  <c r="C16" i="63"/>
  <c r="C75" i="63" s="1"/>
  <c r="H22" i="63"/>
  <c r="AE5" i="63"/>
  <c r="H74" i="63"/>
  <c r="H68" i="63"/>
  <c r="CL213" i="39"/>
  <c r="R215" i="39"/>
  <c r="S213" i="39" s="1"/>
  <c r="G68" i="63"/>
  <c r="G15" i="63"/>
  <c r="G74" i="63" s="1"/>
  <c r="AD5" i="63"/>
  <c r="G22" i="63"/>
  <c r="Z58" i="63"/>
  <c r="Z59" i="63"/>
  <c r="Z57" i="63"/>
  <c r="Z64" i="63"/>
  <c r="I92" i="54"/>
  <c r="I93" i="54" s="1"/>
  <c r="CH260" i="39"/>
  <c r="CI258" i="39" s="1"/>
  <c r="H92" i="54"/>
  <c r="H93" i="54" s="1"/>
  <c r="CH87" i="37"/>
  <c r="G92" i="54"/>
  <c r="G93" i="54" s="1"/>
  <c r="BN6" i="37"/>
  <c r="BN85" i="37"/>
  <c r="AV5" i="61"/>
  <c r="T84" i="61"/>
  <c r="D6" i="63"/>
  <c r="CJ265" i="39"/>
  <c r="CK263" i="39" s="1"/>
  <c r="CJ143" i="39"/>
  <c r="BH6" i="38" l="1"/>
  <c r="BH6" i="39"/>
  <c r="BH6" i="40"/>
  <c r="BL7" i="37"/>
  <c r="BL7" i="36" s="1"/>
  <c r="CC7" i="39"/>
  <c r="CC7" i="38"/>
  <c r="CC7" i="40"/>
  <c r="CC7" i="36"/>
  <c r="BG6" i="40"/>
  <c r="BG6" i="39"/>
  <c r="BG6" i="38"/>
  <c r="BY7" i="40"/>
  <c r="BY7" i="38"/>
  <c r="BY7" i="39"/>
  <c r="BY7" i="36"/>
  <c r="K7" i="37"/>
  <c r="K6" i="36"/>
  <c r="K6" i="39"/>
  <c r="K6" i="40"/>
  <c r="K6" i="38"/>
  <c r="BU7" i="39"/>
  <c r="BU7" i="38"/>
  <c r="BU7" i="36"/>
  <c r="BU7" i="40"/>
  <c r="BO6" i="38"/>
  <c r="BO6" i="40"/>
  <c r="BO6" i="36"/>
  <c r="BO6" i="39"/>
  <c r="BO7" i="37"/>
  <c r="BS7" i="37"/>
  <c r="CB7" i="38"/>
  <c r="CB7" i="36"/>
  <c r="CB7" i="40"/>
  <c r="CB7" i="39"/>
  <c r="BX7" i="39"/>
  <c r="BX7" i="36"/>
  <c r="BX7" i="40"/>
  <c r="BX7" i="38"/>
  <c r="BK7" i="37"/>
  <c r="BK7" i="36" s="1"/>
  <c r="BQ7" i="39"/>
  <c r="BQ7" i="36"/>
  <c r="BQ7" i="38"/>
  <c r="BQ7" i="40"/>
  <c r="X110" i="61"/>
  <c r="Z84" i="61"/>
  <c r="AX11" i="63"/>
  <c r="AV11" i="63"/>
  <c r="AW11" i="63"/>
  <c r="D102" i="54"/>
  <c r="AS14" i="63"/>
  <c r="AS31" i="63"/>
  <c r="AR31" i="63"/>
  <c r="AR14" i="63"/>
  <c r="AE21" i="63"/>
  <c r="AE19" i="63" s="1"/>
  <c r="AE16" i="63"/>
  <c r="AE14" i="63"/>
  <c r="AA54" i="63"/>
  <c r="AD37" i="63"/>
  <c r="AA36" i="63"/>
  <c r="AA42" i="63"/>
  <c r="AA35" i="63"/>
  <c r="AE32" i="63"/>
  <c r="AA37" i="63"/>
  <c r="AA12" i="63"/>
  <c r="AL12" i="63"/>
  <c r="M85" i="37"/>
  <c r="M6" i="37"/>
  <c r="BJ6" i="38"/>
  <c r="BJ6" i="40"/>
  <c r="BJ6" i="39"/>
  <c r="BJ6" i="36"/>
  <c r="BJ7" i="37"/>
  <c r="BJ7" i="36" s="1"/>
  <c r="L6" i="39"/>
  <c r="L6" i="36"/>
  <c r="L6" i="38"/>
  <c r="L6" i="40"/>
  <c r="L7" i="37"/>
  <c r="BD6" i="40"/>
  <c r="BH7" i="40" s="1"/>
  <c r="BD6" i="38"/>
  <c r="BH7" i="38" s="1"/>
  <c r="BD6" i="39"/>
  <c r="BH7" i="39" s="1"/>
  <c r="BH7" i="37"/>
  <c r="BC6" i="38"/>
  <c r="BG7" i="38" s="1"/>
  <c r="BC6" i="40"/>
  <c r="BG7" i="40" s="1"/>
  <c r="BC6" i="39"/>
  <c r="BG7" i="39" s="1"/>
  <c r="BG7" i="37"/>
  <c r="BB6" i="38"/>
  <c r="BF7" i="38" s="1"/>
  <c r="BF7" i="37"/>
  <c r="BB6" i="40"/>
  <c r="BF7" i="40" s="1"/>
  <c r="BB6" i="39"/>
  <c r="BF7" i="39" s="1"/>
  <c r="BR63" i="40"/>
  <c r="BS61" i="40"/>
  <c r="BS62" i="40" s="1"/>
  <c r="V110" i="61"/>
  <c r="AH15" i="63"/>
  <c r="J92" i="54"/>
  <c r="J93" i="54" s="1"/>
  <c r="BW110" i="39"/>
  <c r="BW108" i="39" s="1"/>
  <c r="BW101" i="39"/>
  <c r="BV6" i="38"/>
  <c r="BV6" i="40"/>
  <c r="BV6" i="39"/>
  <c r="BV6" i="36"/>
  <c r="CH130" i="39"/>
  <c r="CK310" i="39"/>
  <c r="CK154" i="39"/>
  <c r="CI230" i="39"/>
  <c r="CI137" i="39"/>
  <c r="CH144" i="39"/>
  <c r="AD15" i="63"/>
  <c r="AD6" i="63"/>
  <c r="AD22" i="63"/>
  <c r="CL215" i="39"/>
  <c r="CL134" i="39"/>
  <c r="BU102" i="37"/>
  <c r="BT103" i="37"/>
  <c r="BR110" i="39"/>
  <c r="BR108" i="39" s="1"/>
  <c r="BR101" i="39"/>
  <c r="C38" i="60"/>
  <c r="S153" i="39"/>
  <c r="S305" i="39"/>
  <c r="CD6" i="38"/>
  <c r="CD6" i="40"/>
  <c r="CD6" i="39"/>
  <c r="CD6" i="36"/>
  <c r="CH7" i="37"/>
  <c r="CJ147" i="39"/>
  <c r="CH223" i="39"/>
  <c r="Q225" i="39"/>
  <c r="CG239" i="39"/>
  <c r="H40" i="60"/>
  <c r="H41" i="60"/>
  <c r="H42" i="60"/>
  <c r="H46" i="60"/>
  <c r="CI173" i="39"/>
  <c r="CH199" i="39"/>
  <c r="G42" i="60"/>
  <c r="D46" i="60"/>
  <c r="CJ154" i="39"/>
  <c r="CL178" i="39"/>
  <c r="R180" i="39"/>
  <c r="S178" i="39" s="1"/>
  <c r="CJ133" i="39"/>
  <c r="BP6" i="36"/>
  <c r="BP6" i="40"/>
  <c r="BP6" i="38"/>
  <c r="BP7" i="37"/>
  <c r="BP6" i="39"/>
  <c r="BT7" i="37"/>
  <c r="R143" i="39"/>
  <c r="S214" i="39"/>
  <c r="S238" i="39" s="1"/>
  <c r="S134" i="39"/>
  <c r="AG15" i="63"/>
  <c r="S249" i="36"/>
  <c r="R249" i="36"/>
  <c r="R250" i="36"/>
  <c r="S250" i="36"/>
  <c r="R258" i="36"/>
  <c r="CI260" i="39"/>
  <c r="CJ258" i="39" s="1"/>
  <c r="Z62" i="63"/>
  <c r="Z65" i="63"/>
  <c r="P69" i="37"/>
  <c r="P78" i="37"/>
  <c r="P80" i="37"/>
  <c r="P77" i="37"/>
  <c r="P103" i="39" s="1"/>
  <c r="P122" i="40"/>
  <c r="P126" i="40" s="1"/>
  <c r="P70" i="37"/>
  <c r="P71" i="37"/>
  <c r="Q69" i="37"/>
  <c r="BZ163" i="39"/>
  <c r="BY165" i="39"/>
  <c r="BY166" i="39" s="1"/>
  <c r="R122" i="40"/>
  <c r="R80" i="37"/>
  <c r="S69" i="37"/>
  <c r="R71" i="37"/>
  <c r="R77" i="37"/>
  <c r="R103" i="39" s="1"/>
  <c r="R110" i="39" s="1"/>
  <c r="R70" i="37"/>
  <c r="R69" i="37"/>
  <c r="R78" i="37"/>
  <c r="CL305" i="39"/>
  <c r="CL153" i="39"/>
  <c r="AR15" i="63"/>
  <c r="BW119" i="37"/>
  <c r="BW84" i="37"/>
  <c r="CA81" i="37"/>
  <c r="BW86" i="37"/>
  <c r="BW88" i="37"/>
  <c r="BW83" i="37"/>
  <c r="BW82" i="37"/>
  <c r="BW81" i="37"/>
  <c r="BX82" i="37"/>
  <c r="CK275" i="39"/>
  <c r="CL253" i="39"/>
  <c r="R255" i="39"/>
  <c r="S253" i="39" s="1"/>
  <c r="BE6" i="38"/>
  <c r="BI7" i="38" s="1"/>
  <c r="BE6" i="40"/>
  <c r="BI7" i="40" s="1"/>
  <c r="BE6" i="39"/>
  <c r="BI7" i="39" s="1"/>
  <c r="BI7" i="37"/>
  <c r="CI119" i="37"/>
  <c r="CI83" i="37"/>
  <c r="CI84" i="37"/>
  <c r="CI86" i="37"/>
  <c r="CI87" i="37" s="1"/>
  <c r="CI88" i="37"/>
  <c r="CI89" i="37" s="1"/>
  <c r="CI81" i="37"/>
  <c r="CI82" i="37"/>
  <c r="CJ82" i="37"/>
  <c r="R220" i="39"/>
  <c r="S218" i="39" s="1"/>
  <c r="CL218" i="39"/>
  <c r="C36" i="60"/>
  <c r="C35" i="60"/>
  <c r="O70" i="37"/>
  <c r="O71" i="37"/>
  <c r="O78" i="37"/>
  <c r="O69" i="37"/>
  <c r="O77" i="37"/>
  <c r="O103" i="39" s="1"/>
  <c r="O122" i="40"/>
  <c r="O126" i="40" s="1"/>
  <c r="O80" i="37"/>
  <c r="CK210" i="39"/>
  <c r="CK133" i="39"/>
  <c r="N122" i="40"/>
  <c r="N126" i="40" s="1"/>
  <c r="N80" i="37"/>
  <c r="N69" i="37"/>
  <c r="N71" i="37"/>
  <c r="N78" i="37"/>
  <c r="N70" i="37"/>
  <c r="N77" i="37"/>
  <c r="N103" i="39" s="1"/>
  <c r="Z55" i="63"/>
  <c r="CL298" i="39"/>
  <c r="R300" i="39"/>
  <c r="S298" i="39" s="1"/>
  <c r="CK265" i="39"/>
  <c r="CK145" i="39" s="1"/>
  <c r="AE6" i="63"/>
  <c r="Z16" i="63"/>
  <c r="AE15" i="63"/>
  <c r="D10" i="60"/>
  <c r="D38" i="60" s="1"/>
  <c r="CG139" i="39"/>
  <c r="Q139" i="39" s="1"/>
  <c r="Q136" i="39"/>
  <c r="BZ110" i="39"/>
  <c r="BZ108" i="39" s="1"/>
  <c r="BZ101" i="39"/>
  <c r="H14" i="60"/>
  <c r="H13" i="60"/>
  <c r="H12" i="60"/>
  <c r="H19" i="60"/>
  <c r="AQ15" i="63"/>
  <c r="BN6" i="40"/>
  <c r="BN6" i="39"/>
  <c r="BN6" i="36"/>
  <c r="BN7" i="37"/>
  <c r="BN6" i="38"/>
  <c r="CJ145" i="39"/>
  <c r="BR81" i="37"/>
  <c r="BS82" i="37"/>
  <c r="BR83" i="37"/>
  <c r="BR82" i="37"/>
  <c r="BR84" i="37"/>
  <c r="BR88" i="37"/>
  <c r="BR119" i="37"/>
  <c r="BR86" i="37"/>
  <c r="BV81" i="37"/>
  <c r="CJ183" i="39"/>
  <c r="AA6" i="63"/>
  <c r="AA15" i="63"/>
  <c r="AA22" i="63"/>
  <c r="AF15" i="63"/>
  <c r="R154" i="39"/>
  <c r="AS15" i="63"/>
  <c r="CI110" i="39"/>
  <c r="CI108" i="39" s="1"/>
  <c r="CI101" i="39"/>
  <c r="CK150" i="39"/>
  <c r="R150" i="39" s="1"/>
  <c r="CK290" i="39"/>
  <c r="BZ86" i="37"/>
  <c r="CA82" i="37"/>
  <c r="BZ81" i="37"/>
  <c r="BZ83" i="37"/>
  <c r="BZ82" i="37"/>
  <c r="BZ84" i="37"/>
  <c r="BZ88" i="37"/>
  <c r="BZ119" i="37"/>
  <c r="CD81" i="37"/>
  <c r="CL258" i="36"/>
  <c r="CL249" i="36"/>
  <c r="CK135" i="39"/>
  <c r="R135" i="39" s="1"/>
  <c r="D17" i="60"/>
  <c r="D20" i="60"/>
  <c r="CK295" i="39"/>
  <c r="CK151" i="39"/>
  <c r="R151" i="39" s="1"/>
  <c r="CK152" i="39"/>
  <c r="R152" i="39" s="1"/>
  <c r="BS7" i="38" l="1"/>
  <c r="BS7" i="40"/>
  <c r="BS7" i="39"/>
  <c r="BS7" i="36"/>
  <c r="BO7" i="39"/>
  <c r="BO7" i="40"/>
  <c r="BO7" i="36"/>
  <c r="BO7" i="38"/>
  <c r="Z6" i="61"/>
  <c r="Z4" i="61" s="1"/>
  <c r="AU12" i="63"/>
  <c r="E102" i="54"/>
  <c r="AE22" i="63"/>
  <c r="D101" i="54"/>
  <c r="D117" i="54"/>
  <c r="AQ12" i="63"/>
  <c r="AR12" i="63"/>
  <c r="AR32" i="63" s="1"/>
  <c r="AE42" i="63"/>
  <c r="AE36" i="63"/>
  <c r="AE37" i="63"/>
  <c r="AE35" i="63"/>
  <c r="AA33" i="63"/>
  <c r="AE12" i="63"/>
  <c r="AA57" i="63"/>
  <c r="AD59" i="63"/>
  <c r="AA58" i="63"/>
  <c r="AA64" i="63"/>
  <c r="AA59" i="63"/>
  <c r="AE54" i="63"/>
  <c r="AA43" i="63"/>
  <c r="AA40" i="63"/>
  <c r="BS63" i="40"/>
  <c r="BT61" i="40"/>
  <c r="BT62" i="40" s="1"/>
  <c r="M6" i="40"/>
  <c r="M6" i="38"/>
  <c r="M6" i="39"/>
  <c r="M6" i="36"/>
  <c r="M7" i="37"/>
  <c r="BZ87" i="37"/>
  <c r="CD87" i="37"/>
  <c r="N72" i="37"/>
  <c r="N73" i="37"/>
  <c r="O83" i="37"/>
  <c r="O81" i="37"/>
  <c r="O119" i="37"/>
  <c r="CL220" i="39"/>
  <c r="CL135" i="39" s="1"/>
  <c r="BW6" i="37"/>
  <c r="CA85" i="37"/>
  <c r="BW85" i="37"/>
  <c r="O84" i="37"/>
  <c r="O91" i="37" s="1"/>
  <c r="T110" i="61"/>
  <c r="G102" i="54"/>
  <c r="T109" i="61"/>
  <c r="BR89" i="37"/>
  <c r="BV89" i="37"/>
  <c r="R145" i="39"/>
  <c r="BN7" i="39"/>
  <c r="BN7" i="36"/>
  <c r="BN7" i="38"/>
  <c r="BN7" i="40"/>
  <c r="I102" i="54"/>
  <c r="V109" i="61"/>
  <c r="N110" i="39"/>
  <c r="N108" i="39" s="1"/>
  <c r="N101" i="39"/>
  <c r="O73" i="37"/>
  <c r="O72" i="37"/>
  <c r="S220" i="39"/>
  <c r="S135" i="39" s="1"/>
  <c r="S255" i="39"/>
  <c r="S143" i="39" s="1"/>
  <c r="BW89" i="37"/>
  <c r="CA89" i="37"/>
  <c r="R72" i="37"/>
  <c r="R73" i="37"/>
  <c r="S72" i="37"/>
  <c r="S254" i="36"/>
  <c r="S261" i="36"/>
  <c r="S262" i="36" s="1"/>
  <c r="BT7" i="38"/>
  <c r="BT7" i="36"/>
  <c r="BT7" i="40"/>
  <c r="BT7" i="39"/>
  <c r="S126" i="39"/>
  <c r="S179" i="39"/>
  <c r="S198" i="39" s="1"/>
  <c r="U109" i="61"/>
  <c r="H102" i="54"/>
  <c r="U110" i="61"/>
  <c r="H38" i="60"/>
  <c r="CJ228" i="39"/>
  <c r="CJ185" i="39"/>
  <c r="CJ127" i="39" s="1"/>
  <c r="CL273" i="39"/>
  <c r="R275" i="39"/>
  <c r="S273" i="39" s="1"/>
  <c r="D36" i="60"/>
  <c r="D35" i="60"/>
  <c r="BZ89" i="37"/>
  <c r="CD89" i="37"/>
  <c r="BR6" i="37"/>
  <c r="N84" i="37"/>
  <c r="BR85" i="37"/>
  <c r="BV85" i="37"/>
  <c r="S300" i="39"/>
  <c r="S152" i="39"/>
  <c r="N83" i="37"/>
  <c r="N119" i="37"/>
  <c r="N81" i="37"/>
  <c r="N91" i="37"/>
  <c r="N86" i="37" s="1"/>
  <c r="N87" i="37" s="1"/>
  <c r="O110" i="39"/>
  <c r="O108" i="39" s="1"/>
  <c r="O101" i="39"/>
  <c r="CI6" i="37"/>
  <c r="CI85" i="37"/>
  <c r="CL255" i="39"/>
  <c r="CL143" i="39" s="1"/>
  <c r="BW87" i="37"/>
  <c r="CA87" i="37"/>
  <c r="BZ165" i="39"/>
  <c r="BZ166" i="39" s="1"/>
  <c r="CA163" i="39"/>
  <c r="R254" i="36"/>
  <c r="R261" i="36"/>
  <c r="R262" i="36" s="1"/>
  <c r="R133" i="39"/>
  <c r="CL180" i="39"/>
  <c r="CL126" i="39"/>
  <c r="R223" i="39"/>
  <c r="R237" i="39" s="1"/>
  <c r="Q239" i="39"/>
  <c r="H10" i="60"/>
  <c r="H27" i="60" s="1"/>
  <c r="BU103" i="37"/>
  <c r="BV102" i="37"/>
  <c r="CH157" i="39"/>
  <c r="R265" i="39"/>
  <c r="S263" i="39" s="1"/>
  <c r="CL263" i="39"/>
  <c r="P73" i="37"/>
  <c r="P72" i="37"/>
  <c r="Q72" i="37"/>
  <c r="P86" i="37"/>
  <c r="P83" i="37"/>
  <c r="P81" i="37"/>
  <c r="P84" i="37"/>
  <c r="P119" i="37"/>
  <c r="Q81" i="37"/>
  <c r="CJ260" i="39"/>
  <c r="CK258" i="39" s="1"/>
  <c r="CJ144" i="39"/>
  <c r="CJ157" i="39" s="1"/>
  <c r="H35" i="60"/>
  <c r="H36" i="60"/>
  <c r="R295" i="39"/>
  <c r="S293" i="39" s="1"/>
  <c r="CL293" i="39"/>
  <c r="BZ85" i="37"/>
  <c r="BZ6" i="37"/>
  <c r="CD85" i="37"/>
  <c r="CL288" i="39"/>
  <c r="R290" i="39"/>
  <c r="S288" i="39" s="1"/>
  <c r="BR87" i="37"/>
  <c r="BV87" i="37"/>
  <c r="H17" i="60"/>
  <c r="H24" i="60"/>
  <c r="H25" i="60" s="1"/>
  <c r="H20" i="60"/>
  <c r="CL152" i="39"/>
  <c r="CL300" i="39"/>
  <c r="CL208" i="39"/>
  <c r="R210" i="39"/>
  <c r="S208" i="39" s="1"/>
  <c r="T6" i="61"/>
  <c r="T4" i="61" s="1"/>
  <c r="CK147" i="39"/>
  <c r="R147" i="39" s="1"/>
  <c r="R81" i="37"/>
  <c r="S81" i="37"/>
  <c r="R83" i="37"/>
  <c r="R119" i="37"/>
  <c r="P110" i="39"/>
  <c r="P108" i="39" s="1"/>
  <c r="P101" i="39"/>
  <c r="CI144" i="39"/>
  <c r="BP7" i="36"/>
  <c r="BP7" i="40"/>
  <c r="BP7" i="39"/>
  <c r="BP7" i="38"/>
  <c r="CI125" i="39"/>
  <c r="CI175" i="39"/>
  <c r="CI197" i="39"/>
  <c r="CH225" i="39"/>
  <c r="CH136" i="39"/>
  <c r="CH237" i="39"/>
  <c r="CH7" i="40"/>
  <c r="CH7" i="39"/>
  <c r="CH7" i="36"/>
  <c r="CH7" i="38"/>
  <c r="CL308" i="39"/>
  <c r="R310" i="39"/>
  <c r="S308" i="39" s="1"/>
  <c r="AX12" i="63" l="1"/>
  <c r="AW12" i="63"/>
  <c r="AV12" i="63"/>
  <c r="E101" i="54"/>
  <c r="E117" i="54"/>
  <c r="AA65" i="63"/>
  <c r="AA62" i="63"/>
  <c r="AA55" i="63"/>
  <c r="AE55" i="63" s="1"/>
  <c r="AE33" i="63"/>
  <c r="AE43" i="63"/>
  <c r="AE40" i="63"/>
  <c r="X109" i="61"/>
  <c r="K102" i="54"/>
  <c r="AE59" i="63"/>
  <c r="AE64" i="63"/>
  <c r="AE57" i="63"/>
  <c r="AE58" i="63"/>
  <c r="AQ32" i="63"/>
  <c r="AS12" i="63"/>
  <c r="AS32" i="63" s="1"/>
  <c r="M7" i="38"/>
  <c r="M7" i="40"/>
  <c r="M7" i="39"/>
  <c r="M7" i="36"/>
  <c r="BU61" i="40"/>
  <c r="BU62" i="40" s="1"/>
  <c r="BT63" i="40"/>
  <c r="J6" i="61"/>
  <c r="J4" i="61" s="1"/>
  <c r="N6" i="61"/>
  <c r="N4" i="61" s="1"/>
  <c r="L6" i="61"/>
  <c r="L4" i="61" s="1"/>
  <c r="O6" i="61"/>
  <c r="O4" i="61" s="1"/>
  <c r="M6" i="61"/>
  <c r="M4" i="61" s="1"/>
  <c r="Q6" i="61"/>
  <c r="Q4" i="61" s="1"/>
  <c r="R6" i="61"/>
  <c r="R4" i="61" s="1"/>
  <c r="K6" i="61"/>
  <c r="K4" i="61" s="1"/>
  <c r="S6" i="61"/>
  <c r="S4" i="61" s="1"/>
  <c r="P6" i="61"/>
  <c r="P4" i="61" s="1"/>
  <c r="X6" i="61"/>
  <c r="X4" i="61" s="1"/>
  <c r="S147" i="39"/>
  <c r="S275" i="39"/>
  <c r="U6" i="61"/>
  <c r="U4" i="61" s="1"/>
  <c r="O92" i="37"/>
  <c r="O73" i="40"/>
  <c r="O74" i="40" s="1"/>
  <c r="O66" i="40"/>
  <c r="O69" i="40" s="1"/>
  <c r="O99" i="37"/>
  <c r="O103" i="37"/>
  <c r="O98" i="37"/>
  <c r="P92" i="37"/>
  <c r="CI223" i="39"/>
  <c r="CH239" i="39"/>
  <c r="S133" i="39"/>
  <c r="S210" i="39"/>
  <c r="BZ6" i="38"/>
  <c r="BZ6" i="40"/>
  <c r="BZ6" i="39"/>
  <c r="BZ6" i="36"/>
  <c r="BZ7" i="37"/>
  <c r="CD7" i="37"/>
  <c r="CL145" i="39"/>
  <c r="CL265" i="39"/>
  <c r="BV103" i="37"/>
  <c r="BW102" i="37"/>
  <c r="CB163" i="39"/>
  <c r="CA165" i="39"/>
  <c r="CA166" i="39" s="1"/>
  <c r="CI6" i="40"/>
  <c r="CI6" i="39"/>
  <c r="CI6" i="36"/>
  <c r="CI7" i="37"/>
  <c r="CI6" i="38"/>
  <c r="CL275" i="39"/>
  <c r="CL147" i="39" s="1"/>
  <c r="H117" i="54"/>
  <c r="H101" i="54"/>
  <c r="G101" i="54"/>
  <c r="G117" i="54"/>
  <c r="CI130" i="39"/>
  <c r="S151" i="39"/>
  <c r="S295" i="39"/>
  <c r="CL210" i="39"/>
  <c r="CL133" i="39" s="1"/>
  <c r="S150" i="39"/>
  <c r="S290" i="39"/>
  <c r="CK183" i="39"/>
  <c r="I117" i="54"/>
  <c r="I101" i="54"/>
  <c r="BW6" i="39"/>
  <c r="BW6" i="36"/>
  <c r="BW6" i="38"/>
  <c r="BW6" i="40"/>
  <c r="CA7" i="37"/>
  <c r="BW7" i="37"/>
  <c r="O86" i="37"/>
  <c r="O87" i="37" s="1"/>
  <c r="CH139" i="39"/>
  <c r="BR6" i="40"/>
  <c r="BR6" i="39"/>
  <c r="BR6" i="36"/>
  <c r="BR7" i="37"/>
  <c r="BR6" i="38"/>
  <c r="BV7" i="37"/>
  <c r="S310" i="39"/>
  <c r="S154" i="39" s="1"/>
  <c r="W6" i="61"/>
  <c r="W4" i="61" s="1"/>
  <c r="P6" i="37"/>
  <c r="P85" i="37"/>
  <c r="S265" i="39"/>
  <c r="S145" i="39"/>
  <c r="CL310" i="39"/>
  <c r="CL154" i="39" s="1"/>
  <c r="CJ173" i="39"/>
  <c r="CI199" i="39"/>
  <c r="CL290" i="39"/>
  <c r="CL150" i="39" s="1"/>
  <c r="CL295" i="39"/>
  <c r="CL151" i="39" s="1"/>
  <c r="CK144" i="39"/>
  <c r="R144" i="39" s="1"/>
  <c r="CK260" i="39"/>
  <c r="N99" i="37"/>
  <c r="N73" i="40"/>
  <c r="N103" i="37"/>
  <c r="N98" i="37"/>
  <c r="N66" i="40"/>
  <c r="N69" i="40" s="1"/>
  <c r="N92" i="37"/>
  <c r="N6" i="37"/>
  <c r="N85" i="37"/>
  <c r="Y6" i="61"/>
  <c r="Y4" i="61" s="1"/>
  <c r="CJ230" i="39"/>
  <c r="V6" i="61"/>
  <c r="V4" i="61" s="1"/>
  <c r="W109" i="61"/>
  <c r="J102" i="54"/>
  <c r="O85" i="37"/>
  <c r="O6" i="37"/>
  <c r="AE65" i="63" l="1"/>
  <c r="AE62" i="63"/>
  <c r="K117" i="54"/>
  <c r="K101" i="54"/>
  <c r="BU63" i="40"/>
  <c r="BV61" i="40"/>
  <c r="BV62" i="40" s="1"/>
  <c r="BV7" i="36"/>
  <c r="BV7" i="38"/>
  <c r="BV7" i="40"/>
  <c r="BV7" i="39"/>
  <c r="BW7" i="38"/>
  <c r="BW7" i="40"/>
  <c r="BW7" i="39"/>
  <c r="BW7" i="36"/>
  <c r="BW103" i="37"/>
  <c r="BX102" i="37"/>
  <c r="P87" i="37"/>
  <c r="CD7" i="39"/>
  <c r="CD7" i="36"/>
  <c r="CD7" i="38"/>
  <c r="CD7" i="40"/>
  <c r="J101" i="54"/>
  <c r="J117" i="54"/>
  <c r="P6" i="40"/>
  <c r="P6" i="39"/>
  <c r="P6" i="36"/>
  <c r="P7" i="37"/>
  <c r="P6" i="38"/>
  <c r="CK185" i="39"/>
  <c r="CK127" i="39"/>
  <c r="R127" i="39" s="1"/>
  <c r="CC163" i="39"/>
  <c r="CB165" i="39"/>
  <c r="CB166" i="39" s="1"/>
  <c r="O6" i="40"/>
  <c r="O6" i="39"/>
  <c r="O6" i="36"/>
  <c r="O6" i="38"/>
  <c r="O7" i="37"/>
  <c r="CK228" i="39"/>
  <c r="BR7" i="40"/>
  <c r="BR7" i="39"/>
  <c r="BR7" i="36"/>
  <c r="BR7" i="38"/>
  <c r="CA7" i="38"/>
  <c r="CA7" i="36"/>
  <c r="CA7" i="40"/>
  <c r="CA7" i="39"/>
  <c r="BZ7" i="39"/>
  <c r="BZ7" i="36"/>
  <c r="BZ7" i="38"/>
  <c r="BZ7" i="40"/>
  <c r="CJ175" i="39"/>
  <c r="CJ125" i="39"/>
  <c r="CJ197" i="39"/>
  <c r="CJ137" i="39"/>
  <c r="N6" i="36"/>
  <c r="N6" i="40"/>
  <c r="N6" i="38"/>
  <c r="N7" i="37"/>
  <c r="N6" i="39"/>
  <c r="CH159" i="39"/>
  <c r="CL258" i="39"/>
  <c r="R260" i="39"/>
  <c r="S258" i="39" s="1"/>
  <c r="CI7" i="40"/>
  <c r="CI7" i="39"/>
  <c r="CI7" i="36"/>
  <c r="CI7" i="38"/>
  <c r="CI225" i="39"/>
  <c r="CI136" i="39" s="1"/>
  <c r="CI237" i="39"/>
  <c r="BV63" i="40" l="1"/>
  <c r="BW61" i="40"/>
  <c r="BW62" i="40" s="1"/>
  <c r="CI139" i="39"/>
  <c r="CK230" i="39"/>
  <c r="S260" i="39"/>
  <c r="S144" i="39" s="1"/>
  <c r="N7" i="36"/>
  <c r="N7" i="40"/>
  <c r="N7" i="39"/>
  <c r="N7" i="38"/>
  <c r="O7" i="38"/>
  <c r="O7" i="36"/>
  <c r="O7" i="40"/>
  <c r="O7" i="39"/>
  <c r="CC165" i="39"/>
  <c r="CC166" i="39" s="1"/>
  <c r="CD163" i="39"/>
  <c r="P7" i="40"/>
  <c r="P7" i="39"/>
  <c r="P7" i="36"/>
  <c r="P7" i="38"/>
  <c r="BX103" i="37"/>
  <c r="BY102" i="37"/>
  <c r="BY103" i="37" s="1"/>
  <c r="CJ223" i="39"/>
  <c r="CI239" i="39"/>
  <c r="CL260" i="39"/>
  <c r="CL144" i="39" s="1"/>
  <c r="CJ130" i="39"/>
  <c r="CK173" i="39"/>
  <c r="CJ199" i="39"/>
  <c r="R185" i="39"/>
  <c r="CL183" i="39"/>
  <c r="BW63" i="40" l="1"/>
  <c r="BX61" i="40"/>
  <c r="BX62" i="40" s="1"/>
  <c r="R230" i="39"/>
  <c r="CL228" i="39"/>
  <c r="CK137" i="39"/>
  <c r="R137" i="39" s="1"/>
  <c r="S183" i="39"/>
  <c r="CL185" i="39"/>
  <c r="CL127" i="39" s="1"/>
  <c r="CK125" i="39"/>
  <c r="CK175" i="39"/>
  <c r="CK197" i="39"/>
  <c r="CJ225" i="39"/>
  <c r="CJ237" i="39"/>
  <c r="CE163" i="39"/>
  <c r="CD165" i="39"/>
  <c r="CD166" i="39" s="1"/>
  <c r="BX63" i="40" l="1"/>
  <c r="BY61" i="40"/>
  <c r="BY62" i="40" s="1"/>
  <c r="CK223" i="39"/>
  <c r="CJ239" i="39"/>
  <c r="CL173" i="39"/>
  <c r="R175" i="39"/>
  <c r="CK199" i="39"/>
  <c r="CL230" i="39"/>
  <c r="CK130" i="39"/>
  <c r="R130" i="39" s="1"/>
  <c r="R125" i="39"/>
  <c r="S185" i="39"/>
  <c r="S127" i="39" s="1"/>
  <c r="CE165" i="39"/>
  <c r="CE166" i="39" s="1"/>
  <c r="CF163" i="39"/>
  <c r="CJ136" i="39"/>
  <c r="S228" i="39"/>
  <c r="BZ61" i="40" l="1"/>
  <c r="BZ62" i="40" s="1"/>
  <c r="BY63" i="40"/>
  <c r="CF165" i="39"/>
  <c r="CF166" i="39" s="1"/>
  <c r="CG163" i="39"/>
  <c r="CH163" i="39" s="1"/>
  <c r="S137" i="39"/>
  <c r="S230" i="39"/>
  <c r="CL137" i="39"/>
  <c r="CK225" i="39"/>
  <c r="CK136" i="39" s="1"/>
  <c r="CK237" i="39"/>
  <c r="S173" i="39"/>
  <c r="R199" i="39"/>
  <c r="CJ139" i="39"/>
  <c r="CL175" i="39"/>
  <c r="CL199" i="39" s="1"/>
  <c r="CL197" i="39"/>
  <c r="BZ63" i="40" l="1"/>
  <c r="CA61" i="40"/>
  <c r="CA62" i="40" s="1"/>
  <c r="CK139" i="39"/>
  <c r="R136" i="39"/>
  <c r="CL125" i="39"/>
  <c r="CL130" i="39" s="1"/>
  <c r="CI163" i="39"/>
  <c r="CJ163" i="39" s="1"/>
  <c r="CK163" i="39" s="1"/>
  <c r="CL163" i="39" s="1"/>
  <c r="CH165" i="39"/>
  <c r="CH166" i="39" s="1"/>
  <c r="CL223" i="39"/>
  <c r="R225" i="39"/>
  <c r="CK239" i="39"/>
  <c r="CJ159" i="39"/>
  <c r="CJ165" i="39" s="1"/>
  <c r="CJ166" i="39" s="1"/>
  <c r="R139" i="39"/>
  <c r="S175" i="39"/>
  <c r="S199" i="39" s="1"/>
  <c r="S125" i="39"/>
  <c r="S130" i="39" s="1"/>
  <c r="S197" i="39"/>
  <c r="CA63" i="40" l="1"/>
  <c r="CB61" i="40"/>
  <c r="CB62" i="40" s="1"/>
  <c r="CL225" i="39"/>
  <c r="CL239" i="39" s="1"/>
  <c r="CL237" i="39"/>
  <c r="S223" i="39"/>
  <c r="R239" i="39"/>
  <c r="CC61" i="40" l="1"/>
  <c r="CC62" i="40" s="1"/>
  <c r="CB63" i="40"/>
  <c r="CL136" i="39"/>
  <c r="CL139" i="39" s="1"/>
  <c r="S225" i="39"/>
  <c r="S239" i="39" s="1"/>
  <c r="S237" i="39"/>
  <c r="CD61" i="40" l="1"/>
  <c r="CD62" i="40" s="1"/>
  <c r="CC63" i="40"/>
  <c r="S136" i="39"/>
  <c r="S139" i="39" s="1"/>
  <c r="CE61" i="40" l="1"/>
  <c r="CE62" i="40" s="1"/>
  <c r="CD63" i="40"/>
  <c r="CE63" i="40" l="1"/>
  <c r="CF61" i="40"/>
  <c r="CF62" i="40" s="1"/>
  <c r="CG61" i="40" l="1"/>
  <c r="CG62" i="40" s="1"/>
  <c r="CF63" i="40"/>
  <c r="CG63" i="40" l="1"/>
  <c r="CH61" i="40"/>
  <c r="CH62" i="40" s="1"/>
  <c r="CH63" i="40" l="1"/>
  <c r="CI61" i="40"/>
  <c r="CI62" i="40" s="1"/>
  <c r="CI63" i="40" l="1"/>
  <c r="CJ61" i="40"/>
  <c r="CJ62" i="40" s="1"/>
  <c r="CK61" i="40" l="1"/>
  <c r="CJ63" i="40"/>
  <c r="J109" i="61" l="1"/>
  <c r="C107" i="67"/>
  <c r="J110" i="61" l="1"/>
  <c r="K110" i="61" l="1"/>
  <c r="H5" i="61" l="1"/>
  <c r="G5" i="61"/>
  <c r="D5" i="61"/>
  <c r="E5" i="61"/>
  <c r="F5" i="61"/>
  <c r="I5" i="61"/>
  <c r="G6" i="61" l="1"/>
  <c r="G4" i="61" s="1"/>
  <c r="F104" i="54"/>
  <c r="H6" i="61"/>
  <c r="H4" i="61" s="1"/>
  <c r="I6" i="61"/>
  <c r="I4" i="61" s="1"/>
  <c r="C108" i="67" l="1"/>
  <c r="E23" i="73" l="1"/>
  <c r="F23" i="73" l="1"/>
  <c r="G23" i="73" l="1"/>
  <c r="D23" i="73" l="1"/>
  <c r="AD57" i="79" l="1"/>
  <c r="AC80" i="79" l="1"/>
  <c r="F21" i="79"/>
  <c r="AC25" i="79"/>
  <c r="AC63" i="79"/>
  <c r="AE57" i="79"/>
  <c r="AC26" i="79" l="1"/>
  <c r="AC84" i="79"/>
  <c r="AC85" i="79" s="1"/>
  <c r="F57" i="79"/>
  <c r="F25" i="79"/>
  <c r="AC27" i="79"/>
  <c r="AC67" i="79"/>
  <c r="AC28" i="79"/>
  <c r="F26" i="79" l="1"/>
  <c r="F97" i="79"/>
  <c r="AC86" i="79"/>
  <c r="AC91" i="79" s="1"/>
  <c r="F28" i="79"/>
  <c r="F27" i="79"/>
  <c r="AC31" i="79"/>
  <c r="AC29" i="79"/>
  <c r="AG57" i="79"/>
  <c r="AC87" i="79" l="1"/>
  <c r="AC32" i="79"/>
  <c r="AC34" i="79"/>
  <c r="F29" i="79"/>
  <c r="F31" i="79"/>
  <c r="F34" i="79" l="1"/>
  <c r="F32" i="79"/>
  <c r="AC37" i="79"/>
  <c r="AC38" i="79" s="1"/>
  <c r="AC35" i="79"/>
  <c r="AC74" i="79"/>
  <c r="AC75" i="79" s="1"/>
  <c r="F74" i="79" l="1"/>
  <c r="F98" i="79"/>
  <c r="F35" i="79"/>
  <c r="F37" i="79"/>
  <c r="F38" i="79" s="1"/>
  <c r="F76" i="79" l="1"/>
  <c r="F99" i="79"/>
  <c r="F75" i="79"/>
  <c r="L98" i="54" l="1"/>
  <c r="D73" i="73" l="1"/>
  <c r="D71" i="73" l="1"/>
  <c r="D180" i="73"/>
  <c r="E73" i="73"/>
  <c r="C42" i="67" l="1"/>
  <c r="C111" i="67" s="1"/>
  <c r="C117" i="67" s="1"/>
  <c r="E50" i="73"/>
  <c r="E180" i="73"/>
  <c r="E71" i="73"/>
  <c r="F73" i="73"/>
  <c r="F50" i="73" l="1"/>
  <c r="F180" i="73"/>
  <c r="F71" i="73"/>
  <c r="G73" i="73"/>
  <c r="D42" i="67" l="1"/>
  <c r="D111" i="67" s="1"/>
  <c r="E42" i="67"/>
  <c r="E111" i="67" s="1"/>
  <c r="F42" i="67"/>
  <c r="F111" i="67" s="1"/>
  <c r="H73" i="73"/>
  <c r="G180" i="73"/>
  <c r="G71" i="73"/>
  <c r="F117" i="67" l="1"/>
  <c r="F122" i="67"/>
  <c r="E122" i="67"/>
  <c r="E117" i="67"/>
  <c r="D117" i="67"/>
  <c r="D122" i="67"/>
  <c r="G50" i="73"/>
  <c r="H71" i="73"/>
  <c r="H180" i="73"/>
  <c r="I73" i="73"/>
  <c r="I71" i="73" l="1"/>
  <c r="J73" i="73"/>
  <c r="I180" i="73"/>
  <c r="J180" i="73" l="1"/>
  <c r="K73" i="73"/>
  <c r="J71" i="73"/>
  <c r="K180" i="73" l="1"/>
  <c r="K71" i="73"/>
  <c r="C89" i="73" l="1"/>
  <c r="AD16" i="79" l="1"/>
  <c r="AD17" i="79" s="1"/>
  <c r="AE16" i="79"/>
  <c r="AE17" i="79" s="1"/>
  <c r="AF16" i="79"/>
  <c r="AF17" i="79" s="1"/>
  <c r="AG16" i="79"/>
  <c r="AG17" i="79" s="1"/>
  <c r="AD46" i="79"/>
  <c r="AE46" i="79"/>
  <c r="AF46" i="79"/>
  <c r="AG46" i="79"/>
  <c r="AD52" i="79"/>
  <c r="AE52" i="79"/>
  <c r="AF52" i="79"/>
  <c r="AG52" i="79"/>
  <c r="H72" i="79" l="1"/>
  <c r="H71" i="79" s="1"/>
  <c r="H70" i="79" l="1"/>
  <c r="H69" i="79"/>
  <c r="F24" i="79" l="1"/>
  <c r="F60" i="79" s="1"/>
  <c r="AC60" i="79"/>
  <c r="AD60" i="79" s="1"/>
  <c r="AE60" i="79" s="1"/>
  <c r="AC66" i="79"/>
  <c r="AC83" i="79"/>
  <c r="AF60" i="79" l="1"/>
  <c r="AG60" i="79" l="1"/>
  <c r="C131" i="67" l="1"/>
  <c r="D128" i="67" s="1"/>
  <c r="D131" i="67" s="1"/>
  <c r="E128" i="67" s="1"/>
  <c r="E131" i="67" s="1"/>
  <c r="F128" i="67" s="1"/>
  <c r="C53" i="73"/>
  <c r="D53" i="73"/>
  <c r="D79" i="73" s="1"/>
  <c r="E53" i="73"/>
  <c r="E179" i="73" s="1"/>
  <c r="E181" i="73" s="1"/>
  <c r="E159" i="73" s="1"/>
  <c r="F53" i="73"/>
  <c r="F79" i="73" s="1"/>
  <c r="G53" i="73"/>
  <c r="G79" i="73" s="1"/>
  <c r="D64" i="73"/>
  <c r="D98" i="73" s="1"/>
  <c r="D171" i="73" s="1"/>
  <c r="C119" i="73"/>
  <c r="H53" i="73" l="1"/>
  <c r="I53" i="73" s="1"/>
  <c r="I179" i="73" s="1"/>
  <c r="I181" i="73" s="1"/>
  <c r="I159" i="73" s="1"/>
  <c r="G179" i="73"/>
  <c r="G181" i="73" s="1"/>
  <c r="G159" i="73" s="1"/>
  <c r="D179" i="73"/>
  <c r="D181" i="73" s="1"/>
  <c r="D118" i="73" s="1"/>
  <c r="E118" i="73" s="1"/>
  <c r="D235" i="73"/>
  <c r="D237" i="73" s="1"/>
  <c r="C237" i="73" s="1"/>
  <c r="E79" i="73"/>
  <c r="F179" i="73"/>
  <c r="F181" i="73" s="1"/>
  <c r="F159" i="73" s="1"/>
  <c r="F63" i="67"/>
  <c r="I79" i="73" l="1"/>
  <c r="J53" i="73"/>
  <c r="H79" i="73"/>
  <c r="H179" i="73"/>
  <c r="H181" i="73" s="1"/>
  <c r="H159" i="73" s="1"/>
  <c r="F118" i="73"/>
  <c r="G118" i="73" s="1"/>
  <c r="D159" i="73"/>
  <c r="K53" i="73"/>
  <c r="J79" i="73"/>
  <c r="J179" i="73"/>
  <c r="J181" i="73" s="1"/>
  <c r="J159" i="73" s="1"/>
  <c r="F130" i="67"/>
  <c r="F131" i="67" s="1"/>
  <c r="F91" i="67"/>
  <c r="H118" i="73" l="1"/>
  <c r="I118" i="73" s="1"/>
  <c r="J118" i="73" s="1"/>
  <c r="K79" i="73"/>
  <c r="K179" i="73"/>
  <c r="K181" i="73" s="1"/>
  <c r="K159" i="73" s="1"/>
  <c r="B16" i="67"/>
  <c r="D131" i="73"/>
  <c r="K118" i="73" l="1"/>
  <c r="C138" i="73"/>
  <c r="D151" i="73"/>
  <c r="D240" i="73" s="1"/>
  <c r="E131" i="73"/>
  <c r="F131" i="73" s="1"/>
  <c r="F55" i="73" s="1"/>
  <c r="D169" i="73"/>
  <c r="D173" i="73" s="1"/>
  <c r="D138" i="73"/>
  <c r="D55" i="73"/>
  <c r="E151" i="73" l="1"/>
  <c r="E240" i="73" s="1"/>
  <c r="E138" i="73"/>
  <c r="E169" i="73"/>
  <c r="E55" i="73"/>
  <c r="E191" i="73"/>
  <c r="G131" i="73"/>
  <c r="G55" i="73" s="1"/>
  <c r="F151" i="73"/>
  <c r="F191" i="73" s="1"/>
  <c r="F138" i="73"/>
  <c r="F169" i="73"/>
  <c r="G169" i="73" l="1"/>
  <c r="H131" i="73"/>
  <c r="G151" i="73"/>
  <c r="F240" i="73"/>
  <c r="G240" i="73" l="1"/>
  <c r="H169" i="73"/>
  <c r="I131" i="73"/>
  <c r="H151" i="73"/>
  <c r="H191" i="73" s="1"/>
  <c r="H55" i="73"/>
  <c r="G191" i="73"/>
  <c r="I151" i="73" l="1"/>
  <c r="I191" i="73" s="1"/>
  <c r="I169" i="73"/>
  <c r="I55" i="73"/>
  <c r="H240" i="73"/>
  <c r="I240" i="73" l="1"/>
  <c r="K109" i="61" l="1"/>
  <c r="D107" i="67"/>
  <c r="D108" i="67" s="1"/>
  <c r="Y110" i="61" l="1"/>
  <c r="BF5" i="61"/>
  <c r="C18" i="73"/>
  <c r="C28" i="67"/>
  <c r="C15" i="73" l="1"/>
  <c r="C16" i="73"/>
  <c r="C13" i="73"/>
  <c r="C14" i="73"/>
  <c r="C89" i="67"/>
  <c r="C17" i="73"/>
  <c r="J114" i="61" l="1"/>
  <c r="J113" i="61"/>
  <c r="C43" i="67"/>
  <c r="C112" i="67" s="1"/>
  <c r="J112" i="61"/>
  <c r="L97" i="54"/>
  <c r="C118" i="67" l="1"/>
  <c r="L87" i="54" l="1"/>
  <c r="L90" i="54" s="1"/>
  <c r="L93" i="54" s="1"/>
  <c r="C48" i="67" l="1"/>
  <c r="L99" i="54"/>
  <c r="L95" i="54"/>
  <c r="T102" i="54" s="1"/>
  <c r="L102" i="54" l="1"/>
  <c r="Y109" i="61"/>
  <c r="C55" i="67"/>
  <c r="L117" i="54" l="1"/>
  <c r="L101" i="54"/>
  <c r="C61" i="67" l="1"/>
  <c r="C70" i="67" s="1"/>
  <c r="C76" i="67" l="1"/>
  <c r="CH36" i="29" l="1"/>
  <c r="CE44" i="30" l="1"/>
  <c r="AV81" i="50"/>
  <c r="CH68" i="29"/>
  <c r="CE49" i="30" l="1"/>
  <c r="CH69" i="29"/>
  <c r="CI76" i="28" s="1"/>
  <c r="CE152" i="30" s="1"/>
  <c r="CI36" i="29"/>
  <c r="CJ36" i="29"/>
  <c r="CF44" i="30" l="1"/>
  <c r="AW81" i="50"/>
  <c r="CG44" i="30"/>
  <c r="CG49" i="30" s="1"/>
  <c r="AX81" i="50"/>
  <c r="CI68" i="29"/>
  <c r="CH78" i="29"/>
  <c r="CH77" i="29"/>
  <c r="CH82" i="29"/>
  <c r="CE83" i="30" s="1"/>
  <c r="CE88" i="30" s="1"/>
  <c r="CE150" i="30"/>
  <c r="CJ68" i="29"/>
  <c r="CK36" i="29"/>
  <c r="CE104" i="30" l="1"/>
  <c r="CE106" i="30"/>
  <c r="CH44" i="30"/>
  <c r="CH49" i="30" s="1"/>
  <c r="AY81" i="50"/>
  <c r="CF49" i="30"/>
  <c r="CJ69" i="29"/>
  <c r="CK76" i="28" s="1"/>
  <c r="CG152" i="30" s="1"/>
  <c r="S36" i="29"/>
  <c r="CK68" i="29"/>
  <c r="CI81" i="28"/>
  <c r="CI79" i="28"/>
  <c r="CI80" i="28"/>
  <c r="CI69" i="29"/>
  <c r="CJ76" i="28" s="1"/>
  <c r="CF152" i="30" s="1"/>
  <c r="T36" i="29"/>
  <c r="T44" i="30" l="1"/>
  <c r="T49" i="30" s="1"/>
  <c r="S44" i="30"/>
  <c r="S49" i="30" s="1"/>
  <c r="CE91" i="30"/>
  <c r="CE92" i="30" s="1"/>
  <c r="CE77" i="30"/>
  <c r="CH37" i="29"/>
  <c r="CE16" i="30" s="1"/>
  <c r="CI82" i="29"/>
  <c r="CF83" i="30" s="1"/>
  <c r="CF88" i="30" s="1"/>
  <c r="CI78" i="29"/>
  <c r="CI77" i="29"/>
  <c r="CF150" i="30"/>
  <c r="CI84" i="28"/>
  <c r="CK69" i="29"/>
  <c r="CL76" i="28" s="1"/>
  <c r="CH152" i="30" s="1"/>
  <c r="T68" i="29"/>
  <c r="S68" i="29"/>
  <c r="CJ77" i="29"/>
  <c r="CJ82" i="29"/>
  <c r="CG83" i="30" s="1"/>
  <c r="CJ78" i="29"/>
  <c r="CG150" i="30"/>
  <c r="U36" i="29"/>
  <c r="U44" i="30" s="1"/>
  <c r="U49" i="30" s="1"/>
  <c r="CG88" i="30" l="1"/>
  <c r="CG104" i="30" s="1"/>
  <c r="CF104" i="30"/>
  <c r="CF106" i="30"/>
  <c r="CH40" i="29"/>
  <c r="T69" i="29"/>
  <c r="T71" i="29"/>
  <c r="CK81" i="28"/>
  <c r="CK80" i="28"/>
  <c r="CK79" i="28"/>
  <c r="CI87" i="28"/>
  <c r="CE72" i="30" s="1"/>
  <c r="CE76" i="30" s="1"/>
  <c r="CE80" i="30" s="1"/>
  <c r="CI91" i="28"/>
  <c r="CI92" i="28" s="1"/>
  <c r="CI93" i="28"/>
  <c r="CI96" i="28"/>
  <c r="CE10" i="30" s="1"/>
  <c r="CI119" i="28"/>
  <c r="S82" i="29"/>
  <c r="U68" i="29"/>
  <c r="CK82" i="29"/>
  <c r="CH83" i="30" s="1"/>
  <c r="CH88" i="30" s="1"/>
  <c r="CH104" i="30" s="1"/>
  <c r="CK78" i="29"/>
  <c r="CK77" i="29"/>
  <c r="CH150" i="30"/>
  <c r="S76" i="28"/>
  <c r="S152" i="30" s="1"/>
  <c r="S71" i="29"/>
  <c r="S69" i="29"/>
  <c r="CJ80" i="28"/>
  <c r="CJ81" i="28"/>
  <c r="CJ79" i="28"/>
  <c r="V36" i="29"/>
  <c r="V44" i="30" s="1"/>
  <c r="V49" i="30" s="1"/>
  <c r="CG106" i="30" l="1"/>
  <c r="CH106" i="30"/>
  <c r="S83" i="30"/>
  <c r="S88" i="30" s="1"/>
  <c r="CK84" i="28"/>
  <c r="CK96" i="28" s="1"/>
  <c r="CG77" i="30"/>
  <c r="CG91" i="30"/>
  <c r="CG92" i="30" s="1"/>
  <c r="CI37" i="29"/>
  <c r="CF16" i="30" s="1"/>
  <c r="CF91" i="30"/>
  <c r="CF92" i="30" s="1"/>
  <c r="CF77" i="30"/>
  <c r="CI103" i="28"/>
  <c r="CI112" i="28" s="1"/>
  <c r="CH47" i="29"/>
  <c r="CI6" i="28"/>
  <c r="CI94" i="28"/>
  <c r="CI7" i="28" s="1"/>
  <c r="CJ84" i="28"/>
  <c r="CL79" i="28"/>
  <c r="CL81" i="28"/>
  <c r="S81" i="28" s="1"/>
  <c r="CL80" i="28"/>
  <c r="E18" i="46"/>
  <c r="E19" i="46" s="1"/>
  <c r="V68" i="29"/>
  <c r="S78" i="29"/>
  <c r="S77" i="29"/>
  <c r="S80" i="29"/>
  <c r="T80" i="29" s="1"/>
  <c r="U80" i="29" s="1"/>
  <c r="V80" i="29" s="1"/>
  <c r="W80" i="29" s="1"/>
  <c r="X80" i="29" s="1"/>
  <c r="S78" i="28"/>
  <c r="S150" i="30" s="1"/>
  <c r="CI88" i="28"/>
  <c r="CI89" i="28"/>
  <c r="U71" i="29"/>
  <c r="U69" i="29"/>
  <c r="W36" i="29"/>
  <c r="W44" i="30" s="1"/>
  <c r="W49" i="30" s="1"/>
  <c r="CK119" i="28" l="1"/>
  <c r="CE6" i="30"/>
  <c r="CQ7" i="31"/>
  <c r="S89" i="30"/>
  <c r="S104" i="30"/>
  <c r="CJ37" i="29"/>
  <c r="CG16" i="30" s="1"/>
  <c r="CE7" i="30"/>
  <c r="CQ8" i="31"/>
  <c r="CK103" i="28"/>
  <c r="CK112" i="28" s="1"/>
  <c r="CG10" i="30"/>
  <c r="S91" i="30"/>
  <c r="S77" i="30"/>
  <c r="CK87" i="28"/>
  <c r="CG72" i="30" s="1"/>
  <c r="CG76" i="30" s="1"/>
  <c r="CG80" i="30" s="1"/>
  <c r="CK91" i="28"/>
  <c r="CK92" i="28" s="1"/>
  <c r="CK93" i="28"/>
  <c r="CK6" i="28" s="1"/>
  <c r="CL84" i="28"/>
  <c r="CL96" i="28" s="1"/>
  <c r="CH91" i="30"/>
  <c r="CH92" i="30" s="1"/>
  <c r="CH77" i="30"/>
  <c r="CI40" i="29"/>
  <c r="CJ87" i="28"/>
  <c r="CF72" i="30" s="1"/>
  <c r="CF76" i="30" s="1"/>
  <c r="CF80" i="30" s="1"/>
  <c r="CJ91" i="28"/>
  <c r="CJ92" i="28" s="1"/>
  <c r="CJ93" i="28"/>
  <c r="CJ96" i="28"/>
  <c r="CI47" i="29" s="1"/>
  <c r="CJ119" i="28"/>
  <c r="S84" i="28"/>
  <c r="S136" i="28"/>
  <c r="S80" i="28"/>
  <c r="S79" i="28"/>
  <c r="CK89" i="28"/>
  <c r="CK88" i="28"/>
  <c r="CH49" i="29"/>
  <c r="CH50" i="29" s="1"/>
  <c r="V71" i="29"/>
  <c r="V69" i="29"/>
  <c r="S82" i="28"/>
  <c r="W68" i="29"/>
  <c r="M98" i="54"/>
  <c r="X36" i="29"/>
  <c r="X44" i="30" s="1"/>
  <c r="X49" i="30" s="1"/>
  <c r="CJ40" i="29" l="1"/>
  <c r="CK37" i="29"/>
  <c r="CH16" i="30" s="1"/>
  <c r="S16" i="30" s="1"/>
  <c r="S92" i="30" s="1"/>
  <c r="CK94" i="28"/>
  <c r="CK7" i="28" s="1"/>
  <c r="CG7" i="30" s="1"/>
  <c r="CG6" i="30"/>
  <c r="CS7" i="31"/>
  <c r="CL87" i="28"/>
  <c r="CH72" i="30" s="1"/>
  <c r="CH76" i="30" s="1"/>
  <c r="CH80" i="30" s="1"/>
  <c r="CL103" i="28"/>
  <c r="CL112" i="28" s="1"/>
  <c r="CH10" i="30"/>
  <c r="CL119" i="28"/>
  <c r="CJ103" i="28"/>
  <c r="CJ112" i="28" s="1"/>
  <c r="CF10" i="30"/>
  <c r="CL91" i="28"/>
  <c r="CL92" i="28" s="1"/>
  <c r="CL93" i="28"/>
  <c r="CL6" i="28" s="1"/>
  <c r="CJ47" i="29"/>
  <c r="CI49" i="29"/>
  <c r="CI50" i="29" s="1"/>
  <c r="CH70" i="29"/>
  <c r="CJ88" i="28"/>
  <c r="CJ89" i="28"/>
  <c r="W71" i="29"/>
  <c r="W69" i="29"/>
  <c r="S137" i="28"/>
  <c r="S132" i="28" s="1"/>
  <c r="S133" i="28" s="1"/>
  <c r="T131" i="28" s="1"/>
  <c r="CJ94" i="28"/>
  <c r="CJ7" i="28" s="1"/>
  <c r="CJ6" i="28"/>
  <c r="X68" i="29"/>
  <c r="S87" i="28"/>
  <c r="S72" i="30" s="1"/>
  <c r="S76" i="30" s="1"/>
  <c r="S80" i="30" s="1"/>
  <c r="S108" i="29"/>
  <c r="S119" i="28"/>
  <c r="T76" i="28"/>
  <c r="S37" i="29" l="1"/>
  <c r="CL89" i="28"/>
  <c r="CL94" i="28"/>
  <c r="CL7" i="28" s="1"/>
  <c r="CT8" i="31" s="1"/>
  <c r="CL88" i="28"/>
  <c r="CK40" i="29"/>
  <c r="CS8" i="31"/>
  <c r="T152" i="30"/>
  <c r="T83" i="30"/>
  <c r="CF6" i="30"/>
  <c r="CR7" i="31"/>
  <c r="CH6" i="30"/>
  <c r="CT7" i="31"/>
  <c r="N98" i="54"/>
  <c r="CF7" i="30"/>
  <c r="CR8" i="31"/>
  <c r="S10" i="30"/>
  <c r="S40" i="29"/>
  <c r="X71" i="29"/>
  <c r="X69" i="29"/>
  <c r="CI70" i="29"/>
  <c r="S91" i="28"/>
  <c r="S92" i="28" s="1"/>
  <c r="S93" i="28"/>
  <c r="S89" i="28"/>
  <c r="S88" i="28"/>
  <c r="CK47" i="29"/>
  <c r="CJ49" i="29"/>
  <c r="CJ50" i="29" s="1"/>
  <c r="T78" i="28"/>
  <c r="T150" i="30" s="1"/>
  <c r="T82" i="29"/>
  <c r="T78" i="29"/>
  <c r="T77" i="29"/>
  <c r="S138" i="28"/>
  <c r="S139" i="28" s="1"/>
  <c r="S140" i="28" s="1"/>
  <c r="U76" i="28"/>
  <c r="CH7" i="30" l="1"/>
  <c r="T79" i="28"/>
  <c r="T80" i="28"/>
  <c r="U152" i="30"/>
  <c r="U83" i="30"/>
  <c r="T136" i="28"/>
  <c r="T137" i="28" s="1"/>
  <c r="T132" i="28" s="1"/>
  <c r="T133" i="28" s="1"/>
  <c r="T81" i="28"/>
  <c r="U82" i="29"/>
  <c r="U78" i="29"/>
  <c r="U77" i="29"/>
  <c r="S47" i="29"/>
  <c r="CK49" i="29"/>
  <c r="CK50" i="29" s="1"/>
  <c r="CJ70" i="29"/>
  <c r="S6" i="28"/>
  <c r="T7" i="31" s="1"/>
  <c r="S94" i="28"/>
  <c r="S7" i="28" s="1"/>
  <c r="T8" i="31" s="1"/>
  <c r="V76" i="28"/>
  <c r="U78" i="28"/>
  <c r="U150" i="30" s="1"/>
  <c r="V152" i="30" l="1"/>
  <c r="V83" i="30"/>
  <c r="U131" i="28"/>
  <c r="T93" i="30"/>
  <c r="S6" i="29"/>
  <c r="S6" i="30"/>
  <c r="S7" i="29"/>
  <c r="S7" i="30"/>
  <c r="T84" i="28"/>
  <c r="T77" i="30"/>
  <c r="T91" i="30"/>
  <c r="S113" i="29"/>
  <c r="S114" i="29" s="1"/>
  <c r="S49" i="29"/>
  <c r="CK70" i="29"/>
  <c r="V82" i="29"/>
  <c r="V78" i="29"/>
  <c r="V77" i="29"/>
  <c r="U136" i="28"/>
  <c r="U81" i="28"/>
  <c r="U80" i="28"/>
  <c r="U79" i="28"/>
  <c r="X76" i="28"/>
  <c r="W76" i="28"/>
  <c r="Z76" i="28"/>
  <c r="V78" i="28"/>
  <c r="V150" i="30" s="1"/>
  <c r="T138" i="28"/>
  <c r="T139" i="28" s="1"/>
  <c r="T140" i="28" s="1"/>
  <c r="D89" i="73"/>
  <c r="W152" i="30" l="1"/>
  <c r="W83" i="30"/>
  <c r="X152" i="30"/>
  <c r="X83" i="30"/>
  <c r="T108" i="29"/>
  <c r="T96" i="28"/>
  <c r="T87" i="28"/>
  <c r="T119" i="28"/>
  <c r="U77" i="30"/>
  <c r="U91" i="30"/>
  <c r="S115" i="29"/>
  <c r="T92" i="30"/>
  <c r="T66" i="30"/>
  <c r="T82" i="30"/>
  <c r="T88" i="30" s="1"/>
  <c r="T78" i="30"/>
  <c r="W82" i="29"/>
  <c r="W78" i="29"/>
  <c r="W77" i="29"/>
  <c r="X82" i="29"/>
  <c r="X78" i="29"/>
  <c r="X77" i="29"/>
  <c r="T107" i="29"/>
  <c r="S70" i="29"/>
  <c r="S50" i="29"/>
  <c r="W78" i="28"/>
  <c r="W150" i="30" s="1"/>
  <c r="U137" i="28"/>
  <c r="U132" i="28" s="1"/>
  <c r="U133" i="28" s="1"/>
  <c r="V136" i="28"/>
  <c r="V81" i="28"/>
  <c r="V80" i="28"/>
  <c r="V79" i="28"/>
  <c r="X78" i="28"/>
  <c r="X150" i="30" s="1"/>
  <c r="U84" i="28"/>
  <c r="U108" i="29" s="1"/>
  <c r="E89" i="73"/>
  <c r="F89" i="73"/>
  <c r="G89" i="73"/>
  <c r="H89" i="73" s="1"/>
  <c r="V131" i="28" l="1"/>
  <c r="V137" i="28" s="1"/>
  <c r="V132" i="28" s="1"/>
  <c r="V133" i="28" s="1"/>
  <c r="U93" i="30"/>
  <c r="T72" i="30"/>
  <c r="T76" i="30" s="1"/>
  <c r="T80" i="30" s="1"/>
  <c r="T91" i="28"/>
  <c r="T92" i="28" s="1"/>
  <c r="T93" i="28"/>
  <c r="T89" i="28"/>
  <c r="T88" i="28"/>
  <c r="T89" i="30"/>
  <c r="T104" i="30"/>
  <c r="T10" i="30"/>
  <c r="T103" i="28"/>
  <c r="T112" i="28" s="1"/>
  <c r="D42" i="46" s="1"/>
  <c r="T113" i="28"/>
  <c r="T47" i="29"/>
  <c r="T113" i="29" s="1"/>
  <c r="V91" i="30"/>
  <c r="V77" i="30"/>
  <c r="X136" i="28"/>
  <c r="X81" i="28"/>
  <c r="X80" i="28"/>
  <c r="X79" i="28"/>
  <c r="V84" i="28"/>
  <c r="V108" i="29" s="1"/>
  <c r="U96" i="28"/>
  <c r="U87" i="28"/>
  <c r="U72" i="30" s="1"/>
  <c r="U76" i="30" s="1"/>
  <c r="U119" i="28"/>
  <c r="W136" i="28"/>
  <c r="W81" i="28"/>
  <c r="W80" i="28"/>
  <c r="W79" i="28"/>
  <c r="U138" i="28"/>
  <c r="U139" i="28" s="1"/>
  <c r="U140" i="28" s="1"/>
  <c r="I89" i="73"/>
  <c r="H93" i="73"/>
  <c r="G93" i="73"/>
  <c r="W131" i="28" l="1"/>
  <c r="W137" i="28" s="1"/>
  <c r="W132" i="28" s="1"/>
  <c r="W133" i="28" s="1"/>
  <c r="V93" i="30"/>
  <c r="T94" i="28"/>
  <c r="T7" i="28" s="1"/>
  <c r="T6" i="28"/>
  <c r="W91" i="30"/>
  <c r="W77" i="30"/>
  <c r="U47" i="29"/>
  <c r="U113" i="29" s="1"/>
  <c r="U10" i="30"/>
  <c r="D44" i="46"/>
  <c r="D45" i="46"/>
  <c r="D46" i="46"/>
  <c r="D47" i="46"/>
  <c r="H45" i="46"/>
  <c r="D43" i="46"/>
  <c r="X91" i="30"/>
  <c r="X77" i="30"/>
  <c r="U82" i="30"/>
  <c r="U88" i="30" s="1"/>
  <c r="U104" i="30" s="1"/>
  <c r="U78" i="30"/>
  <c r="U80" i="30" s="1"/>
  <c r="U92" i="30"/>
  <c r="U66" i="30"/>
  <c r="V138" i="28"/>
  <c r="V139" i="28" s="1"/>
  <c r="V140" i="28" s="1"/>
  <c r="U113" i="28"/>
  <c r="U103" i="28"/>
  <c r="U112" i="28" s="1"/>
  <c r="E42" i="46" s="1"/>
  <c r="X84" i="28"/>
  <c r="X108" i="29" s="1"/>
  <c r="U93" i="28"/>
  <c r="U91" i="28"/>
  <c r="U92" i="28" s="1"/>
  <c r="U89" i="28"/>
  <c r="U88" i="28"/>
  <c r="V96" i="28"/>
  <c r="Z84" i="28"/>
  <c r="V87" i="28"/>
  <c r="V72" i="30" s="1"/>
  <c r="V76" i="30" s="1"/>
  <c r="V119" i="28"/>
  <c r="W84" i="28"/>
  <c r="W108" i="29" s="1"/>
  <c r="G165" i="73"/>
  <c r="G167" i="73" s="1"/>
  <c r="H94" i="73"/>
  <c r="H165" i="73"/>
  <c r="H167" i="73" s="1"/>
  <c r="J89" i="73"/>
  <c r="I93" i="73"/>
  <c r="X131" i="28" l="1"/>
  <c r="W93" i="30"/>
  <c r="T6" i="29"/>
  <c r="T6" i="30"/>
  <c r="T7" i="29"/>
  <c r="T7" i="30"/>
  <c r="V47" i="29"/>
  <c r="V113" i="29" s="1"/>
  <c r="V10" i="30"/>
  <c r="V82" i="30"/>
  <c r="V88" i="30" s="1"/>
  <c r="V104" i="30" s="1"/>
  <c r="V78" i="30"/>
  <c r="V80" i="30" s="1"/>
  <c r="V92" i="30"/>
  <c r="V66" i="30"/>
  <c r="X137" i="28"/>
  <c r="V113" i="28"/>
  <c r="V103" i="28"/>
  <c r="V112" i="28" s="1"/>
  <c r="X96" i="28"/>
  <c r="X10" i="30" s="1"/>
  <c r="X87" i="28"/>
  <c r="X72" i="30" s="1"/>
  <c r="X76" i="30" s="1"/>
  <c r="X119" i="28"/>
  <c r="U94" i="28"/>
  <c r="U7" i="28" s="1"/>
  <c r="U6" i="28"/>
  <c r="V91" i="28"/>
  <c r="V92" i="28" s="1"/>
  <c r="V89" i="28"/>
  <c r="V88" i="28"/>
  <c r="V93" i="28"/>
  <c r="W87" i="28"/>
  <c r="W72" i="30" s="1"/>
  <c r="W76" i="30" s="1"/>
  <c r="W96" i="28"/>
  <c r="W119" i="28"/>
  <c r="W138" i="28"/>
  <c r="W139" i="28" s="1"/>
  <c r="W140" i="28" s="1"/>
  <c r="H46" i="46"/>
  <c r="E43" i="46"/>
  <c r="E44" i="46"/>
  <c r="E45" i="46"/>
  <c r="E46" i="46"/>
  <c r="E47" i="46"/>
  <c r="I94" i="73"/>
  <c r="I165" i="73"/>
  <c r="I167" i="73" s="1"/>
  <c r="J93" i="73"/>
  <c r="K89" i="73"/>
  <c r="U6" i="29" l="1"/>
  <c r="U6" i="30"/>
  <c r="U7" i="29"/>
  <c r="U7" i="30"/>
  <c r="W47" i="29"/>
  <c r="X47" i="29" s="1"/>
  <c r="X113" i="29" s="1"/>
  <c r="W10" i="30"/>
  <c r="W92" i="30"/>
  <c r="W82" i="30"/>
  <c r="W88" i="30" s="1"/>
  <c r="W104" i="30" s="1"/>
  <c r="W78" i="30"/>
  <c r="W80" i="30" s="1"/>
  <c r="W66" i="30"/>
  <c r="Z93" i="28"/>
  <c r="V94" i="28"/>
  <c r="V7" i="28" s="1"/>
  <c r="V6" i="28"/>
  <c r="W113" i="28"/>
  <c r="W103" i="28"/>
  <c r="W112" i="28" s="1"/>
  <c r="X113" i="28"/>
  <c r="X103" i="28"/>
  <c r="X112" i="28" s="1"/>
  <c r="W93" i="28"/>
  <c r="W91" i="28"/>
  <c r="W92" i="28" s="1"/>
  <c r="W89" i="28"/>
  <c r="W88" i="28"/>
  <c r="X93" i="28"/>
  <c r="X88" i="28"/>
  <c r="X91" i="28"/>
  <c r="X89" i="28"/>
  <c r="X132" i="28"/>
  <c r="X133" i="28" s="1"/>
  <c r="X138" i="28"/>
  <c r="X139" i="28" s="1"/>
  <c r="X140" i="28" s="1"/>
  <c r="L89" i="73"/>
  <c r="K93" i="73"/>
  <c r="J94" i="73"/>
  <c r="J165" i="73"/>
  <c r="J167" i="73" s="1"/>
  <c r="X93" i="30" l="1"/>
  <c r="X78" i="30" s="1"/>
  <c r="X80" i="30" s="1"/>
  <c r="V6" i="29"/>
  <c r="V6" i="30"/>
  <c r="W113" i="29"/>
  <c r="V7" i="29"/>
  <c r="V7" i="30"/>
  <c r="X94" i="28"/>
  <c r="X7" i="28" s="1"/>
  <c r="X6" i="28"/>
  <c r="W94" i="28"/>
  <c r="W7" i="28" s="1"/>
  <c r="W6" i="28"/>
  <c r="X92" i="28"/>
  <c r="L53" i="73"/>
  <c r="K94" i="73"/>
  <c r="K165" i="73"/>
  <c r="K167" i="73" s="1"/>
  <c r="M89" i="73"/>
  <c r="L93" i="73"/>
  <c r="X82" i="30" l="1"/>
  <c r="X88" i="30" s="1"/>
  <c r="X104" i="30" s="1"/>
  <c r="X66" i="30"/>
  <c r="X92" i="30"/>
  <c r="X6" i="29"/>
  <c r="X6" i="30"/>
  <c r="X7" i="29"/>
  <c r="X7" i="30"/>
  <c r="W6" i="29"/>
  <c r="W6" i="30"/>
  <c r="W7" i="29"/>
  <c r="W7" i="30"/>
  <c r="M53" i="73"/>
  <c r="L94" i="73"/>
  <c r="L165" i="73"/>
  <c r="L167" i="73" s="1"/>
  <c r="N89" i="73"/>
  <c r="L79" i="73"/>
  <c r="L179" i="73"/>
  <c r="L181" i="73" s="1"/>
  <c r="L159" i="73" l="1"/>
  <c r="L118" i="73"/>
  <c r="O89" i="73"/>
  <c r="M79" i="73"/>
  <c r="M179" i="73"/>
  <c r="M181" i="73" s="1"/>
  <c r="M159" i="73" s="1"/>
  <c r="P89" i="73" l="1"/>
  <c r="M118" i="73"/>
  <c r="D16" i="73" l="1"/>
  <c r="D17" i="73"/>
  <c r="D18" i="73"/>
  <c r="D13" i="73" l="1"/>
  <c r="D15" i="73"/>
  <c r="D14" i="73"/>
  <c r="M97" i="54" l="1"/>
  <c r="K112" i="61"/>
  <c r="D43" i="67"/>
  <c r="K114" i="61"/>
  <c r="K113" i="61"/>
  <c r="D112" i="67" l="1"/>
  <c r="D118" i="67" l="1"/>
  <c r="D123" i="67"/>
  <c r="M87" i="54" l="1"/>
  <c r="M90" i="54" s="1"/>
  <c r="M93" i="54" s="1"/>
  <c r="M99" i="54" l="1"/>
  <c r="M95" i="54"/>
  <c r="U102" i="54" s="1"/>
  <c r="S96" i="28" l="1"/>
  <c r="D48" i="67"/>
  <c r="S113" i="28" l="1"/>
  <c r="S103" i="28"/>
  <c r="S112" i="28" s="1"/>
  <c r="C42" i="46" s="1"/>
  <c r="H44" i="46" l="1"/>
  <c r="C44" i="46"/>
  <c r="C43" i="46"/>
  <c r="C45" i="46"/>
  <c r="C46" i="46"/>
  <c r="C47" i="46"/>
  <c r="E15" i="73"/>
  <c r="K44" i="67"/>
  <c r="E19" i="73"/>
  <c r="F19" i="73"/>
  <c r="G20" i="73" s="1"/>
  <c r="D19" i="73"/>
  <c r="D32" i="73" s="1"/>
  <c r="C19" i="73" l="1"/>
  <c r="C32" i="73" s="1"/>
  <c r="C34" i="73" s="1"/>
  <c r="E20" i="73"/>
  <c r="F20" i="73"/>
  <c r="F5" i="73"/>
  <c r="C44" i="67"/>
  <c r="D44" i="67"/>
  <c r="E44" i="67"/>
  <c r="F44" i="67"/>
  <c r="F107" i="67"/>
  <c r="F108" i="67" s="1"/>
  <c r="M109" i="61"/>
  <c r="L109" i="61"/>
  <c r="E107" i="67"/>
  <c r="E108" i="67" s="1"/>
  <c r="E13" i="73" l="1"/>
  <c r="E32" i="73" s="1"/>
  <c r="E33" i="73" s="1"/>
  <c r="E14" i="73"/>
  <c r="D20" i="73"/>
  <c r="D33" i="73"/>
  <c r="M110" i="61"/>
  <c r="G5" i="73"/>
  <c r="L110" i="61"/>
  <c r="E5" i="73"/>
  <c r="D45" i="67"/>
  <c r="D49" i="67"/>
  <c r="D62" i="67" s="1"/>
  <c r="D90" i="67" s="1"/>
  <c r="D113" i="67"/>
  <c r="D114" i="67" s="1"/>
  <c r="C45" i="67"/>
  <c r="C49" i="67"/>
  <c r="C62" i="67" s="1"/>
  <c r="C90" i="67" s="1"/>
  <c r="C113" i="67"/>
  <c r="C114" i="67" s="1"/>
  <c r="C119" i="67" s="1"/>
  <c r="F49" i="67"/>
  <c r="F62" i="67" s="1"/>
  <c r="F90" i="67" s="1"/>
  <c r="F113" i="67"/>
  <c r="E49" i="67"/>
  <c r="E62" i="67" s="1"/>
  <c r="E90" i="67" s="1"/>
  <c r="E113" i="67"/>
  <c r="D119" i="67" l="1"/>
  <c r="D124" i="67"/>
  <c r="C25" i="73"/>
  <c r="C29" i="73" s="1"/>
  <c r="F15" i="73"/>
  <c r="F13" i="73"/>
  <c r="F32" i="73" s="1"/>
  <c r="F33" i="73" s="1"/>
  <c r="C31" i="73" l="1"/>
  <c r="C36" i="73"/>
  <c r="F14" i="73"/>
  <c r="C39" i="73" l="1"/>
  <c r="C44" i="73"/>
  <c r="C47" i="73" s="1"/>
  <c r="C54" i="73" l="1"/>
  <c r="C57" i="73" s="1"/>
  <c r="C58" i="73" s="1"/>
  <c r="C61" i="73" s="1"/>
  <c r="C68" i="73" s="1"/>
  <c r="C49" i="73"/>
  <c r="E18" i="73"/>
  <c r="E16" i="73" l="1"/>
  <c r="L113" i="61"/>
  <c r="L114" i="61"/>
  <c r="E17" i="73"/>
  <c r="N97" i="54"/>
  <c r="E43" i="67"/>
  <c r="L112" i="61"/>
  <c r="E45" i="67" l="1"/>
  <c r="E112" i="67"/>
  <c r="E114" i="67" l="1"/>
  <c r="E118" i="67"/>
  <c r="E123" i="67"/>
  <c r="E119" i="67" l="1"/>
  <c r="E124" i="67"/>
  <c r="N87" i="54" l="1"/>
  <c r="N90" i="54" s="1"/>
  <c r="N93" i="54" s="1"/>
  <c r="N95" i="54" l="1"/>
  <c r="N99" i="54"/>
  <c r="E48" i="67" l="1"/>
  <c r="I12" i="46" l="1"/>
  <c r="T37" i="29"/>
  <c r="T16" i="30" s="1"/>
  <c r="T40" i="29" l="1"/>
  <c r="F17" i="73" l="1"/>
  <c r="F18" i="73"/>
  <c r="G16" i="73"/>
  <c r="G29" i="73" s="1"/>
  <c r="G18" i="73"/>
  <c r="H18" i="73" s="1"/>
  <c r="I18" i="73" s="1"/>
  <c r="F16" i="73" l="1"/>
  <c r="G17" i="73"/>
  <c r="M113" i="61"/>
  <c r="J18" i="73"/>
  <c r="I16" i="73"/>
  <c r="H16" i="73"/>
  <c r="M112" i="61" l="1"/>
  <c r="F43" i="67"/>
  <c r="F112" i="67" s="1"/>
  <c r="M114" i="61"/>
  <c r="I17" i="73"/>
  <c r="H17" i="73"/>
  <c r="K18" i="73"/>
  <c r="J16" i="73"/>
  <c r="F45" i="67" l="1"/>
  <c r="J17" i="73"/>
  <c r="K16" i="73"/>
  <c r="L18" i="73"/>
  <c r="F123" i="67"/>
  <c r="F114" i="67"/>
  <c r="F118" i="67"/>
  <c r="K17" i="73" l="1"/>
  <c r="F124" i="67"/>
  <c r="F119" i="67"/>
  <c r="M18" i="73"/>
  <c r="L16" i="73"/>
  <c r="N18" i="73" l="1"/>
  <c r="M16" i="73"/>
  <c r="L17" i="73"/>
  <c r="M17" i="73" l="1"/>
  <c r="O18" i="73"/>
  <c r="N16" i="73"/>
  <c r="F48" i="67"/>
  <c r="B27" i="67"/>
  <c r="B14" i="67" s="1"/>
  <c r="B15" i="67" s="1"/>
  <c r="N17" i="73" l="1"/>
  <c r="O16" i="73"/>
  <c r="P18" i="73"/>
  <c r="P16" i="73" s="1"/>
  <c r="B29" i="67"/>
  <c r="B17" i="67"/>
  <c r="B38" i="67"/>
  <c r="O17" i="73" l="1"/>
  <c r="C50" i="67"/>
  <c r="D50" i="67"/>
  <c r="E78" i="67"/>
  <c r="F78" i="67"/>
  <c r="C78" i="67"/>
  <c r="C79" i="67" s="1"/>
  <c r="B30" i="67"/>
  <c r="D78" i="67"/>
  <c r="B18" i="67"/>
  <c r="O11" i="67" s="1"/>
  <c r="F23" i="67"/>
  <c r="C23" i="67"/>
  <c r="B36" i="67"/>
  <c r="D23" i="67"/>
  <c r="E23" i="67"/>
  <c r="J12" i="46"/>
  <c r="U37" i="29"/>
  <c r="U16" i="30" s="1"/>
  <c r="P17" i="73"/>
  <c r="U40" i="29" l="1"/>
  <c r="C52" i="67"/>
  <c r="C65" i="67"/>
  <c r="C30" i="67"/>
  <c r="B33" i="67"/>
  <c r="E50" i="67"/>
  <c r="D65" i="67"/>
  <c r="D93" i="67" s="1"/>
  <c r="D52" i="67"/>
  <c r="E52" i="67" l="1"/>
  <c r="F50" i="67"/>
  <c r="E65" i="67"/>
  <c r="E93" i="67" s="1"/>
  <c r="C98" i="67"/>
  <c r="C93" i="67"/>
  <c r="C95" i="67" s="1"/>
  <c r="C99" i="67" s="1"/>
  <c r="C67" i="67"/>
  <c r="C56" i="67"/>
  <c r="C57" i="67" s="1"/>
  <c r="P11" i="67" s="1"/>
  <c r="D53" i="67"/>
  <c r="C71" i="67" l="1"/>
  <c r="C72" i="67" s="1"/>
  <c r="T11" i="67" s="1"/>
  <c r="C80" i="67"/>
  <c r="C100" i="67"/>
  <c r="F65" i="67"/>
  <c r="F93" i="67" s="1"/>
  <c r="F52" i="67"/>
  <c r="E53" i="67"/>
  <c r="F53" i="67" l="1"/>
  <c r="G14" i="73"/>
  <c r="E25" i="73"/>
  <c r="E29" i="73" s="1"/>
  <c r="E36" i="73" s="1"/>
  <c r="E44" i="73" s="1"/>
  <c r="G15" i="73"/>
  <c r="H15" i="73" s="1"/>
  <c r="G13" i="73"/>
  <c r="G32" i="73" s="1"/>
  <c r="G33" i="73" s="1"/>
  <c r="D25" i="73"/>
  <c r="G36" i="73" l="1"/>
  <c r="G44" i="73" s="1"/>
  <c r="E26" i="73"/>
  <c r="F25" i="73"/>
  <c r="D26" i="73"/>
  <c r="H13" i="73"/>
  <c r="I15" i="73"/>
  <c r="D29" i="73"/>
  <c r="G26" i="73" l="1"/>
  <c r="F29" i="73"/>
  <c r="F26" i="73"/>
  <c r="I13" i="73"/>
  <c r="J15" i="73"/>
  <c r="H14" i="73"/>
  <c r="D36" i="73"/>
  <c r="D30" i="73"/>
  <c r="E30" i="73"/>
  <c r="G30" i="73" l="1"/>
  <c r="F36" i="73"/>
  <c r="F30" i="73"/>
  <c r="D37" i="73"/>
  <c r="E37" i="73"/>
  <c r="D44" i="73"/>
  <c r="K15" i="73"/>
  <c r="J13" i="73"/>
  <c r="I14" i="73"/>
  <c r="F37" i="73" l="1"/>
  <c r="F44" i="73"/>
  <c r="G37" i="73"/>
  <c r="K13" i="73"/>
  <c r="L15" i="73"/>
  <c r="D45" i="73"/>
  <c r="E45" i="73"/>
  <c r="J14" i="73"/>
  <c r="F45" i="73" l="1"/>
  <c r="G45" i="73"/>
  <c r="G126" i="73" s="1"/>
  <c r="G129" i="73" s="1"/>
  <c r="G138" i="73" s="1"/>
  <c r="K14" i="73"/>
  <c r="L13" i="73"/>
  <c r="M15" i="73"/>
  <c r="M13" i="73" l="1"/>
  <c r="N15" i="73"/>
  <c r="L14" i="73"/>
  <c r="O15" i="73" l="1"/>
  <c r="N13" i="73"/>
  <c r="M14" i="73"/>
  <c r="N14" i="73" l="1"/>
  <c r="O13" i="73"/>
  <c r="P15" i="73"/>
  <c r="P13" i="73" s="1"/>
  <c r="V37" i="29" l="1"/>
  <c r="V16" i="30" s="1"/>
  <c r="K12" i="46"/>
  <c r="P14" i="73"/>
  <c r="O14" i="73"/>
  <c r="V40" i="29" l="1"/>
  <c r="L12" i="46" l="1"/>
  <c r="W37" i="29"/>
  <c r="W16" i="30" s="1"/>
  <c r="W40" i="29" l="1"/>
  <c r="M12" i="46" l="1"/>
  <c r="X37" i="29"/>
  <c r="X40" i="29" l="1"/>
  <c r="X16" i="30"/>
  <c r="M104" i="54"/>
  <c r="D75" i="67"/>
  <c r="D79" i="67" s="1"/>
  <c r="Z110" i="61" l="1"/>
  <c r="M102" i="54" l="1"/>
  <c r="Z109" i="61"/>
  <c r="M101" i="54" l="1"/>
  <c r="M117" i="54"/>
  <c r="D28" i="67" l="1"/>
  <c r="D30" i="67" s="1"/>
  <c r="D56" i="67" s="1"/>
  <c r="D55" i="67"/>
  <c r="D57" i="67" l="1"/>
  <c r="Q11" i="67" s="1"/>
  <c r="E28" i="67"/>
  <c r="E30" i="67" s="1"/>
  <c r="E56" i="67" l="1"/>
  <c r="E55" i="67"/>
  <c r="N104" i="54"/>
  <c r="E75" i="67"/>
  <c r="F28" i="67"/>
  <c r="F30" i="67" s="1"/>
  <c r="F56" i="67" s="1"/>
  <c r="F75" i="67" l="1"/>
  <c r="E79" i="67"/>
  <c r="AA110" i="61"/>
  <c r="F55" i="67"/>
  <c r="F57" i="67" s="1"/>
  <c r="E57" i="67"/>
  <c r="R11" i="67" s="1"/>
  <c r="F79" i="67" l="1"/>
  <c r="AB110" i="61"/>
  <c r="AB109" i="61"/>
  <c r="N102" i="54"/>
  <c r="AA109" i="61"/>
  <c r="N101" i="54" l="1"/>
  <c r="N117" i="54"/>
  <c r="D56" i="73" l="1"/>
  <c r="C115" i="73"/>
  <c r="C123" i="73"/>
  <c r="C143" i="73" s="1"/>
  <c r="C151" i="73"/>
  <c r="C153" i="73"/>
  <c r="C154" i="73"/>
  <c r="C177" i="73"/>
  <c r="D176" i="73" s="1"/>
  <c r="C239" i="73"/>
  <c r="C240" i="73"/>
  <c r="C241" i="73"/>
  <c r="C243" i="73" s="1"/>
  <c r="C145" i="73" l="1"/>
  <c r="C147" i="73" s="1"/>
  <c r="C149" i="73" s="1"/>
  <c r="D143" i="73"/>
  <c r="E143" i="73" l="1"/>
  <c r="F143" i="73" s="1"/>
  <c r="G143" i="73" s="1"/>
  <c r="H143" i="73" s="1"/>
  <c r="I143" i="73" s="1"/>
  <c r="J143" i="73" s="1"/>
  <c r="K143" i="73" s="1"/>
  <c r="L143" i="73" s="1"/>
  <c r="M143" i="73" s="1"/>
  <c r="N143" i="73" s="1"/>
  <c r="O143" i="73" s="1"/>
  <c r="P143" i="73" s="1"/>
  <c r="L6" i="29" l="1"/>
  <c r="BF6" i="29"/>
  <c r="L7" i="29"/>
  <c r="M7" i="29"/>
  <c r="BF7" i="29"/>
  <c r="BJ7" i="29"/>
  <c r="P11" i="29"/>
  <c r="Q11" i="29"/>
  <c r="R11" i="29"/>
  <c r="S11" i="29"/>
  <c r="T11" i="29"/>
  <c r="U11" i="29"/>
  <c r="V11" i="29"/>
  <c r="W11" i="29"/>
  <c r="X11" i="29"/>
  <c r="BV11" i="29"/>
  <c r="BW11" i="29"/>
  <c r="BX11" i="29"/>
  <c r="BY11" i="29"/>
  <c r="BZ11" i="29"/>
  <c r="CA11" i="29"/>
  <c r="CB11" i="29"/>
  <c r="CC11" i="29"/>
  <c r="CD11" i="29"/>
  <c r="CE11" i="29"/>
  <c r="CF11" i="29"/>
  <c r="CG11" i="29"/>
  <c r="CH11" i="29"/>
  <c r="CI11" i="29"/>
  <c r="CJ11" i="29"/>
  <c r="CK11" i="29"/>
  <c r="CD13" i="29"/>
  <c r="R15" i="29"/>
  <c r="S15" i="29"/>
  <c r="T15" i="29"/>
  <c r="U15" i="29"/>
  <c r="V15" i="29"/>
  <c r="W15" i="29"/>
  <c r="X15" i="29"/>
  <c r="CD15" i="29"/>
  <c r="CG15" i="29"/>
  <c r="CH15" i="29"/>
  <c r="CI15" i="29"/>
  <c r="CJ15" i="29"/>
  <c r="CK15" i="29"/>
  <c r="P16" i="29"/>
  <c r="Q16" i="29"/>
  <c r="R16" i="29"/>
  <c r="S16" i="29"/>
  <c r="T16" i="29"/>
  <c r="U16" i="29"/>
  <c r="V16" i="29"/>
  <c r="W16" i="29"/>
  <c r="X16" i="29"/>
  <c r="BV16" i="29"/>
  <c r="BW16" i="29"/>
  <c r="BX16" i="29"/>
  <c r="BY16" i="29"/>
  <c r="BZ16" i="29"/>
  <c r="CA16" i="29"/>
  <c r="CB16" i="29"/>
  <c r="CC16" i="29"/>
  <c r="CD16" i="29"/>
  <c r="CE16" i="29"/>
  <c r="CF16" i="29"/>
  <c r="CG16" i="29"/>
  <c r="CH16" i="29"/>
  <c r="CI16" i="29"/>
  <c r="CJ16" i="29"/>
  <c r="CK16" i="29"/>
  <c r="P26" i="29"/>
  <c r="Q26" i="29"/>
  <c r="R26" i="29"/>
  <c r="S26" i="29"/>
  <c r="T26" i="29"/>
  <c r="U26" i="29"/>
  <c r="V26" i="29"/>
  <c r="W26" i="29"/>
  <c r="X26" i="29"/>
  <c r="BV26" i="29"/>
  <c r="BW26" i="29"/>
  <c r="BX26" i="29"/>
  <c r="BY26" i="29"/>
  <c r="BZ26" i="29"/>
  <c r="CA26" i="29"/>
  <c r="CB26" i="29"/>
  <c r="CC26" i="29"/>
  <c r="CD26" i="29"/>
  <c r="CE26" i="29"/>
  <c r="CF26" i="29"/>
  <c r="CG26" i="29"/>
  <c r="CH26" i="29"/>
  <c r="CI26" i="29"/>
  <c r="CJ26" i="29"/>
  <c r="CK26" i="29"/>
  <c r="T44" i="29"/>
  <c r="U44" i="29"/>
  <c r="V44" i="29"/>
  <c r="W44" i="29"/>
  <c r="X44" i="29"/>
  <c r="T49" i="29"/>
  <c r="U49" i="29"/>
  <c r="V49" i="29"/>
  <c r="W49" i="29"/>
  <c r="X49" i="29"/>
  <c r="T50" i="29"/>
  <c r="U50" i="29"/>
  <c r="V50" i="29"/>
  <c r="W50" i="29"/>
  <c r="X50" i="29"/>
  <c r="P52" i="29"/>
  <c r="Q52" i="29"/>
  <c r="R52" i="29"/>
  <c r="S52" i="29"/>
  <c r="T52" i="29"/>
  <c r="U52" i="29"/>
  <c r="V52" i="29"/>
  <c r="W52" i="29"/>
  <c r="X52" i="29"/>
  <c r="BV52" i="29"/>
  <c r="BW52" i="29"/>
  <c r="BX52" i="29"/>
  <c r="BY52" i="29"/>
  <c r="BZ52" i="29"/>
  <c r="CA52" i="29"/>
  <c r="CB52" i="29"/>
  <c r="CC52" i="29"/>
  <c r="CD52" i="29"/>
  <c r="CE52" i="29"/>
  <c r="CF52" i="29"/>
  <c r="CG52" i="29"/>
  <c r="CH52" i="29"/>
  <c r="CI52" i="29"/>
  <c r="CJ52" i="29"/>
  <c r="CK52" i="29"/>
  <c r="T54" i="29"/>
  <c r="U54" i="29"/>
  <c r="V54" i="29"/>
  <c r="W54" i="29"/>
  <c r="X54" i="29"/>
  <c r="L57" i="29"/>
  <c r="BF57" i="29"/>
  <c r="BG57" i="29"/>
  <c r="CD57" i="29"/>
  <c r="R58" i="29"/>
  <c r="S58" i="29"/>
  <c r="T58" i="29"/>
  <c r="U58" i="29"/>
  <c r="V58" i="29"/>
  <c r="W58" i="29"/>
  <c r="X58" i="29"/>
  <c r="CD58" i="29"/>
  <c r="CG58" i="29"/>
  <c r="CH58" i="29"/>
  <c r="CI58" i="29"/>
  <c r="CJ58" i="29"/>
  <c r="CK58" i="29"/>
  <c r="P64" i="29"/>
  <c r="Q64" i="29"/>
  <c r="R64" i="29"/>
  <c r="S64" i="29"/>
  <c r="T64" i="29"/>
  <c r="U64" i="29"/>
  <c r="V64" i="29"/>
  <c r="W64" i="29"/>
  <c r="X64" i="29"/>
  <c r="BV64" i="29"/>
  <c r="BW64" i="29"/>
  <c r="BX64" i="29"/>
  <c r="BY64" i="29"/>
  <c r="BZ64" i="29"/>
  <c r="CA64" i="29"/>
  <c r="CB64" i="29"/>
  <c r="CC64" i="29"/>
  <c r="CD64" i="29"/>
  <c r="CE64" i="29"/>
  <c r="CF64" i="29"/>
  <c r="CG64" i="29"/>
  <c r="CH64" i="29"/>
  <c r="CI64" i="29"/>
  <c r="CJ64" i="29"/>
  <c r="CK64" i="29"/>
  <c r="P65" i="29"/>
  <c r="Q65" i="29"/>
  <c r="R65" i="29"/>
  <c r="S65" i="29"/>
  <c r="T65" i="29"/>
  <c r="U65" i="29"/>
  <c r="V65" i="29"/>
  <c r="W65" i="29"/>
  <c r="X65" i="29"/>
  <c r="BV65" i="29"/>
  <c r="BW65" i="29"/>
  <c r="BX65" i="29"/>
  <c r="BY65" i="29"/>
  <c r="BZ65" i="29"/>
  <c r="CA65" i="29"/>
  <c r="CB65" i="29"/>
  <c r="CC65" i="29"/>
  <c r="CD65" i="29"/>
  <c r="CE65" i="29"/>
  <c r="CF65" i="29"/>
  <c r="CG65" i="29"/>
  <c r="CH65" i="29"/>
  <c r="CI65" i="29"/>
  <c r="CJ65" i="29"/>
  <c r="CK65" i="29"/>
  <c r="T70" i="29"/>
  <c r="U70" i="29"/>
  <c r="V70" i="29"/>
  <c r="W70" i="29"/>
  <c r="X70" i="29"/>
  <c r="L71" i="29"/>
  <c r="P73" i="29"/>
  <c r="Q73" i="29"/>
  <c r="R73" i="29"/>
  <c r="S73" i="29"/>
  <c r="T73" i="29"/>
  <c r="U73" i="29"/>
  <c r="V73" i="29"/>
  <c r="W73" i="29"/>
  <c r="X73" i="29"/>
  <c r="BV73" i="29"/>
  <c r="BW73" i="29"/>
  <c r="BX73" i="29"/>
  <c r="BY73" i="29"/>
  <c r="BZ73" i="29"/>
  <c r="CA73" i="29"/>
  <c r="CB73" i="29"/>
  <c r="CC73" i="29"/>
  <c r="CD73" i="29"/>
  <c r="CE73" i="29"/>
  <c r="CF73" i="29"/>
  <c r="CG73" i="29"/>
  <c r="CH73" i="29"/>
  <c r="CI73" i="29"/>
  <c r="CJ73" i="29"/>
  <c r="CK73" i="29"/>
  <c r="P74" i="29"/>
  <c r="Q74" i="29"/>
  <c r="R74" i="29"/>
  <c r="S74" i="29"/>
  <c r="T74" i="29"/>
  <c r="U74" i="29"/>
  <c r="V74" i="29"/>
  <c r="W74" i="29"/>
  <c r="X74" i="29"/>
  <c r="BV74" i="29"/>
  <c r="BW74" i="29"/>
  <c r="BX74" i="29"/>
  <c r="BY74" i="29"/>
  <c r="BZ74" i="29"/>
  <c r="CA74" i="29"/>
  <c r="CB74" i="29"/>
  <c r="CC74" i="29"/>
  <c r="CD74" i="29"/>
  <c r="CE74" i="29"/>
  <c r="CF74" i="29"/>
  <c r="CG74" i="29"/>
  <c r="CH74" i="29"/>
  <c r="CI74" i="29"/>
  <c r="CJ74" i="29"/>
  <c r="CK74" i="29"/>
  <c r="L75" i="29"/>
  <c r="P75" i="29"/>
  <c r="Q75" i="29"/>
  <c r="R75" i="29"/>
  <c r="S75" i="29"/>
  <c r="T75" i="29"/>
  <c r="U75" i="29"/>
  <c r="V75" i="29"/>
  <c r="W75" i="29"/>
  <c r="X75" i="29"/>
  <c r="BF75" i="29"/>
  <c r="BG75" i="29"/>
  <c r="BH75" i="29"/>
  <c r="BI75" i="29"/>
  <c r="BV75" i="29"/>
  <c r="BW75" i="29"/>
  <c r="BX75" i="29"/>
  <c r="BY75" i="29"/>
  <c r="BZ75" i="29"/>
  <c r="CA75" i="29"/>
  <c r="CB75" i="29"/>
  <c r="CC75" i="29"/>
  <c r="CD75" i="29"/>
  <c r="CE75" i="29"/>
  <c r="CF75" i="29"/>
  <c r="CG75" i="29"/>
  <c r="CH75" i="29"/>
  <c r="CI75" i="29"/>
  <c r="CJ75" i="29"/>
  <c r="CK75" i="29"/>
  <c r="CG76" i="29"/>
  <c r="L77" i="29"/>
  <c r="BF77" i="29"/>
  <c r="L78" i="29"/>
  <c r="BF78" i="29"/>
  <c r="BV84" i="29"/>
  <c r="BW84" i="29"/>
  <c r="BX84" i="29"/>
  <c r="BY84" i="29"/>
  <c r="BZ84" i="29"/>
  <c r="CA84" i="29"/>
  <c r="CB84" i="29"/>
  <c r="CC84" i="29"/>
  <c r="CD84" i="29"/>
  <c r="CE84" i="29"/>
  <c r="CF84" i="29"/>
  <c r="CG84" i="29"/>
  <c r="CH84" i="29"/>
  <c r="CI84" i="29"/>
  <c r="CJ84" i="29"/>
  <c r="CK84" i="29"/>
  <c r="BV86" i="29"/>
  <c r="BW86" i="29"/>
  <c r="BX86" i="29"/>
  <c r="BY86" i="29"/>
  <c r="BZ86" i="29"/>
  <c r="CA86" i="29"/>
  <c r="CB86" i="29"/>
  <c r="CC86" i="29"/>
  <c r="CD86" i="29"/>
  <c r="CE86" i="29"/>
  <c r="CF86" i="29"/>
  <c r="CG86" i="29"/>
  <c r="CH86" i="29"/>
  <c r="CI86" i="29"/>
  <c r="CJ86" i="29"/>
  <c r="CK86" i="29"/>
  <c r="L88" i="29"/>
  <c r="P88" i="29"/>
  <c r="Q88" i="29"/>
  <c r="R88" i="29"/>
  <c r="S88" i="29"/>
  <c r="T88" i="29"/>
  <c r="U88" i="29"/>
  <c r="V88" i="29"/>
  <c r="W88" i="29"/>
  <c r="X88" i="29"/>
  <c r="BF88" i="29"/>
  <c r="BG88" i="29"/>
  <c r="BH88" i="29"/>
  <c r="BI88" i="29"/>
  <c r="BV88" i="29"/>
  <c r="BW88" i="29"/>
  <c r="BX88" i="29"/>
  <c r="BY88" i="29"/>
  <c r="BZ88" i="29"/>
  <c r="CA88" i="29"/>
  <c r="CB88" i="29"/>
  <c r="CC88" i="29"/>
  <c r="CD88" i="29"/>
  <c r="CE88" i="29"/>
  <c r="CF88" i="29"/>
  <c r="CG88" i="29"/>
  <c r="CH88" i="29"/>
  <c r="CI88" i="29"/>
  <c r="CJ88" i="29"/>
  <c r="CK88" i="29"/>
  <c r="L89" i="29"/>
  <c r="BF89" i="29"/>
  <c r="BG89" i="29"/>
  <c r="BH89" i="29"/>
  <c r="BI89" i="29"/>
  <c r="P92" i="29"/>
  <c r="Q92" i="29"/>
  <c r="R92" i="29"/>
  <c r="S92" i="29"/>
  <c r="T92" i="29"/>
  <c r="U92" i="29"/>
  <c r="V92" i="29"/>
  <c r="W92" i="29"/>
  <c r="X92" i="29"/>
  <c r="BV92" i="29"/>
  <c r="BW92" i="29"/>
  <c r="BX92" i="29"/>
  <c r="BY92" i="29"/>
  <c r="BZ92" i="29"/>
  <c r="CA92" i="29"/>
  <c r="CB92" i="29"/>
  <c r="CC92" i="29"/>
  <c r="CD92" i="29"/>
  <c r="CE92" i="29"/>
  <c r="CF92" i="29"/>
  <c r="CG92" i="29"/>
  <c r="CH92" i="29"/>
  <c r="CI92" i="29"/>
  <c r="CJ92" i="29"/>
  <c r="CK92" i="29"/>
  <c r="L95" i="29"/>
  <c r="P95" i="29"/>
  <c r="Q95" i="29"/>
  <c r="R95" i="29"/>
  <c r="S95" i="29"/>
  <c r="T95" i="29"/>
  <c r="U95" i="29"/>
  <c r="V95" i="29"/>
  <c r="W95" i="29"/>
  <c r="X95" i="29"/>
  <c r="BF95" i="29"/>
  <c r="BG95" i="29"/>
  <c r="BH95" i="29"/>
  <c r="BI95" i="29"/>
  <c r="BV95" i="29"/>
  <c r="BW95" i="29"/>
  <c r="BX95" i="29"/>
  <c r="BY95" i="29"/>
  <c r="BZ95" i="29"/>
  <c r="CA95" i="29"/>
  <c r="CB95" i="29"/>
  <c r="CC95" i="29"/>
  <c r="CD95" i="29"/>
  <c r="CE95" i="29"/>
  <c r="CF95" i="29"/>
  <c r="CG95" i="29"/>
  <c r="CH95" i="29"/>
  <c r="CI95" i="29"/>
  <c r="CJ95" i="29"/>
  <c r="CK95" i="29"/>
  <c r="L96" i="29"/>
  <c r="BF96" i="29"/>
  <c r="BG96" i="29"/>
  <c r="BH96" i="29"/>
  <c r="BI96" i="29"/>
  <c r="P99" i="29"/>
  <c r="Q99" i="29"/>
  <c r="R99" i="29"/>
  <c r="S99" i="29"/>
  <c r="T99" i="29"/>
  <c r="U99" i="29"/>
  <c r="V99" i="29"/>
  <c r="W99" i="29"/>
  <c r="X99" i="29"/>
  <c r="BV99" i="29"/>
  <c r="BW99" i="29"/>
  <c r="BX99" i="29"/>
  <c r="BY99" i="29"/>
  <c r="BZ99" i="29"/>
  <c r="CA99" i="29"/>
  <c r="CB99" i="29"/>
  <c r="CC99" i="29"/>
  <c r="CD99" i="29"/>
  <c r="CE99" i="29"/>
  <c r="CF99" i="29"/>
  <c r="CG99" i="29"/>
  <c r="CH99" i="29"/>
  <c r="CI99" i="29"/>
  <c r="CJ99" i="29"/>
  <c r="CK99" i="29"/>
  <c r="U107" i="29"/>
  <c r="V107" i="29"/>
  <c r="W107" i="29"/>
  <c r="X107" i="29"/>
  <c r="L108" i="29"/>
  <c r="T112" i="29"/>
  <c r="U112" i="29"/>
  <c r="V112" i="29"/>
  <c r="W112" i="29"/>
  <c r="X112" i="29"/>
  <c r="L113" i="29"/>
  <c r="L114" i="29"/>
  <c r="T114" i="29"/>
  <c r="U114" i="29"/>
  <c r="V114" i="29"/>
  <c r="W114" i="29"/>
  <c r="X114" i="29"/>
  <c r="L115" i="29"/>
  <c r="T115" i="29"/>
  <c r="U115" i="29"/>
  <c r="V115" i="29"/>
  <c r="W115" i="29"/>
  <c r="X115" i="29"/>
  <c r="F87" i="54"/>
  <c r="F90" i="54"/>
  <c r="F92" i="54"/>
  <c r="F93" i="54"/>
  <c r="F97" i="54"/>
  <c r="F101" i="54"/>
  <c r="F102" i="54"/>
  <c r="F117" i="54"/>
  <c r="L6" i="30"/>
  <c r="BC6" i="30"/>
  <c r="L7" i="30"/>
  <c r="M7" i="30"/>
  <c r="BC7" i="30"/>
  <c r="BG7" i="30"/>
  <c r="L10" i="30"/>
  <c r="BC10" i="30"/>
  <c r="T19" i="30"/>
  <c r="U19" i="30"/>
  <c r="V19" i="30"/>
  <c r="W19" i="30"/>
  <c r="X19" i="30"/>
  <c r="S25" i="30"/>
  <c r="T25" i="30"/>
  <c r="U25" i="30"/>
  <c r="V25" i="30"/>
  <c r="W25" i="30"/>
  <c r="X25" i="30"/>
  <c r="CE25" i="30"/>
  <c r="CF25" i="30"/>
  <c r="CG25" i="30"/>
  <c r="CH25" i="30"/>
  <c r="L30" i="30"/>
  <c r="S30" i="30"/>
  <c r="T30" i="30"/>
  <c r="U30" i="30"/>
  <c r="V30" i="30"/>
  <c r="W30" i="30"/>
  <c r="X30" i="30"/>
  <c r="BC30" i="30"/>
  <c r="CE30" i="30"/>
  <c r="CF30" i="30"/>
  <c r="CG30" i="30"/>
  <c r="CH30" i="30"/>
  <c r="L53" i="30"/>
  <c r="S53" i="30"/>
  <c r="T53" i="30"/>
  <c r="U53" i="30"/>
  <c r="V53" i="30"/>
  <c r="W53" i="30"/>
  <c r="X53" i="30"/>
  <c r="BC53" i="30"/>
  <c r="CE53" i="30"/>
  <c r="CF53" i="30"/>
  <c r="CG53" i="30"/>
  <c r="CH53" i="30"/>
  <c r="M55" i="30"/>
  <c r="N55" i="30"/>
  <c r="O55" i="30"/>
  <c r="P55" i="30"/>
  <c r="Q55" i="30"/>
  <c r="R55" i="30"/>
  <c r="S55" i="30"/>
  <c r="T55" i="30"/>
  <c r="U55" i="30"/>
  <c r="V55" i="30"/>
  <c r="W55" i="30"/>
  <c r="X55" i="30"/>
  <c r="BD55" i="30"/>
  <c r="BE55" i="30"/>
  <c r="BF55" i="30"/>
  <c r="BG55" i="30"/>
  <c r="BH55" i="30"/>
  <c r="BI55" i="30"/>
  <c r="BJ55" i="30"/>
  <c r="BK55" i="30"/>
  <c r="BL55" i="30"/>
  <c r="BM55" i="30"/>
  <c r="BN55" i="30"/>
  <c r="BO55" i="30"/>
  <c r="BP55" i="30"/>
  <c r="BQ55" i="30"/>
  <c r="BR55" i="30"/>
  <c r="BS55" i="30"/>
  <c r="BT55" i="30"/>
  <c r="BU55" i="30"/>
  <c r="BV55" i="30"/>
  <c r="BW55" i="30"/>
  <c r="BX55" i="30"/>
  <c r="BY55" i="30"/>
  <c r="BZ55" i="30"/>
  <c r="CA55" i="30"/>
  <c r="CB55" i="30"/>
  <c r="CC55" i="30"/>
  <c r="CD55" i="30"/>
  <c r="CE55" i="30"/>
  <c r="CF55" i="30"/>
  <c r="CG55" i="30"/>
  <c r="CH55" i="30"/>
  <c r="L57" i="30"/>
  <c r="M57" i="30"/>
  <c r="N57" i="30"/>
  <c r="O57" i="30"/>
  <c r="P57" i="30"/>
  <c r="Q57" i="30"/>
  <c r="R57" i="30"/>
  <c r="S57" i="30"/>
  <c r="T57" i="30"/>
  <c r="U57" i="30"/>
  <c r="V57" i="30"/>
  <c r="W57" i="30"/>
  <c r="X57" i="30"/>
  <c r="BC57" i="30"/>
  <c r="BD57" i="30"/>
  <c r="BE57" i="30"/>
  <c r="BF57" i="30"/>
  <c r="BG57" i="30"/>
  <c r="BH57" i="30"/>
  <c r="BI57" i="30"/>
  <c r="BJ57" i="30"/>
  <c r="BK57" i="30"/>
  <c r="BL57" i="30"/>
  <c r="BM57" i="30"/>
  <c r="BN57" i="30"/>
  <c r="BO57" i="30"/>
  <c r="BP57" i="30"/>
  <c r="BQ57" i="30"/>
  <c r="BR57" i="30"/>
  <c r="BS57" i="30"/>
  <c r="BT57" i="30"/>
  <c r="BU57" i="30"/>
  <c r="BV57" i="30"/>
  <c r="BW57" i="30"/>
  <c r="BX57" i="30"/>
  <c r="BY57" i="30"/>
  <c r="BZ57" i="30"/>
  <c r="CA57" i="30"/>
  <c r="CB57" i="30"/>
  <c r="CC57" i="30"/>
  <c r="CD57" i="30"/>
  <c r="CE57" i="30"/>
  <c r="CF57" i="30"/>
  <c r="CG57" i="30"/>
  <c r="CH57" i="30"/>
  <c r="L58" i="30"/>
  <c r="M58" i="30"/>
  <c r="N58" i="30"/>
  <c r="O58" i="30"/>
  <c r="P58" i="30"/>
  <c r="Q58" i="30"/>
  <c r="R58" i="30"/>
  <c r="S58" i="30"/>
  <c r="T58" i="30"/>
  <c r="U58" i="30"/>
  <c r="V58" i="30"/>
  <c r="W58" i="30"/>
  <c r="X58" i="30"/>
  <c r="BC58" i="30"/>
  <c r="BD58" i="30"/>
  <c r="BE58" i="30"/>
  <c r="BF58" i="30"/>
  <c r="BG58" i="30"/>
  <c r="BH58" i="30"/>
  <c r="BI58" i="30"/>
  <c r="BJ58" i="30"/>
  <c r="BK58" i="30"/>
  <c r="BL58" i="30"/>
  <c r="BM58" i="30"/>
  <c r="BN58" i="30"/>
  <c r="BO58" i="30"/>
  <c r="BP58" i="30"/>
  <c r="BQ58" i="30"/>
  <c r="BR58" i="30"/>
  <c r="BS58" i="30"/>
  <c r="BT58" i="30"/>
  <c r="BU58" i="30"/>
  <c r="BV58" i="30"/>
  <c r="BW58" i="30"/>
  <c r="BX58" i="30"/>
  <c r="BY58" i="30"/>
  <c r="BZ58" i="30"/>
  <c r="CA58" i="30"/>
  <c r="CB58" i="30"/>
  <c r="CC58" i="30"/>
  <c r="CD58" i="30"/>
  <c r="CE58" i="30"/>
  <c r="CF58" i="30"/>
  <c r="CG58" i="30"/>
  <c r="CH58" i="30"/>
  <c r="L61" i="30"/>
  <c r="S61" i="30"/>
  <c r="T61" i="30"/>
  <c r="U61" i="30"/>
  <c r="V61" i="30"/>
  <c r="W61" i="30"/>
  <c r="X61" i="30"/>
  <c r="BC61" i="30"/>
  <c r="CE61" i="30"/>
  <c r="CF61" i="30"/>
  <c r="CG61" i="30"/>
  <c r="CH61" i="30"/>
  <c r="L62" i="30"/>
  <c r="S62" i="30"/>
  <c r="T62" i="30"/>
  <c r="U62" i="30"/>
  <c r="V62" i="30"/>
  <c r="W62" i="30"/>
  <c r="X62" i="30"/>
  <c r="BC62" i="30"/>
  <c r="CE62" i="30"/>
  <c r="CF62" i="30"/>
  <c r="CG62" i="30"/>
  <c r="CH62" i="30"/>
  <c r="L63" i="30"/>
  <c r="S63" i="30"/>
  <c r="T63" i="30"/>
  <c r="U63" i="30"/>
  <c r="V63" i="30"/>
  <c r="W63" i="30"/>
  <c r="X63" i="30"/>
  <c r="BC63" i="30"/>
  <c r="CE63" i="30"/>
  <c r="CF63" i="30"/>
  <c r="CG63" i="30"/>
  <c r="CH63" i="30"/>
  <c r="S64" i="30"/>
  <c r="T64" i="30"/>
  <c r="U64" i="30"/>
  <c r="V64" i="30"/>
  <c r="W64" i="30"/>
  <c r="X64" i="30"/>
  <c r="CE64" i="30"/>
  <c r="CF64" i="30"/>
  <c r="CG64" i="30"/>
  <c r="CH64" i="30"/>
  <c r="L65" i="30"/>
  <c r="BC65" i="30"/>
  <c r="P68" i="30"/>
  <c r="Q68" i="30"/>
  <c r="R68" i="30"/>
  <c r="S68" i="30"/>
  <c r="T68" i="30"/>
  <c r="U68" i="30"/>
  <c r="V68" i="30"/>
  <c r="W68" i="30"/>
  <c r="X68" i="30"/>
  <c r="BS68" i="30"/>
  <c r="BT68" i="30"/>
  <c r="BU68" i="30"/>
  <c r="BV68" i="30"/>
  <c r="BW68" i="30"/>
  <c r="BX68" i="30"/>
  <c r="BY68" i="30"/>
  <c r="BZ68" i="30"/>
  <c r="CA68" i="30"/>
  <c r="CB68" i="30"/>
  <c r="CC68" i="30"/>
  <c r="CD68" i="30"/>
  <c r="CE68" i="30"/>
  <c r="CF68" i="30"/>
  <c r="CG68" i="30"/>
  <c r="CH68" i="30"/>
  <c r="L69" i="30"/>
  <c r="P69" i="30"/>
  <c r="Q69" i="30"/>
  <c r="R69" i="30"/>
  <c r="S69" i="30"/>
  <c r="T69" i="30"/>
  <c r="U69" i="30"/>
  <c r="V69" i="30"/>
  <c r="W69" i="30"/>
  <c r="X69" i="30"/>
  <c r="BC69" i="30"/>
  <c r="BS69" i="30"/>
  <c r="BT69" i="30"/>
  <c r="BU69" i="30"/>
  <c r="BV69" i="30"/>
  <c r="BW69" i="30"/>
  <c r="BX69" i="30"/>
  <c r="BY69" i="30"/>
  <c r="BZ69" i="30"/>
  <c r="CA69" i="30"/>
  <c r="CB69" i="30"/>
  <c r="CC69" i="30"/>
  <c r="CD69" i="30"/>
  <c r="CE69" i="30"/>
  <c r="CF69" i="30"/>
  <c r="CG69" i="30"/>
  <c r="CH69" i="30"/>
  <c r="L72" i="30"/>
  <c r="BC72" i="30"/>
  <c r="L76" i="30"/>
  <c r="BC76" i="30"/>
  <c r="L80" i="30"/>
  <c r="BC80" i="30"/>
  <c r="BC88" i="30"/>
  <c r="L96" i="30"/>
  <c r="S96" i="30"/>
  <c r="T96" i="30"/>
  <c r="U96" i="30"/>
  <c r="V96" i="30"/>
  <c r="W96" i="30"/>
  <c r="X96" i="30"/>
  <c r="BC96" i="30"/>
  <c r="CE96" i="30"/>
  <c r="CF96" i="30"/>
  <c r="CG96" i="30"/>
  <c r="CH96" i="30"/>
  <c r="L97" i="30"/>
  <c r="S97" i="30"/>
  <c r="T97" i="30"/>
  <c r="U97" i="30"/>
  <c r="V97" i="30"/>
  <c r="W97" i="30"/>
  <c r="X97" i="30"/>
  <c r="BC97" i="30"/>
  <c r="CE97" i="30"/>
  <c r="CF97" i="30"/>
  <c r="CG97" i="30"/>
  <c r="CH97" i="30"/>
  <c r="L100" i="30"/>
  <c r="S100" i="30"/>
  <c r="T100" i="30"/>
  <c r="U100" i="30"/>
  <c r="V100" i="30"/>
  <c r="W100" i="30"/>
  <c r="X100" i="30"/>
  <c r="BC100" i="30"/>
  <c r="BD100" i="30"/>
  <c r="BE100" i="30"/>
  <c r="BF100" i="30"/>
  <c r="CE100" i="30"/>
  <c r="CF100" i="30"/>
  <c r="CG100" i="30"/>
  <c r="CH100" i="30"/>
  <c r="L103" i="30"/>
  <c r="S103" i="30"/>
  <c r="T103" i="30"/>
  <c r="U103" i="30"/>
  <c r="V103" i="30"/>
  <c r="W103" i="30"/>
  <c r="X103" i="30"/>
  <c r="BC103" i="30"/>
  <c r="CE103" i="30"/>
  <c r="CF103" i="30"/>
  <c r="CG103" i="30"/>
  <c r="CH103" i="30"/>
  <c r="L104" i="30"/>
  <c r="BC104" i="30"/>
  <c r="BC105" i="30"/>
  <c r="BD105" i="30"/>
  <c r="BE105" i="30"/>
  <c r="BF105" i="30"/>
  <c r="CE105" i="30"/>
  <c r="CF105" i="30"/>
  <c r="CG105" i="30"/>
  <c r="CH105" i="30"/>
  <c r="BC106" i="30"/>
  <c r="BD106" i="30"/>
  <c r="BE106" i="30"/>
  <c r="BF106" i="30"/>
  <c r="L115" i="30"/>
  <c r="BC115" i="30"/>
  <c r="L116" i="30"/>
  <c r="BC116" i="30"/>
  <c r="L125" i="30"/>
  <c r="BC125" i="30"/>
  <c r="L146" i="30"/>
  <c r="BC146" i="30"/>
  <c r="S148" i="30"/>
  <c r="T148" i="30"/>
  <c r="U148" i="30"/>
  <c r="V148" i="30"/>
  <c r="W148" i="30"/>
  <c r="X148" i="30"/>
  <c r="CE148" i="30"/>
  <c r="CF148" i="30"/>
  <c r="CG148" i="30"/>
  <c r="CH148" i="30"/>
  <c r="L150" i="30"/>
  <c r="BC150" i="30"/>
  <c r="L154" i="30"/>
  <c r="S154" i="30"/>
  <c r="T154" i="30"/>
  <c r="U154" i="30"/>
  <c r="V154" i="30"/>
  <c r="W154" i="30"/>
  <c r="X154" i="30"/>
  <c r="BC154" i="30"/>
  <c r="CE154" i="30"/>
  <c r="CF154" i="30"/>
  <c r="CG154" i="30"/>
  <c r="CH154" i="30"/>
  <c r="D4" i="61"/>
  <c r="E4" i="61"/>
  <c r="F4" i="61"/>
  <c r="D6" i="61"/>
  <c r="E6" i="61"/>
  <c r="F6" i="61"/>
  <c r="D109" i="61"/>
  <c r="S109" i="61"/>
  <c r="D110" i="61"/>
  <c r="E110" i="61"/>
  <c r="S110" i="61"/>
  <c r="D112" i="61"/>
  <c r="D113" i="61"/>
  <c r="E113" i="61"/>
  <c r="D114" i="61"/>
  <c r="U11" i="67"/>
  <c r="V11" i="67"/>
  <c r="W11" i="67"/>
  <c r="C24" i="67"/>
  <c r="D24" i="67"/>
  <c r="E24" i="67"/>
  <c r="F24" i="67"/>
  <c r="K24" i="67"/>
  <c r="C25" i="67"/>
  <c r="D25" i="67"/>
  <c r="E25" i="67"/>
  <c r="F25" i="67"/>
  <c r="B37" i="67"/>
  <c r="B40" i="67"/>
  <c r="N45" i="67"/>
  <c r="O45" i="67"/>
  <c r="D61" i="67"/>
  <c r="E61" i="67"/>
  <c r="F61" i="67"/>
  <c r="D67" i="67"/>
  <c r="E67" i="67"/>
  <c r="F67" i="67"/>
  <c r="D68" i="67"/>
  <c r="E68" i="67"/>
  <c r="F68" i="67"/>
  <c r="D70" i="67"/>
  <c r="E70" i="67"/>
  <c r="F70" i="67"/>
  <c r="D71" i="67"/>
  <c r="E71" i="67"/>
  <c r="F71" i="67"/>
  <c r="D72" i="67"/>
  <c r="E72" i="67"/>
  <c r="F72" i="67"/>
  <c r="D76" i="67"/>
  <c r="E76" i="67"/>
  <c r="F76" i="67"/>
  <c r="D80" i="67"/>
  <c r="E80" i="67"/>
  <c r="F80" i="67"/>
  <c r="C82" i="67"/>
  <c r="D82" i="67"/>
  <c r="E82" i="67"/>
  <c r="F82" i="67"/>
  <c r="C83" i="67"/>
  <c r="D83" i="67"/>
  <c r="E83" i="67"/>
  <c r="F83" i="67"/>
  <c r="D89" i="67"/>
  <c r="E89" i="67"/>
  <c r="F89" i="67"/>
  <c r="D95" i="67"/>
  <c r="E95" i="67"/>
  <c r="F95" i="67"/>
  <c r="D96" i="67"/>
  <c r="E96" i="67"/>
  <c r="F96" i="67"/>
  <c r="D98" i="67"/>
  <c r="E98" i="67"/>
  <c r="F98" i="67"/>
  <c r="D99" i="67"/>
  <c r="E99" i="67"/>
  <c r="F99" i="67"/>
  <c r="D100" i="67"/>
  <c r="E100" i="67"/>
  <c r="F100" i="67"/>
  <c r="L82" i="50"/>
  <c r="M82" i="50"/>
  <c r="N82" i="50"/>
  <c r="O82" i="50"/>
  <c r="P82" i="50"/>
  <c r="Q82" i="50"/>
  <c r="R82" i="50"/>
  <c r="AR82" i="50"/>
  <c r="AS82" i="50"/>
  <c r="AT82" i="50"/>
  <c r="AU82" i="50"/>
  <c r="AV82" i="50"/>
  <c r="AW82" i="50"/>
  <c r="AX82" i="50"/>
  <c r="AY82" i="50"/>
  <c r="G19" i="79"/>
  <c r="H19" i="79"/>
  <c r="I19" i="79"/>
  <c r="J19" i="79"/>
  <c r="K19" i="79"/>
  <c r="L19" i="79"/>
  <c r="AD19" i="79"/>
  <c r="AE19" i="79"/>
  <c r="AF19" i="79"/>
  <c r="AG19" i="79"/>
  <c r="G20" i="79"/>
  <c r="H20" i="79"/>
  <c r="I20" i="79"/>
  <c r="J20" i="79"/>
  <c r="K20" i="79"/>
  <c r="L20" i="79"/>
  <c r="AD20" i="79"/>
  <c r="AE20" i="79"/>
  <c r="AF20" i="79"/>
  <c r="AG20" i="79"/>
  <c r="G21" i="79"/>
  <c r="H21" i="79"/>
  <c r="I21" i="79"/>
  <c r="J21" i="79"/>
  <c r="K21" i="79"/>
  <c r="L21" i="79"/>
  <c r="AD21" i="79"/>
  <c r="AE21" i="79"/>
  <c r="AF21" i="79"/>
  <c r="AG21" i="79"/>
  <c r="G22" i="79"/>
  <c r="H22" i="79"/>
  <c r="I22" i="79"/>
  <c r="J22" i="79"/>
  <c r="K22" i="79"/>
  <c r="L22" i="79"/>
  <c r="AD22" i="79"/>
  <c r="AE22" i="79"/>
  <c r="AF22" i="79"/>
  <c r="AG22" i="79"/>
  <c r="G23" i="79"/>
  <c r="H23" i="79"/>
  <c r="I23" i="79"/>
  <c r="J23" i="79"/>
  <c r="K23" i="79"/>
  <c r="L23" i="79"/>
  <c r="AD23" i="79"/>
  <c r="AE23" i="79"/>
  <c r="AF23" i="79"/>
  <c r="AG23" i="79"/>
  <c r="G24" i="79"/>
  <c r="H24" i="79"/>
  <c r="I24" i="79"/>
  <c r="J24" i="79"/>
  <c r="K24" i="79"/>
  <c r="L24" i="79"/>
  <c r="AD24" i="79"/>
  <c r="AE24" i="79"/>
  <c r="AF24" i="79"/>
  <c r="AG24" i="79"/>
  <c r="G25" i="79"/>
  <c r="H25" i="79"/>
  <c r="I25" i="79"/>
  <c r="J25" i="79"/>
  <c r="K25" i="79"/>
  <c r="L25" i="79"/>
  <c r="AD25" i="79"/>
  <c r="AE25" i="79"/>
  <c r="AF25" i="79"/>
  <c r="AG25" i="79"/>
  <c r="G26" i="79"/>
  <c r="H26" i="79"/>
  <c r="I26" i="79"/>
  <c r="J26" i="79"/>
  <c r="K26" i="79"/>
  <c r="L26" i="79"/>
  <c r="AD26" i="79"/>
  <c r="AE26" i="79"/>
  <c r="AF26" i="79"/>
  <c r="AG26" i="79"/>
  <c r="G27" i="79"/>
  <c r="H27" i="79"/>
  <c r="I27" i="79"/>
  <c r="J27" i="79"/>
  <c r="K27" i="79"/>
  <c r="L27" i="79"/>
  <c r="AD27" i="79"/>
  <c r="AE27" i="79"/>
  <c r="AF27" i="79"/>
  <c r="AG27" i="79"/>
  <c r="G28" i="79"/>
  <c r="H28" i="79"/>
  <c r="I28" i="79"/>
  <c r="J28" i="79"/>
  <c r="K28" i="79"/>
  <c r="L28" i="79"/>
  <c r="AD28" i="79"/>
  <c r="AE28" i="79"/>
  <c r="AF28" i="79"/>
  <c r="AG28" i="79"/>
  <c r="G29" i="79"/>
  <c r="H29" i="79"/>
  <c r="I29" i="79"/>
  <c r="J29" i="79"/>
  <c r="K29" i="79"/>
  <c r="L29" i="79"/>
  <c r="AD29" i="79"/>
  <c r="AE29" i="79"/>
  <c r="AF29" i="79"/>
  <c r="AG29" i="79"/>
  <c r="G31" i="79"/>
  <c r="H31" i="79"/>
  <c r="I31" i="79"/>
  <c r="J31" i="79"/>
  <c r="K31" i="79"/>
  <c r="L31" i="79"/>
  <c r="AD31" i="79"/>
  <c r="AE31" i="79"/>
  <c r="AF31" i="79"/>
  <c r="AG31" i="79"/>
  <c r="G32" i="79"/>
  <c r="H32" i="79"/>
  <c r="I32" i="79"/>
  <c r="J32" i="79"/>
  <c r="K32" i="79"/>
  <c r="L32" i="79"/>
  <c r="AD32" i="79"/>
  <c r="AE32" i="79"/>
  <c r="AF32" i="79"/>
  <c r="AG32" i="79"/>
  <c r="G34" i="79"/>
  <c r="H34" i="79"/>
  <c r="I34" i="79"/>
  <c r="J34" i="79"/>
  <c r="K34" i="79"/>
  <c r="L34" i="79"/>
  <c r="AD34" i="79"/>
  <c r="AE34" i="79"/>
  <c r="AF34" i="79"/>
  <c r="AG34" i="79"/>
  <c r="G35" i="79"/>
  <c r="H35" i="79"/>
  <c r="I35" i="79"/>
  <c r="J35" i="79"/>
  <c r="K35" i="79"/>
  <c r="L35" i="79"/>
  <c r="AD35" i="79"/>
  <c r="AE35" i="79"/>
  <c r="AF35" i="79"/>
  <c r="AG35" i="79"/>
  <c r="G36" i="79"/>
  <c r="H36" i="79"/>
  <c r="I36" i="79"/>
  <c r="J36" i="79"/>
  <c r="K36" i="79"/>
  <c r="L36" i="79"/>
  <c r="AD36" i="79"/>
  <c r="AE36" i="79"/>
  <c r="AF36" i="79"/>
  <c r="AG36" i="79"/>
  <c r="G37" i="79"/>
  <c r="H37" i="79"/>
  <c r="I37" i="79"/>
  <c r="J37" i="79"/>
  <c r="K37" i="79"/>
  <c r="L37" i="79"/>
  <c r="AD37" i="79"/>
  <c r="AE37" i="79"/>
  <c r="AF37" i="79"/>
  <c r="AG37" i="79"/>
  <c r="G38" i="79"/>
  <c r="H38" i="79"/>
  <c r="I38" i="79"/>
  <c r="J38" i="79"/>
  <c r="K38" i="79"/>
  <c r="L38" i="79"/>
  <c r="AD38" i="79"/>
  <c r="AE38" i="79"/>
  <c r="AF38" i="79"/>
  <c r="AG38" i="79"/>
  <c r="G56" i="79"/>
  <c r="H56" i="79"/>
  <c r="I56" i="79"/>
  <c r="J56" i="79"/>
  <c r="K56" i="79"/>
  <c r="L56" i="79"/>
  <c r="G57" i="79"/>
  <c r="H57" i="79"/>
  <c r="I57" i="79"/>
  <c r="J57" i="79"/>
  <c r="K57" i="79"/>
  <c r="L57" i="79"/>
  <c r="G58" i="79"/>
  <c r="H58" i="79"/>
  <c r="I58" i="79"/>
  <c r="J58" i="79"/>
  <c r="K58" i="79"/>
  <c r="L58" i="79"/>
  <c r="G59" i="79"/>
  <c r="H59" i="79"/>
  <c r="I59" i="79"/>
  <c r="J59" i="79"/>
  <c r="K59" i="79"/>
  <c r="L59" i="79"/>
  <c r="G60" i="79"/>
  <c r="H60" i="79"/>
  <c r="I60" i="79"/>
  <c r="AD62" i="79"/>
  <c r="AE62" i="79"/>
  <c r="AF62" i="79"/>
  <c r="AG62" i="79"/>
  <c r="AD63" i="79"/>
  <c r="AE63" i="79"/>
  <c r="AF63" i="79"/>
  <c r="AG63" i="79"/>
  <c r="AD64" i="79"/>
  <c r="AE64" i="79"/>
  <c r="AF64" i="79"/>
  <c r="AG64" i="79"/>
  <c r="AD65" i="79"/>
  <c r="AE65" i="79"/>
  <c r="AF65" i="79"/>
  <c r="AG65" i="79"/>
  <c r="AD66" i="79"/>
  <c r="AE66" i="79"/>
  <c r="AF66" i="79"/>
  <c r="AG66" i="79"/>
  <c r="AD67" i="79"/>
  <c r="AE67" i="79"/>
  <c r="AF67" i="79"/>
  <c r="AG67" i="79"/>
  <c r="G69" i="79"/>
  <c r="AD69" i="79"/>
  <c r="G70" i="79"/>
  <c r="AD70" i="79"/>
  <c r="G71" i="79"/>
  <c r="AD71" i="79"/>
  <c r="AD72" i="79"/>
  <c r="AD73" i="79"/>
  <c r="G74" i="79"/>
  <c r="H74" i="79"/>
  <c r="I74" i="79"/>
  <c r="J74" i="79"/>
  <c r="K74" i="79"/>
  <c r="L74" i="79"/>
  <c r="AD74" i="79"/>
  <c r="AE74" i="79"/>
  <c r="AF74" i="79"/>
  <c r="AG74" i="79"/>
  <c r="G75" i="79"/>
  <c r="H75" i="79"/>
  <c r="I75" i="79"/>
  <c r="J75" i="79"/>
  <c r="K75" i="79"/>
  <c r="L75" i="79"/>
  <c r="AD75" i="79"/>
  <c r="AE75" i="79"/>
  <c r="AF75" i="79"/>
  <c r="AG75" i="79"/>
  <c r="G76" i="79"/>
  <c r="H76" i="79"/>
  <c r="I76" i="79"/>
  <c r="J76" i="79"/>
  <c r="K76" i="79"/>
  <c r="L76" i="79"/>
  <c r="G94" i="79"/>
  <c r="H94" i="79"/>
  <c r="I94" i="79"/>
  <c r="J94" i="79"/>
  <c r="K94" i="79"/>
  <c r="G95" i="79"/>
  <c r="H95" i="79"/>
  <c r="I95" i="79"/>
  <c r="J95" i="79"/>
  <c r="K95" i="79"/>
  <c r="G97" i="79"/>
  <c r="H97" i="79"/>
  <c r="I97" i="79"/>
  <c r="J97" i="79"/>
  <c r="K97" i="79"/>
  <c r="G98" i="79"/>
  <c r="H98" i="79"/>
  <c r="I98" i="79"/>
  <c r="J98" i="79"/>
  <c r="K98" i="79"/>
  <c r="G99" i="79"/>
  <c r="H99" i="79"/>
  <c r="I99" i="79"/>
  <c r="J99" i="79"/>
  <c r="K99" i="79"/>
  <c r="L6" i="28"/>
  <c r="BG6" i="28"/>
  <c r="L7" i="28"/>
  <c r="M7" i="28"/>
  <c r="BG7" i="28"/>
  <c r="BK7" i="28"/>
  <c r="L13" i="28"/>
  <c r="BG13" i="28"/>
  <c r="L16" i="28"/>
  <c r="BG16" i="28"/>
  <c r="L19" i="28"/>
  <c r="BG19" i="28"/>
  <c r="L25" i="28"/>
  <c r="BG25" i="28"/>
  <c r="L26" i="28"/>
  <c r="M26" i="28"/>
  <c r="BG26" i="28"/>
  <c r="BK26" i="28"/>
  <c r="BG27" i="28"/>
  <c r="BH27" i="28"/>
  <c r="L30" i="28"/>
  <c r="BG30" i="28"/>
  <c r="BG33" i="28"/>
  <c r="L35" i="28"/>
  <c r="BG35" i="28"/>
  <c r="BG40" i="28"/>
  <c r="L42" i="28"/>
  <c r="BG42" i="28"/>
  <c r="BG48" i="28"/>
  <c r="L51" i="28"/>
  <c r="BG51" i="28"/>
  <c r="L52" i="28"/>
  <c r="BG52" i="28"/>
  <c r="L53" i="28"/>
  <c r="M53" i="28"/>
  <c r="BG53" i="28"/>
  <c r="BK53" i="28"/>
  <c r="L54" i="28"/>
  <c r="BG54" i="28"/>
  <c r="L60" i="28"/>
  <c r="BG60" i="28"/>
  <c r="L61" i="28"/>
  <c r="M61" i="28"/>
  <c r="BG61" i="28"/>
  <c r="BK61" i="28"/>
  <c r="BG62" i="28"/>
  <c r="BH62" i="28"/>
  <c r="L63" i="28"/>
  <c r="BG63" i="28"/>
  <c r="CI64" i="28"/>
  <c r="CI65" i="28"/>
  <c r="CI66" i="28"/>
  <c r="CI67" i="28"/>
  <c r="CI68" i="28"/>
  <c r="S69" i="28"/>
  <c r="CI69" i="28"/>
  <c r="S70" i="28"/>
  <c r="T70" i="28"/>
  <c r="CI70" i="28"/>
  <c r="CJ70" i="28"/>
  <c r="S71" i="28"/>
  <c r="CI71" i="28"/>
  <c r="S72" i="28"/>
  <c r="CI72" i="28"/>
  <c r="S73" i="28"/>
  <c r="T73" i="28"/>
  <c r="L78" i="28"/>
  <c r="BG78" i="28"/>
  <c r="L79" i="28"/>
  <c r="M79" i="28"/>
  <c r="BG79" i="28"/>
  <c r="BK79" i="28"/>
  <c r="L80" i="28"/>
  <c r="BG80" i="28"/>
  <c r="L82" i="28"/>
  <c r="BG82" i="28"/>
  <c r="L84" i="28"/>
  <c r="BG84" i="28"/>
  <c r="L87" i="28"/>
  <c r="BG87" i="28"/>
  <c r="L88" i="28"/>
  <c r="M88" i="28"/>
  <c r="BG88" i="28"/>
  <c r="BK88" i="28"/>
  <c r="L89" i="28"/>
  <c r="BG89" i="28"/>
  <c r="L91" i="28"/>
  <c r="BG91" i="28"/>
  <c r="L92" i="28"/>
  <c r="M92" i="28"/>
  <c r="BG92" i="28"/>
  <c r="BK92" i="28"/>
  <c r="L93" i="28"/>
  <c r="BG93" i="28"/>
  <c r="L94" i="28"/>
  <c r="M94" i="28"/>
  <c r="BG94" i="28"/>
  <c r="BK94" i="28"/>
  <c r="L96" i="28"/>
  <c r="BG96" i="28"/>
  <c r="L119" i="28"/>
  <c r="AE86" i="45"/>
  <c r="AE87" i="45"/>
  <c r="AI87" i="45"/>
  <c r="AE88" i="45"/>
  <c r="AF88" i="45"/>
  <c r="AE100" i="45"/>
  <c r="AE105" i="45"/>
  <c r="AE107" i="45"/>
  <c r="AE109" i="45"/>
  <c r="AE112" i="45"/>
  <c r="AE118" i="45"/>
  <c r="AE120" i="45"/>
  <c r="D1" i="73"/>
  <c r="D6" i="73"/>
  <c r="E6" i="73"/>
  <c r="F6" i="73"/>
  <c r="G6" i="73"/>
  <c r="H6" i="73"/>
  <c r="I6" i="73"/>
  <c r="J6" i="73"/>
  <c r="K6" i="73"/>
  <c r="L6" i="73"/>
  <c r="M6" i="73"/>
  <c r="N6" i="73"/>
  <c r="O6" i="73"/>
  <c r="P6" i="73"/>
  <c r="D7" i="73"/>
  <c r="E7" i="73"/>
  <c r="F7" i="73"/>
  <c r="G7" i="73"/>
  <c r="H7" i="73"/>
  <c r="I7" i="73"/>
  <c r="J7" i="73"/>
  <c r="K7" i="73"/>
  <c r="L7" i="73"/>
  <c r="M7" i="73"/>
  <c r="N7" i="73"/>
  <c r="O7" i="73"/>
  <c r="P7" i="73"/>
  <c r="D9" i="73"/>
  <c r="E9" i="73"/>
  <c r="F9" i="73"/>
  <c r="G9" i="73"/>
  <c r="H9" i="73"/>
  <c r="I9" i="73"/>
  <c r="J9" i="73"/>
  <c r="K9" i="73"/>
  <c r="L9" i="73"/>
  <c r="M9" i="73"/>
  <c r="N9" i="73"/>
  <c r="O9" i="73"/>
  <c r="P9" i="73"/>
  <c r="S9" i="73"/>
  <c r="D10" i="73"/>
  <c r="E10" i="73"/>
  <c r="F10" i="73"/>
  <c r="G10" i="73"/>
  <c r="H10" i="73"/>
  <c r="I10" i="73"/>
  <c r="J10" i="73"/>
  <c r="K10" i="73"/>
  <c r="L10" i="73"/>
  <c r="M10" i="73"/>
  <c r="N10" i="73"/>
  <c r="O10" i="73"/>
  <c r="P10" i="73"/>
  <c r="H19" i="73"/>
  <c r="I19" i="73"/>
  <c r="J19" i="73"/>
  <c r="K19" i="73"/>
  <c r="L19" i="73"/>
  <c r="M19" i="73"/>
  <c r="N19" i="73"/>
  <c r="O19" i="73"/>
  <c r="P19" i="73"/>
  <c r="H20" i="73"/>
  <c r="I20" i="73"/>
  <c r="J20" i="73"/>
  <c r="K20" i="73"/>
  <c r="L20" i="73"/>
  <c r="M20" i="73"/>
  <c r="N20" i="73"/>
  <c r="O20" i="73"/>
  <c r="P20" i="73"/>
  <c r="D21" i="73"/>
  <c r="E21" i="73"/>
  <c r="F21" i="73"/>
  <c r="G21" i="73"/>
  <c r="H21" i="73"/>
  <c r="I21" i="73"/>
  <c r="J21" i="73"/>
  <c r="K21" i="73"/>
  <c r="L21" i="73"/>
  <c r="M21" i="73"/>
  <c r="N21" i="73"/>
  <c r="O21" i="73"/>
  <c r="P21" i="73"/>
  <c r="H22" i="73"/>
  <c r="I22" i="73"/>
  <c r="J22" i="73"/>
  <c r="K22" i="73"/>
  <c r="L22" i="73"/>
  <c r="M22" i="73"/>
  <c r="N22" i="73"/>
  <c r="O22" i="73"/>
  <c r="P22" i="73"/>
  <c r="H23" i="73"/>
  <c r="I23" i="73"/>
  <c r="J23" i="73"/>
  <c r="K23" i="73"/>
  <c r="L23" i="73"/>
  <c r="M23" i="73"/>
  <c r="N23" i="73"/>
  <c r="O23" i="73"/>
  <c r="P23" i="73"/>
  <c r="D24" i="73"/>
  <c r="E24" i="73"/>
  <c r="F24" i="73"/>
  <c r="G24" i="73"/>
  <c r="H24" i="73"/>
  <c r="I24" i="73"/>
  <c r="J24" i="73"/>
  <c r="K24" i="73"/>
  <c r="L24" i="73"/>
  <c r="M24" i="73"/>
  <c r="N24" i="73"/>
  <c r="O24" i="73"/>
  <c r="P24" i="73"/>
  <c r="H25" i="73"/>
  <c r="I25" i="73"/>
  <c r="J25" i="73"/>
  <c r="K25" i="73"/>
  <c r="L25" i="73"/>
  <c r="M25" i="73"/>
  <c r="N25" i="73"/>
  <c r="O25" i="73"/>
  <c r="P25" i="73"/>
  <c r="H26" i="73"/>
  <c r="I26" i="73"/>
  <c r="J26" i="73"/>
  <c r="K26" i="73"/>
  <c r="L26" i="73"/>
  <c r="M26" i="73"/>
  <c r="N26" i="73"/>
  <c r="O26" i="73"/>
  <c r="P26" i="73"/>
  <c r="D27" i="73"/>
  <c r="E27" i="73"/>
  <c r="F27" i="73"/>
  <c r="G27" i="73"/>
  <c r="H27" i="73"/>
  <c r="I27" i="73"/>
  <c r="J27" i="73"/>
  <c r="K27" i="73"/>
  <c r="L27" i="73"/>
  <c r="M27" i="73"/>
  <c r="N27" i="73"/>
  <c r="O27" i="73"/>
  <c r="P27" i="73"/>
  <c r="H29" i="73"/>
  <c r="I29" i="73"/>
  <c r="J29" i="73"/>
  <c r="K29" i="73"/>
  <c r="L29" i="73"/>
  <c r="M29" i="73"/>
  <c r="N29" i="73"/>
  <c r="O29" i="73"/>
  <c r="P29" i="73"/>
  <c r="H30" i="73"/>
  <c r="I30" i="73"/>
  <c r="J30" i="73"/>
  <c r="K30" i="73"/>
  <c r="L30" i="73"/>
  <c r="M30" i="73"/>
  <c r="N30" i="73"/>
  <c r="O30" i="73"/>
  <c r="P30" i="73"/>
  <c r="D31" i="73"/>
  <c r="E31" i="73"/>
  <c r="F31" i="73"/>
  <c r="G31" i="73"/>
  <c r="H31" i="73"/>
  <c r="I31" i="73"/>
  <c r="J31" i="73"/>
  <c r="K31" i="73"/>
  <c r="L31" i="73"/>
  <c r="M31" i="73"/>
  <c r="N31" i="73"/>
  <c r="O31" i="73"/>
  <c r="P31" i="73"/>
  <c r="H32" i="73"/>
  <c r="I32" i="73"/>
  <c r="J32" i="73"/>
  <c r="K32" i="73"/>
  <c r="L32" i="73"/>
  <c r="M32" i="73"/>
  <c r="N32" i="73"/>
  <c r="O32" i="73"/>
  <c r="P32" i="73"/>
  <c r="H33" i="73"/>
  <c r="I33" i="73"/>
  <c r="J33" i="73"/>
  <c r="K33" i="73"/>
  <c r="L33" i="73"/>
  <c r="M33" i="73"/>
  <c r="N33" i="73"/>
  <c r="O33" i="73"/>
  <c r="P33" i="73"/>
  <c r="D34" i="73"/>
  <c r="E34" i="73"/>
  <c r="F34" i="73"/>
  <c r="G34" i="73"/>
  <c r="H34" i="73"/>
  <c r="I34" i="73"/>
  <c r="J34" i="73"/>
  <c r="K34" i="73"/>
  <c r="L34" i="73"/>
  <c r="M34" i="73"/>
  <c r="N34" i="73"/>
  <c r="O34" i="73"/>
  <c r="P34" i="73"/>
  <c r="H36" i="73"/>
  <c r="I36" i="73"/>
  <c r="J36" i="73"/>
  <c r="K36" i="73"/>
  <c r="L36" i="73"/>
  <c r="M36" i="73"/>
  <c r="N36" i="73"/>
  <c r="O36" i="73"/>
  <c r="P36" i="73"/>
  <c r="H37" i="73"/>
  <c r="I37" i="73"/>
  <c r="J37" i="73"/>
  <c r="K37" i="73"/>
  <c r="L37" i="73"/>
  <c r="M37" i="73"/>
  <c r="N37" i="73"/>
  <c r="O37" i="73"/>
  <c r="P37" i="73"/>
  <c r="D38" i="73"/>
  <c r="E38" i="73"/>
  <c r="F38" i="73"/>
  <c r="G38" i="73"/>
  <c r="H38" i="73"/>
  <c r="I38" i="73"/>
  <c r="J38" i="73"/>
  <c r="K38" i="73"/>
  <c r="L38" i="73"/>
  <c r="M38" i="73"/>
  <c r="N38" i="73"/>
  <c r="O38" i="73"/>
  <c r="P38" i="73"/>
  <c r="D39" i="73"/>
  <c r="E39" i="73"/>
  <c r="F39" i="73"/>
  <c r="G39" i="73"/>
  <c r="H39" i="73"/>
  <c r="I39" i="73"/>
  <c r="J39" i="73"/>
  <c r="K39" i="73"/>
  <c r="L39" i="73"/>
  <c r="M39" i="73"/>
  <c r="N39" i="73"/>
  <c r="O39" i="73"/>
  <c r="P39" i="73"/>
  <c r="S39" i="73"/>
  <c r="D40" i="73"/>
  <c r="E40" i="73"/>
  <c r="F40" i="73"/>
  <c r="G40" i="73"/>
  <c r="H40" i="73"/>
  <c r="I40" i="73"/>
  <c r="J40" i="73"/>
  <c r="K40" i="73"/>
  <c r="L40" i="73"/>
  <c r="M40" i="73"/>
  <c r="N40" i="73"/>
  <c r="O40" i="73"/>
  <c r="P40" i="73"/>
  <c r="D41" i="73"/>
  <c r="E41" i="73"/>
  <c r="F41" i="73"/>
  <c r="G41" i="73"/>
  <c r="H41" i="73"/>
  <c r="I41" i="73"/>
  <c r="J41" i="73"/>
  <c r="K41" i="73"/>
  <c r="L41" i="73"/>
  <c r="M41" i="73"/>
  <c r="N41" i="73"/>
  <c r="O41" i="73"/>
  <c r="P41" i="73"/>
  <c r="H44" i="73"/>
  <c r="I44" i="73"/>
  <c r="J44" i="73"/>
  <c r="K44" i="73"/>
  <c r="L44" i="73"/>
  <c r="M44" i="73"/>
  <c r="N44" i="73"/>
  <c r="O44" i="73"/>
  <c r="P44" i="73"/>
  <c r="H45" i="73"/>
  <c r="I45" i="73"/>
  <c r="J45" i="73"/>
  <c r="K45" i="73"/>
  <c r="L45" i="73"/>
  <c r="M45" i="73"/>
  <c r="N45" i="73"/>
  <c r="O45" i="73"/>
  <c r="P45" i="73"/>
  <c r="D46" i="73"/>
  <c r="E46" i="73"/>
  <c r="F46" i="73"/>
  <c r="G46" i="73"/>
  <c r="H46" i="73"/>
  <c r="I46" i="73"/>
  <c r="J46" i="73"/>
  <c r="K46" i="73"/>
  <c r="L46" i="73"/>
  <c r="M46" i="73"/>
  <c r="N46" i="73"/>
  <c r="O46" i="73"/>
  <c r="P46" i="73"/>
  <c r="D47" i="73"/>
  <c r="E47" i="73"/>
  <c r="F47" i="73"/>
  <c r="G47" i="73"/>
  <c r="H47" i="73"/>
  <c r="I47" i="73"/>
  <c r="J47" i="73"/>
  <c r="K47" i="73"/>
  <c r="L47" i="73"/>
  <c r="M47" i="73"/>
  <c r="N47" i="73"/>
  <c r="O47" i="73"/>
  <c r="P47" i="73"/>
  <c r="S47" i="73"/>
  <c r="D48" i="73"/>
  <c r="E48" i="73"/>
  <c r="F48" i="73"/>
  <c r="G48" i="73"/>
  <c r="H48" i="73"/>
  <c r="I48" i="73"/>
  <c r="J48" i="73"/>
  <c r="K48" i="73"/>
  <c r="L48" i="73"/>
  <c r="M48" i="73"/>
  <c r="N48" i="73"/>
  <c r="O48" i="73"/>
  <c r="P48" i="73"/>
  <c r="D49" i="73"/>
  <c r="E49" i="73"/>
  <c r="F49" i="73"/>
  <c r="G49" i="73"/>
  <c r="H49" i="73"/>
  <c r="I49" i="73"/>
  <c r="J49" i="73"/>
  <c r="K49" i="73"/>
  <c r="L49" i="73"/>
  <c r="M49" i="73"/>
  <c r="N49" i="73"/>
  <c r="O49" i="73"/>
  <c r="P49" i="73"/>
  <c r="N53" i="73"/>
  <c r="O53" i="73"/>
  <c r="P53" i="73"/>
  <c r="D54" i="73"/>
  <c r="E54" i="73"/>
  <c r="F54" i="73"/>
  <c r="G54" i="73"/>
  <c r="H54" i="73"/>
  <c r="I54" i="73"/>
  <c r="J54" i="73"/>
  <c r="K54" i="73"/>
  <c r="L54" i="73"/>
  <c r="M54" i="73"/>
  <c r="N54" i="73"/>
  <c r="O54" i="73"/>
  <c r="P54" i="73"/>
  <c r="S54" i="73"/>
  <c r="J55" i="73"/>
  <c r="K55" i="73"/>
  <c r="L55" i="73"/>
  <c r="M55" i="73"/>
  <c r="N55" i="73"/>
  <c r="O55" i="73"/>
  <c r="P55" i="73"/>
  <c r="E56" i="73"/>
  <c r="F56" i="73"/>
  <c r="G56" i="73"/>
  <c r="H56" i="73"/>
  <c r="I56" i="73"/>
  <c r="J56" i="73"/>
  <c r="K56" i="73"/>
  <c r="L56" i="73"/>
  <c r="M56" i="73"/>
  <c r="N56" i="73"/>
  <c r="O56" i="73"/>
  <c r="P56" i="73"/>
  <c r="D57" i="73"/>
  <c r="E57" i="73"/>
  <c r="F57" i="73"/>
  <c r="G57" i="73"/>
  <c r="H57" i="73"/>
  <c r="I57" i="73"/>
  <c r="J57" i="73"/>
  <c r="K57" i="73"/>
  <c r="L57" i="73"/>
  <c r="M57" i="73"/>
  <c r="N57" i="73"/>
  <c r="O57" i="73"/>
  <c r="P57" i="73"/>
  <c r="D58" i="73"/>
  <c r="E58" i="73"/>
  <c r="F58" i="73"/>
  <c r="G58" i="73"/>
  <c r="H58" i="73"/>
  <c r="I58" i="73"/>
  <c r="J58" i="73"/>
  <c r="K58" i="73"/>
  <c r="L58" i="73"/>
  <c r="M58" i="73"/>
  <c r="N58" i="73"/>
  <c r="O58" i="73"/>
  <c r="P58" i="73"/>
  <c r="D61" i="73"/>
  <c r="E61" i="73"/>
  <c r="F61" i="73"/>
  <c r="G61" i="73"/>
  <c r="H61" i="73"/>
  <c r="I61" i="73"/>
  <c r="J61" i="73"/>
  <c r="K61" i="73"/>
  <c r="L61" i="73"/>
  <c r="M61" i="73"/>
  <c r="N61" i="73"/>
  <c r="O61" i="73"/>
  <c r="P61" i="73"/>
  <c r="D62" i="73"/>
  <c r="E62" i="73"/>
  <c r="F62" i="73"/>
  <c r="G62" i="73"/>
  <c r="H62" i="73"/>
  <c r="I62" i="73"/>
  <c r="J62" i="73"/>
  <c r="K62" i="73"/>
  <c r="L62" i="73"/>
  <c r="M62" i="73"/>
  <c r="N62" i="73"/>
  <c r="O62" i="73"/>
  <c r="P62" i="73"/>
  <c r="D63" i="73"/>
  <c r="E63" i="73"/>
  <c r="F63" i="73"/>
  <c r="G63" i="73"/>
  <c r="H63" i="73"/>
  <c r="I63" i="73"/>
  <c r="J63" i="73"/>
  <c r="K63" i="73"/>
  <c r="L63" i="73"/>
  <c r="M63" i="73"/>
  <c r="N63" i="73"/>
  <c r="O63" i="73"/>
  <c r="P63" i="73"/>
  <c r="T63" i="73"/>
  <c r="E64" i="73"/>
  <c r="F64" i="73"/>
  <c r="G64" i="73"/>
  <c r="H64" i="73"/>
  <c r="I64" i="73"/>
  <c r="J64" i="73"/>
  <c r="K64" i="73"/>
  <c r="L64" i="73"/>
  <c r="M64" i="73"/>
  <c r="N64" i="73"/>
  <c r="O64" i="73"/>
  <c r="P64" i="73"/>
  <c r="T64" i="73"/>
  <c r="E65" i="73"/>
  <c r="F65" i="73"/>
  <c r="G65" i="73"/>
  <c r="H65" i="73"/>
  <c r="I65" i="73"/>
  <c r="J65" i="73"/>
  <c r="K65" i="73"/>
  <c r="L65" i="73"/>
  <c r="M65" i="73"/>
  <c r="N65" i="73"/>
  <c r="O65" i="73"/>
  <c r="P65" i="73"/>
  <c r="T65" i="73"/>
  <c r="D68" i="73"/>
  <c r="E68" i="73"/>
  <c r="F68" i="73"/>
  <c r="G68" i="73"/>
  <c r="H68" i="73"/>
  <c r="I68" i="73"/>
  <c r="J68" i="73"/>
  <c r="K68" i="73"/>
  <c r="L68" i="73"/>
  <c r="M68" i="73"/>
  <c r="N68" i="73"/>
  <c r="O68" i="73"/>
  <c r="P68" i="73"/>
  <c r="D69" i="73"/>
  <c r="E69" i="73"/>
  <c r="F69" i="73"/>
  <c r="G69" i="73"/>
  <c r="H69" i="73"/>
  <c r="I69" i="73"/>
  <c r="J69" i="73"/>
  <c r="K69" i="73"/>
  <c r="L69" i="73"/>
  <c r="M69" i="73"/>
  <c r="N69" i="73"/>
  <c r="O69" i="73"/>
  <c r="P69" i="73"/>
  <c r="D76" i="73"/>
  <c r="E76" i="73"/>
  <c r="F76" i="73"/>
  <c r="G76" i="73"/>
  <c r="H76" i="73"/>
  <c r="I76" i="73"/>
  <c r="J76" i="73"/>
  <c r="K76" i="73"/>
  <c r="L76" i="73"/>
  <c r="M76" i="73"/>
  <c r="N76" i="73"/>
  <c r="O76" i="73"/>
  <c r="P76" i="73"/>
  <c r="S76" i="73"/>
  <c r="D78" i="73"/>
  <c r="E78" i="73"/>
  <c r="F78" i="73"/>
  <c r="G78" i="73"/>
  <c r="H78" i="73"/>
  <c r="I78" i="73"/>
  <c r="J78" i="73"/>
  <c r="K78" i="73"/>
  <c r="L78" i="73"/>
  <c r="M78" i="73"/>
  <c r="N78" i="73"/>
  <c r="O78" i="73"/>
  <c r="P78" i="73"/>
  <c r="N79" i="73"/>
  <c r="O79" i="73"/>
  <c r="P79" i="73"/>
  <c r="D80" i="73"/>
  <c r="E80" i="73"/>
  <c r="F80" i="73"/>
  <c r="G80" i="73"/>
  <c r="H80" i="73"/>
  <c r="I80" i="73"/>
  <c r="E81" i="73"/>
  <c r="F81" i="73"/>
  <c r="G81" i="73"/>
  <c r="H81" i="73"/>
  <c r="I81" i="73"/>
  <c r="J81" i="73"/>
  <c r="K81" i="73"/>
  <c r="L81" i="73"/>
  <c r="M81" i="73"/>
  <c r="N81" i="73"/>
  <c r="O81" i="73"/>
  <c r="P81" i="73"/>
  <c r="E82" i="73"/>
  <c r="F82" i="73"/>
  <c r="G82" i="73"/>
  <c r="H82" i="73"/>
  <c r="I82" i="73"/>
  <c r="J82" i="73"/>
  <c r="K82" i="73"/>
  <c r="L82" i="73"/>
  <c r="M82" i="73"/>
  <c r="N82" i="73"/>
  <c r="O82" i="73"/>
  <c r="P82" i="73"/>
  <c r="D86" i="73"/>
  <c r="E86" i="73"/>
  <c r="F86" i="73"/>
  <c r="G86" i="73"/>
  <c r="H86" i="73"/>
  <c r="I86" i="73"/>
  <c r="J86" i="73"/>
  <c r="K86" i="73"/>
  <c r="L86" i="73"/>
  <c r="M86" i="73"/>
  <c r="N86" i="73"/>
  <c r="O86" i="73"/>
  <c r="P86" i="73"/>
  <c r="E87" i="73"/>
  <c r="F87" i="73"/>
  <c r="G87" i="73"/>
  <c r="H87" i="73"/>
  <c r="I87" i="73"/>
  <c r="J87" i="73"/>
  <c r="K87" i="73"/>
  <c r="L87" i="73"/>
  <c r="M87" i="73"/>
  <c r="N87" i="73"/>
  <c r="O87" i="73"/>
  <c r="P87" i="73"/>
  <c r="D88" i="73"/>
  <c r="E88" i="73"/>
  <c r="F88" i="73"/>
  <c r="G88" i="73"/>
  <c r="H88" i="73"/>
  <c r="I88" i="73"/>
  <c r="J88" i="73"/>
  <c r="K88" i="73"/>
  <c r="L88" i="73"/>
  <c r="M88" i="73"/>
  <c r="N88" i="73"/>
  <c r="O88" i="73"/>
  <c r="P88" i="73"/>
  <c r="C90" i="73"/>
  <c r="D90" i="73"/>
  <c r="E90" i="73"/>
  <c r="F90" i="73"/>
  <c r="M90" i="73"/>
  <c r="N90" i="73"/>
  <c r="O90" i="73"/>
  <c r="P90" i="73"/>
  <c r="C93" i="73"/>
  <c r="D93" i="73"/>
  <c r="E93" i="73"/>
  <c r="F93" i="73"/>
  <c r="M93" i="73"/>
  <c r="N93" i="73"/>
  <c r="O93" i="73"/>
  <c r="P93" i="73"/>
  <c r="D94" i="73"/>
  <c r="E94" i="73"/>
  <c r="F94" i="73"/>
  <c r="G94" i="73"/>
  <c r="M94" i="73"/>
  <c r="N94" i="73"/>
  <c r="O94" i="73"/>
  <c r="P94" i="73"/>
  <c r="D95" i="73"/>
  <c r="E95" i="73"/>
  <c r="F95" i="73"/>
  <c r="G95" i="73"/>
  <c r="H95" i="73"/>
  <c r="I95" i="73"/>
  <c r="J95" i="73"/>
  <c r="K95" i="73"/>
  <c r="L95" i="73"/>
  <c r="M95" i="73"/>
  <c r="N95" i="73"/>
  <c r="O95" i="73"/>
  <c r="P95" i="73"/>
  <c r="D96" i="73"/>
  <c r="E96" i="73"/>
  <c r="F96" i="73"/>
  <c r="G96" i="73"/>
  <c r="H96" i="73"/>
  <c r="I96" i="73"/>
  <c r="J96" i="73"/>
  <c r="K96" i="73"/>
  <c r="L96" i="73"/>
  <c r="M96" i="73"/>
  <c r="N96" i="73"/>
  <c r="O96" i="73"/>
  <c r="P96" i="73"/>
  <c r="D97" i="73"/>
  <c r="E97" i="73"/>
  <c r="F97" i="73"/>
  <c r="G97" i="73"/>
  <c r="H97" i="73"/>
  <c r="I97" i="73"/>
  <c r="J97" i="73"/>
  <c r="K97" i="73"/>
  <c r="L97" i="73"/>
  <c r="M97" i="73"/>
  <c r="N97" i="73"/>
  <c r="O97" i="73"/>
  <c r="P97" i="73"/>
  <c r="E98" i="73"/>
  <c r="F98" i="73"/>
  <c r="G98" i="73"/>
  <c r="H98" i="73"/>
  <c r="I98" i="73"/>
  <c r="J98" i="73"/>
  <c r="K98" i="73"/>
  <c r="L98" i="73"/>
  <c r="M98" i="73"/>
  <c r="N98" i="73"/>
  <c r="O98" i="73"/>
  <c r="P98" i="73"/>
  <c r="D99" i="73"/>
  <c r="E99" i="73"/>
  <c r="F99" i="73"/>
  <c r="G99" i="73"/>
  <c r="H99" i="73"/>
  <c r="I99" i="73"/>
  <c r="J99" i="73"/>
  <c r="K99" i="73"/>
  <c r="L99" i="73"/>
  <c r="M99" i="73"/>
  <c r="N99" i="73"/>
  <c r="O99" i="73"/>
  <c r="P99" i="73"/>
  <c r="D100" i="73"/>
  <c r="E100" i="73"/>
  <c r="F100" i="73"/>
  <c r="G100" i="73"/>
  <c r="H100" i="73"/>
  <c r="I100" i="73"/>
  <c r="J100" i="73"/>
  <c r="K100" i="73"/>
  <c r="L100" i="73"/>
  <c r="M100" i="73"/>
  <c r="N100" i="73"/>
  <c r="O100" i="73"/>
  <c r="P100" i="73"/>
  <c r="I101" i="73"/>
  <c r="J101" i="73"/>
  <c r="K101" i="73"/>
  <c r="L101" i="73"/>
  <c r="M101" i="73"/>
  <c r="N101" i="73"/>
  <c r="O101" i="73"/>
  <c r="P101" i="73"/>
  <c r="E103" i="73"/>
  <c r="F103" i="73"/>
  <c r="G103" i="73"/>
  <c r="H103" i="73"/>
  <c r="I103" i="73"/>
  <c r="D104" i="73"/>
  <c r="E104" i="73"/>
  <c r="F104" i="73"/>
  <c r="G104" i="73"/>
  <c r="H104" i="73"/>
  <c r="I104" i="73"/>
  <c r="D105" i="73"/>
  <c r="E105" i="73"/>
  <c r="F105" i="73"/>
  <c r="G105" i="73"/>
  <c r="H105" i="73"/>
  <c r="I105" i="73"/>
  <c r="D109" i="73"/>
  <c r="E109" i="73"/>
  <c r="F109" i="73"/>
  <c r="G109" i="73"/>
  <c r="H109" i="73"/>
  <c r="I109" i="73"/>
  <c r="J109" i="73"/>
  <c r="K109" i="73"/>
  <c r="L109" i="73"/>
  <c r="M109" i="73"/>
  <c r="N109" i="73"/>
  <c r="O109" i="73"/>
  <c r="P109" i="73"/>
  <c r="E110" i="73"/>
  <c r="F110" i="73"/>
  <c r="G110" i="73"/>
  <c r="H110" i="73"/>
  <c r="I110" i="73"/>
  <c r="J110" i="73"/>
  <c r="K110" i="73"/>
  <c r="L110" i="73"/>
  <c r="M110" i="73"/>
  <c r="N110" i="73"/>
  <c r="O110" i="73"/>
  <c r="P110" i="73"/>
  <c r="D115" i="73"/>
  <c r="E115" i="73"/>
  <c r="F115" i="73"/>
  <c r="G115" i="73"/>
  <c r="H115" i="73"/>
  <c r="I115" i="73"/>
  <c r="J115" i="73"/>
  <c r="K115" i="73"/>
  <c r="L115" i="73"/>
  <c r="M115" i="73"/>
  <c r="N115" i="73"/>
  <c r="O115" i="73"/>
  <c r="P115" i="73"/>
  <c r="D117" i="73"/>
  <c r="E117" i="73"/>
  <c r="F117" i="73"/>
  <c r="G117" i="73"/>
  <c r="H117" i="73"/>
  <c r="I117" i="73"/>
  <c r="J117" i="73"/>
  <c r="K117" i="73"/>
  <c r="L117" i="73"/>
  <c r="M117" i="73"/>
  <c r="N117" i="73"/>
  <c r="O117" i="73"/>
  <c r="P117" i="73"/>
  <c r="N118" i="73"/>
  <c r="O118" i="73"/>
  <c r="P118" i="73"/>
  <c r="D119" i="73"/>
  <c r="E119" i="73"/>
  <c r="F119" i="73"/>
  <c r="G119" i="73"/>
  <c r="H119" i="73"/>
  <c r="I119" i="73"/>
  <c r="J119" i="73"/>
  <c r="K119" i="73"/>
  <c r="L119" i="73"/>
  <c r="M119" i="73"/>
  <c r="N119" i="73"/>
  <c r="O119" i="73"/>
  <c r="P119" i="73"/>
  <c r="D122" i="73"/>
  <c r="E122" i="73"/>
  <c r="F122" i="73"/>
  <c r="G122" i="73"/>
  <c r="H122" i="73"/>
  <c r="I122" i="73"/>
  <c r="D123" i="73"/>
  <c r="E123" i="73"/>
  <c r="F123" i="73"/>
  <c r="G123" i="73"/>
  <c r="H123" i="73"/>
  <c r="I123" i="73"/>
  <c r="J123" i="73"/>
  <c r="K123" i="73"/>
  <c r="L123" i="73"/>
  <c r="M123" i="73"/>
  <c r="N123" i="73"/>
  <c r="O123" i="73"/>
  <c r="P123" i="73"/>
  <c r="H126" i="73"/>
  <c r="I126" i="73"/>
  <c r="J126" i="73"/>
  <c r="K126" i="73"/>
  <c r="L126" i="73"/>
  <c r="M126" i="73"/>
  <c r="N126" i="73"/>
  <c r="O126" i="73"/>
  <c r="P126" i="73"/>
  <c r="H129" i="73"/>
  <c r="I129" i="73"/>
  <c r="J129" i="73"/>
  <c r="K129" i="73"/>
  <c r="L129" i="73"/>
  <c r="M129" i="73"/>
  <c r="N129" i="73"/>
  <c r="O129" i="73"/>
  <c r="P129" i="73"/>
  <c r="J131" i="73"/>
  <c r="K131" i="73"/>
  <c r="L131" i="73"/>
  <c r="M131" i="73"/>
  <c r="N131" i="73"/>
  <c r="O131" i="73"/>
  <c r="P131" i="73"/>
  <c r="H138" i="73"/>
  <c r="I138" i="73"/>
  <c r="J138" i="73"/>
  <c r="K138" i="73"/>
  <c r="L138" i="73"/>
  <c r="M138" i="73"/>
  <c r="N138" i="73"/>
  <c r="O138" i="73"/>
  <c r="P138" i="73"/>
  <c r="E142" i="73"/>
  <c r="F142" i="73"/>
  <c r="G142" i="73"/>
  <c r="H142" i="73"/>
  <c r="I142" i="73"/>
  <c r="J142" i="73"/>
  <c r="K142" i="73"/>
  <c r="L142" i="73"/>
  <c r="M142" i="73"/>
  <c r="N142" i="73"/>
  <c r="O142" i="73"/>
  <c r="P142" i="73"/>
  <c r="D144" i="73"/>
  <c r="E144" i="73"/>
  <c r="F144" i="73"/>
  <c r="G144" i="73"/>
  <c r="H144" i="73"/>
  <c r="I144" i="73"/>
  <c r="J144" i="73"/>
  <c r="K144" i="73"/>
  <c r="L144" i="73"/>
  <c r="M144" i="73"/>
  <c r="N144" i="73"/>
  <c r="O144" i="73"/>
  <c r="P144" i="73"/>
  <c r="D145" i="73"/>
  <c r="E145" i="73"/>
  <c r="F145" i="73"/>
  <c r="G145" i="73"/>
  <c r="H145" i="73"/>
  <c r="I145" i="73"/>
  <c r="J145" i="73"/>
  <c r="K145" i="73"/>
  <c r="L145" i="73"/>
  <c r="M145" i="73"/>
  <c r="N145" i="73"/>
  <c r="O145" i="73"/>
  <c r="P145" i="73"/>
  <c r="D147" i="73"/>
  <c r="E147" i="73"/>
  <c r="F147" i="73"/>
  <c r="G147" i="73"/>
  <c r="H147" i="73"/>
  <c r="I147" i="73"/>
  <c r="J147" i="73"/>
  <c r="K147" i="73"/>
  <c r="L147" i="73"/>
  <c r="M147" i="73"/>
  <c r="N147" i="73"/>
  <c r="O147" i="73"/>
  <c r="P147" i="73"/>
  <c r="D149" i="73"/>
  <c r="E149" i="73"/>
  <c r="F149" i="73"/>
  <c r="G149" i="73"/>
  <c r="H149" i="73"/>
  <c r="I149" i="73"/>
  <c r="J149" i="73"/>
  <c r="K149" i="73"/>
  <c r="L149" i="73"/>
  <c r="M149" i="73"/>
  <c r="N149" i="73"/>
  <c r="O149" i="73"/>
  <c r="P149" i="73"/>
  <c r="J151" i="73"/>
  <c r="K151" i="73"/>
  <c r="L151" i="73"/>
  <c r="M151" i="73"/>
  <c r="N151" i="73"/>
  <c r="O151" i="73"/>
  <c r="P151" i="73"/>
  <c r="D152" i="73"/>
  <c r="E152" i="73"/>
  <c r="F152" i="73"/>
  <c r="G152" i="73"/>
  <c r="H152" i="73"/>
  <c r="I152" i="73"/>
  <c r="J152" i="73"/>
  <c r="K152" i="73"/>
  <c r="L152" i="73"/>
  <c r="M152" i="73"/>
  <c r="N152" i="73"/>
  <c r="O152" i="73"/>
  <c r="P152" i="73"/>
  <c r="D154" i="73"/>
  <c r="E154" i="73"/>
  <c r="F154" i="73"/>
  <c r="G154" i="73"/>
  <c r="H154" i="73"/>
  <c r="I154" i="73"/>
  <c r="J154" i="73"/>
  <c r="K154" i="73"/>
  <c r="L154" i="73"/>
  <c r="M154" i="73"/>
  <c r="N154" i="73"/>
  <c r="O154" i="73"/>
  <c r="P154" i="73"/>
  <c r="D158" i="73"/>
  <c r="E158" i="73"/>
  <c r="F158" i="73"/>
  <c r="G158" i="73"/>
  <c r="H158" i="73"/>
  <c r="I158" i="73"/>
  <c r="J158" i="73"/>
  <c r="K158" i="73"/>
  <c r="L158" i="73"/>
  <c r="M158" i="73"/>
  <c r="N158" i="73"/>
  <c r="O158" i="73"/>
  <c r="P158" i="73"/>
  <c r="N159" i="73"/>
  <c r="O159" i="73"/>
  <c r="P159" i="73"/>
  <c r="D160" i="73"/>
  <c r="E160" i="73"/>
  <c r="F160" i="73"/>
  <c r="G160" i="73"/>
  <c r="H160" i="73"/>
  <c r="I160" i="73"/>
  <c r="J160" i="73"/>
  <c r="K160" i="73"/>
  <c r="L160" i="73"/>
  <c r="M160" i="73"/>
  <c r="N160" i="73"/>
  <c r="O160" i="73"/>
  <c r="P160" i="73"/>
  <c r="E161" i="73"/>
  <c r="F161" i="73"/>
  <c r="G161" i="73"/>
  <c r="H161" i="73"/>
  <c r="I161" i="73"/>
  <c r="J161" i="73"/>
  <c r="K161" i="73"/>
  <c r="L161" i="73"/>
  <c r="M161" i="73"/>
  <c r="N161" i="73"/>
  <c r="O161" i="73"/>
  <c r="P161" i="73"/>
  <c r="D163" i="73"/>
  <c r="E163" i="73"/>
  <c r="F163" i="73"/>
  <c r="G163" i="73"/>
  <c r="H163" i="73"/>
  <c r="I163" i="73"/>
  <c r="J163" i="73"/>
  <c r="K163" i="73"/>
  <c r="L163" i="73"/>
  <c r="M163" i="73"/>
  <c r="N163" i="73"/>
  <c r="O163" i="73"/>
  <c r="P163" i="73"/>
  <c r="D165" i="73"/>
  <c r="E165" i="73"/>
  <c r="F165" i="73"/>
  <c r="M165" i="73"/>
  <c r="N165" i="73"/>
  <c r="O165" i="73"/>
  <c r="P165" i="73"/>
  <c r="D167" i="73"/>
  <c r="E167" i="73"/>
  <c r="F167" i="73"/>
  <c r="M167" i="73"/>
  <c r="N167" i="73"/>
  <c r="O167" i="73"/>
  <c r="P167" i="73"/>
  <c r="J169" i="73"/>
  <c r="K169" i="73"/>
  <c r="L169" i="73"/>
  <c r="M169" i="73"/>
  <c r="N169" i="73"/>
  <c r="O169" i="73"/>
  <c r="P169" i="73"/>
  <c r="E171" i="73"/>
  <c r="F171" i="73"/>
  <c r="G171" i="73"/>
  <c r="H171" i="73"/>
  <c r="I171" i="73"/>
  <c r="J171" i="73"/>
  <c r="K171" i="73"/>
  <c r="L171" i="73"/>
  <c r="M171" i="73"/>
  <c r="N171" i="73"/>
  <c r="O171" i="73"/>
  <c r="P171" i="73"/>
  <c r="E173" i="73"/>
  <c r="F173" i="73"/>
  <c r="G173" i="73"/>
  <c r="H173" i="73"/>
  <c r="I173" i="73"/>
  <c r="J173" i="73"/>
  <c r="K173" i="73"/>
  <c r="L173" i="73"/>
  <c r="M173" i="73"/>
  <c r="N173" i="73"/>
  <c r="O173" i="73"/>
  <c r="P173" i="73"/>
  <c r="D175" i="73"/>
  <c r="E175" i="73"/>
  <c r="F175" i="73"/>
  <c r="G175" i="73"/>
  <c r="H175" i="73"/>
  <c r="I175" i="73"/>
  <c r="J175" i="73"/>
  <c r="K175" i="73"/>
  <c r="L175" i="73"/>
  <c r="M175" i="73"/>
  <c r="N175" i="73"/>
  <c r="O175" i="73"/>
  <c r="P175" i="73"/>
  <c r="E176" i="73"/>
  <c r="F176" i="73"/>
  <c r="G176" i="73"/>
  <c r="H176" i="73"/>
  <c r="I176" i="73"/>
  <c r="J176" i="73"/>
  <c r="K176" i="73"/>
  <c r="L176" i="73"/>
  <c r="M176" i="73"/>
  <c r="N176" i="73"/>
  <c r="O176" i="73"/>
  <c r="P176" i="73"/>
  <c r="D177" i="73"/>
  <c r="E177" i="73"/>
  <c r="F177" i="73"/>
  <c r="G177" i="73"/>
  <c r="H177" i="73"/>
  <c r="I177" i="73"/>
  <c r="J177" i="73"/>
  <c r="K177" i="73"/>
  <c r="L177" i="73"/>
  <c r="M177" i="73"/>
  <c r="N177" i="73"/>
  <c r="O177" i="73"/>
  <c r="P177" i="73"/>
  <c r="N179" i="73"/>
  <c r="O179" i="73"/>
  <c r="P179" i="73"/>
  <c r="N181" i="73"/>
  <c r="O181" i="73"/>
  <c r="P181" i="73"/>
  <c r="E185" i="73"/>
  <c r="F185" i="73"/>
  <c r="G185" i="73"/>
  <c r="H185" i="73"/>
  <c r="I185" i="73"/>
  <c r="J185" i="73"/>
  <c r="K185" i="73"/>
  <c r="L185" i="73"/>
  <c r="M185" i="73"/>
  <c r="N185" i="73"/>
  <c r="O185" i="73"/>
  <c r="P185" i="73"/>
  <c r="E188" i="73"/>
  <c r="F188" i="73"/>
  <c r="G188" i="73"/>
  <c r="H188" i="73"/>
  <c r="I188" i="73"/>
  <c r="J188" i="73"/>
  <c r="K188" i="73"/>
  <c r="L188" i="73"/>
  <c r="M188" i="73"/>
  <c r="N188" i="73"/>
  <c r="O188" i="73"/>
  <c r="P188" i="73"/>
  <c r="E190" i="73"/>
  <c r="F190" i="73"/>
  <c r="G190" i="73"/>
  <c r="H190" i="73"/>
  <c r="I190" i="73"/>
  <c r="J190" i="73"/>
  <c r="K190" i="73"/>
  <c r="L190" i="73"/>
  <c r="M190" i="73"/>
  <c r="N190" i="73"/>
  <c r="O190" i="73"/>
  <c r="P190" i="73"/>
  <c r="J191" i="73"/>
  <c r="K191" i="73"/>
  <c r="L191" i="73"/>
  <c r="M191" i="73"/>
  <c r="N191" i="73"/>
  <c r="O191" i="73"/>
  <c r="P191" i="73"/>
  <c r="E192" i="73"/>
  <c r="F192" i="73"/>
  <c r="G192" i="73"/>
  <c r="H192" i="73"/>
  <c r="I192" i="73"/>
  <c r="J192" i="73"/>
  <c r="K192" i="73"/>
  <c r="L192" i="73"/>
  <c r="M192" i="73"/>
  <c r="N192" i="73"/>
  <c r="O192" i="73"/>
  <c r="P192" i="73"/>
  <c r="E193" i="73"/>
  <c r="F193" i="73"/>
  <c r="G193" i="73"/>
  <c r="H193" i="73"/>
  <c r="I193" i="73"/>
  <c r="J193" i="73"/>
  <c r="K193" i="73"/>
  <c r="L193" i="73"/>
  <c r="M193" i="73"/>
  <c r="N193" i="73"/>
  <c r="O193" i="73"/>
  <c r="P193" i="73"/>
  <c r="E194" i="73"/>
  <c r="F194" i="73"/>
  <c r="G194" i="73"/>
  <c r="H194" i="73"/>
  <c r="I194" i="73"/>
  <c r="J194" i="73"/>
  <c r="K194" i="73"/>
  <c r="L194" i="73"/>
  <c r="M194" i="73"/>
  <c r="N194" i="73"/>
  <c r="O194" i="73"/>
  <c r="P194" i="73"/>
  <c r="E195" i="73"/>
  <c r="F195" i="73"/>
  <c r="G195" i="73"/>
  <c r="H195" i="73"/>
  <c r="I195" i="73"/>
  <c r="J195" i="73"/>
  <c r="K195" i="73"/>
  <c r="L195" i="73"/>
  <c r="M195" i="73"/>
  <c r="N195" i="73"/>
  <c r="O195" i="73"/>
  <c r="P195" i="73"/>
  <c r="D198" i="73"/>
  <c r="E198" i="73"/>
  <c r="F198" i="73"/>
  <c r="G198" i="73"/>
  <c r="H198" i="73"/>
  <c r="I198" i="73"/>
  <c r="J198" i="73"/>
  <c r="K198" i="73"/>
  <c r="L198" i="73"/>
  <c r="M198" i="73"/>
  <c r="N198" i="73"/>
  <c r="O198" i="73"/>
  <c r="P198" i="73"/>
  <c r="D199" i="73"/>
  <c r="E199" i="73"/>
  <c r="F199" i="73"/>
  <c r="G199" i="73"/>
  <c r="H199" i="73"/>
  <c r="I199" i="73"/>
  <c r="J199" i="73"/>
  <c r="K199" i="73"/>
  <c r="L199" i="73"/>
  <c r="M199" i="73"/>
  <c r="N199" i="73"/>
  <c r="O199" i="73"/>
  <c r="P199" i="73"/>
  <c r="D200" i="73"/>
  <c r="E200" i="73"/>
  <c r="F200" i="73"/>
  <c r="G200" i="73"/>
  <c r="H200" i="73"/>
  <c r="I200" i="73"/>
  <c r="J200" i="73"/>
  <c r="K200" i="73"/>
  <c r="L200" i="73"/>
  <c r="M200" i="73"/>
  <c r="N200" i="73"/>
  <c r="O200" i="73"/>
  <c r="E203" i="73"/>
  <c r="F203" i="73"/>
  <c r="G203" i="73"/>
  <c r="H203" i="73"/>
  <c r="I203" i="73"/>
  <c r="J203" i="73"/>
  <c r="K203" i="73"/>
  <c r="L203" i="73"/>
  <c r="M203" i="73"/>
  <c r="N203" i="73"/>
  <c r="O203" i="73"/>
  <c r="P203" i="73"/>
  <c r="E204" i="73"/>
  <c r="F204" i="73"/>
  <c r="G204" i="73"/>
  <c r="H204" i="73"/>
  <c r="I204" i="73"/>
  <c r="J204" i="73"/>
  <c r="K204" i="73"/>
  <c r="L204" i="73"/>
  <c r="M204" i="73"/>
  <c r="N204" i="73"/>
  <c r="O204" i="73"/>
  <c r="P204" i="73"/>
  <c r="E205" i="73"/>
  <c r="F205" i="73"/>
  <c r="G205" i="73"/>
  <c r="H205" i="73"/>
  <c r="I205" i="73"/>
  <c r="J205" i="73"/>
  <c r="K205" i="73"/>
  <c r="L205" i="73"/>
  <c r="M205" i="73"/>
  <c r="N205" i="73"/>
  <c r="O205" i="73"/>
  <c r="P205" i="73"/>
  <c r="E208" i="73"/>
  <c r="F208" i="73"/>
  <c r="G208" i="73"/>
  <c r="H208" i="73"/>
  <c r="I208" i="73"/>
  <c r="J208" i="73"/>
  <c r="K208" i="73"/>
  <c r="L208" i="73"/>
  <c r="M208" i="73"/>
  <c r="N208" i="73"/>
  <c r="O208" i="73"/>
  <c r="P208" i="73"/>
  <c r="E209" i="73"/>
  <c r="F209" i="73"/>
  <c r="G209" i="73"/>
  <c r="H209" i="73"/>
  <c r="I209" i="73"/>
  <c r="J209" i="73"/>
  <c r="K209" i="73"/>
  <c r="L209" i="73"/>
  <c r="M209" i="73"/>
  <c r="N209" i="73"/>
  <c r="O209" i="73"/>
  <c r="P209" i="73"/>
  <c r="E210" i="73"/>
  <c r="F210" i="73"/>
  <c r="G210" i="73"/>
  <c r="H210" i="73"/>
  <c r="I210" i="73"/>
  <c r="J210" i="73"/>
  <c r="K210" i="73"/>
  <c r="L210" i="73"/>
  <c r="M210" i="73"/>
  <c r="N210" i="73"/>
  <c r="O210" i="73"/>
  <c r="P210" i="73"/>
  <c r="E211" i="73"/>
  <c r="F211" i="73"/>
  <c r="G211" i="73"/>
  <c r="H211" i="73"/>
  <c r="I211" i="73"/>
  <c r="J211" i="73"/>
  <c r="K211" i="73"/>
  <c r="L211" i="73"/>
  <c r="M211" i="73"/>
  <c r="N211" i="73"/>
  <c r="O211" i="73"/>
  <c r="P211" i="73"/>
  <c r="E213" i="73"/>
  <c r="F213" i="73"/>
  <c r="G213" i="73"/>
  <c r="H213" i="73"/>
  <c r="I213" i="73"/>
  <c r="J213" i="73"/>
  <c r="K213" i="73"/>
  <c r="L213" i="73"/>
  <c r="M213" i="73"/>
  <c r="N213" i="73"/>
  <c r="O213" i="73"/>
  <c r="P213" i="73"/>
  <c r="D216" i="73"/>
  <c r="E216" i="73"/>
  <c r="F216" i="73"/>
  <c r="G216" i="73"/>
  <c r="H216" i="73"/>
  <c r="I216" i="73"/>
  <c r="J216" i="73"/>
  <c r="K216" i="73"/>
  <c r="L216" i="73"/>
  <c r="M216" i="73"/>
  <c r="N216" i="73"/>
  <c r="O216" i="73"/>
  <c r="P216" i="73"/>
  <c r="D217" i="73"/>
  <c r="E217" i="73"/>
  <c r="F217" i="73"/>
  <c r="G217" i="73"/>
  <c r="H217" i="73"/>
  <c r="I217" i="73"/>
  <c r="J217" i="73"/>
  <c r="K217" i="73"/>
  <c r="L217" i="73"/>
  <c r="M217" i="73"/>
  <c r="N217" i="73"/>
  <c r="O217" i="73"/>
  <c r="P217" i="73"/>
  <c r="D218" i="73"/>
  <c r="E218" i="73"/>
  <c r="F218" i="73"/>
  <c r="G218" i="73"/>
  <c r="H218" i="73"/>
  <c r="I218" i="73"/>
  <c r="J218" i="73"/>
  <c r="K218" i="73"/>
  <c r="L218" i="73"/>
  <c r="M218" i="73"/>
  <c r="N218" i="73"/>
  <c r="O218" i="73"/>
  <c r="P218" i="73"/>
  <c r="D219" i="73"/>
  <c r="E219" i="73"/>
  <c r="F219" i="73"/>
  <c r="G219" i="73"/>
  <c r="H219" i="73"/>
  <c r="I219" i="73"/>
  <c r="J219" i="73"/>
  <c r="K219" i="73"/>
  <c r="L219" i="73"/>
  <c r="M219" i="73"/>
  <c r="N219" i="73"/>
  <c r="O219" i="73"/>
  <c r="P219" i="73"/>
  <c r="D227" i="73"/>
  <c r="E227" i="73"/>
  <c r="F227" i="73"/>
  <c r="G227" i="73"/>
  <c r="H227" i="73"/>
  <c r="I227" i="73"/>
  <c r="J227" i="73"/>
  <c r="K227" i="73"/>
  <c r="L227" i="73"/>
  <c r="M227" i="73"/>
  <c r="N227" i="73"/>
  <c r="O227" i="73"/>
  <c r="P227" i="73"/>
  <c r="D228" i="73"/>
  <c r="E228" i="73"/>
  <c r="F228" i="73"/>
  <c r="G228" i="73"/>
  <c r="H228" i="73"/>
  <c r="I228" i="73"/>
  <c r="J228" i="73"/>
  <c r="K228" i="73"/>
  <c r="L228" i="73"/>
  <c r="M228" i="73"/>
  <c r="N228" i="73"/>
  <c r="O228" i="73"/>
  <c r="P228" i="73"/>
  <c r="D230" i="73"/>
  <c r="E230" i="73"/>
  <c r="F230" i="73"/>
  <c r="G230" i="73"/>
  <c r="H230" i="73"/>
  <c r="I230" i="73"/>
  <c r="J230" i="73"/>
  <c r="K230" i="73"/>
  <c r="L230" i="73"/>
  <c r="M230" i="73"/>
  <c r="N230" i="73"/>
  <c r="O230" i="73"/>
  <c r="P230" i="73"/>
  <c r="D231" i="73"/>
  <c r="E231" i="73"/>
  <c r="F231" i="73"/>
  <c r="G231" i="73"/>
  <c r="H231" i="73"/>
  <c r="I231" i="73"/>
  <c r="J231" i="73"/>
  <c r="K231" i="73"/>
  <c r="L231" i="73"/>
  <c r="M231" i="73"/>
  <c r="N231" i="73"/>
  <c r="O231" i="73"/>
  <c r="P231" i="73"/>
  <c r="D232" i="73"/>
  <c r="E232" i="73"/>
  <c r="F232" i="73"/>
  <c r="G232" i="73"/>
  <c r="H232" i="73"/>
  <c r="I232" i="73"/>
  <c r="J232" i="73"/>
  <c r="K232" i="73"/>
  <c r="L232" i="73"/>
  <c r="M232" i="73"/>
  <c r="N232" i="73"/>
  <c r="O232" i="73"/>
  <c r="P232" i="73"/>
  <c r="E235" i="73"/>
  <c r="F235" i="73"/>
  <c r="G235" i="73"/>
  <c r="H235" i="73"/>
  <c r="I235" i="73"/>
  <c r="J235" i="73"/>
  <c r="K235" i="73"/>
  <c r="L235" i="73"/>
  <c r="M235" i="73"/>
  <c r="N235" i="73"/>
  <c r="O235" i="73"/>
  <c r="P235" i="73"/>
  <c r="E237" i="73"/>
  <c r="F237" i="73"/>
  <c r="G237" i="73"/>
  <c r="H237" i="73"/>
  <c r="I237" i="73"/>
  <c r="J237" i="73"/>
  <c r="K237" i="73"/>
  <c r="L237" i="73"/>
  <c r="M237" i="73"/>
  <c r="N237" i="73"/>
  <c r="O237" i="73"/>
  <c r="P237" i="73"/>
  <c r="D239" i="73"/>
  <c r="E239" i="73"/>
  <c r="F239" i="73"/>
  <c r="G239" i="73"/>
  <c r="H239" i="73"/>
  <c r="I239" i="73"/>
  <c r="J239" i="73"/>
  <c r="K239" i="73"/>
  <c r="L239" i="73"/>
  <c r="M239" i="73"/>
  <c r="N239" i="73"/>
  <c r="O239" i="73"/>
  <c r="P239" i="73"/>
  <c r="J240" i="73"/>
  <c r="K240" i="73"/>
  <c r="L240" i="73"/>
  <c r="M240" i="73"/>
  <c r="N240" i="73"/>
  <c r="O240" i="73"/>
  <c r="P240" i="73"/>
  <c r="D241" i="73"/>
  <c r="E241" i="73"/>
  <c r="F241" i="73"/>
  <c r="G241" i="73"/>
  <c r="H241" i="73"/>
  <c r="I241" i="73"/>
  <c r="J241" i="73"/>
  <c r="K241" i="73"/>
  <c r="L241" i="73"/>
  <c r="M241" i="73"/>
  <c r="N241" i="73"/>
  <c r="O241" i="73"/>
  <c r="P241" i="73"/>
  <c r="D243" i="73"/>
  <c r="E243" i="73"/>
  <c r="F243" i="73"/>
  <c r="G243" i="73"/>
  <c r="H243" i="73"/>
  <c r="I243" i="73"/>
  <c r="J243" i="73"/>
  <c r="K243" i="73"/>
  <c r="L243" i="73"/>
  <c r="M243" i="73"/>
  <c r="N243" i="73"/>
  <c r="O243" i="73"/>
  <c r="P243" i="73"/>
  <c r="D245" i="73"/>
  <c r="E245" i="73"/>
  <c r="F245" i="73"/>
  <c r="G245" i="73"/>
  <c r="H245" i="73"/>
  <c r="I245" i="73"/>
  <c r="J245" i="73"/>
  <c r="K245" i="73"/>
  <c r="L245" i="73"/>
  <c r="M245" i="73"/>
  <c r="N245" i="73"/>
  <c r="O245" i="73"/>
  <c r="P245" i="73"/>
  <c r="D247" i="73"/>
  <c r="E247" i="73"/>
  <c r="F247" i="73"/>
  <c r="G247" i="73"/>
  <c r="H247" i="73"/>
  <c r="I247" i="73"/>
  <c r="J247" i="73"/>
  <c r="K247" i="73"/>
  <c r="L247" i="73"/>
  <c r="M247" i="73"/>
  <c r="N247" i="73"/>
  <c r="O247" i="73"/>
  <c r="P247" i="73"/>
  <c r="U254" i="73"/>
  <c r="V254" i="73"/>
  <c r="W254" i="73"/>
  <c r="X254" i="73"/>
  <c r="Y254" i="73"/>
  <c r="Z254" i="73"/>
  <c r="U255" i="73"/>
  <c r="V255" i="73"/>
  <c r="W255" i="73"/>
  <c r="X255" i="73"/>
  <c r="Y255" i="73"/>
  <c r="Z255" i="73"/>
  <c r="U256" i="73"/>
  <c r="V256" i="73"/>
  <c r="W256" i="73"/>
  <c r="X256" i="73"/>
  <c r="Y256" i="73"/>
  <c r="Z256" i="73"/>
  <c r="U257" i="73"/>
  <c r="V257" i="73"/>
  <c r="W257" i="73"/>
  <c r="X257" i="73"/>
  <c r="Y257" i="73"/>
  <c r="Z257" i="73"/>
  <c r="U258" i="73"/>
  <c r="V258" i="73"/>
  <c r="W258" i="73"/>
  <c r="X258" i="73"/>
  <c r="Y258" i="73"/>
  <c r="Z258" i="73"/>
  <c r="V7" i="74"/>
  <c r="W7" i="74"/>
  <c r="X7" i="74"/>
  <c r="Y7" i="74"/>
  <c r="Z7" i="74"/>
  <c r="AA7" i="74"/>
  <c r="AB7" i="74"/>
  <c r="AC7" i="74"/>
  <c r="AD7" i="74"/>
  <c r="CW7" i="74"/>
  <c r="CX7" i="74"/>
  <c r="CY7" i="74"/>
  <c r="CZ7" i="74"/>
  <c r="V8" i="74"/>
  <c r="W8" i="74"/>
  <c r="X8" i="74"/>
  <c r="Y8" i="74"/>
  <c r="Z8" i="74"/>
  <c r="AA8" i="74"/>
  <c r="AB8" i="74"/>
  <c r="AC8" i="74"/>
  <c r="AD8" i="74"/>
  <c r="CW8" i="74"/>
  <c r="CX8" i="74"/>
  <c r="CY8" i="74"/>
  <c r="CZ8" i="74"/>
  <c r="V9" i="74"/>
  <c r="W9" i="74"/>
  <c r="X9" i="74"/>
  <c r="Y9" i="74"/>
  <c r="Z9" i="74"/>
  <c r="AA9" i="74"/>
  <c r="AB9" i="74"/>
  <c r="AC9" i="74"/>
  <c r="AD9" i="74"/>
  <c r="CW9" i="74"/>
  <c r="CX9" i="74"/>
  <c r="CY9" i="74"/>
  <c r="CZ9" i="74"/>
  <c r="DC9" i="74"/>
  <c r="V10" i="74"/>
  <c r="W10" i="74"/>
  <c r="X10" i="74"/>
  <c r="Y10" i="74"/>
  <c r="Z10" i="74"/>
  <c r="AA10" i="74"/>
  <c r="AB10" i="74"/>
  <c r="AC10" i="74"/>
  <c r="AD10" i="74"/>
  <c r="CW10" i="74"/>
  <c r="CX10" i="74"/>
  <c r="CY10" i="74"/>
  <c r="CZ10" i="74"/>
  <c r="DC10" i="74"/>
  <c r="V11" i="74"/>
  <c r="W11" i="74"/>
  <c r="X11" i="74"/>
  <c r="Y11" i="74"/>
  <c r="Z11" i="74"/>
  <c r="AA11" i="74"/>
  <c r="AB11" i="74"/>
  <c r="AC11" i="74"/>
  <c r="AD11" i="74"/>
  <c r="CW11" i="74"/>
  <c r="CX11" i="74"/>
  <c r="CY11" i="74"/>
  <c r="CZ11" i="74"/>
  <c r="V12" i="74"/>
  <c r="W12" i="74"/>
  <c r="X12" i="74"/>
  <c r="Y12" i="74"/>
  <c r="Z12" i="74"/>
  <c r="AA12" i="74"/>
  <c r="AB12" i="74"/>
  <c r="AC12" i="74"/>
  <c r="AD12" i="74"/>
  <c r="CW12" i="74"/>
  <c r="CX12" i="74"/>
  <c r="CY12" i="74"/>
  <c r="CZ12" i="74"/>
  <c r="V13" i="74"/>
  <c r="W13" i="74"/>
  <c r="X13" i="74"/>
  <c r="Y13" i="74"/>
  <c r="Z13" i="74"/>
  <c r="AA13" i="74"/>
  <c r="AB13" i="74"/>
  <c r="AC13" i="74"/>
  <c r="AD13" i="74"/>
  <c r="CW13" i="74"/>
  <c r="CX13" i="74"/>
  <c r="CY13" i="74"/>
  <c r="CZ13" i="74"/>
  <c r="V14" i="74"/>
  <c r="W14" i="74"/>
  <c r="X14" i="74"/>
  <c r="Y14" i="74"/>
  <c r="Z14" i="74"/>
  <c r="AA14" i="74"/>
  <c r="AB14" i="74"/>
  <c r="AC14" i="74"/>
  <c r="AD14" i="74"/>
  <c r="CW14" i="74"/>
  <c r="CX14" i="74"/>
  <c r="CY14" i="74"/>
  <c r="CZ14" i="74"/>
  <c r="V15" i="74"/>
  <c r="W15" i="74"/>
  <c r="X15" i="74"/>
  <c r="Y15" i="74"/>
  <c r="Z15" i="74"/>
  <c r="AA15" i="74"/>
  <c r="AB15" i="74"/>
  <c r="AC15" i="74"/>
  <c r="AD15" i="74"/>
  <c r="CW15" i="74"/>
  <c r="CX15" i="74"/>
  <c r="CY15" i="74"/>
  <c r="CZ15" i="74"/>
  <c r="V16" i="74"/>
  <c r="W16" i="74"/>
  <c r="X16" i="74"/>
  <c r="Y16" i="74"/>
  <c r="Z16" i="74"/>
  <c r="AA16" i="74"/>
  <c r="AB16" i="74"/>
  <c r="AC16" i="74"/>
  <c r="AD16" i="74"/>
  <c r="CW16" i="74"/>
  <c r="CX16" i="74"/>
  <c r="CY16" i="74"/>
  <c r="CZ16" i="74"/>
  <c r="V17" i="74"/>
  <c r="W17" i="74"/>
  <c r="X17" i="74"/>
  <c r="Y17" i="74"/>
  <c r="Z17" i="74"/>
  <c r="AA17" i="74"/>
  <c r="AB17" i="74"/>
  <c r="AC17" i="74"/>
  <c r="AD17" i="74"/>
  <c r="CW17" i="74"/>
  <c r="CX17" i="74"/>
  <c r="CY17" i="74"/>
  <c r="CZ17" i="74"/>
  <c r="V18" i="74"/>
  <c r="W18" i="74"/>
  <c r="X18" i="74"/>
  <c r="Y18" i="74"/>
  <c r="Z18" i="74"/>
  <c r="AA18" i="74"/>
  <c r="AB18" i="74"/>
  <c r="AC18" i="74"/>
  <c r="AD18" i="74"/>
  <c r="CW18" i="74"/>
  <c r="CX18" i="74"/>
  <c r="CY18" i="74"/>
  <c r="CZ18" i="74"/>
  <c r="V19" i="74"/>
  <c r="W19" i="74"/>
  <c r="X19" i="74"/>
  <c r="Y19" i="74"/>
  <c r="Z19" i="74"/>
  <c r="AA19" i="74"/>
  <c r="AB19" i="74"/>
  <c r="AC19" i="74"/>
  <c r="AD19" i="74"/>
  <c r="CW19" i="74"/>
  <c r="CX19" i="74"/>
  <c r="CY19" i="74"/>
  <c r="CZ19" i="74"/>
  <c r="CW20" i="74"/>
  <c r="CX20" i="74"/>
  <c r="CY20" i="74"/>
  <c r="CZ20" i="74"/>
  <c r="V21" i="74"/>
  <c r="W21" i="74"/>
  <c r="X21" i="74"/>
  <c r="Y21" i="74"/>
  <c r="Z21" i="74"/>
  <c r="AA21" i="74"/>
  <c r="AB21" i="74"/>
  <c r="AC21" i="74"/>
  <c r="AD21" i="74"/>
  <c r="CW21" i="74"/>
  <c r="CX21" i="74"/>
  <c r="CY21" i="74"/>
  <c r="CZ21" i="74"/>
  <c r="V22" i="74"/>
  <c r="W22" i="74"/>
  <c r="X22" i="74"/>
  <c r="Y22" i="74"/>
  <c r="Z22" i="74"/>
  <c r="AA22" i="74"/>
  <c r="AB22" i="74"/>
  <c r="AC22" i="74"/>
  <c r="AD22" i="74"/>
  <c r="CW22" i="74"/>
  <c r="CX22" i="74"/>
  <c r="CY22" i="74"/>
  <c r="CZ22" i="74"/>
  <c r="CW23" i="74"/>
  <c r="CX23" i="74"/>
  <c r="CY23" i="74"/>
  <c r="CZ23" i="74"/>
  <c r="V25" i="74"/>
  <c r="W25" i="74"/>
  <c r="X25" i="74"/>
  <c r="Y25" i="74"/>
  <c r="Z25" i="74"/>
  <c r="AA25" i="74"/>
  <c r="AB25" i="74"/>
  <c r="AC25" i="74"/>
  <c r="AD25" i="74"/>
  <c r="CW25" i="74"/>
  <c r="CX25" i="74"/>
  <c r="CY25" i="74"/>
  <c r="CZ25" i="74"/>
  <c r="V26" i="74"/>
  <c r="W26" i="74"/>
  <c r="X26" i="74"/>
  <c r="Y26" i="74"/>
  <c r="Z26" i="74"/>
  <c r="AA26" i="74"/>
  <c r="AB26" i="74"/>
  <c r="AC26" i="74"/>
  <c r="AD26" i="74"/>
  <c r="CW26" i="74"/>
  <c r="CX26" i="74"/>
  <c r="CY26" i="74"/>
  <c r="CZ26" i="74"/>
  <c r="CW27" i="74"/>
  <c r="CX27" i="74"/>
  <c r="CY27" i="74"/>
  <c r="CZ27" i="74"/>
  <c r="V28" i="74"/>
  <c r="W28" i="74"/>
  <c r="X28" i="74"/>
  <c r="Y28" i="74"/>
  <c r="Z28" i="74"/>
  <c r="AA28" i="74"/>
  <c r="AB28" i="74"/>
  <c r="AC28" i="74"/>
  <c r="AD28" i="74"/>
  <c r="CW28" i="74"/>
  <c r="CX28" i="74"/>
  <c r="CY28" i="74"/>
  <c r="CZ28" i="74"/>
  <c r="V29" i="74"/>
  <c r="W29" i="74"/>
  <c r="X29" i="74"/>
  <c r="Y29" i="74"/>
  <c r="Z29" i="74"/>
  <c r="AA29" i="74"/>
  <c r="AB29" i="74"/>
  <c r="AC29" i="74"/>
  <c r="AD29" i="74"/>
  <c r="CW29" i="74"/>
  <c r="CX29" i="74"/>
  <c r="CY29" i="74"/>
  <c r="CZ29" i="74"/>
  <c r="V30" i="74"/>
  <c r="W30" i="74"/>
  <c r="X30" i="74"/>
  <c r="Y30" i="74"/>
  <c r="Z30" i="74"/>
  <c r="AA30" i="74"/>
  <c r="AB30" i="74"/>
  <c r="AC30" i="74"/>
  <c r="AD30" i="74"/>
  <c r="CW30" i="74"/>
  <c r="CX30" i="74"/>
  <c r="CY30" i="74"/>
  <c r="CZ30" i="74"/>
  <c r="CW31" i="74"/>
  <c r="CX31" i="74"/>
  <c r="CY31" i="74"/>
  <c r="CZ31" i="74"/>
  <c r="V69" i="74"/>
  <c r="W69" i="74"/>
  <c r="X69" i="74"/>
  <c r="Y69" i="74"/>
  <c r="Z69" i="74"/>
  <c r="AA69" i="74"/>
  <c r="AB69" i="74"/>
  <c r="AC69" i="74"/>
  <c r="AD69" i="74"/>
  <c r="CW69" i="74"/>
  <c r="CX69" i="74"/>
  <c r="CY69" i="74"/>
  <c r="CZ69" i="74"/>
  <c r="V70" i="74"/>
  <c r="W70" i="74"/>
  <c r="X70" i="74"/>
  <c r="Y70" i="74"/>
  <c r="Z70" i="74"/>
  <c r="AA70" i="74"/>
  <c r="AB70" i="74"/>
  <c r="AC70" i="74"/>
  <c r="AD70" i="74"/>
  <c r="CW70" i="74"/>
  <c r="CX70" i="74"/>
  <c r="CY70" i="74"/>
  <c r="CZ70" i="74"/>
  <c r="V71" i="74"/>
  <c r="W71" i="74"/>
  <c r="X71" i="74"/>
  <c r="Y71" i="74"/>
  <c r="Z71" i="74"/>
  <c r="AA71" i="74"/>
  <c r="AB71" i="74"/>
  <c r="AC71" i="74"/>
  <c r="AD71" i="74"/>
  <c r="CW71" i="74"/>
  <c r="CX71" i="74"/>
  <c r="CY71" i="74"/>
  <c r="CZ71" i="74"/>
  <c r="V73" i="74"/>
  <c r="W73" i="74"/>
  <c r="X73" i="74"/>
  <c r="Y73" i="74"/>
  <c r="Z73" i="74"/>
  <c r="AA73" i="74"/>
  <c r="AB73" i="74"/>
  <c r="AC73" i="74"/>
  <c r="AD73" i="74"/>
  <c r="CW73" i="74"/>
  <c r="CX73" i="74"/>
  <c r="CY73" i="74"/>
  <c r="CZ73" i="74"/>
  <c r="V74" i="74"/>
  <c r="W74" i="74"/>
  <c r="X74" i="74"/>
  <c r="Y74" i="74"/>
  <c r="Z74" i="74"/>
  <c r="AA74" i="74"/>
  <c r="AB74" i="74"/>
  <c r="AC74" i="74"/>
  <c r="AD74" i="74"/>
  <c r="CW74" i="74"/>
  <c r="CX74" i="74"/>
  <c r="CY74" i="74"/>
  <c r="CZ74" i="74"/>
  <c r="V75" i="74"/>
  <c r="W75" i="74"/>
  <c r="X75" i="74"/>
  <c r="Y75" i="74"/>
  <c r="Z75" i="74"/>
  <c r="AA75" i="74"/>
  <c r="AB75" i="74"/>
  <c r="AC75" i="74"/>
  <c r="AD75" i="74"/>
  <c r="CW75" i="74"/>
  <c r="CX75" i="74"/>
  <c r="CY75" i="74"/>
  <c r="CZ75" i="74"/>
  <c r="V77" i="74"/>
  <c r="W77" i="74"/>
  <c r="X77" i="74"/>
  <c r="Y77" i="74"/>
  <c r="Z77" i="74"/>
  <c r="AA77" i="74"/>
  <c r="AB77" i="74"/>
  <c r="AC77" i="74"/>
  <c r="AD77" i="74"/>
  <c r="CW77" i="74"/>
  <c r="CX77" i="74"/>
  <c r="CY77" i="74"/>
  <c r="CZ77" i="74"/>
  <c r="V78" i="74"/>
  <c r="W78" i="74"/>
  <c r="X78" i="74"/>
  <c r="Y78" i="74"/>
  <c r="Z78" i="74"/>
  <c r="AA78" i="74"/>
  <c r="AB78" i="74"/>
  <c r="AC78" i="74"/>
  <c r="AD78" i="74"/>
  <c r="CW78" i="74"/>
  <c r="CX78" i="74"/>
  <c r="CY78" i="74"/>
  <c r="CZ78" i="74"/>
  <c r="V79" i="74"/>
  <c r="W79" i="74"/>
  <c r="X79" i="74"/>
  <c r="Y79" i="74"/>
  <c r="Z79" i="74"/>
  <c r="AA79" i="74"/>
  <c r="AB79" i="74"/>
  <c r="AC79" i="74"/>
  <c r="AD79" i="74"/>
  <c r="CW79" i="74"/>
  <c r="CX79" i="74"/>
  <c r="CY79" i="74"/>
  <c r="CZ79" i="74"/>
  <c r="CW80" i="74"/>
  <c r="CX80" i="74"/>
  <c r="CY80" i="74"/>
  <c r="CZ80" i="74"/>
  <c r="V82" i="74"/>
  <c r="W82" i="74"/>
  <c r="X82" i="74"/>
  <c r="Y82" i="74"/>
  <c r="Z82" i="74"/>
  <c r="AA82" i="74"/>
  <c r="AB82" i="74"/>
  <c r="AC82" i="74"/>
  <c r="AD82" i="74"/>
  <c r="CW82" i="74"/>
  <c r="CX82" i="74"/>
  <c r="CY82" i="74"/>
  <c r="CZ82" i="74"/>
  <c r="W83" i="74"/>
  <c r="X83" i="74"/>
  <c r="Y83" i="74"/>
  <c r="Z83" i="74"/>
  <c r="AA83" i="74"/>
  <c r="AB83" i="74"/>
  <c r="AC83" i="74"/>
  <c r="AD83" i="74"/>
  <c r="W84" i="74"/>
  <c r="X84" i="74"/>
  <c r="Y84" i="74"/>
  <c r="Z84" i="74"/>
  <c r="AA84" i="74"/>
  <c r="AB84" i="74"/>
  <c r="AC84" i="74"/>
  <c r="AD84" i="74"/>
  <c r="W85" i="74"/>
  <c r="X85" i="74"/>
  <c r="Y85" i="74"/>
  <c r="Z85" i="74"/>
  <c r="AA85" i="74"/>
  <c r="AB85" i="74"/>
  <c r="AC85" i="74"/>
  <c r="AD85" i="74"/>
  <c r="V88" i="74"/>
  <c r="V89" i="74"/>
  <c r="W89" i="74"/>
  <c r="X89" i="74"/>
  <c r="Y89" i="74"/>
  <c r="Z89" i="74"/>
  <c r="AA89" i="74"/>
  <c r="AB89" i="74"/>
  <c r="AC89" i="74"/>
  <c r="AD89" i="74"/>
  <c r="CW89" i="74"/>
  <c r="CX89" i="74"/>
  <c r="CY89" i="74"/>
  <c r="CZ89" i="74"/>
  <c r="W90" i="74"/>
  <c r="X90" i="74"/>
  <c r="Y90" i="74"/>
  <c r="Z90" i="74"/>
  <c r="AA90" i="74"/>
  <c r="AB90" i="74"/>
  <c r="AC90" i="74"/>
  <c r="AD90" i="74"/>
  <c r="W91" i="74"/>
  <c r="X91" i="74"/>
  <c r="Y91" i="74"/>
  <c r="Z91" i="74"/>
  <c r="AA91" i="74"/>
  <c r="AB91" i="74"/>
  <c r="AC91" i="74"/>
  <c r="AD91" i="74"/>
  <c r="W92" i="74"/>
  <c r="X92" i="74"/>
  <c r="Y92" i="74"/>
  <c r="Z92" i="74"/>
  <c r="AA92" i="74"/>
  <c r="AB92" i="74"/>
  <c r="AC92" i="74"/>
  <c r="AD92" i="74"/>
  <c r="V93" i="74"/>
  <c r="W93" i="74"/>
  <c r="X93" i="74"/>
  <c r="Y93" i="74"/>
  <c r="Z93" i="74"/>
  <c r="AA93" i="74"/>
  <c r="AB93" i="74"/>
  <c r="AC93" i="74"/>
  <c r="AD93" i="74"/>
  <c r="CW93" i="74"/>
  <c r="CX93" i="74"/>
  <c r="CY93" i="74"/>
  <c r="CZ93" i="74"/>
  <c r="V97" i="74"/>
  <c r="CW97" i="74"/>
  <c r="CX97" i="74"/>
  <c r="CY97" i="74"/>
  <c r="CZ97" i="74"/>
  <c r="V98" i="74"/>
  <c r="W98" i="74"/>
  <c r="X98" i="74"/>
  <c r="Y98" i="74"/>
  <c r="Z98" i="74"/>
  <c r="AA98" i="74"/>
  <c r="AB98" i="74"/>
  <c r="AC98" i="74"/>
  <c r="AD98" i="74"/>
  <c r="CW98" i="74"/>
  <c r="CX98" i="74"/>
  <c r="CY98" i="74"/>
  <c r="CZ98" i="74"/>
  <c r="W99" i="74"/>
  <c r="X99" i="74"/>
  <c r="Y99" i="74"/>
  <c r="Z99" i="74"/>
  <c r="AA99" i="74"/>
  <c r="AB99" i="74"/>
  <c r="AC99" i="74"/>
  <c r="AD99" i="74"/>
  <c r="W100" i="74"/>
  <c r="X100" i="74"/>
  <c r="Y100" i="74"/>
  <c r="Z100" i="74"/>
  <c r="AA100" i="74"/>
  <c r="AB100" i="74"/>
  <c r="AC100" i="74"/>
  <c r="AD100" i="74"/>
  <c r="W101" i="74"/>
  <c r="X101" i="74"/>
  <c r="Y101" i="74"/>
  <c r="Z101" i="74"/>
  <c r="AA101" i="74"/>
  <c r="AB101" i="74"/>
  <c r="AC101" i="74"/>
  <c r="AD101" i="74"/>
  <c r="V102" i="74"/>
  <c r="W102" i="74"/>
  <c r="X102" i="74"/>
  <c r="Y102" i="74"/>
  <c r="Z102" i="74"/>
  <c r="AA102" i="74"/>
  <c r="AB102" i="74"/>
  <c r="AC102" i="74"/>
  <c r="AD102" i="74"/>
  <c r="CW102" i="74"/>
  <c r="CX102" i="74"/>
  <c r="CY102" i="74"/>
  <c r="CZ102" i="74"/>
  <c r="V106" i="74"/>
  <c r="CW106" i="74"/>
  <c r="CX106" i="74"/>
  <c r="CY106" i="74"/>
  <c r="CZ106" i="74"/>
  <c r="V107" i="74"/>
  <c r="W107" i="74"/>
  <c r="X107" i="74"/>
  <c r="Y107" i="74"/>
  <c r="Z107" i="74"/>
  <c r="AA107" i="74"/>
  <c r="AB107" i="74"/>
  <c r="AC107" i="74"/>
  <c r="AD107" i="74"/>
  <c r="CW107" i="74"/>
  <c r="CX107" i="74"/>
  <c r="CY107" i="74"/>
  <c r="CZ107" i="74"/>
  <c r="W108" i="74"/>
  <c r="X108" i="74"/>
  <c r="Y108" i="74"/>
  <c r="Z108" i="74"/>
  <c r="AA108" i="74"/>
  <c r="AB108" i="74"/>
  <c r="AC108" i="74"/>
  <c r="AD108" i="74"/>
  <c r="W109" i="74"/>
  <c r="X109" i="74"/>
  <c r="Y109" i="74"/>
  <c r="Z109" i="74"/>
  <c r="AA109" i="74"/>
  <c r="AB109" i="74"/>
  <c r="AC109" i="74"/>
  <c r="AD109" i="74"/>
  <c r="W110" i="74"/>
  <c r="X110" i="74"/>
  <c r="Y110" i="74"/>
  <c r="Z110" i="74"/>
  <c r="AA110" i="74"/>
  <c r="AB110" i="74"/>
  <c r="AC110" i="74"/>
  <c r="AD110" i="74"/>
  <c r="V111" i="74"/>
  <c r="W111" i="74"/>
  <c r="X111" i="74"/>
  <c r="Y111" i="74"/>
  <c r="Z111" i="74"/>
  <c r="AA111" i="74"/>
  <c r="AB111" i="74"/>
  <c r="AC111" i="74"/>
  <c r="AD111" i="74"/>
  <c r="CW111" i="74"/>
  <c r="CX111" i="74"/>
  <c r="CY111" i="74"/>
  <c r="CZ111" i="74"/>
  <c r="W112" i="74"/>
  <c r="X112" i="74"/>
  <c r="Y112" i="74"/>
  <c r="Z112" i="74"/>
  <c r="AA112" i="74"/>
  <c r="AB112" i="74"/>
  <c r="AC112" i="74"/>
  <c r="AD112" i="74"/>
  <c r="W113" i="74"/>
  <c r="X113" i="74"/>
  <c r="Y113" i="74"/>
  <c r="Z113" i="74"/>
  <c r="AA113" i="74"/>
  <c r="AB113" i="74"/>
  <c r="AC113" i="74"/>
  <c r="AD113" i="74"/>
  <c r="W114" i="74"/>
  <c r="X114" i="74"/>
  <c r="Y114" i="74"/>
  <c r="Z114" i="74"/>
  <c r="AA114" i="74"/>
  <c r="AB114" i="74"/>
  <c r="AC114" i="74"/>
  <c r="AD114" i="74"/>
  <c r="V115" i="74"/>
  <c r="CW115" i="74"/>
  <c r="CX115" i="74"/>
  <c r="CY115" i="74"/>
  <c r="CZ115" i="74"/>
  <c r="Q6" i="39"/>
  <c r="R6" i="39"/>
  <c r="S6" i="39"/>
  <c r="Q7" i="39"/>
  <c r="R7" i="39"/>
  <c r="S7" i="39"/>
  <c r="R13" i="39"/>
  <c r="CK13" i="39"/>
  <c r="CU13" i="39"/>
  <c r="R17" i="39"/>
  <c r="CK17" i="39"/>
  <c r="CU17" i="39"/>
  <c r="R29" i="39"/>
  <c r="CK29" i="39"/>
  <c r="CU29" i="39"/>
  <c r="R57" i="39"/>
  <c r="CK57" i="39"/>
  <c r="Q59" i="39"/>
  <c r="R59" i="39"/>
  <c r="S59" i="39"/>
  <c r="R70" i="39"/>
  <c r="CK70" i="39"/>
  <c r="R76" i="39"/>
  <c r="CK76" i="39"/>
  <c r="R77" i="39"/>
  <c r="S77" i="39"/>
  <c r="CK77" i="39"/>
  <c r="CL77" i="39"/>
  <c r="R101" i="39"/>
  <c r="CK101" i="39"/>
  <c r="R105" i="39"/>
  <c r="CK105" i="39"/>
  <c r="R108" i="39"/>
  <c r="CK108" i="39"/>
  <c r="R112" i="39"/>
  <c r="CK112" i="39"/>
  <c r="Q148" i="39"/>
  <c r="R148" i="39"/>
  <c r="S148" i="39"/>
  <c r="CG148" i="39"/>
  <c r="CI148" i="39"/>
  <c r="CK148" i="39"/>
  <c r="CL148" i="39"/>
  <c r="Q157" i="39"/>
  <c r="R157" i="39"/>
  <c r="S157" i="39"/>
  <c r="CG157" i="39"/>
  <c r="CI157" i="39"/>
  <c r="CK157" i="39"/>
  <c r="CL157" i="39"/>
  <c r="Q159" i="39"/>
  <c r="R159" i="39"/>
  <c r="S159" i="39"/>
  <c r="CG159" i="39"/>
  <c r="CI159" i="39"/>
  <c r="CK159" i="39"/>
  <c r="CL159" i="39"/>
  <c r="Q161" i="39"/>
  <c r="R161" i="39"/>
  <c r="S161" i="39"/>
  <c r="CE161" i="39"/>
  <c r="CF161" i="39"/>
  <c r="CG161" i="39"/>
  <c r="CH161" i="39"/>
  <c r="CI161" i="39"/>
  <c r="CJ161" i="39"/>
  <c r="CK161" i="39"/>
  <c r="CL161" i="39"/>
  <c r="S165" i="39"/>
  <c r="CG165" i="39"/>
  <c r="CI165" i="39"/>
  <c r="CK165" i="39"/>
  <c r="CL165" i="39"/>
  <c r="S166" i="39"/>
  <c r="CG166" i="39"/>
  <c r="CI166" i="39"/>
  <c r="CK166" i="39"/>
  <c r="CL166" i="39"/>
  <c r="R278" i="39"/>
  <c r="S278" i="39"/>
  <c r="CF278" i="39"/>
  <c r="CG278" i="39"/>
  <c r="CH278" i="39"/>
  <c r="CI278" i="39"/>
  <c r="CJ278" i="39"/>
  <c r="CK278" i="39"/>
  <c r="CL278" i="39"/>
  <c r="Q279" i="39"/>
  <c r="CE279" i="39"/>
  <c r="Q280" i="39"/>
  <c r="R280" i="39"/>
  <c r="S280" i="39"/>
  <c r="CE280" i="39"/>
  <c r="CF280" i="39"/>
  <c r="CG280" i="39"/>
  <c r="CH280" i="39"/>
  <c r="CI280" i="39"/>
  <c r="CJ280" i="39"/>
  <c r="CK280" i="39"/>
  <c r="CL280" i="39"/>
  <c r="R323" i="39"/>
  <c r="S323" i="39"/>
  <c r="CF323" i="39"/>
  <c r="CG323" i="39"/>
  <c r="CH323" i="39"/>
  <c r="CI323" i="39"/>
  <c r="CJ323" i="39"/>
  <c r="CK323" i="39"/>
  <c r="CL323" i="39"/>
  <c r="Q324" i="39"/>
  <c r="CE324" i="39"/>
  <c r="Q325" i="39"/>
  <c r="R325" i="39"/>
  <c r="S325" i="39"/>
  <c r="CE325" i="39"/>
  <c r="CF325" i="39"/>
  <c r="CG325" i="39"/>
  <c r="CH325" i="39"/>
  <c r="CI325" i="39"/>
  <c r="CJ325" i="39"/>
  <c r="CK325" i="39"/>
  <c r="CL325" i="39"/>
  <c r="Q6" i="38"/>
  <c r="R6" i="38"/>
  <c r="S6" i="38"/>
  <c r="Q7" i="38"/>
  <c r="R7" i="38"/>
  <c r="S7" i="38"/>
  <c r="Q6" i="40"/>
  <c r="R6" i="40"/>
  <c r="S6" i="40"/>
  <c r="Q7" i="40"/>
  <c r="R7" i="40"/>
  <c r="S7" i="40"/>
  <c r="R26" i="40"/>
  <c r="CK26" i="40"/>
  <c r="R34" i="40"/>
  <c r="CK34" i="40"/>
  <c r="R60" i="40"/>
  <c r="CK60" i="40"/>
  <c r="S61" i="40"/>
  <c r="CL61" i="40"/>
  <c r="R62" i="40"/>
  <c r="S62" i="40"/>
  <c r="CK62" i="40"/>
  <c r="CL62" i="40"/>
  <c r="R63" i="40"/>
  <c r="S63" i="40"/>
  <c r="CK63" i="40"/>
  <c r="CL63" i="40"/>
  <c r="R65" i="40"/>
  <c r="CK65" i="40"/>
  <c r="Q66" i="40"/>
  <c r="R66" i="40"/>
  <c r="S66" i="40"/>
  <c r="CK66" i="40"/>
  <c r="Q69" i="40"/>
  <c r="R69" i="40"/>
  <c r="S69" i="40"/>
  <c r="R72" i="40"/>
  <c r="CK72" i="40"/>
  <c r="Q73" i="40"/>
  <c r="R73" i="40"/>
  <c r="S73" i="40"/>
  <c r="CK73" i="40"/>
  <c r="Q74" i="40"/>
  <c r="R74" i="40"/>
  <c r="S74" i="40"/>
  <c r="R75" i="40"/>
  <c r="S75" i="40"/>
  <c r="R76" i="40"/>
  <c r="CK76" i="40"/>
  <c r="R79" i="40"/>
  <c r="CK79" i="40"/>
  <c r="R120" i="40"/>
  <c r="CK120" i="40"/>
  <c r="BR122" i="40"/>
  <c r="BS122" i="40"/>
  <c r="BT122" i="40"/>
  <c r="BU122" i="40"/>
  <c r="BV122" i="40"/>
  <c r="BW122" i="40"/>
  <c r="BX122" i="40"/>
  <c r="BY122" i="40"/>
  <c r="BZ122" i="40"/>
  <c r="CA122" i="40"/>
  <c r="CB122" i="40"/>
  <c r="CC122" i="40"/>
  <c r="CD122" i="40"/>
  <c r="CE122" i="40"/>
  <c r="CF122" i="40"/>
  <c r="CG122" i="40"/>
  <c r="CH122" i="40"/>
  <c r="CI122" i="40"/>
  <c r="CJ122" i="40"/>
  <c r="CK122" i="40"/>
  <c r="CL122" i="40"/>
  <c r="R126" i="40"/>
  <c r="BR126" i="40"/>
  <c r="BS126" i="40"/>
  <c r="BT126" i="40"/>
  <c r="BU126" i="40"/>
  <c r="BV126" i="40"/>
  <c r="BW126" i="40"/>
  <c r="BX126" i="40"/>
  <c r="BY126" i="40"/>
  <c r="BZ126" i="40"/>
  <c r="CA126" i="40"/>
  <c r="CB126" i="40"/>
  <c r="CC126" i="40"/>
  <c r="CD126" i="40"/>
  <c r="CE126" i="40"/>
  <c r="CF126" i="40"/>
  <c r="CG126" i="40"/>
  <c r="CH126" i="40"/>
  <c r="CI126" i="40"/>
  <c r="CJ126" i="40"/>
  <c r="CK126" i="40"/>
  <c r="CL126" i="40"/>
  <c r="Q128" i="40"/>
  <c r="R128" i="40"/>
  <c r="S128" i="40"/>
  <c r="Q129" i="40"/>
  <c r="R129" i="40"/>
  <c r="S129" i="40"/>
  <c r="Q130" i="40"/>
  <c r="R130" i="40"/>
  <c r="S130" i="40"/>
  <c r="Q6" i="37"/>
  <c r="R6" i="37"/>
  <c r="S6" i="37"/>
  <c r="Q7" i="37"/>
  <c r="R7" i="37"/>
  <c r="S7"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Q84" i="37"/>
  <c r="R84" i="37"/>
  <c r="S84" i="37"/>
  <c r="Q85" i="37"/>
  <c r="R85" i="37"/>
  <c r="S85" i="37"/>
  <c r="Q86" i="37"/>
  <c r="R86" i="37"/>
  <c r="S86" i="37"/>
  <c r="Q87" i="37"/>
  <c r="R87" i="37"/>
  <c r="S87" i="37"/>
  <c r="Q91" i="37"/>
  <c r="R91" i="37"/>
  <c r="S91" i="37"/>
  <c r="Q92" i="37"/>
  <c r="R92" i="37"/>
  <c r="S92" i="37"/>
  <c r="Q94" i="37"/>
  <c r="CD94" i="37"/>
  <c r="CE94" i="37"/>
  <c r="CF94" i="37"/>
  <c r="Q95" i="37"/>
  <c r="Q96" i="37"/>
  <c r="R96" i="37"/>
  <c r="S96" i="37"/>
  <c r="CD96" i="37"/>
  <c r="CE96" i="37"/>
  <c r="CF96" i="37"/>
  <c r="CG96" i="37"/>
  <c r="CH96" i="37"/>
  <c r="CI96" i="37"/>
  <c r="CJ96" i="37"/>
  <c r="CK96" i="37"/>
  <c r="CL96" i="37"/>
  <c r="Q97" i="37"/>
  <c r="R97" i="37"/>
  <c r="S97" i="37"/>
  <c r="CD97" i="37"/>
  <c r="CE97" i="37"/>
  <c r="CF97" i="37"/>
  <c r="CG97" i="37"/>
  <c r="CH97" i="37"/>
  <c r="CI97" i="37"/>
  <c r="CJ97" i="37"/>
  <c r="CK97" i="37"/>
  <c r="CL97" i="37"/>
  <c r="Q98" i="37"/>
  <c r="R98" i="37"/>
  <c r="S98" i="37"/>
  <c r="CD98" i="37"/>
  <c r="CE98" i="37"/>
  <c r="CF98" i="37"/>
  <c r="CG98" i="37"/>
  <c r="CH98" i="37"/>
  <c r="CI98" i="37"/>
  <c r="CJ98" i="37"/>
  <c r="CK98" i="37"/>
  <c r="CL98" i="37"/>
  <c r="Q99" i="37"/>
  <c r="R99" i="37"/>
  <c r="S99" i="37"/>
  <c r="Q103" i="37"/>
  <c r="R103" i="37"/>
  <c r="S103" i="37"/>
  <c r="Q104" i="37"/>
  <c r="R104" i="37"/>
  <c r="S104" i="37"/>
  <c r="Q6" i="36"/>
  <c r="R6" i="36"/>
  <c r="S6" i="36"/>
  <c r="Q7" i="36"/>
  <c r="R7" i="36"/>
  <c r="S7" i="36"/>
  <c r="CK170" i="36"/>
  <c r="CL170" i="36"/>
  <c r="CK171" i="36"/>
  <c r="CL171" i="36"/>
  <c r="M7" i="31"/>
  <c r="BO7" i="31"/>
  <c r="M8" i="31"/>
  <c r="N8" i="31"/>
  <c r="BO8" i="31"/>
  <c r="BS8" i="31"/>
  <c r="M20" i="31"/>
  <c r="BO20" i="31"/>
  <c r="M21" i="31"/>
  <c r="N21" i="31"/>
  <c r="BO21" i="31"/>
  <c r="BS21" i="31"/>
  <c r="BO22" i="31"/>
  <c r="BP22" i="31"/>
  <c r="T119" i="31"/>
  <c r="U119" i="31"/>
  <c r="V119" i="31"/>
  <c r="W119" i="31"/>
  <c r="X119" i="31"/>
  <c r="Y119" i="31"/>
  <c r="Z119" i="31"/>
  <c r="AA119" i="31"/>
  <c r="AB119" i="31"/>
  <c r="AC119" i="31"/>
  <c r="AD119" i="31"/>
  <c r="AE119" i="31"/>
  <c r="AF119" i="31"/>
  <c r="CQ119" i="31"/>
  <c r="CR119" i="31"/>
  <c r="CS119" i="31"/>
  <c r="CT119" i="31"/>
  <c r="T121" i="31"/>
  <c r="U121" i="31"/>
  <c r="V121" i="31"/>
  <c r="W121" i="31"/>
  <c r="X121" i="31"/>
  <c r="Y121" i="31"/>
  <c r="Z121" i="31"/>
  <c r="AA121" i="31"/>
  <c r="AB121" i="31"/>
  <c r="AC121" i="31"/>
  <c r="AD121" i="31"/>
  <c r="AE121" i="31"/>
  <c r="AF121" i="31"/>
  <c r="CQ121" i="31"/>
  <c r="CR121" i="31"/>
  <c r="CS121" i="31"/>
  <c r="CT121" i="31"/>
  <c r="T122" i="31"/>
  <c r="U122" i="31"/>
  <c r="V122" i="31"/>
  <c r="W122" i="31"/>
  <c r="X122" i="31"/>
  <c r="Y122" i="31"/>
  <c r="Z122" i="31"/>
  <c r="AA122" i="31"/>
  <c r="AB122" i="31"/>
  <c r="AC122" i="31"/>
  <c r="AD122" i="31"/>
  <c r="AE122" i="31"/>
  <c r="AF122" i="31"/>
  <c r="CQ122" i="31"/>
  <c r="CR122" i="31"/>
  <c r="CS122" i="31"/>
  <c r="CT122" i="31"/>
  <c r="T125" i="31"/>
  <c r="U125" i="31"/>
  <c r="V125" i="31"/>
  <c r="W125" i="31"/>
  <c r="X125" i="31"/>
  <c r="Y125" i="31"/>
  <c r="Z125" i="31"/>
  <c r="AA125" i="31"/>
  <c r="AB125" i="31"/>
  <c r="AC125" i="31"/>
  <c r="AD125" i="31"/>
  <c r="AE125" i="31"/>
  <c r="AF125" i="31"/>
  <c r="CQ125" i="31"/>
  <c r="CR125" i="31"/>
  <c r="CS125" i="31"/>
  <c r="CT125" i="31"/>
  <c r="T126" i="31"/>
  <c r="U126" i="31"/>
  <c r="V126" i="31"/>
  <c r="W126" i="31"/>
  <c r="X126" i="31"/>
  <c r="Y126" i="31"/>
  <c r="Z126" i="31"/>
  <c r="AA126" i="31"/>
  <c r="AB126" i="31"/>
  <c r="AC126" i="31"/>
  <c r="AD126" i="31"/>
  <c r="AE126" i="31"/>
  <c r="AF126" i="31"/>
  <c r="CQ126" i="31"/>
  <c r="CR126" i="31"/>
  <c r="CS126" i="31"/>
  <c r="CT126" i="31"/>
  <c r="CR127" i="31"/>
  <c r="CS127" i="31"/>
  <c r="CT127" i="31"/>
  <c r="T128" i="31"/>
  <c r="U128" i="31"/>
  <c r="V128" i="31"/>
  <c r="W128" i="31"/>
  <c r="X128" i="31"/>
  <c r="Y128" i="31"/>
  <c r="Z128" i="31"/>
  <c r="AA128" i="31"/>
  <c r="AB128" i="31"/>
  <c r="AC128" i="31"/>
  <c r="AD128" i="31"/>
  <c r="AE128" i="31"/>
  <c r="AF128" i="31"/>
  <c r="CQ128" i="31"/>
  <c r="CR128" i="31"/>
  <c r="CS128" i="31"/>
  <c r="CT128" i="31"/>
  <c r="T129" i="31"/>
  <c r="U129" i="31"/>
  <c r="V129" i="31"/>
  <c r="W129" i="31"/>
  <c r="X129" i="31"/>
  <c r="Y129" i="31"/>
  <c r="Z129" i="31"/>
  <c r="AA129" i="31"/>
  <c r="AB129" i="31"/>
  <c r="AC129" i="31"/>
  <c r="AD129" i="31"/>
  <c r="AE129" i="31"/>
  <c r="AF129" i="31"/>
  <c r="CQ129" i="31"/>
  <c r="CR129" i="31"/>
  <c r="CS129" i="31"/>
  <c r="CT129" i="31"/>
  <c r="CR130" i="31"/>
  <c r="CS130" i="31"/>
  <c r="CT130" i="31"/>
  <c r="T131" i="31"/>
  <c r="U131" i="31"/>
  <c r="V131" i="31"/>
  <c r="W131" i="31"/>
  <c r="X131" i="31"/>
  <c r="Y131" i="31"/>
  <c r="Z131" i="31"/>
  <c r="AA131" i="31"/>
  <c r="AB131" i="31"/>
  <c r="AC131" i="31"/>
  <c r="AD131" i="31"/>
  <c r="AE131" i="31"/>
  <c r="AF131" i="31"/>
  <c r="CQ131" i="31"/>
  <c r="CR131" i="31"/>
  <c r="CS131" i="31"/>
  <c r="CT131" i="31"/>
  <c r="T132" i="31"/>
  <c r="U132" i="31"/>
  <c r="V132" i="31"/>
  <c r="W132" i="31"/>
  <c r="X132" i="31"/>
  <c r="Y132" i="31"/>
  <c r="Z132" i="31"/>
  <c r="AA132" i="31"/>
  <c r="AB132" i="31"/>
  <c r="AC132" i="31"/>
  <c r="AD132" i="31"/>
  <c r="AE132" i="31"/>
  <c r="AF132" i="31"/>
  <c r="CQ132" i="31"/>
  <c r="CR132" i="31"/>
  <c r="CS132" i="31"/>
  <c r="CT132" i="31"/>
  <c r="CR133" i="31"/>
  <c r="CS133" i="31"/>
  <c r="CT133" i="31"/>
  <c r="T134" i="31"/>
  <c r="U134" i="31"/>
  <c r="V134" i="31"/>
  <c r="W134" i="31"/>
  <c r="X134" i="31"/>
  <c r="Y134" i="31"/>
  <c r="Z134" i="31"/>
  <c r="AA134" i="31"/>
  <c r="AB134" i="31"/>
  <c r="AC134" i="31"/>
  <c r="AD134" i="31"/>
  <c r="AE134" i="31"/>
  <c r="AF134" i="31"/>
  <c r="CQ134" i="31"/>
  <c r="CR134" i="31"/>
  <c r="CS134" i="31"/>
  <c r="CT134" i="31"/>
  <c r="T135" i="31"/>
  <c r="U135" i="31"/>
  <c r="V135" i="31"/>
  <c r="W135" i="31"/>
  <c r="X135" i="31"/>
  <c r="Y135" i="31"/>
  <c r="Z135" i="31"/>
  <c r="AA135" i="31"/>
  <c r="AB135" i="31"/>
  <c r="AC135" i="31"/>
  <c r="AD135" i="31"/>
  <c r="AE135" i="31"/>
  <c r="AF135" i="31"/>
  <c r="CQ135" i="31"/>
  <c r="CR135" i="31"/>
  <c r="CS135" i="31"/>
  <c r="CT135" i="31"/>
  <c r="CR136" i="31"/>
  <c r="CS136" i="31"/>
  <c r="CT136" i="31"/>
  <c r="M150" i="31"/>
  <c r="BO150" i="31"/>
  <c r="N151" i="31"/>
  <c r="BS151" i="31"/>
  <c r="BP152" i="31"/>
  <c r="M154" i="31"/>
  <c r="BO154" i="31"/>
  <c r="N155" i="31"/>
  <c r="BS155" i="31"/>
  <c r="BP156" i="31"/>
  <c r="E5" i="46"/>
  <c r="E8" i="46"/>
  <c r="E12" i="46"/>
  <c r="H15" i="46"/>
  <c r="I15" i="46"/>
  <c r="J15" i="46"/>
  <c r="K15" i="46"/>
  <c r="L15" i="46"/>
  <c r="M15" i="46"/>
  <c r="H17" i="46"/>
  <c r="I17" i="46"/>
  <c r="J17" i="46"/>
  <c r="K17" i="46"/>
  <c r="L17" i="46"/>
  <c r="M17" i="46"/>
  <c r="Q17" i="46"/>
  <c r="R17" i="46"/>
  <c r="S17" i="46"/>
  <c r="H21" i="46"/>
  <c r="I21" i="46"/>
  <c r="J21" i="46"/>
  <c r="K21" i="46"/>
  <c r="L21" i="46"/>
  <c r="M21" i="46"/>
  <c r="E23" i="46"/>
  <c r="M23" i="46"/>
  <c r="M24" i="46"/>
  <c r="H27" i="46"/>
  <c r="H28" i="46"/>
  <c r="H29" i="46"/>
  <c r="H30" i="46"/>
  <c r="H32" i="46"/>
  <c r="H34" i="46"/>
  <c r="C35" i="46"/>
  <c r="D35" i="46"/>
  <c r="E35" i="46"/>
  <c r="H35" i="46"/>
  <c r="C36" i="46"/>
  <c r="D36" i="46"/>
  <c r="E36" i="46"/>
  <c r="H36" i="46"/>
  <c r="C37" i="46"/>
  <c r="D37" i="46"/>
  <c r="E37" i="46"/>
  <c r="H37" i="46"/>
  <c r="C38" i="46"/>
  <c r="D38" i="46"/>
  <c r="E38" i="46"/>
  <c r="C39" i="46"/>
  <c r="D39" i="46"/>
  <c r="E39" i="46"/>
  <c r="H41" i="46"/>
  <c r="H42" i="46"/>
  <c r="H43" i="46"/>
  <c r="H47" i="46"/>
  <c r="H48" i="46"/>
  <c r="H49" i="46"/>
  <c r="C50" i="46"/>
  <c r="D50" i="46"/>
  <c r="E50" i="46"/>
  <c r="C51" i="46"/>
  <c r="D51" i="46"/>
  <c r="E51" i="46"/>
  <c r="C52" i="46"/>
  <c r="D52" i="46"/>
  <c r="E52" i="46"/>
  <c r="C53" i="46"/>
  <c r="D53" i="46"/>
  <c r="E53" i="46"/>
  <c r="C54" i="46"/>
  <c r="D54" i="46"/>
  <c r="E54" i="46"/>
  <c r="C55" i="46"/>
  <c r="D55" i="46"/>
  <c r="E55" i="46"/>
</calcChain>
</file>

<file path=xl/comments1.xml><?xml version="1.0" encoding="utf-8"?>
<comments xmlns="http://schemas.openxmlformats.org/spreadsheetml/2006/main">
  <authors>
    <author>agarwalp</author>
    <author>katzedwa</author>
    <author>dgaviria</author>
    <author>Jeannette Baez</author>
    <author>wlsuch</author>
    <author>atalwar</author>
  </authors>
  <commentList>
    <comment ref="H160" authorId="0">
      <text>
        <r>
          <rPr>
            <b/>
            <sz val="8"/>
            <color indexed="81"/>
            <rFont val="Tahoma"/>
            <family val="2"/>
          </rPr>
          <t>agarwalp:</t>
        </r>
        <r>
          <rPr>
            <sz val="8"/>
            <color indexed="81"/>
            <rFont val="Tahoma"/>
            <family val="2"/>
          </rPr>
          <t xml:space="preserve">
Have assumed the Minority interest has been clubbed here in the BS</t>
        </r>
      </text>
    </comment>
    <comment ref="T163" authorId="1">
      <text>
        <r>
          <rPr>
            <b/>
            <sz val="8"/>
            <color indexed="81"/>
            <rFont val="Tahoma"/>
            <family val="2"/>
          </rPr>
          <t>katzedwa:</t>
        </r>
        <r>
          <rPr>
            <sz val="8"/>
            <color indexed="81"/>
            <rFont val="Tahoma"/>
            <family val="2"/>
          </rPr>
          <t xml:space="preserve">
Includes (in addition to Other, net): retirement benefits, excess tax benefits from share-based comp, distributions from unconsol cell entity, share-based comp</t>
        </r>
      </text>
    </comment>
    <comment ref="X163" authorId="2">
      <text>
        <r>
          <rPr>
            <b/>
            <sz val="8"/>
            <color indexed="81"/>
            <rFont val="Tahoma"/>
            <family val="2"/>
          </rPr>
          <t>dgaviria:</t>
        </r>
        <r>
          <rPr>
            <sz val="8"/>
            <color indexed="81"/>
            <rFont val="Tahoma"/>
            <family val="2"/>
          </rPr>
          <t xml:space="preserve">
From CTL press release:
Includes after-tax impact of integration costs associated with             the acquisition of EMBARQ ($14.4 million) and the after-tax             impact of a legal settlement ($1.9 million),  net of after-tax             favorable impact due to the resolution of transaction tax audit issues related to our wireless operations sold in 2002 ($2.0 million).
</t>
        </r>
      </text>
    </comment>
    <comment ref="A167" authorId="3">
      <text>
        <r>
          <rPr>
            <b/>
            <sz val="8"/>
            <color indexed="81"/>
            <rFont val="Tahoma"/>
            <family val="2"/>
          </rPr>
          <t>Jeannette Baez:</t>
        </r>
        <r>
          <rPr>
            <sz val="8"/>
            <color indexed="81"/>
            <rFont val="Tahoma"/>
            <family val="2"/>
          </rPr>
          <t xml:space="preserve">
goodwill flows through here in projections</t>
        </r>
      </text>
    </comment>
    <comment ref="P167" authorId="4">
      <text>
        <r>
          <rPr>
            <b/>
            <sz val="8"/>
            <color indexed="81"/>
            <rFont val="Tahoma"/>
            <family val="2"/>
          </rPr>
          <t>wlsuch:</t>
        </r>
        <r>
          <rPr>
            <sz val="8"/>
            <color indexed="81"/>
            <rFont val="Tahoma"/>
            <family val="2"/>
          </rPr>
          <t xml:space="preserve">
Acquisition of Madison River</t>
        </r>
      </text>
    </comment>
    <comment ref="S167" authorId="4">
      <text>
        <r>
          <rPr>
            <b/>
            <sz val="8"/>
            <color indexed="81"/>
            <rFont val="Tahoma"/>
            <family val="2"/>
          </rPr>
          <t>wlsuch:</t>
        </r>
        <r>
          <rPr>
            <sz val="8"/>
            <color indexed="81"/>
            <rFont val="Tahoma"/>
            <family val="2"/>
          </rPr>
          <t xml:space="preserve">
Deposit paid for wireless spectrum acution</t>
        </r>
      </text>
    </comment>
    <comment ref="T167" authorId="1">
      <text>
        <r>
          <rPr>
            <b/>
            <sz val="8"/>
            <color indexed="81"/>
            <rFont val="Tahoma"/>
            <family val="2"/>
          </rPr>
          <t>katzedwa:</t>
        </r>
        <r>
          <rPr>
            <sz val="8"/>
            <color indexed="81"/>
            <rFont val="Tahoma"/>
            <family val="2"/>
          </rPr>
          <t xml:space="preserve">
Purchase of wireless spectrum</t>
        </r>
      </text>
    </comment>
    <comment ref="P168" authorId="4">
      <text>
        <r>
          <rPr>
            <b/>
            <sz val="8"/>
            <color indexed="81"/>
            <rFont val="Tahoma"/>
            <family val="2"/>
          </rPr>
          <t>wlsuch:</t>
        </r>
        <r>
          <rPr>
            <sz val="8"/>
            <color indexed="81"/>
            <rFont val="Tahoma"/>
            <family val="2"/>
          </rPr>
          <t xml:space="preserve">
Acquisition of Madison River</t>
        </r>
      </text>
    </comment>
    <comment ref="S168" authorId="4">
      <text>
        <r>
          <rPr>
            <b/>
            <sz val="8"/>
            <color indexed="81"/>
            <rFont val="Tahoma"/>
            <family val="2"/>
          </rPr>
          <t>wlsuch:</t>
        </r>
        <r>
          <rPr>
            <sz val="8"/>
            <color indexed="81"/>
            <rFont val="Tahoma"/>
            <family val="2"/>
          </rPr>
          <t xml:space="preserve">
Deposit paid for wireless spectrum acution</t>
        </r>
      </text>
    </comment>
    <comment ref="T168" authorId="1">
      <text>
        <r>
          <rPr>
            <b/>
            <sz val="8"/>
            <color indexed="81"/>
            <rFont val="Tahoma"/>
            <family val="2"/>
          </rPr>
          <t>katzedwa:</t>
        </r>
        <r>
          <rPr>
            <sz val="8"/>
            <color indexed="81"/>
            <rFont val="Tahoma"/>
            <family val="2"/>
          </rPr>
          <t xml:space="preserve">
Purchase of wireless spectrum</t>
        </r>
      </text>
    </comment>
    <comment ref="P169" authorId="4">
      <text>
        <r>
          <rPr>
            <b/>
            <sz val="8"/>
            <color indexed="81"/>
            <rFont val="Tahoma"/>
            <family val="2"/>
          </rPr>
          <t>wlsuch:</t>
        </r>
        <r>
          <rPr>
            <sz val="8"/>
            <color indexed="81"/>
            <rFont val="Tahoma"/>
            <family val="2"/>
          </rPr>
          <t xml:space="preserve">
Acquisition of Madison River</t>
        </r>
      </text>
    </comment>
    <comment ref="S169" authorId="4">
      <text>
        <r>
          <rPr>
            <b/>
            <sz val="8"/>
            <color indexed="81"/>
            <rFont val="Tahoma"/>
            <family val="2"/>
          </rPr>
          <t>wlsuch:</t>
        </r>
        <r>
          <rPr>
            <sz val="8"/>
            <color indexed="81"/>
            <rFont val="Tahoma"/>
            <family val="2"/>
          </rPr>
          <t xml:space="preserve">
Deposit paid for wireless spectrum acution</t>
        </r>
      </text>
    </comment>
    <comment ref="T169" authorId="1">
      <text>
        <r>
          <rPr>
            <b/>
            <sz val="8"/>
            <color indexed="81"/>
            <rFont val="Tahoma"/>
            <family val="2"/>
          </rPr>
          <t>katzedwa:</t>
        </r>
        <r>
          <rPr>
            <sz val="8"/>
            <color indexed="81"/>
            <rFont val="Tahoma"/>
            <family val="2"/>
          </rPr>
          <t xml:space="preserve">
Purchase of wireless spectrum</t>
        </r>
      </text>
    </comment>
    <comment ref="A174" authorId="3">
      <text>
        <r>
          <rPr>
            <b/>
            <sz val="8"/>
            <color indexed="81"/>
            <rFont val="Tahoma"/>
            <family val="2"/>
          </rPr>
          <t>Jeannette Baez:</t>
        </r>
        <r>
          <rPr>
            <sz val="8"/>
            <color indexed="81"/>
            <rFont val="Tahoma"/>
            <family val="2"/>
          </rPr>
          <t xml:space="preserve">
other non-current assets through here including assets held for sale and other non-current assets</t>
        </r>
      </text>
    </comment>
    <comment ref="H178" authorId="5">
      <text>
        <r>
          <rPr>
            <b/>
            <sz val="8"/>
            <color indexed="81"/>
            <rFont val="Tahoma"/>
            <family val="2"/>
          </rPr>
          <t>atalwar:</t>
        </r>
        <r>
          <rPr>
            <sz val="8"/>
            <color indexed="81"/>
            <rFont val="Tahoma"/>
            <family val="2"/>
          </rPr>
          <t xml:space="preserve">
Co. mentioned in 4Q04 conf. call that they had $250 mn in maturities in 2005.  
Assume in 3Q debt grows by $500 mn from debt component of mandatory convert. We assume in our model that the qeuity unit covnerts into common stock and debt in May 2005. However, Co. buys back stock from the $500 mn in cash it gets </t>
        </r>
      </text>
    </comment>
    <comment ref="I178" authorId="5">
      <text>
        <r>
          <rPr>
            <b/>
            <sz val="8"/>
            <color indexed="81"/>
            <rFont val="Tahoma"/>
            <family val="2"/>
          </rPr>
          <t>atalwar:</t>
        </r>
        <r>
          <rPr>
            <sz val="8"/>
            <color indexed="81"/>
            <rFont val="Tahoma"/>
            <family val="2"/>
          </rPr>
          <t xml:space="preserve">
Co. mentioned in 4Q04 conf. call that they had $250 mn in maturities in 2005.  
Assume in 3Q debt grows by $500 mn from debt component of mandatory convert. We assume in our model that the qeuity unit covnerts into common stock and debt in May 2005. However, Co. buys back stock from the $500 mn in cash it gets </t>
        </r>
      </text>
    </comment>
    <comment ref="J178" authorId="5">
      <text>
        <r>
          <rPr>
            <b/>
            <sz val="8"/>
            <color indexed="81"/>
            <rFont val="Tahoma"/>
            <family val="2"/>
          </rPr>
          <t>atalwar:</t>
        </r>
        <r>
          <rPr>
            <sz val="8"/>
            <color indexed="81"/>
            <rFont val="Tahoma"/>
            <family val="2"/>
          </rPr>
          <t xml:space="preserve">
Co. mentioned in 4Q04 conf. call that they had $250 mn in maturities in 2005.  
Assume in 3Q debt grows by $500 mn from debt component of mandatory convert. We assume in our model that the qeuity unit covnerts into common stock and debt in May 2005. However, Co. buys back stock from the $500 mn in cash it gets </t>
        </r>
      </text>
    </comment>
    <comment ref="S184" authorId="4">
      <text>
        <r>
          <rPr>
            <b/>
            <sz val="8"/>
            <color indexed="81"/>
            <rFont val="Tahoma"/>
            <family val="2"/>
          </rPr>
          <t>wlsuch:</t>
        </r>
        <r>
          <rPr>
            <sz val="8"/>
            <color indexed="81"/>
            <rFont val="Tahoma"/>
            <family val="2"/>
          </rPr>
          <t xml:space="preserve">
Plug: Remove while updating with 10-q</t>
        </r>
      </text>
    </comment>
  </commentList>
</comments>
</file>

<file path=xl/comments2.xml><?xml version="1.0" encoding="utf-8"?>
<comments xmlns="http://schemas.openxmlformats.org/spreadsheetml/2006/main">
  <authors>
    <author>katzedwa</author>
  </authors>
  <commentList>
    <comment ref="A1" authorId="0">
      <text>
        <r>
          <rPr>
            <b/>
            <sz val="8"/>
            <color indexed="81"/>
            <rFont val="Tahoma"/>
            <family val="2"/>
          </rPr>
          <t>卟䙄_x0001_＀＀䳲䨠_x0018_充䙞䵟呋噟䱁䕕〨Ⱜ∬㡒⤢_x0018_＀＀_x0018_＀＀_x0008_＀＀_x0001_＀＀_x0001_＀＀탦_xDB22_㹹䂷䳲䨠_x0019_呃幌彆䭍彔䅖啌⡅ⰰⰬ刢∸착_x0018_＀＀_x0018_＀＀_x0008_＀＀_x0001_＀＀_x0001_＀＀蔟凫ᅸ䂨</t>
        </r>
      </text>
    </comment>
    <comment ref="B1" authorId="0">
      <text>
        <r>
          <rPr>
            <b/>
            <sz val="8"/>
            <color indexed="81"/>
            <rFont val="Tahoma"/>
            <family val="2"/>
          </rPr>
          <t>74</t>
        </r>
      </text>
    </comment>
  </commentList>
</comments>
</file>

<file path=xl/comments3.xml><?xml version="1.0" encoding="utf-8"?>
<comments xmlns="http://schemas.openxmlformats.org/spreadsheetml/2006/main">
  <authors>
    <author>katzedwa</author>
  </authors>
  <commentList>
    <comment ref="U96" authorId="0">
      <text>
        <r>
          <rPr>
            <b/>
            <sz val="8"/>
            <color indexed="81"/>
            <rFont val="Tahoma"/>
            <family val="2"/>
          </rPr>
          <t>katzedwa:</t>
        </r>
        <r>
          <rPr>
            <sz val="8"/>
            <color indexed="81"/>
            <rFont val="Tahoma"/>
            <family val="2"/>
          </rPr>
          <t xml:space="preserve">
Shares adjusted for purchase price allocation</t>
        </r>
      </text>
    </comment>
    <comment ref="V96" authorId="0">
      <text>
        <r>
          <rPr>
            <b/>
            <sz val="8"/>
            <color indexed="81"/>
            <rFont val="Tahoma"/>
            <family val="2"/>
          </rPr>
          <t>katzedwa:</t>
        </r>
        <r>
          <rPr>
            <sz val="8"/>
            <color indexed="81"/>
            <rFont val="Tahoma"/>
            <family val="2"/>
          </rPr>
          <t xml:space="preserve">
Shares adjusted for purchase price allocation</t>
        </r>
      </text>
    </comment>
    <comment ref="W96" authorId="0">
      <text>
        <r>
          <rPr>
            <b/>
            <sz val="8"/>
            <color indexed="81"/>
            <rFont val="Tahoma"/>
            <family val="2"/>
          </rPr>
          <t>katzedwa:</t>
        </r>
        <r>
          <rPr>
            <sz val="8"/>
            <color indexed="81"/>
            <rFont val="Tahoma"/>
            <family val="2"/>
          </rPr>
          <t xml:space="preserve">
Shares adjusted for purchase price allocation</t>
        </r>
      </text>
    </comment>
    <comment ref="X96" authorId="0">
      <text>
        <r>
          <rPr>
            <b/>
            <sz val="8"/>
            <color indexed="81"/>
            <rFont val="Tahoma"/>
            <family val="2"/>
          </rPr>
          <t>katzedwa:</t>
        </r>
        <r>
          <rPr>
            <sz val="8"/>
            <color indexed="81"/>
            <rFont val="Tahoma"/>
            <family val="2"/>
          </rPr>
          <t xml:space="preserve">
Shares adjusted for purchase price allocation</t>
        </r>
      </text>
    </comment>
    <comment ref="Y96" authorId="0">
      <text>
        <r>
          <rPr>
            <b/>
            <sz val="8"/>
            <color indexed="81"/>
            <rFont val="Tahoma"/>
            <family val="2"/>
          </rPr>
          <t>katzedwa:</t>
        </r>
        <r>
          <rPr>
            <sz val="8"/>
            <color indexed="81"/>
            <rFont val="Tahoma"/>
            <family val="2"/>
          </rPr>
          <t xml:space="preserve">
Shares adjusted for purchase price allocation</t>
        </r>
      </text>
    </comment>
    <comment ref="Z96" authorId="0">
      <text>
        <r>
          <rPr>
            <b/>
            <sz val="8"/>
            <color indexed="81"/>
            <rFont val="Tahoma"/>
            <family val="2"/>
          </rPr>
          <t>katzedwa:</t>
        </r>
        <r>
          <rPr>
            <sz val="8"/>
            <color indexed="81"/>
            <rFont val="Tahoma"/>
            <family val="2"/>
          </rPr>
          <t xml:space="preserve">
Shares adjusted for purchase price allocation</t>
        </r>
      </text>
    </comment>
  </commentList>
</comments>
</file>

<file path=xl/comments4.xml><?xml version="1.0" encoding="utf-8"?>
<comments xmlns="http://schemas.openxmlformats.org/spreadsheetml/2006/main">
  <authors>
    <author>Gantsoudes, Spencer (Research)</author>
    <author>Armintas Sinkevicius</author>
  </authors>
  <commentList>
    <comment ref="E5" authorId="0">
      <text>
        <r>
          <rPr>
            <b/>
            <sz val="9"/>
            <color indexed="81"/>
            <rFont val="Tahoma"/>
            <family val="2"/>
          </rPr>
          <t>Gantsoudes, Spencer (Research):</t>
        </r>
        <r>
          <rPr>
            <sz val="9"/>
            <color indexed="81"/>
            <rFont val="Tahoma"/>
            <family val="2"/>
          </rPr>
          <t xml:space="preserve">
4Q14A</t>
        </r>
      </text>
    </comment>
    <comment ref="E6" authorId="1">
      <text>
        <r>
          <rPr>
            <b/>
            <sz val="8"/>
            <color indexed="81"/>
            <rFont val="Tahoma"/>
            <family val="2"/>
          </rPr>
          <t>Armintas Sinkevicius:</t>
        </r>
        <r>
          <rPr>
            <sz val="8"/>
            <color indexed="81"/>
            <rFont val="Tahoma"/>
            <family val="2"/>
          </rPr>
          <t xml:space="preserve">
1Q14A
Incl. Pension + OPEB underfunding</t>
        </r>
      </text>
    </comment>
    <comment ref="B50" authorId="1">
      <text>
        <r>
          <rPr>
            <b/>
            <sz val="8"/>
            <color indexed="81"/>
            <rFont val="Tahoma"/>
            <family val="2"/>
          </rPr>
          <t>Armintas Sinkevicius:</t>
        </r>
        <r>
          <rPr>
            <sz val="8"/>
            <color indexed="81"/>
            <rFont val="Tahoma"/>
            <family val="2"/>
          </rPr>
          <t xml:space="preserve">
OCF - Capex</t>
        </r>
      </text>
    </comment>
    <comment ref="J51" authorId="1">
      <text>
        <r>
          <rPr>
            <b/>
            <sz val="8"/>
            <color indexed="81"/>
            <rFont val="Tahoma"/>
            <family val="2"/>
          </rPr>
          <t>Armintas Sinkevicius:</t>
        </r>
        <r>
          <rPr>
            <sz val="8"/>
            <color indexed="81"/>
            <rFont val="Tahoma"/>
            <family val="2"/>
          </rPr>
          <t xml:space="preserve">
5-Year Average: ~7.5%
Historical: ~7.8%</t>
        </r>
      </text>
    </comment>
  </commentList>
</comments>
</file>

<file path=xl/comments5.xml><?xml version="1.0" encoding="utf-8"?>
<comments xmlns="http://schemas.openxmlformats.org/spreadsheetml/2006/main">
  <authors>
    <author>Daniel Gaviria</author>
    <author>warjohn</author>
    <author>Gantsoudes, Spencer (Research)</author>
    <author>Armintas Sinkevicius</author>
    <author>armintas</author>
  </authors>
  <commentList>
    <comment ref="BI6" authorId="0">
      <text>
        <r>
          <rPr>
            <b/>
            <sz val="8"/>
            <color indexed="81"/>
            <rFont val="Tahoma"/>
            <family val="2"/>
          </rPr>
          <t>Daniel Gaviria:</t>
        </r>
        <r>
          <rPr>
            <sz val="8"/>
            <color indexed="81"/>
            <rFont val="Tahoma"/>
            <family val="2"/>
          </rPr>
          <t xml:space="preserve">
GUIDANCE: $0.29 to $.34</t>
        </r>
      </text>
    </comment>
    <comment ref="BJ6" authorId="0">
      <text>
        <r>
          <rPr>
            <b/>
            <sz val="8"/>
            <color indexed="81"/>
            <rFont val="Tahoma"/>
            <family val="2"/>
          </rPr>
          <t>Daniel Gaviria:</t>
        </r>
        <r>
          <rPr>
            <sz val="8"/>
            <color indexed="81"/>
            <rFont val="Tahoma"/>
            <family val="2"/>
          </rPr>
          <t xml:space="preserve">
GUIDANCE: $0.29 to $.34</t>
        </r>
      </text>
    </comment>
    <comment ref="N25" authorId="1">
      <text>
        <r>
          <rPr>
            <b/>
            <sz val="8"/>
            <color indexed="81"/>
            <rFont val="Tahoma"/>
            <family val="2"/>
          </rPr>
          <t>warjohn:</t>
        </r>
        <r>
          <rPr>
            <sz val="8"/>
            <color indexed="81"/>
            <rFont val="Tahoma"/>
            <family val="2"/>
          </rPr>
          <t xml:space="preserve">
Guidance:
4Q12: $18.1B - $18.3B
1Q13: no change
2Q13: $18.05B - $18.2B
3Q13: no change</t>
        </r>
      </text>
    </comment>
    <comment ref="O25" authorId="1">
      <text>
        <r>
          <rPr>
            <b/>
            <sz val="8"/>
            <color indexed="81"/>
            <rFont val="Tahoma"/>
            <family val="2"/>
          </rPr>
          <t>Spencer Gantsoudes:</t>
        </r>
        <r>
          <rPr>
            <sz val="8"/>
            <color indexed="81"/>
            <rFont val="Tahoma"/>
            <family val="2"/>
          </rPr>
          <t xml:space="preserve">
$17.9 - $18.1B
$18.0B @ midpt
expect to be towards the high end of guidance, per 2Q14 call</t>
        </r>
      </text>
    </comment>
    <comment ref="P25" authorId="2">
      <text>
        <r>
          <rPr>
            <b/>
            <sz val="9"/>
            <color indexed="81"/>
            <rFont val="Tahoma"/>
            <family val="2"/>
          </rPr>
          <t>Gantsoudes, Spencer (Research):</t>
        </r>
        <r>
          <rPr>
            <sz val="9"/>
            <color indexed="81"/>
            <rFont val="Tahoma"/>
            <family val="2"/>
          </rPr>
          <t xml:space="preserve">
$17.9-$18.1 guidance
2q15 update: $17.7-$17.9B (not inclusive of CAF)
CAF adds $200M ($150/$50M in 3Q/4Q)</t>
        </r>
      </text>
    </comment>
    <comment ref="Q25" authorId="2">
      <text>
        <r>
          <rPr>
            <b/>
            <sz val="9"/>
            <color indexed="81"/>
            <rFont val="Tahoma"/>
            <family val="2"/>
          </rPr>
          <t>Gantsoudes, Spencer (Research):</t>
        </r>
        <r>
          <rPr>
            <sz val="9"/>
            <color indexed="81"/>
            <rFont val="Tahoma"/>
            <family val="2"/>
          </rPr>
          <t xml:space="preserve">
$17.55-$17.80 guidance
-$1767.5 at mid point</t>
        </r>
      </text>
    </comment>
    <comment ref="R25" authorId="2">
      <text>
        <r>
          <rPr>
            <b/>
            <sz val="9"/>
            <color indexed="81"/>
            <rFont val="Tahoma"/>
            <family val="2"/>
          </rPr>
          <t>Gantsoudes, Spencer (Research):</t>
        </r>
        <r>
          <rPr>
            <sz val="9"/>
            <color indexed="81"/>
            <rFont val="Tahoma"/>
            <family val="2"/>
          </rPr>
          <t xml:space="preserve">
17.05-17.3
17.175 at midpt</t>
        </r>
      </text>
    </comment>
    <comment ref="BQ25" authorId="1">
      <text>
        <r>
          <rPr>
            <b/>
            <sz val="8"/>
            <color indexed="81"/>
            <rFont val="Tahoma"/>
            <family val="2"/>
          </rPr>
          <t>warjohn:</t>
        </r>
        <r>
          <rPr>
            <sz val="8"/>
            <color indexed="81"/>
            <rFont val="Tahoma"/>
            <family val="2"/>
          </rPr>
          <t xml:space="preserve">
2Q13: $4.50B - $4.55B</t>
        </r>
      </text>
    </comment>
    <comment ref="BR25" authorId="3">
      <text>
        <r>
          <rPr>
            <b/>
            <sz val="8"/>
            <color indexed="81"/>
            <rFont val="Tahoma"/>
            <family val="2"/>
          </rPr>
          <t>Armintas Sinkevicius:</t>
        </r>
        <r>
          <rPr>
            <sz val="8"/>
            <color indexed="81"/>
            <rFont val="Tahoma"/>
            <family val="2"/>
          </rPr>
          <t xml:space="preserve">
$4.5b to $4.55b
$4.25b @ midpoint</t>
        </r>
      </text>
    </comment>
    <comment ref="BS25" authorId="1">
      <text>
        <r>
          <rPr>
            <b/>
            <sz val="8"/>
            <color indexed="81"/>
            <rFont val="Tahoma"/>
            <family val="2"/>
          </rPr>
          <t>warjohn:</t>
        </r>
        <r>
          <rPr>
            <sz val="8"/>
            <color indexed="81"/>
            <rFont val="Tahoma"/>
            <family val="2"/>
          </rPr>
          <t xml:space="preserve">
$4.46 - $4.51B
$4.485B @ midpt</t>
        </r>
      </text>
    </comment>
    <comment ref="BT25" authorId="3">
      <text>
        <r>
          <rPr>
            <b/>
            <sz val="8"/>
            <color indexed="81"/>
            <rFont val="Tahoma"/>
            <family val="2"/>
          </rPr>
          <t>Armintas Sinkevicius:</t>
        </r>
        <r>
          <rPr>
            <sz val="8"/>
            <color indexed="81"/>
            <rFont val="Tahoma"/>
            <family val="2"/>
          </rPr>
          <t xml:space="preserve">
$4.48b to $4.53b</t>
        </r>
      </text>
    </comment>
    <comment ref="BU25" authorId="2">
      <text>
        <r>
          <rPr>
            <b/>
            <sz val="9"/>
            <color indexed="81"/>
            <rFont val="Tahoma"/>
            <family val="2"/>
          </rPr>
          <t>Gantsoudes, Spencer (Research):</t>
        </r>
        <r>
          <rPr>
            <sz val="9"/>
            <color indexed="81"/>
            <rFont val="Tahoma"/>
            <family val="2"/>
          </rPr>
          <t xml:space="preserve">
$4.47-$4.52B guidance</t>
        </r>
      </text>
    </comment>
    <comment ref="BV25" authorId="2">
      <text>
        <r>
          <rPr>
            <b/>
            <sz val="9"/>
            <color indexed="81"/>
            <rFont val="Tahoma"/>
            <family val="2"/>
          </rPr>
          <t>Gantsoudes, Spencer (Research):</t>
        </r>
        <r>
          <rPr>
            <sz val="9"/>
            <color indexed="81"/>
            <rFont val="Tahoma"/>
            <family val="2"/>
          </rPr>
          <t xml:space="preserve">
$4.44-$4.49B guidance</t>
        </r>
      </text>
    </comment>
    <comment ref="BW25" authorId="2">
      <text>
        <r>
          <rPr>
            <b/>
            <sz val="9"/>
            <color indexed="81"/>
            <rFont val="Tahoma"/>
            <family val="2"/>
          </rPr>
          <t>Gantsoudes, Spencer (Research):</t>
        </r>
        <r>
          <rPr>
            <sz val="9"/>
            <color indexed="81"/>
            <rFont val="Tahoma"/>
            <family val="2"/>
          </rPr>
          <t xml:space="preserve">
Guidance = $4.45B-$4.50B</t>
        </r>
      </text>
    </comment>
    <comment ref="BX25" authorId="2">
      <text>
        <r>
          <rPr>
            <b/>
            <sz val="9"/>
            <color indexed="81"/>
            <rFont val="Tahoma"/>
            <family val="2"/>
          </rPr>
          <t>Gantsoudes, Spencer (Research):</t>
        </r>
        <r>
          <rPr>
            <sz val="9"/>
            <color indexed="81"/>
            <rFont val="Tahoma"/>
            <family val="2"/>
          </rPr>
          <t xml:space="preserve">
guidance $4.41-$4.46B
midpt $4,435
</t>
        </r>
      </text>
    </comment>
    <comment ref="BY25" authorId="2">
      <text>
        <r>
          <rPr>
            <b/>
            <sz val="9"/>
            <color indexed="81"/>
            <rFont val="Tahoma"/>
            <family val="2"/>
          </rPr>
          <t>Gantsoudes, Spencer (Research):</t>
        </r>
        <r>
          <rPr>
            <sz val="9"/>
            <color indexed="81"/>
            <rFont val="Tahoma"/>
            <family val="2"/>
          </rPr>
          <t xml:space="preserve">
=$4445M at mid point + $150M from CAF II
=$4,595</t>
        </r>
      </text>
    </comment>
    <comment ref="BZ25" authorId="2">
      <text>
        <r>
          <rPr>
            <b/>
            <sz val="9"/>
            <color indexed="81"/>
            <rFont val="Tahoma"/>
            <family val="2"/>
          </rPr>
          <t>Gantsoudes, Spencer (Research):</t>
        </r>
        <r>
          <rPr>
            <sz val="9"/>
            <color indexed="81"/>
            <rFont val="Tahoma"/>
            <family val="2"/>
          </rPr>
          <t xml:space="preserve">
$4.40-$4.45B</t>
        </r>
      </text>
    </comment>
    <comment ref="CA25" authorId="2">
      <text>
        <r>
          <rPr>
            <b/>
            <sz val="9"/>
            <color indexed="81"/>
            <rFont val="Tahoma"/>
            <family val="2"/>
          </rPr>
          <t>Gantsoudes, Spencer (Research):</t>
        </r>
        <r>
          <rPr>
            <sz val="9"/>
            <color indexed="81"/>
            <rFont val="Tahoma"/>
            <family val="2"/>
          </rPr>
          <t xml:space="preserve">
4.40-4.45
442.5 at mid point</t>
        </r>
      </text>
    </comment>
    <comment ref="CB25" authorId="2">
      <text>
        <r>
          <rPr>
            <b/>
            <sz val="9"/>
            <color indexed="81"/>
            <rFont val="Tahoma"/>
            <family val="2"/>
          </rPr>
          <t>Gantsoudes, Spencer (Research):</t>
        </r>
        <r>
          <rPr>
            <sz val="9"/>
            <color indexed="81"/>
            <rFont val="Tahoma"/>
            <family val="2"/>
          </rPr>
          <t xml:space="preserve">
4380-4430
4405 midpoint</t>
        </r>
      </text>
    </comment>
    <comment ref="CC25" authorId="2">
      <text>
        <r>
          <rPr>
            <b/>
            <sz val="9"/>
            <color indexed="81"/>
            <rFont val="Tahoma"/>
            <family val="2"/>
          </rPr>
          <t>Gantsoudes, Spencer (Research):</t>
        </r>
        <r>
          <rPr>
            <sz val="9"/>
            <color indexed="81"/>
            <rFont val="Tahoma"/>
            <family val="2"/>
          </rPr>
          <t xml:space="preserve">
4.35-4.40
4375 at mid point</t>
        </r>
      </text>
    </comment>
    <comment ref="CD25" authorId="2">
      <text>
        <r>
          <rPr>
            <b/>
            <sz val="9"/>
            <color indexed="81"/>
            <rFont val="Tahoma"/>
            <family val="2"/>
          </rPr>
          <t>Gantsoudes, Spencer (Research):</t>
        </r>
        <r>
          <rPr>
            <sz val="9"/>
            <color indexed="81"/>
            <rFont val="Tahoma"/>
            <family val="2"/>
          </rPr>
          <t xml:space="preserve">
4Q16 Guidance: 4.28-4.34
midpoint = 4,310
17,613 midpoint of low/end and midpoint for FY16</t>
        </r>
      </text>
    </comment>
    <comment ref="CE25" authorId="2">
      <text>
        <r>
          <rPr>
            <b/>
            <sz val="9"/>
            <color indexed="81"/>
            <rFont val="Tahoma"/>
            <family val="2"/>
          </rPr>
          <t>Gantsoudes, Spencer (Research):</t>
        </r>
        <r>
          <rPr>
            <sz val="9"/>
            <color indexed="81"/>
            <rFont val="Tahoma"/>
            <family val="2"/>
          </rPr>
          <t xml:space="preserve">
4.23-4.29 guidance</t>
        </r>
      </text>
    </comment>
    <comment ref="CF25" authorId="2">
      <text>
        <r>
          <rPr>
            <b/>
            <sz val="9"/>
            <color indexed="81"/>
            <rFont val="Tahoma"/>
            <family val="2"/>
          </rPr>
          <t>Gantsoudes, Spencer (Research):</t>
        </r>
        <r>
          <rPr>
            <sz val="9"/>
            <color indexed="81"/>
            <rFont val="Tahoma"/>
            <family val="2"/>
          </rPr>
          <t xml:space="preserve">
4070-4130
4100</t>
        </r>
      </text>
    </comment>
    <comment ref="CG25" authorId="2">
      <text>
        <r>
          <rPr>
            <b/>
            <sz val="9"/>
            <color indexed="81"/>
            <rFont val="Tahoma"/>
            <family val="2"/>
          </rPr>
          <t>Gantsoudes, Spencer (Research):</t>
        </r>
        <r>
          <rPr>
            <sz val="9"/>
            <color indexed="81"/>
            <rFont val="Tahoma"/>
            <family val="2"/>
          </rPr>
          <t xml:space="preserve">
4.09 midpt (4.06-4.12 )</t>
        </r>
      </text>
    </comment>
    <comment ref="CH25" authorId="2">
      <text>
        <r>
          <rPr>
            <b/>
            <sz val="9"/>
            <color indexed="81"/>
            <rFont val="Tahoma"/>
            <family val="2"/>
          </rPr>
          <t>Gantsoudes, Spencer (Research):</t>
        </r>
        <r>
          <rPr>
            <sz val="9"/>
            <color indexed="81"/>
            <rFont val="Tahoma"/>
            <family val="2"/>
          </rPr>
          <t xml:space="preserve">
3964 ex Level 3</t>
        </r>
      </text>
    </comment>
    <comment ref="CC28" authorId="2">
      <text>
        <r>
          <rPr>
            <b/>
            <sz val="9"/>
            <color indexed="81"/>
            <rFont val="Tahoma"/>
            <family val="2"/>
          </rPr>
          <t>Gantsoudes, Spencer (Research):</t>
        </r>
        <r>
          <rPr>
            <sz val="9"/>
            <color indexed="81"/>
            <rFont val="Tahoma"/>
            <family val="2"/>
          </rPr>
          <t xml:space="preserve">
4q should be $40-$60m less than 3q</t>
        </r>
      </text>
    </comment>
    <comment ref="CD28" authorId="2">
      <text>
        <r>
          <rPr>
            <b/>
            <sz val="9"/>
            <color indexed="81"/>
            <rFont val="Tahoma"/>
            <family val="2"/>
          </rPr>
          <t>Gantsoudes, Spencer (Research):</t>
        </r>
        <r>
          <rPr>
            <sz val="9"/>
            <color indexed="81"/>
            <rFont val="Tahoma"/>
            <family val="2"/>
          </rPr>
          <t xml:space="preserve">
4q should be $40-$60m less than 3q - due to seasonality (GS communacopia)
4q should be $60-$80m less than 3q - 2Q16 CC</t>
        </r>
      </text>
    </comment>
    <comment ref="CD32" authorId="2">
      <text>
        <r>
          <rPr>
            <b/>
            <sz val="9"/>
            <color indexed="81"/>
            <rFont val="Tahoma"/>
            <family val="2"/>
          </rPr>
          <t>Gantsoudes, Spencer (Research):</t>
        </r>
        <r>
          <rPr>
            <sz val="9"/>
            <color indexed="81"/>
            <rFont val="Tahoma"/>
            <family val="2"/>
          </rPr>
          <t xml:space="preserve">
Includes severance costs associated with recent headcount reductions ($164 million), integration costs associated with our acquisition of Qwest ($2 million), costs associated with a large billing system integration project ($2 million), costs related to our pending acquisition of Level 3 ($52 million), costs associated with our pending sale of the colocation business ($7 million) and the impairment of a building ($11 million).</t>
        </r>
      </text>
    </comment>
    <comment ref="CD39" authorId="2">
      <text>
        <r>
          <rPr>
            <b/>
            <sz val="9"/>
            <color indexed="81"/>
            <rFont val="Tahoma"/>
            <family val="2"/>
          </rPr>
          <t>Gantsoudes, Spencer (Research):</t>
        </r>
        <r>
          <rPr>
            <sz val="9"/>
            <color indexed="81"/>
            <rFont val="Tahoma"/>
            <family val="2"/>
          </rPr>
          <t xml:space="preserve">
Includes severance costs associated with recent headcount reductions ($164 million), integration costs associated with our acquisition of Qwest ($2 million), costs associated with a large billing system integration project ($2 million), costs related to our pending acquisition of Level 3 ($52 million), costs associated with our pending sale of the colocation business ($7 million) and the impairment of a building ($11 million).</t>
        </r>
      </text>
    </comment>
    <comment ref="P47" authorId="2">
      <text>
        <r>
          <rPr>
            <b/>
            <sz val="9"/>
            <color indexed="81"/>
            <rFont val="Tahoma"/>
            <family val="2"/>
          </rPr>
          <t>Gantsoudes, Spencer (Research):</t>
        </r>
        <r>
          <rPr>
            <sz val="9"/>
            <color indexed="81"/>
            <rFont val="Tahoma"/>
            <family val="2"/>
          </rPr>
          <t xml:space="preserve">
expected to be down ~$250M
We anticipate a decline in depreciation and amortization expense of approximately $250 million for full year 2015 compared to full year 2014, primarily driven by the impact of declining amortization of acquisition-related intangible assets and the annual review and update of depreciation rates, which were expected to more than offset increases in depreciation expense associated with continued capital investment.</t>
        </r>
      </text>
    </comment>
    <comment ref="R47" authorId="2">
      <text>
        <r>
          <rPr>
            <b/>
            <sz val="9"/>
            <color indexed="81"/>
            <rFont val="Tahoma"/>
            <family val="2"/>
          </rPr>
          <t>Gantsoudes, Spencer (Research):</t>
        </r>
        <r>
          <rPr>
            <sz val="9"/>
            <color indexed="81"/>
            <rFont val="Tahoma"/>
            <family val="2"/>
          </rPr>
          <t xml:space="preserve">
expected to be $150m lower than 2016</t>
        </r>
      </text>
    </comment>
    <comment ref="S47" authorId="2">
      <text>
        <r>
          <rPr>
            <b/>
            <sz val="9"/>
            <color indexed="81"/>
            <rFont val="Tahoma"/>
            <family val="2"/>
          </rPr>
          <t>Gantsoudes, Spencer (Research):</t>
        </r>
        <r>
          <rPr>
            <sz val="9"/>
            <color indexed="81"/>
            <rFont val="Tahoma"/>
            <family val="2"/>
          </rPr>
          <t xml:space="preserve">
5400-5500</t>
        </r>
      </text>
    </comment>
    <comment ref="CF47" authorId="2">
      <text>
        <r>
          <rPr>
            <b/>
            <sz val="9"/>
            <color indexed="81"/>
            <rFont val="Tahoma"/>
            <family val="2"/>
          </rPr>
          <t>Gantsoudes, Spencer (Research):</t>
        </r>
        <r>
          <rPr>
            <sz val="9"/>
            <color indexed="81"/>
            <rFont val="Tahoma"/>
            <family val="2"/>
          </rPr>
          <t xml:space="preserve">
Additional depreciation expense adjustment recorded on real estate assets CenturyLink was required to reflect on its balance sheet as a
result of not meeting the requirement of sale leaseback accounting </t>
        </r>
        <r>
          <rPr>
            <b/>
            <u/>
            <sz val="9"/>
            <color indexed="81"/>
            <rFont val="Tahoma"/>
            <family val="2"/>
          </rPr>
          <t xml:space="preserve">$44 million. </t>
        </r>
      </text>
    </comment>
    <comment ref="CA55" authorId="2">
      <text>
        <r>
          <rPr>
            <b/>
            <sz val="9"/>
            <color indexed="81"/>
            <rFont val="Tahoma"/>
            <family val="2"/>
          </rPr>
          <t>Gantsoudes, Spencer (Research):</t>
        </r>
        <r>
          <rPr>
            <sz val="9"/>
            <color indexed="81"/>
            <rFont val="Tahoma"/>
            <family val="2"/>
          </rPr>
          <t xml:space="preserve">
Includes severance costs associated with headcount reductions ($14 million), integration costs associated with our acquisition of Qwest ($4 million) and costs associated with a large billing system integration project ($2 million).
</t>
        </r>
      </text>
    </comment>
    <comment ref="CB55" authorId="2">
      <text>
        <r>
          <rPr>
            <b/>
            <sz val="9"/>
            <color indexed="81"/>
            <rFont val="Tahoma"/>
            <family val="2"/>
          </rPr>
          <t>Gantsoudes, Spencer (Research):</t>
        </r>
        <r>
          <rPr>
            <sz val="9"/>
            <color indexed="81"/>
            <rFont val="Tahoma"/>
            <family val="2"/>
          </rPr>
          <t xml:space="preserve">
Includes severance costs associated with headcount reductions ($7 million), integration costs associated with our acquisition of Qwest ($3 million) and costs associated with a large billing system integration project ($4 million).</t>
        </r>
      </text>
    </comment>
    <comment ref="CC55" authorId="2">
      <text>
        <r>
          <rPr>
            <b/>
            <sz val="9"/>
            <color indexed="81"/>
            <rFont val="Tahoma"/>
            <family val="2"/>
          </rPr>
          <t>Gantsoudes, Spencer (Research):</t>
        </r>
        <r>
          <rPr>
            <sz val="9"/>
            <color indexed="81"/>
            <rFont val="Tahoma"/>
            <family val="2"/>
          </rPr>
          <t xml:space="preserve">
 Includes severance costs associated with headcount reductions ($4 million), integration costs associated with our acquisition of Qwest ($1 million) and costs associated with a large billing system integration project ($7 million), less an offsetting gain on the sale of a building $4 million.
</t>
        </r>
      </text>
    </comment>
    <comment ref="CD55" authorId="2">
      <text>
        <r>
          <rPr>
            <b/>
            <sz val="9"/>
            <color indexed="81"/>
            <rFont val="Tahoma"/>
            <family val="2"/>
          </rPr>
          <t>Gantsoudes, Spencer (Research):</t>
        </r>
        <r>
          <rPr>
            <sz val="9"/>
            <color indexed="81"/>
            <rFont val="Tahoma"/>
            <family val="2"/>
          </rPr>
          <t xml:space="preserve">
Includes severance costs associated with headcount reductions ($148 million), integration costs associated with our acquisition of Qwest ($2 million), costs associated with a
large billing system integration project ($2 million), costs related to our pending acquisition of Level 3 ($52 million), costs associated with our pending sale of the colocation
business ($7 million) and the impairment of a building ($11 million).</t>
        </r>
      </text>
    </comment>
    <comment ref="CE55" authorId="2">
      <text>
        <r>
          <rPr>
            <b/>
            <sz val="9"/>
            <color indexed="81"/>
            <rFont val="Tahoma"/>
            <family val="2"/>
          </rPr>
          <t>Gantsoudes, Spencer (Research):</t>
        </r>
        <r>
          <rPr>
            <sz val="9"/>
            <color indexed="81"/>
            <rFont val="Tahoma"/>
            <family val="2"/>
          </rPr>
          <t xml:space="preserve">
Costs related to our pending acquisition of Level 3 ($10 million) and a loss associated with the sale of our data centers and colocation business ($11 million).</t>
        </r>
      </text>
    </comment>
    <comment ref="CF55" authorId="2">
      <text>
        <r>
          <rPr>
            <b/>
            <sz val="9"/>
            <color indexed="81"/>
            <rFont val="Tahoma"/>
            <family val="2"/>
          </rPr>
          <t>Gantsoudes, Spencer (Research):</t>
        </r>
        <r>
          <rPr>
            <sz val="9"/>
            <color indexed="81"/>
            <rFont val="Tahoma"/>
            <family val="2"/>
          </rPr>
          <t xml:space="preserve">
Costs related to our pending acquisition of Level 3 ($18 million) and a loss associated with the sale of our data centers and colocation business ($108 million)</t>
        </r>
      </text>
    </comment>
    <comment ref="CC56" authorId="2">
      <text>
        <r>
          <rPr>
            <b/>
            <sz val="9"/>
            <color indexed="81"/>
            <rFont val="Tahoma"/>
            <family val="2"/>
          </rPr>
          <t>Gantsoudes, Spencer (Research):</t>
        </r>
        <r>
          <rPr>
            <sz val="9"/>
            <color indexed="81"/>
            <rFont val="Tahoma"/>
            <family val="2"/>
          </rPr>
          <t xml:space="preserve">
Includes severance costs associated with recent headcount reductions ($4 million), integration costs associated with our acquisition of
Qwest ($1 million) and costs associated with a large billing system integration project ($7 million), less an offsetting gain on the sale of a
building $4 million.</t>
        </r>
      </text>
    </comment>
    <comment ref="CD56" authorId="2">
      <text>
        <r>
          <rPr>
            <b/>
            <sz val="9"/>
            <color indexed="81"/>
            <rFont val="Tahoma"/>
            <family val="2"/>
          </rPr>
          <t>Gantsoudes, Spencer (Research):</t>
        </r>
        <r>
          <rPr>
            <sz val="9"/>
            <color indexed="81"/>
            <rFont val="Tahoma"/>
            <family val="2"/>
          </rPr>
          <t xml:space="preserve">
Includes severance costs associated with headcount reductions ($148 million), integration costs associated with our acquisition of Qwest ($2 million), costs associated with a
large billing system integration project ($2 million), costs related to our pending acquisition of Level 3 ($52 million), costs associated with our pending sale of the colocation
business ($7 million) and the impairment of a building ($11 million).</t>
        </r>
      </text>
    </comment>
    <comment ref="CC57" authorId="2">
      <text>
        <r>
          <rPr>
            <b/>
            <sz val="9"/>
            <color indexed="81"/>
            <rFont val="Tahoma"/>
            <family val="2"/>
          </rPr>
          <t>Gantsoudes, Spencer (Research):</t>
        </r>
        <r>
          <rPr>
            <sz val="9"/>
            <color indexed="81"/>
            <rFont val="Tahoma"/>
            <family val="2"/>
          </rPr>
          <t xml:space="preserve">
Includes severance costs associated with recent headcount reductions ($4 million), integration costs associated with our acquisition of
Qwest ($1 million) and costs associated with a large billing system integration project ($7 million), less an offsetting gain on the sale of a
building $4 million.</t>
        </r>
      </text>
    </comment>
    <comment ref="CD57" authorId="2">
      <text>
        <r>
          <rPr>
            <b/>
            <sz val="9"/>
            <color indexed="81"/>
            <rFont val="Tahoma"/>
            <family val="2"/>
          </rPr>
          <t>Gantsoudes, Spencer (Research):</t>
        </r>
        <r>
          <rPr>
            <sz val="9"/>
            <color indexed="81"/>
            <rFont val="Tahoma"/>
            <family val="2"/>
          </rPr>
          <t xml:space="preserve">
Includes severance costs associated with recent headcount reductions ($164 million), integration costs associated with our acquisition of Qwest ($2 million), costs associated with a large billing system integration project ($2 million), costs related to our pending acquisition of Level 3 ($52 million), costs associated with our pending sale of the colocation business ($7 million) and the impairment of a building ($11 million).</t>
        </r>
      </text>
    </comment>
    <comment ref="CH57" authorId="2">
      <text>
        <r>
          <rPr>
            <b/>
            <sz val="9"/>
            <color indexed="81"/>
            <rFont val="Tahoma"/>
            <family val="2"/>
          </rPr>
          <t>Gantsoudes, Spencer (Research):</t>
        </r>
        <r>
          <rPr>
            <sz val="9"/>
            <color indexed="81"/>
            <rFont val="Tahoma"/>
            <family val="2"/>
          </rPr>
          <t xml:space="preserve">
$178m CTL special items / acquisition related expenses
$39m Level 3 acquisition</t>
        </r>
      </text>
    </comment>
    <comment ref="CH58" authorId="2">
      <text>
        <r>
          <rPr>
            <b/>
            <sz val="9"/>
            <color indexed="81"/>
            <rFont val="Tahoma"/>
            <family val="2"/>
          </rPr>
          <t>Gantsoudes, Spencer (Research):</t>
        </r>
        <r>
          <rPr>
            <sz val="9"/>
            <color indexed="81"/>
            <rFont val="Tahoma"/>
            <family val="2"/>
          </rPr>
          <t xml:space="preserve">
54m SBC</t>
        </r>
      </text>
    </comment>
    <comment ref="CC59" authorId="2">
      <text>
        <r>
          <rPr>
            <b/>
            <sz val="9"/>
            <color indexed="81"/>
            <rFont val="Tahoma"/>
            <family val="2"/>
          </rPr>
          <t>Gantsoudes, Spencer (Research):</t>
        </r>
        <r>
          <rPr>
            <sz val="9"/>
            <color indexed="81"/>
            <rFont val="Tahoma"/>
            <family val="2"/>
          </rPr>
          <t xml:space="preserve">
Includes severance costs associated with recent headcount reductions ($4 million), integration costs associated with our acquisition of
Qwest ($1 million) and costs associated with a large billing system integration project ($7 million), less an offsetting gain on the sale of a
building $4 million.
less $2m operating income reduction per 2q17 supplemental</t>
        </r>
      </text>
    </comment>
    <comment ref="CD59" authorId="2">
      <text>
        <r>
          <rPr>
            <b/>
            <sz val="9"/>
            <color indexed="81"/>
            <rFont val="Tahoma"/>
            <family val="2"/>
          </rPr>
          <t>Gantsoudes, Spencer (Research):</t>
        </r>
        <r>
          <rPr>
            <sz val="9"/>
            <color indexed="81"/>
            <rFont val="Tahoma"/>
            <family val="2"/>
          </rPr>
          <t xml:space="preserve">
Includes severance costs associated with recent headcount reductions ($164 million), integration costs associated with our acquisition of Qwest ($2 million), costs associated with a large billing system integration project ($2 million), costs related to our pending acquisition of Level 3 ($52 million), costs associated with our pending sale of the colocation business ($7 million) and the impairment of a building ($11 million).
-3m impact from pension accounting change</t>
        </r>
      </text>
    </comment>
    <comment ref="CF59" authorId="2">
      <text>
        <r>
          <rPr>
            <b/>
            <sz val="9"/>
            <color indexed="81"/>
            <rFont val="Tahoma"/>
            <family val="2"/>
          </rPr>
          <t>Gantsoudes, Spencer (Research):</t>
        </r>
        <r>
          <rPr>
            <sz val="9"/>
            <color indexed="81"/>
            <rFont val="Tahoma"/>
            <family val="2"/>
          </rPr>
          <t xml:space="preserve">
$18m from costs related to pending Level 3 acquisition
$108m from loss associated with data center sale</t>
        </r>
      </text>
    </comment>
    <comment ref="N60" authorId="1">
      <text>
        <r>
          <rPr>
            <b/>
            <sz val="8"/>
            <color indexed="81"/>
            <rFont val="Tahoma"/>
            <family val="2"/>
          </rPr>
          <t>warjohn:</t>
        </r>
        <r>
          <rPr>
            <sz val="8"/>
            <color indexed="81"/>
            <rFont val="Tahoma"/>
            <family val="2"/>
          </rPr>
          <t xml:space="preserve">
Guidance:
4Q12: $7.3 - $7.5B
1Q13: $7.35 - $7.55B
2Q13: $7.35B - $7.5B
3Q13: no change</t>
        </r>
      </text>
    </comment>
    <comment ref="O60" authorId="1">
      <text>
        <r>
          <rPr>
            <b/>
            <sz val="8"/>
            <color indexed="81"/>
            <rFont val="Tahoma"/>
            <family val="2"/>
          </rPr>
          <t>warjohn:</t>
        </r>
        <r>
          <rPr>
            <sz val="8"/>
            <color indexed="81"/>
            <rFont val="Tahoma"/>
            <family val="2"/>
          </rPr>
          <t xml:space="preserve">
$7.05 - $7.25B
$7.15B @ Midpt
2Q14 call, expect to be close to midpoint </t>
        </r>
      </text>
    </comment>
    <comment ref="P60" authorId="2">
      <text>
        <r>
          <rPr>
            <b/>
            <sz val="9"/>
            <color indexed="81"/>
            <rFont val="Tahoma"/>
            <family val="2"/>
          </rPr>
          <t>Gantsoudes, Spencer (Research):</t>
        </r>
        <r>
          <rPr>
            <sz val="9"/>
            <color indexed="81"/>
            <rFont val="Tahoma"/>
            <family val="2"/>
          </rPr>
          <t xml:space="preserve">
Guidance $6.8-7.0B</t>
        </r>
      </text>
    </comment>
    <comment ref="Q60" authorId="2">
      <text>
        <r>
          <rPr>
            <b/>
            <sz val="9"/>
            <color indexed="81"/>
            <rFont val="Tahoma"/>
            <family val="2"/>
          </rPr>
          <t>Gantsoudes, Spencer (Research):</t>
        </r>
        <r>
          <rPr>
            <sz val="9"/>
            <color indexed="81"/>
            <rFont val="Tahoma"/>
            <family val="2"/>
          </rPr>
          <t xml:space="preserve">
4Q15 Guidance $6.6-6.8B
2Q16: Lower end of range
3Q16: guidance below</t>
        </r>
      </text>
    </comment>
    <comment ref="R60" authorId="2">
      <text>
        <r>
          <rPr>
            <b/>
            <sz val="9"/>
            <color indexed="81"/>
            <rFont val="Tahoma"/>
            <family val="2"/>
          </rPr>
          <t>Gantsoudes, Spencer (Research):</t>
        </r>
        <r>
          <rPr>
            <sz val="9"/>
            <color indexed="81"/>
            <rFont val="Tahoma"/>
            <family val="2"/>
          </rPr>
          <t xml:space="preserve">
6.15-6.35
6.25 midpt
impact from data center sale ( $180m = $400m revenue - $220m cash opex)
5970-6170
6070 midpt</t>
        </r>
      </text>
    </comment>
    <comment ref="S60" authorId="2">
      <text>
        <r>
          <rPr>
            <b/>
            <sz val="9"/>
            <color indexed="81"/>
            <rFont val="Tahoma"/>
            <family val="2"/>
          </rPr>
          <t>Gantsoudes, Spencer (Research):</t>
        </r>
        <r>
          <rPr>
            <sz val="9"/>
            <color indexed="81"/>
            <rFont val="Tahoma"/>
            <family val="2"/>
          </rPr>
          <t xml:space="preserve">
guidance: 8.75-8.95b</t>
        </r>
      </text>
    </comment>
    <comment ref="BI60" authorId="0">
      <text>
        <r>
          <rPr>
            <b/>
            <sz val="8"/>
            <color indexed="81"/>
            <rFont val="Tahoma"/>
            <family val="2"/>
          </rPr>
          <t>Daniel Gaviria:</t>
        </r>
        <r>
          <rPr>
            <sz val="8"/>
            <color indexed="81"/>
            <rFont val="Tahoma"/>
            <family val="2"/>
          </rPr>
          <t xml:space="preserve">
Guidance $1.88B to $1.92B</t>
        </r>
      </text>
    </comment>
    <comment ref="BJ60" authorId="0">
      <text>
        <r>
          <rPr>
            <b/>
            <sz val="8"/>
            <color indexed="81"/>
            <rFont val="Tahoma"/>
            <family val="2"/>
          </rPr>
          <t>Daniel Gaviria:</t>
        </r>
        <r>
          <rPr>
            <sz val="8"/>
            <color indexed="81"/>
            <rFont val="Tahoma"/>
            <family val="2"/>
          </rPr>
          <t xml:space="preserve">
Guidance $1.88B to $1.92B</t>
        </r>
      </text>
    </comment>
    <comment ref="BQ60" authorId="1">
      <text>
        <r>
          <rPr>
            <b/>
            <sz val="8"/>
            <color indexed="81"/>
            <rFont val="Tahoma"/>
            <family val="2"/>
          </rPr>
          <t>warjohn:</t>
        </r>
        <r>
          <rPr>
            <sz val="8"/>
            <color indexed="81"/>
            <rFont val="Tahoma"/>
            <family val="2"/>
          </rPr>
          <t xml:space="preserve">
2Q13: $1.79B - $1.83B</t>
        </r>
      </text>
    </comment>
    <comment ref="BR60" authorId="3">
      <text>
        <r>
          <rPr>
            <b/>
            <sz val="8"/>
            <color indexed="81"/>
            <rFont val="Tahoma"/>
            <family val="2"/>
          </rPr>
          <t>Armintas Sinkevicius:</t>
        </r>
        <r>
          <rPr>
            <sz val="8"/>
            <color indexed="81"/>
            <rFont val="Tahoma"/>
            <family val="2"/>
          </rPr>
          <t xml:space="preserve">
$1.75b to $1.80b
$1.775b @ midpoint</t>
        </r>
      </text>
    </comment>
    <comment ref="BS60" authorId="1">
      <text>
        <r>
          <rPr>
            <b/>
            <sz val="8"/>
            <color indexed="81"/>
            <rFont val="Tahoma"/>
            <family val="2"/>
          </rPr>
          <t>warjohn:</t>
        </r>
        <r>
          <rPr>
            <sz val="8"/>
            <color indexed="81"/>
            <rFont val="Tahoma"/>
            <family val="2"/>
          </rPr>
          <t xml:space="preserve">
$1.73 - $1.78B
$1.755B @ Midpt</t>
        </r>
      </text>
    </comment>
    <comment ref="BT60" authorId="3">
      <text>
        <r>
          <rPr>
            <b/>
            <sz val="8"/>
            <color indexed="81"/>
            <rFont val="Tahoma"/>
            <family val="2"/>
          </rPr>
          <t>Armintas Sinkevicius:</t>
        </r>
        <r>
          <rPr>
            <sz val="8"/>
            <color indexed="81"/>
            <rFont val="Tahoma"/>
            <family val="2"/>
          </rPr>
          <t xml:space="preserve">
$1.75b to $1.80b</t>
        </r>
      </text>
    </comment>
    <comment ref="BU60" authorId="2">
      <text>
        <r>
          <rPr>
            <b/>
            <sz val="9"/>
            <color indexed="81"/>
            <rFont val="Tahoma"/>
            <family val="2"/>
          </rPr>
          <t>Gantsoudes, Spencer (Research):</t>
        </r>
        <r>
          <rPr>
            <sz val="9"/>
            <color indexed="81"/>
            <rFont val="Tahoma"/>
            <family val="2"/>
          </rPr>
          <t xml:space="preserve">
$1.72-$1.77B guidance</t>
        </r>
      </text>
    </comment>
    <comment ref="BV60" authorId="2">
      <text>
        <r>
          <rPr>
            <b/>
            <sz val="9"/>
            <color indexed="81"/>
            <rFont val="Tahoma"/>
            <family val="2"/>
          </rPr>
          <t>Gantsoudes, Spencer (Research):</t>
        </r>
        <r>
          <rPr>
            <sz val="9"/>
            <color indexed="81"/>
            <rFont val="Tahoma"/>
            <family val="2"/>
          </rPr>
          <t xml:space="preserve">
$1.75-$1.8B guidance</t>
        </r>
      </text>
    </comment>
    <comment ref="BW60" authorId="2">
      <text>
        <r>
          <rPr>
            <b/>
            <sz val="9"/>
            <color indexed="81"/>
            <rFont val="Tahoma"/>
            <family val="2"/>
          </rPr>
          <t>Gantsoudes, Spencer (Research):</t>
        </r>
        <r>
          <rPr>
            <sz val="9"/>
            <color indexed="81"/>
            <rFont val="Tahoma"/>
            <family val="2"/>
          </rPr>
          <t xml:space="preserve">
Giudance: $1.64B-$1.69B</t>
        </r>
      </text>
    </comment>
    <comment ref="BX60" authorId="2">
      <text>
        <r>
          <rPr>
            <b/>
            <sz val="9"/>
            <color indexed="81"/>
            <rFont val="Tahoma"/>
            <family val="2"/>
          </rPr>
          <t>Gantsoudes, Spencer (Research):</t>
        </r>
        <r>
          <rPr>
            <sz val="9"/>
            <color indexed="81"/>
            <rFont val="Tahoma"/>
            <family val="2"/>
          </rPr>
          <t xml:space="preserve">
$1.67-$1.72B</t>
        </r>
      </text>
    </comment>
    <comment ref="BY60" authorId="2">
      <text>
        <r>
          <rPr>
            <b/>
            <sz val="9"/>
            <color indexed="81"/>
            <rFont val="Tahoma"/>
            <family val="2"/>
          </rPr>
          <t>Gantsoudes, Spencer (Research):</t>
        </r>
        <r>
          <rPr>
            <sz val="9"/>
            <color indexed="81"/>
            <rFont val="Tahoma"/>
            <family val="2"/>
          </rPr>
          <t xml:space="preserve">
$1.62-$1.67B
+$150M from CAF II receipts
=$1.795B at midpoint</t>
        </r>
      </text>
    </comment>
    <comment ref="BZ60" authorId="2">
      <text>
        <r>
          <rPr>
            <b/>
            <sz val="9"/>
            <color indexed="81"/>
            <rFont val="Tahoma"/>
            <family val="2"/>
          </rPr>
          <t>Gantsoudes, Spencer (Research):</t>
        </r>
        <r>
          <rPr>
            <sz val="9"/>
            <color indexed="81"/>
            <rFont val="Tahoma"/>
            <family val="2"/>
          </rPr>
          <t xml:space="preserve">
4Q15 implied guidance (from updated 3Q15 + 2015 guidance) = $1,771M
+ CAF II receipts of $50M = $1,821M at mid-point
</t>
        </r>
        <r>
          <rPr>
            <b/>
            <sz val="9"/>
            <color indexed="81"/>
            <rFont val="Tahoma"/>
            <family val="2"/>
          </rPr>
          <t>Official Guidance (from 3Q15): $1.72-$1.77</t>
        </r>
      </text>
    </comment>
    <comment ref="CA60" authorId="2">
      <text>
        <r>
          <rPr>
            <b/>
            <sz val="9"/>
            <color indexed="81"/>
            <rFont val="Tahoma"/>
            <family val="2"/>
          </rPr>
          <t>Gantsoudes, Spencer (Research):</t>
        </r>
        <r>
          <rPr>
            <sz val="9"/>
            <color indexed="81"/>
            <rFont val="Tahoma"/>
            <family val="2"/>
          </rPr>
          <t xml:space="preserve">
$1.66-1.72b
$1.69b at mid point</t>
        </r>
      </text>
    </comment>
    <comment ref="CB60" authorId="2">
      <text>
        <r>
          <rPr>
            <b/>
            <sz val="9"/>
            <color indexed="81"/>
            <rFont val="Tahoma"/>
            <family val="2"/>
          </rPr>
          <t>Gantsoudes, Spencer (Research):</t>
        </r>
        <r>
          <rPr>
            <sz val="9"/>
            <color indexed="81"/>
            <rFont val="Tahoma"/>
            <family val="2"/>
          </rPr>
          <t xml:space="preserve">
1590-1640 guidance
1615 midpoint</t>
        </r>
      </text>
    </comment>
    <comment ref="CC60" authorId="2">
      <text>
        <r>
          <rPr>
            <b/>
            <sz val="9"/>
            <color indexed="81"/>
            <rFont val="Tahoma"/>
            <family val="2"/>
          </rPr>
          <t>Gantsoudes, Spencer (Research):</t>
        </r>
        <r>
          <rPr>
            <sz val="9"/>
            <color indexed="81"/>
            <rFont val="Tahoma"/>
            <family val="2"/>
          </rPr>
          <t xml:space="preserve">
1560-1610 guidance
1585 midpoint</t>
        </r>
      </text>
    </comment>
    <comment ref="CD60" authorId="2">
      <text>
        <r>
          <rPr>
            <b/>
            <sz val="9"/>
            <color indexed="81"/>
            <rFont val="Tahoma"/>
            <family val="2"/>
          </rPr>
          <t>Gantsoudes, Spencer (Research):</t>
        </r>
        <r>
          <rPr>
            <sz val="9"/>
            <color indexed="81"/>
            <rFont val="Tahoma"/>
            <family val="2"/>
          </rPr>
          <t xml:space="preserve">
4Q16 guidance =
1.58-1.64
midpoint = 1,610m</t>
        </r>
      </text>
    </comment>
    <comment ref="CE60" authorId="2">
      <text>
        <r>
          <rPr>
            <b/>
            <sz val="9"/>
            <color indexed="81"/>
            <rFont val="Tahoma"/>
            <family val="2"/>
          </rPr>
          <t>Gantsoudes, Spencer (Research):</t>
        </r>
        <r>
          <rPr>
            <sz val="9"/>
            <color indexed="81"/>
            <rFont val="Tahoma"/>
            <family val="2"/>
          </rPr>
          <t xml:space="preserve">
guidance = 1.49-1.55
1.52 at midpoint</t>
        </r>
      </text>
    </comment>
    <comment ref="CF60" authorId="2">
      <text>
        <r>
          <rPr>
            <b/>
            <sz val="9"/>
            <color indexed="81"/>
            <rFont val="Tahoma"/>
            <family val="2"/>
          </rPr>
          <t>Gantsoudes, Spencer (Research):</t>
        </r>
        <r>
          <rPr>
            <sz val="9"/>
            <color indexed="81"/>
            <rFont val="Tahoma"/>
            <family val="2"/>
          </rPr>
          <t xml:space="preserve">
1.40 - 1.46
1,430</t>
        </r>
      </text>
    </comment>
    <comment ref="CG60" authorId="2">
      <text>
        <r>
          <rPr>
            <b/>
            <sz val="9"/>
            <color indexed="81"/>
            <rFont val="Tahoma"/>
            <family val="2"/>
          </rPr>
          <t>Gantsoudes, Spencer (Research):</t>
        </r>
        <r>
          <rPr>
            <sz val="9"/>
            <color indexed="81"/>
            <rFont val="Tahoma"/>
            <family val="2"/>
          </rPr>
          <t xml:space="preserve">
1.46 midpt (1.43-1.49)</t>
        </r>
      </text>
    </comment>
    <comment ref="CH60" authorId="2">
      <text>
        <r>
          <rPr>
            <b/>
            <sz val="9"/>
            <color indexed="81"/>
            <rFont val="Tahoma"/>
            <family val="2"/>
          </rPr>
          <t>Gantsoudes, Spencer (Research):</t>
        </r>
        <r>
          <rPr>
            <sz val="9"/>
            <color indexed="81"/>
            <rFont val="Tahoma"/>
            <family val="2"/>
          </rPr>
          <t xml:space="preserve">
1,471m ex Level 3</t>
        </r>
      </text>
    </comment>
    <comment ref="N65" authorId="1">
      <text>
        <r>
          <rPr>
            <b/>
            <sz val="8"/>
            <color indexed="81"/>
            <rFont val="Tahoma"/>
            <family val="2"/>
          </rPr>
          <t>warjohn:</t>
        </r>
        <r>
          <rPr>
            <sz val="8"/>
            <color indexed="81"/>
            <rFont val="Tahoma"/>
            <family val="2"/>
          </rPr>
          <t xml:space="preserve">
4Q12: About $600M run by end of 2013.
1Q13: no change
2Q13: no update</t>
        </r>
      </text>
    </comment>
    <comment ref="T65" authorId="2">
      <text>
        <r>
          <rPr>
            <b/>
            <sz val="9"/>
            <color indexed="81"/>
            <rFont val="Tahoma"/>
            <family val="2"/>
          </rPr>
          <t>Gantsoudes, Spencer (Research):</t>
        </r>
        <r>
          <rPr>
            <sz val="9"/>
            <color indexed="81"/>
            <rFont val="Tahoma"/>
            <family val="2"/>
          </rPr>
          <t xml:space="preserve">
80% of run rate within 36 months</t>
        </r>
      </text>
    </comment>
    <comment ref="Q71" authorId="2">
      <text>
        <r>
          <rPr>
            <b/>
            <sz val="9"/>
            <color indexed="81"/>
            <rFont val="Tahoma"/>
            <family val="2"/>
          </rPr>
          <t>Gantsoudes, Spencer (Research):</t>
        </r>
        <r>
          <rPr>
            <sz val="9"/>
            <color indexed="81"/>
            <rFont val="Tahoma"/>
            <family val="2"/>
          </rPr>
          <t xml:space="preserve">
per supplementals, includes data center, which was sold in may 2017</t>
        </r>
      </text>
    </comment>
    <comment ref="R71" authorId="2">
      <text>
        <r>
          <rPr>
            <b/>
            <sz val="9"/>
            <color indexed="81"/>
            <rFont val="Tahoma"/>
            <family val="2"/>
          </rPr>
          <t>Gantsoudes, Spencer (Research):</t>
        </r>
        <r>
          <rPr>
            <sz val="9"/>
            <color indexed="81"/>
            <rFont val="Tahoma"/>
            <family val="2"/>
          </rPr>
          <t xml:space="preserve">
per supplementals</t>
        </r>
      </text>
    </comment>
    <comment ref="BC77" authorId="4">
      <text>
        <r>
          <rPr>
            <b/>
            <sz val="8"/>
            <color indexed="81"/>
            <rFont val="Tahoma"/>
            <family val="2"/>
          </rPr>
          <t>armintas:</t>
        </r>
        <r>
          <rPr>
            <sz val="8"/>
            <color indexed="81"/>
            <rFont val="Tahoma"/>
            <family val="2"/>
          </rPr>
          <t xml:space="preserve">
Adjustment: -1 to get Net Income to 331 (4Q11 Press Release)</t>
        </r>
      </text>
    </comment>
    <comment ref="BD77" authorId="4">
      <text>
        <r>
          <rPr>
            <b/>
            <sz val="8"/>
            <color indexed="81"/>
            <rFont val="Tahoma"/>
            <family val="2"/>
          </rPr>
          <t>armintas:</t>
        </r>
        <r>
          <rPr>
            <sz val="8"/>
            <color indexed="81"/>
            <rFont val="Tahoma"/>
            <family val="2"/>
          </rPr>
          <t xml:space="preserve">
Adjustment: -1 to get Net Income to 284 (4Q11 Press Release)</t>
        </r>
      </text>
    </comment>
    <comment ref="BE77" authorId="4">
      <text>
        <r>
          <rPr>
            <b/>
            <sz val="8"/>
            <color indexed="81"/>
            <rFont val="Tahoma"/>
            <family val="2"/>
          </rPr>
          <t>armintas:</t>
        </r>
        <r>
          <rPr>
            <sz val="8"/>
            <color indexed="81"/>
            <rFont val="Tahoma"/>
            <family val="2"/>
          </rPr>
          <t xml:space="preserve">
Adjustment: -1 to get Net Income to 282 (4Q11 Press Release)</t>
        </r>
      </text>
    </comment>
    <comment ref="S81" authorId="2">
      <text>
        <r>
          <rPr>
            <b/>
            <sz val="9"/>
            <color indexed="81"/>
            <rFont val="Tahoma"/>
            <family val="2"/>
          </rPr>
          <t>Gantsoudes, Spencer (Research):</t>
        </r>
        <r>
          <rPr>
            <sz val="9"/>
            <color indexed="81"/>
            <rFont val="Tahoma"/>
            <family val="2"/>
          </rPr>
          <t xml:space="preserve">
guide 120-240</t>
        </r>
      </text>
    </comment>
    <comment ref="BQ84" authorId="2">
      <text>
        <r>
          <rPr>
            <b/>
            <sz val="9"/>
            <color indexed="81"/>
            <rFont val="Tahoma"/>
            <family val="2"/>
          </rPr>
          <t>Gantsoudes, Spencer (Research):</t>
        </r>
        <r>
          <rPr>
            <sz val="9"/>
            <color indexed="81"/>
            <rFont val="Tahoma"/>
            <family val="2"/>
          </rPr>
          <t xml:space="preserve">
excludes Non-cash, non-tax deductible goodwill impairment charge of ($1.1 billion).</t>
        </r>
      </text>
    </comment>
    <comment ref="N93" authorId="1">
      <text>
        <r>
          <rPr>
            <b/>
            <sz val="8"/>
            <color indexed="81"/>
            <rFont val="Tahoma"/>
            <family val="2"/>
          </rPr>
          <t>warjohn:</t>
        </r>
        <r>
          <rPr>
            <sz val="8"/>
            <color indexed="81"/>
            <rFont val="Tahoma"/>
            <family val="2"/>
          </rPr>
          <t xml:space="preserve">
Guidance:
4Q12: $2.50-$2.70 ($2.60 mid)
1Q13: $2.60 - $2.75 ($2.675 mid)
2Q13: $2.63 - $2.73 (2.68 mid)
3Q13: no change</t>
        </r>
      </text>
    </comment>
    <comment ref="O93" authorId="1">
      <text>
        <r>
          <rPr>
            <b/>
            <sz val="8"/>
            <color indexed="81"/>
            <rFont val="Tahoma"/>
            <family val="2"/>
          </rPr>
          <t>warjohn:</t>
        </r>
        <r>
          <rPr>
            <sz val="8"/>
            <color indexed="81"/>
            <rFont val="Tahoma"/>
            <family val="2"/>
          </rPr>
          <t xml:space="preserve">
$2.40 to $2.60
$2.50 @ midpt</t>
        </r>
      </text>
    </comment>
    <comment ref="P93" authorId="2">
      <text>
        <r>
          <rPr>
            <b/>
            <sz val="9"/>
            <color indexed="81"/>
            <rFont val="Tahoma"/>
            <family val="2"/>
          </rPr>
          <t>Gantsoudes, Spencer (Research):</t>
        </r>
        <r>
          <rPr>
            <sz val="9"/>
            <color indexed="81"/>
            <rFont val="Tahoma"/>
            <family val="2"/>
          </rPr>
          <t xml:space="preserve">
$2.50-$2.70</t>
        </r>
      </text>
    </comment>
    <comment ref="Q93" authorId="2">
      <text>
        <r>
          <rPr>
            <b/>
            <sz val="9"/>
            <color indexed="81"/>
            <rFont val="Tahoma"/>
            <family val="2"/>
          </rPr>
          <t>Gantsoudes, Spencer (Research):</t>
        </r>
        <r>
          <rPr>
            <sz val="9"/>
            <color indexed="81"/>
            <rFont val="Tahoma"/>
            <family val="2"/>
          </rPr>
          <t xml:space="preserve">
$2.50-$2.70
$2.60 midpoint</t>
        </r>
      </text>
    </comment>
    <comment ref="R93" authorId="2">
      <text>
        <r>
          <rPr>
            <b/>
            <sz val="9"/>
            <color indexed="81"/>
            <rFont val="Tahoma"/>
            <family val="2"/>
          </rPr>
          <t>Gantsoudes, Spencer (Research):</t>
        </r>
        <r>
          <rPr>
            <sz val="9"/>
            <color indexed="81"/>
            <rFont val="Tahoma"/>
            <family val="2"/>
          </rPr>
          <t xml:space="preserve">
2.10-2.30</t>
        </r>
      </text>
    </comment>
    <comment ref="BQ93" authorId="1">
      <text>
        <r>
          <rPr>
            <b/>
            <sz val="8"/>
            <color indexed="81"/>
            <rFont val="Tahoma"/>
            <family val="2"/>
          </rPr>
          <t>warjohn:</t>
        </r>
        <r>
          <rPr>
            <sz val="8"/>
            <color indexed="81"/>
            <rFont val="Tahoma"/>
            <family val="2"/>
          </rPr>
          <t xml:space="preserve">
Guidance: $0.59 - 0.64</t>
        </r>
      </text>
    </comment>
    <comment ref="BR93" authorId="3">
      <text>
        <r>
          <rPr>
            <b/>
            <sz val="8"/>
            <color indexed="81"/>
            <rFont val="Tahoma"/>
            <family val="2"/>
          </rPr>
          <t>Armintas Sinkevicius:</t>
        </r>
        <r>
          <rPr>
            <sz val="8"/>
            <color indexed="81"/>
            <rFont val="Tahoma"/>
            <family val="2"/>
          </rPr>
          <t xml:space="preserve">
$0.55 to $0.60
$0.575 @ midpoint</t>
        </r>
      </text>
    </comment>
    <comment ref="BS93" authorId="1">
      <text>
        <r>
          <rPr>
            <b/>
            <sz val="8"/>
            <color indexed="81"/>
            <rFont val="Tahoma"/>
            <family val="2"/>
          </rPr>
          <t>warjohn:</t>
        </r>
        <r>
          <rPr>
            <sz val="8"/>
            <color indexed="81"/>
            <rFont val="Tahoma"/>
            <family val="2"/>
          </rPr>
          <t xml:space="preserve">
$0.58 to $0.63
$0.605 @ midpt</t>
        </r>
      </text>
    </comment>
    <comment ref="BT93" authorId="3">
      <text>
        <r>
          <rPr>
            <b/>
            <sz val="8"/>
            <color indexed="81"/>
            <rFont val="Tahoma"/>
            <family val="2"/>
          </rPr>
          <t>Armintas Sinkevicius:</t>
        </r>
        <r>
          <rPr>
            <sz val="8"/>
            <color indexed="81"/>
            <rFont val="Tahoma"/>
            <family val="2"/>
          </rPr>
          <t xml:space="preserve">
$0.62 to $0.67</t>
        </r>
      </text>
    </comment>
    <comment ref="BU93" authorId="2">
      <text>
        <r>
          <rPr>
            <b/>
            <sz val="9"/>
            <color indexed="81"/>
            <rFont val="Tahoma"/>
            <family val="2"/>
          </rPr>
          <t>Gantsoudes, Spencer (Research):</t>
        </r>
        <r>
          <rPr>
            <sz val="9"/>
            <color indexed="81"/>
            <rFont val="Tahoma"/>
            <family val="2"/>
          </rPr>
          <t xml:space="preserve">
$0.58-$0.63</t>
        </r>
      </text>
    </comment>
    <comment ref="BV93" authorId="2">
      <text>
        <r>
          <rPr>
            <b/>
            <sz val="9"/>
            <color indexed="81"/>
            <rFont val="Tahoma"/>
            <family val="2"/>
          </rPr>
          <t>Gantsoudes, Spencer (Research):</t>
        </r>
        <r>
          <rPr>
            <sz val="9"/>
            <color indexed="81"/>
            <rFont val="Tahoma"/>
            <family val="2"/>
          </rPr>
          <t xml:space="preserve">
$0.59-$0.64</t>
        </r>
      </text>
    </comment>
    <comment ref="BW93" authorId="2">
      <text>
        <r>
          <rPr>
            <b/>
            <sz val="9"/>
            <color indexed="81"/>
            <rFont val="Tahoma"/>
            <family val="2"/>
          </rPr>
          <t>Gantsoudes, Spencer (Research):</t>
        </r>
        <r>
          <rPr>
            <sz val="9"/>
            <color indexed="81"/>
            <rFont val="Tahoma"/>
            <family val="2"/>
          </rPr>
          <t xml:space="preserve">
$0.56-$0.61</t>
        </r>
      </text>
    </comment>
    <comment ref="BX93" authorId="2">
      <text>
        <r>
          <rPr>
            <b/>
            <sz val="9"/>
            <color indexed="81"/>
            <rFont val="Tahoma"/>
            <family val="2"/>
          </rPr>
          <t>Gantsoudes, Spencer (Research):</t>
        </r>
        <r>
          <rPr>
            <sz val="9"/>
            <color indexed="81"/>
            <rFont val="Tahoma"/>
            <family val="2"/>
          </rPr>
          <t xml:space="preserve">
$0.59-$0.64</t>
        </r>
      </text>
    </comment>
    <comment ref="BY93" authorId="2">
      <text>
        <r>
          <rPr>
            <b/>
            <sz val="9"/>
            <color indexed="81"/>
            <rFont val="Tahoma"/>
            <family val="2"/>
          </rPr>
          <t>Gantsoudes, Spencer (Research):</t>
        </r>
        <r>
          <rPr>
            <sz val="9"/>
            <color indexed="81"/>
            <rFont val="Tahoma"/>
            <family val="2"/>
          </rPr>
          <t xml:space="preserve">
$0.53-$0.58
+16c from CAF II
</t>
        </r>
      </text>
    </comment>
    <comment ref="BZ93" authorId="2">
      <text>
        <r>
          <rPr>
            <b/>
            <sz val="9"/>
            <color indexed="81"/>
            <rFont val="Tahoma"/>
            <family val="2"/>
          </rPr>
          <t>Gantsoudes, Spencer (Research):</t>
        </r>
        <r>
          <rPr>
            <sz val="9"/>
            <color indexed="81"/>
            <rFont val="Tahoma"/>
            <family val="2"/>
          </rPr>
          <t xml:space="preserve">
Guidance = $0.62-$0.67</t>
        </r>
      </text>
    </comment>
    <comment ref="CA93" authorId="2">
      <text>
        <r>
          <rPr>
            <b/>
            <sz val="9"/>
            <color indexed="81"/>
            <rFont val="Tahoma"/>
            <family val="2"/>
          </rPr>
          <t>Gantsoudes, Spencer (Research):</t>
        </r>
        <r>
          <rPr>
            <sz val="9"/>
            <color indexed="81"/>
            <rFont val="Tahoma"/>
            <family val="2"/>
          </rPr>
          <t xml:space="preserve">
$0.67-$0.73</t>
        </r>
      </text>
    </comment>
    <comment ref="CB93" authorId="2">
      <text>
        <r>
          <rPr>
            <b/>
            <sz val="9"/>
            <color indexed="81"/>
            <rFont val="Tahoma"/>
            <family val="2"/>
          </rPr>
          <t>Gantsoudes, Spencer (Research):</t>
        </r>
        <r>
          <rPr>
            <sz val="9"/>
            <color indexed="81"/>
            <rFont val="Tahoma"/>
            <family val="2"/>
          </rPr>
          <t xml:space="preserve">
$0.57-$0.6</t>
        </r>
      </text>
    </comment>
    <comment ref="CC93" authorId="2">
      <text>
        <r>
          <rPr>
            <b/>
            <sz val="9"/>
            <color indexed="81"/>
            <rFont val="Tahoma"/>
            <family val="2"/>
          </rPr>
          <t>Gantsoudes, Spencer (Research):</t>
        </r>
        <r>
          <rPr>
            <sz val="9"/>
            <color indexed="81"/>
            <rFont val="Tahoma"/>
            <family val="2"/>
          </rPr>
          <t xml:space="preserve">
$0.52-$0.57</t>
        </r>
      </text>
    </comment>
    <comment ref="CD93" authorId="2">
      <text>
        <r>
          <rPr>
            <b/>
            <sz val="9"/>
            <color indexed="81"/>
            <rFont val="Tahoma"/>
            <family val="2"/>
          </rPr>
          <t>Gantsoudes, Spencer (Research):</t>
        </r>
        <r>
          <rPr>
            <sz val="9"/>
            <color indexed="81"/>
            <rFont val="Tahoma"/>
            <family val="2"/>
          </rPr>
          <t xml:space="preserve">
4q16 guidance = 
0.53-0.59
=0.56 at midpt</t>
        </r>
      </text>
    </comment>
    <comment ref="CF93" authorId="2">
      <text>
        <r>
          <rPr>
            <b/>
            <sz val="9"/>
            <color indexed="81"/>
            <rFont val="Tahoma"/>
            <family val="2"/>
          </rPr>
          <t>Gantsoudes, Spencer (Research):</t>
        </r>
        <r>
          <rPr>
            <sz val="9"/>
            <color indexed="81"/>
            <rFont val="Tahoma"/>
            <family val="2"/>
          </rPr>
          <t xml:space="preserve">
0.46-0.52</t>
        </r>
      </text>
    </comment>
    <comment ref="R96" authorId="2">
      <text>
        <r>
          <rPr>
            <b/>
            <sz val="9"/>
            <color indexed="81"/>
            <rFont val="Tahoma"/>
            <family val="2"/>
          </rPr>
          <t>Gantsoudes, Spencer (Research):</t>
        </r>
        <r>
          <rPr>
            <sz val="9"/>
            <color indexed="81"/>
            <rFont val="Tahoma"/>
            <family val="2"/>
          </rPr>
          <t xml:space="preserve">
ADJUSTING FORMULA FOR PARTIAL QUARTER FOR MODELWARE VALIDATION</t>
        </r>
      </text>
    </comment>
    <comment ref="S96" authorId="2">
      <text>
        <r>
          <rPr>
            <b/>
            <sz val="9"/>
            <color indexed="81"/>
            <rFont val="Tahoma"/>
            <family val="2"/>
          </rPr>
          <t>Gantsoudes, Spencer (Research):</t>
        </r>
        <r>
          <rPr>
            <sz val="9"/>
            <color indexed="81"/>
            <rFont val="Tahoma"/>
            <family val="2"/>
          </rPr>
          <t xml:space="preserve">
320-720
520m at midpt</t>
        </r>
      </text>
    </comment>
    <comment ref="CH96" authorId="2">
      <text>
        <r>
          <rPr>
            <b/>
            <sz val="9"/>
            <color indexed="81"/>
            <rFont val="Tahoma"/>
            <family val="2"/>
          </rPr>
          <t>Gantsoudes, Spencer (Research):</t>
        </r>
        <r>
          <rPr>
            <sz val="9"/>
            <color indexed="81"/>
            <rFont val="Tahoma"/>
            <family val="2"/>
          </rPr>
          <t xml:space="preserve">
ADDING $115M TO ADJUST FOR PARTIAL QUARTER</t>
        </r>
      </text>
    </comment>
    <comment ref="CH99" authorId="2">
      <text>
        <r>
          <rPr>
            <b/>
            <sz val="9"/>
            <color indexed="81"/>
            <rFont val="Tahoma"/>
            <family val="2"/>
          </rPr>
          <t>Gantsoudes, Spencer (Research):</t>
        </r>
        <r>
          <rPr>
            <sz val="9"/>
            <color indexed="81"/>
            <rFont val="Tahoma"/>
            <family val="2"/>
          </rPr>
          <t xml:space="preserve">
includes integration + transaction related expense
$685m expected integration related expense, $170m recognized by 4Q17</t>
        </r>
      </text>
    </comment>
    <comment ref="CI99" authorId="2">
      <text>
        <r>
          <rPr>
            <b/>
            <sz val="9"/>
            <color indexed="81"/>
            <rFont val="Tahoma"/>
            <family val="2"/>
          </rPr>
          <t>Gantsoudes, Spencer (Research):</t>
        </r>
        <r>
          <rPr>
            <sz val="9"/>
            <color indexed="81"/>
            <rFont val="Tahoma"/>
            <family val="2"/>
          </rPr>
          <t xml:space="preserve">
200-300m of integration related expense</t>
        </r>
      </text>
    </comment>
    <comment ref="CJ99" authorId="2">
      <text>
        <r>
          <rPr>
            <b/>
            <sz val="9"/>
            <color indexed="81"/>
            <rFont val="Tahoma"/>
            <family val="2"/>
          </rPr>
          <t>Gantsoudes, Spencer (Research):</t>
        </r>
        <r>
          <rPr>
            <sz val="9"/>
            <color indexed="81"/>
            <rFont val="Tahoma"/>
            <family val="2"/>
          </rPr>
          <t xml:space="preserve">
200-300m of integration related expense</t>
        </r>
      </text>
    </comment>
    <comment ref="CK99" authorId="2">
      <text>
        <r>
          <rPr>
            <b/>
            <sz val="9"/>
            <color indexed="81"/>
            <rFont val="Tahoma"/>
            <family val="2"/>
          </rPr>
          <t>Gantsoudes, Spencer (Research):</t>
        </r>
        <r>
          <rPr>
            <sz val="9"/>
            <color indexed="81"/>
            <rFont val="Tahoma"/>
            <family val="2"/>
          </rPr>
          <t xml:space="preserve">
200-300m of integration related expense</t>
        </r>
      </text>
    </comment>
    <comment ref="CL99" authorId="2">
      <text>
        <r>
          <rPr>
            <b/>
            <sz val="9"/>
            <color indexed="81"/>
            <rFont val="Tahoma"/>
            <family val="2"/>
          </rPr>
          <t>Gantsoudes, Spencer (Research):</t>
        </r>
        <r>
          <rPr>
            <sz val="9"/>
            <color indexed="81"/>
            <rFont val="Tahoma"/>
            <family val="2"/>
          </rPr>
          <t xml:space="preserve">
200-300m of integration related expense</t>
        </r>
      </text>
    </comment>
    <comment ref="CH101" authorId="2">
      <text>
        <r>
          <rPr>
            <b/>
            <sz val="9"/>
            <color indexed="81"/>
            <rFont val="Tahoma"/>
            <family val="2"/>
          </rPr>
          <t>Gantsoudes, Spencer (Research):</t>
        </r>
        <r>
          <rPr>
            <sz val="9"/>
            <color indexed="81"/>
            <rFont val="Tahoma"/>
            <family val="2"/>
          </rPr>
          <t xml:space="preserve">
REFLECTS PARTIAL QUARTER OF LEVEL 3</t>
        </r>
      </text>
    </comment>
    <comment ref="BS112" authorId="1">
      <text>
        <r>
          <rPr>
            <b/>
            <sz val="8"/>
            <color indexed="81"/>
            <rFont val="Tahoma"/>
            <family val="2"/>
          </rPr>
          <t>warjohn:</t>
        </r>
        <r>
          <rPr>
            <sz val="8"/>
            <color indexed="81"/>
            <rFont val="Tahoma"/>
            <family val="2"/>
          </rPr>
          <t xml:space="preserve">
$0.58 to $0.63
$0.605 @ midpt</t>
        </r>
      </text>
    </comment>
    <comment ref="BT112" authorId="3">
      <text>
        <r>
          <rPr>
            <b/>
            <sz val="8"/>
            <color indexed="81"/>
            <rFont val="Tahoma"/>
            <family val="2"/>
          </rPr>
          <t>Armintas Sinkevicius:</t>
        </r>
        <r>
          <rPr>
            <sz val="8"/>
            <color indexed="81"/>
            <rFont val="Tahoma"/>
            <family val="2"/>
          </rPr>
          <t xml:space="preserve">
$0.62 to $0.67</t>
        </r>
      </text>
    </comment>
    <comment ref="BU112" authorId="2">
      <text>
        <r>
          <rPr>
            <b/>
            <sz val="9"/>
            <color indexed="81"/>
            <rFont val="Tahoma"/>
            <family val="2"/>
          </rPr>
          <t>Gantsoudes, Spencer (Research):</t>
        </r>
        <r>
          <rPr>
            <sz val="9"/>
            <color indexed="81"/>
            <rFont val="Tahoma"/>
            <family val="2"/>
          </rPr>
          <t xml:space="preserve">
$0.58-$0.63</t>
        </r>
      </text>
    </comment>
    <comment ref="BV112" authorId="2">
      <text>
        <r>
          <rPr>
            <b/>
            <sz val="9"/>
            <color indexed="81"/>
            <rFont val="Tahoma"/>
            <family val="2"/>
          </rPr>
          <t>Gantsoudes, Spencer (Research):</t>
        </r>
        <r>
          <rPr>
            <sz val="9"/>
            <color indexed="81"/>
            <rFont val="Tahoma"/>
            <family val="2"/>
          </rPr>
          <t xml:space="preserve">
$0.59-$0.64</t>
        </r>
      </text>
    </comment>
    <comment ref="BW112" authorId="2">
      <text>
        <r>
          <rPr>
            <b/>
            <sz val="9"/>
            <color indexed="81"/>
            <rFont val="Tahoma"/>
            <family val="2"/>
          </rPr>
          <t>Gantsoudes, Spencer (Research):</t>
        </r>
        <r>
          <rPr>
            <sz val="9"/>
            <color indexed="81"/>
            <rFont val="Tahoma"/>
            <family val="2"/>
          </rPr>
          <t xml:space="preserve">
$0.56-$0.61</t>
        </r>
      </text>
    </comment>
    <comment ref="BX112" authorId="2">
      <text>
        <r>
          <rPr>
            <b/>
            <sz val="9"/>
            <color indexed="81"/>
            <rFont val="Tahoma"/>
            <family val="2"/>
          </rPr>
          <t>Gantsoudes, Spencer (Research):</t>
        </r>
        <r>
          <rPr>
            <sz val="9"/>
            <color indexed="81"/>
            <rFont val="Tahoma"/>
            <family val="2"/>
          </rPr>
          <t xml:space="preserve">
$0.59-$0.64</t>
        </r>
      </text>
    </comment>
    <comment ref="BY112" authorId="2">
      <text>
        <r>
          <rPr>
            <b/>
            <sz val="9"/>
            <color indexed="81"/>
            <rFont val="Tahoma"/>
            <family val="2"/>
          </rPr>
          <t>Gantsoudes, Spencer (Research):</t>
        </r>
        <r>
          <rPr>
            <sz val="9"/>
            <color indexed="81"/>
            <rFont val="Tahoma"/>
            <family val="2"/>
          </rPr>
          <t xml:space="preserve">
$0.53-$0.58
+16c from CAF II
</t>
        </r>
      </text>
    </comment>
    <comment ref="BZ112" authorId="2">
      <text>
        <r>
          <rPr>
            <b/>
            <sz val="9"/>
            <color indexed="81"/>
            <rFont val="Tahoma"/>
            <family val="2"/>
          </rPr>
          <t>Gantsoudes, Spencer (Research):</t>
        </r>
        <r>
          <rPr>
            <sz val="9"/>
            <color indexed="81"/>
            <rFont val="Tahoma"/>
            <family val="2"/>
          </rPr>
          <t xml:space="preserve">
Guidance = $0.62-$0.67</t>
        </r>
      </text>
    </comment>
    <comment ref="CA112" authorId="2">
      <text>
        <r>
          <rPr>
            <b/>
            <sz val="9"/>
            <color indexed="81"/>
            <rFont val="Tahoma"/>
            <family val="2"/>
          </rPr>
          <t>Gantsoudes, Spencer (Research):</t>
        </r>
        <r>
          <rPr>
            <sz val="9"/>
            <color indexed="81"/>
            <rFont val="Tahoma"/>
            <family val="2"/>
          </rPr>
          <t xml:space="preserve">
$0.67-$0.73</t>
        </r>
      </text>
    </comment>
    <comment ref="CB112" authorId="2">
      <text>
        <r>
          <rPr>
            <b/>
            <sz val="9"/>
            <color indexed="81"/>
            <rFont val="Tahoma"/>
            <family val="2"/>
          </rPr>
          <t>Gantsoudes, Spencer (Research):</t>
        </r>
        <r>
          <rPr>
            <sz val="9"/>
            <color indexed="81"/>
            <rFont val="Tahoma"/>
            <family val="2"/>
          </rPr>
          <t xml:space="preserve">
$0.57-$0.6</t>
        </r>
      </text>
    </comment>
    <comment ref="CC112" authorId="2">
      <text>
        <r>
          <rPr>
            <b/>
            <sz val="9"/>
            <color indexed="81"/>
            <rFont val="Tahoma"/>
            <family val="2"/>
          </rPr>
          <t>Gantsoudes, Spencer (Research):</t>
        </r>
        <r>
          <rPr>
            <sz val="9"/>
            <color indexed="81"/>
            <rFont val="Tahoma"/>
            <family val="2"/>
          </rPr>
          <t xml:space="preserve">
$0.52-$0.57</t>
        </r>
      </text>
    </comment>
    <comment ref="CD112" authorId="2">
      <text>
        <r>
          <rPr>
            <b/>
            <sz val="9"/>
            <color indexed="81"/>
            <rFont val="Tahoma"/>
            <family val="2"/>
          </rPr>
          <t>Gantsoudes, Spencer (Research):</t>
        </r>
        <r>
          <rPr>
            <sz val="9"/>
            <color indexed="81"/>
            <rFont val="Tahoma"/>
            <family val="2"/>
          </rPr>
          <t xml:space="preserve">
4q16 guidance = 
0.53-0.59
=0.56 at midpt</t>
        </r>
      </text>
    </comment>
    <comment ref="CF112" authorId="2">
      <text>
        <r>
          <rPr>
            <b/>
            <sz val="9"/>
            <color indexed="81"/>
            <rFont val="Tahoma"/>
            <family val="2"/>
          </rPr>
          <t>Gantsoudes, Spencer (Research):</t>
        </r>
        <r>
          <rPr>
            <sz val="9"/>
            <color indexed="81"/>
            <rFont val="Tahoma"/>
            <family val="2"/>
          </rPr>
          <t xml:space="preserve">
0.46-0.52</t>
        </r>
      </text>
    </comment>
    <comment ref="CH117" authorId="2">
      <text>
        <r>
          <rPr>
            <b/>
            <sz val="9"/>
            <color indexed="81"/>
            <rFont val="Tahoma"/>
            <family val="2"/>
          </rPr>
          <t>Gantsoudes, Spencer (Research):</t>
        </r>
        <r>
          <rPr>
            <sz val="9"/>
            <color indexed="81"/>
            <rFont val="Tahoma"/>
            <family val="2"/>
          </rPr>
          <t xml:space="preserve">
for partial period of dividends</t>
        </r>
      </text>
    </comment>
    <comment ref="A144" authorId="2">
      <text>
        <r>
          <rPr>
            <b/>
            <sz val="9"/>
            <color indexed="81"/>
            <rFont val="Tahoma"/>
            <family val="2"/>
          </rPr>
          <t>Gantsoudes, Spencer (Research):</t>
        </r>
        <r>
          <rPr>
            <sz val="9"/>
            <color indexed="81"/>
            <rFont val="Tahoma"/>
            <family val="2"/>
          </rPr>
          <t xml:space="preserve">
for Level 3, will not match standalone CTL</t>
        </r>
      </text>
    </comment>
  </commentList>
</comments>
</file>

<file path=xl/comments6.xml><?xml version="1.0" encoding="utf-8"?>
<comments xmlns="http://schemas.openxmlformats.org/spreadsheetml/2006/main">
  <authors>
    <author>Gantsoudes, Spencer (Research)</author>
    <author>Daniel Gaviria</author>
  </authors>
  <commentList>
    <comment ref="CG11" authorId="0">
      <text>
        <r>
          <rPr>
            <b/>
            <sz val="9"/>
            <color indexed="81"/>
            <rFont val="Tahoma"/>
            <family val="2"/>
          </rPr>
          <t>Gantsoudes, Spencer (Research):</t>
        </r>
        <r>
          <rPr>
            <sz val="9"/>
            <color indexed="81"/>
            <rFont val="Tahoma"/>
            <family val="2"/>
          </rPr>
          <t xml:space="preserve">
includes restricted cash</t>
        </r>
      </text>
    </comment>
    <comment ref="BY15" authorId="0">
      <text>
        <r>
          <rPr>
            <b/>
            <sz val="9"/>
            <color indexed="81"/>
            <rFont val="Tahoma"/>
            <family val="2"/>
          </rPr>
          <t>Gantsoudes, Spencer (Research):</t>
        </r>
        <r>
          <rPr>
            <sz val="9"/>
            <color indexed="81"/>
            <rFont val="Tahoma"/>
            <family val="2"/>
          </rPr>
          <t xml:space="preserve">
plug until 10k</t>
        </r>
      </text>
    </comment>
    <comment ref="CC15" authorId="0">
      <text>
        <r>
          <rPr>
            <b/>
            <sz val="9"/>
            <color indexed="81"/>
            <rFont val="Tahoma"/>
            <family val="2"/>
          </rPr>
          <t>Gantsoudes, Spencer (Research):</t>
        </r>
        <r>
          <rPr>
            <sz val="9"/>
            <color indexed="81"/>
            <rFont val="Tahoma"/>
            <family val="2"/>
          </rPr>
          <t xml:space="preserve">
$2,376m asset held for sale</t>
        </r>
      </text>
    </comment>
    <comment ref="CD15" authorId="0">
      <text>
        <r>
          <rPr>
            <b/>
            <sz val="9"/>
            <color indexed="81"/>
            <rFont val="Tahoma"/>
            <family val="2"/>
          </rPr>
          <t>Gantsoudes, Spencer (Research):</t>
        </r>
        <r>
          <rPr>
            <sz val="9"/>
            <color indexed="81"/>
            <rFont val="Tahoma"/>
            <family val="2"/>
          </rPr>
          <t xml:space="preserve">
$2,376m asset held for sale</t>
        </r>
      </text>
    </comment>
    <comment ref="CG18" authorId="0">
      <text>
        <r>
          <rPr>
            <b/>
            <sz val="9"/>
            <color indexed="81"/>
            <rFont val="Tahoma"/>
            <family val="2"/>
          </rPr>
          <t>Gantsoudes, Spencer (Research):</t>
        </r>
        <r>
          <rPr>
            <sz val="9"/>
            <color indexed="81"/>
            <rFont val="Tahoma"/>
            <family val="2"/>
          </rPr>
          <t xml:space="preserve">
plus gross assets from Level 3</t>
        </r>
      </text>
    </comment>
    <comment ref="CC31" authorId="0">
      <text>
        <r>
          <rPr>
            <b/>
            <sz val="9"/>
            <color indexed="81"/>
            <rFont val="Tahoma"/>
            <family val="2"/>
          </rPr>
          <t>Gantsoudes, Spencer (Research):</t>
        </r>
        <r>
          <rPr>
            <sz val="9"/>
            <color indexed="81"/>
            <rFont val="Tahoma"/>
            <family val="2"/>
          </rPr>
          <t xml:space="preserve">
placeholder until 10q</t>
        </r>
      </text>
    </comment>
    <comment ref="BT36" authorId="0">
      <text>
        <r>
          <rPr>
            <b/>
            <sz val="9"/>
            <color indexed="81"/>
            <rFont val="Tahoma"/>
            <family val="2"/>
          </rPr>
          <t>Gantsoudes, Spencer (Research):</t>
        </r>
        <r>
          <rPr>
            <sz val="9"/>
            <color indexed="81"/>
            <rFont val="Tahoma"/>
            <family val="2"/>
          </rPr>
          <t xml:space="preserve">
completed sale of $500 million aggregate principal amount of its unsecured 6.875% Notes due 2054 ($483 in net proceeds).
"...net proceeds, together
with available cash or additional borrowings[...]to retire at maturity on October 1, 2014 all $600 million
aggregate principal amount of QC’s outstanding 7.5% notes, including the payment of accrued and unpaid interest thereon of approximately $23
million."</t>
        </r>
      </text>
    </comment>
    <comment ref="A37" authorId="1">
      <text>
        <r>
          <rPr>
            <b/>
            <sz val="8"/>
            <color indexed="81"/>
            <rFont val="Tahoma"/>
            <family val="2"/>
          </rPr>
          <t>Daniel Gaviria:</t>
        </r>
        <r>
          <rPr>
            <sz val="8"/>
            <color indexed="81"/>
            <rFont val="Tahoma"/>
            <family val="2"/>
          </rPr>
          <t xml:space="preserve">
Place holder to account for pension contribution. 
CTL lumps pension+OPEB with deferred revenue but we wanted to break out the amount paid to reduce the liability</t>
        </r>
      </text>
    </comment>
    <comment ref="T37" authorId="0">
      <text>
        <r>
          <rPr>
            <b/>
            <sz val="9"/>
            <color indexed="81"/>
            <rFont val="Tahoma"/>
            <family val="2"/>
          </rPr>
          <t>Gantsoudes, Spencer (Research):</t>
        </r>
        <r>
          <rPr>
            <sz val="9"/>
            <color indexed="81"/>
            <rFont val="Tahoma"/>
            <family val="2"/>
          </rPr>
          <t xml:space="preserve">
reversal</t>
        </r>
      </text>
    </comment>
    <comment ref="CG44" authorId="0">
      <text>
        <r>
          <rPr>
            <b/>
            <sz val="9"/>
            <color indexed="81"/>
            <rFont val="Tahoma"/>
            <family val="2"/>
          </rPr>
          <t>Gantsoudes, Spencer (Research):</t>
        </r>
        <r>
          <rPr>
            <sz val="9"/>
            <color indexed="81"/>
            <rFont val="Tahoma"/>
            <family val="2"/>
          </rPr>
          <t xml:space="preserve">
new common stock issued to Level 3 shareholders</t>
        </r>
      </text>
    </comment>
    <comment ref="BF80" authorId="1">
      <text>
        <r>
          <rPr>
            <b/>
            <sz val="8"/>
            <color indexed="81"/>
            <rFont val="Tahoma"/>
            <family val="2"/>
          </rPr>
          <t>Daniel Gaviria:</t>
        </r>
        <r>
          <rPr>
            <sz val="8"/>
            <color indexed="81"/>
            <rFont val="Tahoma"/>
            <family val="2"/>
          </rPr>
          <t xml:space="preserve">
DO NOT DRAG THIS FORMULA, COPY FORMULA FROM 4Q10</t>
        </r>
      </text>
    </comment>
    <comment ref="CG82" authorId="0">
      <text>
        <r>
          <rPr>
            <b/>
            <sz val="9"/>
            <color indexed="81"/>
            <rFont val="Tahoma"/>
            <family val="2"/>
          </rPr>
          <t>Gantsoudes, Spencer (Research):</t>
        </r>
        <r>
          <rPr>
            <sz val="9"/>
            <color indexed="81"/>
            <rFont val="Tahoma"/>
            <family val="2"/>
          </rPr>
          <t xml:space="preserve">
$132m of Level 3 interest expense
2/3 quarter
=$88m
=$450m
$1.5b draw
$471m interest expense implies $21m incremental expense for draw
21m x 4 = $84m
$84m / $1,500m = 5.6% rate</t>
        </r>
      </text>
    </comment>
  </commentList>
</comments>
</file>

<file path=xl/comments7.xml><?xml version="1.0" encoding="utf-8"?>
<comments xmlns="http://schemas.openxmlformats.org/spreadsheetml/2006/main">
  <authors>
    <author>Gantsoudes, Spencer (Research)</author>
    <author>warjohn</author>
    <author>dehaisb</author>
    <author>Jeannette Baez</author>
    <author>armintas</author>
    <author>Daniel Gaviria</author>
  </authors>
  <commentList>
    <comment ref="BS17" authorId="0">
      <text>
        <r>
          <rPr>
            <b/>
            <sz val="9"/>
            <color indexed="81"/>
            <rFont val="Tahoma"/>
            <family val="2"/>
          </rPr>
          <t>Gantsoudes, Spencer (Research):</t>
        </r>
        <r>
          <rPr>
            <sz val="9"/>
            <color indexed="81"/>
            <rFont val="Tahoma"/>
            <family val="2"/>
          </rPr>
          <t xml:space="preserve">
impairment of assets</t>
        </r>
      </text>
    </comment>
    <comment ref="R30" authorId="0">
      <text>
        <r>
          <rPr>
            <b/>
            <sz val="9"/>
            <color indexed="81"/>
            <rFont val="Tahoma"/>
            <family val="2"/>
          </rPr>
          <t>Gantsoudes, Spencer (Research):</t>
        </r>
        <r>
          <rPr>
            <sz val="9"/>
            <color indexed="81"/>
            <rFont val="Tahoma"/>
            <family val="2"/>
          </rPr>
          <t xml:space="preserve">
estimated Level 3 = $2.4b
estimated 4Q17 impact =
$609 x 2/3
$400m</t>
        </r>
      </text>
    </comment>
    <comment ref="S30" authorId="0">
      <text>
        <r>
          <rPr>
            <b/>
            <sz val="9"/>
            <color indexed="81"/>
            <rFont val="Tahoma"/>
            <family val="2"/>
          </rPr>
          <t>Gantsoudes, Spencer (Research):</t>
        </r>
        <r>
          <rPr>
            <sz val="9"/>
            <color indexed="81"/>
            <rFont val="Tahoma"/>
            <family val="2"/>
          </rPr>
          <t xml:space="preserve">
7050-7150</t>
        </r>
      </text>
    </comment>
    <comment ref="N34" authorId="1">
      <text>
        <r>
          <rPr>
            <b/>
            <sz val="8"/>
            <color indexed="81"/>
            <rFont val="Tahoma"/>
            <family val="2"/>
          </rPr>
          <t>warjohn:</t>
        </r>
        <r>
          <rPr>
            <sz val="8"/>
            <color indexed="81"/>
            <rFont val="Tahoma"/>
            <family val="2"/>
          </rPr>
          <t xml:space="preserve">
Guidance:
4Q12: $2.8 - $3.0B</t>
        </r>
      </text>
    </comment>
    <comment ref="CB35" authorId="0">
      <text>
        <r>
          <rPr>
            <b/>
            <sz val="9"/>
            <color indexed="81"/>
            <rFont val="Tahoma"/>
            <family val="2"/>
          </rPr>
          <t>Gantsoudes, Spencer (Research):</t>
        </r>
        <r>
          <rPr>
            <sz val="9"/>
            <color indexed="81"/>
            <rFont val="Tahoma"/>
            <family val="2"/>
          </rPr>
          <t xml:space="preserve">
+1473m from data center sale</t>
        </r>
      </text>
    </comment>
    <comment ref="CC40" authorId="0">
      <text>
        <r>
          <rPr>
            <b/>
            <sz val="9"/>
            <color indexed="81"/>
            <rFont val="Tahoma"/>
            <family val="2"/>
          </rPr>
          <t>Gantsoudes, Spencer (Research):</t>
        </r>
        <r>
          <rPr>
            <sz val="9"/>
            <color indexed="81"/>
            <rFont val="Tahoma"/>
            <family val="2"/>
          </rPr>
          <t xml:space="preserve">
</t>
        </r>
        <r>
          <rPr>
            <sz val="15"/>
            <color indexed="81"/>
            <rFont val="Tahoma"/>
            <family val="2"/>
          </rPr>
          <t>365m LVLT shares * $26.50 cash consideration</t>
        </r>
      </text>
    </comment>
    <comment ref="CD40" authorId="0">
      <text>
        <r>
          <rPr>
            <b/>
            <sz val="9"/>
            <color indexed="81"/>
            <rFont val="Tahoma"/>
            <family val="2"/>
          </rPr>
          <t>Gantsoudes, Spencer (Research):</t>
        </r>
        <r>
          <rPr>
            <sz val="9"/>
            <color indexed="81"/>
            <rFont val="Tahoma"/>
            <family val="2"/>
          </rPr>
          <t xml:space="preserve">
$26.50 cash per share x LVLT 3Q17 TSO less LVLT cash on hand</t>
        </r>
      </text>
    </comment>
    <comment ref="CC44" authorId="0">
      <text>
        <r>
          <rPr>
            <b/>
            <sz val="9"/>
            <color indexed="81"/>
            <rFont val="Tahoma"/>
            <family val="2"/>
          </rPr>
          <t>Gantsoudes, Spencer (Research):</t>
        </r>
        <r>
          <rPr>
            <sz val="9"/>
            <color indexed="81"/>
            <rFont val="Tahoma"/>
            <family val="2"/>
          </rPr>
          <t xml:space="preserve">
undrawn facility for LVLT 3</t>
        </r>
      </text>
    </comment>
    <comment ref="BV45" authorId="0">
      <text>
        <r>
          <rPr>
            <b/>
            <sz val="9"/>
            <color indexed="81"/>
            <rFont val="Tahoma"/>
            <family val="2"/>
          </rPr>
          <t>Gantsoudes, Spencer (Research):</t>
        </r>
        <r>
          <rPr>
            <sz val="9"/>
            <color indexed="81"/>
            <rFont val="Tahoma"/>
            <family val="2"/>
          </rPr>
          <t xml:space="preserve">
had 280m left as of end of 3Q15, said they completed the buyback 
" I might add though, at this point, that we did complete the share repurchase program this last week that we had announced $1 billion share repurchase program</t>
        </r>
      </text>
    </comment>
    <comment ref="I55" authorId="2">
      <text>
        <r>
          <rPr>
            <b/>
            <sz val="8"/>
            <color indexed="81"/>
            <rFont val="Tahoma"/>
            <family val="2"/>
          </rPr>
          <t>dehaisb:</t>
        </r>
        <r>
          <rPr>
            <sz val="8"/>
            <color indexed="81"/>
            <rFont val="Tahoma"/>
            <family val="2"/>
          </rPr>
          <t xml:space="preserve">
CenturyLink + Qwest</t>
        </r>
      </text>
    </comment>
    <comment ref="AQ55" authorId="2">
      <text>
        <r>
          <rPr>
            <b/>
            <sz val="8"/>
            <color indexed="81"/>
            <rFont val="Tahoma"/>
            <family val="2"/>
          </rPr>
          <t>dehaisb:</t>
        </r>
        <r>
          <rPr>
            <sz val="8"/>
            <color indexed="81"/>
            <rFont val="Tahoma"/>
            <family val="2"/>
          </rPr>
          <t xml:space="preserve">
Includes CenturyLink+ Qwest</t>
        </r>
      </text>
    </comment>
    <comment ref="CB56" authorId="0">
      <text>
        <r>
          <rPr>
            <b/>
            <sz val="9"/>
            <color indexed="81"/>
            <rFont val="Tahoma"/>
            <family val="2"/>
          </rPr>
          <t>Gantsoudes, Spencer (Research):</t>
        </r>
        <r>
          <rPr>
            <sz val="9"/>
            <color indexed="81"/>
            <rFont val="Tahoma"/>
            <family val="2"/>
          </rPr>
          <t xml:space="preserve">
adjusts for restricted cash</t>
        </r>
      </text>
    </comment>
    <comment ref="R57" authorId="0">
      <text>
        <r>
          <rPr>
            <b/>
            <sz val="9"/>
            <color indexed="81"/>
            <rFont val="Tahoma"/>
            <family val="2"/>
          </rPr>
          <t>Gantsoudes, Spencer (Research):</t>
        </r>
        <r>
          <rPr>
            <sz val="9"/>
            <color indexed="81"/>
            <rFont val="Tahoma"/>
            <family val="2"/>
          </rPr>
          <t xml:space="preserve">
to adjust for restricted cash</t>
        </r>
      </text>
    </comment>
    <comment ref="BR57" authorId="0">
      <text>
        <r>
          <rPr>
            <b/>
            <sz val="9"/>
            <color indexed="81"/>
            <rFont val="Tahoma"/>
            <family val="2"/>
          </rPr>
          <t>Gantsoudes, Spencer (Research):</t>
        </r>
        <r>
          <rPr>
            <sz val="9"/>
            <color indexed="81"/>
            <rFont val="Tahoma"/>
            <family val="2"/>
          </rPr>
          <t xml:space="preserve">
restricted cash adjustment</t>
        </r>
      </text>
    </comment>
    <comment ref="D61" authorId="3">
      <text>
        <r>
          <rPr>
            <b/>
            <sz val="8"/>
            <color indexed="81"/>
            <rFont val="Tahoma"/>
            <family val="2"/>
          </rPr>
          <t>Jeannette Baez:</t>
        </r>
        <r>
          <rPr>
            <sz val="8"/>
            <color indexed="81"/>
            <rFont val="Tahoma"/>
            <family val="2"/>
          </rPr>
          <t xml:space="preserve">
helped this year by deferred taxes and positive change in working capital</t>
        </r>
      </text>
    </comment>
    <comment ref="S61" authorId="0">
      <text>
        <r>
          <rPr>
            <b/>
            <sz val="9"/>
            <color indexed="81"/>
            <rFont val="Tahoma"/>
            <family val="2"/>
          </rPr>
          <t>Gantsoudes, Spencer (Research):</t>
        </r>
        <r>
          <rPr>
            <sz val="9"/>
            <color indexed="81"/>
            <rFont val="Tahoma"/>
            <family val="2"/>
          </rPr>
          <t xml:space="preserve">
3150-3350</t>
        </r>
      </text>
    </comment>
    <comment ref="P78" authorId="0">
      <text>
        <r>
          <rPr>
            <b/>
            <sz val="9"/>
            <color indexed="81"/>
            <rFont val="Tahoma"/>
            <family val="2"/>
          </rPr>
          <t>Gantsoudes, Spencer (Research):</t>
        </r>
        <r>
          <rPr>
            <sz val="9"/>
            <color indexed="81"/>
            <rFont val="Tahoma"/>
            <family val="2"/>
          </rPr>
          <t xml:space="preserve">
per Citi Conference - estimated cash taxes $100-$150M
per 4Q14 conference call - $25-$50M in 2015 ($300M benefit from bonus depreciation that moves into 2016
BAML conference 9/15 - $25-$125M (not considering CAF II)
</t>
        </r>
      </text>
    </comment>
    <comment ref="Q78" authorId="0">
      <text>
        <r>
          <rPr>
            <b/>
            <sz val="9"/>
            <color indexed="81"/>
            <rFont val="Tahoma"/>
            <family val="2"/>
          </rPr>
          <t>Gantsoudes, Spencer (Research):</t>
        </r>
        <r>
          <rPr>
            <sz val="9"/>
            <color indexed="81"/>
            <rFont val="Tahoma"/>
            <family val="2"/>
          </rPr>
          <t xml:space="preserve">
per Citi Conference - estimated cash taxes $100-$150M
per 4Q14 conference call - $25-$50M in 2015 ($300M benefit from bonus depreciation that moves into 2016
BAML conference 9/15 - $25-$125M (not considering CAF II)
</t>
        </r>
      </text>
    </comment>
    <comment ref="BH79" authorId="1">
      <text>
        <r>
          <rPr>
            <b/>
            <sz val="8"/>
            <color indexed="81"/>
            <rFont val="Tahoma"/>
            <family val="2"/>
          </rPr>
          <t xml:space="preserve">warjohn:
</t>
        </r>
        <r>
          <rPr>
            <sz val="8"/>
            <color indexed="81"/>
            <rFont val="Tahoma"/>
            <family val="2"/>
          </rPr>
          <t>Primarily</t>
        </r>
        <r>
          <rPr>
            <b/>
            <sz val="8"/>
            <color indexed="81"/>
            <rFont val="Tahoma"/>
            <family val="2"/>
          </rPr>
          <t xml:space="preserve"> </t>
        </r>
        <r>
          <rPr>
            <sz val="8"/>
            <color indexed="81"/>
            <rFont val="Tahoma"/>
            <family val="2"/>
          </rPr>
          <t>for higher cash interest (about $150)</t>
        </r>
      </text>
    </comment>
    <comment ref="BI79" authorId="1">
      <text>
        <r>
          <rPr>
            <b/>
            <sz val="8"/>
            <color indexed="81"/>
            <rFont val="Tahoma"/>
            <family val="2"/>
          </rPr>
          <t>warjohn:</t>
        </r>
        <r>
          <rPr>
            <sz val="8"/>
            <color indexed="81"/>
            <rFont val="Tahoma"/>
            <family val="2"/>
          </rPr>
          <t xml:space="preserve">
Lower Cash Interest</t>
        </r>
      </text>
    </comment>
    <comment ref="BJ79" authorId="1">
      <text>
        <r>
          <rPr>
            <b/>
            <sz val="8"/>
            <color indexed="81"/>
            <rFont val="Tahoma"/>
            <family val="2"/>
          </rPr>
          <t>warjohn:</t>
        </r>
        <r>
          <rPr>
            <sz val="8"/>
            <color indexed="81"/>
            <rFont val="Tahoma"/>
            <family val="2"/>
          </rPr>
          <t xml:space="preserve">
Lower Cash Interest</t>
        </r>
      </text>
    </comment>
    <comment ref="BK79" authorId="1">
      <text>
        <r>
          <rPr>
            <b/>
            <sz val="8"/>
            <color indexed="81"/>
            <rFont val="Tahoma"/>
            <family val="2"/>
          </rPr>
          <t>warjohn:</t>
        </r>
        <r>
          <rPr>
            <sz val="8"/>
            <color indexed="81"/>
            <rFont val="Tahoma"/>
            <family val="2"/>
          </rPr>
          <t xml:space="preserve">
Lower Cash Interest</t>
        </r>
      </text>
    </comment>
    <comment ref="BL79" authorId="1">
      <text>
        <r>
          <rPr>
            <b/>
            <sz val="8"/>
            <color indexed="81"/>
            <rFont val="Tahoma"/>
            <family val="2"/>
          </rPr>
          <t>warjohn:</t>
        </r>
        <r>
          <rPr>
            <sz val="8"/>
            <color indexed="81"/>
            <rFont val="Tahoma"/>
            <family val="2"/>
          </rPr>
          <t xml:space="preserve">
Lower Cash Interest</t>
        </r>
      </text>
    </comment>
    <comment ref="BS79" authorId="0">
      <text>
        <r>
          <rPr>
            <b/>
            <sz val="9"/>
            <color indexed="81"/>
            <rFont val="Tahoma"/>
            <family val="2"/>
          </rPr>
          <t>Gantsoudes, Spencer (Research):</t>
        </r>
        <r>
          <rPr>
            <sz val="9"/>
            <color indexed="81"/>
            <rFont val="Tahoma"/>
            <family val="2"/>
          </rPr>
          <t xml:space="preserve">
take average from previous periods</t>
        </r>
      </text>
    </comment>
    <comment ref="M80" authorId="4">
      <text>
        <r>
          <rPr>
            <b/>
            <sz val="8"/>
            <color indexed="81"/>
            <rFont val="Tahoma"/>
            <family val="2"/>
          </rPr>
          <t>warjohn:</t>
        </r>
        <r>
          <rPr>
            <sz val="8"/>
            <color indexed="81"/>
            <rFont val="Tahoma"/>
            <family val="2"/>
          </rPr>
          <t xml:space="preserve">
$3.3B to $3.4B
</t>
        </r>
      </text>
    </comment>
    <comment ref="O80" authorId="1">
      <text>
        <r>
          <rPr>
            <b/>
            <sz val="8"/>
            <color indexed="81"/>
            <rFont val="Tahoma"/>
            <family val="2"/>
          </rPr>
          <t>warjohn:</t>
        </r>
        <r>
          <rPr>
            <sz val="8"/>
            <color indexed="81"/>
            <rFont val="Tahoma"/>
            <family val="2"/>
          </rPr>
          <t xml:space="preserve">
Guidance: $2.6B to $2.8B</t>
        </r>
      </text>
    </comment>
    <comment ref="P80" authorId="0">
      <text>
        <r>
          <rPr>
            <b/>
            <sz val="9"/>
            <color indexed="81"/>
            <rFont val="Tahoma"/>
            <family val="2"/>
          </rPr>
          <t>Gantsoudes, Spencer (Research):</t>
        </r>
        <r>
          <rPr>
            <sz val="9"/>
            <color indexed="81"/>
            <rFont val="Tahoma"/>
            <family val="2"/>
          </rPr>
          <t xml:space="preserve">
$2.5-2.7B guidance</t>
        </r>
      </text>
    </comment>
    <comment ref="BT84" authorId="0">
      <text>
        <r>
          <rPr>
            <b/>
            <sz val="9"/>
            <color indexed="81"/>
            <rFont val="Tahoma"/>
            <family val="2"/>
          </rPr>
          <t>Gantsoudes, Spencer (Research):</t>
        </r>
        <r>
          <rPr>
            <sz val="9"/>
            <color indexed="81"/>
            <rFont val="Tahoma"/>
            <family val="2"/>
          </rPr>
          <t xml:space="preserve">
includes 2m of integration capex</t>
        </r>
      </text>
    </comment>
    <comment ref="BX84" authorId="0">
      <text>
        <r>
          <rPr>
            <b/>
            <sz val="9"/>
            <color indexed="81"/>
            <rFont val="Tahoma"/>
            <family val="2"/>
          </rPr>
          <t>Gantsoudes, Spencer (Research):</t>
        </r>
        <r>
          <rPr>
            <sz val="9"/>
            <color indexed="81"/>
            <rFont val="Tahoma"/>
            <family val="2"/>
          </rPr>
          <t xml:space="preserve">
excludes $5m in integration capex</t>
        </r>
      </text>
    </comment>
    <comment ref="S85" authorId="0">
      <text>
        <r>
          <rPr>
            <b/>
            <sz val="9"/>
            <color indexed="81"/>
            <rFont val="Tahoma"/>
            <family val="2"/>
          </rPr>
          <t>Gantsoudes, Spencer (Research):</t>
        </r>
        <r>
          <rPr>
            <sz val="9"/>
            <color indexed="81"/>
            <rFont val="Tahoma"/>
            <family val="2"/>
          </rPr>
          <t xml:space="preserve">
Please note our free cash flow outlook assumes a $100 million pension contribution in 2018 in line with our contribution level in 2017.</t>
        </r>
      </text>
    </comment>
    <comment ref="S86" authorId="0">
      <text>
        <r>
          <rPr>
            <b/>
            <sz val="9"/>
            <color indexed="81"/>
            <rFont val="Tahoma"/>
            <family val="2"/>
          </rPr>
          <t>Gantsoudes, Spencer (Research):</t>
        </r>
        <r>
          <rPr>
            <sz val="9"/>
            <color indexed="81"/>
            <rFont val="Tahoma"/>
            <family val="2"/>
          </rPr>
          <t xml:space="preserve">
$200m guide</t>
        </r>
      </text>
    </comment>
    <comment ref="R88" authorId="0">
      <text>
        <r>
          <rPr>
            <b/>
            <sz val="9"/>
            <color indexed="81"/>
            <rFont val="Tahoma"/>
            <family val="2"/>
          </rPr>
          <t>Gantsoudes, Spencer (Research):</t>
        </r>
        <r>
          <rPr>
            <sz val="9"/>
            <color indexed="81"/>
            <rFont val="Tahoma"/>
            <family val="2"/>
          </rPr>
          <t xml:space="preserve">
1.55-1.75b
less 40-80m impact from data center sale
1510-1710
1610 at midpt</t>
        </r>
      </text>
    </comment>
    <comment ref="P93" authorId="0">
      <text>
        <r>
          <rPr>
            <b/>
            <sz val="9"/>
            <color indexed="81"/>
            <rFont val="Tahoma"/>
            <family val="2"/>
          </rPr>
          <t>Gantsoudes, Spencer (Research):</t>
        </r>
        <r>
          <rPr>
            <sz val="9"/>
            <color indexed="81"/>
            <rFont val="Tahoma"/>
            <family val="2"/>
          </rPr>
          <t xml:space="preserve">
per Citi Conference - estimated cash taxes $100-$150M
per 4Q14 conference call - $25-$50M in 2015 ($300M benefit from bonus depreciation that moves into 2016</t>
        </r>
      </text>
    </comment>
    <comment ref="Q93" authorId="0">
      <text>
        <r>
          <rPr>
            <b/>
            <sz val="9"/>
            <color indexed="81"/>
            <rFont val="Tahoma"/>
            <family val="2"/>
          </rPr>
          <t>Gantsoudes, Spencer (Research):</t>
        </r>
        <r>
          <rPr>
            <sz val="9"/>
            <color indexed="81"/>
            <rFont val="Tahoma"/>
            <family val="2"/>
          </rPr>
          <t xml:space="preserve">
4q15 guidance: $400-$600m, assuming $450 bc low end of EBITDA
216 guidance: $400-$500m</t>
        </r>
      </text>
    </comment>
    <comment ref="R93" authorId="0">
      <text>
        <r>
          <rPr>
            <b/>
            <sz val="9"/>
            <color indexed="81"/>
            <rFont val="Tahoma"/>
            <family val="2"/>
          </rPr>
          <t>Gantsoudes, Spencer (Research):</t>
        </r>
        <r>
          <rPr>
            <sz val="9"/>
            <color indexed="81"/>
            <rFont val="Tahoma"/>
            <family val="2"/>
          </rPr>
          <t xml:space="preserve">
45-55% of pretax income
2017 guidance: $500-$600m before considering impact of data center sale and LVLT transaction. Expects to be able to use $2bn of LVLT NOLs/year. Or $700m ($2b x 35%)</t>
        </r>
      </text>
    </comment>
    <comment ref="BP93" authorId="0">
      <text>
        <r>
          <rPr>
            <b/>
            <sz val="9"/>
            <color indexed="81"/>
            <rFont val="Tahoma"/>
            <family val="2"/>
          </rPr>
          <t>Gantsoudes, Spencer (Research):</t>
        </r>
        <r>
          <rPr>
            <sz val="9"/>
            <color indexed="81"/>
            <rFont val="Tahoma"/>
            <family val="2"/>
          </rPr>
          <t xml:space="preserve">
in 10Q under" Income taxes (paid)"</t>
        </r>
      </text>
    </comment>
    <comment ref="BU93" authorId="0">
      <text>
        <r>
          <rPr>
            <b/>
            <sz val="9"/>
            <color indexed="81"/>
            <rFont val="Tahoma"/>
            <family val="2"/>
          </rPr>
          <t>Gantsoudes, Spencer (Research):</t>
        </r>
        <r>
          <rPr>
            <sz val="9"/>
            <color indexed="81"/>
            <rFont val="Tahoma"/>
            <family val="2"/>
          </rPr>
          <t xml:space="preserve">
updated guidance September 2015: $25-$125M or $75M at mid point for 2015
1H15 = $41, 2H15 =$34M
+~$50M from CAF II taxes
= $17M +$50M
= $67M</t>
        </r>
      </text>
    </comment>
    <comment ref="BV93" authorId="0">
      <text>
        <r>
          <rPr>
            <b/>
            <sz val="11"/>
            <color indexed="81"/>
            <rFont val="Tahoma"/>
            <family val="2"/>
          </rPr>
          <t>Gantsoudes, Spencer (Research):</t>
        </r>
        <r>
          <rPr>
            <sz val="11"/>
            <color indexed="81"/>
            <rFont val="Tahoma"/>
            <family val="2"/>
          </rPr>
          <t xml:space="preserve">
1/6/16 conference:</t>
        </r>
        <r>
          <rPr>
            <i/>
            <sz val="11"/>
            <color indexed="81"/>
            <rFont val="Tahoma"/>
            <family val="2"/>
          </rPr>
          <t>"We need to -- we haven't really decided yet what to use the free cash flow that we will be blessed with as a result of the tax change at the end of the year. But it is significant to us. It's basically about $250 million of cash tax savings in 2015. And it's about $400 million to $450 million of cash
tax savings in 2016. And basically with bonus depreciation being enacted -- 50% bonus depreciation in 2015, 2016, 2017; then going to 30% in
2018, and 20% in 2019 -- it really defers a tremendous amount of taxes out that allows us, in 2016, to get our dividend payout ratio down into the
low 60s, low to mid-60s...</t>
        </r>
        <r>
          <rPr>
            <b/>
            <i/>
            <sz val="11"/>
            <color indexed="81"/>
            <rFont val="Tahoma"/>
            <family val="2"/>
          </rPr>
          <t xml:space="preserve">In 2015 -- so now, we think 2015 will be about $60 million."
</t>
        </r>
        <r>
          <rPr>
            <i/>
            <sz val="11"/>
            <color indexed="81"/>
            <rFont val="Tahoma"/>
            <family val="2"/>
          </rPr>
          <t>12/7/15 Conference: "Basically without bonus depreciation, our cash taxes this year will be somewhere in the $300 million range, $300 million, $350 million range or so. Next year would be $900 million to $1 billion or so. If we get bonus depreciation this year, we'll be able to knock about $200 million or so off of 2015's taxes and 2016 would decline about $400 million to $500 million or so."
updated guidance September 2015: $25-$125M or $75M at mid point
$17M for 3Q15 and $17M for 4Q15
+~$17.5M from CAF II taxes
= +$200M from early tax payment (smoothing)</t>
        </r>
      </text>
    </comment>
    <comment ref="L104" authorId="5">
      <text>
        <r>
          <rPr>
            <b/>
            <sz val="8"/>
            <color indexed="81"/>
            <rFont val="Tahoma"/>
            <family val="2"/>
          </rPr>
          <t>Daniel Gaviria:</t>
        </r>
        <r>
          <rPr>
            <sz val="8"/>
            <color indexed="81"/>
            <rFont val="Tahoma"/>
            <family val="2"/>
          </rPr>
          <t xml:space="preserve">
GUIDANCE 2Q
~50%"
GUIDANCE 1Q
"UNDER 50%"</t>
        </r>
      </text>
    </comment>
    <comment ref="A108" authorId="0">
      <text>
        <r>
          <rPr>
            <b/>
            <sz val="9"/>
            <color indexed="81"/>
            <rFont val="Tahoma"/>
            <family val="2"/>
          </rPr>
          <t>Gantsoudes, Spencer (Research):</t>
        </r>
        <r>
          <rPr>
            <sz val="9"/>
            <color indexed="81"/>
            <rFont val="Tahoma"/>
            <family val="2"/>
          </rPr>
          <t xml:space="preserve">
excluding integration capex. </t>
        </r>
      </text>
    </comment>
    <comment ref="L108" authorId="5">
      <text>
        <r>
          <rPr>
            <b/>
            <sz val="8"/>
            <color indexed="81"/>
            <rFont val="Tahoma"/>
            <family val="2"/>
          </rPr>
          <t>Daniel Gaviria:</t>
        </r>
        <r>
          <rPr>
            <sz val="8"/>
            <color indexed="81"/>
            <rFont val="Tahoma"/>
            <family val="2"/>
          </rPr>
          <t xml:space="preserve">
GUIDANCE 2Q:
$2.85 to $3B
GUIDANCE 1Q:
$2.6 to $2.7B</t>
        </r>
      </text>
    </comment>
    <comment ref="M108" authorId="1">
      <text>
        <r>
          <rPr>
            <b/>
            <sz val="8"/>
            <color indexed="81"/>
            <rFont val="Tahoma"/>
            <family val="2"/>
          </rPr>
          <t>warjohn:</t>
        </r>
        <r>
          <rPr>
            <sz val="8"/>
            <color indexed="81"/>
            <rFont val="Tahoma"/>
            <family val="2"/>
          </rPr>
          <t xml:space="preserve">
2.75B to 2.85B</t>
        </r>
      </text>
    </comment>
    <comment ref="O108" authorId="1">
      <text>
        <r>
          <rPr>
            <b/>
            <sz val="8"/>
            <color indexed="81"/>
            <rFont val="Tahoma"/>
            <family val="2"/>
          </rPr>
          <t>warjohn:</t>
        </r>
        <r>
          <rPr>
            <sz val="8"/>
            <color indexed="81"/>
            <rFont val="Tahoma"/>
            <family val="2"/>
          </rPr>
          <t xml:space="preserve">
Guidance: approx. $3.0B</t>
        </r>
      </text>
    </comment>
    <comment ref="P108" authorId="0">
      <text>
        <r>
          <rPr>
            <b/>
            <sz val="9"/>
            <color indexed="81"/>
            <rFont val="Tahoma"/>
            <family val="2"/>
          </rPr>
          <t>Gantsoudes, Spencer (Research):</t>
        </r>
        <r>
          <rPr>
            <sz val="9"/>
            <color indexed="81"/>
            <rFont val="Tahoma"/>
            <family val="2"/>
          </rPr>
          <t xml:space="preserve">
guidance: approximately $3B</t>
        </r>
      </text>
    </comment>
    <comment ref="Q108" authorId="0">
      <text>
        <r>
          <rPr>
            <b/>
            <sz val="9"/>
            <color indexed="81"/>
            <rFont val="Tahoma"/>
            <family val="2"/>
          </rPr>
          <t>Gantsoudes, Spencer (Research):</t>
        </r>
        <r>
          <rPr>
            <sz val="9"/>
            <color indexed="81"/>
            <rFont val="Tahoma"/>
            <family val="2"/>
          </rPr>
          <t xml:space="preserve">
guidance: approximately $3B</t>
        </r>
      </text>
    </comment>
    <comment ref="R108" authorId="0">
      <text>
        <r>
          <rPr>
            <b/>
            <sz val="9"/>
            <color indexed="81"/>
            <rFont val="Tahoma"/>
            <family val="2"/>
          </rPr>
          <t>Gantsoudes, Spencer (Research):</t>
        </r>
        <r>
          <rPr>
            <sz val="9"/>
            <color indexed="81"/>
            <rFont val="Tahoma"/>
            <family val="2"/>
          </rPr>
          <t xml:space="preserve">
2.6b guidance</t>
        </r>
      </text>
    </comment>
    <comment ref="S108" authorId="0">
      <text>
        <r>
          <rPr>
            <b/>
            <sz val="9"/>
            <color indexed="81"/>
            <rFont val="Tahoma"/>
            <family val="2"/>
          </rPr>
          <t>Gantsoudes, Spencer (Research):</t>
        </r>
        <r>
          <rPr>
            <sz val="9"/>
            <color indexed="81"/>
            <rFont val="Tahoma"/>
            <family val="2"/>
          </rPr>
          <t xml:space="preserve">
16% guidance
3800-3900</t>
        </r>
      </text>
    </comment>
    <comment ref="T108" authorId="0">
      <text>
        <r>
          <rPr>
            <b/>
            <sz val="9"/>
            <color indexed="81"/>
            <rFont val="Tahoma"/>
            <family val="2"/>
          </rPr>
          <t>Gantsoudes, Spencer (Research):</t>
        </r>
        <r>
          <rPr>
            <sz val="9"/>
            <color indexed="81"/>
            <rFont val="Tahoma"/>
            <family val="2"/>
          </rPr>
          <t xml:space="preserve">
16% core capital intensity (less CAF II revenue) + CAF II related capex
"[capex] will be a success-based capital, where we didn't hit our targets in first part of the year. But also we'll expect to reduce some network spend, but in lower growth areas. We don't think it will significantly impact our strategic revenue growth with the reduction in CapEx that we're planning. And in addition, we're going to cut out some vehicles, some IT services, some non-strategic spend that we had in the budget. So that's how we'll cut our budget back to the non-cap budget back there in the $2.5 billion, $2.6 billion range to allow for the $400 million to $500 million type spend for the CAF II areas" 9/10/15</t>
        </r>
      </text>
    </comment>
    <comment ref="U108" authorId="0">
      <text>
        <r>
          <rPr>
            <b/>
            <sz val="9"/>
            <color indexed="81"/>
            <rFont val="Tahoma"/>
            <family val="2"/>
          </rPr>
          <t>Gantsoudes, Spencer (Research):</t>
        </r>
        <r>
          <rPr>
            <sz val="9"/>
            <color indexed="81"/>
            <rFont val="Tahoma"/>
            <family val="2"/>
          </rPr>
          <t xml:space="preserve">
16% core capital intensity (less CAF II revenue) + CAF II related capex
"[capex] will be a success-based capital, where we didn't hit our targets in first part of the year. But also we'll expect to reduce some network spend, but in lower growth areas. We don't think it will significantly impact our strategic revenue growth with the reduction in CapEx that we're planning. And in addition, we're going to cut out some vehicles, some IT services, some non-strategic spend that we had in the budget. So that's how we'll cut our budget back to the non-cap budget back there in the $2.5 billion, $2.6 billion range to allow for the $400 million to $500 million type spend for the CAF II areas" 9/10/15</t>
        </r>
      </text>
    </comment>
    <comment ref="V108" authorId="0">
      <text>
        <r>
          <rPr>
            <b/>
            <sz val="9"/>
            <color indexed="81"/>
            <rFont val="Tahoma"/>
            <family val="2"/>
          </rPr>
          <t>Gantsoudes, Spencer (Research):</t>
        </r>
        <r>
          <rPr>
            <sz val="9"/>
            <color indexed="81"/>
            <rFont val="Tahoma"/>
            <family val="2"/>
          </rPr>
          <t xml:space="preserve">
16% core capital intensity (less CAF II revenue) + CAF II related capex
"[capex] will be a success-based capital, where we didn't hit our targets in first part of the year. But also we'll expect to reduce some network spend, but in lower growth areas. We don't think it will significantly impact our strategic revenue growth with the reduction in CapEx that we're planning. And in addition, we're going to cut out some vehicles, some IT services, some non-strategic spend that we had in the budget. So that's how we'll cut our budget back to the non-cap budget back there in the $2.5 billion, $2.6 billion range to allow for the $400 million to $500 million type spend for the CAF II areas" 9/10/15</t>
        </r>
      </text>
    </comment>
    <comment ref="BA108" authorId="5">
      <text>
        <r>
          <rPr>
            <b/>
            <sz val="8"/>
            <color indexed="81"/>
            <rFont val="Tahoma"/>
            <family val="2"/>
          </rPr>
          <t>Daniel Gaviria:</t>
        </r>
        <r>
          <rPr>
            <sz val="8"/>
            <color indexed="81"/>
            <rFont val="Tahoma"/>
            <family val="2"/>
          </rPr>
          <t xml:space="preserve">
Provided by CTL in 3Q11</t>
        </r>
      </text>
    </comment>
    <comment ref="BS108" authorId="0">
      <text>
        <r>
          <rPr>
            <b/>
            <sz val="9"/>
            <color indexed="81"/>
            <rFont val="Tahoma"/>
            <family val="2"/>
          </rPr>
          <t>Gantsoudes, Spencer (Research):</t>
        </r>
        <r>
          <rPr>
            <sz val="9"/>
            <color indexed="81"/>
            <rFont val="Tahoma"/>
            <family val="2"/>
          </rPr>
          <t xml:space="preserve">
excluding integration capex. </t>
        </r>
      </text>
    </comment>
    <comment ref="BT108" authorId="0">
      <text>
        <r>
          <rPr>
            <b/>
            <sz val="9"/>
            <color indexed="81"/>
            <rFont val="Tahoma"/>
            <family val="2"/>
          </rPr>
          <t>Gantsoudes, Spencer (Research):</t>
        </r>
        <r>
          <rPr>
            <sz val="9"/>
            <color indexed="81"/>
            <rFont val="Tahoma"/>
            <family val="2"/>
          </rPr>
          <t xml:space="preserve">
excluding integration capex. </t>
        </r>
      </text>
    </comment>
    <comment ref="BU108" authorId="0">
      <text>
        <r>
          <rPr>
            <b/>
            <sz val="9"/>
            <color indexed="81"/>
            <rFont val="Tahoma"/>
            <family val="2"/>
          </rPr>
          <t>Gantsoudes, Spencer (Research):</t>
        </r>
        <r>
          <rPr>
            <sz val="9"/>
            <color indexed="81"/>
            <rFont val="Tahoma"/>
            <family val="2"/>
          </rPr>
          <t xml:space="preserve">
excluding integration capex. </t>
        </r>
      </text>
    </comment>
    <comment ref="BV108" authorId="0">
      <text>
        <r>
          <rPr>
            <b/>
            <sz val="9"/>
            <color indexed="81"/>
            <rFont val="Tahoma"/>
            <family val="2"/>
          </rPr>
          <t>Gantsoudes, Spencer (Research):</t>
        </r>
        <r>
          <rPr>
            <sz val="9"/>
            <color indexed="81"/>
            <rFont val="Tahoma"/>
            <family val="2"/>
          </rPr>
          <t xml:space="preserve">
excluding integration capex. </t>
        </r>
      </text>
    </comment>
    <comment ref="BX108" authorId="0">
      <text>
        <r>
          <rPr>
            <b/>
            <sz val="9"/>
            <color indexed="81"/>
            <rFont val="Tahoma"/>
            <family val="2"/>
          </rPr>
          <t>Gantsoudes, Spencer (Research):</t>
        </r>
        <r>
          <rPr>
            <sz val="9"/>
            <color indexed="81"/>
            <rFont val="Tahoma"/>
            <family val="2"/>
          </rPr>
          <t xml:space="preserve">
excludes $5m in integration capex</t>
        </r>
      </text>
    </comment>
    <comment ref="CD108" authorId="0">
      <text>
        <r>
          <rPr>
            <b/>
            <sz val="9"/>
            <color indexed="81"/>
            <rFont val="Tahoma"/>
            <family val="2"/>
          </rPr>
          <t>Gantsoudes, Spencer (Research):</t>
        </r>
        <r>
          <rPr>
            <sz val="9"/>
            <color indexed="81"/>
            <rFont val="Tahoma"/>
            <family val="2"/>
          </rPr>
          <t xml:space="preserve">
829m pro forma for level 3 excluding colo/integration
$528m standalone CTL excluding integration</t>
        </r>
      </text>
    </comment>
    <comment ref="K122" authorId="5">
      <text>
        <r>
          <rPr>
            <b/>
            <sz val="8"/>
            <color indexed="81"/>
            <rFont val="Tahoma"/>
            <family val="2"/>
          </rPr>
          <t>Daniel Gaviria:</t>
        </r>
        <r>
          <rPr>
            <sz val="8"/>
            <color indexed="81"/>
            <rFont val="Tahoma"/>
            <family val="2"/>
          </rPr>
          <t xml:space="preserve">
$400M adj per CTL:
"To reflect amortization expense associated with the Qwest customer relationship asset assuming an
estimated useful life of 10 years utilizing an accelerated (sum-of-the-years digits) amortization method (which corresponds to an increase
in depreciation and amortization of $400 million for the year ended December 31, 2010)."</t>
        </r>
      </text>
    </comment>
    <comment ref="CB122" authorId="0">
      <text>
        <r>
          <rPr>
            <b/>
            <sz val="9"/>
            <color indexed="81"/>
            <rFont val="Tahoma"/>
            <family val="2"/>
          </rPr>
          <t>Gantsoudes, Spencer (Research):</t>
        </r>
        <r>
          <rPr>
            <sz val="9"/>
            <color indexed="81"/>
            <rFont val="Tahoma"/>
            <family val="2"/>
          </rPr>
          <t xml:space="preserve">
Additional depreciation expense adjustment recorded on real estate assets CenturyLink was required to reflect on its balance sheet as a
result of not meeting the requirement of sale leaseback accounting </t>
        </r>
        <r>
          <rPr>
            <b/>
            <u/>
            <sz val="9"/>
            <color indexed="81"/>
            <rFont val="Tahoma"/>
            <family val="2"/>
          </rPr>
          <t xml:space="preserve">$44 million. </t>
        </r>
      </text>
    </comment>
    <comment ref="CD122" authorId="0">
      <text>
        <r>
          <rPr>
            <b/>
            <sz val="9"/>
            <color indexed="81"/>
            <rFont val="Tahoma"/>
            <family val="2"/>
          </rPr>
          <t>Gantsoudes, Spencer (Research):</t>
        </r>
        <r>
          <rPr>
            <sz val="9"/>
            <color indexed="81"/>
            <rFont val="Tahoma"/>
            <family val="2"/>
          </rPr>
          <t xml:space="preserve">
$333m from LVLT in 3Q17</t>
        </r>
      </text>
    </comment>
    <comment ref="S128" authorId="0">
      <text>
        <r>
          <rPr>
            <b/>
            <sz val="9"/>
            <color indexed="81"/>
            <rFont val="Tahoma"/>
            <family val="2"/>
          </rPr>
          <t>Gantsoudes, Spencer (Research):</t>
        </r>
        <r>
          <rPr>
            <sz val="9"/>
            <color indexed="81"/>
            <rFont val="Tahoma"/>
            <family val="2"/>
          </rPr>
          <t xml:space="preserve">
5400-5500</t>
        </r>
      </text>
    </comment>
    <comment ref="R131" authorId="0">
      <text>
        <r>
          <rPr>
            <b/>
            <sz val="9"/>
            <color indexed="81"/>
            <rFont val="Tahoma"/>
            <family val="2"/>
          </rPr>
          <t>Gantsoudes, Spencer (Research):</t>
        </r>
        <r>
          <rPr>
            <sz val="9"/>
            <color indexed="81"/>
            <rFont val="Tahoma"/>
            <family val="2"/>
          </rPr>
          <t xml:space="preserve">
terminatio of depreciation expense related to data center sale</t>
        </r>
      </text>
    </comment>
  </commentList>
</comments>
</file>

<file path=xl/comments8.xml><?xml version="1.0" encoding="utf-8"?>
<comments xmlns="http://schemas.openxmlformats.org/spreadsheetml/2006/main">
  <authors>
    <author>Gantsoudes, Spencer (Research)</author>
  </authors>
  <commentList>
    <comment ref="V11" authorId="0">
      <text>
        <r>
          <rPr>
            <b/>
            <sz val="9"/>
            <color indexed="81"/>
            <rFont val="Tahoma"/>
            <family val="2"/>
          </rPr>
          <t>Gantsoudes, Spencer (Research):</t>
        </r>
        <r>
          <rPr>
            <sz val="9"/>
            <color indexed="81"/>
            <rFont val="Tahoma"/>
            <family val="2"/>
          </rPr>
          <t xml:space="preserve">
Includes severance costs associated with headcount reductions ($14 million), integration costs associated with our acquisition of Qwest ($4 million) and costs associated with a large billing system integration project ($2 million).
</t>
        </r>
      </text>
    </comment>
    <comment ref="W11" authorId="0">
      <text>
        <r>
          <rPr>
            <b/>
            <sz val="9"/>
            <color indexed="81"/>
            <rFont val="Tahoma"/>
            <family val="2"/>
          </rPr>
          <t>Gantsoudes, Spencer (Research):</t>
        </r>
        <r>
          <rPr>
            <sz val="9"/>
            <color indexed="81"/>
            <rFont val="Tahoma"/>
            <family val="2"/>
          </rPr>
          <t xml:space="preserve">
Includes severance costs associated with headcount reductions ($7 million), integration costs associated with our acquisition of Qwest ($3 million) and costs associated with a large billing system integration project ($4 million).</t>
        </r>
      </text>
    </comment>
    <comment ref="X11" authorId="0">
      <text>
        <r>
          <rPr>
            <b/>
            <sz val="9"/>
            <color indexed="81"/>
            <rFont val="Tahoma"/>
            <family val="2"/>
          </rPr>
          <t>Gantsoudes, Spencer (Research):</t>
        </r>
        <r>
          <rPr>
            <sz val="9"/>
            <color indexed="81"/>
            <rFont val="Tahoma"/>
            <family val="2"/>
          </rPr>
          <t xml:space="preserve">
 Includes severance costs associated with headcount reductions ($4 million), integration costs associated with our acquisition of Qwest ($1 million) and costs associated with a large billing system integration project ($7 million), less an offsetting gain on the sale of a building $4 million.
</t>
        </r>
      </text>
    </comment>
    <comment ref="Y11" authorId="0">
      <text>
        <r>
          <rPr>
            <b/>
            <sz val="9"/>
            <color indexed="81"/>
            <rFont val="Tahoma"/>
            <family val="2"/>
          </rPr>
          <t>Gantsoudes, Spencer (Research):</t>
        </r>
        <r>
          <rPr>
            <sz val="9"/>
            <color indexed="81"/>
            <rFont val="Tahoma"/>
            <family val="2"/>
          </rPr>
          <t xml:space="preserve">
Includes severance costs associated with headcount reductions ($148 million), integration costs associated with our acquisition of Qwest ($2 million), costs associated with a
large billing system integration project ($2 million), costs related to our pending acquisition of Level 3 ($52 million), costs associated with our pending sale of the colocation
business ($7 million) and the impairment of a building ($11 million).</t>
        </r>
      </text>
    </comment>
    <comment ref="Z11" authorId="0">
      <text>
        <r>
          <rPr>
            <b/>
            <sz val="9"/>
            <color indexed="81"/>
            <rFont val="Tahoma"/>
            <family val="2"/>
          </rPr>
          <t>Gantsoudes, Spencer (Research):</t>
        </r>
        <r>
          <rPr>
            <sz val="9"/>
            <color indexed="81"/>
            <rFont val="Tahoma"/>
            <family val="2"/>
          </rPr>
          <t xml:space="preserve">
Costs related to our pending acquisition of Level 3 ($10 million) and a loss associated with the sale of our data centers and colocation business ($11 million).</t>
        </r>
      </text>
    </comment>
    <comment ref="AA11" authorId="0">
      <text>
        <r>
          <rPr>
            <b/>
            <sz val="9"/>
            <color indexed="81"/>
            <rFont val="Tahoma"/>
            <family val="2"/>
          </rPr>
          <t>Gantsoudes, Spencer (Research):</t>
        </r>
        <r>
          <rPr>
            <sz val="9"/>
            <color indexed="81"/>
            <rFont val="Tahoma"/>
            <family val="2"/>
          </rPr>
          <t xml:space="preserve">
Costs related to our pending acquisition of Level 3 ($18 million) and a loss associated with the sale of our data centers and colocation business ($108 million)</t>
        </r>
      </text>
    </comment>
    <comment ref="AC31" authorId="0">
      <text>
        <r>
          <rPr>
            <b/>
            <sz val="9"/>
            <color indexed="81"/>
            <rFont val="Tahoma"/>
            <family val="2"/>
          </rPr>
          <t>Gantsoudes, Spencer (Research):</t>
        </r>
        <r>
          <rPr>
            <sz val="9"/>
            <color indexed="81"/>
            <rFont val="Tahoma"/>
            <family val="2"/>
          </rPr>
          <t xml:space="preserve">
adjusted for 2 months</t>
        </r>
      </text>
    </comment>
    <comment ref="AC33" authorId="0">
      <text>
        <r>
          <rPr>
            <b/>
            <sz val="9"/>
            <color indexed="81"/>
            <rFont val="Tahoma"/>
            <family val="2"/>
          </rPr>
          <t>Gantsoudes, Spencer (Research):</t>
        </r>
        <r>
          <rPr>
            <sz val="9"/>
            <color indexed="81"/>
            <rFont val="Tahoma"/>
            <family val="2"/>
          </rPr>
          <t xml:space="preserve">
2016 annualized intercompany revenue/expense for 2 months</t>
        </r>
      </text>
    </comment>
    <comment ref="T53" authorId="0">
      <text>
        <r>
          <rPr>
            <b/>
            <sz val="9"/>
            <color indexed="81"/>
            <rFont val="Tahoma"/>
            <family val="2"/>
          </rPr>
          <t>Gantsoudes, Spencer (Research):</t>
        </r>
        <r>
          <rPr>
            <sz val="9"/>
            <color indexed="81"/>
            <rFont val="Tahoma"/>
            <family val="2"/>
          </rPr>
          <t xml:space="preserve">
CAF II</t>
        </r>
      </text>
    </comment>
    <comment ref="U53" authorId="0">
      <text>
        <r>
          <rPr>
            <b/>
            <sz val="9"/>
            <color indexed="81"/>
            <rFont val="Tahoma"/>
            <family val="2"/>
          </rPr>
          <t>Gantsoudes, Spencer (Research):</t>
        </r>
        <r>
          <rPr>
            <sz val="9"/>
            <color indexed="81"/>
            <rFont val="Tahoma"/>
            <family val="2"/>
          </rPr>
          <t xml:space="preserve">
CAF II</t>
        </r>
      </text>
    </comment>
    <comment ref="V53" authorId="0">
      <text>
        <r>
          <rPr>
            <b/>
            <sz val="9"/>
            <color indexed="81"/>
            <rFont val="Tahoma"/>
            <family val="2"/>
          </rPr>
          <t>Gantsoudes, Spencer (Research):</t>
        </r>
        <r>
          <rPr>
            <sz val="9"/>
            <color indexed="81"/>
            <rFont val="Tahoma"/>
            <family val="2"/>
          </rPr>
          <t xml:space="preserve">
CAF II normalization</t>
        </r>
      </text>
    </comment>
    <comment ref="B73" authorId="0">
      <text>
        <r>
          <rPr>
            <b/>
            <sz val="9"/>
            <color indexed="81"/>
            <rFont val="Tahoma"/>
            <family val="2"/>
          </rPr>
          <t>Gantsoudes, Spencer (Research):</t>
        </r>
        <r>
          <rPr>
            <sz val="9"/>
            <color indexed="81"/>
            <rFont val="Tahoma"/>
            <family val="2"/>
          </rPr>
          <t xml:space="preserve">
$850m opex target</t>
        </r>
      </text>
    </comment>
    <comment ref="AC77" authorId="0">
      <text>
        <r>
          <rPr>
            <b/>
            <sz val="9"/>
            <color indexed="81"/>
            <rFont val="Tahoma"/>
            <family val="2"/>
          </rPr>
          <t>Gantsoudes, Spencer (Research):</t>
        </r>
        <r>
          <rPr>
            <sz val="9"/>
            <color indexed="81"/>
            <rFont val="Tahoma"/>
            <family val="2"/>
          </rPr>
          <t xml:space="preserve">
2 months of LVLT</t>
        </r>
      </text>
    </comment>
    <comment ref="AC78" authorId="0">
      <text>
        <r>
          <rPr>
            <b/>
            <sz val="9"/>
            <color indexed="81"/>
            <rFont val="Tahoma"/>
            <family val="2"/>
          </rPr>
          <t>Gantsoudes, Spencer (Research):</t>
        </r>
        <r>
          <rPr>
            <sz val="9"/>
            <color indexed="81"/>
            <rFont val="Tahoma"/>
            <family val="2"/>
          </rPr>
          <t xml:space="preserve">
2 months of LVLT</t>
        </r>
      </text>
    </comment>
    <comment ref="AC79" authorId="0">
      <text>
        <r>
          <rPr>
            <b/>
            <sz val="9"/>
            <color indexed="81"/>
            <rFont val="Tahoma"/>
            <family val="2"/>
          </rPr>
          <t>Gantsoudes, Spencer (Research):</t>
        </r>
        <r>
          <rPr>
            <sz val="9"/>
            <color indexed="81"/>
            <rFont val="Tahoma"/>
            <family val="2"/>
          </rPr>
          <t xml:space="preserve">
2 months of LVLT</t>
        </r>
      </text>
    </comment>
    <comment ref="AC80" authorId="0">
      <text>
        <r>
          <rPr>
            <b/>
            <sz val="9"/>
            <color indexed="81"/>
            <rFont val="Tahoma"/>
            <family val="2"/>
          </rPr>
          <t>Gantsoudes, Spencer (Research):</t>
        </r>
        <r>
          <rPr>
            <sz val="9"/>
            <color indexed="81"/>
            <rFont val="Tahoma"/>
            <family val="2"/>
          </rPr>
          <t xml:space="preserve">
2 months of LVLT</t>
        </r>
      </text>
    </comment>
    <comment ref="AC81" authorId="0">
      <text>
        <r>
          <rPr>
            <b/>
            <sz val="9"/>
            <color indexed="81"/>
            <rFont val="Tahoma"/>
            <family val="2"/>
          </rPr>
          <t>Gantsoudes, Spencer (Research):</t>
        </r>
        <r>
          <rPr>
            <sz val="9"/>
            <color indexed="81"/>
            <rFont val="Tahoma"/>
            <family val="2"/>
          </rPr>
          <t xml:space="preserve">
2 months of LVLT</t>
        </r>
      </text>
    </comment>
    <comment ref="AC82" authorId="0">
      <text>
        <r>
          <rPr>
            <b/>
            <sz val="9"/>
            <color indexed="81"/>
            <rFont val="Tahoma"/>
            <family val="2"/>
          </rPr>
          <t>Gantsoudes, Spencer (Research):</t>
        </r>
        <r>
          <rPr>
            <sz val="9"/>
            <color indexed="81"/>
            <rFont val="Tahoma"/>
            <family val="2"/>
          </rPr>
          <t xml:space="preserve">
2 months of LVLT</t>
        </r>
      </text>
    </comment>
    <comment ref="AC83" authorId="0">
      <text>
        <r>
          <rPr>
            <b/>
            <sz val="9"/>
            <color indexed="81"/>
            <rFont val="Tahoma"/>
            <family val="2"/>
          </rPr>
          <t>Gantsoudes, Spencer (Research):</t>
        </r>
        <r>
          <rPr>
            <sz val="9"/>
            <color indexed="81"/>
            <rFont val="Tahoma"/>
            <family val="2"/>
          </rPr>
          <t xml:space="preserve">
2 months of LVLT</t>
        </r>
      </text>
    </comment>
  </commentList>
</comments>
</file>

<file path=xl/comments9.xml><?xml version="1.0" encoding="utf-8"?>
<comments xmlns="http://schemas.openxmlformats.org/spreadsheetml/2006/main">
  <authors>
    <author>Lam, Lisa (Research)</author>
    <author>laml</author>
  </authors>
  <commentList>
    <comment ref="CG3" authorId="0">
      <text>
        <r>
          <rPr>
            <sz val="10"/>
            <color indexed="81"/>
            <rFont val="Tahoma"/>
            <family val="2"/>
          </rPr>
          <t>restated in 1Q15</t>
        </r>
      </text>
    </comment>
    <comment ref="CH3" authorId="0">
      <text>
        <r>
          <rPr>
            <sz val="10"/>
            <color indexed="81"/>
            <rFont val="Tahoma"/>
            <family val="2"/>
          </rPr>
          <t>restated in 1Q15</t>
        </r>
      </text>
    </comment>
    <comment ref="CI3" authorId="0">
      <text>
        <r>
          <rPr>
            <sz val="10"/>
            <color indexed="81"/>
            <rFont val="Tahoma"/>
            <family val="2"/>
          </rPr>
          <t>restated in 1Q15</t>
        </r>
      </text>
    </comment>
    <comment ref="O8" authorId="0">
      <text>
        <r>
          <rPr>
            <sz val="9"/>
            <color indexed="81"/>
            <rFont val="Tahoma"/>
            <family val="2"/>
          </rPr>
          <t>eliminates intercompany revenues</t>
        </r>
      </text>
    </comment>
    <comment ref="P8" authorId="0">
      <text>
        <r>
          <rPr>
            <sz val="9"/>
            <color indexed="81"/>
            <rFont val="Tahoma"/>
            <family val="2"/>
          </rPr>
          <t>eliminates intercompany revenues</t>
        </r>
      </text>
    </comment>
    <comment ref="Q8" authorId="0">
      <text>
        <r>
          <rPr>
            <sz val="9"/>
            <color indexed="81"/>
            <rFont val="Tahoma"/>
            <family val="2"/>
          </rPr>
          <t>eliminates intercompany revenues</t>
        </r>
      </text>
    </comment>
    <comment ref="CL8" authorId="0">
      <text>
        <r>
          <rPr>
            <sz val="10"/>
            <color indexed="81"/>
            <rFont val="Tahoma"/>
            <family val="2"/>
          </rPr>
          <t>~$10M is one-time for positive customer settlement</t>
        </r>
      </text>
    </comment>
    <comment ref="CO8" authorId="0">
      <text>
        <r>
          <rPr>
            <sz val="10"/>
            <color indexed="81"/>
            <rFont val="Tahoma"/>
            <family val="2"/>
          </rPr>
          <t>restated in 4Q16</t>
        </r>
      </text>
    </comment>
    <comment ref="CP8" authorId="0">
      <text>
        <r>
          <rPr>
            <sz val="10"/>
            <color indexed="81"/>
            <rFont val="Tahoma"/>
            <family val="2"/>
          </rPr>
          <t>$10M benefit from dispute settlement
restated in 4Q16</t>
        </r>
      </text>
    </comment>
    <comment ref="CQ8" authorId="0">
      <text>
        <r>
          <rPr>
            <sz val="10"/>
            <color indexed="81"/>
            <rFont val="Tahoma"/>
            <family val="2"/>
          </rPr>
          <t>restated in 4Q16</t>
        </r>
      </text>
    </comment>
    <comment ref="CO9" authorId="0">
      <text>
        <r>
          <rPr>
            <sz val="10"/>
            <color indexed="81"/>
            <rFont val="Tahoma"/>
            <family val="2"/>
          </rPr>
          <t>restated in 4Q16</t>
        </r>
      </text>
    </comment>
    <comment ref="CP9" authorId="0">
      <text>
        <r>
          <rPr>
            <sz val="10"/>
            <color indexed="81"/>
            <rFont val="Tahoma"/>
            <family val="2"/>
          </rPr>
          <t>$5M - customer credit for contract extenstion
$5M - customer churn
restated in 4Q16</t>
        </r>
      </text>
    </comment>
    <comment ref="CJ11" authorId="0">
      <text>
        <r>
          <rPr>
            <sz val="10"/>
            <color indexed="81"/>
            <rFont val="Tahoma"/>
            <family val="2"/>
          </rPr>
          <t xml:space="preserve">Venezuela $4M </t>
        </r>
      </text>
    </comment>
    <comment ref="CK11" authorId="0">
      <text>
        <r>
          <rPr>
            <sz val="10"/>
            <color indexed="81"/>
            <rFont val="Tahoma"/>
            <family val="2"/>
          </rPr>
          <t xml:space="preserve">Venezuela $5M </t>
        </r>
      </text>
    </comment>
    <comment ref="CL11" authorId="0">
      <text>
        <r>
          <rPr>
            <sz val="10"/>
            <color indexed="81"/>
            <rFont val="Tahoma"/>
            <family val="2"/>
          </rPr>
          <t xml:space="preserve">Venezuela $5M </t>
        </r>
      </text>
    </comment>
    <comment ref="CM11" authorId="0">
      <text>
        <r>
          <rPr>
            <sz val="10"/>
            <color indexed="81"/>
            <rFont val="Tahoma"/>
            <family val="2"/>
          </rPr>
          <t xml:space="preserve">Venezuela $5M </t>
        </r>
      </text>
    </comment>
    <comment ref="CJ12" authorId="0">
      <text>
        <r>
          <rPr>
            <sz val="10"/>
            <color indexed="81"/>
            <rFont val="Tahoma"/>
            <family val="2"/>
          </rPr>
          <t xml:space="preserve">Venezuela $17M </t>
        </r>
      </text>
    </comment>
    <comment ref="CK12" authorId="0">
      <text>
        <r>
          <rPr>
            <sz val="10"/>
            <color indexed="81"/>
            <rFont val="Tahoma"/>
            <family val="2"/>
          </rPr>
          <t xml:space="preserve">Venezuela $18M </t>
        </r>
      </text>
    </comment>
    <comment ref="CL12" authorId="0">
      <text>
        <r>
          <rPr>
            <sz val="10"/>
            <color indexed="81"/>
            <rFont val="Tahoma"/>
            <family val="2"/>
          </rPr>
          <t xml:space="preserve">Venezuela $19M </t>
        </r>
      </text>
    </comment>
    <comment ref="CM12" authorId="0">
      <text>
        <r>
          <rPr>
            <sz val="10"/>
            <color indexed="81"/>
            <rFont val="Tahoma"/>
            <family val="2"/>
          </rPr>
          <t xml:space="preserve">Venezuela $20M </t>
        </r>
      </text>
    </comment>
    <comment ref="CO12" authorId="0">
      <text>
        <r>
          <rPr>
            <sz val="10"/>
            <color indexed="81"/>
            <rFont val="Tahoma"/>
            <family val="2"/>
          </rPr>
          <t>restated in 4Q16</t>
        </r>
      </text>
    </comment>
    <comment ref="CQ12" authorId="0">
      <text>
        <r>
          <rPr>
            <sz val="10"/>
            <color indexed="81"/>
            <rFont val="Tahoma"/>
            <family val="2"/>
          </rPr>
          <t>restated in 4Q16</t>
        </r>
      </text>
    </comment>
    <comment ref="CO14" authorId="0">
      <text>
        <r>
          <rPr>
            <sz val="10"/>
            <color indexed="81"/>
            <rFont val="Tahoma"/>
            <family val="2"/>
          </rPr>
          <t>restated in 4Q16</t>
        </r>
      </text>
    </comment>
    <comment ref="CP14" authorId="0">
      <text>
        <r>
          <rPr>
            <sz val="10"/>
            <color indexed="81"/>
            <rFont val="Tahoma"/>
            <family val="2"/>
          </rPr>
          <t>restated in 4Q16</t>
        </r>
      </text>
    </comment>
    <comment ref="CQ14" authorId="0">
      <text>
        <r>
          <rPr>
            <sz val="10"/>
            <color indexed="81"/>
            <rFont val="Tahoma"/>
            <family val="2"/>
          </rPr>
          <t>restated in 4Q16</t>
        </r>
      </text>
    </comment>
    <comment ref="CP15" authorId="0">
      <text>
        <r>
          <rPr>
            <sz val="10"/>
            <color indexed="81"/>
            <rFont val="Tahoma"/>
            <family val="2"/>
          </rPr>
          <t>restated in 4Q16</t>
        </r>
      </text>
    </comment>
    <comment ref="CQ15" authorId="0">
      <text>
        <r>
          <rPr>
            <sz val="10"/>
            <color indexed="81"/>
            <rFont val="Tahoma"/>
            <family val="2"/>
          </rPr>
          <t>restated in 4Q16</t>
        </r>
      </text>
    </comment>
    <comment ref="CO28" authorId="0">
      <text>
        <r>
          <rPr>
            <sz val="10"/>
            <color indexed="81"/>
            <rFont val="Tahoma"/>
            <family val="2"/>
          </rPr>
          <t>restated in 4Q16</t>
        </r>
      </text>
    </comment>
    <comment ref="CP28" authorId="0">
      <text>
        <r>
          <rPr>
            <sz val="10"/>
            <color indexed="81"/>
            <rFont val="Tahoma"/>
            <family val="2"/>
          </rPr>
          <t>restated in 4Q16</t>
        </r>
      </text>
    </comment>
    <comment ref="CQ28" authorId="0">
      <text>
        <r>
          <rPr>
            <sz val="10"/>
            <color indexed="81"/>
            <rFont val="Tahoma"/>
            <family val="2"/>
          </rPr>
          <t>restated in 4Q16</t>
        </r>
      </text>
    </comment>
    <comment ref="B45" authorId="0">
      <text>
        <r>
          <rPr>
            <sz val="10"/>
            <color indexed="81"/>
            <rFont val="Tahoma"/>
            <family val="2"/>
          </rPr>
          <t>Includes "taxes and fees" and "intercarrier compensation" segments</t>
        </r>
      </text>
    </comment>
    <comment ref="B48" authorId="0">
      <text>
        <r>
          <rPr>
            <sz val="9"/>
            <color indexed="81"/>
            <rFont val="Tahoma"/>
            <family val="2"/>
          </rPr>
          <t>assume all North America wholesale</t>
        </r>
      </text>
    </comment>
    <comment ref="BU48" authorId="0">
      <text>
        <r>
          <rPr>
            <sz val="10"/>
            <color indexed="81"/>
            <rFont val="Tahoma"/>
            <family val="2"/>
          </rPr>
          <t>not given, estimated per 2013 amount in S-4/A dated 9/25/14
$27M for 2013.  divided evenly among quarters</t>
        </r>
      </text>
    </comment>
    <comment ref="BV48" authorId="0">
      <text>
        <r>
          <rPr>
            <sz val="10"/>
            <color indexed="81"/>
            <rFont val="Tahoma"/>
            <family val="2"/>
          </rPr>
          <t>not given, estimated per 2013 amount in S-4/A dated 9/25/14
$27M for 2013.  divided evenly among quarters</t>
        </r>
      </text>
    </comment>
    <comment ref="BW48" authorId="0">
      <text>
        <r>
          <rPr>
            <sz val="10"/>
            <color indexed="81"/>
            <rFont val="Tahoma"/>
            <family val="2"/>
          </rPr>
          <t>not given, estimated per 2013 amount in S-4/A dated 9/25/14
$27M for 2013.  divided evenly among quarters</t>
        </r>
      </text>
    </comment>
    <comment ref="BX48" authorId="0">
      <text>
        <r>
          <rPr>
            <sz val="10"/>
            <color indexed="81"/>
            <rFont val="Tahoma"/>
            <family val="2"/>
          </rPr>
          <t>not given, estimated per 2013 amount in S-4/A dated 9/25/14
$27M for 2013.  divided evenly among quarters</t>
        </r>
      </text>
    </comment>
    <comment ref="BY48" authorId="0">
      <text>
        <r>
          <rPr>
            <sz val="10"/>
            <color indexed="81"/>
            <rFont val="Tahoma"/>
            <family val="2"/>
          </rPr>
          <t>not given, estimated per 2013 amount in S-4/A dated 9/25/14
$27M for 2013.  divided evenly among quarters</t>
        </r>
      </text>
    </comment>
    <comment ref="BZ48" authorId="0">
      <text>
        <r>
          <rPr>
            <sz val="10"/>
            <color indexed="81"/>
            <rFont val="Tahoma"/>
            <family val="2"/>
          </rPr>
          <t>not given, estimated per 2013 amount in S-4/A dated 9/25/14
$27M for 2013.  divided evenly among quarters</t>
        </r>
      </text>
    </comment>
    <comment ref="CA48" authorId="0">
      <text>
        <r>
          <rPr>
            <sz val="10"/>
            <color indexed="81"/>
            <rFont val="Tahoma"/>
            <family val="2"/>
          </rPr>
          <t>not given, estimated per 2013 amount in S-4/A dated 9/25/14
$27M for 2013.  divided evenly among quarters</t>
        </r>
      </text>
    </comment>
    <comment ref="CB48" authorId="0">
      <text>
        <r>
          <rPr>
            <sz val="10"/>
            <color indexed="81"/>
            <rFont val="Tahoma"/>
            <family val="2"/>
          </rPr>
          <t>not given, estimated per 2013 amount in S-4/A dated 9/25/14
$27M for 2013.  divided evenly among quarters</t>
        </r>
      </text>
    </comment>
    <comment ref="CC48" authorId="0">
      <text>
        <r>
          <rPr>
            <sz val="10"/>
            <color indexed="81"/>
            <rFont val="Tahoma"/>
            <family val="2"/>
          </rPr>
          <t>per S-4/A dated 9/25/14
$27M for 2013.  divided evenly among quarters</t>
        </r>
      </text>
    </comment>
    <comment ref="CD48" authorId="0">
      <text>
        <r>
          <rPr>
            <sz val="10"/>
            <color indexed="81"/>
            <rFont val="Tahoma"/>
            <family val="2"/>
          </rPr>
          <t>per S-4/A dated 9/25/14
$27M for 2013.  divided evenly among quarters</t>
        </r>
      </text>
    </comment>
    <comment ref="CE48" authorId="0">
      <text>
        <r>
          <rPr>
            <sz val="10"/>
            <color indexed="81"/>
            <rFont val="Tahoma"/>
            <family val="2"/>
          </rPr>
          <t>per S-4/A dated 9/25/14
$27M for 2013.  divided evenly among quarters</t>
        </r>
      </text>
    </comment>
    <comment ref="BU51" authorId="0">
      <text>
        <r>
          <rPr>
            <sz val="9"/>
            <color indexed="81"/>
            <rFont val="Tahoma"/>
            <family val="2"/>
          </rPr>
          <t>standalone LVLT (pre-TWTC)</t>
        </r>
      </text>
    </comment>
    <comment ref="CK51" authorId="0">
      <text>
        <r>
          <rPr>
            <sz val="10"/>
            <color indexed="81"/>
            <rFont val="Tahoma"/>
            <family val="2"/>
          </rPr>
          <t>+3.8% Y/Y constant FX</t>
        </r>
      </text>
    </comment>
    <comment ref="CL51" authorId="0">
      <text>
        <r>
          <rPr>
            <sz val="10"/>
            <color indexed="81"/>
            <rFont val="Tahoma"/>
            <family val="2"/>
          </rPr>
          <t>-0.2% Y/Y constant FX
-2.6% Q/Q constant FX</t>
        </r>
      </text>
    </comment>
    <comment ref="CM51" authorId="0">
      <text>
        <r>
          <rPr>
            <sz val="10"/>
            <color indexed="81"/>
            <rFont val="Tahoma"/>
            <family val="2"/>
          </rPr>
          <t xml:space="preserve">+2.1% Y/Y constant FX
</t>
        </r>
      </text>
    </comment>
    <comment ref="CN51" authorId="0">
      <text>
        <r>
          <rPr>
            <sz val="10"/>
            <color indexed="81"/>
            <rFont val="Tahoma"/>
            <family val="2"/>
          </rPr>
          <t xml:space="preserve">+3.9% Y/Y constant FX
</t>
        </r>
      </text>
    </comment>
    <comment ref="CO51" authorId="0">
      <text>
        <r>
          <rPr>
            <sz val="10"/>
            <color indexed="81"/>
            <rFont val="Tahoma"/>
            <family val="2"/>
          </rPr>
          <t xml:space="preserve">+3.9% Y/Y constant FX
</t>
        </r>
      </text>
    </comment>
    <comment ref="CP51" authorId="0">
      <text>
        <r>
          <rPr>
            <sz val="10"/>
            <color indexed="81"/>
            <rFont val="Tahoma"/>
            <family val="2"/>
          </rPr>
          <t xml:space="preserve">+3.9% Y/Y constant FX
</t>
        </r>
      </text>
    </comment>
    <comment ref="CQ51" authorId="0">
      <text>
        <r>
          <rPr>
            <sz val="10"/>
            <color indexed="81"/>
            <rFont val="Tahoma"/>
            <family val="2"/>
          </rPr>
          <t xml:space="preserve">+3.9% Y/Y constant FX
</t>
        </r>
      </text>
    </comment>
    <comment ref="CR51" authorId="0">
      <text>
        <r>
          <rPr>
            <sz val="10"/>
            <color indexed="81"/>
            <rFont val="Tahoma"/>
            <family val="2"/>
          </rPr>
          <t xml:space="preserve">-2.7% Y/Y constant FX
</t>
        </r>
      </text>
    </comment>
    <comment ref="CS51" authorId="0">
      <text>
        <r>
          <rPr>
            <sz val="10"/>
            <color indexed="81"/>
            <rFont val="Tahoma"/>
            <family val="2"/>
          </rPr>
          <t xml:space="preserve">-2.7% Y/Y constant FX
</t>
        </r>
      </text>
    </comment>
    <comment ref="CT51" authorId="0">
      <text>
        <r>
          <rPr>
            <sz val="10"/>
            <color indexed="81"/>
            <rFont val="Tahoma"/>
            <family val="2"/>
          </rPr>
          <t xml:space="preserve">-2.7% Y/Y constant FX
</t>
        </r>
      </text>
    </comment>
    <comment ref="B54" authorId="0">
      <text>
        <r>
          <rPr>
            <sz val="10"/>
            <color indexed="81"/>
            <rFont val="Tahoma"/>
            <family val="2"/>
          </rPr>
          <t xml:space="preserve">dark fiber, wavelength, private lines, transoceanic services, Ethernet, SONET
Includes legacy TWTC segments of "Data &amp; Internet Services", "Network Services", "intercarrier compensation" and "taxes and fees".  
Also includes intercompany revenues
</t>
        </r>
      </text>
    </comment>
    <comment ref="BU54" authorId="0">
      <text>
        <r>
          <rPr>
            <sz val="9"/>
            <color indexed="81"/>
            <rFont val="Tahoma"/>
            <family val="2"/>
          </rPr>
          <t>standalone LVLT (pre-TWTC)</t>
        </r>
      </text>
    </comment>
    <comment ref="CK54" authorId="0">
      <text>
        <r>
          <rPr>
            <sz val="10"/>
            <color indexed="81"/>
            <rFont val="Tahoma"/>
            <family val="2"/>
          </rPr>
          <t>+5.4% Y/Y constant FX</t>
        </r>
      </text>
    </comment>
    <comment ref="CL54" authorId="0">
      <text>
        <r>
          <rPr>
            <sz val="10"/>
            <color indexed="81"/>
            <rFont val="Tahoma"/>
            <family val="2"/>
          </rPr>
          <t>+3.0% Y/Y constant FX
-1.9% Q/Q constant FX
+5% Y/Y dark fiber</t>
        </r>
      </text>
    </comment>
    <comment ref="CM54" authorId="0">
      <text>
        <r>
          <rPr>
            <sz val="10"/>
            <color indexed="81"/>
            <rFont val="Tahoma"/>
            <family val="2"/>
          </rPr>
          <t>+3.8% Y/Y constant FX
+6.4% Y/Y dark fiber, constant FX</t>
        </r>
      </text>
    </comment>
    <comment ref="CN54" authorId="0">
      <text>
        <r>
          <rPr>
            <sz val="10"/>
            <color indexed="81"/>
            <rFont val="Tahoma"/>
            <family val="2"/>
          </rPr>
          <t>+1.8% Y/Y constant FX
Dark Fiber:  +10% Y/Y, constant FX
6% of CNS revenues</t>
        </r>
      </text>
    </comment>
    <comment ref="CO54" authorId="0">
      <text>
        <r>
          <rPr>
            <sz val="10"/>
            <color indexed="81"/>
            <rFont val="Tahoma"/>
            <family val="2"/>
          </rPr>
          <t>+1.8% Y/Y constant FX
Dark Fiber:  +10% Y/Y, constant FX
6% of CNS revenues</t>
        </r>
      </text>
    </comment>
    <comment ref="CP54" authorId="0">
      <text>
        <r>
          <rPr>
            <sz val="10"/>
            <color indexed="81"/>
            <rFont val="Tahoma"/>
            <family val="2"/>
          </rPr>
          <t>+1.8% Y/Y constant FX
Dark Fiber:  +10% Y/Y, constant FX
6% of CNS revenues</t>
        </r>
      </text>
    </comment>
    <comment ref="CQ54" authorId="0">
      <text>
        <r>
          <rPr>
            <sz val="10"/>
            <color indexed="81"/>
            <rFont val="Tahoma"/>
            <family val="2"/>
          </rPr>
          <t>+1.8% Y/Y constant FX
Dark Fiber:  +10% Y/Y, constant FX
6% of CNS revenues</t>
        </r>
      </text>
    </comment>
    <comment ref="CR54" authorId="0">
      <text>
        <r>
          <rPr>
            <sz val="10"/>
            <color indexed="81"/>
            <rFont val="Tahoma"/>
            <family val="2"/>
          </rPr>
          <t xml:space="preserve">-2.0% Y/Y constant FX
</t>
        </r>
      </text>
    </comment>
    <comment ref="CS54" authorId="0">
      <text>
        <r>
          <rPr>
            <sz val="10"/>
            <color indexed="81"/>
            <rFont val="Tahoma"/>
            <family val="2"/>
          </rPr>
          <t xml:space="preserve">-2.0% Y/Y constant FX
</t>
        </r>
      </text>
    </comment>
    <comment ref="CT54" authorId="0">
      <text>
        <r>
          <rPr>
            <sz val="10"/>
            <color indexed="81"/>
            <rFont val="Tahoma"/>
            <family val="2"/>
          </rPr>
          <t xml:space="preserve">-2.0% Y/Y constant FX
</t>
        </r>
      </text>
    </comment>
    <comment ref="B57" authorId="1">
      <text>
        <r>
          <rPr>
            <sz val="10"/>
            <color indexed="81"/>
            <rFont val="Tahoma"/>
            <family val="2"/>
          </rPr>
          <t>internet services, CDN, VPN, high-speed IP, managed services</t>
        </r>
      </text>
    </comment>
    <comment ref="BU57" authorId="0">
      <text>
        <r>
          <rPr>
            <sz val="9"/>
            <color indexed="81"/>
            <rFont val="Tahoma"/>
            <family val="2"/>
          </rPr>
          <t>standalone LVLT (pre-TWTC)</t>
        </r>
      </text>
    </comment>
    <comment ref="CK57" authorId="0">
      <text>
        <r>
          <rPr>
            <sz val="10"/>
            <color indexed="81"/>
            <rFont val="Tahoma"/>
            <family val="2"/>
          </rPr>
          <t>+9.0% Y/Y constant FX</t>
        </r>
      </text>
    </comment>
    <comment ref="CL57" authorId="0">
      <text>
        <r>
          <rPr>
            <sz val="10"/>
            <color indexed="81"/>
            <rFont val="Tahoma"/>
            <family val="2"/>
          </rPr>
          <t xml:space="preserve">+8.1% Y/Y constant FX
+1.4% Q/Q constant FX
</t>
        </r>
      </text>
    </comment>
    <comment ref="CM57" authorId="0">
      <text>
        <r>
          <rPr>
            <sz val="10"/>
            <color indexed="81"/>
            <rFont val="Tahoma"/>
            <family val="2"/>
          </rPr>
          <t>+9.0% Y/Y constant FX
CDN:  +5.9% Q/Q, constant FX.  Down Y/Y</t>
        </r>
      </text>
    </comment>
    <comment ref="CN57" authorId="0">
      <text>
        <r>
          <rPr>
            <sz val="10"/>
            <color indexed="81"/>
            <rFont val="Tahoma"/>
            <family val="2"/>
          </rPr>
          <t>+8.2% Y/Y constant FX
CDN:  Up Q/Q, constant FX.  Down Y/Y</t>
        </r>
      </text>
    </comment>
    <comment ref="CO57" authorId="0">
      <text>
        <r>
          <rPr>
            <sz val="10"/>
            <color indexed="81"/>
            <rFont val="Tahoma"/>
            <family val="2"/>
          </rPr>
          <t>+8.2% Y/Y constant FX
CDN:  Up Q/Q, constant FX.  Down Y/Y</t>
        </r>
      </text>
    </comment>
    <comment ref="CP57" authorId="0">
      <text>
        <r>
          <rPr>
            <sz val="10"/>
            <color indexed="81"/>
            <rFont val="Tahoma"/>
            <family val="2"/>
          </rPr>
          <t>+8.2% Y/Y constant FX
CDN:  Up Q/Q, constant FX.  Down Y/Y</t>
        </r>
      </text>
    </comment>
    <comment ref="CQ57" authorId="0">
      <text>
        <r>
          <rPr>
            <sz val="10"/>
            <color indexed="81"/>
            <rFont val="Tahoma"/>
            <family val="2"/>
          </rPr>
          <t>+8.2% Y/Y constant FX
CDN:  Up Q/Q, constant FX.  Down Y/Y</t>
        </r>
      </text>
    </comment>
    <comment ref="CR57" authorId="0">
      <text>
        <r>
          <rPr>
            <sz val="10"/>
            <color indexed="81"/>
            <rFont val="Tahoma"/>
            <family val="2"/>
          </rPr>
          <t xml:space="preserve">+1.1% Y/Y constant FX
</t>
        </r>
      </text>
    </comment>
    <comment ref="CS57" authorId="0">
      <text>
        <r>
          <rPr>
            <sz val="10"/>
            <color indexed="81"/>
            <rFont val="Tahoma"/>
            <family val="2"/>
          </rPr>
          <t xml:space="preserve">+1.1% Y/Y constant FX
</t>
        </r>
      </text>
    </comment>
    <comment ref="CT57" authorId="0">
      <text>
        <r>
          <rPr>
            <sz val="10"/>
            <color indexed="81"/>
            <rFont val="Tahoma"/>
            <family val="2"/>
          </rPr>
          <t xml:space="preserve">+1.1% Y/Y constant FX
</t>
        </r>
      </text>
    </comment>
    <comment ref="B60" authorId="0">
      <text>
        <r>
          <rPr>
            <sz val="10"/>
            <color indexed="81"/>
            <rFont val="Tahoma"/>
            <family val="2"/>
          </rPr>
          <t>VoIP, SIP trunking, local inbound, enterprise long distance, enterprise toll free, conferencing
Includes legacy TWTC "voice services" segment</t>
        </r>
      </text>
    </comment>
    <comment ref="BU60" authorId="0">
      <text>
        <r>
          <rPr>
            <sz val="9"/>
            <color indexed="81"/>
            <rFont val="Tahoma"/>
            <family val="2"/>
          </rPr>
          <t>standalone LVLT (pre-TWTC)</t>
        </r>
      </text>
    </comment>
    <comment ref="CK60" authorId="0">
      <text>
        <r>
          <rPr>
            <sz val="10"/>
            <color indexed="81"/>
            <rFont val="Tahoma"/>
            <family val="2"/>
          </rPr>
          <t>+0.6% Y/Y constant FX</t>
        </r>
      </text>
    </comment>
    <comment ref="CL60" authorId="0">
      <text>
        <r>
          <rPr>
            <sz val="10"/>
            <color indexed="81"/>
            <rFont val="Tahoma"/>
            <family val="2"/>
          </rPr>
          <t>+7.1% Y/Y constant FX
+5.6% Q/Q constant FX
includes ~$10M one-time benefit from contract dispute settlement</t>
        </r>
      </text>
    </comment>
    <comment ref="CM60" authorId="0">
      <text>
        <r>
          <rPr>
            <sz val="10"/>
            <color indexed="81"/>
            <rFont val="Tahoma"/>
            <family val="2"/>
          </rPr>
          <t xml:space="preserve">+0.6% Y/Y constant FX
</t>
        </r>
      </text>
    </comment>
    <comment ref="CN60" authorId="0">
      <text>
        <r>
          <rPr>
            <sz val="10"/>
            <color indexed="81"/>
            <rFont val="Tahoma"/>
            <family val="2"/>
          </rPr>
          <t xml:space="preserve">+0.5% Y/Y constant FX
</t>
        </r>
      </text>
    </comment>
    <comment ref="CO60" authorId="0">
      <text>
        <r>
          <rPr>
            <sz val="10"/>
            <color indexed="81"/>
            <rFont val="Tahoma"/>
            <family val="2"/>
          </rPr>
          <t xml:space="preserve">+0.5% Y/Y constant FX
</t>
        </r>
      </text>
    </comment>
    <comment ref="CP60" authorId="0">
      <text>
        <r>
          <rPr>
            <sz val="10"/>
            <color indexed="81"/>
            <rFont val="Tahoma"/>
            <family val="2"/>
          </rPr>
          <t xml:space="preserve">+0.5% Y/Y constant FX
</t>
        </r>
      </text>
    </comment>
    <comment ref="CQ60" authorId="0">
      <text>
        <r>
          <rPr>
            <sz val="10"/>
            <color indexed="81"/>
            <rFont val="Tahoma"/>
            <family val="2"/>
          </rPr>
          <t xml:space="preserve">+0.5% Y/Y constant FX
</t>
        </r>
      </text>
    </comment>
    <comment ref="CR60" authorId="0">
      <text>
        <r>
          <rPr>
            <sz val="10"/>
            <color indexed="81"/>
            <rFont val="Tahoma"/>
            <family val="2"/>
          </rPr>
          <t xml:space="preserve">-1.0% Y/Y constant FX
</t>
        </r>
      </text>
    </comment>
    <comment ref="CS60" authorId="0">
      <text>
        <r>
          <rPr>
            <sz val="10"/>
            <color indexed="81"/>
            <rFont val="Tahoma"/>
            <family val="2"/>
          </rPr>
          <t xml:space="preserve">-1.0% Y/Y constant FX
</t>
        </r>
      </text>
    </comment>
    <comment ref="CT60" authorId="0">
      <text>
        <r>
          <rPr>
            <sz val="10"/>
            <color indexed="81"/>
            <rFont val="Tahoma"/>
            <family val="2"/>
          </rPr>
          <t xml:space="preserve">-1.0% Y/Y constant FX
</t>
        </r>
      </text>
    </comment>
    <comment ref="B64" authorId="0">
      <text>
        <r>
          <rPr>
            <sz val="10"/>
            <color indexed="81"/>
            <rFont val="Tahoma"/>
            <family val="2"/>
          </rPr>
          <t xml:space="preserve">voice termination, toll free
</t>
        </r>
      </text>
    </comment>
    <comment ref="B65" authorId="0">
      <text>
        <r>
          <rPr>
            <sz val="10"/>
            <color indexed="81"/>
            <rFont val="Tahoma"/>
            <family val="2"/>
          </rPr>
          <t>varies from reported total revenues due to prior restatements by LVLT</t>
        </r>
      </text>
    </comment>
    <comment ref="B68" authorId="1">
      <text>
        <r>
          <rPr>
            <sz val="8"/>
            <color indexed="81"/>
            <rFont val="Tahoma"/>
            <family val="2"/>
          </rPr>
          <t xml:space="preserve">Wholesale:  seasonal decline in 1Q
</t>
        </r>
      </text>
    </comment>
    <comment ref="CE71" authorId="0">
      <text>
        <r>
          <rPr>
            <sz val="10"/>
            <color indexed="81"/>
            <rFont val="Tahoma"/>
            <family val="2"/>
          </rPr>
          <t>includes Starbucks contract</t>
        </r>
      </text>
    </comment>
    <comment ref="R79" authorId="1">
      <text>
        <r>
          <rPr>
            <sz val="10"/>
            <color indexed="81"/>
            <rFont val="Tahoma"/>
            <family val="2"/>
          </rPr>
          <t>UK govt now in enterprise</t>
        </r>
      </text>
    </comment>
    <comment ref="CG79" authorId="1">
      <text>
        <r>
          <rPr>
            <sz val="10"/>
            <color indexed="81"/>
            <rFont val="Tahoma"/>
            <family val="2"/>
          </rPr>
          <t>UK govt now in enterprise</t>
        </r>
      </text>
    </comment>
    <comment ref="S82" authorId="0">
      <text>
        <r>
          <rPr>
            <sz val="10"/>
            <color indexed="81"/>
            <rFont val="Tahoma"/>
            <family val="2"/>
          </rPr>
          <t>4Q14 earnings call:  "continued double digit rates of decline"</t>
        </r>
      </text>
    </comment>
    <comment ref="CP93" authorId="0">
      <text>
        <r>
          <rPr>
            <sz val="10"/>
            <color indexed="81"/>
            <rFont val="Tahoma"/>
            <family val="2"/>
          </rPr>
          <t>includes $5M credit to customer for renewal  - &gt;$100M incremental revenues over life of contract</t>
        </r>
      </text>
    </comment>
    <comment ref="R97" authorId="0">
      <text>
        <r>
          <rPr>
            <sz val="9"/>
            <color indexed="81"/>
            <rFont val="Tahoma"/>
            <family val="2"/>
          </rPr>
          <t>per 4Q14 earnings call</t>
        </r>
      </text>
    </comment>
    <comment ref="CN97" authorId="0">
      <text>
        <r>
          <rPr>
            <sz val="9"/>
            <color indexed="81"/>
            <rFont val="Tahoma"/>
            <family val="2"/>
          </rPr>
          <t>4Q14 comps PF to exclude Venezuela</t>
        </r>
      </text>
    </comment>
    <comment ref="CO97" authorId="0">
      <text>
        <r>
          <rPr>
            <sz val="9"/>
            <color indexed="81"/>
            <rFont val="Tahoma"/>
            <family val="2"/>
          </rPr>
          <t>PF to exclude Venezuela</t>
        </r>
      </text>
    </comment>
    <comment ref="CP97" authorId="0">
      <text>
        <r>
          <rPr>
            <sz val="9"/>
            <color indexed="81"/>
            <rFont val="Tahoma"/>
            <family val="2"/>
          </rPr>
          <t>PF to exclude Venezuela</t>
        </r>
      </text>
    </comment>
    <comment ref="CQ97" authorId="0">
      <text>
        <r>
          <rPr>
            <sz val="9"/>
            <color indexed="81"/>
            <rFont val="Tahoma"/>
            <family val="2"/>
          </rPr>
          <t>PF to exclude Venezuela</t>
        </r>
      </text>
    </comment>
    <comment ref="CN98" authorId="0">
      <text>
        <r>
          <rPr>
            <sz val="9"/>
            <color indexed="81"/>
            <rFont val="Tahoma"/>
            <family val="2"/>
          </rPr>
          <t>4Q14 comps PF to exclude Venezuela</t>
        </r>
      </text>
    </comment>
    <comment ref="CO98" authorId="0">
      <text>
        <r>
          <rPr>
            <sz val="9"/>
            <color indexed="81"/>
            <rFont val="Tahoma"/>
            <family val="2"/>
          </rPr>
          <t>PF to exclude Venezuela</t>
        </r>
      </text>
    </comment>
    <comment ref="CP98" authorId="0">
      <text>
        <r>
          <rPr>
            <sz val="9"/>
            <color indexed="81"/>
            <rFont val="Tahoma"/>
            <family val="2"/>
          </rPr>
          <t>PF to exclude Venezuela</t>
        </r>
      </text>
    </comment>
    <comment ref="CQ98" authorId="0">
      <text>
        <r>
          <rPr>
            <sz val="9"/>
            <color indexed="81"/>
            <rFont val="Tahoma"/>
            <family val="2"/>
          </rPr>
          <t>PF to exclude Venezuela</t>
        </r>
      </text>
    </comment>
    <comment ref="CN102" authorId="0">
      <text>
        <r>
          <rPr>
            <sz val="9"/>
            <color indexed="81"/>
            <rFont val="Tahoma"/>
            <family val="2"/>
          </rPr>
          <t>4Q14 comps PF to exclude Venezuela</t>
        </r>
      </text>
    </comment>
    <comment ref="CO102" authorId="0">
      <text>
        <r>
          <rPr>
            <sz val="9"/>
            <color indexed="81"/>
            <rFont val="Tahoma"/>
            <family val="2"/>
          </rPr>
          <t>PF to exclude Venezuela</t>
        </r>
      </text>
    </comment>
    <comment ref="CP102" authorId="0">
      <text>
        <r>
          <rPr>
            <sz val="9"/>
            <color indexed="81"/>
            <rFont val="Tahoma"/>
            <family val="2"/>
          </rPr>
          <t>PF to exclude Venezuela</t>
        </r>
      </text>
    </comment>
    <comment ref="CQ102" authorId="0">
      <text>
        <r>
          <rPr>
            <sz val="9"/>
            <color indexed="81"/>
            <rFont val="Tahoma"/>
            <family val="2"/>
          </rPr>
          <t>PF to exclude Venezuela</t>
        </r>
      </text>
    </comment>
    <comment ref="R106" authorId="0">
      <text>
        <r>
          <rPr>
            <sz val="9"/>
            <color indexed="81"/>
            <rFont val="Tahoma"/>
            <family val="2"/>
          </rPr>
          <t>per 4Q14 earnings call</t>
        </r>
      </text>
    </comment>
    <comment ref="CE106" authorId="1">
      <text>
        <r>
          <rPr>
            <sz val="10"/>
            <color indexed="81"/>
            <rFont val="Tahoma"/>
            <family val="2"/>
          </rPr>
          <t xml:space="preserve">excluding UK govt
+3.6% Y/Y
</t>
        </r>
      </text>
    </comment>
    <comment ref="CF106" authorId="1">
      <text>
        <r>
          <rPr>
            <sz val="10"/>
            <color indexed="81"/>
            <rFont val="Tahoma"/>
            <family val="2"/>
          </rPr>
          <t>UK govt -31.2%</t>
        </r>
      </text>
    </comment>
    <comment ref="CI111" authorId="0">
      <text>
        <r>
          <rPr>
            <sz val="9"/>
            <color indexed="81"/>
            <rFont val="Tahoma"/>
            <family val="2"/>
          </rPr>
          <t>+3.7% when excluding UK governement</t>
        </r>
      </text>
    </comment>
    <comment ref="CJ119" authorId="0">
      <text>
        <r>
          <rPr>
            <sz val="9"/>
            <color indexed="81"/>
            <rFont val="Tahoma"/>
            <family val="2"/>
          </rPr>
          <t>partial quarter of TWTC</t>
        </r>
      </text>
    </comment>
    <comment ref="CJ121" authorId="0">
      <text>
        <r>
          <rPr>
            <sz val="9"/>
            <color indexed="81"/>
            <rFont val="Tahoma"/>
            <family val="2"/>
          </rPr>
          <t>partial quarter of TWTC</t>
        </r>
      </text>
    </comment>
    <comment ref="CN127" authorId="0">
      <text>
        <r>
          <rPr>
            <sz val="9"/>
            <color indexed="81"/>
            <rFont val="Tahoma"/>
            <family val="2"/>
          </rPr>
          <t>4Q14 comps PF to exclude Venezuela</t>
        </r>
      </text>
    </comment>
    <comment ref="CO127" authorId="0">
      <text>
        <r>
          <rPr>
            <sz val="9"/>
            <color indexed="81"/>
            <rFont val="Tahoma"/>
            <family val="2"/>
          </rPr>
          <t>PF to exclude Venezuela</t>
        </r>
      </text>
    </comment>
    <comment ref="CP127" authorId="0">
      <text>
        <r>
          <rPr>
            <sz val="9"/>
            <color indexed="81"/>
            <rFont val="Tahoma"/>
            <family val="2"/>
          </rPr>
          <t>PF to exclude Venezuela</t>
        </r>
      </text>
    </comment>
    <comment ref="CQ127" authorId="0">
      <text>
        <r>
          <rPr>
            <sz val="9"/>
            <color indexed="81"/>
            <rFont val="Tahoma"/>
            <family val="2"/>
          </rPr>
          <t>PF to exclude Venezuela</t>
        </r>
      </text>
    </comment>
    <comment ref="CN128" authorId="0">
      <text>
        <r>
          <rPr>
            <sz val="9"/>
            <color indexed="81"/>
            <rFont val="Tahoma"/>
            <family val="2"/>
          </rPr>
          <t>4Q14 comps PF to exclude Venezuela</t>
        </r>
      </text>
    </comment>
    <comment ref="CO128" authorId="0">
      <text>
        <r>
          <rPr>
            <sz val="9"/>
            <color indexed="81"/>
            <rFont val="Tahoma"/>
            <family val="2"/>
          </rPr>
          <t>PF to exclude Venezuela</t>
        </r>
      </text>
    </comment>
    <comment ref="CP128" authorId="0">
      <text>
        <r>
          <rPr>
            <sz val="9"/>
            <color indexed="81"/>
            <rFont val="Tahoma"/>
            <family val="2"/>
          </rPr>
          <t>PF to exclude Venezuela</t>
        </r>
      </text>
    </comment>
    <comment ref="CQ128" authorId="0">
      <text>
        <r>
          <rPr>
            <sz val="9"/>
            <color indexed="81"/>
            <rFont val="Tahoma"/>
            <family val="2"/>
          </rPr>
          <t>PF to exclude Venezuela</t>
        </r>
      </text>
    </comment>
    <comment ref="CN129" authorId="0">
      <text>
        <r>
          <rPr>
            <sz val="9"/>
            <color indexed="81"/>
            <rFont val="Tahoma"/>
            <family val="2"/>
          </rPr>
          <t>4Q14 comps PF to exclude Venezuela</t>
        </r>
      </text>
    </comment>
    <comment ref="CO129" authorId="0">
      <text>
        <r>
          <rPr>
            <sz val="9"/>
            <color indexed="81"/>
            <rFont val="Tahoma"/>
            <family val="2"/>
          </rPr>
          <t>PF to exclude Venezuela</t>
        </r>
      </text>
    </comment>
    <comment ref="CP129" authorId="0">
      <text>
        <r>
          <rPr>
            <sz val="9"/>
            <color indexed="81"/>
            <rFont val="Tahoma"/>
            <family val="2"/>
          </rPr>
          <t>PF to exclude Venezuela</t>
        </r>
      </text>
    </comment>
    <comment ref="CQ129" authorId="0">
      <text>
        <r>
          <rPr>
            <sz val="9"/>
            <color indexed="81"/>
            <rFont val="Tahoma"/>
            <family val="2"/>
          </rPr>
          <t>PF to exclude Venezuela</t>
        </r>
      </text>
    </comment>
    <comment ref="CE130" authorId="1">
      <text>
        <r>
          <rPr>
            <sz val="10"/>
            <color indexed="81"/>
            <rFont val="Tahoma"/>
            <family val="2"/>
          </rPr>
          <t>excluding UK govt
+0.8% Q/Q</t>
        </r>
      </text>
    </comment>
    <comment ref="CF130" authorId="1">
      <text>
        <r>
          <rPr>
            <sz val="10"/>
            <color indexed="81"/>
            <rFont val="Tahoma"/>
            <family val="2"/>
          </rPr>
          <t>UK govt -13.3%</t>
        </r>
      </text>
    </comment>
    <comment ref="U148" authorId="0">
      <text>
        <r>
          <rPr>
            <sz val="9"/>
            <color indexed="81"/>
            <rFont val="Tahoma"/>
            <family val="2"/>
          </rPr>
          <t>% total revenue exposure to EUR / EMEArevenue as % of total revenue</t>
        </r>
      </text>
    </comment>
    <comment ref="U149" authorId="0">
      <text>
        <r>
          <rPr>
            <sz val="9"/>
            <color indexed="81"/>
            <rFont val="Tahoma"/>
            <family val="2"/>
          </rPr>
          <t>% total revenue exposure to GBP / EMEArevenue as % of total revenue</t>
        </r>
      </text>
    </comment>
    <comment ref="U150" authorId="0">
      <text>
        <r>
          <rPr>
            <sz val="9"/>
            <color indexed="81"/>
            <rFont val="Tahoma"/>
            <family val="2"/>
          </rPr>
          <t>per company</t>
        </r>
      </text>
    </comment>
  </commentList>
</comments>
</file>

<file path=xl/comments10.xml><?xml version="1.0" encoding="utf-8"?>
<comments xmlns="http://schemas.openxmlformats.org/spreadsheetml/2006/main">
  <authors>
    <author>Gantsoudes, Spencer (Research)</author>
    <author>warjohn</author>
    <author>armintas</author>
    <author>Armintas Sinkevicius</author>
    <author>Daniel Gaviria</author>
  </authors>
  <commentList>
    <comment ref="CD9" authorId="0">
      <text>
        <r>
          <rPr>
            <b/>
            <sz val="9"/>
            <color indexed="81"/>
            <rFont val="Tahoma"/>
            <family val="2"/>
          </rPr>
          <t>Gantsoudes, Spencer (Research):</t>
        </r>
        <r>
          <rPr>
            <sz val="9"/>
            <color indexed="81"/>
            <rFont val="Tahoma"/>
            <family val="2"/>
          </rPr>
          <t xml:space="preserve">
consolidated reporting segments to consumer and business (from consumer, business, data hosting, wholesale)</t>
        </r>
      </text>
    </comment>
    <comment ref="BS11" authorId="1">
      <text>
        <r>
          <rPr>
            <b/>
            <sz val="8"/>
            <color indexed="81"/>
            <rFont val="Tahoma"/>
            <family val="2"/>
          </rPr>
          <t>warjohn:</t>
        </r>
        <r>
          <rPr>
            <sz val="8"/>
            <color indexed="81"/>
            <rFont val="Tahoma"/>
            <family val="2"/>
          </rPr>
          <t xml:space="preserve">
Assumed a 4k adj due to el paso county telephone  customers</t>
        </r>
      </text>
    </comment>
    <comment ref="BU11" authorId="1">
      <text>
        <r>
          <rPr>
            <b/>
            <sz val="8"/>
            <color indexed="81"/>
            <rFont val="Tahoma"/>
            <family val="2"/>
          </rPr>
          <t>warjohn:</t>
        </r>
        <r>
          <rPr>
            <sz val="8"/>
            <color indexed="81"/>
            <rFont val="Tahoma"/>
            <family val="2"/>
          </rPr>
          <t xml:space="preserve">
Assumed a 4k adj due to el paso county telephone  customers</t>
        </r>
      </text>
    </comment>
    <comment ref="BK35" authorId="1">
      <text>
        <r>
          <rPr>
            <b/>
            <sz val="8"/>
            <color indexed="81"/>
            <rFont val="Tahoma"/>
            <family val="2"/>
          </rPr>
          <t>warjohn:</t>
        </r>
        <r>
          <rPr>
            <sz val="8"/>
            <color indexed="81"/>
            <rFont val="Tahoma"/>
            <family val="2"/>
          </rPr>
          <t xml:space="preserve">
Assume about 1k extra adds based on revised broadband sub base.</t>
        </r>
      </text>
    </comment>
    <comment ref="BL35" authorId="1">
      <text>
        <r>
          <rPr>
            <b/>
            <sz val="8"/>
            <color indexed="81"/>
            <rFont val="Tahoma"/>
            <family val="2"/>
          </rPr>
          <t>warjohn:</t>
        </r>
        <r>
          <rPr>
            <sz val="8"/>
            <color indexed="81"/>
            <rFont val="Tahoma"/>
            <family val="2"/>
          </rPr>
          <t xml:space="preserve">
Assume about 1k extra adds based on revised broadband sub base.</t>
        </r>
      </text>
    </comment>
    <comment ref="BM35" authorId="1">
      <text>
        <r>
          <rPr>
            <b/>
            <sz val="8"/>
            <color indexed="81"/>
            <rFont val="Tahoma"/>
            <family val="2"/>
          </rPr>
          <t>warjohn:</t>
        </r>
        <r>
          <rPr>
            <sz val="8"/>
            <color indexed="81"/>
            <rFont val="Tahoma"/>
            <family val="2"/>
          </rPr>
          <t xml:space="preserve">
Assume about 1k extra adds based on revised broadband sub base.</t>
        </r>
      </text>
    </comment>
    <comment ref="BS35" authorId="1">
      <text>
        <r>
          <rPr>
            <b/>
            <sz val="8"/>
            <color indexed="81"/>
            <rFont val="Tahoma"/>
            <family val="2"/>
          </rPr>
          <t>warjohn:</t>
        </r>
        <r>
          <rPr>
            <sz val="8"/>
            <color indexed="81"/>
            <rFont val="Tahoma"/>
            <family val="2"/>
          </rPr>
          <t xml:space="preserve">
Assumed a 3k adj due to el paso county telephone  customers</t>
        </r>
      </text>
    </comment>
    <comment ref="BU35" authorId="1">
      <text>
        <r>
          <rPr>
            <b/>
            <sz val="8"/>
            <color indexed="81"/>
            <rFont val="Tahoma"/>
            <family val="2"/>
          </rPr>
          <t>warjohn:</t>
        </r>
        <r>
          <rPr>
            <sz val="8"/>
            <color indexed="81"/>
            <rFont val="Tahoma"/>
            <family val="2"/>
          </rPr>
          <t xml:space="preserve">
Assumed a 3k adj due to el paso county telephone  customers</t>
        </r>
      </text>
    </comment>
    <comment ref="BV35" authorId="1">
      <text>
        <r>
          <rPr>
            <b/>
            <sz val="8"/>
            <color indexed="81"/>
            <rFont val="Tahoma"/>
            <family val="2"/>
          </rPr>
          <t>warjohn:</t>
        </r>
        <r>
          <rPr>
            <sz val="8"/>
            <color indexed="81"/>
            <rFont val="Tahoma"/>
            <family val="2"/>
          </rPr>
          <t xml:space="preserve">
Assumed a 3k adj due to el paso county telephone  customers</t>
        </r>
      </text>
    </comment>
    <comment ref="BO37" authorId="1">
      <text>
        <r>
          <rPr>
            <b/>
            <sz val="8"/>
            <color indexed="81"/>
            <rFont val="Tahoma"/>
            <family val="2"/>
          </rPr>
          <t>warjohn:</t>
        </r>
        <r>
          <rPr>
            <sz val="8"/>
            <color indexed="81"/>
            <rFont val="Tahoma"/>
            <family val="2"/>
          </rPr>
          <t xml:space="preserve">
Assume about 2k extra adds based on revised broadband sub base.</t>
        </r>
      </text>
    </comment>
    <comment ref="BP37" authorId="1">
      <text>
        <r>
          <rPr>
            <b/>
            <sz val="8"/>
            <color indexed="81"/>
            <rFont val="Tahoma"/>
            <family val="2"/>
          </rPr>
          <t>warjohn:</t>
        </r>
        <r>
          <rPr>
            <sz val="8"/>
            <color indexed="81"/>
            <rFont val="Tahoma"/>
            <family val="2"/>
          </rPr>
          <t xml:space="preserve">
Assume about 2k extra adds based on revised broadband sub base.</t>
        </r>
      </text>
    </comment>
    <comment ref="BQ37" authorId="1">
      <text>
        <r>
          <rPr>
            <b/>
            <sz val="8"/>
            <color indexed="81"/>
            <rFont val="Tahoma"/>
            <family val="2"/>
          </rPr>
          <t>warjohn:</t>
        </r>
        <r>
          <rPr>
            <sz val="8"/>
            <color indexed="81"/>
            <rFont val="Tahoma"/>
            <family val="2"/>
          </rPr>
          <t xml:space="preserve">
Assume about 3k extra adds based on revised broadband sub base.</t>
        </r>
      </text>
    </comment>
    <comment ref="BR37" authorId="1">
      <text>
        <r>
          <rPr>
            <b/>
            <sz val="8"/>
            <color indexed="81"/>
            <rFont val="Tahoma"/>
            <family val="2"/>
          </rPr>
          <t>warjohn:</t>
        </r>
        <r>
          <rPr>
            <sz val="8"/>
            <color indexed="81"/>
            <rFont val="Tahoma"/>
            <family val="2"/>
          </rPr>
          <t xml:space="preserve">
Assume about 3k extra adds based on revised broadband sub base.</t>
        </r>
      </text>
    </comment>
    <comment ref="BS37" authorId="1">
      <text>
        <r>
          <rPr>
            <b/>
            <sz val="8"/>
            <color indexed="81"/>
            <rFont val="Tahoma"/>
            <family val="2"/>
          </rPr>
          <t>warjohn:</t>
        </r>
        <r>
          <rPr>
            <sz val="8"/>
            <color indexed="81"/>
            <rFont val="Tahoma"/>
            <family val="2"/>
          </rPr>
          <t xml:space="preserve">
Assume about 3k extra adds based on revised broadband sub base.</t>
        </r>
      </text>
    </comment>
    <comment ref="CM40" authorId="0">
      <text>
        <r>
          <rPr>
            <b/>
            <sz val="9"/>
            <color indexed="81"/>
            <rFont val="Tahoma"/>
            <family val="2"/>
          </rPr>
          <t>Gantsoudes, Spencer (Research):</t>
        </r>
        <r>
          <rPr>
            <sz val="9"/>
            <color indexed="81"/>
            <rFont val="Tahoma"/>
            <family val="2"/>
          </rPr>
          <t xml:space="preserve">
no longer disclosed</t>
        </r>
      </text>
    </comment>
    <comment ref="CN40" authorId="0">
      <text>
        <r>
          <rPr>
            <b/>
            <sz val="9"/>
            <color indexed="81"/>
            <rFont val="Tahoma"/>
            <family val="2"/>
          </rPr>
          <t>Gantsoudes, Spencer (Research):</t>
        </r>
        <r>
          <rPr>
            <sz val="9"/>
            <color indexed="81"/>
            <rFont val="Tahoma"/>
            <family val="2"/>
          </rPr>
          <t xml:space="preserve">
no longer disclosed</t>
        </r>
      </text>
    </comment>
    <comment ref="BO53" authorId="2">
      <text>
        <r>
          <rPr>
            <b/>
            <sz val="8"/>
            <color indexed="81"/>
            <rFont val="Tahoma"/>
            <family val="2"/>
          </rPr>
          <t>armintas:</t>
        </r>
        <r>
          <rPr>
            <sz val="8"/>
            <color indexed="81"/>
            <rFont val="Tahoma"/>
            <family val="2"/>
          </rPr>
          <t xml:space="preserve">
2Q11 Earnings Call: ~1.7M video subscribers (+14,700 Q/Q)</t>
        </r>
      </text>
    </comment>
    <comment ref="BR53" authorId="2">
      <text>
        <r>
          <rPr>
            <b/>
            <sz val="8"/>
            <color indexed="81"/>
            <rFont val="Tahoma"/>
            <family val="2"/>
          </rPr>
          <t>armintas:</t>
        </r>
        <r>
          <rPr>
            <sz val="8"/>
            <color indexed="81"/>
            <rFont val="Tahoma"/>
            <family val="2"/>
          </rPr>
          <t xml:space="preserve">
UBS Conference Dec 2011: ~1.8M video subscribers</t>
        </r>
      </text>
    </comment>
    <comment ref="BS53" authorId="2">
      <text>
        <r>
          <rPr>
            <b/>
            <sz val="8"/>
            <color indexed="81"/>
            <rFont val="Tahoma"/>
            <family val="2"/>
          </rPr>
          <t>armintas:</t>
        </r>
        <r>
          <rPr>
            <sz val="8"/>
            <color indexed="81"/>
            <rFont val="Tahoma"/>
            <family val="2"/>
          </rPr>
          <t xml:space="preserve">
+15,000 Q/Q PrismTV subscribers for a total of 85,000</t>
        </r>
      </text>
    </comment>
    <comment ref="BT53" authorId="1">
      <text>
        <r>
          <rPr>
            <b/>
            <sz val="8"/>
            <color indexed="81"/>
            <rFont val="Tahoma"/>
            <family val="2"/>
          </rPr>
          <t>warjohn:</t>
        </r>
        <r>
          <rPr>
            <sz val="8"/>
            <color indexed="81"/>
            <rFont val="Tahoma"/>
            <family val="2"/>
          </rPr>
          <t xml:space="preserve">
Ended the quarter with 94k Prism TV subs</t>
        </r>
      </text>
    </comment>
    <comment ref="BU53" authorId="1">
      <text>
        <r>
          <rPr>
            <b/>
            <sz val="8"/>
            <color indexed="81"/>
            <rFont val="Tahoma"/>
            <family val="2"/>
          </rPr>
          <t>warjohn:</t>
        </r>
        <r>
          <rPr>
            <sz val="8"/>
            <color indexed="81"/>
            <rFont val="Tahoma"/>
            <family val="2"/>
          </rPr>
          <t xml:space="preserve">
Ended the quarter with 104k Prism TV subs</t>
        </r>
      </text>
    </comment>
    <comment ref="BV53" authorId="1">
      <text>
        <r>
          <rPr>
            <b/>
            <sz val="8"/>
            <color indexed="81"/>
            <rFont val="Tahoma"/>
            <family val="2"/>
          </rPr>
          <t>warjohn:</t>
        </r>
        <r>
          <rPr>
            <sz val="8"/>
            <color indexed="81"/>
            <rFont val="Tahoma"/>
            <family val="2"/>
          </rPr>
          <t xml:space="preserve">
Ended the quarter with 104k Prism TV subs</t>
        </r>
      </text>
    </comment>
    <comment ref="BW53" authorId="1">
      <text>
        <r>
          <rPr>
            <b/>
            <sz val="8"/>
            <color indexed="81"/>
            <rFont val="Tahoma"/>
            <family val="2"/>
          </rPr>
          <t>warjohn:</t>
        </r>
        <r>
          <rPr>
            <sz val="8"/>
            <color indexed="81"/>
            <rFont val="Tahoma"/>
            <family val="2"/>
          </rPr>
          <t xml:space="preserve">
Added 13.4K PrismTV subs and changed definition of multi-dwelling sub from one sub to # of subs based on avg. equivalent revenue per unit.</t>
        </r>
      </text>
    </comment>
    <comment ref="BX53" authorId="1">
      <text>
        <r>
          <rPr>
            <b/>
            <sz val="8"/>
            <color indexed="81"/>
            <rFont val="Tahoma"/>
            <family val="2"/>
          </rPr>
          <t>warjohn:</t>
        </r>
        <r>
          <rPr>
            <sz val="8"/>
            <color indexed="81"/>
            <rFont val="Tahoma"/>
            <family val="2"/>
          </rPr>
          <t xml:space="preserve">
Added 12.2K PrismTV subs</t>
        </r>
      </text>
    </comment>
    <comment ref="BY53" authorId="3">
      <text>
        <r>
          <rPr>
            <b/>
            <sz val="8"/>
            <color indexed="81"/>
            <rFont val="Tahoma"/>
            <family val="2"/>
          </rPr>
          <t>Armintas Sinkevicius:</t>
        </r>
        <r>
          <rPr>
            <sz val="8"/>
            <color indexed="81"/>
            <rFont val="Tahoma"/>
            <family val="2"/>
          </rPr>
          <t xml:space="preserve">
+17k PrismTV Subs</t>
        </r>
      </text>
    </comment>
    <comment ref="BZ53" authorId="3">
      <text>
        <r>
          <rPr>
            <b/>
            <sz val="8"/>
            <color indexed="81"/>
            <rFont val="Tahoma"/>
            <family val="2"/>
          </rPr>
          <t>John Mark Warren:</t>
        </r>
        <r>
          <rPr>
            <sz val="8"/>
            <color indexed="81"/>
            <rFont val="Tahoma"/>
            <family val="2"/>
          </rPr>
          <t xml:space="preserve">
+26k PrismTV Subs</t>
        </r>
      </text>
    </comment>
    <comment ref="CP119" authorId="0">
      <text>
        <r>
          <rPr>
            <b/>
            <sz val="9"/>
            <color indexed="81"/>
            <rFont val="Tahoma"/>
            <family val="2"/>
          </rPr>
          <t>Gantsoudes, Spencer (Research):</t>
        </r>
        <r>
          <rPr>
            <sz val="9"/>
            <color indexed="81"/>
            <rFont val="Tahoma"/>
            <family val="2"/>
          </rPr>
          <t xml:space="preserve">
2/3 months
Level 3 closed 11/1/17</t>
        </r>
      </text>
    </comment>
    <comment ref="CP120" authorId="0">
      <text>
        <r>
          <rPr>
            <b/>
            <sz val="9"/>
            <color indexed="81"/>
            <rFont val="Tahoma"/>
            <family val="2"/>
          </rPr>
          <t>Gantsoudes, Spencer (Research):</t>
        </r>
        <r>
          <rPr>
            <sz val="9"/>
            <color indexed="81"/>
            <rFont val="Tahoma"/>
            <family val="2"/>
          </rPr>
          <t xml:space="preserve">
$387M of  annual intercompany revenue disclosed in proxy
includes 2 months</t>
        </r>
      </text>
    </comment>
    <comment ref="CP122" authorId="0">
      <text>
        <r>
          <rPr>
            <b/>
            <sz val="9"/>
            <color indexed="81"/>
            <rFont val="Tahoma"/>
            <family val="2"/>
          </rPr>
          <t>Gantsoudes, Spencer (Research):</t>
        </r>
        <r>
          <rPr>
            <sz val="9"/>
            <color indexed="81"/>
            <rFont val="Tahoma"/>
            <family val="2"/>
          </rPr>
          <t xml:space="preserve">
only 2 months of LVLT</t>
        </r>
      </text>
    </comment>
    <comment ref="S126" authorId="0">
      <text>
        <r>
          <rPr>
            <b/>
            <sz val="9"/>
            <color indexed="81"/>
            <rFont val="Tahoma"/>
            <family val="2"/>
          </rPr>
          <t>Gantsoudes, Spencer (Research):</t>
        </r>
        <r>
          <rPr>
            <sz val="9"/>
            <color indexed="81"/>
            <rFont val="Tahoma"/>
            <family val="2"/>
          </rPr>
          <t xml:space="preserve">
pro forma (excludes partial 2017</t>
        </r>
      </text>
    </comment>
    <comment ref="T126" authorId="0">
      <text>
        <r>
          <rPr>
            <b/>
            <sz val="9"/>
            <color indexed="81"/>
            <rFont val="Tahoma"/>
            <family val="2"/>
          </rPr>
          <t>Gantsoudes, Spencer (Research):</t>
        </r>
        <r>
          <rPr>
            <sz val="9"/>
            <color indexed="81"/>
            <rFont val="Tahoma"/>
            <family val="2"/>
          </rPr>
          <t xml:space="preserve">
pro forma (excludes partial 2017</t>
        </r>
      </text>
    </comment>
    <comment ref="CP126" authorId="0">
      <text>
        <r>
          <rPr>
            <b/>
            <sz val="9"/>
            <color indexed="81"/>
            <rFont val="Tahoma"/>
            <family val="2"/>
          </rPr>
          <t>Gantsoudes, Spencer (Research):</t>
        </r>
        <r>
          <rPr>
            <sz val="9"/>
            <color indexed="81"/>
            <rFont val="Tahoma"/>
            <family val="2"/>
          </rPr>
          <t xml:space="preserve">
only 2 months of LVLT</t>
        </r>
      </text>
    </comment>
    <comment ref="CP127" authorId="0">
      <text>
        <r>
          <rPr>
            <b/>
            <sz val="9"/>
            <color indexed="81"/>
            <rFont val="Tahoma"/>
            <family val="2"/>
          </rPr>
          <t>Gantsoudes, Spencer (Research):</t>
        </r>
        <r>
          <rPr>
            <sz val="9"/>
            <color indexed="81"/>
            <rFont val="Tahoma"/>
            <family val="2"/>
          </rPr>
          <t xml:space="preserve">
only 2 months of LVLT</t>
        </r>
      </text>
    </comment>
    <comment ref="S129" authorId="0">
      <text>
        <r>
          <rPr>
            <b/>
            <sz val="9"/>
            <color indexed="81"/>
            <rFont val="Tahoma"/>
            <family val="2"/>
          </rPr>
          <t>Gantsoudes, Spencer (Research):</t>
        </r>
        <r>
          <rPr>
            <sz val="9"/>
            <color indexed="81"/>
            <rFont val="Tahoma"/>
            <family val="2"/>
          </rPr>
          <t xml:space="preserve">
pro forma (excludes partial 2017</t>
        </r>
      </text>
    </comment>
    <comment ref="T129" authorId="0">
      <text>
        <r>
          <rPr>
            <b/>
            <sz val="9"/>
            <color indexed="81"/>
            <rFont val="Tahoma"/>
            <family val="2"/>
          </rPr>
          <t>Gantsoudes, Spencer (Research):</t>
        </r>
        <r>
          <rPr>
            <sz val="9"/>
            <color indexed="81"/>
            <rFont val="Tahoma"/>
            <family val="2"/>
          </rPr>
          <t xml:space="preserve">
pro forma (excludes partial 2017</t>
        </r>
      </text>
    </comment>
    <comment ref="CP129" authorId="0">
      <text>
        <r>
          <rPr>
            <b/>
            <sz val="9"/>
            <color indexed="81"/>
            <rFont val="Tahoma"/>
            <family val="2"/>
          </rPr>
          <t>Gantsoudes, Spencer (Research):</t>
        </r>
        <r>
          <rPr>
            <sz val="9"/>
            <color indexed="81"/>
            <rFont val="Tahoma"/>
            <family val="2"/>
          </rPr>
          <t xml:space="preserve">
only 2 months of LVLT</t>
        </r>
      </text>
    </comment>
    <comment ref="CP130" authorId="0">
      <text>
        <r>
          <rPr>
            <b/>
            <sz val="9"/>
            <color indexed="81"/>
            <rFont val="Tahoma"/>
            <family val="2"/>
          </rPr>
          <t>Gantsoudes, Spencer (Research):</t>
        </r>
        <r>
          <rPr>
            <sz val="9"/>
            <color indexed="81"/>
            <rFont val="Tahoma"/>
            <family val="2"/>
          </rPr>
          <t xml:space="preserve">
only 2 months of LVLT</t>
        </r>
      </text>
    </comment>
    <comment ref="S132" authorId="0">
      <text>
        <r>
          <rPr>
            <b/>
            <sz val="9"/>
            <color indexed="81"/>
            <rFont val="Tahoma"/>
            <family val="2"/>
          </rPr>
          <t>Gantsoudes, Spencer (Research):</t>
        </r>
        <r>
          <rPr>
            <sz val="9"/>
            <color indexed="81"/>
            <rFont val="Tahoma"/>
            <family val="2"/>
          </rPr>
          <t xml:space="preserve">
pro forma (excludes partial 2017</t>
        </r>
      </text>
    </comment>
    <comment ref="T132" authorId="0">
      <text>
        <r>
          <rPr>
            <b/>
            <sz val="9"/>
            <color indexed="81"/>
            <rFont val="Tahoma"/>
            <family val="2"/>
          </rPr>
          <t>Gantsoudes, Spencer (Research):</t>
        </r>
        <r>
          <rPr>
            <sz val="9"/>
            <color indexed="81"/>
            <rFont val="Tahoma"/>
            <family val="2"/>
          </rPr>
          <t xml:space="preserve">
pro forma (excludes partial 2017</t>
        </r>
      </text>
    </comment>
    <comment ref="CP132" authorId="0">
      <text>
        <r>
          <rPr>
            <b/>
            <sz val="9"/>
            <color indexed="81"/>
            <rFont val="Tahoma"/>
            <family val="2"/>
          </rPr>
          <t>Gantsoudes, Spencer (Research):</t>
        </r>
        <r>
          <rPr>
            <sz val="9"/>
            <color indexed="81"/>
            <rFont val="Tahoma"/>
            <family val="2"/>
          </rPr>
          <t xml:space="preserve">
only 2 months of LVLT</t>
        </r>
      </text>
    </comment>
    <comment ref="CP133" authorId="0">
      <text>
        <r>
          <rPr>
            <b/>
            <sz val="9"/>
            <color indexed="81"/>
            <rFont val="Tahoma"/>
            <family val="2"/>
          </rPr>
          <t>Gantsoudes, Spencer (Research):</t>
        </r>
        <r>
          <rPr>
            <sz val="9"/>
            <color indexed="81"/>
            <rFont val="Tahoma"/>
            <family val="2"/>
          </rPr>
          <t xml:space="preserve">
only 2 months of LVLT</t>
        </r>
      </text>
    </comment>
    <comment ref="S135" authorId="0">
      <text>
        <r>
          <rPr>
            <b/>
            <sz val="9"/>
            <color indexed="81"/>
            <rFont val="Tahoma"/>
            <family val="2"/>
          </rPr>
          <t>Gantsoudes, Spencer (Research):</t>
        </r>
        <r>
          <rPr>
            <sz val="9"/>
            <color indexed="81"/>
            <rFont val="Tahoma"/>
            <family val="2"/>
          </rPr>
          <t xml:space="preserve">
pro forma (excludes partial 2017</t>
        </r>
      </text>
    </comment>
    <comment ref="T135" authorId="0">
      <text>
        <r>
          <rPr>
            <b/>
            <sz val="9"/>
            <color indexed="81"/>
            <rFont val="Tahoma"/>
            <family val="2"/>
          </rPr>
          <t>Gantsoudes, Spencer (Research):</t>
        </r>
        <r>
          <rPr>
            <sz val="9"/>
            <color indexed="81"/>
            <rFont val="Tahoma"/>
            <family val="2"/>
          </rPr>
          <t xml:space="preserve">
pro forma (excludes partial 2017</t>
        </r>
      </text>
    </comment>
    <comment ref="CP135" authorId="0">
      <text>
        <r>
          <rPr>
            <b/>
            <sz val="9"/>
            <color indexed="81"/>
            <rFont val="Tahoma"/>
            <family val="2"/>
          </rPr>
          <t>Gantsoudes, Spencer (Research):</t>
        </r>
        <r>
          <rPr>
            <sz val="9"/>
            <color indexed="81"/>
            <rFont val="Tahoma"/>
            <family val="2"/>
          </rPr>
          <t xml:space="preserve">
only 2 months of LVLT</t>
        </r>
      </text>
    </comment>
    <comment ref="CP136" authorId="0">
      <text>
        <r>
          <rPr>
            <b/>
            <sz val="9"/>
            <color indexed="81"/>
            <rFont val="Tahoma"/>
            <family val="2"/>
          </rPr>
          <t>Gantsoudes, Spencer (Research):</t>
        </r>
        <r>
          <rPr>
            <sz val="9"/>
            <color indexed="81"/>
            <rFont val="Tahoma"/>
            <family val="2"/>
          </rPr>
          <t xml:space="preserve">
only 2 months of LVLT</t>
        </r>
      </text>
    </comment>
    <comment ref="A139" authorId="4">
      <text>
        <r>
          <rPr>
            <b/>
            <sz val="10"/>
            <color indexed="81"/>
            <rFont val="Tahoma"/>
            <family val="2"/>
          </rPr>
          <t>Daniel Gaviria:</t>
        </r>
        <r>
          <rPr>
            <sz val="10"/>
            <color indexed="81"/>
            <rFont val="Tahoma"/>
            <family val="2"/>
          </rPr>
          <t xml:space="preserve">
Strategic services, which include primarily private line (including special access), broadband, MPLS (which is a data networking technology that
can deliver the quality of service required to support real-time voice and video), hosting, video, voice over Internet Protocol, or VoIP, services
and Verizon Wireless services</t>
        </r>
      </text>
    </comment>
    <comment ref="P140" authorId="0">
      <text>
        <r>
          <rPr>
            <b/>
            <sz val="9"/>
            <color indexed="81"/>
            <rFont val="Tahoma"/>
            <family val="2"/>
          </rPr>
          <t>Gantsoudes, Spencer (Research):</t>
        </r>
        <r>
          <rPr>
            <sz val="9"/>
            <color indexed="81"/>
            <rFont val="Tahoma"/>
            <family val="2"/>
          </rPr>
          <t xml:space="preserve">
resegment
hard coded prior Y/Y growth rates prior to restatement (for illustrative purposes, not perfect comp to current strategic services)</t>
        </r>
      </text>
    </comment>
    <comment ref="CB140" authorId="0">
      <text>
        <r>
          <rPr>
            <b/>
            <sz val="9"/>
            <color indexed="81"/>
            <rFont val="Tahoma"/>
            <family val="2"/>
          </rPr>
          <t>Gantsoudes, Spencer (Research):</t>
        </r>
        <r>
          <rPr>
            <sz val="9"/>
            <color indexed="81"/>
            <rFont val="Tahoma"/>
            <family val="2"/>
          </rPr>
          <t xml:space="preserve">
resegment
hard coded prior Y/Y growth rates prior to restatement (for illustrative purposes)</t>
        </r>
      </text>
    </comment>
    <comment ref="CC140" authorId="0">
      <text>
        <r>
          <rPr>
            <b/>
            <sz val="9"/>
            <color indexed="81"/>
            <rFont val="Tahoma"/>
            <family val="2"/>
          </rPr>
          <t>Gantsoudes, Spencer (Research):</t>
        </r>
        <r>
          <rPr>
            <sz val="9"/>
            <color indexed="81"/>
            <rFont val="Tahoma"/>
            <family val="2"/>
          </rPr>
          <t xml:space="preserve">
resegment
hard coded prior Y/Y growth rates prior to restatement (for illustrative purposes)</t>
        </r>
      </text>
    </comment>
    <comment ref="CD140" authorId="0">
      <text>
        <r>
          <rPr>
            <b/>
            <sz val="9"/>
            <color indexed="81"/>
            <rFont val="Tahoma"/>
            <family val="2"/>
          </rPr>
          <t>Gantsoudes, Spencer (Research):</t>
        </r>
        <r>
          <rPr>
            <sz val="9"/>
            <color indexed="81"/>
            <rFont val="Tahoma"/>
            <family val="2"/>
          </rPr>
          <t xml:space="preserve">
resegment
hard coded prior Y/Y growth rates prior to restatement (for illustrative purposes)</t>
        </r>
      </text>
    </comment>
    <comment ref="CE140" authorId="0">
      <text>
        <r>
          <rPr>
            <b/>
            <sz val="9"/>
            <color indexed="81"/>
            <rFont val="Tahoma"/>
            <family val="2"/>
          </rPr>
          <t>Gantsoudes, Spencer (Research):</t>
        </r>
        <r>
          <rPr>
            <sz val="9"/>
            <color indexed="81"/>
            <rFont val="Tahoma"/>
            <family val="2"/>
          </rPr>
          <t xml:space="preserve">
resegment
hard coded prior Y/Y growth rates prior to restatement (for illustrative purposes)</t>
        </r>
      </text>
    </comment>
    <comment ref="CB141" authorId="0">
      <text>
        <r>
          <rPr>
            <b/>
            <sz val="9"/>
            <color indexed="81"/>
            <rFont val="Tahoma"/>
            <family val="2"/>
          </rPr>
          <t>Gantsoudes, Spencer (Research):</t>
        </r>
        <r>
          <rPr>
            <sz val="9"/>
            <color indexed="81"/>
            <rFont val="Tahoma"/>
            <family val="2"/>
          </rPr>
          <t xml:space="preserve">
resegment</t>
        </r>
      </text>
    </comment>
    <comment ref="A143" authorId="4">
      <text>
        <r>
          <rPr>
            <b/>
            <sz val="10"/>
            <color indexed="81"/>
            <rFont val="Tahoma"/>
            <family val="2"/>
          </rPr>
          <t>Daniel Gaviria:</t>
        </r>
        <r>
          <rPr>
            <sz val="10"/>
            <color indexed="81"/>
            <rFont val="Tahoma"/>
            <family val="2"/>
          </rPr>
          <t xml:space="preserve">
Legacy services, which include primarily local, long-distance, switched access (including public access), integrated services digital network, or
ISDN, services and traditional wide area network, or WAN, services</t>
        </r>
      </text>
    </comment>
    <comment ref="A147" authorId="4">
      <text>
        <r>
          <rPr>
            <b/>
            <sz val="10"/>
            <color indexed="81"/>
            <rFont val="Tahoma"/>
            <family val="2"/>
          </rPr>
          <t>Daniel Gaviria:</t>
        </r>
        <r>
          <rPr>
            <sz val="10"/>
            <color indexed="81"/>
            <rFont val="Tahoma"/>
            <family val="2"/>
          </rPr>
          <t xml:space="preserve">
Data integration, which is telecommunications equipment we sell that is located on customers' premises and related professional services. These
services include network management, installation and maintenance of data equipment and building of proprietary fiber-optic broadband
networks for our government and business customers.</t>
        </r>
      </text>
    </comment>
    <comment ref="CG147" authorId="0">
      <text>
        <r>
          <rPr>
            <b/>
            <sz val="9"/>
            <color indexed="81"/>
            <rFont val="Tahoma"/>
            <family val="2"/>
          </rPr>
          <t>Gantsoudes, Spencer (Research):</t>
        </r>
        <r>
          <rPr>
            <sz val="9"/>
            <color indexed="81"/>
            <rFont val="Tahoma"/>
            <family val="2"/>
          </rPr>
          <t xml:space="preserve">
rounding</t>
        </r>
      </text>
    </comment>
    <comment ref="CH147" authorId="0">
      <text>
        <r>
          <rPr>
            <b/>
            <sz val="9"/>
            <color indexed="81"/>
            <rFont val="Tahoma"/>
            <family val="2"/>
          </rPr>
          <t>Gantsoudes, Spencer (Research):</t>
        </r>
        <r>
          <rPr>
            <sz val="9"/>
            <color indexed="81"/>
            <rFont val="Tahoma"/>
            <family val="2"/>
          </rPr>
          <t xml:space="preserve">
rounding, was $139 pre rounding</t>
        </r>
      </text>
    </comment>
    <comment ref="O150" authorId="1">
      <text>
        <r>
          <rPr>
            <b/>
            <sz val="8"/>
            <color indexed="81"/>
            <rFont val="Tahoma"/>
            <family val="2"/>
          </rPr>
          <t>warjohn:</t>
        </r>
        <r>
          <rPr>
            <sz val="8"/>
            <color indexed="81"/>
            <rFont val="Tahoma"/>
            <family val="2"/>
          </rPr>
          <t xml:space="preserve">
1Q13 CC: CTL anticipates a ~$45M decline in other revenues due primarily to anticipated lower USF revenues</t>
        </r>
      </text>
    </comment>
    <comment ref="R150" authorId="0">
      <text>
        <r>
          <rPr>
            <b/>
            <sz val="9"/>
            <color indexed="81"/>
            <rFont val="Tahoma"/>
            <family val="2"/>
          </rPr>
          <t>Gantsoudes, Spencer (Research):</t>
        </r>
        <r>
          <rPr>
            <sz val="9"/>
            <color indexed="81"/>
            <rFont val="Tahoma"/>
            <family val="2"/>
          </rPr>
          <t xml:space="preserve">
adding $300M to 2015. 
$200M impcat in 2H15, management said $500M annual impact for 7 seven years
"The revenue impact to us, going forward will be about $500 million per year. We expect to be able to build – this is a seven-year program. And we think the returns are good with this money. We will be spending these dollars over a period of time. We're going to keep our cap budget in the $3 billion range, as we've said previously." - Glen Post 9/10/15</t>
        </r>
      </text>
    </comment>
    <comment ref="CG150" authorId="0">
      <text>
        <r>
          <rPr>
            <b/>
            <sz val="9"/>
            <color indexed="81"/>
            <rFont val="Tahoma"/>
            <family val="2"/>
          </rPr>
          <t>Gantsoudes, Spencer (Research):</t>
        </r>
        <r>
          <rPr>
            <sz val="9"/>
            <color indexed="81"/>
            <rFont val="Tahoma"/>
            <family val="2"/>
          </rPr>
          <t xml:space="preserve">
$150M incremental from CAF II receipts</t>
        </r>
      </text>
    </comment>
    <comment ref="CH150" authorId="0">
      <text>
        <r>
          <rPr>
            <b/>
            <sz val="9"/>
            <color indexed="81"/>
            <rFont val="Tahoma"/>
            <family val="2"/>
          </rPr>
          <t>Gantsoudes, Spencer (Research):</t>
        </r>
        <r>
          <rPr>
            <sz val="9"/>
            <color indexed="81"/>
            <rFont val="Tahoma"/>
            <family val="2"/>
          </rPr>
          <t xml:space="preserve">
$50M incremental from CAF II receipts ($150 incremental in 3Q15, so $100M less from 3Q15).
Or using Q15 as base +50M 
=$308M</t>
        </r>
      </text>
    </comment>
    <comment ref="S154" authorId="0">
      <text>
        <r>
          <rPr>
            <b/>
            <sz val="9"/>
            <color indexed="81"/>
            <rFont val="Tahoma"/>
            <family val="2"/>
          </rPr>
          <t>Gantsoudes, Spencer (Research):</t>
        </r>
        <r>
          <rPr>
            <sz val="9"/>
            <color indexed="81"/>
            <rFont val="Tahoma"/>
            <family val="2"/>
          </rPr>
          <t xml:space="preserve">
17.05-17.3
17.175 at midpt
update for data center sale (-400m impact)
$16,650-$16,900
midpt 16775</t>
        </r>
      </text>
    </comment>
    <comment ref="CC154" authorId="0">
      <text>
        <r>
          <rPr>
            <b/>
            <sz val="9"/>
            <color indexed="81"/>
            <rFont val="Tahoma"/>
            <family val="2"/>
          </rPr>
          <t>Gantsoudes, Spencer (Research):</t>
        </r>
        <r>
          <rPr>
            <sz val="9"/>
            <color indexed="81"/>
            <rFont val="Tahoma"/>
            <family val="2"/>
          </rPr>
          <t xml:space="preserve">
$4.47-$4.52B guidance</t>
        </r>
      </text>
    </comment>
    <comment ref="CF154" authorId="0">
      <text>
        <r>
          <rPr>
            <b/>
            <sz val="9"/>
            <color indexed="81"/>
            <rFont val="Tahoma"/>
            <family val="2"/>
          </rPr>
          <t>Gantsoudes, Spencer (Research):</t>
        </r>
        <r>
          <rPr>
            <sz val="9"/>
            <color indexed="81"/>
            <rFont val="Tahoma"/>
            <family val="2"/>
          </rPr>
          <t xml:space="preserve">
guidance $4.41-$4.46B</t>
        </r>
      </text>
    </comment>
    <comment ref="CG154" authorId="0">
      <text>
        <r>
          <rPr>
            <b/>
            <sz val="9"/>
            <color indexed="81"/>
            <rFont val="Tahoma"/>
            <family val="2"/>
          </rPr>
          <t>Gantsoudes, Spencer (Research):</t>
        </r>
        <r>
          <rPr>
            <sz val="9"/>
            <color indexed="81"/>
            <rFont val="Tahoma"/>
            <family val="2"/>
          </rPr>
          <t xml:space="preserve">
=$4445M at mid point + $150M from CAF II
=$4,595</t>
        </r>
      </text>
    </comment>
    <comment ref="CH154" authorId="0">
      <text>
        <r>
          <rPr>
            <b/>
            <sz val="9"/>
            <color indexed="81"/>
            <rFont val="Tahoma"/>
            <family val="2"/>
          </rPr>
          <t>Gantsoudes, Spencer (Research):</t>
        </r>
        <r>
          <rPr>
            <sz val="9"/>
            <color indexed="81"/>
            <rFont val="Tahoma"/>
            <family val="2"/>
          </rPr>
          <t xml:space="preserve">
$4.40-$4.45B</t>
        </r>
      </text>
    </comment>
    <comment ref="CI154" authorId="0">
      <text>
        <r>
          <rPr>
            <b/>
            <sz val="9"/>
            <color indexed="81"/>
            <rFont val="Tahoma"/>
            <family val="2"/>
          </rPr>
          <t>Gantsoudes, Spencer (Research):</t>
        </r>
        <r>
          <rPr>
            <sz val="9"/>
            <color indexed="81"/>
            <rFont val="Tahoma"/>
            <family val="2"/>
          </rPr>
          <t xml:space="preserve">
4.40-4.45
442.5 at mid point</t>
        </r>
      </text>
    </comment>
    <comment ref="CJ154" authorId="0">
      <text>
        <r>
          <rPr>
            <b/>
            <sz val="9"/>
            <color indexed="81"/>
            <rFont val="Tahoma"/>
            <family val="2"/>
          </rPr>
          <t>Gantsoudes, Spencer (Research):</t>
        </r>
        <r>
          <rPr>
            <sz val="9"/>
            <color indexed="81"/>
            <rFont val="Tahoma"/>
            <family val="2"/>
          </rPr>
          <t xml:space="preserve">
4380-4430
4405 midpoint</t>
        </r>
      </text>
    </comment>
    <comment ref="CK154" authorId="0">
      <text>
        <r>
          <rPr>
            <b/>
            <sz val="9"/>
            <color indexed="81"/>
            <rFont val="Tahoma"/>
            <family val="2"/>
          </rPr>
          <t>Gantsoudes, Spencer (Research):</t>
        </r>
        <r>
          <rPr>
            <sz val="9"/>
            <color indexed="81"/>
            <rFont val="Tahoma"/>
            <family val="2"/>
          </rPr>
          <t xml:space="preserve">
4.35-4.40
4375 at mid point</t>
        </r>
      </text>
    </comment>
    <comment ref="CL154" authorId="0">
      <text>
        <r>
          <rPr>
            <b/>
            <sz val="9"/>
            <color indexed="81"/>
            <rFont val="Tahoma"/>
            <family val="2"/>
          </rPr>
          <t xml:space="preserve">Gantsoudes, Spencer
</t>
        </r>
        <r>
          <rPr>
            <sz val="9"/>
            <color indexed="81"/>
            <rFont val="Tahoma"/>
            <family val="2"/>
          </rPr>
          <t>4Q16 Guidance: 4.28-4.34
midpoint = 4,310</t>
        </r>
        <r>
          <rPr>
            <sz val="9"/>
            <color indexed="81"/>
            <rFont val="Tahoma"/>
            <family val="2"/>
          </rPr>
          <t xml:space="preserve">
17,613 midpoint of low/end and midpoint for FY16</t>
        </r>
      </text>
    </comment>
    <comment ref="CM154" authorId="0">
      <text>
        <r>
          <rPr>
            <b/>
            <sz val="9"/>
            <color indexed="81"/>
            <rFont val="Tahoma"/>
            <family val="2"/>
          </rPr>
          <t>Gantsoudes, Spencer (Research):</t>
        </r>
        <r>
          <rPr>
            <sz val="9"/>
            <color indexed="81"/>
            <rFont val="Tahoma"/>
            <family val="2"/>
          </rPr>
          <t xml:space="preserve">
4.23-4.29 guidance</t>
        </r>
      </text>
    </comment>
    <comment ref="CN154" authorId="0">
      <text>
        <r>
          <rPr>
            <b/>
            <sz val="9"/>
            <color indexed="81"/>
            <rFont val="Tahoma"/>
            <family val="2"/>
          </rPr>
          <t>Gantsoudes, Spencer (Research):</t>
        </r>
        <r>
          <rPr>
            <sz val="9"/>
            <color indexed="81"/>
            <rFont val="Tahoma"/>
            <family val="2"/>
          </rPr>
          <t xml:space="preserve">
4070-4130
4100</t>
        </r>
      </text>
    </comment>
    <comment ref="CO154" authorId="0">
      <text>
        <r>
          <rPr>
            <b/>
            <sz val="9"/>
            <color indexed="81"/>
            <rFont val="Tahoma"/>
            <family val="2"/>
          </rPr>
          <t>Gantsoudes, Spencer (Research):</t>
        </r>
        <r>
          <rPr>
            <sz val="9"/>
            <color indexed="81"/>
            <rFont val="Tahoma"/>
            <family val="2"/>
          </rPr>
          <t xml:space="preserve">
4.09 midpt (4.06-4.12 )</t>
        </r>
      </text>
    </comment>
    <comment ref="CO155" authorId="0">
      <text>
        <r>
          <rPr>
            <b/>
            <sz val="9"/>
            <color indexed="81"/>
            <rFont val="Tahoma"/>
            <family val="2"/>
          </rPr>
          <t>Gantsoudes, Spencer (Research):</t>
        </r>
        <r>
          <rPr>
            <sz val="9"/>
            <color indexed="81"/>
            <rFont val="Tahoma"/>
            <family val="2"/>
          </rPr>
          <t xml:space="preserve">
-4.7% adjusted for colocation sale</t>
        </r>
      </text>
    </comment>
    <comment ref="S157" authorId="0">
      <text>
        <r>
          <rPr>
            <b/>
            <sz val="9"/>
            <color indexed="81"/>
            <rFont val="Tahoma"/>
            <family val="2"/>
          </rPr>
          <t>Gantsoudes, Spencer (Research):</t>
        </r>
        <r>
          <rPr>
            <sz val="9"/>
            <color indexed="81"/>
            <rFont val="Tahoma"/>
            <family val="2"/>
          </rPr>
          <t xml:space="preserve">
15.25-15.5
15.375
update for data center sale (-$400m impact)
14.85-15.10
14975</t>
        </r>
      </text>
    </comment>
    <comment ref="CB157" authorId="3">
      <text>
        <r>
          <rPr>
            <b/>
            <sz val="8"/>
            <color indexed="81"/>
            <rFont val="Tahoma"/>
            <family val="2"/>
          </rPr>
          <t>Armintas Sinkevicius:</t>
        </r>
        <r>
          <rPr>
            <sz val="8"/>
            <color indexed="81"/>
            <rFont val="Tahoma"/>
            <family val="2"/>
          </rPr>
          <t xml:space="preserve">
Strategic + Legacy = $4.07b to $4.12b</t>
        </r>
      </text>
    </comment>
    <comment ref="CC157" authorId="0">
      <text>
        <r>
          <rPr>
            <b/>
            <sz val="9"/>
            <color indexed="81"/>
            <rFont val="Tahoma"/>
            <family val="2"/>
          </rPr>
          <t>Gantsoudes, Spencer (Research):</t>
        </r>
        <r>
          <rPr>
            <sz val="9"/>
            <color indexed="81"/>
            <rFont val="Tahoma"/>
            <family val="2"/>
          </rPr>
          <t xml:space="preserve">
$4.06-$4.11B</t>
        </r>
      </text>
    </comment>
    <comment ref="CF157" authorId="0">
      <text>
        <r>
          <rPr>
            <b/>
            <sz val="9"/>
            <color indexed="81"/>
            <rFont val="Tahoma"/>
            <family val="2"/>
          </rPr>
          <t>Gantsoudes, Spencer (Research):</t>
        </r>
        <r>
          <rPr>
            <sz val="9"/>
            <color indexed="81"/>
            <rFont val="Tahoma"/>
            <family val="2"/>
          </rPr>
          <t xml:space="preserve">
$4.02-$4.07B</t>
        </r>
      </text>
    </comment>
    <comment ref="CH157" authorId="0">
      <text>
        <r>
          <rPr>
            <b/>
            <sz val="9"/>
            <color indexed="81"/>
            <rFont val="Tahoma"/>
            <family val="2"/>
          </rPr>
          <t>Gantsoudes, Spencer (Research):</t>
        </r>
        <r>
          <rPr>
            <sz val="9"/>
            <color indexed="81"/>
            <rFont val="Tahoma"/>
            <family val="2"/>
          </rPr>
          <t xml:space="preserve">
$3.97-$4.02B</t>
        </r>
      </text>
    </comment>
    <comment ref="CK157" authorId="0">
      <text>
        <r>
          <rPr>
            <b/>
            <sz val="9"/>
            <color indexed="81"/>
            <rFont val="Tahoma"/>
            <family val="2"/>
          </rPr>
          <t>Gantsoudes, Spencer (Research):</t>
        </r>
        <r>
          <rPr>
            <sz val="9"/>
            <color indexed="81"/>
            <rFont val="Tahoma"/>
            <family val="2"/>
          </rPr>
          <t xml:space="preserve">
3.90-3.95 guidance
3925 at midpoint</t>
        </r>
      </text>
    </comment>
    <comment ref="CL157" authorId="0">
      <text>
        <r>
          <rPr>
            <b/>
            <sz val="9"/>
            <color indexed="81"/>
            <rFont val="Tahoma"/>
            <family val="2"/>
          </rPr>
          <t>Gantsoudes, Spencer (Research):</t>
        </r>
        <r>
          <rPr>
            <sz val="9"/>
            <color indexed="81"/>
            <rFont val="Tahoma"/>
            <family val="2"/>
          </rPr>
          <t xml:space="preserve">
3.86-3.92
3.89</t>
        </r>
      </text>
    </comment>
    <comment ref="CM157" authorId="0">
      <text>
        <r>
          <rPr>
            <b/>
            <sz val="9"/>
            <color indexed="81"/>
            <rFont val="Tahoma"/>
            <family val="2"/>
          </rPr>
          <t>Gantsoudes, Spencer (Research):</t>
        </r>
        <r>
          <rPr>
            <sz val="9"/>
            <color indexed="81"/>
            <rFont val="Tahoma"/>
            <family val="2"/>
          </rPr>
          <t xml:space="preserve">
3.8-3.86 guidance</t>
        </r>
      </text>
    </comment>
    <comment ref="CN157" authorId="0">
      <text>
        <r>
          <rPr>
            <b/>
            <sz val="9"/>
            <color indexed="81"/>
            <rFont val="Tahoma"/>
            <family val="2"/>
          </rPr>
          <t>Gantsoudes, Spencer (Research):</t>
        </r>
        <r>
          <rPr>
            <sz val="9"/>
            <color indexed="81"/>
            <rFont val="Tahoma"/>
            <family val="2"/>
          </rPr>
          <t xml:space="preserve">
3660-3720
midpt 3690</t>
        </r>
      </text>
    </comment>
    <comment ref="CO157" authorId="0">
      <text>
        <r>
          <rPr>
            <b/>
            <sz val="9"/>
            <color indexed="81"/>
            <rFont val="Tahoma"/>
            <family val="2"/>
          </rPr>
          <t>Gantsoudes, Spencer (Research):</t>
        </r>
        <r>
          <rPr>
            <sz val="9"/>
            <color indexed="81"/>
            <rFont val="Tahoma"/>
            <family val="2"/>
          </rPr>
          <t xml:space="preserve">
3.62midpt (3.59-3.65)</t>
        </r>
      </text>
    </comment>
    <comment ref="CO158" authorId="0">
      <text>
        <r>
          <rPr>
            <b/>
            <sz val="9"/>
            <color indexed="81"/>
            <rFont val="Tahoma"/>
            <family val="2"/>
          </rPr>
          <t>Gantsoudes, Spencer (Research):</t>
        </r>
        <r>
          <rPr>
            <sz val="9"/>
            <color indexed="81"/>
            <rFont val="Tahoma"/>
            <family val="2"/>
          </rPr>
          <t xml:space="preserve">
-4.5% adjusted for colocation sale</t>
        </r>
      </text>
    </comment>
    <comment ref="CJ179" authorId="0">
      <text>
        <r>
          <rPr>
            <b/>
            <sz val="9"/>
            <color indexed="81"/>
            <rFont val="Tahoma"/>
            <family val="2"/>
          </rPr>
          <t>Gantsoudes, Spencer (Research):</t>
        </r>
        <r>
          <rPr>
            <sz val="9"/>
            <color indexed="81"/>
            <rFont val="Tahoma"/>
            <family val="2"/>
          </rPr>
          <t xml:space="preserve">
one time favorable settlement of ~$10m, all to EBITDA
ex $10m benefit
Y/Y Growth = 4.2%
Q/Q Growth = 0.4%</t>
        </r>
      </text>
    </comment>
    <comment ref="CJ180" authorId="0">
      <text>
        <r>
          <rPr>
            <b/>
            <sz val="9"/>
            <color indexed="81"/>
            <rFont val="Tahoma"/>
            <family val="2"/>
          </rPr>
          <t>Gantsoudes, Spencer (Research):</t>
        </r>
        <r>
          <rPr>
            <sz val="9"/>
            <color indexed="81"/>
            <rFont val="Tahoma"/>
            <family val="2"/>
          </rPr>
          <t xml:space="preserve">
</t>
        </r>
      </text>
    </comment>
    <comment ref="O205" authorId="1">
      <text>
        <r>
          <rPr>
            <b/>
            <sz val="8"/>
            <color indexed="81"/>
            <rFont val="Tahoma"/>
            <family val="2"/>
          </rPr>
          <t>warjohn:</t>
        </r>
        <r>
          <rPr>
            <sz val="8"/>
            <color indexed="81"/>
            <rFont val="Tahoma"/>
            <family val="2"/>
          </rPr>
          <t xml:space="preserve">
1Q13 CC: CTL anticipates ~$35M lower Data Integration Revenues due to anticipated lower CPE sales.</t>
        </r>
      </text>
    </comment>
    <comment ref="CB239" authorId="0">
      <text>
        <r>
          <rPr>
            <b/>
            <sz val="9"/>
            <color indexed="81"/>
            <rFont val="Tahoma"/>
            <family val="2"/>
          </rPr>
          <t>Gantsoudes, Spencer (Research):</t>
        </r>
        <r>
          <rPr>
            <sz val="9"/>
            <color indexed="81"/>
            <rFont val="Tahoma"/>
            <family val="2"/>
          </rPr>
          <t xml:space="preserve">
segment change 2q16, impacts 2q14+:
 Beginning second quarter 2016, private line (including special access) revenues were reclassified from strategic services to legacy services. All
historical periods have been restated to reflect this change.</t>
        </r>
      </text>
    </comment>
    <comment ref="CA240" authorId="0">
      <text>
        <r>
          <rPr>
            <b/>
            <sz val="9"/>
            <color indexed="81"/>
            <rFont val="Tahoma"/>
            <family val="2"/>
          </rPr>
          <t>Gantsoudes, Spencer (Research):</t>
        </r>
        <r>
          <rPr>
            <sz val="9"/>
            <color indexed="81"/>
            <rFont val="Tahoma"/>
            <family val="2"/>
          </rPr>
          <t xml:space="preserve">
$10M restatement in 1q15</t>
        </r>
      </text>
    </comment>
    <comment ref="CC240" authorId="0">
      <text>
        <r>
          <rPr>
            <b/>
            <sz val="9"/>
            <color indexed="81"/>
            <rFont val="Tahoma"/>
            <family val="2"/>
          </rPr>
          <t>Gantsoudes, Spencer (Research):</t>
        </r>
        <r>
          <rPr>
            <sz val="9"/>
            <color indexed="81"/>
            <rFont val="Tahoma"/>
            <family val="2"/>
          </rPr>
          <t xml:space="preserve">
restated -8m</t>
        </r>
      </text>
    </comment>
    <comment ref="CJ240" authorId="0">
      <text>
        <r>
          <rPr>
            <b/>
            <sz val="9"/>
            <color indexed="81"/>
            <rFont val="Tahoma"/>
            <family val="2"/>
          </rPr>
          <t>Gantsoudes, Spencer (Research):</t>
        </r>
        <r>
          <rPr>
            <sz val="9"/>
            <color indexed="81"/>
            <rFont val="Tahoma"/>
            <family val="2"/>
          </rPr>
          <t xml:space="preserve">
one time favorable settlement of ~$10m, all to EBITDA
ex $10m benefit
Y/Y Growth = 4.2%
Q/Q Growth = 0.4%</t>
        </r>
      </text>
    </comment>
    <comment ref="CJ241" authorId="0">
      <text>
        <r>
          <rPr>
            <b/>
            <sz val="9"/>
            <color indexed="81"/>
            <rFont val="Tahoma"/>
            <family val="2"/>
          </rPr>
          <t>Gantsoudes, Spencer (Research):</t>
        </r>
        <r>
          <rPr>
            <sz val="9"/>
            <color indexed="81"/>
            <rFont val="Tahoma"/>
            <family val="2"/>
          </rPr>
          <t xml:space="preserve">
</t>
        </r>
      </text>
    </comment>
    <comment ref="CA244" authorId="0">
      <text>
        <r>
          <rPr>
            <b/>
            <sz val="9"/>
            <color indexed="81"/>
            <rFont val="Tahoma"/>
            <family val="2"/>
          </rPr>
          <t>Gantsoudes, Spencer (Research):</t>
        </r>
        <r>
          <rPr>
            <sz val="9"/>
            <color indexed="81"/>
            <rFont val="Tahoma"/>
            <family val="2"/>
          </rPr>
          <t xml:space="preserve">
$10M restatement in 1q15</t>
        </r>
      </text>
    </comment>
    <comment ref="CC244" authorId="0">
      <text>
        <r>
          <rPr>
            <b/>
            <sz val="9"/>
            <color indexed="81"/>
            <rFont val="Tahoma"/>
            <family val="2"/>
          </rPr>
          <t>Gantsoudes, Spencer (Research):</t>
        </r>
        <r>
          <rPr>
            <sz val="9"/>
            <color indexed="81"/>
            <rFont val="Tahoma"/>
            <family val="2"/>
          </rPr>
          <t xml:space="preserve">
restated +8m</t>
        </r>
      </text>
    </comment>
    <comment ref="BV269" authorId="1">
      <text>
        <r>
          <rPr>
            <b/>
            <sz val="8"/>
            <color indexed="81"/>
            <rFont val="Tahoma"/>
            <family val="2"/>
          </rPr>
          <t>warjohn:</t>
        </r>
        <r>
          <rPr>
            <sz val="8"/>
            <color indexed="81"/>
            <rFont val="Tahoma"/>
            <family val="2"/>
          </rPr>
          <t xml:space="preserve">
Includes Ciber Global IT, Acquired 10/15/2012</t>
        </r>
      </text>
    </comment>
    <comment ref="BM282" authorId="4">
      <text>
        <r>
          <rPr>
            <b/>
            <sz val="8"/>
            <color indexed="81"/>
            <rFont val="Tahoma"/>
            <family val="2"/>
          </rPr>
          <t>Daniel Gaviria:</t>
        </r>
        <r>
          <rPr>
            <sz val="8"/>
            <color indexed="81"/>
            <rFont val="Tahoma"/>
            <family val="2"/>
          </rPr>
          <t xml:space="preserve">
UPDATED by CTL in 3Q11</t>
        </r>
      </text>
    </comment>
    <comment ref="CJ287" authorId="0">
      <text>
        <r>
          <rPr>
            <b/>
            <sz val="9"/>
            <color indexed="81"/>
            <rFont val="Tahoma"/>
            <family val="2"/>
          </rPr>
          <t>Gantsoudes, Spencer (Research):</t>
        </r>
        <r>
          <rPr>
            <sz val="9"/>
            <color indexed="81"/>
            <rFont val="Tahoma"/>
            <family val="2"/>
          </rPr>
          <t xml:space="preserve">
benefit from $10m one time settlement</t>
        </r>
      </text>
    </comment>
    <comment ref="CB293" authorId="0">
      <text>
        <r>
          <rPr>
            <b/>
            <sz val="9"/>
            <color indexed="81"/>
            <rFont val="Tahoma"/>
            <family val="2"/>
          </rPr>
          <t>Gantsoudes, Spencer (Research):</t>
        </r>
        <r>
          <rPr>
            <sz val="9"/>
            <color indexed="81"/>
            <rFont val="Tahoma"/>
            <family val="2"/>
          </rPr>
          <t xml:space="preserve">
segment change 2q16, impacts 2q14+:
 Beginning second quarter 2016, private line (including special access) revenues were reclassified from strategic services to legacy services. All
historical periods have been restated to reflect this change.</t>
        </r>
      </text>
    </comment>
    <comment ref="CB296" authorId="0">
      <text>
        <r>
          <rPr>
            <b/>
            <sz val="9"/>
            <color indexed="81"/>
            <rFont val="Tahoma"/>
            <family val="2"/>
          </rPr>
          <t>Gantsoudes, Spencer (Research):</t>
        </r>
        <r>
          <rPr>
            <sz val="9"/>
            <color indexed="81"/>
            <rFont val="Tahoma"/>
            <family val="2"/>
          </rPr>
          <t xml:space="preserve">
segment change 2q16, impacts 2q14+:
 Beginning second quarter 2016, private line (including special access) revenues were reclassified from strategic services to legacy services. All
historical periods have been restated to reflect this change.</t>
        </r>
      </text>
    </comment>
    <comment ref="CB302" authorId="0">
      <text>
        <r>
          <rPr>
            <b/>
            <sz val="9"/>
            <color indexed="81"/>
            <rFont val="Tahoma"/>
            <family val="2"/>
          </rPr>
          <t>Gantsoudes, Spencer (Research):</t>
        </r>
        <r>
          <rPr>
            <sz val="9"/>
            <color indexed="81"/>
            <rFont val="Tahoma"/>
            <family val="2"/>
          </rPr>
          <t xml:space="preserve">
segment change 2q16, impacts 2q14+:
 Beginning second quarter 2016, private line (including special access) revenues were reclassified from strategic services to legacy services. All
historical periods have been restated to reflect this change.</t>
        </r>
      </text>
    </comment>
    <comment ref="S355" authorId="0">
      <text>
        <r>
          <rPr>
            <b/>
            <sz val="9"/>
            <color indexed="81"/>
            <rFont val="Tahoma"/>
            <family val="2"/>
          </rPr>
          <t>Gantsoudes, Spencer (Research):</t>
        </r>
        <r>
          <rPr>
            <sz val="9"/>
            <color indexed="81"/>
            <rFont val="Tahoma"/>
            <family val="2"/>
          </rPr>
          <t xml:space="preserve">
data center sale</t>
        </r>
      </text>
    </comment>
    <comment ref="CG355" authorId="0">
      <text>
        <r>
          <rPr>
            <b/>
            <sz val="9"/>
            <color indexed="81"/>
            <rFont val="Tahoma"/>
            <family val="2"/>
          </rPr>
          <t>Gantsoudes, Spencer (Research):</t>
        </r>
        <r>
          <rPr>
            <sz val="9"/>
            <color indexed="81"/>
            <rFont val="Tahoma"/>
            <family val="2"/>
          </rPr>
          <t xml:space="preserve">
restatement 2q17, prior periods not restated</t>
        </r>
      </text>
    </comment>
    <comment ref="CN355" authorId="0">
      <text>
        <r>
          <rPr>
            <b/>
            <sz val="9"/>
            <color indexed="81"/>
            <rFont val="Tahoma"/>
            <family val="2"/>
          </rPr>
          <t xml:space="preserve">Gantsoudes, Spencer (Research):
</t>
        </r>
        <r>
          <rPr>
            <sz val="9"/>
            <color indexed="81"/>
            <rFont val="Tahoma"/>
            <family val="2"/>
          </rPr>
          <t xml:space="preserve">$100M impact from partial quarter of data center sale
2 months of impact approximates $100m </t>
        </r>
      </text>
    </comment>
    <comment ref="CI356" authorId="0">
      <text>
        <r>
          <rPr>
            <b/>
            <sz val="9"/>
            <color indexed="81"/>
            <rFont val="Tahoma"/>
            <family val="2"/>
          </rPr>
          <t>Gantsoudes, Spencer (Research):</t>
        </r>
        <r>
          <rPr>
            <sz val="9"/>
            <color indexed="81"/>
            <rFont val="Tahoma"/>
            <family val="2"/>
          </rPr>
          <t xml:space="preserve">
restatement 2q17, prior periods not restated</t>
        </r>
      </text>
    </comment>
    <comment ref="CJ356" authorId="0">
      <text>
        <r>
          <rPr>
            <b/>
            <sz val="9"/>
            <color indexed="81"/>
            <rFont val="Tahoma"/>
            <family val="2"/>
          </rPr>
          <t>Gantsoudes, Spencer (Research):</t>
        </r>
        <r>
          <rPr>
            <sz val="9"/>
            <color indexed="81"/>
            <rFont val="Tahoma"/>
            <family val="2"/>
          </rPr>
          <t xml:space="preserve">
restatement 2q17, prior periods not restated</t>
        </r>
      </text>
    </comment>
    <comment ref="CM364" authorId="0">
      <text>
        <r>
          <rPr>
            <b/>
            <sz val="9"/>
            <color indexed="81"/>
            <rFont val="Tahoma"/>
            <family val="2"/>
          </rPr>
          <t>Gantsoudes, Spencer (Research):</t>
        </r>
        <r>
          <rPr>
            <sz val="9"/>
            <color indexed="81"/>
            <rFont val="Tahoma"/>
            <family val="2"/>
          </rPr>
          <t xml:space="preserve">
"Consumer video revenues were down slightly year-over-year primarily due to the restructuring of one of our satellite TV agreements that lowered satellite video revenues in the first quarter by about $15 million."</t>
        </r>
      </text>
    </comment>
    <comment ref="CG376" authorId="0">
      <text>
        <r>
          <rPr>
            <b/>
            <sz val="9"/>
            <color indexed="81"/>
            <rFont val="Tahoma"/>
            <family val="2"/>
          </rPr>
          <t>Gantsoudes, Spencer (Research):</t>
        </r>
        <r>
          <rPr>
            <sz val="9"/>
            <color indexed="81"/>
            <rFont val="Tahoma"/>
            <family val="2"/>
          </rPr>
          <t xml:space="preserve">
restated 2q17</t>
        </r>
      </text>
    </comment>
    <comment ref="CI377" authorId="0">
      <text>
        <r>
          <rPr>
            <b/>
            <sz val="9"/>
            <color indexed="81"/>
            <rFont val="Tahoma"/>
            <family val="2"/>
          </rPr>
          <t>Gantsoudes, Spencer (Research):</t>
        </r>
        <r>
          <rPr>
            <sz val="9"/>
            <color indexed="81"/>
            <rFont val="Tahoma"/>
            <family val="2"/>
          </rPr>
          <t xml:space="preserve">
restatement 2q17, prior periods not restated</t>
        </r>
      </text>
    </comment>
    <comment ref="CJ377" authorId="0">
      <text>
        <r>
          <rPr>
            <b/>
            <sz val="9"/>
            <color indexed="81"/>
            <rFont val="Tahoma"/>
            <family val="2"/>
          </rPr>
          <t>Gantsoudes, Spencer (Research):</t>
        </r>
        <r>
          <rPr>
            <sz val="9"/>
            <color indexed="81"/>
            <rFont val="Tahoma"/>
            <family val="2"/>
          </rPr>
          <t xml:space="preserve">
restatement 2q17, prior periods not restated</t>
        </r>
      </text>
    </comment>
    <comment ref="CO385" authorId="0">
      <text>
        <r>
          <rPr>
            <b/>
            <sz val="9"/>
            <color indexed="81"/>
            <rFont val="Tahoma"/>
            <family val="2"/>
          </rPr>
          <t>Gantsoudes, Spencer (Research):</t>
        </r>
        <r>
          <rPr>
            <sz val="9"/>
            <color indexed="81"/>
            <rFont val="Tahoma"/>
            <family val="2"/>
          </rPr>
          <t xml:space="preserve">
should improve the $50m Q/Q decline</t>
        </r>
      </text>
    </comment>
    <comment ref="CE423" authorId="0">
      <text>
        <r>
          <rPr>
            <b/>
            <sz val="9"/>
            <color indexed="81"/>
            <rFont val="Tahoma"/>
            <family val="2"/>
          </rPr>
          <t>Gantsoudes, Spencer (Research):</t>
        </r>
        <r>
          <rPr>
            <sz val="9"/>
            <color indexed="81"/>
            <rFont val="Tahoma"/>
            <family val="2"/>
          </rPr>
          <t xml:space="preserve">
expenses resegmented 1Q17</t>
        </r>
      </text>
    </comment>
    <comment ref="CF423" authorId="0">
      <text>
        <r>
          <rPr>
            <b/>
            <sz val="9"/>
            <color indexed="81"/>
            <rFont val="Tahoma"/>
            <family val="2"/>
          </rPr>
          <t>Gantsoudes, Spencer (Research):</t>
        </r>
        <r>
          <rPr>
            <sz val="9"/>
            <color indexed="81"/>
            <rFont val="Tahoma"/>
            <family val="2"/>
          </rPr>
          <t xml:space="preserve">
expenses resegmented 1Q17</t>
        </r>
      </text>
    </comment>
    <comment ref="CG423" authorId="0">
      <text>
        <r>
          <rPr>
            <b/>
            <sz val="9"/>
            <color indexed="81"/>
            <rFont val="Tahoma"/>
            <family val="2"/>
          </rPr>
          <t>Gantsoudes, Spencer (Research):</t>
        </r>
        <r>
          <rPr>
            <sz val="9"/>
            <color indexed="81"/>
            <rFont val="Tahoma"/>
            <family val="2"/>
          </rPr>
          <t xml:space="preserve">
expenses resegmented 1Q17</t>
        </r>
      </text>
    </comment>
    <comment ref="CH423" authorId="0">
      <text>
        <r>
          <rPr>
            <b/>
            <sz val="9"/>
            <color indexed="81"/>
            <rFont val="Tahoma"/>
            <family val="2"/>
          </rPr>
          <t>Gantsoudes, Spencer (Research):</t>
        </r>
        <r>
          <rPr>
            <sz val="9"/>
            <color indexed="81"/>
            <rFont val="Tahoma"/>
            <family val="2"/>
          </rPr>
          <t xml:space="preserve">
expenses resegmented 1Q17</t>
        </r>
      </text>
    </comment>
  </commentList>
</comments>
</file>

<file path=xl/comments11.xml><?xml version="1.0" encoding="utf-8"?>
<comments xmlns="http://schemas.openxmlformats.org/spreadsheetml/2006/main">
  <authors>
    <author>warjohn</author>
    <author>Gantsoudes, Spencer (Research)</author>
  </authors>
  <commentList>
    <comment ref="X7" authorId="0">
      <text>
        <r>
          <rPr>
            <b/>
            <sz val="8"/>
            <color indexed="81"/>
            <rFont val="Tahoma"/>
            <family val="2"/>
          </rPr>
          <t>warjohn:</t>
        </r>
        <r>
          <rPr>
            <sz val="8"/>
            <color indexed="81"/>
            <rFont val="Tahoma"/>
            <family val="2"/>
          </rPr>
          <t xml:space="preserve">
On 3/12/12, CTL issued $650M of 7.65% notes due 2042 for proceeds of $644M and $1.4B of 5.8% notes due 2022 for 1.389B.</t>
        </r>
      </text>
    </comment>
    <comment ref="Z7" authorId="0">
      <text>
        <r>
          <rPr>
            <b/>
            <sz val="8"/>
            <color indexed="81"/>
            <rFont val="Tahoma"/>
            <family val="2"/>
          </rPr>
          <t>warjohn:</t>
        </r>
        <r>
          <rPr>
            <sz val="8"/>
            <color indexed="81"/>
            <rFont val="Tahoma"/>
            <family val="2"/>
          </rPr>
          <t xml:space="preserve">
On 8/15/12, CTL paid at maturity the $318M principal amount of its 7.875% notes.</t>
        </r>
      </text>
    </comment>
    <comment ref="AB7" authorId="0">
      <text>
        <r>
          <rPr>
            <b/>
            <sz val="8"/>
            <color indexed="81"/>
            <rFont val="Tahoma"/>
            <family val="2"/>
          </rPr>
          <t>warjohn:</t>
        </r>
        <r>
          <rPr>
            <sz val="8"/>
            <color indexed="81"/>
            <rFont val="Tahoma"/>
            <family val="2"/>
          </rPr>
          <t xml:space="preserve">
$1B issued 3/21/13 due 2020.  5.625%.  Proceeds of $988m.</t>
        </r>
      </text>
    </comment>
    <comment ref="AC7" authorId="0">
      <text>
        <r>
          <rPr>
            <b/>
            <sz val="8"/>
            <color indexed="81"/>
            <rFont val="Tahoma"/>
            <family val="2"/>
          </rPr>
          <t>warjohn:</t>
        </r>
        <r>
          <rPr>
            <sz val="8"/>
            <color indexed="81"/>
            <rFont val="Tahoma"/>
            <family val="2"/>
          </rPr>
          <t xml:space="preserve">
On 4/1/13, CenturyLink paid at maturity the 176M principal amount of its 5.5% notes</t>
        </r>
      </text>
    </comment>
    <comment ref="Y12" authorId="0">
      <text>
        <r>
          <rPr>
            <b/>
            <sz val="8"/>
            <color indexed="81"/>
            <rFont val="Tahoma"/>
            <family val="2"/>
          </rPr>
          <t>warjohn:</t>
        </r>
        <r>
          <rPr>
            <sz val="8"/>
            <color indexed="81"/>
            <rFont val="Tahoma"/>
            <family val="2"/>
          </rPr>
          <t xml:space="preserve">
On 4/2/12, CTL amended and restated 1.7B revolving credit facility to $2.0B expiring April 2017, from Jan. 2015.</t>
        </r>
      </text>
    </comment>
    <comment ref="N18" authorId="1">
      <text>
        <r>
          <rPr>
            <b/>
            <sz val="9"/>
            <color indexed="81"/>
            <rFont val="Tahoma"/>
            <family val="2"/>
          </rPr>
          <t>Gantsoudes, Spencer (Research):</t>
        </r>
        <r>
          <rPr>
            <sz val="9"/>
            <color indexed="81"/>
            <rFont val="Tahoma"/>
            <family val="2"/>
          </rPr>
          <t xml:space="preserve">
new term loan</t>
        </r>
      </text>
    </comment>
    <comment ref="O18" authorId="1">
      <text>
        <r>
          <rPr>
            <b/>
            <sz val="9"/>
            <color indexed="81"/>
            <rFont val="Tahoma"/>
            <family val="2"/>
          </rPr>
          <t>Gantsoudes, Spencer (Research):</t>
        </r>
        <r>
          <rPr>
            <sz val="9"/>
            <color indexed="81"/>
            <rFont val="Tahoma"/>
            <family val="2"/>
          </rPr>
          <t xml:space="preserve">
new term loan</t>
        </r>
      </text>
    </comment>
    <comment ref="Y18" authorId="0">
      <text>
        <r>
          <rPr>
            <b/>
            <sz val="8"/>
            <color indexed="81"/>
            <rFont val="Tahoma"/>
            <family val="2"/>
          </rPr>
          <t>warjohn:</t>
        </r>
        <r>
          <rPr>
            <sz val="8"/>
            <color indexed="81"/>
            <rFont val="Tahoma"/>
            <family val="2"/>
          </rPr>
          <t xml:space="preserve">
On 4/18/12 CTL entered into a term loan for $440M, for proceeds of $387M, payable in 29 consecutive quarterly installments of 5.5M principal plus intereest through 4/18/19.</t>
        </r>
      </text>
    </comment>
    <comment ref="X25" authorId="0">
      <text>
        <r>
          <rPr>
            <b/>
            <sz val="8"/>
            <color indexed="81"/>
            <rFont val="Tahoma"/>
            <family val="2"/>
          </rPr>
          <t>warjohn:</t>
        </r>
        <r>
          <rPr>
            <sz val="8"/>
            <color indexed="81"/>
            <rFont val="Tahoma"/>
            <family val="2"/>
          </rPr>
          <t xml:space="preserve">
On 3/1/12 QCII redeemed $800M of its 7.50% Notes due 2014</t>
        </r>
      </text>
    </comment>
    <comment ref="Y25" authorId="0">
      <text>
        <r>
          <rPr>
            <b/>
            <sz val="8"/>
            <color indexed="81"/>
            <rFont val="Tahoma"/>
            <family val="2"/>
          </rPr>
          <t>warjohn:</t>
        </r>
        <r>
          <rPr>
            <sz val="8"/>
            <color indexed="81"/>
            <rFont val="Tahoma"/>
            <family val="2"/>
          </rPr>
          <t xml:space="preserve">
On 4/2/12, QC issued 525M of 7.00% ntes due 2052 for proceeds of $508M.
On 4/18/12, Q completed a cash tender offer to purchas a portion of its $811M (received and accepted $575M for $722M) of 8.375% notes due 2016 and its $400M (received and accepted $308M for $369M) 7.625% notes due 2015.
On 5/17/12, QCII redeemed $500M of its 7.50% notes due 2014.
On 6/25, QC issued $400M of 7.00% notes due 2052, with proceeds of $387M.</t>
        </r>
      </text>
    </comment>
    <comment ref="Z25" authorId="0">
      <text>
        <r>
          <rPr>
            <b/>
            <sz val="8"/>
            <color indexed="81"/>
            <rFont val="Tahoma"/>
            <family val="2"/>
          </rPr>
          <t>warjohn:</t>
        </r>
        <r>
          <rPr>
            <sz val="8"/>
            <color indexed="81"/>
            <rFont val="Tahoma"/>
            <family val="2"/>
          </rPr>
          <t xml:space="preserve">
On 7/04, Qwest redeemed $484M of its 7.5% Notes due 2023</t>
        </r>
      </text>
    </comment>
    <comment ref="AA25" authorId="0">
      <text>
        <r>
          <rPr>
            <b/>
            <sz val="8"/>
            <color indexed="81"/>
            <rFont val="Tahoma"/>
            <family val="2"/>
          </rPr>
          <t>warjohn:</t>
        </r>
        <r>
          <rPr>
            <sz val="8"/>
            <color indexed="81"/>
            <rFont val="Tahoma"/>
            <family val="2"/>
          </rPr>
          <t xml:space="preserve">
On 10/26/12 QCII redeemed all $550M of its 8% notes due 2015, which resulted in a gain of $15M.</t>
        </r>
      </text>
    </comment>
    <comment ref="AC25" authorId="0">
      <text>
        <r>
          <rPr>
            <b/>
            <sz val="8"/>
            <color indexed="81"/>
            <rFont val="Tahoma"/>
            <family val="2"/>
          </rPr>
          <t>warjohn:</t>
        </r>
        <r>
          <rPr>
            <sz val="8"/>
            <color indexed="81"/>
            <rFont val="Tahoma"/>
            <family val="2"/>
          </rPr>
          <t xml:space="preserve">
On 5/23/13, QC issued $775M in 6.125% principal notes due 2053, including a $25M over-allottment option for underwriters</t>
        </r>
      </text>
    </comment>
    <comment ref="Y33" authorId="0">
      <text>
        <r>
          <rPr>
            <b/>
            <sz val="8"/>
            <color indexed="81"/>
            <rFont val="Tahoma"/>
            <family val="2"/>
          </rPr>
          <t>warjohn:</t>
        </r>
        <r>
          <rPr>
            <sz val="8"/>
            <color indexed="81"/>
            <rFont val="Tahoma"/>
            <family val="2"/>
          </rPr>
          <t xml:space="preserve">
On 4/2/12, Embarq completed a cash tender offer to purchase a portion of its $528M (received and accepted $328M for $360M) of 6.738% Notes due 2013 and $2.0B (received and accepted $816M for $944M) of 7.082% Notes due 2016.  The completion of these tender offers resulted in a loss of $144M.</t>
        </r>
      </text>
    </comment>
    <comment ref="AD38" authorId="0">
      <text>
        <r>
          <rPr>
            <b/>
            <sz val="8"/>
            <color indexed="81"/>
            <rFont val="Tahoma"/>
            <family val="2"/>
          </rPr>
          <t>warjohn:</t>
        </r>
        <r>
          <rPr>
            <sz val="8"/>
            <color indexed="81"/>
            <rFont val="Tahoma"/>
            <family val="2"/>
          </rPr>
          <t xml:space="preserve">
On 7/15/13, Embarq paid at maturity the $59M principal amount of its 6.875% notes</t>
        </r>
      </text>
    </comment>
    <comment ref="AD43" authorId="0">
      <text>
        <r>
          <rPr>
            <b/>
            <sz val="8"/>
            <color indexed="81"/>
            <rFont val="Tahoma"/>
            <family val="2"/>
          </rPr>
          <t>warjohn:</t>
        </r>
        <r>
          <rPr>
            <sz val="8"/>
            <color indexed="81"/>
            <rFont val="Tahoma"/>
            <family val="2"/>
          </rPr>
          <t xml:space="preserve">
On 8/15/13, Embarq paid at maturity the $50M principal amount of its 6.75% notes</t>
        </r>
      </text>
    </comment>
    <comment ref="Z51" authorId="0">
      <text>
        <r>
          <rPr>
            <b/>
            <sz val="8"/>
            <color indexed="81"/>
            <rFont val="Tahoma"/>
            <family val="2"/>
          </rPr>
          <t>warjohn:</t>
        </r>
        <r>
          <rPr>
            <sz val="8"/>
            <color indexed="81"/>
            <rFont val="Tahoma"/>
            <family val="2"/>
          </rPr>
          <t xml:space="preserve">
On 8/29/12, CTL paid $29M and $30M respectively to retire its outstanding Rural Utilities Service and Rural Telephone Bank.</t>
        </r>
      </text>
    </comment>
    <comment ref="AT73" authorId="1">
      <text>
        <r>
          <rPr>
            <b/>
            <sz val="9"/>
            <color indexed="81"/>
            <rFont val="Tahoma"/>
            <family val="2"/>
          </rPr>
          <t>Gantsoudes, Spencer (Research):</t>
        </r>
        <r>
          <rPr>
            <sz val="9"/>
            <color indexed="81"/>
            <rFont val="Tahoma"/>
            <family val="2"/>
          </rPr>
          <t xml:space="preserve">
per 10q</t>
        </r>
      </text>
    </comment>
    <comment ref="AU78" authorId="1">
      <text>
        <r>
          <rPr>
            <b/>
            <sz val="9"/>
            <color indexed="81"/>
            <rFont val="Tahoma"/>
            <family val="2"/>
          </rPr>
          <t>Gantsoudes, Spencer (Research):</t>
        </r>
        <r>
          <rPr>
            <sz val="9"/>
            <color indexed="81"/>
            <rFont val="Tahoma"/>
            <family val="2"/>
          </rPr>
          <t xml:space="preserve">
+$7m from LVLT</t>
        </r>
      </text>
    </comment>
    <comment ref="AQ81" authorId="1">
      <text>
        <r>
          <rPr>
            <b/>
            <sz val="9"/>
            <color indexed="81"/>
            <rFont val="Tahoma"/>
            <family val="2"/>
          </rPr>
          <t>Gantsoudes, Spencer (Research):</t>
        </r>
        <r>
          <rPr>
            <sz val="9"/>
            <color indexed="81"/>
            <rFont val="Tahoma"/>
            <family val="2"/>
          </rPr>
          <t xml:space="preserve">
= capital lease obligation associated with assets held for sale</t>
        </r>
      </text>
    </comment>
    <comment ref="AR81" authorId="1">
      <text>
        <r>
          <rPr>
            <b/>
            <sz val="9"/>
            <color indexed="81"/>
            <rFont val="Tahoma"/>
            <family val="2"/>
          </rPr>
          <t>Gantsoudes, Spencer (Research):</t>
        </r>
        <r>
          <rPr>
            <sz val="9"/>
            <color indexed="81"/>
            <rFont val="Tahoma"/>
            <family val="2"/>
          </rPr>
          <t xml:space="preserve">
= capital lease obligation associated with assets held for sale</t>
        </r>
      </text>
    </comment>
  </commentList>
</comments>
</file>

<file path=xl/comments12.xml><?xml version="1.0" encoding="utf-8"?>
<comments xmlns="http://schemas.openxmlformats.org/spreadsheetml/2006/main">
  <authors>
    <author>Armintas Sinkevicius</author>
  </authors>
  <commentList>
    <comment ref="C34" authorId="0">
      <text>
        <r>
          <rPr>
            <b/>
            <sz val="8"/>
            <color indexed="81"/>
            <rFont val="Tahoma"/>
            <family val="2"/>
          </rPr>
          <t>Armintas Sinkevicius:</t>
        </r>
        <r>
          <rPr>
            <sz val="8"/>
            <color indexed="81"/>
            <rFont val="Tahoma"/>
            <family val="2"/>
          </rPr>
          <t xml:space="preserve">
4Q10 at 100%
H.R. 4853</t>
        </r>
      </text>
    </comment>
    <comment ref="P86" authorId="0">
      <text>
        <r>
          <rPr>
            <b/>
            <sz val="8"/>
            <color indexed="81"/>
            <rFont val="Tahoma"/>
            <family val="2"/>
          </rPr>
          <t>Armintas Sinkevicius:</t>
        </r>
        <r>
          <rPr>
            <sz val="8"/>
            <color indexed="81"/>
            <rFont val="Tahoma"/>
            <family val="2"/>
          </rPr>
          <t xml:space="preserve">
1 if 50% bonus depreciation is extended for 2014</t>
        </r>
      </text>
    </comment>
    <comment ref="P88" authorId="0">
      <text>
        <r>
          <rPr>
            <b/>
            <sz val="8"/>
            <color indexed="81"/>
            <rFont val="Tahoma"/>
            <family val="2"/>
          </rPr>
          <t>Armintas Sinkevicius:</t>
        </r>
        <r>
          <rPr>
            <sz val="8"/>
            <color indexed="81"/>
            <rFont val="Tahoma"/>
            <family val="2"/>
          </rPr>
          <t xml:space="preserve">
1 if 50% bonus depreciation is extended for 2015</t>
        </r>
      </text>
    </comment>
  </commentList>
</comments>
</file>

<file path=xl/comments13.xml><?xml version="1.0" encoding="utf-8"?>
<comments xmlns="http://schemas.openxmlformats.org/spreadsheetml/2006/main">
  <authors>
    <author>Gantsoudes, Spencer (Research)</author>
  </authors>
  <commentList>
    <comment ref="B39" authorId="0">
      <text>
        <r>
          <rPr>
            <b/>
            <sz val="9"/>
            <color indexed="81"/>
            <rFont val="Tahoma"/>
            <family val="2"/>
          </rPr>
          <t>Gantsoudes, Spencer (Research):</t>
        </r>
        <r>
          <rPr>
            <sz val="9"/>
            <color indexed="81"/>
            <rFont val="Tahoma"/>
            <family val="2"/>
          </rPr>
          <t xml:space="preserve">
lowered full year guidance</t>
        </r>
      </text>
    </comment>
    <comment ref="I78" authorId="0">
      <text>
        <r>
          <rPr>
            <b/>
            <sz val="9"/>
            <color indexed="81"/>
            <rFont val="Tahoma"/>
            <family val="2"/>
          </rPr>
          <t>Gantsoudes, Spencer (Research):</t>
        </r>
        <r>
          <rPr>
            <sz val="9"/>
            <color indexed="81"/>
            <rFont val="Tahoma"/>
            <family val="2"/>
          </rPr>
          <t xml:space="preserve">
</t>
        </r>
      </text>
    </comment>
  </commentList>
</comments>
</file>

<file path=xl/comments14.xml><?xml version="1.0" encoding="utf-8"?>
<comments xmlns="http://schemas.openxmlformats.org/spreadsheetml/2006/main">
  <authors>
    <author>Daniel Gaviria</author>
    <author>dgaviria</author>
    <author>Hannah Morhaim</author>
    <author>borbonma</author>
    <author>wlsuch</author>
    <author>Smythra</author>
    <author>jessyau</author>
    <author>Raina Smyth</author>
    <author>smythra</author>
  </authors>
  <commentList>
    <comment ref="R34" authorId="0">
      <text>
        <r>
          <rPr>
            <b/>
            <sz val="8"/>
            <color indexed="81"/>
            <rFont val="Tahoma"/>
            <family val="2"/>
          </rPr>
          <t>Daniel Gaviria:</t>
        </r>
        <r>
          <rPr>
            <sz val="8"/>
            <color indexed="81"/>
            <rFont val="Tahoma"/>
            <family val="2"/>
          </rPr>
          <t xml:space="preserve">
Guidance (4Q09 call)
"Improving revenue comparisons over the course of 2010 with the Y/Y decline improving to a low-to mid-single digit rate by 4Q
</t>
        </r>
      </text>
    </comment>
    <comment ref="BV38" authorId="1">
      <text>
        <r>
          <rPr>
            <b/>
            <sz val="8"/>
            <color indexed="81"/>
            <rFont val="Tahoma"/>
            <family val="2"/>
          </rPr>
          <t>dgaviria:</t>
        </r>
        <r>
          <rPr>
            <sz val="8"/>
            <color indexed="81"/>
            <rFont val="Tahoma"/>
            <family val="2"/>
          </rPr>
          <t xml:space="preserve">
$40M in legal reserve</t>
        </r>
      </text>
    </comment>
    <comment ref="BX38" authorId="1">
      <text>
        <r>
          <rPr>
            <b/>
            <sz val="8"/>
            <color indexed="81"/>
            <rFont val="Tahoma"/>
            <family val="2"/>
          </rPr>
          <t>dgaviria:</t>
        </r>
        <r>
          <rPr>
            <sz val="8"/>
            <color indexed="81"/>
            <rFont val="Tahoma"/>
            <family val="2"/>
          </rPr>
          <t xml:space="preserve">
ex $353 in restructuring costs
</t>
        </r>
      </text>
    </comment>
    <comment ref="CF38" authorId="1">
      <text>
        <r>
          <rPr>
            <b/>
            <sz val="8"/>
            <color indexed="81"/>
            <rFont val="Tahoma"/>
            <family val="2"/>
          </rPr>
          <t>dgaviria:</t>
        </r>
        <r>
          <rPr>
            <sz val="8"/>
            <color indexed="81"/>
            <rFont val="Tahoma"/>
            <family val="2"/>
          </rPr>
          <t xml:space="preserve">
$16M in legal reserve</t>
        </r>
      </text>
    </comment>
    <comment ref="CH38" authorId="0">
      <text>
        <r>
          <rPr>
            <b/>
            <sz val="8"/>
            <color indexed="81"/>
            <rFont val="Tahoma"/>
            <family val="2"/>
          </rPr>
          <t>Daniel Gaviria:</t>
        </r>
        <r>
          <rPr>
            <sz val="8"/>
            <color indexed="81"/>
            <rFont val="Tahoma"/>
            <family val="2"/>
          </rPr>
          <t xml:space="preserve">
REPORTING CHANGED in 1Q11</t>
        </r>
      </text>
    </comment>
    <comment ref="CJ38" authorId="1">
      <text>
        <r>
          <rPr>
            <b/>
            <sz val="8"/>
            <color indexed="81"/>
            <rFont val="Tahoma"/>
            <family val="2"/>
          </rPr>
          <t>dgaviria:</t>
        </r>
        <r>
          <rPr>
            <sz val="8"/>
            <color indexed="81"/>
            <rFont val="Tahoma"/>
            <family val="2"/>
          </rPr>
          <t xml:space="preserve">
Excluding $15M in adjustment to prior period assessments in USF fees</t>
        </r>
      </text>
    </comment>
    <comment ref="CL38" authorId="0">
      <text>
        <r>
          <rPr>
            <b/>
            <sz val="8"/>
            <color indexed="81"/>
            <rFont val="Tahoma"/>
            <family val="2"/>
          </rPr>
          <t>Daniel Gaviria:</t>
        </r>
        <r>
          <rPr>
            <sz val="8"/>
            <color indexed="81"/>
            <rFont val="Tahoma"/>
            <family val="2"/>
          </rPr>
          <t xml:space="preserve">
REPORTING CHANGED in 1Q11</t>
        </r>
      </text>
    </comment>
    <comment ref="BZ41" authorId="1">
      <text>
        <r>
          <rPr>
            <b/>
            <sz val="8"/>
            <color indexed="81"/>
            <rFont val="Tahoma"/>
            <family val="2"/>
          </rPr>
          <t>dgaviria:</t>
        </r>
        <r>
          <rPr>
            <sz val="8"/>
            <color indexed="81"/>
            <rFont val="Tahoma"/>
            <family val="2"/>
          </rPr>
          <t xml:space="preserve">
ex $45 in realignement and severance related costs</t>
        </r>
      </text>
    </comment>
    <comment ref="CA41" authorId="1">
      <text>
        <r>
          <rPr>
            <b/>
            <sz val="8"/>
            <color indexed="81"/>
            <rFont val="Tahoma"/>
            <family val="2"/>
          </rPr>
          <t>dgaviria:</t>
        </r>
        <r>
          <rPr>
            <sz val="8"/>
            <color indexed="81"/>
            <rFont val="Tahoma"/>
            <family val="2"/>
          </rPr>
          <t xml:space="preserve">
ex $2 in realignement and severance costss</t>
        </r>
      </text>
    </comment>
    <comment ref="CB41" authorId="1">
      <text>
        <r>
          <rPr>
            <b/>
            <sz val="8"/>
            <color indexed="81"/>
            <rFont val="Tahoma"/>
            <family val="2"/>
          </rPr>
          <t>dgaviria:</t>
        </r>
        <r>
          <rPr>
            <sz val="8"/>
            <color indexed="81"/>
            <rFont val="Tahoma"/>
            <family val="2"/>
          </rPr>
          <t xml:space="preserve">
ex $30 in realignement and severance costss</t>
        </r>
      </text>
    </comment>
    <comment ref="CC41" authorId="1">
      <text>
        <r>
          <rPr>
            <b/>
            <sz val="8"/>
            <color indexed="81"/>
            <rFont val="Tahoma"/>
            <family val="2"/>
          </rPr>
          <t>dgaviria:</t>
        </r>
        <r>
          <rPr>
            <sz val="8"/>
            <color indexed="81"/>
            <rFont val="Tahoma"/>
            <family val="2"/>
          </rPr>
          <t xml:space="preserve">
ex $19 in realignement and severance costss</t>
        </r>
      </text>
    </comment>
    <comment ref="CD41" authorId="1">
      <text>
        <r>
          <rPr>
            <b/>
            <sz val="8"/>
            <color indexed="81"/>
            <rFont val="Tahoma"/>
            <family val="2"/>
          </rPr>
          <t>dgaviria:</t>
        </r>
        <r>
          <rPr>
            <sz val="8"/>
            <color indexed="81"/>
            <rFont val="Tahoma"/>
            <family val="2"/>
          </rPr>
          <t xml:space="preserve">
ex $23 in realignement and severance costss</t>
        </r>
      </text>
    </comment>
    <comment ref="CE41" authorId="1">
      <text>
        <r>
          <rPr>
            <b/>
            <sz val="8"/>
            <color indexed="81"/>
            <rFont val="Tahoma"/>
            <family val="2"/>
          </rPr>
          <t>dgaviria:</t>
        </r>
        <r>
          <rPr>
            <sz val="8"/>
            <color indexed="81"/>
            <rFont val="Tahoma"/>
            <family val="2"/>
          </rPr>
          <t xml:space="preserve">
ex $23 in realignement and severance costss</t>
        </r>
      </text>
    </comment>
    <comment ref="CF41" authorId="1">
      <text>
        <r>
          <rPr>
            <b/>
            <sz val="8"/>
            <color indexed="81"/>
            <rFont val="Tahoma"/>
            <family val="2"/>
          </rPr>
          <t>dgaviria:</t>
        </r>
        <r>
          <rPr>
            <sz val="8"/>
            <color indexed="81"/>
            <rFont val="Tahoma"/>
            <family val="2"/>
          </rPr>
          <t xml:space="preserve">
ex $11 in realignement and severance costss</t>
        </r>
      </text>
    </comment>
    <comment ref="CG41" authorId="1">
      <text>
        <r>
          <rPr>
            <b/>
            <sz val="8"/>
            <color indexed="81"/>
            <rFont val="Tahoma"/>
            <family val="2"/>
          </rPr>
          <t>dgaviria:</t>
        </r>
        <r>
          <rPr>
            <sz val="8"/>
            <color indexed="81"/>
            <rFont val="Tahoma"/>
            <family val="2"/>
          </rPr>
          <t xml:space="preserve">
ex $56 in realignement and severance costss</t>
        </r>
      </text>
    </comment>
    <comment ref="CH41" authorId="2">
      <text>
        <r>
          <rPr>
            <b/>
            <sz val="8"/>
            <color indexed="81"/>
            <rFont val="Tahoma"/>
            <family val="2"/>
          </rPr>
          <t>REPORTING CHANGED in 1Q11</t>
        </r>
        <r>
          <rPr>
            <sz val="8"/>
            <color indexed="81"/>
            <rFont val="Tahoma"/>
            <family val="2"/>
          </rPr>
          <t xml:space="preserve">
ex $11 in realignment and severance costs</t>
        </r>
      </text>
    </comment>
    <comment ref="CI41" authorId="3">
      <text>
        <r>
          <rPr>
            <b/>
            <sz val="8"/>
            <color indexed="81"/>
            <rFont val="Tahoma"/>
            <family val="2"/>
          </rPr>
          <t>borbonma:</t>
        </r>
        <r>
          <rPr>
            <sz val="8"/>
            <color indexed="81"/>
            <rFont val="Tahoma"/>
            <family val="2"/>
          </rPr>
          <t xml:space="preserve">
ex $7 in realignment and severance costs</t>
        </r>
      </text>
    </comment>
    <comment ref="CJ41" authorId="1">
      <text>
        <r>
          <rPr>
            <b/>
            <sz val="8"/>
            <color indexed="81"/>
            <rFont val="Tahoma"/>
            <family val="2"/>
          </rPr>
          <t>dgaviria:</t>
        </r>
        <r>
          <rPr>
            <sz val="8"/>
            <color indexed="81"/>
            <rFont val="Tahoma"/>
            <family val="2"/>
          </rPr>
          <t xml:space="preserve">
Includes $51M in realignment, severance and related costs
Includes $5M in merger related costs</t>
        </r>
      </text>
    </comment>
    <comment ref="CK41" authorId="0">
      <text>
        <r>
          <rPr>
            <b/>
            <sz val="8"/>
            <color indexed="81"/>
            <rFont val="Tahoma"/>
            <family val="2"/>
          </rPr>
          <t>Daniel Gaviria:</t>
        </r>
        <r>
          <rPr>
            <sz val="8"/>
            <color indexed="81"/>
            <rFont val="Tahoma"/>
            <family val="2"/>
          </rPr>
          <t xml:space="preserve">
ex
$19 legal reserve
$25 realignment and severance
$67 in accelerated stock based comp
$6 merger related costs</t>
        </r>
      </text>
    </comment>
    <comment ref="CL41" authorId="0">
      <text>
        <r>
          <rPr>
            <b/>
            <sz val="8"/>
            <color indexed="81"/>
            <rFont val="Tahoma"/>
            <family val="2"/>
          </rPr>
          <t>Daniel Gaviria:</t>
        </r>
        <r>
          <rPr>
            <sz val="8"/>
            <color indexed="81"/>
            <rFont val="Tahoma"/>
            <family val="2"/>
          </rPr>
          <t xml:space="preserve">
REPORTING CHANGED in 1Q11
EXCLUDES $14 in severance and merger related expense</t>
        </r>
      </text>
    </comment>
    <comment ref="P47" authorId="4">
      <text>
        <r>
          <rPr>
            <b/>
            <sz val="8"/>
            <color indexed="81"/>
            <rFont val="Tahoma"/>
            <family val="2"/>
          </rPr>
          <t>wlsuch:</t>
        </r>
        <r>
          <rPr>
            <sz val="8"/>
            <color indexed="81"/>
            <rFont val="Tahoma"/>
            <family val="2"/>
          </rPr>
          <t xml:space="preserve">
Guidance: Flat to modest EBITDA growth</t>
        </r>
      </text>
    </comment>
    <comment ref="Q47" authorId="0">
      <text>
        <r>
          <rPr>
            <b/>
            <sz val="8"/>
            <color indexed="81"/>
            <rFont val="Tahoma"/>
            <family val="2"/>
          </rPr>
          <t>Daniel Gaviria:</t>
        </r>
        <r>
          <rPr>
            <sz val="8"/>
            <color indexed="81"/>
            <rFont val="Tahoma"/>
            <family val="2"/>
          </rPr>
          <t xml:space="preserve">
Guidance (2Q09 call) $4.25-$4.4B including pension impact ~$220M non cash pension impact…
3Q09 Call: upper end of range for full year
</t>
        </r>
      </text>
    </comment>
    <comment ref="R47" authorId="0">
      <text>
        <r>
          <rPr>
            <b/>
            <sz val="8"/>
            <color indexed="81"/>
            <rFont val="Tahoma"/>
            <family val="2"/>
          </rPr>
          <t>Daniel Gaviria:</t>
        </r>
        <r>
          <rPr>
            <sz val="8"/>
            <color indexed="81"/>
            <rFont val="Tahoma"/>
            <family val="2"/>
          </rPr>
          <t xml:space="preserve">
Guidance (4Q09 call)
 $4.3-$4.4B including pension impact ~$130M non cash pension impact…
</t>
        </r>
      </text>
    </comment>
    <comment ref="BM47" authorId="5">
      <text>
        <r>
          <rPr>
            <b/>
            <sz val="10"/>
            <color indexed="8"/>
            <rFont val="Tahoma"/>
            <family val="2"/>
          </rPr>
          <t>Smythra:</t>
        </r>
        <r>
          <rPr>
            <sz val="10"/>
            <color indexed="8"/>
            <rFont val="Tahoma"/>
            <family val="2"/>
          </rPr>
          <t xml:space="preserve">
this includes a net $20 m benefit in accrual true-ups and restructuring charges. 10K said restructuring was $54 m (in SGA) so true-ups must have been $74 m benefit</t>
        </r>
      </text>
    </comment>
    <comment ref="P50" authorId="0">
      <text>
        <r>
          <rPr>
            <b/>
            <sz val="8"/>
            <color indexed="81"/>
            <rFont val="Tahoma"/>
            <family val="2"/>
          </rPr>
          <t>Daniel Gaviria:</t>
        </r>
        <r>
          <rPr>
            <sz val="8"/>
            <color indexed="81"/>
            <rFont val="Tahoma"/>
            <family val="2"/>
          </rPr>
          <t xml:space="preserve">
From 1Q08 call:
"As productivity from our expanded sales force increases and our brand
development efforts mature we expect to continue toward our goal of mid-30% margins."</t>
        </r>
      </text>
    </comment>
    <comment ref="O51" authorId="4">
      <text>
        <r>
          <rPr>
            <b/>
            <sz val="8"/>
            <color indexed="8"/>
            <rFont val="Tahoma"/>
            <family val="2"/>
          </rPr>
          <t>wlsuch:</t>
        </r>
        <r>
          <rPr>
            <sz val="8"/>
            <color indexed="8"/>
            <rFont val="Tahoma"/>
            <family val="2"/>
          </rPr>
          <t xml:space="preserve">
3Q07 call: Incremental EBITDA is expected around $250mn</t>
        </r>
      </text>
    </comment>
    <comment ref="CI62" authorId="1">
      <text>
        <r>
          <rPr>
            <b/>
            <sz val="8"/>
            <color indexed="81"/>
            <rFont val="Tahoma"/>
            <family val="2"/>
          </rPr>
          <t>dgaviria:</t>
        </r>
        <r>
          <rPr>
            <sz val="8"/>
            <color indexed="81"/>
            <rFont val="Tahoma"/>
            <family val="2"/>
          </rPr>
          <t xml:space="preserve">
The current quarter also includes a $21 million pre- and post-tax gain on the convertible debt.</t>
        </r>
      </text>
    </comment>
    <comment ref="CJ62" authorId="1">
      <text>
        <r>
          <rPr>
            <b/>
            <sz val="8"/>
            <color indexed="81"/>
            <rFont val="Tahoma"/>
            <family val="2"/>
          </rPr>
          <t>dgaviria:</t>
        </r>
        <r>
          <rPr>
            <sz val="8"/>
            <color indexed="81"/>
            <rFont val="Tahoma"/>
            <family val="2"/>
          </rPr>
          <t xml:space="preserve">
Excludes $229M in loss on early retirement of debt</t>
        </r>
      </text>
    </comment>
    <comment ref="CK62" authorId="0">
      <text>
        <r>
          <rPr>
            <b/>
            <sz val="8"/>
            <color indexed="81"/>
            <rFont val="Tahoma"/>
            <family val="2"/>
          </rPr>
          <t>Daniel Gaviria:</t>
        </r>
        <r>
          <rPr>
            <sz val="8"/>
            <color indexed="81"/>
            <rFont val="Tahoma"/>
            <family val="2"/>
          </rPr>
          <t xml:space="preserve">
Excludes $267 in loss on early retirement of debt</t>
        </r>
      </text>
    </comment>
    <comment ref="BU65" authorId="6">
      <text>
        <r>
          <rPr>
            <b/>
            <sz val="8"/>
            <color indexed="8"/>
            <rFont val="Tahoma"/>
            <family val="2"/>
          </rPr>
          <t>jessyau:</t>
        </r>
        <r>
          <rPr>
            <sz val="8"/>
            <color indexed="8"/>
            <rFont val="Tahoma"/>
            <family val="2"/>
          </rPr>
          <t xml:space="preserve">
Does not includes $65mn of one time gain on sale of assets (real estate sale in December)</t>
        </r>
      </text>
    </comment>
    <comment ref="BV65" authorId="7">
      <text>
        <r>
          <rPr>
            <b/>
            <sz val="8"/>
            <color indexed="8"/>
            <rFont val="Tahoma"/>
            <family val="2"/>
          </rPr>
          <t>Raina Smyth:</t>
        </r>
        <r>
          <rPr>
            <sz val="8"/>
            <color indexed="8"/>
            <rFont val="Tahoma"/>
            <family val="2"/>
          </rPr>
          <t xml:space="preserve">
from 1Q07 10Q: Other—net. Other—net includes, among other things, interest income and other interest expense (such as interest on income taxes). The income in 2006 was primarily related to the recognition of a gain on a customer’s abandonment of an indefeasible right of use and other non-recurring items.</t>
        </r>
      </text>
    </comment>
    <comment ref="BW65" authorId="0">
      <text>
        <r>
          <rPr>
            <b/>
            <sz val="8"/>
            <color indexed="8"/>
            <rFont val="Tahoma"/>
            <family val="2"/>
          </rPr>
          <t>Daniel Gaviria:</t>
        </r>
        <r>
          <rPr>
            <sz val="8"/>
            <color indexed="8"/>
            <rFont val="Tahoma"/>
            <family val="2"/>
          </rPr>
          <t xml:space="preserve">
Does not include $22 mn in early retirement of debt</t>
        </r>
      </text>
    </comment>
    <comment ref="BY65" authorId="4">
      <text>
        <r>
          <rPr>
            <b/>
            <sz val="8"/>
            <color indexed="81"/>
            <rFont val="Tahoma"/>
            <family val="2"/>
          </rPr>
          <t>wlsuch:</t>
        </r>
        <r>
          <rPr>
            <sz val="8"/>
            <color indexed="81"/>
            <rFont val="Tahoma"/>
            <family val="2"/>
          </rPr>
          <t xml:space="preserve">
Includes $4mn in loss on early retirement of debt and $6mn in gain on sale of assets</t>
        </r>
      </text>
    </comment>
    <comment ref="BT75" authorId="4">
      <text>
        <r>
          <rPr>
            <b/>
            <sz val="8"/>
            <color indexed="81"/>
            <rFont val="Tahoma"/>
            <family val="2"/>
          </rPr>
          <t>wlsuch:</t>
        </r>
        <r>
          <rPr>
            <sz val="8"/>
            <color indexed="81"/>
            <rFont val="Tahoma"/>
            <family val="2"/>
          </rPr>
          <t xml:space="preserve">
Adjusting for $43mn in legal reserves and $92mn in tax sharing settlements</t>
        </r>
      </text>
    </comment>
    <comment ref="BU75" authorId="4">
      <text>
        <r>
          <rPr>
            <b/>
            <sz val="8"/>
            <color indexed="81"/>
            <rFont val="Tahoma"/>
            <family val="2"/>
          </rPr>
          <t>wlsuch:</t>
        </r>
        <r>
          <rPr>
            <sz val="8"/>
            <color indexed="81"/>
            <rFont val="Tahoma"/>
            <family val="2"/>
          </rPr>
          <t xml:space="preserve">
Adjusting for the $65mn in gain on sale of investments</t>
        </r>
      </text>
    </comment>
    <comment ref="BW75" authorId="4">
      <text>
        <r>
          <rPr>
            <b/>
            <sz val="8"/>
            <color indexed="81"/>
            <rFont val="Tahoma"/>
            <family val="2"/>
          </rPr>
          <t>wlsuch:</t>
        </r>
        <r>
          <rPr>
            <sz val="8"/>
            <color indexed="81"/>
            <rFont val="Tahoma"/>
            <family val="2"/>
          </rPr>
          <t xml:space="preserve">
Adjusting for $22mn in loss on early retirement on debt</t>
        </r>
      </text>
    </comment>
    <comment ref="BX75" authorId="4">
      <text>
        <r>
          <rPr>
            <b/>
            <sz val="8"/>
            <color indexed="81"/>
            <rFont val="Tahoma"/>
            <family val="2"/>
          </rPr>
          <t>wlsuch:</t>
        </r>
        <r>
          <rPr>
            <sz val="8"/>
            <color indexed="81"/>
            <rFont val="Tahoma"/>
            <family val="2"/>
          </rPr>
          <t xml:space="preserve">
Adjusting for $2149mn in income-tax benefit</t>
        </r>
      </text>
    </comment>
    <comment ref="BY75" authorId="4">
      <text>
        <r>
          <rPr>
            <b/>
            <sz val="8"/>
            <color indexed="81"/>
            <rFont val="Tahoma"/>
            <family val="2"/>
          </rPr>
          <t>wlsuch:</t>
        </r>
        <r>
          <rPr>
            <sz val="8"/>
            <color indexed="81"/>
            <rFont val="Tahoma"/>
            <family val="2"/>
          </rPr>
          <t xml:space="preserve">
Adjusting for  $106mn in income-tax benefit</t>
        </r>
      </text>
    </comment>
    <comment ref="CE75" authorId="1">
      <text>
        <r>
          <rPr>
            <b/>
            <sz val="8"/>
            <color indexed="81"/>
            <rFont val="Tahoma"/>
            <family val="2"/>
          </rPr>
          <t>dgaviria:</t>
        </r>
        <r>
          <rPr>
            <sz val="8"/>
            <color indexed="81"/>
            <rFont val="Tahoma"/>
            <family val="2"/>
          </rPr>
          <t xml:space="preserve">
$83M in previously unrecognized tax benefits</t>
        </r>
      </text>
    </comment>
    <comment ref="CH75" authorId="2">
      <text>
        <r>
          <rPr>
            <b/>
            <sz val="8"/>
            <color indexed="81"/>
            <rFont val="Tahoma"/>
            <family val="2"/>
          </rPr>
          <t>Hannah Morhaim:</t>
        </r>
        <r>
          <rPr>
            <sz val="8"/>
            <color indexed="81"/>
            <rFont val="Tahoma"/>
            <family val="2"/>
          </rPr>
          <t xml:space="preserve">
- $11mn realigment, severance and related costs
- ($113mn) Disallowance for federal income tax deductions
- $42mn loss on early retirement of debt</t>
        </r>
      </text>
    </comment>
    <comment ref="CI75" authorId="3">
      <text>
        <r>
          <rPr>
            <b/>
            <sz val="8"/>
            <color indexed="81"/>
            <rFont val="Tahoma"/>
            <family val="2"/>
          </rPr>
          <t>The current quarter includes pre-tax charges of $8 million for severance and realignment and $27 million for merger-related expenses. The current quarter also includes a $21 million pre- and post-tax gain on the convertible debt.</t>
        </r>
      </text>
    </comment>
    <comment ref="BZ77" authorId="0">
      <text>
        <r>
          <rPr>
            <b/>
            <sz val="8"/>
            <color indexed="81"/>
            <rFont val="Tahoma"/>
            <family val="2"/>
          </rPr>
          <t>Daniel Gaviria:</t>
        </r>
        <r>
          <rPr>
            <sz val="8"/>
            <color indexed="81"/>
            <rFont val="Tahoma"/>
            <family val="2"/>
          </rPr>
          <t xml:space="preserve">
Our effective income tax rate was 39% and 1% for the three months ended March 31, 2008 and 2007, respectively. The increase in our effective income tax rate is due to the reversal of our valuation allowance in the third quarter of 2007. We currently expect that going forward our effective income tax rate will be in the range of 37% to 39% of income before income taxes excluding any impacts that are due to changes to our estimated liability for uncertain tax
positions.</t>
        </r>
      </text>
    </comment>
    <comment ref="CA77" authorId="4">
      <text>
        <r>
          <rPr>
            <b/>
            <sz val="8"/>
            <color indexed="81"/>
            <rFont val="Tahoma"/>
            <family val="2"/>
          </rPr>
          <t>wlsuch:</t>
        </r>
        <r>
          <rPr>
            <sz val="8"/>
            <color indexed="81"/>
            <rFont val="Tahoma"/>
            <family val="2"/>
          </rPr>
          <t xml:space="preserve">
1Q08 call: Tax rate betweem 37% to 39%</t>
        </r>
      </text>
    </comment>
    <comment ref="CH90" authorId="2">
      <text>
        <r>
          <rPr>
            <b/>
            <sz val="8"/>
            <color indexed="81"/>
            <rFont val="Tahoma"/>
            <family val="2"/>
          </rPr>
          <t>Hannah Morhaim:</t>
        </r>
        <r>
          <rPr>
            <sz val="8"/>
            <color indexed="81"/>
            <rFont val="Tahoma"/>
            <family val="2"/>
          </rPr>
          <t xml:space="preserve">
reported with adjustments= $0.10</t>
        </r>
      </text>
    </comment>
    <comment ref="BU94" authorId="6">
      <text>
        <r>
          <rPr>
            <b/>
            <sz val="8"/>
            <color indexed="8"/>
            <rFont val="Tahoma"/>
            <family val="2"/>
          </rPr>
          <t>jessyau:</t>
        </r>
        <r>
          <rPr>
            <sz val="8"/>
            <color indexed="8"/>
            <rFont val="Tahoma"/>
            <family val="2"/>
          </rPr>
          <t xml:space="preserve">
Oct. 4- announced $2bn stock buyback program over next two years</t>
        </r>
      </text>
    </comment>
    <comment ref="BZ94" authorId="4">
      <text>
        <r>
          <rPr>
            <b/>
            <sz val="8"/>
            <color indexed="81"/>
            <rFont val="Tahoma"/>
            <family val="2"/>
          </rPr>
          <t>dgaviria</t>
        </r>
        <r>
          <rPr>
            <sz val="8"/>
            <color indexed="81"/>
            <rFont val="Tahoma"/>
            <family val="2"/>
          </rPr>
          <t xml:space="preserve">
From 10Q</t>
        </r>
      </text>
    </comment>
    <comment ref="BQ110" authorId="8">
      <text>
        <r>
          <rPr>
            <b/>
            <sz val="8"/>
            <color indexed="8"/>
            <rFont val="Tahoma"/>
            <family val="2"/>
          </rPr>
          <t>smythra:</t>
        </r>
        <r>
          <rPr>
            <sz val="8"/>
            <color indexed="8"/>
            <rFont val="Tahoma"/>
            <family val="2"/>
          </rPr>
          <t xml:space="preserve">
change in acct. principle</t>
        </r>
      </text>
    </comment>
    <comment ref="CH110" authorId="2">
      <text>
        <r>
          <rPr>
            <b/>
            <sz val="8"/>
            <color indexed="81"/>
            <rFont val="Tahoma"/>
            <family val="2"/>
          </rPr>
          <t>Hannah Morhaim:</t>
        </r>
        <r>
          <rPr>
            <sz val="8"/>
            <color indexed="81"/>
            <rFont val="Tahoma"/>
            <family val="2"/>
          </rPr>
          <t xml:space="preserve">
disallowance for federal income tax deductions</t>
        </r>
      </text>
    </comment>
    <comment ref="BN113" authorId="5">
      <text>
        <r>
          <rPr>
            <b/>
            <sz val="10"/>
            <color indexed="8"/>
            <rFont val="Tahoma"/>
            <family val="2"/>
          </rPr>
          <t>Smythra:</t>
        </r>
        <r>
          <rPr>
            <sz val="10"/>
            <color indexed="8"/>
            <rFont val="Tahoma"/>
            <family val="2"/>
          </rPr>
          <t xml:space="preserve">
gain on sale of wireless assets to VZ, net of tax impact</t>
        </r>
      </text>
    </comment>
    <comment ref="BO113" authorId="8">
      <text>
        <r>
          <rPr>
            <b/>
            <sz val="10"/>
            <color indexed="8"/>
            <rFont val="Tahoma"/>
            <family val="2"/>
          </rPr>
          <t>smythra:</t>
        </r>
        <r>
          <rPr>
            <sz val="10"/>
            <color indexed="8"/>
            <rFont val="Tahoma"/>
            <family val="2"/>
          </rPr>
          <t xml:space="preserve">
loss on early retirement of debt</t>
        </r>
      </text>
    </comment>
    <comment ref="BQ113" authorId="4">
      <text>
        <r>
          <rPr>
            <b/>
            <sz val="8"/>
            <color indexed="8"/>
            <rFont val="Tahoma"/>
            <family val="2"/>
          </rPr>
          <t>wlsuch:</t>
        </r>
        <r>
          <rPr>
            <sz val="8"/>
            <color indexed="8"/>
            <rFont val="Tahoma"/>
            <family val="2"/>
          </rPr>
          <t xml:space="preserve">
$430 mn loss in early extinguishment of debt and $6mn in gain on sale of assets </t>
        </r>
      </text>
    </comment>
    <comment ref="BU113" authorId="4">
      <text>
        <r>
          <rPr>
            <b/>
            <sz val="8"/>
            <color indexed="8"/>
            <rFont val="Tahoma"/>
            <family val="2"/>
          </rPr>
          <t xml:space="preserve">wlsuch:
</t>
        </r>
        <r>
          <rPr>
            <sz val="8"/>
            <color indexed="8"/>
            <rFont val="Tahoma"/>
            <family val="2"/>
          </rPr>
          <t>Gain on sale of assets</t>
        </r>
      </text>
    </comment>
    <comment ref="BW113" authorId="8">
      <text>
        <r>
          <rPr>
            <b/>
            <sz val="10"/>
            <color indexed="8"/>
            <rFont val="Tahoma"/>
            <family val="2"/>
          </rPr>
          <t>smythra:</t>
        </r>
        <r>
          <rPr>
            <sz val="10"/>
            <color indexed="8"/>
            <rFont val="Tahoma"/>
            <family val="2"/>
          </rPr>
          <t xml:space="preserve">
loss on early retirement of debt</t>
        </r>
      </text>
    </comment>
    <comment ref="BV114" authorId="4">
      <text>
        <r>
          <rPr>
            <b/>
            <sz val="8"/>
            <color indexed="81"/>
            <rFont val="Tahoma"/>
            <family val="2"/>
          </rPr>
          <t>wlsuch:</t>
        </r>
        <r>
          <rPr>
            <sz val="8"/>
            <color indexed="81"/>
            <rFont val="Tahoma"/>
            <family val="2"/>
          </rPr>
          <t xml:space="preserve">
$40mn in legal reserve</t>
        </r>
      </text>
    </comment>
    <comment ref="BX114" authorId="4">
      <text>
        <r>
          <rPr>
            <b/>
            <sz val="8"/>
            <color indexed="8"/>
            <rFont val="Tahoma"/>
            <family val="2"/>
          </rPr>
          <t>wlsuch:</t>
        </r>
        <r>
          <rPr>
            <sz val="8"/>
            <color indexed="8"/>
            <rFont val="Tahoma"/>
            <family val="2"/>
          </rPr>
          <t xml:space="preserve">
Litigation charges</t>
        </r>
      </text>
    </comment>
    <comment ref="BP116" authorId="4">
      <text>
        <r>
          <rPr>
            <b/>
            <sz val="8"/>
            <color indexed="8"/>
            <rFont val="Tahoma"/>
            <family val="2"/>
          </rPr>
          <t>wlsuch:</t>
        </r>
        <r>
          <rPr>
            <sz val="8"/>
            <color indexed="8"/>
            <rFont val="Tahoma"/>
            <family val="2"/>
          </rPr>
          <t xml:space="preserve">
$26mn in restructuring costs</t>
        </r>
      </text>
    </comment>
    <comment ref="BQ116" authorId="8">
      <text>
        <r>
          <rPr>
            <b/>
            <sz val="8"/>
            <color indexed="8"/>
            <rFont val="Tahoma"/>
            <family val="2"/>
          </rPr>
          <t>smythra:</t>
        </r>
        <r>
          <rPr>
            <sz val="8"/>
            <color indexed="8"/>
            <rFont val="Tahoma"/>
            <family val="2"/>
          </rPr>
          <t xml:space="preserve">
$430 M loss on debt extinguishment</t>
        </r>
      </text>
    </comment>
    <comment ref="BR116" authorId="4">
      <text>
        <r>
          <rPr>
            <b/>
            <sz val="8"/>
            <color indexed="8"/>
            <rFont val="Tahoma"/>
            <family val="2"/>
          </rPr>
          <t>wlsuch:</t>
        </r>
        <r>
          <rPr>
            <sz val="8"/>
            <color indexed="8"/>
            <rFont val="Tahoma"/>
            <family val="2"/>
          </rPr>
          <t xml:space="preserve">
$22mn in restructuring costs</t>
        </r>
      </text>
    </comment>
    <comment ref="BT116" authorId="4">
      <text>
        <r>
          <rPr>
            <b/>
            <sz val="8"/>
            <color indexed="8"/>
            <rFont val="Tahoma"/>
            <family val="2"/>
          </rPr>
          <t>wlsuch:</t>
        </r>
        <r>
          <rPr>
            <sz val="8"/>
            <color indexed="8"/>
            <rFont val="Tahoma"/>
            <family val="2"/>
          </rPr>
          <t xml:space="preserve">
$43mn charges in legal reserve and $92mn in tax-sharing settlement</t>
        </r>
      </text>
    </comment>
    <comment ref="BX116" authorId="4">
      <text>
        <r>
          <rPr>
            <b/>
            <sz val="8"/>
            <color indexed="8"/>
            <rFont val="Tahoma"/>
            <family val="2"/>
          </rPr>
          <t>wlsuch:</t>
        </r>
        <r>
          <rPr>
            <sz val="8"/>
            <color indexed="8"/>
            <rFont val="Tahoma"/>
            <family val="2"/>
          </rPr>
          <t xml:space="preserve">
Income tax benefit</t>
        </r>
      </text>
    </comment>
    <comment ref="BY116" authorId="4">
      <text>
        <r>
          <rPr>
            <b/>
            <sz val="8"/>
            <color indexed="81"/>
            <rFont val="Tahoma"/>
            <family val="2"/>
          </rPr>
          <t>wlsuch:</t>
        </r>
        <r>
          <rPr>
            <sz val="8"/>
            <color indexed="81"/>
            <rFont val="Tahoma"/>
            <family val="2"/>
          </rPr>
          <t xml:space="preserve">
Income tax benefit</t>
        </r>
      </text>
    </comment>
    <comment ref="BZ116" authorId="4">
      <text>
        <r>
          <rPr>
            <b/>
            <sz val="8"/>
            <color indexed="81"/>
            <rFont val="Tahoma"/>
            <family val="2"/>
          </rPr>
          <t>wlsuch:</t>
        </r>
        <r>
          <rPr>
            <sz val="8"/>
            <color indexed="81"/>
            <rFont val="Tahoma"/>
            <family val="2"/>
          </rPr>
          <t xml:space="preserve">
$45mn in realignment, severance and related payments</t>
        </r>
      </text>
    </comment>
    <comment ref="CH116" authorId="2">
      <text>
        <r>
          <rPr>
            <b/>
            <sz val="8"/>
            <color indexed="81"/>
            <rFont val="Tahoma"/>
            <family val="2"/>
          </rPr>
          <t>Hannah Morhaim:</t>
        </r>
        <r>
          <rPr>
            <sz val="8"/>
            <color indexed="81"/>
            <rFont val="Tahoma"/>
            <family val="2"/>
          </rPr>
          <t xml:space="preserve">
- $11mn realigment, severance and related costs
- $42mn loss on early retirement of debt</t>
        </r>
      </text>
    </comment>
    <comment ref="CI116" authorId="3">
      <text>
        <r>
          <rPr>
            <b/>
            <sz val="8"/>
            <color indexed="81"/>
            <rFont val="Tahoma"/>
            <family val="2"/>
          </rPr>
          <t>borbonma:</t>
        </r>
        <r>
          <rPr>
            <sz val="8"/>
            <color indexed="81"/>
            <rFont val="Tahoma"/>
            <family val="2"/>
          </rPr>
          <t xml:space="preserve">
-$7 severance costs (Source: 1Q10 10-Q, page 18 (23 pdf format)) 
</t>
        </r>
      </text>
    </comment>
    <comment ref="CJ116" authorId="3">
      <text>
        <r>
          <rPr>
            <b/>
            <sz val="8"/>
            <color indexed="81"/>
            <rFont val="Tahoma"/>
            <family val="2"/>
          </rPr>
          <t>borbonma:</t>
        </r>
        <r>
          <rPr>
            <sz val="8"/>
            <color indexed="81"/>
            <rFont val="Tahoma"/>
            <family val="2"/>
          </rPr>
          <t xml:space="preserve">
-$7 severance costs (Source: 1Q10 10-Q, page 18 (23 pdf format)) 
</t>
        </r>
      </text>
    </comment>
  </commentList>
</comments>
</file>

<file path=xl/comments15.xml><?xml version="1.0" encoding="utf-8"?>
<comments xmlns="http://schemas.openxmlformats.org/spreadsheetml/2006/main">
  <authors>
    <author>jessyau</author>
    <author>wlsuch</author>
    <author>smythra</author>
    <author>Daniel Gaviria</author>
    <author>katzedwa</author>
    <author>dgaviria</author>
  </authors>
  <commentList>
    <comment ref="BT32" authorId="0">
      <text>
        <r>
          <rPr>
            <b/>
            <sz val="8"/>
            <color indexed="8"/>
            <rFont val="Tahoma"/>
            <family val="2"/>
          </rPr>
          <t>jessyau:</t>
        </r>
        <r>
          <rPr>
            <sz val="8"/>
            <color indexed="8"/>
            <rFont val="Tahoma"/>
            <family val="2"/>
          </rPr>
          <t xml:space="preserve">
Places $600mn 7.5% note, called remaining $500mn floating T/L maturing in June 07 (L+475). Also reiterated intention to pay maturity of $485mn on August 15, 06, with cash. </t>
        </r>
      </text>
    </comment>
    <comment ref="BY32" authorId="1">
      <text>
        <r>
          <rPr>
            <b/>
            <sz val="8"/>
            <color indexed="8"/>
            <rFont val="Tahoma"/>
            <family val="2"/>
          </rPr>
          <t>wlsuch:</t>
        </r>
        <r>
          <rPr>
            <sz val="8"/>
            <color indexed="8"/>
            <rFont val="Tahoma"/>
            <family val="2"/>
          </rPr>
          <t xml:space="preserve">
3Q07 call: "Since the quarter end we have paid off an additional $250 million in high coupon debt"</t>
        </r>
      </text>
    </comment>
    <comment ref="N41" authorId="2">
      <text>
        <r>
          <rPr>
            <b/>
            <sz val="10"/>
            <color indexed="8"/>
            <rFont val="Tahoma"/>
            <family val="2"/>
          </rPr>
          <t>smythra:</t>
        </r>
        <r>
          <rPr>
            <sz val="10"/>
            <color indexed="8"/>
            <rFont val="Tahoma"/>
            <family val="2"/>
          </rPr>
          <t xml:space="preserve">
Nov 05 announced refinancing of $3 B in debt via $2 B cash repurchase and $1.1 B new issue</t>
        </r>
      </text>
    </comment>
    <comment ref="BQ41" authorId="2">
      <text>
        <r>
          <rPr>
            <b/>
            <sz val="10"/>
            <color indexed="8"/>
            <rFont val="Tahoma"/>
            <family val="2"/>
          </rPr>
          <t>smythra:</t>
        </r>
        <r>
          <rPr>
            <sz val="10"/>
            <color indexed="8"/>
            <rFont val="Tahoma"/>
            <family val="2"/>
          </rPr>
          <t xml:space="preserve">
Issuing $1 B in new debt and using addl. $2B cash to refinance $3B in debt</t>
        </r>
      </text>
    </comment>
    <comment ref="BT41" authorId="0">
      <text>
        <r>
          <rPr>
            <b/>
            <sz val="8"/>
            <color indexed="8"/>
            <rFont val="Tahoma"/>
            <family val="2"/>
          </rPr>
          <t>jessyau:</t>
        </r>
        <r>
          <rPr>
            <sz val="8"/>
            <color indexed="8"/>
            <rFont val="Tahoma"/>
            <family val="2"/>
          </rPr>
          <t xml:space="preserve">
Places $600mn 7.5% note, called remaining $500mn floating T/L maturing in June 07 (L+475). Also reiterated intention to pay maturity of $485mn on August 15, 06, with cash. </t>
        </r>
      </text>
    </comment>
    <comment ref="BU41" authorId="2">
      <text>
        <r>
          <rPr>
            <b/>
            <sz val="10"/>
            <color indexed="8"/>
            <rFont val="Tahoma"/>
            <family val="2"/>
          </rPr>
          <t>smythra:</t>
        </r>
        <r>
          <rPr>
            <sz val="10"/>
            <color indexed="8"/>
            <rFont val="Tahoma"/>
            <family val="2"/>
          </rPr>
          <t xml:space="preserve">
Nov 05 announced refinancing of $3 B in debt via $2 B cash repurchase and $1.1 B new issue</t>
        </r>
      </text>
    </comment>
    <comment ref="BU52" authorId="0">
      <text>
        <r>
          <rPr>
            <b/>
            <sz val="8"/>
            <color indexed="8"/>
            <rFont val="Tahoma"/>
            <family val="2"/>
          </rPr>
          <t>jessyau:</t>
        </r>
        <r>
          <rPr>
            <sz val="8"/>
            <color indexed="8"/>
            <rFont val="Tahoma"/>
            <family val="2"/>
          </rPr>
          <t xml:space="preserve">
Oct. 4- announced $2bn stock buyback program over next two years</t>
        </r>
      </text>
    </comment>
    <comment ref="CA53" authorId="3">
      <text>
        <r>
          <rPr>
            <b/>
            <sz val="8"/>
            <color indexed="8"/>
            <rFont val="Tahoma"/>
            <family val="2"/>
          </rPr>
          <t>Daniel Gaviria:</t>
        </r>
        <r>
          <rPr>
            <sz val="8"/>
            <color indexed="8"/>
            <rFont val="Tahoma"/>
            <family val="2"/>
          </rPr>
          <t xml:space="preserve">
Includes a $63M in settlement payments ($190 for the remainder of the year)
</t>
        </r>
        <r>
          <rPr>
            <b/>
            <sz val="8"/>
            <color indexed="8"/>
            <rFont val="Tahoma"/>
            <family val="2"/>
          </rPr>
          <t>From 1Q08 call</t>
        </r>
        <r>
          <rPr>
            <sz val="8"/>
            <color indexed="8"/>
            <rFont val="Tahoma"/>
            <family val="2"/>
          </rPr>
          <t xml:space="preserve">
"We anticipate making payments in the remaining nine months of 2008 totaling approximately $90 million related to settlements we reached in 2007 with a number of persons that were excluded from the settlement class for the consolidated securities action. Additionally, we anticipate that in the remaining nine months of 2008 we will make net payments of approximately $100 million related to tax settlements for prior periods."</t>
        </r>
      </text>
    </comment>
    <comment ref="CB53" authorId="3">
      <text>
        <r>
          <rPr>
            <b/>
            <sz val="8"/>
            <color indexed="8"/>
            <rFont val="Tahoma"/>
            <family val="2"/>
          </rPr>
          <t>Daniel Gaviria:</t>
        </r>
        <r>
          <rPr>
            <sz val="8"/>
            <color indexed="8"/>
            <rFont val="Tahoma"/>
            <family val="2"/>
          </rPr>
          <t xml:space="preserve">
Includes a $63M in settlement payments ($190 for the remainder of the year)
</t>
        </r>
        <r>
          <rPr>
            <b/>
            <sz val="8"/>
            <color indexed="8"/>
            <rFont val="Tahoma"/>
            <family val="2"/>
          </rPr>
          <t>From 1Q08 call</t>
        </r>
        <r>
          <rPr>
            <sz val="8"/>
            <color indexed="8"/>
            <rFont val="Tahoma"/>
            <family val="2"/>
          </rPr>
          <t xml:space="preserve">
"We anticipate making payments in the remaining nine months of 2008 totaling approximately $90 million related to settlements we reached in 2007 with a number of persons that were excluded from the settlement class for the consolidated securities action. Additionally, we anticipate that in the remaining nine months of 2008 we will make net payments of approximately $100 million related to tax settlements for prior periods."</t>
        </r>
      </text>
    </comment>
    <comment ref="N82" authorId="2">
      <text>
        <r>
          <rPr>
            <b/>
            <sz val="10"/>
            <color indexed="8"/>
            <rFont val="Tahoma"/>
            <family val="2"/>
          </rPr>
          <t>smythra:</t>
        </r>
        <r>
          <rPr>
            <sz val="10"/>
            <color indexed="8"/>
            <rFont val="Tahoma"/>
            <family val="2"/>
          </rPr>
          <t xml:space="preserve">
Nov. 05: refinanced $3 B in debt via $1B new issue and $2 B cash; Q exp int. exp $300 MM lower, though interest income down $50 MM
2004 10K: As of December 31, 2004 and 2003, approximately $2.0 billion of floating-rate debt was exposed to changes in interest rates. This exposure is linked to LIBOR. A hypothetical increase of 100 basis points in LIBOR rates would increase annual pre-tax interest expense by $20 million.</t>
        </r>
      </text>
    </comment>
    <comment ref="BP82" authorId="2">
      <text>
        <r>
          <rPr>
            <b/>
            <sz val="10"/>
            <color indexed="8"/>
            <rFont val="Tahoma"/>
            <family val="2"/>
          </rPr>
          <t>smythra:</t>
        </r>
        <r>
          <rPr>
            <sz val="10"/>
            <color indexed="8"/>
            <rFont val="Tahoma"/>
            <family val="2"/>
          </rPr>
          <t xml:space="preserve">
debt refinancing about neutral but won't pay int fees which should amount to about $15 m in 2H</t>
        </r>
      </text>
    </comment>
    <comment ref="BT82" authorId="0">
      <text>
        <r>
          <rPr>
            <b/>
            <sz val="8"/>
            <color indexed="8"/>
            <rFont val="Tahoma"/>
            <family val="2"/>
          </rPr>
          <t>jessyau:</t>
        </r>
        <r>
          <rPr>
            <sz val="8"/>
            <color indexed="8"/>
            <rFont val="Tahoma"/>
            <family val="2"/>
          </rPr>
          <t xml:space="preserve">
Places $600mn 7.5% note, called remaining $500mn floating T/L maturing in June 07. Also reiterated intention to pay maturity of $485mn on August 15, 06, with cash.
IR - ~$10mn annual interest savings</t>
        </r>
      </text>
    </comment>
    <comment ref="BY82" authorId="1">
      <text>
        <r>
          <rPr>
            <b/>
            <sz val="8"/>
            <color indexed="8"/>
            <rFont val="Tahoma"/>
            <family val="2"/>
          </rPr>
          <t>wlsuch:</t>
        </r>
        <r>
          <rPr>
            <sz val="8"/>
            <color indexed="8"/>
            <rFont val="Tahoma"/>
            <family val="2"/>
          </rPr>
          <t xml:space="preserve">
3Q07 call: "We have paid off an additional $250 million in high coupon debt, continuing to reduce future interest expense</t>
        </r>
      </text>
    </comment>
    <comment ref="A84" authorId="3">
      <text>
        <r>
          <rPr>
            <b/>
            <sz val="8"/>
            <color indexed="81"/>
            <rFont val="Tahoma"/>
            <family val="2"/>
          </rPr>
          <t>Daniel Gaviria:</t>
        </r>
        <r>
          <rPr>
            <sz val="8"/>
            <color indexed="81"/>
            <rFont val="Tahoma"/>
            <family val="2"/>
          </rPr>
          <t xml:space="preserve">
I want to also point out that beginning in 2009, we will be reporting additional interest expense
related to our 3.5% convertible notes due to the adoption of FSP APB 14-1. This will result in noncash
interest expense of approximately $50 million annually or a drag of $0.02 per diluted share.
This change will also result in the reduction of $100 million of reported debt associated with this
convertible note as of January 1.</t>
        </r>
      </text>
    </comment>
    <comment ref="A85" authorId="3">
      <text>
        <r>
          <rPr>
            <b/>
            <sz val="8"/>
            <color indexed="81"/>
            <rFont val="Tahoma"/>
            <family val="2"/>
          </rPr>
          <t>Daniel Gaviria:</t>
        </r>
        <r>
          <rPr>
            <sz val="8"/>
            <color indexed="81"/>
            <rFont val="Tahoma"/>
            <family val="2"/>
          </rPr>
          <t xml:space="preserve">
I want to also point out that beginning in 2009, we will be reporting additional interest expense
related to our 3.5% convertible notes due to the adoption of FSP APB 14-1. This will result in noncash
interest expense of approximately $50 million annually or a drag of $0.02 per diluted share.
This change will also result in the reduction of $100 million of reported debt associated with this
convertible note as of January 1.</t>
        </r>
      </text>
    </comment>
    <comment ref="A125" authorId="4">
      <text>
        <r>
          <rPr>
            <b/>
            <sz val="8"/>
            <color indexed="81"/>
            <rFont val="Tahoma"/>
            <family val="2"/>
          </rPr>
          <t>katzedwa:</t>
        </r>
        <r>
          <rPr>
            <sz val="8"/>
            <color indexed="81"/>
            <rFont val="Tahoma"/>
            <family val="2"/>
          </rPr>
          <t xml:space="preserve">
Redeemed on January 2, 2009</t>
        </r>
      </text>
    </comment>
    <comment ref="S126" authorId="4">
      <text>
        <r>
          <rPr>
            <b/>
            <sz val="8"/>
            <color indexed="81"/>
            <rFont val="Tahoma"/>
            <family val="2"/>
          </rPr>
          <t>katzedwa:</t>
        </r>
        <r>
          <rPr>
            <sz val="8"/>
            <color indexed="81"/>
            <rFont val="Tahoma"/>
            <family val="2"/>
          </rPr>
          <t xml:space="preserve">
Assume refi at 9%</t>
        </r>
      </text>
    </comment>
    <comment ref="V127" authorId="4">
      <text>
        <r>
          <rPr>
            <b/>
            <sz val="8"/>
            <color indexed="81"/>
            <rFont val="Tahoma"/>
            <family val="2"/>
          </rPr>
          <t>katzedwa:</t>
        </r>
        <r>
          <rPr>
            <sz val="8"/>
            <color indexed="81"/>
            <rFont val="Tahoma"/>
            <family val="2"/>
          </rPr>
          <t xml:space="preserve">
Assume refi at 9%</t>
        </r>
      </text>
    </comment>
    <comment ref="R128" authorId="4">
      <text>
        <r>
          <rPr>
            <b/>
            <sz val="8"/>
            <color indexed="81"/>
            <rFont val="Tahoma"/>
            <family val="2"/>
          </rPr>
          <t>katzedwa:</t>
        </r>
        <r>
          <rPr>
            <sz val="8"/>
            <color indexed="81"/>
            <rFont val="Tahoma"/>
            <family val="2"/>
          </rPr>
          <t xml:space="preserve">
Refi at beginning of 2Q10 at 10%</t>
        </r>
      </text>
    </comment>
    <comment ref="CJ128" authorId="4">
      <text>
        <r>
          <rPr>
            <b/>
            <sz val="8"/>
            <color indexed="81"/>
            <rFont val="Tahoma"/>
            <family val="2"/>
          </rPr>
          <t>katzedwa:</t>
        </r>
        <r>
          <rPr>
            <sz val="8"/>
            <color indexed="81"/>
            <rFont val="Tahoma"/>
            <family val="2"/>
          </rPr>
          <t xml:space="preserve">
Refi at 10%</t>
        </r>
      </text>
    </comment>
    <comment ref="CI129" authorId="5">
      <text>
        <r>
          <rPr>
            <b/>
            <sz val="8"/>
            <color indexed="81"/>
            <rFont val="Tahoma"/>
            <family val="2"/>
          </rPr>
          <t>dgaviria:</t>
        </r>
        <r>
          <rPr>
            <sz val="8"/>
            <color indexed="81"/>
            <rFont val="Tahoma"/>
            <family val="2"/>
          </rPr>
          <t xml:space="preserve">
The notes bear an interest rate of 8.000 percent per annum, payable semi-annually on Apr 1 and Oct. 1, and the first interest payment date will be Apr. 1, 2010.
</t>
        </r>
      </text>
    </comment>
    <comment ref="S134" authorId="4">
      <text>
        <r>
          <rPr>
            <b/>
            <sz val="8"/>
            <color indexed="81"/>
            <rFont val="Tahoma"/>
            <family val="2"/>
          </rPr>
          <t>katzedwa:</t>
        </r>
        <r>
          <rPr>
            <sz val="8"/>
            <color indexed="81"/>
            <rFont val="Tahoma"/>
            <family val="2"/>
          </rPr>
          <t xml:space="preserve">
Refi at 9%</t>
        </r>
      </text>
    </comment>
    <comment ref="S142" authorId="4">
      <text>
        <r>
          <rPr>
            <b/>
            <sz val="8"/>
            <color indexed="81"/>
            <rFont val="Tahoma"/>
            <family val="2"/>
          </rPr>
          <t>katzedwa:</t>
        </r>
        <r>
          <rPr>
            <sz val="8"/>
            <color indexed="81"/>
            <rFont val="Tahoma"/>
            <family val="2"/>
          </rPr>
          <t xml:space="preserve">
Assume refi at 9%</t>
        </r>
      </text>
    </comment>
    <comment ref="T143" authorId="4">
      <text>
        <r>
          <rPr>
            <b/>
            <sz val="8"/>
            <color indexed="81"/>
            <rFont val="Tahoma"/>
            <family val="2"/>
          </rPr>
          <t>katzedwa:</t>
        </r>
        <r>
          <rPr>
            <sz val="8"/>
            <color indexed="81"/>
            <rFont val="Tahoma"/>
            <family val="2"/>
          </rPr>
          <t xml:space="preserve">
Assume refi at 9%</t>
        </r>
      </text>
    </comment>
    <comment ref="B144" authorId="4">
      <text>
        <r>
          <rPr>
            <b/>
            <sz val="8"/>
            <color indexed="81"/>
            <rFont val="Tahoma"/>
            <family val="2"/>
          </rPr>
          <t>katzedwa:</t>
        </r>
        <r>
          <rPr>
            <sz val="8"/>
            <color indexed="81"/>
            <rFont val="Tahoma"/>
            <family val="2"/>
          </rPr>
          <t xml:space="preserve">
Assumed</t>
        </r>
      </text>
    </comment>
    <comment ref="U144" authorId="4">
      <text>
        <r>
          <rPr>
            <b/>
            <sz val="8"/>
            <color indexed="81"/>
            <rFont val="Tahoma"/>
            <family val="2"/>
          </rPr>
          <t>katzedwa:</t>
        </r>
        <r>
          <rPr>
            <sz val="8"/>
            <color indexed="81"/>
            <rFont val="Tahoma"/>
            <family val="2"/>
          </rPr>
          <t xml:space="preserve">
Assume refi at 9%</t>
        </r>
      </text>
    </comment>
    <comment ref="CG148" authorId="5">
      <text>
        <r>
          <rPr>
            <b/>
            <sz val="8"/>
            <color indexed="81"/>
            <rFont val="Tahoma"/>
            <family val="2"/>
          </rPr>
          <t>dgaviria:</t>
        </r>
        <r>
          <rPr>
            <sz val="8"/>
            <color indexed="81"/>
            <rFont val="Tahoma"/>
            <family val="2"/>
          </rPr>
          <t xml:space="preserve">
The notes bear an interest rate of 8.375 percent per annum, payable semi-annually on May 1 and Nov. 1, and the first interest payment date will be Nov. 1, 2009.
</t>
        </r>
      </text>
    </comment>
    <comment ref="A172" authorId="4">
      <text>
        <r>
          <rPr>
            <b/>
            <sz val="8"/>
            <color indexed="81"/>
            <rFont val="Tahoma"/>
            <family val="2"/>
          </rPr>
          <t>katzedwa:</t>
        </r>
        <r>
          <rPr>
            <sz val="8"/>
            <color indexed="81"/>
            <rFont val="Tahoma"/>
            <family val="2"/>
          </rPr>
          <t xml:space="preserve">
Redeemed on January 2, 2009</t>
        </r>
      </text>
    </comment>
    <comment ref="CD174" authorId="4">
      <text>
        <r>
          <rPr>
            <b/>
            <sz val="8"/>
            <color indexed="81"/>
            <rFont val="Tahoma"/>
            <family val="2"/>
          </rPr>
          <t>katzedwa:</t>
        </r>
        <r>
          <rPr>
            <sz val="8"/>
            <color indexed="81"/>
            <rFont val="Tahoma"/>
            <family val="2"/>
          </rPr>
          <t xml:space="preserve">
Redemption (actual) on January 2, 2009</t>
        </r>
      </text>
    </comment>
    <comment ref="P175" authorId="4">
      <text>
        <r>
          <rPr>
            <b/>
            <sz val="8"/>
            <color indexed="81"/>
            <rFont val="Tahoma"/>
            <family val="2"/>
          </rPr>
          <t>katzedwa:</t>
        </r>
        <r>
          <rPr>
            <sz val="8"/>
            <color indexed="81"/>
            <rFont val="Tahoma"/>
            <family val="2"/>
          </rPr>
          <t xml:space="preserve">
Issued on June 10, 2005</t>
        </r>
      </text>
    </comment>
    <comment ref="S179" authorId="4">
      <text>
        <r>
          <rPr>
            <b/>
            <sz val="8"/>
            <color indexed="81"/>
            <rFont val="Tahoma"/>
            <family val="2"/>
          </rPr>
          <t>katzedwa:</t>
        </r>
        <r>
          <rPr>
            <sz val="8"/>
            <color indexed="81"/>
            <rFont val="Tahoma"/>
            <family val="2"/>
          </rPr>
          <t xml:space="preserve">
Coming due February 15, 2011</t>
        </r>
      </text>
    </comment>
    <comment ref="P180" authorId="4">
      <text>
        <r>
          <rPr>
            <b/>
            <sz val="8"/>
            <color indexed="81"/>
            <rFont val="Tahoma"/>
            <family val="2"/>
          </rPr>
          <t>katzedwa:</t>
        </r>
        <r>
          <rPr>
            <sz val="8"/>
            <color indexed="81"/>
            <rFont val="Tahoma"/>
            <family val="2"/>
          </rPr>
          <t xml:space="preserve">
Issued January 30, 2004</t>
        </r>
      </text>
    </comment>
    <comment ref="S180" authorId="4">
      <text>
        <r>
          <rPr>
            <b/>
            <sz val="8"/>
            <color indexed="81"/>
            <rFont val="Tahoma"/>
            <family val="2"/>
          </rPr>
          <t>katzedwa:</t>
        </r>
        <r>
          <rPr>
            <sz val="8"/>
            <color indexed="81"/>
            <rFont val="Tahoma"/>
            <family val="2"/>
          </rPr>
          <t xml:space="preserve">
Assume refi at 9%</t>
        </r>
      </text>
    </comment>
    <comment ref="V184" authorId="4">
      <text>
        <r>
          <rPr>
            <b/>
            <sz val="8"/>
            <color indexed="81"/>
            <rFont val="Tahoma"/>
            <family val="2"/>
          </rPr>
          <t>katzedwa:</t>
        </r>
        <r>
          <rPr>
            <sz val="8"/>
            <color indexed="81"/>
            <rFont val="Tahoma"/>
            <family val="2"/>
          </rPr>
          <t xml:space="preserve">
Coming due February 15, 2014</t>
        </r>
      </text>
    </comment>
    <comment ref="P185" authorId="4">
      <text>
        <r>
          <rPr>
            <b/>
            <sz val="8"/>
            <color indexed="81"/>
            <rFont val="Tahoma"/>
            <family val="2"/>
          </rPr>
          <t>katzedwa:</t>
        </r>
        <r>
          <rPr>
            <sz val="8"/>
            <color indexed="81"/>
            <rFont val="Tahoma"/>
            <family val="2"/>
          </rPr>
          <t xml:space="preserve">
$500M issued January 30, 2004; $800M issued June 8, 2005</t>
        </r>
      </text>
    </comment>
    <comment ref="V185" authorId="4">
      <text>
        <r>
          <rPr>
            <b/>
            <sz val="8"/>
            <color indexed="81"/>
            <rFont val="Tahoma"/>
            <family val="2"/>
          </rPr>
          <t>katzedwa:</t>
        </r>
        <r>
          <rPr>
            <sz val="8"/>
            <color indexed="81"/>
            <rFont val="Tahoma"/>
            <family val="2"/>
          </rPr>
          <t xml:space="preserve">
Assume refi at 9%</t>
        </r>
      </text>
    </comment>
    <comment ref="CJ189" authorId="4">
      <text>
        <r>
          <rPr>
            <b/>
            <sz val="8"/>
            <color indexed="81"/>
            <rFont val="Tahoma"/>
            <family val="2"/>
          </rPr>
          <t>katzedwa:</t>
        </r>
        <r>
          <rPr>
            <sz val="8"/>
            <color indexed="81"/>
            <rFont val="Tahoma"/>
            <family val="2"/>
          </rPr>
          <t xml:space="preserve">
Coming due 11/15/2025, Puttable on 11/15/2010, 11/13/2015, 11/13/2020</t>
        </r>
      </text>
    </comment>
    <comment ref="P190" authorId="4">
      <text>
        <r>
          <rPr>
            <b/>
            <sz val="8"/>
            <color indexed="81"/>
            <rFont val="Tahoma"/>
            <family val="2"/>
          </rPr>
          <t>katzedwa:</t>
        </r>
        <r>
          <rPr>
            <sz val="8"/>
            <color indexed="81"/>
            <rFont val="Tahoma"/>
            <family val="2"/>
          </rPr>
          <t xml:space="preserve">
Issued November 8, 2005</t>
        </r>
      </text>
    </comment>
    <comment ref="CJ190" authorId="4">
      <text>
        <r>
          <rPr>
            <b/>
            <sz val="8"/>
            <color indexed="81"/>
            <rFont val="Tahoma"/>
            <family val="2"/>
          </rPr>
          <t>katzedwa:</t>
        </r>
        <r>
          <rPr>
            <sz val="8"/>
            <color indexed="81"/>
            <rFont val="Tahoma"/>
            <family val="2"/>
          </rPr>
          <t xml:space="preserve">
Assume refi at 12%</t>
        </r>
      </text>
    </comment>
    <comment ref="W194" authorId="5">
      <text>
        <r>
          <rPr>
            <b/>
            <sz val="8"/>
            <color indexed="81"/>
            <rFont val="Tahoma"/>
            <family val="2"/>
          </rPr>
          <t>dgaviria:</t>
        </r>
        <r>
          <rPr>
            <sz val="8"/>
            <color indexed="81"/>
            <rFont val="Tahoma"/>
            <family val="2"/>
          </rPr>
          <t xml:space="preserve">
Due Oct 1 2015</t>
        </r>
      </text>
    </comment>
    <comment ref="CF194" authorId="5">
      <text>
        <r>
          <rPr>
            <b/>
            <sz val="8"/>
            <color indexed="81"/>
            <rFont val="Tahoma"/>
            <family val="2"/>
          </rPr>
          <t>dgaviria:</t>
        </r>
        <r>
          <rPr>
            <sz val="8"/>
            <color indexed="81"/>
            <rFont val="Tahoma"/>
            <family val="2"/>
          </rPr>
          <t xml:space="preserve">
Issued Sep 17 2009</t>
        </r>
      </text>
    </comment>
    <comment ref="P205" authorId="4">
      <text>
        <r>
          <rPr>
            <b/>
            <sz val="8"/>
            <color indexed="81"/>
            <rFont val="Tahoma"/>
            <family val="2"/>
          </rPr>
          <t>katzedwa:</t>
        </r>
        <r>
          <rPr>
            <sz val="8"/>
            <color indexed="81"/>
            <rFont val="Tahoma"/>
            <family val="2"/>
          </rPr>
          <t xml:space="preserve">
Issued July 30, 2001</t>
        </r>
      </text>
    </comment>
    <comment ref="CJ209" authorId="4">
      <text>
        <r>
          <rPr>
            <b/>
            <sz val="8"/>
            <color indexed="81"/>
            <rFont val="Tahoma"/>
            <family val="2"/>
          </rPr>
          <t>katzedwa:</t>
        </r>
        <r>
          <rPr>
            <sz val="8"/>
            <color indexed="81"/>
            <rFont val="Tahoma"/>
            <family val="2"/>
          </rPr>
          <t xml:space="preserve">
Coming due August 15, 2010</t>
        </r>
      </text>
    </comment>
    <comment ref="P210" authorId="4">
      <text>
        <r>
          <rPr>
            <b/>
            <sz val="8"/>
            <color indexed="81"/>
            <rFont val="Tahoma"/>
            <family val="2"/>
          </rPr>
          <t>katzedwa:</t>
        </r>
        <r>
          <rPr>
            <sz val="8"/>
            <color indexed="81"/>
            <rFont val="Tahoma"/>
            <family val="2"/>
          </rPr>
          <t xml:space="preserve">
Issued August 21, 2000</t>
        </r>
      </text>
    </comment>
    <comment ref="S214" authorId="4">
      <text>
        <r>
          <rPr>
            <b/>
            <sz val="8"/>
            <color indexed="81"/>
            <rFont val="Tahoma"/>
            <family val="2"/>
          </rPr>
          <t>katzedwa:</t>
        </r>
        <r>
          <rPr>
            <sz val="8"/>
            <color indexed="81"/>
            <rFont val="Tahoma"/>
            <family val="2"/>
          </rPr>
          <t xml:space="preserve">
Coming due February 15, 2011</t>
        </r>
      </text>
    </comment>
    <comment ref="P215" authorId="4">
      <text>
        <r>
          <rPr>
            <b/>
            <sz val="8"/>
            <color indexed="81"/>
            <rFont val="Tahoma"/>
            <family val="2"/>
          </rPr>
          <t>katzedwa:</t>
        </r>
        <r>
          <rPr>
            <sz val="8"/>
            <color indexed="81"/>
            <rFont val="Tahoma"/>
            <family val="2"/>
          </rPr>
          <t xml:space="preserve">
Issued February 2, 2001</t>
        </r>
      </text>
    </comment>
    <comment ref="P220" authorId="4">
      <text>
        <r>
          <rPr>
            <b/>
            <sz val="8"/>
            <color indexed="81"/>
            <rFont val="Tahoma"/>
            <family val="2"/>
          </rPr>
          <t>katzedwa:</t>
        </r>
        <r>
          <rPr>
            <sz val="8"/>
            <color indexed="81"/>
            <rFont val="Tahoma"/>
            <family val="2"/>
          </rPr>
          <t xml:space="preserve">
Issued November 18, 1998</t>
        </r>
      </text>
    </comment>
    <comment ref="W220" authorId="4">
      <text>
        <r>
          <rPr>
            <b/>
            <sz val="8"/>
            <color indexed="81"/>
            <rFont val="Tahoma"/>
            <family val="2"/>
          </rPr>
          <t>katzedwa:</t>
        </r>
        <r>
          <rPr>
            <sz val="8"/>
            <color indexed="81"/>
            <rFont val="Tahoma"/>
            <family val="2"/>
          </rPr>
          <t xml:space="preserve">
Coming due November 15, 2018</t>
        </r>
      </text>
    </comment>
    <comment ref="P225" authorId="4">
      <text>
        <r>
          <rPr>
            <b/>
            <sz val="8"/>
            <color indexed="81"/>
            <rFont val="Tahoma"/>
            <family val="2"/>
          </rPr>
          <t>katzedwa:</t>
        </r>
        <r>
          <rPr>
            <sz val="8"/>
            <color indexed="81"/>
            <rFont val="Tahoma"/>
            <family val="2"/>
          </rPr>
          <t xml:space="preserve">
Issued July 30, 2001</t>
        </r>
      </text>
    </comment>
    <comment ref="W225" authorId="4">
      <text>
        <r>
          <rPr>
            <b/>
            <sz val="8"/>
            <color indexed="81"/>
            <rFont val="Tahoma"/>
            <family val="2"/>
          </rPr>
          <t>katzedwa:</t>
        </r>
        <r>
          <rPr>
            <sz val="8"/>
            <color indexed="81"/>
            <rFont val="Tahoma"/>
            <family val="2"/>
          </rPr>
          <t xml:space="preserve">
Coming due August 3, 2021</t>
        </r>
      </text>
    </comment>
    <comment ref="P230" authorId="4">
      <text>
        <r>
          <rPr>
            <b/>
            <sz val="8"/>
            <color indexed="81"/>
            <rFont val="Tahoma"/>
            <family val="2"/>
          </rPr>
          <t>katzedwa:</t>
        </r>
        <r>
          <rPr>
            <sz val="8"/>
            <color indexed="81"/>
            <rFont val="Tahoma"/>
            <family val="2"/>
          </rPr>
          <t xml:space="preserve">
Issued June 29, 1998</t>
        </r>
      </text>
    </comment>
    <comment ref="W230" authorId="4">
      <text>
        <r>
          <rPr>
            <b/>
            <sz val="8"/>
            <color indexed="81"/>
            <rFont val="Tahoma"/>
            <family val="2"/>
          </rPr>
          <t>katzedwa:</t>
        </r>
        <r>
          <rPr>
            <sz val="8"/>
            <color indexed="81"/>
            <rFont val="Tahoma"/>
            <family val="2"/>
          </rPr>
          <t xml:space="preserve">
Coming due July 15, 2028</t>
        </r>
      </text>
    </comment>
    <comment ref="P235" authorId="4">
      <text>
        <r>
          <rPr>
            <b/>
            <sz val="8"/>
            <color indexed="81"/>
            <rFont val="Tahoma"/>
            <family val="2"/>
          </rPr>
          <t>katzedwa:</t>
        </r>
        <r>
          <rPr>
            <sz val="8"/>
            <color indexed="81"/>
            <rFont val="Tahoma"/>
            <family val="2"/>
          </rPr>
          <t xml:space="preserve">
Issued February 14, 2001</t>
        </r>
      </text>
    </comment>
    <comment ref="W235" authorId="4">
      <text>
        <r>
          <rPr>
            <b/>
            <sz val="8"/>
            <color indexed="81"/>
            <rFont val="Tahoma"/>
            <family val="2"/>
          </rPr>
          <t>katzedwa:</t>
        </r>
        <r>
          <rPr>
            <sz val="8"/>
            <color indexed="81"/>
            <rFont val="Tahoma"/>
            <family val="2"/>
          </rPr>
          <t xml:space="preserve">
Coming due February 15, 2031</t>
        </r>
      </text>
    </comment>
    <comment ref="CI244" authorId="4">
      <text>
        <r>
          <rPr>
            <b/>
            <sz val="8"/>
            <color indexed="81"/>
            <rFont val="Tahoma"/>
            <family val="2"/>
          </rPr>
          <t>katzedwa:</t>
        </r>
        <r>
          <rPr>
            <sz val="8"/>
            <color indexed="81"/>
            <rFont val="Tahoma"/>
            <family val="2"/>
          </rPr>
          <t xml:space="preserve">
Coming due June 30, 2010</t>
        </r>
      </text>
    </comment>
    <comment ref="P245" authorId="4">
      <text>
        <r>
          <rPr>
            <b/>
            <sz val="8"/>
            <color indexed="81"/>
            <rFont val="Tahoma"/>
            <family val="2"/>
          </rPr>
          <t>katzedwa:</t>
        </r>
        <r>
          <rPr>
            <sz val="8"/>
            <color indexed="81"/>
            <rFont val="Tahoma"/>
            <family val="2"/>
          </rPr>
          <t xml:space="preserve">
Issued June 5, 2003</t>
        </r>
      </text>
    </comment>
    <comment ref="CI245" authorId="4">
      <text>
        <r>
          <rPr>
            <b/>
            <sz val="8"/>
            <color indexed="81"/>
            <rFont val="Tahoma"/>
            <family val="2"/>
          </rPr>
          <t>katzedwa:</t>
        </r>
        <r>
          <rPr>
            <sz val="8"/>
            <color indexed="81"/>
            <rFont val="Tahoma"/>
            <family val="2"/>
          </rPr>
          <t xml:space="preserve">
Assume refi at 10%</t>
        </r>
      </text>
    </comment>
    <comment ref="S249" authorId="4">
      <text>
        <r>
          <rPr>
            <b/>
            <sz val="8"/>
            <color indexed="81"/>
            <rFont val="Tahoma"/>
            <family val="2"/>
          </rPr>
          <t>katzedwa:</t>
        </r>
        <r>
          <rPr>
            <sz val="8"/>
            <color indexed="81"/>
            <rFont val="Tahoma"/>
            <family val="2"/>
          </rPr>
          <t xml:space="preserve">
Coming due September 1, 2011</t>
        </r>
      </text>
    </comment>
    <comment ref="P250" authorId="4">
      <text>
        <r>
          <rPr>
            <b/>
            <sz val="8"/>
            <color indexed="81"/>
            <rFont val="Tahoma"/>
            <family val="2"/>
          </rPr>
          <t>katzedwa:</t>
        </r>
        <r>
          <rPr>
            <sz val="8"/>
            <color indexed="81"/>
            <rFont val="Tahoma"/>
            <family val="2"/>
          </rPr>
          <t xml:space="preserve">
Issued August 19, 2004</t>
        </r>
      </text>
    </comment>
    <comment ref="S250" authorId="4">
      <text>
        <r>
          <rPr>
            <b/>
            <sz val="8"/>
            <color indexed="81"/>
            <rFont val="Tahoma"/>
            <family val="2"/>
          </rPr>
          <t>katzedwa:</t>
        </r>
        <r>
          <rPr>
            <sz val="8"/>
            <color indexed="81"/>
            <rFont val="Tahoma"/>
            <family val="2"/>
          </rPr>
          <t xml:space="preserve">
Assume refi at 9%</t>
        </r>
      </text>
    </comment>
    <comment ref="T254" authorId="4">
      <text>
        <r>
          <rPr>
            <b/>
            <sz val="8"/>
            <color indexed="81"/>
            <rFont val="Tahoma"/>
            <family val="2"/>
          </rPr>
          <t>katzedwa:</t>
        </r>
        <r>
          <rPr>
            <sz val="8"/>
            <color indexed="81"/>
            <rFont val="Tahoma"/>
            <family val="2"/>
          </rPr>
          <t xml:space="preserve">
Coming due March 15, 2012</t>
        </r>
      </text>
    </comment>
    <comment ref="P255" authorId="4">
      <text>
        <r>
          <rPr>
            <b/>
            <sz val="8"/>
            <color indexed="81"/>
            <rFont val="Tahoma"/>
            <family val="2"/>
          </rPr>
          <t>katzedwa:</t>
        </r>
        <r>
          <rPr>
            <sz val="8"/>
            <color indexed="81"/>
            <rFont val="Tahoma"/>
            <family val="2"/>
          </rPr>
          <t xml:space="preserve">
Issued March 12, 2002</t>
        </r>
      </text>
    </comment>
    <comment ref="T255" authorId="4">
      <text>
        <r>
          <rPr>
            <b/>
            <sz val="8"/>
            <color indexed="81"/>
            <rFont val="Tahoma"/>
            <family val="2"/>
          </rPr>
          <t>katzedwa:</t>
        </r>
        <r>
          <rPr>
            <sz val="8"/>
            <color indexed="81"/>
            <rFont val="Tahoma"/>
            <family val="2"/>
          </rPr>
          <t xml:space="preserve">
Assume refi at 10%</t>
        </r>
      </text>
    </comment>
    <comment ref="U259" authorId="4">
      <text>
        <r>
          <rPr>
            <b/>
            <sz val="8"/>
            <color indexed="81"/>
            <rFont val="Tahoma"/>
            <family val="2"/>
          </rPr>
          <t>katzedwa:</t>
        </r>
        <r>
          <rPr>
            <sz val="8"/>
            <color indexed="81"/>
            <rFont val="Tahoma"/>
            <family val="2"/>
          </rPr>
          <t xml:space="preserve">
Coming due June 15, 2013</t>
        </r>
      </text>
    </comment>
    <comment ref="P260" authorId="4">
      <text>
        <r>
          <rPr>
            <b/>
            <sz val="8"/>
            <color indexed="81"/>
            <rFont val="Tahoma"/>
            <family val="2"/>
          </rPr>
          <t>katzedwa:</t>
        </r>
        <r>
          <rPr>
            <sz val="8"/>
            <color indexed="81"/>
            <rFont val="Tahoma"/>
            <family val="2"/>
          </rPr>
          <t xml:space="preserve">
Issued June 8, 2005</t>
        </r>
      </text>
    </comment>
    <comment ref="U260" authorId="4">
      <text>
        <r>
          <rPr>
            <b/>
            <sz val="8"/>
            <color indexed="81"/>
            <rFont val="Tahoma"/>
            <family val="2"/>
          </rPr>
          <t>katzedwa:</t>
        </r>
        <r>
          <rPr>
            <sz val="8"/>
            <color indexed="81"/>
            <rFont val="Tahoma"/>
            <family val="2"/>
          </rPr>
          <t xml:space="preserve">
Assume refi at 9%</t>
        </r>
      </text>
    </comment>
    <comment ref="V264" authorId="4">
      <text>
        <r>
          <rPr>
            <b/>
            <sz val="8"/>
            <color indexed="81"/>
            <rFont val="Tahoma"/>
            <family val="2"/>
          </rPr>
          <t>katzedwa:</t>
        </r>
        <r>
          <rPr>
            <sz val="8"/>
            <color indexed="81"/>
            <rFont val="Tahoma"/>
            <family val="2"/>
          </rPr>
          <t xml:space="preserve">
Coming due October 1, 2014</t>
        </r>
      </text>
    </comment>
    <comment ref="P265" authorId="4">
      <text>
        <r>
          <rPr>
            <b/>
            <sz val="8"/>
            <color indexed="81"/>
            <rFont val="Tahoma"/>
            <family val="2"/>
          </rPr>
          <t>katzedwa:</t>
        </r>
        <r>
          <rPr>
            <sz val="8"/>
            <color indexed="81"/>
            <rFont val="Tahoma"/>
            <family val="2"/>
          </rPr>
          <t xml:space="preserve">
Issued August 8, 2006</t>
        </r>
      </text>
    </comment>
    <comment ref="W269" authorId="4">
      <text>
        <r>
          <rPr>
            <b/>
            <sz val="8"/>
            <color indexed="81"/>
            <rFont val="Tahoma"/>
            <family val="2"/>
          </rPr>
          <t>katzedwa:</t>
        </r>
        <r>
          <rPr>
            <sz val="8"/>
            <color indexed="81"/>
            <rFont val="Tahoma"/>
            <family val="2"/>
          </rPr>
          <t xml:space="preserve">
Coming due June 15, 2015</t>
        </r>
      </text>
    </comment>
    <comment ref="P270" authorId="4">
      <text>
        <r>
          <rPr>
            <b/>
            <sz val="8"/>
            <color indexed="81"/>
            <rFont val="Tahoma"/>
            <family val="2"/>
          </rPr>
          <t>katzedwa:</t>
        </r>
        <r>
          <rPr>
            <sz val="8"/>
            <color indexed="81"/>
            <rFont val="Tahoma"/>
            <family val="2"/>
          </rPr>
          <t xml:space="preserve">
Issued June 8, 2005</t>
        </r>
      </text>
    </comment>
    <comment ref="P275" authorId="4">
      <text>
        <r>
          <rPr>
            <b/>
            <sz val="8"/>
            <color indexed="81"/>
            <rFont val="Tahoma"/>
            <family val="2"/>
          </rPr>
          <t>katzedwa:</t>
        </r>
        <r>
          <rPr>
            <sz val="8"/>
            <color indexed="81"/>
            <rFont val="Tahoma"/>
            <family val="2"/>
          </rPr>
          <t xml:space="preserve">
Issued May 16. 2007</t>
        </r>
      </text>
    </comment>
    <comment ref="W275" authorId="4">
      <text>
        <r>
          <rPr>
            <b/>
            <sz val="8"/>
            <color indexed="81"/>
            <rFont val="Tahoma"/>
            <family val="2"/>
          </rPr>
          <t>katzedwa:</t>
        </r>
        <r>
          <rPr>
            <sz val="8"/>
            <color indexed="81"/>
            <rFont val="Tahoma"/>
            <family val="2"/>
          </rPr>
          <t xml:space="preserve">
Coming due June 1, 2017</t>
        </r>
      </text>
    </comment>
    <comment ref="CE279" authorId="4">
      <text>
        <r>
          <rPr>
            <b/>
            <sz val="8"/>
            <color indexed="81"/>
            <rFont val="Tahoma"/>
            <family val="2"/>
          </rPr>
          <t>dgaviria:</t>
        </r>
        <r>
          <rPr>
            <sz val="8"/>
            <color indexed="81"/>
            <rFont val="Tahoma"/>
            <family val="2"/>
          </rPr>
          <t xml:space="preserve">
Issued Apr 7. 2009</t>
        </r>
      </text>
    </comment>
    <comment ref="W280" authorId="4">
      <text>
        <r>
          <rPr>
            <b/>
            <sz val="8"/>
            <color indexed="81"/>
            <rFont val="Tahoma"/>
            <family val="2"/>
          </rPr>
          <t>dgaviria:</t>
        </r>
        <r>
          <rPr>
            <sz val="8"/>
            <color indexed="81"/>
            <rFont val="Tahoma"/>
            <family val="2"/>
          </rPr>
          <t xml:space="preserve">
Coming due May 1, 2016</t>
        </r>
      </text>
    </comment>
    <comment ref="P285" authorId="4">
      <text>
        <r>
          <rPr>
            <b/>
            <sz val="8"/>
            <color indexed="81"/>
            <rFont val="Tahoma"/>
            <family val="2"/>
          </rPr>
          <t>katzedwa:</t>
        </r>
        <r>
          <rPr>
            <sz val="8"/>
            <color indexed="81"/>
            <rFont val="Tahoma"/>
            <family val="2"/>
          </rPr>
          <t xml:space="preserve">
Issued June 18, 1993</t>
        </r>
      </text>
    </comment>
    <comment ref="W285" authorId="4">
      <text>
        <r>
          <rPr>
            <b/>
            <sz val="8"/>
            <color indexed="81"/>
            <rFont val="Tahoma"/>
            <family val="2"/>
          </rPr>
          <t>katzedwa:</t>
        </r>
        <r>
          <rPr>
            <sz val="8"/>
            <color indexed="81"/>
            <rFont val="Tahoma"/>
            <family val="2"/>
          </rPr>
          <t xml:space="preserve">
Coming due June 15, 2023</t>
        </r>
      </text>
    </comment>
    <comment ref="P290" authorId="4">
      <text>
        <r>
          <rPr>
            <b/>
            <sz val="8"/>
            <color indexed="81"/>
            <rFont val="Tahoma"/>
            <family val="2"/>
          </rPr>
          <t>katzedwa:</t>
        </r>
        <r>
          <rPr>
            <sz val="8"/>
            <color indexed="81"/>
            <rFont val="Tahoma"/>
            <family val="2"/>
          </rPr>
          <t xml:space="preserve">
Issued September 15, 1995</t>
        </r>
      </text>
    </comment>
    <comment ref="W290" authorId="4">
      <text>
        <r>
          <rPr>
            <b/>
            <sz val="8"/>
            <color indexed="81"/>
            <rFont val="Tahoma"/>
            <family val="2"/>
          </rPr>
          <t>katzedwa:</t>
        </r>
        <r>
          <rPr>
            <sz val="8"/>
            <color indexed="81"/>
            <rFont val="Tahoma"/>
            <family val="2"/>
          </rPr>
          <t xml:space="preserve">
Coming due September 15, 2025</t>
        </r>
      </text>
    </comment>
    <comment ref="P295" authorId="4">
      <text>
        <r>
          <rPr>
            <b/>
            <sz val="8"/>
            <color indexed="81"/>
            <rFont val="Tahoma"/>
            <family val="2"/>
          </rPr>
          <t>katzedwa:</t>
        </r>
        <r>
          <rPr>
            <sz val="8"/>
            <color indexed="81"/>
            <rFont val="Tahoma"/>
            <family val="2"/>
          </rPr>
          <t xml:space="preserve">
Issued November 10, 1995</t>
        </r>
      </text>
    </comment>
    <comment ref="W295" authorId="4">
      <text>
        <r>
          <rPr>
            <b/>
            <sz val="8"/>
            <color indexed="81"/>
            <rFont val="Tahoma"/>
            <family val="2"/>
          </rPr>
          <t>katzedwa:</t>
        </r>
        <r>
          <rPr>
            <sz val="8"/>
            <color indexed="81"/>
            <rFont val="Tahoma"/>
            <family val="2"/>
          </rPr>
          <t xml:space="preserve">
Coming due November 10, 2026</t>
        </r>
      </text>
    </comment>
    <comment ref="P300" authorId="4">
      <text>
        <r>
          <rPr>
            <b/>
            <sz val="8"/>
            <color indexed="81"/>
            <rFont val="Tahoma"/>
            <family val="2"/>
          </rPr>
          <t>katzedwa:</t>
        </r>
        <r>
          <rPr>
            <sz val="8"/>
            <color indexed="81"/>
            <rFont val="Tahoma"/>
            <family val="2"/>
          </rPr>
          <t xml:space="preserve">
Issued May 1, 1990</t>
        </r>
      </text>
    </comment>
    <comment ref="W300" authorId="4">
      <text>
        <r>
          <rPr>
            <b/>
            <sz val="8"/>
            <color indexed="81"/>
            <rFont val="Tahoma"/>
            <family val="2"/>
          </rPr>
          <t>katzedwa:</t>
        </r>
        <r>
          <rPr>
            <sz val="8"/>
            <color indexed="81"/>
            <rFont val="Tahoma"/>
            <family val="2"/>
          </rPr>
          <t xml:space="preserve">
Coming due May 1, 2030</t>
        </r>
      </text>
    </comment>
    <comment ref="P305" authorId="4">
      <text>
        <r>
          <rPr>
            <b/>
            <sz val="8"/>
            <color indexed="81"/>
            <rFont val="Tahoma"/>
            <family val="2"/>
          </rPr>
          <t>katzedwa:</t>
        </r>
        <r>
          <rPr>
            <sz val="8"/>
            <color indexed="81"/>
            <rFont val="Tahoma"/>
            <family val="2"/>
          </rPr>
          <t xml:space="preserve">
Issued May 1, 1990</t>
        </r>
      </text>
    </comment>
    <comment ref="W305" authorId="4">
      <text>
        <r>
          <rPr>
            <b/>
            <sz val="8"/>
            <color indexed="81"/>
            <rFont val="Tahoma"/>
            <family val="2"/>
          </rPr>
          <t>katzedwa:</t>
        </r>
        <r>
          <rPr>
            <sz val="8"/>
            <color indexed="81"/>
            <rFont val="Tahoma"/>
            <family val="2"/>
          </rPr>
          <t xml:space="preserve">
Coming due May 1, 2030</t>
        </r>
      </text>
    </comment>
    <comment ref="P310" authorId="4">
      <text>
        <r>
          <rPr>
            <b/>
            <sz val="8"/>
            <color indexed="81"/>
            <rFont val="Tahoma"/>
            <family val="2"/>
          </rPr>
          <t>katzedwa:</t>
        </r>
        <r>
          <rPr>
            <sz val="8"/>
            <color indexed="81"/>
            <rFont val="Tahoma"/>
            <family val="2"/>
          </rPr>
          <t xml:space="preserve">
Issued September 28, 1993</t>
        </r>
      </text>
    </comment>
    <comment ref="W310" authorId="4">
      <text>
        <r>
          <rPr>
            <b/>
            <sz val="8"/>
            <color indexed="81"/>
            <rFont val="Tahoma"/>
            <family val="2"/>
          </rPr>
          <t>katzedwa:</t>
        </r>
        <r>
          <rPr>
            <sz val="8"/>
            <color indexed="81"/>
            <rFont val="Tahoma"/>
            <family val="2"/>
          </rPr>
          <t xml:space="preserve">
Coming due September 15, 2033</t>
        </r>
      </text>
    </comment>
    <comment ref="P315" authorId="4">
      <text>
        <r>
          <rPr>
            <b/>
            <sz val="8"/>
            <color indexed="81"/>
            <rFont val="Tahoma"/>
            <family val="2"/>
          </rPr>
          <t>katzedwa:</t>
        </r>
        <r>
          <rPr>
            <sz val="8"/>
            <color indexed="81"/>
            <rFont val="Tahoma"/>
            <family val="2"/>
          </rPr>
          <t xml:space="preserve">
Issued October 13, 1995</t>
        </r>
      </text>
    </comment>
    <comment ref="W315" authorId="4">
      <text>
        <r>
          <rPr>
            <b/>
            <sz val="8"/>
            <color indexed="81"/>
            <rFont val="Tahoma"/>
            <family val="2"/>
          </rPr>
          <t>katzedwa:</t>
        </r>
        <r>
          <rPr>
            <sz val="8"/>
            <color indexed="81"/>
            <rFont val="Tahoma"/>
            <family val="2"/>
          </rPr>
          <t xml:space="preserve">
Coming due October 15, 2035</t>
        </r>
      </text>
    </comment>
    <comment ref="P320" authorId="4">
      <text>
        <r>
          <rPr>
            <b/>
            <sz val="8"/>
            <color indexed="81"/>
            <rFont val="Tahoma"/>
            <family val="2"/>
          </rPr>
          <t>katzedwa:</t>
        </r>
        <r>
          <rPr>
            <sz val="8"/>
            <color indexed="81"/>
            <rFont val="Tahoma"/>
            <family val="2"/>
          </rPr>
          <t xml:space="preserve">
Issued November 17, 1993</t>
        </r>
      </text>
    </comment>
    <comment ref="W320" authorId="4">
      <text>
        <r>
          <rPr>
            <b/>
            <sz val="8"/>
            <color indexed="81"/>
            <rFont val="Tahoma"/>
            <family val="2"/>
          </rPr>
          <t>katzedwa:</t>
        </r>
        <r>
          <rPr>
            <sz val="8"/>
            <color indexed="81"/>
            <rFont val="Tahoma"/>
            <family val="2"/>
          </rPr>
          <t xml:space="preserve">
Coming due November 15, 2043</t>
        </r>
      </text>
    </comment>
  </commentList>
</comments>
</file>

<file path=xl/comments16.xml><?xml version="1.0" encoding="utf-8"?>
<comments xmlns="http://schemas.openxmlformats.org/spreadsheetml/2006/main">
  <authors>
    <author>Daniel Gaviria</author>
    <author>jessyau</author>
    <author>dgaviria</author>
    <author>wlsuch</author>
  </authors>
  <commentList>
    <comment ref="CB10" authorId="0">
      <text>
        <r>
          <rPr>
            <b/>
            <sz val="8"/>
            <color indexed="81"/>
            <rFont val="Tahoma"/>
            <family val="2"/>
          </rPr>
          <t>Daniel Gaviria:</t>
        </r>
        <r>
          <rPr>
            <sz val="8"/>
            <color indexed="81"/>
            <rFont val="Tahoma"/>
            <family val="2"/>
          </rPr>
          <t xml:space="preserve">
From 10Q
"We anticipate that in the
second half of 2008 we will make net payments of approximately $90 million related to tax settlements
for prior periods"</t>
        </r>
      </text>
    </comment>
    <comment ref="BU52" authorId="1">
      <text>
        <r>
          <rPr>
            <b/>
            <sz val="8"/>
            <color indexed="8"/>
            <rFont val="Tahoma"/>
            <family val="2"/>
          </rPr>
          <t>jessyau:</t>
        </r>
        <r>
          <rPr>
            <sz val="8"/>
            <color indexed="8"/>
            <rFont val="Tahoma"/>
            <family val="2"/>
          </rPr>
          <t xml:space="preserve">
Oct. 4- announced $2bn stock buyback program over next two years</t>
        </r>
      </text>
    </comment>
    <comment ref="N65" authorId="1">
      <text>
        <r>
          <rPr>
            <b/>
            <sz val="8"/>
            <color indexed="8"/>
            <rFont val="Tahoma"/>
            <family val="2"/>
          </rPr>
          <t>jessyau:</t>
        </r>
        <r>
          <rPr>
            <sz val="8"/>
            <color indexed="8"/>
            <rFont val="Tahoma"/>
            <family val="2"/>
          </rPr>
          <t xml:space="preserve">
Q2 call: reiterated FCF guidance of $1.35-1.5bn</t>
        </r>
      </text>
    </comment>
    <comment ref="BR65" authorId="0">
      <text>
        <r>
          <rPr>
            <b/>
            <sz val="8"/>
            <color indexed="8"/>
            <rFont val="Tahoma"/>
            <family val="2"/>
          </rPr>
          <t>Daniel Gaviria:</t>
        </r>
        <r>
          <rPr>
            <sz val="8"/>
            <color indexed="8"/>
            <rFont val="Tahoma"/>
            <family val="2"/>
          </rPr>
          <t xml:space="preserve">
Includes a $100mn in settlement payments</t>
        </r>
      </text>
    </comment>
    <comment ref="BU65" authorId="0">
      <text>
        <r>
          <rPr>
            <b/>
            <sz val="8"/>
            <color indexed="8"/>
            <rFont val="Tahoma"/>
            <family val="2"/>
          </rPr>
          <t>Daniel Gaviria:</t>
        </r>
        <r>
          <rPr>
            <sz val="8"/>
            <color indexed="8"/>
            <rFont val="Tahoma"/>
            <family val="2"/>
          </rPr>
          <t xml:space="preserve">
Includes a $140mn in settlement payments</t>
        </r>
      </text>
    </comment>
    <comment ref="BV65" authorId="0">
      <text>
        <r>
          <rPr>
            <b/>
            <sz val="8"/>
            <color indexed="8"/>
            <rFont val="Tahoma"/>
            <family val="2"/>
          </rPr>
          <t>Daniel Gaviria:</t>
        </r>
        <r>
          <rPr>
            <sz val="8"/>
            <color indexed="8"/>
            <rFont val="Tahoma"/>
            <family val="2"/>
          </rPr>
          <t xml:space="preserve">
Includes a $200mn in settlement payments</t>
        </r>
      </text>
    </comment>
    <comment ref="BZ65" authorId="0">
      <text>
        <r>
          <rPr>
            <b/>
            <sz val="8"/>
            <color indexed="8"/>
            <rFont val="Tahoma"/>
            <family val="2"/>
          </rPr>
          <t>Daniel Gaviria:</t>
        </r>
        <r>
          <rPr>
            <sz val="8"/>
            <color indexed="8"/>
            <rFont val="Tahoma"/>
            <family val="2"/>
          </rPr>
          <t xml:space="preserve">
Includes a $84
mn in settlement payments.
</t>
        </r>
      </text>
    </comment>
    <comment ref="CB71" authorId="0">
      <text>
        <r>
          <rPr>
            <b/>
            <sz val="8"/>
            <color indexed="81"/>
            <rFont val="Tahoma"/>
            <family val="2"/>
          </rPr>
          <t>Daniel Gaviria:</t>
        </r>
        <r>
          <rPr>
            <sz val="8"/>
            <color indexed="81"/>
            <rFont val="Tahoma"/>
            <family val="2"/>
          </rPr>
          <t xml:space="preserve">
Adjusted free cash flow in the period excludes a net federal income tax payment of $70 million that settles a claim covering the period from 1998 to 2001.</t>
        </r>
      </text>
    </comment>
    <comment ref="CI71" authorId="2">
      <text>
        <r>
          <rPr>
            <b/>
            <sz val="8"/>
            <color indexed="81"/>
            <rFont val="Tahoma"/>
            <family val="2"/>
          </rPr>
          <t>dgaviria:</t>
        </r>
        <r>
          <rPr>
            <sz val="8"/>
            <color indexed="81"/>
            <rFont val="Tahoma"/>
            <family val="2"/>
          </rPr>
          <t xml:space="preserve">
merger related</t>
        </r>
      </text>
    </comment>
    <comment ref="CJ71" authorId="2">
      <text>
        <r>
          <rPr>
            <b/>
            <sz val="8"/>
            <color indexed="81"/>
            <rFont val="Tahoma"/>
            <family val="2"/>
          </rPr>
          <t>dgaviria:</t>
        </r>
        <r>
          <rPr>
            <sz val="8"/>
            <color indexed="81"/>
            <rFont val="Tahoma"/>
            <family val="2"/>
          </rPr>
          <t xml:space="preserve">
merger related</t>
        </r>
      </text>
    </comment>
    <comment ref="CK71" authorId="0">
      <text>
        <r>
          <rPr>
            <b/>
            <sz val="8"/>
            <color indexed="81"/>
            <rFont val="Tahoma"/>
            <family val="2"/>
          </rPr>
          <t>Daniel Gaviria:</t>
        </r>
        <r>
          <rPr>
            <sz val="8"/>
            <color indexed="81"/>
            <rFont val="Tahoma"/>
            <family val="2"/>
          </rPr>
          <t xml:space="preserve">
includes $10 accelerated severance $11 merger related costs</t>
        </r>
      </text>
    </comment>
    <comment ref="CL71" authorId="0">
      <text>
        <r>
          <rPr>
            <b/>
            <sz val="8"/>
            <color indexed="81"/>
            <rFont val="Tahoma"/>
            <family val="2"/>
          </rPr>
          <t>Daniel Gaviria:</t>
        </r>
        <r>
          <rPr>
            <sz val="8"/>
            <color indexed="81"/>
            <rFont val="Tahoma"/>
            <family val="2"/>
          </rPr>
          <t xml:space="preserve">
merger related</t>
        </r>
      </text>
    </comment>
    <comment ref="O72" authorId="3">
      <text>
        <r>
          <rPr>
            <b/>
            <sz val="8"/>
            <color indexed="8"/>
            <rFont val="Tahoma"/>
            <family val="2"/>
          </rPr>
          <t>wlsuch:</t>
        </r>
        <r>
          <rPr>
            <sz val="8"/>
            <color indexed="8"/>
            <rFont val="Tahoma"/>
            <family val="2"/>
          </rPr>
          <t xml:space="preserve">
3Q07 call: Adj FCF ~$1.8bn; $400mn above 2006 levels
Includes $200mn in settlement payments</t>
        </r>
      </text>
    </comment>
    <comment ref="P72" authorId="3">
      <text>
        <r>
          <rPr>
            <b/>
            <sz val="8"/>
            <color indexed="81"/>
            <rFont val="Tahoma"/>
            <family val="2"/>
          </rPr>
          <t>dgaviria:</t>
        </r>
        <r>
          <rPr>
            <sz val="8"/>
            <color indexed="81"/>
            <rFont val="Tahoma"/>
            <family val="2"/>
          </rPr>
          <t xml:space="preserve">
Guidance: $1.5-1.6bn in adjusted free cash flow</t>
        </r>
      </text>
    </comment>
    <comment ref="Q72" authorId="3">
      <text>
        <r>
          <rPr>
            <b/>
            <sz val="8"/>
            <color indexed="81"/>
            <rFont val="Tahoma"/>
            <family val="2"/>
          </rPr>
          <t>dgaviria:</t>
        </r>
        <r>
          <rPr>
            <sz val="8"/>
            <color indexed="81"/>
            <rFont val="Tahoma"/>
            <family val="2"/>
          </rPr>
          <t xml:space="preserve">
$1.6-1.7B</t>
        </r>
      </text>
    </comment>
    <comment ref="R72" authorId="0">
      <text>
        <r>
          <rPr>
            <b/>
            <sz val="8"/>
            <color indexed="81"/>
            <rFont val="Tahoma"/>
            <family val="2"/>
          </rPr>
          <t>Daniel Gaviria:</t>
        </r>
        <r>
          <rPr>
            <sz val="8"/>
            <color indexed="81"/>
            <rFont val="Tahoma"/>
            <family val="2"/>
          </rPr>
          <t xml:space="preserve">
$1.5B to $1.6B</t>
        </r>
      </text>
    </comment>
  </commentList>
</comments>
</file>

<file path=xl/comments17.xml><?xml version="1.0" encoding="utf-8"?>
<comments xmlns="http://schemas.openxmlformats.org/spreadsheetml/2006/main">
  <authors>
    <author>dgaviria</author>
    <author>wlsuch</author>
    <author>Daniel Gaviria</author>
    <author>Hannah Morhaim</author>
    <author>borbonma</author>
  </authors>
  <commentList>
    <comment ref="A9" authorId="0">
      <text>
        <r>
          <rPr>
            <b/>
            <sz val="8"/>
            <color indexed="81"/>
            <rFont val="Tahoma"/>
            <family val="2"/>
          </rPr>
          <t>dgaviria:</t>
        </r>
        <r>
          <rPr>
            <sz val="8"/>
            <color indexed="81"/>
            <rFont val="Tahoma"/>
            <family val="2"/>
          </rPr>
          <t xml:space="preserve">
Our legacy services are primarily local, long distance, access, WAN, ISDN, and other more traditional telecommunications services. </t>
        </r>
      </text>
    </comment>
    <comment ref="A11" authorId="0">
      <text>
        <r>
          <rPr>
            <b/>
            <sz val="8"/>
            <color indexed="81"/>
            <rFont val="Tahoma"/>
            <family val="2"/>
          </rPr>
          <t>dgaviria:</t>
        </r>
        <r>
          <rPr>
            <sz val="8"/>
            <color indexed="81"/>
            <rFont val="Tahoma"/>
            <family val="2"/>
          </rPr>
          <t xml:space="preserve">
Our strategic services are primarily private line, broadband, Qwest iQ Networking®, hosting, video, VoIP and Verizon Wireless services.</t>
        </r>
      </text>
    </comment>
    <comment ref="A13" authorId="0">
      <text>
        <r>
          <rPr>
            <b/>
            <sz val="8"/>
            <color indexed="81"/>
            <rFont val="Tahoma"/>
            <family val="2"/>
          </rPr>
          <t>dgaviria:</t>
        </r>
        <r>
          <rPr>
            <sz val="8"/>
            <color indexed="81"/>
            <rFont val="Tahoma"/>
            <family val="2"/>
          </rPr>
          <t xml:space="preserve">
     Data integration is telecommunications equipment located on customers’ premises and related professional services. These services include network management, installation and maintenance of data equipment and building of proprietary fiber-optic broadband networks for our governmental and business customers. </t>
        </r>
      </text>
    </comment>
    <comment ref="BZ24" authorId="1">
      <text>
        <r>
          <rPr>
            <b/>
            <sz val="8"/>
            <color indexed="81"/>
            <rFont val="Tahoma"/>
            <family val="2"/>
          </rPr>
          <t>wlsuch:</t>
        </r>
        <r>
          <rPr>
            <sz val="8"/>
            <color indexed="81"/>
            <rFont val="Tahoma"/>
            <family val="2"/>
          </rPr>
          <t xml:space="preserve">
$45mn in realignment, severance and related costs</t>
        </r>
      </text>
    </comment>
    <comment ref="CA24" authorId="1">
      <text>
        <r>
          <rPr>
            <b/>
            <sz val="8"/>
            <color indexed="81"/>
            <rFont val="Tahoma"/>
            <family val="2"/>
          </rPr>
          <t>dgaviria:</t>
        </r>
        <r>
          <rPr>
            <sz val="8"/>
            <color indexed="81"/>
            <rFont val="Tahoma"/>
            <family val="2"/>
          </rPr>
          <t xml:space="preserve">
$40M in favorable legal reseve offset by $40M in property tax settlementcosts0</t>
        </r>
      </text>
    </comment>
    <comment ref="CB24" authorId="1">
      <text>
        <r>
          <rPr>
            <b/>
            <sz val="8"/>
            <color indexed="81"/>
            <rFont val="Tahoma"/>
            <family val="2"/>
          </rPr>
          <t>dgaviria:</t>
        </r>
        <r>
          <rPr>
            <sz val="8"/>
            <color indexed="81"/>
            <rFont val="Tahoma"/>
            <family val="2"/>
          </rPr>
          <t xml:space="preserve">
Excludes a charge of $63 million for severance and a lease restructuring benefit of $33M.</t>
        </r>
      </text>
    </comment>
    <comment ref="CD24" authorId="0">
      <text>
        <r>
          <rPr>
            <b/>
            <sz val="8"/>
            <color indexed="81"/>
            <rFont val="Tahoma"/>
            <family val="2"/>
          </rPr>
          <t>dgaviria:</t>
        </r>
        <r>
          <rPr>
            <sz val="8"/>
            <color indexed="81"/>
            <rFont val="Tahoma"/>
            <family val="2"/>
          </rPr>
          <t xml:space="preserve">
$23m in realignment severance and related costs</t>
        </r>
      </text>
    </comment>
    <comment ref="CE24" authorId="0">
      <text>
        <r>
          <rPr>
            <b/>
            <sz val="8"/>
            <color indexed="81"/>
            <rFont val="Tahoma"/>
            <family val="2"/>
          </rPr>
          <t>dgaviria:</t>
        </r>
        <r>
          <rPr>
            <sz val="8"/>
            <color indexed="81"/>
            <rFont val="Tahoma"/>
            <family val="2"/>
          </rPr>
          <t xml:space="preserve">
$23m in realignment severance and related costs</t>
        </r>
      </text>
    </comment>
    <comment ref="CF24" authorId="0">
      <text>
        <r>
          <rPr>
            <b/>
            <sz val="8"/>
            <color indexed="81"/>
            <rFont val="Tahoma"/>
            <family val="2"/>
          </rPr>
          <t>dgaviria:</t>
        </r>
        <r>
          <rPr>
            <sz val="8"/>
            <color indexed="81"/>
            <rFont val="Tahoma"/>
            <family val="2"/>
          </rPr>
          <t xml:space="preserve">
$11m in realignment severance and related costs</t>
        </r>
      </text>
    </comment>
    <comment ref="CG24" authorId="0">
      <text>
        <r>
          <rPr>
            <b/>
            <sz val="8"/>
            <color indexed="81"/>
            <rFont val="Tahoma"/>
            <family val="2"/>
          </rPr>
          <t>dgaviria:</t>
        </r>
        <r>
          <rPr>
            <sz val="8"/>
            <color indexed="81"/>
            <rFont val="Tahoma"/>
            <family val="2"/>
          </rPr>
          <t xml:space="preserve">
$56m in realignment severance and related costs</t>
        </r>
      </text>
    </comment>
    <comment ref="CF30" authorId="0">
      <text>
        <r>
          <rPr>
            <b/>
            <sz val="8"/>
            <color indexed="81"/>
            <rFont val="Tahoma"/>
            <family val="2"/>
          </rPr>
          <t>dgaviria:</t>
        </r>
        <r>
          <rPr>
            <sz val="8"/>
            <color indexed="81"/>
            <rFont val="Tahoma"/>
            <family val="2"/>
          </rPr>
          <t xml:space="preserve">
excludes $16M in legal reserve</t>
        </r>
      </text>
    </comment>
    <comment ref="CH30" authorId="2">
      <text>
        <r>
          <rPr>
            <b/>
            <sz val="8"/>
            <color indexed="81"/>
            <rFont val="Tahoma"/>
            <family val="2"/>
          </rPr>
          <t>Daniel Gaviria:</t>
        </r>
        <r>
          <rPr>
            <sz val="8"/>
            <color indexed="81"/>
            <rFont val="Tahoma"/>
            <family val="2"/>
          </rPr>
          <t xml:space="preserve">
REPORTING CHANGED in 1Q11</t>
        </r>
      </text>
    </comment>
    <comment ref="CJ30" authorId="0">
      <text>
        <r>
          <rPr>
            <b/>
            <sz val="8"/>
            <color indexed="81"/>
            <rFont val="Tahoma"/>
            <family val="2"/>
          </rPr>
          <t>dgaviria:</t>
        </r>
        <r>
          <rPr>
            <sz val="8"/>
            <color indexed="81"/>
            <rFont val="Tahoma"/>
            <family val="2"/>
          </rPr>
          <t xml:space="preserve">
Excluding $15M in adjustment to prior period assessments in USF fees</t>
        </r>
      </text>
    </comment>
    <comment ref="CL30" authorId="2">
      <text>
        <r>
          <rPr>
            <b/>
            <sz val="8"/>
            <color indexed="81"/>
            <rFont val="Tahoma"/>
            <family val="2"/>
          </rPr>
          <t>Daniel Gaviria:</t>
        </r>
        <r>
          <rPr>
            <sz val="8"/>
            <color indexed="81"/>
            <rFont val="Tahoma"/>
            <family val="2"/>
          </rPr>
          <t xml:space="preserve">
REPORTING CHANGED in 1Q11</t>
        </r>
      </text>
    </comment>
    <comment ref="CH39" authorId="3">
      <text>
        <r>
          <rPr>
            <b/>
            <sz val="8"/>
            <color indexed="81"/>
            <rFont val="Tahoma"/>
            <family val="2"/>
          </rPr>
          <t>REPORTING CHANGED in 1Q11</t>
        </r>
        <r>
          <rPr>
            <sz val="8"/>
            <color indexed="81"/>
            <rFont val="Tahoma"/>
            <family val="2"/>
          </rPr>
          <t xml:space="preserve">
ex $11 in realignment and severance costs</t>
        </r>
      </text>
    </comment>
    <comment ref="CL39" authorId="2">
      <text>
        <r>
          <rPr>
            <b/>
            <sz val="8"/>
            <color indexed="81"/>
            <rFont val="Tahoma"/>
            <family val="2"/>
          </rPr>
          <t>Daniel Gaviria:</t>
        </r>
        <r>
          <rPr>
            <sz val="8"/>
            <color indexed="81"/>
            <rFont val="Tahoma"/>
            <family val="2"/>
          </rPr>
          <t xml:space="preserve">
REPORTING CHANGED in 1Q11
EXCLUDES $14 in severance and merger related expense</t>
        </r>
      </text>
    </comment>
    <comment ref="BT46" authorId="1">
      <text>
        <r>
          <rPr>
            <b/>
            <sz val="8"/>
            <color indexed="81"/>
            <rFont val="Tahoma"/>
            <family val="2"/>
          </rPr>
          <t>wlsuch:</t>
        </r>
        <r>
          <rPr>
            <sz val="8"/>
            <color indexed="81"/>
            <rFont val="Tahoma"/>
            <family val="2"/>
          </rPr>
          <t xml:space="preserve">
$43mn in legal reserve
</t>
        </r>
      </text>
    </comment>
    <comment ref="BV46" authorId="1">
      <text>
        <r>
          <rPr>
            <b/>
            <sz val="8"/>
            <color indexed="81"/>
            <rFont val="Tahoma"/>
            <family val="2"/>
          </rPr>
          <t>wlsuch:</t>
        </r>
        <r>
          <rPr>
            <sz val="8"/>
            <color indexed="81"/>
            <rFont val="Tahoma"/>
            <family val="2"/>
          </rPr>
          <t xml:space="preserve">
$40mn in legal reserve</t>
        </r>
      </text>
    </comment>
    <comment ref="BR48" authorId="1">
      <text>
        <r>
          <rPr>
            <b/>
            <sz val="8"/>
            <color indexed="81"/>
            <rFont val="Tahoma"/>
            <family val="2"/>
          </rPr>
          <t>wlsuch:</t>
        </r>
        <r>
          <rPr>
            <sz val="8"/>
            <color indexed="81"/>
            <rFont val="Tahoma"/>
            <family val="2"/>
          </rPr>
          <t xml:space="preserve">
$21mn in restructuring costs</t>
        </r>
      </text>
    </comment>
    <comment ref="BX48" authorId="1">
      <text>
        <r>
          <rPr>
            <b/>
            <sz val="8"/>
            <color indexed="81"/>
            <rFont val="Tahoma"/>
            <family val="2"/>
          </rPr>
          <t>wlsuch:</t>
        </r>
        <r>
          <rPr>
            <sz val="8"/>
            <color indexed="81"/>
            <rFont val="Tahoma"/>
            <family val="2"/>
          </rPr>
          <t xml:space="preserve">
$353mn in restrucuring costs</t>
        </r>
      </text>
    </comment>
    <comment ref="BZ49" authorId="0">
      <text>
        <r>
          <rPr>
            <b/>
            <sz val="8"/>
            <color indexed="81"/>
            <rFont val="Tahoma"/>
            <family val="2"/>
          </rPr>
          <t>dgaviria:</t>
        </r>
        <r>
          <rPr>
            <sz val="8"/>
            <color indexed="81"/>
            <rFont val="Tahoma"/>
            <family val="2"/>
          </rPr>
          <t xml:space="preserve">
ex $45 in realignement and severance related costs</t>
        </r>
      </text>
    </comment>
    <comment ref="CA49" authorId="0">
      <text>
        <r>
          <rPr>
            <b/>
            <sz val="8"/>
            <color indexed="81"/>
            <rFont val="Tahoma"/>
            <family val="2"/>
          </rPr>
          <t>dgaviria:</t>
        </r>
        <r>
          <rPr>
            <sz val="8"/>
            <color indexed="81"/>
            <rFont val="Tahoma"/>
            <family val="2"/>
          </rPr>
          <t xml:space="preserve">
ex $2 in realignement and severance costss</t>
        </r>
      </text>
    </comment>
    <comment ref="CB49" authorId="0">
      <text>
        <r>
          <rPr>
            <b/>
            <sz val="8"/>
            <color indexed="81"/>
            <rFont val="Tahoma"/>
            <family val="2"/>
          </rPr>
          <t>dgaviria:</t>
        </r>
        <r>
          <rPr>
            <sz val="8"/>
            <color indexed="81"/>
            <rFont val="Tahoma"/>
            <family val="2"/>
          </rPr>
          <t xml:space="preserve">
ex $30 in realignement and severance costss</t>
        </r>
      </text>
    </comment>
    <comment ref="CC49" authorId="0">
      <text>
        <r>
          <rPr>
            <b/>
            <sz val="8"/>
            <color indexed="81"/>
            <rFont val="Tahoma"/>
            <family val="2"/>
          </rPr>
          <t>dgaviria:</t>
        </r>
        <r>
          <rPr>
            <sz val="8"/>
            <color indexed="81"/>
            <rFont val="Tahoma"/>
            <family val="2"/>
          </rPr>
          <t xml:space="preserve">
ex $19 in realignement and severance costss</t>
        </r>
      </text>
    </comment>
    <comment ref="CD49" authorId="0">
      <text>
        <r>
          <rPr>
            <b/>
            <sz val="8"/>
            <color indexed="81"/>
            <rFont val="Tahoma"/>
            <family val="2"/>
          </rPr>
          <t>dgaviria:</t>
        </r>
        <r>
          <rPr>
            <sz val="8"/>
            <color indexed="81"/>
            <rFont val="Tahoma"/>
            <family val="2"/>
          </rPr>
          <t xml:space="preserve">
ex $23 in realignement and severance costss</t>
        </r>
      </text>
    </comment>
    <comment ref="CE49" authorId="0">
      <text>
        <r>
          <rPr>
            <b/>
            <sz val="8"/>
            <color indexed="81"/>
            <rFont val="Tahoma"/>
            <family val="2"/>
          </rPr>
          <t>dgaviria:</t>
        </r>
        <r>
          <rPr>
            <sz val="8"/>
            <color indexed="81"/>
            <rFont val="Tahoma"/>
            <family val="2"/>
          </rPr>
          <t xml:space="preserve">
ex $23 in realignement and severance costss</t>
        </r>
      </text>
    </comment>
    <comment ref="CF49" authorId="0">
      <text>
        <r>
          <rPr>
            <b/>
            <sz val="8"/>
            <color indexed="81"/>
            <rFont val="Tahoma"/>
            <family val="2"/>
          </rPr>
          <t>dgaviria:</t>
        </r>
        <r>
          <rPr>
            <sz val="8"/>
            <color indexed="81"/>
            <rFont val="Tahoma"/>
            <family val="2"/>
          </rPr>
          <t xml:space="preserve">
ex $11 in realignement and severance costss</t>
        </r>
      </text>
    </comment>
    <comment ref="CG49" authorId="0">
      <text>
        <r>
          <rPr>
            <b/>
            <sz val="8"/>
            <color indexed="81"/>
            <rFont val="Tahoma"/>
            <family val="2"/>
          </rPr>
          <t>dgaviria:</t>
        </r>
        <r>
          <rPr>
            <sz val="8"/>
            <color indexed="81"/>
            <rFont val="Tahoma"/>
            <family val="2"/>
          </rPr>
          <t xml:space="preserve">
ex $56 in realignement and severance costss</t>
        </r>
      </text>
    </comment>
    <comment ref="CI49" authorId="4">
      <text>
        <r>
          <rPr>
            <b/>
            <sz val="8"/>
            <color indexed="81"/>
            <rFont val="Tahoma"/>
            <family val="2"/>
          </rPr>
          <t>borbonma:</t>
        </r>
        <r>
          <rPr>
            <sz val="8"/>
            <color indexed="81"/>
            <rFont val="Tahoma"/>
            <family val="2"/>
          </rPr>
          <t xml:space="preserve">
ex $7 in realignment and severance costs</t>
        </r>
      </text>
    </comment>
    <comment ref="CJ49" authorId="0">
      <text>
        <r>
          <rPr>
            <b/>
            <sz val="8"/>
            <color indexed="81"/>
            <rFont val="Tahoma"/>
            <family val="2"/>
          </rPr>
          <t>dgaviria:</t>
        </r>
        <r>
          <rPr>
            <sz val="8"/>
            <color indexed="81"/>
            <rFont val="Tahoma"/>
            <family val="2"/>
          </rPr>
          <t xml:space="preserve">
Includes $51M in realignment, severance and related costs
Includes $5M in merger related costs</t>
        </r>
      </text>
    </comment>
    <comment ref="CK49" authorId="2">
      <text>
        <r>
          <rPr>
            <b/>
            <sz val="8"/>
            <color indexed="81"/>
            <rFont val="Tahoma"/>
            <family val="2"/>
          </rPr>
          <t>Daniel Gaviria:</t>
        </r>
        <r>
          <rPr>
            <sz val="8"/>
            <color indexed="81"/>
            <rFont val="Tahoma"/>
            <family val="2"/>
          </rPr>
          <t xml:space="preserve">
ex
$19 legal reserve
$25 realignment and severance
$67 in accelerated stock based comp
$6 merger related costs</t>
        </r>
      </text>
    </comment>
    <comment ref="R70" authorId="2">
      <text>
        <r>
          <rPr>
            <b/>
            <sz val="8"/>
            <color indexed="81"/>
            <rFont val="Tahoma"/>
            <family val="2"/>
          </rPr>
          <t>Daniel Gaviria:</t>
        </r>
        <r>
          <rPr>
            <sz val="8"/>
            <color indexed="81"/>
            <rFont val="Tahoma"/>
            <family val="2"/>
          </rPr>
          <t xml:space="preserve">
Guidance (4Q09 call)
 $4.3-$4.4B including pension impact ~$130M non cash pension impact…
</t>
        </r>
      </text>
    </comment>
    <comment ref="A81" authorId="1">
      <text>
        <r>
          <rPr>
            <b/>
            <sz val="8"/>
            <color indexed="81"/>
            <rFont val="Tahoma"/>
            <family val="2"/>
          </rPr>
          <t>wlsuch:</t>
        </r>
        <r>
          <rPr>
            <sz val="8"/>
            <color indexed="81"/>
            <rFont val="Tahoma"/>
            <family val="2"/>
          </rPr>
          <t xml:space="preserve">
Make adjustments to this line to normalize for one-time costs</t>
        </r>
      </text>
    </comment>
    <comment ref="BR81" authorId="1">
      <text>
        <r>
          <rPr>
            <b/>
            <sz val="8"/>
            <color indexed="81"/>
            <rFont val="Tahoma"/>
            <family val="2"/>
          </rPr>
          <t>wlsuch:</t>
        </r>
        <r>
          <rPr>
            <sz val="8"/>
            <color indexed="81"/>
            <rFont val="Tahoma"/>
            <family val="2"/>
          </rPr>
          <t xml:space="preserve">
$21mn in restructuring costs</t>
        </r>
      </text>
    </comment>
    <comment ref="BT81" authorId="1">
      <text>
        <r>
          <rPr>
            <b/>
            <sz val="8"/>
            <color indexed="81"/>
            <rFont val="Tahoma"/>
            <family val="2"/>
          </rPr>
          <t>wlsuch:</t>
        </r>
        <r>
          <rPr>
            <sz val="8"/>
            <color indexed="81"/>
            <rFont val="Tahoma"/>
            <family val="2"/>
          </rPr>
          <t xml:space="preserve">
$43mn in legal reserve</t>
        </r>
      </text>
    </comment>
    <comment ref="BV81" authorId="1">
      <text>
        <r>
          <rPr>
            <b/>
            <sz val="8"/>
            <color indexed="81"/>
            <rFont val="Tahoma"/>
            <family val="2"/>
          </rPr>
          <t>wlsuch:</t>
        </r>
        <r>
          <rPr>
            <sz val="8"/>
            <color indexed="81"/>
            <rFont val="Tahoma"/>
            <family val="2"/>
          </rPr>
          <t xml:space="preserve">
$40mn in legal reserve</t>
        </r>
      </text>
    </comment>
    <comment ref="BX81" authorId="1">
      <text>
        <r>
          <rPr>
            <b/>
            <sz val="8"/>
            <color indexed="81"/>
            <rFont val="Tahoma"/>
            <family val="2"/>
          </rPr>
          <t>wlsuch:</t>
        </r>
        <r>
          <rPr>
            <sz val="8"/>
            <color indexed="81"/>
            <rFont val="Tahoma"/>
            <family val="2"/>
          </rPr>
          <t xml:space="preserve">
$353mn in restructuring costs</t>
        </r>
      </text>
    </comment>
    <comment ref="BZ81" authorId="1">
      <text>
        <r>
          <rPr>
            <b/>
            <sz val="8"/>
            <color indexed="81"/>
            <rFont val="Tahoma"/>
            <family val="2"/>
          </rPr>
          <t>wlsuch:</t>
        </r>
        <r>
          <rPr>
            <sz val="8"/>
            <color indexed="81"/>
            <rFont val="Tahoma"/>
            <family val="2"/>
          </rPr>
          <t xml:space="preserve">
$45mn in realignment, severance and related costs</t>
        </r>
      </text>
    </comment>
    <comment ref="CB81" authorId="1">
      <text>
        <r>
          <rPr>
            <b/>
            <sz val="8"/>
            <color indexed="81"/>
            <rFont val="Tahoma"/>
            <family val="2"/>
          </rPr>
          <t>dgaviria:</t>
        </r>
        <r>
          <rPr>
            <sz val="8"/>
            <color indexed="81"/>
            <rFont val="Tahoma"/>
            <family val="2"/>
          </rPr>
          <t xml:space="preserve">
Excludes a charge of $63 million for severance and a lease restructuring benefit of $33M.</t>
        </r>
      </text>
    </comment>
    <comment ref="CC81" authorId="1">
      <text>
        <r>
          <rPr>
            <b/>
            <sz val="8"/>
            <color indexed="81"/>
            <rFont val="Tahoma"/>
            <family val="2"/>
          </rPr>
          <t>dgaviria:</t>
        </r>
        <r>
          <rPr>
            <sz val="8"/>
            <color indexed="81"/>
            <rFont val="Tahoma"/>
            <family val="2"/>
          </rPr>
          <t xml:space="preserve">
Excludes a charge of $19 million for severance </t>
        </r>
      </text>
    </comment>
    <comment ref="CD81" authorId="1">
      <text>
        <r>
          <rPr>
            <b/>
            <sz val="8"/>
            <color indexed="81"/>
            <rFont val="Tahoma"/>
            <family val="2"/>
          </rPr>
          <t>dgaviria:</t>
        </r>
        <r>
          <rPr>
            <sz val="8"/>
            <color indexed="81"/>
            <rFont val="Tahoma"/>
            <family val="2"/>
          </rPr>
          <t xml:space="preserve">
Excludes a charge of $23 million for severance </t>
        </r>
      </text>
    </comment>
    <comment ref="A96" authorId="0">
      <text>
        <r>
          <rPr>
            <b/>
            <sz val="8"/>
            <color indexed="81"/>
            <rFont val="Tahoma"/>
            <family val="2"/>
          </rPr>
          <t>dgaviria:</t>
        </r>
        <r>
          <rPr>
            <sz val="8"/>
            <color indexed="81"/>
            <rFont val="Tahoma"/>
            <family val="2"/>
          </rPr>
          <t xml:space="preserve">
Our legacy services are primarily local, long distance, access, WAN, ISDN, and other more traditional telecommunications services. </t>
        </r>
      </text>
    </comment>
    <comment ref="A100" authorId="0">
      <text>
        <r>
          <rPr>
            <b/>
            <sz val="8"/>
            <color indexed="81"/>
            <rFont val="Tahoma"/>
            <family val="2"/>
          </rPr>
          <t>dgaviria:</t>
        </r>
        <r>
          <rPr>
            <sz val="8"/>
            <color indexed="81"/>
            <rFont val="Tahoma"/>
            <family val="2"/>
          </rPr>
          <t xml:space="preserve">
Our strategic services are primarily private line, broadband, Qwest iQ Networking®, hosting, video, VoIP and Verizon Wireless services.</t>
        </r>
      </text>
    </comment>
    <comment ref="A168" authorId="0">
      <text>
        <r>
          <rPr>
            <b/>
            <sz val="8"/>
            <color indexed="81"/>
            <rFont val="Tahoma"/>
            <family val="2"/>
          </rPr>
          <t>dgaviria:</t>
        </r>
        <r>
          <rPr>
            <sz val="8"/>
            <color indexed="81"/>
            <rFont val="Tahoma"/>
            <family val="2"/>
          </rPr>
          <t xml:space="preserve">
Our legacy services are primarily local, long distance, access, WAN, ISDN, and other more traditional telecommunications services. </t>
        </r>
      </text>
    </comment>
    <comment ref="A172" authorId="0">
      <text>
        <r>
          <rPr>
            <b/>
            <sz val="8"/>
            <color indexed="81"/>
            <rFont val="Tahoma"/>
            <family val="2"/>
          </rPr>
          <t>dgaviria:</t>
        </r>
        <r>
          <rPr>
            <sz val="8"/>
            <color indexed="81"/>
            <rFont val="Tahoma"/>
            <family val="2"/>
          </rPr>
          <t xml:space="preserve">
Our strategic services are primarily private line, broadband, Qwest iQ Networking®, hosting, video, VoIP and Verizon Wireless services.</t>
        </r>
      </text>
    </comment>
    <comment ref="A174" authorId="0">
      <text>
        <r>
          <rPr>
            <b/>
            <sz val="8"/>
            <color indexed="81"/>
            <rFont val="Tahoma"/>
            <family val="2"/>
          </rPr>
          <t>dgaviria:</t>
        </r>
        <r>
          <rPr>
            <sz val="8"/>
            <color indexed="81"/>
            <rFont val="Tahoma"/>
            <family val="2"/>
          </rPr>
          <t xml:space="preserve">
     Data integration is telecommunications equipment located on customers’ premises and related professional services. These services include network management, installation and maintenance of data equipment and building of proprietary fiber-optic broadband networks for our governmental and business customers. </t>
        </r>
      </text>
    </comment>
    <comment ref="A197" authorId="0">
      <text>
        <r>
          <rPr>
            <b/>
            <sz val="8"/>
            <color indexed="81"/>
            <rFont val="Tahoma"/>
            <family val="2"/>
          </rPr>
          <t>dgaviria:</t>
        </r>
        <r>
          <rPr>
            <sz val="8"/>
            <color indexed="81"/>
            <rFont val="Tahoma"/>
            <family val="2"/>
          </rPr>
          <t xml:space="preserve">
Our legacy services are primarily local, long distance, access, WAN, ISDN, and other more traditional telecommunications services. </t>
        </r>
      </text>
    </comment>
    <comment ref="A201" authorId="0">
      <text>
        <r>
          <rPr>
            <b/>
            <sz val="8"/>
            <color indexed="81"/>
            <rFont val="Tahoma"/>
            <family val="2"/>
          </rPr>
          <t>dgaviria:</t>
        </r>
        <r>
          <rPr>
            <sz val="8"/>
            <color indexed="81"/>
            <rFont val="Tahoma"/>
            <family val="2"/>
          </rPr>
          <t xml:space="preserve">
Our strategic services are primarily private line, broadband, Qwest iQ Networking®, hosting, video, VoIP and Verizon Wireless services.</t>
        </r>
      </text>
    </comment>
  </commentList>
</comments>
</file>

<file path=xl/comments18.xml><?xml version="1.0" encoding="utf-8"?>
<comments xmlns="http://schemas.openxmlformats.org/spreadsheetml/2006/main">
  <authors>
    <author>smythra</author>
    <author>wlsuch</author>
    <author>Smythra</author>
    <author>jessyau</author>
    <author>Daniel Gaviria</author>
  </authors>
  <commentList>
    <comment ref="BS24" authorId="0">
      <text>
        <r>
          <rPr>
            <sz val="8"/>
            <color indexed="8"/>
            <rFont val="Tahoma"/>
            <family val="2"/>
          </rPr>
          <t>from 10Q</t>
        </r>
      </text>
    </comment>
    <comment ref="BZ24" authorId="1">
      <text>
        <r>
          <rPr>
            <b/>
            <sz val="8"/>
            <color indexed="81"/>
            <rFont val="Tahoma"/>
            <family val="2"/>
          </rPr>
          <t>wlsuch:</t>
        </r>
        <r>
          <rPr>
            <sz val="8"/>
            <color indexed="81"/>
            <rFont val="Tahoma"/>
            <family val="2"/>
          </rPr>
          <t xml:space="preserve">
10-q</t>
        </r>
      </text>
    </comment>
    <comment ref="L56" authorId="2">
      <text>
        <r>
          <rPr>
            <b/>
            <sz val="8"/>
            <color indexed="8"/>
            <rFont val="Tahoma"/>
            <family val="2"/>
          </rPr>
          <t>Smythra:</t>
        </r>
        <r>
          <rPr>
            <sz val="8"/>
            <color indexed="8"/>
            <rFont val="Tahoma"/>
            <family val="2"/>
          </rPr>
          <t xml:space="preserve">
Oct 04 revised guidance to below $2 b for 2004</t>
        </r>
      </text>
    </comment>
    <comment ref="M56" authorId="2">
      <text>
        <r>
          <rPr>
            <b/>
            <sz val="10"/>
            <color indexed="8"/>
            <rFont val="Tahoma"/>
            <family val="2"/>
          </rPr>
          <t>Smythra:</t>
        </r>
        <r>
          <rPr>
            <sz val="10"/>
            <color indexed="8"/>
            <rFont val="Tahoma"/>
            <family val="2"/>
          </rPr>
          <t xml:space="preserve">
Nov 05 said 2005 capex would be less than 2004.
Aug 05 reiterated similar capex as 2004, around $1.7 bn
May 05 guidance (and prior) 2005 capex will be "similar" to 2004 level</t>
        </r>
      </text>
    </comment>
    <comment ref="N56" authorId="0">
      <text>
        <r>
          <rPr>
            <b/>
            <sz val="8"/>
            <color indexed="8"/>
            <rFont val="Tahoma"/>
            <family val="2"/>
          </rPr>
          <t>smythra:</t>
        </r>
        <r>
          <rPr>
            <sz val="8"/>
            <color indexed="8"/>
            <rFont val="Tahoma"/>
            <family val="2"/>
          </rPr>
          <t xml:space="preserve">
Feb 06 exp "slightly more in '06 than in '05"</t>
        </r>
      </text>
    </comment>
    <comment ref="O56" authorId="3">
      <text>
        <r>
          <rPr>
            <b/>
            <sz val="8"/>
            <color indexed="8"/>
            <rFont val="Tahoma"/>
            <family val="2"/>
          </rPr>
          <t>wlsuch:</t>
        </r>
        <r>
          <rPr>
            <sz val="8"/>
            <color indexed="8"/>
            <rFont val="Tahoma"/>
            <family val="2"/>
          </rPr>
          <t xml:space="preserve">
3Q07 call: 2007 is expected to approximate the 2006 level</t>
        </r>
      </text>
    </comment>
    <comment ref="P56" authorId="1">
      <text>
        <r>
          <rPr>
            <b/>
            <sz val="8"/>
            <color indexed="81"/>
            <rFont val="Tahoma"/>
            <family val="2"/>
          </rPr>
          <t>wlsuch:</t>
        </r>
        <r>
          <rPr>
            <sz val="8"/>
            <color indexed="81"/>
            <rFont val="Tahoma"/>
            <family val="2"/>
          </rPr>
          <t xml:space="preserve">
Guidance: Capex ~ $1.8bn</t>
        </r>
      </text>
    </comment>
    <comment ref="Q56" authorId="4">
      <text>
        <r>
          <rPr>
            <b/>
            <sz val="8"/>
            <color indexed="81"/>
            <rFont val="Tahoma"/>
            <family val="2"/>
          </rPr>
          <t>Daniel Gaviria:</t>
        </r>
        <r>
          <rPr>
            <sz val="8"/>
            <color indexed="81"/>
            <rFont val="Tahoma"/>
            <family val="2"/>
          </rPr>
          <t xml:space="preserve">
New Guidance (3Q09): lower than $1.6B</t>
        </r>
      </text>
    </comment>
    <comment ref="R56" authorId="4">
      <text>
        <r>
          <rPr>
            <b/>
            <sz val="8"/>
            <color indexed="81"/>
            <rFont val="Tahoma"/>
            <family val="2"/>
          </rPr>
          <t>Daniel Gaviria:</t>
        </r>
        <r>
          <rPr>
            <sz val="8"/>
            <color indexed="81"/>
            <rFont val="Tahoma"/>
            <family val="2"/>
          </rPr>
          <t xml:space="preserve">
Capital investments to be approximately $1.7 billion with approximately $150 million financed by leasing.</t>
        </r>
      </text>
    </comment>
    <comment ref="BZ56" authorId="4">
      <text>
        <r>
          <rPr>
            <b/>
            <sz val="8"/>
            <color indexed="81"/>
            <rFont val="Tahoma"/>
            <family val="2"/>
          </rPr>
          <t>Daniel Gaviria:</t>
        </r>
        <r>
          <rPr>
            <sz val="8"/>
            <color indexed="81"/>
            <rFont val="Tahoma"/>
            <family val="2"/>
          </rPr>
          <t xml:space="preserve">
1Q08 Call
"Capital expenditures were higher compared to the previous year partially to support
our investment in Fiber-to-the-Node build-out. Overall broadband related investments across the
company were 59% of total capital investments in the quarter, up from 50% for all of 2007."</t>
        </r>
      </text>
    </comment>
  </commentList>
</comments>
</file>

<file path=xl/comments19.xml><?xml version="1.0" encoding="utf-8"?>
<comments xmlns="http://schemas.openxmlformats.org/spreadsheetml/2006/main">
  <authors>
    <author>dehaisb</author>
    <author>dgaviria</author>
    <author>Hannah Morhaim</author>
  </authors>
  <commentList>
    <comment ref="V18" authorId="0">
      <text>
        <r>
          <rPr>
            <b/>
            <sz val="8"/>
            <color indexed="81"/>
            <rFont val="Tahoma"/>
            <family val="2"/>
          </rPr>
          <t>dehaisb:</t>
        </r>
        <r>
          <rPr>
            <sz val="8"/>
            <color indexed="81"/>
            <rFont val="Tahoma"/>
            <family val="2"/>
          </rPr>
          <t xml:space="preserve">
Harcoded numbers in model CTL.xls, segment breakdown tab, cell BB18</t>
        </r>
      </text>
    </comment>
    <comment ref="W18" authorId="0">
      <text>
        <r>
          <rPr>
            <b/>
            <sz val="8"/>
            <color indexed="81"/>
            <rFont val="Tahoma"/>
            <family val="2"/>
          </rPr>
          <t>dehaisb:</t>
        </r>
        <r>
          <rPr>
            <sz val="8"/>
            <color indexed="81"/>
            <rFont val="Tahoma"/>
            <family val="2"/>
          </rPr>
          <t xml:space="preserve">
Harcoded numbers in model CTL.xls, segment breakdown tab, cell BC18</t>
        </r>
      </text>
    </comment>
    <comment ref="X18" authorId="0">
      <text>
        <r>
          <rPr>
            <b/>
            <sz val="8"/>
            <color indexed="81"/>
            <rFont val="Tahoma"/>
            <family val="2"/>
          </rPr>
          <t>dehaisb:</t>
        </r>
        <r>
          <rPr>
            <sz val="8"/>
            <color indexed="81"/>
            <rFont val="Tahoma"/>
            <family val="2"/>
          </rPr>
          <t xml:space="preserve">
Harcoded numbers in model CTL.xls, segment breakdown tab, cell BD18</t>
        </r>
      </text>
    </comment>
    <comment ref="AA18" authorId="0">
      <text>
        <r>
          <rPr>
            <b/>
            <sz val="8"/>
            <color indexed="81"/>
            <rFont val="Tahoma"/>
            <family val="2"/>
          </rPr>
          <t>dgaviria:</t>
        </r>
        <r>
          <rPr>
            <sz val="8"/>
            <color indexed="81"/>
            <rFont val="Tahoma"/>
            <family val="2"/>
          </rPr>
          <t xml:space="preserve">
Guidance feb 25 2010
$1.77 to $1.80B</t>
        </r>
      </text>
    </comment>
    <comment ref="AB18" authorId="0">
      <text>
        <r>
          <rPr>
            <b/>
            <sz val="8"/>
            <color indexed="81"/>
            <rFont val="Tahoma"/>
            <family val="2"/>
          </rPr>
          <t>dgaviria:</t>
        </r>
        <r>
          <rPr>
            <sz val="8"/>
            <color indexed="81"/>
            <rFont val="Tahoma"/>
            <family val="2"/>
          </rPr>
          <t xml:space="preserve">
Guidance May 5 2010
$1.745 to $1.775B</t>
        </r>
      </text>
    </comment>
    <comment ref="AE18" authorId="0">
      <text>
        <r>
          <rPr>
            <b/>
            <sz val="8"/>
            <color indexed="81"/>
            <rFont val="Tahoma"/>
            <family val="2"/>
          </rPr>
          <t>dgaviria:</t>
        </r>
        <r>
          <rPr>
            <sz val="8"/>
            <color indexed="81"/>
            <rFont val="Tahoma"/>
            <family val="2"/>
          </rPr>
          <t xml:space="preserve">
Guidance feb 25 2010
$1.77 to $1.80B</t>
        </r>
      </text>
    </comment>
    <comment ref="AF18" authorId="0">
      <text>
        <r>
          <rPr>
            <b/>
            <sz val="8"/>
            <color indexed="81"/>
            <rFont val="Tahoma"/>
            <family val="2"/>
          </rPr>
          <t>dgaviria:</t>
        </r>
        <r>
          <rPr>
            <sz val="8"/>
            <color indexed="81"/>
            <rFont val="Tahoma"/>
            <family val="2"/>
          </rPr>
          <t xml:space="preserve">
Guidance May 5 2010
$1.745 to $1.775B</t>
        </r>
      </text>
    </comment>
    <comment ref="A21" authorId="0">
      <text>
        <r>
          <rPr>
            <b/>
            <sz val="8"/>
            <color indexed="81"/>
            <rFont val="Tahoma"/>
            <family val="2"/>
          </rPr>
          <t>dehaisb:</t>
        </r>
        <r>
          <rPr>
            <sz val="8"/>
            <color indexed="81"/>
            <rFont val="Tahoma"/>
            <family val="2"/>
          </rPr>
          <t xml:space="preserve">
Considered as "voice revenues"</t>
        </r>
      </text>
    </comment>
    <comment ref="A22" authorId="0">
      <text>
        <r>
          <rPr>
            <b/>
            <sz val="8"/>
            <color indexed="81"/>
            <rFont val="Tahoma"/>
            <family val="2"/>
          </rPr>
          <t>dehaisb:</t>
        </r>
        <r>
          <rPr>
            <sz val="8"/>
            <color indexed="81"/>
            <rFont val="Tahoma"/>
            <family val="2"/>
          </rPr>
          <t xml:space="preserve">
Cinsidered as "other revenues"</t>
        </r>
      </text>
    </comment>
    <comment ref="A23" authorId="0">
      <text>
        <r>
          <rPr>
            <b/>
            <sz val="8"/>
            <color indexed="81"/>
            <rFont val="Tahoma"/>
            <family val="2"/>
          </rPr>
          <t>dehaisb:</t>
        </r>
        <r>
          <rPr>
            <sz val="8"/>
            <color indexed="81"/>
            <rFont val="Tahoma"/>
            <family val="2"/>
          </rPr>
          <t xml:space="preserve">
Considered as "data revenues"</t>
        </r>
      </text>
    </comment>
    <comment ref="A24" authorId="0">
      <text>
        <r>
          <rPr>
            <b/>
            <sz val="8"/>
            <color indexed="81"/>
            <rFont val="Tahoma"/>
            <family val="2"/>
          </rPr>
          <t>dehaisb:</t>
        </r>
        <r>
          <rPr>
            <sz val="8"/>
            <color indexed="81"/>
            <rFont val="Tahoma"/>
            <family val="2"/>
          </rPr>
          <t xml:space="preserve">
Considered as "other revenues"</t>
        </r>
      </text>
    </comment>
    <comment ref="A25" authorId="0">
      <text>
        <r>
          <rPr>
            <b/>
            <sz val="8"/>
            <color indexed="81"/>
            <rFont val="Tahoma"/>
            <family val="2"/>
          </rPr>
          <t>dehaisb:</t>
        </r>
        <r>
          <rPr>
            <sz val="8"/>
            <color indexed="81"/>
            <rFont val="Tahoma"/>
            <family val="2"/>
          </rPr>
          <t xml:space="preserve">
Considered as other revenues</t>
        </r>
      </text>
    </comment>
    <comment ref="V36" authorId="0">
      <text>
        <r>
          <rPr>
            <b/>
            <sz val="8"/>
            <color indexed="81"/>
            <rFont val="Tahoma"/>
            <family val="2"/>
          </rPr>
          <t>dgaviria:</t>
        </r>
        <r>
          <rPr>
            <sz val="8"/>
            <color indexed="81"/>
            <rFont val="Tahoma"/>
            <family val="2"/>
          </rPr>
          <t xml:space="preserve">
using % of cash opex seen in 4Q09</t>
        </r>
      </text>
    </comment>
    <comment ref="Y36" authorId="0">
      <text>
        <r>
          <rPr>
            <b/>
            <sz val="8"/>
            <color indexed="81"/>
            <rFont val="Tahoma"/>
            <family val="2"/>
          </rPr>
          <t>dgaviria:</t>
        </r>
        <r>
          <rPr>
            <sz val="8"/>
            <color indexed="81"/>
            <rFont val="Tahoma"/>
            <family val="2"/>
          </rPr>
          <t xml:space="preserve">
adjustment made by company in 4Q</t>
        </r>
      </text>
    </comment>
    <comment ref="V37" authorId="0">
      <text>
        <r>
          <rPr>
            <b/>
            <sz val="8"/>
            <color indexed="81"/>
            <rFont val="Tahoma"/>
            <family val="2"/>
          </rPr>
          <t xml:space="preserve">dgaviria:
</t>
        </r>
        <r>
          <rPr>
            <sz val="8"/>
            <color indexed="81"/>
            <rFont val="Tahoma"/>
            <family val="2"/>
          </rPr>
          <t>using % of cash opex seen in 4Q09</t>
        </r>
      </text>
    </comment>
    <comment ref="R38" authorId="0">
      <text>
        <r>
          <rPr>
            <b/>
            <sz val="8"/>
            <color indexed="81"/>
            <rFont val="Tahoma"/>
            <family val="2"/>
          </rPr>
          <t>katzedwa:</t>
        </r>
        <r>
          <rPr>
            <sz val="8"/>
            <color indexed="81"/>
            <rFont val="Tahoma"/>
            <family val="2"/>
          </rPr>
          <t xml:space="preserve">
Change to reflecct amortization expense associated with customer relationship asset estimated to adjust value of intangible assets assuming a useful life of 8 years</t>
        </r>
      </text>
    </comment>
    <comment ref="V38" authorId="0">
      <text>
        <r>
          <rPr>
            <b/>
            <sz val="8"/>
            <color indexed="81"/>
            <rFont val="Tahoma"/>
            <family val="2"/>
          </rPr>
          <t xml:space="preserve">dgaviria:
</t>
        </r>
        <r>
          <rPr>
            <sz val="8"/>
            <color indexed="81"/>
            <rFont val="Tahoma"/>
            <family val="2"/>
          </rPr>
          <t>Proforma provided by company on Feb 25 2010</t>
        </r>
      </text>
    </comment>
    <comment ref="V39" authorId="0">
      <text>
        <r>
          <rPr>
            <b/>
            <sz val="8"/>
            <color indexed="81"/>
            <rFont val="Tahoma"/>
            <family val="2"/>
          </rPr>
          <t xml:space="preserve">dgaviria:
</t>
        </r>
        <r>
          <rPr>
            <sz val="8"/>
            <color indexed="81"/>
            <rFont val="Tahoma"/>
            <family val="2"/>
          </rPr>
          <t>Proforma provided by company on Feb 25 2010</t>
        </r>
      </text>
    </comment>
    <comment ref="Y42" authorId="1">
      <text>
        <r>
          <rPr>
            <b/>
            <sz val="8"/>
            <color indexed="81"/>
            <rFont val="Tahoma"/>
            <family val="2"/>
          </rPr>
          <t>dgaviria:</t>
        </r>
        <r>
          <rPr>
            <sz val="8"/>
            <color indexed="81"/>
            <rFont val="Tahoma"/>
            <family val="2"/>
          </rPr>
          <t xml:space="preserve">
$16M in legal reserve</t>
        </r>
      </text>
    </comment>
    <comment ref="S43" authorId="0">
      <text>
        <r>
          <rPr>
            <b/>
            <sz val="8"/>
            <color indexed="81"/>
            <rFont val="Tahoma"/>
            <family val="2"/>
          </rPr>
          <t>dgaviria:</t>
        </r>
        <r>
          <rPr>
            <sz val="8"/>
            <color indexed="81"/>
            <rFont val="Tahoma"/>
            <family val="2"/>
          </rPr>
          <t xml:space="preserve">
ex $45 in realignement and severance related costs</t>
        </r>
      </text>
    </comment>
    <comment ref="T43" authorId="1">
      <text>
        <r>
          <rPr>
            <b/>
            <sz val="8"/>
            <color indexed="81"/>
            <rFont val="Tahoma"/>
            <family val="2"/>
          </rPr>
          <t>dgaviria:</t>
        </r>
        <r>
          <rPr>
            <sz val="8"/>
            <color indexed="81"/>
            <rFont val="Tahoma"/>
            <family val="2"/>
          </rPr>
          <t xml:space="preserve">
ex $2 in realignement and severance costss</t>
        </r>
      </text>
    </comment>
    <comment ref="U43" authorId="1">
      <text>
        <r>
          <rPr>
            <b/>
            <sz val="8"/>
            <color indexed="81"/>
            <rFont val="Tahoma"/>
            <family val="2"/>
          </rPr>
          <t>dgaviria:</t>
        </r>
        <r>
          <rPr>
            <sz val="8"/>
            <color indexed="81"/>
            <rFont val="Tahoma"/>
            <family val="2"/>
          </rPr>
          <t xml:space="preserve">
ex $30 in realignement and severance costss</t>
        </r>
      </text>
    </comment>
    <comment ref="V43" authorId="1">
      <text>
        <r>
          <rPr>
            <b/>
            <sz val="8"/>
            <color indexed="81"/>
            <rFont val="Tahoma"/>
            <family val="2"/>
          </rPr>
          <t>dgaviria:</t>
        </r>
        <r>
          <rPr>
            <sz val="8"/>
            <color indexed="81"/>
            <rFont val="Tahoma"/>
            <family val="2"/>
          </rPr>
          <t xml:space="preserve">
ex $19 in realignement and severance costss</t>
        </r>
      </text>
    </comment>
    <comment ref="W43" authorId="1">
      <text>
        <r>
          <rPr>
            <b/>
            <sz val="8"/>
            <color indexed="81"/>
            <rFont val="Tahoma"/>
            <family val="2"/>
          </rPr>
          <t>dgaviria:</t>
        </r>
        <r>
          <rPr>
            <sz val="8"/>
            <color indexed="81"/>
            <rFont val="Tahoma"/>
            <family val="2"/>
          </rPr>
          <t xml:space="preserve">
ex $23 in realignement and severance costss</t>
        </r>
      </text>
    </comment>
    <comment ref="X43" authorId="1">
      <text>
        <r>
          <rPr>
            <b/>
            <sz val="8"/>
            <color indexed="81"/>
            <rFont val="Tahoma"/>
            <family val="2"/>
          </rPr>
          <t>dgaviria:</t>
        </r>
        <r>
          <rPr>
            <sz val="8"/>
            <color indexed="81"/>
            <rFont val="Tahoma"/>
            <family val="2"/>
          </rPr>
          <t xml:space="preserve">
ex $23 in realignement and severance costss</t>
        </r>
      </text>
    </comment>
    <comment ref="Y43" authorId="1">
      <text>
        <r>
          <rPr>
            <b/>
            <sz val="8"/>
            <color indexed="81"/>
            <rFont val="Tahoma"/>
            <family val="2"/>
          </rPr>
          <t>dgaviria:</t>
        </r>
        <r>
          <rPr>
            <sz val="8"/>
            <color indexed="81"/>
            <rFont val="Tahoma"/>
            <family val="2"/>
          </rPr>
          <t xml:space="preserve">
ex $11 in realignement and severance costss</t>
        </r>
      </text>
    </comment>
    <comment ref="Z43" authorId="1">
      <text>
        <r>
          <rPr>
            <b/>
            <sz val="8"/>
            <color indexed="81"/>
            <rFont val="Tahoma"/>
            <family val="2"/>
          </rPr>
          <t>dgaviria:</t>
        </r>
        <r>
          <rPr>
            <sz val="8"/>
            <color indexed="81"/>
            <rFont val="Tahoma"/>
            <family val="2"/>
          </rPr>
          <t xml:space="preserve">
ex $56 in realignement and severance costss</t>
        </r>
      </text>
    </comment>
    <comment ref="AA43" authorId="2">
      <text>
        <r>
          <rPr>
            <b/>
            <sz val="8"/>
            <color indexed="81"/>
            <rFont val="Tahoma"/>
            <family val="2"/>
          </rPr>
          <t>Hannah Morhaim:</t>
        </r>
        <r>
          <rPr>
            <sz val="8"/>
            <color indexed="81"/>
            <rFont val="Tahoma"/>
            <family val="2"/>
          </rPr>
          <t xml:space="preserve">
ex $11 in realignement and severance costss</t>
        </r>
      </text>
    </comment>
    <comment ref="AE43" authorId="2">
      <text>
        <r>
          <rPr>
            <b/>
            <sz val="8"/>
            <color indexed="81"/>
            <rFont val="Tahoma"/>
            <family val="2"/>
          </rPr>
          <t>Hannah Morhaim:</t>
        </r>
        <r>
          <rPr>
            <sz val="8"/>
            <color indexed="81"/>
            <rFont val="Tahoma"/>
            <family val="2"/>
          </rPr>
          <t xml:space="preserve">
ex $11 in realignement and severance costss</t>
        </r>
      </text>
    </comment>
    <comment ref="R59" authorId="0">
      <text>
        <r>
          <rPr>
            <b/>
            <sz val="8"/>
            <color indexed="81"/>
            <rFont val="Tahoma"/>
            <family val="2"/>
          </rPr>
          <t>katzedwa:</t>
        </r>
        <r>
          <rPr>
            <sz val="8"/>
            <color indexed="81"/>
            <rFont val="Tahoma"/>
            <family val="2"/>
          </rPr>
          <t xml:space="preserve">
To reflect amortization expense associated with the customer relationship asset estimated in the balance sheet adjustments to investments and other assets assuming an estimated useful life of 8 years (which corresponds to an increase in depreciation and amortization of $163 million for the year ended December 31, 2007 and $122 million for the nine months ended September 30, 2008). </t>
        </r>
      </text>
    </comment>
    <comment ref="R72" authorId="0">
      <text>
        <r>
          <rPr>
            <b/>
            <sz val="8"/>
            <color indexed="81"/>
            <rFont val="Tahoma"/>
            <family val="2"/>
          </rPr>
          <t>katzedwa:</t>
        </r>
        <r>
          <rPr>
            <sz val="8"/>
            <color indexed="81"/>
            <rFont val="Tahoma"/>
            <family val="2"/>
          </rPr>
          <t xml:space="preserve">
To reflect the tax effects of previous adjustments to depreciation and interest expense using an estimated effective income tax rate of 37.4%. </t>
        </r>
      </text>
    </comment>
    <comment ref="X75" authorId="1">
      <text>
        <r>
          <rPr>
            <b/>
            <sz val="8"/>
            <color indexed="81"/>
            <rFont val="Tahoma"/>
            <family val="2"/>
          </rPr>
          <t>dgaviria:</t>
        </r>
        <r>
          <rPr>
            <sz val="8"/>
            <color indexed="81"/>
            <rFont val="Tahoma"/>
            <family val="2"/>
          </rPr>
          <t xml:space="preserve">
$83M in previously unrecognized tax benefits</t>
        </r>
      </text>
    </comment>
    <comment ref="AA75" authorId="2">
      <text>
        <r>
          <rPr>
            <b/>
            <sz val="8"/>
            <color indexed="81"/>
            <rFont val="Tahoma"/>
            <family val="2"/>
          </rPr>
          <t>Hannah Morhaim:</t>
        </r>
        <r>
          <rPr>
            <sz val="8"/>
            <color indexed="81"/>
            <rFont val="Tahoma"/>
            <family val="2"/>
          </rPr>
          <t xml:space="preserve">
- $11mn realigment, severance and related costs
- ($113mn) Disallowance for federal income tax deductions
- $42mn loss on early retirement of debt</t>
        </r>
      </text>
    </comment>
    <comment ref="AE75" authorId="2">
      <text>
        <r>
          <rPr>
            <b/>
            <sz val="8"/>
            <color indexed="81"/>
            <rFont val="Tahoma"/>
            <family val="2"/>
          </rPr>
          <t>Hannah Morhaim:</t>
        </r>
        <r>
          <rPr>
            <sz val="8"/>
            <color indexed="81"/>
            <rFont val="Tahoma"/>
            <family val="2"/>
          </rPr>
          <t xml:space="preserve">
- $11mn realigment, severance and related costs
- ($113mn) Disallowance for federal income tax deductions
- $42mn loss on early retirement of debt</t>
        </r>
      </text>
    </comment>
  </commentList>
</comments>
</file>

<file path=xl/comments20.xml><?xml version="1.0" encoding="utf-8"?>
<comments xmlns="http://schemas.openxmlformats.org/spreadsheetml/2006/main">
  <authors>
    <author>dehaisb</author>
    <author>Daniel Gaviria</author>
    <author>wlsuch</author>
  </authors>
  <commentList>
    <comment ref="F12" authorId="0">
      <text>
        <r>
          <rPr>
            <b/>
            <sz val="8"/>
            <color indexed="81"/>
            <rFont val="Tahoma"/>
            <family val="2"/>
          </rPr>
          <t xml:space="preserve">katzedwa:
</t>
        </r>
        <r>
          <rPr>
            <sz val="8"/>
            <color indexed="81"/>
            <rFont val="Tahoma"/>
            <family val="2"/>
          </rPr>
          <t>for MW, pending pro-forma BS</t>
        </r>
      </text>
    </comment>
    <comment ref="G12" authorId="0">
      <text>
        <r>
          <rPr>
            <b/>
            <sz val="8"/>
            <color indexed="81"/>
            <rFont val="Tahoma"/>
            <family val="2"/>
          </rPr>
          <t xml:space="preserve">katzedwa:
</t>
        </r>
        <r>
          <rPr>
            <sz val="8"/>
            <color indexed="81"/>
            <rFont val="Tahoma"/>
            <family val="2"/>
          </rPr>
          <t>for MW, pending pro-forma BS</t>
        </r>
      </text>
    </comment>
    <comment ref="H12" authorId="0">
      <text>
        <r>
          <rPr>
            <b/>
            <sz val="8"/>
            <color indexed="81"/>
            <rFont val="Tahoma"/>
            <family val="2"/>
          </rPr>
          <t xml:space="preserve">katzedwa:
</t>
        </r>
        <r>
          <rPr>
            <sz val="8"/>
            <color indexed="81"/>
            <rFont val="Tahoma"/>
            <family val="2"/>
          </rPr>
          <t>for MW, pending pro-forma BS</t>
        </r>
      </text>
    </comment>
    <comment ref="I12" authorId="0">
      <text>
        <r>
          <rPr>
            <b/>
            <sz val="8"/>
            <color indexed="81"/>
            <rFont val="Tahoma"/>
            <family val="2"/>
          </rPr>
          <t xml:space="preserve">katzedwa:
</t>
        </r>
        <r>
          <rPr>
            <sz val="8"/>
            <color indexed="81"/>
            <rFont val="Tahoma"/>
            <family val="2"/>
          </rPr>
          <t>for MW, pending pro-forma BS</t>
        </r>
      </text>
    </comment>
    <comment ref="F21" authorId="0">
      <text>
        <r>
          <rPr>
            <b/>
            <sz val="8"/>
            <color indexed="81"/>
            <rFont val="Tahoma"/>
            <family val="2"/>
          </rPr>
          <t xml:space="preserve">katzedwa:
</t>
        </r>
        <r>
          <rPr>
            <sz val="8"/>
            <color indexed="81"/>
            <rFont val="Tahoma"/>
            <family val="2"/>
          </rPr>
          <t>for MW, pending pro-forma BS</t>
        </r>
      </text>
    </comment>
    <comment ref="G21" authorId="0">
      <text>
        <r>
          <rPr>
            <b/>
            <sz val="8"/>
            <color indexed="81"/>
            <rFont val="Tahoma"/>
            <family val="2"/>
          </rPr>
          <t xml:space="preserve">katzedwa:
</t>
        </r>
        <r>
          <rPr>
            <sz val="8"/>
            <color indexed="81"/>
            <rFont val="Tahoma"/>
            <family val="2"/>
          </rPr>
          <t>for MW, pending pro-forma BS</t>
        </r>
      </text>
    </comment>
    <comment ref="H21" authorId="0">
      <text>
        <r>
          <rPr>
            <b/>
            <sz val="8"/>
            <color indexed="81"/>
            <rFont val="Tahoma"/>
            <family val="2"/>
          </rPr>
          <t xml:space="preserve">katzedwa:
</t>
        </r>
        <r>
          <rPr>
            <sz val="8"/>
            <color indexed="81"/>
            <rFont val="Tahoma"/>
            <family val="2"/>
          </rPr>
          <t>for MW, pending pro-forma BS</t>
        </r>
      </text>
    </comment>
    <comment ref="I21" authorId="0">
      <text>
        <r>
          <rPr>
            <b/>
            <sz val="8"/>
            <color indexed="81"/>
            <rFont val="Tahoma"/>
            <family val="2"/>
          </rPr>
          <t xml:space="preserve">katzedwa:
</t>
        </r>
        <r>
          <rPr>
            <sz val="8"/>
            <color indexed="81"/>
            <rFont val="Tahoma"/>
            <family val="2"/>
          </rPr>
          <t>for MW, pending pro-forma BS</t>
        </r>
      </text>
    </comment>
    <comment ref="U41" authorId="0">
      <text>
        <r>
          <rPr>
            <b/>
            <sz val="8"/>
            <color indexed="81"/>
            <rFont val="Tahoma"/>
            <family val="2"/>
          </rPr>
          <t>katzedwa:</t>
        </r>
        <r>
          <rPr>
            <sz val="8"/>
            <color indexed="81"/>
            <rFont val="Tahoma"/>
            <family val="2"/>
          </rPr>
          <t xml:space="preserve">
Change to reflect the elimination of EQ's stockholders' equity balances as of 09/30/2008 and to reflect the issuance of 194.7mm shares of CTL common stock (valued at $4.988bn)</t>
        </r>
      </text>
    </comment>
    <comment ref="U42" authorId="0">
      <text>
        <r>
          <rPr>
            <b/>
            <sz val="8"/>
            <color indexed="81"/>
            <rFont val="Tahoma"/>
            <family val="2"/>
          </rPr>
          <t>katzedwa:</t>
        </r>
        <r>
          <rPr>
            <sz val="8"/>
            <color indexed="81"/>
            <rFont val="Tahoma"/>
            <family val="2"/>
          </rPr>
          <t xml:space="preserve">
Change to reflect the elimination of EQ's stockholders' equity balances as of 09/30/2008 and to reflect the issuance of 194.7mm shares of CTL common stock (valued at $4.988bn)</t>
        </r>
      </text>
    </comment>
    <comment ref="U43" authorId="0">
      <text>
        <r>
          <rPr>
            <b/>
            <sz val="8"/>
            <color indexed="81"/>
            <rFont val="Tahoma"/>
            <family val="2"/>
          </rPr>
          <t>katzedwa:</t>
        </r>
        <r>
          <rPr>
            <sz val="8"/>
            <color indexed="81"/>
            <rFont val="Tahoma"/>
            <family val="2"/>
          </rPr>
          <t xml:space="preserve">
Change to reflect the elimination of EQ's stockholders' equity balances as of 09/30/2008 and to reflect the issuance of 194.7mm shares of CTL common stock (valued at $4.988bn)</t>
        </r>
      </text>
    </comment>
    <comment ref="U44" authorId="0">
      <text>
        <r>
          <rPr>
            <b/>
            <sz val="8"/>
            <color indexed="81"/>
            <rFont val="Tahoma"/>
            <family val="2"/>
          </rPr>
          <t>katzedwa:</t>
        </r>
        <r>
          <rPr>
            <sz val="8"/>
            <color indexed="81"/>
            <rFont val="Tahoma"/>
            <family val="2"/>
          </rPr>
          <t xml:space="preserve">
Change to reflect the elimination of EQ's stockholders' equity balances as of 09/30/2008 and to reflect the issuance of 194.7mm shares of CTL common stock (valued at $4.988bn)</t>
        </r>
      </text>
    </comment>
    <comment ref="U45" authorId="0">
      <text>
        <r>
          <rPr>
            <b/>
            <sz val="8"/>
            <color indexed="81"/>
            <rFont val="Tahoma"/>
            <family val="2"/>
          </rPr>
          <t>katzedwa:</t>
        </r>
        <r>
          <rPr>
            <sz val="8"/>
            <color indexed="81"/>
            <rFont val="Tahoma"/>
            <family val="2"/>
          </rPr>
          <t xml:space="preserve">
Change to reflect the elimination of EQ's stockholders' equity balances as of 09/30/2008 and to reflect the issuance of 194.7mm shares of CTL common stock (valued at $4.988bn)</t>
        </r>
      </text>
    </comment>
    <comment ref="W45" authorId="0">
      <text>
        <r>
          <rPr>
            <b/>
            <sz val="8"/>
            <color indexed="81"/>
            <rFont val="Tahoma"/>
            <family val="2"/>
          </rPr>
          <t>dgaviria:</t>
        </r>
        <r>
          <rPr>
            <sz val="8"/>
            <color indexed="81"/>
            <rFont val="Tahoma"/>
            <family val="2"/>
          </rPr>
          <t xml:space="preserve">
Proforma provided by company on Feb 25 2010
Annual does not match w/ qrts. There is a $9.15M difference in the FAS 71 intercompany amounts backed out. </t>
        </r>
      </text>
    </comment>
    <comment ref="T101" authorId="1">
      <text>
        <r>
          <rPr>
            <b/>
            <sz val="8"/>
            <color indexed="8"/>
            <rFont val="Tahoma"/>
            <family val="2"/>
          </rPr>
          <t>Daniel Gaviria:</t>
        </r>
        <r>
          <rPr>
            <sz val="8"/>
            <color indexed="8"/>
            <rFont val="Tahoma"/>
            <family val="2"/>
          </rPr>
          <t xml:space="preserve">
Includes a $63M in settlement payments ($190 for the remainder of the year)
</t>
        </r>
        <r>
          <rPr>
            <b/>
            <sz val="8"/>
            <color indexed="8"/>
            <rFont val="Tahoma"/>
            <family val="2"/>
          </rPr>
          <t>From 1Q08 call</t>
        </r>
        <r>
          <rPr>
            <sz val="8"/>
            <color indexed="8"/>
            <rFont val="Tahoma"/>
            <family val="2"/>
          </rPr>
          <t xml:space="preserve">
"We anticipate making payments in the remaining nine months of 2008 totaling approximately $90 million related to settlements we reached in 2007 with a number of persons that were excluded from the settlement class for the consolidated securities action. Additionally, we anticipate that in the remaining nine months of 2008 we will make net payments of approximately $100 million related to tax settlements for prior periods."</t>
        </r>
      </text>
    </comment>
    <comment ref="U101" authorId="1">
      <text>
        <r>
          <rPr>
            <b/>
            <sz val="8"/>
            <color indexed="8"/>
            <rFont val="Tahoma"/>
            <family val="2"/>
          </rPr>
          <t>Daniel Gaviria:</t>
        </r>
        <r>
          <rPr>
            <sz val="8"/>
            <color indexed="8"/>
            <rFont val="Tahoma"/>
            <family val="2"/>
          </rPr>
          <t xml:space="preserve">
Includes a $63M in settlement payments ($190 for the remainder of the year)
</t>
        </r>
        <r>
          <rPr>
            <b/>
            <sz val="8"/>
            <color indexed="8"/>
            <rFont val="Tahoma"/>
            <family val="2"/>
          </rPr>
          <t>From 1Q08 call</t>
        </r>
        <r>
          <rPr>
            <sz val="8"/>
            <color indexed="8"/>
            <rFont val="Tahoma"/>
            <family val="2"/>
          </rPr>
          <t xml:space="preserve">
"We anticipate making payments in the remaining nine months of 2008 totaling approximately $90 million related to settlements we reached in 2007 with a number of persons that were excluded from the settlement class for the consolidated securities action. Additionally, we anticipate that in the remaining nine months of 2008 we will make net payments of approximately $100 million related to tax settlements for prior periods."</t>
        </r>
      </text>
    </comment>
    <comment ref="O111" authorId="0">
      <text>
        <r>
          <rPr>
            <b/>
            <sz val="8"/>
            <color indexed="81"/>
            <rFont val="Tahoma"/>
            <family val="2"/>
          </rPr>
          <t>katzedwa:</t>
        </r>
        <r>
          <rPr>
            <sz val="8"/>
            <color indexed="81"/>
            <rFont val="Tahoma"/>
            <family val="2"/>
          </rPr>
          <t xml:space="preserve">
EQ restated lines in 1Q08</t>
        </r>
      </text>
    </comment>
    <comment ref="P111" authorId="0">
      <text>
        <r>
          <rPr>
            <b/>
            <sz val="8"/>
            <color indexed="81"/>
            <rFont val="Tahoma"/>
            <family val="2"/>
          </rPr>
          <t>katzedwa:</t>
        </r>
        <r>
          <rPr>
            <sz val="8"/>
            <color indexed="81"/>
            <rFont val="Tahoma"/>
            <family val="2"/>
          </rPr>
          <t xml:space="preserve">
EQ restated lines in 1Q08</t>
        </r>
      </text>
    </comment>
    <comment ref="Q111" authorId="0">
      <text>
        <r>
          <rPr>
            <b/>
            <sz val="8"/>
            <color indexed="81"/>
            <rFont val="Tahoma"/>
            <family val="2"/>
          </rPr>
          <t>katzedwa:</t>
        </r>
        <r>
          <rPr>
            <sz val="8"/>
            <color indexed="81"/>
            <rFont val="Tahoma"/>
            <family val="2"/>
          </rPr>
          <t xml:space="preserve">
EQ restated lines in 1Q08</t>
        </r>
      </text>
    </comment>
    <comment ref="R111" authorId="0">
      <text>
        <r>
          <rPr>
            <b/>
            <sz val="8"/>
            <color indexed="81"/>
            <rFont val="Tahoma"/>
            <family val="2"/>
          </rPr>
          <t>katzedwa:
EQ restated lines in 1Q08
dgaviria:
CenturyLink re-stated line counts. IR provided count going back to 2Q08. 
For periods before 2Q08 we adjusted the line counts w/ the same 10,260 upwards revision seen in 2Q08</t>
        </r>
      </text>
    </comment>
    <comment ref="S111" authorId="0">
      <text>
        <r>
          <rPr>
            <b/>
            <sz val="8"/>
            <color indexed="81"/>
            <rFont val="Tahoma"/>
            <family val="2"/>
          </rPr>
          <t>dgaviria:
CenturyLink re-stated line counts. IR provided count going back to 2Q08. 
For periods before 2Q08 we adjusted the line counts w/ the same 10,260 upwards revision seen in 2Q08</t>
        </r>
      </text>
    </comment>
    <comment ref="T111" authorId="0">
      <text>
        <r>
          <rPr>
            <b/>
            <sz val="8"/>
            <color indexed="81"/>
            <rFont val="Tahoma"/>
            <family val="2"/>
          </rPr>
          <t>dgaviria:
new line count as of 3Q09
Re-stated count now 10.260 higher than before in 2Q08</t>
        </r>
      </text>
    </comment>
    <comment ref="U111" authorId="0">
      <text>
        <r>
          <rPr>
            <b/>
            <sz val="8"/>
            <color indexed="81"/>
            <rFont val="Tahoma"/>
            <family val="2"/>
          </rPr>
          <t>dgaviria:
new line count as of 3Q09
Re-stated count now 12,660 higher than before in 3Q08</t>
        </r>
      </text>
    </comment>
    <comment ref="V111" authorId="0">
      <text>
        <r>
          <rPr>
            <b/>
            <sz val="8"/>
            <color indexed="81"/>
            <rFont val="Tahoma"/>
            <family val="2"/>
          </rPr>
          <t>dgaviria:</t>
        </r>
        <r>
          <rPr>
            <sz val="8"/>
            <color indexed="81"/>
            <rFont val="Tahoma"/>
            <family val="2"/>
          </rPr>
          <t xml:space="preserve">
new line count as of 3Q09
Re-stated count now 19,600 higher than before in 4Q08</t>
        </r>
      </text>
    </comment>
    <comment ref="W111" authorId="0">
      <text>
        <r>
          <rPr>
            <b/>
            <sz val="8"/>
            <color indexed="81"/>
            <rFont val="Tahoma"/>
            <family val="2"/>
          </rPr>
          <t>dgaviria:</t>
        </r>
        <r>
          <rPr>
            <sz val="8"/>
            <color indexed="81"/>
            <rFont val="Tahoma"/>
            <family val="2"/>
          </rPr>
          <t xml:space="preserve">
new line count as of 3Q09
Re-stated count now 23,500 higher than before in 1Q09</t>
        </r>
      </text>
    </comment>
    <comment ref="X111" authorId="0">
      <text>
        <r>
          <rPr>
            <b/>
            <sz val="8"/>
            <color indexed="81"/>
            <rFont val="Tahoma"/>
            <family val="2"/>
          </rPr>
          <t>dgaviria:</t>
        </r>
        <r>
          <rPr>
            <sz val="8"/>
            <color indexed="81"/>
            <rFont val="Tahoma"/>
            <family val="2"/>
          </rPr>
          <t xml:space="preserve">
new line count as of 3Q09
Re-stated count now 32,800 higher than before in 2Q09</t>
        </r>
      </text>
    </comment>
    <comment ref="S142" authorId="1">
      <text>
        <r>
          <rPr>
            <b/>
            <sz val="8"/>
            <color indexed="81"/>
            <rFont val="Tahoma"/>
            <family val="2"/>
          </rPr>
          <t>Daniel Gaviria:</t>
        </r>
        <r>
          <rPr>
            <sz val="8"/>
            <color indexed="81"/>
            <rFont val="Tahoma"/>
            <family val="2"/>
          </rPr>
          <t xml:space="preserve">
1Q08 Call
"Capital expenditures were higher compared to the previous year partially to support
our investment in Fiber-to-the-Node build-out. Overall broadband related investments across the
company were 59% of total capital investments in the quarter, up from 50% for all of 2007."</t>
        </r>
      </text>
    </comment>
    <comment ref="R154" authorId="0">
      <text>
        <r>
          <rPr>
            <b/>
            <sz val="8"/>
            <color indexed="81"/>
            <rFont val="Tahoma"/>
            <family val="2"/>
          </rPr>
          <t>katzedwa:</t>
        </r>
        <r>
          <rPr>
            <sz val="8"/>
            <color indexed="81"/>
            <rFont val="Tahoma"/>
            <family val="2"/>
          </rPr>
          <t xml:space="preserve">
Change to reflecct amortization expense associated with customer relationship asset estimated to adjust value of intangible assets assuming a useful life of 8 years</t>
        </r>
      </text>
    </comment>
    <comment ref="R165" authorId="0">
      <text>
        <r>
          <rPr>
            <b/>
            <sz val="8"/>
            <color indexed="81"/>
            <rFont val="Tahoma"/>
            <family val="2"/>
          </rPr>
          <t>katzedwa:</t>
        </r>
        <r>
          <rPr>
            <sz val="8"/>
            <color indexed="81"/>
            <rFont val="Tahoma"/>
            <family val="2"/>
          </rPr>
          <t xml:space="preserve">
[OFFSET for MW] Change to reflecct amortization expense associated with customer relationship asset estimated to adjust value of intangible assets assuming a useful life of 8 years</t>
        </r>
      </text>
    </comment>
    <comment ref="T165" authorId="0">
      <text>
        <r>
          <rPr>
            <b/>
            <sz val="8"/>
            <color indexed="81"/>
            <rFont val="Tahoma"/>
            <family val="2"/>
          </rPr>
          <t>katzedwa:</t>
        </r>
        <r>
          <rPr>
            <sz val="8"/>
            <color indexed="81"/>
            <rFont val="Tahoma"/>
            <family val="2"/>
          </rPr>
          <t xml:space="preserve">
Includes (in addition to Other, net): retirement benefits, excess tax benefits from share-based comp, distributions from unconsol cell entity, share-based comp</t>
        </r>
      </text>
    </comment>
    <comment ref="P169" authorId="2">
      <text>
        <r>
          <rPr>
            <b/>
            <sz val="8"/>
            <color indexed="81"/>
            <rFont val="Tahoma"/>
            <family val="2"/>
          </rPr>
          <t>wlsuch:</t>
        </r>
        <r>
          <rPr>
            <sz val="8"/>
            <color indexed="81"/>
            <rFont val="Tahoma"/>
            <family val="2"/>
          </rPr>
          <t xml:space="preserve">
Acquisition of Madison River</t>
        </r>
      </text>
    </comment>
    <comment ref="S169" authorId="0">
      <text>
        <r>
          <rPr>
            <b/>
            <sz val="8"/>
            <color indexed="81"/>
            <rFont val="Tahoma"/>
            <family val="2"/>
          </rPr>
          <t>wlsuch:</t>
        </r>
        <r>
          <rPr>
            <sz val="8"/>
            <color indexed="81"/>
            <rFont val="Tahoma"/>
            <family val="2"/>
          </rPr>
          <t xml:space="preserve">
Deposit paid for wireless spectrum acution</t>
        </r>
      </text>
    </comment>
    <comment ref="T169" authorId="0">
      <text>
        <r>
          <rPr>
            <b/>
            <sz val="8"/>
            <color indexed="81"/>
            <rFont val="Tahoma"/>
            <family val="2"/>
          </rPr>
          <t>katzedwa</t>
        </r>
        <r>
          <rPr>
            <sz val="8"/>
            <color indexed="81"/>
            <rFont val="Tahoma"/>
            <family val="2"/>
          </rPr>
          <t>:
Purchase of wireless spectrum</t>
        </r>
      </text>
    </comment>
    <comment ref="R185" authorId="0">
      <text>
        <r>
          <rPr>
            <b/>
            <sz val="8"/>
            <color indexed="81"/>
            <rFont val="Tahoma"/>
            <family val="2"/>
          </rPr>
          <t>katzedwa:</t>
        </r>
        <r>
          <rPr>
            <sz val="8"/>
            <color indexed="81"/>
            <rFont val="Tahoma"/>
            <family val="2"/>
          </rPr>
          <t xml:space="preserve">
Change to reflecct amortization expense associated with customer relationship asset estimated to adjust value of intangible assets assuming a useful life of 8 years</t>
        </r>
      </text>
    </comment>
    <comment ref="K187" authorId="0">
      <text>
        <r>
          <rPr>
            <b/>
            <sz val="8"/>
            <color indexed="81"/>
            <rFont val="Tahoma"/>
            <family val="2"/>
          </rPr>
          <t>dehaisb:</t>
        </r>
        <r>
          <rPr>
            <sz val="8"/>
            <color indexed="81"/>
            <rFont val="Tahoma"/>
            <family val="2"/>
          </rPr>
          <t xml:space="preserve">
CenturyTel + Embarq</t>
        </r>
      </text>
    </comment>
    <comment ref="R188" authorId="0">
      <text>
        <r>
          <rPr>
            <b/>
            <sz val="8"/>
            <color indexed="81"/>
            <rFont val="Tahoma"/>
            <family val="2"/>
          </rPr>
          <t>katzedwa:</t>
        </r>
        <r>
          <rPr>
            <sz val="8"/>
            <color indexed="81"/>
            <rFont val="Tahoma"/>
            <family val="2"/>
          </rPr>
          <t xml:space="preserve">
Change to reflecct amortization expense associated with customer relationship asset estimated to adjust value of intangible assets assuming a useful life of 8 years</t>
        </r>
      </text>
    </comment>
    <comment ref="U196" authorId="1">
      <text>
        <r>
          <rPr>
            <b/>
            <sz val="8"/>
            <color indexed="81"/>
            <rFont val="Tahoma"/>
            <family val="2"/>
          </rPr>
          <t>Daniel Gaviria:</t>
        </r>
        <r>
          <rPr>
            <sz val="8"/>
            <color indexed="81"/>
            <rFont val="Tahoma"/>
            <family val="2"/>
          </rPr>
          <t xml:space="preserve">
From 10Q
"We anticipate that in the
second half of 2008 we will make net payments of approximately $90 million related to tax settlements
for prior periods"</t>
        </r>
      </text>
    </comment>
  </commentList>
</comments>
</file>

<file path=xl/comments21.xml><?xml version="1.0" encoding="utf-8"?>
<comments xmlns="http://schemas.openxmlformats.org/spreadsheetml/2006/main">
  <authors>
    <author>mogres</author>
  </authors>
  <commentList>
    <comment ref="H1" authorId="0">
      <text>
        <r>
          <rPr>
            <sz val="8"/>
            <color indexed="81"/>
            <rFont val="Tahoma"/>
            <family val="2"/>
          </rPr>
          <t>Enter Sedol on row 3, if this is a non-covered company.</t>
        </r>
      </text>
    </comment>
    <comment ref="A8" authorId="0">
      <text>
        <r>
          <rPr>
            <sz val="8"/>
            <color indexed="81"/>
            <rFont val="Tahoma"/>
            <family val="2"/>
          </rPr>
          <t xml:space="preserve">
</t>
        </r>
        <r>
          <rPr>
            <b/>
            <sz val="8"/>
            <color indexed="81"/>
            <rFont val="Tahoma"/>
            <family val="2"/>
          </rPr>
          <t xml:space="preserve">Discount rate </t>
        </r>
        <r>
          <rPr>
            <sz val="8"/>
            <color indexed="81"/>
            <rFont val="Tahoma"/>
            <family val="2"/>
          </rPr>
          <t>is based on the Corporate AA bond rate and is used to calculate the present value of pension benefit obligations.
Because the companies have some discretion over how they estimate the rate and the duration of future benefit payments varies from company to company, rates will differ slightly from company to company. It is reset every year based on current market conditions.</t>
        </r>
        <r>
          <rPr>
            <b/>
            <sz val="8"/>
            <color indexed="81"/>
            <rFont val="Tahoma"/>
            <family val="2"/>
          </rPr>
          <t xml:space="preserve">
How to forecast this line item if Pension is material for my company?</t>
        </r>
        <r>
          <rPr>
            <sz val="8"/>
            <color indexed="81"/>
            <rFont val="Tahoma"/>
            <family val="2"/>
          </rPr>
          <t xml:space="preserve">
Assuming you wouldn't want to forecast the interest rates, set this equal to prior period's discount rate. If you are in the middle of FY1, you could make an attempt to use the latest available rate using the appropriate bond index yield. Contact AST if you wish to do so. However, from FY2 onwards, you should set it equal to prior period's discount rate.
</t>
        </r>
        <r>
          <rPr>
            <b/>
            <sz val="8"/>
            <color indexed="81"/>
            <rFont val="Tahoma"/>
            <family val="2"/>
          </rPr>
          <t xml:space="preserve">How does the template forecast it?
</t>
        </r>
        <r>
          <rPr>
            <sz val="8"/>
            <color indexed="81"/>
            <rFont val="Tahoma"/>
            <family val="2"/>
          </rPr>
          <t>The template does not make an attempt to forecast the interest rates and flat lines it.</t>
        </r>
      </text>
    </comment>
    <comment ref="A11"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pension expense. This will vary widely from company to company depending on asset mix and other assumptions. EROA generally does not change year-to-year.</t>
        </r>
        <r>
          <rPr>
            <b/>
            <sz val="8"/>
            <color indexed="81"/>
            <rFont val="Tahoma"/>
            <family val="2"/>
          </rPr>
          <t xml:space="preserve">
How to forecast this line item if Pension is material for my company?</t>
        </r>
        <r>
          <rPr>
            <sz val="8"/>
            <color indexed="81"/>
            <rFont val="Tahoma"/>
            <family val="2"/>
          </rPr>
          <t xml:space="preserve">
It should be flat lined unless the management provides guidance on changing it in future year/s OR changing the asset mix in future years/s (e.g. set it lower if the company plans to move their plan assets towards fixed income to better match the asset - liability duration)
</t>
        </r>
        <r>
          <rPr>
            <b/>
            <sz val="8"/>
            <color indexed="81"/>
            <rFont val="Tahoma"/>
            <family val="2"/>
          </rPr>
          <t xml:space="preserve">How does the template forecast it?
</t>
        </r>
        <r>
          <rPr>
            <sz val="8"/>
            <color indexed="81"/>
            <rFont val="Tahoma"/>
            <family val="2"/>
          </rPr>
          <t>The template flat lines the management disclosed estimate of the long-term rate of return on plan assets.</t>
        </r>
      </text>
    </comment>
    <comment ref="A12" authorId="0">
      <text>
        <r>
          <rPr>
            <b/>
            <sz val="8"/>
            <color indexed="81"/>
            <rFont val="Tahoma"/>
            <family val="2"/>
          </rPr>
          <t xml:space="preserve">
Actual Rate of Return </t>
        </r>
        <r>
          <rPr>
            <sz val="8"/>
            <color indexed="81"/>
            <rFont val="Tahoma"/>
            <family val="2"/>
          </rPr>
          <t>is the actual return generated on pension plan assets.</t>
        </r>
        <r>
          <rPr>
            <b/>
            <sz val="8"/>
            <color indexed="81"/>
            <rFont val="Tahoma"/>
            <family val="2"/>
          </rPr>
          <t xml:space="preserve">
How to forecast this line item if Pension is material for my company?</t>
        </r>
        <r>
          <rPr>
            <sz val="8"/>
            <color indexed="81"/>
            <rFont val="Tahoma"/>
            <family val="2"/>
          </rPr>
          <t xml:space="preserve">
You should set it equal to management's EROA assuming you wouldn't want to forecast the returns on underlying plan assets. If you are in the middle of FY1, you could attempt to use the actual return (YTD) using underlying asset index return. Contact AST if you wish to do so. However, from FY2 onwards, you should set it equal to management's EROA.
</t>
        </r>
        <r>
          <rPr>
            <b/>
            <sz val="8"/>
            <color indexed="81"/>
            <rFont val="Tahoma"/>
            <family val="2"/>
          </rPr>
          <t xml:space="preserve">How does the template forecast it?
</t>
        </r>
        <r>
          <rPr>
            <sz val="8"/>
            <color indexed="81"/>
            <rFont val="Tahoma"/>
            <family val="2"/>
          </rPr>
          <t xml:space="preserve">The template does not attempt to forecast the actual rate of return and sets it equal to management's EROA. </t>
        </r>
      </text>
    </comment>
    <comment ref="A13" authorId="0">
      <text>
        <r>
          <rPr>
            <sz val="8"/>
            <color indexed="81"/>
            <rFont val="Tahoma"/>
            <family val="2"/>
          </rPr>
          <t xml:space="preserve">
The pension obligation on the balance sheet is tax-deductible
when a company contributes to the plan. Companies report it gross of tax, and the corresponding tax benefit is recorded as a deferred tax asset on BS. </t>
        </r>
        <r>
          <rPr>
            <b/>
            <sz val="8"/>
            <color indexed="81"/>
            <rFont val="Tahoma"/>
            <family val="2"/>
          </rPr>
          <t>Statutory tax rate</t>
        </r>
        <r>
          <rPr>
            <sz val="8"/>
            <color indexed="81"/>
            <rFont val="Tahoma"/>
            <family val="2"/>
          </rPr>
          <t xml:space="preserve"> is thus used to compute the deferred tax benefits associated with pensions.</t>
        </r>
        <r>
          <rPr>
            <b/>
            <sz val="8"/>
            <color indexed="81"/>
            <rFont val="Tahoma"/>
            <family val="2"/>
          </rPr>
          <t xml:space="preserve">
How to forecast this line item if Pension is material for my company?</t>
        </r>
        <r>
          <rPr>
            <sz val="8"/>
            <color indexed="81"/>
            <rFont val="Tahoma"/>
            <family val="2"/>
          </rPr>
          <t xml:space="preserve">
You should set it equal to the corporate tax rate of 35% for the US plan or a blended rate if the company has pension plans in other countries as well.
</t>
        </r>
        <r>
          <rPr>
            <b/>
            <sz val="8"/>
            <color indexed="81"/>
            <rFont val="Tahoma"/>
            <family val="2"/>
          </rPr>
          <t xml:space="preserve">How does the template forecast it?
</t>
        </r>
        <r>
          <rPr>
            <sz val="8"/>
            <color indexed="81"/>
            <rFont val="Tahoma"/>
            <family val="2"/>
          </rPr>
          <t>The template sets it equal to the statutory tax rate tagged in your model, and for non covered companies it assumes it to be the US corporate tax rate of 35%.</t>
        </r>
      </text>
    </comment>
    <comment ref="A19" authorId="0">
      <text>
        <r>
          <rPr>
            <b/>
            <sz val="8"/>
            <color indexed="81"/>
            <rFont val="Tahoma"/>
            <family val="2"/>
          </rPr>
          <t xml:space="preserve">
Service cost</t>
        </r>
        <r>
          <rPr>
            <sz val="8"/>
            <color indexed="81"/>
            <rFont val="Tahoma"/>
            <family val="2"/>
          </rPr>
          <t xml:space="preserve"> is the 'present value' of new benefits earned during the period and represents the economic operating cost of the ongoing plan. When a company reduces benefits, future service costs decline. If they freeze the plans (i.e. stop the accrual of new benefits), service costs are zero.</t>
        </r>
        <r>
          <rPr>
            <b/>
            <sz val="8"/>
            <color indexed="81"/>
            <rFont val="Tahoma"/>
            <family val="2"/>
          </rPr>
          <t xml:space="preserve">
How to forecast this line item if Pension is material for my company?</t>
        </r>
        <r>
          <rPr>
            <sz val="8"/>
            <color indexed="81"/>
            <rFont val="Tahoma"/>
            <family val="2"/>
          </rPr>
          <t xml:space="preserve">
For an active plan, service cost </t>
        </r>
        <r>
          <rPr>
            <u/>
            <sz val="8"/>
            <color indexed="81"/>
            <rFont val="Tahoma"/>
            <family val="2"/>
          </rPr>
          <t>usually</t>
        </r>
        <r>
          <rPr>
            <sz val="8"/>
            <color indexed="81"/>
            <rFont val="Tahoma"/>
            <family val="2"/>
          </rPr>
          <t xml:space="preserve"> remains steady in</t>
        </r>
        <r>
          <rPr>
            <u/>
            <sz val="8"/>
            <color indexed="81"/>
            <rFont val="Tahoma"/>
            <family val="2"/>
          </rPr>
          <t xml:space="preserve"> real</t>
        </r>
        <r>
          <rPr>
            <sz val="8"/>
            <color indexed="81"/>
            <rFont val="Tahoma"/>
            <family val="2"/>
          </rPr>
          <t xml:space="preserve"> terms and thus changes only to the extent of changes in interest (discount) rates. It should thus be forecasted after considering the changes in interest rates (if forecasted) for the period and using a rule of thumb which states that -- every 100 bps change in discount rate results in about 10% change in service cost.
If the plan is frozen, set this equal to zero.
</t>
        </r>
        <r>
          <rPr>
            <b/>
            <sz val="8"/>
            <color indexed="81"/>
            <rFont val="Tahoma"/>
            <family val="2"/>
          </rPr>
          <t xml:space="preserve">How does the template forecast it?
</t>
        </r>
        <r>
          <rPr>
            <sz val="8"/>
            <color indexed="81"/>
            <rFont val="Tahoma"/>
            <family val="2"/>
          </rPr>
          <t xml:space="preserve">The template uses a rule of thumb and forecasts the service cost by considering the changes in discount rates (if forecasted - we think its unlikely) on row 8. </t>
        </r>
      </text>
    </comment>
    <comment ref="A20" authorId="0">
      <text>
        <r>
          <rPr>
            <b/>
            <sz val="8"/>
            <color indexed="81"/>
            <rFont val="Tahoma"/>
            <family val="2"/>
          </rPr>
          <t xml:space="preserve">
Prior service cost</t>
        </r>
        <r>
          <rPr>
            <sz val="8"/>
            <color indexed="81"/>
            <rFont val="Tahoma"/>
            <family val="2"/>
          </rPr>
          <t xml:space="preserve"> : When a plan is amended to change benefits, the PBO is re-measured to reflect the new benefit formula. These differences are smoothed into pension expense over the remaining service life of employees as prior service costs. </t>
        </r>
        <r>
          <rPr>
            <b/>
            <sz val="8"/>
            <color indexed="81"/>
            <rFont val="Tahoma"/>
            <family val="2"/>
          </rPr>
          <t xml:space="preserve">
How to forecast this line item if Pension is material for my company?</t>
        </r>
        <r>
          <rPr>
            <sz val="8"/>
            <color indexed="81"/>
            <rFont val="Tahoma"/>
            <family val="2"/>
          </rPr>
          <t xml:space="preserve">
Becasue these are the differences due to amendments in plan benefits, which are then smoothed over a period of time - they tend to be persistent. They should thus be flat lied in forecast years.
</t>
        </r>
        <r>
          <rPr>
            <b/>
            <sz val="8"/>
            <color indexed="81"/>
            <rFont val="Tahoma"/>
            <family val="2"/>
          </rPr>
          <t>How does the template forecast it?</t>
        </r>
        <r>
          <rPr>
            <sz val="8"/>
            <color indexed="81"/>
            <rFont val="Tahoma"/>
            <family val="2"/>
          </rPr>
          <t xml:space="preserve">
The template does not make an attempt to forecast this line item and flat lines it in forecast years.</t>
        </r>
      </text>
    </comment>
    <comment ref="A21" authorId="0">
      <text>
        <r>
          <rPr>
            <b/>
            <sz val="8"/>
            <color indexed="81"/>
            <rFont val="Tahoma"/>
            <family val="2"/>
          </rPr>
          <t xml:space="preserve">
Interest cost</t>
        </r>
        <r>
          <rPr>
            <sz val="8"/>
            <color indexed="81"/>
            <rFont val="Tahoma"/>
            <family val="2"/>
          </rPr>
          <t xml:space="preserve"> is the discount rate (see row 8) times the PBO. It represents the financing cost of the gross liability i.e. PBO.</t>
        </r>
        <r>
          <rPr>
            <b/>
            <sz val="8"/>
            <color indexed="81"/>
            <rFont val="Tahoma"/>
            <family val="2"/>
          </rPr>
          <t xml:space="preserve">
How to forecast this line item if Pension is material for my company?</t>
        </r>
        <r>
          <rPr>
            <sz val="8"/>
            <color indexed="81"/>
            <rFont val="Tahoma"/>
            <family val="2"/>
          </rPr>
          <t xml:space="preserve">
Interest cost should be calculated as discount rate (BOP) (row 8) times the projected benefit obligation (BOP).
</t>
        </r>
        <r>
          <rPr>
            <b/>
            <sz val="8"/>
            <color indexed="81"/>
            <rFont val="Tahoma"/>
            <family val="2"/>
          </rPr>
          <t xml:space="preserve">How does the template forecast it?
</t>
        </r>
        <r>
          <rPr>
            <sz val="8"/>
            <color indexed="81"/>
            <rFont val="Tahoma"/>
            <family val="2"/>
          </rPr>
          <t>Interest cost is calculated as discount rate (BOP) times the projected benefit obligation (BOP).</t>
        </r>
      </text>
    </comment>
    <comment ref="A22"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pension expense. This will vary widely from company to company depending on asset mix and other assumptions.</t>
        </r>
        <r>
          <rPr>
            <b/>
            <sz val="8"/>
            <color indexed="81"/>
            <rFont val="Tahoma"/>
            <family val="2"/>
          </rPr>
          <t xml:space="preserve">
How to forecast this line item if Pension is material for my company?</t>
        </r>
        <r>
          <rPr>
            <sz val="8"/>
            <color indexed="81"/>
            <rFont val="Tahoma"/>
            <family val="2"/>
          </rPr>
          <t xml:space="preserve">
EROA should be calculated as management’s assumption of the long-term return times the FV of plan assets (BOP).
</t>
        </r>
        <r>
          <rPr>
            <b/>
            <sz val="8"/>
            <color indexed="81"/>
            <rFont val="Tahoma"/>
            <family val="2"/>
          </rPr>
          <t xml:space="preserve">How does the template forecast it?
</t>
        </r>
        <r>
          <rPr>
            <sz val="8"/>
            <color indexed="81"/>
            <rFont val="Tahoma"/>
            <family val="2"/>
          </rPr>
          <t>EROA is calculated as  management’s assumption of the long-term return times the FV of plan assets (BOP).</t>
        </r>
      </text>
    </comment>
    <comment ref="A23" authorId="0">
      <text>
        <r>
          <rPr>
            <sz val="8"/>
            <color indexed="81"/>
            <rFont val="Tahoma"/>
            <family val="2"/>
          </rPr>
          <t xml:space="preserve">
Companies that have voluntarily changed their GAAP pension accounting recognize all actuarial gains/losses that occurred during the year in the 4th quarter, instead of amortizing them over time. </t>
        </r>
        <r>
          <rPr>
            <b/>
            <sz val="8"/>
            <color indexed="81"/>
            <rFont val="Tahoma"/>
            <family val="2"/>
          </rPr>
          <t xml:space="preserve">
How to forecast this line item if Pension is material for my company?</t>
        </r>
        <r>
          <rPr>
            <sz val="8"/>
            <color indexed="81"/>
            <rFont val="Tahoma"/>
            <family val="2"/>
          </rPr>
          <t xml:space="preserve">
This line item is not important from an economic standpoint and is also impossible to forecast. You should set this line item equal to zero for the forecast years.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to recognize it immediately on the income statement.</t>
        </r>
      </text>
    </comment>
    <comment ref="A24" authorId="0">
      <text>
        <r>
          <rPr>
            <b/>
            <sz val="8"/>
            <color indexed="81"/>
            <rFont val="Tahoma"/>
            <family val="2"/>
          </rPr>
          <t xml:space="preserve">
In the template, this line item may include the total of:
</t>
        </r>
        <r>
          <rPr>
            <sz val="8"/>
            <color indexed="81"/>
            <rFont val="Tahoma"/>
            <family val="2"/>
          </rPr>
          <t>1</t>
        </r>
        <r>
          <rPr>
            <u/>
            <sz val="8"/>
            <color indexed="81"/>
            <rFont val="Tahoma"/>
            <family val="2"/>
          </rPr>
          <t xml:space="preserve">. Amortization of actuarial gains &amp; losses: </t>
        </r>
        <r>
          <rPr>
            <sz val="8"/>
            <color indexed="81"/>
            <rFont val="Tahoma"/>
            <family val="2"/>
          </rPr>
          <t>When the actual results of the plan (which are reported on the balance sheet) differ significantly from the actuarial estimates (which are reported on the income statement), these differences are smoothed into pension expense over time, usually over the average remaining working life of employees.</t>
        </r>
        <r>
          <rPr>
            <b/>
            <sz val="8"/>
            <color indexed="81"/>
            <rFont val="Tahoma"/>
            <family val="2"/>
          </rPr>
          <t xml:space="preserve">
</t>
        </r>
        <r>
          <rPr>
            <sz val="8"/>
            <color indexed="81"/>
            <rFont val="Tahoma"/>
            <family val="2"/>
          </rPr>
          <t>2</t>
        </r>
        <r>
          <rPr>
            <u/>
            <sz val="8"/>
            <color indexed="81"/>
            <rFont val="Tahoma"/>
            <family val="2"/>
          </rPr>
          <t>. Other adjustments</t>
        </r>
        <r>
          <rPr>
            <sz val="8"/>
            <color indexed="81"/>
            <rFont val="Tahoma"/>
            <family val="2"/>
          </rPr>
          <t xml:space="preserve"> such as settlements and curtailments. These tend to be one-time in nature, and related to plan changes.</t>
        </r>
        <r>
          <rPr>
            <b/>
            <sz val="8"/>
            <color indexed="81"/>
            <rFont val="Tahoma"/>
            <family val="2"/>
          </rPr>
          <t xml:space="preserve">
How to forecast this line item if Pension is material for my company?
</t>
        </r>
        <r>
          <rPr>
            <sz val="8"/>
            <color indexed="81"/>
            <rFont val="Tahoma"/>
            <family val="2"/>
          </rPr>
          <t>Pension footnote discloses amortization of actuarial gains/ losses for the next fiscal year. For the remaining forecast years, you should use the approach mentioned below. Also, contact AST to make sure that the numbers make sense.</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It divides the actuarial loss for the year by avg. remaining working life of employees to compute the amortization for the year and then adds 
it to the amortization of accumulated gain / loss of previous year.</t>
        </r>
      </text>
    </comment>
    <comment ref="A25" authorId="0">
      <text>
        <r>
          <rPr>
            <b/>
            <sz val="8"/>
            <color indexed="81"/>
            <rFont val="Tahoma"/>
            <family val="2"/>
          </rPr>
          <t xml:space="preserve">
Pension expense</t>
        </r>
        <r>
          <rPr>
            <sz val="8"/>
            <color indexed="81"/>
            <rFont val="Tahoma"/>
            <family val="2"/>
          </rPr>
          <t xml:space="preserve"> is an accrued pension expense and is entirely non-cash. It is calculated as Service cost (+) Interest cost (-) EROA (+/-) Amortization of actuarial gains/ losses / prior service cost.</t>
        </r>
      </text>
    </comment>
    <comment ref="A29" authorId="0">
      <text>
        <r>
          <rPr>
            <b/>
            <sz val="8"/>
            <color indexed="81"/>
            <rFont val="Tahoma"/>
            <family val="2"/>
          </rPr>
          <t xml:space="preserve">
PBO</t>
        </r>
        <r>
          <rPr>
            <sz val="8"/>
            <color indexed="81"/>
            <rFont val="Tahoma"/>
            <family val="2"/>
          </rPr>
          <t xml:space="preserve"> is the present value of the projected benefit obligations earned to date. Employees earn benefits as they accumulate years of service. The obligations are measured at present value using the corporate AA bond rate and are re-measured each year to account for interest rate changes, assumption changes, new benefits earned (represented by service cost), and passage of time (represented by interest cost) which increase the PBO. Also, benefits paid during the year decrease the PBO.</t>
        </r>
      </text>
    </comment>
    <comment ref="A30" authorId="0">
      <text>
        <r>
          <rPr>
            <b/>
            <sz val="8"/>
            <color indexed="81"/>
            <rFont val="Tahoma"/>
            <family val="2"/>
          </rPr>
          <t xml:space="preserve">
Service cost</t>
        </r>
        <r>
          <rPr>
            <sz val="8"/>
            <color indexed="81"/>
            <rFont val="Tahoma"/>
            <family val="2"/>
          </rPr>
          <t xml:space="preserve"> is incurred each period as employees earn new benefits for increased time of service and is thus added to PBO, which is the PV of the projected benefit obligations </t>
        </r>
        <r>
          <rPr>
            <u/>
            <sz val="8"/>
            <color indexed="81"/>
            <rFont val="Tahoma"/>
            <family val="2"/>
          </rPr>
          <t>earned to date.</t>
        </r>
        <r>
          <rPr>
            <b/>
            <sz val="8"/>
            <color indexed="81"/>
            <rFont val="Tahoma"/>
            <family val="2"/>
          </rPr>
          <t xml:space="preserve">
How to forecast this line item if Pension is material for my company?
</t>
        </r>
        <r>
          <rPr>
            <sz val="8"/>
            <color indexed="81"/>
            <rFont val="Tahoma"/>
            <family val="2"/>
          </rPr>
          <t>It should be linked to service cost for the year already forecasted on the income statement.</t>
        </r>
        <r>
          <rPr>
            <b/>
            <sz val="8"/>
            <color indexed="81"/>
            <rFont val="Tahoma"/>
            <family val="2"/>
          </rPr>
          <t xml:space="preserve">
How does the template forecast it?
</t>
        </r>
        <r>
          <rPr>
            <sz val="8"/>
            <color indexed="81"/>
            <rFont val="Tahoma"/>
            <family val="2"/>
          </rPr>
          <t>It is linked to service cost for the year already forecasted on the income statement.</t>
        </r>
      </text>
    </comment>
    <comment ref="A31" authorId="0">
      <text>
        <r>
          <rPr>
            <b/>
            <sz val="8"/>
            <color indexed="81"/>
            <rFont val="Tahoma"/>
            <family val="2"/>
          </rPr>
          <t xml:space="preserve">
Interest cost is</t>
        </r>
        <r>
          <rPr>
            <sz val="8"/>
            <color indexed="81"/>
            <rFont val="Tahoma"/>
            <family val="2"/>
          </rPr>
          <t xml:space="preserve"> the financing cost of the gross liability and is thus added to PBO.</t>
        </r>
        <r>
          <rPr>
            <b/>
            <sz val="8"/>
            <color indexed="81"/>
            <rFont val="Tahoma"/>
            <family val="2"/>
          </rPr>
          <t xml:space="preserve">
How to forecast this line item if Pension is material for my company?</t>
        </r>
        <r>
          <rPr>
            <sz val="8"/>
            <color indexed="81"/>
            <rFont val="Tahoma"/>
            <family val="2"/>
          </rPr>
          <t xml:space="preserve">
It should be linked to interest cost for the year already forecasted on the income statement.
</t>
        </r>
        <r>
          <rPr>
            <b/>
            <sz val="8"/>
            <color indexed="81"/>
            <rFont val="Tahoma"/>
            <family val="2"/>
          </rPr>
          <t>How does the template forecast it?</t>
        </r>
        <r>
          <rPr>
            <sz val="8"/>
            <color indexed="81"/>
            <rFont val="Tahoma"/>
            <family val="2"/>
          </rPr>
          <t xml:space="preserve">
It is linked to interest cost for the year already forecasted on the income statement.
</t>
        </r>
      </text>
    </comment>
    <comment ref="A32" authorId="0">
      <text>
        <r>
          <rPr>
            <b/>
            <sz val="8"/>
            <color indexed="81"/>
            <rFont val="Tahoma"/>
            <family val="2"/>
          </rPr>
          <t xml:space="preserve">
Actuarial loss (gain)</t>
        </r>
        <r>
          <rPr>
            <sz val="8"/>
            <color indexed="81"/>
            <rFont val="Tahoma"/>
            <family val="2"/>
          </rPr>
          <t xml:space="preserve"> is the magnitude of disconnect between actuarial estimates and actual experience in a company's pension plan. For example, if the interest (discount) rate used to compute the PV of benefit obligations declines, it results in increase in the obligations and the change in liability is accounted as an actuarial loss for the year.</t>
        </r>
        <r>
          <rPr>
            <b/>
            <sz val="8"/>
            <color indexed="81"/>
            <rFont val="Tahoma"/>
            <family val="2"/>
          </rPr>
          <t xml:space="preserve">
How to forecast this line item if Pension is material for my company?
</t>
        </r>
        <r>
          <rPr>
            <sz val="8"/>
            <color indexed="81"/>
            <rFont val="Tahoma"/>
            <family val="2"/>
          </rPr>
          <t>It should be forecasted by considering the changes in interest rates (if forecasted) for the period (row 8) and using a rule of thumb which states that -- every 100 bps change in discount rate results in about 10% change in PBO.</t>
        </r>
        <r>
          <rPr>
            <b/>
            <sz val="8"/>
            <color indexed="81"/>
            <rFont val="Tahoma"/>
            <family val="2"/>
          </rPr>
          <t xml:space="preserve">
How does the template forecast it?
</t>
        </r>
        <r>
          <rPr>
            <sz val="8"/>
            <color indexed="81"/>
            <rFont val="Tahoma"/>
            <family val="2"/>
          </rPr>
          <t>The template uses a rule of thumb and forecasts this number after considering the changes in discount rates on row 8.</t>
        </r>
      </text>
    </comment>
    <comment ref="A33" authorId="0">
      <text>
        <r>
          <rPr>
            <b/>
            <sz val="8"/>
            <color indexed="81"/>
            <rFont val="Tahoma"/>
            <family val="2"/>
          </rPr>
          <t xml:space="preserve">
Benefits payments </t>
        </r>
        <r>
          <rPr>
            <sz val="8"/>
            <color indexed="81"/>
            <rFont val="Tahoma"/>
            <family val="2"/>
          </rPr>
          <t>are the actual pension benefit payments made to the employees during the year. It reduces the pension liability by the amount of the benefits paid.</t>
        </r>
        <r>
          <rPr>
            <b/>
            <sz val="8"/>
            <color indexed="81"/>
            <rFont val="Tahoma"/>
            <family val="2"/>
          </rPr>
          <t xml:space="preserve">
How to forecast this line item if Pension is material for my company?</t>
        </r>
        <r>
          <rPr>
            <sz val="8"/>
            <color indexed="81"/>
            <rFont val="Tahoma"/>
            <family val="2"/>
          </rPr>
          <t xml:space="preserve">
The pension footnote discloses the expected benefit payments to retirees for the next 5 years, and the aggregate payment for the following 5 years which should be used in the template to forecast future benefit payments.
</t>
        </r>
        <r>
          <rPr>
            <b/>
            <sz val="8"/>
            <color indexed="81"/>
            <rFont val="Tahoma"/>
            <family val="2"/>
          </rPr>
          <t xml:space="preserve">How does the template forecast it?
</t>
        </r>
        <r>
          <rPr>
            <sz val="8"/>
            <color indexed="81"/>
            <rFont val="Tahoma"/>
            <family val="2"/>
          </rPr>
          <t>Because benefit payments are usually steady in nature, the template flat lines it.</t>
        </r>
      </text>
    </comment>
    <comment ref="A34" authorId="0">
      <text>
        <r>
          <rPr>
            <b/>
            <sz val="8"/>
            <color indexed="81"/>
            <rFont val="Tahoma"/>
            <family val="2"/>
          </rPr>
          <t xml:space="preserve">
In the template, this line item may include the total of:</t>
        </r>
        <r>
          <rPr>
            <sz val="8"/>
            <color indexed="81"/>
            <rFont val="Tahoma"/>
            <family val="2"/>
          </rPr>
          <t xml:space="preserve">
1. Plan Amendments
2. Actuarial Adjustments
3. Exchange gains/losses
4. Settlements and curtailments
5. Acquisitions and Divestures
6. Other adjustments to PBO</t>
        </r>
        <r>
          <rPr>
            <b/>
            <sz val="8"/>
            <color indexed="81"/>
            <rFont val="Tahoma"/>
            <family val="2"/>
          </rPr>
          <t xml:space="preserve">
How to forecast this line item if Pension is material for my company?</t>
        </r>
        <r>
          <rPr>
            <sz val="8"/>
            <color indexed="81"/>
            <rFont val="Tahoma"/>
            <family val="2"/>
          </rPr>
          <t xml:space="preserve">
This line item includes a set of miscellaneous items that are not important from an economic standpoint, They are also impossible to forecast. You should set it equal to zero for the forecast years.
</t>
        </r>
        <r>
          <rPr>
            <b/>
            <sz val="8"/>
            <color indexed="81"/>
            <rFont val="Tahoma"/>
            <family val="2"/>
          </rPr>
          <t xml:space="preserve">How does the template forecast it?
</t>
        </r>
        <r>
          <rPr>
            <sz val="8"/>
            <color indexed="81"/>
            <rFont val="Tahoma"/>
            <family val="2"/>
          </rPr>
          <t>The template does not make an attempt to forecast this line item and sets it equal to zero for the forecast years.</t>
        </r>
      </text>
    </comment>
    <comment ref="A37" authorId="0">
      <text>
        <r>
          <rPr>
            <b/>
            <sz val="8"/>
            <color indexed="81"/>
            <rFont val="Tahoma"/>
            <family val="2"/>
          </rPr>
          <t xml:space="preserve">
Pension plan assets</t>
        </r>
        <r>
          <rPr>
            <sz val="8"/>
            <color indexed="81"/>
            <rFont val="Tahoma"/>
            <family val="2"/>
          </rPr>
          <t xml:space="preserve"> are measured at the current fair value. Similar to other assets and liabilities measured at fair value, the company provides details about how it measured the fair value of its pension assets in the disclosures.</t>
        </r>
      </text>
    </comment>
    <comment ref="A38" authorId="0">
      <text>
        <r>
          <rPr>
            <b/>
            <sz val="8"/>
            <color indexed="81"/>
            <rFont val="Tahoma"/>
            <family val="2"/>
          </rPr>
          <t xml:space="preserve">
Actual return </t>
        </r>
        <r>
          <rPr>
            <sz val="8"/>
            <color indexed="81"/>
            <rFont val="Tahoma"/>
            <family val="2"/>
          </rPr>
          <t xml:space="preserve">is the return generared on pension plan assets .
</t>
        </r>
        <r>
          <rPr>
            <b/>
            <sz val="8"/>
            <color indexed="81"/>
            <rFont val="Tahoma"/>
            <family val="2"/>
          </rPr>
          <t>How to forecast this line item if Pension is material for my company?</t>
        </r>
        <r>
          <rPr>
            <sz val="8"/>
            <color indexed="81"/>
            <rFont val="Tahoma"/>
            <family val="2"/>
          </rPr>
          <t xml:space="preserve">
Actual return could be calculated as actual rate of return (row12) times the FV of plan assets (BOP) + 0.5*contributions assuming that the contributions were made in the middle of the year. Contact AST if the company makes steady contributions throughout the year OR if you are unsure how to consider them when calculating actual return.
</t>
        </r>
        <r>
          <rPr>
            <b/>
            <sz val="8"/>
            <color indexed="81"/>
            <rFont val="Tahoma"/>
            <family val="2"/>
          </rPr>
          <t>How does the template forecast it?</t>
        </r>
        <r>
          <rPr>
            <sz val="8"/>
            <color indexed="81"/>
            <rFont val="Tahoma"/>
            <family val="2"/>
          </rPr>
          <t xml:space="preserve">
Actual return is calculated as actual rate of return (row12) times the FV of plan assets (BOP) + 0.5*contributions assuming that the contributions were made in the middle of the year.</t>
        </r>
      </text>
    </comment>
    <comment ref="A39" authorId="0">
      <text>
        <r>
          <rPr>
            <b/>
            <sz val="8"/>
            <color indexed="81"/>
            <rFont val="Tahoma"/>
            <family val="2"/>
          </rPr>
          <t xml:space="preserve">
Contributions</t>
        </r>
        <r>
          <rPr>
            <sz val="8"/>
            <color indexed="81"/>
            <rFont val="Tahoma"/>
            <family val="2"/>
          </rPr>
          <t xml:space="preserve"> are the payments that the company makes into the pension trust, for future benefit payments. These contributions may be the minimum required based on ERISA requirements, or may be discretionary. The companies are awarded credits whenever they make contributions in excess of minimum requirements. These credits, which are not
disclosed, can then be used to offset future required contributions. Therefore they tend to be very lumpy, and difficult to estimate.</t>
        </r>
        <r>
          <rPr>
            <b/>
            <sz val="8"/>
            <color indexed="81"/>
            <rFont val="Tahoma"/>
            <family val="2"/>
          </rPr>
          <t xml:space="preserve">
How to forecast this line item if Pension is material for my company?
</t>
        </r>
        <r>
          <rPr>
            <sz val="8"/>
            <color indexed="81"/>
            <rFont val="Tahoma"/>
            <family val="2"/>
          </rPr>
          <t>Companies disclose expected contributions for the 'next' fiscal year in their pension footnote which should be used in the template to forecast next year's contributions. Some companies also disclose it for 'future years' in their contractual obligations footnote, which could be used to forecast it for the rest of the years. If they don't, contact AST to better estimate this number for future years.</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uses the average contributions of last three actual years. You should use this approach if liquidity is not a major concern for the company.</t>
        </r>
      </text>
    </comment>
    <comment ref="A40" authorId="0">
      <text>
        <r>
          <rPr>
            <b/>
            <sz val="8"/>
            <color indexed="81"/>
            <rFont val="Tahoma"/>
            <family val="2"/>
          </rPr>
          <t xml:space="preserve">
Benefits payments </t>
        </r>
        <r>
          <rPr>
            <sz val="8"/>
            <color indexed="81"/>
            <rFont val="Tahoma"/>
            <family val="2"/>
          </rPr>
          <t>are the actual pension benefit payments made to the employees during the year. These payments are paid out of pension plan assets and are thus reduced from plan assets.</t>
        </r>
        <r>
          <rPr>
            <b/>
            <sz val="8"/>
            <color indexed="81"/>
            <rFont val="Tahoma"/>
            <family val="2"/>
          </rPr>
          <t xml:space="preserve">
How to forecast this line item if Pension is material for my company?</t>
        </r>
        <r>
          <rPr>
            <sz val="8"/>
            <color indexed="81"/>
            <rFont val="Tahoma"/>
            <family val="2"/>
          </rPr>
          <t xml:space="preserve">
The pension footnote discloses the schedule of expected benefit payments to retirees for the next 5 years, and the aggregate payment for the following 5 years, which should be used in the template to forecast future benefit payments. (i.e. you can just link this to row 33 of the template)
</t>
        </r>
        <r>
          <rPr>
            <b/>
            <sz val="8"/>
            <color indexed="81"/>
            <rFont val="Tahoma"/>
            <family val="2"/>
          </rPr>
          <t xml:space="preserve">How does the template forecast it?
</t>
        </r>
        <r>
          <rPr>
            <sz val="8"/>
            <color indexed="81"/>
            <rFont val="Tahoma"/>
            <family val="2"/>
          </rPr>
          <t>Since benefit payments are usually steady in nature, the template flat lines it. (i.e. links it to row 33 of the template)</t>
        </r>
      </text>
    </comment>
    <comment ref="A41" authorId="0">
      <text>
        <r>
          <rPr>
            <b/>
            <sz val="8"/>
            <color indexed="81"/>
            <rFont val="Tahoma"/>
            <family val="2"/>
          </rPr>
          <t xml:space="preserve">
In the template, this line item may include the total of:</t>
        </r>
        <r>
          <rPr>
            <sz val="8"/>
            <color indexed="81"/>
            <rFont val="Tahoma"/>
            <family val="2"/>
          </rPr>
          <t xml:space="preserve">
1. Acquisitions and Divestitures 
2. Settlements and curtailments
3. Exchange rate changes 
4. Other adjustments to plan assets
</t>
        </r>
        <r>
          <rPr>
            <b/>
            <sz val="8"/>
            <color indexed="81"/>
            <rFont val="Tahoma"/>
            <family val="2"/>
          </rPr>
          <t xml:space="preserve">How to forecast this line item if Pension is material for my company?
</t>
        </r>
        <r>
          <rPr>
            <sz val="8"/>
            <color indexed="81"/>
            <rFont val="Tahoma"/>
            <family val="2"/>
          </rPr>
          <t>This line item includes a set of miscellaneous items that are not important from an economic standpoint. They are also impossible to forecast. You should set this line item equal to zero for the forecast years.</t>
        </r>
        <r>
          <rPr>
            <b/>
            <sz val="8"/>
            <color indexed="81"/>
            <rFont val="Tahoma"/>
            <family val="2"/>
          </rPr>
          <t xml:space="preserve">
How does the template forecast it?
</t>
        </r>
        <r>
          <rPr>
            <sz val="8"/>
            <color indexed="81"/>
            <rFont val="Tahoma"/>
            <family val="2"/>
          </rPr>
          <t>The template does not make an attempt to forecast this line item and sets it equal to zero for the forecast years.</t>
        </r>
      </text>
    </comment>
    <comment ref="A44" authorId="0">
      <text>
        <r>
          <rPr>
            <b/>
            <sz val="8"/>
            <color indexed="81"/>
            <rFont val="Tahoma"/>
            <family val="2"/>
          </rPr>
          <t xml:space="preserve">
Funded status </t>
        </r>
        <r>
          <rPr>
            <sz val="8"/>
            <color indexed="81"/>
            <rFont val="Tahoma"/>
            <family val="2"/>
          </rPr>
          <t>of the plan is the difference between the PBO and the FV of plan assets. It is recorded on the balance sheet and may be split between the current and non-current portions. It fully measures the debt-like liability of the plan to date and incurs interest like any financial liability. 
The pension obligation on the balance sheet is tax-deductible when a company contributes to the plan. Companies report it gross of tax (i.e. funded status), and the corresponding tax benefit is recorded as a deferred tax asset on BS. The tax deductibility of pension debt is an important difference as compared to traditional debt. When a company takes on traditional debt, interest is deductible, but the debt principal payments are not.
When looking at metrics that include pension debt (such as net debt) analysts should subtract the corresponding DTA to capture the true liability.</t>
        </r>
      </text>
    </comment>
    <comment ref="A47" authorId="0">
      <text>
        <r>
          <rPr>
            <b/>
            <sz val="8"/>
            <color indexed="81"/>
            <rFont val="Tahoma"/>
            <family val="2"/>
          </rPr>
          <t xml:space="preserve">
DTAs: </t>
        </r>
        <r>
          <rPr>
            <sz val="8"/>
            <color indexed="81"/>
            <rFont val="Tahoma"/>
            <family val="2"/>
          </rPr>
          <t xml:space="preserve">The pension obligation on the balance sheet is tax-deductible when a company contributes to the plan. Companies report it gross of tax (i.e. funded status), and the corresponding tax benefit is recorded as a deferred tax asset on the BS. When looking at metrics that include pension debt (such as net debt) analysts should subtract the corresponding DTA to capture the true liability.
</t>
        </r>
        <r>
          <rPr>
            <b/>
            <sz val="8"/>
            <color indexed="81"/>
            <rFont val="Tahoma"/>
            <family val="2"/>
          </rPr>
          <t>How to forecast this line item if Pension is material for my company?</t>
        </r>
        <r>
          <rPr>
            <sz val="8"/>
            <color indexed="81"/>
            <rFont val="Tahoma"/>
            <family val="2"/>
          </rPr>
          <t xml:space="preserve">
DTA's should be = tax rate x forecasted funded status.
</t>
        </r>
        <r>
          <rPr>
            <b/>
            <sz val="8"/>
            <color indexed="81"/>
            <rFont val="Tahoma"/>
            <family val="2"/>
          </rPr>
          <t xml:space="preserve">How does the template forecast it?
</t>
        </r>
        <r>
          <rPr>
            <sz val="8"/>
            <color indexed="81"/>
            <rFont val="Tahoma"/>
            <family val="2"/>
          </rPr>
          <t>It is calculated as tax rate times forecasted funded status.</t>
        </r>
      </text>
    </comment>
    <comment ref="A51" authorId="0">
      <text>
        <r>
          <rPr>
            <b/>
            <sz val="8"/>
            <color indexed="81"/>
            <rFont val="Tahoma"/>
            <family val="2"/>
          </rPr>
          <t xml:space="preserve">
Pension expense</t>
        </r>
        <r>
          <rPr>
            <sz val="8"/>
            <color indexed="81"/>
            <rFont val="Tahoma"/>
            <family val="2"/>
          </rPr>
          <t xml:space="preserve"> is an accrued pension expense and is entirely non-cash. It is thus added back in cash flow from operations as a non-cash item.</t>
        </r>
      </text>
    </comment>
    <comment ref="A52" authorId="0">
      <text>
        <r>
          <rPr>
            <b/>
            <sz val="8"/>
            <color indexed="81"/>
            <rFont val="Tahoma"/>
            <family val="2"/>
          </rPr>
          <t xml:space="preserve">
Contributions</t>
        </r>
        <r>
          <rPr>
            <sz val="8"/>
            <color indexed="81"/>
            <rFont val="Tahoma"/>
            <family val="2"/>
          </rPr>
          <t xml:space="preserve"> are the companies’ payments to the pension trust. These are thus the cash flows on a companies cash flow
statement.</t>
        </r>
      </text>
    </comment>
    <comment ref="A59" authorId="0">
      <text>
        <r>
          <rPr>
            <b/>
            <sz val="8"/>
            <color indexed="81"/>
            <rFont val="Tahoma"/>
            <family val="2"/>
          </rPr>
          <t xml:space="preserve">
Why?
</t>
        </r>
        <r>
          <rPr>
            <sz val="8"/>
            <color indexed="81"/>
            <rFont val="Tahoma"/>
            <family val="2"/>
          </rPr>
          <t>Contributions are companies’ payments to the pension trust. They thus represent a reduction in operating cash flow of the company in the year in which they are made.</t>
        </r>
      </text>
    </comment>
    <comment ref="A60" authorId="0">
      <text>
        <r>
          <rPr>
            <b/>
            <sz val="8"/>
            <color indexed="81"/>
            <rFont val="Tahoma"/>
            <family val="2"/>
          </rPr>
          <t xml:space="preserve">
Why?</t>
        </r>
        <r>
          <rPr>
            <sz val="8"/>
            <color indexed="81"/>
            <rFont val="Tahoma"/>
            <family val="2"/>
          </rPr>
          <t xml:space="preserve">
Pension expense/ (income) is a non-cash number and thus needs to be added back on the cash flow statement. Contributions are the only cash flows related to pension on a company's cash flow statement.</t>
        </r>
      </text>
    </comment>
    <comment ref="A61" authorId="0">
      <text>
        <r>
          <rPr>
            <b/>
            <sz val="8"/>
            <color indexed="81"/>
            <rFont val="Tahoma"/>
            <family val="2"/>
          </rPr>
          <t xml:space="preserve">
Why?
</t>
        </r>
        <r>
          <rPr>
            <sz val="8"/>
            <color indexed="81"/>
            <rFont val="Tahoma"/>
            <family val="2"/>
          </rPr>
          <t>DB obligations on the balance sheet are tax-deductible when the company makes contributions. The obligation on the balance sheet is reported gross of tax, and the corresponding tax benefits are part of deferred tax assets (DTA).</t>
        </r>
      </text>
    </comment>
    <comment ref="A66" authorId="0">
      <text>
        <r>
          <rPr>
            <b/>
            <sz val="8"/>
            <color indexed="81"/>
            <rFont val="Tahoma"/>
            <family val="2"/>
          </rPr>
          <t xml:space="preserve">
Why?
</t>
        </r>
        <r>
          <rPr>
            <sz val="8"/>
            <color indexed="81"/>
            <rFont val="Tahoma"/>
            <family val="2"/>
          </rPr>
          <t>Improvement/deterioration in funded status during the year will decrease /increase the net pension liability for the year and thus needs to be captured in this line item.</t>
        </r>
        <r>
          <rPr>
            <b/>
            <sz val="8"/>
            <color indexed="81"/>
            <rFont val="Tahoma"/>
            <family val="2"/>
          </rPr>
          <t xml:space="preserve">
</t>
        </r>
      </text>
    </comment>
    <comment ref="A67" authorId="0">
      <text>
        <r>
          <rPr>
            <b/>
            <sz val="8"/>
            <color indexed="81"/>
            <rFont val="Tahoma"/>
            <family val="2"/>
          </rPr>
          <t xml:space="preserve">
Why?
</t>
        </r>
        <r>
          <rPr>
            <sz val="8"/>
            <color indexed="81"/>
            <rFont val="Tahoma"/>
            <family val="2"/>
          </rPr>
          <t xml:space="preserve">While the funded status on the balance sheet is based on actual results (i.e. actual return on assets, year-end discount rate, etc), the accounting for the pension/OPEB plan on the income statement is heavily influenced by management estimates and various smoothing features (i.e. EROA, amortization of prior service costs and actuarial G/L, etc.)
To keep the balance sheet in balance, the disconnect between estimated and actual results (known as unrecognized actuarial gains/losses) is captured in </t>
        </r>
        <r>
          <rPr>
            <b/>
            <sz val="8"/>
            <color indexed="81"/>
            <rFont val="Tahoma"/>
            <family val="2"/>
          </rPr>
          <t>Accumulated other comprehensive income (AOCI).</t>
        </r>
      </text>
    </comment>
  </commentList>
</comments>
</file>

<file path=xl/comments22.xml><?xml version="1.0" encoding="utf-8"?>
<comments xmlns="http://schemas.openxmlformats.org/spreadsheetml/2006/main">
  <authors>
    <author>mogres</author>
  </authors>
  <commentList>
    <comment ref="A8" authorId="0">
      <text>
        <r>
          <rPr>
            <sz val="8"/>
            <color indexed="81"/>
            <rFont val="Tahoma"/>
            <family val="2"/>
          </rPr>
          <t xml:space="preserve">
</t>
        </r>
        <r>
          <rPr>
            <b/>
            <sz val="8"/>
            <color indexed="81"/>
            <rFont val="Tahoma"/>
            <family val="2"/>
          </rPr>
          <t xml:space="preserve">Discount rate </t>
        </r>
        <r>
          <rPr>
            <sz val="8"/>
            <color indexed="81"/>
            <rFont val="Tahoma"/>
            <family val="2"/>
          </rPr>
          <t>is based on the Corporate AA bond rate and is used to calculate the present value of pension benefit obligations.
Because the companies have some discretion over how they estimate the rate and the duration of future benefit payments varies from company to company, rates will differ slightly from company to company. It is reset every year based on current market conditions.</t>
        </r>
        <r>
          <rPr>
            <b/>
            <sz val="8"/>
            <color indexed="81"/>
            <rFont val="Tahoma"/>
            <family val="2"/>
          </rPr>
          <t xml:space="preserve">
How to forecast this line item if Pension is material for my company?</t>
        </r>
        <r>
          <rPr>
            <sz val="8"/>
            <color indexed="81"/>
            <rFont val="Tahoma"/>
            <family val="2"/>
          </rPr>
          <t xml:space="preserve">
Assuming you wouldn't want to forecast the interest rates, set this equal to prior period's discount rate. If you are in the middle of FY1, you could make an attempt to use the latest available rate using the appropriate bond index yield. Contact AST if you wish to do so. However, from FY2 onwards, you should set it equal to prior period's discount rate.
</t>
        </r>
        <r>
          <rPr>
            <b/>
            <sz val="8"/>
            <color indexed="81"/>
            <rFont val="Tahoma"/>
            <family val="2"/>
          </rPr>
          <t xml:space="preserve">How does the template forecast it?
</t>
        </r>
        <r>
          <rPr>
            <sz val="8"/>
            <color indexed="81"/>
            <rFont val="Tahoma"/>
            <family val="2"/>
          </rPr>
          <t>The template does not make an attempt to forecast the interest rates and flat lines it.</t>
        </r>
      </text>
    </comment>
    <comment ref="A11"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OPEB expense. This will vary widely from company to company depending on asset mix and other assumptions. EROA generally does not change year-to-year.
*OPEB plans are usually unfuded, meaning they are not set up in trusts. So they usually don't have plan assets set aside to meet the obligations; exception: VEBA trusts. Companies with VEBA trusts only typically fund between 10% and 30% of the OPEB obligation</t>
        </r>
        <r>
          <rPr>
            <b/>
            <sz val="8"/>
            <color indexed="81"/>
            <rFont val="Tahoma"/>
            <family val="2"/>
          </rPr>
          <t xml:space="preserve">
How to forecast this line item if OPEB is material for my company?</t>
        </r>
        <r>
          <rPr>
            <sz val="8"/>
            <color indexed="81"/>
            <rFont val="Tahoma"/>
            <family val="2"/>
          </rPr>
          <t xml:space="preserve">
It should be flat lined unless the management provides guidance around changing it in future year/s OR changing the asset mix in future years/s (e.g. set it lower if the company plans to move their plan assets towards fixed income to better match the asset - liability duration)
</t>
        </r>
        <r>
          <rPr>
            <b/>
            <sz val="8"/>
            <color indexed="81"/>
            <rFont val="Tahoma"/>
            <family val="2"/>
          </rPr>
          <t xml:space="preserve">How does the template forecast it?
</t>
        </r>
        <r>
          <rPr>
            <sz val="8"/>
            <color indexed="81"/>
            <rFont val="Tahoma"/>
            <family val="2"/>
          </rPr>
          <t>The template flat lines the management disclosed estimate of the long-term rate of return on plan assets.</t>
        </r>
      </text>
    </comment>
    <comment ref="A12" authorId="0">
      <text>
        <r>
          <rPr>
            <b/>
            <sz val="8"/>
            <color indexed="81"/>
            <rFont val="Tahoma"/>
            <family val="2"/>
          </rPr>
          <t xml:space="preserve">
Actual Rate of Return </t>
        </r>
        <r>
          <rPr>
            <sz val="8"/>
            <color indexed="81"/>
            <rFont val="Tahoma"/>
            <family val="2"/>
          </rPr>
          <t>is the actual return generated on OPEB plan assets in VEBA trust.</t>
        </r>
        <r>
          <rPr>
            <b/>
            <sz val="8"/>
            <color indexed="81"/>
            <rFont val="Tahoma"/>
            <family val="2"/>
          </rPr>
          <t xml:space="preserve">
How to forecast this line item if OPEB is material for my company?</t>
        </r>
        <r>
          <rPr>
            <sz val="8"/>
            <color indexed="81"/>
            <rFont val="Tahoma"/>
            <family val="2"/>
          </rPr>
          <t xml:space="preserve">
You should set it equal to management's EROA assuming you wouldn't want to forecast the returns on underlying plan assets. If you are in the middle of FY1, you could attempt to use the actual return (YTD) using underlying asset index return. Contact AST if you wish to do so. However, from FY2 onwards, you should set it equal to management's EROA.
</t>
        </r>
        <r>
          <rPr>
            <b/>
            <sz val="8"/>
            <color indexed="81"/>
            <rFont val="Tahoma"/>
            <family val="2"/>
          </rPr>
          <t xml:space="preserve">How does the template forecast it?
</t>
        </r>
        <r>
          <rPr>
            <sz val="8"/>
            <color indexed="81"/>
            <rFont val="Tahoma"/>
            <family val="2"/>
          </rPr>
          <t xml:space="preserve">The template does not make an attempt to forecast the actual rate of return and sets it equal to management's EROA. </t>
        </r>
      </text>
    </comment>
    <comment ref="A13" authorId="0">
      <text>
        <r>
          <rPr>
            <sz val="8"/>
            <color indexed="81"/>
            <rFont val="Tahoma"/>
            <family val="2"/>
          </rPr>
          <t xml:space="preserve">
The OPEB obligation on the balance sheet is tax-deductible as they are paid. Companies report it gross of tax, and the corresponding tax benefit is a deferred tax asset. </t>
        </r>
        <r>
          <rPr>
            <b/>
            <sz val="8"/>
            <color indexed="81"/>
            <rFont val="Tahoma"/>
            <family val="2"/>
          </rPr>
          <t>Statutory tax rate</t>
        </r>
        <r>
          <rPr>
            <sz val="8"/>
            <color indexed="81"/>
            <rFont val="Tahoma"/>
            <family val="2"/>
          </rPr>
          <t xml:space="preserve"> is thus used to compute the deferred tax benefits associated with OPEB obligatios.</t>
        </r>
        <r>
          <rPr>
            <b/>
            <sz val="8"/>
            <color indexed="81"/>
            <rFont val="Tahoma"/>
            <family val="2"/>
          </rPr>
          <t xml:space="preserve">
How to forecast this line item if OPEB is material for my company?</t>
        </r>
        <r>
          <rPr>
            <sz val="8"/>
            <color indexed="81"/>
            <rFont val="Tahoma"/>
            <family val="2"/>
          </rPr>
          <t xml:space="preserve">
You should set it equal to the corporate tax rate of 35%.
</t>
        </r>
        <r>
          <rPr>
            <b/>
            <sz val="8"/>
            <color indexed="81"/>
            <rFont val="Tahoma"/>
            <family val="2"/>
          </rPr>
          <t xml:space="preserve">How does the template forecast it?
</t>
        </r>
        <r>
          <rPr>
            <sz val="8"/>
            <color indexed="81"/>
            <rFont val="Tahoma"/>
            <family val="2"/>
          </rPr>
          <t>The template sets it equal to the statutory tax rate tagged in your model, and for non covered companies it assumes it to be the US corporate tax rate of 35%.</t>
        </r>
      </text>
    </comment>
    <comment ref="A19" authorId="0">
      <text>
        <r>
          <rPr>
            <b/>
            <sz val="8"/>
            <color indexed="81"/>
            <rFont val="Tahoma"/>
            <family val="2"/>
          </rPr>
          <t xml:space="preserve">
Service cost</t>
        </r>
        <r>
          <rPr>
            <sz val="8"/>
            <color indexed="81"/>
            <rFont val="Tahoma"/>
            <family val="2"/>
          </rPr>
          <t xml:space="preserve"> is the 'present value' of new benefits earned during the period and represents the economic operating cost of the ongoing plan. When a company reduces benefits, future service costs decline. If they freeze the plans (i.e. stop the accrual of new benefits), service costs are zero.</t>
        </r>
        <r>
          <rPr>
            <b/>
            <sz val="8"/>
            <color indexed="81"/>
            <rFont val="Tahoma"/>
            <family val="2"/>
          </rPr>
          <t xml:space="preserve">
How to forecast this line item if OPEB is material for my company?</t>
        </r>
        <r>
          <rPr>
            <sz val="8"/>
            <color indexed="81"/>
            <rFont val="Tahoma"/>
            <family val="2"/>
          </rPr>
          <t xml:space="preserve">
For an active plan, service cost </t>
        </r>
        <r>
          <rPr>
            <u/>
            <sz val="8"/>
            <color indexed="81"/>
            <rFont val="Tahoma"/>
            <family val="2"/>
          </rPr>
          <t>usually</t>
        </r>
        <r>
          <rPr>
            <sz val="8"/>
            <color indexed="81"/>
            <rFont val="Tahoma"/>
            <family val="2"/>
          </rPr>
          <t xml:space="preserve"> remains steady in</t>
        </r>
        <r>
          <rPr>
            <u/>
            <sz val="8"/>
            <color indexed="81"/>
            <rFont val="Tahoma"/>
            <family val="2"/>
          </rPr>
          <t xml:space="preserve"> real</t>
        </r>
        <r>
          <rPr>
            <sz val="8"/>
            <color indexed="81"/>
            <rFont val="Tahoma"/>
            <family val="2"/>
          </rPr>
          <t xml:space="preserve"> terms and thus changes only to the extent of changes in interest (discount) rates. It should thus be forecasted after considering the changes in interest rates (if forecasted) for the period and using a rule of thumb which states that -- every 100 bps change in discount rate results in about 10% change in service cost.
If the plan is frozen, set this equal to zero.
</t>
        </r>
        <r>
          <rPr>
            <b/>
            <sz val="8"/>
            <color indexed="81"/>
            <rFont val="Tahoma"/>
            <family val="2"/>
          </rPr>
          <t xml:space="preserve">How does the template forecast it?
</t>
        </r>
        <r>
          <rPr>
            <sz val="8"/>
            <color indexed="81"/>
            <rFont val="Tahoma"/>
            <family val="2"/>
          </rPr>
          <t xml:space="preserve">The template uses a rule of thumb and forecasts the service cost by considering the changes in discount rates (if forecasted - we think its unlikely) on row 8. </t>
        </r>
      </text>
    </comment>
    <comment ref="A20" authorId="0">
      <text>
        <r>
          <rPr>
            <b/>
            <sz val="8"/>
            <color indexed="81"/>
            <rFont val="Tahoma"/>
            <family val="2"/>
          </rPr>
          <t xml:space="preserve">
Prior service cost</t>
        </r>
        <r>
          <rPr>
            <sz val="8"/>
            <color indexed="81"/>
            <rFont val="Tahoma"/>
            <family val="2"/>
          </rPr>
          <t xml:space="preserve"> : When a plan is amended to change benefits, the PBO is re-measured to reflect the new benefit formula. These differences are smoothed into OPEB expense over the remaining service life of employees as prior service costs. </t>
        </r>
        <r>
          <rPr>
            <b/>
            <sz val="8"/>
            <color indexed="81"/>
            <rFont val="Tahoma"/>
            <family val="2"/>
          </rPr>
          <t xml:space="preserve">
How to forecast this line item if OPEB is material for my company?</t>
        </r>
        <r>
          <rPr>
            <sz val="8"/>
            <color indexed="81"/>
            <rFont val="Tahoma"/>
            <family val="2"/>
          </rPr>
          <t xml:space="preserve">
Becasue these are the differences due to amendments in plan benefits, that are then smoothed over a period of time - they tend to be persistent. They should thus be flat lied in forecast years.
</t>
        </r>
        <r>
          <rPr>
            <b/>
            <sz val="8"/>
            <color indexed="81"/>
            <rFont val="Tahoma"/>
            <family val="2"/>
          </rPr>
          <t>How does the template forecast it?</t>
        </r>
        <r>
          <rPr>
            <sz val="8"/>
            <color indexed="81"/>
            <rFont val="Tahoma"/>
            <family val="2"/>
          </rPr>
          <t xml:space="preserve">
The template does not make an attempt to forecast this line item and flat lines it in forecast years.</t>
        </r>
      </text>
    </comment>
    <comment ref="A21" authorId="0">
      <text>
        <r>
          <rPr>
            <b/>
            <sz val="8"/>
            <color indexed="81"/>
            <rFont val="Tahoma"/>
            <family val="2"/>
          </rPr>
          <t xml:space="preserve">
Interest cost</t>
        </r>
        <r>
          <rPr>
            <sz val="8"/>
            <color indexed="81"/>
            <rFont val="Tahoma"/>
            <family val="2"/>
          </rPr>
          <t xml:space="preserve"> is the discount rate (see row 8) times the PBO. It represents the financing cost of the gross liability i.e. PBO.</t>
        </r>
        <r>
          <rPr>
            <b/>
            <sz val="8"/>
            <color indexed="81"/>
            <rFont val="Tahoma"/>
            <family val="2"/>
          </rPr>
          <t xml:space="preserve">
How to forecast this line item if OPEB is material for my company?</t>
        </r>
        <r>
          <rPr>
            <sz val="8"/>
            <color indexed="81"/>
            <rFont val="Tahoma"/>
            <family val="2"/>
          </rPr>
          <t xml:space="preserve">
Interest cost should be calculated as discount rate (BOP) (row 8) times the projected benefit obligation (BOP).
</t>
        </r>
        <r>
          <rPr>
            <b/>
            <sz val="8"/>
            <color indexed="81"/>
            <rFont val="Tahoma"/>
            <family val="2"/>
          </rPr>
          <t xml:space="preserve">How does the template forecast it?
</t>
        </r>
        <r>
          <rPr>
            <sz val="8"/>
            <color indexed="81"/>
            <rFont val="Tahoma"/>
            <family val="2"/>
          </rPr>
          <t>Interest cost is calculated as discount rate (BOP) times the projected benefit obligation (BOP).</t>
        </r>
      </text>
    </comment>
    <comment ref="A22" authorId="0">
      <text>
        <r>
          <rPr>
            <b/>
            <sz val="8"/>
            <color indexed="81"/>
            <rFont val="Tahoma"/>
            <family val="2"/>
          </rPr>
          <t xml:space="preserve">
EROA</t>
        </r>
        <r>
          <rPr>
            <sz val="8"/>
            <color indexed="81"/>
            <rFont val="Tahoma"/>
            <family val="2"/>
          </rPr>
          <t xml:space="preserve"> is management’s estimate of the long-term rate of return for plan assets* and is used to calculate a component of OPEB expense. This will vary widely from company to company depending on asset mix and other assumptions.
*OPEB plans are usually unfuded, meaning they are not set up in trusts. So they usually don't have plan assets set aside to meet the obligations; exception: VEBA trusts. Companies with VEBA trusts only typically fund between 10% and 30% of the OPEB obligation</t>
        </r>
        <r>
          <rPr>
            <b/>
            <sz val="8"/>
            <color indexed="81"/>
            <rFont val="Tahoma"/>
            <family val="2"/>
          </rPr>
          <t xml:space="preserve">
How to forecast this line item if OPEB is material for my company?</t>
        </r>
        <r>
          <rPr>
            <sz val="8"/>
            <color indexed="81"/>
            <rFont val="Tahoma"/>
            <family val="2"/>
          </rPr>
          <t xml:space="preserve">
EROA should be calculated as management’s assumption of the long-term return times the FV of plan assets (BOP).
</t>
        </r>
        <r>
          <rPr>
            <b/>
            <sz val="8"/>
            <color indexed="81"/>
            <rFont val="Tahoma"/>
            <family val="2"/>
          </rPr>
          <t xml:space="preserve">How does the template forecast it?
</t>
        </r>
        <r>
          <rPr>
            <sz val="8"/>
            <color indexed="81"/>
            <rFont val="Tahoma"/>
            <family val="2"/>
          </rPr>
          <t>EROA is calculated as  management’s assumption of the long-term return times the FV of plan assets (BOP).</t>
        </r>
      </text>
    </comment>
    <comment ref="A23" authorId="0">
      <text>
        <r>
          <rPr>
            <sz val="8"/>
            <color indexed="81"/>
            <rFont val="Tahoma"/>
            <family val="2"/>
          </rPr>
          <t xml:space="preserve">
Companies that have voluntarily changed their GAAP pension accounting recognize all actuarial gains/losses that occurred during the year in the 4th quarter, instead of amortizing them over time. </t>
        </r>
        <r>
          <rPr>
            <b/>
            <sz val="8"/>
            <color indexed="81"/>
            <rFont val="Tahoma"/>
            <family val="2"/>
          </rPr>
          <t xml:space="preserve">
How to forecast this line item if Pension is material for my company?</t>
        </r>
        <r>
          <rPr>
            <sz val="8"/>
            <color indexed="81"/>
            <rFont val="Tahoma"/>
            <family val="2"/>
          </rPr>
          <t xml:space="preserve">
This line item is not important from an economic standpoint and is also impossible to forecast. You should set this line item equal to zero for the forecast years.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to recognize it immediately on the income statement.</t>
        </r>
      </text>
    </comment>
    <comment ref="A24" authorId="0">
      <text>
        <r>
          <rPr>
            <b/>
            <sz val="8"/>
            <color indexed="81"/>
            <rFont val="Tahoma"/>
            <family val="2"/>
          </rPr>
          <t xml:space="preserve">
In the template, this line item may include the total of:
</t>
        </r>
        <r>
          <rPr>
            <sz val="8"/>
            <color indexed="81"/>
            <rFont val="Tahoma"/>
            <family val="2"/>
          </rPr>
          <t>1</t>
        </r>
        <r>
          <rPr>
            <u/>
            <sz val="8"/>
            <color indexed="81"/>
            <rFont val="Tahoma"/>
            <family val="2"/>
          </rPr>
          <t xml:space="preserve">. Amortization of actuarial gains &amp; losses: </t>
        </r>
        <r>
          <rPr>
            <sz val="8"/>
            <color indexed="81"/>
            <rFont val="Tahoma"/>
            <family val="2"/>
          </rPr>
          <t>When the actual results of the plan (which are reported on the balance sheet) differ significantly from the actuarial estimates (which are reported on the income statement), these differences are smoothed into OPEB expense over time, usually over the average remaining working life of employees.</t>
        </r>
        <r>
          <rPr>
            <b/>
            <sz val="8"/>
            <color indexed="81"/>
            <rFont val="Tahoma"/>
            <family val="2"/>
          </rPr>
          <t xml:space="preserve">
</t>
        </r>
        <r>
          <rPr>
            <sz val="8"/>
            <color indexed="81"/>
            <rFont val="Tahoma"/>
            <family val="2"/>
          </rPr>
          <t>2</t>
        </r>
        <r>
          <rPr>
            <u/>
            <sz val="8"/>
            <color indexed="81"/>
            <rFont val="Tahoma"/>
            <family val="2"/>
          </rPr>
          <t>. Other adjustments</t>
        </r>
        <r>
          <rPr>
            <sz val="8"/>
            <color indexed="81"/>
            <rFont val="Tahoma"/>
            <family val="2"/>
          </rPr>
          <t xml:space="preserve"> such as settlements and curtailments. These tend to be one-time in nature, and related to plan changes.</t>
        </r>
        <r>
          <rPr>
            <b/>
            <sz val="8"/>
            <color indexed="81"/>
            <rFont val="Tahoma"/>
            <family val="2"/>
          </rPr>
          <t xml:space="preserve">
How to forecast this line item if OPEB is material for my company?
</t>
        </r>
        <r>
          <rPr>
            <sz val="8"/>
            <color indexed="81"/>
            <rFont val="Tahoma"/>
            <family val="2"/>
          </rPr>
          <t>Pension footnote discloses amortization of actuarial gains/ losses for the next fiscal year. For the remaining forecast years, you should use the approach mentioned below. Also, contact AST to make sure that the numbers make sense.</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computes the actuarial gains and losses for the year by considering changes in interest rates (row 8) and the difference in EROA and actual rate of return (Row 11 &amp;12). It divides the actuarial loss for the year by avg. remaining working life of employees to compute the amortization for the year and then adds 
it to the amortization of accumulated gain / loss of previous year.</t>
        </r>
      </text>
    </comment>
    <comment ref="A25" authorId="0">
      <text>
        <r>
          <rPr>
            <b/>
            <sz val="8"/>
            <color indexed="81"/>
            <rFont val="Tahoma"/>
            <family val="2"/>
          </rPr>
          <t xml:space="preserve">
OPEB expense</t>
        </r>
        <r>
          <rPr>
            <sz val="8"/>
            <color indexed="81"/>
            <rFont val="Tahoma"/>
            <family val="2"/>
          </rPr>
          <t xml:space="preserve"> is an accrued OPEB expense and is entirely non-cash. It is calculated as Service cost (+) Interest cost (-) EROA (+/-) Amortization of actuarial gains/ losses / prior service cost.</t>
        </r>
      </text>
    </comment>
    <comment ref="A29" authorId="0">
      <text>
        <r>
          <rPr>
            <b/>
            <sz val="8"/>
            <color indexed="81"/>
            <rFont val="Tahoma"/>
            <family val="2"/>
          </rPr>
          <t xml:space="preserve">
PBO</t>
        </r>
        <r>
          <rPr>
            <sz val="8"/>
            <color indexed="81"/>
            <rFont val="Tahoma"/>
            <family val="2"/>
          </rPr>
          <t xml:space="preserve"> is the present value of the projected benefit obligations earned to date. Employees earn benefits as they accumulate years of service. The obligations are measured at present value using the corporate AA bond rate and are re-measured each year to account for interest rate changes, assumption changes, new benefits earned (represented by service cost), and passage of time (represented by interest cost) which increase the PBO. Also, benefits paid during the year decrease the PBO.</t>
        </r>
      </text>
    </comment>
    <comment ref="A30" authorId="0">
      <text>
        <r>
          <rPr>
            <b/>
            <sz val="8"/>
            <color indexed="81"/>
            <rFont val="Tahoma"/>
            <family val="2"/>
          </rPr>
          <t xml:space="preserve">
Service cost</t>
        </r>
        <r>
          <rPr>
            <sz val="8"/>
            <color indexed="81"/>
            <rFont val="Tahoma"/>
            <family val="2"/>
          </rPr>
          <t xml:space="preserve"> is incurred each period as employees earn new benefits for increased time of service and is thus added to PBO, which is the PV of the projected benefit obligations </t>
        </r>
        <r>
          <rPr>
            <u/>
            <sz val="8"/>
            <color indexed="81"/>
            <rFont val="Tahoma"/>
            <family val="2"/>
          </rPr>
          <t>earned to date.</t>
        </r>
        <r>
          <rPr>
            <b/>
            <sz val="8"/>
            <color indexed="81"/>
            <rFont val="Tahoma"/>
            <family val="2"/>
          </rPr>
          <t xml:space="preserve">
How to forecast this line item if OPEB is material for my company?
</t>
        </r>
        <r>
          <rPr>
            <sz val="8"/>
            <color indexed="81"/>
            <rFont val="Tahoma"/>
            <family val="2"/>
          </rPr>
          <t>It should be linked to service cost for the year already forecasted on the income statement.</t>
        </r>
        <r>
          <rPr>
            <b/>
            <sz val="8"/>
            <color indexed="81"/>
            <rFont val="Tahoma"/>
            <family val="2"/>
          </rPr>
          <t xml:space="preserve">
How does the template forecast it?
</t>
        </r>
        <r>
          <rPr>
            <sz val="8"/>
            <color indexed="81"/>
            <rFont val="Tahoma"/>
            <family val="2"/>
          </rPr>
          <t>It is linked to service cost for the year already forecasted on the income statement.</t>
        </r>
      </text>
    </comment>
    <comment ref="A31" authorId="0">
      <text>
        <r>
          <rPr>
            <b/>
            <sz val="8"/>
            <color indexed="81"/>
            <rFont val="Tahoma"/>
            <family val="2"/>
          </rPr>
          <t xml:space="preserve">
Interest cost is</t>
        </r>
        <r>
          <rPr>
            <sz val="8"/>
            <color indexed="81"/>
            <rFont val="Tahoma"/>
            <family val="2"/>
          </rPr>
          <t xml:space="preserve"> the financing cost of the gross liability and is thus added to PBO.</t>
        </r>
        <r>
          <rPr>
            <b/>
            <sz val="8"/>
            <color indexed="81"/>
            <rFont val="Tahoma"/>
            <family val="2"/>
          </rPr>
          <t xml:space="preserve">
How to forecast this line item if OPEB is material for my company?</t>
        </r>
        <r>
          <rPr>
            <sz val="8"/>
            <color indexed="81"/>
            <rFont val="Tahoma"/>
            <family val="2"/>
          </rPr>
          <t xml:space="preserve">
It should be linked to interest cost for the year already forecasted on the income statement.
</t>
        </r>
        <r>
          <rPr>
            <b/>
            <sz val="8"/>
            <color indexed="81"/>
            <rFont val="Tahoma"/>
            <family val="2"/>
          </rPr>
          <t>How does the template forecast it?</t>
        </r>
        <r>
          <rPr>
            <sz val="8"/>
            <color indexed="81"/>
            <rFont val="Tahoma"/>
            <family val="2"/>
          </rPr>
          <t xml:space="preserve">
It is linked to interest cost for the year already forecasted on the income statement.
</t>
        </r>
      </text>
    </comment>
    <comment ref="A32" authorId="0">
      <text>
        <r>
          <rPr>
            <b/>
            <sz val="8"/>
            <color indexed="81"/>
            <rFont val="Tahoma"/>
            <family val="2"/>
          </rPr>
          <t xml:space="preserve">
Actuarial loss (gain)</t>
        </r>
        <r>
          <rPr>
            <sz val="8"/>
            <color indexed="81"/>
            <rFont val="Tahoma"/>
            <family val="2"/>
          </rPr>
          <t xml:space="preserve"> is the magnitude of disconnect between actuarial estimates and actual experience in a company's OPEB plan. For example, if the interest (discount) rate used to compute the PV of benefit obligations declines, it results in increase in the obligations and the change in liability is accounted as an actuarial loss for the year.</t>
        </r>
        <r>
          <rPr>
            <b/>
            <sz val="8"/>
            <color indexed="81"/>
            <rFont val="Tahoma"/>
            <family val="2"/>
          </rPr>
          <t xml:space="preserve">
How to forecast this line item if OPEB is material for my company?
</t>
        </r>
        <r>
          <rPr>
            <sz val="8"/>
            <color indexed="81"/>
            <rFont val="Tahoma"/>
            <family val="2"/>
          </rPr>
          <t>It should be forecasted by considering the changes in interest rates (if forecasted) for the period (row 8) and using a rule of thumb which states that -- every 100 bps change in discount rate results in about 10% change in PBO.</t>
        </r>
        <r>
          <rPr>
            <b/>
            <sz val="8"/>
            <color indexed="81"/>
            <rFont val="Tahoma"/>
            <family val="2"/>
          </rPr>
          <t xml:space="preserve">
How does the template forecast it?
</t>
        </r>
        <r>
          <rPr>
            <sz val="8"/>
            <color indexed="81"/>
            <rFont val="Tahoma"/>
            <family val="2"/>
          </rPr>
          <t>The template uses a rule of thumb and forecasts this number after considering the changes in discount rates on row 8.</t>
        </r>
      </text>
    </comment>
    <comment ref="A33" authorId="0">
      <text>
        <r>
          <rPr>
            <b/>
            <sz val="8"/>
            <color indexed="81"/>
            <rFont val="Tahoma"/>
            <family val="2"/>
          </rPr>
          <t xml:space="preserve">
Benefits payments </t>
        </r>
        <r>
          <rPr>
            <sz val="8"/>
            <color indexed="81"/>
            <rFont val="Tahoma"/>
            <family val="2"/>
          </rPr>
          <t>are the actual OPEB benefit payments made to the employees during the year. It reduces the OPEB liability by the amount of the benefits paid.</t>
        </r>
        <r>
          <rPr>
            <b/>
            <sz val="8"/>
            <color indexed="81"/>
            <rFont val="Tahoma"/>
            <family val="2"/>
          </rPr>
          <t xml:space="preserve">
How to forecast this line item if OPEB is material for my company?</t>
        </r>
        <r>
          <rPr>
            <sz val="8"/>
            <color indexed="81"/>
            <rFont val="Tahoma"/>
            <family val="2"/>
          </rPr>
          <t xml:space="preserve">
The pension footnote discloses the expected benefit payments to retirees for the next 5 years, and the aggregate payment for the following 5 years which should be used in the template to forecast future benefit payments.
</t>
        </r>
        <r>
          <rPr>
            <b/>
            <sz val="8"/>
            <color indexed="81"/>
            <rFont val="Tahoma"/>
            <family val="2"/>
          </rPr>
          <t xml:space="preserve">How does the template forecast it?
</t>
        </r>
        <r>
          <rPr>
            <sz val="8"/>
            <color indexed="81"/>
            <rFont val="Tahoma"/>
            <family val="2"/>
          </rPr>
          <t>Because benefit payments are usually steady in nature, the template flat lines it.</t>
        </r>
      </text>
    </comment>
    <comment ref="A34" authorId="0">
      <text>
        <r>
          <rPr>
            <b/>
            <sz val="8"/>
            <color indexed="81"/>
            <rFont val="Tahoma"/>
            <family val="2"/>
          </rPr>
          <t xml:space="preserve">
In the template, this line item may include the total of:</t>
        </r>
        <r>
          <rPr>
            <sz val="8"/>
            <color indexed="81"/>
            <rFont val="Tahoma"/>
            <family val="2"/>
          </rPr>
          <t xml:space="preserve">
1. Plan Amendments
2. Actuarial Adjustments
3. Exchange gains/losses
4. Settlements and curtailments
5. Acquisitions and Divestures
6. Other adjustments to PBO</t>
        </r>
        <r>
          <rPr>
            <b/>
            <sz val="8"/>
            <color indexed="81"/>
            <rFont val="Tahoma"/>
            <family val="2"/>
          </rPr>
          <t xml:space="preserve">
How to forecast this line item if OPEB is material for my company?</t>
        </r>
        <r>
          <rPr>
            <sz val="8"/>
            <color indexed="81"/>
            <rFont val="Tahoma"/>
            <family val="2"/>
          </rPr>
          <t xml:space="preserve">
This line item includes a set of miscellaneous items that are not important from an economic standpoint. They are also impossible to forecast. You should set it equal to zero for the forecast years.
</t>
        </r>
        <r>
          <rPr>
            <b/>
            <sz val="8"/>
            <color indexed="81"/>
            <rFont val="Tahoma"/>
            <family val="2"/>
          </rPr>
          <t xml:space="preserve">How does the template forecast it?
</t>
        </r>
        <r>
          <rPr>
            <sz val="8"/>
            <color indexed="81"/>
            <rFont val="Tahoma"/>
            <family val="2"/>
          </rPr>
          <t>The template does not make an attempt to forecast this line item and sets it equal to zero for the forecast years.</t>
        </r>
      </text>
    </comment>
    <comment ref="A37" authorId="0">
      <text>
        <r>
          <rPr>
            <b/>
            <sz val="8"/>
            <color indexed="81"/>
            <rFont val="Tahoma"/>
            <family val="2"/>
          </rPr>
          <t xml:space="preserve">
OPEB plan assets*</t>
        </r>
        <r>
          <rPr>
            <sz val="8"/>
            <color indexed="81"/>
            <rFont val="Tahoma"/>
            <family val="2"/>
          </rPr>
          <t xml:space="preserve"> are measured at the current fair value. Similar to other assets and liabilities measured at fair value, the company provides details about how it measured the fair value of its OPEB assets (in the VEBA truest) in the disclosures.
*OPEB plans are usually unfuded, meaning they are not set up in trusts. So they usually don't have plan assets set aside to meet the obligations; exception: VEBA trusts. Companies with VEBA trusts only typically fund between 10% and 30% of the OPEB obligation</t>
        </r>
      </text>
    </comment>
    <comment ref="A38" authorId="0">
      <text>
        <r>
          <rPr>
            <b/>
            <sz val="8"/>
            <color indexed="81"/>
            <rFont val="Tahoma"/>
            <family val="2"/>
          </rPr>
          <t xml:space="preserve">
Actual return </t>
        </r>
        <r>
          <rPr>
            <sz val="8"/>
            <color indexed="81"/>
            <rFont val="Tahoma"/>
            <family val="2"/>
          </rPr>
          <t xml:space="preserve">is the return generared on plan assets in VEBA trust.
</t>
        </r>
        <r>
          <rPr>
            <b/>
            <sz val="8"/>
            <color indexed="81"/>
            <rFont val="Tahoma"/>
            <family val="2"/>
          </rPr>
          <t>How to forecast this line item if OPEB is material for my company?</t>
        </r>
        <r>
          <rPr>
            <sz val="8"/>
            <color indexed="81"/>
            <rFont val="Tahoma"/>
            <family val="2"/>
          </rPr>
          <t xml:space="preserve">
Actual return could be calculated as actual rate of return (row12) times the FV of plan assets (BOP) + 0.5*contributions assuming that the contributions were made in the middle of the year. Contact AST if the company makes steady contributions throughout the year OR if you are unsure how to consider them when calculating actual return.
</t>
        </r>
        <r>
          <rPr>
            <b/>
            <sz val="8"/>
            <color indexed="81"/>
            <rFont val="Tahoma"/>
            <family val="2"/>
          </rPr>
          <t>How does the template forecast it?</t>
        </r>
        <r>
          <rPr>
            <sz val="8"/>
            <color indexed="81"/>
            <rFont val="Tahoma"/>
            <family val="2"/>
          </rPr>
          <t xml:space="preserve">
Actual return is calculated as actual rate of return (row12) times the FV of plan assets (BOP) + 0.5*contributions assuming that the contributions were made in the middle of the year.</t>
        </r>
      </text>
    </comment>
    <comment ref="A39" authorId="0">
      <text>
        <r>
          <rPr>
            <b/>
            <sz val="8"/>
            <color indexed="81"/>
            <rFont val="Tahoma"/>
            <family val="2"/>
          </rPr>
          <t xml:space="preserve">
Contributions</t>
        </r>
        <r>
          <rPr>
            <sz val="8"/>
            <color indexed="81"/>
            <rFont val="Tahoma"/>
            <family val="2"/>
          </rPr>
          <t xml:space="preserve"> are the payments that the company makes</t>
        </r>
        <r>
          <rPr>
            <u/>
            <sz val="8"/>
            <color indexed="81"/>
            <rFont val="Tahoma"/>
            <family val="2"/>
          </rPr>
          <t xml:space="preserve"> into the VEBA trust</t>
        </r>
        <r>
          <rPr>
            <sz val="8"/>
            <color indexed="81"/>
            <rFont val="Tahoma"/>
            <family val="2"/>
          </rPr>
          <t xml:space="preserve">, for future benefit payments. </t>
        </r>
        <r>
          <rPr>
            <b/>
            <sz val="8"/>
            <color indexed="81"/>
            <rFont val="Tahoma"/>
            <family val="2"/>
          </rPr>
          <t xml:space="preserve">
How to forecast this line item if OPEB is material for my company?
</t>
        </r>
        <r>
          <rPr>
            <sz val="8"/>
            <color indexed="81"/>
            <rFont val="Tahoma"/>
            <family val="2"/>
          </rPr>
          <t>Companies disclose expected contributions for the 'next' fiscal year in their pension footnote which should be used in the template to forecast next year's contributions. Some companies also disclose it for 'future years' in their contractual obligations footnote, which could be used to forecast it for the rest of the years. 
If the company does not have a VEBA trust, then they most likely make the benefit payments on 'pay as you go' basis. The cash outflow in that case is going to be 'benefits paid' for the period.</t>
        </r>
        <r>
          <rPr>
            <sz val="8"/>
            <color indexed="81"/>
            <rFont val="Tahoma"/>
            <family val="2"/>
          </rPr>
          <t xml:space="preserve">
</t>
        </r>
        <r>
          <rPr>
            <b/>
            <sz val="8"/>
            <color indexed="81"/>
            <rFont val="Tahoma"/>
            <family val="2"/>
          </rPr>
          <t xml:space="preserve">How does the template forecast it?
</t>
        </r>
        <r>
          <rPr>
            <sz val="8"/>
            <color indexed="81"/>
            <rFont val="Tahoma"/>
            <family val="2"/>
          </rPr>
          <t>The template does not forecast the contributions and leaves it to the analyst team to investigate whether the company has a separate VEBA trust to maintain the plan assets. If they do, then enter the numbers that the company discloses in the footnote.. if they don't then enter this number same as benefits paid forecasted on row 40 (opposite sign), that way plan assets will remain zero but the correct cash outflow will get captured on row 52.</t>
        </r>
      </text>
    </comment>
    <comment ref="A40" authorId="0">
      <text>
        <r>
          <rPr>
            <b/>
            <sz val="8"/>
            <color indexed="81"/>
            <rFont val="Tahoma"/>
            <family val="2"/>
          </rPr>
          <t xml:space="preserve">
Benefits payments </t>
        </r>
        <r>
          <rPr>
            <sz val="8"/>
            <color indexed="81"/>
            <rFont val="Tahoma"/>
            <family val="2"/>
          </rPr>
          <t>are the actual OPEB benefit payments made to the employees during the year. These payments are usually paid out of VEBA trust i.e. OPEB plan assets</t>
        </r>
        <r>
          <rPr>
            <u/>
            <sz val="8"/>
            <color indexed="81"/>
            <rFont val="Tahoma"/>
            <family val="2"/>
          </rPr>
          <t xml:space="preserve"> if the company has set up the VEBA trust</t>
        </r>
        <r>
          <rPr>
            <sz val="8"/>
            <color indexed="81"/>
            <rFont val="Tahoma"/>
            <family val="2"/>
          </rPr>
          <t xml:space="preserve"> </t>
        </r>
        <r>
          <rPr>
            <b/>
            <sz val="8"/>
            <color indexed="81"/>
            <rFont val="Tahoma"/>
            <family val="2"/>
          </rPr>
          <t>OR</t>
        </r>
        <r>
          <rPr>
            <sz val="8"/>
            <color indexed="81"/>
            <rFont val="Tahoma"/>
            <family val="2"/>
          </rPr>
          <t xml:space="preserve"> partly out of the VEBA trust &amp; partly out of the company cash flow </t>
        </r>
        <r>
          <rPr>
            <b/>
            <sz val="8"/>
            <color indexed="81"/>
            <rFont val="Tahoma"/>
            <family val="2"/>
          </rPr>
          <t>OR</t>
        </r>
        <r>
          <rPr>
            <sz val="8"/>
            <color indexed="81"/>
            <rFont val="Tahoma"/>
            <family val="2"/>
          </rPr>
          <t xml:space="preserve"> entirely out of the company cash flow if the company doesn't have the VEBA trust. </t>
        </r>
        <r>
          <rPr>
            <b/>
            <sz val="8"/>
            <color indexed="81"/>
            <rFont val="Tahoma"/>
            <family val="2"/>
          </rPr>
          <t xml:space="preserve">
How to forecast this line item if OPEB is material for my company?</t>
        </r>
        <r>
          <rPr>
            <sz val="8"/>
            <color indexed="81"/>
            <rFont val="Tahoma"/>
            <family val="2"/>
          </rPr>
          <t xml:space="preserve">
The pension footnote discloses the schedule of expected benefit payments to retirees for the next 5 years, and the aggregate payment for the following 5 years, which should be used in the template to forecast future benefit payments. (i.e. you can just link this to row 33 of the template) depending on whether the company has set up the VEBA trust. If they don't you need to assume that the company pays it entirely out of the cash flow as and when due.
</t>
        </r>
        <r>
          <rPr>
            <b/>
            <sz val="8"/>
            <color indexed="81"/>
            <rFont val="Tahoma"/>
            <family val="2"/>
          </rPr>
          <t xml:space="preserve">How does the template forecast it?
</t>
        </r>
        <r>
          <rPr>
            <sz val="8"/>
            <color indexed="81"/>
            <rFont val="Tahoma"/>
            <family val="2"/>
          </rPr>
          <t>The template does not forecast this number because different companies have different facts as mentioned above. You need to fill out the numbers based on these facts. Please get in touch with AST if unsure how to handle this.</t>
        </r>
      </text>
    </comment>
    <comment ref="A41" authorId="0">
      <text>
        <r>
          <rPr>
            <b/>
            <sz val="8"/>
            <color indexed="81"/>
            <rFont val="Tahoma"/>
            <family val="2"/>
          </rPr>
          <t xml:space="preserve">
In the template, this line item may include the total of:</t>
        </r>
        <r>
          <rPr>
            <sz val="8"/>
            <color indexed="81"/>
            <rFont val="Tahoma"/>
            <family val="2"/>
          </rPr>
          <t xml:space="preserve">
1. Acquisitions and Divestitures 
2. Settlements and curtailments
3. Exchange rate changes 
4. Other adjustments to plan assets
</t>
        </r>
        <r>
          <rPr>
            <b/>
            <sz val="8"/>
            <color indexed="81"/>
            <rFont val="Tahoma"/>
            <family val="2"/>
          </rPr>
          <t xml:space="preserve">How to forecast this line item if OPEB is material for my company?
</t>
        </r>
        <r>
          <rPr>
            <sz val="8"/>
            <color indexed="81"/>
            <rFont val="Tahoma"/>
            <family val="2"/>
          </rPr>
          <t>This line item includes a set of miscellaneous items that are not important from an economic standpoint. They are also impossible to forecast. You should set this line item equal to zero for the forecast years.</t>
        </r>
        <r>
          <rPr>
            <b/>
            <sz val="8"/>
            <color indexed="81"/>
            <rFont val="Tahoma"/>
            <family val="2"/>
          </rPr>
          <t xml:space="preserve">
How does the template forecast it?
</t>
        </r>
        <r>
          <rPr>
            <sz val="8"/>
            <color indexed="81"/>
            <rFont val="Tahoma"/>
            <family val="2"/>
          </rPr>
          <t>The template does not make an attempt to forecast this line item and sets it equal to zero for the forecast years.</t>
        </r>
      </text>
    </comment>
    <comment ref="A44" authorId="0">
      <text>
        <r>
          <rPr>
            <b/>
            <sz val="8"/>
            <color indexed="81"/>
            <rFont val="Tahoma"/>
            <family val="2"/>
          </rPr>
          <t xml:space="preserve">
Funded status </t>
        </r>
        <r>
          <rPr>
            <sz val="8"/>
            <color indexed="81"/>
            <rFont val="Tahoma"/>
            <family val="2"/>
          </rPr>
          <t>of the plan is the difference between the PBO and the FV of plan assets. It is recorded on the balance sheet and may be split between the current and non-current portions. It fully measures the debt-like liability of the plan to date and incurs interest like any financial liability. 
The pension obligation on the balance sheet is tax-deductible when a company contributes to the plan. Companies report it gross of tax (i.e. funded status), and the corresponding tax benefit is recorded as a deferred tax asset on the BS. The tax deductibility of pension debt is an important difference as compared to traditional debt. When a company takes on traditional debt, interest is deductible, but the debt principal payments are not.
When looking at metrics that include pension debt (such as net debt) analysts should subtract the corresponding DTA to capture the true liability.</t>
        </r>
      </text>
    </comment>
    <comment ref="A47" authorId="0">
      <text>
        <r>
          <rPr>
            <b/>
            <sz val="8"/>
            <color indexed="81"/>
            <rFont val="Tahoma"/>
            <family val="2"/>
          </rPr>
          <t xml:space="preserve">
DTAs: </t>
        </r>
        <r>
          <rPr>
            <sz val="8"/>
            <color indexed="81"/>
            <rFont val="Tahoma"/>
            <family val="2"/>
          </rPr>
          <t>The OPEB obligation on the balance sheet is tax-deductible as they are paid. The obligation on the balance sheet is reported gross of tax, and the corresponding tax benefits are part of deferred tax assets (DTA).
Unlike pensions, companies do not have the same incentives to pre-fund OPEB obligations, and as a result, most companies do not set up a separate trust for the OPEB plan*. Since the plan is unfunded, there are no plan assets, and there are no contributions to the plan. Instead, the company pays the costs of benefits directly to retirees.
*Some companies set up what is known as a Variable Employees’ Beneficiary Association (VEBA) Trust. From a tax perspective, these trusts function similarly to a pension plan, allowing some tax-deductible contributions. The allowable contributions are usually a relatively low percentage of the total obligation, so companies with VEBA trusts only typically fund between 10% and 30% of the OPEB obligation.</t>
        </r>
        <r>
          <rPr>
            <sz val="8"/>
            <color indexed="81"/>
            <rFont val="Tahoma"/>
            <family val="2"/>
          </rPr>
          <t xml:space="preserve">
</t>
        </r>
        <r>
          <rPr>
            <b/>
            <sz val="8"/>
            <color indexed="81"/>
            <rFont val="Tahoma"/>
            <family val="2"/>
          </rPr>
          <t>How to forecast this line item if Pension is material for my company?</t>
        </r>
        <r>
          <rPr>
            <sz val="8"/>
            <color indexed="81"/>
            <rFont val="Tahoma"/>
            <family val="2"/>
          </rPr>
          <t xml:space="preserve">
DTA's thus should be = tax rate x forecasted funded status.
</t>
        </r>
        <r>
          <rPr>
            <b/>
            <sz val="8"/>
            <color indexed="81"/>
            <rFont val="Tahoma"/>
            <family val="2"/>
          </rPr>
          <t xml:space="preserve">How does the template forecast it?
</t>
        </r>
        <r>
          <rPr>
            <sz val="8"/>
            <color indexed="81"/>
            <rFont val="Tahoma"/>
            <family val="2"/>
          </rPr>
          <t>It is calculated as tax rate times forecasted funded status.</t>
        </r>
      </text>
    </comment>
    <comment ref="A51" authorId="0">
      <text>
        <r>
          <rPr>
            <b/>
            <sz val="8"/>
            <color indexed="81"/>
            <rFont val="Tahoma"/>
            <family val="2"/>
          </rPr>
          <t xml:space="preserve">
OPEB expense</t>
        </r>
        <r>
          <rPr>
            <sz val="8"/>
            <color indexed="81"/>
            <rFont val="Tahoma"/>
            <family val="2"/>
          </rPr>
          <t xml:space="preserve"> is an accrued OPEB expense and is entirely non-cash. It is thus added back in cash flow from operations as a non-cash item.</t>
        </r>
      </text>
    </comment>
    <comment ref="A52" authorId="0">
      <text>
        <r>
          <rPr>
            <b/>
            <sz val="8"/>
            <color indexed="81"/>
            <rFont val="Tahoma"/>
            <family val="2"/>
          </rPr>
          <t xml:space="preserve">
Contributions</t>
        </r>
        <r>
          <rPr>
            <sz val="8"/>
            <color indexed="81"/>
            <rFont val="Tahoma"/>
            <family val="2"/>
          </rPr>
          <t xml:space="preserve"> are the companies’ payments to the VEBA trust. These are thus the cash flows on a companies cash flow
statement.</t>
        </r>
      </text>
    </comment>
    <comment ref="A59" authorId="0">
      <text>
        <r>
          <rPr>
            <b/>
            <sz val="8"/>
            <color indexed="81"/>
            <rFont val="Tahoma"/>
            <family val="2"/>
          </rPr>
          <t xml:space="preserve">
Why?
</t>
        </r>
        <r>
          <rPr>
            <sz val="8"/>
            <color indexed="81"/>
            <rFont val="Tahoma"/>
            <family val="2"/>
          </rPr>
          <t>Contributions are companies’ payments to the VEBA trust. They thus represent a reduction in operating cash flow of the company in the year in which they are made.
If the compay does not have the trust, this number should reflect the benefit payments made to the employees.</t>
        </r>
      </text>
    </comment>
    <comment ref="A60" authorId="0">
      <text>
        <r>
          <rPr>
            <b/>
            <sz val="8"/>
            <color indexed="81"/>
            <rFont val="Tahoma"/>
            <family val="2"/>
          </rPr>
          <t xml:space="preserve">
Why?</t>
        </r>
        <r>
          <rPr>
            <sz val="8"/>
            <color indexed="81"/>
            <rFont val="Tahoma"/>
            <family val="2"/>
          </rPr>
          <t xml:space="preserve">
OPEB expense/ (income) is a non-cash number and thus needs to be added back on the cash flow statement.</t>
        </r>
      </text>
    </comment>
    <comment ref="A61" authorId="0">
      <text>
        <r>
          <rPr>
            <b/>
            <sz val="8"/>
            <color indexed="81"/>
            <rFont val="Tahoma"/>
            <family val="2"/>
          </rPr>
          <t xml:space="preserve">
Why?
</t>
        </r>
        <r>
          <rPr>
            <sz val="8"/>
            <color indexed="81"/>
            <rFont val="Tahoma"/>
            <family val="2"/>
          </rPr>
          <t>The OPEB obligation on the balance sheet is tax-deductible as they are paid. The obligation on the balance sheet is reported gross of tax, and the corresponding tax benefits are part of deferred tax assets (DTA).</t>
        </r>
      </text>
    </comment>
    <comment ref="A66" authorId="0">
      <text>
        <r>
          <rPr>
            <b/>
            <sz val="8"/>
            <color indexed="81"/>
            <rFont val="Tahoma"/>
            <family val="2"/>
          </rPr>
          <t xml:space="preserve">
Why?
</t>
        </r>
        <r>
          <rPr>
            <sz val="8"/>
            <color indexed="81"/>
            <rFont val="Tahoma"/>
            <family val="2"/>
          </rPr>
          <t>Improvement/deterioration in funded status during the year will decrease /increase the net OPEB liability for the year and thus needs to be captured in this line item.</t>
        </r>
        <r>
          <rPr>
            <b/>
            <sz val="8"/>
            <color indexed="81"/>
            <rFont val="Tahoma"/>
            <family val="2"/>
          </rPr>
          <t xml:space="preserve">
</t>
        </r>
      </text>
    </comment>
    <comment ref="A67" authorId="0">
      <text>
        <r>
          <rPr>
            <b/>
            <sz val="8"/>
            <color indexed="81"/>
            <rFont val="Tahoma"/>
            <family val="2"/>
          </rPr>
          <t xml:space="preserve">
Why?
</t>
        </r>
        <r>
          <rPr>
            <sz val="8"/>
            <color indexed="81"/>
            <rFont val="Tahoma"/>
            <family val="2"/>
          </rPr>
          <t xml:space="preserve">While the funded status on the balance sheet is based on actual results (i.e. actual return on assets, year-end discount rate, etc), the accounting for the pension/OPEB plan on the income statement is heavily influenced by management estimates and various smoothing features (i.e. EROA, amortization of prior service costs and actuarial G/L, etc.)
To keep the balance sheet in balance, the disconnect between estimated and actual results (known as unrecognized actuarial gains/losses) is captured in </t>
        </r>
        <r>
          <rPr>
            <b/>
            <sz val="8"/>
            <color indexed="81"/>
            <rFont val="Tahoma"/>
            <family val="2"/>
          </rPr>
          <t>Accumulated other comprehensive income (AOCI).</t>
        </r>
      </text>
    </comment>
  </commentList>
</comments>
</file>

<file path=xl/comments23.xml><?xml version="1.0" encoding="utf-8"?>
<comments xmlns="http://schemas.openxmlformats.org/spreadsheetml/2006/main">
  <authors>
    <author>Gantsoudes, Spencer (Research)</author>
  </authors>
  <commentList>
    <comment ref="H27" authorId="0">
      <text>
        <r>
          <rPr>
            <b/>
            <sz val="9"/>
            <color indexed="81"/>
            <rFont val="Tahoma"/>
            <family val="2"/>
          </rPr>
          <t>Gantsoudes, Spencer (Research):</t>
        </r>
        <r>
          <rPr>
            <sz val="9"/>
            <color indexed="81"/>
            <rFont val="Tahoma"/>
            <family val="2"/>
          </rPr>
          <t xml:space="preserve">
21c 2H15 benefit - 16c benefit in 3Q15 
= 5c benefit 4Q15</t>
        </r>
      </text>
    </comment>
  </commentList>
</comments>
</file>

<file path=xl/comments24.xml><?xml version="1.0" encoding="utf-8"?>
<comments xmlns="http://schemas.openxmlformats.org/spreadsheetml/2006/main">
  <authors>
    <author>Gantsoudes, Spencer (Research)</author>
  </authors>
  <commentList>
    <comment ref="H60" authorId="0">
      <text>
        <r>
          <rPr>
            <b/>
            <sz val="9"/>
            <color indexed="81"/>
            <rFont val="Tahoma"/>
            <family val="2"/>
          </rPr>
          <t>Gantsoudes, Spencer (Research):</t>
        </r>
        <r>
          <rPr>
            <sz val="9"/>
            <color indexed="81"/>
            <rFont val="Tahoma"/>
            <family val="2"/>
          </rPr>
          <t xml:space="preserve">
21c 2H15 benefit - 16c benefit in 3Q15 
= 5c benefit 4Q15</t>
        </r>
      </text>
    </comment>
    <comment ref="S60" authorId="0">
      <text>
        <r>
          <rPr>
            <b/>
            <sz val="9"/>
            <color indexed="81"/>
            <rFont val="Tahoma"/>
            <family val="2"/>
          </rPr>
          <t>Gantsoudes, Spencer (Research):</t>
        </r>
        <r>
          <rPr>
            <sz val="9"/>
            <color indexed="81"/>
            <rFont val="Tahoma"/>
            <family val="2"/>
          </rPr>
          <t xml:space="preserve">
21c 2H15 benefit - 16c benefit in 3Q15 
= 5c benefit 4Q15</t>
        </r>
      </text>
    </comment>
  </commentList>
</comments>
</file>

<file path=xl/comments25.xml><?xml version="1.0" encoding="utf-8"?>
<comments xmlns="http://schemas.openxmlformats.org/spreadsheetml/2006/main">
  <authors>
    <author>Gantsoudes, Spencer (Research)</author>
  </authors>
  <commentList>
    <comment ref="C5" authorId="0">
      <text>
        <r>
          <rPr>
            <b/>
            <sz val="9"/>
            <color indexed="81"/>
            <rFont val="Tahoma"/>
            <family val="2"/>
          </rPr>
          <t>Gantsoudes, Spencer (Research):</t>
        </r>
        <r>
          <rPr>
            <sz val="9"/>
            <color indexed="81"/>
            <rFont val="Tahoma"/>
            <family val="2"/>
          </rPr>
          <t xml:space="preserve">
impacted by data center sale</t>
        </r>
      </text>
    </comment>
    <comment ref="D5" authorId="0">
      <text>
        <r>
          <rPr>
            <b/>
            <sz val="9"/>
            <color indexed="81"/>
            <rFont val="Tahoma"/>
            <family val="2"/>
          </rPr>
          <t>Gantsoudes, Spencer (Research):</t>
        </r>
        <r>
          <rPr>
            <sz val="9"/>
            <color indexed="81"/>
            <rFont val="Tahoma"/>
            <family val="2"/>
          </rPr>
          <t xml:space="preserve">
comping 4 months of data center revenue in 2017</t>
        </r>
      </text>
    </comment>
    <comment ref="B25" authorId="0">
      <text>
        <r>
          <rPr>
            <b/>
            <sz val="9"/>
            <color indexed="81"/>
            <rFont val="Tahoma"/>
            <family val="2"/>
          </rPr>
          <t>Gantsoudes, Spencer (Research):</t>
        </r>
        <r>
          <rPr>
            <sz val="9"/>
            <color indexed="81"/>
            <rFont val="Tahoma"/>
            <family val="2"/>
          </rPr>
          <t xml:space="preserve">
includes SBC</t>
        </r>
      </text>
    </comment>
    <comment ref="B28" authorId="0">
      <text>
        <r>
          <rPr>
            <b/>
            <sz val="9"/>
            <color indexed="81"/>
            <rFont val="Tahoma"/>
            <family val="2"/>
          </rPr>
          <t>Gantsoudes, Spencer (Research):</t>
        </r>
        <r>
          <rPr>
            <sz val="9"/>
            <color indexed="81"/>
            <rFont val="Tahoma"/>
            <family val="2"/>
          </rPr>
          <t xml:space="preserve">
includes SBC</t>
        </r>
      </text>
    </comment>
    <comment ref="B35" authorId="0">
      <text>
        <r>
          <rPr>
            <b/>
            <sz val="9"/>
            <color indexed="81"/>
            <rFont val="Tahoma"/>
            <family val="2"/>
          </rPr>
          <t>Gantsoudes, Spencer (Research):</t>
        </r>
        <r>
          <rPr>
            <sz val="9"/>
            <color indexed="81"/>
            <rFont val="Tahoma"/>
            <family val="2"/>
          </rPr>
          <t xml:space="preserve">
per proxy page 157</t>
        </r>
      </text>
    </comment>
    <comment ref="B52" authorId="0">
      <text>
        <r>
          <rPr>
            <b/>
            <sz val="9"/>
            <color indexed="81"/>
            <rFont val="Tahoma"/>
            <family val="2"/>
          </rPr>
          <t>Gantsoudes, Spencer (Research):</t>
        </r>
        <r>
          <rPr>
            <sz val="9"/>
            <color indexed="81"/>
            <rFont val="Tahoma"/>
            <family val="2"/>
          </rPr>
          <t xml:space="preserve">
per proxy</t>
        </r>
      </text>
    </comment>
    <comment ref="L53" authorId="0">
      <text>
        <r>
          <rPr>
            <b/>
            <sz val="9"/>
            <color indexed="81"/>
            <rFont val="Tahoma"/>
            <family val="2"/>
          </rPr>
          <t>Gantsoudes, Spencer (Research):</t>
        </r>
        <r>
          <rPr>
            <sz val="9"/>
            <color indexed="81"/>
            <rFont val="Tahoma"/>
            <family val="2"/>
          </rPr>
          <t xml:space="preserve">
converging D&amp;A with capex</t>
        </r>
      </text>
    </comment>
    <comment ref="B61" authorId="0">
      <text>
        <r>
          <rPr>
            <b/>
            <sz val="9"/>
            <color indexed="81"/>
            <rFont val="Tahoma"/>
            <family val="2"/>
          </rPr>
          <t>Gantsoudes, Spencer (Research):</t>
        </r>
        <r>
          <rPr>
            <sz val="9"/>
            <color indexed="81"/>
            <rFont val="Tahoma"/>
            <family val="2"/>
          </rPr>
          <t xml:space="preserve">
excludes integration costs
</t>
        </r>
      </text>
    </comment>
    <comment ref="B67" authorId="0">
      <text>
        <r>
          <rPr>
            <b/>
            <sz val="9"/>
            <color indexed="81"/>
            <rFont val="Tahoma"/>
            <family val="2"/>
          </rPr>
          <t>Gantsoudes, Spencer (Research):</t>
        </r>
        <r>
          <rPr>
            <sz val="9"/>
            <color indexed="81"/>
            <rFont val="Tahoma"/>
            <family val="2"/>
          </rPr>
          <t xml:space="preserve">
derived from $27 PT (base case) and 12.5x 2030 FCF/share</t>
        </r>
      </text>
    </comment>
    <comment ref="B72" authorId="0">
      <text>
        <r>
          <rPr>
            <b/>
            <sz val="9"/>
            <color indexed="81"/>
            <rFont val="Tahoma"/>
            <family val="2"/>
          </rPr>
          <t>Gantsoudes, Spencer (Research):</t>
        </r>
        <r>
          <rPr>
            <sz val="9"/>
            <color indexed="81"/>
            <rFont val="Tahoma"/>
            <family val="2"/>
          </rPr>
          <t xml:space="preserve">
 Based on current plans and information, CenturyLink estimates that the integration initiatives associated with the combination will cause the combined company to incur approximately $530 million of non-recurring operating expenses and $160 million of non-recurring capital costs.</t>
        </r>
      </text>
    </comment>
    <comment ref="D72" authorId="0">
      <text>
        <r>
          <rPr>
            <b/>
            <sz val="9"/>
            <color indexed="81"/>
            <rFont val="Tahoma"/>
            <family val="2"/>
          </rPr>
          <t>Gantsoudes, Spencer (Research):</t>
        </r>
        <r>
          <rPr>
            <sz val="9"/>
            <color indexed="81"/>
            <rFont val="Tahoma"/>
            <family val="2"/>
          </rPr>
          <t xml:space="preserve">
$530m of expected 1x integration costs
assuming split between 2018/2019</t>
        </r>
      </text>
    </comment>
    <comment ref="E72" authorId="0">
      <text>
        <r>
          <rPr>
            <b/>
            <sz val="9"/>
            <color indexed="81"/>
            <rFont val="Tahoma"/>
            <family val="2"/>
          </rPr>
          <t>Gantsoudes, Spencer (Research):</t>
        </r>
        <r>
          <rPr>
            <sz val="9"/>
            <color indexed="81"/>
            <rFont val="Tahoma"/>
            <family val="2"/>
          </rPr>
          <t xml:space="preserve">
$530m of expected 1x integration costs
assuming split between 2018/2019</t>
        </r>
      </text>
    </comment>
    <comment ref="B73" authorId="0">
      <text>
        <r>
          <rPr>
            <b/>
            <sz val="9"/>
            <color indexed="81"/>
            <rFont val="Tahoma"/>
            <family val="2"/>
          </rPr>
          <t>Gantsoudes, Spencer (Research):</t>
        </r>
        <r>
          <rPr>
            <sz val="9"/>
            <color indexed="81"/>
            <rFont val="Tahoma"/>
            <family val="2"/>
          </rPr>
          <t xml:space="preserve">
mostly from Qwest/Embarq Amortization</t>
        </r>
      </text>
    </comment>
    <comment ref="C109" authorId="0">
      <text>
        <r>
          <rPr>
            <b/>
            <sz val="9"/>
            <color indexed="81"/>
            <rFont val="Tahoma"/>
            <family val="2"/>
          </rPr>
          <t>Gantsoudes, Spencer (Research):</t>
        </r>
        <r>
          <rPr>
            <sz val="9"/>
            <color indexed="81"/>
            <rFont val="Tahoma"/>
            <family val="2"/>
          </rPr>
          <t xml:space="preserve">
= CTL 4Q17 cash balance (which includes $1.75b in after tax data center proceeds)
+ 4Q16 LVLT cash balance
+ $6b of new debt financing
- Level 3 cash purchase price ($26.50 * 3Q17 TSO)
- $320m of acquisition expense
on proxy state (page 156) - pro forma cash balance (3q16) = $150m</t>
        </r>
      </text>
    </comment>
    <comment ref="C131" authorId="0">
      <text>
        <r>
          <rPr>
            <b/>
            <sz val="9"/>
            <color indexed="81"/>
            <rFont val="Tahoma"/>
            <family val="2"/>
          </rPr>
          <t>Gantsoudes, Spencer (Research):</t>
        </r>
        <r>
          <rPr>
            <sz val="9"/>
            <color indexed="81"/>
            <rFont val="Tahoma"/>
            <family val="2"/>
          </rPr>
          <t xml:space="preserve">
~$38b total debt at close.
less ~$620m of debt paydown at close 
-CTL term loan = $320m
-LVLT FRN = $300m</t>
        </r>
      </text>
    </comment>
    <comment ref="D166" authorId="0">
      <text>
        <r>
          <rPr>
            <b/>
            <sz val="9"/>
            <color indexed="81"/>
            <rFont val="Tahoma"/>
            <family val="2"/>
          </rPr>
          <t>Gantsoudes, Spencer (Research):</t>
        </r>
        <r>
          <rPr>
            <sz val="9"/>
            <color indexed="81"/>
            <rFont val="Tahoma"/>
            <family val="2"/>
          </rPr>
          <t xml:space="preserve">
 Based on current plans and information, CenturyLink estimates that the integration initiatives associated with the combination will cause the combined company to incur approximately $530 million of non-recurring operating expenses and $160 million of non-recurring capital costs.</t>
        </r>
      </text>
    </comment>
    <comment ref="E166" authorId="0">
      <text>
        <r>
          <rPr>
            <b/>
            <sz val="9"/>
            <color indexed="81"/>
            <rFont val="Tahoma"/>
            <family val="2"/>
          </rPr>
          <t>Gantsoudes, Spencer (Research):</t>
        </r>
        <r>
          <rPr>
            <sz val="9"/>
            <color indexed="81"/>
            <rFont val="Tahoma"/>
            <family val="2"/>
          </rPr>
          <t xml:space="preserve">
 Based on current plans and information, CenturyLink estimates that the integration initiatives associated with the combination will cause the combined company to incur approximately $530 million of non-recurring operating expenses and $160 million of non-recurring capital costs.</t>
        </r>
      </text>
    </comment>
  </commentList>
</comments>
</file>

<file path=xl/comments26.xml><?xml version="1.0" encoding="utf-8"?>
<comments xmlns="http://schemas.openxmlformats.org/spreadsheetml/2006/main">
  <authors>
    <author>Lam, Lisa (Research)</author>
    <author>Gantsoudes, Spencer (Research)</author>
  </authors>
  <commentList>
    <comment ref="A2" authorId="0">
      <text>
        <r>
          <rPr>
            <b/>
            <sz val="9"/>
            <color indexed="81"/>
            <rFont val="Tahoma"/>
            <family val="2"/>
          </rPr>
          <t xml:space="preserve">Financing assumption
</t>
        </r>
        <r>
          <rPr>
            <sz val="9"/>
            <color indexed="81"/>
            <rFont val="Tahoma"/>
            <family val="2"/>
          </rPr>
          <t xml:space="preserve">
1 - 50% Debt / 50% Equity
2 - 25% Debt / 75% Equity
3 - 0% Debt / 100% Equity</t>
        </r>
      </text>
    </comment>
    <comment ref="B11" authorId="1">
      <text>
        <r>
          <rPr>
            <b/>
            <sz val="9"/>
            <color indexed="81"/>
            <rFont val="Tahoma"/>
            <family val="2"/>
          </rPr>
          <t>Gantsoudes, Spencer (Research):</t>
        </r>
        <r>
          <rPr>
            <sz val="9"/>
            <color indexed="81"/>
            <rFont val="Tahoma"/>
            <family val="2"/>
          </rPr>
          <t xml:space="preserve">
Fixed exchange ratio of 1.4286x based on CenturyLink $28.00 per share reference price</t>
        </r>
      </text>
    </comment>
    <comment ref="B35" authorId="1">
      <text>
        <r>
          <rPr>
            <b/>
            <sz val="9"/>
            <color indexed="81"/>
            <rFont val="Tahoma"/>
            <family val="2"/>
          </rPr>
          <t>Gantsoudes, Spencer (Research):</t>
        </r>
        <r>
          <rPr>
            <sz val="9"/>
            <color indexed="81"/>
            <rFont val="Tahoma"/>
            <family val="2"/>
          </rPr>
          <t xml:space="preserve">
3Q17 net debt estimate</t>
        </r>
      </text>
    </comment>
    <comment ref="B38" authorId="1">
      <text>
        <r>
          <rPr>
            <b/>
            <sz val="9"/>
            <color indexed="81"/>
            <rFont val="Tahoma"/>
            <family val="2"/>
          </rPr>
          <t>Gantsoudes, Spencer (Research):</t>
        </r>
        <r>
          <rPr>
            <sz val="9"/>
            <color indexed="81"/>
            <rFont val="Tahoma"/>
            <family val="2"/>
          </rPr>
          <t xml:space="preserve">
less cash on hand from CTL/LVLT</t>
        </r>
      </text>
    </comment>
    <comment ref="D38" authorId="1">
      <text>
        <r>
          <rPr>
            <b/>
            <sz val="9"/>
            <color indexed="81"/>
            <rFont val="Tahoma"/>
            <family val="2"/>
          </rPr>
          <t>Gantsoudes, Spencer (Research):</t>
        </r>
        <r>
          <rPr>
            <sz val="9"/>
            <color indexed="81"/>
            <rFont val="Tahoma"/>
            <family val="2"/>
          </rPr>
          <t xml:space="preserve">
$6b at libor + 2.75%</t>
        </r>
      </text>
    </comment>
    <comment ref="A44" authorId="1">
      <text>
        <r>
          <rPr>
            <b/>
            <sz val="9"/>
            <color indexed="81"/>
            <rFont val="Tahoma"/>
            <family val="2"/>
          </rPr>
          <t>Gantsoudes, Spencer (Research):</t>
        </r>
        <r>
          <rPr>
            <sz val="9"/>
            <color indexed="81"/>
            <rFont val="Tahoma"/>
            <family val="2"/>
          </rPr>
          <t xml:space="preserve">
Expected to achieve $975mm in annual run-rate cash synergies
o $850mm opex and $125mm capex synergies targeted
</t>
        </r>
      </text>
    </comment>
    <comment ref="B44" authorId="0">
      <text>
        <r>
          <rPr>
            <sz val="9"/>
            <color indexed="81"/>
            <rFont val="Tahoma"/>
            <family val="2"/>
          </rPr>
          <t>% of cash opex</t>
        </r>
      </text>
    </comment>
    <comment ref="F63" authorId="1">
      <text>
        <r>
          <rPr>
            <b/>
            <sz val="9"/>
            <color indexed="81"/>
            <rFont val="Tahoma"/>
            <family val="2"/>
          </rPr>
          <t>Gantsoudes, Spencer (Research):</t>
        </r>
        <r>
          <rPr>
            <sz val="9"/>
            <color indexed="81"/>
            <rFont val="Tahoma"/>
            <family val="2"/>
          </rPr>
          <t xml:space="preserve">
formula to expire NOL</t>
        </r>
      </text>
    </comment>
    <comment ref="A83" authorId="1">
      <text>
        <r>
          <rPr>
            <b/>
            <sz val="9"/>
            <color indexed="81"/>
            <rFont val="Tahoma"/>
            <family val="2"/>
          </rPr>
          <t>Gantsoudes, Spencer (Research):</t>
        </r>
        <r>
          <rPr>
            <sz val="9"/>
            <color indexed="81"/>
            <rFont val="Tahoma"/>
            <family val="2"/>
          </rPr>
          <t xml:space="preserve">
Pro forma net leverage of less than 3.7x at close (including run-rate synergies) (3)
-synergies = $850m</t>
        </r>
      </text>
    </comment>
    <comment ref="F91" authorId="1">
      <text>
        <r>
          <rPr>
            <b/>
            <sz val="9"/>
            <color indexed="81"/>
            <rFont val="Tahoma"/>
            <family val="2"/>
          </rPr>
          <t>Gantsoudes, Spencer (Research):</t>
        </r>
        <r>
          <rPr>
            <sz val="9"/>
            <color indexed="81"/>
            <rFont val="Tahoma"/>
            <family val="2"/>
          </rPr>
          <t xml:space="preserve">
formula to expire NOL</t>
        </r>
      </text>
    </comment>
  </commentList>
</comments>
</file>

<file path=xl/sharedStrings.xml><?xml version="1.0" encoding="utf-8"?>
<sst xmlns="http://schemas.openxmlformats.org/spreadsheetml/2006/main" count="5532" uniqueCount="2457">
  <si>
    <t>(in 000s,except per share data; income statement data is normalized)</t>
  </si>
  <si>
    <t>Depreciation &amp; amortization</t>
  </si>
  <si>
    <t xml:space="preserve">     Direct Expenses</t>
  </si>
  <si>
    <t xml:space="preserve">     Allocated Expenses</t>
  </si>
  <si>
    <t xml:space="preserve">  Total Expenses</t>
  </si>
  <si>
    <t>Segment Income</t>
  </si>
  <si>
    <t xml:space="preserve">   % q/q growth</t>
  </si>
  <si>
    <t xml:space="preserve">   % y/y growth</t>
  </si>
  <si>
    <t xml:space="preserve">Implied life of new capex   </t>
  </si>
  <si>
    <t>Depreciation only (ex- pretax goodwill amortization)</t>
  </si>
  <si>
    <t>Retirements</t>
  </si>
  <si>
    <t xml:space="preserve">   % of prior period PP&amp;E</t>
  </si>
  <si>
    <t>CURRENT ASSETS</t>
  </si>
  <si>
    <t>$</t>
  </si>
  <si>
    <t>—</t>
  </si>
  <si>
    <t>NET PROPERTY, PLANT AND EQUIPMENT</t>
  </si>
  <si>
    <t>GOODWILL AND OTHER ASSETS</t>
  </si>
  <si>
    <t>(A)</t>
  </si>
  <si>
    <t>(B)</t>
  </si>
  <si>
    <t>Total goodwill and other assets</t>
  </si>
  <si>
    <t>TOTAL ASSETS</t>
  </si>
  <si>
    <t>Pro-Forma for Q by us</t>
  </si>
  <si>
    <t>LIABILITIES AND EQUITY</t>
  </si>
  <si>
    <t>CURRENT LIABILITIES</t>
  </si>
  <si>
    <t>Current maturities of long-term debt</t>
  </si>
  <si>
    <t>LONG-TERM DEBT</t>
  </si>
  <si>
    <t>)(C)</t>
  </si>
  <si>
    <t>DEFERRED CREDITS AND OTHER LIABILITIES</t>
  </si>
  <si>
    <t>(D)</t>
  </si>
  <si>
    <t>STOCKHOLDERS’ EQUITY</t>
  </si>
  <si>
    <t>(E)</t>
  </si>
  <si>
    <t>(199</t>
  </si>
  <si>
    <t>Simon Flannery 212-761-6432</t>
  </si>
  <si>
    <t>Normalized EPS</t>
  </si>
  <si>
    <t>% y/y growth</t>
  </si>
  <si>
    <t>OPERATING REVENUES BY PRODUCT</t>
  </si>
  <si>
    <t>Y/Y comps not apple2apples, reporting changes in 3Q09, info only back to 1Q07</t>
  </si>
  <si>
    <t>Total segment revenue</t>
  </si>
  <si>
    <t>Other revenue (primarily USF surcharges)</t>
  </si>
  <si>
    <t>Total operating revenue</t>
  </si>
  <si>
    <t>Employee-related costs</t>
  </si>
  <si>
    <t>Non employee-related costs</t>
  </si>
  <si>
    <t>Facility costs</t>
  </si>
  <si>
    <t>Equipment sales costs</t>
  </si>
  <si>
    <t>Total Cost of Sales (exclusive of D&amp;A)</t>
  </si>
  <si>
    <t>Marketing, advertising and external commissions</t>
  </si>
  <si>
    <t>Total Selling</t>
  </si>
  <si>
    <t>Taxes and fees</t>
  </si>
  <si>
    <t>Real estate and occupancy costs</t>
  </si>
  <si>
    <t>Total G&amp;A and Other operating</t>
  </si>
  <si>
    <t>Total Operating Expenses (ex. D&amp;A)</t>
  </si>
  <si>
    <t>Total Employees (reported)</t>
  </si>
  <si>
    <t>Change</t>
  </si>
  <si>
    <t>Pension expense/(benefit) reported</t>
  </si>
  <si>
    <t>OPEB expense/(benefit) reported</t>
  </si>
  <si>
    <t>Employee compensation cost</t>
  </si>
  <si>
    <t>Compensation per head</t>
  </si>
  <si>
    <t>Total Employee-related costs</t>
  </si>
  <si>
    <t>Employee-realted costs - Allocation to CoS</t>
  </si>
  <si>
    <t>Employee-realted costs - Allocation to Selling</t>
  </si>
  <si>
    <t>Employee-realted costs - Allocation to G&amp;A</t>
  </si>
  <si>
    <t>SEGMENT INCOME &amp; EBITDA</t>
  </si>
  <si>
    <t>Historical inputs check</t>
  </si>
  <si>
    <t>Mass markets segment</t>
  </si>
  <si>
    <t>Business markets segment</t>
  </si>
  <si>
    <t>Wholesale markets segment</t>
  </si>
  <si>
    <t>Total Segment Income</t>
  </si>
  <si>
    <t>Unassigned expenses (primarily general and administrative)</t>
  </si>
  <si>
    <t>EBITDA REPORTED</t>
  </si>
  <si>
    <t>SWITCHED ACCESS LINES</t>
  </si>
  <si>
    <t>4Q11</t>
  </si>
  <si>
    <t xml:space="preserve">Business markets </t>
  </si>
  <si>
    <t>Mass markets</t>
  </si>
  <si>
    <t>Wholesale markets</t>
  </si>
  <si>
    <t>Incremental Access lines</t>
  </si>
  <si>
    <t>MASS MARKETS SEGMENT</t>
  </si>
  <si>
    <t>Y/Y comps not apple2apples, reporting changes in 4Q09, info only back to 1Q07</t>
  </si>
  <si>
    <t>ARPU</t>
  </si>
  <si>
    <t>Ex-synergies</t>
  </si>
  <si>
    <t>Proforma</t>
  </si>
  <si>
    <t>Pf 25% higher than guidance</t>
  </si>
  <si>
    <t>Pf 25% lower than guidance</t>
  </si>
  <si>
    <t>Assumed timing</t>
  </si>
  <si>
    <t>Total mass markets revenue</t>
  </si>
  <si>
    <t>% y/y growth (ex wireless)</t>
  </si>
  <si>
    <t>Direct segment expenses</t>
  </si>
  <si>
    <t>Assigned facility, network and other expenses</t>
  </si>
  <si>
    <t>Total mass markets expenses</t>
  </si>
  <si>
    <t>% of Total expenses</t>
  </si>
  <si>
    <t>Mass Markets segment income</t>
  </si>
  <si>
    <t>Mass markets margin</t>
  </si>
  <si>
    <t>Data, Internet, and video servs as a % of rev</t>
  </si>
  <si>
    <t>Consumer ARPU (reported)</t>
  </si>
  <si>
    <t>Access lines</t>
  </si>
  <si>
    <t>Consumer primary lines</t>
  </si>
  <si>
    <t>Incremental access lines</t>
  </si>
  <si>
    <t>Consumer additional lines</t>
  </si>
  <si>
    <t>Small business lines</t>
  </si>
  <si>
    <t>Total Mass Markets Access Lines</t>
  </si>
  <si>
    <t>Broadband subscribers</t>
  </si>
  <si>
    <t>Video subscribers</t>
  </si>
  <si>
    <t>Wireless subscribers</t>
  </si>
  <si>
    <t>Total Other Connections</t>
  </si>
  <si>
    <t>Total Mass Markets Connections</t>
  </si>
  <si>
    <t>BUSINESS MARKETS SEGMENT</t>
  </si>
  <si>
    <t>Total business markets revenue</t>
  </si>
  <si>
    <t>Total business markets expenses</t>
  </si>
  <si>
    <t>Business markets segment income</t>
  </si>
  <si>
    <t>1Q, 2Q, 3Q CF proforma for SVVS, calc by us</t>
  </si>
  <si>
    <t>Pro Forma for Q</t>
  </si>
  <si>
    <t>Business markets margin</t>
  </si>
  <si>
    <t>Data and Internet services as a % of revenue</t>
  </si>
  <si>
    <t>Business markets access lines</t>
  </si>
  <si>
    <t>WHOLESALE MARKETS SEGMENT</t>
  </si>
  <si>
    <t>Total wholesale markets revenue</t>
  </si>
  <si>
    <t>Total wholesale markets expenses</t>
  </si>
  <si>
    <t>Wholesale markets segment income</t>
  </si>
  <si>
    <t>Wholesale markets margin</t>
  </si>
  <si>
    <t>MoU from carriers &amp; CLECS (in mn) (reported)</t>
  </si>
  <si>
    <t>Wholesale markets access lines</t>
  </si>
  <si>
    <t>ANALYSIS OF REVENUE GROWTH CONTRIBUTION</t>
  </si>
  <si>
    <t>Mass Markets</t>
  </si>
  <si>
    <t>Business Markets</t>
  </si>
  <si>
    <t>Wholesale Markets</t>
  </si>
  <si>
    <t>Total revenue</t>
  </si>
  <si>
    <t>EX-WIRELESS</t>
  </si>
  <si>
    <t>FIBER</t>
  </si>
  <si>
    <t>Homes passed</t>
  </si>
  <si>
    <t>Incremental homes passed</t>
  </si>
  <si>
    <t>Fiber subs</t>
  </si>
  <si>
    <t>Y/Y Growth</t>
  </si>
  <si>
    <t>Fiber adds</t>
  </si>
  <si>
    <t>Total Households in Footprint</t>
  </si>
  <si>
    <t>Fiber Penetration</t>
  </si>
  <si>
    <t>Fiber as % of total broadband</t>
  </si>
  <si>
    <t>BROADBAND ADDS</t>
  </si>
  <si>
    <t>FIBER ADDS</t>
  </si>
  <si>
    <t>DSL ADDS</t>
  </si>
  <si>
    <t>1Q02</t>
  </si>
  <si>
    <t>2Q02</t>
  </si>
  <si>
    <t>3Q02</t>
  </si>
  <si>
    <t>4Q12</t>
  </si>
  <si>
    <t>Colocation Revenue</t>
  </si>
  <si>
    <t>Managed Hosting Revenue</t>
  </si>
  <si>
    <t>2012</t>
  </si>
  <si>
    <t>4Q02</t>
  </si>
  <si>
    <t>1Q03</t>
  </si>
  <si>
    <t>2Q03</t>
  </si>
  <si>
    <t>3Q03</t>
  </si>
  <si>
    <t>Local Voice</t>
  </si>
  <si>
    <t>% sequential growth</t>
  </si>
  <si>
    <t>% total revenue</t>
  </si>
  <si>
    <t>Long Distance Voice</t>
  </si>
  <si>
    <t>Access Voice Services</t>
  </si>
  <si>
    <t>Data and Internet Services</t>
  </si>
  <si>
    <t xml:space="preserve">Wireless </t>
  </si>
  <si>
    <t>% total y/y revenue growth</t>
  </si>
  <si>
    <t>incremental revenues</t>
  </si>
  <si>
    <t>% revenue</t>
  </si>
  <si>
    <t>SG&amp;A</t>
  </si>
  <si>
    <t>Total Opex</t>
  </si>
  <si>
    <t>incremental EBITDA</t>
  </si>
  <si>
    <t>Goodwill and Intangibles amort</t>
  </si>
  <si>
    <t>Operating income</t>
  </si>
  <si>
    <t>Other expense (income) net</t>
  </si>
  <si>
    <t>Earnings before income taxes</t>
  </si>
  <si>
    <t>Earnings before income taxes, ex-amortization</t>
  </si>
  <si>
    <t>Income tax expense (benefit)</t>
  </si>
  <si>
    <t>% effective tax rate</t>
  </si>
  <si>
    <t>% tax rate (pre amortization)</t>
  </si>
  <si>
    <t>Statutory tax rate</t>
  </si>
  <si>
    <t>Net earnings</t>
  </si>
  <si>
    <t>Diluted Normalized EPS</t>
  </si>
  <si>
    <t>Diluted cash earnings per share (ex- all amortiz)</t>
  </si>
  <si>
    <t>Basic earnings per share</t>
  </si>
  <si>
    <t xml:space="preserve">Diluted  shares </t>
  </si>
  <si>
    <t>Period End Basic Shares Outstanding</t>
  </si>
  <si>
    <t>% diff from diluted</t>
  </si>
  <si>
    <t>Basic Average Shares Outstanding</t>
  </si>
  <si>
    <t>Stock options</t>
  </si>
  <si>
    <t>Dividend per share</t>
  </si>
  <si>
    <t>Dividend payments</t>
  </si>
  <si>
    <t>Common Dividends</t>
  </si>
  <si>
    <t>DEPRECIATION and  AMORTIZATION</t>
  </si>
  <si>
    <t>Total Depreciation</t>
  </si>
  <si>
    <t>Total Amortization</t>
  </si>
  <si>
    <t>Incremental Amortization</t>
  </si>
  <si>
    <t>Depreciation Forecast</t>
  </si>
  <si>
    <t>Accumulated Depreciation</t>
  </si>
  <si>
    <t xml:space="preserve">Net Prop., Plant, &amp; Equip. </t>
  </si>
  <si>
    <t>Beginning Gross PP&amp;E</t>
  </si>
  <si>
    <t>Additions (capex)</t>
  </si>
  <si>
    <t>Acquisitions and Other (Sales)</t>
  </si>
  <si>
    <t>Ending Gross PP&amp;E</t>
  </si>
  <si>
    <t>Average Gross PP&amp;E</t>
  </si>
  <si>
    <t>Additions as % Average Gross PP&amp;E</t>
  </si>
  <si>
    <t>Retirements as % Beg. Gross PP&amp;E</t>
  </si>
  <si>
    <t>Beginning Acc. Depreciation</t>
  </si>
  <si>
    <t>Additions - Depreciation Expense</t>
  </si>
  <si>
    <t>Acquisitions and Other</t>
  </si>
  <si>
    <t>Ending Acc. Depreciation</t>
  </si>
  <si>
    <t>Average Acc. Depreciation</t>
  </si>
  <si>
    <t>Additions as % Avg. Gross PP&amp;E</t>
  </si>
  <si>
    <t>Retire. as % Avg. Gross PP&amp;E</t>
  </si>
  <si>
    <t>Depreciation. as % Cap Ex.</t>
  </si>
  <si>
    <t>Acc. Dep. Retire. as % Gross Retire.</t>
  </si>
  <si>
    <t>Average Life of Gross PP&amp;E</t>
  </si>
  <si>
    <t>CAPEX</t>
  </si>
  <si>
    <t>% sales</t>
  </si>
  <si>
    <t>capex/depreciation</t>
  </si>
  <si>
    <t>Wireline Capex</t>
  </si>
  <si>
    <t>% of total</t>
  </si>
  <si>
    <t>% of sales</t>
  </si>
  <si>
    <t>Wireless Capex</t>
  </si>
  <si>
    <t>Other Capex</t>
  </si>
  <si>
    <t>Non-Cash Investing Activities</t>
  </si>
  <si>
    <t>Total Cash Capex</t>
  </si>
  <si>
    <t>Check 2010</t>
  </si>
  <si>
    <t>Assets Held for Sale</t>
  </si>
  <si>
    <t>Unrecorded Goodwill</t>
  </si>
  <si>
    <t>Cumulative Goodwill Impairments Reported</t>
  </si>
  <si>
    <t>Accumulated Amortization</t>
  </si>
  <si>
    <t>Investments</t>
  </si>
  <si>
    <t>Other assets</t>
  </si>
  <si>
    <t>Liabilities and SE</t>
  </si>
  <si>
    <t>Restructuring reserves</t>
  </si>
  <si>
    <t>Merger-related reserves</t>
  </si>
  <si>
    <t>Liabilities associated with discontinued operations</t>
  </si>
  <si>
    <t>Restructuring Reserves</t>
  </si>
  <si>
    <t>Share repurchase commitment</t>
  </si>
  <si>
    <t>Preferred stock</t>
  </si>
  <si>
    <t>Common stock/add'l paid in capital</t>
  </si>
  <si>
    <t>Total liabilities &amp; SE</t>
  </si>
  <si>
    <t>Net Issuance/Repurchases</t>
  </si>
  <si>
    <t>Beginning Shareholders Equity</t>
  </si>
  <si>
    <t>other</t>
  </si>
  <si>
    <t>Net issuances/repurchases</t>
  </si>
  <si>
    <t>Ending Shareholders Equity</t>
  </si>
  <si>
    <t>BALANCE SHEET ASSUMPTIONS AND RATIOS</t>
  </si>
  <si>
    <t>Receivable days (based on revenues)</t>
  </si>
  <si>
    <t>Inventories (based on expenses)</t>
  </si>
  <si>
    <t>Other long term assets (based on operating expenses)</t>
  </si>
  <si>
    <t>Payable days (based on operating expenses)</t>
  </si>
  <si>
    <t>Accrued expenses and other current liabilities (based on operating expenses)</t>
  </si>
  <si>
    <t>Other long-term liabilities (based on operating expenses)</t>
  </si>
  <si>
    <t xml:space="preserve">   Increase (Decrease) in net working capital</t>
  </si>
  <si>
    <t>Adioption of FSP APB 14-1 on 3.5% Conv Notes</t>
  </si>
  <si>
    <t>Interest Income on Cash Balance</t>
  </si>
  <si>
    <t>Implied Interest Rate</t>
  </si>
  <si>
    <t>ROE</t>
  </si>
  <si>
    <t>Net Profit Margin</t>
  </si>
  <si>
    <t>Total Asset Turnover</t>
  </si>
  <si>
    <t>Assets/Equity</t>
  </si>
  <si>
    <t>INTEREST SCHEDULE</t>
  </si>
  <si>
    <t>Reported interest expense</t>
  </si>
  <si>
    <t>% implied interest rate</t>
  </si>
  <si>
    <t>Interest on Long Term Debt</t>
  </si>
  <si>
    <t>1Q11</t>
  </si>
  <si>
    <t>Imputed Interest Rate</t>
  </si>
  <si>
    <t>Reported capitalized interest</t>
  </si>
  <si>
    <t>Implied estimated cash interest expense</t>
  </si>
  <si>
    <t>DEBT SCHEDULE (As of 2008 Year End)</t>
  </si>
  <si>
    <t>Cash Flows from Operating Activities:</t>
  </si>
  <si>
    <t>Income from discontinued ops</t>
  </si>
  <si>
    <t>Loss on sale of invst and invest write-down, net</t>
  </si>
  <si>
    <t>Cumulative effect of changes in accounting principles</t>
  </si>
  <si>
    <t>Goodwill impairment charge</t>
  </si>
  <si>
    <t>Asset Impairment charges</t>
  </si>
  <si>
    <t>Tax Benefit from Stock Options</t>
  </si>
  <si>
    <t>Gain on sales of fixed assets</t>
  </si>
  <si>
    <t>Gain on Early retirement of debt</t>
  </si>
  <si>
    <t>Restructuring reserve</t>
  </si>
  <si>
    <t>Merger-related reserve</t>
  </si>
  <si>
    <t>Cash Provided by Operating Activities</t>
  </si>
  <si>
    <t>Investment in Escrow Account</t>
  </si>
  <si>
    <t>Payments on Derivative Contracts</t>
  </si>
  <si>
    <t>1Q13</t>
  </si>
  <si>
    <t>Consumer</t>
  </si>
  <si>
    <t>Business</t>
  </si>
  <si>
    <t>Wholesale</t>
  </si>
  <si>
    <t>Data Hosting</t>
  </si>
  <si>
    <t>Consumer Operating Margin</t>
  </si>
  <si>
    <t>Re-stated in 1Q14</t>
  </si>
  <si>
    <t>Business Operating Margin</t>
  </si>
  <si>
    <t>Wholesale Operating Margin</t>
  </si>
  <si>
    <t>Data Hosting Operating Margin</t>
  </si>
  <si>
    <t>Other Revenue</t>
  </si>
  <si>
    <t>Total Data Center Revenue</t>
  </si>
  <si>
    <t>Data Center Supplemental Info</t>
  </si>
  <si>
    <t>Proceeds from sale of equipment</t>
  </si>
  <si>
    <t>Cash from Discontinued operations</t>
  </si>
  <si>
    <t>Net Decrease in Cash and Cash Equivalents</t>
  </si>
  <si>
    <t>Cash and Cash Equivalents at Beginning of Period</t>
  </si>
  <si>
    <t>Cash and Cash Equivalents at End of Period</t>
  </si>
  <si>
    <t>Current Qwest price - US$</t>
  </si>
  <si>
    <t>One time settlements payments/other</t>
  </si>
  <si>
    <t>Adj. Levered FCF</t>
  </si>
  <si>
    <t xml:space="preserve">Adj. FCF yield </t>
  </si>
  <si>
    <t>Incremental Adjusted FCF</t>
  </si>
  <si>
    <t>Levered OFCF, less dividends</t>
  </si>
  <si>
    <t>Adj for modelware FCF yld%</t>
  </si>
  <si>
    <t>Dividend Payout</t>
  </si>
  <si>
    <t>NOL Carryforward</t>
  </si>
  <si>
    <t>Usage</t>
  </si>
  <si>
    <t>Pre-Tax Income</t>
  </si>
  <si>
    <t>Pre-Tax Income Offset By NOL</t>
  </si>
  <si>
    <t>Taxable income</t>
  </si>
  <si>
    <t>1Q10E</t>
  </si>
  <si>
    <t>2Q10E</t>
  </si>
  <si>
    <t>Mkt cap</t>
  </si>
  <si>
    <t>FCF Yld</t>
  </si>
  <si>
    <r>
      <t xml:space="preserve"> </t>
    </r>
    <r>
      <rPr>
        <sz val="10"/>
        <rFont val="Arial"/>
        <family val="2"/>
      </rPr>
      <t>- pensions adjustment to EBITDA</t>
    </r>
  </si>
  <si>
    <r>
      <t xml:space="preserve"> </t>
    </r>
    <r>
      <rPr>
        <sz val="10"/>
        <rFont val="Arial"/>
        <family val="2"/>
      </rPr>
      <t>- net pensions funding at 3.5%</t>
    </r>
  </si>
  <si>
    <t>)</t>
  </si>
  <si>
    <t>Accumulated other comprehensive loss, net of tax</t>
  </si>
  <si>
    <t>(46</t>
  </si>
  <si>
    <t>(129</t>
  </si>
  <si>
    <t>)(E)</t>
  </si>
  <si>
    <t>(500</t>
  </si>
  <si>
    <t>Total stockholders’ equity</t>
  </si>
  <si>
    <t>TOTAL LIABILITIES AND EQUITY</t>
  </si>
  <si>
    <t>CTL</t>
  </si>
  <si>
    <t>EQ</t>
  </si>
  <si>
    <t>Pro-Forma Adjustments</t>
  </si>
  <si>
    <t>OPERATING REVENUES</t>
  </si>
  <si>
    <t>OPERATING EXPENSES</t>
  </si>
  <si>
    <t>(F)</t>
  </si>
  <si>
    <t>OPERATING INCOME</t>
  </si>
  <si>
    <t>(213</t>
  </si>
  <si>
    <t>(432</t>
  </si>
  <si>
    <t>)(G)</t>
  </si>
  <si>
    <t>(719</t>
  </si>
  <si>
    <t>Other income</t>
  </si>
  <si>
    <t>(201</t>
  </si>
  <si>
    <t>(392</t>
  </si>
  <si>
    <t>(H)</t>
  </si>
  <si>
    <t>(504</t>
  </si>
  <si>
    <t>NET INCOME</t>
  </si>
  <si>
    <t>BASIC EARNINGS PER SHARE</t>
  </si>
  <si>
    <t>DILUTED EARNINGS PER SHARE</t>
  </si>
  <si>
    <t>Pro-Forma for Embarq, Qwest, SAVVIS</t>
  </si>
  <si>
    <t>WEIGHTED AVERAGE SHARES OUTSTANDING</t>
  </si>
  <si>
    <t>Pro-Forma Combined</t>
  </si>
  <si>
    <t>(122</t>
  </si>
  <si>
    <t>(149</t>
  </si>
  <si>
    <t>(305</t>
  </si>
  <si>
    <t>(510</t>
  </si>
  <si>
    <t>(156</t>
  </si>
  <si>
    <t>(335</t>
  </si>
  <si>
    <t>(424</t>
  </si>
  <si>
    <t>Notes to Unaudited Pro Forma Combined Condensed Financial Information</t>
  </si>
  <si>
    <t>(1)  </t>
  </si>
  <si>
    <t>Basis of Preliminary Purchase Price Allocation</t>
  </si>
  <si>
    <t>The following preliminary allocation of the purchase price of Embarq is based on CenturyTel’s preliminary estimates of the fair value of the tangible and intangible assets and liabilities of Embarq as of September 30, 2008. The final determination of the allocation of the purchase price will be based on the fair value of such assets and liabilities as of the actual consummation date of the acquisition and will be completed after the acquisition is consummated. Such final determination of the purchase price allocation may be significantly different than that used in these pro forma financial statements.</t>
  </si>
  <si>
    <t>The estimated purchase price of Embarq (as calculated in the manner shown above) is allocated to the assets acquired and liabilities assumed based on the following preliminary basis as of September 30, 2008 (amounts in millions):</t>
  </si>
  <si>
    <t>Total estimated purchase price</t>
  </si>
  <si>
    <t>Cash, accounts receivable and other current assets</t>
  </si>
  <si>
    <t>Intangible identifiable assets</t>
  </si>
  <si>
    <t>Customer relationships</t>
  </si>
  <si>
    <t>Franchise</t>
  </si>
  <si>
    <t>Other non-current assets</t>
  </si>
  <si>
    <t>Current maturities of long-term debt, accounts payable and other current liabilities</t>
  </si>
  <si>
    <t>(1,075</t>
  </si>
  <si>
    <t>(4,926</t>
  </si>
  <si>
    <t>(2,756</t>
  </si>
  <si>
    <t>(2)  </t>
  </si>
  <si>
    <t>Pro Forma Adjustments</t>
  </si>
  <si>
    <t>3Q10</t>
  </si>
  <si>
    <t>The following pro forma adjustments have been reflected in the unaudited pro forma combined condensed financial information. All adjustments are based on current assumptions and are subject to change upon completion of the final purchase price allocation based on the tangible and intangible assets and liabilities of Embarq at the merger closing date.</t>
  </si>
  <si>
    <t>Balance Sheet Adjustments</t>
  </si>
  <si>
    <t>(A) To reflect the elimination of Embarq’s existing goodwill ($27 million) and the establishment of new goodwill of $3.864 billion estimated as a result of the purchase price allocation described in Note (1).</t>
  </si>
  <si>
    <t>1Q11E</t>
  </si>
  <si>
    <t>2Q11E</t>
  </si>
  <si>
    <t>3Q11E</t>
  </si>
  <si>
    <t>4Q11E</t>
  </si>
  <si>
    <t>1Q12E</t>
  </si>
  <si>
    <t>2Q12E</t>
  </si>
  <si>
    <t>3Q12E</t>
  </si>
  <si>
    <t>4Q12E</t>
  </si>
  <si>
    <t>SEGMENT EXPENSES - SUPPLEMENTAL</t>
  </si>
  <si>
    <t>Equity Risk Premium</t>
  </si>
  <si>
    <t>Discount Factor</t>
  </si>
  <si>
    <t>Terminal Value</t>
  </si>
  <si>
    <t>Total Capital</t>
  </si>
  <si>
    <t>NPV of Terminal Value</t>
  </si>
  <si>
    <t>Enterprise Value</t>
  </si>
  <si>
    <t>Terminal Growth Rate</t>
  </si>
  <si>
    <t>Equity Value</t>
  </si>
  <si>
    <t>Current Share Price</t>
  </si>
  <si>
    <t>(B) To (i) reflect the preliminary fair values of the identifiable intangible assets which were estimated by CenturyTel’s management based on the fair values assigned to similar assets in a recently completed acquisition and (ii) eliminate Embarq’s existing prepaid pension asset (which is adjusted to fair value by adjustment (D) below). The estimated useful life of the customer relationship asset was assumed to be 8 years.</t>
  </si>
  <si>
    <t>Table of Contents</t>
  </si>
  <si>
    <t>Notes to Unaudited Pro Forma Combined Condensed Financial Information — (Continued)</t>
  </si>
  <si>
    <t>The franchise asset is considered an indefinite life intangible asset and thus has no associated amortization expense. The net pro forma adjustment is composed of the following (in millions):</t>
  </si>
  <si>
    <t>Increase</t>
  </si>
  <si>
    <t>(Decrease)</t>
  </si>
  <si>
    <t>to Asset</t>
  </si>
  <si>
    <t>Establish customer relationship asset</t>
  </si>
  <si>
    <t>Establish franchise asset</t>
  </si>
  <si>
    <t>Elimination of Embarq’s prepaid pension asset</t>
  </si>
  <si>
    <t>(186</t>
  </si>
  <si>
    <t>Net pro forma adjustment</t>
  </si>
  <si>
    <t>(C) To adjust the carrying value of Embarq’s long-term debt to its estimated fair value. Fair value was estimated based on observable market transactions and through discounted cash flow analysis using market-based credit spreads.</t>
  </si>
  <si>
    <t>(D) To (i) adjust Embarq’s pension and postretirement benefit plans to their estimated funded status as of September 30, 2008 and (ii) reflect the estimated net deferred tax liability established for the tax effects of the preliminary purchase price allocation reflected herein (calculated at an estimated effective tax rate of 37.4%). The net pro forma adjustment is composed of the following (in millions):</t>
  </si>
  <si>
    <t>(Increase)</t>
  </si>
  <si>
    <t>Decrease</t>
  </si>
  <si>
    <t>to Liability</t>
  </si>
  <si>
    <t>Adjust Embarq’s pension and postretirement benefit funded status to estimated fair value</t>
  </si>
  <si>
    <t>(397</t>
  </si>
  <si>
    <t>Deferred tax asset (liability) associated with:</t>
  </si>
  <si>
    <t>Customer relationship and franchise assets</t>
  </si>
  <si>
    <t>(523</t>
  </si>
  <si>
    <t>(341</t>
  </si>
  <si>
    <t>Pension and postretirement benefit obligations</t>
  </si>
  <si>
    <t>(1,043</t>
  </si>
  <si>
    <t>2Q12</t>
  </si>
  <si>
    <t>(E) To reflect the elimination of Embarq’s stockholders’ equity balances as of September 30, 2008 and to reflect the issuance of 194.7 million shares of CenturyTel common stock (valued at $4.988 billion for this pro forma information) as consideration delivered to acquire Embarq.</t>
  </si>
  <si>
    <t>Income Statement Adjustments</t>
  </si>
  <si>
    <t>(F) To reflect amortization expense associated with the customer relationship asset estimated in (B) above assuming an estimated useful life of 8 years (which corresponds to an increase in depreciation and amortization of $163 million for the year ended December 31, 2007 and $122 million for the nine months ended September 30, 2008).</t>
  </si>
  <si>
    <t>4Q13</t>
  </si>
  <si>
    <t>2013</t>
  </si>
  <si>
    <t>Senior Notes (5.000% - 7.650%) Maturing 2015 - 2042</t>
  </si>
  <si>
    <t>Term Loan (2.430%) Maturing 2019</t>
  </si>
  <si>
    <t>First Mortgage Bonds (7.125% - 8.770%) Maturing 2014-2025</t>
  </si>
  <si>
    <t>Other (9.000%) Maturing 2019</t>
  </si>
  <si>
    <t>(G) To reflect additional interest expense from the accretion of the purchase accounting adjustment associated with reflecting long-term debt to its estimated fair value pursuant to adjustment (C) above. Such fair value adjustment ($912 million) is recognized over the remaining maturity of the long-term debt of approximately 12.3 years (or approximately $74 million for the year ended December 31, 2007 and approximately $56 million for the nine months ended September 30, 2008).</t>
  </si>
  <si>
    <t>(H) To reflect the tax effects of Items (F) and (G) using an estimated effective income tax rate of 37.4%.</t>
  </si>
  <si>
    <t>pf for Q</t>
  </si>
  <si>
    <t>pf Q/SVVS</t>
  </si>
  <si>
    <t>Cash Opex</t>
  </si>
  <si>
    <t>The fair value of Embarq’s property, plant and equipment was estimated to approximate the carrying value on September 30, 2008. To the extent that the final purchase price allocation causes depreciation and amortization expense to differ from that presented in the accompanying pro forma statement of income information, annual earnings per share will be affected by $.01 per share for every $5.2 million difference in</t>
  </si>
  <si>
    <t>4Q08</t>
  </si>
  <si>
    <t>1Q09</t>
  </si>
  <si>
    <t>Non-controlling interest</t>
  </si>
  <si>
    <t>2008</t>
  </si>
  <si>
    <t>This sheet contains Factset binary data for use with this workbook's =FDS codes.  Modifying the worksheet's contents may damage the workbook's =FDS functionality.</t>
  </si>
  <si>
    <t>TOTAL Long-Term Debt</t>
  </si>
  <si>
    <t xml:space="preserve">   Beginning Balance</t>
  </si>
  <si>
    <t xml:space="preserve">      Additions (Redemptions)</t>
  </si>
  <si>
    <t xml:space="preserve">   Ending Balance</t>
  </si>
  <si>
    <t>Maturity Schedule</t>
  </si>
  <si>
    <t>Per '11 10K</t>
  </si>
  <si>
    <t>na</t>
  </si>
  <si>
    <t>Total SAVVIS Revenue</t>
  </si>
  <si>
    <t>CONSOLIDATED</t>
  </si>
  <si>
    <t>&lt;CTL&gt;,mscalc:marketCapitalizationCurrent</t>
  </si>
  <si>
    <t>&lt;EQ&gt;,mscalc:marketCapitalizationCurrent</t>
  </si>
  <si>
    <t>NA</t>
  </si>
  <si>
    <t>CTL,mscalc:marketCapitalizationCurrent</t>
  </si>
  <si>
    <t>EQ,mscalc:marketCapitalizationCurrent</t>
  </si>
  <si>
    <t>EQ.N,mscalc:marketCapitalizationCurrent</t>
  </si>
  <si>
    <t>CTL.N,mscalc:marketCapitalizationCurrent</t>
  </si>
  <si>
    <t>6,058.82253862041</t>
  </si>
  <si>
    <t>3,092.78972497167</t>
  </si>
  <si>
    <t>USD</t>
  </si>
  <si>
    <t>CTL.N</t>
  </si>
  <si>
    <t>3Q11</t>
  </si>
  <si>
    <t>1Q12</t>
  </si>
  <si>
    <t>Adjustments</t>
  </si>
  <si>
    <t>2011</t>
  </si>
  <si>
    <t>Div Payout as % of FCF (OCF - capex)</t>
  </si>
  <si>
    <t>CenturyLink &amp; Qwest Pro-forma Model</t>
  </si>
  <si>
    <t>CTL.N,mscalc:targetPrice,,,,USD</t>
  </si>
  <si>
    <t>CTL.N,mscalc:sedolCodeCalc</t>
  </si>
  <si>
    <t>CTL.N,mscalc:closePriceCurrencyCalc</t>
  </si>
  <si>
    <t>Dividend Payout (as defined by CTL)</t>
  </si>
  <si>
    <t>CENTURYTEL</t>
  </si>
  <si>
    <t>EMBARQ</t>
  </si>
  <si>
    <t>Period End Shares Outstanding</t>
  </si>
  <si>
    <t>Reported Net Income &amp; Adjustments</t>
  </si>
  <si>
    <t>Restructuring and asset impairments</t>
  </si>
  <si>
    <t>Premium on Early Retirement of Debt</t>
  </si>
  <si>
    <t>Discontinued operations, net</t>
  </si>
  <si>
    <t>Workforce Reductions</t>
  </si>
  <si>
    <t>Changes</t>
  </si>
  <si>
    <t>Difference</t>
  </si>
  <si>
    <t>Beginning Balance</t>
  </si>
  <si>
    <t>Ending Balance</t>
  </si>
  <si>
    <t>RGU net adds</t>
  </si>
  <si>
    <t>Avg</t>
  </si>
  <si>
    <t>Debt Schedule</t>
  </si>
  <si>
    <t>USF</t>
  </si>
  <si>
    <t>CenturyLink</t>
  </si>
  <si>
    <t>EPS - Basic</t>
  </si>
  <si>
    <t xml:space="preserve">EPS - Diluted </t>
  </si>
  <si>
    <t>(in $mm except EPS)</t>
  </si>
  <si>
    <t>Accumulated OCI (net of tax)</t>
  </si>
  <si>
    <t>2Q09</t>
  </si>
  <si>
    <t>Total liabilities and SE</t>
  </si>
  <si>
    <t>Reported EPS</t>
  </si>
  <si>
    <t>TOTAL REVENUE</t>
  </si>
  <si>
    <t>Revenue</t>
  </si>
  <si>
    <t xml:space="preserve">   % growth q/q</t>
  </si>
  <si>
    <t>NOT COMPARABLE; PROFORMA REVENUE BRKDOWN  NOT AVAILABLE</t>
  </si>
  <si>
    <t>3Q09</t>
  </si>
  <si>
    <t>NI (loss) to common shareholders</t>
  </si>
  <si>
    <t>Wghtd avg shares outs (000s)</t>
  </si>
  <si>
    <t>% PBT (implied tax rate)</t>
  </si>
  <si>
    <t>One time items related to EQ acq/integrations</t>
  </si>
  <si>
    <t>CTL Re-stated access line counts - prior to 1Q08 MS estimates</t>
  </si>
  <si>
    <t>Adjusted FCFE (for Global Comps)</t>
  </si>
  <si>
    <t xml:space="preserve">EBITDA </t>
  </si>
  <si>
    <t xml:space="preserve"> - Net Income from associates</t>
  </si>
  <si>
    <t xml:space="preserve"> - Change in WC</t>
  </si>
  <si>
    <t xml:space="preserve"> - Capex (excluding spectrum spend)</t>
  </si>
  <si>
    <t xml:space="preserve"> - Normalised Tax (statutory tax rate * PBT)</t>
  </si>
  <si>
    <t xml:space="preserve"> + FCF from operating associates</t>
  </si>
  <si>
    <t xml:space="preserve"> - Net interest (from IS)</t>
  </si>
  <si>
    <t xml:space="preserve"> - FCF due to minorities</t>
  </si>
  <si>
    <t>Total Adjusted FCFE</t>
  </si>
  <si>
    <t>Shares</t>
  </si>
  <si>
    <t>3Q10E</t>
  </si>
  <si>
    <t>4Q10E</t>
  </si>
  <si>
    <t>2009</t>
  </si>
  <si>
    <t>4Q09</t>
  </si>
  <si>
    <t>Noncontrolling interests</t>
  </si>
  <si>
    <t>Bull Case</t>
  </si>
  <si>
    <t>Base Case</t>
  </si>
  <si>
    <t>Bear Case</t>
  </si>
  <si>
    <t>CTL.N,mscalc:targetPrice</t>
  </si>
  <si>
    <t>,mscalc:sedolCodeCalc</t>
  </si>
  <si>
    <t>,mscalc:closePriceCurrencyCalc</t>
  </si>
  <si>
    <t>,mscalc:targetPrice,,,,USD</t>
  </si>
  <si>
    <t>Credit Facility (4.250%) Maturing 2017</t>
  </si>
  <si>
    <t>Senior Notes (6.125% - 8.375%) (Maturing 2014 - 2053)</t>
  </si>
  <si>
    <t>Current Maturities</t>
  </si>
  <si>
    <t>2016E</t>
  </si>
  <si>
    <t>2017E</t>
  </si>
  <si>
    <t>2018E</t>
  </si>
  <si>
    <t>Expected Return on Plan Assets (EROA)</t>
  </si>
  <si>
    <t>Actual Return on Plan Assets</t>
  </si>
  <si>
    <t>Statutory Tax Rate</t>
  </si>
  <si>
    <t>Income Statement</t>
  </si>
  <si>
    <t>mstag:netActuarialGainLossRecognizedPensions</t>
  </si>
  <si>
    <t>Balance Sheet</t>
  </si>
  <si>
    <t>Projected Benefit Obligations (PBO) - BOP</t>
  </si>
  <si>
    <t>Projected Benefit Obligations (PBO) - EOP</t>
  </si>
  <si>
    <t>Plan Assets - BOP</t>
  </si>
  <si>
    <t>Fair Value of Plan Assets - EOP</t>
  </si>
  <si>
    <t>Funded Status</t>
  </si>
  <si>
    <t>1Q14</t>
  </si>
  <si>
    <t>Funding Level (%)</t>
  </si>
  <si>
    <t>Deferred Tax Asset/(Liability) on Pensions</t>
  </si>
  <si>
    <t>Cash Flow Statement</t>
  </si>
  <si>
    <t>Pension Contributions, Net of Tax</t>
  </si>
  <si>
    <t>Change in Assets</t>
  </si>
  <si>
    <t>(Decrease) in cash from contributions</t>
  </si>
  <si>
    <t>Increase (decrease) in DTA from higher/lower funded status</t>
  </si>
  <si>
    <t>Total change in Assets</t>
  </si>
  <si>
    <t>Change in Liabilities &amp; Equity</t>
  </si>
  <si>
    <t>Increase / (Decrease) in AOCI from actuarial gains/losses</t>
  </si>
  <si>
    <t>Total Change in Liabilities &amp; Equity</t>
  </si>
  <si>
    <t>Discount Rate (Liability Rate)</t>
  </si>
  <si>
    <t>mstag:netActuarialGainLossRecognizedOpeb</t>
  </si>
  <si>
    <t>GAAP OPEB Expense / (Benefit)</t>
  </si>
  <si>
    <t>Deferred Tax Asset/(Liability)</t>
  </si>
  <si>
    <t>OPEB Contributions, Net of Tax</t>
  </si>
  <si>
    <t>CenturyLink Model</t>
  </si>
  <si>
    <t>2Q13</t>
  </si>
  <si>
    <t>CORE REVENUE</t>
  </si>
  <si>
    <t>1Q10</t>
  </si>
  <si>
    <t>Pf for EQ</t>
  </si>
  <si>
    <t>Pro-Forma for Q</t>
  </si>
  <si>
    <t>SYNERGIES</t>
  </si>
  <si>
    <t>.</t>
  </si>
  <si>
    <t>Discontinued Ops</t>
  </si>
  <si>
    <t>Change in Accounting Principle</t>
  </si>
  <si>
    <t>Asset Impairment Charges</t>
  </si>
  <si>
    <t>Goodwill Impairment Charge</t>
  </si>
  <si>
    <t>Loss/Gain on sale of investments</t>
  </si>
  <si>
    <t>Litigation reserve</t>
  </si>
  <si>
    <t>Merger Related Expenses</t>
  </si>
  <si>
    <t>Total one-time items</t>
  </si>
  <si>
    <t>Modelware</t>
  </si>
  <si>
    <t>Restricted Cash or ST invst</t>
  </si>
  <si>
    <t>Deferred Income Taxes, current</t>
  </si>
  <si>
    <t>Prepaid and other</t>
  </si>
  <si>
    <t>Goodwill - net</t>
  </si>
  <si>
    <t>Less: Cash Taxes</t>
  </si>
  <si>
    <t>Less: Capital Expenditures</t>
  </si>
  <si>
    <t>Other Intangible Assets - net</t>
  </si>
  <si>
    <t>Accrued expenses and other liab</t>
  </si>
  <si>
    <t>Deferred Revenue</t>
  </si>
  <si>
    <t>4Q10</t>
  </si>
  <si>
    <t>2010</t>
  </si>
  <si>
    <t>Current deferred taxes</t>
  </si>
  <si>
    <t>Long term debt</t>
  </si>
  <si>
    <t>Postretirement and OPEB</t>
  </si>
  <si>
    <t>Other current asset</t>
  </si>
  <si>
    <t>Other long-term asset</t>
  </si>
  <si>
    <t>Other long-term liabilities</t>
  </si>
  <si>
    <t>Qwest</t>
  </si>
  <si>
    <t>Qwest Corp International Inc. (QCII)</t>
  </si>
  <si>
    <t>Senior Floating Rate Notes (L+350)</t>
  </si>
  <si>
    <t>Additions (Redemptions)</t>
  </si>
  <si>
    <t>Senior Notes (7.25%)</t>
  </si>
  <si>
    <t>Senior Notes (7.50%)</t>
  </si>
  <si>
    <t>Convertible Senior Notes (3.50%)</t>
  </si>
  <si>
    <t>Notes (8.00%)</t>
  </si>
  <si>
    <t>TOTAL</t>
  </si>
  <si>
    <t>Qwest Capital Funding, Inc. (QCF)</t>
  </si>
  <si>
    <t>Notes (7.00%)</t>
  </si>
  <si>
    <t>Notes (7.90%)</t>
  </si>
  <si>
    <t>Notes (7.25%)</t>
  </si>
  <si>
    <t>Notes (6.50%)</t>
  </si>
  <si>
    <t>Notes (7.625%)</t>
  </si>
  <si>
    <t>Notes (6.875%)</t>
  </si>
  <si>
    <t>Notes (7.75%)</t>
  </si>
  <si>
    <t>Qwest Corporation (QC)</t>
  </si>
  <si>
    <t>Term Loan (6.95%)</t>
  </si>
  <si>
    <t>Notes (7.875%)</t>
  </si>
  <si>
    <t>Notes (8.875%)</t>
  </si>
  <si>
    <t>Floating Rate Notes (L+325)</t>
  </si>
  <si>
    <t>Notes (7.50%)</t>
  </si>
  <si>
    <t>Notes (8.375%)</t>
  </si>
  <si>
    <t>Debentures (7.50%)</t>
  </si>
  <si>
    <t>Debentures (7.25%)</t>
  </si>
  <si>
    <t>Debentures (7.20%)</t>
  </si>
  <si>
    <t>Debentures (7.375%)</t>
  </si>
  <si>
    <t>Per '12 10K</t>
  </si>
  <si>
    <t>2017*</t>
  </si>
  <si>
    <t>2018*</t>
  </si>
  <si>
    <t>*Last year in each schedule includes years thereafter</t>
  </si>
  <si>
    <t>Debentures (7.75%)</t>
  </si>
  <si>
    <t>Debentures (6.875%)</t>
  </si>
  <si>
    <t>Debentures (7.125%)</t>
  </si>
  <si>
    <t>Int. Rate</t>
  </si>
  <si>
    <t>Refi Rate</t>
  </si>
  <si>
    <t xml:space="preserve">   EBITDA</t>
  </si>
  <si>
    <t>BOP</t>
  </si>
  <si>
    <t>Change in AOCI</t>
  </si>
  <si>
    <t>Dividends</t>
  </si>
  <si>
    <t>Change in stock</t>
  </si>
  <si>
    <t>Change in Additional paid in capital</t>
  </si>
  <si>
    <t>Change in Retained earnings</t>
  </si>
  <si>
    <t>EOP</t>
  </si>
  <si>
    <t>Unrecorded goodwill from poolings</t>
  </si>
  <si>
    <t>Provision for bad debts</t>
  </si>
  <si>
    <t>Other non-cash charges</t>
  </si>
  <si>
    <t>Prepaid and other current assets</t>
  </si>
  <si>
    <t>Other long-term assets and liabilities</t>
  </si>
  <si>
    <t xml:space="preserve">Deferred revenue and customer deposits </t>
  </si>
  <si>
    <t>Contribution and Net Changes to Pension Oblig.</t>
  </si>
  <si>
    <t>Proceeds from sale of equity securities</t>
  </si>
  <si>
    <t>Investment in intangible assets</t>
  </si>
  <si>
    <t>Debt issuance costs</t>
  </si>
  <si>
    <t>Amortization (for Qwest)</t>
  </si>
  <si>
    <t>Beginning Net Intangibles</t>
  </si>
  <si>
    <t>Amortization</t>
  </si>
  <si>
    <t>New Intangibles (retirements)</t>
  </si>
  <si>
    <t>Ending Net Intangibles</t>
  </si>
  <si>
    <t>Not  comparable</t>
  </si>
  <si>
    <t>VIDEO SUBSCRIBERS</t>
  </si>
  <si>
    <t>Total video subscribers</t>
  </si>
  <si>
    <t>Average video subscribers</t>
  </si>
  <si>
    <t>WIRELESS SUBSCRIBERS</t>
  </si>
  <si>
    <t>Total wireless subscribers</t>
  </si>
  <si>
    <t>Accounts Payable</t>
  </si>
  <si>
    <t>Average wireless subscribers</t>
  </si>
  <si>
    <t>Legacy services</t>
  </si>
  <si>
    <t>Strategic services</t>
  </si>
  <si>
    <t>Data integration</t>
  </si>
  <si>
    <t>Wireless services</t>
  </si>
  <si>
    <t>Other revenues</t>
  </si>
  <si>
    <t>Base - incremental [applies to qrts]</t>
  </si>
  <si>
    <t xml:space="preserve">   Plus: Income tax</t>
  </si>
  <si>
    <t>Free cash flow (as calc by CTL)</t>
  </si>
  <si>
    <t>Total Operating Revenues (Q)</t>
  </si>
  <si>
    <t>CenturyLink+Qwest</t>
  </si>
  <si>
    <t>Cost of sales</t>
  </si>
  <si>
    <t>Goodwill and intangible amort</t>
  </si>
  <si>
    <t>Total Operating Expenses (Q)</t>
  </si>
  <si>
    <t>CenturyLink + Qwest</t>
  </si>
  <si>
    <t>Total Operating Expenses (CTL+Q)</t>
  </si>
  <si>
    <t>Other Income (Expense) net</t>
  </si>
  <si>
    <t>CenturyLink + Q</t>
  </si>
  <si>
    <t>Net income CenturyLink</t>
  </si>
  <si>
    <t>Net income Qwest</t>
  </si>
  <si>
    <t>Diluted Shares</t>
  </si>
  <si>
    <t>Q/Q growth</t>
  </si>
  <si>
    <t>Restructuring and Other Charges</t>
  </si>
  <si>
    <t>CenturyLink Balance Sheet</t>
  </si>
  <si>
    <t>Total fixed assets</t>
  </si>
  <si>
    <t>Total long-term liabilities</t>
  </si>
  <si>
    <t>Qwest Balance Sheet</t>
  </si>
  <si>
    <t>Cash</t>
  </si>
  <si>
    <t>Inventories and supplies</t>
  </si>
  <si>
    <t>PP&amp;E - gross</t>
  </si>
  <si>
    <t>PP&amp;E - net</t>
  </si>
  <si>
    <t>Short term debt</t>
  </si>
  <si>
    <t>Accrued expenses and other cl</t>
  </si>
  <si>
    <t>Current Deferred Taxes</t>
  </si>
  <si>
    <t>Other Long-term liabilities</t>
  </si>
  <si>
    <t>Stockholders' equity</t>
  </si>
  <si>
    <t>Additional Paid in Capital</t>
  </si>
  <si>
    <t>ACI</t>
  </si>
  <si>
    <t>Operating Metrics</t>
  </si>
  <si>
    <t>Video Subscribers</t>
  </si>
  <si>
    <t>Wireless Subscribers</t>
  </si>
  <si>
    <t>nd</t>
  </si>
  <si>
    <t>Employees</t>
  </si>
  <si>
    <t>Total employees</t>
  </si>
  <si>
    <t>Total Capex</t>
  </si>
  <si>
    <t>CenturyLink Cash Flow</t>
  </si>
  <si>
    <t>Net cash (used in) - investing activities  cont. ops</t>
  </si>
  <si>
    <t>Qwest Cash Flow</t>
  </si>
  <si>
    <t>Depreciation</t>
  </si>
  <si>
    <t>Changes in operating assets and liabilties:</t>
  </si>
  <si>
    <t>Accounts Receivable</t>
  </si>
  <si>
    <t>Accounts payable and accrued expenses</t>
  </si>
  <si>
    <t>Capital spending</t>
  </si>
  <si>
    <t>Purchase of securities</t>
  </si>
  <si>
    <t>Cash Provided by Investing Activities</t>
  </si>
  <si>
    <t>Proceeds from long-term debt</t>
  </si>
  <si>
    <t>Re-payments of long-term debt</t>
  </si>
  <si>
    <t>Net proceeds from short term debt</t>
  </si>
  <si>
    <t>Issuance of common and treasury stock</t>
  </si>
  <si>
    <t>Repurchase of stock</t>
  </si>
  <si>
    <t>Cash Provided by Financing Activities</t>
  </si>
  <si>
    <t>CenturyLink, Inc.</t>
  </si>
  <si>
    <t>Senior Notes (7.082% - 7.995%) Maturing 2016 - 2036</t>
  </si>
  <si>
    <t>Capital Lease and Other Obligations</t>
  </si>
  <si>
    <t>Unamortized Premiums and other, net</t>
  </si>
  <si>
    <t xml:space="preserve">   Total Qwest</t>
  </si>
  <si>
    <t xml:space="preserve">   Total Embarq</t>
  </si>
  <si>
    <t>Total Parent</t>
  </si>
  <si>
    <t>Other Subsidiary Notes</t>
  </si>
  <si>
    <t>First mortgage notes (2.000% - 10.000%) Maturing 2012-2018</t>
  </si>
  <si>
    <t>Not comparable</t>
  </si>
  <si>
    <t>EXPENSES</t>
  </si>
  <si>
    <t>EPS (normalized)</t>
  </si>
  <si>
    <t>2Q10</t>
  </si>
  <si>
    <t>Scenario Switch</t>
  </si>
  <si>
    <t>1 = Base</t>
  </si>
  <si>
    <t>3Q12</t>
  </si>
  <si>
    <t>Period-end basic shares outstanding</t>
  </si>
  <si>
    <t>2 = Bull</t>
  </si>
  <si>
    <t>3 = Bear</t>
  </si>
  <si>
    <t/>
  </si>
  <si>
    <t>Total Broadband</t>
  </si>
  <si>
    <t>Average B'band subscribers</t>
  </si>
  <si>
    <t>B'BAND</t>
  </si>
  <si>
    <t>TV</t>
  </si>
  <si>
    <t>CHECK</t>
  </si>
  <si>
    <t xml:space="preserve">LEFT </t>
  </si>
  <si>
    <t>INTENTIONALLY</t>
  </si>
  <si>
    <t xml:space="preserve">BLANK </t>
  </si>
  <si>
    <t xml:space="preserve">TO </t>
  </si>
  <si>
    <t>FILL</t>
  </si>
  <si>
    <t xml:space="preserve">IN </t>
  </si>
  <si>
    <t>WITH</t>
  </si>
  <si>
    <t xml:space="preserve">NEW </t>
  </si>
  <si>
    <t>METRICS</t>
  </si>
  <si>
    <t>FCF</t>
  </si>
  <si>
    <t>OCF</t>
  </si>
  <si>
    <t>DIVIDENDS</t>
  </si>
  <si>
    <t>DIV PAYOUT</t>
  </si>
  <si>
    <t>FCF by CTL</t>
  </si>
  <si>
    <t>DIVIDEND</t>
  </si>
  <si>
    <t>SHARES</t>
  </si>
  <si>
    <t>ACCESS LINES</t>
  </si>
  <si>
    <t>RGUs (millions)</t>
  </si>
  <si>
    <t>RGU GROWTH</t>
  </si>
  <si>
    <t>RGU GROWTH COMPONENTS</t>
  </si>
  <si>
    <t>Simon Flannery (212) 761-6432</t>
  </si>
  <si>
    <t>EPS</t>
  </si>
  <si>
    <t>SEGMENT INFORMATION  (000s)</t>
  </si>
  <si>
    <t>2011E</t>
  </si>
  <si>
    <t>4Q03</t>
  </si>
  <si>
    <t>1Q04</t>
  </si>
  <si>
    <t>2Q04</t>
  </si>
  <si>
    <t>3Q04</t>
  </si>
  <si>
    <t>4Q04</t>
  </si>
  <si>
    <t>2Q09E</t>
  </si>
  <si>
    <t>3Q09E</t>
  </si>
  <si>
    <t>4Q09E</t>
  </si>
  <si>
    <t xml:space="preserve">   % growth</t>
  </si>
  <si>
    <t>Net adds</t>
  </si>
  <si>
    <t>Average access lines</t>
  </si>
  <si>
    <t>Base</t>
  </si>
  <si>
    <t>Bull</t>
  </si>
  <si>
    <t>Bear</t>
  </si>
  <si>
    <t>VOICE REVENUES</t>
  </si>
  <si>
    <t>Voice revenues</t>
  </si>
  <si>
    <t>Average revenue per avg. line/mth</t>
  </si>
  <si>
    <t>Total Study Period Adjustment</t>
  </si>
  <si>
    <t>Data revenues</t>
  </si>
  <si>
    <t>OTHER REVENUES</t>
  </si>
  <si>
    <r>
      <t>ACCESS LINES</t>
    </r>
    <r>
      <rPr>
        <sz val="10"/>
        <color indexed="9"/>
        <rFont val="Arial"/>
        <family val="2"/>
      </rPr>
      <t xml:space="preserve"> (in actual amounts)  </t>
    </r>
  </si>
  <si>
    <t>Reported Financials</t>
  </si>
  <si>
    <t>(in 000s except per share data)</t>
  </si>
  <si>
    <t>Revenues</t>
  </si>
  <si>
    <t xml:space="preserve">Network access </t>
  </si>
  <si>
    <t>Other</t>
  </si>
  <si>
    <t>check</t>
  </si>
  <si>
    <t>Other income and expense</t>
  </si>
  <si>
    <t>Check</t>
  </si>
  <si>
    <t>Weighted average shares outstanding</t>
  </si>
  <si>
    <t>Basic</t>
  </si>
  <si>
    <t>Diluted</t>
  </si>
  <si>
    <t>BALANCE SHEET</t>
  </si>
  <si>
    <t>1Q05</t>
  </si>
  <si>
    <t>2Q05</t>
  </si>
  <si>
    <t>3Q05</t>
  </si>
  <si>
    <t>4Q05</t>
  </si>
  <si>
    <t>1Q06</t>
  </si>
  <si>
    <t>2Q06</t>
  </si>
  <si>
    <t>3Q06</t>
  </si>
  <si>
    <t>4Q06</t>
  </si>
  <si>
    <t>1Q07</t>
  </si>
  <si>
    <t>2Q07</t>
  </si>
  <si>
    <t>3Q07</t>
  </si>
  <si>
    <t>4Q07</t>
  </si>
  <si>
    <t>1Q08</t>
  </si>
  <si>
    <t>2Q08</t>
  </si>
  <si>
    <t>3Q08</t>
  </si>
  <si>
    <t>(in 000s except per share and customer data)</t>
  </si>
  <si>
    <t>Assets</t>
  </si>
  <si>
    <t>Current assets</t>
  </si>
  <si>
    <t>Cash and cash equivalents</t>
  </si>
  <si>
    <t>Accounts receivable</t>
  </si>
  <si>
    <t>Materials and supplies</t>
  </si>
  <si>
    <t>Other current assets</t>
  </si>
  <si>
    <t>Total current assets</t>
  </si>
  <si>
    <t>Property, plant and equipment</t>
  </si>
  <si>
    <t>Telephone</t>
  </si>
  <si>
    <t>Mobile communications</t>
  </si>
  <si>
    <t>Gross PP&amp;E</t>
  </si>
  <si>
    <t>Accumulated depreciation</t>
  </si>
  <si>
    <t>Net property, plant and equipment</t>
  </si>
  <si>
    <t>Investments and other assets</t>
  </si>
  <si>
    <t>Excess cost of net assets acquired (goodwill)</t>
  </si>
  <si>
    <t>Total investments and other assets</t>
  </si>
  <si>
    <t>Assets held for sale</t>
  </si>
  <si>
    <t>Total assets</t>
  </si>
  <si>
    <t>Liabilities and equity</t>
  </si>
  <si>
    <t>Current liabilities</t>
  </si>
  <si>
    <t>Short term debt and current maturities of long-term debt</t>
  </si>
  <si>
    <t>Accounts payable</t>
  </si>
  <si>
    <t>Accrued expenses</t>
  </si>
  <si>
    <t>Advance billings and customer deposits</t>
  </si>
  <si>
    <t>Other current liabilities</t>
  </si>
  <si>
    <t>Total current liabilities</t>
  </si>
  <si>
    <t>Long-term debt</t>
  </si>
  <si>
    <t>Deferred credits and other liabilities</t>
  </si>
  <si>
    <t>Liabilities of assets held for sale</t>
  </si>
  <si>
    <t>Common stock</t>
  </si>
  <si>
    <t>Paid-in capital</t>
  </si>
  <si>
    <t>Accumulated other comprehensive income - unrealized holding gain on investments</t>
  </si>
  <si>
    <t>Retained earnings</t>
  </si>
  <si>
    <t>Unearned ESOP shares</t>
  </si>
  <si>
    <t>Preferred stock - nonredeemable</t>
  </si>
  <si>
    <t>Total liabilities and equity</t>
  </si>
  <si>
    <t xml:space="preserve">      Total debt outstanding</t>
  </si>
  <si>
    <t>Note:  This sheet helps to link normalized historicals to income statement worksheet.</t>
  </si>
  <si>
    <t xml:space="preserve">            In 2004, CTL adopted a new reporting format.CTL will no longer report segmented information, but rather report as one consolidated entity. </t>
  </si>
  <si>
    <t xml:space="preserve">            CTL will however provide a break up of revenues according to product going forward. In its 1Q04 release CTL gave historical consolidated information from 1Q03 onwards</t>
  </si>
  <si>
    <t>CONSOLIDATED INCOME STATEMENT</t>
  </si>
  <si>
    <t>Voice</t>
  </si>
  <si>
    <t>Data</t>
  </si>
  <si>
    <t>Fiber Transport and CLEC</t>
  </si>
  <si>
    <t>Cost of Services and products</t>
  </si>
  <si>
    <t>Selling, general and administrative</t>
  </si>
  <si>
    <t>Depreciation and Amortization</t>
  </si>
  <si>
    <t>Operating cash flow (EBITDA) margin</t>
  </si>
  <si>
    <t>OTHER INCOME (EXPENSE)</t>
  </si>
  <si>
    <t>Interest Expense</t>
  </si>
  <si>
    <t>Income from Unconsolidated Cellular entity</t>
  </si>
  <si>
    <t>Other Income (Expense)</t>
  </si>
  <si>
    <t>Income from Continuing Operations before taxes</t>
  </si>
  <si>
    <t>Income Tax Expense</t>
  </si>
  <si>
    <t>Net Income</t>
  </si>
  <si>
    <t>Diluted EPS from continuing operations</t>
  </si>
  <si>
    <t>growth</t>
  </si>
  <si>
    <t>CenturyTel</t>
  </si>
  <si>
    <t>Total Operating Revenues (CTL)</t>
  </si>
  <si>
    <t>Embarq</t>
  </si>
  <si>
    <t>Total Revenue</t>
  </si>
  <si>
    <t>Total Operating Revenues (EQ+CTL)</t>
  </si>
  <si>
    <t>Data/DSL/Wireless</t>
  </si>
  <si>
    <t>Other Reveues</t>
  </si>
  <si>
    <t>Service Revenues</t>
  </si>
  <si>
    <t>Embarq Logisitics</t>
  </si>
  <si>
    <t>Other Revenues</t>
  </si>
  <si>
    <t>Product Revenues</t>
  </si>
  <si>
    <t>CenturyTel + Embarq</t>
  </si>
  <si>
    <t>Operating Expenses</t>
  </si>
  <si>
    <t>Total Operating Expenses (CTL)</t>
  </si>
  <si>
    <t>Cost of Services</t>
  </si>
  <si>
    <t>Cost of Products</t>
  </si>
  <si>
    <t>Total Operating Expenses (EQ)</t>
  </si>
  <si>
    <t>Total Operating Expenses (EQ+CTL)</t>
  </si>
  <si>
    <t>Operating Income</t>
  </si>
  <si>
    <t>Operating Income Margin</t>
  </si>
  <si>
    <t>Total Cost of Products and Services (EQ)</t>
  </si>
  <si>
    <t>Operating Cash Flow (EBITDA)</t>
  </si>
  <si>
    <t>Interest Income</t>
  </si>
  <si>
    <t>Net Interest Expense and Other Income (Expense)</t>
  </si>
  <si>
    <t>Total Diluted Shares</t>
  </si>
  <si>
    <t>Inventories</t>
  </si>
  <si>
    <t>PRO-FORMA ADJUSTED FOR BROADBAND REMEASUREMENT IN 2Q12</t>
  </si>
  <si>
    <t>Goodwill</t>
  </si>
  <si>
    <t>CenturyTel Balance Sheet</t>
  </si>
  <si>
    <t>Embarq Balance Sheet</t>
  </si>
  <si>
    <t>DTA</t>
  </si>
  <si>
    <t>Other Deferred Charges</t>
  </si>
  <si>
    <t>Prepaid Pension Asset</t>
  </si>
  <si>
    <t>Other Assets</t>
  </si>
  <si>
    <t>Total Investments and Other Assets</t>
  </si>
  <si>
    <t>Advance billings</t>
  </si>
  <si>
    <t>Accrued taxes</t>
  </si>
  <si>
    <t>Accrued restructuring costs</t>
  </si>
  <si>
    <t>Payroll &amp; employee benefits</t>
  </si>
  <si>
    <t>Deferred revenue</t>
  </si>
  <si>
    <t>Accrued interest</t>
  </si>
  <si>
    <t>Other liabilities</t>
  </si>
  <si>
    <t>Total Current Liabilities</t>
  </si>
  <si>
    <t>Long Term Debt</t>
  </si>
  <si>
    <t>Net post retirement and other benefit obligations</t>
  </si>
  <si>
    <t>Deferred Income Taxes</t>
  </si>
  <si>
    <t>Other Long Term Liabilities</t>
  </si>
  <si>
    <t>Total Non-Current Liabilities</t>
  </si>
  <si>
    <t>Common Stock</t>
  </si>
  <si>
    <t>Additional paid in capital</t>
  </si>
  <si>
    <t>Accumulated deficit</t>
  </si>
  <si>
    <t>Retained earnings (deficit)</t>
  </si>
  <si>
    <t>Accumulated other comprehensive loss</t>
  </si>
  <si>
    <t>Treasury stock</t>
  </si>
  <si>
    <t>Pension liability adjustment</t>
  </si>
  <si>
    <t>Total stockholders' equity</t>
  </si>
  <si>
    <t>Total stockholders' equity and liabilities</t>
  </si>
  <si>
    <t>CenturyTel &amp; Embarq Pro-forma Model</t>
  </si>
  <si>
    <t>Total Access Lines</t>
  </si>
  <si>
    <t>Total DSL Subscribers</t>
  </si>
  <si>
    <t>Operating Metrics (CenturyTel)</t>
  </si>
  <si>
    <t>Operating Metrics (Embarq)</t>
  </si>
  <si>
    <t>Operating Metrics (Total)</t>
  </si>
  <si>
    <t>Total access lines</t>
  </si>
  <si>
    <t xml:space="preserve">   % Y/Y growth</t>
  </si>
  <si>
    <t>DATA SUBSCRIBERS</t>
  </si>
  <si>
    <t>DATA REVENUES</t>
  </si>
  <si>
    <t>Growth</t>
  </si>
  <si>
    <t>Net PPE</t>
  </si>
  <si>
    <t>Liabilities</t>
  </si>
  <si>
    <t>Total liabilities</t>
  </si>
  <si>
    <t>Shareholders' equity</t>
  </si>
  <si>
    <t>Treasury Stock</t>
  </si>
  <si>
    <t>per CTL</t>
  </si>
  <si>
    <t>% q/q growth</t>
  </si>
  <si>
    <t>% of total strategic</t>
  </si>
  <si>
    <t>% of total legacy</t>
  </si>
  <si>
    <t>2Q11</t>
  </si>
  <si>
    <t>ST debt, current maturities of LT debt</t>
  </si>
  <si>
    <t>Total shareholders' equity</t>
  </si>
  <si>
    <t>Check (for balance)</t>
  </si>
  <si>
    <t>Net Share Issuance (Repurchases)</t>
  </si>
  <si>
    <t xml:space="preserve">Balance sheet Assumptions and Ratios </t>
  </si>
  <si>
    <t>Working capital assumptions</t>
  </si>
  <si>
    <t>Net working capital (CA-CL)</t>
  </si>
  <si>
    <t xml:space="preserve">   minus the change in net working capital</t>
  </si>
  <si>
    <t>Financial ratios</t>
  </si>
  <si>
    <t xml:space="preserve">Total debt calculation </t>
  </si>
  <si>
    <t xml:space="preserve">   Average total debt calculation</t>
  </si>
  <si>
    <t>Total debt/total cap</t>
  </si>
  <si>
    <t>Total debt/EBITDA</t>
  </si>
  <si>
    <t>3Q13</t>
  </si>
  <si>
    <t>Net debt calculation</t>
  </si>
  <si>
    <t>Net debt/net total cap</t>
  </si>
  <si>
    <t>Net debt/EBITDA</t>
  </si>
  <si>
    <t>EBITDA/Interest expense</t>
  </si>
  <si>
    <t>(EBITDA-capex)/interest expense</t>
  </si>
  <si>
    <t>Interest rate (period average)</t>
  </si>
  <si>
    <t>Average cash balance</t>
  </si>
  <si>
    <t>Profitability metrics</t>
  </si>
  <si>
    <t>ROIC</t>
  </si>
  <si>
    <t xml:space="preserve">   EBITA</t>
  </si>
  <si>
    <t xml:space="preserve">   Tax rate</t>
  </si>
  <si>
    <t xml:space="preserve">   Net PPE</t>
  </si>
  <si>
    <t xml:space="preserve">   Net working capital  (CA-CL)</t>
  </si>
  <si>
    <t xml:space="preserve">   Net intangible assets (Goodwill)</t>
  </si>
  <si>
    <t>RONTA</t>
  </si>
  <si>
    <t>Fixed Subs</t>
  </si>
  <si>
    <t>Total Employees</t>
  </si>
  <si>
    <t>realization</t>
  </si>
  <si>
    <t>Synergy guidance</t>
  </si>
  <si>
    <t>proforma for Q + SVVS</t>
  </si>
  <si>
    <t>Pro-Forma for Q/SVVS by MS</t>
  </si>
  <si>
    <t>Morgan Stanley Research</t>
  </si>
  <si>
    <t>Accrued expenses and other liabilities</t>
  </si>
  <si>
    <t>Shareholders' Equity</t>
  </si>
  <si>
    <t>2013E</t>
  </si>
  <si>
    <t>2014E</t>
  </si>
  <si>
    <t>2015E</t>
  </si>
  <si>
    <t>Operating Revenues</t>
  </si>
  <si>
    <t>% growth</t>
  </si>
  <si>
    <t>% of total revenues</t>
  </si>
  <si>
    <t>Total revenues</t>
  </si>
  <si>
    <t>Change in line losses</t>
  </si>
  <si>
    <t>Cost of services and products</t>
  </si>
  <si>
    <t>% of revenues</t>
  </si>
  <si>
    <t>Depreciation and amortization</t>
  </si>
  <si>
    <t xml:space="preserve"> Total expenses</t>
  </si>
  <si>
    <t>% revenues</t>
  </si>
  <si>
    <t>Total operating income</t>
  </si>
  <si>
    <t>% margin</t>
  </si>
  <si>
    <t>Interest expense</t>
  </si>
  <si>
    <t>Income before taxes</t>
  </si>
  <si>
    <t>Income tax expense</t>
  </si>
  <si>
    <t>% Statutory Tax Rate</t>
  </si>
  <si>
    <t>Net income (total)</t>
  </si>
  <si>
    <t>Basic shares outstanding</t>
  </si>
  <si>
    <t>Options</t>
  </si>
  <si>
    <t>Diluted shares outstanding</t>
  </si>
  <si>
    <t>% growth y/y</t>
  </si>
  <si>
    <t>% growth q/q</t>
  </si>
  <si>
    <t>Dividends - Common</t>
  </si>
  <si>
    <t>Dividends declared per common share</t>
  </si>
  <si>
    <t>Dividends paid</t>
  </si>
  <si>
    <t>Normalized payout ratio</t>
  </si>
  <si>
    <t>Issuances/(Repurchases)</t>
  </si>
  <si>
    <t>Period end basic shares outstanding</t>
  </si>
  <si>
    <t>GAAP vs NON-GAAP RECONCILIATIONS</t>
  </si>
  <si>
    <t>Reported Net Income</t>
  </si>
  <si>
    <t>CASH FLOW STATEMENT ($MM)</t>
  </si>
  <si>
    <t>Pf for Q</t>
  </si>
  <si>
    <t>BALANCE SHEET ($MM)</t>
  </si>
  <si>
    <t>INCOME STATEMENT ($MM)</t>
  </si>
  <si>
    <t>Recovery from WorldCom Bankruptcy</t>
  </si>
  <si>
    <t>Net out of period income tax adjustments</t>
  </si>
  <si>
    <t>Operating taxes and interested associated with various operating tax audits</t>
  </si>
  <si>
    <t>Adjustment for over depreciated assets</t>
  </si>
  <si>
    <t>Impairment Charge</t>
  </si>
  <si>
    <t>Debt Charges</t>
  </si>
  <si>
    <t>Restructuring Costs One Time</t>
  </si>
  <si>
    <t>Gain on Sale of investment/asset</t>
  </si>
  <si>
    <t>Total One-Time Items</t>
  </si>
  <si>
    <t>Normalized Net Income</t>
  </si>
  <si>
    <t>Capex (Total)</t>
  </si>
  <si>
    <t>Capex (CenturyTel)</t>
  </si>
  <si>
    <t>Capex</t>
  </si>
  <si>
    <t>Capex (Embarq)</t>
  </si>
  <si>
    <t>Operating activities from continuing operations</t>
  </si>
  <si>
    <t>Net income</t>
  </si>
  <si>
    <t xml:space="preserve">Adjustments to reconcile net income to net cash provided </t>
  </si>
  <si>
    <t>Income from discontinued operations, net of tax</t>
  </si>
  <si>
    <t>RGU</t>
  </si>
  <si>
    <t>DSL</t>
  </si>
  <si>
    <t>RGU Net adds</t>
  </si>
  <si>
    <t>FTTN</t>
  </si>
  <si>
    <t>VIDEO</t>
  </si>
  <si>
    <t>Income from unconsolidated cellular entities</t>
  </si>
  <si>
    <t>Minority interest</t>
  </si>
  <si>
    <t>Deferred income taxes</t>
  </si>
  <si>
    <t>Nonrecurring gains and losses</t>
  </si>
  <si>
    <t>Changes in current assets and current liabilities:</t>
  </si>
  <si>
    <t>Other accrued taxes</t>
  </si>
  <si>
    <t>Other current assets and other current liabilities, net</t>
  </si>
  <si>
    <t>Increase in other noncurrent assets</t>
  </si>
  <si>
    <t>Decrease in other noncurrent liabilities</t>
  </si>
  <si>
    <t>Other, net</t>
  </si>
  <si>
    <t>Net cash (used in) - operating activities cont. ops</t>
  </si>
  <si>
    <t>Investing activities from continuing operations</t>
  </si>
  <si>
    <t>Acquisitions, net of cash acquired</t>
  </si>
  <si>
    <t>Payments for property, plant and equipment (Capex)</t>
  </si>
  <si>
    <t>Proceeds from sale of assets</t>
  </si>
  <si>
    <t>Collection of note receivable</t>
  </si>
  <si>
    <t>Investment in unconsolidated cellular entities</t>
  </si>
  <si>
    <t>Contribution from minority investor</t>
  </si>
  <si>
    <t>Purchase of life insurance investment, net</t>
  </si>
  <si>
    <t>Net cash(used in) - investing activities  cont. ops</t>
  </si>
  <si>
    <t>info not provided by Qwest in its 1Q11 10Q</t>
  </si>
  <si>
    <t>breakdown not provided by Qwest in its 1Q11 10Q</t>
  </si>
  <si>
    <t>new reporting</t>
  </si>
  <si>
    <t>guesstimate - info not provided by Qwest in its 1Q11 10Q</t>
  </si>
  <si>
    <t>Financing activities from continuing operations</t>
  </si>
  <si>
    <t>Proceeds from issuance (payments) of debt</t>
  </si>
  <si>
    <t>Payment of deferred hedge contracts</t>
  </si>
  <si>
    <t>Proceeds from issuance (repurchases) of common stock</t>
  </si>
  <si>
    <t>Cash dividends</t>
  </si>
  <si>
    <t>Payment of debt issuance costs</t>
  </si>
  <si>
    <t>Payment of equity units issuance costs</t>
  </si>
  <si>
    <t>Net cash (used in) - financing activites cont. ops</t>
  </si>
  <si>
    <t>Net cash (used in) - discontinued ops.</t>
  </si>
  <si>
    <t>Net increase (decrease) in cash and cash equivalents</t>
  </si>
  <si>
    <t>Cash at the beginning of period</t>
  </si>
  <si>
    <t>Cash at the end of period</t>
  </si>
  <si>
    <t>Free cash flow - variations</t>
  </si>
  <si>
    <t>Levered Free Cash Flow (OCF - capex)</t>
  </si>
  <si>
    <t>Levered Free Cash Flow (OCF-capex-dividends)</t>
  </si>
  <si>
    <t>Levered FCF (OCF - capex) as % of Revenues</t>
  </si>
  <si>
    <t>nm</t>
  </si>
  <si>
    <t>CTL restated strategic and legacy revs in 4Q13 back to 1Q12</t>
  </si>
  <si>
    <t>ctl restated strategic and legacy in 4Q13 starting 1Q12</t>
  </si>
  <si>
    <t xml:space="preserve">Unlevered Free Cash Flow </t>
  </si>
  <si>
    <t>EBITDA</t>
  </si>
  <si>
    <t xml:space="preserve">   Less:  Cash taxes</t>
  </si>
  <si>
    <t xml:space="preserve">   Less:  Capex</t>
  </si>
  <si>
    <t xml:space="preserve">   Less: change net working capital needs </t>
  </si>
  <si>
    <t>Unlevered Free cash flow</t>
  </si>
  <si>
    <t>Comparative FCF (net income+D&amp;A-capex-div)</t>
  </si>
  <si>
    <t xml:space="preserve">   Plus: D&amp;A</t>
  </si>
  <si>
    <t xml:space="preserve">   Less: Capex</t>
  </si>
  <si>
    <t xml:space="preserve">   Less: Dividends</t>
  </si>
  <si>
    <t>Free cash flow</t>
  </si>
  <si>
    <t>Cash Tax Calculation</t>
  </si>
  <si>
    <t>Tax expense</t>
  </si>
  <si>
    <t>Change in Net Deferred Tax Position</t>
  </si>
  <si>
    <t>Estimated Cash Taxes</t>
  </si>
  <si>
    <t>Free cash flow yield</t>
  </si>
  <si>
    <t xml:space="preserve">Levered Free Cash Flow (OCF - capex) </t>
  </si>
  <si>
    <t xml:space="preserve">   per share </t>
  </si>
  <si>
    <t xml:space="preserve">FCF yield </t>
  </si>
  <si>
    <t>CenturyTel Cash Flow</t>
  </si>
  <si>
    <t>Embarq Cash Flow</t>
  </si>
  <si>
    <t>BALANCE SHEET &amp; CASH FLOW STATEMENT</t>
  </si>
  <si>
    <t>Operating Activities</t>
  </si>
  <si>
    <t>Adjustments to reconcile net income to net cash provided by operating activities:</t>
  </si>
  <si>
    <t>Discontinued Operations, net</t>
  </si>
  <si>
    <t>Cumulative effect of change in accounting principle, net</t>
  </si>
  <si>
    <t>Depreciation &amp; Amortization</t>
  </si>
  <si>
    <t>Net changes related to discontinued operations</t>
  </si>
  <si>
    <t>Changes in assets and liabilities:</t>
  </si>
  <si>
    <t>Accounts recievable, net</t>
  </si>
  <si>
    <t>Deferred tax assets</t>
  </si>
  <si>
    <t>Noncurrent assets &amp; Lia., net</t>
  </si>
  <si>
    <t>Prepaid Pension asset</t>
  </si>
  <si>
    <t>Net Cash provided by operating activities</t>
  </si>
  <si>
    <t>50</t>
  </si>
  <si>
    <t>2185046</t>
  </si>
  <si>
    <t>Investing Activities</t>
  </si>
  <si>
    <t>Capital Expenditures</t>
  </si>
  <si>
    <t>Proceeds from divestiture of directory business</t>
  </si>
  <si>
    <t>Net Cash used by Investing activities</t>
  </si>
  <si>
    <t>Financing Activities</t>
  </si>
  <si>
    <t>Payments on Debt</t>
  </si>
  <si>
    <t>Changes in short-term borrowing</t>
  </si>
  <si>
    <t>Dividends paid to Stockholders</t>
  </si>
  <si>
    <t>Common stock issued/(purchased)</t>
  </si>
  <si>
    <t>Net Cash used by Financing activities</t>
  </si>
  <si>
    <t>(Decrease)/Increase in cash &amp; equivalents</t>
  </si>
  <si>
    <t>Cash &amp; Equivalents at Beginning of Period</t>
  </si>
  <si>
    <t>Cash &amp; Equivalents at End of Period</t>
  </si>
  <si>
    <t>Pro-Forma for EQ</t>
  </si>
  <si>
    <t>Dividends Paid</t>
  </si>
  <si>
    <t>Total</t>
  </si>
  <si>
    <t>Basic Pro-Forma for Merger</t>
  </si>
  <si>
    <t>NM</t>
  </si>
  <si>
    <t>Interest/other income (period average)</t>
  </si>
  <si>
    <t>Current price - US$</t>
  </si>
  <si>
    <t>Pro-Forma for EQ (Lines &amp; DSL Subs)</t>
  </si>
  <si>
    <t>Total capital expenditures</t>
  </si>
  <si>
    <t xml:space="preserve">   % revenues</t>
  </si>
  <si>
    <t xml:space="preserve">   % EBITDA</t>
  </si>
  <si>
    <t>Capex to depreciation ratio</t>
  </si>
  <si>
    <t>Assumptions:</t>
  </si>
  <si>
    <t>Enter % Elgible Capex, Tax Rate, WACC, and Growth Rate.</t>
  </si>
  <si>
    <t>CAPEX:</t>
  </si>
  <si>
    <t>Eligible</t>
  </si>
  <si>
    <t>Tax Rate</t>
  </si>
  <si>
    <t>Note:  All estimates assume a half-year tax convention</t>
  </si>
  <si>
    <t>Enter Capital Expenditures</t>
  </si>
  <si>
    <t>Proforma for Embarq, Qwest starting in 2010.</t>
  </si>
  <si>
    <t>…</t>
  </si>
  <si>
    <t>MACRS Depreciation Factor</t>
  </si>
  <si>
    <t>MACRS Depreciation + 50% Bonus</t>
  </si>
  <si>
    <t>MACRS Depreciation</t>
  </si>
  <si>
    <t>Depr. Variance</t>
  </si>
  <si>
    <t>Tax adjusted Variance (Cash Flows)</t>
  </si>
  <si>
    <t>MACRS Depreciation + 100% Bonus</t>
  </si>
  <si>
    <t>Enter Pre-Tax Income</t>
  </si>
  <si>
    <t>Tax Expense (@ 35% Pre-Tax Income)</t>
  </si>
  <si>
    <t>Tax Benefit / (Payment)</t>
  </si>
  <si>
    <t>Calculated Cash Taxes</t>
  </si>
  <si>
    <t>MS Estimates (Based on 7 Yr MACRS)</t>
  </si>
  <si>
    <t>EBITDA (Ex. Pension)</t>
  </si>
  <si>
    <t>Less: Interest Expense</t>
  </si>
  <si>
    <t>Less: Capex</t>
  </si>
  <si>
    <t>Free Cash Flow (Reported by CTL)</t>
  </si>
  <si>
    <t>Dividend</t>
  </si>
  <si>
    <t>w/ Bonus Depreciation</t>
  </si>
  <si>
    <t>% FCF Payout</t>
  </si>
  <si>
    <t>2014 50% Bonus Depreciation</t>
  </si>
  <si>
    <t>2015 50% Bonus Depreciation</t>
  </si>
  <si>
    <t>Impact to Cash Tax Estimates</t>
  </si>
  <si>
    <t>% FCF Payout (Current Est.)</t>
  </si>
  <si>
    <t>% FCF Payout (w/ Bonus Depr.)</t>
  </si>
  <si>
    <t>Enter "1" if Bonus Depreciation is Extended</t>
  </si>
  <si>
    <t>2015</t>
  </si>
  <si>
    <t>Simon Flannery / simon.flannery@morganstanley.com / 212-761-6432</t>
  </si>
  <si>
    <t>Mode:</t>
  </si>
  <si>
    <t>Cash Balance</t>
  </si>
  <si>
    <t>For The Year Ended December 31,</t>
  </si>
  <si>
    <t>VALUATION BASED ON DIVIDEND YIELD</t>
  </si>
  <si>
    <t>Total Debt + Pension / OPEB</t>
  </si>
  <si>
    <t>Net Debt</t>
  </si>
  <si>
    <t>Current Market Capitalization</t>
  </si>
  <si>
    <t>Equity Beta</t>
  </si>
  <si>
    <t>Debt Cost of Capital</t>
  </si>
  <si>
    <t>Risk Free Rate</t>
  </si>
  <si>
    <t>Change in Working Capital</t>
  </si>
  <si>
    <t>Unlevered Free Cash Flow</t>
  </si>
  <si>
    <t>Debt / Total Capital (Current)</t>
  </si>
  <si>
    <t>Period Count</t>
  </si>
  <si>
    <t>Debt / Total Capital (Target)</t>
  </si>
  <si>
    <t>Weighted Average Cost of Capital</t>
  </si>
  <si>
    <t>NPV of Future Cash Flows</t>
  </si>
  <si>
    <t>Implied Terminal Growth Rate</t>
  </si>
  <si>
    <t>DISCOUNTED CASH FLOW ANALYSIS</t>
  </si>
  <si>
    <t>Plus: NPV of Terminal Value</t>
  </si>
  <si>
    <t>Plus: Cash Balance</t>
  </si>
  <si>
    <t>Less: Total Debt + Pension / OPEB</t>
  </si>
  <si>
    <t>Diluted Shares Outstanding</t>
  </si>
  <si>
    <t>Equity Value Per Share (in 12 months)</t>
  </si>
  <si>
    <t>Upside to Current Share Price</t>
  </si>
  <si>
    <t>Morgan Stanley Valuation for CenturyLink (CTL)</t>
  </si>
  <si>
    <t>DEPRECIATION AND AMORTIZATION</t>
  </si>
  <si>
    <t>2Q14</t>
  </si>
  <si>
    <t>% of core</t>
  </si>
  <si>
    <t>% of total revenue</t>
  </si>
  <si>
    <t>TOTAL WHOLESALE</t>
  </si>
  <si>
    <t>TOTAL DATA HOSTING</t>
  </si>
  <si>
    <t>TOTAL BUSINESS</t>
  </si>
  <si>
    <t>TOTAL CONSUMER</t>
  </si>
  <si>
    <t>3Q14</t>
  </si>
  <si>
    <t>Payout Ratio</t>
  </si>
  <si>
    <t>FCF (as defined by CTL)</t>
  </si>
  <si>
    <t>Long Term Debt (excluding Current Maturities)</t>
  </si>
  <si>
    <t>Per '13 10K</t>
  </si>
  <si>
    <t>Per '14 10K</t>
  </si>
  <si>
    <t>Strategic services as % of total</t>
  </si>
  <si>
    <t>Legacy services as % of total</t>
  </si>
  <si>
    <t>No Bonus Depreciation</t>
  </si>
  <si>
    <t>50% 2014 Bonus Depreciation</t>
  </si>
  <si>
    <t>50% 2014 &amp;2015 Bonus Depreciation</t>
  </si>
  <si>
    <t>2019E</t>
  </si>
  <si>
    <t xml:space="preserve"> </t>
  </si>
  <si>
    <t>EBITDA Margins</t>
  </si>
  <si>
    <t>Strategic Revenue</t>
  </si>
  <si>
    <t>Legacy Revenue</t>
  </si>
  <si>
    <t>4Q14</t>
  </si>
  <si>
    <t>2014</t>
  </si>
  <si>
    <t>TOTAL BUSINESS  (NEW)</t>
  </si>
  <si>
    <t>FCF Payout</t>
  </si>
  <si>
    <t>Legacy</t>
  </si>
  <si>
    <t>services</t>
  </si>
  <si>
    <t>integration</t>
  </si>
  <si>
    <t>revenues</t>
  </si>
  <si>
    <t>RE-SEGMENTED 4Q14</t>
  </si>
  <si>
    <t xml:space="preserve">  Y/Y Growth</t>
  </si>
  <si>
    <t>Consumer Mix</t>
  </si>
  <si>
    <t>Business Mix</t>
  </si>
  <si>
    <t>EBITDA (Adj. OCF)</t>
  </si>
  <si>
    <t>Depreciation &amp; amortization (GAAP)</t>
  </si>
  <si>
    <t>Consumer Strategic Service Revenues</t>
  </si>
  <si>
    <t>Broadband Net Adds</t>
  </si>
  <si>
    <t>Y/Y % growth</t>
  </si>
  <si>
    <t>Q/Q % growth</t>
  </si>
  <si>
    <t>Prism Subscribers</t>
  </si>
  <si>
    <t>1Q15</t>
  </si>
  <si>
    <t>Benefit Plan Obligations</t>
  </si>
  <si>
    <t>2Q15</t>
  </si>
  <si>
    <t>Low</t>
  </si>
  <si>
    <t>High</t>
  </si>
  <si>
    <t>Mid</t>
  </si>
  <si>
    <t>Operating Revenue</t>
  </si>
  <si>
    <t>Core Revenue</t>
  </si>
  <si>
    <t>Adj. EBITDA / OCF</t>
  </si>
  <si>
    <t>EBITDA margin</t>
  </si>
  <si>
    <t>Y.Y EBITDA Growth</t>
  </si>
  <si>
    <t>Q.Q EBITDA Growth</t>
  </si>
  <si>
    <t>2014 EBITDA</t>
  </si>
  <si>
    <t>1q15</t>
  </si>
  <si>
    <t>2q15</t>
  </si>
  <si>
    <t>4q15 implied</t>
  </si>
  <si>
    <t>1q14</t>
  </si>
  <si>
    <t>2q14</t>
  </si>
  <si>
    <t>3q14</t>
  </si>
  <si>
    <t>4q14</t>
  </si>
  <si>
    <t>2015 Guidance</t>
  </si>
  <si>
    <t>3q15 Guidance</t>
  </si>
  <si>
    <t>High-bandwidth data services</t>
  </si>
  <si>
    <t>Hosting services</t>
  </si>
  <si>
    <t>Other strategic services</t>
  </si>
  <si>
    <t>Low-bandwidth data services</t>
  </si>
  <si>
    <t>Legacy voice services</t>
  </si>
  <si>
    <t>Other Legacy Services</t>
  </si>
  <si>
    <t>Data Integration</t>
  </si>
  <si>
    <t>Percent of Business Revenues</t>
  </si>
  <si>
    <t>margin</t>
  </si>
  <si>
    <t>y/y growth</t>
  </si>
  <si>
    <t>+ CAF II</t>
  </si>
  <si>
    <t>Operating revenue</t>
  </si>
  <si>
    <t>EBITDA Margin</t>
  </si>
  <si>
    <t>3Q15</t>
  </si>
  <si>
    <t>4q15 updated guidance
(midpoint)</t>
  </si>
  <si>
    <t>4q15 implied guidance
($m)</t>
  </si>
  <si>
    <t>-72 bps</t>
  </si>
  <si>
    <t>2020E</t>
  </si>
  <si>
    <t>Dividend Paid (LTM)</t>
  </si>
  <si>
    <t>Per '15 10K</t>
  </si>
  <si>
    <t>% of total consumer</t>
  </si>
  <si>
    <t>TTM Dividend Payout (as defined by CTL)</t>
  </si>
  <si>
    <t>TTM Div Payout as % of FCF (OCF - capex)</t>
  </si>
  <si>
    <t>2021E</t>
  </si>
  <si>
    <t>Currency</t>
  </si>
  <si>
    <t>USD American Dollar</t>
  </si>
  <si>
    <t>Current Stock Price</t>
  </si>
  <si>
    <t>Count</t>
  </si>
  <si>
    <t>AED UAE Dirham</t>
  </si>
  <si>
    <t>AED</t>
  </si>
  <si>
    <t>ARS Argentinian Pesos</t>
  </si>
  <si>
    <t>Ar$</t>
  </si>
  <si>
    <t>ARS</t>
  </si>
  <si>
    <t>AUD Australian Dollar</t>
  </si>
  <si>
    <t>A$</t>
  </si>
  <si>
    <t>AUD</t>
  </si>
  <si>
    <t>BGL Bulgarian levs</t>
  </si>
  <si>
    <t>BGL</t>
  </si>
  <si>
    <t>BMD Bermudan Dollars</t>
  </si>
  <si>
    <t>BMD</t>
  </si>
  <si>
    <t>BRL Brazilian Real</t>
  </si>
  <si>
    <t>R$</t>
  </si>
  <si>
    <t>BRL</t>
  </si>
  <si>
    <t>CAD Canadian Dollars</t>
  </si>
  <si>
    <t>C$</t>
  </si>
  <si>
    <t>CAD</t>
  </si>
  <si>
    <t>CHF Swiss Francs</t>
  </si>
  <si>
    <t>SFr</t>
  </si>
  <si>
    <t>CHF</t>
  </si>
  <si>
    <t>CLP Chilean Pesos</t>
  </si>
  <si>
    <t>CLP</t>
  </si>
  <si>
    <t>CNY Chinese Renminbi Yuan</t>
  </si>
  <si>
    <t>Rmb</t>
  </si>
  <si>
    <t>CNY</t>
  </si>
  <si>
    <t>COP Colombian Peso</t>
  </si>
  <si>
    <t>COP</t>
  </si>
  <si>
    <t>CZK Czech Krona</t>
  </si>
  <si>
    <t>Kcs</t>
  </si>
  <si>
    <t>CZK</t>
  </si>
  <si>
    <t>DKK Danish Krone</t>
  </si>
  <si>
    <t>DKr</t>
  </si>
  <si>
    <t>DKK</t>
  </si>
  <si>
    <t>DZD Algerian Dinar</t>
  </si>
  <si>
    <t>DZD</t>
  </si>
  <si>
    <t>EGP Egyptian Pound</t>
  </si>
  <si>
    <t>EGP</t>
  </si>
  <si>
    <t>EUR Euro</t>
  </si>
  <si>
    <t>€</t>
  </si>
  <si>
    <t>EUR</t>
  </si>
  <si>
    <t>GBp British Pence</t>
  </si>
  <si>
    <t>p</t>
  </si>
  <si>
    <t>BPN</t>
  </si>
  <si>
    <t>GBP British Pound</t>
  </si>
  <si>
    <t>₤</t>
  </si>
  <si>
    <t>GBP</t>
  </si>
  <si>
    <t>HKD Hong Kong Dollar</t>
  </si>
  <si>
    <t>HK$</t>
  </si>
  <si>
    <t>HKD</t>
  </si>
  <si>
    <t>HUF Hungarian forint</t>
  </si>
  <si>
    <t>Ft</t>
  </si>
  <si>
    <t>HUF</t>
  </si>
  <si>
    <t>IDR Indonesian Rupiah</t>
  </si>
  <si>
    <t>Rp</t>
  </si>
  <si>
    <t>IDR</t>
  </si>
  <si>
    <t>ILS Israeli shekel</t>
  </si>
  <si>
    <t>ILS</t>
  </si>
  <si>
    <t>INR Indian Rupee</t>
  </si>
  <si>
    <t>Rs.</t>
  </si>
  <si>
    <t>INR</t>
  </si>
  <si>
    <t>IQD Iraqi Dinar</t>
  </si>
  <si>
    <t>IQD</t>
  </si>
  <si>
    <t>IRR Iranian Rial</t>
  </si>
  <si>
    <t>IRR</t>
  </si>
  <si>
    <t>ISK Iceland Krona</t>
  </si>
  <si>
    <t>kr</t>
  </si>
  <si>
    <t>ISK</t>
  </si>
  <si>
    <t>JMD Jamaican Dollars</t>
  </si>
  <si>
    <t>JMD</t>
  </si>
  <si>
    <t>JPY Japanese Yen</t>
  </si>
  <si>
    <t>¥</t>
  </si>
  <si>
    <t>JPY</t>
  </si>
  <si>
    <t>KES Kenyan Shilling</t>
  </si>
  <si>
    <t>KES</t>
  </si>
  <si>
    <t>KRW South Korean Won</t>
  </si>
  <si>
    <t>₩</t>
  </si>
  <si>
    <t>KRW</t>
  </si>
  <si>
    <t>KWD Kuwaiti Dinar</t>
  </si>
  <si>
    <t>KWD</t>
  </si>
  <si>
    <t>KYD Cayman Dollars</t>
  </si>
  <si>
    <t>KYD</t>
  </si>
  <si>
    <t>LKR Sri Lankan Rupee</t>
  </si>
  <si>
    <t>LKR</t>
  </si>
  <si>
    <t>MAD Moroccan Dirham</t>
  </si>
  <si>
    <t>MAD</t>
  </si>
  <si>
    <t>MXN Mexican Pesos (new)</t>
  </si>
  <si>
    <t>M$</t>
  </si>
  <si>
    <t>MXN</t>
  </si>
  <si>
    <t>MYR Malaysian Ringgit</t>
  </si>
  <si>
    <t>RM</t>
  </si>
  <si>
    <t>MYR</t>
  </si>
  <si>
    <t>NOK Norwegian Krone</t>
  </si>
  <si>
    <t>NKr</t>
  </si>
  <si>
    <t>NOK</t>
  </si>
  <si>
    <t>NZD New Zealand Dollars</t>
  </si>
  <si>
    <t>NZ$</t>
  </si>
  <si>
    <t>NZD</t>
  </si>
  <si>
    <t>OMR Rial Omani</t>
  </si>
  <si>
    <t>OMR</t>
  </si>
  <si>
    <t>PAB Panamanian Balboa</t>
  </si>
  <si>
    <t>PAB</t>
  </si>
  <si>
    <t>PEN Peruvian PEN</t>
  </si>
  <si>
    <t>PEN</t>
  </si>
  <si>
    <t>PHP Philippino Peso</t>
  </si>
  <si>
    <t>PP</t>
  </si>
  <si>
    <t>PHP</t>
  </si>
  <si>
    <t>PKR Pakistani Rupee</t>
  </si>
  <si>
    <t>PKR</t>
  </si>
  <si>
    <t>PLN Polish Zloty</t>
  </si>
  <si>
    <t>zł</t>
  </si>
  <si>
    <t>PLN</t>
  </si>
  <si>
    <t>RUB Russian Rouble</t>
  </si>
  <si>
    <t>RUB</t>
  </si>
  <si>
    <t>SAR Saudi Riyal</t>
  </si>
  <si>
    <t>SAR</t>
  </si>
  <si>
    <t>SEK Swedish Krona</t>
  </si>
  <si>
    <t>SKr</t>
  </si>
  <si>
    <t>SEK</t>
  </si>
  <si>
    <t>SGD Singapore Dollar</t>
  </si>
  <si>
    <t>S$</t>
  </si>
  <si>
    <t>SGD</t>
  </si>
  <si>
    <t>THB Thailand Baht</t>
  </si>
  <si>
    <t>Bt</t>
  </si>
  <si>
    <t>THB</t>
  </si>
  <si>
    <t>TND Tunisian Dinar</t>
  </si>
  <si>
    <t>TND</t>
  </si>
  <si>
    <t>TRY Turkish Lira</t>
  </si>
  <si>
    <t>TRY</t>
  </si>
  <si>
    <t>TWD New Taiwan Dollar</t>
  </si>
  <si>
    <t>NT$</t>
  </si>
  <si>
    <t>TWD</t>
  </si>
  <si>
    <t>UAH Ukrainian Hryvnia</t>
  </si>
  <si>
    <t>UAH</t>
  </si>
  <si>
    <t>VEB Venezuelan Bolivar</t>
  </si>
  <si>
    <t>VEB</t>
  </si>
  <si>
    <t>ZAR South African rand</t>
  </si>
  <si>
    <t>ZAR</t>
  </si>
  <si>
    <t xml:space="preserve">   Less:  Non-cash benefit to interest expense (&amp; other)</t>
  </si>
  <si>
    <t>Current Valuation</t>
  </si>
  <si>
    <t>'18 EV/EBITDA</t>
  </si>
  <si>
    <t>'18 P/E</t>
  </si>
  <si>
    <t>'18 FCF Yield</t>
  </si>
  <si>
    <t>4Q15</t>
  </si>
  <si>
    <t xml:space="preserve">   Add:  Other Income</t>
  </si>
  <si>
    <t>Adj. EBITDA Margin</t>
  </si>
  <si>
    <t xml:space="preserve">   Less:  Cash Interest</t>
  </si>
  <si>
    <t xml:space="preserve">   Less:  Pension</t>
  </si>
  <si>
    <t xml:space="preserve">   Add:  SBC</t>
  </si>
  <si>
    <t>1q16</t>
  </si>
  <si>
    <t>2q16 Guidance</t>
  </si>
  <si>
    <t>3q16 implied</t>
  </si>
  <si>
    <t>4q16 implied</t>
  </si>
  <si>
    <t>2016 Guidance</t>
  </si>
  <si>
    <t>2015 EBITDA</t>
  </si>
  <si>
    <t>2015 Revenue</t>
  </si>
  <si>
    <t>2015 Margins</t>
  </si>
  <si>
    <t>Total LT Debt (including CM and amortized)</t>
  </si>
  <si>
    <t>1Q16</t>
  </si>
  <si>
    <t>Not Available</t>
  </si>
  <si>
    <t>YTL</t>
  </si>
  <si>
    <t>TR ISO Ccy</t>
  </si>
  <si>
    <t>MW Ccy</t>
  </si>
  <si>
    <t>Impact on EPS</t>
  </si>
  <si>
    <t>Avg. Diluted Shares Outstanding</t>
  </si>
  <si>
    <t>Total Economic Pension Cost</t>
  </si>
  <si>
    <t>Interest on Net Underfunding</t>
  </si>
  <si>
    <t>Service Cost</t>
  </si>
  <si>
    <t>Calculating Economic Pension Cost</t>
  </si>
  <si>
    <t xml:space="preserve">    Metric</t>
  </si>
  <si>
    <t>: Thinking about Pensions in Valuation</t>
  </si>
  <si>
    <t>Step 4</t>
  </si>
  <si>
    <t>Increase / (Decrease) in Pension Obligation</t>
  </si>
  <si>
    <t xml:space="preserve">b </t>
  </si>
  <si>
    <t>Increase (decrease) in cash from reversal of non-cash pension expense (benefit)</t>
  </si>
  <si>
    <t xml:space="preserve">a </t>
  </si>
  <si>
    <t xml:space="preserve">NOTE:  Each model is structured differently, so the location to integrate the changes below (into either the BS or CFS) will depend on the model. Guidance for the typical model is described in column A.  </t>
  </si>
  <si>
    <t>: Integration in Main Model</t>
  </si>
  <si>
    <t>Step 3</t>
  </si>
  <si>
    <t>Reversal of non-cash pension expense(benefit)</t>
  </si>
  <si>
    <t xml:space="preserve">c </t>
  </si>
  <si>
    <t>Funding level</t>
  </si>
  <si>
    <t>% of Market cap</t>
  </si>
  <si>
    <t>ZAV(TF.FN.PensionPlanFairValueOfPlanAssets(period=FY0,sdate=#1,edate=#2,frq=FY,curn=#3,scale=6))</t>
  </si>
  <si>
    <t>Market cap</t>
  </si>
  <si>
    <t>Benefits Paid</t>
  </si>
  <si>
    <t>Company Contributions</t>
  </si>
  <si>
    <t>Pension Fund Status</t>
  </si>
  <si>
    <t>ZAV(TF.FN.PensionPlanActualReturnOnPlanAssets(period=FY0,sdate=#1,edate=#2,frq=FY,curn=#3,scale=6))</t>
  </si>
  <si>
    <t>Actual Return</t>
  </si>
  <si>
    <t>ZAV(TF.FN.PensionPlanFairValueOfPlanAssets(period=FY0,sdate=#1,frq=FY,curn=#2,scale=6))</t>
  </si>
  <si>
    <t>ZAV(TF.FN.PensionPlanProjectedBenefitObligation(period=FY0,sdate=#1,edate=#2,frq=FY,curn=#3,scale=6))</t>
  </si>
  <si>
    <t xml:space="preserve">Other </t>
  </si>
  <si>
    <t>Actuarial Losses / (Gains)</t>
  </si>
  <si>
    <t>Interest Cost</t>
  </si>
  <si>
    <t>ZAV(TF.FN.PensionPlanPctOther(period=FY0,sdate=#1,edate=#2,frq=FY))/100</t>
  </si>
  <si>
    <t xml:space="preserve">   Other</t>
  </si>
  <si>
    <t>ZAV(TF.FN.PensionPlanPctProperty(period=FY0,sdate=#1,edate=#2,frq=FY))/100</t>
  </si>
  <si>
    <t xml:space="preserve">   Real Estate</t>
  </si>
  <si>
    <t>ZAV(TF.FN.PensionPlanProjectedBenefitObligation(period=FY0,sdate=#1,frq=FY,curn=#2,scale=6))</t>
  </si>
  <si>
    <t>ZAV(TF.FN.PensionPlanPctBonds(period=FY0,sdate=#1,edate=#2,frq=FY))/100</t>
  </si>
  <si>
    <t xml:space="preserve">   Fixed Income</t>
  </si>
  <si>
    <t>ZAV(TF.FN.PensionPlanPctEquities(period=FY0,sdate=#1,edate=#2,frq=FY))/100</t>
  </si>
  <si>
    <t xml:space="preserve">   Equity</t>
  </si>
  <si>
    <t>Plan Asset Allocation (%)</t>
  </si>
  <si>
    <t>ZAV(TF.FN.PensionPlanNetPeriodicIncExp(period=FY0,sdate=#1,edate=#2,frq=FY,curn=#3,scale=6))</t>
  </si>
  <si>
    <t>GAAP Pension Expense / (Benefit)</t>
  </si>
  <si>
    <t>Donot Delete this tag</t>
  </si>
  <si>
    <t>Amortization of Actuarial (Gain) / Loss</t>
  </si>
  <si>
    <t>Recognized Actuarial (Gains) / Loss</t>
  </si>
  <si>
    <t>US GAAP: Voluntary Pension Accounting</t>
  </si>
  <si>
    <t>ZAV(TF.FN.PensionPlanExpectedReturnOnPlanAssets(period=FY0,sdate=#1,edate=#2,frq=FY,curn=#3,scale=6))</t>
  </si>
  <si>
    <t>Expected Return on Plan Assets</t>
  </si>
  <si>
    <t>US GAAP</t>
  </si>
  <si>
    <t>ZAV(TF.FN.PensionPlanInterestCost(period=FY0,sdate=#1,edate=#2,frq=FY,curn=#3,scale=6))</t>
  </si>
  <si>
    <t>ZAV(TF.FN.PensionPlanServiceAmmortizationOfPriorServiceCosts(period=FY0,sdate=#1,edate=#2,frq=FY,curn=#3,scale=6))</t>
  </si>
  <si>
    <t>Prior Service Costs</t>
  </si>
  <si>
    <t>TR FYE</t>
  </si>
  <si>
    <t>ZAV(TF.FN.PensionPlanServiceCosts(period=FY0,sdate=#1,edate=#2,frq=FY,curn=#3,scale=6))</t>
  </si>
  <si>
    <t>MW FYE</t>
  </si>
  <si>
    <t>MW FYE Month</t>
  </si>
  <si>
    <t>Last historical Yr</t>
  </si>
  <si>
    <t>Yr diff. MW vs TR</t>
  </si>
  <si>
    <t>: Forecasting Financial Statements</t>
  </si>
  <si>
    <t>Step 2</t>
  </si>
  <si>
    <t>TimSrs End Yr</t>
  </si>
  <si>
    <t>TimeSrs Start Yr</t>
  </si>
  <si>
    <t>BoP Start Yr</t>
  </si>
  <si>
    <t>ZAV(TF.FN.PensionPlanExpectedLTRateReturnOnAssets(period=FY0,sdate=#1,edate=#2,frq=FY))/100</t>
  </si>
  <si>
    <t>Control tool for last reported year</t>
  </si>
  <si>
    <t xml:space="preserve">Average Remaining Working Life </t>
  </si>
  <si>
    <t>% Change in PBO for each 100 bps change in Interest Rate</t>
  </si>
  <si>
    <t>ZAV(TF.FN.PensionPlanDiscountRateWtdAvg(period=FY0,sdate=#1,edate=#2,frq=FY))/100</t>
  </si>
  <si>
    <t>Discount Rate</t>
  </si>
  <si>
    <t>: Thinking about Assumptions</t>
  </si>
  <si>
    <t>Step 1</t>
  </si>
  <si>
    <t>Sedol</t>
  </si>
  <si>
    <t>Centurylink Inc</t>
  </si>
  <si>
    <t>Company Name</t>
  </si>
  <si>
    <t>MW Ticker (with .N, .O extension)</t>
  </si>
  <si>
    <t>Increase / (Decrease) in OPEB Obligation</t>
  </si>
  <si>
    <t>Increase (decrease) in cash from reversal of non-cash OPEB expense (benefit)</t>
  </si>
  <si>
    <t>(Decrease) in cash from contributions / benefit payments</t>
  </si>
  <si>
    <t>Reversal of non-cash OPEB expense(benefit)</t>
  </si>
  <si>
    <t>OPEB</t>
  </si>
  <si>
    <t>ZAV(TF.FN.HealthcarePlanFairValueOfPlanAssets(period=FY0,sdate=#1,edate=#2,frq=FY,curn=#3,scale=6))</t>
  </si>
  <si>
    <t>PBO</t>
  </si>
  <si>
    <t>ZAV(TF.FN.HealthcarePlanActualReturnOnPlanAssets(period=FY0,sdate=#1,edate=#2,frq=FY,curn=#3,scale=6))</t>
  </si>
  <si>
    <t>ZAV(TF.FN.HealthcarePlanFairValueOfPlanAssets(period=FY0,sdate=#1,frq=FY,curn=#2,scale=6))</t>
  </si>
  <si>
    <t>ZAV(TF.FN.HealthcarePlanProjectedBenefitObligation(period=FY0,sdate=#1,edate=#2,frq=FY,curn=#3,scale=6))</t>
  </si>
  <si>
    <t>ZAV(TF.FN.HealthcarePlanProjectedBenefitObligation(period=FY0,sdate=#1,frq=FY,curn=#2,scale=6))</t>
  </si>
  <si>
    <t>ZAV(TF.FN.HealthcarePlanNetPeriodicIncExp(period=FY0,sdate=#1,edate=#2,frq=FY,curn=#3,scale=6))</t>
  </si>
  <si>
    <t>ZAV(TF.FN.HealthcarePlanExpectedReturnOnPlanAssets(period=FY0,sdate=#1,edate=#2,frq=FY,curn=#3,scale=6))</t>
  </si>
  <si>
    <t>drop down link</t>
  </si>
  <si>
    <t>ZAV(TF.FN.HealthcarePlanInterestCost(period=FY0,sdate=#1,edate=#2,frq=FY,curn=#3,scale=6))</t>
  </si>
  <si>
    <t>ZAV(TF.FN.HealthcarePlanServiceAmmortizationOfPriorServiceCosts(period=FY0,sdate=#1,edate=#2,frq=FY,curn=#3,scale=6))</t>
  </si>
  <si>
    <t>ZAV(TF.FN.HealthcarePlanServiceCosts(period=FY0,sdate=#1,edate=#2,frq=FY,curn=#3,scale=6))</t>
  </si>
  <si>
    <t>ZAV(TF.FN.HealthcarePlanExpectedLTRateReturnOnAssets(period=FY0,sdate=#1,edate=#2,frq=FY))/100</t>
  </si>
  <si>
    <t>ZAV(TF.RF.DiscountRatePostRetir(period=FY0,sdate=#1,edate=#2,frq=FY))</t>
  </si>
  <si>
    <t>Depreciation &amp; Amortization Adjustments for Qwest Intangibles</t>
  </si>
  <si>
    <t>2Q16 Guidance</t>
  </si>
  <si>
    <t>2Q16</t>
  </si>
  <si>
    <t>Actual</t>
  </si>
  <si>
    <t>↑</t>
  </si>
  <si>
    <t>↓</t>
  </si>
  <si>
    <t>Broadband Net Adds (k)</t>
  </si>
  <si>
    <t xml:space="preserve"> midpoint</t>
  </si>
  <si>
    <t>high</t>
  </si>
  <si>
    <t>1Q</t>
  </si>
  <si>
    <t>2Q</t>
  </si>
  <si>
    <t>3Q</t>
  </si>
  <si>
    <t>4Q</t>
  </si>
  <si>
    <t>3Q16 Guidance</t>
  </si>
  <si>
    <t>3Q16</t>
  </si>
  <si>
    <t>4Q16 implied</t>
  </si>
  <si>
    <t>LTM Broadband Net Adds</t>
  </si>
  <si>
    <t>SBC + non-cash charges</t>
  </si>
  <si>
    <t>restated 2q16</t>
  </si>
  <si>
    <t>4Q16 Guidance</t>
  </si>
  <si>
    <t>4Q Guidance</t>
  </si>
  <si>
    <t>3Q Guidance</t>
  </si>
  <si>
    <t>2Q Guidance</t>
  </si>
  <si>
    <t>Original 2016 Guidance</t>
  </si>
  <si>
    <t>Change Vs Original 2016 Guidance</t>
  </si>
  <si>
    <t>MS ( E )</t>
  </si>
  <si>
    <t>MS vs Guidance</t>
  </si>
  <si>
    <t>MASTER</t>
  </si>
  <si>
    <t>Accretion / Dilution</t>
  </si>
  <si>
    <t>PF Leverage</t>
  </si>
  <si>
    <t>Price</t>
  </si>
  <si>
    <t>EV / EBITDA</t>
  </si>
  <si>
    <t>CTL share price</t>
  </si>
  <si>
    <t>Implied LVLT Purchase Price</t>
  </si>
  <si>
    <t>Diluted shares (LVLT) - 2016</t>
  </si>
  <si>
    <t>Implied Equity Value</t>
  </si>
  <si>
    <t>Implied EV</t>
  </si>
  <si>
    <t xml:space="preserve">Assumed fwd (2017) EV/EBITDA </t>
  </si>
  <si>
    <t xml:space="preserve">Equity financing </t>
  </si>
  <si>
    <t xml:space="preserve">Debt financing </t>
  </si>
  <si>
    <t>LVLT EV/EBITDA</t>
  </si>
  <si>
    <t>CTL EV</t>
  </si>
  <si>
    <t>T EV/EBITDA</t>
  </si>
  <si>
    <t xml:space="preserve">Pro Forma current EV/EBITDA </t>
  </si>
  <si>
    <t>Implied LVLT number of shares</t>
  </si>
  <si>
    <t>CTL number of shares</t>
  </si>
  <si>
    <t>Add'l shares</t>
  </si>
  <si>
    <t>PF shares outstanding</t>
  </si>
  <si>
    <t xml:space="preserve">Pro Forma Market Cap </t>
  </si>
  <si>
    <t>LVLT Net Debt</t>
  </si>
  <si>
    <t xml:space="preserve">LVLT Other Obligations (implied) </t>
  </si>
  <si>
    <t>CTL Net Debt</t>
  </si>
  <si>
    <t>New debt raise</t>
  </si>
  <si>
    <t>Interest rate</t>
  </si>
  <si>
    <t>Debt refi / deal related expenses</t>
  </si>
  <si>
    <t xml:space="preserve">Pro Forma EV </t>
  </si>
  <si>
    <t>LVLT EBITDA</t>
  </si>
  <si>
    <t>LVLT</t>
  </si>
  <si>
    <t>CTL EBITDA</t>
  </si>
  <si>
    <t>% of opex</t>
  </si>
  <si>
    <t>2017E cash opex</t>
  </si>
  <si>
    <t xml:space="preserve">Annual Synergies </t>
  </si>
  <si>
    <t xml:space="preserve">  </t>
  </si>
  <si>
    <t>NewCo EBITDA (incl. synergies)</t>
  </si>
  <si>
    <t>LVLT Net Income</t>
  </si>
  <si>
    <t xml:space="preserve">CTL Net Income </t>
  </si>
  <si>
    <t>Annual Synergies (pre tax)</t>
  </si>
  <si>
    <t xml:space="preserve">Interest, new debt </t>
  </si>
  <si>
    <t xml:space="preserve">Effective tax rate </t>
  </si>
  <si>
    <t>Pro Forma Net Income</t>
  </si>
  <si>
    <t>PF Growth (%)</t>
  </si>
  <si>
    <t>CTL EPS</t>
  </si>
  <si>
    <t>PF EPS</t>
  </si>
  <si>
    <t>EPS Accretion</t>
  </si>
  <si>
    <t xml:space="preserve">LVLT FCF (CFFO minus CAPEX) </t>
  </si>
  <si>
    <t xml:space="preserve">CTL FCF (CFFO minus CAPEX) </t>
  </si>
  <si>
    <t>Pro Forma FCF</t>
  </si>
  <si>
    <t>CTL FCF / share</t>
  </si>
  <si>
    <t>PF FCF / share</t>
  </si>
  <si>
    <t>FCF Accretion</t>
  </si>
  <si>
    <t>CTL Dividend</t>
  </si>
  <si>
    <t xml:space="preserve">   % of FCF </t>
  </si>
  <si>
    <t>LVLT Dividend</t>
  </si>
  <si>
    <t>Pro Forma Dividend</t>
  </si>
  <si>
    <t xml:space="preserve">CTL Net Leverage (Net Debt/EBITDA) </t>
  </si>
  <si>
    <t xml:space="preserve">Pro Forma Net Leverage </t>
  </si>
  <si>
    <t>4Q16</t>
  </si>
  <si>
    <t>Proceeds from sale of assets / acquisitions</t>
  </si>
  <si>
    <t>cash tax synergies</t>
  </si>
  <si>
    <t>capex synergies</t>
  </si>
  <si>
    <t>LVLT Adj. FCF</t>
  </si>
  <si>
    <t>CTL Adj FCF</t>
  </si>
  <si>
    <t>LVLT SBC</t>
  </si>
  <si>
    <t>Level 3 Revenue</t>
  </si>
  <si>
    <t>CenturyLink Revenue</t>
  </si>
  <si>
    <t>Level 3 EBITDA</t>
  </si>
  <si>
    <t>CenturyLink EBITDA</t>
  </si>
  <si>
    <t>2017E EV / EBITDA</t>
  </si>
  <si>
    <t>2017E Dividend Yield</t>
  </si>
  <si>
    <t>Enterprise high-bandwidth services</t>
  </si>
  <si>
    <t>IT and Managed Services</t>
  </si>
  <si>
    <t>Consumer Broadband Services</t>
  </si>
  <si>
    <t>Other consumer strategic services</t>
  </si>
  <si>
    <t>Total Strategic Services</t>
  </si>
  <si>
    <t>Enterprise Voice Services</t>
  </si>
  <si>
    <t>Enterprise low-bandwidth services</t>
  </si>
  <si>
    <t>Other enterprise legacy services</t>
  </si>
  <si>
    <t>Consumer voice services</t>
  </si>
  <si>
    <t>Other consumer legacy services</t>
  </si>
  <si>
    <t>Total legacy services</t>
  </si>
  <si>
    <t>Enterprise</t>
  </si>
  <si>
    <t>IT and managed services</t>
  </si>
  <si>
    <t>Total data integration</t>
  </si>
  <si>
    <t>High-cost support revenue</t>
  </si>
  <si>
    <t>Other revenue</t>
  </si>
  <si>
    <t>Total other revenue</t>
  </si>
  <si>
    <t>Other enterprise strategic services</t>
  </si>
  <si>
    <t>TOTAL ENTERPRISE  (NEW)</t>
  </si>
  <si>
    <t>IT and Managed Services (non-segment)</t>
  </si>
  <si>
    <t>Strategic Services</t>
  </si>
  <si>
    <t>TOTAL NON SEGMENT</t>
  </si>
  <si>
    <t>1Q17</t>
  </si>
  <si>
    <t>Adj. EBITDA</t>
  </si>
  <si>
    <t>2014 Quarterly Guidance</t>
  </si>
  <si>
    <t>2015 Quarterly Guidance</t>
  </si>
  <si>
    <t>2016 Quarterly Guidance</t>
  </si>
  <si>
    <t>2017 Quarterly Guidance</t>
  </si>
  <si>
    <t>2Q17</t>
  </si>
  <si>
    <t>*includes $15m 1x favorable cost tailwind</t>
  </si>
  <si>
    <t>Data Center Sale</t>
  </si>
  <si>
    <t>Leasing Expense</t>
  </si>
  <si>
    <t>Pro forma 1Q17 EBITDA</t>
  </si>
  <si>
    <t>Organic Decline</t>
  </si>
  <si>
    <t>Midpt 2Q17 Guidance</t>
  </si>
  <si>
    <t>Reported 1Q17 EBITDA</t>
  </si>
  <si>
    <t>2017 Annual Guidance</t>
  </si>
  <si>
    <t>Data Center Sale Impact</t>
  </si>
  <si>
    <t>Avg of Low / Mid</t>
  </si>
  <si>
    <t>1x 1q17 Expense Tailwind</t>
  </si>
  <si>
    <t>Net Debt - 3Q17</t>
  </si>
  <si>
    <t>CTL.N,mscalc:fiscalYearEndMonth</t>
  </si>
  <si>
    <t>CTL.N,mscalc:lastActualYearAsPerYearEndCalc</t>
  </si>
  <si>
    <t>12</t>
  </si>
  <si>
    <t>2016</t>
  </si>
  <si>
    <t>CTL.N,mstag:statutoryTaxRate,2012FY,,FYE</t>
  </si>
  <si>
    <t>CTL.N,mstag:statutoryTaxRate,2019FY,,FYE</t>
  </si>
  <si>
    <t>CTL.N,mstag:statutoryTaxRate,2010FY,,FYE</t>
  </si>
  <si>
    <t>CTL.N,mstag:statutoryTaxRate,2022FY,,FYE</t>
  </si>
  <si>
    <t>CTL.N,mstag:statutoryTaxRate,2023FY,,FYE</t>
  </si>
  <si>
    <t>CTL.N,mstag:statutoryTaxRate,2017FY,,FYE</t>
  </si>
  <si>
    <t>CTL.N,mstag:statutoryTaxRate,2021FY,,FYE</t>
  </si>
  <si>
    <t>CTL.N,mstag:statutoryTaxRate,2011FY,,FYE</t>
  </si>
  <si>
    <t>CTL.N,mstag:statutoryTaxRate,2016FY,,FYE</t>
  </si>
  <si>
    <t>CTL.N,mstag:statutoryTaxRate,2020FY,,FYE</t>
  </si>
  <si>
    <t>CTL.N,mstag:statutoryTaxRate,2015FY,,FYE</t>
  </si>
  <si>
    <t>CTL.N,mstag:statutoryTaxRate,2014FY,,FYE</t>
  </si>
  <si>
    <t>CTL.N,mstag:statutoryTaxRate,2018FY,,FYE</t>
  </si>
  <si>
    <t>CTL.N,mstag:statutoryTaxRate,2025FY,,FYE</t>
  </si>
  <si>
    <t>CTL.N,mstag:statutoryTaxRate,2024FY,,FYE</t>
  </si>
  <si>
    <t>CTL.N,mstag:statutoryTaxRate,2009FY,,FYE</t>
  </si>
  <si>
    <t>CTL.N,mstag:statutoryTaxRate,2013FY,,FYE</t>
  </si>
  <si>
    <t>0.35</t>
  </si>
  <si>
    <t>CTL.N,mstag:averageDilutedSharesOutstanding,2024FY,,FYR</t>
  </si>
  <si>
    <t>CTL.N,mstag:averageDilutedSharesOutstanding,2018FY,,FYR</t>
  </si>
  <si>
    <t>CTL.N,mstag:averageDilutedSharesOutstanding,2016FY,,FYR</t>
  </si>
  <si>
    <t>CTL.N,mstag:averageDilutedSharesOutstanding,2015FY,,FYR</t>
  </si>
  <si>
    <t>CTL.N,mstag:averageDilutedSharesOutstanding,2014FY,,FYR</t>
  </si>
  <si>
    <t>CTL.N,mstag:averageDilutedSharesOutstanding,2012FY,,FYR</t>
  </si>
  <si>
    <t>CTL.N,mstag:averageDilutedSharesOutstanding,2013FY,,FYR</t>
  </si>
  <si>
    <t>CTL.N,mstag:averageDilutedSharesOutstanding,2009FY,,FYR</t>
  </si>
  <si>
    <t>CTL.N,mstag:averageDilutedSharesOutstanding,2025FY,,FYR</t>
  </si>
  <si>
    <t>CTL.N,mstag:averageDilutedSharesOutstanding,2020FY,,FYR</t>
  </si>
  <si>
    <t>CTL.N,mstag:averageDilutedSharesOutstanding,2017FY,,FYR</t>
  </si>
  <si>
    <t>CTL.N,mstag:averageDilutedSharesOutstanding,2021FY,,FYR</t>
  </si>
  <si>
    <t>CTL.N,mstag:averageDilutedSharesOutstanding,2023FY,,FYR</t>
  </si>
  <si>
    <t>CTL.N,mstag:averageDilutedSharesOutstanding,2019FY,,FYR</t>
  </si>
  <si>
    <t>CTL.N,mstag:averageDilutedSharesOutstanding,2010FY,,FYR</t>
  </si>
  <si>
    <t>CTL.N,mstag:averageDilutedSharesOutstanding,2011FY,,FYR</t>
  </si>
  <si>
    <t>CTL.N,mstag:averageDilutedSharesOutstanding,2022FY,,FYR</t>
  </si>
  <si>
    <t>$CT$2</t>
  </si>
  <si>
    <t>533.568381252767</t>
  </si>
  <si>
    <t>540.68475</t>
  </si>
  <si>
    <t>555.0935</t>
  </si>
  <si>
    <t>569.372</t>
  </si>
  <si>
    <t>601.91125</t>
  </si>
  <si>
    <t>524.714906263834</t>
  </si>
  <si>
    <t>542.272</t>
  </si>
  <si>
    <t>522.5015375166</t>
  </si>
  <si>
    <t>529.1416437583</t>
  </si>
  <si>
    <t>Average Beat/Miss (Last 8 quarters)</t>
  </si>
  <si>
    <t>MS Est.</t>
  </si>
  <si>
    <t>Copper Miles</t>
  </si>
  <si>
    <t>Fiber Miles</t>
  </si>
  <si>
    <t>New fiber miles</t>
  </si>
  <si>
    <t>Gross Fiber, Conduit PP&amp;E</t>
  </si>
  <si>
    <t>Fiber, Conduit PP&amp;E Gross Capex</t>
  </si>
  <si>
    <t>Per '16 10K</t>
  </si>
  <si>
    <t>Synergies</t>
  </si>
  <si>
    <t>Level 3 Margin</t>
  </si>
  <si>
    <t>CenturyLink Margin</t>
  </si>
  <si>
    <t>Pro forma Margin</t>
  </si>
  <si>
    <t>Incremental Margins</t>
  </si>
  <si>
    <t>NOL Balance</t>
  </si>
  <si>
    <t>LVLT Usage</t>
  </si>
  <si>
    <t>CTL Usage</t>
  </si>
  <si>
    <t>Pro forma adjustments</t>
  </si>
  <si>
    <t>CenturyLink Cost of services and products</t>
  </si>
  <si>
    <t>CTL SG&amp;A</t>
  </si>
  <si>
    <t>Level 3 SG&amp;A</t>
  </si>
  <si>
    <t>Level 3 Network Access Costs</t>
  </si>
  <si>
    <t>Total Cash Opex (Pre Synergy)</t>
  </si>
  <si>
    <t>Level 3 Network Related Expenses</t>
  </si>
  <si>
    <t>EBITDA (pre-synergies)</t>
  </si>
  <si>
    <t>EBITDA (post-synergies)</t>
  </si>
  <si>
    <t>Intercompany</t>
  </si>
  <si>
    <t>CTL Depreciation and amortization*</t>
  </si>
  <si>
    <t>LVLT Depreciation and amortization*</t>
  </si>
  <si>
    <t>D&amp;A Pro forma adjustments</t>
  </si>
  <si>
    <t>EBIT</t>
  </si>
  <si>
    <t>Non-recurring Opex</t>
  </si>
  <si>
    <t>Pretax Income</t>
  </si>
  <si>
    <t>tax</t>
  </si>
  <si>
    <t>effective rate</t>
  </si>
  <si>
    <t>statutory rate</t>
  </si>
  <si>
    <t>Total Shares Outstanding</t>
  </si>
  <si>
    <t>D&amp;A</t>
  </si>
  <si>
    <t>CTL Capex</t>
  </si>
  <si>
    <t>LVLT Capex</t>
  </si>
  <si>
    <t>% of total runrate</t>
  </si>
  <si>
    <t>FCF / share</t>
  </si>
  <si>
    <t>Dividend Payout Ratio</t>
  </si>
  <si>
    <t>usage</t>
  </si>
  <si>
    <t>NOL (EOP)</t>
  </si>
  <si>
    <t>NOL (BOP)</t>
  </si>
  <si>
    <t>FCF after dividend</t>
  </si>
  <si>
    <t>% capital intensity</t>
  </si>
  <si>
    <t>Total Cash Opex (Post Synergies)</t>
  </si>
  <si>
    <t>other2</t>
  </si>
  <si>
    <t>other3</t>
  </si>
  <si>
    <t>other4</t>
  </si>
  <si>
    <t>5 Year FCF CAGR</t>
  </si>
  <si>
    <t>Leverage</t>
  </si>
  <si>
    <t>Deferred Tax Benefit</t>
  </si>
  <si>
    <t>Other Current Assets</t>
  </si>
  <si>
    <t>Total Current Assets</t>
  </si>
  <si>
    <t>PP&amp;E Gross</t>
  </si>
  <si>
    <t>PP&amp;E Net</t>
  </si>
  <si>
    <t>Goodwill Net</t>
  </si>
  <si>
    <t>Current Debt</t>
  </si>
  <si>
    <t>Accrued Expenses and Other Liabilities</t>
  </si>
  <si>
    <t>Deferred Income Taxes &amp; Other</t>
  </si>
  <si>
    <t>Advanced Billings and Other Deposits</t>
  </si>
  <si>
    <t>Long-Term Debt</t>
  </si>
  <si>
    <t>Deferred Income Tax, Net</t>
  </si>
  <si>
    <t>BPO, Net</t>
  </si>
  <si>
    <t>Non-current Liabilities</t>
  </si>
  <si>
    <t>TOTAL LIABILITIES</t>
  </si>
  <si>
    <t>Preferred Stock</t>
  </si>
  <si>
    <t>Accumulated OCI</t>
  </si>
  <si>
    <t>Retained Earnings</t>
  </si>
  <si>
    <t>TOTAL LIABILITIES &amp; EQUITY</t>
  </si>
  <si>
    <t>Net Income (adj)</t>
  </si>
  <si>
    <t>Net Income Adjustments</t>
  </si>
  <si>
    <t>Integration Expense (after tax)</t>
  </si>
  <si>
    <t>Incremental GAAP D&amp;A (after tax)</t>
  </si>
  <si>
    <t>GAAP Net Income</t>
  </si>
  <si>
    <t>GAAP D&amp;A</t>
  </si>
  <si>
    <t>Adjusted D&amp;A</t>
  </si>
  <si>
    <t>Other D&amp;A</t>
  </si>
  <si>
    <t>Total GAAP D&amp;A</t>
  </si>
  <si>
    <t>Working Capital Impact</t>
  </si>
  <si>
    <t>SBC</t>
  </si>
  <si>
    <t>CFI</t>
  </si>
  <si>
    <t>CFF</t>
  </si>
  <si>
    <t>Cash (BOP)</t>
  </si>
  <si>
    <t>Change in Cash</t>
  </si>
  <si>
    <t>Cash (EOP)</t>
  </si>
  <si>
    <t>Equity</t>
  </si>
  <si>
    <t>Cost of Services, Network, Products</t>
  </si>
  <si>
    <t>CFS</t>
  </si>
  <si>
    <t>Average Stock Price</t>
  </si>
  <si>
    <t>Stock Options</t>
  </si>
  <si>
    <t>Stock Repurchases</t>
  </si>
  <si>
    <t>Total Debt</t>
  </si>
  <si>
    <t>Average Interest Cost</t>
  </si>
  <si>
    <t>Stock price return</t>
  </si>
  <si>
    <t>Issuance (repayments) of debt</t>
  </si>
  <si>
    <t>Issuance (repurchases) of common stock</t>
  </si>
  <si>
    <t>2030 Stock Price (12.5x FCF/share)</t>
  </si>
  <si>
    <t>tax rate</t>
  </si>
  <si>
    <t>NOPAT</t>
  </si>
  <si>
    <t>Average Debt</t>
  </si>
  <si>
    <t>Average Equity</t>
  </si>
  <si>
    <t>Average Cash</t>
  </si>
  <si>
    <t>Average Invested Capital</t>
  </si>
  <si>
    <t>Levered FCF</t>
  </si>
  <si>
    <t>Sales Turnover</t>
  </si>
  <si>
    <t>Net Income Margin</t>
  </si>
  <si>
    <t>Incremental Revenue</t>
  </si>
  <si>
    <t>Incremental EBITDA</t>
  </si>
  <si>
    <t>SBC as % of revenue</t>
  </si>
  <si>
    <t>Levered FCF/share</t>
  </si>
  <si>
    <t>Fiscal Year</t>
  </si>
  <si>
    <t>2001A</t>
  </si>
  <si>
    <t>2002A</t>
  </si>
  <si>
    <t>2003A</t>
  </si>
  <si>
    <t>2004A</t>
  </si>
  <si>
    <t>2005A</t>
  </si>
  <si>
    <t>2006A</t>
  </si>
  <si>
    <t>2007A</t>
  </si>
  <si>
    <t>2008A</t>
  </si>
  <si>
    <t>2009A</t>
  </si>
  <si>
    <t>2010A</t>
  </si>
  <si>
    <t>2011A</t>
  </si>
  <si>
    <t>2012A</t>
  </si>
  <si>
    <t>Fiscal Year ending Dec. 31</t>
  </si>
  <si>
    <t>2022E</t>
  </si>
  <si>
    <t>2023E</t>
  </si>
  <si>
    <t>2024E</t>
  </si>
  <si>
    <t>2025E</t>
  </si>
  <si>
    <t>2026E</t>
  </si>
  <si>
    <t>1Q01</t>
  </si>
  <si>
    <t>2Q01</t>
  </si>
  <si>
    <t>3Q01</t>
  </si>
  <si>
    <t>4Q01</t>
  </si>
  <si>
    <t>Core Network Services (CNS)</t>
  </si>
  <si>
    <t>North America</t>
  </si>
  <si>
    <t>Latin America</t>
  </si>
  <si>
    <t>EMEA</t>
  </si>
  <si>
    <t>UK Government</t>
  </si>
  <si>
    <t>Total (CNS)</t>
  </si>
  <si>
    <t>% Y/Y</t>
  </si>
  <si>
    <t>% Q/Q</t>
  </si>
  <si>
    <t>Total CNS</t>
  </si>
  <si>
    <t>Wholesale Voice Services and Other</t>
  </si>
  <si>
    <t>Churn - CNS revenue (monthly)</t>
  </si>
  <si>
    <t>Employees - Total</t>
  </si>
  <si>
    <t>Salesforce - Quota-bearing headcount</t>
  </si>
  <si>
    <t>Customers - Total</t>
  </si>
  <si>
    <t>% Customers - Enterprise</t>
  </si>
  <si>
    <t>% Customers - Wholesale</t>
  </si>
  <si>
    <t>Building</t>
  </si>
  <si>
    <t>% Building - North America</t>
  </si>
  <si>
    <t>% Building - EMEA</t>
  </si>
  <si>
    <t>% Building - Latin America</t>
  </si>
  <si>
    <t>TWTC Rev. Split</t>
  </si>
  <si>
    <t>% wholesale</t>
  </si>
  <si>
    <t>% enterprise</t>
  </si>
  <si>
    <t xml:space="preserve">Intercompany revenues </t>
  </si>
  <si>
    <t>By Products</t>
  </si>
  <si>
    <t>Colocation and Datacenter Services</t>
  </si>
  <si>
    <t>Transport and Fiber</t>
  </si>
  <si>
    <t>IP and Data Services</t>
  </si>
  <si>
    <t>Voice Services</t>
  </si>
  <si>
    <t>Reported Revenues (%Y/Y)</t>
  </si>
  <si>
    <t>Constant FX (% Y/Y)</t>
  </si>
  <si>
    <t>UK government</t>
  </si>
  <si>
    <t>Constant FX (% Q/Q)</t>
  </si>
  <si>
    <t>FX (%Y/Y)</t>
  </si>
  <si>
    <t>FX (% exposure of regional revenues)</t>
  </si>
  <si>
    <t>EUR (of EMEA)</t>
  </si>
  <si>
    <t>GBP (of EMEA)</t>
  </si>
  <si>
    <t>BRL (of LatAm)</t>
  </si>
  <si>
    <t>10x forward FCF (stock px)</t>
  </si>
  <si>
    <t>LVLT Revenue</t>
  </si>
  <si>
    <t>Wholesale Voice (legacy)</t>
  </si>
  <si>
    <t>CenturyLink Strategic</t>
  </si>
  <si>
    <t>CenturyLink Legacy</t>
  </si>
  <si>
    <t>Other Services</t>
  </si>
  <si>
    <t>CTL Revenue</t>
  </si>
  <si>
    <t>% LVLT</t>
  </si>
  <si>
    <t>% CTL</t>
  </si>
  <si>
    <t>% Strategic</t>
  </si>
  <si>
    <t>% Legacy</t>
  </si>
  <si>
    <t>% Other</t>
  </si>
  <si>
    <t>REVENUE BREAK DOWN</t>
  </si>
  <si>
    <t>DUPONT</t>
  </si>
  <si>
    <t>INCREMENTAL MARGINS</t>
  </si>
  <si>
    <t>Fiber/conduit as % of total</t>
  </si>
  <si>
    <t>Capex / mile built ($m)</t>
  </si>
  <si>
    <t>Diff.</t>
  </si>
  <si>
    <t>SBC + Other</t>
  </si>
  <si>
    <t>EV Calculation</t>
  </si>
  <si>
    <t>Shares Outstanding</t>
  </si>
  <si>
    <t>Market Cap</t>
  </si>
  <si>
    <t>Debt</t>
  </si>
  <si>
    <t>EV/EBITDA</t>
  </si>
  <si>
    <t>CNS (enterprise)</t>
  </si>
  <si>
    <t>CNS (wholesale)</t>
  </si>
  <si>
    <t>Severance</t>
  </si>
  <si>
    <t>Integration Costs</t>
  </si>
  <si>
    <t>Other Cash Opex Adjustments</t>
  </si>
  <si>
    <t>Acquisition Amortization</t>
  </si>
  <si>
    <t>Pro forma D&amp;A</t>
  </si>
  <si>
    <t>Special Items (net of tax)</t>
  </si>
  <si>
    <t>Tax Adjustment for over depreciated assets</t>
  </si>
  <si>
    <t>Adj. Net Income</t>
  </si>
  <si>
    <t>Restricted Cash</t>
  </si>
  <si>
    <t>CenturyLink Escrow LLC, Term Loan B</t>
  </si>
  <si>
    <t>Adj. EPS</t>
  </si>
  <si>
    <t>Restricted Cash Restatement</t>
  </si>
  <si>
    <t>Level 3 2018 Stand alone EBITDA</t>
  </si>
  <si>
    <t>EBITDA Multiple</t>
  </si>
  <si>
    <t>Level 3 EV</t>
  </si>
  <si>
    <t>Pro forma EV (@ $19.50 CTL stock price)</t>
  </si>
  <si>
    <t>CTL implied EV</t>
  </si>
  <si>
    <t>Pro forma 2018 EBITDA</t>
  </si>
  <si>
    <t>Implied CTL EBITDA (including synergies)</t>
  </si>
  <si>
    <t>Implied CTL Stand-alone EBITDA</t>
  </si>
  <si>
    <t>GAAP EPS</t>
  </si>
  <si>
    <t>2017-2020 CAGR</t>
  </si>
  <si>
    <t>Total Net Debt</t>
  </si>
  <si>
    <t>3Q17</t>
  </si>
  <si>
    <t>CoS</t>
  </si>
  <si>
    <t>Core Cash Opex</t>
  </si>
  <si>
    <t>Adj EBITDA</t>
  </si>
  <si>
    <t>CENTURYLINK</t>
  </si>
  <si>
    <t>CENTURYLINK CONSUMER</t>
  </si>
  <si>
    <t>CENTURYLINK BUSINESS</t>
  </si>
  <si>
    <t>LEVEL 3</t>
  </si>
  <si>
    <t>Voice Services &amp; Other</t>
  </si>
  <si>
    <t>Total Level 3</t>
  </si>
  <si>
    <t>Cash Opex Adjustments</t>
  </si>
  <si>
    <t>CTL Adj. EBITDA</t>
  </si>
  <si>
    <t>margins</t>
  </si>
  <si>
    <t>Acquisition &amp; Integration</t>
  </si>
  <si>
    <t>Network Access Costs</t>
  </si>
  <si>
    <t>Network Related Expenses</t>
  </si>
  <si>
    <t>Adj. EBITDA (ex integration)</t>
  </si>
  <si>
    <t>Adj. EBITDA (inc. SBC)</t>
  </si>
  <si>
    <t>Core Cash Opex (CTL version)</t>
  </si>
  <si>
    <t>CTL Adj. EBITDA (ex SBC)</t>
  </si>
  <si>
    <t>Total Adj EBITDA (ex SBC)</t>
  </si>
  <si>
    <t>Total Adj EBITDA (inc. SBC)</t>
  </si>
  <si>
    <t>Level 3 Debt</t>
  </si>
  <si>
    <t>CenturyLink Costs</t>
  </si>
  <si>
    <t>Level 3 Costs</t>
  </si>
  <si>
    <t>% of Revenue</t>
  </si>
  <si>
    <t>Q/Q Change</t>
  </si>
  <si>
    <t>ADJUSTMENT FOR PARTIAL 4Q17</t>
  </si>
  <si>
    <t>1Q18E</t>
  </si>
  <si>
    <t>2Q18E</t>
  </si>
  <si>
    <t>3Q18E</t>
  </si>
  <si>
    <t>4Q18E</t>
  </si>
  <si>
    <t>GAAP Capex</t>
  </si>
  <si>
    <t>Capex Adjustments (for Reported FCF)</t>
  </si>
  <si>
    <t>CENTURYLINK SEGMENT DETAILS</t>
  </si>
  <si>
    <t>% Annualized Run rate</t>
  </si>
  <si>
    <t>Network</t>
  </si>
  <si>
    <t>Annualized</t>
  </si>
  <si>
    <t>% of Target</t>
  </si>
  <si>
    <t>Adj. EBITDA (post synergies)</t>
  </si>
  <si>
    <t>Y/Y GROWTH</t>
  </si>
  <si>
    <t>Interest Expense (reported)</t>
  </si>
  <si>
    <t>Interest rate (LTM average)</t>
  </si>
  <si>
    <t>'19 EV/EBITDA</t>
  </si>
  <si>
    <t>'20 EV/EBITDA</t>
  </si>
  <si>
    <t>'19 P/E</t>
  </si>
  <si>
    <t>'20 P/E</t>
  </si>
  <si>
    <t>'19 FCF Yield</t>
  </si>
  <si>
    <t>'20 FCF Yield</t>
  </si>
  <si>
    <t>LEVEL 3 4Q17 Partial</t>
  </si>
  <si>
    <t>Adjuted EBITDA for 4Q17</t>
  </si>
  <si>
    <t>Cash Tax Savings</t>
  </si>
  <si>
    <t>CAGR
'18 - '23</t>
  </si>
  <si>
    <t>Total EBITDA (pre synergy)</t>
  </si>
  <si>
    <t>Total EBITDA (post) synergy)</t>
  </si>
  <si>
    <t>21.6000003814697</t>
  </si>
  <si>
    <t>4Q17</t>
  </si>
  <si>
    <t>EURUSD</t>
  </si>
  <si>
    <t>GBPUSD</t>
  </si>
  <si>
    <t>JPYUSD</t>
  </si>
  <si>
    <t>SGDUSD</t>
  </si>
  <si>
    <t>AUDUSD</t>
  </si>
  <si>
    <t>HKDUSD</t>
  </si>
  <si>
    <t>INRUSD</t>
  </si>
  <si>
    <t>BRLUSD</t>
  </si>
  <si>
    <t>MXNUSD</t>
  </si>
  <si>
    <t>CADUSD</t>
  </si>
  <si>
    <t>CLPUSD</t>
  </si>
  <si>
    <t>COPUSD</t>
  </si>
  <si>
    <t>PENUSD</t>
  </si>
  <si>
    <t>ZARUSD</t>
  </si>
  <si>
    <t>GHSUSD</t>
  </si>
  <si>
    <t>UGXUSD</t>
  </si>
  <si>
    <t>ARSUSD</t>
  </si>
  <si>
    <t>CHFUSD</t>
  </si>
  <si>
    <t>Exposure</t>
  </si>
  <si>
    <t>Actual Avg</t>
  </si>
  <si>
    <t>MSe</t>
  </si>
  <si>
    <t xml:space="preserve">As of </t>
  </si>
  <si>
    <t>Regulatory</t>
  </si>
  <si>
    <t>SMB</t>
  </si>
  <si>
    <t>International</t>
  </si>
  <si>
    <t>IP &amp; Data Services</t>
  </si>
  <si>
    <t>Transport &amp; Infrastructure</t>
  </si>
  <si>
    <t>Voice &amp; Collaboration</t>
  </si>
  <si>
    <t>IT &amp; Managed Services</t>
  </si>
  <si>
    <t>2017</t>
  </si>
  <si>
    <t>Incremental Synergy Benefit</t>
  </si>
  <si>
    <t>Adj EBITDA pre synergy</t>
  </si>
  <si>
    <t>Period Synergy Benefit</t>
  </si>
  <si>
    <t>Misc</t>
  </si>
  <si>
    <t>PERCENT OF REVENUE</t>
  </si>
  <si>
    <t>Y/Y (Q/Q) GROWTH</t>
  </si>
  <si>
    <t>REVENUE BY BUSINESS UNIT</t>
  </si>
  <si>
    <t>REVENUE BY PRODUCT</t>
  </si>
  <si>
    <t>REVENUE BY CUSTOMER</t>
  </si>
  <si>
    <t xml:space="preserve"> + Pension / OPEB (50%)</t>
  </si>
  <si>
    <t>Q/Q GROWTH (Revenue Product / Customer)</t>
  </si>
  <si>
    <t>Y/Y GROWTH (Revenue Product / Customer)</t>
  </si>
  <si>
    <t>PERIOD/PERIOD GROWTH ($M)</t>
  </si>
  <si>
    <t>MSA10787</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</si>
  <si>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</si>
  <si>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</si>
  <si>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</si>
  <si>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</si>
  <si>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</si>
  <si>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</si>
  <si>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</si>
  <si>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</si>
  <si>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Simon Flannery</t>
  </si>
  <si>
    <t>Date: 19 Mar 2018</t>
  </si>
  <si>
    <t>Ticker: CTL.N</t>
  </si>
  <si>
    <t>Stock Rating: Overweight</t>
  </si>
  <si>
    <t>Industry: Telecom Services</t>
  </si>
  <si>
    <t>Industry View: Cautious</t>
  </si>
  <si>
    <t>Price as of 19 Mar 2018: 17.14</t>
  </si>
  <si>
    <t>Target Price: 21.6000003814697</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</si>
  <si>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</si>
  <si>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</si>
  <si>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</si>
  <si>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CenturyLink, Inc..</t>
  </si>
  <si>
    <t>STOCK RATINGS</t>
  </si>
  <si>
    <t>Global Stock Ratings Distribution</t>
  </si>
  <si>
    <t>(as of February 28,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</si>
  <si>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</si>
  <si>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</si>
  <si>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</si>
  <si>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</si>
  <si>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</si>
  <si>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</si>
  <si>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</si>
  <si>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</si>
  <si>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</si>
  <si>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</si>
  <si>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</si>
  <si>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</si>
  <si>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</si>
  <si>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</si>
  <si>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</si>
  <si>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</si>
  <si>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</si>
  <si>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</si>
  <si>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</si>
  <si>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</si>
  <si>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</si>
  <si>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</si>
  <si>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</si>
  <si>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</si>
  <si>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</si>
  <si>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</si>
  <si>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</si>
  <si>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</si>
  <si>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</si>
  <si>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</si>
  <si>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</si>
  <si>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</si>
  <si>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</si>
  <si>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</si>
  <si>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</si>
  <si>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</si>
  <si>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</si>
  <si>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</si>
  <si>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</si>
  <si>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</si>
  <si>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</si>
  <si>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</si>
  <si>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</si>
  <si>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</si>
  <si>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</si>
  <si>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</si>
  <si>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</si>
  <si>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</si>
  <si>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</si>
  <si>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</si>
  <si>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</si>
  <si>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</si>
  <si>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</si>
  <si>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</si>
  <si>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</si>
  <si>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</si>
  <si>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</si>
  <si>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</si>
  <si>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</si>
  <si>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</si>
  <si>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</si>
  <si>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</si>
  <si>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</si>
  <si>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</si>
  <si>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</si>
  <si>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</si>
  <si>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</si>
  <si>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</si>
  <si>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</si>
  <si>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</si>
  <si>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</si>
  <si>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</si>
  <si>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</si>
  <si>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</si>
  <si>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</si>
  <si>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</si>
  <si>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</si>
  <si>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</si>
  <si>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</si>
  <si>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</si>
  <si>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</si>
  <si>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</si>
  <si>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</si>
  <si>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</si>
  <si>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</si>
  <si>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</si>
  <si>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</si>
  <si>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</si>
  <si>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</si>
  <si>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</si>
  <si>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</si>
  <si>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</si>
  <si>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</si>
  <si>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</si>
  <si>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</si>
  <si>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</si>
  <si>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</si>
  <si>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</si>
  <si>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</si>
  <si>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</si>
  <si>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</si>
  <si>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</si>
  <si>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</si>
  <si>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</si>
  <si>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</si>
  <si>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</si>
  <si>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</si>
  <si>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</si>
  <si>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</si>
  <si>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</si>
  <si>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</si>
  <si>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</si>
  <si>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</si>
  <si>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</si>
  <si>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</si>
  <si>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</si>
  <si>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</si>
  <si>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</si>
  <si>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</si>
  <si>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</si>
  <si>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</si>
  <si>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</si>
  <si>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</si>
  <si>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</si>
  <si>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</si>
  <si>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</si>
  <si>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</si>
  <si>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</si>
  <si>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</si>
  <si>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</si>
  <si>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</si>
  <si>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</si>
  <si>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</si>
  <si>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</si>
  <si>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</si>
  <si>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</si>
  <si>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</si>
  <si>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</si>
  <si>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</si>
  <si>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</si>
  <si>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</si>
  <si>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</si>
  <si>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</si>
  <si>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</si>
  <si>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</si>
  <si>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</si>
  <si>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</si>
  <si>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</si>
  <si>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</si>
  <si>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</si>
  <si>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</si>
  <si>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</si>
  <si>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</si>
  <si>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</si>
  <si>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</si>
  <si>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</si>
  <si>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</si>
  <si>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</si>
  <si>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</si>
  <si>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</si>
  <si>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</si>
  <si>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</si>
  <si>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</si>
  <si>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</si>
  <si>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</si>
  <si>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</si>
  <si>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</si>
  <si>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</si>
  <si>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</si>
  <si>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</si>
  <si>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</si>
  <si>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</si>
  <si>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CenturyLink,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</si>
  <si>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</si>
  <si>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</si>
  <si>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</si>
  <si>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</si>
  <si>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</si>
  <si>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</si>
  <si>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</si>
  <si>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</si>
  <si>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</si>
  <si>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</si>
  <si>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</si>
  <si>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</si>
  <si>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</si>
  <si>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</si>
  <si>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</si>
  <si>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</si>
  <si>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</si>
  <si>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</si>
  <si>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</si>
  <si>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</si>
  <si>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</si>
  <si>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</si>
  <si>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</si>
  <si>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</si>
  <si>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</si>
  <si>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</si>
  <si>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</si>
  <si>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</si>
  <si>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</si>
  <si>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</si>
  <si>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</si>
  <si>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</si>
  <si>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</si>
  <si>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</si>
  <si>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</si>
  <si>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</si>
  <si>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</si>
  <si>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</si>
  <si>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</si>
  <si>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</si>
  <si>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</si>
  <si>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</si>
  <si>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</si>
  <si>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</si>
  <si>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</si>
  <si>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</si>
  <si>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</si>
  <si>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</si>
  <si>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</si>
  <si>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</si>
  <si>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</si>
  <si>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</si>
  <si>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</si>
  <si>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</si>
  <si>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</si>
  <si>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</si>
  <si>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</si>
  <si>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</si>
  <si>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</si>
  <si>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</si>
  <si>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</si>
  <si>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</si>
  <si>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</si>
  <si>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</si>
  <si>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</si>
  <si>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</si>
  <si>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</si>
  <si>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</si>
  <si>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CenturyLink, Inc..</t>
  </si>
  <si>
    <t>Within the last 12 months, Morgan Stanley has provided or is providing investment banking services to,</t>
  </si>
  <si>
    <t>or has an investment banking client relationship with, the following company: CenturyLink, Inc..</t>
  </si>
  <si>
    <t>Within the last 12 months, Morgan Stanley has received compensation for products and services other than</t>
  </si>
  <si>
    <t>investment banking services from CenturyLink, Inc..</t>
  </si>
  <si>
    <t>In the next 3 months, Morgan Stanley expects to receive or intends to seek compensation for investment</t>
  </si>
  <si>
    <t>banking services from CenturyLink, Inc..</t>
  </si>
  <si>
    <t>Within the last 12 months, Morgan Stanley has received compensation for investment banking services from</t>
  </si>
  <si>
    <t>CenturyLink, Inc..</t>
  </si>
  <si>
    <t>Within the last 12 months, Morgan Stanley managed or co-managed a public offering (or 144A offering) of</t>
  </si>
  <si>
    <t>securities of CenturyLink, Inc..</t>
  </si>
  <si>
    <t>As of February 28, 2018, Morgan Stanley beneficially owned 1% or more of a class of common equity</t>
  </si>
  <si>
    <t>securities of the following companies covered in Morgan Stanley Research: CenturyLink,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</si>
  <si>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</si>
  <si>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</si>
  <si>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</si>
  <si>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</si>
  <si>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</si>
  <si>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Simon Flannery.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</si>
  <si>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</si>
  <si>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</si>
  <si>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</si>
  <si>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</si>
  <si>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</si>
  <si>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</si>
  <si>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</si>
  <si>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</si>
  <si>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</si>
  <si>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</si>
  <si>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</si>
  <si>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</si>
  <si>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</si>
  <si>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</si>
  <si>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</si>
  <si>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</si>
  <si>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</si>
  <si>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</si>
  <si>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</si>
  <si>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</si>
  <si>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</si>
  <si>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</si>
  <si>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</si>
  <si>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</si>
  <si>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</si>
  <si>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</si>
  <si>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</si>
  <si>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</si>
  <si>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</si>
  <si>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</si>
  <si>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</si>
  <si>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</si>
  <si>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</si>
  <si>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</si>
  <si>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</si>
  <si>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</si>
  <si>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</si>
  <si>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</si>
  <si>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</si>
  <si>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</si>
  <si>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</si>
  <si>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</si>
  <si>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</si>
  <si>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</si>
  <si>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</si>
  <si>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</si>
  <si>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</si>
  <si>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</si>
  <si>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</si>
  <si>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</si>
  <si>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</si>
  <si>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</si>
  <si>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</si>
  <si>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</si>
  <si>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</si>
  <si>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</si>
  <si>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</si>
  <si>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</si>
  <si>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</si>
  <si>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</si>
  <si>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</si>
  <si>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</si>
  <si>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</si>
  <si>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</si>
  <si>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</si>
  <si>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</si>
  <si>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</si>
  <si>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</si>
  <si>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Cautious</t>
  </si>
  <si>
    <t>Regular Update</t>
  </si>
  <si>
    <t>NorthAmerica</t>
  </si>
  <si>
    <t>spencerg</t>
  </si>
  <si>
    <t>L:\ER13\Independent_Rural Telcos\CTL\Models\CTL_4q17_pending_2018.xlsm</t>
  </si>
  <si>
    <t>[BRO MSA]</t>
  </si>
  <si>
    <t>[PRODUCT MODEL]</t>
  </si>
  <si>
    <t>[EMAIL_ALERT YES]</t>
  </si>
  <si>
    <t>[DISCIPLINE Company]</t>
  </si>
  <si>
    <t>[SUPPRESSED NO]</t>
  </si>
  <si>
    <t>[DOCDAT 2018-03-19]</t>
  </si>
  <si>
    <t>[DOCTIME 09:44]</t>
  </si>
  <si>
    <t>[PSYM CTL.N(S&amp;P) (None)]</t>
  </si>
  <si>
    <t>[COU 1]</t>
  </si>
  <si>
    <t>[ANA ]</t>
  </si>
  <si>
    <t>[HL CTL.N Model]</t>
  </si>
  <si>
    <t>[IND UTITEL DIVTEC TELEPH]</t>
  </si>
  <si>
    <t>[PANA MSA10787]</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</si>
  <si>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</si>
  <si>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</si>
  <si>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</si>
  <si>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</si>
  <si>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</si>
  <si>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</si>
  <si>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</si>
  <si>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Morgan Stanley is acting as financial advisor to CenturyLink, Inc. in connection with its sale of certain assets to Syringa Networks, as announced on March 13, 2018. The sale is subject to governmental approvals, including the Federal Communications Commission, along with other customary closing conditions. Please refer to the notes at the end of this report.</t>
  </si>
  <si>
    <t>Morgan Stanley is acting as financial advisor to CenturyLink, Inc. in connection with its sale of certain assets to Unite Private Networks, as announced on March 14, 2018. The sale is subject to governmental approvals, including the Federal Communications Commission, along with other customary closing conditions. Please refer to the notes at the end of this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</si>
</sst>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 numFmtId="166" formatCode="&quot;$&quot;#,##0.00"/>
    <numFmt numFmtId="167" formatCode="_(* #,##0_);_(* \(#,##0\);_(* &quot;-&quot;??_);_(@_)"/>
    <numFmt numFmtId="168" formatCode="0.0"/>
    <numFmt numFmtId="169" formatCode="#,##0;\(#,##0\)"/>
    <numFmt numFmtId="170" formatCode="#,##0.0_);\(#,##0.0\)"/>
    <numFmt numFmtId="171" formatCode="General_)"/>
    <numFmt numFmtId="172" formatCode="0.0%&quot; &quot;;&quot;(&quot;0.0%&quot;)&quot;"/>
    <numFmt numFmtId="173" formatCode="#,##0.000"/>
    <numFmt numFmtId="174" formatCode="0.0\x"/>
    <numFmt numFmtId="175" formatCode="0_);\(0\)"/>
    <numFmt numFmtId="176" formatCode="0.0%_);\(0.0%\);&quot;–&quot;_)"/>
    <numFmt numFmtId="177" formatCode="0.0_);\(0.0\)"/>
    <numFmt numFmtId="178" formatCode="&quot;$&quot;#,##0.0_);[Red]\(&quot;$&quot;#,##0.0\)"/>
    <numFmt numFmtId="179" formatCode="0&quot;E&quot;"/>
    <numFmt numFmtId="180" formatCode="#,##0.00000_);\(#,##0.00000\)"/>
    <numFmt numFmtId="181" formatCode="&quot;$&quot;#,##0.0000_);\(&quot;$&quot;#,##0.0000\)"/>
    <numFmt numFmtId="182" formatCode="&quot;$&quot;#,##0.0_);\(&quot;$&quot;#,##0.0\)"/>
    <numFmt numFmtId="183" formatCode="m/d/yy;@"/>
    <numFmt numFmtId="184" formatCode="#,##0.000_);\(#,##0.000\)"/>
    <numFmt numFmtId="185" formatCode="mm/dd/yy\ hh:mm"/>
  </numFmts>
  <fonts count="251">
    <font>
      <sz val="10"/>
      <name val="Arial"/>
      <family val="2"/>
    </font>
    <font>
      <sz val="10"/>
      <name val="Arial"/>
      <family val="2"/>
    </font>
    <font>
      <sz val="10"/>
      <name val="Arial"/>
      <family val="2"/>
    </font>
    <font>
      <sz val="10"/>
      <name val="Times New Roman"/>
      <family val="1"/>
    </font>
    <font>
      <sz val="10"/>
      <name val="MS Sans Serif"/>
      <family val="2"/>
    </font>
    <font>
      <b/>
      <sz val="10"/>
      <color indexed="8"/>
      <name val="Times New Roman"/>
      <family val="1"/>
    </font>
    <font>
      <b/>
      <sz val="10"/>
      <color indexed="8"/>
      <name val="Times New Roman"/>
      <family val="1"/>
    </font>
    <font>
      <sz val="8"/>
      <name val="Arial"/>
      <family val="2"/>
    </font>
    <font>
      <sz val="10"/>
      <color indexed="18"/>
      <name val="Times New Roman"/>
      <family val="1"/>
    </font>
    <font>
      <b/>
      <sz val="10"/>
      <name val="Arial"/>
      <family val="2"/>
    </font>
    <font>
      <b/>
      <sz val="8"/>
      <name val="Arial"/>
      <family val="2"/>
    </font>
    <font>
      <sz val="8"/>
      <color indexed="8"/>
      <name val="Times New Roman"/>
      <family val="1"/>
    </font>
    <font>
      <sz val="9"/>
      <name val="Times New Roman"/>
      <family val="1"/>
    </font>
    <font>
      <sz val="10"/>
      <color indexed="8"/>
      <name val="Arial"/>
      <family val="2"/>
    </font>
    <font>
      <sz val="10"/>
      <color indexed="12"/>
      <name val="Arial"/>
      <family val="2"/>
    </font>
    <font>
      <u/>
      <sz val="7.5"/>
      <color indexed="12"/>
      <name val="Courier"/>
      <family val="3"/>
    </font>
    <font>
      <sz val="10"/>
      <color indexed="12"/>
      <name val="Times New Roman"/>
      <family val="1"/>
    </font>
    <font>
      <b/>
      <i/>
      <sz val="12"/>
      <name val="Times New Roman"/>
      <family val="1"/>
    </font>
    <font>
      <sz val="10"/>
      <color indexed="8"/>
      <name val="Times New Roman"/>
      <family val="1"/>
    </font>
    <font>
      <sz val="10"/>
      <color indexed="8"/>
      <name val="Times New Roman"/>
      <family val="1"/>
    </font>
    <font>
      <i/>
      <sz val="8"/>
      <name val="Times New Roman"/>
      <family val="1"/>
    </font>
    <font>
      <sz val="8"/>
      <name val="Arial"/>
      <family val="2"/>
    </font>
    <font>
      <b/>
      <sz val="10"/>
      <color indexed="8"/>
      <name val="Arial"/>
      <family val="2"/>
    </font>
    <font>
      <b/>
      <sz val="10"/>
      <color indexed="12"/>
      <name val="Arial"/>
      <family val="2"/>
    </font>
    <font>
      <i/>
      <sz val="10"/>
      <name val="Arial"/>
      <family val="2"/>
    </font>
    <font>
      <b/>
      <sz val="10"/>
      <color indexed="9"/>
      <name val="Arial"/>
      <family val="2"/>
    </font>
    <font>
      <sz val="10"/>
      <color indexed="9"/>
      <name val="Arial"/>
      <family val="2"/>
    </font>
    <font>
      <sz val="10"/>
      <color indexed="10"/>
      <name val="Arial"/>
      <family val="2"/>
    </font>
    <font>
      <b/>
      <sz val="8"/>
      <color indexed="81"/>
      <name val="Tahoma"/>
      <family val="2"/>
    </font>
    <font>
      <sz val="8"/>
      <color indexed="81"/>
      <name val="Tahoma"/>
      <family val="2"/>
    </font>
    <font>
      <b/>
      <sz val="10"/>
      <name val="Times New Roman"/>
      <family val="1"/>
    </font>
    <font>
      <i/>
      <sz val="10"/>
      <name val="Times New Roman"/>
      <family val="1"/>
    </font>
    <font>
      <b/>
      <sz val="10"/>
      <color indexed="12"/>
      <name val="Times New Roman"/>
      <family val="1"/>
    </font>
    <font>
      <b/>
      <sz val="10"/>
      <name val="Times New Roman"/>
      <family val="1"/>
    </font>
    <font>
      <sz val="10"/>
      <name val="Times New Roman"/>
      <family val="1"/>
    </font>
    <font>
      <sz val="10"/>
      <color indexed="12"/>
      <name val="Times New Roman"/>
      <family val="1"/>
    </font>
    <font>
      <sz val="10"/>
      <color indexed="10"/>
      <name val="Times New Roman"/>
      <family val="1"/>
    </font>
    <font>
      <sz val="10"/>
      <color indexed="12"/>
      <name val="Arial"/>
      <family val="2"/>
    </font>
    <font>
      <b/>
      <i/>
      <sz val="10"/>
      <name val="Times New Roman"/>
      <family val="1"/>
    </font>
    <font>
      <b/>
      <sz val="10"/>
      <name val="Arial"/>
      <family val="2"/>
    </font>
    <font>
      <b/>
      <i/>
      <sz val="10"/>
      <name val="Arial"/>
      <family val="2"/>
    </font>
    <font>
      <sz val="12"/>
      <name val="Arial"/>
      <family val="2"/>
    </font>
    <font>
      <i/>
      <sz val="10"/>
      <color indexed="9"/>
      <name val="Arial"/>
      <family val="2"/>
    </font>
    <font>
      <u/>
      <sz val="10"/>
      <color indexed="12"/>
      <name val="Arial"/>
      <family val="2"/>
    </font>
    <font>
      <u/>
      <sz val="10"/>
      <name val="Arial"/>
      <family val="2"/>
    </font>
    <font>
      <b/>
      <u val="doubleAccounting"/>
      <sz val="10"/>
      <name val="Arial"/>
      <family val="2"/>
    </font>
    <font>
      <b/>
      <sz val="10"/>
      <color indexed="10"/>
      <name val="Arial"/>
      <family val="2"/>
    </font>
    <font>
      <sz val="10"/>
      <color indexed="18"/>
      <name val="Arial"/>
      <family val="2"/>
    </font>
    <font>
      <sz val="10"/>
      <color indexed="14"/>
      <name val="Arial"/>
      <family val="2"/>
    </font>
    <font>
      <b/>
      <u/>
      <sz val="10"/>
      <name val="Times New Roman"/>
      <family val="1"/>
    </font>
    <font>
      <i/>
      <sz val="10"/>
      <color indexed="12"/>
      <name val="Times New Roman"/>
      <family val="1"/>
    </font>
    <font>
      <b/>
      <i/>
      <sz val="10"/>
      <color indexed="12"/>
      <name val="Times New Roman"/>
      <family val="1"/>
    </font>
    <font>
      <sz val="10"/>
      <color indexed="10"/>
      <name val="Times New Roman"/>
      <family val="1"/>
    </font>
    <font>
      <sz val="1"/>
      <color indexed="8"/>
      <name val="Times New Roman"/>
      <family val="1"/>
    </font>
    <font>
      <sz val="1"/>
      <name val="Arial"/>
      <family val="2"/>
    </font>
    <font>
      <b/>
      <i/>
      <u/>
      <sz val="10"/>
      <color indexed="8"/>
      <name val="Times New Roman"/>
      <family val="1"/>
    </font>
    <font>
      <b/>
      <sz val="8"/>
      <color indexed="8"/>
      <name val="Times New Roman"/>
      <family val="1"/>
    </font>
    <font>
      <b/>
      <i/>
      <sz val="8"/>
      <name val="Arial"/>
      <family val="2"/>
    </font>
    <font>
      <sz val="11"/>
      <name val="Arial"/>
      <family val="2"/>
    </font>
    <font>
      <b/>
      <sz val="8"/>
      <color indexed="10"/>
      <name val="Arial"/>
      <family val="2"/>
    </font>
    <font>
      <sz val="10"/>
      <color indexed="17"/>
      <name val="Arial"/>
      <family val="2"/>
    </font>
    <font>
      <sz val="10"/>
      <color indexed="17"/>
      <name val="Arial"/>
      <family val="2"/>
    </font>
    <font>
      <b/>
      <sz val="10"/>
      <color indexed="17"/>
      <name val="Times New Roman"/>
      <family val="1"/>
    </font>
    <font>
      <sz val="10"/>
      <color indexed="17"/>
      <name val="Times New Roman"/>
      <family val="1"/>
    </font>
    <font>
      <b/>
      <sz val="10"/>
      <color indexed="18"/>
      <name val="Arial"/>
      <family val="2"/>
    </font>
    <font>
      <sz val="10"/>
      <color indexed="10"/>
      <name val="Arial"/>
      <family val="2"/>
    </font>
    <font>
      <sz val="10"/>
      <color indexed="47"/>
      <name val="Arial"/>
      <family val="2"/>
    </font>
    <font>
      <b/>
      <sz val="10"/>
      <color indexed="47"/>
      <name val="Arial"/>
      <family val="2"/>
    </font>
    <font>
      <u/>
      <sz val="10"/>
      <color indexed="47"/>
      <name val="Arial"/>
      <family val="2"/>
    </font>
    <font>
      <b/>
      <sz val="10"/>
      <color indexed="17"/>
      <name val="Arial"/>
      <family val="2"/>
    </font>
    <font>
      <sz val="8"/>
      <color indexed="9"/>
      <name val="Arial"/>
      <family val="2"/>
    </font>
    <font>
      <i/>
      <sz val="8"/>
      <name val="Arial"/>
      <family val="2"/>
    </font>
    <font>
      <sz val="8"/>
      <color indexed="12"/>
      <name val="Arial"/>
      <family val="2"/>
    </font>
    <font>
      <sz val="10"/>
      <color indexed="22"/>
      <name val="Arial"/>
      <family val="2"/>
    </font>
    <font>
      <sz val="10"/>
      <color indexed="8"/>
      <name val="MS Sans Serif"/>
      <family val="2"/>
    </font>
    <font>
      <i/>
      <sz val="10"/>
      <color indexed="12"/>
      <name val="Arial"/>
      <family val="2"/>
    </font>
    <font>
      <b/>
      <i/>
      <sz val="10"/>
      <color indexed="12"/>
      <name val="Arial"/>
      <family val="2"/>
    </font>
    <font>
      <b/>
      <u/>
      <sz val="10"/>
      <name val="Arial"/>
      <family val="2"/>
    </font>
    <font>
      <b/>
      <sz val="8"/>
      <color indexed="8"/>
      <name val="Tahoma"/>
      <family val="2"/>
    </font>
    <font>
      <sz val="8"/>
      <color indexed="8"/>
      <name val="Tahoma"/>
      <family val="2"/>
    </font>
    <font>
      <sz val="10"/>
      <name val="Arial"/>
      <family val="2"/>
    </font>
    <font>
      <sz val="12"/>
      <name val="Arial"/>
      <family val="2"/>
    </font>
    <font>
      <sz val="10"/>
      <color indexed="8"/>
      <name val="MS Sans Serif"/>
      <family val="2"/>
    </font>
    <font>
      <sz val="8"/>
      <name val="Arial"/>
      <family val="2"/>
    </font>
    <font>
      <sz val="10"/>
      <name val="Times New Roman"/>
      <family val="1"/>
    </font>
    <font>
      <sz val="12"/>
      <name val="Helv"/>
    </font>
    <font>
      <sz val="11"/>
      <name val="Times New Roman"/>
      <family val="1"/>
    </font>
    <font>
      <b/>
      <sz val="10"/>
      <color indexed="16"/>
      <name val="Arial"/>
      <family val="2"/>
    </font>
    <font>
      <b/>
      <u val="singleAccounting"/>
      <sz val="10"/>
      <name val="Arial"/>
      <family val="2"/>
    </font>
    <font>
      <sz val="10"/>
      <color indexed="17"/>
      <name val="Arial"/>
      <family val="2"/>
    </font>
    <font>
      <sz val="10"/>
      <color indexed="12"/>
      <name val="Arial"/>
      <family val="2"/>
    </font>
    <font>
      <b/>
      <sz val="12"/>
      <color indexed="16"/>
      <name val="Arial"/>
      <family val="2"/>
    </font>
    <font>
      <b/>
      <sz val="10"/>
      <color indexed="23"/>
      <name val="Arial"/>
      <family val="2"/>
    </font>
    <font>
      <sz val="10"/>
      <color indexed="23"/>
      <name val="Arial"/>
      <family val="2"/>
    </font>
    <font>
      <sz val="10"/>
      <color indexed="21"/>
      <name val="Arial"/>
      <family val="2"/>
    </font>
    <font>
      <b/>
      <sz val="8"/>
      <name val="Arial"/>
      <family val="2"/>
    </font>
    <font>
      <b/>
      <sz val="10"/>
      <color indexed="8"/>
      <name val="Tahoma"/>
      <family val="2"/>
    </font>
    <font>
      <sz val="10"/>
      <color indexed="8"/>
      <name val="Tahoma"/>
      <family val="2"/>
    </font>
    <font>
      <sz val="10"/>
      <color indexed="48"/>
      <name val="Arial"/>
      <family val="2"/>
    </font>
    <font>
      <sz val="10"/>
      <color indexed="10"/>
      <name val="Arial"/>
      <family val="2"/>
    </font>
    <font>
      <sz val="12"/>
      <name val="Helv"/>
      <family val="2"/>
    </font>
    <font>
      <b/>
      <sz val="10"/>
      <color indexed="22"/>
      <name val="Arial"/>
      <family val="2"/>
    </font>
    <font>
      <b/>
      <sz val="10"/>
      <color indexed="81"/>
      <name val="Tahoma"/>
      <family val="2"/>
    </font>
    <font>
      <sz val="10"/>
      <color indexed="81"/>
      <name val="Tahoma"/>
      <family val="2"/>
    </font>
    <font>
      <b/>
      <i/>
      <sz val="10"/>
      <color indexed="23"/>
      <name val="Arial"/>
      <family val="2"/>
    </font>
    <font>
      <b/>
      <i/>
      <sz val="10"/>
      <color indexed="47"/>
      <name val="Arial"/>
      <family val="2"/>
    </font>
    <font>
      <sz val="10"/>
      <name val="MS Sans Serif"/>
      <family val="2"/>
    </font>
    <font>
      <sz val="11"/>
      <color indexed="8"/>
      <name val="Calibri"/>
      <family val="2"/>
    </font>
    <font>
      <sz val="11"/>
      <color indexed="9"/>
      <name val="Calibri"/>
      <family val="2"/>
    </font>
    <font>
      <sz val="11"/>
      <color indexed="20"/>
      <name val="Calibri"/>
      <family val="2"/>
    </font>
    <font>
      <b/>
      <sz val="10"/>
      <color indexed="8"/>
      <name val="Times New Roman"/>
      <family val="1"/>
    </font>
    <font>
      <b/>
      <sz val="11"/>
      <color indexed="52"/>
      <name val="Calibri"/>
      <family val="2"/>
    </font>
    <font>
      <b/>
      <sz val="11"/>
      <color indexed="9"/>
      <name val="Calibri"/>
      <family val="2"/>
    </font>
    <font>
      <sz val="9"/>
      <name val="Arial"/>
      <family val="2"/>
    </font>
    <font>
      <i/>
      <sz val="11"/>
      <color indexed="23"/>
      <name val="Calibri"/>
      <family val="2"/>
    </font>
    <font>
      <sz val="11"/>
      <color indexed="17"/>
      <name val="Calibri"/>
      <family val="2"/>
    </font>
    <font>
      <sz val="8"/>
      <color indexed="17"/>
      <name val="Times New Roman"/>
      <family val="1"/>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8"/>
      <color indexed="18"/>
      <name val="Times New Roman"/>
      <family val="1"/>
    </font>
    <font>
      <sz val="11"/>
      <color indexed="60"/>
      <name val="Calibri"/>
      <family val="2"/>
    </font>
    <font>
      <b/>
      <sz val="11"/>
      <color indexed="63"/>
      <name val="Calibri"/>
      <family val="2"/>
    </font>
    <font>
      <sz val="10"/>
      <color indexed="8"/>
      <name val="Times New Roman"/>
      <family val="1"/>
    </font>
    <font>
      <b/>
      <sz val="18"/>
      <color indexed="62"/>
      <name val="Cambria"/>
      <family val="2"/>
    </font>
    <font>
      <b/>
      <sz val="11"/>
      <color indexed="8"/>
      <name val="Calibri"/>
      <family val="2"/>
    </font>
    <font>
      <sz val="11"/>
      <color indexed="10"/>
      <name val="Calibri"/>
      <family val="2"/>
    </font>
    <font>
      <sz val="8"/>
      <name val="Verdana"/>
      <family val="2"/>
    </font>
    <font>
      <sz val="8"/>
      <color indexed="22"/>
      <name val="Verdana"/>
      <family val="2"/>
    </font>
    <font>
      <sz val="8"/>
      <color indexed="60"/>
      <name val="Verdana"/>
      <family val="2"/>
    </font>
    <font>
      <b/>
      <sz val="8"/>
      <color indexed="9"/>
      <name val="Verdana"/>
      <family val="2"/>
    </font>
    <font>
      <b/>
      <sz val="10"/>
      <name val="Verdana"/>
      <family val="2"/>
    </font>
    <font>
      <b/>
      <i/>
      <sz val="9"/>
      <color indexed="56"/>
      <name val="Verdana"/>
      <family val="2"/>
    </font>
    <font>
      <b/>
      <sz val="8"/>
      <name val="Verdana"/>
      <family val="2"/>
    </font>
    <font>
      <sz val="8"/>
      <color indexed="9"/>
      <name val="Verdana"/>
      <family val="2"/>
    </font>
    <font>
      <i/>
      <sz val="8"/>
      <color indexed="10"/>
      <name val="Verdana"/>
      <family val="2"/>
    </font>
    <font>
      <sz val="8"/>
      <color indexed="10"/>
      <name val="Verdana"/>
      <family val="2"/>
    </font>
    <font>
      <sz val="10"/>
      <name val="Verdana"/>
      <family val="2"/>
    </font>
    <font>
      <u/>
      <sz val="8"/>
      <color indexed="81"/>
      <name val="Tahoma"/>
      <family val="2"/>
    </font>
    <font>
      <b/>
      <sz val="10"/>
      <color indexed="21"/>
      <name val="Arial"/>
      <family val="2"/>
    </font>
    <font>
      <sz val="10"/>
      <color indexed="57"/>
      <name val="Arial"/>
      <family val="2"/>
    </font>
    <font>
      <b/>
      <sz val="10"/>
      <color indexed="57"/>
      <name val="Arial"/>
      <family val="2"/>
    </font>
    <font>
      <sz val="8"/>
      <color indexed="57"/>
      <name val="Arial"/>
      <family val="2"/>
    </font>
    <font>
      <sz val="10"/>
      <name val="Calibri"/>
      <family val="2"/>
    </font>
    <font>
      <b/>
      <sz val="8"/>
      <color indexed="18"/>
      <name val="Times New Roman"/>
      <family val="1"/>
    </font>
    <font>
      <sz val="12"/>
      <name val="바탕체"/>
      <family val="1"/>
      <charset val="129"/>
    </font>
    <font>
      <sz val="8"/>
      <name val="Calibri"/>
      <family val="2"/>
    </font>
    <font>
      <b/>
      <sz val="10"/>
      <name val="Calibri"/>
      <family val="2"/>
    </font>
    <font>
      <i/>
      <sz val="10"/>
      <color indexed="10"/>
      <name val="Calibri"/>
      <family val="2"/>
    </font>
    <font>
      <b/>
      <sz val="10"/>
      <color indexed="12"/>
      <name val="Calibri"/>
      <family val="2"/>
    </font>
    <font>
      <i/>
      <sz val="10"/>
      <name val="Calibri"/>
      <family val="2"/>
    </font>
    <font>
      <i/>
      <sz val="10"/>
      <color indexed="55"/>
      <name val="Calibri"/>
      <family val="2"/>
    </font>
    <font>
      <b/>
      <sz val="10"/>
      <color indexed="9"/>
      <name val="Calibri"/>
      <family val="2"/>
    </font>
    <font>
      <b/>
      <sz val="10"/>
      <color indexed="10"/>
      <name val="Calibri"/>
      <family val="2"/>
    </font>
    <font>
      <sz val="10"/>
      <name val="Calibri"/>
      <family val="2"/>
    </font>
    <font>
      <sz val="10"/>
      <color indexed="12"/>
      <name val="Calibri"/>
      <family val="2"/>
    </font>
    <font>
      <b/>
      <sz val="10"/>
      <color indexed="48"/>
      <name val="Calibri"/>
      <family val="2"/>
    </font>
    <font>
      <sz val="10"/>
      <color indexed="48"/>
      <name val="Calibri"/>
      <family val="2"/>
    </font>
    <font>
      <sz val="10"/>
      <color indexed="10"/>
      <name val="Calibri"/>
      <family val="2"/>
    </font>
    <font>
      <sz val="8"/>
      <name val="Times New Roman"/>
      <family val="1"/>
    </font>
    <font>
      <sz val="10"/>
      <name val="Arial"/>
      <family val="2"/>
    </font>
    <font>
      <sz val="9"/>
      <color indexed="81"/>
      <name val="Tahoma"/>
      <family val="2"/>
    </font>
    <font>
      <b/>
      <sz val="9"/>
      <color indexed="81"/>
      <name val="Tahoma"/>
      <family val="2"/>
    </font>
    <font>
      <sz val="10"/>
      <name val="Arial"/>
      <family val="2"/>
    </font>
    <font>
      <sz val="10"/>
      <name val="Arial"/>
      <family val="2"/>
    </font>
    <font>
      <b/>
      <sz val="11"/>
      <color indexed="81"/>
      <name val="Tahoma"/>
      <family val="2"/>
    </font>
    <font>
      <sz val="11"/>
      <color indexed="81"/>
      <name val="Tahoma"/>
      <family val="2"/>
    </font>
    <font>
      <i/>
      <sz val="11"/>
      <color indexed="81"/>
      <name val="Tahoma"/>
      <family val="2"/>
    </font>
    <font>
      <b/>
      <i/>
      <sz val="11"/>
      <color indexed="81"/>
      <name val="Tahoma"/>
      <family val="2"/>
    </font>
    <font>
      <sz val="10"/>
      <name val="Arial"/>
      <family val="2"/>
    </font>
    <font>
      <b/>
      <sz val="9"/>
      <color indexed="56"/>
      <name val="Verdana"/>
      <family val="2"/>
    </font>
    <font>
      <sz val="10"/>
      <name val="Arial"/>
      <family val="2"/>
    </font>
    <font>
      <b/>
      <sz val="8"/>
      <color indexed="16"/>
      <name val="Verdana"/>
      <family val="2"/>
    </font>
    <font>
      <b/>
      <i/>
      <sz val="9"/>
      <color indexed="16"/>
      <name val="Verdana"/>
      <family val="2"/>
    </font>
    <font>
      <b/>
      <sz val="9"/>
      <color indexed="9"/>
      <name val="Verdana"/>
      <family val="2"/>
    </font>
    <font>
      <b/>
      <sz val="9"/>
      <color indexed="16"/>
      <name val="Verdana"/>
      <family val="2"/>
    </font>
    <font>
      <sz val="10"/>
      <color indexed="10"/>
      <name val="Verdana"/>
      <family val="2"/>
    </font>
    <font>
      <sz val="10"/>
      <color indexed="60"/>
      <name val="Arial"/>
      <family val="2"/>
    </font>
    <font>
      <i/>
      <sz val="8"/>
      <color indexed="60"/>
      <name val="Verdana"/>
      <family val="2"/>
    </font>
    <font>
      <b/>
      <i/>
      <sz val="8"/>
      <color indexed="16"/>
      <name val="Verdana"/>
      <family val="2"/>
    </font>
    <font>
      <b/>
      <i/>
      <sz val="8"/>
      <color indexed="13"/>
      <name val="Verdana"/>
      <family val="2"/>
    </font>
    <font>
      <b/>
      <sz val="9"/>
      <name val="Verdana"/>
      <family val="2"/>
    </font>
    <font>
      <sz val="10"/>
      <color indexed="9"/>
      <name val="Verdana"/>
      <family val="2"/>
    </font>
    <font>
      <sz val="8"/>
      <color indexed="16"/>
      <name val="Verdana"/>
      <family val="2"/>
    </font>
    <font>
      <sz val="9"/>
      <color indexed="9"/>
      <name val="Verdana"/>
      <family val="2"/>
    </font>
    <font>
      <b/>
      <sz val="7"/>
      <name val="Verdana"/>
      <family val="2"/>
    </font>
    <font>
      <b/>
      <sz val="6.25"/>
      <name val="Verdana"/>
      <family val="2"/>
    </font>
    <font>
      <sz val="8"/>
      <color indexed="53"/>
      <name val="Verdana"/>
      <family val="2"/>
    </font>
    <font>
      <b/>
      <sz val="10"/>
      <color indexed="56"/>
      <name val="Verdana"/>
      <family val="2"/>
    </font>
    <font>
      <i/>
      <sz val="8"/>
      <color indexed="53"/>
      <name val="Verdana"/>
      <family val="2"/>
    </font>
    <font>
      <sz val="11"/>
      <name val="Calibri"/>
      <family val="2"/>
    </font>
    <font>
      <sz val="10"/>
      <color indexed="24"/>
      <name val="Arial"/>
      <family val="2"/>
    </font>
    <font>
      <b/>
      <sz val="10"/>
      <color indexed="60"/>
      <name val="Arial"/>
      <family val="2"/>
    </font>
    <font>
      <sz val="10"/>
      <color indexed="60"/>
      <name val="Arial"/>
      <family val="2"/>
    </font>
    <font>
      <sz val="10"/>
      <color indexed="24"/>
      <name val="Arial"/>
      <family val="2"/>
    </font>
    <font>
      <sz val="10"/>
      <color indexed="8"/>
      <name val="Arial"/>
      <family val="2"/>
    </font>
    <font>
      <sz val="8"/>
      <color indexed="24"/>
      <name val="Arial"/>
      <family val="2"/>
    </font>
    <font>
      <b/>
      <sz val="8"/>
      <color indexed="24"/>
      <name val="Arial"/>
      <family val="2"/>
    </font>
    <font>
      <sz val="10"/>
      <color indexed="24"/>
      <name val="Arial"/>
      <family val="2"/>
    </font>
    <font>
      <sz val="10"/>
      <color indexed="24"/>
      <name val="Arial"/>
      <family val="2"/>
    </font>
    <font>
      <b/>
      <sz val="10"/>
      <color indexed="24"/>
      <name val="Arial"/>
      <family val="2"/>
    </font>
    <font>
      <sz val="10"/>
      <color indexed="11"/>
      <name val="Arial"/>
      <family val="2"/>
    </font>
    <font>
      <b/>
      <sz val="10"/>
      <color indexed="11"/>
      <name val="Arial"/>
      <family val="2"/>
    </font>
    <font>
      <b/>
      <sz val="10"/>
      <color indexed="24"/>
      <name val="Calibri"/>
      <family val="2"/>
    </font>
    <font>
      <b/>
      <sz val="10"/>
      <color indexed="60"/>
      <name val="Calibri"/>
      <family val="2"/>
    </font>
    <font>
      <sz val="8"/>
      <color indexed="60"/>
      <name val="Arial"/>
      <family val="2"/>
    </font>
    <font>
      <sz val="10"/>
      <color indexed="9"/>
      <name val="Arial"/>
      <family val="2"/>
    </font>
    <font>
      <b/>
      <sz val="8"/>
      <color indexed="24"/>
      <name val="Arial"/>
      <family val="2"/>
    </font>
    <font>
      <b/>
      <sz val="9"/>
      <color indexed="9"/>
      <name val="Arial"/>
      <family val="2"/>
    </font>
    <font>
      <sz val="8"/>
      <color indexed="24"/>
      <name val="Arial"/>
      <family val="2"/>
    </font>
    <font>
      <sz val="8"/>
      <color indexed="24"/>
      <name val="Arial"/>
      <family val="2"/>
    </font>
    <font>
      <i/>
      <sz val="8"/>
      <color indexed="24"/>
      <name val="Arial"/>
      <family val="2"/>
    </font>
    <font>
      <i/>
      <sz val="8"/>
      <color indexed="24"/>
      <name val="Arial"/>
      <family val="2"/>
    </font>
    <font>
      <b/>
      <sz val="8"/>
      <color indexed="24"/>
      <name val="Arial"/>
      <family val="2"/>
    </font>
    <font>
      <u/>
      <sz val="8"/>
      <name val="Arial"/>
      <family val="2"/>
    </font>
    <font>
      <b/>
      <sz val="10"/>
      <color rgb="FFFF0000"/>
      <name val="Arial"/>
      <family val="2"/>
    </font>
    <font>
      <sz val="10"/>
      <color theme="3"/>
      <name val="Arial"/>
      <family val="2"/>
    </font>
    <font>
      <sz val="10"/>
      <color theme="4"/>
      <name val="Arial"/>
      <family val="2"/>
    </font>
    <font>
      <b/>
      <sz val="8"/>
      <color rgb="FF00B0F0"/>
      <name val="Verdana"/>
      <family val="2"/>
    </font>
    <font>
      <sz val="10"/>
      <color rgb="FF00B0F0"/>
      <name val="Arial"/>
      <family val="2"/>
    </font>
    <font>
      <i/>
      <sz val="10"/>
      <color indexed="24"/>
      <name val="Arial"/>
      <family val="2"/>
    </font>
    <font>
      <i/>
      <sz val="10"/>
      <color rgb="FF00B0F0"/>
      <name val="Arial"/>
      <family val="2"/>
    </font>
    <font>
      <sz val="10"/>
      <color theme="1"/>
      <name val="Calibri"/>
      <family val="2"/>
      <scheme val="minor"/>
    </font>
    <font>
      <b/>
      <sz val="10"/>
      <color indexed="19"/>
      <name val="Arial"/>
      <family val="2"/>
    </font>
    <font>
      <b/>
      <sz val="10"/>
      <color rgb="FF0070C0"/>
      <name val="Arial"/>
      <family val="2"/>
    </font>
    <font>
      <b/>
      <sz val="10"/>
      <color theme="1"/>
      <name val="Calibri"/>
      <family val="2"/>
      <scheme val="minor"/>
    </font>
    <font>
      <sz val="10"/>
      <color rgb="FF00B050"/>
      <name val="Calibri"/>
      <family val="2"/>
      <scheme val="minor"/>
    </font>
    <font>
      <sz val="10"/>
      <name val="Calibri"/>
      <family val="2"/>
      <scheme val="minor"/>
    </font>
    <font>
      <sz val="10"/>
      <color rgb="FF0070C0"/>
      <name val="Calibri"/>
      <family val="2"/>
      <scheme val="minor"/>
    </font>
    <font>
      <sz val="10"/>
      <color rgb="FFFF0000"/>
      <name val="Calibri"/>
      <family val="2"/>
      <scheme val="minor"/>
    </font>
    <font>
      <b/>
      <sz val="10"/>
      <color rgb="FF00B050"/>
      <name val="Arial"/>
      <family val="2"/>
    </font>
    <font>
      <sz val="10"/>
      <color rgb="FF0070C0"/>
      <name val="Arial"/>
      <family val="2"/>
    </font>
    <font>
      <sz val="10"/>
      <color rgb="FFFF0000"/>
      <name val="Arial"/>
      <family val="2"/>
    </font>
    <font>
      <b/>
      <u/>
      <sz val="9"/>
      <color indexed="81"/>
      <name val="Tahoma"/>
      <family val="2"/>
    </font>
    <font>
      <b/>
      <sz val="10"/>
      <color rgb="FF00B0F0"/>
      <name val="Arial"/>
      <family val="2"/>
    </font>
    <font>
      <sz val="15"/>
      <color indexed="81"/>
      <name val="Tahoma"/>
      <family val="2"/>
    </font>
    <font>
      <sz val="10"/>
      <name val="Arial"/>
      <family val="2"/>
    </font>
    <font>
      <sz val="10"/>
      <color theme="0"/>
      <name val="Arial"/>
      <family val="2"/>
    </font>
    <font>
      <b/>
      <sz val="10"/>
      <color theme="0"/>
      <name val="Arial"/>
      <family val="2"/>
    </font>
    <font>
      <sz val="10"/>
      <color rgb="FF00B050"/>
      <name val="Arial"/>
      <family val="2"/>
    </font>
    <font>
      <i/>
      <sz val="10"/>
      <color theme="4"/>
      <name val="Arial"/>
      <family val="2"/>
    </font>
    <font>
      <b/>
      <sz val="10"/>
      <color rgb="FF0070C0"/>
      <name val="Calibri"/>
      <family val="2"/>
      <scheme val="minor"/>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i/>
      <sz val="10"/>
      <color rgb="FF000000"/>
      <name val="Arial"/>
      <family val="2"/>
    </font>
  </fonts>
  <fills count="44">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27"/>
        <bgColor indexed="64"/>
      </patternFill>
    </fill>
    <fill>
      <patternFill patternType="solid">
        <fgColor indexed="13"/>
        <bgColor indexed="64"/>
      </patternFill>
    </fill>
    <fill>
      <patternFill patternType="solid">
        <fgColor indexed="14"/>
        <bgColor indexed="64"/>
      </patternFill>
    </fill>
    <fill>
      <patternFill patternType="solid">
        <fgColor indexed="8"/>
        <bgColor indexed="64"/>
      </patternFill>
    </fill>
    <fill>
      <patternFill patternType="solid">
        <fgColor indexed="56"/>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5"/>
        <bgColor indexed="64"/>
      </patternFill>
    </fill>
    <fill>
      <patternFill patternType="solid">
        <fgColor indexed="55"/>
        <bgColor indexed="64"/>
      </patternFill>
    </fill>
    <fill>
      <patternFill patternType="solid">
        <fgColor indexed="12"/>
        <bgColor indexed="64"/>
      </patternFill>
    </fill>
    <fill>
      <patternFill patternType="solid">
        <fgColor indexed="16"/>
        <bgColor indexed="64"/>
      </patternFill>
    </fill>
    <fill>
      <patternFill patternType="solid">
        <fgColor indexed="11"/>
        <bgColor indexed="64"/>
      </patternFill>
    </fill>
    <fill>
      <patternFill patternType="solid">
        <fgColor indexed="54"/>
        <bgColor indexed="64"/>
      </patternFill>
    </fill>
    <fill>
      <patternFill patternType="solid">
        <fgColor indexed="46"/>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9.9978637043366805E-2"/>
        <bgColor indexed="64"/>
      </patternFill>
    </fill>
    <fill>
      <patternFill patternType="solid">
        <fgColor indexed="48"/>
        <bgColor indexed="64"/>
      </patternFill>
    </fill>
    <fill>
      <patternFill patternType="solid">
        <fgColor theme="0"/>
        <bgColor indexed="64"/>
      </patternFill>
    </fill>
    <fill>
      <patternFill patternType="solid">
        <fgColor rgb="FFFFFF00"/>
        <bgColor indexed="64"/>
      </patternFill>
    </fill>
    <fill>
      <patternFill patternType="solid">
        <fgColor rgb="FF002060"/>
        <bgColor indexed="64"/>
      </patternFill>
    </fill>
    <fill>
      <patternFill patternType="solid">
        <fgColor theme="3"/>
        <bgColor indexed="64"/>
      </patternFill>
    </fill>
    <fill>
      <patternFill patternType="solid">
        <fgColor theme="6" tint="0.79998168889431442"/>
        <bgColor indexed="64"/>
      </patternFill>
    </fill>
    <fill>
      <patternFill patternType="solid">
        <fgColor indexed="65"/>
        <bgColor indexed="64"/>
      </patternFill>
    </fill>
  </fills>
  <borders count="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indexed="64"/>
      </top>
      <bottom/>
      <diagonal/>
    </border>
    <border>
      <left/>
      <right/>
      <top/>
      <bottom style="thin">
        <color indexed="8"/>
      </bottom>
      <diagonal/>
    </border>
    <border>
      <left/>
      <right/>
      <top style="thin">
        <color indexed="49"/>
      </top>
      <bottom style="double">
        <color indexed="49"/>
      </bottom>
      <diagonal/>
    </border>
    <border>
      <left style="thin">
        <color indexed="64"/>
      </left>
      <right/>
      <top/>
      <bottom/>
      <diagonal/>
    </border>
    <border>
      <left/>
      <right/>
      <top style="thin">
        <color indexed="18"/>
      </top>
      <bottom style="thin">
        <color indexed="18"/>
      </bottom>
      <diagonal/>
    </border>
    <border>
      <left/>
      <right style="thin">
        <color indexed="64"/>
      </right>
      <top/>
      <bottom/>
      <diagonal/>
    </border>
    <border>
      <left/>
      <right/>
      <top style="thin">
        <color indexed="64"/>
      </top>
      <bottom/>
      <diagonal/>
    </border>
    <border>
      <left/>
      <right/>
      <top style="thin">
        <color indexed="64"/>
      </top>
      <bottom style="double">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medium">
        <color indexed="8"/>
      </top>
      <bottom/>
      <diagonal/>
    </border>
    <border>
      <left/>
      <right/>
      <top style="double">
        <color indexed="8"/>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18"/>
      </top>
      <bottom style="thin">
        <color indexed="18"/>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18"/>
      </bottom>
      <diagonal/>
    </border>
    <border>
      <left style="thin">
        <color indexed="64"/>
      </left>
      <right/>
      <top style="thin">
        <color indexed="64"/>
      </top>
      <bottom style="thin">
        <color indexed="18"/>
      </bottom>
      <diagonal/>
    </border>
    <border>
      <left/>
      <right/>
      <top style="thin">
        <color indexed="64"/>
      </top>
      <bottom style="thin">
        <color indexed="18"/>
      </bottom>
      <diagonal/>
    </border>
    <border>
      <left/>
      <right style="thin">
        <color indexed="64"/>
      </right>
      <top style="thin">
        <color indexed="64"/>
      </top>
      <bottom style="thin">
        <color indexed="18"/>
      </bottom>
      <diagonal/>
    </border>
    <border>
      <left style="medium">
        <color indexed="64"/>
      </left>
      <right/>
      <top style="medium">
        <color indexed="64"/>
      </top>
      <bottom style="medium">
        <color indexed="64"/>
      </bottom>
      <diagonal/>
    </border>
    <border>
      <left/>
      <right style="thin">
        <color indexed="64"/>
      </right>
      <top style="thin">
        <color indexed="18"/>
      </top>
      <bottom style="thin">
        <color indexed="18"/>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thin">
        <color indexed="12"/>
      </right>
      <top/>
      <bottom/>
      <diagonal/>
    </border>
    <border>
      <left style="thin">
        <color indexed="16"/>
      </left>
      <right/>
      <top/>
      <bottom/>
      <diagonal/>
    </border>
    <border>
      <left/>
      <right/>
      <top/>
      <bottom style="medium">
        <color indexed="8"/>
      </bottom>
      <diagonal/>
    </border>
    <border>
      <left style="thin">
        <color indexed="10"/>
      </left>
      <right/>
      <top style="thin">
        <color indexed="10"/>
      </top>
      <bottom/>
      <diagonal/>
    </border>
    <border>
      <left/>
      <right style="thin">
        <color indexed="10"/>
      </right>
      <top style="thin">
        <color indexed="10"/>
      </top>
      <bottom/>
      <diagonal/>
    </border>
    <border>
      <left style="thin">
        <color indexed="10"/>
      </left>
      <right/>
      <top/>
      <bottom/>
      <diagonal/>
    </border>
    <border>
      <left/>
      <right style="thin">
        <color indexed="10"/>
      </right>
      <top/>
      <bottom/>
      <diagonal/>
    </border>
    <border>
      <left/>
      <right style="thin">
        <color indexed="8"/>
      </right>
      <top style="thin">
        <color indexed="64"/>
      </top>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66">
    <xf numFmtId="0" fontId="0" fillId="0" borderId="0"/>
    <xf numFmtId="0" fontId="80" fillId="0" borderId="0"/>
    <xf numFmtId="0" fontId="80" fillId="0" borderId="0"/>
    <xf numFmtId="0" fontId="74" fillId="0" borderId="0" applyNumberFormat="0" applyFont="0" applyFill="0" applyBorder="0" applyAlignment="0" applyProtection="0"/>
    <xf numFmtId="0" fontId="1" fillId="0" borderId="0" applyFill="0" applyAlignment="0">
      <protection locked="0"/>
    </xf>
    <xf numFmtId="0" fontId="1" fillId="0" borderId="0" applyFill="0" applyAlignment="0">
      <protection locked="0"/>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80" fillId="0" borderId="0"/>
    <xf numFmtId="0" fontId="80" fillId="0" borderId="0"/>
    <xf numFmtId="0" fontId="80" fillId="0" borderId="0"/>
    <xf numFmtId="0" fontId="80" fillId="0" borderId="0"/>
    <xf numFmtId="0" fontId="1" fillId="0" borderId="0"/>
    <xf numFmtId="0" fontId="80" fillId="0" borderId="0"/>
    <xf numFmtId="0" fontId="80" fillId="0" borderId="0"/>
    <xf numFmtId="0" fontId="81" fillId="0" borderId="0"/>
    <xf numFmtId="0" fontId="80" fillId="0" borderId="0"/>
    <xf numFmtId="0" fontId="1" fillId="0" borderId="0" applyFill="0" applyAlignment="0">
      <protection locked="0"/>
    </xf>
    <xf numFmtId="0" fontId="80" fillId="0" borderId="0"/>
    <xf numFmtId="0" fontId="4" fillId="0" borderId="0"/>
    <xf numFmtId="0" fontId="106" fillId="0" borderId="0"/>
    <xf numFmtId="0" fontId="106" fillId="0" borderId="0"/>
    <xf numFmtId="0" fontId="4" fillId="0" borderId="0"/>
    <xf numFmtId="0" fontId="106" fillId="0" borderId="0"/>
    <xf numFmtId="0" fontId="106" fillId="0" borderId="0"/>
    <xf numFmtId="0" fontId="107" fillId="2" borderId="0" applyNumberFormat="0" applyBorder="0" applyAlignment="0" applyProtection="0"/>
    <xf numFmtId="0" fontId="107" fillId="3" borderId="0" applyNumberFormat="0" applyBorder="0" applyAlignment="0" applyProtection="0"/>
    <xf numFmtId="0" fontId="107" fillId="4" borderId="0" applyNumberFormat="0" applyBorder="0" applyAlignment="0" applyProtection="0"/>
    <xf numFmtId="0" fontId="107" fillId="2" borderId="0" applyNumberFormat="0" applyBorder="0" applyAlignment="0" applyProtection="0"/>
    <xf numFmtId="0" fontId="107" fillId="5" borderId="0" applyNumberFormat="0" applyBorder="0" applyAlignment="0" applyProtection="0"/>
    <xf numFmtId="0" fontId="107" fillId="4" borderId="0" applyNumberFormat="0" applyBorder="0" applyAlignment="0" applyProtection="0"/>
    <xf numFmtId="0" fontId="107" fillId="6" borderId="0" applyNumberFormat="0" applyBorder="0" applyAlignment="0" applyProtection="0"/>
    <xf numFmtId="0" fontId="107" fillId="3" borderId="0" applyNumberFormat="0" applyBorder="0" applyAlignment="0" applyProtection="0"/>
    <xf numFmtId="0" fontId="107" fillId="4" borderId="0" applyNumberFormat="0" applyBorder="0" applyAlignment="0" applyProtection="0"/>
    <xf numFmtId="0" fontId="107" fillId="6" borderId="0" applyNumberFormat="0" applyBorder="0" applyAlignment="0" applyProtection="0"/>
    <xf numFmtId="0" fontId="107" fillId="7" borderId="0" applyNumberFormat="0" applyBorder="0" applyAlignment="0" applyProtection="0"/>
    <xf numFmtId="0" fontId="107" fillId="4" borderId="0" applyNumberFormat="0" applyBorder="0" applyAlignment="0" applyProtection="0"/>
    <xf numFmtId="0" fontId="108" fillId="8" borderId="0" applyNumberFormat="0" applyBorder="0" applyAlignment="0" applyProtection="0"/>
    <xf numFmtId="0" fontId="108" fillId="3" borderId="0" applyNumberFormat="0" applyBorder="0" applyAlignment="0" applyProtection="0"/>
    <xf numFmtId="0" fontId="108" fillId="9" borderId="0" applyNumberFormat="0" applyBorder="0" applyAlignment="0" applyProtection="0"/>
    <xf numFmtId="0" fontId="108" fillId="6" borderId="0" applyNumberFormat="0" applyBorder="0" applyAlignment="0" applyProtection="0"/>
    <xf numFmtId="0" fontId="108" fillId="8" borderId="0" applyNumberFormat="0" applyBorder="0" applyAlignment="0" applyProtection="0"/>
    <xf numFmtId="0" fontId="108" fillId="4" borderId="0" applyNumberFormat="0" applyBorder="0" applyAlignment="0" applyProtection="0"/>
    <xf numFmtId="0" fontId="108" fillId="8" borderId="0" applyNumberFormat="0" applyBorder="0" applyAlignment="0" applyProtection="0"/>
    <xf numFmtId="0" fontId="108" fillId="3" borderId="0" applyNumberFormat="0" applyBorder="0" applyAlignment="0" applyProtection="0"/>
    <xf numFmtId="0" fontId="108" fillId="9" borderId="0" applyNumberFormat="0" applyBorder="0" applyAlignment="0" applyProtection="0"/>
    <xf numFmtId="0" fontId="108" fillId="10" borderId="0" applyNumberFormat="0" applyBorder="0" applyAlignment="0" applyProtection="0"/>
    <xf numFmtId="0" fontId="108" fillId="8" borderId="0" applyNumberFormat="0" applyBorder="0" applyAlignment="0" applyProtection="0"/>
    <xf numFmtId="0" fontId="108" fillId="3" borderId="0" applyNumberFormat="0" applyBorder="0" applyAlignment="0" applyProtection="0"/>
    <xf numFmtId="0" fontId="109" fillId="11" borderId="0" applyNumberFormat="0" applyBorder="0" applyAlignment="0" applyProtection="0"/>
    <xf numFmtId="0" fontId="5" fillId="0" borderId="0"/>
    <xf numFmtId="0" fontId="110" fillId="0" borderId="0"/>
    <xf numFmtId="0" fontId="110" fillId="0" borderId="0"/>
    <xf numFmtId="0" fontId="111" fillId="12" borderId="1" applyNumberFormat="0" applyAlignment="0" applyProtection="0"/>
    <xf numFmtId="0" fontId="112" fillId="13" borderId="2"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73" fillId="0" borderId="0" applyFont="0" applyFill="0" applyBorder="0" applyAlignment="0" applyProtection="0"/>
    <xf numFmtId="43" fontId="13" fillId="0" borderId="0" applyFont="0" applyFill="0" applyBorder="0" applyAlignment="0" applyProtection="0"/>
    <xf numFmtId="43" fontId="80"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162" fillId="0" borderId="0" applyFont="0" applyFill="0" applyBorder="0" applyAlignment="0" applyProtection="0"/>
    <xf numFmtId="44" fontId="165" fillId="0" borderId="0" applyFont="0" applyFill="0" applyBorder="0" applyAlignment="0" applyProtection="0"/>
    <xf numFmtId="44" fontId="166" fillId="0" borderId="0" applyFont="0" applyFill="0" applyBorder="0" applyAlignment="0" applyProtection="0"/>
    <xf numFmtId="44" fontId="171" fillId="0" borderId="0" applyFont="0" applyFill="0" applyBorder="0" applyAlignment="0" applyProtection="0"/>
    <xf numFmtId="0" fontId="113" fillId="0" borderId="0">
      <alignment wrapText="1"/>
    </xf>
    <xf numFmtId="0" fontId="114" fillId="0" borderId="0" applyNumberFormat="0" applyFill="0" applyBorder="0" applyAlignment="0" applyProtection="0"/>
    <xf numFmtId="0" fontId="115" fillId="14" borderId="0" applyNumberFormat="0" applyBorder="0" applyAlignment="0" applyProtection="0"/>
    <xf numFmtId="0" fontId="116" fillId="0" borderId="0" applyFill="0" applyBorder="0" applyAlignment="0" applyProtection="0"/>
    <xf numFmtId="0" fontId="117" fillId="0" borderId="3" applyNumberFormat="0" applyFill="0" applyAlignment="0" applyProtection="0"/>
    <xf numFmtId="0" fontId="118" fillId="0" borderId="4" applyNumberFormat="0" applyFill="0" applyAlignment="0" applyProtection="0"/>
    <xf numFmtId="0" fontId="119" fillId="0" borderId="5" applyNumberFormat="0" applyFill="0" applyAlignment="0" applyProtection="0"/>
    <xf numFmtId="0" fontId="119" fillId="0" borderId="0" applyNumberFormat="0" applyFill="0" applyBorder="0" applyAlignment="0" applyProtection="0"/>
    <xf numFmtId="0" fontId="15" fillId="0" borderId="0" applyNumberFormat="0" applyFill="0" applyBorder="0" applyAlignment="0" applyProtection="0">
      <alignment vertical="top"/>
      <protection locked="0"/>
    </xf>
    <xf numFmtId="0" fontId="81" fillId="0" borderId="0" applyFont="0" applyFill="0" applyBorder="0" applyAlignment="0" applyProtection="0"/>
    <xf numFmtId="0" fontId="120" fillId="4" borderId="1" applyNumberFormat="0" applyAlignment="0" applyProtection="0"/>
    <xf numFmtId="0" fontId="121" fillId="0" borderId="6" applyNumberFormat="0" applyFill="0" applyAlignment="0" applyProtection="0"/>
    <xf numFmtId="0" fontId="122" fillId="0" borderId="0" applyFill="0" applyBorder="0" applyAlignment="0" applyProtection="0"/>
    <xf numFmtId="0" fontId="123" fillId="4" borderId="0" applyNumberFormat="0" applyBorder="0" applyAlignment="0" applyProtection="0"/>
    <xf numFmtId="0" fontId="1" fillId="0" borderId="0"/>
    <xf numFmtId="0" fontId="162" fillId="0" borderId="0"/>
    <xf numFmtId="0" fontId="165" fillId="0" borderId="0"/>
    <xf numFmtId="0" fontId="166" fillId="0" borderId="0"/>
    <xf numFmtId="0" fontId="171" fillId="0" borderId="0"/>
    <xf numFmtId="0" fontId="173" fillId="0" borderId="0"/>
    <xf numFmtId="0" fontId="84" fillId="0" borderId="0"/>
    <xf numFmtId="0" fontId="80" fillId="0" borderId="0"/>
    <xf numFmtId="0" fontId="145" fillId="0" borderId="0"/>
    <xf numFmtId="0" fontId="1" fillId="0" borderId="0"/>
    <xf numFmtId="0" fontId="74" fillId="0" borderId="0" applyNumberFormat="0" applyFont="0" applyFill="0" applyBorder="0" applyAlignment="0" applyProtection="0"/>
    <xf numFmtId="0" fontId="161" fillId="0" borderId="0"/>
    <xf numFmtId="0" fontId="1" fillId="0" borderId="0" applyNumberFormat="0" applyFill="0" applyBorder="0" applyAlignment="0" applyProtection="0"/>
    <xf numFmtId="0" fontId="80" fillId="0" borderId="0"/>
    <xf numFmtId="0" fontId="161" fillId="0" borderId="0"/>
    <xf numFmtId="0" fontId="82" fillId="0" borderId="0" applyNumberFormat="0" applyFont="0" applyFill="0" applyBorder="0" applyAlignment="0" applyProtection="0"/>
    <xf numFmtId="0" fontId="1" fillId="0" borderId="0"/>
    <xf numFmtId="171" fontId="85" fillId="0" borderId="0"/>
    <xf numFmtId="171" fontId="100" fillId="0" borderId="0"/>
    <xf numFmtId="171" fontId="85" fillId="0" borderId="0"/>
    <xf numFmtId="0" fontId="80" fillId="0" borderId="0"/>
    <xf numFmtId="0" fontId="86" fillId="0" borderId="0"/>
    <xf numFmtId="0" fontId="81" fillId="0" borderId="0"/>
    <xf numFmtId="0" fontId="7" fillId="0" borderId="0" applyFill="0" applyBorder="0" applyAlignment="0" applyProtection="0"/>
    <xf numFmtId="0" fontId="80" fillId="4" borderId="7" applyNumberFormat="0" applyFont="0" applyAlignment="0" applyProtection="0"/>
    <xf numFmtId="168" fontId="1" fillId="0" borderId="0"/>
    <xf numFmtId="0" fontId="124" fillId="12" borderId="8" applyNumberFormat="0" applyAlignment="0" applyProtection="0"/>
    <xf numFmtId="0" fontId="12" fillId="0" borderId="0">
      <alignment vertical="center"/>
    </xf>
    <xf numFmtId="9" fontId="1" fillId="0" borderId="0" applyFont="0" applyFill="0" applyBorder="0" applyAlignment="0" applyProtection="0"/>
    <xf numFmtId="9" fontId="1" fillId="0" borderId="0" applyFont="0" applyFill="0" applyBorder="0" applyAlignment="0" applyProtection="0"/>
    <xf numFmtId="9" fontId="173" fillId="0" borderId="0" applyFont="0" applyFill="0" applyBorder="0" applyAlignment="0" applyProtection="0"/>
    <xf numFmtId="9" fontId="2" fillId="0" borderId="0" applyFont="0" applyFill="0" applyBorder="0" applyAlignment="0" applyProtection="0"/>
    <xf numFmtId="8" fontId="146" fillId="0" borderId="9">
      <alignment horizontal="right"/>
    </xf>
    <xf numFmtId="0" fontId="2" fillId="15" borderId="0" applyNumberFormat="0" applyFont="0" applyBorder="0" applyAlignment="0" applyProtection="0"/>
    <xf numFmtId="0" fontId="18" fillId="0" borderId="0"/>
    <xf numFmtId="0" fontId="125" fillId="0" borderId="0"/>
    <xf numFmtId="0" fontId="125" fillId="0" borderId="0"/>
    <xf numFmtId="0" fontId="18" fillId="0" borderId="10">
      <alignment horizontal="centerContinuous"/>
    </xf>
    <xf numFmtId="0" fontId="125" fillId="0" borderId="10">
      <alignment horizontal="centerContinuous"/>
    </xf>
    <xf numFmtId="0" fontId="125" fillId="0" borderId="10">
      <alignment horizontal="centerContinuous"/>
    </xf>
    <xf numFmtId="0" fontId="20" fillId="0" borderId="10"/>
    <xf numFmtId="0" fontId="80" fillId="0" borderId="0">
      <alignment vertical="top"/>
    </xf>
    <xf numFmtId="0" fontId="2" fillId="0" borderId="0" applyNumberFormat="0" applyFill="0" applyBorder="0" applyAlignment="0" applyProtection="0"/>
    <xf numFmtId="0" fontId="81" fillId="0" borderId="0"/>
    <xf numFmtId="0" fontId="81" fillId="0" borderId="0"/>
    <xf numFmtId="0" fontId="81" fillId="0" borderId="0"/>
    <xf numFmtId="0" fontId="82" fillId="0" borderId="0" applyNumberFormat="0" applyFont="0" applyFill="0" applyBorder="0" applyAlignment="0" applyProtection="0"/>
    <xf numFmtId="0" fontId="41" fillId="0" borderId="0"/>
    <xf numFmtId="0" fontId="1" fillId="0" borderId="0"/>
    <xf numFmtId="0" fontId="81" fillId="0" borderId="0"/>
    <xf numFmtId="0" fontId="81" fillId="0" borderId="0"/>
    <xf numFmtId="0" fontId="1" fillId="0" borderId="0">
      <alignment vertical="top"/>
    </xf>
    <xf numFmtId="0" fontId="80" fillId="0" borderId="0">
      <alignment vertical="top"/>
    </xf>
    <xf numFmtId="0" fontId="41" fillId="0" borderId="0"/>
    <xf numFmtId="0" fontId="80" fillId="0" borderId="0">
      <alignment vertical="top"/>
    </xf>
    <xf numFmtId="0" fontId="80" fillId="0" borderId="0">
      <alignment vertical="top"/>
    </xf>
    <xf numFmtId="0" fontId="80" fillId="0" borderId="0">
      <alignment vertical="top"/>
    </xf>
    <xf numFmtId="0" fontId="81" fillId="0" borderId="0"/>
    <xf numFmtId="0" fontId="81" fillId="0" borderId="0"/>
    <xf numFmtId="0" fontId="1" fillId="0" borderId="0"/>
    <xf numFmtId="0" fontId="2" fillId="0" borderId="0"/>
    <xf numFmtId="0" fontId="1" fillId="0" borderId="0"/>
    <xf numFmtId="0" fontId="1" fillId="0" borderId="0"/>
    <xf numFmtId="0" fontId="41" fillId="0" borderId="0"/>
    <xf numFmtId="0" fontId="126" fillId="0" borderId="0" applyNumberFormat="0" applyFill="0" applyBorder="0" applyAlignment="0" applyProtection="0"/>
    <xf numFmtId="0" fontId="127" fillId="0" borderId="11" applyNumberFormat="0" applyFill="0" applyAlignment="0" applyProtection="0"/>
    <xf numFmtId="0" fontId="128" fillId="0" borderId="0" applyNumberFormat="0" applyFill="0" applyBorder="0" applyAlignment="0" applyProtection="0"/>
    <xf numFmtId="0" fontId="147" fillId="0" borderId="0" applyFont="0" applyFill="0" applyBorder="0" applyAlignment="0" applyProtection="0"/>
    <xf numFmtId="0" fontId="147" fillId="0" borderId="0" applyFont="0" applyFill="0" applyBorder="0" applyAlignment="0" applyProtection="0"/>
    <xf numFmtId="0" fontId="1" fillId="0" borderId="0" applyNumberFormat="0" applyFill="0" applyBorder="0" applyAlignment="0" applyProtection="0"/>
    <xf numFmtId="0" fontId="1" fillId="0" borderId="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24" fillId="0" borderId="0"/>
    <xf numFmtId="0" fontId="1" fillId="0" borderId="0" applyNumberFormat="0" applyFont="0" applyFill="0" applyBorder="0" applyAlignment="0" applyProtection="0"/>
    <xf numFmtId="0" fontId="1" fillId="0" borderId="0"/>
    <xf numFmtId="0" fontId="1" fillId="0" borderId="0"/>
    <xf numFmtId="0" fontId="1" fillId="15" borderId="0" applyNumberFormat="0" applyFont="0" applyBorder="0" applyAlignment="0" applyProtection="0"/>
    <xf numFmtId="0" fontId="1" fillId="15" borderId="0" applyNumberFormat="0" applyFont="0" applyBorder="0" applyAlignment="0" applyProtection="0"/>
    <xf numFmtId="0" fontId="238" fillId="0" borderId="0"/>
    <xf numFmtId="44" fontId="238" fillId="0" borderId="0" applyFont="0" applyFill="0" applyBorder="0" applyAlignment="0" applyProtection="0"/>
    <xf numFmtId="0" fontId="244" fillId="0" borderId="0"/>
  </cellStyleXfs>
  <cellXfs count="4180">
    <xf numFmtId="0" fontId="0" fillId="0" borderId="0" xfId="0"/>
    <xf numFmtId="0" fontId="19" fillId="16" borderId="0" xfId="0" applyFont="1" applyFill="1" applyAlignment="1">
      <alignment wrapText="1"/>
    </xf>
    <xf numFmtId="167" fontId="88" fillId="0" borderId="0" xfId="57" applyNumberFormat="1" applyFont="1" applyFill="1" applyBorder="1" applyAlignment="1">
      <alignment horizontal="center"/>
    </xf>
    <xf numFmtId="0" fontId="2" fillId="0" borderId="0" xfId="0" applyFont="1"/>
    <xf numFmtId="0" fontId="9" fillId="0" borderId="0" xfId="0" applyFont="1"/>
    <xf numFmtId="0" fontId="24" fillId="0" borderId="0" xfId="0" applyFont="1"/>
    <xf numFmtId="164" fontId="2" fillId="0" borderId="0" xfId="112" applyNumberFormat="1" applyFont="1"/>
    <xf numFmtId="164" fontId="2" fillId="0" borderId="12" xfId="112" applyNumberFormat="1" applyFont="1" applyBorder="1"/>
    <xf numFmtId="37" fontId="2" fillId="0" borderId="0" xfId="0" applyNumberFormat="1" applyFont="1" applyBorder="1"/>
    <xf numFmtId="37" fontId="2" fillId="0" borderId="12" xfId="0" applyNumberFormat="1" applyFont="1" applyBorder="1"/>
    <xf numFmtId="164" fontId="2" fillId="17" borderId="0" xfId="112" applyNumberFormat="1" applyFont="1" applyFill="1"/>
    <xf numFmtId="164" fontId="2" fillId="17" borderId="12" xfId="112" applyNumberFormat="1" applyFont="1" applyFill="1" applyBorder="1"/>
    <xf numFmtId="164" fontId="2" fillId="17" borderId="0" xfId="112" applyNumberFormat="1" applyFont="1" applyFill="1" applyBorder="1"/>
    <xf numFmtId="164" fontId="14" fillId="17" borderId="0" xfId="112" applyNumberFormat="1" applyFont="1" applyFill="1" applyBorder="1"/>
    <xf numFmtId="164" fontId="2" fillId="0" borderId="12" xfId="112" applyNumberFormat="1" applyFont="1" applyFill="1" applyBorder="1"/>
    <xf numFmtId="164" fontId="2" fillId="0" borderId="0" xfId="112" applyNumberFormat="1" applyFont="1" applyFill="1" applyBorder="1"/>
    <xf numFmtId="164" fontId="2" fillId="0" borderId="0" xfId="112" applyNumberFormat="1" applyFont="1" applyBorder="1"/>
    <xf numFmtId="167" fontId="2" fillId="0" borderId="0" xfId="57" applyNumberFormat="1" applyFont="1" applyFill="1"/>
    <xf numFmtId="167" fontId="2" fillId="0" borderId="0" xfId="57" applyNumberFormat="1" applyFont="1"/>
    <xf numFmtId="0" fontId="2" fillId="0" borderId="12" xfId="0" applyFont="1" applyBorder="1"/>
    <xf numFmtId="164" fontId="14" fillId="0" borderId="0" xfId="112" applyNumberFormat="1" applyFont="1"/>
    <xf numFmtId="0" fontId="3" fillId="0" borderId="0" xfId="0" applyFont="1"/>
    <xf numFmtId="37" fontId="3" fillId="0" borderId="0" xfId="0" applyNumberFormat="1" applyFont="1"/>
    <xf numFmtId="37" fontId="3" fillId="0" borderId="0" xfId="0" applyNumberFormat="1" applyFont="1" applyFill="1"/>
    <xf numFmtId="0" fontId="30" fillId="0" borderId="0" xfId="0" applyFont="1"/>
    <xf numFmtId="0" fontId="31" fillId="0" borderId="0" xfId="0" applyFont="1"/>
    <xf numFmtId="0" fontId="8" fillId="0" borderId="0" xfId="0" applyFont="1"/>
    <xf numFmtId="43" fontId="30" fillId="0" borderId="13" xfId="57" applyFont="1" applyFill="1" applyBorder="1"/>
    <xf numFmtId="0" fontId="30" fillId="0" borderId="13" xfId="0" applyFont="1" applyBorder="1"/>
    <xf numFmtId="43" fontId="30" fillId="0" borderId="0" xfId="57" applyFont="1"/>
    <xf numFmtId="3" fontId="3" fillId="0" borderId="0" xfId="57" applyNumberFormat="1" applyFont="1"/>
    <xf numFmtId="3" fontId="30" fillId="0" borderId="0" xfId="57" applyNumberFormat="1" applyFont="1"/>
    <xf numFmtId="43" fontId="3" fillId="0" borderId="0" xfId="57" applyFont="1"/>
    <xf numFmtId="43" fontId="3" fillId="0" borderId="0" xfId="57" applyFont="1"/>
    <xf numFmtId="164" fontId="3" fillId="0" borderId="0" xfId="0" applyNumberFormat="1" applyFont="1"/>
    <xf numFmtId="3" fontId="3" fillId="17" borderId="0" xfId="57" applyNumberFormat="1" applyFont="1" applyFill="1"/>
    <xf numFmtId="3" fontId="30" fillId="17" borderId="0" xfId="57" applyNumberFormat="1" applyFont="1" applyFill="1"/>
    <xf numFmtId="164" fontId="3" fillId="17" borderId="0" xfId="112" applyNumberFormat="1" applyFont="1" applyFill="1"/>
    <xf numFmtId="3" fontId="3" fillId="0" borderId="0" xfId="0" applyNumberFormat="1" applyFont="1"/>
    <xf numFmtId="3" fontId="3" fillId="17" borderId="0" xfId="0" applyNumberFormat="1" applyFont="1" applyFill="1"/>
    <xf numFmtId="3" fontId="30" fillId="0" borderId="0" xfId="0" applyNumberFormat="1" applyFont="1"/>
    <xf numFmtId="37" fontId="30" fillId="0" borderId="0" xfId="0" applyNumberFormat="1" applyFont="1" applyFill="1"/>
    <xf numFmtId="3" fontId="3" fillId="0" borderId="0" xfId="0" applyNumberFormat="1" applyFont="1" applyFill="1"/>
    <xf numFmtId="37" fontId="30" fillId="0" borderId="13" xfId="0" applyNumberFormat="1" applyFont="1" applyBorder="1"/>
    <xf numFmtId="0" fontId="3" fillId="0" borderId="0" xfId="0" applyFont="1" applyFill="1"/>
    <xf numFmtId="43" fontId="30" fillId="17" borderId="0" xfId="57" applyFont="1" applyFill="1"/>
    <xf numFmtId="0" fontId="3" fillId="17" borderId="0" xfId="0" applyFont="1" applyFill="1"/>
    <xf numFmtId="37" fontId="3" fillId="17" borderId="0" xfId="0" applyNumberFormat="1" applyFont="1" applyFill="1"/>
    <xf numFmtId="43" fontId="30" fillId="0" borderId="0" xfId="57" applyFont="1" applyFill="1"/>
    <xf numFmtId="37" fontId="16" fillId="0" borderId="0" xfId="0" applyNumberFormat="1" applyFont="1" applyFill="1"/>
    <xf numFmtId="0" fontId="16" fillId="0" borderId="0" xfId="0" applyFont="1"/>
    <xf numFmtId="37" fontId="3" fillId="0" borderId="0" xfId="57" applyNumberFormat="1" applyFont="1"/>
    <xf numFmtId="37" fontId="3" fillId="0" borderId="0" xfId="57" applyNumberFormat="1" applyFont="1" applyFill="1"/>
    <xf numFmtId="37" fontId="16" fillId="0" borderId="0" xfId="57" applyNumberFormat="1" applyFont="1" applyFill="1"/>
    <xf numFmtId="37" fontId="30" fillId="0" borderId="0" xfId="57" applyNumberFormat="1" applyFont="1" applyFill="1"/>
    <xf numFmtId="3" fontId="8" fillId="0" borderId="0" xfId="0" applyNumberFormat="1" applyFont="1"/>
    <xf numFmtId="3" fontId="16" fillId="0" borderId="0" xfId="0" applyNumberFormat="1" applyFont="1"/>
    <xf numFmtId="3" fontId="31" fillId="0" borderId="0" xfId="57" applyNumberFormat="1" applyFont="1"/>
    <xf numFmtId="167" fontId="3" fillId="0" borderId="0" xfId="57" applyNumberFormat="1" applyFont="1"/>
    <xf numFmtId="0" fontId="0" fillId="0" borderId="0" xfId="0" applyFill="1"/>
    <xf numFmtId="0" fontId="32" fillId="0" borderId="13" xfId="0" applyFont="1" applyBorder="1"/>
    <xf numFmtId="0" fontId="32" fillId="0" borderId="13" xfId="0" applyFont="1" applyFill="1" applyBorder="1"/>
    <xf numFmtId="3" fontId="16" fillId="0" borderId="0" xfId="57" applyNumberFormat="1" applyFont="1" applyFill="1"/>
    <xf numFmtId="3" fontId="30" fillId="0" borderId="0" xfId="57" applyNumberFormat="1" applyFont="1" applyFill="1"/>
    <xf numFmtId="43" fontId="31" fillId="0" borderId="0" xfId="57" applyFont="1"/>
    <xf numFmtId="164" fontId="0" fillId="0" borderId="0" xfId="0" applyNumberFormat="1"/>
    <xf numFmtId="3" fontId="34" fillId="0" borderId="0" xfId="57" applyNumberFormat="1" applyFont="1"/>
    <xf numFmtId="3" fontId="34" fillId="0" borderId="0" xfId="57" applyNumberFormat="1" applyFont="1" applyFill="1"/>
    <xf numFmtId="0" fontId="1" fillId="0" borderId="0" xfId="0" applyFont="1"/>
    <xf numFmtId="0" fontId="1" fillId="0" borderId="0" xfId="0" applyFont="1" applyFill="1"/>
    <xf numFmtId="37" fontId="34" fillId="0" borderId="0" xfId="57" applyNumberFormat="1" applyFont="1"/>
    <xf numFmtId="37" fontId="1" fillId="0" borderId="0" xfId="0" applyNumberFormat="1" applyFont="1"/>
    <xf numFmtId="37" fontId="34" fillId="0" borderId="0" xfId="57" applyNumberFormat="1" applyFont="1" applyFill="1"/>
    <xf numFmtId="37" fontId="35" fillId="0" borderId="0" xfId="57" applyNumberFormat="1" applyFont="1" applyFill="1"/>
    <xf numFmtId="3" fontId="0" fillId="0" borderId="0" xfId="0" applyNumberFormat="1"/>
    <xf numFmtId="3" fontId="16" fillId="0" borderId="0" xfId="0" applyNumberFormat="1" applyFont="1" applyFill="1"/>
    <xf numFmtId="7" fontId="3" fillId="0" borderId="0" xfId="0" applyNumberFormat="1" applyFont="1"/>
    <xf numFmtId="10" fontId="31" fillId="0" borderId="0" xfId="57" applyNumberFormat="1" applyFont="1"/>
    <xf numFmtId="10" fontId="31" fillId="0" borderId="0" xfId="0" applyNumberFormat="1" applyFont="1"/>
    <xf numFmtId="10" fontId="31" fillId="0" borderId="0" xfId="0" applyNumberFormat="1" applyFont="1" applyFill="1"/>
    <xf numFmtId="4" fontId="3" fillId="0" borderId="0" xfId="0" applyNumberFormat="1" applyFont="1"/>
    <xf numFmtId="43" fontId="30" fillId="0" borderId="0" xfId="57" applyFont="1" applyAlignment="1">
      <alignment horizontal="left" indent="1"/>
    </xf>
    <xf numFmtId="43" fontId="3" fillId="0" borderId="0" xfId="57" applyFont="1" applyAlignment="1">
      <alignment horizontal="left" indent="1"/>
    </xf>
    <xf numFmtId="167" fontId="32" fillId="0" borderId="0" xfId="57" applyNumberFormat="1" applyFont="1"/>
    <xf numFmtId="43" fontId="38" fillId="0" borderId="0" xfId="57" applyFont="1" applyAlignment="1">
      <alignment horizontal="left"/>
    </xf>
    <xf numFmtId="3" fontId="32" fillId="0" borderId="0" xfId="57" applyNumberFormat="1" applyFont="1"/>
    <xf numFmtId="3" fontId="16" fillId="0" borderId="0" xfId="57" applyNumberFormat="1" applyFont="1"/>
    <xf numFmtId="43" fontId="38" fillId="0" borderId="0" xfId="57" applyFont="1"/>
    <xf numFmtId="43" fontId="31" fillId="0" borderId="0" xfId="57" applyFont="1"/>
    <xf numFmtId="43" fontId="3" fillId="0" borderId="0" xfId="57" applyFont="1" applyAlignment="1">
      <alignment horizontal="left" indent="1"/>
    </xf>
    <xf numFmtId="0" fontId="37" fillId="0" borderId="0" xfId="0" applyFont="1"/>
    <xf numFmtId="0" fontId="37" fillId="0" borderId="0" xfId="0" applyFont="1" applyFill="1"/>
    <xf numFmtId="43" fontId="31" fillId="17" borderId="0" xfId="57" applyFont="1" applyFill="1" applyAlignment="1">
      <alignment horizontal="left"/>
    </xf>
    <xf numFmtId="43" fontId="3" fillId="17" borderId="0" xfId="57" applyFont="1" applyFill="1" applyAlignment="1">
      <alignment horizontal="left" indent="1"/>
    </xf>
    <xf numFmtId="43" fontId="31" fillId="17" borderId="0" xfId="57" applyFont="1" applyFill="1"/>
    <xf numFmtId="3" fontId="31" fillId="17" borderId="0" xfId="57" applyNumberFormat="1" applyFont="1" applyFill="1"/>
    <xf numFmtId="37" fontId="36" fillId="0" borderId="0" xfId="57" applyNumberFormat="1" applyFont="1" applyFill="1"/>
    <xf numFmtId="43" fontId="31" fillId="17" borderId="0" xfId="57" applyFont="1" applyFill="1"/>
    <xf numFmtId="37" fontId="34" fillId="17" borderId="0" xfId="57" applyNumberFormat="1" applyFont="1" applyFill="1"/>
    <xf numFmtId="37" fontId="35" fillId="17" borderId="0" xfId="57" applyNumberFormat="1" applyFont="1" applyFill="1"/>
    <xf numFmtId="37" fontId="36" fillId="17" borderId="0" xfId="57" applyNumberFormat="1" applyFont="1" applyFill="1"/>
    <xf numFmtId="0" fontId="1" fillId="17" borderId="0" xfId="0" applyFont="1" applyFill="1"/>
    <xf numFmtId="43" fontId="3" fillId="17" borderId="0" xfId="57" applyFont="1" applyFill="1"/>
    <xf numFmtId="37" fontId="30" fillId="17" borderId="0" xfId="57" applyNumberFormat="1" applyFont="1" applyFill="1"/>
    <xf numFmtId="3" fontId="33" fillId="17" borderId="0" xfId="57" applyNumberFormat="1" applyFont="1" applyFill="1"/>
    <xf numFmtId="37" fontId="31" fillId="17" borderId="0" xfId="57" applyNumberFormat="1" applyFont="1" applyFill="1"/>
    <xf numFmtId="37" fontId="33" fillId="17" borderId="0" xfId="57" applyNumberFormat="1" applyFont="1" applyFill="1"/>
    <xf numFmtId="37" fontId="39" fillId="17" borderId="0" xfId="0" applyNumberFormat="1" applyFont="1" applyFill="1"/>
    <xf numFmtId="37" fontId="35" fillId="0" borderId="0" xfId="57" applyNumberFormat="1" applyFont="1"/>
    <xf numFmtId="3" fontId="30" fillId="17" borderId="0" xfId="0" applyNumberFormat="1" applyFont="1" applyFill="1"/>
    <xf numFmtId="7" fontId="30" fillId="17" borderId="0" xfId="57" applyNumberFormat="1" applyFont="1" applyFill="1"/>
    <xf numFmtId="7" fontId="3" fillId="17" borderId="0" xfId="57" applyNumberFormat="1" applyFont="1" applyFill="1"/>
    <xf numFmtId="3" fontId="40" fillId="0" borderId="0" xfId="57" applyNumberFormat="1" applyFont="1"/>
    <xf numFmtId="3" fontId="9" fillId="0" borderId="0" xfId="0" applyNumberFormat="1" applyFont="1"/>
    <xf numFmtId="0" fontId="9" fillId="0" borderId="0" xfId="0" applyFont="1" applyFill="1" applyBorder="1"/>
    <xf numFmtId="0" fontId="9" fillId="0" borderId="0" xfId="0" applyFont="1" applyBorder="1"/>
    <xf numFmtId="37" fontId="2" fillId="0" borderId="0" xfId="0" applyNumberFormat="1" applyFont="1"/>
    <xf numFmtId="37" fontId="30" fillId="0" borderId="0" xfId="57" applyNumberFormat="1" applyFont="1"/>
    <xf numFmtId="0" fontId="17" fillId="0" borderId="0" xfId="0" applyFont="1"/>
    <xf numFmtId="40" fontId="30" fillId="0" borderId="0" xfId="57" applyNumberFormat="1" applyFont="1" applyAlignment="1">
      <alignment horizontal="left"/>
    </xf>
    <xf numFmtId="167" fontId="30" fillId="0" borderId="0" xfId="57" applyNumberFormat="1" applyFont="1"/>
    <xf numFmtId="167" fontId="2" fillId="0" borderId="12" xfId="57" applyNumberFormat="1" applyFont="1" applyFill="1" applyBorder="1"/>
    <xf numFmtId="167" fontId="2" fillId="0" borderId="0" xfId="57" applyNumberFormat="1" applyFont="1" applyFill="1" applyBorder="1"/>
    <xf numFmtId="167" fontId="2" fillId="0" borderId="14" xfId="57" applyNumberFormat="1" applyFont="1" applyFill="1" applyBorder="1"/>
    <xf numFmtId="37" fontId="2" fillId="0" borderId="0" xfId="0" applyNumberFormat="1" applyFont="1" applyFill="1"/>
    <xf numFmtId="37" fontId="14" fillId="0" borderId="12" xfId="0" applyNumberFormat="1" applyFont="1" applyBorder="1"/>
    <xf numFmtId="37" fontId="14" fillId="0" borderId="0" xfId="0" applyNumberFormat="1" applyFont="1"/>
    <xf numFmtId="37" fontId="14" fillId="0" borderId="0" xfId="0" applyNumberFormat="1" applyFont="1" applyFill="1"/>
    <xf numFmtId="5" fontId="9" fillId="0" borderId="0" xfId="0" applyNumberFormat="1" applyFont="1"/>
    <xf numFmtId="5" fontId="9" fillId="0" borderId="12" xfId="0" applyNumberFormat="1" applyFont="1" applyBorder="1"/>
    <xf numFmtId="37" fontId="9" fillId="0" borderId="0" xfId="0" applyNumberFormat="1" applyFont="1"/>
    <xf numFmtId="37" fontId="9" fillId="0" borderId="14" xfId="0" applyNumberFormat="1" applyFont="1" applyBorder="1"/>
    <xf numFmtId="43" fontId="2" fillId="0" borderId="0" xfId="57" applyFont="1" applyAlignment="1">
      <alignment horizontal="left" indent="1"/>
    </xf>
    <xf numFmtId="37" fontId="46" fillId="0" borderId="0" xfId="57" applyNumberFormat="1" applyFont="1"/>
    <xf numFmtId="37" fontId="9" fillId="0" borderId="0" xfId="0" applyNumberFormat="1" applyFont="1" applyBorder="1"/>
    <xf numFmtId="43" fontId="2" fillId="0" borderId="0" xfId="57" applyNumberFormat="1" applyFont="1"/>
    <xf numFmtId="164" fontId="14" fillId="0" borderId="12" xfId="112" applyNumberFormat="1" applyFont="1" applyBorder="1"/>
    <xf numFmtId="37" fontId="2" fillId="0" borderId="0" xfId="57" applyNumberFormat="1" applyFont="1"/>
    <xf numFmtId="37" fontId="9" fillId="0" borderId="0" xfId="0" applyNumberFormat="1" applyFont="1" applyFill="1"/>
    <xf numFmtId="37" fontId="9" fillId="0" borderId="12" xfId="0" applyNumberFormat="1" applyFont="1" applyFill="1" applyBorder="1"/>
    <xf numFmtId="37" fontId="9" fillId="0" borderId="12" xfId="0" applyNumberFormat="1" applyFont="1" applyBorder="1"/>
    <xf numFmtId="37" fontId="9" fillId="0" borderId="0" xfId="57" applyNumberFormat="1" applyFont="1"/>
    <xf numFmtId="43" fontId="9" fillId="0" borderId="0" xfId="57" applyFont="1"/>
    <xf numFmtId="37" fontId="14" fillId="0" borderId="12" xfId="0" applyNumberFormat="1" applyFont="1" applyFill="1" applyBorder="1"/>
    <xf numFmtId="37" fontId="2" fillId="0" borderId="0" xfId="57" applyNumberFormat="1" applyFont="1" applyFill="1"/>
    <xf numFmtId="3" fontId="9" fillId="0" borderId="0" xfId="63" applyNumberFormat="1" applyFont="1" applyBorder="1"/>
    <xf numFmtId="167" fontId="2" fillId="0" borderId="12" xfId="57" applyNumberFormat="1" applyFont="1" applyBorder="1"/>
    <xf numFmtId="43" fontId="2" fillId="0" borderId="0" xfId="57" applyNumberFormat="1" applyFont="1" applyFill="1"/>
    <xf numFmtId="37" fontId="14" fillId="0" borderId="0" xfId="0" applyNumberFormat="1" applyFont="1" applyBorder="1"/>
    <xf numFmtId="37" fontId="9" fillId="0" borderId="0" xfId="57" applyNumberFormat="1" applyFont="1" applyFill="1" applyBorder="1"/>
    <xf numFmtId="37" fontId="9" fillId="0" borderId="0" xfId="0" applyNumberFormat="1" applyFont="1" applyFill="1" applyBorder="1"/>
    <xf numFmtId="37" fontId="24" fillId="0" borderId="0" xfId="0" applyNumberFormat="1" applyFont="1" applyFill="1" applyBorder="1"/>
    <xf numFmtId="3" fontId="14" fillId="0" borderId="0" xfId="0" applyNumberFormat="1" applyFont="1" applyAlignment="1">
      <alignment horizontal="right"/>
    </xf>
    <xf numFmtId="167" fontId="9" fillId="0" borderId="0" xfId="57" applyNumberFormat="1" applyFont="1"/>
    <xf numFmtId="167" fontId="9" fillId="0" borderId="12" xfId="57" applyNumberFormat="1" applyFont="1" applyBorder="1"/>
    <xf numFmtId="43" fontId="9" fillId="0" borderId="12" xfId="57" applyNumberFormat="1" applyFont="1" applyBorder="1"/>
    <xf numFmtId="43" fontId="2" fillId="0" borderId="12" xfId="57" applyNumberFormat="1" applyFont="1" applyBorder="1"/>
    <xf numFmtId="37" fontId="2" fillId="18" borderId="12" xfId="0" applyNumberFormat="1" applyFont="1" applyFill="1" applyBorder="1"/>
    <xf numFmtId="0" fontId="3" fillId="0" borderId="0" xfId="0" applyFont="1" applyAlignment="1">
      <alignment horizontal="left" indent="1"/>
    </xf>
    <xf numFmtId="0" fontId="49" fillId="0" borderId="0" xfId="0" applyFont="1"/>
    <xf numFmtId="167" fontId="31" fillId="0" borderId="0" xfId="57" applyNumberFormat="1" applyFont="1" applyBorder="1"/>
    <xf numFmtId="167" fontId="3" fillId="0" borderId="0" xfId="57" applyNumberFormat="1" applyFont="1" applyBorder="1"/>
    <xf numFmtId="167" fontId="31" fillId="0" borderId="0" xfId="57" applyNumberFormat="1" applyFont="1"/>
    <xf numFmtId="167" fontId="3" fillId="0" borderId="0" xfId="57" applyNumberFormat="1" applyFont="1" applyAlignment="1">
      <alignment vertical="justify" wrapText="1"/>
    </xf>
    <xf numFmtId="167" fontId="30" fillId="0" borderId="15" xfId="57" applyNumberFormat="1" applyFont="1" applyBorder="1"/>
    <xf numFmtId="9" fontId="38" fillId="0" borderId="0" xfId="112" applyFont="1"/>
    <xf numFmtId="167" fontId="30" fillId="0" borderId="16" xfId="57" applyNumberFormat="1" applyFont="1" applyBorder="1"/>
    <xf numFmtId="9" fontId="31" fillId="0" borderId="17" xfId="112" applyFont="1" applyBorder="1"/>
    <xf numFmtId="9" fontId="50" fillId="0" borderId="0" xfId="112" applyFont="1" applyBorder="1"/>
    <xf numFmtId="9" fontId="50" fillId="0" borderId="14" xfId="112" applyFont="1" applyBorder="1"/>
    <xf numFmtId="167" fontId="3" fillId="0" borderId="12" xfId="57" applyNumberFormat="1" applyFont="1" applyBorder="1"/>
    <xf numFmtId="43" fontId="3" fillId="0" borderId="0" xfId="57" applyFont="1"/>
    <xf numFmtId="167" fontId="31" fillId="0" borderId="17" xfId="57" applyNumberFormat="1" applyFont="1" applyBorder="1"/>
    <xf numFmtId="167" fontId="16" fillId="0" borderId="0" xfId="57" applyNumberFormat="1" applyFont="1" applyBorder="1"/>
    <xf numFmtId="167" fontId="16" fillId="0" borderId="14" xfId="57" applyNumberFormat="1" applyFont="1" applyBorder="1"/>
    <xf numFmtId="167" fontId="16" fillId="0" borderId="12" xfId="57" applyNumberFormat="1" applyFont="1" applyBorder="1"/>
    <xf numFmtId="9" fontId="50" fillId="0" borderId="12" xfId="112" applyFont="1" applyBorder="1"/>
    <xf numFmtId="167" fontId="16" fillId="0" borderId="0" xfId="57" applyNumberFormat="1" applyFont="1" applyFill="1" applyBorder="1"/>
    <xf numFmtId="167" fontId="16" fillId="0" borderId="0" xfId="57" applyNumberFormat="1" applyFont="1"/>
    <xf numFmtId="9" fontId="38" fillId="0" borderId="17" xfId="112" applyFont="1" applyBorder="1"/>
    <xf numFmtId="9" fontId="51" fillId="0" borderId="0" xfId="112" applyFont="1" applyBorder="1"/>
    <xf numFmtId="9" fontId="51" fillId="0" borderId="14" xfId="112" applyFont="1" applyBorder="1"/>
    <xf numFmtId="0" fontId="3" fillId="0" borderId="17" xfId="0" applyFont="1" applyBorder="1"/>
    <xf numFmtId="0" fontId="16" fillId="0" borderId="0" xfId="0" applyFont="1" applyBorder="1"/>
    <xf numFmtId="0" fontId="16" fillId="0" borderId="14" xfId="0" applyFont="1" applyBorder="1"/>
    <xf numFmtId="167" fontId="52" fillId="0" borderId="12" xfId="57" applyNumberFormat="1" applyFont="1" applyBorder="1"/>
    <xf numFmtId="0" fontId="38" fillId="0" borderId="18" xfId="0" applyFont="1" applyBorder="1"/>
    <xf numFmtId="167" fontId="30" fillId="0" borderId="15" xfId="57" applyNumberFormat="1" applyFont="1" applyBorder="1" applyAlignment="1">
      <alignment horizontal="right"/>
    </xf>
    <xf numFmtId="167" fontId="30" fillId="0" borderId="19" xfId="57" applyNumberFormat="1" applyFont="1" applyBorder="1" applyAlignment="1">
      <alignment horizontal="right"/>
    </xf>
    <xf numFmtId="167" fontId="30" fillId="0" borderId="20" xfId="57" applyNumberFormat="1" applyFont="1" applyBorder="1" applyAlignment="1">
      <alignment horizontal="right"/>
    </xf>
    <xf numFmtId="0" fontId="31" fillId="0" borderId="17" xfId="0" applyFont="1" applyBorder="1"/>
    <xf numFmtId="0" fontId="50" fillId="0" borderId="0" xfId="0" applyFont="1" applyBorder="1"/>
    <xf numFmtId="0" fontId="50" fillId="0" borderId="14" xfId="0" applyFont="1" applyBorder="1"/>
    <xf numFmtId="0" fontId="50" fillId="0" borderId="0" xfId="0" applyFont="1"/>
    <xf numFmtId="0" fontId="50" fillId="0" borderId="12" xfId="0" applyFont="1" applyBorder="1"/>
    <xf numFmtId="167" fontId="50" fillId="0" borderId="0" xfId="0" applyNumberFormat="1" applyFont="1" applyBorder="1"/>
    <xf numFmtId="0" fontId="16" fillId="0" borderId="12" xfId="0" applyFont="1" applyBorder="1"/>
    <xf numFmtId="167" fontId="16" fillId="0" borderId="0" xfId="0" applyNumberFormat="1" applyFont="1"/>
    <xf numFmtId="167" fontId="3" fillId="0" borderId="17" xfId="57" applyNumberFormat="1" applyFont="1" applyBorder="1"/>
    <xf numFmtId="167" fontId="3" fillId="0" borderId="14" xfId="57" applyNumberFormat="1" applyFont="1" applyBorder="1"/>
    <xf numFmtId="0" fontId="31" fillId="0" borderId="0" xfId="0" applyFont="1" applyBorder="1"/>
    <xf numFmtId="0" fontId="31" fillId="0" borderId="14" xfId="0" applyFont="1" applyBorder="1"/>
    <xf numFmtId="0" fontId="31" fillId="0" borderId="12" xfId="0" applyFont="1" applyBorder="1"/>
    <xf numFmtId="0" fontId="31" fillId="0" borderId="21" xfId="0" applyFont="1" applyBorder="1"/>
    <xf numFmtId="0" fontId="50" fillId="0" borderId="22" xfId="0" applyFont="1" applyBorder="1"/>
    <xf numFmtId="167" fontId="50" fillId="0" borderId="0" xfId="0" applyNumberFormat="1" applyFont="1"/>
    <xf numFmtId="0" fontId="38" fillId="0" borderId="17" xfId="0" applyFont="1" applyBorder="1"/>
    <xf numFmtId="0" fontId="3" fillId="0" borderId="12" xfId="0" applyFont="1" applyBorder="1"/>
    <xf numFmtId="0" fontId="3" fillId="0" borderId="0" xfId="0" applyFont="1" applyBorder="1"/>
    <xf numFmtId="167" fontId="3" fillId="0" borderId="0" xfId="0" applyNumberFormat="1" applyFont="1" applyBorder="1"/>
    <xf numFmtId="167" fontId="16" fillId="0" borderId="0" xfId="57" applyNumberFormat="1" applyFont="1" applyFill="1"/>
    <xf numFmtId="167" fontId="16" fillId="0" borderId="12" xfId="57" applyNumberFormat="1" applyFont="1" applyFill="1" applyBorder="1"/>
    <xf numFmtId="0" fontId="30" fillId="0" borderId="21" xfId="0" applyFont="1" applyBorder="1"/>
    <xf numFmtId="37" fontId="16" fillId="0" borderId="0" xfId="0" applyNumberFormat="1" applyFont="1" applyFill="1" applyBorder="1"/>
    <xf numFmtId="0" fontId="38" fillId="0" borderId="12" xfId="0" applyFont="1" applyBorder="1"/>
    <xf numFmtId="0" fontId="38" fillId="0" borderId="0" xfId="0" applyFont="1"/>
    <xf numFmtId="0" fontId="38" fillId="0" borderId="0" xfId="0" applyFont="1" applyBorder="1"/>
    <xf numFmtId="167" fontId="38" fillId="0" borderId="0" xfId="0" applyNumberFormat="1" applyFont="1" applyBorder="1"/>
    <xf numFmtId="167" fontId="30" fillId="0" borderId="12" xfId="57" applyNumberFormat="1" applyFont="1" applyBorder="1"/>
    <xf numFmtId="167" fontId="30" fillId="0" borderId="0" xfId="57" applyNumberFormat="1" applyFont="1" applyBorder="1"/>
    <xf numFmtId="167" fontId="30" fillId="0" borderId="23" xfId="57" applyNumberFormat="1" applyFont="1" applyBorder="1" applyAlignment="1">
      <alignment horizontal="right"/>
    </xf>
    <xf numFmtId="167" fontId="30" fillId="0" borderId="16" xfId="57" applyNumberFormat="1" applyFont="1" applyBorder="1" applyAlignment="1">
      <alignment horizontal="right"/>
    </xf>
    <xf numFmtId="167" fontId="30" fillId="0" borderId="24" xfId="57" applyNumberFormat="1" applyFont="1" applyBorder="1" applyAlignment="1">
      <alignment horizontal="right"/>
    </xf>
    <xf numFmtId="167" fontId="9" fillId="0" borderId="14" xfId="57" applyNumberFormat="1" applyFont="1" applyFill="1" applyBorder="1"/>
    <xf numFmtId="167" fontId="2" fillId="0" borderId="14" xfId="57" applyNumberFormat="1" applyFont="1" applyBorder="1"/>
    <xf numFmtId="3" fontId="2" fillId="0" borderId="0" xfId="57" applyNumberFormat="1" applyFont="1"/>
    <xf numFmtId="9" fontId="2" fillId="0" borderId="0" xfId="112" applyFont="1"/>
    <xf numFmtId="0" fontId="19" fillId="16" borderId="0" xfId="0" applyFont="1" applyFill="1" applyAlignment="1">
      <alignment horizontal="left" indent="1"/>
    </xf>
    <xf numFmtId="0" fontId="19" fillId="16" borderId="0" xfId="0" applyFont="1" applyFill="1" applyAlignment="1">
      <alignment horizontal="left"/>
    </xf>
    <xf numFmtId="0" fontId="19" fillId="16" borderId="0" xfId="0" applyFont="1" applyFill="1" applyAlignment="1">
      <alignment horizontal="right"/>
    </xf>
    <xf numFmtId="0" fontId="19" fillId="19" borderId="0" xfId="0" applyFont="1" applyFill="1" applyAlignment="1">
      <alignment horizontal="left" wrapText="1" indent="2"/>
    </xf>
    <xf numFmtId="0" fontId="19" fillId="19" borderId="0" xfId="0" applyFont="1" applyFill="1" applyAlignment="1">
      <alignment horizontal="left"/>
    </xf>
    <xf numFmtId="0" fontId="19" fillId="19" borderId="0" xfId="0" applyFont="1" applyFill="1" applyAlignment="1">
      <alignment horizontal="right"/>
    </xf>
    <xf numFmtId="0" fontId="19" fillId="16" borderId="0" xfId="0" applyFont="1" applyFill="1" applyAlignment="1">
      <alignment horizontal="left" indent="2"/>
    </xf>
    <xf numFmtId="0" fontId="53" fillId="16" borderId="0" xfId="0" applyFont="1" applyFill="1" applyAlignment="1">
      <alignment wrapText="1"/>
    </xf>
    <xf numFmtId="0" fontId="53" fillId="16" borderId="25" xfId="0" applyFont="1" applyFill="1" applyBorder="1" applyAlignment="1">
      <alignment wrapText="1"/>
    </xf>
    <xf numFmtId="0" fontId="19" fillId="16" borderId="0" xfId="0" applyFont="1" applyFill="1" applyAlignment="1">
      <alignment horizontal="left" wrapText="1" indent="3"/>
    </xf>
    <xf numFmtId="3" fontId="19" fillId="16" borderId="0" xfId="0" applyNumberFormat="1" applyFont="1" applyFill="1" applyAlignment="1">
      <alignment horizontal="right"/>
    </xf>
    <xf numFmtId="0" fontId="19" fillId="19" borderId="0" xfId="0" applyFont="1" applyFill="1" applyAlignment="1">
      <alignment horizontal="left" wrapText="1" indent="1"/>
    </xf>
    <xf numFmtId="3" fontId="19" fillId="19" borderId="0" xfId="0" applyNumberFormat="1" applyFont="1" applyFill="1" applyAlignment="1">
      <alignment horizontal="right"/>
    </xf>
    <xf numFmtId="0" fontId="19" fillId="16" borderId="0" xfId="0" applyFont="1" applyFill="1" applyAlignment="1">
      <alignment horizontal="left" wrapText="1" indent="1"/>
    </xf>
    <xf numFmtId="0" fontId="19" fillId="19" borderId="0" xfId="0" applyFont="1" applyFill="1" applyAlignment="1">
      <alignment horizontal="left" indent="2"/>
    </xf>
    <xf numFmtId="0" fontId="19" fillId="19" borderId="0" xfId="0" applyFont="1" applyFill="1" applyAlignment="1">
      <alignment horizontal="left" wrapText="1" indent="3"/>
    </xf>
    <xf numFmtId="0" fontId="53" fillId="16" borderId="26" xfId="0" applyFont="1" applyFill="1" applyBorder="1" applyAlignment="1">
      <alignment wrapText="1"/>
    </xf>
    <xf numFmtId="0" fontId="19" fillId="19" borderId="0" xfId="0" applyFont="1" applyFill="1" applyAlignment="1">
      <alignment horizontal="left" indent="1"/>
    </xf>
    <xf numFmtId="0" fontId="19" fillId="16" borderId="0" xfId="0" applyFont="1" applyFill="1" applyAlignment="1">
      <alignment horizontal="left" wrapText="1" indent="2"/>
    </xf>
    <xf numFmtId="0" fontId="54" fillId="0" borderId="0" xfId="0" applyFont="1"/>
    <xf numFmtId="0" fontId="0" fillId="0" borderId="0" xfId="0" applyAlignment="1">
      <alignment horizontal="center"/>
    </xf>
    <xf numFmtId="0" fontId="19" fillId="0" borderId="0" xfId="0" applyFont="1" applyAlignment="1">
      <alignment horizontal="center"/>
    </xf>
    <xf numFmtId="3" fontId="19" fillId="15" borderId="27" xfId="0" applyNumberFormat="1" applyFont="1" applyFill="1" applyBorder="1" applyAlignment="1">
      <alignment horizontal="right"/>
    </xf>
    <xf numFmtId="0" fontId="53" fillId="16" borderId="0" xfId="0" applyFont="1" applyFill="1" applyBorder="1" applyAlignment="1">
      <alignment wrapText="1"/>
    </xf>
    <xf numFmtId="0" fontId="19" fillId="15" borderId="27" xfId="0" applyFont="1" applyFill="1" applyBorder="1" applyAlignment="1">
      <alignment horizontal="right"/>
    </xf>
    <xf numFmtId="3" fontId="16" fillId="20" borderId="0" xfId="0" applyNumberFormat="1" applyFont="1" applyFill="1"/>
    <xf numFmtId="0" fontId="0" fillId="16" borderId="0" xfId="0" applyFill="1"/>
    <xf numFmtId="0" fontId="19" fillId="19" borderId="0" xfId="0" applyFont="1" applyFill="1" applyAlignment="1">
      <alignment wrapText="1"/>
    </xf>
    <xf numFmtId="0" fontId="6" fillId="0" borderId="0" xfId="0" applyFont="1" applyAlignment="1">
      <alignment horizontal="center"/>
    </xf>
    <xf numFmtId="0" fontId="13" fillId="16" borderId="0" xfId="0" applyFont="1" applyFill="1" applyAlignment="1">
      <alignment wrapText="1"/>
    </xf>
    <xf numFmtId="0" fontId="6" fillId="16" borderId="0" xfId="0" applyFont="1" applyFill="1" applyAlignment="1">
      <alignment vertical="top" wrapText="1"/>
    </xf>
    <xf numFmtId="0" fontId="19" fillId="0" borderId="0" xfId="0" applyFont="1" applyAlignment="1">
      <alignment horizontal="left"/>
    </xf>
    <xf numFmtId="0" fontId="53" fillId="16" borderId="0" xfId="0" applyFont="1" applyFill="1" applyAlignment="1">
      <alignment horizontal="right" wrapText="1"/>
    </xf>
    <xf numFmtId="0" fontId="53" fillId="16" borderId="0" xfId="0" applyFont="1" applyFill="1" applyAlignment="1">
      <alignment horizontal="left" wrapText="1"/>
    </xf>
    <xf numFmtId="0" fontId="55" fillId="0" borderId="0" xfId="0" applyFont="1" applyAlignment="1">
      <alignment horizontal="left"/>
    </xf>
    <xf numFmtId="0" fontId="15" fillId="0" borderId="0" xfId="78" applyAlignment="1" applyProtection="1">
      <alignment horizontal="left"/>
    </xf>
    <xf numFmtId="0" fontId="11" fillId="16" borderId="0" xfId="0" applyFont="1" applyFill="1" applyAlignment="1">
      <alignment horizontal="center"/>
    </xf>
    <xf numFmtId="0" fontId="11" fillId="16" borderId="0" xfId="0" applyFont="1" applyFill="1" applyAlignment="1">
      <alignment horizontal="center" wrapText="1"/>
    </xf>
    <xf numFmtId="164" fontId="2" fillId="16" borderId="12" xfId="112" applyNumberFormat="1" applyFont="1" applyFill="1" applyBorder="1"/>
    <xf numFmtId="38" fontId="0" fillId="0" borderId="0" xfId="0" applyNumberFormat="1"/>
    <xf numFmtId="3" fontId="1" fillId="0" borderId="0" xfId="0" applyNumberFormat="1" applyFont="1"/>
    <xf numFmtId="164" fontId="14" fillId="0" borderId="0" xfId="112" applyNumberFormat="1" applyFont="1" applyFill="1" applyBorder="1"/>
    <xf numFmtId="43" fontId="3" fillId="0" borderId="0" xfId="0" applyNumberFormat="1" applyFont="1"/>
    <xf numFmtId="164" fontId="14" fillId="17" borderId="0" xfId="112" applyNumberFormat="1" applyFont="1" applyFill="1"/>
    <xf numFmtId="167" fontId="9" fillId="0" borderId="0" xfId="57" applyNumberFormat="1" applyFont="1" applyFill="1" applyBorder="1"/>
    <xf numFmtId="167" fontId="2" fillId="0" borderId="0" xfId="57" applyNumberFormat="1" applyFont="1" applyBorder="1"/>
    <xf numFmtId="164" fontId="14" fillId="0" borderId="0" xfId="112" applyNumberFormat="1" applyFont="1" applyBorder="1"/>
    <xf numFmtId="3" fontId="2" fillId="0" borderId="0" xfId="57" applyNumberFormat="1" applyFont="1" applyBorder="1"/>
    <xf numFmtId="3" fontId="9" fillId="0" borderId="0" xfId="57" applyNumberFormat="1" applyFont="1" applyBorder="1"/>
    <xf numFmtId="2" fontId="48" fillId="0" borderId="0" xfId="63" applyNumberFormat="1" applyFont="1" applyFill="1" applyBorder="1"/>
    <xf numFmtId="164" fontId="14" fillId="17" borderId="12" xfId="112" applyNumberFormat="1" applyFont="1" applyFill="1" applyBorder="1"/>
    <xf numFmtId="0" fontId="1" fillId="0" borderId="0" xfId="0" applyNumberFormat="1" applyFont="1"/>
    <xf numFmtId="49" fontId="0" fillId="0" borderId="0" xfId="0" applyNumberFormat="1"/>
    <xf numFmtId="0" fontId="3" fillId="0" borderId="27" xfId="0" applyFont="1" applyBorder="1"/>
    <xf numFmtId="0" fontId="3" fillId="0" borderId="0" xfId="0" applyFont="1"/>
    <xf numFmtId="0" fontId="0" fillId="20" borderId="0" xfId="0" applyFill="1"/>
    <xf numFmtId="3" fontId="0" fillId="20" borderId="0" xfId="0" applyNumberFormat="1" applyFill="1"/>
    <xf numFmtId="164" fontId="2" fillId="0" borderId="14" xfId="112" applyNumberFormat="1" applyFont="1" applyBorder="1"/>
    <xf numFmtId="0" fontId="9" fillId="0" borderId="0" xfId="0" applyFont="1"/>
    <xf numFmtId="0" fontId="0" fillId="0" borderId="0" xfId="0" applyFill="1" applyBorder="1"/>
    <xf numFmtId="37" fontId="0" fillId="0" borderId="0" xfId="0" applyNumberFormat="1"/>
    <xf numFmtId="0" fontId="9" fillId="0" borderId="22" xfId="0" applyFont="1" applyBorder="1"/>
    <xf numFmtId="0" fontId="9" fillId="0" borderId="28" xfId="0" applyFont="1" applyBorder="1"/>
    <xf numFmtId="37" fontId="9" fillId="0" borderId="28" xfId="0" applyNumberFormat="1" applyFont="1" applyBorder="1"/>
    <xf numFmtId="37" fontId="9" fillId="0" borderId="22" xfId="57" applyNumberFormat="1" applyFont="1" applyFill="1" applyBorder="1"/>
    <xf numFmtId="0" fontId="0" fillId="0" borderId="0" xfId="0" applyBorder="1"/>
    <xf numFmtId="9" fontId="0" fillId="0" borderId="0" xfId="0" applyNumberFormat="1"/>
    <xf numFmtId="164" fontId="30" fillId="17" borderId="0" xfId="57" applyNumberFormat="1" applyFont="1" applyFill="1"/>
    <xf numFmtId="37" fontId="9" fillId="17" borderId="0" xfId="57" applyNumberFormat="1" applyFont="1" applyFill="1"/>
    <xf numFmtId="37" fontId="2" fillId="18" borderId="14" xfId="0" applyNumberFormat="1" applyFont="1" applyFill="1" applyBorder="1"/>
    <xf numFmtId="0" fontId="0" fillId="21" borderId="0" xfId="0" applyFill="1"/>
    <xf numFmtId="37" fontId="16" fillId="0" borderId="0" xfId="0" applyNumberFormat="1" applyFont="1"/>
    <xf numFmtId="37" fontId="16" fillId="17" borderId="0" xfId="0" applyNumberFormat="1" applyFont="1" applyFill="1"/>
    <xf numFmtId="37" fontId="30" fillId="0" borderId="29" xfId="0" applyNumberFormat="1" applyFont="1" applyBorder="1"/>
    <xf numFmtId="37" fontId="3" fillId="17" borderId="12" xfId="0" applyNumberFormat="1" applyFont="1" applyFill="1" applyBorder="1"/>
    <xf numFmtId="37" fontId="16" fillId="0" borderId="12" xfId="0" applyNumberFormat="1" applyFont="1" applyFill="1" applyBorder="1"/>
    <xf numFmtId="37" fontId="3" fillId="0" borderId="12" xfId="57" applyNumberFormat="1" applyFont="1" applyFill="1" applyBorder="1"/>
    <xf numFmtId="37" fontId="30" fillId="0" borderId="12" xfId="57" applyNumberFormat="1" applyFont="1" applyFill="1" applyBorder="1"/>
    <xf numFmtId="37" fontId="3" fillId="0" borderId="12" xfId="0" applyNumberFormat="1" applyFont="1" applyFill="1" applyBorder="1"/>
    <xf numFmtId="3" fontId="3" fillId="0" borderId="12" xfId="57" applyNumberFormat="1" applyFont="1" applyBorder="1"/>
    <xf numFmtId="37" fontId="3" fillId="0" borderId="12" xfId="57" applyNumberFormat="1" applyFont="1" applyBorder="1"/>
    <xf numFmtId="37" fontId="3" fillId="0" borderId="12" xfId="0" applyNumberFormat="1" applyFont="1" applyBorder="1"/>
    <xf numFmtId="37" fontId="16" fillId="0" borderId="12" xfId="57" applyNumberFormat="1" applyFont="1" applyFill="1" applyBorder="1"/>
    <xf numFmtId="37" fontId="30" fillId="0" borderId="12" xfId="0" applyNumberFormat="1" applyFont="1" applyFill="1" applyBorder="1"/>
    <xf numFmtId="167" fontId="32" fillId="0" borderId="12" xfId="57" applyNumberFormat="1" applyFont="1" applyBorder="1"/>
    <xf numFmtId="43" fontId="30" fillId="17" borderId="12" xfId="57" applyFont="1" applyFill="1" applyBorder="1"/>
    <xf numFmtId="167" fontId="50" fillId="0" borderId="12" xfId="0" applyNumberFormat="1" applyFont="1" applyBorder="1"/>
    <xf numFmtId="167" fontId="3" fillId="0" borderId="12" xfId="0" applyNumberFormat="1" applyFont="1" applyBorder="1"/>
    <xf numFmtId="167" fontId="38" fillId="0" borderId="12" xfId="0" applyNumberFormat="1" applyFont="1" applyBorder="1"/>
    <xf numFmtId="0" fontId="3" fillId="0" borderId="12" xfId="0" applyFont="1" applyFill="1" applyBorder="1"/>
    <xf numFmtId="3" fontId="37" fillId="0" borderId="0" xfId="0" applyNumberFormat="1" applyFont="1"/>
    <xf numFmtId="3" fontId="61" fillId="0" borderId="0" xfId="0" applyNumberFormat="1" applyFont="1"/>
    <xf numFmtId="3" fontId="62" fillId="0" borderId="0" xfId="57" applyNumberFormat="1" applyFont="1"/>
    <xf numFmtId="164" fontId="0" fillId="20" borderId="30" xfId="0" applyNumberFormat="1" applyFill="1" applyBorder="1"/>
    <xf numFmtId="164" fontId="0" fillId="20" borderId="31" xfId="0" applyNumberFormat="1" applyFill="1" applyBorder="1"/>
    <xf numFmtId="164" fontId="0" fillId="0" borderId="31" xfId="0" applyNumberFormat="1" applyBorder="1"/>
    <xf numFmtId="164" fontId="0" fillId="20" borderId="32" xfId="0" applyNumberFormat="1" applyFill="1" applyBorder="1"/>
    <xf numFmtId="38" fontId="37" fillId="0" borderId="0" xfId="0" applyNumberFormat="1" applyFont="1"/>
    <xf numFmtId="3" fontId="0" fillId="0" borderId="0" xfId="0" applyNumberFormat="1" applyFill="1"/>
    <xf numFmtId="0" fontId="3" fillId="21" borderId="0" xfId="0" applyFont="1" applyFill="1"/>
    <xf numFmtId="4" fontId="3" fillId="21" borderId="0" xfId="0" applyNumberFormat="1" applyFont="1" applyFill="1"/>
    <xf numFmtId="0" fontId="1" fillId="21" borderId="0" xfId="0" applyNumberFormat="1" applyFont="1" applyFill="1"/>
    <xf numFmtId="37" fontId="37" fillId="0" borderId="0" xfId="0" applyNumberFormat="1" applyFont="1"/>
    <xf numFmtId="3" fontId="63" fillId="0" borderId="0" xfId="0" applyNumberFormat="1" applyFont="1"/>
    <xf numFmtId="37" fontId="63" fillId="0" borderId="0" xfId="0" applyNumberFormat="1" applyFont="1" applyFill="1"/>
    <xf numFmtId="164" fontId="2" fillId="16" borderId="0" xfId="112" applyNumberFormat="1" applyFont="1" applyFill="1" applyBorder="1"/>
    <xf numFmtId="167" fontId="63" fillId="0" borderId="0" xfId="57" applyNumberFormat="1" applyFont="1" applyBorder="1"/>
    <xf numFmtId="167" fontId="3" fillId="0" borderId="0" xfId="0" applyNumberFormat="1" applyFont="1"/>
    <xf numFmtId="37" fontId="63" fillId="0" borderId="0" xfId="0" applyNumberFormat="1" applyFont="1"/>
    <xf numFmtId="37" fontId="63" fillId="0" borderId="0" xfId="57" applyNumberFormat="1" applyFont="1" applyFill="1"/>
    <xf numFmtId="37" fontId="63" fillId="21" borderId="0" xfId="0" applyNumberFormat="1" applyFont="1" applyFill="1"/>
    <xf numFmtId="5" fontId="3" fillId="0" borderId="0" xfId="0" applyNumberFormat="1" applyFont="1"/>
    <xf numFmtId="37" fontId="16" fillId="0" borderId="0" xfId="57" applyNumberFormat="1" applyFont="1"/>
    <xf numFmtId="37" fontId="0" fillId="0" borderId="0" xfId="0" applyNumberFormat="1" applyFill="1"/>
    <xf numFmtId="37" fontId="14" fillId="0" borderId="0" xfId="0" applyNumberFormat="1" applyFont="1" applyFill="1" applyBorder="1"/>
    <xf numFmtId="0" fontId="9" fillId="18" borderId="0" xfId="0" applyFont="1" applyFill="1" applyBorder="1"/>
    <xf numFmtId="164" fontId="9" fillId="18" borderId="0" xfId="112" applyNumberFormat="1" applyFont="1" applyFill="1" applyBorder="1"/>
    <xf numFmtId="37" fontId="2" fillId="18" borderId="0" xfId="0" applyNumberFormat="1" applyFont="1" applyFill="1" applyBorder="1"/>
    <xf numFmtId="4" fontId="2" fillId="0" borderId="0" xfId="112" applyNumberFormat="1" applyFont="1" applyFill="1" applyBorder="1"/>
    <xf numFmtId="2" fontId="9" fillId="0" borderId="0" xfId="112" applyNumberFormat="1" applyFont="1" applyFill="1" applyBorder="1"/>
    <xf numFmtId="167" fontId="14" fillId="0" borderId="0" xfId="57" applyNumberFormat="1" applyFont="1" applyFill="1" applyBorder="1"/>
    <xf numFmtId="167" fontId="14" fillId="0" borderId="0" xfId="57" applyNumberFormat="1" applyFont="1" applyFill="1"/>
    <xf numFmtId="167" fontId="9" fillId="18" borderId="0" xfId="57" applyNumberFormat="1" applyFont="1" applyFill="1" applyBorder="1"/>
    <xf numFmtId="167" fontId="66" fillId="0" borderId="12" xfId="57" applyNumberFormat="1" applyFont="1" applyFill="1" applyBorder="1"/>
    <xf numFmtId="167" fontId="66" fillId="0" borderId="0" xfId="57" applyNumberFormat="1" applyFont="1" applyFill="1" applyBorder="1"/>
    <xf numFmtId="164" fontId="66" fillId="0" borderId="12" xfId="112" applyNumberFormat="1" applyFont="1" applyFill="1" applyBorder="1"/>
    <xf numFmtId="164" fontId="66" fillId="0" borderId="0" xfId="112" applyNumberFormat="1" applyFont="1" applyFill="1" applyBorder="1"/>
    <xf numFmtId="167" fontId="66" fillId="0" borderId="0" xfId="57" applyNumberFormat="1" applyFont="1" applyFill="1"/>
    <xf numFmtId="164" fontId="14" fillId="0" borderId="0" xfId="0" applyNumberFormat="1" applyFont="1" applyFill="1" applyBorder="1"/>
    <xf numFmtId="3" fontId="2" fillId="16" borderId="14" xfId="0" applyNumberFormat="1" applyFont="1" applyFill="1" applyBorder="1"/>
    <xf numFmtId="164" fontId="14" fillId="16" borderId="14" xfId="112" applyNumberFormat="1" applyFont="1" applyFill="1" applyBorder="1"/>
    <xf numFmtId="164" fontId="2" fillId="16" borderId="14" xfId="112" applyNumberFormat="1" applyFont="1" applyFill="1" applyBorder="1"/>
    <xf numFmtId="164" fontId="2" fillId="17" borderId="14" xfId="112" applyNumberFormat="1" applyFont="1" applyFill="1" applyBorder="1"/>
    <xf numFmtId="37" fontId="9" fillId="0" borderId="14" xfId="0" applyNumberFormat="1" applyFont="1" applyFill="1" applyBorder="1"/>
    <xf numFmtId="167" fontId="14" fillId="0" borderId="14" xfId="57" applyNumberFormat="1" applyFont="1" applyFill="1" applyBorder="1"/>
    <xf numFmtId="4" fontId="9" fillId="0" borderId="0" xfId="112" applyNumberFormat="1" applyFont="1" applyFill="1" applyBorder="1"/>
    <xf numFmtId="164" fontId="14" fillId="0" borderId="0" xfId="112" applyNumberFormat="1" applyFont="1" applyFill="1"/>
    <xf numFmtId="0" fontId="9" fillId="0" borderId="0" xfId="94" applyFont="1"/>
    <xf numFmtId="0" fontId="2" fillId="0" borderId="0" xfId="94" applyFont="1"/>
    <xf numFmtId="0" fontId="1" fillId="0" borderId="0" xfId="94" applyFont="1"/>
    <xf numFmtId="0" fontId="1" fillId="0" borderId="0" xfId="94" applyFont="1" applyFill="1" applyBorder="1"/>
    <xf numFmtId="0" fontId="2" fillId="0" borderId="0" xfId="94" applyFont="1" applyFill="1" applyBorder="1"/>
    <xf numFmtId="0" fontId="2" fillId="0" borderId="0" xfId="94" applyFont="1" applyFill="1"/>
    <xf numFmtId="44" fontId="2" fillId="0" borderId="0" xfId="94" applyNumberFormat="1" applyFont="1" applyFill="1"/>
    <xf numFmtId="164" fontId="2" fillId="0" borderId="0" xfId="94" applyNumberFormat="1" applyFont="1" applyFill="1" applyBorder="1"/>
    <xf numFmtId="0" fontId="24" fillId="0" borderId="0" xfId="94" applyFont="1"/>
    <xf numFmtId="0" fontId="1" fillId="0" borderId="0" xfId="94" applyFont="1" applyBorder="1"/>
    <xf numFmtId="2" fontId="9" fillId="0" borderId="0" xfId="94" applyNumberFormat="1" applyFont="1"/>
    <xf numFmtId="0" fontId="25" fillId="22" borderId="20" xfId="94" applyFont="1" applyFill="1" applyBorder="1"/>
    <xf numFmtId="0" fontId="25" fillId="22" borderId="15" xfId="94" applyFont="1" applyFill="1" applyBorder="1"/>
    <xf numFmtId="7" fontId="25" fillId="22" borderId="15" xfId="94" applyNumberFormat="1" applyFont="1" applyFill="1" applyBorder="1"/>
    <xf numFmtId="7" fontId="25" fillId="22" borderId="18" xfId="94" applyNumberFormat="1" applyFont="1" applyFill="1" applyBorder="1"/>
    <xf numFmtId="7" fontId="25" fillId="22" borderId="19" xfId="94" applyNumberFormat="1" applyFont="1" applyFill="1" applyBorder="1"/>
    <xf numFmtId="0" fontId="9" fillId="0" borderId="0" xfId="94" applyFont="1" applyFill="1" applyBorder="1" applyAlignment="1">
      <alignment horizontal="center"/>
    </xf>
    <xf numFmtId="7" fontId="25" fillId="22" borderId="12" xfId="94" applyNumberFormat="1" applyFont="1" applyFill="1" applyBorder="1"/>
    <xf numFmtId="7" fontId="25" fillId="22" borderId="0" xfId="94" applyNumberFormat="1" applyFont="1" applyFill="1"/>
    <xf numFmtId="7" fontId="25" fillId="22" borderId="14" xfId="94" applyNumberFormat="1" applyFont="1" applyFill="1" applyBorder="1"/>
    <xf numFmtId="38" fontId="2" fillId="0" borderId="0" xfId="94" applyNumberFormat="1" applyFont="1" applyFill="1" applyBorder="1"/>
    <xf numFmtId="0" fontId="9" fillId="0" borderId="0" xfId="94" applyFont="1" applyFill="1"/>
    <xf numFmtId="0" fontId="42" fillId="22" borderId="12" xfId="94" applyFont="1" applyFill="1" applyBorder="1"/>
    <xf numFmtId="0" fontId="42" fillId="22" borderId="0" xfId="94" applyFont="1" applyFill="1" applyBorder="1"/>
    <xf numFmtId="164" fontId="42" fillId="22" borderId="0" xfId="94" applyNumberFormat="1" applyFont="1" applyFill="1" applyBorder="1"/>
    <xf numFmtId="164" fontId="42" fillId="22" borderId="17" xfId="94" applyNumberFormat="1" applyFont="1" applyFill="1" applyBorder="1"/>
    <xf numFmtId="164" fontId="42" fillId="22" borderId="14" xfId="94" applyNumberFormat="1" applyFont="1" applyFill="1" applyBorder="1"/>
    <xf numFmtId="0" fontId="24" fillId="0" borderId="0" xfId="94" quotePrefix="1" applyFont="1" applyFill="1" applyBorder="1" applyAlignment="1">
      <alignment horizontal="center"/>
    </xf>
    <xf numFmtId="0" fontId="42" fillId="22" borderId="0" xfId="94" applyFont="1" applyFill="1"/>
    <xf numFmtId="164" fontId="42" fillId="22" borderId="12" xfId="94" applyNumberFormat="1" applyFont="1" applyFill="1" applyBorder="1"/>
    <xf numFmtId="164" fontId="42" fillId="22" borderId="0" xfId="94" applyNumberFormat="1" applyFont="1" applyFill="1"/>
    <xf numFmtId="0" fontId="24" fillId="0" borderId="0" xfId="94" applyFont="1" applyBorder="1"/>
    <xf numFmtId="49" fontId="25" fillId="23" borderId="0" xfId="94" applyNumberFormat="1" applyFont="1" applyFill="1" applyBorder="1" applyAlignment="1">
      <alignment horizontal="right"/>
    </xf>
    <xf numFmtId="0" fontId="25" fillId="23" borderId="0" xfId="94" applyFont="1" applyFill="1" applyBorder="1" applyAlignment="1">
      <alignment horizontal="right"/>
    </xf>
    <xf numFmtId="0" fontId="1" fillId="0" borderId="0" xfId="94" applyFont="1" applyFill="1"/>
    <xf numFmtId="0" fontId="2" fillId="0" borderId="0" xfId="94" applyFont="1" applyBorder="1"/>
    <xf numFmtId="0" fontId="2" fillId="0" borderId="14" xfId="94" applyFont="1" applyBorder="1"/>
    <xf numFmtId="0" fontId="2" fillId="0" borderId="20" xfId="94" applyFont="1" applyBorder="1"/>
    <xf numFmtId="0" fontId="2" fillId="0" borderId="15" xfId="94" applyFont="1" applyBorder="1"/>
    <xf numFmtId="0" fontId="2" fillId="0" borderId="19" xfId="94" applyFont="1" applyBorder="1"/>
    <xf numFmtId="0" fontId="9" fillId="0" borderId="0" xfId="94" applyFont="1" applyBorder="1"/>
    <xf numFmtId="3" fontId="9" fillId="0" borderId="0" xfId="94" applyNumberFormat="1" applyFont="1" applyBorder="1"/>
    <xf numFmtId="3" fontId="9" fillId="0" borderId="14" xfId="94" applyNumberFormat="1" applyFont="1" applyBorder="1"/>
    <xf numFmtId="0" fontId="2" fillId="0" borderId="12" xfId="94" applyFont="1" applyBorder="1"/>
    <xf numFmtId="3" fontId="2" fillId="0" borderId="0" xfId="94" applyNumberFormat="1" applyFont="1" applyBorder="1"/>
    <xf numFmtId="164" fontId="2" fillId="0" borderId="0" xfId="94" applyNumberFormat="1" applyFont="1" applyBorder="1"/>
    <xf numFmtId="9" fontId="2" fillId="0" borderId="0" xfId="94" applyNumberFormat="1" applyFont="1" applyBorder="1"/>
    <xf numFmtId="0" fontId="2" fillId="0" borderId="12" xfId="94" applyFont="1" applyFill="1" applyBorder="1"/>
    <xf numFmtId="0" fontId="2" fillId="0" borderId="14" xfId="94" applyFont="1" applyFill="1" applyBorder="1"/>
    <xf numFmtId="37" fontId="2" fillId="0" borderId="0" xfId="94" applyNumberFormat="1" applyFont="1" applyBorder="1"/>
    <xf numFmtId="37" fontId="2" fillId="0" borderId="14" xfId="94" applyNumberFormat="1" applyFont="1" applyBorder="1"/>
    <xf numFmtId="3" fontId="2" fillId="0" borderId="12" xfId="94" applyNumberFormat="1" applyFont="1" applyBorder="1"/>
    <xf numFmtId="3" fontId="2" fillId="0" borderId="14" xfId="94" applyNumberFormat="1" applyFont="1" applyBorder="1"/>
    <xf numFmtId="3" fontId="9" fillId="0" borderId="0" xfId="94" applyNumberFormat="1" applyFont="1"/>
    <xf numFmtId="0" fontId="2" fillId="0" borderId="0" xfId="94" applyFont="1" applyBorder="1" applyAlignment="1">
      <alignment horizontal="left" indent="1"/>
    </xf>
    <xf numFmtId="164" fontId="2" fillId="0" borderId="14" xfId="94" applyNumberFormat="1" applyFont="1" applyBorder="1"/>
    <xf numFmtId="164" fontId="2" fillId="0" borderId="12" xfId="94" applyNumberFormat="1" applyFont="1" applyBorder="1"/>
    <xf numFmtId="164" fontId="2" fillId="16" borderId="14" xfId="94" applyNumberFormat="1" applyFont="1" applyFill="1" applyBorder="1"/>
    <xf numFmtId="164" fontId="2" fillId="16" borderId="12" xfId="94" applyNumberFormat="1" applyFont="1" applyFill="1" applyBorder="1"/>
    <xf numFmtId="164" fontId="2" fillId="0" borderId="14" xfId="94" applyNumberFormat="1" applyFont="1" applyFill="1" applyBorder="1"/>
    <xf numFmtId="164" fontId="2" fillId="0" borderId="0" xfId="94" applyNumberFormat="1" applyFont="1"/>
    <xf numFmtId="3" fontId="2" fillId="0" borderId="0" xfId="94" applyNumberFormat="1" applyFont="1" applyFill="1" applyBorder="1"/>
    <xf numFmtId="3" fontId="2" fillId="0" borderId="14" xfId="94" applyNumberFormat="1" applyFont="1" applyFill="1" applyBorder="1"/>
    <xf numFmtId="0" fontId="9" fillId="0" borderId="0" xfId="94" applyFont="1" applyFill="1" applyBorder="1"/>
    <xf numFmtId="3" fontId="9" fillId="0" borderId="12" xfId="94" applyNumberFormat="1" applyFont="1" applyBorder="1"/>
    <xf numFmtId="164" fontId="2" fillId="0" borderId="17" xfId="112" applyNumberFormat="1" applyFont="1" applyBorder="1"/>
    <xf numFmtId="164" fontId="2" fillId="16" borderId="0" xfId="94" applyNumberFormat="1" applyFont="1" applyFill="1" applyBorder="1"/>
    <xf numFmtId="0" fontId="2" fillId="0" borderId="22" xfId="94" applyFont="1" applyBorder="1"/>
    <xf numFmtId="0" fontId="2" fillId="0" borderId="33" xfId="94" applyFont="1" applyBorder="1"/>
    <xf numFmtId="3" fontId="2" fillId="0" borderId="22" xfId="94" applyNumberFormat="1" applyFont="1" applyBorder="1"/>
    <xf numFmtId="0" fontId="2" fillId="0" borderId="34" xfId="94" applyFont="1" applyBorder="1"/>
    <xf numFmtId="172" fontId="2" fillId="0" borderId="22" xfId="94" applyNumberFormat="1" applyFont="1" applyBorder="1"/>
    <xf numFmtId="0" fontId="27" fillId="0" borderId="22" xfId="94" applyFont="1" applyBorder="1"/>
    <xf numFmtId="3" fontId="9" fillId="0" borderId="22" xfId="94" applyNumberFormat="1" applyFont="1" applyBorder="1"/>
    <xf numFmtId="9" fontId="2" fillId="0" borderId="22" xfId="94" applyNumberFormat="1" applyFont="1" applyBorder="1"/>
    <xf numFmtId="0" fontId="2" fillId="16" borderId="33" xfId="94" applyFont="1" applyFill="1" applyBorder="1"/>
    <xf numFmtId="164" fontId="2" fillId="0" borderId="22" xfId="94" applyNumberFormat="1" applyFont="1" applyBorder="1"/>
    <xf numFmtId="164" fontId="2" fillId="0" borderId="33" xfId="94" applyNumberFormat="1" applyFont="1" applyBorder="1"/>
    <xf numFmtId="0" fontId="2" fillId="16" borderId="19" xfId="94" applyFont="1" applyFill="1" applyBorder="1"/>
    <xf numFmtId="0" fontId="2" fillId="16" borderId="12" xfId="94" applyFont="1" applyFill="1" applyBorder="1"/>
    <xf numFmtId="0" fontId="2" fillId="16" borderId="0" xfId="94" applyFont="1" applyFill="1" applyBorder="1"/>
    <xf numFmtId="0" fontId="2" fillId="16" borderId="20" xfId="94" applyFont="1" applyFill="1" applyBorder="1"/>
    <xf numFmtId="0" fontId="2" fillId="16" borderId="15" xfId="94" applyFont="1" applyFill="1" applyBorder="1"/>
    <xf numFmtId="0" fontId="14" fillId="0" borderId="0" xfId="94" applyFont="1" applyBorder="1"/>
    <xf numFmtId="38" fontId="2" fillId="0" borderId="12" xfId="94" applyNumberFormat="1" applyFont="1" applyFill="1" applyBorder="1"/>
    <xf numFmtId="38" fontId="2" fillId="0" borderId="14" xfId="94" applyNumberFormat="1" applyFont="1" applyFill="1" applyBorder="1"/>
    <xf numFmtId="0" fontId="2" fillId="0" borderId="17" xfId="94" applyFont="1" applyBorder="1"/>
    <xf numFmtId="37" fontId="2" fillId="0" borderId="0" xfId="94" applyNumberFormat="1" applyFont="1" applyFill="1" applyBorder="1"/>
    <xf numFmtId="164" fontId="2" fillId="17" borderId="0" xfId="94" applyNumberFormat="1" applyFont="1" applyFill="1" applyBorder="1"/>
    <xf numFmtId="164" fontId="2" fillId="17" borderId="0" xfId="94" applyNumberFormat="1" applyFont="1" applyFill="1"/>
    <xf numFmtId="164" fontId="2" fillId="17" borderId="12" xfId="94" applyNumberFormat="1" applyFont="1" applyFill="1" applyBorder="1"/>
    <xf numFmtId="164" fontId="2" fillId="17" borderId="14" xfId="94" applyNumberFormat="1" applyFont="1" applyFill="1" applyBorder="1"/>
    <xf numFmtId="37" fontId="2" fillId="0" borderId="0" xfId="57" applyNumberFormat="1" applyFont="1" applyBorder="1"/>
    <xf numFmtId="164" fontId="2" fillId="0" borderId="12" xfId="94" applyNumberFormat="1" applyFont="1" applyFill="1" applyBorder="1"/>
    <xf numFmtId="3" fontId="2" fillId="17" borderId="0" xfId="94" applyNumberFormat="1" applyFont="1" applyFill="1" applyBorder="1"/>
    <xf numFmtId="38" fontId="2" fillId="0" borderId="0" xfId="94" applyNumberFormat="1" applyFont="1"/>
    <xf numFmtId="3" fontId="9" fillId="18" borderId="0" xfId="94" applyNumberFormat="1" applyFont="1" applyFill="1" applyBorder="1"/>
    <xf numFmtId="3" fontId="9" fillId="18" borderId="14" xfId="94" applyNumberFormat="1" applyFont="1" applyFill="1" applyBorder="1"/>
    <xf numFmtId="3" fontId="9" fillId="18" borderId="12" xfId="94" applyNumberFormat="1" applyFont="1" applyFill="1" applyBorder="1"/>
    <xf numFmtId="164" fontId="2" fillId="0" borderId="34" xfId="94" applyNumberFormat="1" applyFont="1" applyBorder="1"/>
    <xf numFmtId="164" fontId="2" fillId="0" borderId="34" xfId="94" applyNumberFormat="1" applyFont="1" applyFill="1" applyBorder="1"/>
    <xf numFmtId="164" fontId="2" fillId="0" borderId="22" xfId="94" applyNumberFormat="1" applyFont="1" applyFill="1" applyBorder="1"/>
    <xf numFmtId="164" fontId="2" fillId="0" borderId="33" xfId="94" applyNumberFormat="1" applyFont="1" applyFill="1" applyBorder="1"/>
    <xf numFmtId="37" fontId="9" fillId="0" borderId="0" xfId="57" applyNumberFormat="1" applyFont="1" applyBorder="1"/>
    <xf numFmtId="3" fontId="9" fillId="0" borderId="20" xfId="94" applyNumberFormat="1" applyFont="1" applyBorder="1"/>
    <xf numFmtId="3" fontId="9" fillId="0" borderId="15" xfId="94" applyNumberFormat="1" applyFont="1" applyBorder="1"/>
    <xf numFmtId="3" fontId="9" fillId="0" borderId="19" xfId="94" applyNumberFormat="1" applyFont="1" applyBorder="1"/>
    <xf numFmtId="3" fontId="9" fillId="16" borderId="19" xfId="94" applyNumberFormat="1" applyFont="1" applyFill="1" applyBorder="1"/>
    <xf numFmtId="3" fontId="9" fillId="16" borderId="12" xfId="94" applyNumberFormat="1" applyFont="1" applyFill="1" applyBorder="1"/>
    <xf numFmtId="3" fontId="9" fillId="16" borderId="0" xfId="94" applyNumberFormat="1" applyFont="1" applyFill="1"/>
    <xf numFmtId="3" fontId="9" fillId="16" borderId="0" xfId="94" applyNumberFormat="1" applyFont="1" applyFill="1" applyBorder="1"/>
    <xf numFmtId="3" fontId="9" fillId="16" borderId="20" xfId="94" applyNumberFormat="1" applyFont="1" applyFill="1" applyBorder="1"/>
    <xf numFmtId="37" fontId="2" fillId="0" borderId="0" xfId="94" applyNumberFormat="1" applyFont="1"/>
    <xf numFmtId="164" fontId="2" fillId="16" borderId="0" xfId="94" applyNumberFormat="1" applyFont="1" applyFill="1"/>
    <xf numFmtId="37" fontId="9" fillId="17" borderId="0" xfId="57" applyNumberFormat="1" applyFont="1" applyFill="1" applyBorder="1"/>
    <xf numFmtId="3" fontId="9" fillId="17" borderId="0" xfId="94" applyNumberFormat="1" applyFont="1" applyFill="1" applyBorder="1"/>
    <xf numFmtId="3" fontId="9" fillId="17" borderId="14" xfId="94" applyNumberFormat="1" applyFont="1" applyFill="1" applyBorder="1"/>
    <xf numFmtId="3" fontId="9" fillId="17" borderId="12" xfId="94" applyNumberFormat="1" applyFont="1" applyFill="1" applyBorder="1"/>
    <xf numFmtId="3" fontId="9" fillId="17" borderId="0" xfId="94" applyNumberFormat="1" applyFont="1" applyFill="1"/>
    <xf numFmtId="164" fontId="2" fillId="17" borderId="22" xfId="94" applyNumberFormat="1" applyFont="1" applyFill="1" applyBorder="1"/>
    <xf numFmtId="0" fontId="2" fillId="16" borderId="14" xfId="94" applyFont="1" applyFill="1" applyBorder="1"/>
    <xf numFmtId="3" fontId="2" fillId="0" borderId="0" xfId="94" applyNumberFormat="1" applyFont="1"/>
    <xf numFmtId="43" fontId="9" fillId="0" borderId="0" xfId="57" applyFont="1" applyBorder="1"/>
    <xf numFmtId="37" fontId="27" fillId="0" borderId="12" xfId="94" applyNumberFormat="1" applyFont="1" applyFill="1" applyBorder="1"/>
    <xf numFmtId="37" fontId="27" fillId="0" borderId="0" xfId="94" applyNumberFormat="1" applyFont="1" applyFill="1" applyBorder="1"/>
    <xf numFmtId="37" fontId="2" fillId="0" borderId="12" xfId="94" applyNumberFormat="1" applyFont="1" applyFill="1" applyBorder="1"/>
    <xf numFmtId="37" fontId="2" fillId="0" borderId="12" xfId="94" applyNumberFormat="1" applyFont="1" applyBorder="1"/>
    <xf numFmtId="37" fontId="2" fillId="0" borderId="0" xfId="57" applyNumberFormat="1" applyFont="1" applyFill="1" applyBorder="1"/>
    <xf numFmtId="37" fontId="22" fillId="0" borderId="0" xfId="57" applyNumberFormat="1" applyFont="1" applyBorder="1"/>
    <xf numFmtId="3" fontId="9" fillId="0" borderId="0" xfId="94" applyNumberFormat="1" applyFont="1" applyFill="1" applyBorder="1"/>
    <xf numFmtId="3" fontId="9" fillId="16" borderId="14" xfId="94" applyNumberFormat="1" applyFont="1" applyFill="1" applyBorder="1"/>
    <xf numFmtId="164" fontId="66" fillId="16" borderId="12" xfId="94" applyNumberFormat="1" applyFont="1" applyFill="1" applyBorder="1"/>
    <xf numFmtId="164" fontId="14" fillId="0" borderId="22" xfId="94" applyNumberFormat="1" applyFont="1" applyBorder="1"/>
    <xf numFmtId="164" fontId="27" fillId="0" borderId="14" xfId="94" applyNumberFormat="1" applyFont="1" applyBorder="1"/>
    <xf numFmtId="164" fontId="2" fillId="16" borderId="33" xfId="94" applyNumberFormat="1" applyFont="1" applyFill="1" applyBorder="1"/>
    <xf numFmtId="37" fontId="9" fillId="0" borderId="0" xfId="94" applyNumberFormat="1" applyFont="1" applyFill="1" applyBorder="1"/>
    <xf numFmtId="37" fontId="9" fillId="0" borderId="0" xfId="94" applyNumberFormat="1" applyFont="1"/>
    <xf numFmtId="9" fontId="47" fillId="0" borderId="0" xfId="112" applyFont="1" applyBorder="1"/>
    <xf numFmtId="0" fontId="47" fillId="0" borderId="0" xfId="94" applyFont="1" applyBorder="1"/>
    <xf numFmtId="3" fontId="47" fillId="0" borderId="0" xfId="94" applyNumberFormat="1" applyFont="1" applyBorder="1"/>
    <xf numFmtId="3" fontId="47" fillId="0" borderId="14" xfId="94" applyNumberFormat="1" applyFont="1" applyBorder="1"/>
    <xf numFmtId="3" fontId="47" fillId="0" borderId="0" xfId="94" applyNumberFormat="1" applyFont="1"/>
    <xf numFmtId="0" fontId="2" fillId="16" borderId="0" xfId="94" applyFont="1" applyFill="1"/>
    <xf numFmtId="0" fontId="2" fillId="0" borderId="0" xfId="94" applyFont="1" applyBorder="1"/>
    <xf numFmtId="165" fontId="2" fillId="0" borderId="0" xfId="94" applyNumberFormat="1" applyFont="1" applyBorder="1"/>
    <xf numFmtId="0" fontId="47" fillId="17" borderId="0" xfId="94" applyFont="1" applyFill="1" applyBorder="1"/>
    <xf numFmtId="37" fontId="2" fillId="17" borderId="0" xfId="94" applyNumberFormat="1" applyFont="1" applyFill="1" applyBorder="1"/>
    <xf numFmtId="37" fontId="2" fillId="17" borderId="14" xfId="94" applyNumberFormat="1" applyFont="1" applyFill="1" applyBorder="1"/>
    <xf numFmtId="3" fontId="2" fillId="17" borderId="12" xfId="94" applyNumberFormat="1" applyFont="1" applyFill="1" applyBorder="1"/>
    <xf numFmtId="3" fontId="2" fillId="17" borderId="14" xfId="94" applyNumberFormat="1" applyFont="1" applyFill="1" applyBorder="1"/>
    <xf numFmtId="3" fontId="2" fillId="17" borderId="0" xfId="94" applyNumberFormat="1" applyFont="1" applyFill="1"/>
    <xf numFmtId="3" fontId="2" fillId="0" borderId="0" xfId="94" applyNumberFormat="1" applyFont="1" applyFill="1"/>
    <xf numFmtId="164" fontId="2" fillId="0" borderId="0" xfId="94" applyNumberFormat="1" applyFont="1" applyFill="1"/>
    <xf numFmtId="3" fontId="47" fillId="0" borderId="0" xfId="94" applyNumberFormat="1" applyFont="1" applyFill="1" applyBorder="1"/>
    <xf numFmtId="0" fontId="2" fillId="0" borderId="0" xfId="94" applyFont="1"/>
    <xf numFmtId="0" fontId="2" fillId="0" borderId="0" xfId="94" applyFont="1" applyBorder="1"/>
    <xf numFmtId="0" fontId="2" fillId="0" borderId="12" xfId="94" applyFont="1" applyFill="1" applyBorder="1"/>
    <xf numFmtId="166" fontId="9" fillId="0" borderId="0" xfId="94" quotePrefix="1" applyNumberFormat="1" applyFont="1" applyBorder="1" applyAlignment="1">
      <alignment horizontal="right"/>
    </xf>
    <xf numFmtId="166" fontId="9" fillId="0" borderId="0" xfId="94" applyNumberFormat="1" applyFont="1" applyBorder="1"/>
    <xf numFmtId="166" fontId="9" fillId="0" borderId="12" xfId="94" quotePrefix="1" applyNumberFormat="1" applyFont="1" applyFill="1" applyBorder="1" applyAlignment="1">
      <alignment horizontal="right"/>
    </xf>
    <xf numFmtId="166" fontId="9" fillId="0" borderId="0" xfId="94" quotePrefix="1" applyNumberFormat="1" applyFont="1" applyFill="1" applyBorder="1" applyAlignment="1">
      <alignment horizontal="right"/>
    </xf>
    <xf numFmtId="166" fontId="9" fillId="0" borderId="14" xfId="94" quotePrefix="1" applyNumberFormat="1" applyFont="1" applyFill="1" applyBorder="1" applyAlignment="1">
      <alignment horizontal="right"/>
    </xf>
    <xf numFmtId="9" fontId="9" fillId="17" borderId="0" xfId="112" applyFont="1" applyFill="1" applyBorder="1"/>
    <xf numFmtId="0" fontId="64" fillId="17" borderId="0" xfId="94" applyFont="1" applyFill="1" applyBorder="1"/>
    <xf numFmtId="166" fontId="9" fillId="17" borderId="0" xfId="94" applyNumberFormat="1" applyFont="1" applyFill="1" applyBorder="1"/>
    <xf numFmtId="4" fontId="9" fillId="17" borderId="0" xfId="94" applyNumberFormat="1" applyFont="1" applyFill="1" applyBorder="1"/>
    <xf numFmtId="166" fontId="9" fillId="17" borderId="14" xfId="94" quotePrefix="1" applyNumberFormat="1" applyFont="1" applyFill="1" applyBorder="1" applyAlignment="1">
      <alignment horizontal="right"/>
    </xf>
    <xf numFmtId="166" fontId="9" fillId="17" borderId="0" xfId="94" quotePrefix="1" applyNumberFormat="1" applyFont="1" applyFill="1" applyBorder="1" applyAlignment="1">
      <alignment horizontal="right"/>
    </xf>
    <xf numFmtId="166" fontId="9" fillId="17" borderId="12" xfId="94" quotePrefix="1" applyNumberFormat="1" applyFont="1" applyFill="1" applyBorder="1" applyAlignment="1">
      <alignment horizontal="right"/>
    </xf>
    <xf numFmtId="39" fontId="2" fillId="0" borderId="0" xfId="94" applyNumberFormat="1" applyFont="1" applyBorder="1"/>
    <xf numFmtId="2" fontId="48" fillId="0" borderId="0" xfId="94" applyNumberFormat="1" applyFont="1" applyFill="1" applyBorder="1"/>
    <xf numFmtId="166" fontId="2" fillId="0" borderId="0" xfId="94" applyNumberFormat="1" applyFont="1" applyFill="1" applyBorder="1"/>
    <xf numFmtId="166" fontId="2" fillId="0" borderId="14" xfId="94" applyNumberFormat="1" applyFont="1" applyFill="1" applyBorder="1"/>
    <xf numFmtId="166" fontId="2" fillId="0" borderId="0" xfId="94" applyNumberFormat="1" applyFont="1" applyFill="1"/>
    <xf numFmtId="166" fontId="2" fillId="0" borderId="12" xfId="94" applyNumberFormat="1" applyFont="1" applyFill="1" applyBorder="1"/>
    <xf numFmtId="166" fontId="27" fillId="0" borderId="0" xfId="94" applyNumberFormat="1" applyFont="1" applyFill="1"/>
    <xf numFmtId="2" fontId="48" fillId="0" borderId="14" xfId="94" applyNumberFormat="1" applyFont="1" applyFill="1" applyBorder="1"/>
    <xf numFmtId="2" fontId="48" fillId="0" borderId="0" xfId="94" applyNumberFormat="1" applyFont="1" applyFill="1"/>
    <xf numFmtId="3" fontId="2" fillId="16" borderId="0" xfId="94" applyNumberFormat="1" applyFont="1" applyFill="1"/>
    <xf numFmtId="3" fontId="2" fillId="16" borderId="14" xfId="94" applyNumberFormat="1" applyFont="1" applyFill="1" applyBorder="1"/>
    <xf numFmtId="3" fontId="2" fillId="16" borderId="0" xfId="94" applyNumberFormat="1" applyFont="1" applyFill="1" applyBorder="1"/>
    <xf numFmtId="3" fontId="2" fillId="16" borderId="12" xfId="94" applyNumberFormat="1" applyFont="1" applyFill="1" applyBorder="1"/>
    <xf numFmtId="173" fontId="2" fillId="16" borderId="12" xfId="94" applyNumberFormat="1" applyFont="1" applyFill="1" applyBorder="1"/>
    <xf numFmtId="4" fontId="2" fillId="16" borderId="0" xfId="94" applyNumberFormat="1" applyFont="1" applyFill="1"/>
    <xf numFmtId="9" fontId="2" fillId="0" borderId="12" xfId="94" applyNumberFormat="1" applyFont="1" applyBorder="1"/>
    <xf numFmtId="9" fontId="2" fillId="16" borderId="0" xfId="94" applyNumberFormat="1" applyFont="1" applyFill="1"/>
    <xf numFmtId="9" fontId="2" fillId="16" borderId="12" xfId="94" applyNumberFormat="1" applyFont="1" applyFill="1" applyBorder="1"/>
    <xf numFmtId="9" fontId="2" fillId="16" borderId="0" xfId="94" applyNumberFormat="1" applyFont="1" applyFill="1" applyBorder="1"/>
    <xf numFmtId="9" fontId="2" fillId="16" borderId="14" xfId="94" applyNumberFormat="1" applyFont="1" applyFill="1" applyBorder="1"/>
    <xf numFmtId="3" fontId="2" fillId="0" borderId="12" xfId="94" applyNumberFormat="1" applyFont="1" applyFill="1" applyBorder="1"/>
    <xf numFmtId="165" fontId="2" fillId="0" borderId="12" xfId="94" applyNumberFormat="1" applyFont="1" applyFill="1" applyBorder="1"/>
    <xf numFmtId="165" fontId="2" fillId="0" borderId="0" xfId="94" applyNumberFormat="1" applyFont="1" applyFill="1" applyBorder="1"/>
    <xf numFmtId="165" fontId="2" fillId="0" borderId="14" xfId="94" applyNumberFormat="1" applyFont="1" applyFill="1" applyBorder="1"/>
    <xf numFmtId="10" fontId="2" fillId="0" borderId="22" xfId="112" applyNumberFormat="1" applyFont="1" applyBorder="1"/>
    <xf numFmtId="0" fontId="26" fillId="23" borderId="0" xfId="94" applyFont="1" applyFill="1" applyBorder="1"/>
    <xf numFmtId="0" fontId="26" fillId="23" borderId="14" xfId="94" applyFont="1" applyFill="1" applyBorder="1"/>
    <xf numFmtId="0" fontId="26" fillId="23" borderId="12" xfId="94" applyFont="1" applyFill="1" applyBorder="1"/>
    <xf numFmtId="44" fontId="2" fillId="0" borderId="20" xfId="63" applyFont="1" applyBorder="1"/>
    <xf numFmtId="0" fontId="2" fillId="0" borderId="15" xfId="94" applyFont="1" applyBorder="1"/>
    <xf numFmtId="166" fontId="2" fillId="0" borderId="15" xfId="94" applyNumberFormat="1" applyFont="1" applyBorder="1"/>
    <xf numFmtId="0" fontId="2" fillId="0" borderId="12" xfId="94" applyFont="1" applyBorder="1" applyAlignment="1">
      <alignment horizontal="left" indent="1"/>
    </xf>
    <xf numFmtId="37" fontId="22" fillId="0" borderId="12" xfId="57" applyNumberFormat="1" applyFont="1" applyBorder="1"/>
    <xf numFmtId="43" fontId="13" fillId="0" borderId="12" xfId="57" applyFont="1" applyBorder="1"/>
    <xf numFmtId="37" fontId="14" fillId="0" borderId="12" xfId="94" applyNumberFormat="1" applyFont="1" applyBorder="1"/>
    <xf numFmtId="37" fontId="2" fillId="16" borderId="14" xfId="94" applyNumberFormat="1" applyFont="1" applyFill="1" applyBorder="1"/>
    <xf numFmtId="37" fontId="2" fillId="0" borderId="14" xfId="94" applyNumberFormat="1" applyFont="1" applyFill="1" applyBorder="1"/>
    <xf numFmtId="37" fontId="2" fillId="16" borderId="12" xfId="94" applyNumberFormat="1" applyFont="1" applyFill="1" applyBorder="1"/>
    <xf numFmtId="37" fontId="27" fillId="0" borderId="14" xfId="94" applyNumberFormat="1" applyFont="1" applyBorder="1"/>
    <xf numFmtId="37" fontId="14" fillId="0" borderId="12" xfId="94" applyNumberFormat="1" applyFont="1" applyFill="1" applyBorder="1"/>
    <xf numFmtId="37" fontId="14" fillId="0" borderId="0" xfId="94" applyNumberFormat="1" applyFont="1" applyBorder="1"/>
    <xf numFmtId="37" fontId="14" fillId="0" borderId="14" xfId="94" applyNumberFormat="1" applyFont="1" applyBorder="1"/>
    <xf numFmtId="37" fontId="14" fillId="16" borderId="14" xfId="94" applyNumberFormat="1" applyFont="1" applyFill="1" applyBorder="1"/>
    <xf numFmtId="37" fontId="14" fillId="16" borderId="12" xfId="94" applyNumberFormat="1" applyFont="1" applyFill="1" applyBorder="1"/>
    <xf numFmtId="37" fontId="14" fillId="0" borderId="0" xfId="94" applyNumberFormat="1" applyFont="1"/>
    <xf numFmtId="37" fontId="14" fillId="16" borderId="0" xfId="94" applyNumberFormat="1" applyFont="1" applyFill="1" applyBorder="1"/>
    <xf numFmtId="0" fontId="2" fillId="0" borderId="34" xfId="94" applyFont="1" applyBorder="1" applyAlignment="1">
      <alignment horizontal="left" indent="1"/>
    </xf>
    <xf numFmtId="3" fontId="2" fillId="0" borderId="22" xfId="94" applyNumberFormat="1" applyFont="1" applyFill="1" applyBorder="1"/>
    <xf numFmtId="3" fontId="2" fillId="0" borderId="33" xfId="94" applyNumberFormat="1" applyFont="1" applyFill="1" applyBorder="1"/>
    <xf numFmtId="37" fontId="9" fillId="0" borderId="0" xfId="94" applyNumberFormat="1" applyFont="1" applyBorder="1"/>
    <xf numFmtId="37" fontId="9" fillId="0" borderId="17" xfId="94" applyNumberFormat="1" applyFont="1" applyFill="1" applyBorder="1"/>
    <xf numFmtId="0" fontId="1" fillId="0" borderId="15" xfId="94" applyFont="1" applyBorder="1"/>
    <xf numFmtId="37" fontId="9" fillId="0" borderId="0" xfId="94" applyNumberFormat="1" applyFont="1" applyFill="1"/>
    <xf numFmtId="37" fontId="2" fillId="0" borderId="17" xfId="94" applyNumberFormat="1" applyFont="1" applyFill="1" applyBorder="1"/>
    <xf numFmtId="0" fontId="1" fillId="0" borderId="14" xfId="94" applyFont="1" applyBorder="1"/>
    <xf numFmtId="0" fontId="1" fillId="0" borderId="12" xfId="94" applyFont="1" applyBorder="1"/>
    <xf numFmtId="37" fontId="2" fillId="0" borderId="0" xfId="94" applyNumberFormat="1" applyFont="1" applyFill="1"/>
    <xf numFmtId="0" fontId="1" fillId="0" borderId="14" xfId="94" applyFont="1" applyFill="1" applyBorder="1"/>
    <xf numFmtId="0" fontId="1" fillId="0" borderId="12" xfId="94" applyFont="1" applyFill="1" applyBorder="1"/>
    <xf numFmtId="0" fontId="9" fillId="0" borderId="0" xfId="94" applyFont="1" applyBorder="1"/>
    <xf numFmtId="37" fontId="9" fillId="0" borderId="14" xfId="94" applyNumberFormat="1" applyFont="1" applyBorder="1"/>
    <xf numFmtId="37" fontId="9" fillId="0" borderId="12" xfId="94" applyNumberFormat="1" applyFont="1" applyBorder="1"/>
    <xf numFmtId="37" fontId="24" fillId="0" borderId="0" xfId="94" applyNumberFormat="1" applyFont="1" applyFill="1" applyBorder="1"/>
    <xf numFmtId="37" fontId="24" fillId="0" borderId="0" xfId="94" applyNumberFormat="1" applyFont="1" applyBorder="1"/>
    <xf numFmtId="1" fontId="2" fillId="0" borderId="0" xfId="94" applyNumberFormat="1" applyFont="1"/>
    <xf numFmtId="0" fontId="65" fillId="0" borderId="0" xfId="94" applyFont="1"/>
    <xf numFmtId="0" fontId="9" fillId="18" borderId="0" xfId="94" applyFont="1" applyFill="1" applyBorder="1"/>
    <xf numFmtId="0" fontId="9" fillId="17" borderId="0" xfId="94" applyFont="1" applyFill="1"/>
    <xf numFmtId="10" fontId="2" fillId="0" borderId="0" xfId="94" applyNumberFormat="1" applyFont="1"/>
    <xf numFmtId="9" fontId="2" fillId="0" borderId="0" xfId="94" applyNumberFormat="1" applyFont="1"/>
    <xf numFmtId="7" fontId="25" fillId="0" borderId="0" xfId="94" applyNumberFormat="1" applyFont="1" applyFill="1"/>
    <xf numFmtId="7" fontId="9" fillId="0" borderId="0" xfId="94" applyNumberFormat="1" applyFont="1" applyFill="1" applyBorder="1"/>
    <xf numFmtId="0" fontId="25" fillId="22" borderId="0" xfId="94" applyFont="1" applyFill="1"/>
    <xf numFmtId="0" fontId="2" fillId="0" borderId="0" xfId="94" applyFont="1" applyAlignment="1">
      <alignment horizontal="left" indent="1"/>
    </xf>
    <xf numFmtId="41" fontId="2" fillId="0" borderId="0" xfId="94" applyNumberFormat="1" applyFont="1" applyFill="1" applyBorder="1"/>
    <xf numFmtId="37" fontId="9" fillId="0" borderId="14" xfId="94" applyNumberFormat="1" applyFont="1" applyFill="1" applyBorder="1"/>
    <xf numFmtId="0" fontId="9" fillId="0" borderId="12" xfId="94" applyFont="1" applyBorder="1"/>
    <xf numFmtId="37" fontId="9" fillId="0" borderId="12" xfId="94" applyNumberFormat="1" applyFont="1" applyFill="1" applyBorder="1"/>
    <xf numFmtId="0" fontId="14" fillId="0" borderId="0" xfId="94" applyFont="1"/>
    <xf numFmtId="37" fontId="43" fillId="0" borderId="0" xfId="94" applyNumberFormat="1" applyFont="1" applyBorder="1"/>
    <xf numFmtId="5" fontId="9" fillId="0" borderId="0" xfId="94" applyNumberFormat="1" applyFont="1" applyBorder="1"/>
    <xf numFmtId="5" fontId="9" fillId="0" borderId="14" xfId="94" applyNumberFormat="1" applyFont="1" applyFill="1" applyBorder="1"/>
    <xf numFmtId="5" fontId="9" fillId="0" borderId="12" xfId="94" applyNumberFormat="1" applyFont="1" applyFill="1" applyBorder="1"/>
    <xf numFmtId="5" fontId="9" fillId="0" borderId="0" xfId="94" applyNumberFormat="1" applyFont="1" applyFill="1" applyBorder="1"/>
    <xf numFmtId="43" fontId="2" fillId="0" borderId="14" xfId="57" applyFont="1" applyFill="1" applyBorder="1" applyAlignment="1">
      <alignment horizontal="left" indent="1"/>
    </xf>
    <xf numFmtId="3" fontId="9" fillId="0" borderId="14" xfId="94" applyNumberFormat="1" applyFont="1" applyFill="1" applyBorder="1"/>
    <xf numFmtId="3" fontId="44" fillId="0" borderId="0" xfId="94" applyNumberFormat="1" applyFont="1" applyFill="1" applyBorder="1"/>
    <xf numFmtId="5" fontId="9" fillId="0" borderId="14" xfId="94" applyNumberFormat="1" applyFont="1" applyBorder="1"/>
    <xf numFmtId="5" fontId="9" fillId="0" borderId="12" xfId="94" applyNumberFormat="1" applyFont="1" applyBorder="1"/>
    <xf numFmtId="37" fontId="14" fillId="0" borderId="0" xfId="94" applyNumberFormat="1" applyFont="1" applyFill="1" applyBorder="1"/>
    <xf numFmtId="37" fontId="2" fillId="20" borderId="12" xfId="94" applyNumberFormat="1" applyFont="1" applyFill="1" applyBorder="1"/>
    <xf numFmtId="0" fontId="9" fillId="0" borderId="0" xfId="94" applyFont="1" applyAlignment="1">
      <alignment horizontal="left"/>
    </xf>
    <xf numFmtId="37" fontId="9" fillId="0" borderId="14" xfId="94" applyNumberFormat="1" applyFont="1" applyFill="1" applyBorder="1" applyAlignment="1">
      <alignment vertical="top"/>
    </xf>
    <xf numFmtId="37" fontId="9" fillId="0" borderId="12" xfId="94" applyNumberFormat="1" applyFont="1" applyFill="1" applyBorder="1" applyAlignment="1">
      <alignment vertical="top"/>
    </xf>
    <xf numFmtId="37" fontId="9" fillId="0" borderId="0" xfId="94" applyNumberFormat="1" applyFont="1" applyFill="1" applyBorder="1" applyAlignment="1">
      <alignment vertical="top"/>
    </xf>
    <xf numFmtId="0" fontId="42" fillId="0" borderId="0" xfId="94" applyFont="1"/>
    <xf numFmtId="168" fontId="24" fillId="0" borderId="0" xfId="94" applyNumberFormat="1" applyFont="1" applyBorder="1"/>
    <xf numFmtId="1" fontId="24" fillId="0" borderId="0" xfId="94" applyNumberFormat="1" applyFont="1" applyBorder="1"/>
    <xf numFmtId="3" fontId="24" fillId="0" borderId="0" xfId="94" applyNumberFormat="1" applyFont="1" applyBorder="1"/>
    <xf numFmtId="0" fontId="2" fillId="0" borderId="0" xfId="94" applyFont="1" applyFill="1" applyBorder="1" applyAlignment="1">
      <alignment horizontal="center"/>
    </xf>
    <xf numFmtId="0" fontId="2" fillId="16" borderId="12" xfId="94" applyFont="1" applyFill="1" applyBorder="1"/>
    <xf numFmtId="1" fontId="2" fillId="0" borderId="0" xfId="94" applyNumberFormat="1" applyFont="1" applyBorder="1"/>
    <xf numFmtId="1" fontId="2" fillId="0" borderId="14" xfId="94" applyNumberFormat="1" applyFont="1" applyBorder="1"/>
    <xf numFmtId="1" fontId="2" fillId="0" borderId="12" xfId="94" applyNumberFormat="1" applyFont="1" applyBorder="1"/>
    <xf numFmtId="168" fontId="2" fillId="0" borderId="0" xfId="94" applyNumberFormat="1" applyFont="1"/>
    <xf numFmtId="1" fontId="2" fillId="0" borderId="0" xfId="94" applyNumberFormat="1" applyFont="1" applyFill="1" applyBorder="1"/>
    <xf numFmtId="1" fontId="2" fillId="0" borderId="14" xfId="94" applyNumberFormat="1" applyFont="1" applyFill="1" applyBorder="1"/>
    <xf numFmtId="168" fontId="2" fillId="0" borderId="0" xfId="94" applyNumberFormat="1" applyFont="1" applyBorder="1"/>
    <xf numFmtId="168" fontId="2" fillId="0" borderId="14" xfId="94" applyNumberFormat="1" applyFont="1" applyBorder="1"/>
    <xf numFmtId="168" fontId="2" fillId="0" borderId="12" xfId="94" applyNumberFormat="1" applyFont="1" applyBorder="1"/>
    <xf numFmtId="168" fontId="2" fillId="16" borderId="0" xfId="94" applyNumberFormat="1" applyFont="1" applyFill="1" applyBorder="1"/>
    <xf numFmtId="168" fontId="2" fillId="16" borderId="14" xfId="94" applyNumberFormat="1" applyFont="1" applyFill="1" applyBorder="1"/>
    <xf numFmtId="165" fontId="14" fillId="0" borderId="14" xfId="94" applyNumberFormat="1" applyFont="1" applyFill="1" applyBorder="1"/>
    <xf numFmtId="0" fontId="9" fillId="17" borderId="0" xfId="94" applyFont="1" applyFill="1" applyBorder="1"/>
    <xf numFmtId="0" fontId="2" fillId="24" borderId="0" xfId="94" applyFont="1" applyFill="1" applyBorder="1"/>
    <xf numFmtId="0" fontId="2" fillId="24" borderId="14" xfId="94" applyFont="1" applyFill="1" applyBorder="1"/>
    <xf numFmtId="38" fontId="2" fillId="0" borderId="14" xfId="94" applyNumberFormat="1" applyFont="1" applyBorder="1"/>
    <xf numFmtId="38" fontId="2" fillId="0" borderId="0" xfId="94" applyNumberFormat="1" applyFont="1" applyBorder="1"/>
    <xf numFmtId="2" fontId="9" fillId="0" borderId="0" xfId="94" applyNumberFormat="1" applyFont="1" applyFill="1" applyBorder="1"/>
    <xf numFmtId="0" fontId="9" fillId="0" borderId="14" xfId="94" applyFont="1" applyFill="1" applyBorder="1"/>
    <xf numFmtId="37" fontId="9" fillId="17" borderId="0" xfId="94" applyNumberFormat="1" applyFont="1" applyFill="1" applyBorder="1"/>
    <xf numFmtId="37" fontId="9" fillId="17" borderId="14" xfId="94" applyNumberFormat="1" applyFont="1" applyFill="1" applyBorder="1"/>
    <xf numFmtId="4" fontId="2" fillId="16" borderId="0" xfId="94" applyNumberFormat="1" applyFont="1" applyFill="1" applyBorder="1"/>
    <xf numFmtId="174" fontId="2" fillId="0" borderId="0" xfId="94" applyNumberFormat="1" applyFont="1" applyBorder="1"/>
    <xf numFmtId="174" fontId="2" fillId="0" borderId="14" xfId="94" applyNumberFormat="1" applyFont="1" applyBorder="1"/>
    <xf numFmtId="174" fontId="2" fillId="0" borderId="0" xfId="94" applyNumberFormat="1" applyFont="1" applyFill="1" applyBorder="1"/>
    <xf numFmtId="174" fontId="2" fillId="0" borderId="12" xfId="94" applyNumberFormat="1" applyFont="1" applyBorder="1"/>
    <xf numFmtId="174" fontId="2" fillId="0" borderId="12" xfId="94" applyNumberFormat="1" applyFont="1" applyFill="1" applyBorder="1"/>
    <xf numFmtId="174" fontId="2" fillId="0" borderId="14" xfId="94" applyNumberFormat="1" applyFont="1" applyFill="1" applyBorder="1"/>
    <xf numFmtId="164" fontId="14" fillId="16" borderId="0" xfId="112" applyNumberFormat="1" applyFont="1" applyFill="1" applyBorder="1"/>
    <xf numFmtId="164" fontId="9" fillId="0" borderId="0" xfId="94" applyNumberFormat="1" applyFont="1"/>
    <xf numFmtId="164" fontId="9" fillId="0" borderId="0" xfId="94" applyNumberFormat="1" applyFont="1" applyBorder="1"/>
    <xf numFmtId="164" fontId="9" fillId="0" borderId="14" xfId="94" applyNumberFormat="1" applyFont="1" applyBorder="1"/>
    <xf numFmtId="164" fontId="9" fillId="0" borderId="12" xfId="94" applyNumberFormat="1" applyFont="1" applyBorder="1"/>
    <xf numFmtId="0" fontId="2" fillId="16" borderId="34" xfId="94" applyFont="1" applyFill="1" applyBorder="1"/>
    <xf numFmtId="0" fontId="2" fillId="16" borderId="22" xfId="94" applyFont="1" applyFill="1" applyBorder="1"/>
    <xf numFmtId="3" fontId="2" fillId="0" borderId="33" xfId="94" applyNumberFormat="1" applyFont="1" applyBorder="1"/>
    <xf numFmtId="0" fontId="9" fillId="0" borderId="0" xfId="94" applyFont="1" applyFill="1" applyAlignment="1">
      <alignment horizontal="right"/>
    </xf>
    <xf numFmtId="0" fontId="9" fillId="0" borderId="0" xfId="94" applyFont="1" applyFill="1" applyBorder="1" applyAlignment="1">
      <alignment horizontal="right"/>
    </xf>
    <xf numFmtId="37" fontId="1" fillId="0" borderId="0" xfId="94" applyNumberFormat="1" applyFont="1"/>
    <xf numFmtId="0" fontId="25" fillId="22" borderId="0" xfId="94" applyFont="1" applyFill="1" applyBorder="1"/>
    <xf numFmtId="7" fontId="25" fillId="22" borderId="0" xfId="94" applyNumberFormat="1" applyFont="1" applyFill="1" applyBorder="1"/>
    <xf numFmtId="0" fontId="26" fillId="22" borderId="0" xfId="94" applyFont="1" applyFill="1" applyBorder="1"/>
    <xf numFmtId="164" fontId="26" fillId="22" borderId="0" xfId="94" applyNumberFormat="1" applyFont="1" applyFill="1" applyBorder="1"/>
    <xf numFmtId="164" fontId="26" fillId="22" borderId="12" xfId="94" applyNumberFormat="1" applyFont="1" applyFill="1" applyBorder="1"/>
    <xf numFmtId="164" fontId="26" fillId="22" borderId="14" xfId="94" applyNumberFormat="1" applyFont="1" applyFill="1" applyBorder="1"/>
    <xf numFmtId="37" fontId="2" fillId="0" borderId="17" xfId="94" applyNumberFormat="1" applyFont="1" applyBorder="1"/>
    <xf numFmtId="37" fontId="2" fillId="16" borderId="0" xfId="94" applyNumberFormat="1" applyFont="1" applyFill="1" applyBorder="1"/>
    <xf numFmtId="0" fontId="2" fillId="0" borderId="0" xfId="94" applyFont="1" applyBorder="1" applyAlignment="1">
      <alignment horizontal="left" indent="2"/>
    </xf>
    <xf numFmtId="37" fontId="9" fillId="0" borderId="17" xfId="94" applyNumberFormat="1" applyFont="1" applyBorder="1"/>
    <xf numFmtId="37" fontId="9" fillId="16" borderId="14" xfId="94" applyNumberFormat="1" applyFont="1" applyFill="1" applyBorder="1"/>
    <xf numFmtId="37" fontId="9" fillId="16" borderId="12" xfId="94" applyNumberFormat="1" applyFont="1" applyFill="1" applyBorder="1"/>
    <xf numFmtId="37" fontId="9" fillId="16" borderId="0" xfId="94" applyNumberFormat="1" applyFont="1" applyFill="1" applyBorder="1"/>
    <xf numFmtId="0" fontId="9" fillId="0" borderId="22" xfId="94" applyFont="1" applyBorder="1"/>
    <xf numFmtId="5" fontId="9" fillId="0" borderId="22" xfId="94" applyNumberFormat="1" applyFont="1" applyBorder="1"/>
    <xf numFmtId="5" fontId="9" fillId="0" borderId="22" xfId="94" applyNumberFormat="1" applyFont="1" applyFill="1" applyBorder="1"/>
    <xf numFmtId="5" fontId="9" fillId="0" borderId="34" xfId="94" applyNumberFormat="1" applyFont="1" applyBorder="1"/>
    <xf numFmtId="5" fontId="9" fillId="0" borderId="33" xfId="94" applyNumberFormat="1" applyFont="1" applyBorder="1"/>
    <xf numFmtId="5" fontId="9" fillId="0" borderId="17" xfId="94" applyNumberFormat="1" applyFont="1" applyBorder="1"/>
    <xf numFmtId="0" fontId="24" fillId="15" borderId="0" xfId="94" applyFont="1" applyFill="1" applyBorder="1"/>
    <xf numFmtId="37" fontId="24" fillId="15" borderId="0" xfId="94" applyNumberFormat="1" applyFont="1" applyFill="1" applyBorder="1"/>
    <xf numFmtId="37" fontId="24" fillId="15" borderId="12" xfId="94" applyNumberFormat="1" applyFont="1" applyFill="1" applyBorder="1"/>
    <xf numFmtId="37" fontId="24" fillId="15" borderId="14" xfId="94" applyNumberFormat="1" applyFont="1" applyFill="1" applyBorder="1"/>
    <xf numFmtId="37" fontId="24" fillId="15" borderId="17" xfId="94" applyNumberFormat="1" applyFont="1" applyFill="1" applyBorder="1"/>
    <xf numFmtId="0" fontId="24" fillId="0" borderId="22" xfId="94" applyFont="1" applyFill="1" applyBorder="1"/>
    <xf numFmtId="37" fontId="24" fillId="0" borderId="22" xfId="94" applyNumberFormat="1" applyFont="1" applyFill="1" applyBorder="1"/>
    <xf numFmtId="37" fontId="24" fillId="0" borderId="34" xfId="94" applyNumberFormat="1" applyFont="1" applyFill="1" applyBorder="1"/>
    <xf numFmtId="37" fontId="24" fillId="0" borderId="33" xfId="94" applyNumberFormat="1" applyFont="1" applyFill="1" applyBorder="1"/>
    <xf numFmtId="37" fontId="24" fillId="0" borderId="12" xfId="94" applyNumberFormat="1" applyFont="1" applyFill="1" applyBorder="1"/>
    <xf numFmtId="37" fontId="24" fillId="0" borderId="14" xfId="94" applyNumberFormat="1" applyFont="1" applyFill="1" applyBorder="1"/>
    <xf numFmtId="0" fontId="24" fillId="0" borderId="0" xfId="94" applyFont="1" applyFill="1"/>
    <xf numFmtId="37" fontId="2" fillId="16" borderId="17" xfId="94" applyNumberFormat="1" applyFont="1" applyFill="1" applyBorder="1"/>
    <xf numFmtId="0" fontId="9" fillId="0" borderId="0" xfId="100" applyFont="1" applyBorder="1"/>
    <xf numFmtId="170" fontId="2" fillId="0" borderId="0" xfId="94" applyNumberFormat="1" applyFont="1" applyBorder="1"/>
    <xf numFmtId="0" fontId="2" fillId="0" borderId="0" xfId="100" applyFont="1" applyBorder="1"/>
    <xf numFmtId="169" fontId="2" fillId="0" borderId="0" xfId="93" applyNumberFormat="1" applyFont="1" applyBorder="1"/>
    <xf numFmtId="37" fontId="2" fillId="18" borderId="0" xfId="94" applyNumberFormat="1" applyFont="1" applyFill="1" applyBorder="1"/>
    <xf numFmtId="37" fontId="2" fillId="18" borderId="12" xfId="94" applyNumberFormat="1" applyFont="1" applyFill="1" applyBorder="1"/>
    <xf numFmtId="37" fontId="2" fillId="18" borderId="14" xfId="94" applyNumberFormat="1" applyFont="1" applyFill="1" applyBorder="1"/>
    <xf numFmtId="37" fontId="2" fillId="18" borderId="17" xfId="94" applyNumberFormat="1" applyFont="1" applyFill="1" applyBorder="1"/>
    <xf numFmtId="172" fontId="2" fillId="0" borderId="0" xfId="94" applyNumberFormat="1" applyFont="1" applyBorder="1"/>
    <xf numFmtId="7" fontId="2" fillId="0" borderId="0" xfId="94" applyNumberFormat="1" applyFont="1" applyBorder="1"/>
    <xf numFmtId="7" fontId="2" fillId="0" borderId="12" xfId="94" applyNumberFormat="1" applyFont="1" applyBorder="1"/>
    <xf numFmtId="7" fontId="2" fillId="0" borderId="14" xfId="94" applyNumberFormat="1" applyFont="1" applyBorder="1"/>
    <xf numFmtId="7" fontId="2" fillId="0" borderId="17" xfId="94" applyNumberFormat="1" applyFont="1" applyBorder="1"/>
    <xf numFmtId="39" fontId="23" fillId="0" borderId="0" xfId="94" applyNumberFormat="1" applyFont="1" applyFill="1" applyBorder="1"/>
    <xf numFmtId="37" fontId="2" fillId="0" borderId="15" xfId="94" applyNumberFormat="1" applyFont="1" applyBorder="1"/>
    <xf numFmtId="0" fontId="2" fillId="18" borderId="0" xfId="94" applyFont="1" applyFill="1" applyBorder="1"/>
    <xf numFmtId="37" fontId="14" fillId="18" borderId="0" xfId="94" applyNumberFormat="1" applyFont="1" applyFill="1" applyBorder="1"/>
    <xf numFmtId="9" fontId="2" fillId="18" borderId="0" xfId="94" applyNumberFormat="1" applyFont="1" applyFill="1" applyBorder="1"/>
    <xf numFmtId="9" fontId="2" fillId="18" borderId="12" xfId="94" applyNumberFormat="1" applyFont="1" applyFill="1" applyBorder="1"/>
    <xf numFmtId="3" fontId="9" fillId="0" borderId="12" xfId="57" applyNumberFormat="1" applyFont="1" applyBorder="1"/>
    <xf numFmtId="3" fontId="2" fillId="0" borderId="12" xfId="57" applyNumberFormat="1" applyFont="1" applyBorder="1"/>
    <xf numFmtId="3" fontId="2" fillId="0" borderId="12" xfId="112" applyNumberFormat="1" applyFont="1" applyBorder="1"/>
    <xf numFmtId="3" fontId="2" fillId="0" borderId="0" xfId="112" applyNumberFormat="1" applyFont="1" applyBorder="1"/>
    <xf numFmtId="9" fontId="2" fillId="0" borderId="17" xfId="112" applyFont="1" applyBorder="1"/>
    <xf numFmtId="9" fontId="2" fillId="0" borderId="12" xfId="112" applyFont="1" applyBorder="1"/>
    <xf numFmtId="9" fontId="2" fillId="0" borderId="0" xfId="112" applyFont="1" applyBorder="1"/>
    <xf numFmtId="3" fontId="2" fillId="0" borderId="12" xfId="112" applyNumberFormat="1" applyFont="1" applyFill="1" applyBorder="1"/>
    <xf numFmtId="3" fontId="2" fillId="0" borderId="0" xfId="112" applyNumberFormat="1" applyFont="1" applyFill="1" applyBorder="1"/>
    <xf numFmtId="0" fontId="25" fillId="23" borderId="12" xfId="94" applyFont="1" applyFill="1" applyBorder="1"/>
    <xf numFmtId="3" fontId="40" fillId="0" borderId="12" xfId="57" applyNumberFormat="1" applyFont="1" applyFill="1" applyBorder="1"/>
    <xf numFmtId="3" fontId="40" fillId="0" borderId="0" xfId="57" applyNumberFormat="1" applyFont="1" applyFill="1" applyBorder="1"/>
    <xf numFmtId="168" fontId="2" fillId="16" borderId="12" xfId="94" applyNumberFormat="1" applyFont="1" applyFill="1" applyBorder="1"/>
    <xf numFmtId="3" fontId="9" fillId="0" borderId="36" xfId="57" applyNumberFormat="1" applyFont="1" applyBorder="1"/>
    <xf numFmtId="3" fontId="2" fillId="0" borderId="12" xfId="57" applyNumberFormat="1" applyFont="1" applyFill="1" applyBorder="1"/>
    <xf numFmtId="3" fontId="2" fillId="0" borderId="0" xfId="57" applyNumberFormat="1" applyFont="1" applyFill="1" applyBorder="1"/>
    <xf numFmtId="168" fontId="2" fillId="0" borderId="12" xfId="94" applyNumberFormat="1" applyFont="1" applyFill="1" applyBorder="1"/>
    <xf numFmtId="168" fontId="2" fillId="0" borderId="0" xfId="94" applyNumberFormat="1" applyFont="1" applyFill="1" applyBorder="1"/>
    <xf numFmtId="37" fontId="2" fillId="0" borderId="0" xfId="94" applyNumberFormat="1" applyFont="1" applyFill="1" applyBorder="1" applyAlignment="1">
      <alignment horizontal="right"/>
    </xf>
    <xf numFmtId="0" fontId="2" fillId="0" borderId="12" xfId="137" applyFont="1" applyBorder="1"/>
    <xf numFmtId="0" fontId="2" fillId="0" borderId="12" xfId="137" applyFont="1" applyFill="1" applyBorder="1"/>
    <xf numFmtId="0" fontId="9" fillId="0" borderId="34" xfId="137" applyFont="1" applyFill="1" applyBorder="1"/>
    <xf numFmtId="37" fontId="2" fillId="0" borderId="22" xfId="94" applyNumberFormat="1" applyFont="1" applyBorder="1"/>
    <xf numFmtId="37" fontId="9" fillId="0" borderId="22" xfId="94" applyNumberFormat="1" applyFont="1" applyBorder="1"/>
    <xf numFmtId="37" fontId="9" fillId="0" borderId="33" xfId="94" applyNumberFormat="1" applyFont="1" applyBorder="1"/>
    <xf numFmtId="37" fontId="9" fillId="0" borderId="21" xfId="94" applyNumberFormat="1" applyFont="1" applyBorder="1"/>
    <xf numFmtId="37" fontId="9" fillId="0" borderId="34" xfId="94" applyNumberFormat="1" applyFont="1" applyBorder="1"/>
    <xf numFmtId="0" fontId="2" fillId="0" borderId="0" xfId="94" applyFont="1" applyBorder="1" applyAlignment="1">
      <alignment horizontal="right"/>
    </xf>
    <xf numFmtId="7" fontId="25" fillId="22" borderId="17" xfId="94" applyNumberFormat="1" applyFont="1" applyFill="1" applyBorder="1"/>
    <xf numFmtId="0" fontId="26" fillId="22" borderId="0" xfId="94" applyFont="1" applyFill="1"/>
    <xf numFmtId="9" fontId="26" fillId="22" borderId="0" xfId="94" applyNumberFormat="1" applyFont="1" applyFill="1"/>
    <xf numFmtId="164" fontId="26" fillId="22" borderId="0" xfId="94" applyNumberFormat="1" applyFont="1" applyFill="1"/>
    <xf numFmtId="164" fontId="26" fillId="22" borderId="17" xfId="94" applyNumberFormat="1" applyFont="1" applyFill="1" applyBorder="1"/>
    <xf numFmtId="0" fontId="26" fillId="22" borderId="12" xfId="94" applyFont="1" applyFill="1" applyBorder="1"/>
    <xf numFmtId="0" fontId="26" fillId="22" borderId="14" xfId="94" applyFont="1" applyFill="1" applyBorder="1"/>
    <xf numFmtId="0" fontId="25" fillId="23" borderId="0" xfId="94" applyFont="1" applyFill="1" applyBorder="1" applyAlignment="1">
      <alignment horizontal="left"/>
    </xf>
    <xf numFmtId="3" fontId="9" fillId="20" borderId="14" xfId="94" applyNumberFormat="1" applyFont="1" applyFill="1" applyBorder="1"/>
    <xf numFmtId="3" fontId="9" fillId="20" borderId="0" xfId="94" applyNumberFormat="1" applyFont="1" applyFill="1" applyBorder="1"/>
    <xf numFmtId="3" fontId="9" fillId="0" borderId="12" xfId="94" applyNumberFormat="1" applyFont="1" applyFill="1" applyBorder="1"/>
    <xf numFmtId="7" fontId="2" fillId="0" borderId="0" xfId="94" applyNumberFormat="1" applyFont="1" applyFill="1"/>
    <xf numFmtId="0" fontId="66" fillId="0" borderId="0" xfId="94" applyFont="1" applyFill="1" applyBorder="1"/>
    <xf numFmtId="0" fontId="14" fillId="0" borderId="0" xfId="94" applyFont="1" applyFill="1" applyBorder="1"/>
    <xf numFmtId="0" fontId="66" fillId="0" borderId="14" xfId="94" applyFont="1" applyFill="1" applyBorder="1"/>
    <xf numFmtId="167" fontId="9" fillId="0" borderId="0" xfId="57" applyNumberFormat="1" applyFont="1" applyFill="1"/>
    <xf numFmtId="0" fontId="9" fillId="0" borderId="12" xfId="94" applyFont="1" applyFill="1" applyBorder="1"/>
    <xf numFmtId="0" fontId="47" fillId="0" borderId="0" xfId="94" applyFont="1"/>
    <xf numFmtId="43" fontId="9" fillId="0" borderId="13" xfId="57" applyFont="1" applyFill="1" applyBorder="1"/>
    <xf numFmtId="0" fontId="23" fillId="0" borderId="37" xfId="94" applyFont="1" applyBorder="1" applyAlignment="1">
      <alignment horizontal="center"/>
    </xf>
    <xf numFmtId="0" fontId="23" fillId="0" borderId="38" xfId="94" applyFont="1" applyBorder="1" applyAlignment="1">
      <alignment horizontal="center"/>
    </xf>
    <xf numFmtId="0" fontId="23" fillId="0" borderId="39" xfId="94" applyFont="1" applyFill="1" applyBorder="1" applyAlignment="1">
      <alignment horizontal="center"/>
    </xf>
    <xf numFmtId="0" fontId="23" fillId="0" borderId="40" xfId="94" applyFont="1" applyFill="1" applyBorder="1" applyAlignment="1">
      <alignment horizontal="center"/>
    </xf>
    <xf numFmtId="0" fontId="23" fillId="0" borderId="38" xfId="94" applyFont="1" applyFill="1" applyBorder="1" applyAlignment="1">
      <alignment horizontal="center"/>
    </xf>
    <xf numFmtId="43" fontId="24" fillId="0" borderId="0" xfId="57" applyFont="1" applyFill="1" applyAlignment="1">
      <alignment horizontal="left"/>
    </xf>
    <xf numFmtId="37" fontId="9" fillId="0" borderId="17" xfId="57" applyNumberFormat="1" applyFont="1" applyFill="1" applyBorder="1"/>
    <xf numFmtId="37" fontId="9" fillId="0" borderId="12" xfId="57" applyNumberFormat="1" applyFont="1" applyFill="1" applyBorder="1"/>
    <xf numFmtId="37" fontId="9" fillId="0" borderId="14" xfId="57" applyNumberFormat="1" applyFont="1" applyFill="1" applyBorder="1"/>
    <xf numFmtId="43" fontId="2" fillId="0" borderId="0" xfId="57" applyFont="1" applyFill="1" applyAlignment="1">
      <alignment horizontal="left" indent="1"/>
    </xf>
    <xf numFmtId="37" fontId="2" fillId="0" borderId="17" xfId="57" applyNumberFormat="1" applyFont="1" applyFill="1" applyBorder="1"/>
    <xf numFmtId="37" fontId="2" fillId="0" borderId="12" xfId="57" applyNumberFormat="1" applyFont="1" applyFill="1" applyBorder="1"/>
    <xf numFmtId="37" fontId="2" fillId="0" borderId="14" xfId="57" applyNumberFormat="1" applyFont="1" applyFill="1" applyBorder="1"/>
    <xf numFmtId="43" fontId="9" fillId="0" borderId="0" xfId="57" applyFont="1" applyFill="1"/>
    <xf numFmtId="37" fontId="9" fillId="20" borderId="14" xfId="57" applyNumberFormat="1" applyFont="1" applyFill="1" applyBorder="1"/>
    <xf numFmtId="37" fontId="9" fillId="20" borderId="12" xfId="57" applyNumberFormat="1" applyFont="1" applyFill="1" applyBorder="1"/>
    <xf numFmtId="37" fontId="9" fillId="20" borderId="0" xfId="57" applyNumberFormat="1" applyFont="1" applyFill="1" applyBorder="1"/>
    <xf numFmtId="37" fontId="9" fillId="0" borderId="17" xfId="57" applyNumberFormat="1" applyFont="1" applyBorder="1"/>
    <xf numFmtId="37" fontId="9" fillId="0" borderId="12" xfId="57" applyNumberFormat="1" applyFont="1" applyBorder="1"/>
    <xf numFmtId="37" fontId="9" fillId="0" borderId="14" xfId="57" applyNumberFormat="1" applyFont="1" applyBorder="1"/>
    <xf numFmtId="43" fontId="24" fillId="0" borderId="0" xfId="57" applyFont="1" applyAlignment="1">
      <alignment horizontal="left"/>
    </xf>
    <xf numFmtId="43" fontId="24" fillId="17" borderId="0" xfId="57" applyFont="1" applyFill="1" applyAlignment="1">
      <alignment horizontal="left"/>
    </xf>
    <xf numFmtId="37" fontId="9" fillId="17" borderId="17" xfId="57" applyNumberFormat="1" applyFont="1" applyFill="1" applyBorder="1"/>
    <xf numFmtId="37" fontId="9" fillId="17" borderId="12" xfId="57" applyNumberFormat="1" applyFont="1" applyFill="1" applyBorder="1"/>
    <xf numFmtId="37" fontId="9" fillId="17" borderId="14" xfId="57" applyNumberFormat="1" applyFont="1" applyFill="1" applyBorder="1"/>
    <xf numFmtId="43" fontId="2" fillId="17" borderId="0" xfId="57" applyFont="1" applyFill="1" applyAlignment="1">
      <alignment horizontal="left" indent="1"/>
    </xf>
    <xf numFmtId="37" fontId="2" fillId="17" borderId="17" xfId="57" applyNumberFormat="1" applyFont="1" applyFill="1" applyBorder="1"/>
    <xf numFmtId="37" fontId="2" fillId="17" borderId="12" xfId="57" applyNumberFormat="1" applyFont="1" applyFill="1" applyBorder="1"/>
    <xf numFmtId="37" fontId="2" fillId="17" borderId="0" xfId="57" applyNumberFormat="1" applyFont="1" applyFill="1" applyBorder="1"/>
    <xf numFmtId="37" fontId="2" fillId="17" borderId="14" xfId="57" applyNumberFormat="1" applyFont="1" applyFill="1" applyBorder="1"/>
    <xf numFmtId="43" fontId="9" fillId="17" borderId="0" xfId="57" applyFont="1" applyFill="1"/>
    <xf numFmtId="43" fontId="2" fillId="0" borderId="0" xfId="57" applyFont="1"/>
    <xf numFmtId="43" fontId="24" fillId="0" borderId="0" xfId="57" applyFont="1"/>
    <xf numFmtId="37" fontId="24" fillId="0" borderId="17" xfId="57" applyNumberFormat="1" applyFont="1" applyBorder="1"/>
    <xf numFmtId="37" fontId="24" fillId="0" borderId="12" xfId="57" applyNumberFormat="1" applyFont="1" applyBorder="1"/>
    <xf numFmtId="37" fontId="24" fillId="0" borderId="0" xfId="57" applyNumberFormat="1" applyFont="1" applyBorder="1"/>
    <xf numFmtId="37" fontId="24" fillId="0" borderId="14" xfId="57" applyNumberFormat="1" applyFont="1" applyBorder="1"/>
    <xf numFmtId="43" fontId="40" fillId="17" borderId="0" xfId="57" applyFont="1" applyFill="1" applyAlignment="1">
      <alignment horizontal="left"/>
    </xf>
    <xf numFmtId="37" fontId="24" fillId="17" borderId="17" xfId="57" applyNumberFormat="1" applyFont="1" applyFill="1" applyBorder="1"/>
    <xf numFmtId="37" fontId="24" fillId="17" borderId="12" xfId="57" applyNumberFormat="1" applyFont="1" applyFill="1" applyBorder="1"/>
    <xf numFmtId="37" fontId="24" fillId="17" borderId="0" xfId="57" applyNumberFormat="1" applyFont="1" applyFill="1" applyBorder="1"/>
    <xf numFmtId="37" fontId="24" fillId="17" borderId="14" xfId="57" applyNumberFormat="1" applyFont="1" applyFill="1" applyBorder="1"/>
    <xf numFmtId="164" fontId="2" fillId="17" borderId="17" xfId="112" applyNumberFormat="1" applyFont="1" applyFill="1" applyBorder="1"/>
    <xf numFmtId="37" fontId="2" fillId="0" borderId="17" xfId="57" applyNumberFormat="1" applyFont="1" applyBorder="1"/>
    <xf numFmtId="37" fontId="2" fillId="0" borderId="12" xfId="57" applyNumberFormat="1" applyFont="1" applyBorder="1"/>
    <xf numFmtId="43" fontId="2" fillId="0" borderId="0" xfId="57" applyFont="1" applyFill="1"/>
    <xf numFmtId="43" fontId="24" fillId="0" borderId="0" xfId="57" applyFont="1"/>
    <xf numFmtId="43" fontId="40" fillId="17" borderId="0" xfId="57" applyFont="1" applyFill="1"/>
    <xf numFmtId="43" fontId="9" fillId="17" borderId="0" xfId="57" applyFont="1" applyFill="1" applyAlignment="1">
      <alignment horizontal="left" indent="1"/>
    </xf>
    <xf numFmtId="37" fontId="9" fillId="17" borderId="17" xfId="94" applyNumberFormat="1" applyFont="1" applyFill="1" applyBorder="1"/>
    <xf numFmtId="37" fontId="9" fillId="17" borderId="12" xfId="94" applyNumberFormat="1" applyFont="1" applyFill="1" applyBorder="1"/>
    <xf numFmtId="37" fontId="40" fillId="17" borderId="0" xfId="57" applyNumberFormat="1" applyFont="1" applyFill="1"/>
    <xf numFmtId="37" fontId="2" fillId="17" borderId="17" xfId="94" applyNumberFormat="1" applyFont="1" applyFill="1" applyBorder="1"/>
    <xf numFmtId="37" fontId="2" fillId="17" borderId="12" xfId="94" applyNumberFormat="1" applyFont="1" applyFill="1" applyBorder="1"/>
    <xf numFmtId="43" fontId="9" fillId="0" borderId="0" xfId="57" applyFont="1" applyFill="1" applyAlignment="1">
      <alignment horizontal="left" indent="1"/>
    </xf>
    <xf numFmtId="3" fontId="9" fillId="17" borderId="0" xfId="57" applyNumberFormat="1" applyFont="1" applyFill="1"/>
    <xf numFmtId="3" fontId="24" fillId="0" borderId="0" xfId="57" applyNumberFormat="1" applyFont="1"/>
    <xf numFmtId="7" fontId="9" fillId="17" borderId="0" xfId="57" applyNumberFormat="1" applyFont="1" applyFill="1"/>
    <xf numFmtId="39" fontId="9" fillId="17" borderId="17" xfId="94" applyNumberFormat="1" applyFont="1" applyFill="1" applyBorder="1"/>
    <xf numFmtId="39" fontId="9" fillId="17" borderId="12" xfId="94" applyNumberFormat="1" applyFont="1" applyFill="1" applyBorder="1"/>
    <xf numFmtId="39" fontId="9" fillId="17" borderId="0" xfId="94" applyNumberFormat="1" applyFont="1" applyFill="1" applyBorder="1"/>
    <xf numFmtId="39" fontId="9" fillId="17" borderId="14" xfId="94" applyNumberFormat="1" applyFont="1" applyFill="1" applyBorder="1"/>
    <xf numFmtId="7" fontId="2" fillId="0" borderId="0" xfId="94" applyNumberFormat="1" applyFont="1"/>
    <xf numFmtId="43" fontId="24" fillId="0" borderId="0" xfId="57" applyFont="1" applyAlignment="1">
      <alignment horizontal="left" indent="1"/>
    </xf>
    <xf numFmtId="37" fontId="24" fillId="0" borderId="17" xfId="94" applyNumberFormat="1" applyFont="1" applyBorder="1"/>
    <xf numFmtId="164" fontId="24" fillId="0" borderId="12" xfId="112" applyNumberFormat="1" applyFont="1" applyFill="1" applyBorder="1"/>
    <xf numFmtId="164" fontId="24" fillId="0" borderId="0" xfId="112" applyNumberFormat="1" applyFont="1" applyFill="1" applyBorder="1"/>
    <xf numFmtId="164" fontId="24" fillId="0" borderId="14" xfId="112" applyNumberFormat="1" applyFont="1" applyFill="1" applyBorder="1"/>
    <xf numFmtId="10" fontId="24" fillId="0" borderId="0" xfId="94" applyNumberFormat="1" applyFont="1"/>
    <xf numFmtId="10" fontId="24" fillId="0" borderId="0" xfId="94" applyNumberFormat="1" applyFont="1" applyBorder="1"/>
    <xf numFmtId="4" fontId="2" fillId="0" borderId="0" xfId="94" applyNumberFormat="1" applyFont="1"/>
    <xf numFmtId="0" fontId="2" fillId="0" borderId="41" xfId="94" applyFont="1" applyBorder="1"/>
    <xf numFmtId="0" fontId="2" fillId="0" borderId="0" xfId="94" applyFont="1"/>
    <xf numFmtId="43" fontId="24" fillId="0" borderId="14" xfId="57" applyFont="1" applyBorder="1"/>
    <xf numFmtId="43" fontId="9" fillId="0" borderId="14" xfId="57" applyFont="1" applyFill="1" applyBorder="1" applyAlignment="1">
      <alignment horizontal="left" indent="1"/>
    </xf>
    <xf numFmtId="43" fontId="24" fillId="0" borderId="14" xfId="57" applyFont="1" applyFill="1" applyBorder="1"/>
    <xf numFmtId="43" fontId="9" fillId="0" borderId="0" xfId="57" applyFont="1" applyFill="1" applyBorder="1" applyAlignment="1">
      <alignment horizontal="left" indent="1"/>
    </xf>
    <xf numFmtId="0" fontId="40" fillId="0" borderId="0" xfId="94" applyFont="1"/>
    <xf numFmtId="43" fontId="9" fillId="0" borderId="37" xfId="57" applyFont="1" applyFill="1" applyBorder="1"/>
    <xf numFmtId="0" fontId="23" fillId="0" borderId="39" xfId="94" applyFont="1" applyBorder="1" applyAlignment="1">
      <alignment horizontal="center"/>
    </xf>
    <xf numFmtId="0" fontId="23" fillId="0" borderId="40" xfId="94" applyFont="1" applyBorder="1" applyAlignment="1">
      <alignment horizontal="center"/>
    </xf>
    <xf numFmtId="37" fontId="23" fillId="0" borderId="39" xfId="94" applyNumberFormat="1" applyFont="1" applyBorder="1" applyAlignment="1">
      <alignment horizontal="center"/>
    </xf>
    <xf numFmtId="37" fontId="23" fillId="0" borderId="40" xfId="94" applyNumberFormat="1" applyFont="1" applyBorder="1" applyAlignment="1">
      <alignment horizontal="center"/>
    </xf>
    <xf numFmtId="37" fontId="23" fillId="0" borderId="38" xfId="94" applyNumberFormat="1" applyFont="1" applyBorder="1" applyAlignment="1">
      <alignment horizontal="center"/>
    </xf>
    <xf numFmtId="37" fontId="23" fillId="0" borderId="36" xfId="94" applyNumberFormat="1" applyFont="1" applyBorder="1" applyAlignment="1">
      <alignment horizontal="center"/>
    </xf>
    <xf numFmtId="37" fontId="23" fillId="0" borderId="28" xfId="94" applyNumberFormat="1" applyFont="1" applyBorder="1" applyAlignment="1">
      <alignment horizontal="center"/>
    </xf>
    <xf numFmtId="37" fontId="23" fillId="0" borderId="35" xfId="94" applyNumberFormat="1" applyFont="1" applyBorder="1" applyAlignment="1">
      <alignment horizontal="center"/>
    </xf>
    <xf numFmtId="49" fontId="9" fillId="0" borderId="0" xfId="94" applyNumberFormat="1" applyFont="1" applyBorder="1" applyAlignment="1">
      <alignment horizontal="right"/>
    </xf>
    <xf numFmtId="0" fontId="24" fillId="0" borderId="17" xfId="94" applyFont="1" applyBorder="1"/>
    <xf numFmtId="0" fontId="40" fillId="0" borderId="17" xfId="94" applyFont="1" applyBorder="1"/>
    <xf numFmtId="43" fontId="9" fillId="17" borderId="17" xfId="57" applyFont="1" applyFill="1" applyBorder="1"/>
    <xf numFmtId="43" fontId="9" fillId="0" borderId="17" xfId="57" applyFont="1" applyFill="1" applyBorder="1"/>
    <xf numFmtId="43" fontId="2" fillId="0" borderId="17" xfId="57" applyFont="1" applyFill="1" applyBorder="1" applyAlignment="1">
      <alignment horizontal="left" indent="1"/>
    </xf>
    <xf numFmtId="37" fontId="2" fillId="0" borderId="0" xfId="94" applyNumberFormat="1" applyFont="1" applyBorder="1" applyAlignment="1">
      <alignment horizontal="right"/>
    </xf>
    <xf numFmtId="43" fontId="9" fillId="0" borderId="17" xfId="57" applyFont="1" applyBorder="1"/>
    <xf numFmtId="37" fontId="9" fillId="0" borderId="0" xfId="94" applyNumberFormat="1" applyFont="1" applyBorder="1" applyAlignment="1">
      <alignment horizontal="right"/>
    </xf>
    <xf numFmtId="43" fontId="2" fillId="0" borderId="17" xfId="57" applyFont="1" applyBorder="1"/>
    <xf numFmtId="37" fontId="2" fillId="0" borderId="14" xfId="57" applyNumberFormat="1" applyFont="1" applyBorder="1"/>
    <xf numFmtId="37" fontId="2" fillId="0" borderId="0" xfId="57" applyNumberFormat="1" applyFont="1" applyBorder="1" applyAlignment="1">
      <alignment horizontal="right"/>
    </xf>
    <xf numFmtId="37" fontId="9" fillId="0" borderId="0" xfId="57" applyNumberFormat="1" applyFont="1" applyBorder="1" applyAlignment="1">
      <alignment horizontal="right"/>
    </xf>
    <xf numFmtId="37" fontId="2" fillId="17" borderId="0" xfId="94" applyNumberFormat="1" applyFont="1" applyFill="1" applyBorder="1" applyAlignment="1">
      <alignment horizontal="right"/>
    </xf>
    <xf numFmtId="40" fontId="9" fillId="0" borderId="0" xfId="57" applyNumberFormat="1" applyFont="1" applyAlignment="1">
      <alignment horizontal="left"/>
    </xf>
    <xf numFmtId="43" fontId="24" fillId="0" borderId="17" xfId="57" applyFont="1" applyBorder="1"/>
    <xf numFmtId="41" fontId="24" fillId="0" borderId="17" xfId="57" applyNumberFormat="1" applyFont="1" applyBorder="1"/>
    <xf numFmtId="41" fontId="24" fillId="0" borderId="0" xfId="57" applyNumberFormat="1" applyFont="1" applyBorder="1"/>
    <xf numFmtId="41" fontId="24" fillId="0" borderId="12" xfId="57" applyNumberFormat="1" applyFont="1" applyBorder="1"/>
    <xf numFmtId="41" fontId="24" fillId="0" borderId="14" xfId="57" applyNumberFormat="1" applyFont="1" applyBorder="1"/>
    <xf numFmtId="41" fontId="24" fillId="0" borderId="12" xfId="57" applyNumberFormat="1" applyFont="1" applyFill="1" applyBorder="1"/>
    <xf numFmtId="41" fontId="24" fillId="0" borderId="0" xfId="57" applyNumberFormat="1" applyFont="1" applyFill="1" applyBorder="1"/>
    <xf numFmtId="41" fontId="24" fillId="0" borderId="0" xfId="57" applyNumberFormat="1" applyFont="1" applyBorder="1" applyAlignment="1">
      <alignment horizontal="right"/>
    </xf>
    <xf numFmtId="3" fontId="47" fillId="0" borderId="21" xfId="94" applyNumberFormat="1" applyFont="1" applyFill="1" applyBorder="1"/>
    <xf numFmtId="37" fontId="2" fillId="0" borderId="21" xfId="94" applyNumberFormat="1" applyFont="1" applyFill="1" applyBorder="1"/>
    <xf numFmtId="37" fontId="2" fillId="0" borderId="22" xfId="94" applyNumberFormat="1" applyFont="1" applyFill="1" applyBorder="1"/>
    <xf numFmtId="37" fontId="2" fillId="0" borderId="34" xfId="94" applyNumberFormat="1" applyFont="1" applyFill="1" applyBorder="1"/>
    <xf numFmtId="37" fontId="2" fillId="0" borderId="33" xfId="94" applyNumberFormat="1" applyFont="1" applyFill="1" applyBorder="1"/>
    <xf numFmtId="37" fontId="23" fillId="0" borderId="42" xfId="94" applyNumberFormat="1" applyFont="1" applyFill="1" applyBorder="1" applyAlignment="1">
      <alignment horizontal="center"/>
    </xf>
    <xf numFmtId="37" fontId="23" fillId="0" borderId="13" xfId="94" applyNumberFormat="1" applyFont="1" applyFill="1" applyBorder="1" applyAlignment="1">
      <alignment horizontal="center"/>
    </xf>
    <xf numFmtId="37" fontId="23" fillId="0" borderId="29" xfId="94" applyNumberFormat="1" applyFont="1" applyFill="1" applyBorder="1" applyAlignment="1">
      <alignment horizontal="center"/>
    </xf>
    <xf numFmtId="37" fontId="2" fillId="17" borderId="0" xfId="94" applyNumberFormat="1" applyFont="1" applyFill="1"/>
    <xf numFmtId="37" fontId="14" fillId="0" borderId="0" xfId="94" applyNumberFormat="1" applyFont="1" applyFill="1"/>
    <xf numFmtId="37" fontId="9" fillId="0" borderId="0" xfId="57" applyNumberFormat="1" applyFont="1" applyFill="1"/>
    <xf numFmtId="37" fontId="2" fillId="17" borderId="0" xfId="57" applyNumberFormat="1" applyFont="1" applyFill="1"/>
    <xf numFmtId="37" fontId="23" fillId="0" borderId="12" xfId="57" applyNumberFormat="1" applyFont="1" applyBorder="1"/>
    <xf numFmtId="37" fontId="23" fillId="0" borderId="0" xfId="57" applyNumberFormat="1" applyFont="1"/>
    <xf numFmtId="37" fontId="23" fillId="0" borderId="0" xfId="57" applyNumberFormat="1" applyFont="1" applyBorder="1"/>
    <xf numFmtId="37" fontId="24" fillId="0" borderId="0" xfId="57" applyNumberFormat="1" applyFont="1"/>
    <xf numFmtId="37" fontId="24" fillId="0" borderId="0" xfId="94" applyNumberFormat="1" applyFont="1"/>
    <xf numFmtId="37" fontId="24" fillId="0" borderId="12" xfId="94" applyNumberFormat="1" applyFont="1" applyBorder="1"/>
    <xf numFmtId="43" fontId="2" fillId="17" borderId="0" xfId="57" applyFont="1" applyFill="1"/>
    <xf numFmtId="43" fontId="2" fillId="17" borderId="0" xfId="57" applyFont="1" applyFill="1"/>
    <xf numFmtId="43" fontId="2" fillId="0" borderId="0" xfId="57" applyFont="1" applyFill="1" applyAlignment="1">
      <alignment horizontal="left" indent="2"/>
    </xf>
    <xf numFmtId="41" fontId="24" fillId="20" borderId="0" xfId="57" applyNumberFormat="1" applyFont="1" applyFill="1" applyBorder="1"/>
    <xf numFmtId="37" fontId="24" fillId="0" borderId="17" xfId="112" applyNumberFormat="1" applyFont="1" applyBorder="1"/>
    <xf numFmtId="37" fontId="75" fillId="0" borderId="0" xfId="112" applyNumberFormat="1" applyFont="1" applyBorder="1"/>
    <xf numFmtId="37" fontId="75" fillId="0" borderId="12" xfId="112" applyNumberFormat="1" applyFont="1" applyBorder="1"/>
    <xf numFmtId="0" fontId="2" fillId="0" borderId="0" xfId="94" applyFont="1" applyFill="1" applyAlignment="1">
      <alignment horizontal="left" indent="1"/>
    </xf>
    <xf numFmtId="37" fontId="75" fillId="0" borderId="14" xfId="112" applyNumberFormat="1" applyFont="1" applyBorder="1"/>
    <xf numFmtId="37" fontId="14" fillId="0" borderId="0" xfId="57" applyNumberFormat="1" applyFont="1" applyBorder="1"/>
    <xf numFmtId="37" fontId="14" fillId="0" borderId="12" xfId="57" applyNumberFormat="1" applyFont="1" applyBorder="1"/>
    <xf numFmtId="37" fontId="14" fillId="0" borderId="14" xfId="57" applyNumberFormat="1" applyFont="1" applyBorder="1"/>
    <xf numFmtId="37" fontId="40" fillId="0" borderId="17" xfId="112" applyNumberFormat="1" applyFont="1" applyBorder="1"/>
    <xf numFmtId="37" fontId="76" fillId="0" borderId="0" xfId="112" applyNumberFormat="1" applyFont="1" applyBorder="1"/>
    <xf numFmtId="37" fontId="76" fillId="0" borderId="12" xfId="112" applyNumberFormat="1" applyFont="1" applyBorder="1"/>
    <xf numFmtId="37" fontId="14" fillId="0" borderId="0" xfId="57" applyNumberFormat="1" applyFont="1"/>
    <xf numFmtId="0" fontId="2" fillId="0" borderId="0" xfId="94" applyFont="1" applyFill="1" applyAlignment="1">
      <alignment horizontal="left" indent="2"/>
    </xf>
    <xf numFmtId="167" fontId="9" fillId="0" borderId="0" xfId="57" applyNumberFormat="1" applyFont="1" applyBorder="1"/>
    <xf numFmtId="37" fontId="40" fillId="0" borderId="0" xfId="94" applyNumberFormat="1" applyFont="1" applyBorder="1"/>
    <xf numFmtId="37" fontId="9" fillId="0" borderId="12" xfId="57" applyNumberFormat="1" applyFont="1" applyBorder="1" applyAlignment="1">
      <alignment horizontal="right"/>
    </xf>
    <xf numFmtId="37" fontId="9" fillId="0" borderId="14" xfId="57" applyNumberFormat="1" applyFont="1" applyBorder="1" applyAlignment="1">
      <alignment horizontal="right"/>
    </xf>
    <xf numFmtId="9" fontId="40" fillId="0" borderId="0" xfId="112" applyFont="1" applyBorder="1"/>
    <xf numFmtId="37" fontId="75" fillId="0" borderId="12" xfId="94" applyNumberFormat="1" applyFont="1" applyBorder="1"/>
    <xf numFmtId="37" fontId="75" fillId="0" borderId="0" xfId="94" applyNumberFormat="1" applyFont="1" applyBorder="1"/>
    <xf numFmtId="37" fontId="75" fillId="0" borderId="14" xfId="94" applyNumberFormat="1" applyFont="1" applyBorder="1"/>
    <xf numFmtId="0" fontId="77" fillId="0" borderId="0" xfId="94" applyFont="1" applyBorder="1"/>
    <xf numFmtId="37" fontId="14" fillId="0" borderId="0" xfId="57" applyNumberFormat="1" applyFont="1" applyFill="1" applyBorder="1"/>
    <xf numFmtId="37" fontId="14" fillId="0" borderId="14" xfId="57" applyNumberFormat="1" applyFont="1" applyFill="1" applyBorder="1"/>
    <xf numFmtId="37" fontId="40" fillId="0" borderId="12" xfId="94" applyNumberFormat="1" applyFont="1" applyBorder="1"/>
    <xf numFmtId="37" fontId="40" fillId="0" borderId="14" xfId="94" applyNumberFormat="1" applyFont="1" applyBorder="1"/>
    <xf numFmtId="0" fontId="24" fillId="0" borderId="22" xfId="94" applyFont="1" applyBorder="1"/>
    <xf numFmtId="37" fontId="2" fillId="0" borderId="34" xfId="57" applyNumberFormat="1" applyFont="1" applyBorder="1"/>
    <xf numFmtId="37" fontId="2" fillId="0" borderId="22" xfId="57" applyNumberFormat="1" applyFont="1" applyBorder="1"/>
    <xf numFmtId="37" fontId="2" fillId="0" borderId="33" xfId="57" applyNumberFormat="1" applyFont="1" applyBorder="1"/>
    <xf numFmtId="41" fontId="24" fillId="0" borderId="34" xfId="57" applyNumberFormat="1" applyFont="1" applyBorder="1"/>
    <xf numFmtId="41" fontId="24" fillId="0" borderId="22" xfId="57" applyNumberFormat="1" applyFont="1" applyBorder="1"/>
    <xf numFmtId="0" fontId="23" fillId="0" borderId="36" xfId="94" applyFont="1" applyFill="1" applyBorder="1" applyAlignment="1">
      <alignment horizontal="center"/>
    </xf>
    <xf numFmtId="0" fontId="23" fillId="0" borderId="28" xfId="94" applyFont="1" applyFill="1" applyBorder="1" applyAlignment="1">
      <alignment horizontal="center"/>
    </xf>
    <xf numFmtId="0" fontId="23" fillId="0" borderId="35" xfId="94" applyFont="1" applyFill="1" applyBorder="1" applyAlignment="1">
      <alignment horizontal="center"/>
    </xf>
    <xf numFmtId="167" fontId="14" fillId="0" borderId="12" xfId="57" applyNumberFormat="1" applyFont="1" applyFill="1" applyBorder="1"/>
    <xf numFmtId="3" fontId="14" fillId="16" borderId="12" xfId="0" applyNumberFormat="1" applyFont="1" applyFill="1" applyBorder="1"/>
    <xf numFmtId="167" fontId="9" fillId="0" borderId="12" xfId="57" applyNumberFormat="1" applyFont="1" applyFill="1" applyBorder="1"/>
    <xf numFmtId="37" fontId="2" fillId="0" borderId="20" xfId="94" applyNumberFormat="1" applyFont="1" applyBorder="1"/>
    <xf numFmtId="0" fontId="9" fillId="0" borderId="0" xfId="10" applyFont="1"/>
    <xf numFmtId="0" fontId="87" fillId="0" borderId="0" xfId="99" applyFont="1"/>
    <xf numFmtId="0" fontId="1" fillId="0" borderId="0" xfId="104" applyFont="1"/>
    <xf numFmtId="164" fontId="80" fillId="0" borderId="0" xfId="99" applyNumberFormat="1" applyFont="1"/>
    <xf numFmtId="0" fontId="83" fillId="0" borderId="0" xfId="99" applyFont="1"/>
    <xf numFmtId="0" fontId="27" fillId="0" borderId="0" xfId="104" applyFont="1"/>
    <xf numFmtId="167" fontId="1" fillId="0" borderId="0" xfId="57" applyNumberFormat="1" applyFont="1" applyBorder="1"/>
    <xf numFmtId="0" fontId="80" fillId="0" borderId="0" xfId="99" applyFont="1"/>
    <xf numFmtId="0" fontId="1" fillId="0" borderId="0" xfId="10" applyFont="1"/>
    <xf numFmtId="0" fontId="9" fillId="0" borderId="0" xfId="104" applyFont="1" applyFill="1"/>
    <xf numFmtId="7" fontId="9" fillId="0" borderId="0" xfId="99" applyNumberFormat="1" applyFont="1" applyFill="1" applyBorder="1" applyAlignment="1">
      <alignment horizontal="right"/>
    </xf>
    <xf numFmtId="0" fontId="25" fillId="22" borderId="28" xfId="99" applyFont="1" applyFill="1" applyBorder="1"/>
    <xf numFmtId="0" fontId="25" fillId="22" borderId="28" xfId="99" applyFont="1" applyFill="1" applyBorder="1" applyAlignment="1">
      <alignment horizontal="right"/>
    </xf>
    <xf numFmtId="0" fontId="25" fillId="22" borderId="22" xfId="99" applyFont="1" applyFill="1" applyBorder="1" applyAlignment="1">
      <alignment horizontal="right"/>
    </xf>
    <xf numFmtId="0" fontId="25" fillId="22" borderId="33" xfId="99" applyFont="1" applyFill="1" applyBorder="1" applyAlignment="1">
      <alignment horizontal="right"/>
    </xf>
    <xf numFmtId="0" fontId="25" fillId="22" borderId="22" xfId="99" applyFont="1" applyFill="1" applyBorder="1" applyAlignment="1">
      <alignment horizontal="right"/>
    </xf>
    <xf numFmtId="0" fontId="25" fillId="22" borderId="0" xfId="99" applyFont="1" applyFill="1" applyAlignment="1">
      <alignment horizontal="right"/>
    </xf>
    <xf numFmtId="0" fontId="25" fillId="22" borderId="12" xfId="99" applyFont="1" applyFill="1" applyBorder="1" applyAlignment="1">
      <alignment horizontal="right"/>
    </xf>
    <xf numFmtId="0" fontId="25" fillId="22" borderId="34" xfId="99" applyFont="1" applyFill="1" applyBorder="1" applyAlignment="1">
      <alignment horizontal="right"/>
    </xf>
    <xf numFmtId="0" fontId="9" fillId="17" borderId="15" xfId="99" applyFont="1" applyFill="1" applyBorder="1"/>
    <xf numFmtId="0" fontId="1" fillId="17" borderId="15" xfId="99" applyFont="1" applyFill="1" applyBorder="1"/>
    <xf numFmtId="7" fontId="9" fillId="17" borderId="15" xfId="99" applyNumberFormat="1" applyFont="1" applyFill="1" applyBorder="1" applyAlignment="1">
      <alignment horizontal="right"/>
    </xf>
    <xf numFmtId="7" fontId="9" fillId="17" borderId="19" xfId="99" applyNumberFormat="1" applyFont="1" applyFill="1" applyBorder="1" applyAlignment="1">
      <alignment horizontal="right"/>
    </xf>
    <xf numFmtId="7" fontId="9" fillId="17" borderId="20" xfId="99" applyNumberFormat="1" applyFont="1" applyFill="1" applyBorder="1" applyAlignment="1">
      <alignment horizontal="right"/>
    </xf>
    <xf numFmtId="0" fontId="83" fillId="0" borderId="12" xfId="99" applyFont="1" applyBorder="1"/>
    <xf numFmtId="0" fontId="1" fillId="17" borderId="22" xfId="99" applyFont="1" applyFill="1" applyBorder="1" applyAlignment="1">
      <alignment horizontal="left" indent="1"/>
    </xf>
    <xf numFmtId="0" fontId="1" fillId="17" borderId="22" xfId="99" applyFont="1" applyFill="1" applyBorder="1"/>
    <xf numFmtId="0" fontId="9" fillId="17" borderId="22" xfId="99" applyFont="1" applyFill="1" applyBorder="1" applyAlignment="1">
      <alignment horizontal="center"/>
    </xf>
    <xf numFmtId="164" fontId="1" fillId="17" borderId="22" xfId="99" applyNumberFormat="1" applyFont="1" applyFill="1" applyBorder="1" applyAlignment="1">
      <alignment horizontal="center"/>
    </xf>
    <xf numFmtId="164" fontId="1" fillId="17" borderId="22" xfId="99" applyNumberFormat="1" applyFont="1" applyFill="1" applyBorder="1" applyAlignment="1">
      <alignment horizontal="right"/>
    </xf>
    <xf numFmtId="164" fontId="1" fillId="17" borderId="33" xfId="99" applyNumberFormat="1" applyFont="1" applyFill="1" applyBorder="1" applyAlignment="1">
      <alignment horizontal="right"/>
    </xf>
    <xf numFmtId="164" fontId="9" fillId="17" borderId="22" xfId="99" applyNumberFormat="1" applyFont="1" applyFill="1" applyBorder="1" applyAlignment="1">
      <alignment horizontal="center"/>
    </xf>
    <xf numFmtId="164" fontId="1" fillId="17" borderId="34" xfId="99" applyNumberFormat="1" applyFont="1" applyFill="1" applyBorder="1" applyAlignment="1">
      <alignment horizontal="center"/>
    </xf>
    <xf numFmtId="164" fontId="1" fillId="17" borderId="34" xfId="99" applyNumberFormat="1" applyFont="1" applyFill="1" applyBorder="1" applyAlignment="1">
      <alignment horizontal="right"/>
    </xf>
    <xf numFmtId="0" fontId="25" fillId="23" borderId="0" xfId="99" applyFont="1" applyFill="1" applyAlignment="1">
      <alignment horizontal="left"/>
    </xf>
    <xf numFmtId="0" fontId="25" fillId="23" borderId="0" xfId="99" applyFont="1" applyFill="1" applyAlignment="1">
      <alignment horizontal="right"/>
    </xf>
    <xf numFmtId="0" fontId="25" fillId="23" borderId="0" xfId="99" applyFont="1" applyFill="1" applyBorder="1" applyAlignment="1">
      <alignment horizontal="right"/>
    </xf>
    <xf numFmtId="0" fontId="25" fillId="23" borderId="14" xfId="99" applyFont="1" applyFill="1" applyBorder="1" applyAlignment="1">
      <alignment horizontal="right"/>
    </xf>
    <xf numFmtId="0" fontId="26" fillId="23" borderId="12" xfId="99" applyFont="1" applyFill="1" applyBorder="1" applyAlignment="1">
      <alignment horizontal="left"/>
    </xf>
    <xf numFmtId="0" fontId="25" fillId="23" borderId="12" xfId="99" applyFont="1" applyFill="1" applyBorder="1" applyAlignment="1">
      <alignment horizontal="right"/>
    </xf>
    <xf numFmtId="49" fontId="1" fillId="0" borderId="0" xfId="104" applyNumberFormat="1" applyFont="1" applyFill="1" applyAlignment="1">
      <alignment horizontal="left" indent="2"/>
    </xf>
    <xf numFmtId="49" fontId="1" fillId="0" borderId="0" xfId="104" applyNumberFormat="1" applyFont="1" applyAlignment="1">
      <alignment horizontal="left" indent="2"/>
    </xf>
    <xf numFmtId="167" fontId="1" fillId="0" borderId="0" xfId="57" applyNumberFormat="1" applyFont="1" applyFill="1" applyBorder="1"/>
    <xf numFmtId="167" fontId="1" fillId="0" borderId="14" xfId="57" applyNumberFormat="1" applyFont="1" applyBorder="1"/>
    <xf numFmtId="167" fontId="1" fillId="0" borderId="12" xfId="57" applyNumberFormat="1" applyFont="1" applyFill="1" applyBorder="1"/>
    <xf numFmtId="49" fontId="1" fillId="0" borderId="0" xfId="104" applyNumberFormat="1" applyFont="1" applyAlignment="1">
      <alignment horizontal="left" indent="3"/>
    </xf>
    <xf numFmtId="164" fontId="1" fillId="0" borderId="0" xfId="112" applyNumberFormat="1" applyFont="1" applyFill="1" applyBorder="1"/>
    <xf numFmtId="164" fontId="1" fillId="0" borderId="14" xfId="112" applyNumberFormat="1" applyFont="1" applyFill="1" applyBorder="1"/>
    <xf numFmtId="164" fontId="1" fillId="0" borderId="12" xfId="112" applyNumberFormat="1" applyFont="1" applyFill="1" applyBorder="1"/>
    <xf numFmtId="167" fontId="1" fillId="0" borderId="0" xfId="57" applyNumberFormat="1" applyFont="1" applyFill="1"/>
    <xf numFmtId="49" fontId="9" fillId="0" borderId="0" xfId="104" applyNumberFormat="1" applyFont="1" applyAlignment="1">
      <alignment horizontal="left" indent="1"/>
    </xf>
    <xf numFmtId="49" fontId="1" fillId="0" borderId="0" xfId="104" applyNumberFormat="1" applyFont="1" applyAlignment="1">
      <alignment horizontal="left" indent="1"/>
    </xf>
    <xf numFmtId="49" fontId="9" fillId="0" borderId="0" xfId="104" applyNumberFormat="1" applyFont="1"/>
    <xf numFmtId="167" fontId="45" fillId="0" borderId="0" xfId="57" applyNumberFormat="1" applyFont="1" applyFill="1" applyBorder="1"/>
    <xf numFmtId="167" fontId="23" fillId="0" borderId="0" xfId="57" applyNumberFormat="1" applyFont="1" applyFill="1" applyBorder="1"/>
    <xf numFmtId="49" fontId="1" fillId="0" borderId="0" xfId="104" applyNumberFormat="1" applyFont="1" applyBorder="1" applyAlignment="1">
      <alignment horizontal="left" indent="2"/>
    </xf>
    <xf numFmtId="0" fontId="80" fillId="0" borderId="12" xfId="99" applyFont="1" applyFill="1" applyBorder="1"/>
    <xf numFmtId="0" fontId="27" fillId="0" borderId="0" xfId="104" applyFont="1" applyFill="1"/>
    <xf numFmtId="164" fontId="14" fillId="0" borderId="12" xfId="112" applyNumberFormat="1" applyFont="1" applyFill="1" applyBorder="1"/>
    <xf numFmtId="49" fontId="1" fillId="0" borderId="0" xfId="104" applyNumberFormat="1" applyFont="1" applyBorder="1" applyAlignment="1">
      <alignment horizontal="left" indent="3"/>
    </xf>
    <xf numFmtId="167" fontId="1" fillId="0" borderId="14" xfId="57" applyNumberFormat="1" applyFont="1" applyFill="1" applyBorder="1"/>
    <xf numFmtId="0" fontId="1" fillId="0" borderId="12" xfId="104" applyFont="1" applyBorder="1"/>
    <xf numFmtId="49" fontId="9" fillId="0" borderId="0" xfId="104" applyNumberFormat="1" applyFont="1" applyBorder="1" applyAlignment="1">
      <alignment horizontal="left" indent="1"/>
    </xf>
    <xf numFmtId="167" fontId="23" fillId="0" borderId="12" xfId="57" applyNumberFormat="1" applyFont="1" applyFill="1" applyBorder="1"/>
    <xf numFmtId="167" fontId="23" fillId="0" borderId="0" xfId="57" applyNumberFormat="1" applyFont="1" applyFill="1"/>
    <xf numFmtId="167" fontId="80" fillId="0" borderId="12" xfId="99" applyNumberFormat="1" applyFont="1" applyBorder="1"/>
    <xf numFmtId="164" fontId="1" fillId="0" borderId="0" xfId="112" applyNumberFormat="1" applyFont="1" applyFill="1"/>
    <xf numFmtId="49" fontId="1" fillId="0" borderId="0" xfId="104" applyNumberFormat="1" applyFont="1" applyBorder="1" applyAlignment="1">
      <alignment horizontal="left" indent="1"/>
    </xf>
    <xf numFmtId="49" fontId="9" fillId="0" borderId="0" xfId="104" applyNumberFormat="1" applyFont="1" applyAlignment="1">
      <alignment horizontal="left"/>
    </xf>
    <xf numFmtId="167" fontId="9" fillId="25" borderId="0" xfId="57" applyNumberFormat="1" applyFont="1" applyFill="1" applyBorder="1"/>
    <xf numFmtId="0" fontId="9" fillId="0" borderId="0" xfId="104" applyFont="1"/>
    <xf numFmtId="0" fontId="9" fillId="0" borderId="12" xfId="104" applyFont="1" applyBorder="1"/>
    <xf numFmtId="167" fontId="14" fillId="17" borderId="0" xfId="57" applyNumberFormat="1" applyFont="1" applyFill="1" applyBorder="1"/>
    <xf numFmtId="167" fontId="14" fillId="17" borderId="12" xfId="57" applyNumberFormat="1" applyFont="1" applyFill="1" applyBorder="1"/>
    <xf numFmtId="167" fontId="83" fillId="0" borderId="12" xfId="99" applyNumberFormat="1" applyFont="1" applyBorder="1"/>
    <xf numFmtId="167" fontId="1" fillId="0" borderId="12" xfId="104" applyNumberFormat="1" applyFont="1" applyBorder="1"/>
    <xf numFmtId="167" fontId="1" fillId="0" borderId="0" xfId="104" applyNumberFormat="1" applyFont="1"/>
    <xf numFmtId="167" fontId="1" fillId="0" borderId="0" xfId="104" applyNumberFormat="1" applyFont="1" applyBorder="1"/>
    <xf numFmtId="43" fontId="1" fillId="0" borderId="0" xfId="57" applyNumberFormat="1" applyFont="1" applyFill="1" applyBorder="1"/>
    <xf numFmtId="43" fontId="1" fillId="0" borderId="14" xfId="57" applyNumberFormat="1" applyFont="1" applyFill="1" applyBorder="1"/>
    <xf numFmtId="43" fontId="1" fillId="0" borderId="12" xfId="57" applyNumberFormat="1" applyFont="1" applyFill="1" applyBorder="1"/>
    <xf numFmtId="9" fontId="23" fillId="0" borderId="14" xfId="57" applyNumberFormat="1" applyFont="1" applyFill="1" applyBorder="1"/>
    <xf numFmtId="9" fontId="23" fillId="0" borderId="0" xfId="57" applyNumberFormat="1" applyFont="1" applyFill="1" applyBorder="1"/>
    <xf numFmtId="49" fontId="1" fillId="0" borderId="0" xfId="104" applyNumberFormat="1" applyFont="1" applyAlignment="1">
      <alignment horizontal="left"/>
    </xf>
    <xf numFmtId="49" fontId="9" fillId="0" borderId="0" xfId="104" applyNumberFormat="1" applyFont="1" applyBorder="1" applyAlignment="1">
      <alignment horizontal="left"/>
    </xf>
    <xf numFmtId="49" fontId="1" fillId="0" borderId="0" xfId="104" applyNumberFormat="1" applyFont="1" applyBorder="1" applyAlignment="1">
      <alignment horizontal="left"/>
    </xf>
    <xf numFmtId="43" fontId="1" fillId="0" borderId="0" xfId="57" applyFont="1" applyFill="1"/>
    <xf numFmtId="43" fontId="1" fillId="0" borderId="12" xfId="57" applyFont="1" applyFill="1" applyBorder="1"/>
    <xf numFmtId="49" fontId="1" fillId="17" borderId="0" xfId="104" applyNumberFormat="1" applyFont="1" applyFill="1" applyBorder="1" applyAlignment="1">
      <alignment horizontal="left" indent="1"/>
    </xf>
    <xf numFmtId="167" fontId="1" fillId="17" borderId="0" xfId="57" applyNumberFormat="1" applyFont="1" applyFill="1" applyBorder="1"/>
    <xf numFmtId="167" fontId="1" fillId="17" borderId="14" xfId="57" applyNumberFormat="1" applyFont="1" applyFill="1" applyBorder="1"/>
    <xf numFmtId="167" fontId="1" fillId="17" borderId="0" xfId="57" applyNumberFormat="1" applyFont="1" applyFill="1"/>
    <xf numFmtId="167" fontId="1" fillId="17" borderId="12" xfId="57" applyNumberFormat="1" applyFont="1" applyFill="1" applyBorder="1"/>
    <xf numFmtId="49" fontId="1" fillId="17" borderId="0" xfId="104" applyNumberFormat="1" applyFont="1" applyFill="1" applyAlignment="1">
      <alignment horizontal="left" indent="2"/>
    </xf>
    <xf numFmtId="164" fontId="1" fillId="17" borderId="0" xfId="112" applyNumberFormat="1" applyFont="1" applyFill="1" applyBorder="1"/>
    <xf numFmtId="164" fontId="1" fillId="17" borderId="14" xfId="112" applyNumberFormat="1" applyFont="1" applyFill="1" applyBorder="1"/>
    <xf numFmtId="164" fontId="1" fillId="17" borderId="12" xfId="112" applyNumberFormat="1" applyFont="1" applyFill="1" applyBorder="1"/>
    <xf numFmtId="164" fontId="1" fillId="17" borderId="0" xfId="112" applyNumberFormat="1" applyFont="1" applyFill="1"/>
    <xf numFmtId="49" fontId="1" fillId="17" borderId="0" xfId="104" applyNumberFormat="1" applyFont="1" applyFill="1" applyAlignment="1">
      <alignment horizontal="left" indent="1"/>
    </xf>
    <xf numFmtId="49" fontId="9" fillId="17" borderId="0" xfId="104" applyNumberFormat="1" applyFont="1" applyFill="1" applyAlignment="1">
      <alignment horizontal="left"/>
    </xf>
    <xf numFmtId="167" fontId="46" fillId="17" borderId="0" xfId="57" applyNumberFormat="1" applyFont="1" applyFill="1" applyAlignment="1">
      <alignment horizontal="left"/>
    </xf>
    <xf numFmtId="167" fontId="9" fillId="17" borderId="0" xfId="57" applyNumberFormat="1" applyFont="1" applyFill="1" applyBorder="1"/>
    <xf numFmtId="167" fontId="9" fillId="17" borderId="14" xfId="57" applyNumberFormat="1" applyFont="1" applyFill="1" applyBorder="1"/>
    <xf numFmtId="167" fontId="9" fillId="17" borderId="12" xfId="57" applyNumberFormat="1" applyFont="1" applyFill="1" applyBorder="1"/>
    <xf numFmtId="49" fontId="1" fillId="17" borderId="0" xfId="104" applyNumberFormat="1" applyFont="1" applyFill="1" applyAlignment="1">
      <alignment horizontal="left"/>
    </xf>
    <xf numFmtId="49" fontId="1" fillId="0" borderId="0" xfId="104" applyNumberFormat="1" applyFont="1" applyFill="1" applyAlignment="1">
      <alignment horizontal="left"/>
    </xf>
    <xf numFmtId="49" fontId="1" fillId="0" borderId="0" xfId="104" applyNumberFormat="1" applyFont="1" applyFill="1" applyAlignment="1">
      <alignment horizontal="left" indent="1"/>
    </xf>
    <xf numFmtId="49" fontId="9" fillId="0" borderId="0" xfId="104" applyNumberFormat="1" applyFont="1" applyFill="1" applyAlignment="1">
      <alignment horizontal="left"/>
    </xf>
    <xf numFmtId="43" fontId="1" fillId="0" borderId="0" xfId="57" applyNumberFormat="1" applyFont="1"/>
    <xf numFmtId="43" fontId="1" fillId="0" borderId="0" xfId="57" applyNumberFormat="1" applyFont="1" applyBorder="1"/>
    <xf numFmtId="43" fontId="1" fillId="0" borderId="14" xfId="57" applyNumberFormat="1" applyFont="1" applyBorder="1"/>
    <xf numFmtId="43" fontId="1" fillId="0" borderId="12" xfId="57" applyNumberFormat="1" applyFont="1" applyBorder="1"/>
    <xf numFmtId="43" fontId="1" fillId="0" borderId="0" xfId="57" applyNumberFormat="1" applyFont="1" applyFill="1"/>
    <xf numFmtId="164" fontId="1" fillId="0" borderId="0" xfId="112" applyNumberFormat="1" applyFont="1"/>
    <xf numFmtId="164" fontId="1" fillId="0" borderId="0" xfId="112" applyNumberFormat="1" applyFont="1" applyBorder="1"/>
    <xf numFmtId="164" fontId="1" fillId="0" borderId="14" xfId="112" applyNumberFormat="1" applyFont="1" applyBorder="1"/>
    <xf numFmtId="164" fontId="1" fillId="0" borderId="12" xfId="112" applyNumberFormat="1" applyFont="1" applyBorder="1"/>
    <xf numFmtId="0" fontId="73" fillId="0" borderId="0" xfId="99" applyFont="1" applyAlignment="1">
      <alignment horizontal="left" indent="1"/>
    </xf>
    <xf numFmtId="49" fontId="9" fillId="0" borderId="0" xfId="104" applyNumberFormat="1" applyFont="1" applyFill="1" applyBorder="1" applyAlignment="1">
      <alignment horizontal="left"/>
    </xf>
    <xf numFmtId="0" fontId="27" fillId="0" borderId="0" xfId="104" applyFont="1" applyBorder="1"/>
    <xf numFmtId="49" fontId="1" fillId="0" borderId="22" xfId="104" applyNumberFormat="1" applyFont="1" applyBorder="1" applyAlignment="1">
      <alignment horizontal="left" indent="2"/>
    </xf>
    <xf numFmtId="167" fontId="1" fillId="0" borderId="22" xfId="57" applyNumberFormat="1" applyFont="1" applyFill="1" applyBorder="1"/>
    <xf numFmtId="164" fontId="1" fillId="0" borderId="22" xfId="112" applyNumberFormat="1" applyFont="1" applyFill="1" applyBorder="1"/>
    <xf numFmtId="164" fontId="1" fillId="0" borderId="33" xfId="112" applyNumberFormat="1" applyFont="1" applyFill="1" applyBorder="1"/>
    <xf numFmtId="167" fontId="14" fillId="0" borderId="34" xfId="57" applyNumberFormat="1" applyFont="1" applyFill="1" applyBorder="1"/>
    <xf numFmtId="167" fontId="14" fillId="0" borderId="22" xfId="57" applyNumberFormat="1" applyFont="1" applyFill="1" applyBorder="1"/>
    <xf numFmtId="167" fontId="14" fillId="0" borderId="33" xfId="57" applyNumberFormat="1" applyFont="1" applyFill="1" applyBorder="1"/>
    <xf numFmtId="164" fontId="1" fillId="0" borderId="34" xfId="112" applyNumberFormat="1" applyFont="1" applyFill="1" applyBorder="1"/>
    <xf numFmtId="49" fontId="1" fillId="0" borderId="0" xfId="104" applyNumberFormat="1" applyFont="1" applyFill="1" applyBorder="1" applyAlignment="1">
      <alignment horizontal="left"/>
    </xf>
    <xf numFmtId="49" fontId="1" fillId="0" borderId="0" xfId="104" applyNumberFormat="1" applyFont="1" applyFill="1" applyBorder="1" applyAlignment="1">
      <alignment horizontal="left" indent="1"/>
    </xf>
    <xf numFmtId="0" fontId="80" fillId="0" borderId="12" xfId="99" applyFont="1" applyBorder="1"/>
    <xf numFmtId="43" fontId="88" fillId="0" borderId="12" xfId="57" applyFont="1" applyFill="1" applyBorder="1"/>
    <xf numFmtId="43" fontId="88" fillId="0" borderId="0" xfId="57" applyFont="1" applyFill="1"/>
    <xf numFmtId="167" fontId="9" fillId="0" borderId="14" xfId="57" applyNumberFormat="1" applyFont="1" applyBorder="1"/>
    <xf numFmtId="49" fontId="1" fillId="0" borderId="22" xfId="104" applyNumberFormat="1" applyFont="1" applyFill="1" applyBorder="1" applyAlignment="1">
      <alignment horizontal="left" indent="1"/>
    </xf>
    <xf numFmtId="49" fontId="1" fillId="0" borderId="22" xfId="104" applyNumberFormat="1" applyFont="1" applyFill="1" applyBorder="1"/>
    <xf numFmtId="164" fontId="1" fillId="0" borderId="22" xfId="112" applyNumberFormat="1" applyFont="1" applyFill="1" applyBorder="1" applyAlignment="1">
      <alignment horizontal="right" readingOrder="1"/>
    </xf>
    <xf numFmtId="164" fontId="1" fillId="0" borderId="33" xfId="112" applyNumberFormat="1" applyFont="1" applyFill="1" applyBorder="1" applyAlignment="1">
      <alignment horizontal="right" readingOrder="1"/>
    </xf>
    <xf numFmtId="164" fontId="1" fillId="0" borderId="0" xfId="112" applyNumberFormat="1" applyFont="1" applyFill="1" applyAlignment="1">
      <alignment horizontal="right" readingOrder="1"/>
    </xf>
    <xf numFmtId="164" fontId="1" fillId="0" borderId="12" xfId="112" applyNumberFormat="1" applyFont="1" applyFill="1" applyBorder="1" applyAlignment="1">
      <alignment horizontal="right" readingOrder="1"/>
    </xf>
    <xf numFmtId="164" fontId="1" fillId="0" borderId="34" xfId="112" applyNumberFormat="1" applyFont="1" applyFill="1" applyBorder="1" applyAlignment="1">
      <alignment horizontal="right" readingOrder="1"/>
    </xf>
    <xf numFmtId="49" fontId="1" fillId="0" borderId="0" xfId="104" applyNumberFormat="1" applyFont="1" applyFill="1" applyBorder="1"/>
    <xf numFmtId="164" fontId="1" fillId="0" borderId="0" xfId="112" applyNumberFormat="1" applyFont="1" applyFill="1" applyBorder="1" applyAlignment="1">
      <alignment horizontal="right" readingOrder="1"/>
    </xf>
    <xf numFmtId="164" fontId="1" fillId="0" borderId="14" xfId="112" applyNumberFormat="1" applyFont="1" applyFill="1" applyBorder="1" applyAlignment="1">
      <alignment horizontal="right" readingOrder="1"/>
    </xf>
    <xf numFmtId="164" fontId="1" fillId="0" borderId="15" xfId="112" applyNumberFormat="1" applyFont="1" applyFill="1" applyBorder="1" applyAlignment="1">
      <alignment horizontal="right" readingOrder="1"/>
    </xf>
    <xf numFmtId="164" fontId="1" fillId="0" borderId="20" xfId="112" applyNumberFormat="1" applyFont="1" applyFill="1" applyBorder="1" applyAlignment="1">
      <alignment horizontal="right" readingOrder="1"/>
    </xf>
    <xf numFmtId="164" fontId="1" fillId="0" borderId="19" xfId="112" applyNumberFormat="1" applyFont="1" applyFill="1" applyBorder="1" applyAlignment="1">
      <alignment horizontal="right" readingOrder="1"/>
    </xf>
    <xf numFmtId="43" fontId="1" fillId="0" borderId="0" xfId="57" applyFont="1" applyFill="1"/>
    <xf numFmtId="0" fontId="1" fillId="0" borderId="0" xfId="90" applyFont="1" applyFill="1" applyAlignment="1">
      <alignment horizontal="right" readingOrder="1"/>
    </xf>
    <xf numFmtId="0" fontId="1" fillId="0" borderId="12" xfId="104" applyFont="1" applyFill="1" applyBorder="1"/>
    <xf numFmtId="0" fontId="1" fillId="0" borderId="12" xfId="90" applyFont="1" applyFill="1" applyBorder="1" applyAlignment="1">
      <alignment horizontal="right" readingOrder="1"/>
    </xf>
    <xf numFmtId="49" fontId="1" fillId="0" borderId="22" xfId="104" applyNumberFormat="1" applyFont="1" applyFill="1" applyBorder="1" applyAlignment="1">
      <alignment horizontal="left"/>
    </xf>
    <xf numFmtId="43" fontId="14" fillId="0" borderId="34" xfId="57" applyNumberFormat="1" applyFont="1" applyFill="1" applyBorder="1"/>
    <xf numFmtId="43" fontId="14" fillId="0" borderId="22" xfId="57" applyNumberFormat="1" applyFont="1" applyFill="1" applyBorder="1"/>
    <xf numFmtId="43" fontId="14" fillId="0" borderId="33" xfId="57" applyNumberFormat="1" applyFont="1" applyFill="1" applyBorder="1"/>
    <xf numFmtId="164" fontId="1" fillId="0" borderId="0" xfId="57" applyNumberFormat="1" applyFont="1" applyFill="1"/>
    <xf numFmtId="0" fontId="1" fillId="0" borderId="0" xfId="104" applyFont="1" applyFill="1"/>
    <xf numFmtId="0" fontId="1" fillId="0" borderId="20" xfId="104" applyFont="1" applyFill="1" applyBorder="1"/>
    <xf numFmtId="9" fontId="1" fillId="0" borderId="0" xfId="112" applyFont="1" applyFill="1"/>
    <xf numFmtId="49" fontId="14" fillId="17" borderId="0" xfId="104" applyNumberFormat="1" applyFont="1" applyFill="1" applyAlignment="1">
      <alignment horizontal="left" indent="2"/>
    </xf>
    <xf numFmtId="49" fontId="9" fillId="0" borderId="0" xfId="104" applyNumberFormat="1" applyFont="1" applyFill="1" applyAlignment="1">
      <alignment horizontal="left" indent="1"/>
    </xf>
    <xf numFmtId="43" fontId="9" fillId="0" borderId="0" xfId="57" applyFont="1" applyFill="1" applyAlignment="1">
      <alignment horizontal="left" indent="1"/>
    </xf>
    <xf numFmtId="164" fontId="1" fillId="0" borderId="12" xfId="57" applyNumberFormat="1" applyFont="1" applyFill="1" applyBorder="1"/>
    <xf numFmtId="49" fontId="9" fillId="0" borderId="0" xfId="104" applyNumberFormat="1" applyFont="1" applyFill="1" applyAlignment="1">
      <alignment horizontal="left" indent="2"/>
    </xf>
    <xf numFmtId="9" fontId="1" fillId="0" borderId="0" xfId="112" applyNumberFormat="1" applyFont="1" applyFill="1" applyBorder="1"/>
    <xf numFmtId="9" fontId="14" fillId="0" borderId="12" xfId="112" applyNumberFormat="1" applyFont="1" applyFill="1" applyBorder="1"/>
    <xf numFmtId="9" fontId="14" fillId="0" borderId="0" xfId="112" applyNumberFormat="1" applyFont="1" applyFill="1" applyBorder="1"/>
    <xf numFmtId="43" fontId="88" fillId="0" borderId="12" xfId="57" applyFont="1" applyBorder="1"/>
    <xf numFmtId="43" fontId="88" fillId="0" borderId="0" xfId="57" applyFont="1"/>
    <xf numFmtId="43" fontId="1" fillId="0" borderId="0" xfId="57" applyFont="1" applyFill="1" applyBorder="1"/>
    <xf numFmtId="0" fontId="25" fillId="0" borderId="12" xfId="99" applyFont="1" applyFill="1" applyBorder="1" applyAlignment="1">
      <alignment horizontal="right"/>
    </xf>
    <xf numFmtId="43" fontId="1" fillId="0" borderId="12" xfId="57" applyFont="1" applyFill="1" applyBorder="1"/>
    <xf numFmtId="49" fontId="1" fillId="0" borderId="0" xfId="104" applyNumberFormat="1" applyFont="1" applyFill="1"/>
    <xf numFmtId="167" fontId="88" fillId="0" borderId="14" xfId="57" applyNumberFormat="1" applyFont="1" applyFill="1" applyBorder="1" applyAlignment="1">
      <alignment horizontal="center"/>
    </xf>
    <xf numFmtId="167" fontId="88" fillId="0" borderId="12" xfId="57" applyNumberFormat="1" applyFont="1" applyFill="1" applyBorder="1" applyAlignment="1"/>
    <xf numFmtId="167" fontId="88" fillId="0" borderId="0" xfId="57" applyNumberFormat="1" applyFont="1" applyFill="1" applyBorder="1" applyAlignment="1"/>
    <xf numFmtId="0" fontId="88" fillId="0" borderId="0" xfId="91" applyFont="1" applyFill="1" applyBorder="1" applyAlignment="1"/>
    <xf numFmtId="0" fontId="88" fillId="0" borderId="12" xfId="91" applyFont="1" applyFill="1" applyBorder="1" applyAlignment="1"/>
    <xf numFmtId="167" fontId="1" fillId="0" borderId="0" xfId="57" applyNumberFormat="1" applyFont="1" applyFill="1" applyAlignment="1">
      <alignment horizontal="right" readingOrder="1"/>
    </xf>
    <xf numFmtId="167" fontId="1" fillId="0" borderId="0" xfId="57" applyNumberFormat="1" applyFont="1" applyFill="1" applyBorder="1" applyAlignment="1">
      <alignment horizontal="right" readingOrder="1"/>
    </xf>
    <xf numFmtId="167" fontId="1" fillId="0" borderId="14" xfId="57" applyNumberFormat="1" applyFont="1" applyFill="1" applyBorder="1" applyAlignment="1">
      <alignment horizontal="right" readingOrder="1"/>
    </xf>
    <xf numFmtId="167" fontId="1" fillId="0" borderId="12" xfId="57" applyNumberFormat="1" applyFont="1" applyFill="1" applyBorder="1" applyAlignment="1">
      <alignment horizontal="right" readingOrder="1"/>
    </xf>
    <xf numFmtId="43" fontId="14" fillId="0" borderId="0" xfId="57" applyFont="1" applyFill="1"/>
    <xf numFmtId="43" fontId="1" fillId="0" borderId="12" xfId="57" applyFont="1" applyFill="1" applyBorder="1"/>
    <xf numFmtId="167" fontId="83" fillId="0" borderId="0" xfId="99" applyNumberFormat="1" applyFont="1"/>
    <xf numFmtId="164" fontId="3" fillId="0" borderId="12" xfId="57" applyNumberFormat="1" applyFont="1" applyFill="1" applyBorder="1"/>
    <xf numFmtId="0" fontId="83" fillId="18" borderId="0" xfId="99" applyFont="1" applyFill="1"/>
    <xf numFmtId="167" fontId="80" fillId="18" borderId="0" xfId="99" applyNumberFormat="1" applyFont="1" applyFill="1"/>
    <xf numFmtId="0" fontId="83" fillId="18" borderId="12" xfId="99" applyFont="1" applyFill="1" applyBorder="1"/>
    <xf numFmtId="49" fontId="83" fillId="18" borderId="0" xfId="99" applyNumberFormat="1" applyFont="1" applyFill="1"/>
    <xf numFmtId="164" fontId="83" fillId="18" borderId="0" xfId="99" applyNumberFormat="1" applyFont="1" applyFill="1"/>
    <xf numFmtId="164" fontId="83" fillId="18" borderId="12" xfId="99" applyNumberFormat="1" applyFont="1" applyFill="1" applyBorder="1"/>
    <xf numFmtId="167" fontId="83" fillId="18" borderId="0" xfId="99" applyNumberFormat="1" applyFont="1" applyFill="1"/>
    <xf numFmtId="0" fontId="10" fillId="18" borderId="0" xfId="99" applyFont="1" applyFill="1"/>
    <xf numFmtId="167" fontId="10" fillId="18" borderId="0" xfId="99" applyNumberFormat="1" applyFont="1" applyFill="1"/>
    <xf numFmtId="164" fontId="10" fillId="18" borderId="0" xfId="99" applyNumberFormat="1" applyFont="1" applyFill="1"/>
    <xf numFmtId="164" fontId="10" fillId="18" borderId="12" xfId="99" applyNumberFormat="1" applyFont="1" applyFill="1" applyBorder="1"/>
    <xf numFmtId="0" fontId="83" fillId="18" borderId="0" xfId="99" applyFont="1" applyFill="1"/>
    <xf numFmtId="0" fontId="83" fillId="18" borderId="12" xfId="99" applyFont="1" applyFill="1" applyBorder="1"/>
    <xf numFmtId="0" fontId="9" fillId="18" borderId="0" xfId="99" applyFont="1" applyFill="1"/>
    <xf numFmtId="0" fontId="80" fillId="18" borderId="0" xfId="99" applyFont="1" applyFill="1"/>
    <xf numFmtId="0" fontId="80" fillId="18" borderId="12" xfId="99" applyFont="1" applyFill="1" applyBorder="1"/>
    <xf numFmtId="0" fontId="80" fillId="0" borderId="0" xfId="99" applyFont="1" applyAlignment="1">
      <alignment horizontal="left"/>
    </xf>
    <xf numFmtId="37" fontId="80" fillId="0" borderId="0" xfId="99" applyNumberFormat="1" applyFont="1"/>
    <xf numFmtId="37" fontId="89" fillId="0" borderId="0" xfId="99" applyNumberFormat="1" applyFont="1" applyAlignment="1">
      <alignment horizontal="right"/>
    </xf>
    <xf numFmtId="37" fontId="90" fillId="0" borderId="0" xfId="99" applyNumberFormat="1" applyFont="1" applyAlignment="1">
      <alignment horizontal="right"/>
    </xf>
    <xf numFmtId="37" fontId="80" fillId="0" borderId="12" xfId="99" applyNumberFormat="1" applyFont="1" applyBorder="1" applyAlignment="1">
      <alignment horizontal="right"/>
    </xf>
    <xf numFmtId="37" fontId="90" fillId="0" borderId="12" xfId="99" applyNumberFormat="1" applyFont="1" applyBorder="1" applyAlignment="1">
      <alignment horizontal="right"/>
    </xf>
    <xf numFmtId="0" fontId="80" fillId="0" borderId="0" xfId="99" applyFont="1" applyAlignment="1">
      <alignment horizontal="left" indent="1"/>
    </xf>
    <xf numFmtId="37" fontId="80" fillId="0" borderId="0" xfId="99" applyNumberFormat="1" applyFont="1" applyAlignment="1">
      <alignment horizontal="right"/>
    </xf>
    <xf numFmtId="9" fontId="80" fillId="0" borderId="0" xfId="99" applyNumberFormat="1" applyFont="1"/>
    <xf numFmtId="9" fontId="80" fillId="0" borderId="12" xfId="99" applyNumberFormat="1" applyFont="1" applyBorder="1"/>
    <xf numFmtId="37" fontId="90" fillId="0" borderId="0" xfId="99" applyNumberFormat="1" applyFont="1"/>
    <xf numFmtId="37" fontId="80" fillId="17" borderId="0" xfId="99" applyNumberFormat="1" applyFont="1" applyFill="1"/>
    <xf numFmtId="37" fontId="90" fillId="17" borderId="12" xfId="99" applyNumberFormat="1" applyFont="1" applyFill="1" applyBorder="1" applyAlignment="1">
      <alignment horizontal="right"/>
    </xf>
    <xf numFmtId="37" fontId="90" fillId="17" borderId="0" xfId="99" applyNumberFormat="1" applyFont="1" applyFill="1" applyAlignment="1">
      <alignment horizontal="right"/>
    </xf>
    <xf numFmtId="37" fontId="80" fillId="0" borderId="12" xfId="99" applyNumberFormat="1" applyFont="1" applyBorder="1"/>
    <xf numFmtId="164" fontId="80" fillId="0" borderId="12" xfId="99" applyNumberFormat="1" applyFont="1" applyBorder="1"/>
    <xf numFmtId="167" fontId="80" fillId="0" borderId="0" xfId="99" applyNumberFormat="1" applyFont="1"/>
    <xf numFmtId="0" fontId="80" fillId="0" borderId="14" xfId="99" applyFont="1" applyBorder="1"/>
    <xf numFmtId="37" fontId="80" fillId="0" borderId="14" xfId="99" applyNumberFormat="1" applyFont="1" applyBorder="1"/>
    <xf numFmtId="37" fontId="80" fillId="0" borderId="0" xfId="99" applyNumberFormat="1" applyFont="1" applyBorder="1"/>
    <xf numFmtId="0" fontId="83" fillId="17" borderId="0" xfId="99" applyFont="1" applyFill="1"/>
    <xf numFmtId="0" fontId="83" fillId="0" borderId="0" xfId="99" applyFont="1" applyFill="1"/>
    <xf numFmtId="0" fontId="83" fillId="0" borderId="14" xfId="99" applyFont="1" applyFill="1" applyBorder="1"/>
    <xf numFmtId="167" fontId="80" fillId="17" borderId="14" xfId="99" applyNumberFormat="1" applyFont="1" applyFill="1" applyBorder="1"/>
    <xf numFmtId="167" fontId="80" fillId="17" borderId="12" xfId="99" applyNumberFormat="1" applyFont="1" applyFill="1" applyBorder="1"/>
    <xf numFmtId="0" fontId="91" fillId="0" borderId="0" xfId="99" applyFont="1" applyBorder="1"/>
    <xf numFmtId="0" fontId="1" fillId="0" borderId="0" xfId="99" applyFont="1" applyBorder="1"/>
    <xf numFmtId="7" fontId="46" fillId="0" borderId="0" xfId="99" applyNumberFormat="1" applyFont="1" applyBorder="1" applyAlignment="1">
      <alignment horizontal="center"/>
    </xf>
    <xf numFmtId="0" fontId="46" fillId="0" borderId="0" xfId="99" applyFont="1" applyBorder="1" applyAlignment="1">
      <alignment horizontal="center"/>
    </xf>
    <xf numFmtId="0" fontId="9" fillId="0" borderId="0" xfId="99" applyFont="1" applyBorder="1" applyAlignment="1"/>
    <xf numFmtId="0" fontId="70" fillId="22" borderId="0" xfId="99" applyFont="1" applyFill="1"/>
    <xf numFmtId="0" fontId="9" fillId="22" borderId="0" xfId="99" applyFont="1" applyFill="1" applyBorder="1" applyAlignment="1"/>
    <xf numFmtId="9" fontId="1" fillId="0" borderId="0" xfId="99" applyNumberFormat="1" applyFont="1" applyBorder="1"/>
    <xf numFmtId="0" fontId="1" fillId="0" borderId="0" xfId="99" applyFont="1" applyFill="1" applyBorder="1"/>
    <xf numFmtId="0" fontId="1" fillId="17" borderId="0" xfId="99" applyFont="1" applyFill="1" applyBorder="1"/>
    <xf numFmtId="38" fontId="1" fillId="0" borderId="0" xfId="99" applyNumberFormat="1" applyFont="1" applyBorder="1"/>
    <xf numFmtId="3" fontId="46" fillId="0" borderId="0" xfId="99" applyNumberFormat="1" applyFont="1" applyBorder="1" applyAlignment="1">
      <alignment horizontal="center"/>
    </xf>
    <xf numFmtId="164" fontId="46" fillId="0" borderId="0" xfId="99" applyNumberFormat="1" applyFont="1" applyBorder="1" applyAlignment="1">
      <alignment horizontal="center"/>
    </xf>
    <xf numFmtId="9" fontId="46" fillId="0" borderId="0" xfId="99" applyNumberFormat="1" applyFont="1" applyBorder="1" applyAlignment="1">
      <alignment horizontal="center"/>
    </xf>
    <xf numFmtId="0" fontId="25" fillId="22" borderId="0" xfId="99" applyFont="1" applyFill="1" applyBorder="1"/>
    <xf numFmtId="0" fontId="26" fillId="22" borderId="0" xfId="99" applyFont="1" applyFill="1" applyBorder="1"/>
    <xf numFmtId="0" fontId="25" fillId="22" borderId="0" xfId="99" applyFont="1" applyFill="1" applyBorder="1" applyAlignment="1">
      <alignment horizontal="center"/>
    </xf>
    <xf numFmtId="0" fontId="25" fillId="22" borderId="14" xfId="99" applyFont="1" applyFill="1" applyBorder="1" applyAlignment="1">
      <alignment horizontal="center"/>
    </xf>
    <xf numFmtId="0" fontId="25" fillId="22" borderId="0" xfId="99" applyFont="1" applyFill="1" applyBorder="1" applyAlignment="1">
      <alignment horizontal="center"/>
    </xf>
    <xf numFmtId="4" fontId="9" fillId="0" borderId="0" xfId="99" applyNumberFormat="1" applyFont="1" applyFill="1" applyBorder="1" applyAlignment="1">
      <alignment horizontal="center"/>
    </xf>
    <xf numFmtId="0" fontId="25" fillId="22" borderId="12" xfId="99" applyFont="1" applyFill="1" applyBorder="1" applyAlignment="1">
      <alignment horizontal="center"/>
    </xf>
    <xf numFmtId="0" fontId="26" fillId="0" borderId="0" xfId="99" applyFont="1" applyBorder="1"/>
    <xf numFmtId="0" fontId="9" fillId="17" borderId="0" xfId="99" applyFont="1" applyFill="1"/>
    <xf numFmtId="0" fontId="1" fillId="17" borderId="0" xfId="99" applyFont="1" applyFill="1"/>
    <xf numFmtId="0" fontId="9" fillId="17" borderId="0" xfId="99" applyFont="1" applyFill="1" applyAlignment="1">
      <alignment horizontal="center"/>
    </xf>
    <xf numFmtId="7" fontId="9" fillId="17" borderId="0" xfId="99" applyNumberFormat="1" applyFont="1" applyFill="1" applyAlignment="1">
      <alignment horizontal="center"/>
    </xf>
    <xf numFmtId="7" fontId="9" fillId="17" borderId="0" xfId="99" applyNumberFormat="1" applyFont="1" applyFill="1" applyBorder="1" applyAlignment="1">
      <alignment horizontal="center"/>
    </xf>
    <xf numFmtId="7" fontId="9" fillId="17" borderId="14" xfId="99" applyNumberFormat="1" applyFont="1" applyFill="1" applyBorder="1" applyAlignment="1">
      <alignment horizontal="center"/>
    </xf>
    <xf numFmtId="7" fontId="9" fillId="17" borderId="12" xfId="99" applyNumberFormat="1" applyFont="1" applyFill="1" applyBorder="1" applyAlignment="1">
      <alignment horizontal="center"/>
    </xf>
    <xf numFmtId="0" fontId="1" fillId="0" borderId="0" xfId="99" applyFont="1"/>
    <xf numFmtId="0" fontId="1" fillId="0" borderId="0" xfId="99" applyFont="1" applyFill="1"/>
    <xf numFmtId="0" fontId="1" fillId="17" borderId="0" xfId="99" applyFont="1" applyFill="1" applyBorder="1" applyAlignment="1">
      <alignment horizontal="left" indent="1"/>
    </xf>
    <xf numFmtId="0" fontId="9" fillId="17" borderId="0" xfId="99" applyFont="1" applyFill="1" applyBorder="1" applyAlignment="1">
      <alignment horizontal="center"/>
    </xf>
    <xf numFmtId="164" fontId="1" fillId="17" borderId="0" xfId="99" applyNumberFormat="1" applyFont="1" applyFill="1" applyBorder="1" applyAlignment="1">
      <alignment horizontal="center"/>
    </xf>
    <xf numFmtId="164" fontId="1" fillId="17" borderId="14" xfId="99" applyNumberFormat="1" applyFont="1" applyFill="1" applyBorder="1" applyAlignment="1">
      <alignment horizontal="center"/>
    </xf>
    <xf numFmtId="164" fontId="1" fillId="17" borderId="12" xfId="99" applyNumberFormat="1" applyFont="1" applyFill="1" applyBorder="1" applyAlignment="1">
      <alignment horizontal="center"/>
    </xf>
    <xf numFmtId="0" fontId="25" fillId="23" borderId="0" xfId="99" applyFont="1" applyFill="1"/>
    <xf numFmtId="0" fontId="26" fillId="23" borderId="0" xfId="99" applyFont="1" applyFill="1"/>
    <xf numFmtId="0" fontId="26" fillId="23" borderId="0" xfId="99" applyFont="1" applyFill="1" applyBorder="1"/>
    <xf numFmtId="0" fontId="26" fillId="23" borderId="14" xfId="99" applyFont="1" applyFill="1" applyBorder="1"/>
    <xf numFmtId="38" fontId="26" fillId="23" borderId="0" xfId="99" applyNumberFormat="1" applyFont="1" applyFill="1"/>
    <xf numFmtId="38" fontId="26" fillId="23" borderId="12" xfId="99" applyNumberFormat="1" applyFont="1" applyFill="1" applyBorder="1"/>
    <xf numFmtId="38" fontId="26" fillId="23" borderId="14" xfId="99" applyNumberFormat="1" applyFont="1" applyFill="1" applyBorder="1"/>
    <xf numFmtId="38" fontId="26" fillId="23" borderId="0" xfId="99" applyNumberFormat="1" applyFont="1" applyFill="1" applyBorder="1"/>
    <xf numFmtId="0" fontId="9" fillId="0" borderId="0" xfId="99" applyFont="1"/>
    <xf numFmtId="38" fontId="9" fillId="0" borderId="0" xfId="99" applyNumberFormat="1" applyFont="1"/>
    <xf numFmtId="38" fontId="92" fillId="0" borderId="0" xfId="99" applyNumberFormat="1" applyFont="1"/>
    <xf numFmtId="38" fontId="9" fillId="0" borderId="0" xfId="99" applyNumberFormat="1" applyFont="1" applyBorder="1"/>
    <xf numFmtId="38" fontId="9" fillId="0" borderId="14" xfId="99" applyNumberFormat="1" applyFont="1" applyBorder="1"/>
    <xf numFmtId="38" fontId="9" fillId="0" borderId="12" xfId="99" applyNumberFormat="1" applyFont="1" applyBorder="1"/>
    <xf numFmtId="38" fontId="92" fillId="0" borderId="14" xfId="99" applyNumberFormat="1" applyFont="1" applyBorder="1"/>
    <xf numFmtId="38" fontId="92" fillId="0" borderId="12" xfId="99" applyNumberFormat="1" applyFont="1" applyBorder="1"/>
    <xf numFmtId="38" fontId="92" fillId="0" borderId="0" xfId="99" applyNumberFormat="1" applyFont="1" applyBorder="1"/>
    <xf numFmtId="0" fontId="9" fillId="0" borderId="12" xfId="99" applyFont="1" applyBorder="1" applyAlignment="1"/>
    <xf numFmtId="167" fontId="1" fillId="0" borderId="0" xfId="57" applyNumberFormat="1" applyFont="1"/>
    <xf numFmtId="0" fontId="9" fillId="0" borderId="0" xfId="99" applyFont="1" applyFill="1"/>
    <xf numFmtId="0" fontId="1" fillId="0" borderId="0" xfId="99" applyFont="1" applyAlignment="1">
      <alignment horizontal="left" indent="1"/>
    </xf>
    <xf numFmtId="38" fontId="1" fillId="0" borderId="0" xfId="99" applyNumberFormat="1" applyFont="1"/>
    <xf numFmtId="164" fontId="1" fillId="0" borderId="0" xfId="99" applyNumberFormat="1" applyFont="1"/>
    <xf numFmtId="164" fontId="93" fillId="0" borderId="0" xfId="99" applyNumberFormat="1" applyFont="1"/>
    <xf numFmtId="164" fontId="1" fillId="0" borderId="0" xfId="99" applyNumberFormat="1" applyFont="1" applyBorder="1"/>
    <xf numFmtId="164" fontId="1" fillId="0" borderId="14" xfId="99" applyNumberFormat="1" applyFont="1" applyBorder="1"/>
    <xf numFmtId="164" fontId="1" fillId="0" borderId="12" xfId="99" applyNumberFormat="1" applyFont="1" applyBorder="1"/>
    <xf numFmtId="164" fontId="93" fillId="0" borderId="14" xfId="99" applyNumberFormat="1" applyFont="1" applyBorder="1"/>
    <xf numFmtId="164" fontId="93" fillId="0" borderId="12" xfId="99" applyNumberFormat="1" applyFont="1" applyBorder="1"/>
    <xf numFmtId="164" fontId="93" fillId="0" borderId="0" xfId="99" applyNumberFormat="1" applyFont="1" applyBorder="1"/>
    <xf numFmtId="43" fontId="1" fillId="0" borderId="0" xfId="99" applyNumberFormat="1" applyFont="1"/>
    <xf numFmtId="164" fontId="1" fillId="0" borderId="0" xfId="99" applyNumberFormat="1" applyFont="1" applyAlignment="1">
      <alignment horizontal="center"/>
    </xf>
    <xf numFmtId="164" fontId="93" fillId="0" borderId="0" xfId="99" applyNumberFormat="1" applyFont="1" applyAlignment="1">
      <alignment horizontal="center"/>
    </xf>
    <xf numFmtId="164" fontId="1" fillId="0" borderId="0" xfId="99" applyNumberFormat="1" applyFont="1" applyBorder="1" applyAlignment="1">
      <alignment horizontal="center"/>
    </xf>
    <xf numFmtId="164" fontId="1" fillId="0" borderId="14" xfId="99" applyNumberFormat="1" applyFont="1" applyBorder="1" applyAlignment="1">
      <alignment horizontal="center"/>
    </xf>
    <xf numFmtId="38" fontId="9" fillId="0" borderId="0" xfId="99" applyNumberFormat="1" applyFont="1" applyFill="1" applyBorder="1"/>
    <xf numFmtId="164" fontId="1" fillId="0" borderId="0" xfId="99" applyNumberFormat="1" applyFont="1" applyFill="1"/>
    <xf numFmtId="0" fontId="1" fillId="0" borderId="22" xfId="99" applyFont="1" applyBorder="1" applyAlignment="1">
      <alignment horizontal="left" indent="1"/>
    </xf>
    <xf numFmtId="0" fontId="1" fillId="0" borderId="22" xfId="99" applyFont="1" applyBorder="1"/>
    <xf numFmtId="38" fontId="1" fillId="0" borderId="22" xfId="99" applyNumberFormat="1" applyFont="1" applyBorder="1"/>
    <xf numFmtId="37" fontId="1" fillId="0" borderId="22" xfId="99" applyNumberFormat="1" applyFont="1" applyBorder="1"/>
    <xf numFmtId="37" fontId="1" fillId="0" borderId="33" xfId="99" applyNumberFormat="1" applyFont="1" applyBorder="1"/>
    <xf numFmtId="37" fontId="1" fillId="0" borderId="22" xfId="99" applyNumberFormat="1" applyFont="1" applyFill="1" applyBorder="1"/>
    <xf numFmtId="37" fontId="1" fillId="0" borderId="0" xfId="99" applyNumberFormat="1" applyFont="1"/>
    <xf numFmtId="37" fontId="1" fillId="0" borderId="12" xfId="99" applyNumberFormat="1" applyFont="1" applyBorder="1"/>
    <xf numFmtId="37" fontId="1" fillId="0" borderId="14" xfId="99" applyNumberFormat="1" applyFont="1" applyBorder="1"/>
    <xf numFmtId="37" fontId="1" fillId="0" borderId="34" xfId="99" applyNumberFormat="1" applyFont="1" applyBorder="1"/>
    <xf numFmtId="38" fontId="23" fillId="0" borderId="12" xfId="99" applyNumberFormat="1" applyFont="1" applyBorder="1"/>
    <xf numFmtId="38" fontId="23" fillId="0" borderId="0" xfId="99" applyNumberFormat="1" applyFont="1"/>
    <xf numFmtId="38" fontId="23" fillId="0" borderId="0" xfId="99" applyNumberFormat="1" applyFont="1" applyBorder="1"/>
    <xf numFmtId="164" fontId="14" fillId="0" borderId="0" xfId="99" applyNumberFormat="1" applyFont="1"/>
    <xf numFmtId="164" fontId="14" fillId="17" borderId="0" xfId="99" applyNumberFormat="1" applyFont="1" applyFill="1"/>
    <xf numFmtId="164" fontId="14" fillId="17" borderId="12" xfId="99" applyNumberFormat="1" applyFont="1" applyFill="1" applyBorder="1"/>
    <xf numFmtId="164" fontId="1" fillId="0" borderId="22" xfId="99" applyNumberFormat="1" applyFont="1" applyBorder="1"/>
    <xf numFmtId="164" fontId="1" fillId="0" borderId="33" xfId="99" applyNumberFormat="1" applyFont="1" applyBorder="1"/>
    <xf numFmtId="164" fontId="1" fillId="0" borderId="34" xfId="99" applyNumberFormat="1" applyFont="1" applyBorder="1"/>
    <xf numFmtId="38" fontId="9" fillId="0" borderId="15" xfId="99" applyNumberFormat="1" applyFont="1" applyFill="1" applyBorder="1"/>
    <xf numFmtId="38" fontId="9" fillId="0" borderId="0" xfId="99" applyNumberFormat="1" applyFont="1" applyFill="1"/>
    <xf numFmtId="38" fontId="1" fillId="0" borderId="14" xfId="99" applyNumberFormat="1" applyFont="1" applyBorder="1"/>
    <xf numFmtId="0" fontId="1" fillId="0" borderId="22" xfId="99" applyFont="1" applyBorder="1"/>
    <xf numFmtId="0" fontId="1" fillId="0" borderId="33" xfId="99" applyFont="1" applyBorder="1"/>
    <xf numFmtId="38" fontId="1" fillId="0" borderId="0" xfId="99" applyNumberFormat="1" applyFont="1" applyFill="1"/>
    <xf numFmtId="38" fontId="1" fillId="0" borderId="12" xfId="99" applyNumberFormat="1" applyFont="1" applyBorder="1"/>
    <xf numFmtId="38" fontId="23" fillId="0" borderId="14" xfId="99" applyNumberFormat="1" applyFont="1" applyBorder="1"/>
    <xf numFmtId="37" fontId="9" fillId="0" borderId="0" xfId="99" applyNumberFormat="1" applyFont="1"/>
    <xf numFmtId="37" fontId="9" fillId="0" borderId="0" xfId="99" applyNumberFormat="1" applyFont="1" applyBorder="1"/>
    <xf numFmtId="37" fontId="9" fillId="0" borderId="14" xfId="99" applyNumberFormat="1" applyFont="1" applyBorder="1"/>
    <xf numFmtId="37" fontId="9" fillId="0" borderId="0" xfId="99" applyNumberFormat="1" applyFont="1" applyFill="1"/>
    <xf numFmtId="37" fontId="9" fillId="0" borderId="12" xfId="99" applyNumberFormat="1" applyFont="1" applyBorder="1"/>
    <xf numFmtId="37" fontId="23" fillId="0" borderId="0" xfId="99" applyNumberFormat="1" applyFont="1"/>
    <xf numFmtId="37" fontId="23" fillId="0" borderId="14" xfId="99" applyNumberFormat="1" applyFont="1" applyBorder="1"/>
    <xf numFmtId="37" fontId="23" fillId="0" borderId="12" xfId="99" applyNumberFormat="1" applyFont="1" applyBorder="1"/>
    <xf numFmtId="37" fontId="23" fillId="0" borderId="0" xfId="99" applyNumberFormat="1" applyFont="1" applyBorder="1"/>
    <xf numFmtId="37" fontId="23" fillId="0" borderId="12" xfId="99" applyNumberFormat="1" applyFont="1" applyFill="1" applyBorder="1"/>
    <xf numFmtId="164" fontId="14" fillId="0" borderId="0" xfId="99" applyNumberFormat="1" applyFont="1" applyAlignment="1">
      <alignment horizontal="right"/>
    </xf>
    <xf numFmtId="164" fontId="14" fillId="0" borderId="12" xfId="99" applyNumberFormat="1" applyFont="1" applyBorder="1" applyAlignment="1">
      <alignment horizontal="right"/>
    </xf>
    <xf numFmtId="164" fontId="1" fillId="0" borderId="22" xfId="99" applyNumberFormat="1" applyFont="1" applyFill="1" applyBorder="1"/>
    <xf numFmtId="37" fontId="1" fillId="0" borderId="0" xfId="99" applyNumberFormat="1" applyFont="1" applyBorder="1"/>
    <xf numFmtId="37" fontId="9" fillId="0" borderId="0" xfId="99" applyNumberFormat="1" applyFont="1" applyFill="1" applyBorder="1"/>
    <xf numFmtId="37" fontId="9" fillId="0" borderId="14" xfId="99" applyNumberFormat="1" applyFont="1" applyFill="1" applyBorder="1"/>
    <xf numFmtId="37" fontId="9" fillId="0" borderId="12" xfId="99" applyNumberFormat="1" applyFont="1" applyFill="1" applyBorder="1"/>
    <xf numFmtId="37" fontId="23" fillId="0" borderId="0" xfId="99" applyNumberFormat="1" applyFont="1" applyFill="1"/>
    <xf numFmtId="37" fontId="23" fillId="0" borderId="14" xfId="99" applyNumberFormat="1" applyFont="1" applyFill="1" applyBorder="1"/>
    <xf numFmtId="37" fontId="23" fillId="0" borderId="0" xfId="99" applyNumberFormat="1" applyFont="1" applyFill="1" applyBorder="1"/>
    <xf numFmtId="164" fontId="1" fillId="0" borderId="12" xfId="99" applyNumberFormat="1" applyFont="1" applyFill="1" applyBorder="1"/>
    <xf numFmtId="164" fontId="1" fillId="0" borderId="0" xfId="99" applyNumberFormat="1" applyFont="1" applyFill="1" applyBorder="1"/>
    <xf numFmtId="164" fontId="27" fillId="0" borderId="0" xfId="99" applyNumberFormat="1" applyFont="1"/>
    <xf numFmtId="2" fontId="9" fillId="17" borderId="0" xfId="99" applyNumberFormat="1" applyFont="1" applyFill="1"/>
    <xf numFmtId="2" fontId="9" fillId="17" borderId="0" xfId="99" applyNumberFormat="1" applyFont="1" applyFill="1" applyBorder="1"/>
    <xf numFmtId="2" fontId="9" fillId="17" borderId="14" xfId="99" applyNumberFormat="1" applyFont="1" applyFill="1" applyBorder="1"/>
    <xf numFmtId="2" fontId="9" fillId="0" borderId="0" xfId="99" applyNumberFormat="1" applyFont="1"/>
    <xf numFmtId="39" fontId="9" fillId="0" borderId="0" xfId="99" applyNumberFormat="1" applyFont="1"/>
    <xf numFmtId="39" fontId="9" fillId="0" borderId="12" xfId="99" applyNumberFormat="1" applyFont="1" applyBorder="1"/>
    <xf numFmtId="39" fontId="9" fillId="0" borderId="14" xfId="99" applyNumberFormat="1" applyFont="1" applyBorder="1"/>
    <xf numFmtId="39" fontId="9" fillId="17" borderId="12" xfId="99" applyNumberFormat="1" applyFont="1" applyFill="1" applyBorder="1"/>
    <xf numFmtId="39" fontId="9" fillId="17" borderId="0" xfId="99" applyNumberFormat="1" applyFont="1" applyFill="1"/>
    <xf numFmtId="39" fontId="9" fillId="17" borderId="0" xfId="99" applyNumberFormat="1" applyFont="1" applyFill="1" applyBorder="1"/>
    <xf numFmtId="2" fontId="1" fillId="0" borderId="0" xfId="99" applyNumberFormat="1" applyFont="1"/>
    <xf numFmtId="2" fontId="1" fillId="0" borderId="0" xfId="99" applyNumberFormat="1" applyFont="1" applyBorder="1"/>
    <xf numFmtId="2" fontId="1" fillId="0" borderId="14" xfId="99" applyNumberFormat="1" applyFont="1" applyBorder="1"/>
    <xf numFmtId="2" fontId="1" fillId="0" borderId="12" xfId="99" applyNumberFormat="1" applyFont="1" applyBorder="1"/>
    <xf numFmtId="0" fontId="1" fillId="0" borderId="0" xfId="99" applyFont="1"/>
    <xf numFmtId="1" fontId="1" fillId="0" borderId="0" xfId="99" applyNumberFormat="1" applyFont="1"/>
    <xf numFmtId="1" fontId="1" fillId="0" borderId="0" xfId="99" applyNumberFormat="1" applyFont="1" applyBorder="1"/>
    <xf numFmtId="1" fontId="1" fillId="0" borderId="14" xfId="99" applyNumberFormat="1" applyFont="1" applyBorder="1"/>
    <xf numFmtId="39" fontId="9" fillId="0" borderId="0" xfId="99" applyNumberFormat="1" applyFont="1" applyBorder="1"/>
    <xf numFmtId="2" fontId="9" fillId="0" borderId="12" xfId="99" applyNumberFormat="1" applyFont="1" applyBorder="1"/>
    <xf numFmtId="44" fontId="1" fillId="0" borderId="0" xfId="63" applyFont="1"/>
    <xf numFmtId="0" fontId="9" fillId="17" borderId="0" xfId="99" applyFont="1" applyFill="1" applyBorder="1" applyAlignment="1">
      <alignment horizontal="left"/>
    </xf>
    <xf numFmtId="38" fontId="1" fillId="17" borderId="0" xfId="99" applyNumberFormat="1" applyFont="1" applyFill="1" applyBorder="1"/>
    <xf numFmtId="164" fontId="1" fillId="17" borderId="0" xfId="99" applyNumberFormat="1" applyFont="1" applyFill="1" applyBorder="1"/>
    <xf numFmtId="39" fontId="23" fillId="17" borderId="0" xfId="99" applyNumberFormat="1" applyFont="1" applyFill="1" applyBorder="1"/>
    <xf numFmtId="4" fontId="9" fillId="17" borderId="0" xfId="99" applyNumberFormat="1" applyFont="1" applyFill="1" applyBorder="1"/>
    <xf numFmtId="4" fontId="9" fillId="17" borderId="14" xfId="99" applyNumberFormat="1" applyFont="1" applyFill="1" applyBorder="1"/>
    <xf numFmtId="0" fontId="9" fillId="0" borderId="0" xfId="99" applyFont="1"/>
    <xf numFmtId="44" fontId="1" fillId="0" borderId="14" xfId="63" applyFont="1" applyBorder="1"/>
    <xf numFmtId="39" fontId="23" fillId="0" borderId="0" xfId="99" applyNumberFormat="1" applyFont="1"/>
    <xf numFmtId="39" fontId="23" fillId="0" borderId="14" xfId="99" applyNumberFormat="1" applyFont="1" applyBorder="1"/>
    <xf numFmtId="39" fontId="23" fillId="17" borderId="12" xfId="99" applyNumberFormat="1" applyFont="1" applyFill="1" applyBorder="1"/>
    <xf numFmtId="39" fontId="23" fillId="17" borderId="0" xfId="99" applyNumberFormat="1" applyFont="1" applyFill="1"/>
    <xf numFmtId="43" fontId="23" fillId="17" borderId="0" xfId="57" applyFont="1" applyFill="1" applyBorder="1"/>
    <xf numFmtId="167" fontId="9" fillId="0" borderId="0" xfId="99" applyNumberFormat="1" applyFont="1"/>
    <xf numFmtId="167" fontId="9" fillId="0" borderId="0" xfId="99" applyNumberFormat="1" applyFont="1" applyBorder="1"/>
    <xf numFmtId="167" fontId="9" fillId="0" borderId="14" xfId="99" applyNumberFormat="1" applyFont="1" applyBorder="1"/>
    <xf numFmtId="167" fontId="23" fillId="0" borderId="12" xfId="99" applyNumberFormat="1" applyFont="1" applyBorder="1"/>
    <xf numFmtId="167" fontId="23" fillId="0" borderId="0" xfId="99" applyNumberFormat="1" applyFont="1"/>
    <xf numFmtId="167" fontId="9" fillId="0" borderId="12" xfId="99" applyNumberFormat="1" applyFont="1" applyBorder="1"/>
    <xf numFmtId="0" fontId="1" fillId="0" borderId="0" xfId="99" applyFont="1"/>
    <xf numFmtId="37" fontId="14" fillId="0" borderId="0" xfId="99" applyNumberFormat="1" applyFont="1"/>
    <xf numFmtId="37" fontId="14" fillId="0" borderId="12" xfId="99" applyNumberFormat="1" applyFont="1" applyFill="1" applyBorder="1"/>
    <xf numFmtId="37" fontId="60" fillId="0" borderId="0" xfId="99" applyNumberFormat="1" applyFont="1" applyBorder="1"/>
    <xf numFmtId="37" fontId="60" fillId="0" borderId="12" xfId="99" applyNumberFormat="1" applyFont="1" applyBorder="1"/>
    <xf numFmtId="37" fontId="14" fillId="0" borderId="12" xfId="99" applyNumberFormat="1" applyFont="1" applyBorder="1"/>
    <xf numFmtId="9" fontId="1" fillId="0" borderId="0" xfId="99" applyNumberFormat="1" applyFont="1"/>
    <xf numFmtId="0" fontId="1" fillId="0" borderId="0" xfId="99" applyFont="1"/>
    <xf numFmtId="167" fontId="1" fillId="0" borderId="0" xfId="99" applyNumberFormat="1" applyFont="1"/>
    <xf numFmtId="167" fontId="1" fillId="0" borderId="0" xfId="99" applyNumberFormat="1" applyFont="1" applyBorder="1"/>
    <xf numFmtId="167" fontId="1" fillId="0" borderId="14" xfId="99" applyNumberFormat="1" applyFont="1" applyBorder="1"/>
    <xf numFmtId="167" fontId="27" fillId="0" borderId="12" xfId="99" applyNumberFormat="1" applyFont="1" applyFill="1" applyBorder="1"/>
    <xf numFmtId="167" fontId="27" fillId="0" borderId="0" xfId="99" applyNumberFormat="1" applyFont="1"/>
    <xf numFmtId="167" fontId="94" fillId="0" borderId="0" xfId="99" applyNumberFormat="1" applyFont="1"/>
    <xf numFmtId="167" fontId="1" fillId="0" borderId="12" xfId="99" applyNumberFormat="1" applyFont="1" applyBorder="1"/>
    <xf numFmtId="38" fontId="14" fillId="0" borderId="0" xfId="99" applyNumberFormat="1" applyFont="1"/>
    <xf numFmtId="37" fontId="14" fillId="0" borderId="14" xfId="99" applyNumberFormat="1" applyFont="1" applyBorder="1"/>
    <xf numFmtId="37" fontId="14" fillId="0" borderId="0" xfId="99" applyNumberFormat="1" applyFont="1" applyBorder="1"/>
    <xf numFmtId="44" fontId="9" fillId="0" borderId="0" xfId="99" applyNumberFormat="1" applyFont="1"/>
    <xf numFmtId="44" fontId="23" fillId="0" borderId="0" xfId="99" applyNumberFormat="1" applyFont="1"/>
    <xf numFmtId="44" fontId="23" fillId="0" borderId="0" xfId="99" applyNumberFormat="1" applyFont="1" applyBorder="1"/>
    <xf numFmtId="44" fontId="23" fillId="0" borderId="14" xfId="99" applyNumberFormat="1" applyFont="1" applyBorder="1"/>
    <xf numFmtId="44" fontId="23" fillId="0" borderId="12" xfId="99" applyNumberFormat="1" applyFont="1" applyBorder="1"/>
    <xf numFmtId="44" fontId="1" fillId="0" borderId="0" xfId="99" applyNumberFormat="1" applyFont="1"/>
    <xf numFmtId="167" fontId="1" fillId="0" borderId="22" xfId="99" applyNumberFormat="1" applyFont="1" applyBorder="1"/>
    <xf numFmtId="167" fontId="1" fillId="0" borderId="33" xfId="99" applyNumberFormat="1" applyFont="1" applyBorder="1"/>
    <xf numFmtId="167" fontId="1" fillId="0" borderId="34" xfId="99" applyNumberFormat="1" applyFont="1" applyBorder="1"/>
    <xf numFmtId="0" fontId="1" fillId="0" borderId="12" xfId="99" applyFont="1" applyBorder="1"/>
    <xf numFmtId="0" fontId="1" fillId="0" borderId="14" xfId="99" applyFont="1" applyBorder="1"/>
    <xf numFmtId="9" fontId="26" fillId="23" borderId="0" xfId="99" applyNumberFormat="1" applyFont="1" applyFill="1" applyBorder="1"/>
    <xf numFmtId="9" fontId="26" fillId="23" borderId="14" xfId="99" applyNumberFormat="1" applyFont="1" applyFill="1" applyBorder="1"/>
    <xf numFmtId="9" fontId="26" fillId="23" borderId="0" xfId="99" applyNumberFormat="1" applyFont="1" applyFill="1"/>
    <xf numFmtId="37" fontId="26" fillId="23" borderId="0" xfId="99" applyNumberFormat="1" applyFont="1" applyFill="1"/>
    <xf numFmtId="0" fontId="26" fillId="23" borderId="12" xfId="99" applyFont="1" applyFill="1" applyBorder="1"/>
    <xf numFmtId="3" fontId="1" fillId="0" borderId="14" xfId="99" applyNumberFormat="1" applyFont="1" applyBorder="1"/>
    <xf numFmtId="3" fontId="1" fillId="0" borderId="0" xfId="99" applyNumberFormat="1" applyFont="1" applyBorder="1"/>
    <xf numFmtId="0" fontId="14" fillId="0" borderId="0" xfId="99" applyFont="1"/>
    <xf numFmtId="0" fontId="14" fillId="0" borderId="12" xfId="99" applyFont="1" applyBorder="1"/>
    <xf numFmtId="0" fontId="14" fillId="0" borderId="14" xfId="99" applyFont="1" applyBorder="1"/>
    <xf numFmtId="0" fontId="14" fillId="0" borderId="0" xfId="99" applyFont="1" applyBorder="1"/>
    <xf numFmtId="1" fontId="14" fillId="0" borderId="14" xfId="99" applyNumberFormat="1" applyFont="1" applyBorder="1"/>
    <xf numFmtId="1" fontId="14" fillId="0" borderId="0" xfId="99" applyNumberFormat="1" applyFont="1"/>
    <xf numFmtId="0" fontId="14" fillId="0" borderId="12" xfId="99" applyFont="1" applyFill="1" applyBorder="1"/>
    <xf numFmtId="1" fontId="14" fillId="0" borderId="12" xfId="99" applyNumberFormat="1" applyFont="1" applyFill="1" applyBorder="1"/>
    <xf numFmtId="1" fontId="14" fillId="0" borderId="0" xfId="99" applyNumberFormat="1" applyFont="1" applyFill="1"/>
    <xf numFmtId="9" fontId="14" fillId="0" borderId="0" xfId="112" applyFont="1"/>
    <xf numFmtId="1" fontId="14" fillId="0" borderId="12" xfId="99" applyNumberFormat="1" applyFont="1" applyBorder="1"/>
    <xf numFmtId="1" fontId="14" fillId="0" borderId="0" xfId="99" applyNumberFormat="1" applyFont="1" applyBorder="1"/>
    <xf numFmtId="0" fontId="9" fillId="0" borderId="0" xfId="99" applyFont="1" applyAlignment="1">
      <alignment horizontal="left" indent="1"/>
    </xf>
    <xf numFmtId="0" fontId="9" fillId="0" borderId="14" xfId="99" applyFont="1" applyBorder="1"/>
    <xf numFmtId="1" fontId="9" fillId="0" borderId="0" xfId="99" applyNumberFormat="1" applyFont="1"/>
    <xf numFmtId="0" fontId="9" fillId="0" borderId="12" xfId="99" applyFont="1" applyBorder="1"/>
    <xf numFmtId="0" fontId="9" fillId="0" borderId="0" xfId="99" applyFont="1" applyBorder="1"/>
    <xf numFmtId="1" fontId="9" fillId="0" borderId="12" xfId="99" applyNumberFormat="1" applyFont="1" applyBorder="1"/>
    <xf numFmtId="37" fontId="1" fillId="0" borderId="0" xfId="99" applyNumberFormat="1" applyFont="1" applyFill="1"/>
    <xf numFmtId="0" fontId="1" fillId="0" borderId="33" xfId="99" applyFont="1" applyBorder="1"/>
    <xf numFmtId="0" fontId="1" fillId="0" borderId="34" xfId="99" applyFont="1" applyBorder="1"/>
    <xf numFmtId="0" fontId="1" fillId="0" borderId="0" xfId="99" applyFont="1" applyAlignment="1">
      <alignment horizontal="center"/>
    </xf>
    <xf numFmtId="0" fontId="9" fillId="18" borderId="0" xfId="99" applyFont="1" applyFill="1"/>
    <xf numFmtId="0" fontId="9" fillId="18" borderId="12" xfId="99" applyFont="1" applyFill="1" applyBorder="1"/>
    <xf numFmtId="0" fontId="1" fillId="0" borderId="0" xfId="99" applyFont="1"/>
    <xf numFmtId="0" fontId="1" fillId="0" borderId="12" xfId="99" applyFont="1" applyBorder="1"/>
    <xf numFmtId="0" fontId="14" fillId="0" borderId="0" xfId="99" applyFont="1"/>
    <xf numFmtId="0" fontId="14" fillId="0" borderId="12" xfId="99" applyFont="1" applyBorder="1"/>
    <xf numFmtId="9" fontId="14" fillId="0" borderId="0" xfId="99" applyNumberFormat="1" applyFont="1"/>
    <xf numFmtId="9" fontId="14" fillId="0" borderId="12" xfId="99" applyNumberFormat="1" applyFont="1" applyBorder="1"/>
    <xf numFmtId="0" fontId="95" fillId="0" borderId="0" xfId="99" applyFont="1" applyAlignment="1"/>
    <xf numFmtId="0" fontId="9" fillId="0" borderId="0" xfId="99" applyFont="1" applyAlignment="1"/>
    <xf numFmtId="4" fontId="46" fillId="0" borderId="0" xfId="99" applyNumberFormat="1" applyFont="1" applyBorder="1" applyAlignment="1">
      <alignment horizontal="center"/>
    </xf>
    <xf numFmtId="43" fontId="1" fillId="0" borderId="0" xfId="57" applyFont="1" applyBorder="1"/>
    <xf numFmtId="43" fontId="1" fillId="0" borderId="0" xfId="57" applyFont="1" applyBorder="1"/>
    <xf numFmtId="171" fontId="1" fillId="0" borderId="0" xfId="103" applyFont="1"/>
    <xf numFmtId="171" fontId="9" fillId="16" borderId="43" xfId="101" applyFont="1" applyFill="1" applyBorder="1" applyAlignment="1">
      <alignment horizontal="center"/>
    </xf>
    <xf numFmtId="171" fontId="1" fillId="0" borderId="0" xfId="103" applyFont="1" applyBorder="1"/>
    <xf numFmtId="171" fontId="1" fillId="0" borderId="44" xfId="103" applyFont="1" applyBorder="1"/>
    <xf numFmtId="171" fontId="26" fillId="23" borderId="43" xfId="101" quotePrefix="1" applyFont="1" applyFill="1" applyBorder="1"/>
    <xf numFmtId="171" fontId="1" fillId="23" borderId="0" xfId="103" applyFont="1" applyFill="1" applyBorder="1"/>
    <xf numFmtId="171" fontId="1" fillId="23" borderId="44" xfId="103" applyFont="1" applyFill="1" applyBorder="1"/>
    <xf numFmtId="0" fontId="26" fillId="22" borderId="22" xfId="99" applyFont="1" applyFill="1" applyBorder="1"/>
    <xf numFmtId="0" fontId="25" fillId="22" borderId="22" xfId="99" applyFont="1" applyFill="1" applyBorder="1" applyAlignment="1">
      <alignment horizontal="center"/>
    </xf>
    <xf numFmtId="0" fontId="25" fillId="22" borderId="34" xfId="99" applyFont="1" applyFill="1" applyBorder="1" applyAlignment="1">
      <alignment horizontal="center"/>
    </xf>
    <xf numFmtId="7" fontId="9" fillId="17" borderId="0" xfId="99" applyNumberFormat="1" applyFont="1" applyFill="1" applyBorder="1" applyAlignment="1">
      <alignment horizontal="right"/>
    </xf>
    <xf numFmtId="7" fontId="9" fillId="17" borderId="14" xfId="99" applyNumberFormat="1" applyFont="1" applyFill="1" applyBorder="1" applyAlignment="1">
      <alignment horizontal="right"/>
    </xf>
    <xf numFmtId="7" fontId="9" fillId="17" borderId="0" xfId="99" applyNumberFormat="1" applyFont="1" applyFill="1" applyAlignment="1">
      <alignment horizontal="right"/>
    </xf>
    <xf numFmtId="171" fontId="26" fillId="23" borderId="45" xfId="101" quotePrefix="1" applyFont="1" applyFill="1" applyBorder="1"/>
    <xf numFmtId="171" fontId="1" fillId="23" borderId="46" xfId="103" applyFont="1" applyFill="1" applyBorder="1"/>
    <xf numFmtId="171" fontId="1" fillId="23" borderId="47" xfId="103" applyFont="1" applyFill="1" applyBorder="1"/>
    <xf numFmtId="0" fontId="80" fillId="0" borderId="0" xfId="106" applyFont="1"/>
    <xf numFmtId="43" fontId="26" fillId="23" borderId="12" xfId="57" applyFont="1" applyFill="1" applyBorder="1"/>
    <xf numFmtId="43" fontId="26" fillId="23" borderId="0" xfId="57" applyFont="1" applyFill="1" applyBorder="1"/>
    <xf numFmtId="167" fontId="1" fillId="0" borderId="0" xfId="99" applyNumberFormat="1" applyFont="1" applyAlignment="1">
      <alignment horizontal="left" indent="1"/>
    </xf>
    <xf numFmtId="167" fontId="1" fillId="0" borderId="12" xfId="99" applyNumberFormat="1" applyFont="1" applyBorder="1" applyAlignment="1">
      <alignment horizontal="left" indent="1"/>
    </xf>
    <xf numFmtId="167" fontId="1" fillId="0" borderId="0" xfId="99" applyNumberFormat="1" applyFont="1" applyBorder="1" applyAlignment="1">
      <alignment horizontal="left" indent="1"/>
    </xf>
    <xf numFmtId="9" fontId="9" fillId="0" borderId="0" xfId="99" applyNumberFormat="1" applyFont="1"/>
    <xf numFmtId="1" fontId="1" fillId="0" borderId="12" xfId="99" applyNumberFormat="1" applyFont="1" applyBorder="1"/>
    <xf numFmtId="0" fontId="7" fillId="0" borderId="0" xfId="99" applyFont="1"/>
    <xf numFmtId="0" fontId="7" fillId="0" borderId="12" xfId="99" applyFont="1" applyBorder="1"/>
    <xf numFmtId="167" fontId="1" fillId="0" borderId="12" xfId="57" applyNumberFormat="1" applyFont="1" applyBorder="1"/>
    <xf numFmtId="167" fontId="1" fillId="0" borderId="22" xfId="57" applyNumberFormat="1" applyFont="1" applyBorder="1"/>
    <xf numFmtId="167" fontId="1" fillId="0" borderId="33" xfId="57" applyNumberFormat="1" applyFont="1" applyBorder="1"/>
    <xf numFmtId="1" fontId="1" fillId="0" borderId="22" xfId="99" applyNumberFormat="1" applyFont="1" applyBorder="1"/>
    <xf numFmtId="167" fontId="1" fillId="0" borderId="34" xfId="57" applyNumberFormat="1" applyFont="1" applyBorder="1"/>
    <xf numFmtId="167" fontId="1" fillId="0" borderId="20" xfId="57" applyNumberFormat="1" applyFont="1" applyBorder="1"/>
    <xf numFmtId="168" fontId="1" fillId="0" borderId="0" xfId="99" applyNumberFormat="1" applyFont="1"/>
    <xf numFmtId="168" fontId="1" fillId="0" borderId="0" xfId="99" applyNumberFormat="1" applyFont="1" applyBorder="1"/>
    <xf numFmtId="168" fontId="1" fillId="0" borderId="14" xfId="99" applyNumberFormat="1" applyFont="1" applyBorder="1"/>
    <xf numFmtId="168" fontId="1" fillId="0" borderId="0" xfId="99" applyNumberFormat="1" applyFont="1" applyFill="1"/>
    <xf numFmtId="168" fontId="1" fillId="0" borderId="12" xfId="99" applyNumberFormat="1" applyFont="1" applyBorder="1"/>
    <xf numFmtId="4" fontId="7" fillId="0" borderId="0" xfId="99" applyNumberFormat="1" applyFont="1"/>
    <xf numFmtId="43" fontId="7" fillId="0" borderId="0" xfId="99" applyNumberFormat="1" applyFont="1"/>
    <xf numFmtId="167" fontId="14" fillId="0" borderId="0" xfId="57" applyNumberFormat="1" applyFont="1"/>
    <xf numFmtId="38" fontId="1" fillId="0" borderId="33" xfId="99" applyNumberFormat="1" applyFont="1" applyBorder="1"/>
    <xf numFmtId="38" fontId="1" fillId="0" borderId="22" xfId="99" applyNumberFormat="1" applyFont="1" applyFill="1" applyBorder="1"/>
    <xf numFmtId="167" fontId="14" fillId="0" borderId="22" xfId="57" applyNumberFormat="1" applyFont="1" applyBorder="1"/>
    <xf numFmtId="167" fontId="27" fillId="0" borderId="22" xfId="57" applyNumberFormat="1" applyFont="1" applyBorder="1"/>
    <xf numFmtId="167" fontId="27" fillId="0" borderId="34" xfId="57" applyNumberFormat="1" applyFont="1" applyBorder="1"/>
    <xf numFmtId="167" fontId="14" fillId="0" borderId="34" xfId="57" applyNumberFormat="1" applyFont="1" applyBorder="1"/>
    <xf numFmtId="0" fontId="7" fillId="0" borderId="0" xfId="99" applyFont="1" applyBorder="1"/>
    <xf numFmtId="167" fontId="7" fillId="0" borderId="0" xfId="99" applyNumberFormat="1" applyFont="1"/>
    <xf numFmtId="0" fontId="7" fillId="0" borderId="34" xfId="99" applyFont="1" applyBorder="1"/>
    <xf numFmtId="0" fontId="7" fillId="0" borderId="22" xfId="99" applyFont="1" applyBorder="1"/>
    <xf numFmtId="38" fontId="1" fillId="0" borderId="0" xfId="99" applyNumberFormat="1" applyFont="1" applyFill="1" applyBorder="1"/>
    <xf numFmtId="0" fontId="66" fillId="0" borderId="0" xfId="99" applyFont="1" applyAlignment="1">
      <alignment horizontal="left" indent="1"/>
    </xf>
    <xf numFmtId="0" fontId="98" fillId="0" borderId="0" xfId="99" applyFont="1"/>
    <xf numFmtId="1" fontId="98" fillId="0" borderId="0" xfId="99" applyNumberFormat="1" applyFont="1"/>
    <xf numFmtId="168" fontId="98" fillId="0" borderId="0" xfId="99" applyNumberFormat="1" applyFont="1"/>
    <xf numFmtId="168" fontId="98" fillId="0" borderId="12" xfId="99" applyNumberFormat="1" applyFont="1" applyBorder="1"/>
    <xf numFmtId="168" fontId="98" fillId="0" borderId="0" xfId="99" applyNumberFormat="1" applyFont="1" applyBorder="1"/>
    <xf numFmtId="0" fontId="1" fillId="0" borderId="0" xfId="99" applyFont="1"/>
    <xf numFmtId="0" fontId="1" fillId="0" borderId="0" xfId="99" applyFont="1" applyBorder="1"/>
    <xf numFmtId="9" fontId="1" fillId="0" borderId="14" xfId="99" applyNumberFormat="1" applyFont="1" applyBorder="1"/>
    <xf numFmtId="0" fontId="1" fillId="0" borderId="12" xfId="99" applyFont="1" applyBorder="1"/>
    <xf numFmtId="9" fontId="1" fillId="0" borderId="12" xfId="99" applyNumberFormat="1" applyFont="1" applyBorder="1"/>
    <xf numFmtId="0" fontId="1" fillId="0" borderId="22" xfId="99" applyFont="1" applyBorder="1"/>
    <xf numFmtId="0" fontId="1" fillId="0" borderId="33" xfId="99" applyFont="1" applyBorder="1"/>
    <xf numFmtId="38" fontId="7" fillId="0" borderId="22" xfId="99" applyNumberFormat="1" applyFont="1" applyBorder="1"/>
    <xf numFmtId="38" fontId="7" fillId="0" borderId="34" xfId="99" applyNumberFormat="1" applyFont="1" applyBorder="1"/>
    <xf numFmtId="0" fontId="9" fillId="15" borderId="0" xfId="99" applyFont="1" applyFill="1"/>
    <xf numFmtId="38" fontId="9" fillId="15" borderId="0" xfId="99" applyNumberFormat="1" applyFont="1" applyFill="1"/>
    <xf numFmtId="38" fontId="9" fillId="15" borderId="14" xfId="99" applyNumberFormat="1" applyFont="1" applyFill="1" applyBorder="1"/>
    <xf numFmtId="38" fontId="23" fillId="15" borderId="0" xfId="99" applyNumberFormat="1" applyFont="1" applyFill="1"/>
    <xf numFmtId="38" fontId="23" fillId="15" borderId="12" xfId="99" applyNumberFormat="1" applyFont="1" applyFill="1" applyBorder="1"/>
    <xf numFmtId="38" fontId="9" fillId="15" borderId="12" xfId="99" applyNumberFormat="1" applyFont="1" applyFill="1" applyBorder="1"/>
    <xf numFmtId="0" fontId="7" fillId="15" borderId="0" xfId="99" applyFont="1" applyFill="1"/>
    <xf numFmtId="164" fontId="27" fillId="17" borderId="12" xfId="99" applyNumberFormat="1" applyFont="1" applyFill="1" applyBorder="1"/>
    <xf numFmtId="164" fontId="27" fillId="17" borderId="0" xfId="99" applyNumberFormat="1" applyFont="1" applyFill="1"/>
    <xf numFmtId="164" fontId="27" fillId="0" borderId="0" xfId="99" applyNumberFormat="1" applyFont="1" applyFill="1"/>
    <xf numFmtId="0" fontId="14" fillId="17" borderId="20" xfId="99" applyFont="1" applyFill="1" applyBorder="1"/>
    <xf numFmtId="0" fontId="64" fillId="17" borderId="15" xfId="99" applyFont="1" applyFill="1" applyBorder="1"/>
    <xf numFmtId="0" fontId="64" fillId="17" borderId="15" xfId="99" applyFont="1" applyFill="1" applyBorder="1" applyAlignment="1">
      <alignment horizontal="right"/>
    </xf>
    <xf numFmtId="0" fontId="9" fillId="17" borderId="15" xfId="99" applyFont="1" applyFill="1" applyBorder="1" applyAlignment="1">
      <alignment horizontal="right"/>
    </xf>
    <xf numFmtId="164" fontId="1" fillId="17" borderId="15" xfId="99" applyNumberFormat="1" applyFont="1" applyFill="1" applyBorder="1"/>
    <xf numFmtId="164" fontId="1" fillId="17" borderId="19" xfId="99" applyNumberFormat="1" applyFont="1" applyFill="1" applyBorder="1"/>
    <xf numFmtId="164" fontId="14" fillId="17" borderId="15" xfId="99" applyNumberFormat="1" applyFont="1" applyFill="1" applyBorder="1"/>
    <xf numFmtId="164" fontId="14" fillId="0" borderId="12" xfId="99" applyNumberFormat="1" applyFont="1" applyBorder="1"/>
    <xf numFmtId="164" fontId="14" fillId="17" borderId="20" xfId="99" applyNumberFormat="1" applyFont="1" applyFill="1" applyBorder="1"/>
    <xf numFmtId="164" fontId="14" fillId="0" borderId="0" xfId="99" applyNumberFormat="1" applyFont="1" applyFill="1" applyBorder="1"/>
    <xf numFmtId="0" fontId="14" fillId="17" borderId="12" xfId="99" applyFont="1" applyFill="1" applyBorder="1"/>
    <xf numFmtId="0" fontId="64" fillId="17" borderId="0" xfId="99" applyFont="1" applyFill="1"/>
    <xf numFmtId="0" fontId="64" fillId="17" borderId="0" xfId="99" applyFont="1" applyFill="1" applyAlignment="1">
      <alignment horizontal="right"/>
    </xf>
    <xf numFmtId="0" fontId="9" fillId="17" borderId="0" xfId="99" applyFont="1" applyFill="1" applyAlignment="1">
      <alignment horizontal="right"/>
    </xf>
    <xf numFmtId="164" fontId="1" fillId="17" borderId="0" xfId="99" applyNumberFormat="1" applyFont="1" applyFill="1"/>
    <xf numFmtId="164" fontId="1" fillId="17" borderId="14" xfId="99" applyNumberFormat="1" applyFont="1" applyFill="1" applyBorder="1"/>
    <xf numFmtId="164" fontId="14" fillId="0" borderId="0" xfId="99" applyNumberFormat="1" applyFont="1" applyFill="1"/>
    <xf numFmtId="0" fontId="14" fillId="17" borderId="34" xfId="99" applyFont="1" applyFill="1" applyBorder="1"/>
    <xf numFmtId="0" fontId="64" fillId="17" borderId="22" xfId="99" applyFont="1" applyFill="1" applyBorder="1"/>
    <xf numFmtId="0" fontId="64" fillId="17" borderId="22" xfId="99" applyFont="1" applyFill="1" applyBorder="1" applyAlignment="1">
      <alignment horizontal="right"/>
    </xf>
    <xf numFmtId="0" fontId="9" fillId="17" borderId="22" xfId="99" applyFont="1" applyFill="1" applyBorder="1" applyAlignment="1">
      <alignment horizontal="right"/>
    </xf>
    <xf numFmtId="164" fontId="1" fillId="17" borderId="22" xfId="99" applyNumberFormat="1" applyFont="1" applyFill="1" applyBorder="1"/>
    <xf numFmtId="164" fontId="1" fillId="17" borderId="33" xfId="99" applyNumberFormat="1" applyFont="1" applyFill="1" applyBorder="1"/>
    <xf numFmtId="164" fontId="14" fillId="17" borderId="22" xfId="99" applyNumberFormat="1" applyFont="1" applyFill="1" applyBorder="1"/>
    <xf numFmtId="164" fontId="14" fillId="17" borderId="34" xfId="99" applyNumberFormat="1" applyFont="1" applyFill="1" applyBorder="1"/>
    <xf numFmtId="38" fontId="23" fillId="20" borderId="0" xfId="99" applyNumberFormat="1" applyFont="1" applyFill="1"/>
    <xf numFmtId="0" fontId="7" fillId="0" borderId="0" xfId="99" applyFont="1" applyFill="1" applyBorder="1"/>
    <xf numFmtId="9" fontId="7" fillId="0" borderId="0" xfId="57" applyNumberFormat="1" applyFont="1" applyBorder="1"/>
    <xf numFmtId="172" fontId="1" fillId="0" borderId="0" xfId="99" applyNumberFormat="1" applyFont="1" applyBorder="1"/>
    <xf numFmtId="0" fontId="1" fillId="0" borderId="0" xfId="99" applyFont="1" applyFill="1" applyBorder="1"/>
    <xf numFmtId="172" fontId="1" fillId="0" borderId="0" xfId="99" applyNumberFormat="1" applyFont="1" applyFill="1" applyBorder="1"/>
    <xf numFmtId="14" fontId="14" fillId="0" borderId="0" xfId="104" applyNumberFormat="1" applyFont="1" applyBorder="1" applyAlignment="1">
      <alignment horizontal="left"/>
    </xf>
    <xf numFmtId="0" fontId="14" fillId="0" borderId="0" xfId="104" applyFont="1" applyFill="1" applyBorder="1"/>
    <xf numFmtId="9" fontId="14" fillId="0" borderId="0" xfId="104" applyNumberFormat="1" applyFont="1" applyFill="1" applyBorder="1"/>
    <xf numFmtId="0" fontId="1" fillId="0" borderId="0" xfId="104" applyFont="1" applyFill="1" applyBorder="1"/>
    <xf numFmtId="4" fontId="1" fillId="0" borderId="0" xfId="99" applyNumberFormat="1" applyFont="1" applyBorder="1"/>
    <xf numFmtId="0" fontId="25" fillId="22" borderId="14" xfId="99" applyFont="1" applyFill="1" applyBorder="1" applyAlignment="1">
      <alignment horizontal="right"/>
    </xf>
    <xf numFmtId="0" fontId="25" fillId="22" borderId="0" xfId="99" applyFont="1" applyFill="1" applyBorder="1" applyAlignment="1">
      <alignment horizontal="right"/>
    </xf>
    <xf numFmtId="37" fontId="7" fillId="0" borderId="0" xfId="99" applyNumberFormat="1" applyFont="1" applyBorder="1"/>
    <xf numFmtId="164" fontId="9" fillId="17" borderId="0" xfId="99" applyNumberFormat="1" applyFont="1" applyFill="1" applyBorder="1" applyAlignment="1">
      <alignment horizontal="center"/>
    </xf>
    <xf numFmtId="37" fontId="7" fillId="0" borderId="0" xfId="99" applyNumberFormat="1" applyFont="1"/>
    <xf numFmtId="0" fontId="9" fillId="0" borderId="0" xfId="99" applyFont="1" applyAlignment="1">
      <alignment horizontal="left"/>
    </xf>
    <xf numFmtId="171" fontId="14" fillId="0" borderId="0" xfId="99" applyNumberFormat="1" applyFont="1" applyAlignment="1">
      <alignment horizontal="left" indent="1"/>
    </xf>
    <xf numFmtId="37" fontId="1" fillId="0" borderId="0" xfId="99" applyNumberFormat="1" applyFont="1" applyFill="1" applyBorder="1"/>
    <xf numFmtId="172" fontId="14" fillId="0" borderId="0" xfId="99" applyNumberFormat="1" applyFont="1"/>
    <xf numFmtId="172" fontId="14" fillId="0" borderId="0" xfId="99" applyNumberFormat="1" applyFont="1" applyBorder="1"/>
    <xf numFmtId="172" fontId="14" fillId="0" borderId="14" xfId="99" applyNumberFormat="1" applyFont="1" applyBorder="1"/>
    <xf numFmtId="172" fontId="14" fillId="0" borderId="0" xfId="99" applyNumberFormat="1" applyFont="1" applyFill="1"/>
    <xf numFmtId="172" fontId="1" fillId="0" borderId="0" xfId="99" applyNumberFormat="1" applyFont="1"/>
    <xf numFmtId="172" fontId="1" fillId="0" borderId="12" xfId="99" applyNumberFormat="1" applyFont="1" applyBorder="1"/>
    <xf numFmtId="172" fontId="1" fillId="0" borderId="14" xfId="99" applyNumberFormat="1" applyFont="1" applyBorder="1"/>
    <xf numFmtId="172" fontId="9" fillId="0" borderId="0" xfId="99" applyNumberFormat="1" applyFont="1" applyBorder="1"/>
    <xf numFmtId="172" fontId="9" fillId="0" borderId="14" xfId="99" applyNumberFormat="1" applyFont="1" applyBorder="1"/>
    <xf numFmtId="172" fontId="9" fillId="0" borderId="0" xfId="99" applyNumberFormat="1" applyFont="1"/>
    <xf numFmtId="172" fontId="9" fillId="0" borderId="0" xfId="99" applyNumberFormat="1" applyFont="1" applyFill="1"/>
    <xf numFmtId="172" fontId="9" fillId="0" borderId="12" xfId="99" applyNumberFormat="1" applyFont="1" applyBorder="1"/>
    <xf numFmtId="41" fontId="1" fillId="0" borderId="0" xfId="99" applyNumberFormat="1" applyFont="1"/>
    <xf numFmtId="41" fontId="1" fillId="0" borderId="14" xfId="99" applyNumberFormat="1" applyFont="1" applyBorder="1"/>
    <xf numFmtId="2" fontId="1" fillId="0" borderId="0" xfId="99" applyNumberFormat="1" applyFont="1" applyAlignment="1">
      <alignment horizontal="center"/>
    </xf>
    <xf numFmtId="2" fontId="7" fillId="0" borderId="0" xfId="99" applyNumberFormat="1" applyFont="1" applyAlignment="1">
      <alignment horizontal="center"/>
    </xf>
    <xf numFmtId="43" fontId="1" fillId="0" borderId="0" xfId="57" applyFont="1" applyAlignment="1">
      <alignment horizontal="center"/>
    </xf>
    <xf numFmtId="43" fontId="1" fillId="0" borderId="12" xfId="57" applyFont="1" applyBorder="1" applyAlignment="1">
      <alignment horizontal="center"/>
    </xf>
    <xf numFmtId="43" fontId="1" fillId="0" borderId="14" xfId="57" applyFont="1" applyBorder="1" applyAlignment="1">
      <alignment horizontal="center"/>
    </xf>
    <xf numFmtId="0" fontId="1" fillId="0" borderId="12" xfId="99" applyFont="1" applyBorder="1" applyAlignment="1">
      <alignment horizontal="center"/>
    </xf>
    <xf numFmtId="0" fontId="1" fillId="0" borderId="0" xfId="99" applyFont="1" applyAlignment="1">
      <alignment horizontal="center"/>
    </xf>
    <xf numFmtId="0" fontId="1" fillId="0" borderId="14" xfId="99" applyFont="1" applyBorder="1" applyAlignment="1">
      <alignment horizontal="center"/>
    </xf>
    <xf numFmtId="0" fontId="1" fillId="0" borderId="0" xfId="99" applyFont="1" applyBorder="1" applyAlignment="1">
      <alignment horizontal="center"/>
    </xf>
    <xf numFmtId="0" fontId="1" fillId="0" borderId="0" xfId="99" applyFont="1" applyFill="1" applyBorder="1" applyAlignment="1">
      <alignment horizontal="center"/>
    </xf>
    <xf numFmtId="0" fontId="1" fillId="0" borderId="12" xfId="99" applyFont="1" applyFill="1" applyBorder="1" applyAlignment="1">
      <alignment horizontal="center"/>
    </xf>
    <xf numFmtId="41" fontId="1" fillId="0" borderId="0" xfId="99" applyNumberFormat="1" applyFont="1" applyBorder="1"/>
    <xf numFmtId="41" fontId="1" fillId="0" borderId="12" xfId="99" applyNumberFormat="1" applyFont="1" applyBorder="1"/>
    <xf numFmtId="0" fontId="46" fillId="0" borderId="0" xfId="99" applyFont="1"/>
    <xf numFmtId="37" fontId="46" fillId="0" borderId="0" xfId="99" applyNumberFormat="1" applyFont="1"/>
    <xf numFmtId="37" fontId="46" fillId="0" borderId="14" xfId="99" applyNumberFormat="1" applyFont="1" applyBorder="1"/>
    <xf numFmtId="37" fontId="46" fillId="0" borderId="0" xfId="99" applyNumberFormat="1" applyFont="1" applyBorder="1"/>
    <xf numFmtId="172" fontId="46" fillId="0" borderId="0" xfId="99" applyNumberFormat="1" applyFont="1"/>
    <xf numFmtId="172" fontId="46" fillId="0" borderId="0" xfId="99" applyNumberFormat="1" applyFont="1" applyBorder="1"/>
    <xf numFmtId="172" fontId="46" fillId="0" borderId="14" xfId="99" applyNumberFormat="1" applyFont="1" applyBorder="1"/>
    <xf numFmtId="0" fontId="46" fillId="0" borderId="0" xfId="99" applyFont="1" applyBorder="1"/>
    <xf numFmtId="37" fontId="46" fillId="0" borderId="12" xfId="99" applyNumberFormat="1" applyFont="1" applyBorder="1"/>
    <xf numFmtId="43" fontId="1" fillId="0" borderId="0" xfId="99" applyNumberFormat="1" applyFont="1" applyBorder="1"/>
    <xf numFmtId="43" fontId="1" fillId="0" borderId="14" xfId="99" applyNumberFormat="1" applyFont="1" applyBorder="1"/>
    <xf numFmtId="43" fontId="1" fillId="0" borderId="12" xfId="99" applyNumberFormat="1" applyFont="1" applyBorder="1"/>
    <xf numFmtId="43" fontId="1" fillId="0" borderId="0" xfId="99" applyNumberFormat="1" applyFont="1" applyFill="1" applyBorder="1"/>
    <xf numFmtId="174" fontId="1" fillId="0" borderId="0" xfId="99" applyNumberFormat="1" applyFont="1"/>
    <xf numFmtId="174" fontId="1" fillId="0" borderId="0" xfId="99" applyNumberFormat="1" applyFont="1" applyBorder="1"/>
    <xf numFmtId="174" fontId="1" fillId="0" borderId="14" xfId="99" applyNumberFormat="1" applyFont="1" applyBorder="1"/>
    <xf numFmtId="174" fontId="1" fillId="0" borderId="12" xfId="99" applyNumberFormat="1" applyFont="1" applyBorder="1"/>
    <xf numFmtId="0" fontId="1" fillId="0" borderId="12" xfId="99" applyFont="1" applyFill="1" applyBorder="1"/>
    <xf numFmtId="0" fontId="9" fillId="0" borderId="22" xfId="99" applyFont="1" applyBorder="1"/>
    <xf numFmtId="0" fontId="1" fillId="24" borderId="0" xfId="99" applyFont="1" applyFill="1"/>
    <xf numFmtId="38" fontId="1" fillId="24" borderId="0" xfId="99" applyNumberFormat="1" applyFont="1" applyFill="1"/>
    <xf numFmtId="164" fontId="1" fillId="24" borderId="0" xfId="99" applyNumberFormat="1" applyFont="1" applyFill="1"/>
    <xf numFmtId="164" fontId="1" fillId="24" borderId="0" xfId="99" applyNumberFormat="1" applyFont="1" applyFill="1" applyBorder="1"/>
    <xf numFmtId="164" fontId="1" fillId="24" borderId="14" xfId="99" applyNumberFormat="1" applyFont="1" applyFill="1" applyBorder="1"/>
    <xf numFmtId="164" fontId="1" fillId="24" borderId="12" xfId="99" applyNumberFormat="1" applyFont="1" applyFill="1" applyBorder="1"/>
    <xf numFmtId="0" fontId="1" fillId="15" borderId="0" xfId="99" applyFont="1" applyFill="1" applyAlignment="1">
      <alignment horizontal="left" indent="1"/>
    </xf>
    <xf numFmtId="10" fontId="27" fillId="0" borderId="0" xfId="99" applyNumberFormat="1" applyFont="1"/>
    <xf numFmtId="2" fontId="1" fillId="15" borderId="0" xfId="99" applyNumberFormat="1" applyFont="1" applyFill="1" applyBorder="1"/>
    <xf numFmtId="2" fontId="1" fillId="0" borderId="12" xfId="99" applyNumberFormat="1" applyFont="1" applyFill="1" applyBorder="1"/>
    <xf numFmtId="2" fontId="9" fillId="0" borderId="0" xfId="99" applyNumberFormat="1" applyFont="1" applyBorder="1"/>
    <xf numFmtId="0" fontId="1" fillId="24" borderId="0" xfId="99" applyFont="1" applyFill="1" applyBorder="1"/>
    <xf numFmtId="0" fontId="1" fillId="24" borderId="12" xfId="99" applyFont="1" applyFill="1" applyBorder="1"/>
    <xf numFmtId="0" fontId="1" fillId="24" borderId="0" xfId="99" applyFont="1" applyFill="1"/>
    <xf numFmtId="0" fontId="1" fillId="0" borderId="0" xfId="99" applyFont="1" applyAlignment="1">
      <alignment horizontal="left"/>
    </xf>
    <xf numFmtId="38" fontId="14" fillId="0" borderId="0" xfId="99" applyNumberFormat="1" applyFont="1" applyBorder="1"/>
    <xf numFmtId="38" fontId="14" fillId="0" borderId="14" xfId="99" applyNumberFormat="1" applyFont="1" applyBorder="1"/>
    <xf numFmtId="37" fontId="7" fillId="0" borderId="22" xfId="99" applyNumberFormat="1" applyFont="1" applyBorder="1"/>
    <xf numFmtId="172" fontId="1" fillId="0" borderId="20" xfId="99" applyNumberFormat="1" applyFont="1" applyFill="1" applyBorder="1"/>
    <xf numFmtId="172" fontId="1" fillId="0" borderId="12" xfId="99" applyNumberFormat="1" applyFont="1" applyFill="1" applyBorder="1"/>
    <xf numFmtId="0" fontId="1" fillId="24" borderId="12" xfId="99" applyFont="1" applyFill="1" applyBorder="1"/>
    <xf numFmtId="0" fontId="1" fillId="24" borderId="0" xfId="99" applyFont="1" applyFill="1" applyBorder="1"/>
    <xf numFmtId="0" fontId="1" fillId="15" borderId="0" xfId="99" applyFont="1" applyFill="1"/>
    <xf numFmtId="38" fontId="1" fillId="15" borderId="12" xfId="99" applyNumberFormat="1" applyFont="1" applyFill="1" applyBorder="1"/>
    <xf numFmtId="0" fontId="1" fillId="15" borderId="0" xfId="99" applyFont="1" applyFill="1" applyBorder="1"/>
    <xf numFmtId="0" fontId="1" fillId="15" borderId="12" xfId="99" applyFont="1" applyFill="1" applyBorder="1"/>
    <xf numFmtId="0" fontId="1" fillId="0" borderId="0" xfId="99" applyFont="1" applyAlignment="1">
      <alignment horizontal="left" indent="2"/>
    </xf>
    <xf numFmtId="38" fontId="1" fillId="0" borderId="12" xfId="99" applyNumberFormat="1" applyFont="1" applyFill="1" applyBorder="1"/>
    <xf numFmtId="38" fontId="14" fillId="25" borderId="12" xfId="99" applyNumberFormat="1" applyFont="1" applyFill="1" applyBorder="1"/>
    <xf numFmtId="38" fontId="14" fillId="25" borderId="0" xfId="99" applyNumberFormat="1" applyFont="1" applyFill="1"/>
    <xf numFmtId="0" fontId="46" fillId="0" borderId="12" xfId="99" applyFont="1" applyBorder="1"/>
    <xf numFmtId="38" fontId="1" fillId="15" borderId="0" xfId="99" applyNumberFormat="1" applyFont="1" applyFill="1"/>
    <xf numFmtId="38" fontId="14" fillId="25" borderId="0" xfId="99" applyNumberFormat="1" applyFont="1" applyFill="1" applyBorder="1"/>
    <xf numFmtId="38" fontId="14" fillId="0" borderId="0" xfId="99" applyNumberFormat="1" applyFont="1" applyFill="1"/>
    <xf numFmtId="1" fontId="46" fillId="0" borderId="0" xfId="99" applyNumberFormat="1" applyFont="1"/>
    <xf numFmtId="1" fontId="1" fillId="0" borderId="0" xfId="99" applyNumberFormat="1" applyFont="1" applyFill="1" applyBorder="1"/>
    <xf numFmtId="4" fontId="1" fillId="0" borderId="0" xfId="99" applyNumberFormat="1" applyFont="1" applyFill="1"/>
    <xf numFmtId="0" fontId="9" fillId="0" borderId="0" xfId="99" applyFont="1" applyAlignment="1">
      <alignment wrapText="1"/>
    </xf>
    <xf numFmtId="0" fontId="26" fillId="22" borderId="0" xfId="99" applyFont="1" applyFill="1" applyBorder="1" applyAlignment="1">
      <alignment vertical="top" wrapText="1"/>
    </xf>
    <xf numFmtId="0" fontId="25" fillId="22" borderId="0" xfId="99" applyFont="1" applyFill="1" applyBorder="1" applyAlignment="1">
      <alignment horizontal="right"/>
    </xf>
    <xf numFmtId="0" fontId="9" fillId="17" borderId="0" xfId="99" applyFont="1" applyFill="1" applyBorder="1"/>
    <xf numFmtId="44" fontId="9" fillId="17" borderId="0" xfId="99" applyNumberFormat="1" applyFont="1" applyFill="1" applyBorder="1" applyAlignment="1">
      <alignment horizontal="left"/>
    </xf>
    <xf numFmtId="44" fontId="9" fillId="17" borderId="0" xfId="99" applyNumberFormat="1" applyFont="1" applyFill="1" applyBorder="1" applyAlignment="1">
      <alignment horizontal="right"/>
    </xf>
    <xf numFmtId="7" fontId="9" fillId="17" borderId="12" xfId="99" applyNumberFormat="1" applyFont="1" applyFill="1" applyBorder="1" applyAlignment="1">
      <alignment horizontal="right"/>
    </xf>
    <xf numFmtId="9" fontId="1" fillId="17" borderId="0" xfId="99" applyNumberFormat="1" applyFont="1" applyFill="1" applyBorder="1" applyAlignment="1">
      <alignment horizontal="right"/>
    </xf>
    <xf numFmtId="164" fontId="1" fillId="17" borderId="33" xfId="99" applyNumberFormat="1" applyFont="1" applyFill="1" applyBorder="1" applyAlignment="1">
      <alignment horizontal="center"/>
    </xf>
    <xf numFmtId="164" fontId="1" fillId="17" borderId="0" xfId="99" applyNumberFormat="1" applyFont="1" applyFill="1" applyBorder="1" applyAlignment="1">
      <alignment horizontal="right"/>
    </xf>
    <xf numFmtId="164" fontId="1" fillId="17" borderId="14" xfId="99" applyNumberFormat="1" applyFont="1" applyFill="1" applyBorder="1" applyAlignment="1">
      <alignment horizontal="right"/>
    </xf>
    <xf numFmtId="164" fontId="1" fillId="17" borderId="12" xfId="99" applyNumberFormat="1" applyFont="1" applyFill="1" applyBorder="1" applyAlignment="1">
      <alignment horizontal="right"/>
    </xf>
    <xf numFmtId="164" fontId="26" fillId="23" borderId="0" xfId="99" applyNumberFormat="1" applyFont="1" applyFill="1" applyAlignment="1">
      <alignment horizontal="left"/>
    </xf>
    <xf numFmtId="0" fontId="26" fillId="23" borderId="0" xfId="99" applyFont="1" applyFill="1" applyAlignment="1">
      <alignment vertical="top" wrapText="1"/>
    </xf>
    <xf numFmtId="164" fontId="1" fillId="0" borderId="0" xfId="99" applyNumberFormat="1" applyFont="1" applyAlignment="1">
      <alignment horizontal="left"/>
    </xf>
    <xf numFmtId="0" fontId="1" fillId="0" borderId="0" xfId="99" applyFont="1" applyAlignment="1">
      <alignment vertical="top" wrapText="1"/>
    </xf>
    <xf numFmtId="1" fontId="1" fillId="0" borderId="0" xfId="99" applyNumberFormat="1" applyFont="1" applyFill="1"/>
    <xf numFmtId="164" fontId="9" fillId="0" borderId="0" xfId="99" applyNumberFormat="1" applyFont="1" applyAlignment="1">
      <alignment horizontal="left"/>
    </xf>
    <xf numFmtId="0" fontId="9" fillId="0" borderId="0" xfId="99" applyFont="1" applyAlignment="1">
      <alignment vertical="top" wrapText="1"/>
    </xf>
    <xf numFmtId="167" fontId="9" fillId="0" borderId="0" xfId="99" applyNumberFormat="1" applyFont="1" applyFill="1"/>
    <xf numFmtId="167" fontId="1" fillId="0" borderId="0" xfId="99" applyNumberFormat="1" applyFont="1" applyFill="1" applyBorder="1"/>
    <xf numFmtId="167" fontId="14" fillId="0" borderId="0" xfId="99" applyNumberFormat="1" applyFont="1"/>
    <xf numFmtId="0" fontId="7" fillId="0" borderId="14" xfId="99" applyFont="1" applyBorder="1"/>
    <xf numFmtId="167" fontId="14" fillId="0" borderId="0" xfId="99" applyNumberFormat="1" applyFont="1" applyBorder="1"/>
    <xf numFmtId="167" fontId="14" fillId="0" borderId="14" xfId="99" applyNumberFormat="1" applyFont="1" applyBorder="1"/>
    <xf numFmtId="167" fontId="14" fillId="0" borderId="12" xfId="99" applyNumberFormat="1" applyFont="1" applyBorder="1"/>
    <xf numFmtId="167" fontId="14" fillId="0" borderId="0" xfId="99" applyNumberFormat="1" applyFont="1" applyFill="1"/>
    <xf numFmtId="167" fontId="14" fillId="0" borderId="14" xfId="99" applyNumberFormat="1" applyFont="1" applyFill="1" applyBorder="1"/>
    <xf numFmtId="167" fontId="14" fillId="0" borderId="12" xfId="99" applyNumberFormat="1" applyFont="1" applyFill="1" applyBorder="1"/>
    <xf numFmtId="167" fontId="27" fillId="0" borderId="0" xfId="99" applyNumberFormat="1" applyFont="1" applyBorder="1"/>
    <xf numFmtId="167" fontId="23" fillId="0" borderId="0" xfId="99" applyNumberFormat="1" applyFont="1" applyBorder="1"/>
    <xf numFmtId="167" fontId="23" fillId="0" borderId="14" xfId="99" applyNumberFormat="1" applyFont="1" applyBorder="1"/>
    <xf numFmtId="164" fontId="46" fillId="0" borderId="0" xfId="99" applyNumberFormat="1" applyFont="1" applyAlignment="1">
      <alignment horizontal="left"/>
    </xf>
    <xf numFmtId="0" fontId="46" fillId="0" borderId="0" xfId="99" applyFont="1" applyAlignment="1">
      <alignment vertical="top" wrapText="1"/>
    </xf>
    <xf numFmtId="167" fontId="46" fillId="0" borderId="0" xfId="99" applyNumberFormat="1" applyFont="1"/>
    <xf numFmtId="164" fontId="9" fillId="0" borderId="14" xfId="112" applyNumberFormat="1" applyFont="1" applyBorder="1"/>
    <xf numFmtId="0" fontId="24" fillId="0" borderId="0" xfId="99" applyFont="1" applyAlignment="1">
      <alignment horizontal="left"/>
    </xf>
    <xf numFmtId="164" fontId="24" fillId="0" borderId="0" xfId="99" applyNumberFormat="1" applyFont="1" applyAlignment="1">
      <alignment horizontal="left"/>
    </xf>
    <xf numFmtId="0" fontId="24" fillId="0" borderId="0" xfId="99" applyFont="1" applyAlignment="1">
      <alignment vertical="top" wrapText="1"/>
    </xf>
    <xf numFmtId="0" fontId="24" fillId="0" borderId="0" xfId="99" applyFont="1"/>
    <xf numFmtId="167" fontId="24" fillId="0" borderId="0" xfId="99" applyNumberFormat="1" applyFont="1"/>
    <xf numFmtId="167" fontId="24" fillId="0" borderId="0" xfId="99" applyNumberFormat="1" applyFont="1" applyBorder="1"/>
    <xf numFmtId="167" fontId="24" fillId="0" borderId="14" xfId="99" applyNumberFormat="1" applyFont="1" applyBorder="1"/>
    <xf numFmtId="167" fontId="24" fillId="0" borderId="12" xfId="99" applyNumberFormat="1" applyFont="1" applyBorder="1"/>
    <xf numFmtId="167" fontId="25" fillId="23" borderId="0" xfId="99" applyNumberFormat="1" applyFont="1" applyFill="1" applyBorder="1"/>
    <xf numFmtId="44" fontId="1" fillId="0" borderId="0" xfId="99" applyNumberFormat="1" applyFont="1" applyBorder="1"/>
    <xf numFmtId="44" fontId="1" fillId="0" borderId="14" xfId="99" applyNumberFormat="1" applyFont="1" applyBorder="1"/>
    <xf numFmtId="44" fontId="1" fillId="0" borderId="12" xfId="99" applyNumberFormat="1" applyFont="1" applyBorder="1"/>
    <xf numFmtId="0" fontId="1" fillId="17" borderId="18" xfId="99" applyFont="1" applyFill="1" applyBorder="1"/>
    <xf numFmtId="0" fontId="1" fillId="0" borderId="14" xfId="99" applyFont="1" applyFill="1" applyBorder="1"/>
    <xf numFmtId="8" fontId="23" fillId="17" borderId="21" xfId="63" applyNumberFormat="1" applyFont="1" applyFill="1" applyBorder="1" applyAlignment="1">
      <alignment horizontal="left"/>
    </xf>
    <xf numFmtId="164" fontId="1" fillId="17" borderId="0" xfId="99" applyNumberFormat="1" applyFont="1" applyFill="1" applyBorder="1" applyAlignment="1">
      <alignment horizontal="left"/>
    </xf>
    <xf numFmtId="0" fontId="1" fillId="17" borderId="0" xfId="99" applyFont="1" applyFill="1" applyBorder="1" applyAlignment="1">
      <alignment vertical="top" wrapText="1"/>
    </xf>
    <xf numFmtId="0" fontId="14" fillId="0" borderId="12" xfId="99" applyFont="1" applyFill="1" applyBorder="1"/>
    <xf numFmtId="0" fontId="14" fillId="0" borderId="0" xfId="99" applyFont="1" applyFill="1"/>
    <xf numFmtId="164" fontId="1" fillId="17" borderId="22" xfId="99" applyNumberFormat="1" applyFont="1" applyFill="1" applyBorder="1" applyAlignment="1">
      <alignment horizontal="left"/>
    </xf>
    <xf numFmtId="0" fontId="1" fillId="17" borderId="22" xfId="99" applyFont="1" applyFill="1" applyBorder="1" applyAlignment="1">
      <alignment vertical="top" wrapText="1"/>
    </xf>
    <xf numFmtId="167" fontId="72" fillId="17" borderId="22" xfId="99" applyNumberFormat="1" applyFont="1" applyFill="1" applyBorder="1"/>
    <xf numFmtId="167" fontId="72" fillId="17" borderId="33" xfId="99" applyNumberFormat="1" applyFont="1" applyFill="1" applyBorder="1"/>
    <xf numFmtId="0" fontId="1" fillId="0" borderId="22" xfId="99" applyFont="1" applyBorder="1" applyAlignment="1">
      <alignment vertical="top" wrapText="1"/>
    </xf>
    <xf numFmtId="167" fontId="7" fillId="0" borderId="14" xfId="99" applyNumberFormat="1" applyFont="1" applyBorder="1"/>
    <xf numFmtId="4" fontId="1" fillId="0" borderId="12" xfId="99" applyNumberFormat="1" applyFont="1" applyFill="1" applyBorder="1"/>
    <xf numFmtId="0" fontId="7" fillId="0" borderId="0" xfId="99" applyFont="1" applyAlignment="1">
      <alignment horizontal="center"/>
    </xf>
    <xf numFmtId="39" fontId="1" fillId="0" borderId="0" xfId="99" applyNumberFormat="1" applyFont="1"/>
    <xf numFmtId="9" fontId="1" fillId="0" borderId="15" xfId="99" applyNumberFormat="1" applyFont="1" applyFill="1" applyBorder="1"/>
    <xf numFmtId="43" fontId="1" fillId="0" borderId="12" xfId="99" applyNumberFormat="1" applyFont="1" applyFill="1" applyBorder="1"/>
    <xf numFmtId="3" fontId="1" fillId="0" borderId="0" xfId="99" applyNumberFormat="1" applyFont="1" applyFill="1" applyBorder="1"/>
    <xf numFmtId="164" fontId="1" fillId="0" borderId="0" xfId="105" applyNumberFormat="1" applyFont="1" applyFill="1" applyBorder="1"/>
    <xf numFmtId="0" fontId="1" fillId="0" borderId="0" xfId="99" applyFont="1" applyFill="1" applyBorder="1"/>
    <xf numFmtId="37" fontId="14" fillId="0" borderId="0" xfId="99" applyNumberFormat="1" applyFont="1" applyFill="1" applyBorder="1"/>
    <xf numFmtId="37" fontId="14" fillId="0" borderId="14" xfId="99" applyNumberFormat="1" applyFont="1" applyFill="1" applyBorder="1"/>
    <xf numFmtId="0" fontId="25" fillId="23" borderId="0" xfId="99" applyFont="1" applyFill="1" applyBorder="1" applyAlignment="1">
      <alignment horizontal="left"/>
    </xf>
    <xf numFmtId="164" fontId="25" fillId="23" borderId="0" xfId="99" applyNumberFormat="1" applyFont="1" applyFill="1" applyBorder="1" applyAlignment="1">
      <alignment horizontal="right"/>
    </xf>
    <xf numFmtId="0" fontId="25" fillId="23" borderId="0" xfId="99" applyFont="1" applyFill="1" applyBorder="1" applyAlignment="1">
      <alignment horizontal="right" vertical="top" wrapText="1"/>
    </xf>
    <xf numFmtId="0" fontId="1" fillId="0" borderId="0" xfId="143" applyFont="1" applyBorder="1"/>
    <xf numFmtId="0" fontId="1" fillId="0" borderId="0" xfId="143" applyFont="1" applyFill="1" applyBorder="1"/>
    <xf numFmtId="0" fontId="9" fillId="0" borderId="0" xfId="143" applyFont="1" applyFill="1" applyBorder="1"/>
    <xf numFmtId="41" fontId="9" fillId="0" borderId="0" xfId="143" applyNumberFormat="1" applyFont="1" applyBorder="1"/>
    <xf numFmtId="41" fontId="9" fillId="0" borderId="14" xfId="143" applyNumberFormat="1" applyFont="1" applyBorder="1"/>
    <xf numFmtId="0" fontId="1" fillId="0" borderId="0" xfId="99" applyFont="1" applyAlignment="1">
      <alignment horizontal="right"/>
    </xf>
    <xf numFmtId="3" fontId="1" fillId="0" borderId="0" xfId="0" applyNumberFormat="1" applyFont="1" applyBorder="1"/>
    <xf numFmtId="0" fontId="1" fillId="0" borderId="0" xfId="94" applyFont="1" applyBorder="1" applyAlignment="1">
      <alignment horizontal="left" indent="1"/>
    </xf>
    <xf numFmtId="164" fontId="1" fillId="0" borderId="0" xfId="94" applyNumberFormat="1" applyFont="1" applyBorder="1"/>
    <xf numFmtId="164" fontId="1" fillId="0" borderId="14" xfId="94" applyNumberFormat="1" applyFont="1" applyBorder="1"/>
    <xf numFmtId="164" fontId="1" fillId="16" borderId="12" xfId="94" applyNumberFormat="1" applyFont="1" applyFill="1" applyBorder="1"/>
    <xf numFmtId="164" fontId="1" fillId="16" borderId="0" xfId="94" applyNumberFormat="1" applyFont="1" applyFill="1" applyBorder="1"/>
    <xf numFmtId="164" fontId="1" fillId="16" borderId="14" xfId="94" applyNumberFormat="1" applyFont="1" applyFill="1" applyBorder="1"/>
    <xf numFmtId="0" fontId="1" fillId="0" borderId="22" xfId="94" applyFont="1" applyFill="1" applyBorder="1"/>
    <xf numFmtId="0" fontId="1" fillId="0" borderId="22" xfId="94" applyFont="1" applyBorder="1"/>
    <xf numFmtId="164" fontId="1" fillId="16" borderId="34" xfId="94" applyNumberFormat="1" applyFont="1" applyFill="1" applyBorder="1"/>
    <xf numFmtId="164" fontId="1" fillId="0" borderId="22" xfId="94" applyNumberFormat="1" applyFont="1" applyBorder="1"/>
    <xf numFmtId="164" fontId="1" fillId="0" borderId="33" xfId="94" applyNumberFormat="1" applyFont="1" applyBorder="1"/>
    <xf numFmtId="3" fontId="1" fillId="0" borderId="0" xfId="94" applyNumberFormat="1" applyFont="1" applyBorder="1"/>
    <xf numFmtId="0" fontId="1" fillId="16" borderId="12" xfId="94" applyFont="1" applyFill="1" applyBorder="1"/>
    <xf numFmtId="0" fontId="1" fillId="16" borderId="0" xfId="94" applyFont="1" applyFill="1" applyBorder="1"/>
    <xf numFmtId="37" fontId="1" fillId="0" borderId="0" xfId="94" applyNumberFormat="1" applyFont="1" applyBorder="1"/>
    <xf numFmtId="37" fontId="1" fillId="0" borderId="14" xfId="94" applyNumberFormat="1" applyFont="1" applyBorder="1"/>
    <xf numFmtId="38" fontId="1" fillId="0" borderId="12" xfId="94" applyNumberFormat="1" applyFont="1" applyFill="1" applyBorder="1"/>
    <xf numFmtId="38" fontId="1" fillId="0" borderId="0" xfId="94" applyNumberFormat="1" applyFont="1" applyFill="1" applyBorder="1"/>
    <xf numFmtId="164" fontId="1" fillId="0" borderId="12" xfId="94" applyNumberFormat="1" applyFont="1" applyBorder="1"/>
    <xf numFmtId="37" fontId="1" fillId="0" borderId="0" xfId="57" applyNumberFormat="1" applyFont="1" applyBorder="1"/>
    <xf numFmtId="164" fontId="1" fillId="0" borderId="12" xfId="94" applyNumberFormat="1" applyFont="1" applyFill="1" applyBorder="1"/>
    <xf numFmtId="164" fontId="1" fillId="0" borderId="0" xfId="94" applyNumberFormat="1" applyFont="1" applyFill="1" applyBorder="1"/>
    <xf numFmtId="164" fontId="1" fillId="0" borderId="14" xfId="94" applyNumberFormat="1" applyFont="1" applyFill="1" applyBorder="1"/>
    <xf numFmtId="37" fontId="1" fillId="0" borderId="0" xfId="94" applyNumberFormat="1" applyFont="1" applyFill="1" applyBorder="1"/>
    <xf numFmtId="38" fontId="1" fillId="0" borderId="14" xfId="94" applyNumberFormat="1" applyFont="1" applyFill="1" applyBorder="1"/>
    <xf numFmtId="0" fontId="1" fillId="0" borderId="22" xfId="94" applyFont="1" applyBorder="1" applyAlignment="1">
      <alignment horizontal="left" indent="1"/>
    </xf>
    <xf numFmtId="164" fontId="1" fillId="0" borderId="34" xfId="94" applyNumberFormat="1" applyFont="1" applyFill="1" applyBorder="1"/>
    <xf numFmtId="164" fontId="1" fillId="0" borderId="22" xfId="94" applyNumberFormat="1" applyFont="1" applyFill="1" applyBorder="1"/>
    <xf numFmtId="164" fontId="1" fillId="0" borderId="0" xfId="94" applyNumberFormat="1" applyFont="1"/>
    <xf numFmtId="164" fontId="1" fillId="16" borderId="0" xfId="94" applyNumberFormat="1" applyFont="1" applyFill="1"/>
    <xf numFmtId="164" fontId="1" fillId="17" borderId="0" xfId="94" applyNumberFormat="1" applyFont="1" applyFill="1" applyBorder="1"/>
    <xf numFmtId="164" fontId="1" fillId="17" borderId="14" xfId="94" applyNumberFormat="1" applyFont="1" applyFill="1" applyBorder="1"/>
    <xf numFmtId="164" fontId="1" fillId="17" borderId="12" xfId="94" applyNumberFormat="1" applyFont="1" applyFill="1" applyBorder="1"/>
    <xf numFmtId="164" fontId="1" fillId="17" borderId="0" xfId="94" applyNumberFormat="1" applyFont="1" applyFill="1"/>
    <xf numFmtId="0" fontId="1" fillId="17" borderId="22" xfId="94" applyFont="1" applyFill="1" applyBorder="1" applyAlignment="1">
      <alignment horizontal="left" indent="1"/>
    </xf>
    <xf numFmtId="164" fontId="1" fillId="17" borderId="22" xfId="94" applyNumberFormat="1" applyFont="1" applyFill="1" applyBorder="1"/>
    <xf numFmtId="164" fontId="1" fillId="17" borderId="33" xfId="94" applyNumberFormat="1" applyFont="1" applyFill="1" applyBorder="1"/>
    <xf numFmtId="37" fontId="1" fillId="0" borderId="12" xfId="94" applyNumberFormat="1" applyFont="1" applyFill="1" applyBorder="1"/>
    <xf numFmtId="37" fontId="1" fillId="0" borderId="12" xfId="94" applyNumberFormat="1" applyFont="1" applyBorder="1"/>
    <xf numFmtId="37" fontId="1" fillId="0" borderId="0" xfId="57" applyNumberFormat="1" applyFont="1" applyFill="1" applyBorder="1"/>
    <xf numFmtId="37" fontId="1" fillId="16" borderId="0" xfId="94" applyNumberFormat="1" applyFont="1" applyFill="1"/>
    <xf numFmtId="164" fontId="1" fillId="0" borderId="34" xfId="94" applyNumberFormat="1" applyFont="1" applyBorder="1"/>
    <xf numFmtId="0" fontId="1" fillId="16" borderId="14" xfId="94" applyFont="1" applyFill="1" applyBorder="1"/>
    <xf numFmtId="0" fontId="1" fillId="0" borderId="0" xfId="94" applyFont="1" applyBorder="1"/>
    <xf numFmtId="165" fontId="1" fillId="0" borderId="12" xfId="94" applyNumberFormat="1" applyFont="1" applyBorder="1"/>
    <xf numFmtId="165" fontId="1" fillId="0" borderId="0" xfId="94" applyNumberFormat="1" applyFont="1" applyBorder="1"/>
    <xf numFmtId="165" fontId="1" fillId="0" borderId="14" xfId="94" applyNumberFormat="1" applyFont="1" applyBorder="1"/>
    <xf numFmtId="9" fontId="1" fillId="17" borderId="0" xfId="112" applyFont="1" applyFill="1" applyBorder="1"/>
    <xf numFmtId="37" fontId="1" fillId="17" borderId="0" xfId="94" applyNumberFormat="1" applyFont="1" applyFill="1" applyBorder="1"/>
    <xf numFmtId="3" fontId="1" fillId="17" borderId="12" xfId="94" applyNumberFormat="1" applyFont="1" applyFill="1" applyBorder="1"/>
    <xf numFmtId="3" fontId="1" fillId="17" borderId="0" xfId="94" applyNumberFormat="1" applyFont="1" applyFill="1"/>
    <xf numFmtId="3" fontId="1" fillId="17" borderId="14" xfId="94" applyNumberFormat="1" applyFont="1" applyFill="1" applyBorder="1"/>
    <xf numFmtId="164" fontId="1" fillId="0" borderId="0" xfId="94" applyNumberFormat="1" applyFont="1" applyFill="1"/>
    <xf numFmtId="3" fontId="1" fillId="0" borderId="12" xfId="94" applyNumberFormat="1" applyFont="1" applyBorder="1"/>
    <xf numFmtId="3" fontId="1" fillId="0" borderId="14" xfId="94" applyNumberFormat="1" applyFont="1" applyBorder="1"/>
    <xf numFmtId="37" fontId="1" fillId="0" borderId="14" xfId="94" applyNumberFormat="1" applyFont="1" applyFill="1" applyBorder="1"/>
    <xf numFmtId="37" fontId="1" fillId="16" borderId="12" xfId="94" applyNumberFormat="1" applyFont="1" applyFill="1" applyBorder="1"/>
    <xf numFmtId="37" fontId="1" fillId="16" borderId="0" xfId="94" applyNumberFormat="1" applyFont="1" applyFill="1" applyBorder="1"/>
    <xf numFmtId="37" fontId="1" fillId="16" borderId="14" xfId="94" applyNumberFormat="1" applyFont="1" applyFill="1" applyBorder="1"/>
    <xf numFmtId="41" fontId="1" fillId="0" borderId="0" xfId="94" applyNumberFormat="1" applyFont="1" applyBorder="1"/>
    <xf numFmtId="0" fontId="1" fillId="0" borderId="0" xfId="94" applyFont="1" applyFill="1" applyBorder="1" applyAlignment="1">
      <alignment horizontal="left" indent="2"/>
    </xf>
    <xf numFmtId="37" fontId="1" fillId="0" borderId="15" xfId="94" applyNumberFormat="1" applyFont="1" applyBorder="1"/>
    <xf numFmtId="0" fontId="1" fillId="18" borderId="0" xfId="94" applyFont="1" applyFill="1" applyBorder="1"/>
    <xf numFmtId="37" fontId="1" fillId="18" borderId="0" xfId="94" applyNumberFormat="1" applyFont="1" applyFill="1" applyBorder="1"/>
    <xf numFmtId="37" fontId="1" fillId="18" borderId="12" xfId="94" applyNumberFormat="1" applyFont="1" applyFill="1" applyBorder="1"/>
    <xf numFmtId="9" fontId="1" fillId="18" borderId="0" xfId="94" applyNumberFormat="1" applyFont="1" applyFill="1" applyBorder="1"/>
    <xf numFmtId="9" fontId="1" fillId="18" borderId="12" xfId="94" applyNumberFormat="1" applyFont="1" applyFill="1" applyBorder="1"/>
    <xf numFmtId="167" fontId="14" fillId="17" borderId="14" xfId="57" applyNumberFormat="1" applyFont="1" applyFill="1" applyBorder="1"/>
    <xf numFmtId="167" fontId="37" fillId="0" borderId="0" xfId="99" applyNumberFormat="1" applyFont="1"/>
    <xf numFmtId="167" fontId="37" fillId="0" borderId="12" xfId="99" applyNumberFormat="1" applyFont="1" applyBorder="1"/>
    <xf numFmtId="167" fontId="37" fillId="0" borderId="14" xfId="99" applyNumberFormat="1" applyFont="1" applyBorder="1"/>
    <xf numFmtId="167" fontId="37" fillId="0" borderId="0" xfId="99" applyNumberFormat="1" applyFont="1" applyBorder="1"/>
    <xf numFmtId="167" fontId="37" fillId="0" borderId="0" xfId="99" applyNumberFormat="1" applyFont="1" applyFill="1" applyBorder="1"/>
    <xf numFmtId="167" fontId="37" fillId="0" borderId="12" xfId="99" applyNumberFormat="1" applyFont="1" applyFill="1" applyBorder="1"/>
    <xf numFmtId="167" fontId="37" fillId="0" borderId="0" xfId="99" applyNumberFormat="1" applyFont="1" applyFill="1"/>
    <xf numFmtId="0" fontId="72" fillId="0" borderId="0" xfId="99" applyFont="1"/>
    <xf numFmtId="0" fontId="72" fillId="0" borderId="12" xfId="99" applyFont="1" applyBorder="1"/>
    <xf numFmtId="0" fontId="72" fillId="0" borderId="14" xfId="99" applyFont="1" applyBorder="1"/>
    <xf numFmtId="0" fontId="72" fillId="0" borderId="0" xfId="99" applyFont="1" applyBorder="1"/>
    <xf numFmtId="167" fontId="14" fillId="0" borderId="0" xfId="99" applyNumberFormat="1" applyFont="1" applyFill="1" applyBorder="1"/>
    <xf numFmtId="167" fontId="37" fillId="21" borderId="0" xfId="99" applyNumberFormat="1" applyFont="1" applyFill="1" applyBorder="1"/>
    <xf numFmtId="37" fontId="14" fillId="0" borderId="0" xfId="99" applyNumberFormat="1" applyFont="1" applyFill="1"/>
    <xf numFmtId="37" fontId="1" fillId="18" borderId="14" xfId="94" applyNumberFormat="1" applyFont="1" applyFill="1" applyBorder="1"/>
    <xf numFmtId="9" fontId="1" fillId="18" borderId="14" xfId="94" applyNumberFormat="1" applyFont="1" applyFill="1" applyBorder="1"/>
    <xf numFmtId="164" fontId="14" fillId="18" borderId="0" xfId="94" applyNumberFormat="1" applyFont="1" applyFill="1" applyBorder="1" applyAlignment="1">
      <alignment horizontal="right"/>
    </xf>
    <xf numFmtId="38" fontId="9" fillId="0" borderId="19" xfId="99" applyNumberFormat="1" applyFont="1" applyBorder="1"/>
    <xf numFmtId="0" fontId="9" fillId="18" borderId="14" xfId="99" applyFont="1" applyFill="1" applyBorder="1"/>
    <xf numFmtId="0" fontId="1" fillId="0" borderId="14" xfId="99" applyFont="1" applyBorder="1"/>
    <xf numFmtId="0" fontId="83" fillId="0" borderId="14" xfId="99" applyFont="1" applyBorder="1"/>
    <xf numFmtId="37" fontId="1" fillId="17" borderId="0" xfId="99" applyNumberFormat="1" applyFont="1" applyFill="1" applyBorder="1"/>
    <xf numFmtId="2" fontId="1" fillId="0" borderId="14" xfId="99" applyNumberFormat="1" applyFont="1" applyBorder="1" applyAlignment="1">
      <alignment horizontal="center"/>
    </xf>
    <xf numFmtId="167" fontId="7" fillId="0" borderId="0" xfId="99" applyNumberFormat="1" applyFont="1" applyBorder="1"/>
    <xf numFmtId="1" fontId="1" fillId="0" borderId="14" xfId="99" applyNumberFormat="1" applyFont="1" applyFill="1" applyBorder="1"/>
    <xf numFmtId="164" fontId="1" fillId="0" borderId="14" xfId="57" applyNumberFormat="1" applyFont="1" applyFill="1" applyBorder="1"/>
    <xf numFmtId="0" fontId="83" fillId="18" borderId="14" xfId="99" applyFont="1" applyFill="1" applyBorder="1"/>
    <xf numFmtId="167" fontId="10" fillId="18" borderId="14" xfId="99" applyNumberFormat="1" applyFont="1" applyFill="1" applyBorder="1"/>
    <xf numFmtId="0" fontId="80" fillId="18" borderId="14" xfId="99" applyFont="1" applyFill="1" applyBorder="1"/>
    <xf numFmtId="9" fontId="80" fillId="0" borderId="14" xfId="99" applyNumberFormat="1" applyFont="1" applyBorder="1"/>
    <xf numFmtId="37" fontId="80" fillId="17" borderId="14" xfId="99" applyNumberFormat="1" applyFont="1" applyFill="1" applyBorder="1"/>
    <xf numFmtId="164" fontId="80" fillId="0" borderId="14" xfId="99" applyNumberFormat="1" applyFont="1" applyBorder="1"/>
    <xf numFmtId="167" fontId="80" fillId="0" borderId="14" xfId="99" applyNumberFormat="1" applyFont="1" applyBorder="1"/>
    <xf numFmtId="0" fontId="83" fillId="17" borderId="14" xfId="99" applyFont="1" applyFill="1" applyBorder="1"/>
    <xf numFmtId="0" fontId="1" fillId="0" borderId="0" xfId="99" applyFont="1" applyBorder="1"/>
    <xf numFmtId="0" fontId="24" fillId="0" borderId="0" xfId="99" applyFont="1" applyAlignment="1">
      <alignment horizontal="left" indent="1"/>
    </xf>
    <xf numFmtId="0" fontId="1" fillId="0" borderId="0" xfId="99" applyFont="1" applyFill="1"/>
    <xf numFmtId="0" fontId="2" fillId="16" borderId="20" xfId="94" applyFont="1" applyFill="1" applyBorder="1"/>
    <xf numFmtId="1" fontId="2" fillId="0" borderId="12" xfId="94" applyNumberFormat="1" applyFont="1" applyFill="1" applyBorder="1"/>
    <xf numFmtId="3" fontId="14" fillId="0" borderId="0" xfId="94" applyNumberFormat="1" applyFont="1" applyFill="1" applyBorder="1"/>
    <xf numFmtId="0" fontId="2" fillId="21" borderId="0" xfId="94" applyFont="1" applyFill="1"/>
    <xf numFmtId="0" fontId="9" fillId="21" borderId="0" xfId="94" applyFont="1" applyFill="1"/>
    <xf numFmtId="0" fontId="24" fillId="21" borderId="0" xfId="94" applyFont="1" applyFill="1"/>
    <xf numFmtId="3" fontId="14" fillId="16" borderId="0" xfId="0" applyNumberFormat="1" applyFont="1" applyFill="1" applyBorder="1"/>
    <xf numFmtId="164" fontId="3" fillId="0" borderId="20" xfId="57" applyNumberFormat="1" applyFont="1" applyFill="1" applyBorder="1"/>
    <xf numFmtId="41" fontId="9" fillId="0" borderId="12" xfId="143" applyNumberFormat="1" applyFont="1" applyBorder="1"/>
    <xf numFmtId="38" fontId="23" fillId="0" borderId="20" xfId="99" applyNumberFormat="1" applyFont="1" applyBorder="1"/>
    <xf numFmtId="0" fontId="59" fillId="18" borderId="12" xfId="99" applyFont="1" applyFill="1" applyBorder="1"/>
    <xf numFmtId="0" fontId="59" fillId="0" borderId="12" xfId="99" applyFont="1" applyFill="1" applyBorder="1"/>
    <xf numFmtId="167" fontId="23" fillId="17" borderId="12" xfId="57" applyNumberFormat="1" applyFont="1" applyFill="1" applyBorder="1"/>
    <xf numFmtId="0" fontId="46" fillId="23" borderId="12" xfId="99" applyFont="1" applyFill="1" applyBorder="1" applyAlignment="1">
      <alignment horizontal="left"/>
    </xf>
    <xf numFmtId="0" fontId="99" fillId="0" borderId="12" xfId="99" applyFont="1" applyFill="1" applyBorder="1"/>
    <xf numFmtId="167" fontId="69" fillId="17" borderId="12" xfId="57" applyNumberFormat="1" applyFont="1" applyFill="1" applyBorder="1"/>
    <xf numFmtId="167" fontId="69" fillId="0" borderId="12" xfId="57" applyNumberFormat="1" applyFont="1" applyFill="1" applyBorder="1"/>
    <xf numFmtId="0" fontId="59" fillId="0" borderId="20" xfId="99" applyFont="1" applyFill="1" applyBorder="1"/>
    <xf numFmtId="4" fontId="80" fillId="0" borderId="0" xfId="99" applyNumberFormat="1" applyFont="1"/>
    <xf numFmtId="37" fontId="60" fillId="0" borderId="12" xfId="94" applyNumberFormat="1" applyFont="1" applyFill="1" applyBorder="1"/>
    <xf numFmtId="5" fontId="69" fillId="0" borderId="12" xfId="94" applyNumberFormat="1" applyFont="1" applyFill="1" applyBorder="1"/>
    <xf numFmtId="37" fontId="1" fillId="0" borderId="20" xfId="94" applyNumberFormat="1" applyFont="1" applyBorder="1"/>
    <xf numFmtId="37" fontId="27" fillId="18" borderId="12" xfId="94" applyNumberFormat="1" applyFont="1" applyFill="1" applyBorder="1"/>
    <xf numFmtId="164" fontId="27" fillId="18" borderId="12" xfId="94" applyNumberFormat="1" applyFont="1" applyFill="1" applyBorder="1" applyAlignment="1">
      <alignment horizontal="right"/>
    </xf>
    <xf numFmtId="164" fontId="27" fillId="18" borderId="0" xfId="94" applyNumberFormat="1" applyFont="1" applyFill="1" applyBorder="1" applyAlignment="1">
      <alignment horizontal="right"/>
    </xf>
    <xf numFmtId="37" fontId="69" fillId="0" borderId="12" xfId="94" applyNumberFormat="1" applyFont="1" applyBorder="1"/>
    <xf numFmtId="37" fontId="69" fillId="0" borderId="0" xfId="94" applyNumberFormat="1" applyFont="1" applyBorder="1"/>
    <xf numFmtId="3" fontId="69" fillId="0" borderId="0" xfId="94" applyNumberFormat="1" applyFont="1" applyFill="1" applyBorder="1"/>
    <xf numFmtId="164" fontId="1" fillId="17" borderId="34" xfId="94" applyNumberFormat="1" applyFont="1" applyFill="1" applyBorder="1"/>
    <xf numFmtId="164" fontId="27" fillId="0" borderId="0" xfId="94" applyNumberFormat="1" applyFont="1" applyBorder="1" applyAlignment="1">
      <alignment horizontal="right"/>
    </xf>
    <xf numFmtId="3" fontId="1" fillId="18" borderId="0" xfId="94" applyNumberFormat="1" applyFont="1" applyFill="1" applyBorder="1"/>
    <xf numFmtId="164" fontId="1" fillId="18" borderId="0" xfId="94" applyNumberFormat="1" applyFont="1" applyFill="1" applyBorder="1"/>
    <xf numFmtId="38" fontId="1" fillId="18" borderId="0" xfId="94" applyNumberFormat="1" applyFont="1" applyFill="1" applyBorder="1"/>
    <xf numFmtId="38" fontId="1" fillId="18" borderId="14" xfId="94" applyNumberFormat="1" applyFont="1" applyFill="1" applyBorder="1"/>
    <xf numFmtId="164" fontId="1" fillId="18" borderId="0" xfId="94" applyNumberFormat="1" applyFont="1" applyFill="1"/>
    <xf numFmtId="164" fontId="1" fillId="18" borderId="12" xfId="94" applyNumberFormat="1" applyFont="1" applyFill="1" applyBorder="1"/>
    <xf numFmtId="164" fontId="1" fillId="18" borderId="14" xfId="94" applyNumberFormat="1" applyFont="1" applyFill="1" applyBorder="1"/>
    <xf numFmtId="3" fontId="1" fillId="18" borderId="12" xfId="94" applyNumberFormat="1" applyFont="1" applyFill="1" applyBorder="1"/>
    <xf numFmtId="37" fontId="14" fillId="0" borderId="14" xfId="94" applyNumberFormat="1" applyFont="1" applyFill="1" applyBorder="1"/>
    <xf numFmtId="0" fontId="1" fillId="24" borderId="36" xfId="94" applyFont="1" applyFill="1" applyBorder="1" applyAlignment="1"/>
    <xf numFmtId="0" fontId="1" fillId="24" borderId="28" xfId="94" applyFont="1" applyFill="1" applyBorder="1" applyAlignment="1"/>
    <xf numFmtId="0" fontId="1" fillId="0" borderId="0" xfId="94" applyFont="1" applyFill="1" applyBorder="1" applyAlignment="1">
      <alignment horizontal="left" indent="1"/>
    </xf>
    <xf numFmtId="164" fontId="27" fillId="16" borderId="0" xfId="94" applyNumberFormat="1" applyFont="1" applyFill="1" applyBorder="1" applyAlignment="1">
      <alignment horizontal="center"/>
    </xf>
    <xf numFmtId="164" fontId="2" fillId="20" borderId="12" xfId="112" applyNumberFormat="1" applyFont="1" applyFill="1" applyBorder="1"/>
    <xf numFmtId="164" fontId="27" fillId="16" borderId="12" xfId="94" applyNumberFormat="1" applyFont="1" applyFill="1" applyBorder="1" applyAlignment="1">
      <alignment horizontal="right"/>
    </xf>
    <xf numFmtId="164" fontId="27" fillId="0" borderId="34" xfId="94" applyNumberFormat="1" applyFont="1" applyBorder="1" applyAlignment="1">
      <alignment horizontal="right"/>
    </xf>
    <xf numFmtId="3" fontId="27" fillId="0" borderId="0" xfId="94" applyNumberFormat="1" applyFont="1" applyBorder="1"/>
    <xf numFmtId="0" fontId="24" fillId="0" borderId="0" xfId="94" applyFont="1" applyBorder="1" applyAlignment="1">
      <alignment horizontal="left"/>
    </xf>
    <xf numFmtId="3" fontId="14" fillId="0" borderId="0" xfId="94" applyNumberFormat="1" applyFont="1" applyBorder="1"/>
    <xf numFmtId="38" fontId="14" fillId="0" borderId="0" xfId="94" applyNumberFormat="1" applyFont="1" applyFill="1" applyBorder="1"/>
    <xf numFmtId="38" fontId="14" fillId="0" borderId="12" xfId="94" applyNumberFormat="1" applyFont="1" applyFill="1" applyBorder="1"/>
    <xf numFmtId="1" fontId="14" fillId="0" borderId="0" xfId="94" applyNumberFormat="1" applyFont="1" applyFill="1" applyBorder="1"/>
    <xf numFmtId="167" fontId="69" fillId="0" borderId="0" xfId="57" applyNumberFormat="1" applyFont="1" applyFill="1"/>
    <xf numFmtId="37" fontId="27" fillId="18" borderId="0" xfId="94" applyNumberFormat="1" applyFont="1" applyFill="1" applyBorder="1"/>
    <xf numFmtId="0" fontId="1" fillId="24" borderId="12" xfId="94" applyFont="1" applyFill="1" applyBorder="1" applyAlignment="1"/>
    <xf numFmtId="0" fontId="1" fillId="24" borderId="0" xfId="94" applyFont="1" applyFill="1" applyBorder="1" applyAlignment="1"/>
    <xf numFmtId="37" fontId="14" fillId="0" borderId="12" xfId="3" applyNumberFormat="1" applyFont="1" applyBorder="1"/>
    <xf numFmtId="3" fontId="0" fillId="0" borderId="0" xfId="0" applyNumberFormat="1" applyAlignment="1">
      <alignment horizontal="left" indent="1"/>
    </xf>
    <xf numFmtId="3" fontId="0" fillId="24" borderId="0" xfId="0" applyNumberFormat="1" applyFill="1" applyAlignment="1">
      <alignment horizontal="right"/>
    </xf>
    <xf numFmtId="3" fontId="0" fillId="0" borderId="0" xfId="0" applyNumberFormat="1" applyAlignment="1">
      <alignment horizontal="right"/>
    </xf>
    <xf numFmtId="164" fontId="0" fillId="0" borderId="0" xfId="0" applyNumberFormat="1" applyAlignment="1">
      <alignment horizontal="right"/>
    </xf>
    <xf numFmtId="9" fontId="0" fillId="0" borderId="0" xfId="0" applyNumberFormat="1" applyAlignment="1">
      <alignment horizontal="right"/>
    </xf>
    <xf numFmtId="165" fontId="0" fillId="0" borderId="0" xfId="0" applyNumberFormat="1" applyAlignment="1">
      <alignment horizontal="right"/>
    </xf>
    <xf numFmtId="0" fontId="0" fillId="0" borderId="0" xfId="0" applyAlignment="1">
      <alignment horizontal="right"/>
    </xf>
    <xf numFmtId="3" fontId="9" fillId="0" borderId="0" xfId="0" applyNumberFormat="1" applyFont="1" applyAlignment="1">
      <alignment horizontal="right"/>
    </xf>
    <xf numFmtId="165" fontId="9" fillId="0" borderId="0" xfId="0" applyNumberFormat="1" applyFont="1" applyAlignment="1">
      <alignment horizontal="right"/>
    </xf>
    <xf numFmtId="164" fontId="9" fillId="0" borderId="0" xfId="0" applyNumberFormat="1" applyFont="1" applyAlignment="1">
      <alignment horizontal="right"/>
    </xf>
    <xf numFmtId="0" fontId="24" fillId="0" borderId="0" xfId="0" applyFont="1" applyAlignment="1">
      <alignment horizontal="right"/>
    </xf>
    <xf numFmtId="3" fontId="24" fillId="0" borderId="0" xfId="0" applyNumberFormat="1" applyFont="1" applyAlignment="1">
      <alignment horizontal="right"/>
    </xf>
    <xf numFmtId="3" fontId="0" fillId="17" borderId="0" xfId="0" applyNumberFormat="1" applyFill="1"/>
    <xf numFmtId="0" fontId="0" fillId="17" borderId="0" xfId="0" applyFill="1"/>
    <xf numFmtId="3" fontId="46" fillId="17" borderId="0" xfId="0" applyNumberFormat="1" applyFont="1" applyFill="1"/>
    <xf numFmtId="37" fontId="0" fillId="0" borderId="0" xfId="0" applyNumberFormat="1" applyAlignment="1">
      <alignment horizontal="right"/>
    </xf>
    <xf numFmtId="165" fontId="14" fillId="0" borderId="0" xfId="94" applyNumberFormat="1" applyFont="1" applyFill="1" applyBorder="1"/>
    <xf numFmtId="9" fontId="2" fillId="0" borderId="0" xfId="94" applyNumberFormat="1" applyFont="1" applyFill="1"/>
    <xf numFmtId="0" fontId="46" fillId="23" borderId="0" xfId="94" applyFont="1" applyFill="1" applyBorder="1" applyAlignment="1">
      <alignment horizontal="center"/>
    </xf>
    <xf numFmtId="0" fontId="66" fillId="0" borderId="0" xfId="94" applyFont="1" applyBorder="1"/>
    <xf numFmtId="3" fontId="66" fillId="0" borderId="0" xfId="94" applyNumberFormat="1" applyFont="1" applyBorder="1"/>
    <xf numFmtId="37" fontId="66" fillId="0" borderId="0" xfId="94" applyNumberFormat="1" applyFont="1" applyBorder="1"/>
    <xf numFmtId="37" fontId="66" fillId="0" borderId="14" xfId="94" applyNumberFormat="1" applyFont="1" applyBorder="1"/>
    <xf numFmtId="3" fontId="66" fillId="0" borderId="12" xfId="94" applyNumberFormat="1" applyFont="1" applyBorder="1"/>
    <xf numFmtId="3" fontId="66" fillId="0" borderId="14" xfId="94" applyNumberFormat="1" applyFont="1" applyBorder="1"/>
    <xf numFmtId="0" fontId="66" fillId="0" borderId="0" xfId="94" applyFont="1" applyBorder="1" applyAlignment="1">
      <alignment horizontal="left" indent="1"/>
    </xf>
    <xf numFmtId="164" fontId="66" fillId="0" borderId="0" xfId="94" applyNumberFormat="1" applyFont="1" applyBorder="1"/>
    <xf numFmtId="164" fontId="66" fillId="0" borderId="14" xfId="94" applyNumberFormat="1" applyFont="1" applyBorder="1"/>
    <xf numFmtId="164" fontId="66" fillId="0" borderId="12" xfId="94" applyNumberFormat="1" applyFont="1" applyBorder="1"/>
    <xf numFmtId="164" fontId="66" fillId="16" borderId="14" xfId="94" applyNumberFormat="1" applyFont="1" applyFill="1" applyBorder="1"/>
    <xf numFmtId="164" fontId="66" fillId="0" borderId="0" xfId="94" applyNumberFormat="1" applyFont="1" applyFill="1" applyBorder="1"/>
    <xf numFmtId="164" fontId="66" fillId="0" borderId="12" xfId="94" applyNumberFormat="1" applyFont="1" applyFill="1" applyBorder="1"/>
    <xf numFmtId="3" fontId="66" fillId="0" borderId="0" xfId="94" applyNumberFormat="1" applyFont="1" applyFill="1" applyBorder="1"/>
    <xf numFmtId="3" fontId="66" fillId="0" borderId="12" xfId="94" applyNumberFormat="1" applyFont="1" applyFill="1" applyBorder="1"/>
    <xf numFmtId="3" fontId="68" fillId="0" borderId="0" xfId="94" applyNumberFormat="1" applyFont="1" applyBorder="1"/>
    <xf numFmtId="3" fontId="68" fillId="0" borderId="14" xfId="94" applyNumberFormat="1" applyFont="1" applyBorder="1"/>
    <xf numFmtId="37" fontId="66" fillId="0" borderId="12" xfId="94" applyNumberFormat="1" applyFont="1" applyBorder="1"/>
    <xf numFmtId="164" fontId="27" fillId="0" borderId="12" xfId="94" applyNumberFormat="1" applyFont="1" applyBorder="1" applyAlignment="1">
      <alignment horizontal="right"/>
    </xf>
    <xf numFmtId="164" fontId="42" fillId="22" borderId="0" xfId="94" applyNumberFormat="1" applyFont="1" applyFill="1" applyAlignment="1">
      <alignment horizontal="center"/>
    </xf>
    <xf numFmtId="164" fontId="27" fillId="17" borderId="12" xfId="94" applyNumberFormat="1" applyFont="1" applyFill="1" applyBorder="1" applyAlignment="1">
      <alignment horizontal="right"/>
    </xf>
    <xf numFmtId="164" fontId="27" fillId="17" borderId="0" xfId="94" applyNumberFormat="1" applyFont="1" applyFill="1" applyBorder="1" applyAlignment="1">
      <alignment horizontal="center"/>
    </xf>
    <xf numFmtId="164" fontId="2" fillId="20" borderId="0" xfId="112" applyNumberFormat="1" applyFont="1" applyFill="1" applyBorder="1"/>
    <xf numFmtId="37" fontId="23" fillId="0" borderId="12" xfId="3" applyNumberFormat="1" applyFont="1" applyBorder="1"/>
    <xf numFmtId="164" fontId="14" fillId="0" borderId="0" xfId="94" applyNumberFormat="1" applyFont="1" applyBorder="1" applyAlignment="1">
      <alignment horizontal="right"/>
    </xf>
    <xf numFmtId="3" fontId="23" fillId="0" borderId="20" xfId="94" applyNumberFormat="1" applyFont="1" applyBorder="1"/>
    <xf numFmtId="3" fontId="23" fillId="0" borderId="0" xfId="94" applyNumberFormat="1" applyFont="1" applyBorder="1"/>
    <xf numFmtId="3" fontId="23" fillId="0" borderId="12" xfId="94" applyNumberFormat="1" applyFont="1" applyBorder="1"/>
    <xf numFmtId="3" fontId="69" fillId="0" borderId="0" xfId="94" applyNumberFormat="1" applyFont="1" applyBorder="1"/>
    <xf numFmtId="37" fontId="9" fillId="0" borderId="12" xfId="3" applyNumberFormat="1" applyFont="1" applyBorder="1"/>
    <xf numFmtId="0" fontId="0" fillId="18" borderId="0" xfId="0" applyFill="1" applyBorder="1"/>
    <xf numFmtId="164" fontId="14" fillId="0" borderId="0" xfId="0" applyNumberFormat="1" applyFont="1" applyBorder="1"/>
    <xf numFmtId="10" fontId="80" fillId="0" borderId="0" xfId="99" applyNumberFormat="1" applyFont="1"/>
    <xf numFmtId="170" fontId="2" fillId="0" borderId="0" xfId="94" applyNumberFormat="1" applyFont="1"/>
    <xf numFmtId="0" fontId="22" fillId="0" borderId="0" xfId="0" applyFont="1"/>
    <xf numFmtId="37" fontId="23" fillId="0" borderId="0" xfId="94" applyNumberFormat="1" applyFont="1" applyBorder="1"/>
    <xf numFmtId="3" fontId="1" fillId="0" borderId="0" xfId="94" applyNumberFormat="1" applyFont="1" applyFill="1" applyBorder="1"/>
    <xf numFmtId="38" fontId="60" fillId="0" borderId="12" xfId="94" applyNumberFormat="1" applyFont="1" applyFill="1" applyBorder="1"/>
    <xf numFmtId="38" fontId="60" fillId="0" borderId="0" xfId="94" applyNumberFormat="1" applyFont="1" applyFill="1" applyBorder="1"/>
    <xf numFmtId="0" fontId="1" fillId="24" borderId="28" xfId="94" applyFont="1" applyFill="1" applyBorder="1"/>
    <xf numFmtId="0" fontId="1" fillId="24" borderId="35" xfId="94" applyFont="1" applyFill="1" applyBorder="1"/>
    <xf numFmtId="0" fontId="27" fillId="0" borderId="0" xfId="94" applyFont="1" applyFill="1" applyBorder="1"/>
    <xf numFmtId="0" fontId="25" fillId="22" borderId="12" xfId="94" applyFont="1" applyFill="1" applyBorder="1"/>
    <xf numFmtId="9" fontId="1" fillId="18" borderId="12" xfId="94" applyNumberFormat="1" applyFont="1" applyFill="1" applyBorder="1" applyAlignment="1">
      <alignment horizontal="right"/>
    </xf>
    <xf numFmtId="9" fontId="1" fillId="18" borderId="0" xfId="94" applyNumberFormat="1" applyFont="1" applyFill="1" applyBorder="1" applyAlignment="1">
      <alignment horizontal="right"/>
    </xf>
    <xf numFmtId="37" fontId="23" fillId="17" borderId="0" xfId="57" applyNumberFormat="1" applyFont="1" applyFill="1"/>
    <xf numFmtId="37" fontId="27" fillId="0" borderId="0" xfId="94" applyNumberFormat="1" applyFont="1" applyBorder="1"/>
    <xf numFmtId="37" fontId="27" fillId="0" borderId="12" xfId="94" applyNumberFormat="1" applyFont="1" applyBorder="1"/>
    <xf numFmtId="0" fontId="1" fillId="17" borderId="0" xfId="94" applyFont="1" applyFill="1" applyBorder="1"/>
    <xf numFmtId="0" fontId="9" fillId="17" borderId="0" xfId="0" applyFont="1" applyFill="1" applyBorder="1"/>
    <xf numFmtId="2" fontId="9" fillId="24" borderId="15" xfId="94" applyNumberFormat="1" applyFont="1" applyFill="1" applyBorder="1"/>
    <xf numFmtId="2" fontId="9" fillId="24" borderId="22" xfId="94" applyNumberFormat="1" applyFont="1" applyFill="1" applyBorder="1"/>
    <xf numFmtId="0" fontId="93" fillId="17" borderId="0" xfId="94" applyFont="1" applyFill="1" applyBorder="1"/>
    <xf numFmtId="0" fontId="92" fillId="17" borderId="0" xfId="125" applyFont="1" applyFill="1" applyAlignment="1" applyProtection="1">
      <protection locked="0"/>
    </xf>
    <xf numFmtId="0" fontId="93" fillId="17" borderId="0" xfId="125" applyFont="1" applyFill="1" applyAlignment="1" applyProtection="1">
      <protection locked="0"/>
    </xf>
    <xf numFmtId="0" fontId="104" fillId="17" borderId="0" xfId="125" applyFont="1" applyFill="1" applyAlignment="1" applyProtection="1">
      <protection locked="0"/>
    </xf>
    <xf numFmtId="0" fontId="93" fillId="17" borderId="14" xfId="94" applyFont="1" applyFill="1" applyBorder="1"/>
    <xf numFmtId="37" fontId="93" fillId="17" borderId="0" xfId="94" applyNumberFormat="1" applyFont="1" applyFill="1" applyBorder="1"/>
    <xf numFmtId="37" fontId="93" fillId="17" borderId="14" xfId="94" applyNumberFormat="1" applyFont="1" applyFill="1" applyBorder="1"/>
    <xf numFmtId="37" fontId="93" fillId="17" borderId="0" xfId="3" applyNumberFormat="1" applyFont="1" applyFill="1" applyBorder="1"/>
    <xf numFmtId="9" fontId="93" fillId="17" borderId="0" xfId="3" applyNumberFormat="1" applyFont="1" applyFill="1" applyBorder="1"/>
    <xf numFmtId="164" fontId="93" fillId="17" borderId="14" xfId="112" applyNumberFormat="1" applyFont="1" applyFill="1" applyBorder="1"/>
    <xf numFmtId="9" fontId="93" fillId="17" borderId="14" xfId="112" applyFont="1" applyFill="1" applyBorder="1"/>
    <xf numFmtId="167" fontId="93" fillId="17" borderId="0" xfId="3" applyNumberFormat="1" applyFont="1" applyFill="1" applyBorder="1"/>
    <xf numFmtId="167" fontId="93" fillId="17" borderId="14" xfId="3" applyNumberFormat="1" applyFont="1" applyFill="1" applyBorder="1"/>
    <xf numFmtId="37" fontId="93" fillId="17" borderId="14" xfId="3" applyNumberFormat="1" applyFont="1" applyFill="1" applyBorder="1"/>
    <xf numFmtId="9" fontId="93" fillId="17" borderId="12" xfId="94" applyNumberFormat="1" applyFont="1" applyFill="1" applyBorder="1"/>
    <xf numFmtId="0" fontId="93" fillId="17" borderId="12" xfId="94" applyFont="1" applyFill="1" applyBorder="1"/>
    <xf numFmtId="37" fontId="93" fillId="17" borderId="12" xfId="94" applyNumberFormat="1" applyFont="1" applyFill="1" applyBorder="1"/>
    <xf numFmtId="37" fontId="93" fillId="17" borderId="12" xfId="3" applyNumberFormat="1" applyFont="1" applyFill="1" applyBorder="1"/>
    <xf numFmtId="164" fontId="93" fillId="17" borderId="12" xfId="94" applyNumberFormat="1" applyFont="1" applyFill="1" applyBorder="1"/>
    <xf numFmtId="164" fontId="93" fillId="17" borderId="0" xfId="94" applyNumberFormat="1" applyFont="1" applyFill="1"/>
    <xf numFmtId="164" fontId="93" fillId="17" borderId="12" xfId="112" applyNumberFormat="1" applyFont="1" applyFill="1" applyBorder="1"/>
    <xf numFmtId="9" fontId="93" fillId="17" borderId="12" xfId="112" applyFont="1" applyFill="1" applyBorder="1"/>
    <xf numFmtId="9" fontId="93" fillId="17" borderId="0" xfId="112" applyFont="1" applyFill="1" applyBorder="1"/>
    <xf numFmtId="167" fontId="93" fillId="17" borderId="12" xfId="3" applyNumberFormat="1" applyFont="1" applyFill="1" applyBorder="1"/>
    <xf numFmtId="165" fontId="93" fillId="17" borderId="12" xfId="94" applyNumberFormat="1" applyFont="1" applyFill="1" applyBorder="1"/>
    <xf numFmtId="165" fontId="93" fillId="17" borderId="14" xfId="94" applyNumberFormat="1" applyFont="1" applyFill="1" applyBorder="1"/>
    <xf numFmtId="165" fontId="93" fillId="17" borderId="0" xfId="94" applyNumberFormat="1" applyFont="1" applyFill="1" applyBorder="1"/>
    <xf numFmtId="165" fontId="92" fillId="17" borderId="12" xfId="94" applyNumberFormat="1" applyFont="1" applyFill="1" applyBorder="1"/>
    <xf numFmtId="165" fontId="92" fillId="17" borderId="14" xfId="94" applyNumberFormat="1" applyFont="1" applyFill="1" applyBorder="1"/>
    <xf numFmtId="165" fontId="92" fillId="17" borderId="0" xfId="94" applyNumberFormat="1" applyFont="1" applyFill="1" applyBorder="1"/>
    <xf numFmtId="173" fontId="93" fillId="17" borderId="0" xfId="94" applyNumberFormat="1" applyFont="1" applyFill="1" applyBorder="1"/>
    <xf numFmtId="173" fontId="93" fillId="17" borderId="12" xfId="94" applyNumberFormat="1" applyFont="1" applyFill="1" applyBorder="1"/>
    <xf numFmtId="173" fontId="92" fillId="17" borderId="0" xfId="94" applyNumberFormat="1" applyFont="1" applyFill="1" applyBorder="1"/>
    <xf numFmtId="173" fontId="92" fillId="17" borderId="12" xfId="94" applyNumberFormat="1" applyFont="1" applyFill="1" applyBorder="1"/>
    <xf numFmtId="164" fontId="92" fillId="17" borderId="12" xfId="94" applyNumberFormat="1" applyFont="1" applyFill="1" applyBorder="1"/>
    <xf numFmtId="164" fontId="93" fillId="17" borderId="12" xfId="112" applyNumberFormat="1" applyFont="1" applyFill="1" applyBorder="1" applyAlignment="1">
      <alignment horizontal="right"/>
    </xf>
    <xf numFmtId="164" fontId="93" fillId="17" borderId="0" xfId="112" applyNumberFormat="1" applyFont="1" applyFill="1" applyBorder="1" applyAlignment="1">
      <alignment horizontal="right"/>
    </xf>
    <xf numFmtId="164" fontId="93" fillId="17" borderId="14" xfId="94" applyNumberFormat="1" applyFont="1" applyFill="1" applyBorder="1"/>
    <xf numFmtId="173" fontId="93" fillId="17" borderId="14" xfId="94" applyNumberFormat="1" applyFont="1" applyFill="1" applyBorder="1"/>
    <xf numFmtId="173" fontId="92" fillId="17" borderId="14" xfId="94" applyNumberFormat="1" applyFont="1" applyFill="1" applyBorder="1"/>
    <xf numFmtId="164" fontId="92" fillId="17" borderId="14" xfId="94" applyNumberFormat="1" applyFont="1" applyFill="1" applyBorder="1"/>
    <xf numFmtId="164" fontId="93" fillId="17" borderId="14" xfId="112" applyNumberFormat="1" applyFont="1" applyFill="1" applyBorder="1" applyAlignment="1">
      <alignment horizontal="right"/>
    </xf>
    <xf numFmtId="3" fontId="93" fillId="17" borderId="12" xfId="94" applyNumberFormat="1" applyFont="1" applyFill="1" applyBorder="1"/>
    <xf numFmtId="0" fontId="92" fillId="17" borderId="12" xfId="94" applyFont="1" applyFill="1" applyBorder="1"/>
    <xf numFmtId="1" fontId="0" fillId="0" borderId="0" xfId="0" applyNumberFormat="1" applyBorder="1"/>
    <xf numFmtId="164" fontId="93" fillId="17" borderId="0" xfId="112" applyNumberFormat="1" applyFont="1" applyFill="1" applyBorder="1"/>
    <xf numFmtId="167" fontId="93" fillId="17" borderId="0" xfId="57" applyNumberFormat="1" applyFont="1" applyFill="1" applyBorder="1"/>
    <xf numFmtId="0" fontId="93" fillId="0" borderId="0" xfId="0" applyFont="1" applyFill="1"/>
    <xf numFmtId="164" fontId="93" fillId="17" borderId="0" xfId="94" applyNumberFormat="1" applyFont="1" applyFill="1" applyBorder="1"/>
    <xf numFmtId="0" fontId="92" fillId="17" borderId="0" xfId="0" applyFont="1" applyFill="1"/>
    <xf numFmtId="0" fontId="93" fillId="17" borderId="0" xfId="0" applyFont="1" applyFill="1"/>
    <xf numFmtId="0" fontId="93" fillId="17" borderId="0" xfId="0" applyFont="1" applyFill="1" applyBorder="1"/>
    <xf numFmtId="0" fontId="93" fillId="17" borderId="14" xfId="0" applyFont="1" applyFill="1" applyBorder="1"/>
    <xf numFmtId="0" fontId="93" fillId="17" borderId="12" xfId="0" applyFont="1" applyFill="1" applyBorder="1"/>
    <xf numFmtId="167" fontId="93" fillId="17" borderId="0" xfId="0" applyNumberFormat="1" applyFont="1" applyFill="1"/>
    <xf numFmtId="167" fontId="93" fillId="17" borderId="12" xfId="0" applyNumberFormat="1" applyFont="1" applyFill="1" applyBorder="1"/>
    <xf numFmtId="0" fontId="92" fillId="17" borderId="0" xfId="0" applyFont="1" applyFill="1" applyBorder="1"/>
    <xf numFmtId="0" fontId="92" fillId="17" borderId="14" xfId="0" applyFont="1" applyFill="1" applyBorder="1"/>
    <xf numFmtId="167" fontId="92" fillId="17" borderId="0" xfId="0" applyNumberFormat="1" applyFont="1" applyFill="1"/>
    <xf numFmtId="167" fontId="92" fillId="17" borderId="12" xfId="0" applyNumberFormat="1" applyFont="1" applyFill="1" applyBorder="1"/>
    <xf numFmtId="164" fontId="93" fillId="17" borderId="12" xfId="0" applyNumberFormat="1" applyFont="1" applyFill="1" applyBorder="1"/>
    <xf numFmtId="164" fontId="93" fillId="17" borderId="0" xfId="0" applyNumberFormat="1" applyFont="1" applyFill="1"/>
    <xf numFmtId="164" fontId="92" fillId="17" borderId="12" xfId="0" applyNumberFormat="1" applyFont="1" applyFill="1" applyBorder="1"/>
    <xf numFmtId="164" fontId="92" fillId="17" borderId="0" xfId="0" applyNumberFormat="1" applyFont="1" applyFill="1"/>
    <xf numFmtId="37" fontId="0" fillId="0" borderId="0" xfId="0" applyNumberFormat="1" applyBorder="1"/>
    <xf numFmtId="1" fontId="9" fillId="0" borderId="12" xfId="0" applyNumberFormat="1" applyFont="1" applyBorder="1"/>
    <xf numFmtId="0" fontId="92" fillId="0" borderId="0" xfId="0" applyFont="1" applyFill="1"/>
    <xf numFmtId="7" fontId="25" fillId="0" borderId="0" xfId="94" applyNumberFormat="1" applyFont="1" applyFill="1" applyBorder="1"/>
    <xf numFmtId="37" fontId="2" fillId="0" borderId="18" xfId="94" applyNumberFormat="1" applyFont="1" applyBorder="1"/>
    <xf numFmtId="37" fontId="2" fillId="0" borderId="19" xfId="94" applyNumberFormat="1" applyFont="1" applyBorder="1"/>
    <xf numFmtId="38" fontId="14" fillId="0" borderId="14" xfId="94" applyNumberFormat="1" applyFont="1" applyFill="1" applyBorder="1"/>
    <xf numFmtId="0" fontId="27" fillId="0" borderId="0" xfId="94" applyFont="1"/>
    <xf numFmtId="0" fontId="27" fillId="0" borderId="0" xfId="94" applyFont="1" applyBorder="1"/>
    <xf numFmtId="3" fontId="27" fillId="0" borderId="0" xfId="94" applyNumberFormat="1" applyFont="1"/>
    <xf numFmtId="42" fontId="2" fillId="0" borderId="0" xfId="94" applyNumberFormat="1" applyFont="1" applyBorder="1"/>
    <xf numFmtId="3" fontId="1" fillId="0" borderId="22" xfId="94" applyNumberFormat="1" applyFont="1" applyBorder="1"/>
    <xf numFmtId="164" fontId="66" fillId="0" borderId="14" xfId="94" applyNumberFormat="1" applyFont="1" applyFill="1" applyBorder="1"/>
    <xf numFmtId="3" fontId="66" fillId="0" borderId="14" xfId="94" applyNumberFormat="1" applyFont="1" applyFill="1" applyBorder="1"/>
    <xf numFmtId="164" fontId="1" fillId="0" borderId="33" xfId="94" applyNumberFormat="1" applyFont="1" applyFill="1" applyBorder="1"/>
    <xf numFmtId="38" fontId="93" fillId="17" borderId="0" xfId="94" applyNumberFormat="1" applyFont="1" applyFill="1" applyBorder="1"/>
    <xf numFmtId="38" fontId="93" fillId="17" borderId="14" xfId="94" applyNumberFormat="1" applyFont="1" applyFill="1" applyBorder="1"/>
    <xf numFmtId="0" fontId="93" fillId="0" borderId="0" xfId="94" applyFont="1" applyFill="1" applyBorder="1"/>
    <xf numFmtId="3" fontId="93" fillId="17" borderId="0" xfId="94" applyNumberFormat="1" applyFont="1" applyFill="1" applyBorder="1"/>
    <xf numFmtId="0" fontId="92" fillId="18" borderId="20" xfId="99" applyFont="1" applyFill="1" applyBorder="1" applyAlignment="1" applyProtection="1"/>
    <xf numFmtId="0" fontId="93" fillId="18" borderId="15" xfId="99" applyFont="1" applyFill="1" applyBorder="1"/>
    <xf numFmtId="4" fontId="93" fillId="18" borderId="15" xfId="99" applyNumberFormat="1" applyFont="1" applyFill="1" applyBorder="1"/>
    <xf numFmtId="0" fontId="93" fillId="18" borderId="15" xfId="94" applyFont="1" applyFill="1" applyBorder="1"/>
    <xf numFmtId="43" fontId="93" fillId="18" borderId="12" xfId="99" applyNumberFormat="1" applyFont="1" applyFill="1" applyBorder="1"/>
    <xf numFmtId="0" fontId="93" fillId="18" borderId="0" xfId="99" applyFont="1" applyFill="1" applyBorder="1"/>
    <xf numFmtId="3" fontId="92" fillId="18" borderId="0" xfId="99" applyNumberFormat="1" applyFont="1" applyFill="1" applyBorder="1"/>
    <xf numFmtId="3" fontId="93" fillId="18" borderId="0" xfId="99" applyNumberFormat="1" applyFont="1" applyFill="1" applyBorder="1"/>
    <xf numFmtId="43" fontId="93" fillId="18" borderId="34" xfId="99" applyNumberFormat="1" applyFont="1" applyFill="1" applyBorder="1"/>
    <xf numFmtId="167" fontId="93" fillId="18" borderId="0" xfId="99" applyNumberFormat="1" applyFont="1" applyFill="1" applyBorder="1"/>
    <xf numFmtId="0" fontId="93" fillId="18" borderId="12" xfId="57" applyNumberFormat="1" applyFont="1" applyFill="1" applyBorder="1"/>
    <xf numFmtId="37" fontId="93" fillId="18" borderId="0" xfId="99" applyNumberFormat="1" applyFont="1" applyFill="1" applyBorder="1"/>
    <xf numFmtId="37" fontId="60" fillId="0" borderId="0" xfId="94" applyNumberFormat="1" applyFont="1" applyFill="1" applyBorder="1"/>
    <xf numFmtId="37" fontId="23" fillId="0" borderId="0" xfId="94" applyNumberFormat="1" applyFont="1" applyFill="1" applyBorder="1"/>
    <xf numFmtId="0" fontId="105" fillId="0" borderId="0" xfId="94" applyFont="1" applyBorder="1"/>
    <xf numFmtId="0" fontId="66" fillId="0" borderId="14" xfId="94" applyFont="1" applyBorder="1"/>
    <xf numFmtId="0" fontId="66" fillId="0" borderId="20" xfId="94" applyFont="1" applyBorder="1"/>
    <xf numFmtId="0" fontId="66" fillId="0" borderId="15" xfId="94" applyFont="1" applyBorder="1"/>
    <xf numFmtId="0" fontId="66" fillId="0" borderId="19" xfId="94" applyFont="1" applyBorder="1"/>
    <xf numFmtId="0" fontId="66" fillId="0" borderId="20" xfId="94" applyFont="1" applyFill="1" applyBorder="1"/>
    <xf numFmtId="0" fontId="66" fillId="0" borderId="15" xfId="94" applyFont="1" applyFill="1" applyBorder="1"/>
    <xf numFmtId="0" fontId="66" fillId="0" borderId="19" xfId="94" applyFont="1" applyFill="1" applyBorder="1"/>
    <xf numFmtId="0" fontId="67" fillId="0" borderId="0" xfId="94" applyFont="1" applyBorder="1"/>
    <xf numFmtId="172" fontId="66" fillId="0" borderId="0" xfId="94" applyNumberFormat="1" applyFont="1" applyFill="1" applyBorder="1"/>
    <xf numFmtId="3" fontId="67" fillId="0" borderId="0" xfId="94" applyNumberFormat="1" applyFont="1" applyBorder="1"/>
    <xf numFmtId="0" fontId="66" fillId="0" borderId="12" xfId="94" applyFont="1" applyBorder="1"/>
    <xf numFmtId="9" fontId="66" fillId="0" borderId="0" xfId="94" applyNumberFormat="1" applyFont="1" applyBorder="1"/>
    <xf numFmtId="0" fontId="66" fillId="0" borderId="12" xfId="94" applyFont="1" applyFill="1" applyBorder="1"/>
    <xf numFmtId="37" fontId="14" fillId="18" borderId="12" xfId="94" applyNumberFormat="1" applyFont="1" applyFill="1" applyBorder="1"/>
    <xf numFmtId="164" fontId="92" fillId="17" borderId="0" xfId="94" applyNumberFormat="1" applyFont="1" applyFill="1" applyBorder="1"/>
    <xf numFmtId="37" fontId="9" fillId="0" borderId="0" xfId="3" applyNumberFormat="1" applyFont="1" applyBorder="1"/>
    <xf numFmtId="37" fontId="23" fillId="0" borderId="0" xfId="3" applyNumberFormat="1" applyFont="1" applyBorder="1"/>
    <xf numFmtId="167" fontId="93" fillId="17" borderId="0" xfId="0" applyNumberFormat="1" applyFont="1" applyFill="1" applyBorder="1"/>
    <xf numFmtId="167" fontId="92" fillId="17" borderId="0" xfId="0" applyNumberFormat="1" applyFont="1" applyFill="1" applyBorder="1"/>
    <xf numFmtId="164" fontId="93" fillId="17" borderId="0" xfId="0" applyNumberFormat="1" applyFont="1" applyFill="1" applyBorder="1"/>
    <xf numFmtId="164" fontId="92" fillId="17" borderId="0" xfId="0" applyNumberFormat="1" applyFont="1" applyFill="1" applyBorder="1"/>
    <xf numFmtId="3" fontId="23" fillId="0" borderId="14" xfId="94" applyNumberFormat="1" applyFont="1" applyBorder="1"/>
    <xf numFmtId="37" fontId="27" fillId="18" borderId="14" xfId="94" applyNumberFormat="1" applyFont="1" applyFill="1" applyBorder="1"/>
    <xf numFmtId="37" fontId="14" fillId="18" borderId="14" xfId="94" applyNumberFormat="1" applyFont="1" applyFill="1" applyBorder="1"/>
    <xf numFmtId="9" fontId="1" fillId="18" borderId="14" xfId="94" applyNumberFormat="1" applyFont="1" applyFill="1" applyBorder="1" applyAlignment="1">
      <alignment horizontal="right"/>
    </xf>
    <xf numFmtId="37" fontId="23" fillId="0" borderId="14" xfId="94" applyNumberFormat="1" applyFont="1" applyFill="1" applyBorder="1"/>
    <xf numFmtId="3" fontId="14" fillId="0" borderId="14" xfId="94" applyNumberFormat="1" applyFont="1" applyFill="1" applyBorder="1"/>
    <xf numFmtId="37" fontId="23" fillId="0" borderId="12" xfId="3" applyNumberFormat="1" applyFont="1" applyFill="1" applyBorder="1"/>
    <xf numFmtId="37" fontId="23" fillId="0" borderId="14" xfId="3" applyNumberFormat="1" applyFont="1" applyFill="1" applyBorder="1"/>
    <xf numFmtId="37" fontId="23" fillId="0" borderId="0" xfId="3" applyNumberFormat="1" applyFont="1" applyFill="1" applyBorder="1"/>
    <xf numFmtId="164" fontId="14" fillId="0" borderId="14" xfId="3" applyNumberFormat="1" applyFont="1" applyFill="1" applyBorder="1"/>
    <xf numFmtId="164" fontId="14" fillId="0" borderId="14" xfId="0" applyNumberFormat="1" applyFont="1" applyFill="1" applyBorder="1"/>
    <xf numFmtId="1" fontId="9" fillId="0" borderId="12" xfId="0" applyNumberFormat="1" applyFont="1" applyFill="1" applyBorder="1"/>
    <xf numFmtId="37" fontId="14" fillId="0" borderId="12" xfId="3" applyNumberFormat="1" applyFont="1" applyFill="1" applyBorder="1"/>
    <xf numFmtId="164" fontId="9" fillId="0" borderId="12" xfId="3" applyNumberFormat="1" applyFont="1" applyFill="1" applyBorder="1"/>
    <xf numFmtId="0" fontId="9" fillId="0" borderId="12" xfId="0" applyFont="1" applyFill="1" applyBorder="1"/>
    <xf numFmtId="0" fontId="23" fillId="0" borderId="0" xfId="0" applyFont="1" applyFill="1" applyBorder="1"/>
    <xf numFmtId="167" fontId="69" fillId="18" borderId="0" xfId="57" applyNumberFormat="1" applyFont="1" applyFill="1" applyBorder="1"/>
    <xf numFmtId="37" fontId="69" fillId="0" borderId="12" xfId="3" applyNumberFormat="1" applyFont="1" applyFill="1" applyBorder="1"/>
    <xf numFmtId="0" fontId="14" fillId="0" borderId="0" xfId="94" applyFont="1" applyFill="1" applyBorder="1"/>
    <xf numFmtId="3" fontId="14" fillId="0" borderId="12" xfId="94" applyNumberFormat="1" applyFont="1" applyFill="1" applyBorder="1"/>
    <xf numFmtId="3" fontId="60" fillId="0" borderId="0" xfId="94" applyNumberFormat="1" applyFont="1" applyFill="1" applyBorder="1"/>
    <xf numFmtId="0" fontId="73" fillId="0" borderId="0" xfId="0" applyFont="1" applyFill="1"/>
    <xf numFmtId="0" fontId="73" fillId="0" borderId="0" xfId="0" applyFont="1" applyFill="1" applyBorder="1"/>
    <xf numFmtId="1" fontId="9" fillId="0" borderId="0" xfId="0" applyNumberFormat="1" applyFont="1" applyBorder="1"/>
    <xf numFmtId="37" fontId="14" fillId="0" borderId="0" xfId="3" applyNumberFormat="1" applyFont="1" applyBorder="1"/>
    <xf numFmtId="49" fontId="9" fillId="0" borderId="12" xfId="104" applyNumberFormat="1" applyFont="1" applyBorder="1" applyAlignment="1">
      <alignment horizontal="left" indent="2"/>
    </xf>
    <xf numFmtId="0" fontId="9" fillId="18" borderId="12" xfId="0" applyFont="1" applyFill="1" applyBorder="1"/>
    <xf numFmtId="0" fontId="9" fillId="0" borderId="12" xfId="0" applyFont="1" applyFill="1" applyBorder="1" applyAlignment="1">
      <alignment horizontal="left" indent="1"/>
    </xf>
    <xf numFmtId="1" fontId="9" fillId="0" borderId="0" xfId="0" applyNumberFormat="1" applyFont="1" applyFill="1" applyBorder="1"/>
    <xf numFmtId="164" fontId="14" fillId="0" borderId="0" xfId="3" applyNumberFormat="1" applyFont="1" applyFill="1" applyBorder="1"/>
    <xf numFmtId="37" fontId="14" fillId="0" borderId="0" xfId="3" applyNumberFormat="1" applyFont="1" applyFill="1" applyBorder="1"/>
    <xf numFmtId="49" fontId="9" fillId="0" borderId="12" xfId="104" applyNumberFormat="1" applyFont="1" applyFill="1" applyBorder="1" applyAlignment="1">
      <alignment horizontal="left"/>
    </xf>
    <xf numFmtId="164" fontId="9" fillId="0" borderId="0" xfId="3" applyNumberFormat="1" applyFont="1" applyFill="1" applyBorder="1"/>
    <xf numFmtId="0" fontId="9" fillId="18" borderId="34" xfId="0" applyFont="1" applyFill="1" applyBorder="1"/>
    <xf numFmtId="3" fontId="1" fillId="0" borderId="0" xfId="0" applyNumberFormat="1" applyFont="1" applyFill="1" applyBorder="1"/>
    <xf numFmtId="0" fontId="0" fillId="0" borderId="0" xfId="0"/>
    <xf numFmtId="0" fontId="2" fillId="17" borderId="0" xfId="94" applyFont="1" applyFill="1" applyBorder="1"/>
    <xf numFmtId="167" fontId="0" fillId="0" borderId="0" xfId="57" applyNumberFormat="1" applyFont="1" applyBorder="1"/>
    <xf numFmtId="167" fontId="0" fillId="0" borderId="0" xfId="57" applyNumberFormat="1" applyFont="1" applyFill="1" applyBorder="1"/>
    <xf numFmtId="0" fontId="7" fillId="0" borderId="0" xfId="0" applyFont="1" applyBorder="1"/>
    <xf numFmtId="0" fontId="0" fillId="0" borderId="0" xfId="0" applyAlignment="1">
      <alignment wrapText="1"/>
    </xf>
    <xf numFmtId="0" fontId="0" fillId="0" borderId="0" xfId="0" applyBorder="1" applyAlignment="1">
      <alignment wrapText="1"/>
    </xf>
    <xf numFmtId="0" fontId="0" fillId="0" borderId="0" xfId="0" applyBorder="1" applyAlignment="1">
      <alignment horizontal="center"/>
    </xf>
    <xf numFmtId="0" fontId="0" fillId="0" borderId="0" xfId="0" applyBorder="1" applyAlignment="1">
      <alignment horizontal="center" wrapText="1"/>
    </xf>
    <xf numFmtId="43" fontId="0" fillId="0" borderId="0" xfId="57" applyFont="1" applyBorder="1" applyAlignment="1">
      <alignment horizontal="center" wrapText="1"/>
    </xf>
    <xf numFmtId="0" fontId="7" fillId="0" borderId="0" xfId="0" applyFont="1" applyAlignment="1">
      <alignment horizontal="left"/>
    </xf>
    <xf numFmtId="168" fontId="0" fillId="0" borderId="0" xfId="0" applyNumberFormat="1" applyBorder="1" applyAlignment="1">
      <alignment horizontal="center"/>
    </xf>
    <xf numFmtId="168" fontId="0" fillId="0" borderId="0" xfId="57" applyNumberFormat="1" applyFont="1" applyBorder="1" applyAlignment="1">
      <alignment horizontal="center"/>
    </xf>
    <xf numFmtId="168" fontId="0" fillId="0" borderId="0" xfId="57" applyNumberFormat="1" applyFont="1" applyFill="1" applyBorder="1" applyAlignment="1">
      <alignment horizontal="center"/>
    </xf>
    <xf numFmtId="0" fontId="0" fillId="0" borderId="0" xfId="0" applyFill="1" applyBorder="1" applyAlignment="1">
      <alignment horizontal="center"/>
    </xf>
    <xf numFmtId="38" fontId="2" fillId="0" borderId="22" xfId="94" applyNumberFormat="1" applyFont="1" applyBorder="1"/>
    <xf numFmtId="38" fontId="2" fillId="0" borderId="33" xfId="94" applyNumberFormat="1" applyFont="1" applyBorder="1"/>
    <xf numFmtId="164" fontId="9" fillId="0" borderId="0" xfId="3" applyNumberFormat="1" applyFont="1" applyBorder="1"/>
    <xf numFmtId="0" fontId="9" fillId="24" borderId="20" xfId="0" applyFont="1" applyFill="1" applyBorder="1"/>
    <xf numFmtId="167" fontId="14" fillId="0" borderId="0" xfId="57" applyNumberFormat="1" applyFont="1" applyBorder="1"/>
    <xf numFmtId="0" fontId="2" fillId="17" borderId="14" xfId="94" applyFont="1" applyFill="1" applyBorder="1"/>
    <xf numFmtId="38" fontId="14" fillId="0" borderId="0" xfId="94" applyNumberFormat="1" applyFont="1" applyBorder="1"/>
    <xf numFmtId="38" fontId="14" fillId="0" borderId="14" xfId="94" applyNumberFormat="1" applyFont="1" applyBorder="1"/>
    <xf numFmtId="38" fontId="9" fillId="17" borderId="28" xfId="94" applyNumberFormat="1" applyFont="1" applyFill="1" applyBorder="1"/>
    <xf numFmtId="38" fontId="9" fillId="17" borderId="35" xfId="94" applyNumberFormat="1" applyFont="1" applyFill="1" applyBorder="1"/>
    <xf numFmtId="49" fontId="9" fillId="24" borderId="0" xfId="94" applyNumberFormat="1" applyFont="1" applyFill="1" applyBorder="1" applyAlignment="1">
      <alignment horizontal="left"/>
    </xf>
    <xf numFmtId="49" fontId="25" fillId="24" borderId="0" xfId="94" applyNumberFormat="1" applyFont="1" applyFill="1" applyBorder="1" applyAlignment="1">
      <alignment horizontal="right"/>
    </xf>
    <xf numFmtId="0" fontId="0" fillId="24" borderId="0" xfId="0" applyFill="1"/>
    <xf numFmtId="0" fontId="0" fillId="24" borderId="0" xfId="0" applyFill="1" applyBorder="1"/>
    <xf numFmtId="3" fontId="14" fillId="0" borderId="34" xfId="94" applyNumberFormat="1" applyFont="1" applyBorder="1"/>
    <xf numFmtId="3" fontId="14" fillId="0" borderId="22" xfId="94" applyNumberFormat="1" applyFont="1" applyBorder="1"/>
    <xf numFmtId="3" fontId="14" fillId="0" borderId="33" xfId="94" applyNumberFormat="1" applyFont="1" applyBorder="1"/>
    <xf numFmtId="0" fontId="9" fillId="18" borderId="20" xfId="0" applyFont="1" applyFill="1" applyBorder="1"/>
    <xf numFmtId="0" fontId="9" fillId="0" borderId="12" xfId="0" applyFont="1" applyBorder="1" applyAlignment="1">
      <alignment horizontal="left" indent="1"/>
    </xf>
    <xf numFmtId="0" fontId="9" fillId="0" borderId="34" xfId="0" applyFont="1" applyBorder="1" applyAlignment="1">
      <alignment horizontal="left" indent="1"/>
    </xf>
    <xf numFmtId="164" fontId="9" fillId="0" borderId="22" xfId="3" applyNumberFormat="1" applyFont="1" applyBorder="1"/>
    <xf numFmtId="167" fontId="14" fillId="0" borderId="12" xfId="57" applyNumberFormat="1" applyFont="1" applyBorder="1"/>
    <xf numFmtId="0" fontId="9" fillId="24" borderId="0" xfId="0" applyFont="1" applyFill="1" applyBorder="1" applyAlignment="1"/>
    <xf numFmtId="164" fontId="14" fillId="24" borderId="0" xfId="0" applyNumberFormat="1" applyFont="1" applyFill="1" applyBorder="1"/>
    <xf numFmtId="167" fontId="14" fillId="0" borderId="14" xfId="57" applyNumberFormat="1" applyFont="1" applyBorder="1"/>
    <xf numFmtId="167" fontId="14" fillId="0" borderId="33" xfId="57" applyNumberFormat="1" applyFont="1" applyBorder="1"/>
    <xf numFmtId="167" fontId="60" fillId="0" borderId="0" xfId="57" applyNumberFormat="1" applyFont="1" applyFill="1" applyBorder="1"/>
    <xf numFmtId="167" fontId="60" fillId="0" borderId="14" xfId="57" applyNumberFormat="1" applyFont="1" applyFill="1" applyBorder="1"/>
    <xf numFmtId="167" fontId="69" fillId="0" borderId="0" xfId="57" applyNumberFormat="1" applyFont="1" applyFill="1" applyBorder="1"/>
    <xf numFmtId="164" fontId="27" fillId="0" borderId="14" xfId="94" applyNumberFormat="1" applyFont="1" applyBorder="1" applyAlignment="1">
      <alignment horizontal="right"/>
    </xf>
    <xf numFmtId="167" fontId="69" fillId="0" borderId="14" xfId="57" applyNumberFormat="1" applyFont="1" applyFill="1" applyBorder="1"/>
    <xf numFmtId="37" fontId="9" fillId="18" borderId="12" xfId="94" applyNumberFormat="1" applyFont="1" applyFill="1" applyBorder="1"/>
    <xf numFmtId="37" fontId="9" fillId="18" borderId="0" xfId="94" applyNumberFormat="1" applyFont="1" applyFill="1" applyBorder="1"/>
    <xf numFmtId="3" fontId="9" fillId="0" borderId="19" xfId="94" applyNumberFormat="1" applyFont="1" applyFill="1" applyBorder="1"/>
    <xf numFmtId="0" fontId="24" fillId="18" borderId="0" xfId="94" applyFont="1" applyFill="1" applyBorder="1" applyAlignment="1">
      <alignment horizontal="left" indent="1"/>
    </xf>
    <xf numFmtId="3" fontId="24" fillId="18" borderId="0" xfId="94" applyNumberFormat="1" applyFont="1" applyFill="1" applyBorder="1"/>
    <xf numFmtId="164" fontId="24" fillId="18" borderId="0" xfId="94" applyNumberFormat="1" applyFont="1" applyFill="1" applyBorder="1"/>
    <xf numFmtId="3" fontId="40" fillId="18" borderId="0" xfId="94" applyNumberFormat="1" applyFont="1" applyFill="1" applyBorder="1"/>
    <xf numFmtId="37" fontId="40" fillId="18" borderId="0" xfId="94" applyNumberFormat="1" applyFont="1" applyFill="1" applyBorder="1"/>
    <xf numFmtId="38" fontId="24" fillId="18" borderId="0" xfId="94" applyNumberFormat="1" applyFont="1" applyFill="1" applyBorder="1"/>
    <xf numFmtId="38" fontId="24" fillId="18" borderId="14" xfId="94" applyNumberFormat="1" applyFont="1" applyFill="1" applyBorder="1"/>
    <xf numFmtId="164" fontId="24" fillId="18" borderId="0" xfId="94" applyNumberFormat="1" applyFont="1" applyFill="1"/>
    <xf numFmtId="164" fontId="24" fillId="18" borderId="14" xfId="94" applyNumberFormat="1" applyFont="1" applyFill="1" applyBorder="1"/>
    <xf numFmtId="3" fontId="40" fillId="18" borderId="12" xfId="94" applyNumberFormat="1" applyFont="1" applyFill="1" applyBorder="1"/>
    <xf numFmtId="37" fontId="40" fillId="18" borderId="12" xfId="94" applyNumberFormat="1" applyFont="1" applyFill="1" applyBorder="1"/>
    <xf numFmtId="37" fontId="40" fillId="18" borderId="14" xfId="94" applyNumberFormat="1" applyFont="1" applyFill="1" applyBorder="1"/>
    <xf numFmtId="43" fontId="2" fillId="0" borderId="0" xfId="57" applyFont="1" applyBorder="1"/>
    <xf numFmtId="167" fontId="60" fillId="0" borderId="12" xfId="57" applyNumberFormat="1" applyFont="1" applyFill="1" applyBorder="1"/>
    <xf numFmtId="0" fontId="73" fillId="23" borderId="0" xfId="94" applyFont="1" applyFill="1" applyBorder="1"/>
    <xf numFmtId="0" fontId="73" fillId="23" borderId="14" xfId="94" applyFont="1" applyFill="1" applyBorder="1"/>
    <xf numFmtId="0" fontId="73" fillId="23" borderId="12" xfId="94" applyFont="1" applyFill="1" applyBorder="1"/>
    <xf numFmtId="0" fontId="73" fillId="0" borderId="0" xfId="0" applyFont="1"/>
    <xf numFmtId="167" fontId="101" fillId="0" borderId="0" xfId="57" applyNumberFormat="1" applyFont="1" applyFill="1" applyBorder="1"/>
    <xf numFmtId="3" fontId="101" fillId="0" borderId="0" xfId="94" applyNumberFormat="1" applyFont="1" applyBorder="1"/>
    <xf numFmtId="3" fontId="101" fillId="0" borderId="14" xfId="94" applyNumberFormat="1" applyFont="1" applyBorder="1"/>
    <xf numFmtId="0" fontId="101" fillId="0" borderId="12" xfId="94" applyFont="1" applyBorder="1"/>
    <xf numFmtId="3" fontId="101" fillId="0" borderId="12" xfId="94" applyNumberFormat="1" applyFont="1" applyBorder="1"/>
    <xf numFmtId="164" fontId="73" fillId="0" borderId="0" xfId="94" applyNumberFormat="1" applyFont="1" applyBorder="1"/>
    <xf numFmtId="164" fontId="73" fillId="0" borderId="14" xfId="94" applyNumberFormat="1" applyFont="1" applyBorder="1"/>
    <xf numFmtId="0" fontId="73" fillId="0" borderId="12" xfId="94" applyFont="1" applyBorder="1"/>
    <xf numFmtId="0" fontId="73" fillId="0" borderId="0" xfId="94" applyFont="1" applyBorder="1"/>
    <xf numFmtId="164" fontId="73" fillId="0" borderId="12" xfId="94" applyNumberFormat="1" applyFont="1" applyBorder="1"/>
    <xf numFmtId="9" fontId="73" fillId="0" borderId="0" xfId="112" applyFont="1" applyFill="1" applyBorder="1"/>
    <xf numFmtId="164" fontId="73" fillId="0" borderId="0" xfId="112" applyNumberFormat="1" applyFont="1" applyFill="1" applyBorder="1"/>
    <xf numFmtId="164" fontId="73" fillId="0" borderId="0" xfId="94" applyNumberFormat="1" applyFont="1" applyFill="1" applyBorder="1" applyAlignment="1">
      <alignment horizontal="right"/>
    </xf>
    <xf numFmtId="164" fontId="73" fillId="0" borderId="14" xfId="112" applyNumberFormat="1" applyFont="1" applyFill="1" applyBorder="1"/>
    <xf numFmtId="0" fontId="73" fillId="0" borderId="12" xfId="94" applyFont="1" applyFill="1" applyBorder="1"/>
    <xf numFmtId="167" fontId="73" fillId="0" borderId="0" xfId="57" applyNumberFormat="1" applyFont="1" applyFill="1" applyBorder="1"/>
    <xf numFmtId="167" fontId="73" fillId="0" borderId="14" xfId="57" applyNumberFormat="1" applyFont="1" applyFill="1" applyBorder="1"/>
    <xf numFmtId="164" fontId="73" fillId="0" borderId="12" xfId="112" applyNumberFormat="1" applyFont="1" applyFill="1" applyBorder="1"/>
    <xf numFmtId="166" fontId="73" fillId="0" borderId="0" xfId="94" applyNumberFormat="1" applyFont="1" applyBorder="1"/>
    <xf numFmtId="166" fontId="73" fillId="0" borderId="14" xfId="94" applyNumberFormat="1" applyFont="1" applyBorder="1"/>
    <xf numFmtId="166" fontId="73" fillId="0" borderId="12" xfId="94" applyNumberFormat="1" applyFont="1" applyBorder="1"/>
    <xf numFmtId="0" fontId="73" fillId="0" borderId="14" xfId="94" applyFont="1" applyBorder="1"/>
    <xf numFmtId="164" fontId="73" fillId="0" borderId="14" xfId="94" applyNumberFormat="1" applyFont="1" applyFill="1" applyBorder="1"/>
    <xf numFmtId="164" fontId="73" fillId="0" borderId="0" xfId="94" applyNumberFormat="1" applyFont="1" applyFill="1" applyBorder="1"/>
    <xf numFmtId="0" fontId="73" fillId="0" borderId="22" xfId="94" applyFont="1" applyBorder="1"/>
    <xf numFmtId="0" fontId="73" fillId="0" borderId="33" xfId="94" applyFont="1" applyBorder="1"/>
    <xf numFmtId="0" fontId="73" fillId="0" borderId="0" xfId="94" applyFont="1" applyFill="1" applyBorder="1"/>
    <xf numFmtId="0" fontId="73" fillId="0" borderId="34" xfId="94" applyFont="1" applyBorder="1"/>
    <xf numFmtId="164" fontId="73" fillId="0" borderId="22" xfId="112" applyNumberFormat="1" applyFont="1" applyFill="1" applyBorder="1"/>
    <xf numFmtId="164" fontId="73" fillId="0" borderId="33" xfId="112" applyNumberFormat="1" applyFont="1" applyFill="1" applyBorder="1"/>
    <xf numFmtId="164" fontId="73" fillId="0" borderId="34" xfId="112" applyNumberFormat="1" applyFont="1" applyFill="1" applyBorder="1"/>
    <xf numFmtId="167" fontId="101" fillId="0" borderId="14" xfId="57" applyNumberFormat="1" applyFont="1" applyFill="1" applyBorder="1"/>
    <xf numFmtId="0" fontId="101" fillId="0" borderId="12" xfId="94" applyFont="1" applyFill="1" applyBorder="1"/>
    <xf numFmtId="167" fontId="101" fillId="0" borderId="12" xfId="57" applyNumberFormat="1" applyFont="1" applyFill="1" applyBorder="1"/>
    <xf numFmtId="167" fontId="73" fillId="0" borderId="12" xfId="57" applyNumberFormat="1" applyFont="1" applyFill="1" applyBorder="1"/>
    <xf numFmtId="166" fontId="73" fillId="0" borderId="0" xfId="57" applyNumberFormat="1" applyFont="1" applyFill="1" applyBorder="1"/>
    <xf numFmtId="166" fontId="73" fillId="0" borderId="14" xfId="57" applyNumberFormat="1" applyFont="1" applyFill="1" applyBorder="1"/>
    <xf numFmtId="7" fontId="73" fillId="0" borderId="14" xfId="94" applyNumberFormat="1" applyFont="1" applyFill="1" applyBorder="1"/>
    <xf numFmtId="7" fontId="73" fillId="0" borderId="12" xfId="94" applyNumberFormat="1" applyFont="1" applyFill="1" applyBorder="1"/>
    <xf numFmtId="7" fontId="73" fillId="0" borderId="0" xfId="94" applyNumberFormat="1" applyFont="1" applyFill="1" applyBorder="1"/>
    <xf numFmtId="0" fontId="73" fillId="0" borderId="0" xfId="112" applyNumberFormat="1" applyFont="1" applyFill="1" applyBorder="1"/>
    <xf numFmtId="3" fontId="101" fillId="0" borderId="12" xfId="94" applyNumberFormat="1" applyFont="1" applyFill="1" applyBorder="1"/>
    <xf numFmtId="3" fontId="101" fillId="0" borderId="0" xfId="94" applyNumberFormat="1" applyFont="1" applyFill="1" applyBorder="1"/>
    <xf numFmtId="3" fontId="101" fillId="0" borderId="14" xfId="94" applyNumberFormat="1" applyFont="1" applyFill="1" applyBorder="1"/>
    <xf numFmtId="164" fontId="73" fillId="0" borderId="12" xfId="94" applyNumberFormat="1" applyFont="1" applyFill="1" applyBorder="1"/>
    <xf numFmtId="0" fontId="73" fillId="0" borderId="14" xfId="94" applyFont="1" applyFill="1" applyBorder="1"/>
    <xf numFmtId="10" fontId="73" fillId="0" borderId="0" xfId="94" applyNumberFormat="1" applyFont="1" applyFill="1" applyBorder="1"/>
    <xf numFmtId="44" fontId="9" fillId="0" borderId="0" xfId="63" applyFont="1" applyFill="1" applyBorder="1"/>
    <xf numFmtId="2" fontId="39" fillId="0" borderId="0" xfId="112" applyNumberFormat="1" applyFont="1" applyFill="1" applyBorder="1"/>
    <xf numFmtId="0" fontId="9" fillId="18" borderId="12" xfId="94" applyFont="1" applyFill="1" applyBorder="1"/>
    <xf numFmtId="0" fontId="27" fillId="18" borderId="12" xfId="94" applyFont="1" applyFill="1" applyBorder="1"/>
    <xf numFmtId="0" fontId="101" fillId="23" borderId="12" xfId="94" applyFont="1" applyFill="1" applyBorder="1"/>
    <xf numFmtId="0" fontId="101" fillId="0" borderId="0" xfId="94" applyFont="1" applyFill="1" applyBorder="1"/>
    <xf numFmtId="167" fontId="73" fillId="0" borderId="0" xfId="57" applyNumberFormat="1" applyFont="1" applyBorder="1"/>
    <xf numFmtId="0" fontId="101" fillId="0" borderId="0" xfId="94" applyFont="1" applyBorder="1"/>
    <xf numFmtId="167" fontId="23" fillId="17" borderId="0" xfId="3" applyNumberFormat="1" applyFont="1" applyFill="1" applyBorder="1"/>
    <xf numFmtId="167" fontId="23" fillId="17" borderId="12" xfId="3" applyNumberFormat="1" applyFont="1" applyFill="1" applyBorder="1"/>
    <xf numFmtId="0" fontId="7" fillId="24" borderId="36" xfId="94" applyFont="1" applyFill="1" applyBorder="1"/>
    <xf numFmtId="0" fontId="2" fillId="24" borderId="28" xfId="94" applyFont="1" applyFill="1" applyBorder="1"/>
    <xf numFmtId="0" fontId="2" fillId="24" borderId="35" xfId="94" applyFont="1" applyFill="1" applyBorder="1"/>
    <xf numFmtId="2" fontId="9" fillId="24" borderId="28" xfId="112" applyNumberFormat="1" applyFont="1" applyFill="1" applyBorder="1"/>
    <xf numFmtId="3" fontId="1" fillId="17" borderId="0" xfId="94" applyNumberFormat="1" applyFont="1" applyFill="1" applyBorder="1"/>
    <xf numFmtId="7" fontId="25" fillId="22" borderId="20" xfId="94" applyNumberFormat="1" applyFont="1" applyFill="1" applyBorder="1"/>
    <xf numFmtId="164" fontId="14" fillId="16" borderId="12" xfId="112" applyNumberFormat="1" applyFont="1" applyFill="1" applyBorder="1"/>
    <xf numFmtId="166" fontId="73" fillId="0" borderId="12" xfId="57" applyNumberFormat="1" applyFont="1" applyFill="1" applyBorder="1"/>
    <xf numFmtId="0" fontId="1" fillId="0" borderId="0" xfId="94" applyFont="1" applyFill="1" applyBorder="1"/>
    <xf numFmtId="0" fontId="9" fillId="24" borderId="34" xfId="94" applyFont="1" applyFill="1" applyBorder="1" applyAlignment="1"/>
    <xf numFmtId="0" fontId="9" fillId="24" borderId="22" xfId="94" applyFont="1" applyFill="1" applyBorder="1" applyAlignment="1"/>
    <xf numFmtId="0" fontId="9" fillId="24" borderId="33" xfId="94" applyFont="1" applyFill="1" applyBorder="1" applyAlignment="1"/>
    <xf numFmtId="0" fontId="9" fillId="24" borderId="36" xfId="94" applyFont="1" applyFill="1" applyBorder="1" applyAlignment="1"/>
    <xf numFmtId="0" fontId="9" fillId="24" borderId="28" xfId="94" applyFont="1" applyFill="1" applyBorder="1" applyAlignment="1"/>
    <xf numFmtId="168" fontId="0" fillId="0" borderId="0" xfId="0" applyNumberFormat="1" applyBorder="1"/>
    <xf numFmtId="10" fontId="2" fillId="0" borderId="0" xfId="112" applyNumberFormat="1" applyFont="1" applyBorder="1"/>
    <xf numFmtId="164" fontId="23" fillId="0" borderId="0" xfId="0" applyNumberFormat="1" applyFont="1" applyBorder="1"/>
    <xf numFmtId="164" fontId="23" fillId="0" borderId="22" xfId="0" applyNumberFormat="1" applyFont="1" applyBorder="1"/>
    <xf numFmtId="41" fontId="1" fillId="0" borderId="0" xfId="94" applyNumberFormat="1" applyFont="1" applyFill="1" applyBorder="1"/>
    <xf numFmtId="41" fontId="2" fillId="0" borderId="0" xfId="94" applyNumberFormat="1" applyFont="1" applyBorder="1"/>
    <xf numFmtId="37" fontId="24" fillId="15" borderId="15" xfId="94" applyNumberFormat="1" applyFont="1" applyFill="1" applyBorder="1"/>
    <xf numFmtId="43" fontId="39" fillId="0" borderId="0" xfId="57" applyFont="1" applyFill="1" applyBorder="1"/>
    <xf numFmtId="14" fontId="0" fillId="0" borderId="0" xfId="0" applyNumberFormat="1" applyBorder="1" applyAlignment="1">
      <alignment horizontal="center" wrapText="1"/>
    </xf>
    <xf numFmtId="0" fontId="7" fillId="0" borderId="0" xfId="0" applyFont="1" applyBorder="1" applyAlignment="1">
      <alignment horizontal="left"/>
    </xf>
    <xf numFmtId="38" fontId="9" fillId="17" borderId="28" xfId="94" applyNumberFormat="1" applyFont="1" applyFill="1" applyBorder="1" applyAlignment="1">
      <alignment horizontal="center"/>
    </xf>
    <xf numFmtId="167" fontId="0" fillId="18" borderId="0" xfId="57" quotePrefix="1" applyNumberFormat="1" applyFont="1" applyFill="1" applyBorder="1"/>
    <xf numFmtId="170" fontId="2" fillId="0" borderId="14" xfId="94" applyNumberFormat="1" applyFont="1" applyBorder="1"/>
    <xf numFmtId="3" fontId="14" fillId="0" borderId="22" xfId="94" applyNumberFormat="1" applyFont="1" applyFill="1" applyBorder="1"/>
    <xf numFmtId="10" fontId="2" fillId="0" borderId="14" xfId="112" applyNumberFormat="1" applyFont="1" applyBorder="1"/>
    <xf numFmtId="43" fontId="2" fillId="0" borderId="12" xfId="57" applyFont="1" applyBorder="1"/>
    <xf numFmtId="3" fontId="14" fillId="0" borderId="34" xfId="94" applyNumberFormat="1" applyFont="1" applyFill="1" applyBorder="1"/>
    <xf numFmtId="0" fontId="27" fillId="0" borderId="12" xfId="94" applyFont="1" applyBorder="1"/>
    <xf numFmtId="37" fontId="9" fillId="0" borderId="12" xfId="3" applyNumberFormat="1" applyFont="1" applyFill="1" applyBorder="1"/>
    <xf numFmtId="37" fontId="9" fillId="0" borderId="0" xfId="3" applyNumberFormat="1" applyFont="1" applyFill="1" applyBorder="1"/>
    <xf numFmtId="37" fontId="9" fillId="0" borderId="14" xfId="3" applyNumberFormat="1" applyFont="1" applyFill="1" applyBorder="1"/>
    <xf numFmtId="49" fontId="73" fillId="0" borderId="12" xfId="104" applyNumberFormat="1" applyFont="1" applyFill="1" applyBorder="1" applyAlignment="1">
      <alignment horizontal="left" indent="3"/>
    </xf>
    <xf numFmtId="0" fontId="101" fillId="17" borderId="0" xfId="0" applyFont="1" applyFill="1" applyBorder="1"/>
    <xf numFmtId="167" fontId="101" fillId="17" borderId="0" xfId="0" applyNumberFormat="1" applyFont="1" applyFill="1" applyBorder="1"/>
    <xf numFmtId="167" fontId="101" fillId="17" borderId="0" xfId="3" applyNumberFormat="1" applyFont="1" applyFill="1" applyBorder="1"/>
    <xf numFmtId="167" fontId="101" fillId="17" borderId="12" xfId="3" applyNumberFormat="1" applyFont="1" applyFill="1" applyBorder="1"/>
    <xf numFmtId="164" fontId="73" fillId="0" borderId="0" xfId="0" applyNumberFormat="1" applyFont="1" applyFill="1" applyBorder="1"/>
    <xf numFmtId="164" fontId="73" fillId="0" borderId="0" xfId="3" applyNumberFormat="1" applyFont="1" applyFill="1" applyBorder="1"/>
    <xf numFmtId="164" fontId="73" fillId="0" borderId="12" xfId="3" applyNumberFormat="1" applyFont="1" applyFill="1" applyBorder="1"/>
    <xf numFmtId="3" fontId="9" fillId="0" borderId="20" xfId="94" applyNumberFormat="1" applyFont="1" applyFill="1" applyBorder="1"/>
    <xf numFmtId="0" fontId="9" fillId="0" borderId="14" xfId="0" applyFont="1" applyFill="1" applyBorder="1"/>
    <xf numFmtId="0" fontId="2" fillId="0" borderId="12" xfId="94" applyFont="1" applyBorder="1"/>
    <xf numFmtId="4" fontId="9" fillId="0" borderId="0" xfId="112" applyNumberFormat="1" applyFont="1" applyFill="1" applyBorder="1" applyAlignment="1">
      <alignment horizontal="left"/>
    </xf>
    <xf numFmtId="44" fontId="9" fillId="0" borderId="0" xfId="63" applyFont="1" applyFill="1" applyBorder="1" applyAlignment="1">
      <alignment horizontal="left"/>
    </xf>
    <xf numFmtId="43" fontId="9" fillId="0" borderId="0" xfId="57" applyFont="1" applyFill="1" applyBorder="1" applyAlignment="1">
      <alignment horizontal="left"/>
    </xf>
    <xf numFmtId="43" fontId="9" fillId="0" borderId="0" xfId="57" applyFont="1" applyFill="1" applyBorder="1"/>
    <xf numFmtId="0" fontId="0" fillId="0" borderId="0" xfId="0" applyBorder="1"/>
    <xf numFmtId="1" fontId="24" fillId="0" borderId="14" xfId="94" applyNumberFormat="1" applyFont="1" applyBorder="1"/>
    <xf numFmtId="164" fontId="66" fillId="0" borderId="34" xfId="94" applyNumberFormat="1" applyFont="1" applyBorder="1"/>
    <xf numFmtId="3" fontId="9" fillId="0" borderId="15" xfId="94" applyNumberFormat="1" applyFont="1" applyFill="1" applyBorder="1"/>
    <xf numFmtId="170" fontId="14" fillId="0" borderId="0" xfId="94" applyNumberFormat="1" applyFont="1" applyFill="1" applyBorder="1"/>
    <xf numFmtId="3" fontId="142" fillId="0" borderId="0" xfId="94" applyNumberFormat="1" applyFont="1" applyFill="1" applyBorder="1"/>
    <xf numFmtId="3" fontId="142" fillId="0" borderId="12" xfId="94" applyNumberFormat="1" applyFont="1" applyFill="1" applyBorder="1"/>
    <xf numFmtId="7" fontId="2" fillId="0" borderId="0" xfId="94" applyNumberFormat="1" applyFont="1" applyFill="1" applyBorder="1"/>
    <xf numFmtId="164" fontId="14" fillId="0" borderId="0" xfId="3" applyNumberFormat="1" applyFont="1" applyFill="1" applyBorder="1" applyAlignment="1">
      <alignment horizontal="center"/>
    </xf>
    <xf numFmtId="164" fontId="14" fillId="0" borderId="14" xfId="3" applyNumberFormat="1" applyFont="1" applyFill="1" applyBorder="1" applyAlignment="1">
      <alignment horizontal="center"/>
    </xf>
    <xf numFmtId="37" fontId="23" fillId="0" borderId="0" xfId="0" applyNumberFormat="1" applyFont="1" applyFill="1" applyBorder="1"/>
    <xf numFmtId="37" fontId="23" fillId="0" borderId="14" xfId="0" applyNumberFormat="1" applyFont="1" applyFill="1" applyBorder="1"/>
    <xf numFmtId="49" fontId="40" fillId="0" borderId="12" xfId="104" applyNumberFormat="1" applyFont="1" applyBorder="1" applyAlignment="1">
      <alignment horizontal="left" indent="2"/>
    </xf>
    <xf numFmtId="0" fontId="40" fillId="0" borderId="0" xfId="0" applyFont="1" applyBorder="1"/>
    <xf numFmtId="37" fontId="40" fillId="0" borderId="0" xfId="0" applyNumberFormat="1" applyFont="1" applyBorder="1"/>
    <xf numFmtId="37" fontId="40" fillId="0" borderId="14" xfId="0" applyNumberFormat="1" applyFont="1" applyBorder="1"/>
    <xf numFmtId="0" fontId="40" fillId="0" borderId="14" xfId="0" applyFont="1" applyBorder="1"/>
    <xf numFmtId="1" fontId="40" fillId="0" borderId="12" xfId="0" applyNumberFormat="1" applyFont="1" applyBorder="1"/>
    <xf numFmtId="1" fontId="40" fillId="0" borderId="0" xfId="0" applyNumberFormat="1" applyFont="1" applyBorder="1"/>
    <xf numFmtId="0" fontId="40" fillId="0" borderId="12" xfId="0" applyFont="1" applyBorder="1"/>
    <xf numFmtId="1" fontId="24" fillId="0" borderId="12" xfId="94" applyNumberFormat="1" applyFont="1" applyBorder="1"/>
    <xf numFmtId="0" fontId="93" fillId="18" borderId="0" xfId="94" applyFont="1" applyFill="1" applyBorder="1"/>
    <xf numFmtId="0" fontId="93" fillId="18" borderId="0" xfId="99" applyFont="1" applyFill="1" applyBorder="1"/>
    <xf numFmtId="0" fontId="1" fillId="0" borderId="0" xfId="94" applyFont="1" applyBorder="1"/>
    <xf numFmtId="7" fontId="25" fillId="17" borderId="0" xfId="94" applyNumberFormat="1" applyFont="1" applyFill="1" applyBorder="1"/>
    <xf numFmtId="164" fontId="26" fillId="17" borderId="0" xfId="94" applyNumberFormat="1" applyFont="1" applyFill="1" applyBorder="1"/>
    <xf numFmtId="164" fontId="42" fillId="17" borderId="0" xfId="94" applyNumberFormat="1" applyFont="1" applyFill="1" applyBorder="1"/>
    <xf numFmtId="43" fontId="76" fillId="0" borderId="0" xfId="57" applyFont="1" applyFill="1"/>
    <xf numFmtId="167" fontId="0" fillId="0" borderId="0" xfId="57" applyNumberFormat="1" applyFont="1"/>
    <xf numFmtId="43" fontId="9" fillId="0" borderId="0" xfId="57" applyFont="1" applyFill="1" applyBorder="1"/>
    <xf numFmtId="49" fontId="26" fillId="17" borderId="18" xfId="94" applyNumberFormat="1" applyFont="1" applyFill="1" applyBorder="1" applyAlignment="1">
      <alignment horizontal="right"/>
    </xf>
    <xf numFmtId="49" fontId="26" fillId="17" borderId="17" xfId="94" applyNumberFormat="1" applyFont="1" applyFill="1" applyBorder="1" applyAlignment="1">
      <alignment horizontal="right"/>
    </xf>
    <xf numFmtId="164" fontId="66" fillId="0" borderId="12" xfId="112" applyNumberFormat="1" applyFont="1" applyBorder="1"/>
    <xf numFmtId="164" fontId="1" fillId="0" borderId="12" xfId="112" applyNumberFormat="1" applyFont="1" applyBorder="1" applyAlignment="1">
      <alignment horizontal="center"/>
    </xf>
    <xf numFmtId="0" fontId="93" fillId="0" borderId="12" xfId="94" applyFont="1" applyBorder="1"/>
    <xf numFmtId="164" fontId="1" fillId="0" borderId="12" xfId="112" applyNumberFormat="1" applyFont="1" applyFill="1" applyBorder="1" applyAlignment="1">
      <alignment horizontal="center"/>
    </xf>
    <xf numFmtId="0" fontId="24" fillId="0" borderId="12" xfId="94" applyFont="1" applyBorder="1"/>
    <xf numFmtId="0" fontId="47" fillId="0" borderId="12" xfId="94" applyFont="1" applyFill="1" applyBorder="1"/>
    <xf numFmtId="0" fontId="2" fillId="0" borderId="12" xfId="94" applyFont="1" applyFill="1" applyBorder="1"/>
    <xf numFmtId="49" fontId="25" fillId="17" borderId="18" xfId="94" applyNumberFormat="1" applyFont="1" applyFill="1" applyBorder="1" applyAlignment="1">
      <alignment horizontal="right"/>
    </xf>
    <xf numFmtId="49" fontId="25" fillId="17" borderId="17" xfId="94" applyNumberFormat="1" applyFont="1" applyFill="1" applyBorder="1" applyAlignment="1">
      <alignment horizontal="right"/>
    </xf>
    <xf numFmtId="37" fontId="14" fillId="0" borderId="0" xfId="112" applyNumberFormat="1" applyFont="1" applyBorder="1"/>
    <xf numFmtId="37" fontId="9" fillId="0" borderId="33" xfId="57" applyNumberFormat="1" applyFont="1" applyBorder="1"/>
    <xf numFmtId="37" fontId="9" fillId="0" borderId="22" xfId="57" applyNumberFormat="1" applyFont="1" applyBorder="1"/>
    <xf numFmtId="167" fontId="143" fillId="0" borderId="0" xfId="57" applyNumberFormat="1" applyFont="1"/>
    <xf numFmtId="167" fontId="143" fillId="0" borderId="0" xfId="57" applyNumberFormat="1" applyFont="1" applyFill="1" applyBorder="1"/>
    <xf numFmtId="10" fontId="142" fillId="0" borderId="0" xfId="112" applyNumberFormat="1" applyFont="1" applyFill="1" applyBorder="1"/>
    <xf numFmtId="4" fontId="142" fillId="0" borderId="0" xfId="112" applyNumberFormat="1" applyFont="1" applyFill="1" applyBorder="1"/>
    <xf numFmtId="3" fontId="144" fillId="0" borderId="0" xfId="94" applyNumberFormat="1" applyFont="1" applyFill="1"/>
    <xf numFmtId="44" fontId="143" fillId="0" borderId="0" xfId="63" applyFont="1" applyFill="1" applyBorder="1"/>
    <xf numFmtId="43" fontId="143" fillId="0" borderId="0" xfId="57" applyFont="1" applyFill="1"/>
    <xf numFmtId="3" fontId="23" fillId="0" borderId="0" xfId="94" applyNumberFormat="1" applyFont="1" applyFill="1" applyBorder="1"/>
    <xf numFmtId="37" fontId="9" fillId="15" borderId="12" xfId="3" applyNumberFormat="1" applyFont="1" applyFill="1" applyBorder="1"/>
    <xf numFmtId="37" fontId="23" fillId="15" borderId="12" xfId="3" applyNumberFormat="1" applyFont="1" applyFill="1" applyBorder="1"/>
    <xf numFmtId="37" fontId="23" fillId="15" borderId="0" xfId="3" applyNumberFormat="1" applyFont="1" applyFill="1" applyBorder="1"/>
    <xf numFmtId="37" fontId="23" fillId="15" borderId="14" xfId="3" applyNumberFormat="1" applyFont="1" applyFill="1" applyBorder="1"/>
    <xf numFmtId="37" fontId="9" fillId="15" borderId="0" xfId="0" applyNumberFormat="1" applyFont="1" applyFill="1" applyBorder="1"/>
    <xf numFmtId="0" fontId="149" fillId="0" borderId="0" xfId="92" applyFont="1"/>
    <xf numFmtId="0" fontId="145" fillId="0" borderId="0" xfId="92"/>
    <xf numFmtId="0" fontId="149" fillId="0" borderId="0" xfId="92" applyFont="1" applyBorder="1"/>
    <xf numFmtId="0" fontId="145" fillId="0" borderId="0" xfId="92" applyBorder="1"/>
    <xf numFmtId="0" fontId="149" fillId="0" borderId="0" xfId="92" applyFont="1" applyFill="1" applyBorder="1" applyAlignment="1">
      <alignment vertical="center" wrapText="1"/>
    </xf>
    <xf numFmtId="167" fontId="149" fillId="0" borderId="20" xfId="57" applyNumberFormat="1" applyFont="1" applyBorder="1" applyAlignment="1">
      <alignment horizontal="left"/>
    </xf>
    <xf numFmtId="0" fontId="145" fillId="0" borderId="15" xfId="92" applyBorder="1"/>
    <xf numFmtId="0" fontId="145" fillId="0" borderId="15" xfId="92" applyBorder="1" applyAlignment="1">
      <alignment horizontal="center"/>
    </xf>
    <xf numFmtId="167" fontId="149" fillId="0" borderId="34" xfId="57" applyNumberFormat="1" applyFont="1" applyBorder="1" applyAlignment="1">
      <alignment horizontal="left"/>
    </xf>
    <xf numFmtId="0" fontId="145" fillId="0" borderId="22" xfId="92" applyBorder="1"/>
    <xf numFmtId="167" fontId="149" fillId="0" borderId="22" xfId="57" applyNumberFormat="1" applyFont="1" applyFill="1" applyBorder="1" applyAlignment="1">
      <alignment horizontal="center"/>
    </xf>
    <xf numFmtId="38" fontId="149" fillId="0" borderId="22" xfId="92" applyNumberFormat="1" applyFont="1" applyFill="1" applyBorder="1" applyAlignment="1">
      <alignment horizontal="center"/>
    </xf>
    <xf numFmtId="38" fontId="145" fillId="0" borderId="22" xfId="92" applyNumberFormat="1" applyBorder="1" applyAlignment="1">
      <alignment horizontal="center"/>
    </xf>
    <xf numFmtId="167" fontId="152" fillId="0" borderId="0" xfId="57" applyNumberFormat="1" applyFont="1" applyAlignment="1">
      <alignment horizontal="left"/>
    </xf>
    <xf numFmtId="167" fontId="145" fillId="0" borderId="0" xfId="57" applyNumberFormat="1" applyFont="1"/>
    <xf numFmtId="0" fontId="150" fillId="0" borderId="22" xfId="92" applyFont="1" applyBorder="1" applyAlignment="1">
      <alignment wrapText="1"/>
    </xf>
    <xf numFmtId="0" fontId="153" fillId="0" borderId="22" xfId="92" applyFont="1" applyBorder="1" applyAlignment="1"/>
    <xf numFmtId="167" fontId="152" fillId="0" borderId="20" xfId="57" applyNumberFormat="1" applyFont="1" applyBorder="1" applyAlignment="1">
      <alignment horizontal="left"/>
    </xf>
    <xf numFmtId="0" fontId="145" fillId="0" borderId="15" xfId="92" applyBorder="1" applyAlignment="1">
      <alignment horizontal="right"/>
    </xf>
    <xf numFmtId="0" fontId="145" fillId="0" borderId="15" xfId="92" applyFont="1" applyBorder="1" applyAlignment="1">
      <alignment horizontal="right"/>
    </xf>
    <xf numFmtId="0" fontId="145" fillId="0" borderId="19" xfId="92" applyFont="1" applyBorder="1" applyAlignment="1">
      <alignment horizontal="right"/>
    </xf>
    <xf numFmtId="3" fontId="145" fillId="0" borderId="34" xfId="92" applyNumberFormat="1" applyBorder="1"/>
    <xf numFmtId="0" fontId="154" fillId="26" borderId="22" xfId="92" applyFont="1" applyFill="1" applyBorder="1" applyAlignment="1">
      <alignment horizontal="left"/>
    </xf>
    <xf numFmtId="0" fontId="154" fillId="26" borderId="22" xfId="92" applyFont="1" applyFill="1" applyBorder="1" applyAlignment="1">
      <alignment horizontal="center"/>
    </xf>
    <xf numFmtId="0" fontId="152" fillId="0" borderId="0" xfId="92" applyFont="1"/>
    <xf numFmtId="10" fontId="152" fillId="0" borderId="0" xfId="112" applyNumberFormat="1" applyFont="1" applyAlignment="1">
      <alignment horizontal="center"/>
    </xf>
    <xf numFmtId="0" fontId="149" fillId="0" borderId="0" xfId="92" applyFont="1" applyBorder="1" applyAlignment="1">
      <alignment horizontal="center"/>
    </xf>
    <xf numFmtId="3" fontId="145" fillId="0" borderId="0" xfId="92" applyNumberFormat="1"/>
    <xf numFmtId="38" fontId="145" fillId="0" borderId="0" xfId="92" applyNumberFormat="1" applyAlignment="1">
      <alignment horizontal="center"/>
    </xf>
    <xf numFmtId="8" fontId="145" fillId="0" borderId="0" xfId="92" applyNumberFormat="1"/>
    <xf numFmtId="38" fontId="145" fillId="20" borderId="48" xfId="92" applyNumberFormat="1" applyFill="1" applyBorder="1" applyAlignment="1">
      <alignment horizontal="center"/>
    </xf>
    <xf numFmtId="3" fontId="155" fillId="0" borderId="0" xfId="92" applyNumberFormat="1" applyFont="1"/>
    <xf numFmtId="0" fontId="150" fillId="0" borderId="22" xfId="92" applyFont="1" applyBorder="1" applyAlignment="1"/>
    <xf numFmtId="0" fontId="145" fillId="0" borderId="0" xfId="92" applyAlignment="1"/>
    <xf numFmtId="8" fontId="145" fillId="0" borderId="0" xfId="92" applyNumberFormat="1" applyAlignment="1"/>
    <xf numFmtId="0" fontId="149" fillId="0" borderId="20" xfId="92" applyFont="1" applyBorder="1" applyAlignment="1">
      <alignment horizontal="center"/>
    </xf>
    <xf numFmtId="0" fontId="156" fillId="0" borderId="15" xfId="92" applyFont="1" applyBorder="1" applyAlignment="1">
      <alignment horizontal="right"/>
    </xf>
    <xf numFmtId="0" fontId="156" fillId="0" borderId="15" xfId="92" applyFont="1" applyFill="1" applyBorder="1" applyAlignment="1">
      <alignment horizontal="right"/>
    </xf>
    <xf numFmtId="0" fontId="156" fillId="0" borderId="19" xfId="92" applyFont="1" applyFill="1" applyBorder="1" applyAlignment="1">
      <alignment horizontal="right"/>
    </xf>
    <xf numFmtId="38" fontId="155" fillId="15" borderId="27" xfId="92" applyNumberFormat="1" applyFont="1" applyFill="1" applyBorder="1" applyAlignment="1">
      <alignment horizontal="center"/>
    </xf>
    <xf numFmtId="0" fontId="149" fillId="0" borderId="0" xfId="92" applyFont="1" applyAlignment="1">
      <alignment horizontal="center"/>
    </xf>
    <xf numFmtId="0" fontId="156" fillId="0" borderId="34" xfId="92" applyFont="1" applyBorder="1" applyAlignment="1">
      <alignment horizontal="left"/>
    </xf>
    <xf numFmtId="37" fontId="151" fillId="17" borderId="22" xfId="92" applyNumberFormat="1" applyFont="1" applyFill="1" applyBorder="1" applyAlignment="1">
      <alignment horizontal="right"/>
    </xf>
    <xf numFmtId="37" fontId="151" fillId="17" borderId="33" xfId="92" applyNumberFormat="1" applyFont="1" applyFill="1" applyBorder="1" applyAlignment="1">
      <alignment horizontal="right"/>
    </xf>
    <xf numFmtId="0" fontId="149" fillId="0" borderId="0" xfId="92" applyFont="1" applyBorder="1" applyAlignment="1">
      <alignment horizontal="right"/>
    </xf>
    <xf numFmtId="0" fontId="149" fillId="0" borderId="0" xfId="92" applyFont="1" applyFill="1" applyBorder="1" applyAlignment="1">
      <alignment horizontal="right"/>
    </xf>
    <xf numFmtId="37" fontId="156" fillId="0" borderId="0" xfId="92" applyNumberFormat="1" applyFont="1" applyBorder="1" applyAlignment="1">
      <alignment horizontal="right"/>
    </xf>
    <xf numFmtId="37" fontId="145" fillId="0" borderId="0" xfId="92" applyNumberFormat="1" applyBorder="1" applyAlignment="1">
      <alignment horizontal="right"/>
    </xf>
    <xf numFmtId="37" fontId="145" fillId="0" borderId="0" xfId="92" applyNumberFormat="1"/>
    <xf numFmtId="37" fontId="157" fillId="0" borderId="0" xfId="92" applyNumberFormat="1" applyFont="1" applyAlignment="1">
      <alignment horizontal="right"/>
    </xf>
    <xf numFmtId="37" fontId="145" fillId="0" borderId="0" xfId="92" applyNumberFormat="1" applyAlignment="1">
      <alignment horizontal="right"/>
    </xf>
    <xf numFmtId="0" fontId="149" fillId="0" borderId="36" xfId="92" applyFont="1" applyBorder="1"/>
    <xf numFmtId="37" fontId="149" fillId="0" borderId="28" xfId="92" applyNumberFormat="1" applyFont="1" applyBorder="1" applyAlignment="1">
      <alignment horizontal="right"/>
    </xf>
    <xf numFmtId="37" fontId="149" fillId="0" borderId="35" xfId="92" applyNumberFormat="1" applyFont="1" applyBorder="1" applyAlignment="1">
      <alignment horizontal="right"/>
    </xf>
    <xf numFmtId="0" fontId="145" fillId="0" borderId="36" xfId="92" applyFont="1" applyBorder="1"/>
    <xf numFmtId="37" fontId="151" fillId="17" borderId="28" xfId="92" applyNumberFormat="1" applyFont="1" applyFill="1" applyBorder="1" applyAlignment="1">
      <alignment horizontal="right"/>
    </xf>
    <xf numFmtId="37" fontId="151" fillId="17" borderId="35" xfId="92" applyNumberFormat="1" applyFont="1" applyFill="1" applyBorder="1" applyAlignment="1">
      <alignment horizontal="right"/>
    </xf>
    <xf numFmtId="37" fontId="158" fillId="0" borderId="0" xfId="92" applyNumberFormat="1" applyFont="1" applyAlignment="1">
      <alignment horizontal="right"/>
    </xf>
    <xf numFmtId="37" fontId="145" fillId="0" borderId="0" xfId="92" applyNumberFormat="1" applyFont="1" applyAlignment="1">
      <alignment horizontal="right"/>
    </xf>
    <xf numFmtId="37" fontId="156" fillId="0" borderId="0" xfId="92" applyNumberFormat="1" applyFont="1" applyAlignment="1">
      <alignment horizontal="right"/>
    </xf>
    <xf numFmtId="0" fontId="145" fillId="0" borderId="0" xfId="92" applyFont="1"/>
    <xf numFmtId="0" fontId="145" fillId="0" borderId="16" xfId="92" applyFont="1" applyBorder="1"/>
    <xf numFmtId="37" fontId="145" fillId="0" borderId="16" xfId="92" applyNumberFormat="1" applyBorder="1" applyAlignment="1">
      <alignment horizontal="right"/>
    </xf>
    <xf numFmtId="0" fontId="145" fillId="0" borderId="0" xfId="92" applyAlignment="1">
      <alignment horizontal="right"/>
    </xf>
    <xf numFmtId="0" fontId="145" fillId="15" borderId="49" xfId="92" applyFont="1" applyFill="1" applyBorder="1"/>
    <xf numFmtId="37" fontId="159" fillId="15" borderId="50" xfId="92" applyNumberFormat="1" applyFont="1" applyFill="1" applyBorder="1" applyAlignment="1">
      <alignment horizontal="right"/>
    </xf>
    <xf numFmtId="37" fontId="159" fillId="15" borderId="51" xfId="92" applyNumberFormat="1" applyFont="1" applyFill="1" applyBorder="1" applyAlignment="1">
      <alignment horizontal="right"/>
    </xf>
    <xf numFmtId="0" fontId="152" fillId="16" borderId="0" xfId="92" applyFont="1" applyFill="1" applyBorder="1"/>
    <xf numFmtId="0" fontId="145" fillId="15" borderId="52" xfId="92" applyFont="1" applyFill="1" applyBorder="1"/>
    <xf numFmtId="37" fontId="145" fillId="15" borderId="0" xfId="92" applyNumberFormat="1" applyFill="1" applyBorder="1" applyAlignment="1">
      <alignment horizontal="right"/>
    </xf>
    <xf numFmtId="37" fontId="145" fillId="15" borderId="53" xfId="92" applyNumberFormat="1" applyFill="1" applyBorder="1" applyAlignment="1">
      <alignment horizontal="right"/>
    </xf>
    <xf numFmtId="0" fontId="145" fillId="15" borderId="52" xfId="92" applyFill="1" applyBorder="1"/>
    <xf numFmtId="0" fontId="145" fillId="15" borderId="0" xfId="92" applyFill="1" applyBorder="1"/>
    <xf numFmtId="0" fontId="145" fillId="15" borderId="53" xfId="92" applyFill="1" applyBorder="1"/>
    <xf numFmtId="0" fontId="152" fillId="15" borderId="54" xfId="92" applyFont="1" applyFill="1" applyBorder="1"/>
    <xf numFmtId="9" fontId="152" fillId="15" borderId="55" xfId="92" applyNumberFormat="1" applyFont="1" applyFill="1" applyBorder="1" applyAlignment="1">
      <alignment horizontal="center"/>
    </xf>
    <xf numFmtId="9" fontId="152" fillId="15" borderId="56" xfId="92" applyNumberFormat="1" applyFont="1" applyFill="1" applyBorder="1" applyAlignment="1">
      <alignment horizontal="center"/>
    </xf>
    <xf numFmtId="0" fontId="149" fillId="16" borderId="36" xfId="92" applyFont="1" applyFill="1" applyBorder="1"/>
    <xf numFmtId="0" fontId="145" fillId="16" borderId="28" xfId="92" applyFill="1" applyBorder="1"/>
    <xf numFmtId="0" fontId="149" fillId="16" borderId="28" xfId="92" applyFont="1" applyFill="1" applyBorder="1" applyAlignment="1">
      <alignment horizontal="center"/>
    </xf>
    <xf numFmtId="0" fontId="149" fillId="16" borderId="35" xfId="92" applyFont="1" applyFill="1" applyBorder="1" applyAlignment="1">
      <alignment horizontal="center"/>
    </xf>
    <xf numFmtId="0" fontId="145" fillId="16" borderId="0" xfId="92" applyFont="1" applyFill="1" applyBorder="1"/>
    <xf numFmtId="37" fontId="159" fillId="16" borderId="0" xfId="92" applyNumberFormat="1" applyFont="1" applyFill="1" applyBorder="1" applyAlignment="1">
      <alignment horizontal="right"/>
    </xf>
    <xf numFmtId="0" fontId="159" fillId="16" borderId="0" xfId="92" applyFont="1" applyFill="1" applyBorder="1" applyAlignment="1">
      <alignment horizontal="right"/>
    </xf>
    <xf numFmtId="0" fontId="145" fillId="16" borderId="57" xfId="92" applyFont="1" applyFill="1" applyBorder="1"/>
    <xf numFmtId="0" fontId="145" fillId="16" borderId="58" xfId="92" applyFill="1" applyBorder="1"/>
    <xf numFmtId="0" fontId="145" fillId="16" borderId="58" xfId="92" applyFill="1" applyBorder="1"/>
    <xf numFmtId="37" fontId="145" fillId="16" borderId="58" xfId="92" applyNumberFormat="1" applyFill="1" applyBorder="1"/>
    <xf numFmtId="37" fontId="145" fillId="16" borderId="59" xfId="92" applyNumberFormat="1" applyFill="1" applyBorder="1"/>
    <xf numFmtId="0" fontId="152" fillId="16" borderId="49" xfId="92" applyFont="1" applyFill="1" applyBorder="1"/>
    <xf numFmtId="9" fontId="152" fillId="16" borderId="50" xfId="92" applyNumberFormat="1" applyFont="1" applyFill="1" applyBorder="1" applyAlignment="1">
      <alignment horizontal="center"/>
    </xf>
    <xf numFmtId="9" fontId="152" fillId="16" borderId="51" xfId="92" applyNumberFormat="1" applyFont="1" applyFill="1" applyBorder="1" applyAlignment="1">
      <alignment horizontal="center"/>
    </xf>
    <xf numFmtId="38" fontId="145" fillId="18" borderId="0" xfId="92" applyNumberFormat="1" applyFill="1" applyAlignment="1">
      <alignment horizontal="center"/>
    </xf>
    <xf numFmtId="37" fontId="151" fillId="18" borderId="22" xfId="57" applyNumberFormat="1" applyFont="1" applyFill="1" applyBorder="1" applyAlignment="1">
      <alignment horizontal="right"/>
    </xf>
    <xf numFmtId="37" fontId="151" fillId="18" borderId="33" xfId="57" applyNumberFormat="1" applyFont="1" applyFill="1" applyBorder="1" applyAlignment="1">
      <alignment horizontal="right"/>
    </xf>
    <xf numFmtId="9" fontId="151" fillId="18" borderId="19" xfId="112" applyFont="1" applyFill="1" applyBorder="1"/>
    <xf numFmtId="9" fontId="151" fillId="18" borderId="33" xfId="112" applyFont="1" applyFill="1" applyBorder="1"/>
    <xf numFmtId="0" fontId="152" fillId="18" borderId="54" xfId="92" applyFont="1" applyFill="1" applyBorder="1"/>
    <xf numFmtId="9" fontId="152" fillId="18" borderId="55" xfId="92" applyNumberFormat="1" applyFont="1" applyFill="1" applyBorder="1" applyAlignment="1">
      <alignment horizontal="center"/>
    </xf>
    <xf numFmtId="9" fontId="152" fillId="18" borderId="56" xfId="92" applyNumberFormat="1" applyFont="1" applyFill="1" applyBorder="1" applyAlignment="1">
      <alignment horizontal="center"/>
    </xf>
    <xf numFmtId="49" fontId="149" fillId="0" borderId="0" xfId="92" applyNumberFormat="1" applyFont="1" applyAlignment="1">
      <alignment horizontal="center"/>
    </xf>
    <xf numFmtId="0" fontId="160" fillId="0" borderId="0" xfId="92" applyFont="1" applyAlignment="1">
      <alignment horizontal="left"/>
    </xf>
    <xf numFmtId="0" fontId="160" fillId="0" borderId="0" xfId="92" applyFont="1" applyAlignment="1">
      <alignment horizontal="center"/>
    </xf>
    <xf numFmtId="0" fontId="7" fillId="0" borderId="0" xfId="97" applyFont="1" applyFill="1"/>
    <xf numFmtId="0" fontId="83" fillId="0" borderId="0" xfId="137" applyFont="1" applyBorder="1"/>
    <xf numFmtId="0" fontId="161" fillId="0" borderId="0" xfId="98" applyFont="1" applyBorder="1"/>
    <xf numFmtId="170" fontId="10" fillId="16" borderId="20" xfId="96" applyNumberFormat="1" applyFont="1" applyFill="1" applyBorder="1" applyAlignment="1" applyProtection="1">
      <alignment horizontal="left"/>
    </xf>
    <xf numFmtId="0" fontId="7" fillId="16" borderId="19" xfId="96" applyFont="1" applyFill="1" applyBorder="1"/>
    <xf numFmtId="0" fontId="10" fillId="0" borderId="0" xfId="107" applyNumberFormat="1" applyFont="1" applyFill="1"/>
    <xf numFmtId="0" fontId="7" fillId="0" borderId="0" xfId="107" applyNumberFormat="1" applyFont="1" applyFill="1"/>
    <xf numFmtId="171" fontId="10" fillId="0" borderId="0" xfId="102" applyFont="1" applyBorder="1" applyAlignment="1">
      <alignment horizontal="left" wrapText="1"/>
    </xf>
    <xf numFmtId="170" fontId="7" fillId="16" borderId="34" xfId="96" applyNumberFormat="1" applyFont="1" applyFill="1" applyBorder="1" applyAlignment="1" applyProtection="1">
      <alignment horizontal="left"/>
    </xf>
    <xf numFmtId="170" fontId="7" fillId="16" borderId="22" xfId="96" applyNumberFormat="1" applyFont="1" applyFill="1" applyBorder="1" applyAlignment="1" applyProtection="1">
      <alignment horizontal="left"/>
    </xf>
    <xf numFmtId="170" fontId="7" fillId="16" borderId="33" xfId="96" applyNumberFormat="1" applyFont="1" applyFill="1" applyBorder="1" applyAlignment="1" applyProtection="1">
      <alignment horizontal="left"/>
    </xf>
    <xf numFmtId="171" fontId="7" fillId="0" borderId="0" xfId="102" applyFont="1"/>
    <xf numFmtId="0" fontId="7" fillId="0" borderId="49" xfId="107" applyNumberFormat="1" applyFont="1" applyFill="1" applyBorder="1"/>
    <xf numFmtId="0" fontId="7" fillId="0" borderId="50" xfId="107" applyNumberFormat="1" applyFont="1" applyFill="1" applyBorder="1"/>
    <xf numFmtId="5" fontId="7" fillId="0" borderId="51" xfId="107" applyNumberFormat="1" applyFont="1" applyFill="1" applyBorder="1"/>
    <xf numFmtId="0" fontId="83" fillId="0" borderId="0" xfId="137" applyFont="1"/>
    <xf numFmtId="0" fontId="10" fillId="0" borderId="57" xfId="107" applyFont="1" applyFill="1" applyBorder="1" applyAlignment="1">
      <alignment horizontal="left"/>
    </xf>
    <xf numFmtId="0" fontId="7" fillId="0" borderId="52" xfId="107" applyNumberFormat="1" applyFont="1" applyFill="1" applyBorder="1"/>
    <xf numFmtId="0" fontId="7" fillId="0" borderId="0" xfId="107" applyNumberFormat="1" applyFont="1" applyFill="1" applyBorder="1"/>
    <xf numFmtId="5" fontId="7" fillId="0" borderId="53" xfId="107" applyNumberFormat="1" applyFont="1" applyFill="1" applyBorder="1"/>
    <xf numFmtId="0" fontId="71" fillId="0" borderId="52" xfId="107" applyFont="1" applyFill="1" applyBorder="1" applyAlignment="1">
      <alignment horizontal="left" indent="1"/>
    </xf>
    <xf numFmtId="9" fontId="71" fillId="0" borderId="0" xfId="107" applyNumberFormat="1" applyFont="1" applyFill="1" applyBorder="1" applyAlignment="1"/>
    <xf numFmtId="9" fontId="71" fillId="0" borderId="53" xfId="107" applyNumberFormat="1" applyFont="1" applyFill="1" applyBorder="1" applyAlignment="1"/>
    <xf numFmtId="0" fontId="7" fillId="0" borderId="52" xfId="107" applyFont="1" applyFill="1" applyBorder="1"/>
    <xf numFmtId="5" fontId="7" fillId="0" borderId="0" xfId="107" applyNumberFormat="1" applyFont="1" applyFill="1" applyBorder="1" applyAlignment="1"/>
    <xf numFmtId="5" fontId="7" fillId="0" borderId="53" xfId="107" applyNumberFormat="1" applyFont="1" applyFill="1" applyBorder="1" applyAlignment="1"/>
    <xf numFmtId="0" fontId="83" fillId="16" borderId="52" xfId="137" applyFont="1" applyFill="1" applyBorder="1"/>
    <xf numFmtId="7" fontId="83" fillId="16" borderId="0" xfId="137" applyNumberFormat="1" applyFont="1" applyFill="1" applyBorder="1"/>
    <xf numFmtId="164" fontId="7" fillId="16" borderId="0" xfId="112" applyNumberFormat="1" applyFont="1" applyFill="1" applyBorder="1"/>
    <xf numFmtId="164" fontId="71" fillId="0" borderId="0" xfId="107" applyNumberFormat="1" applyFont="1" applyFill="1" applyBorder="1" applyAlignment="1"/>
    <xf numFmtId="164" fontId="71" fillId="0" borderId="53" xfId="107" applyNumberFormat="1" applyFont="1" applyFill="1" applyBorder="1" applyAlignment="1"/>
    <xf numFmtId="0" fontId="83" fillId="16" borderId="54" xfId="137" applyFont="1" applyFill="1" applyBorder="1"/>
    <xf numFmtId="164" fontId="7" fillId="16" borderId="55" xfId="112" applyNumberFormat="1" applyFont="1" applyFill="1" applyBorder="1"/>
    <xf numFmtId="170" fontId="7" fillId="0" borderId="53" xfId="107" applyNumberFormat="1" applyFont="1" applyFill="1" applyBorder="1"/>
    <xf numFmtId="0" fontId="7" fillId="0" borderId="49" xfId="107" applyFont="1" applyFill="1" applyBorder="1"/>
    <xf numFmtId="5" fontId="7" fillId="0" borderId="50" xfId="107" applyNumberFormat="1" applyFont="1" applyFill="1" applyBorder="1" applyAlignment="1"/>
    <xf numFmtId="5" fontId="7" fillId="0" borderId="51" xfId="107" applyNumberFormat="1" applyFont="1" applyFill="1" applyBorder="1" applyAlignment="1"/>
    <xf numFmtId="0" fontId="71" fillId="0" borderId="54" xfId="107" applyFont="1" applyFill="1" applyBorder="1" applyAlignment="1">
      <alignment horizontal="left" indent="1"/>
    </xf>
    <xf numFmtId="9" fontId="71" fillId="0" borderId="55" xfId="107" applyNumberFormat="1" applyFont="1" applyFill="1" applyBorder="1" applyAlignment="1"/>
    <xf numFmtId="9" fontId="71" fillId="0" borderId="56" xfId="107" applyNumberFormat="1" applyFont="1" applyFill="1" applyBorder="1" applyAlignment="1"/>
    <xf numFmtId="0" fontId="10" fillId="0" borderId="49" xfId="107" applyFont="1" applyFill="1" applyBorder="1"/>
    <xf numFmtId="5" fontId="10" fillId="0" borderId="50" xfId="107" applyNumberFormat="1" applyFont="1" applyFill="1" applyBorder="1" applyAlignment="1"/>
    <xf numFmtId="5" fontId="10" fillId="0" borderId="51" xfId="107" applyNumberFormat="1" applyFont="1" applyFill="1" applyBorder="1" applyAlignment="1"/>
    <xf numFmtId="0" fontId="7" fillId="0" borderId="0" xfId="107" applyFont="1" applyFill="1" applyBorder="1"/>
    <xf numFmtId="164" fontId="7" fillId="0" borderId="53" xfId="107" applyNumberFormat="1" applyFont="1" applyFill="1" applyBorder="1"/>
    <xf numFmtId="0" fontId="7" fillId="0" borderId="52" xfId="107" applyFont="1" applyFill="1" applyBorder="1" applyAlignment="1"/>
    <xf numFmtId="39" fontId="7" fillId="0" borderId="0" xfId="107" applyNumberFormat="1" applyFont="1" applyFill="1" applyBorder="1" applyAlignment="1"/>
    <xf numFmtId="39" fontId="7" fillId="0" borderId="53" xfId="107" applyNumberFormat="1" applyFont="1" applyFill="1" applyBorder="1" applyAlignment="1"/>
    <xf numFmtId="0" fontId="10" fillId="0" borderId="52" xfId="107" applyFont="1" applyFill="1" applyBorder="1"/>
    <xf numFmtId="0" fontId="10" fillId="0" borderId="0" xfId="107" applyFont="1" applyFill="1" applyBorder="1"/>
    <xf numFmtId="164" fontId="10" fillId="0" borderId="53" xfId="62" applyNumberFormat="1" applyFont="1" applyFill="1" applyBorder="1"/>
    <xf numFmtId="0" fontId="10" fillId="0" borderId="52" xfId="107" applyNumberFormat="1" applyFont="1" applyFill="1" applyBorder="1"/>
    <xf numFmtId="0" fontId="10" fillId="0" borderId="0" xfId="107" applyNumberFormat="1" applyFont="1" applyFill="1" applyBorder="1"/>
    <xf numFmtId="0" fontId="10" fillId="0" borderId="49" xfId="107" applyFont="1" applyFill="1" applyBorder="1" applyAlignment="1"/>
    <xf numFmtId="37" fontId="10" fillId="0" borderId="54" xfId="0" applyNumberFormat="1" applyFont="1" applyBorder="1"/>
    <xf numFmtId="37" fontId="10" fillId="0" borderId="55" xfId="0" applyNumberFormat="1" applyFont="1" applyBorder="1"/>
    <xf numFmtId="0" fontId="10" fillId="0" borderId="50" xfId="107" applyFont="1" applyFill="1" applyBorder="1" applyAlignment="1">
      <alignment horizontal="centerContinuous" vertical="center"/>
    </xf>
    <xf numFmtId="174" fontId="10" fillId="0" borderId="60" xfId="107" applyNumberFormat="1" applyFont="1" applyFill="1" applyBorder="1" applyAlignment="1">
      <alignment horizontal="center"/>
    </xf>
    <xf numFmtId="37" fontId="10" fillId="0" borderId="50" xfId="125" applyNumberFormat="1" applyFont="1" applyBorder="1" applyAlignment="1" applyProtection="1">
      <alignment horizontal="center"/>
      <protection locked="0"/>
    </xf>
    <xf numFmtId="37" fontId="10" fillId="0" borderId="51" xfId="125" applyNumberFormat="1" applyFont="1" applyBorder="1" applyAlignment="1" applyProtection="1">
      <alignment horizontal="center"/>
      <protection locked="0"/>
    </xf>
    <xf numFmtId="0" fontId="10" fillId="0" borderId="54" xfId="107" applyFont="1" applyFill="1" applyBorder="1" applyAlignment="1"/>
    <xf numFmtId="0" fontId="10" fillId="0" borderId="55" xfId="107" applyFont="1" applyFill="1" applyBorder="1" applyAlignment="1">
      <alignment horizontal="centerContinuous" vertical="center"/>
    </xf>
    <xf numFmtId="5" fontId="10" fillId="0" borderId="56" xfId="107" applyNumberFormat="1" applyFont="1" applyFill="1" applyBorder="1" applyAlignment="1"/>
    <xf numFmtId="174" fontId="10" fillId="0" borderId="7" xfId="107" applyNumberFormat="1" applyFont="1" applyFill="1" applyBorder="1" applyAlignment="1">
      <alignment horizontal="center"/>
    </xf>
    <xf numFmtId="7" fontId="10" fillId="0" borderId="58" xfId="125" applyNumberFormat="1" applyFont="1" applyBorder="1" applyAlignment="1" applyProtection="1">
      <alignment horizontal="center"/>
      <protection locked="0"/>
    </xf>
    <xf numFmtId="7" fontId="10" fillId="0" borderId="59" xfId="125" applyNumberFormat="1" applyFont="1" applyBorder="1" applyAlignment="1" applyProtection="1">
      <alignment horizontal="center"/>
      <protection locked="0"/>
    </xf>
    <xf numFmtId="37" fontId="7" fillId="0" borderId="0" xfId="125" applyNumberFormat="1" applyFont="1" applyBorder="1" applyAlignment="1" applyProtection="1">
      <protection locked="0"/>
    </xf>
    <xf numFmtId="164" fontId="7" fillId="0" borderId="61" xfId="112" applyNumberFormat="1" applyFont="1" applyFill="1" applyBorder="1" applyAlignment="1">
      <alignment horizontal="center"/>
    </xf>
    <xf numFmtId="37" fontId="10" fillId="0" borderId="57" xfId="125" applyNumberFormat="1" applyFont="1" applyBorder="1" applyAlignment="1" applyProtection="1">
      <protection locked="0"/>
    </xf>
    <xf numFmtId="37" fontId="7" fillId="0" borderId="59" xfId="125" applyNumberFormat="1" applyFont="1" applyBorder="1" applyAlignment="1" applyProtection="1">
      <protection locked="0"/>
    </xf>
    <xf numFmtId="5" fontId="7" fillId="0" borderId="53" xfId="107" applyNumberFormat="1" applyFont="1" applyFill="1" applyBorder="1" applyAlignment="1">
      <alignment horizontal="right"/>
    </xf>
    <xf numFmtId="0" fontId="7" fillId="0" borderId="54" xfId="107" applyFont="1" applyFill="1" applyBorder="1"/>
    <xf numFmtId="5" fontId="7" fillId="0" borderId="56" xfId="107" applyNumberFormat="1" applyFont="1" applyFill="1" applyBorder="1" applyAlignment="1">
      <alignment horizontal="right"/>
    </xf>
    <xf numFmtId="37" fontId="10" fillId="0" borderId="54" xfId="125" applyNumberFormat="1" applyFont="1" applyBorder="1" applyAlignment="1" applyProtection="1">
      <protection locked="0"/>
    </xf>
    <xf numFmtId="37" fontId="10" fillId="0" borderId="56" xfId="125" applyNumberFormat="1" applyFont="1" applyBorder="1" applyAlignment="1" applyProtection="1">
      <protection locked="0"/>
    </xf>
    <xf numFmtId="164" fontId="7" fillId="0" borderId="62" xfId="112" applyNumberFormat="1" applyFont="1" applyBorder="1" applyAlignment="1">
      <alignment horizontal="center"/>
    </xf>
    <xf numFmtId="0" fontId="10" fillId="0" borderId="57" xfId="107" applyFont="1" applyFill="1" applyBorder="1"/>
    <xf numFmtId="5" fontId="10" fillId="0" borderId="59" xfId="125" applyNumberFormat="1" applyFont="1" applyBorder="1" applyAlignment="1" applyProtection="1">
      <alignment horizontal="right"/>
      <protection locked="0"/>
    </xf>
    <xf numFmtId="37" fontId="10" fillId="0" borderId="58" xfId="125" applyNumberFormat="1" applyFont="1" applyBorder="1" applyAlignment="1" applyProtection="1">
      <alignment horizontal="center"/>
      <protection locked="0"/>
    </xf>
    <xf numFmtId="37" fontId="10" fillId="0" borderId="59" xfId="125" applyNumberFormat="1" applyFont="1" applyBorder="1" applyAlignment="1" applyProtection="1">
      <alignment horizontal="center"/>
      <protection locked="0"/>
    </xf>
    <xf numFmtId="170" fontId="7" fillId="0" borderId="56" xfId="125" applyNumberFormat="1" applyFont="1" applyBorder="1" applyAlignment="1" applyProtection="1">
      <protection locked="0"/>
    </xf>
    <xf numFmtId="174" fontId="7" fillId="0" borderId="61" xfId="107" applyNumberFormat="1" applyFont="1" applyFill="1" applyBorder="1" applyAlignment="1">
      <alignment horizontal="center"/>
    </xf>
    <xf numFmtId="0" fontId="7" fillId="0" borderId="57" xfId="107" applyFont="1" applyFill="1" applyBorder="1"/>
    <xf numFmtId="9" fontId="7" fillId="0" borderId="59" xfId="125" applyNumberFormat="1" applyFont="1" applyBorder="1" applyAlignment="1" applyProtection="1">
      <protection locked="0"/>
    </xf>
    <xf numFmtId="37" fontId="7" fillId="0" borderId="49" xfId="125" applyNumberFormat="1" applyFont="1" applyBorder="1" applyAlignment="1" applyProtection="1">
      <protection locked="0"/>
    </xf>
    <xf numFmtId="174" fontId="7" fillId="0" borderId="51" xfId="125" applyNumberFormat="1" applyFont="1" applyBorder="1" applyAlignment="1" applyProtection="1">
      <protection locked="0"/>
    </xf>
    <xf numFmtId="174" fontId="7" fillId="0" borderId="62" xfId="125" applyNumberFormat="1" applyFont="1" applyBorder="1" applyAlignment="1" applyProtection="1">
      <alignment horizontal="center"/>
      <protection locked="0"/>
    </xf>
    <xf numFmtId="37" fontId="7" fillId="0" borderId="54" xfId="125" applyNumberFormat="1" applyFont="1" applyBorder="1" applyAlignment="1" applyProtection="1">
      <protection locked="0"/>
    </xf>
    <xf numFmtId="174" fontId="10" fillId="0" borderId="0" xfId="107" applyNumberFormat="1" applyFont="1" applyFill="1" applyAlignment="1">
      <alignment horizontal="center"/>
    </xf>
    <xf numFmtId="37" fontId="7" fillId="0" borderId="0" xfId="125" applyNumberFormat="1" applyFont="1" applyAlignment="1" applyProtection="1">
      <alignment horizontal="center"/>
      <protection locked="0"/>
    </xf>
    <xf numFmtId="174" fontId="7" fillId="0" borderId="0" xfId="125" applyNumberFormat="1" applyFont="1" applyBorder="1" applyAlignment="1" applyProtection="1">
      <protection locked="0"/>
    </xf>
    <xf numFmtId="37" fontId="10" fillId="18" borderId="49" xfId="125" applyNumberFormat="1" applyFont="1" applyFill="1" applyBorder="1" applyAlignment="1" applyProtection="1">
      <protection locked="0"/>
    </xf>
    <xf numFmtId="0" fontId="83" fillId="18" borderId="50" xfId="137" applyFont="1" applyFill="1" applyBorder="1"/>
    <xf numFmtId="0" fontId="83" fillId="18" borderId="51" xfId="137" applyFont="1" applyFill="1" applyBorder="1"/>
    <xf numFmtId="0" fontId="83" fillId="18" borderId="36" xfId="137" applyFont="1" applyFill="1" applyBorder="1"/>
    <xf numFmtId="7" fontId="83" fillId="18" borderId="28" xfId="137" applyNumberFormat="1" applyFont="1" applyFill="1" applyBorder="1"/>
    <xf numFmtId="164" fontId="7" fillId="18" borderId="28" xfId="112" applyNumberFormat="1" applyFont="1" applyFill="1" applyBorder="1"/>
    <xf numFmtId="0" fontId="10" fillId="18" borderId="54" xfId="107" applyFont="1" applyFill="1" applyBorder="1"/>
    <xf numFmtId="0" fontId="10" fillId="18" borderId="35" xfId="137" applyFont="1" applyFill="1" applyBorder="1"/>
    <xf numFmtId="0" fontId="10" fillId="16" borderId="53" xfId="137" applyFont="1" applyFill="1" applyBorder="1"/>
    <xf numFmtId="0" fontId="10" fillId="16" borderId="56" xfId="137" applyFont="1" applyFill="1" applyBorder="1"/>
    <xf numFmtId="39" fontId="72" fillId="0" borderId="0" xfId="107" applyNumberFormat="1" applyFont="1" applyFill="1" applyBorder="1" applyAlignment="1"/>
    <xf numFmtId="37" fontId="14" fillId="0" borderId="0" xfId="112" applyNumberFormat="1" applyFont="1" applyFill="1" applyBorder="1"/>
    <xf numFmtId="37" fontId="2" fillId="0" borderId="15" xfId="94" applyNumberFormat="1" applyFont="1" applyFill="1" applyBorder="1"/>
    <xf numFmtId="37" fontId="2" fillId="0" borderId="20" xfId="94" applyNumberFormat="1" applyFont="1" applyFill="1" applyBorder="1"/>
    <xf numFmtId="7" fontId="2" fillId="0" borderId="12" xfId="94" applyNumberFormat="1" applyFont="1" applyFill="1" applyBorder="1"/>
    <xf numFmtId="10" fontId="2" fillId="0" borderId="12" xfId="112" applyNumberFormat="1" applyFont="1" applyBorder="1"/>
    <xf numFmtId="37" fontId="23" fillId="0" borderId="12" xfId="94" applyNumberFormat="1" applyFont="1" applyFill="1" applyBorder="1"/>
    <xf numFmtId="0" fontId="46" fillId="18" borderId="0" xfId="0" applyFont="1" applyFill="1" applyBorder="1"/>
    <xf numFmtId="166" fontId="9" fillId="16" borderId="12" xfId="94" quotePrefix="1" applyNumberFormat="1" applyFont="1" applyFill="1" applyBorder="1" applyAlignment="1">
      <alignment horizontal="right"/>
    </xf>
    <xf numFmtId="170" fontId="14" fillId="16" borderId="12" xfId="94" applyNumberFormat="1" applyFont="1" applyFill="1" applyBorder="1"/>
    <xf numFmtId="3" fontId="14" fillId="16" borderId="22" xfId="94" applyNumberFormat="1" applyFont="1" applyFill="1" applyBorder="1"/>
    <xf numFmtId="170" fontId="24" fillId="15" borderId="0" xfId="94" applyNumberFormat="1" applyFont="1" applyFill="1" applyBorder="1"/>
    <xf numFmtId="170" fontId="24" fillId="15" borderId="0" xfId="94" applyNumberFormat="1" applyFont="1" applyFill="1"/>
    <xf numFmtId="170" fontId="0" fillId="0" borderId="0" xfId="0" applyNumberFormat="1"/>
    <xf numFmtId="37" fontId="24" fillId="15" borderId="0" xfId="57" applyNumberFormat="1" applyFont="1" applyFill="1" applyBorder="1"/>
    <xf numFmtId="0" fontId="145" fillId="0" borderId="0" xfId="92" applyFill="1"/>
    <xf numFmtId="37" fontId="145" fillId="0" borderId="0" xfId="92" applyNumberFormat="1" applyFill="1"/>
    <xf numFmtId="9" fontId="145" fillId="0" borderId="0" xfId="92" applyNumberFormat="1" applyFill="1" applyAlignment="1">
      <alignment horizontal="right"/>
    </xf>
    <xf numFmtId="37" fontId="145" fillId="0" borderId="0" xfId="92" applyNumberFormat="1" applyFill="1" applyAlignment="1">
      <alignment horizontal="right"/>
    </xf>
    <xf numFmtId="0" fontId="145" fillId="0" borderId="0" xfId="92" applyFill="1" applyAlignment="1">
      <alignment horizontal="right"/>
    </xf>
    <xf numFmtId="1" fontId="145" fillId="0" borderId="0" xfId="92" applyNumberFormat="1" applyFill="1" applyAlignment="1">
      <alignment horizontal="right"/>
    </xf>
    <xf numFmtId="5" fontId="9" fillId="16" borderId="14" xfId="94" applyNumberFormat="1" applyFont="1" applyFill="1" applyBorder="1"/>
    <xf numFmtId="43" fontId="9" fillId="0" borderId="0" xfId="57" applyNumberFormat="1" applyFont="1" applyBorder="1"/>
    <xf numFmtId="0" fontId="0" fillId="0" borderId="22" xfId="0" applyBorder="1"/>
    <xf numFmtId="164" fontId="145" fillId="0" borderId="0" xfId="92" applyNumberFormat="1" applyFill="1"/>
    <xf numFmtId="0" fontId="145" fillId="19" borderId="0" xfId="92" applyFill="1"/>
    <xf numFmtId="1" fontId="145" fillId="0" borderId="0" xfId="92" applyNumberFormat="1"/>
    <xf numFmtId="5" fontId="69" fillId="0" borderId="0" xfId="94" applyNumberFormat="1" applyFont="1" applyFill="1" applyBorder="1"/>
    <xf numFmtId="0" fontId="2" fillId="24" borderId="36" xfId="94" applyFont="1" applyFill="1" applyBorder="1" applyAlignment="1">
      <alignment horizontal="centerContinuous" vertical="center"/>
    </xf>
    <xf numFmtId="0" fontId="2" fillId="24" borderId="28" xfId="94" applyFont="1" applyFill="1" applyBorder="1" applyAlignment="1">
      <alignment horizontal="centerContinuous" vertical="center"/>
    </xf>
    <xf numFmtId="0" fontId="2" fillId="24" borderId="35" xfId="94" applyFont="1" applyFill="1" applyBorder="1" applyAlignment="1">
      <alignment horizontal="centerContinuous" vertical="center"/>
    </xf>
    <xf numFmtId="37" fontId="1" fillId="17" borderId="17" xfId="94" applyNumberFormat="1" applyFont="1" applyFill="1" applyBorder="1"/>
    <xf numFmtId="41" fontId="1" fillId="17" borderId="17" xfId="94" applyNumberFormat="1" applyFont="1" applyFill="1" applyBorder="1"/>
    <xf numFmtId="37" fontId="14" fillId="17" borderId="17" xfId="94" applyNumberFormat="1" applyFont="1" applyFill="1" applyBorder="1"/>
    <xf numFmtId="41" fontId="2" fillId="17" borderId="17" xfId="94" applyNumberFormat="1" applyFont="1" applyFill="1" applyBorder="1"/>
    <xf numFmtId="0" fontId="2" fillId="17" borderId="17" xfId="94" applyFont="1" applyFill="1" applyBorder="1"/>
    <xf numFmtId="164" fontId="14" fillId="17" borderId="17" xfId="112" applyNumberFormat="1" applyFont="1" applyFill="1" applyBorder="1"/>
    <xf numFmtId="168" fontId="2" fillId="17" borderId="17" xfId="94" applyNumberFormat="1" applyFont="1" applyFill="1" applyBorder="1"/>
    <xf numFmtId="37" fontId="9" fillId="17" borderId="21" xfId="94" applyNumberFormat="1" applyFont="1" applyFill="1" applyBorder="1"/>
    <xf numFmtId="0" fontId="0" fillId="0" borderId="0" xfId="94" applyFont="1"/>
    <xf numFmtId="3" fontId="9" fillId="17" borderId="17" xfId="94" applyNumberFormat="1" applyFont="1" applyFill="1" applyBorder="1"/>
    <xf numFmtId="0" fontId="93" fillId="17" borderId="17" xfId="94" applyFont="1" applyFill="1" applyBorder="1"/>
    <xf numFmtId="0" fontId="73" fillId="17" borderId="17" xfId="94" applyFont="1" applyFill="1" applyBorder="1"/>
    <xf numFmtId="0" fontId="9" fillId="17" borderId="17" xfId="94" applyFont="1" applyFill="1" applyBorder="1"/>
    <xf numFmtId="0" fontId="9" fillId="17" borderId="17" xfId="0" applyFont="1" applyFill="1" applyBorder="1"/>
    <xf numFmtId="0" fontId="40" fillId="17" borderId="17" xfId="0" applyFont="1" applyFill="1" applyBorder="1"/>
    <xf numFmtId="1" fontId="145" fillId="0" borderId="0" xfId="92" applyNumberFormat="1" applyFill="1"/>
    <xf numFmtId="37" fontId="14" fillId="16" borderId="12" xfId="112" applyNumberFormat="1" applyFont="1" applyFill="1" applyBorder="1"/>
    <xf numFmtId="37" fontId="14" fillId="16" borderId="0" xfId="112" applyNumberFormat="1" applyFont="1" applyFill="1" applyBorder="1"/>
    <xf numFmtId="37" fontId="9" fillId="16" borderId="34" xfId="94" applyNumberFormat="1" applyFont="1" applyFill="1" applyBorder="1"/>
    <xf numFmtId="37" fontId="9" fillId="16" borderId="22" xfId="94" applyNumberFormat="1" applyFont="1" applyFill="1" applyBorder="1"/>
    <xf numFmtId="37" fontId="9" fillId="16" borderId="33" xfId="94" applyNumberFormat="1" applyFont="1" applyFill="1" applyBorder="1"/>
    <xf numFmtId="165" fontId="2" fillId="0" borderId="14" xfId="94" applyNumberFormat="1" applyFont="1" applyBorder="1"/>
    <xf numFmtId="0" fontId="0" fillId="24" borderId="14" xfId="0" applyFill="1" applyBorder="1"/>
    <xf numFmtId="0" fontId="9" fillId="18" borderId="17" xfId="94" applyFont="1" applyFill="1" applyBorder="1"/>
    <xf numFmtId="38" fontId="9" fillId="18" borderId="17" xfId="94" applyNumberFormat="1" applyFont="1" applyFill="1" applyBorder="1"/>
    <xf numFmtId="38" fontId="23" fillId="18" borderId="17" xfId="94" applyNumberFormat="1" applyFont="1" applyFill="1" applyBorder="1"/>
    <xf numFmtId="37" fontId="9" fillId="0" borderId="17" xfId="0" applyNumberFormat="1" applyFont="1" applyBorder="1"/>
    <xf numFmtId="167" fontId="9" fillId="0" borderId="17" xfId="57" applyNumberFormat="1" applyFont="1" applyBorder="1"/>
    <xf numFmtId="0" fontId="9" fillId="0" borderId="17" xfId="0" applyFont="1" applyBorder="1"/>
    <xf numFmtId="0" fontId="9" fillId="24" borderId="17" xfId="0" applyFont="1" applyFill="1" applyBorder="1"/>
    <xf numFmtId="0" fontId="9" fillId="0" borderId="17" xfId="0" applyFont="1" applyBorder="1" applyAlignment="1">
      <alignment wrapText="1"/>
    </xf>
    <xf numFmtId="38" fontId="0" fillId="0" borderId="0" xfId="94" applyNumberFormat="1" applyFont="1" applyFill="1" applyBorder="1"/>
    <xf numFmtId="38" fontId="0" fillId="0" borderId="0" xfId="94" quotePrefix="1" applyNumberFormat="1" applyFont="1" applyFill="1" applyBorder="1"/>
    <xf numFmtId="3" fontId="23" fillId="0" borderId="14" xfId="94" applyNumberFormat="1" applyFont="1" applyFill="1" applyBorder="1"/>
    <xf numFmtId="167" fontId="23" fillId="0" borderId="14" xfId="57" applyNumberFormat="1" applyFont="1" applyFill="1" applyBorder="1"/>
    <xf numFmtId="164" fontId="9" fillId="0" borderId="12" xfId="3" applyNumberFormat="1" applyFont="1" applyBorder="1"/>
    <xf numFmtId="164" fontId="9" fillId="0" borderId="14" xfId="3" applyNumberFormat="1" applyFont="1" applyBorder="1"/>
    <xf numFmtId="0" fontId="0" fillId="0" borderId="14" xfId="0" applyBorder="1"/>
    <xf numFmtId="37" fontId="9" fillId="15" borderId="0" xfId="3" applyNumberFormat="1" applyFont="1" applyFill="1" applyBorder="1"/>
    <xf numFmtId="37" fontId="9" fillId="15" borderId="14" xfId="3" applyNumberFormat="1" applyFont="1" applyFill="1" applyBorder="1"/>
    <xf numFmtId="37" fontId="9" fillId="0" borderId="14" xfId="3" applyNumberFormat="1" applyFont="1" applyBorder="1"/>
    <xf numFmtId="0" fontId="9" fillId="0" borderId="12" xfId="0" applyFont="1" applyBorder="1"/>
    <xf numFmtId="1" fontId="9" fillId="0" borderId="14" xfId="0" applyNumberFormat="1" applyFont="1" applyFill="1" applyBorder="1"/>
    <xf numFmtId="1" fontId="9" fillId="0" borderId="12" xfId="3" applyNumberFormat="1" applyFont="1" applyFill="1" applyBorder="1"/>
    <xf numFmtId="1" fontId="9" fillId="0" borderId="0" xfId="3" applyNumberFormat="1" applyFont="1" applyFill="1" applyBorder="1"/>
    <xf numFmtId="1" fontId="9" fillId="0" borderId="14" xfId="3" applyNumberFormat="1" applyFont="1" applyFill="1" applyBorder="1"/>
    <xf numFmtId="1" fontId="23" fillId="0" borderId="14" xfId="0" applyNumberFormat="1" applyFont="1" applyFill="1" applyBorder="1"/>
    <xf numFmtId="167" fontId="23" fillId="17" borderId="14" xfId="3" applyNumberFormat="1" applyFont="1" applyFill="1" applyBorder="1"/>
    <xf numFmtId="164" fontId="9" fillId="0" borderId="14" xfId="3" applyNumberFormat="1" applyFont="1" applyFill="1" applyBorder="1"/>
    <xf numFmtId="164" fontId="9" fillId="0" borderId="34" xfId="3" applyNumberFormat="1" applyFont="1" applyBorder="1"/>
    <xf numFmtId="164" fontId="9" fillId="0" borderId="33" xfId="3" applyNumberFormat="1" applyFont="1" applyBorder="1"/>
    <xf numFmtId="164" fontId="2" fillId="17" borderId="33" xfId="94" applyNumberFormat="1" applyFont="1" applyFill="1" applyBorder="1"/>
    <xf numFmtId="3" fontId="142" fillId="0" borderId="14" xfId="94" applyNumberFormat="1" applyFont="1" applyFill="1" applyBorder="1"/>
    <xf numFmtId="170" fontId="14" fillId="0" borderId="14" xfId="94" applyNumberFormat="1" applyFont="1" applyFill="1" applyBorder="1"/>
    <xf numFmtId="3" fontId="14" fillId="16" borderId="14" xfId="0" applyNumberFormat="1" applyFont="1" applyFill="1" applyBorder="1"/>
    <xf numFmtId="43" fontId="2" fillId="0" borderId="14" xfId="57" applyFont="1" applyBorder="1"/>
    <xf numFmtId="0" fontId="2" fillId="0" borderId="14" xfId="94" applyFont="1" applyBorder="1"/>
    <xf numFmtId="3" fontId="14" fillId="16" borderId="33" xfId="94" applyNumberFormat="1" applyFont="1" applyFill="1" applyBorder="1"/>
    <xf numFmtId="0" fontId="2" fillId="24" borderId="36" xfId="94" applyFont="1" applyFill="1" applyBorder="1" applyAlignment="1">
      <alignment horizontal="centerContinuous"/>
    </xf>
    <xf numFmtId="0" fontId="2" fillId="24" borderId="35" xfId="94" applyFont="1" applyFill="1" applyBorder="1" applyAlignment="1">
      <alignment horizontal="centerContinuous"/>
    </xf>
    <xf numFmtId="0" fontId="2" fillId="24" borderId="36" xfId="94" applyFont="1" applyFill="1" applyBorder="1" applyAlignment="1"/>
    <xf numFmtId="0" fontId="2" fillId="24" borderId="0" xfId="94" applyFont="1" applyFill="1" applyBorder="1" applyAlignment="1"/>
    <xf numFmtId="0" fontId="2" fillId="24" borderId="28" xfId="94" applyFont="1" applyFill="1" applyBorder="1" applyAlignment="1"/>
    <xf numFmtId="43" fontId="2" fillId="0" borderId="0" xfId="57" applyFont="1" applyFill="1" applyBorder="1" applyAlignment="1">
      <alignment horizontal="left" indent="1"/>
    </xf>
    <xf numFmtId="37" fontId="2" fillId="25" borderId="0" xfId="94" applyNumberFormat="1" applyFont="1" applyFill="1" applyBorder="1"/>
    <xf numFmtId="0" fontId="2" fillId="0" borderId="0" xfId="94" applyFont="1" applyFill="1" applyBorder="1" applyAlignment="1">
      <alignment horizontal="left" indent="1"/>
    </xf>
    <xf numFmtId="0" fontId="2" fillId="0" borderId="0" xfId="94" applyFont="1" applyFill="1" applyBorder="1"/>
    <xf numFmtId="1" fontId="2" fillId="16" borderId="14" xfId="94" applyNumberFormat="1" applyFont="1" applyFill="1" applyBorder="1"/>
    <xf numFmtId="1" fontId="2" fillId="16" borderId="0" xfId="94" applyNumberFormat="1" applyFont="1" applyFill="1" applyBorder="1"/>
    <xf numFmtId="165" fontId="9" fillId="0" borderId="0" xfId="94" applyNumberFormat="1" applyFont="1" applyBorder="1"/>
    <xf numFmtId="165" fontId="9" fillId="17" borderId="0" xfId="94" applyNumberFormat="1" applyFont="1" applyFill="1" applyBorder="1"/>
    <xf numFmtId="0" fontId="73" fillId="0" borderId="14" xfId="0" applyFont="1" applyFill="1" applyBorder="1"/>
    <xf numFmtId="9" fontId="145" fillId="0" borderId="0" xfId="92" applyNumberFormat="1" applyFill="1"/>
    <xf numFmtId="49" fontId="145" fillId="0" borderId="0" xfId="92" applyNumberFormat="1" applyFill="1"/>
    <xf numFmtId="170" fontId="145" fillId="0" borderId="0" xfId="92" applyNumberFormat="1" applyFill="1"/>
    <xf numFmtId="167" fontId="14" fillId="0" borderId="36" xfId="57" applyNumberFormat="1" applyFont="1" applyBorder="1"/>
    <xf numFmtId="167" fontId="14" fillId="0" borderId="28" xfId="57" applyNumberFormat="1" applyFont="1" applyBorder="1"/>
    <xf numFmtId="167" fontId="14" fillId="0" borderId="35" xfId="57" applyNumberFormat="1" applyFont="1" applyFill="1" applyBorder="1"/>
    <xf numFmtId="0" fontId="23" fillId="0" borderId="12" xfId="0" applyFont="1" applyFill="1" applyBorder="1"/>
    <xf numFmtId="164" fontId="193" fillId="0" borderId="0" xfId="57" applyNumberFormat="1" applyFont="1" applyFill="1" applyBorder="1"/>
    <xf numFmtId="164" fontId="193" fillId="0" borderId="14" xfId="57" applyNumberFormat="1" applyFont="1" applyFill="1" applyBorder="1"/>
    <xf numFmtId="164" fontId="9" fillId="0" borderId="0" xfId="0" applyNumberFormat="1" applyFont="1" applyBorder="1"/>
    <xf numFmtId="164" fontId="14" fillId="0" borderId="22" xfId="0" applyNumberFormat="1" applyFont="1" applyBorder="1"/>
    <xf numFmtId="0" fontId="0" fillId="16" borderId="14" xfId="0" applyFill="1" applyBorder="1"/>
    <xf numFmtId="0" fontId="0" fillId="16" borderId="0" xfId="0" applyFill="1" applyBorder="1"/>
    <xf numFmtId="0" fontId="0" fillId="16" borderId="12" xfId="0" applyFill="1" applyBorder="1"/>
    <xf numFmtId="0" fontId="141" fillId="0" borderId="12" xfId="0" applyFont="1" applyFill="1" applyBorder="1"/>
    <xf numFmtId="37" fontId="141" fillId="0" borderId="12" xfId="0" applyNumberFormat="1" applyFont="1" applyFill="1" applyBorder="1"/>
    <xf numFmtId="0" fontId="27" fillId="18" borderId="12" xfId="0" applyFont="1" applyFill="1" applyBorder="1"/>
    <xf numFmtId="164" fontId="7" fillId="0" borderId="56" xfId="125" applyNumberFormat="1" applyFont="1" applyBorder="1" applyAlignment="1" applyProtection="1">
      <protection locked="0"/>
    </xf>
    <xf numFmtId="1" fontId="24" fillId="17" borderId="17" xfId="94" applyNumberFormat="1" applyFont="1" applyFill="1" applyBorder="1"/>
    <xf numFmtId="0" fontId="27" fillId="17" borderId="17" xfId="94" applyFont="1" applyFill="1" applyBorder="1"/>
    <xf numFmtId="37" fontId="194" fillId="0" borderId="0" xfId="94" applyNumberFormat="1" applyFont="1" applyBorder="1"/>
    <xf numFmtId="37" fontId="194" fillId="0" borderId="14" xfId="94" applyNumberFormat="1" applyFont="1" applyBorder="1"/>
    <xf numFmtId="0" fontId="2" fillId="0" borderId="0" xfId="94" applyFont="1" applyBorder="1"/>
    <xf numFmtId="3" fontId="0" fillId="0" borderId="12" xfId="57" applyNumberFormat="1" applyFont="1" applyBorder="1"/>
    <xf numFmtId="0" fontId="93" fillId="17" borderId="12" xfId="99" applyFont="1" applyFill="1" applyBorder="1" applyAlignment="1">
      <alignment horizontal="left"/>
    </xf>
    <xf numFmtId="0" fontId="93" fillId="17" borderId="12" xfId="99" applyFont="1" applyFill="1" applyBorder="1" applyAlignment="1">
      <alignment horizontal="left" indent="1"/>
    </xf>
    <xf numFmtId="0" fontId="93" fillId="17" borderId="12" xfId="99" applyFont="1" applyFill="1" applyBorder="1"/>
    <xf numFmtId="49" fontId="93" fillId="17" borderId="12" xfId="104" applyNumberFormat="1" applyFont="1" applyFill="1" applyBorder="1" applyAlignment="1">
      <alignment horizontal="left" indent="2"/>
    </xf>
    <xf numFmtId="0" fontId="93" fillId="17" borderId="0" xfId="3" applyFont="1" applyFill="1" applyBorder="1"/>
    <xf numFmtId="164" fontId="93" fillId="17" borderId="0" xfId="3" applyNumberFormat="1" applyFont="1" applyFill="1" applyBorder="1"/>
    <xf numFmtId="0" fontId="92" fillId="17" borderId="0" xfId="94" applyFont="1" applyFill="1" applyBorder="1"/>
    <xf numFmtId="0" fontId="93" fillId="17" borderId="0" xfId="94" applyFont="1" applyFill="1" applyBorder="1"/>
    <xf numFmtId="0" fontId="92" fillId="17" borderId="12" xfId="125" applyFont="1" applyFill="1" applyBorder="1" applyAlignment="1" applyProtection="1">
      <protection locked="0"/>
    </xf>
    <xf numFmtId="0" fontId="93" fillId="17" borderId="12" xfId="125" applyFont="1" applyFill="1" applyBorder="1" applyAlignment="1" applyProtection="1">
      <protection locked="0"/>
    </xf>
    <xf numFmtId="0" fontId="104" fillId="17" borderId="12" xfId="125" applyFont="1" applyFill="1" applyBorder="1" applyAlignment="1" applyProtection="1">
      <protection locked="0"/>
    </xf>
    <xf numFmtId="0" fontId="0" fillId="0" borderId="34" xfId="0" applyBorder="1"/>
    <xf numFmtId="165" fontId="145" fillId="0" borderId="0" xfId="92" applyNumberFormat="1" applyFill="1"/>
    <xf numFmtId="0" fontId="0" fillId="17" borderId="0" xfId="94" applyFont="1" applyFill="1" applyBorder="1" applyAlignment="1">
      <alignment horizontal="left" indent="1"/>
    </xf>
    <xf numFmtId="37" fontId="23" fillId="0" borderId="12" xfId="3" applyNumberFormat="1" applyFont="1" applyFill="1" applyBorder="1" applyAlignment="1">
      <alignment horizontal="right"/>
    </xf>
    <xf numFmtId="37" fontId="23" fillId="0" borderId="0" xfId="3" applyNumberFormat="1" applyFont="1" applyFill="1" applyBorder="1" applyAlignment="1">
      <alignment horizontal="right"/>
    </xf>
    <xf numFmtId="37" fontId="23" fillId="0" borderId="14" xfId="3" applyNumberFormat="1" applyFont="1" applyFill="1" applyBorder="1" applyAlignment="1">
      <alignment horizontal="right"/>
    </xf>
    <xf numFmtId="164" fontId="14" fillId="0" borderId="0" xfId="3" applyNumberFormat="1" applyFont="1" applyFill="1" applyBorder="1" applyAlignment="1">
      <alignment horizontal="right"/>
    </xf>
    <xf numFmtId="164" fontId="14" fillId="0" borderId="14" xfId="3" applyNumberFormat="1" applyFont="1" applyFill="1" applyBorder="1" applyAlignment="1">
      <alignment horizontal="right"/>
    </xf>
    <xf numFmtId="0" fontId="0" fillId="0" borderId="0" xfId="94" applyFont="1" applyBorder="1" applyAlignment="1">
      <alignment horizontal="left" indent="1"/>
    </xf>
    <xf numFmtId="164" fontId="0" fillId="16" borderId="0" xfId="94" applyNumberFormat="1" applyFont="1" applyFill="1" applyBorder="1"/>
    <xf numFmtId="38" fontId="193" fillId="0" borderId="0" xfId="94" applyNumberFormat="1" applyFont="1" applyBorder="1"/>
    <xf numFmtId="0" fontId="0" fillId="0" borderId="0" xfId="94" applyFont="1" applyFill="1" applyBorder="1" applyAlignment="1">
      <alignment horizontal="left" indent="1"/>
    </xf>
    <xf numFmtId="0" fontId="0" fillId="16" borderId="18" xfId="0" applyFill="1" applyBorder="1"/>
    <xf numFmtId="0" fontId="0" fillId="16" borderId="48" xfId="0" applyFill="1" applyBorder="1" applyAlignment="1">
      <alignment horizontal="center"/>
    </xf>
    <xf numFmtId="0" fontId="0" fillId="16" borderId="36" xfId="0" applyFill="1" applyBorder="1" applyAlignment="1">
      <alignment horizontal="centerContinuous"/>
    </xf>
    <xf numFmtId="0" fontId="0" fillId="16" borderId="35" xfId="0" applyFill="1" applyBorder="1" applyAlignment="1">
      <alignment horizontal="centerContinuous"/>
    </xf>
    <xf numFmtId="0" fontId="0" fillId="16" borderId="48" xfId="0" applyFill="1" applyBorder="1" applyAlignment="1">
      <alignment horizontal="centerContinuous"/>
    </xf>
    <xf numFmtId="0" fontId="0" fillId="16" borderId="48" xfId="0" applyFill="1" applyBorder="1"/>
    <xf numFmtId="0" fontId="0" fillId="16" borderId="20" xfId="0" applyFill="1" applyBorder="1" applyAlignment="1">
      <alignment horizontal="centerContinuous"/>
    </xf>
    <xf numFmtId="0" fontId="0" fillId="16" borderId="15" xfId="0" applyFill="1" applyBorder="1" applyAlignment="1">
      <alignment horizontal="centerContinuous"/>
    </xf>
    <xf numFmtId="0" fontId="0" fillId="16" borderId="19" xfId="0" applyFill="1" applyBorder="1" applyAlignment="1">
      <alignment horizontal="centerContinuous"/>
    </xf>
    <xf numFmtId="0" fontId="0" fillId="16" borderId="17" xfId="0" applyFill="1" applyBorder="1"/>
    <xf numFmtId="0" fontId="0" fillId="16" borderId="12" xfId="0" applyFill="1" applyBorder="1" applyAlignment="1">
      <alignment horizontal="center"/>
    </xf>
    <xf numFmtId="0" fontId="0" fillId="16" borderId="14" xfId="0" applyFill="1" applyBorder="1" applyAlignment="1">
      <alignment horizontal="center"/>
    </xf>
    <xf numFmtId="0" fontId="0" fillId="16" borderId="17" xfId="0" applyFill="1" applyBorder="1" applyAlignment="1">
      <alignment horizontal="center"/>
    </xf>
    <xf numFmtId="0" fontId="0" fillId="16" borderId="0" xfId="0" applyFill="1" applyBorder="1" applyAlignment="1">
      <alignment horizontal="center"/>
    </xf>
    <xf numFmtId="3" fontId="0" fillId="16" borderId="17" xfId="0" applyNumberFormat="1" applyFill="1" applyBorder="1"/>
    <xf numFmtId="3" fontId="0" fillId="16" borderId="12" xfId="0" applyNumberFormat="1" applyFill="1" applyBorder="1"/>
    <xf numFmtId="3" fontId="0" fillId="16" borderId="14" xfId="0" applyNumberFormat="1" applyFill="1" applyBorder="1"/>
    <xf numFmtId="3" fontId="0" fillId="16" borderId="0" xfId="0" applyNumberFormat="1" applyFill="1" applyBorder="1"/>
    <xf numFmtId="166" fontId="9" fillId="16" borderId="17" xfId="94" quotePrefix="1" applyNumberFormat="1" applyFont="1" applyFill="1" applyBorder="1" applyAlignment="1">
      <alignment horizontal="right"/>
    </xf>
    <xf numFmtId="164" fontId="0" fillId="16" borderId="17" xfId="0" applyNumberFormat="1" applyFill="1" applyBorder="1"/>
    <xf numFmtId="164" fontId="0" fillId="16" borderId="12" xfId="0" applyNumberFormat="1" applyFill="1" applyBorder="1"/>
    <xf numFmtId="164" fontId="0" fillId="16" borderId="14" xfId="0" applyNumberFormat="1" applyFill="1" applyBorder="1"/>
    <xf numFmtId="164" fontId="0" fillId="16" borderId="0" xfId="0" applyNumberFormat="1" applyFill="1" applyBorder="1"/>
    <xf numFmtId="0" fontId="0" fillId="16" borderId="21" xfId="0" applyFill="1" applyBorder="1"/>
    <xf numFmtId="164" fontId="0" fillId="16" borderId="21" xfId="0" applyNumberFormat="1" applyFill="1" applyBorder="1"/>
    <xf numFmtId="0" fontId="0" fillId="16" borderId="34" xfId="0" applyFill="1" applyBorder="1"/>
    <xf numFmtId="0" fontId="0" fillId="16" borderId="33" xfId="0" applyFill="1" applyBorder="1"/>
    <xf numFmtId="0" fontId="0" fillId="16" borderId="22" xfId="0" applyFill="1" applyBorder="1"/>
    <xf numFmtId="164" fontId="0" fillId="16" borderId="33" xfId="0" applyNumberFormat="1" applyFill="1" applyBorder="1"/>
    <xf numFmtId="0" fontId="0" fillId="16" borderId="36" xfId="0" applyFill="1" applyBorder="1"/>
    <xf numFmtId="3" fontId="0" fillId="16" borderId="28" xfId="0" applyNumberFormat="1" applyFill="1" applyBorder="1"/>
    <xf numFmtId="0" fontId="0" fillId="16" borderId="28" xfId="0" applyFill="1" applyBorder="1"/>
    <xf numFmtId="3" fontId="0" fillId="16" borderId="35" xfId="0" applyNumberFormat="1" applyFill="1" applyBorder="1"/>
    <xf numFmtId="164" fontId="0" fillId="27" borderId="21" xfId="0" applyNumberFormat="1" applyFill="1" applyBorder="1"/>
    <xf numFmtId="164" fontId="0" fillId="27" borderId="17" xfId="0" applyNumberFormat="1" applyFill="1" applyBorder="1"/>
    <xf numFmtId="164" fontId="145" fillId="0" borderId="0" xfId="92" applyNumberFormat="1" applyFill="1" applyAlignment="1">
      <alignment horizontal="right"/>
    </xf>
    <xf numFmtId="3" fontId="9" fillId="0" borderId="0" xfId="3" applyNumberFormat="1" applyFont="1" applyBorder="1"/>
    <xf numFmtId="3" fontId="9" fillId="0" borderId="14" xfId="3" applyNumberFormat="1" applyFont="1" applyBorder="1"/>
    <xf numFmtId="3" fontId="9" fillId="0" borderId="15" xfId="3" applyNumberFormat="1" applyFont="1" applyBorder="1"/>
    <xf numFmtId="3" fontId="9" fillId="0" borderId="19" xfId="3" applyNumberFormat="1" applyFont="1" applyBorder="1"/>
    <xf numFmtId="1" fontId="9" fillId="0" borderId="14" xfId="0" applyNumberFormat="1" applyFont="1" applyBorder="1"/>
    <xf numFmtId="0" fontId="24" fillId="16" borderId="17" xfId="0" applyFont="1" applyFill="1" applyBorder="1"/>
    <xf numFmtId="3" fontId="0" fillId="16" borderId="18" xfId="0" applyNumberFormat="1" applyFill="1" applyBorder="1"/>
    <xf numFmtId="3" fontId="0" fillId="16" borderId="20" xfId="0" applyNumberFormat="1" applyFill="1" applyBorder="1"/>
    <xf numFmtId="3" fontId="0" fillId="16" borderId="19" xfId="0" applyNumberFormat="1" applyFill="1" applyBorder="1"/>
    <xf numFmtId="0" fontId="24" fillId="16" borderId="34" xfId="0" applyFont="1" applyFill="1" applyBorder="1"/>
    <xf numFmtId="164" fontId="0" fillId="16" borderId="22" xfId="0" applyNumberFormat="1" applyFill="1" applyBorder="1"/>
    <xf numFmtId="3" fontId="0" fillId="16" borderId="0" xfId="0" applyNumberFormat="1" applyFill="1"/>
    <xf numFmtId="0" fontId="44" fillId="16" borderId="0" xfId="0" quotePrefix="1" applyFont="1" applyFill="1"/>
    <xf numFmtId="0" fontId="24" fillId="16" borderId="0" xfId="0" applyFont="1" applyFill="1"/>
    <xf numFmtId="164" fontId="0" fillId="16" borderId="0" xfId="0" applyNumberFormat="1" applyFill="1"/>
    <xf numFmtId="164" fontId="14" fillId="0" borderId="20" xfId="0" applyNumberFormat="1" applyFont="1" applyBorder="1"/>
    <xf numFmtId="37" fontId="9" fillId="0" borderId="15" xfId="3" applyNumberFormat="1" applyFont="1" applyBorder="1"/>
    <xf numFmtId="164" fontId="14" fillId="0" borderId="12" xfId="0" applyNumberFormat="1" applyFont="1" applyBorder="1"/>
    <xf numFmtId="164" fontId="14" fillId="0" borderId="34" xfId="0" applyNumberFormat="1" applyFont="1" applyBorder="1"/>
    <xf numFmtId="0" fontId="9" fillId="0" borderId="17" xfId="0" applyFont="1" applyFill="1" applyBorder="1"/>
    <xf numFmtId="0" fontId="9" fillId="0" borderId="21" xfId="0" applyFont="1" applyFill="1" applyBorder="1"/>
    <xf numFmtId="166" fontId="0" fillId="16" borderId="0" xfId="0" applyNumberFormat="1" applyFill="1"/>
    <xf numFmtId="0" fontId="24" fillId="16" borderId="12" xfId="0" applyFont="1" applyFill="1" applyBorder="1"/>
    <xf numFmtId="3" fontId="23" fillId="0" borderId="0" xfId="3" applyNumberFormat="1" applyFont="1" applyFill="1" applyBorder="1"/>
    <xf numFmtId="3" fontId="23" fillId="0" borderId="20" xfId="3" applyNumberFormat="1" applyFont="1" applyFill="1" applyBorder="1"/>
    <xf numFmtId="3" fontId="23" fillId="0" borderId="15" xfId="3" applyNumberFormat="1" applyFont="1" applyFill="1" applyBorder="1"/>
    <xf numFmtId="3" fontId="23" fillId="0" borderId="12" xfId="3" applyNumberFormat="1" applyFont="1" applyFill="1" applyBorder="1"/>
    <xf numFmtId="3" fontId="23" fillId="0" borderId="19" xfId="3" applyNumberFormat="1" applyFont="1" applyFill="1" applyBorder="1"/>
    <xf numFmtId="3" fontId="23" fillId="0" borderId="14" xfId="3" applyNumberFormat="1" applyFont="1" applyFill="1" applyBorder="1"/>
    <xf numFmtId="3" fontId="9" fillId="0" borderId="12" xfId="3" applyNumberFormat="1" applyFont="1" applyFill="1" applyBorder="1"/>
    <xf numFmtId="3" fontId="9" fillId="0" borderId="0" xfId="3" applyNumberFormat="1" applyFont="1" applyFill="1" applyBorder="1"/>
    <xf numFmtId="3" fontId="9" fillId="0" borderId="14" xfId="3" applyNumberFormat="1" applyFont="1" applyFill="1" applyBorder="1"/>
    <xf numFmtId="0" fontId="0" fillId="16" borderId="0" xfId="0" applyFill="1" applyBorder="1" applyAlignment="1">
      <alignment horizontal="centerContinuous"/>
    </xf>
    <xf numFmtId="166" fontId="9" fillId="16" borderId="0" xfId="94" quotePrefix="1" applyNumberFormat="1" applyFont="1" applyFill="1" applyBorder="1" applyAlignment="1">
      <alignment horizontal="right"/>
    </xf>
    <xf numFmtId="0" fontId="0" fillId="16" borderId="48" xfId="0" applyFill="1" applyBorder="1" applyAlignment="1">
      <alignment horizontal="center" vertical="center" wrapText="1"/>
    </xf>
    <xf numFmtId="166" fontId="9" fillId="16" borderId="21" xfId="94" quotePrefix="1" applyNumberFormat="1" applyFont="1" applyFill="1" applyBorder="1" applyAlignment="1">
      <alignment horizontal="right"/>
    </xf>
    <xf numFmtId="3" fontId="0" fillId="16" borderId="17" xfId="0" quotePrefix="1" applyNumberFormat="1" applyFill="1" applyBorder="1" applyAlignment="1">
      <alignment horizontal="right"/>
    </xf>
    <xf numFmtId="0" fontId="2" fillId="17" borderId="22" xfId="94" applyFont="1" applyFill="1" applyBorder="1" applyAlignment="1">
      <alignment horizontal="left" indent="1"/>
    </xf>
    <xf numFmtId="0" fontId="2" fillId="17" borderId="0" xfId="94" applyFont="1" applyFill="1" applyBorder="1" applyAlignment="1">
      <alignment horizontal="left" indent="1"/>
    </xf>
    <xf numFmtId="37" fontId="9" fillId="17" borderId="0" xfId="59" applyNumberFormat="1" applyFont="1" applyFill="1" applyBorder="1"/>
    <xf numFmtId="0" fontId="2" fillId="24" borderId="12" xfId="94" applyFont="1" applyFill="1" applyBorder="1"/>
    <xf numFmtId="0" fontId="2" fillId="17" borderId="12" xfId="94" applyFont="1" applyFill="1" applyBorder="1"/>
    <xf numFmtId="38" fontId="2" fillId="0" borderId="12" xfId="94" applyNumberFormat="1" applyFont="1" applyBorder="1"/>
    <xf numFmtId="38" fontId="2" fillId="0" borderId="34" xfId="94" applyNumberFormat="1" applyFont="1" applyBorder="1"/>
    <xf numFmtId="38" fontId="14" fillId="0" borderId="12" xfId="94" applyNumberFormat="1" applyFont="1" applyBorder="1"/>
    <xf numFmtId="38" fontId="9" fillId="17" borderId="36" xfId="94" applyNumberFormat="1" applyFont="1" applyFill="1" applyBorder="1"/>
    <xf numFmtId="49" fontId="9" fillId="0" borderId="20" xfId="94" applyNumberFormat="1" applyFont="1" applyFill="1" applyBorder="1" applyAlignment="1">
      <alignment horizontal="left" wrapText="1"/>
    </xf>
    <xf numFmtId="49" fontId="25" fillId="0" borderId="15" xfId="94" applyNumberFormat="1" applyFont="1" applyFill="1" applyBorder="1" applyAlignment="1">
      <alignment horizontal="right" wrapText="1"/>
    </xf>
    <xf numFmtId="0" fontId="0" fillId="0" borderId="15" xfId="0" applyBorder="1" applyAlignment="1">
      <alignment wrapText="1"/>
    </xf>
    <xf numFmtId="0" fontId="0" fillId="0" borderId="15" xfId="0" applyBorder="1" applyAlignment="1">
      <alignment horizontal="center" wrapText="1"/>
    </xf>
    <xf numFmtId="0" fontId="0" fillId="0" borderId="12" xfId="0" applyBorder="1" applyAlignment="1">
      <alignment horizontal="center"/>
    </xf>
    <xf numFmtId="0" fontId="0" fillId="0" borderId="12" xfId="0" applyFill="1" applyBorder="1" applyAlignment="1">
      <alignment horizontal="center"/>
    </xf>
    <xf numFmtId="5" fontId="0" fillId="0" borderId="0" xfId="0" applyNumberFormat="1"/>
    <xf numFmtId="0" fontId="0" fillId="0" borderId="0" xfId="100" applyFont="1" applyBorder="1"/>
    <xf numFmtId="0" fontId="7" fillId="0" borderId="52" xfId="107" quotePrefix="1" applyFont="1" applyFill="1" applyBorder="1"/>
    <xf numFmtId="0" fontId="7" fillId="0" borderId="54" xfId="107" quotePrefix="1" applyFont="1" applyFill="1" applyBorder="1"/>
    <xf numFmtId="174" fontId="7" fillId="0" borderId="53" xfId="107" applyNumberFormat="1" applyFont="1" applyFill="1" applyBorder="1" applyAlignment="1">
      <alignment horizontal="center"/>
    </xf>
    <xf numFmtId="174" fontId="7" fillId="0" borderId="56" xfId="107" applyNumberFormat="1" applyFont="1" applyFill="1" applyBorder="1" applyAlignment="1">
      <alignment horizontal="center"/>
    </xf>
    <xf numFmtId="164" fontId="7" fillId="0" borderId="53" xfId="107" applyNumberFormat="1" applyFont="1" applyFill="1" applyBorder="1" applyAlignment="1">
      <alignment horizontal="center"/>
    </xf>
    <xf numFmtId="164" fontId="7" fillId="0" borderId="56" xfId="107" applyNumberFormat="1" applyFont="1" applyFill="1" applyBorder="1" applyAlignment="1">
      <alignment horizontal="center"/>
    </xf>
    <xf numFmtId="164" fontId="195" fillId="17" borderId="14" xfId="94" applyNumberFormat="1" applyFont="1" applyFill="1" applyBorder="1"/>
    <xf numFmtId="164" fontId="195" fillId="17" borderId="0" xfId="94" applyNumberFormat="1" applyFont="1" applyFill="1" applyBorder="1"/>
    <xf numFmtId="164" fontId="196" fillId="17" borderId="14" xfId="94" applyNumberFormat="1" applyFont="1" applyFill="1" applyBorder="1"/>
    <xf numFmtId="164" fontId="196" fillId="17" borderId="0" xfId="94" applyNumberFormat="1" applyFont="1" applyFill="1" applyBorder="1"/>
    <xf numFmtId="164" fontId="197" fillId="17" borderId="14" xfId="94" applyNumberFormat="1" applyFont="1" applyFill="1" applyBorder="1"/>
    <xf numFmtId="164" fontId="197" fillId="17" borderId="0" xfId="94" applyNumberFormat="1" applyFont="1" applyFill="1" applyBorder="1"/>
    <xf numFmtId="0" fontId="9" fillId="0" borderId="17" xfId="94" applyFont="1" applyFill="1" applyBorder="1"/>
    <xf numFmtId="0" fontId="93" fillId="0" borderId="17" xfId="94" applyFont="1" applyFill="1" applyBorder="1"/>
    <xf numFmtId="0" fontId="73" fillId="0" borderId="17" xfId="94" applyFont="1" applyFill="1" applyBorder="1"/>
    <xf numFmtId="0" fontId="101" fillId="0" borderId="17" xfId="94" applyFont="1" applyFill="1" applyBorder="1"/>
    <xf numFmtId="164" fontId="23" fillId="0" borderId="17" xfId="0" applyNumberFormat="1" applyFont="1" applyBorder="1"/>
    <xf numFmtId="0" fontId="40" fillId="0" borderId="17" xfId="0" applyFont="1" applyFill="1" applyBorder="1"/>
    <xf numFmtId="0" fontId="101" fillId="0" borderId="17" xfId="0" applyFont="1" applyFill="1" applyBorder="1"/>
    <xf numFmtId="0" fontId="73" fillId="0" borderId="17" xfId="0" applyFont="1" applyFill="1" applyBorder="1"/>
    <xf numFmtId="167" fontId="9" fillId="0" borderId="17" xfId="57" applyNumberFormat="1" applyFont="1" applyFill="1" applyBorder="1"/>
    <xf numFmtId="0" fontId="0" fillId="0" borderId="0" xfId="94" applyFont="1" applyBorder="1"/>
    <xf numFmtId="0" fontId="2" fillId="16" borderId="0" xfId="100" applyFont="1" applyFill="1" applyBorder="1"/>
    <xf numFmtId="0" fontId="9" fillId="16" borderId="0" xfId="94" applyFont="1" applyFill="1" applyBorder="1"/>
    <xf numFmtId="37" fontId="2" fillId="16" borderId="0" xfId="0" applyNumberFormat="1" applyFont="1" applyFill="1" applyBorder="1"/>
    <xf numFmtId="37" fontId="2" fillId="16" borderId="12" xfId="0" applyNumberFormat="1" applyFont="1" applyFill="1" applyBorder="1"/>
    <xf numFmtId="37" fontId="2" fillId="16" borderId="14" xfId="0" applyNumberFormat="1" applyFont="1" applyFill="1" applyBorder="1"/>
    <xf numFmtId="0" fontId="2" fillId="16" borderId="0" xfId="94" applyFont="1" applyFill="1" applyBorder="1" applyAlignment="1">
      <alignment horizontal="center"/>
    </xf>
    <xf numFmtId="0" fontId="9" fillId="16" borderId="0" xfId="100" applyFont="1" applyFill="1" applyBorder="1"/>
    <xf numFmtId="3" fontId="0" fillId="16" borderId="15" xfId="0" applyNumberFormat="1" applyFill="1" applyBorder="1" applyAlignment="1">
      <alignment horizontal="center"/>
    </xf>
    <xf numFmtId="3" fontId="0" fillId="16" borderId="15" xfId="0" applyNumberFormat="1" applyFill="1" applyBorder="1" applyAlignment="1">
      <alignment horizontal="centerContinuous"/>
    </xf>
    <xf numFmtId="3" fontId="0" fillId="16" borderId="19" xfId="0" applyNumberFormat="1" applyFill="1" applyBorder="1" applyAlignment="1">
      <alignment horizontal="center"/>
    </xf>
    <xf numFmtId="0" fontId="0" fillId="16" borderId="20" xfId="0" applyFill="1" applyBorder="1"/>
    <xf numFmtId="3" fontId="0" fillId="16" borderId="22" xfId="0" applyNumberFormat="1" applyFill="1" applyBorder="1" applyAlignment="1">
      <alignment horizontal="center"/>
    </xf>
    <xf numFmtId="3" fontId="0" fillId="16" borderId="33" xfId="0" applyNumberFormat="1" applyFill="1" applyBorder="1" applyAlignment="1">
      <alignment horizontal="center"/>
    </xf>
    <xf numFmtId="0" fontId="0" fillId="16" borderId="22" xfId="0" applyFill="1" applyBorder="1" applyAlignment="1">
      <alignment horizontal="centerContinuous"/>
    </xf>
    <xf numFmtId="3" fontId="0" fillId="16" borderId="22" xfId="0" applyNumberFormat="1" applyFill="1" applyBorder="1" applyAlignment="1">
      <alignment horizontal="centerContinuous"/>
    </xf>
    <xf numFmtId="0" fontId="0" fillId="28" borderId="0" xfId="0" applyFill="1" applyAlignment="1">
      <alignment horizontal="centerContinuous"/>
    </xf>
    <xf numFmtId="164" fontId="1" fillId="28" borderId="22" xfId="94" applyNumberFormat="1" applyFont="1" applyFill="1" applyBorder="1" applyAlignment="1">
      <alignment horizontal="centerContinuous"/>
    </xf>
    <xf numFmtId="164" fontId="1" fillId="28" borderId="34" xfId="94" applyNumberFormat="1" applyFont="1" applyFill="1" applyBorder="1" applyAlignment="1">
      <alignment horizontal="center"/>
    </xf>
    <xf numFmtId="164" fontId="1" fillId="28" borderId="22" xfId="94" applyNumberFormat="1" applyFont="1" applyFill="1" applyBorder="1" applyAlignment="1">
      <alignment horizontal="center"/>
    </xf>
    <xf numFmtId="164" fontId="2" fillId="28" borderId="33" xfId="94" applyNumberFormat="1" applyFont="1" applyFill="1" applyBorder="1" applyAlignment="1">
      <alignment horizontal="center"/>
    </xf>
    <xf numFmtId="0" fontId="0" fillId="16" borderId="28" xfId="0" applyFill="1" applyBorder="1" applyAlignment="1">
      <alignment horizontal="center"/>
    </xf>
    <xf numFmtId="0" fontId="0" fillId="16" borderId="28" xfId="0" applyFill="1" applyBorder="1" applyAlignment="1">
      <alignment horizontal="centerContinuous"/>
    </xf>
    <xf numFmtId="0" fontId="0" fillId="16" borderId="35" xfId="0" applyFill="1" applyBorder="1"/>
    <xf numFmtId="0" fontId="0" fillId="16" borderId="36" xfId="0" applyFill="1" applyBorder="1" applyAlignment="1">
      <alignment horizontal="center"/>
    </xf>
    <xf numFmtId="8" fontId="0" fillId="16" borderId="12" xfId="0" applyNumberFormat="1" applyFill="1" applyBorder="1"/>
    <xf numFmtId="8" fontId="0" fillId="16" borderId="0" xfId="0" applyNumberFormat="1" applyFill="1" applyBorder="1"/>
    <xf numFmtId="8" fontId="0" fillId="16" borderId="14" xfId="0" applyNumberFormat="1" applyFill="1" applyBorder="1"/>
    <xf numFmtId="0" fontId="24" fillId="16" borderId="0" xfId="0" applyFont="1" applyFill="1" applyBorder="1"/>
    <xf numFmtId="0" fontId="0" fillId="27" borderId="12" xfId="0" applyFill="1" applyBorder="1" applyAlignment="1">
      <alignment horizontal="center"/>
    </xf>
    <xf numFmtId="3" fontId="0" fillId="27" borderId="12" xfId="0" applyNumberFormat="1" applyFill="1" applyBorder="1"/>
    <xf numFmtId="8" fontId="0" fillId="27" borderId="12" xfId="0" applyNumberFormat="1" applyFill="1" applyBorder="1"/>
    <xf numFmtId="3" fontId="0" fillId="27" borderId="14" xfId="0" applyNumberFormat="1" applyFill="1" applyBorder="1"/>
    <xf numFmtId="8" fontId="0" fillId="27" borderId="14" xfId="0" applyNumberFormat="1" applyFill="1" applyBorder="1"/>
    <xf numFmtId="1" fontId="23" fillId="0" borderId="0" xfId="0" applyNumberFormat="1" applyFont="1" applyFill="1" applyBorder="1"/>
    <xf numFmtId="168" fontId="0" fillId="16" borderId="0" xfId="94" applyNumberFormat="1" applyFont="1" applyFill="1" applyBorder="1"/>
    <xf numFmtId="167" fontId="0" fillId="0" borderId="0" xfId="0" applyNumberFormat="1" applyBorder="1"/>
    <xf numFmtId="37" fontId="9" fillId="18" borderId="0" xfId="0" applyNumberFormat="1" applyFont="1" applyFill="1" applyBorder="1"/>
    <xf numFmtId="37" fontId="9" fillId="18" borderId="17" xfId="94" applyNumberFormat="1" applyFont="1" applyFill="1" applyBorder="1"/>
    <xf numFmtId="37" fontId="9" fillId="18" borderId="14" xfId="94" applyNumberFormat="1" applyFont="1" applyFill="1" applyBorder="1"/>
    <xf numFmtId="37" fontId="9" fillId="18" borderId="12" xfId="0" applyNumberFormat="1" applyFont="1" applyFill="1" applyBorder="1"/>
    <xf numFmtId="37" fontId="9" fillId="18" borderId="14" xfId="0" applyNumberFormat="1" applyFont="1" applyFill="1" applyBorder="1"/>
    <xf numFmtId="39" fontId="198" fillId="0" borderId="53" xfId="107" applyNumberFormat="1" applyFont="1" applyFill="1" applyBorder="1"/>
    <xf numFmtId="164" fontId="198" fillId="0" borderId="53" xfId="107" applyNumberFormat="1" applyFont="1" applyFill="1" applyBorder="1"/>
    <xf numFmtId="7" fontId="199" fillId="0" borderId="53" xfId="107" applyNumberFormat="1" applyFont="1" applyFill="1" applyBorder="1"/>
    <xf numFmtId="164" fontId="199" fillId="0" borderId="53" xfId="62" applyNumberFormat="1" applyFont="1" applyFill="1" applyBorder="1"/>
    <xf numFmtId="164" fontId="199" fillId="0" borderId="56" xfId="0" applyNumberFormat="1" applyFont="1" applyBorder="1"/>
    <xf numFmtId="0" fontId="25" fillId="30" borderId="0" xfId="94" applyFont="1" applyFill="1" applyBorder="1" applyAlignment="1">
      <alignment horizontal="left"/>
    </xf>
    <xf numFmtId="49" fontId="25" fillId="30" borderId="0" xfId="57" applyNumberFormat="1" applyFont="1" applyFill="1" applyBorder="1" applyAlignment="1">
      <alignment horizontal="right"/>
    </xf>
    <xf numFmtId="0" fontId="25" fillId="30" borderId="0" xfId="94" applyNumberFormat="1" applyFont="1" applyFill="1" applyBorder="1" applyAlignment="1">
      <alignment horizontal="right"/>
    </xf>
    <xf numFmtId="49" fontId="25" fillId="30" borderId="0" xfId="94" applyNumberFormat="1" applyFont="1" applyFill="1" applyBorder="1" applyAlignment="1">
      <alignment horizontal="right"/>
    </xf>
    <xf numFmtId="49" fontId="25" fillId="30" borderId="0" xfId="94" applyNumberFormat="1" applyFont="1" applyFill="1" applyBorder="1" applyAlignment="1">
      <alignment horizontal="center" wrapText="1"/>
    </xf>
    <xf numFmtId="0" fontId="25" fillId="30" borderId="12" xfId="94" applyFont="1" applyFill="1" applyBorder="1" applyAlignment="1">
      <alignment horizontal="right"/>
    </xf>
    <xf numFmtId="0" fontId="25" fillId="30" borderId="0" xfId="94" applyFont="1" applyFill="1" applyBorder="1" applyAlignment="1">
      <alignment horizontal="right"/>
    </xf>
    <xf numFmtId="0" fontId="25" fillId="30" borderId="14" xfId="94" applyFont="1" applyFill="1" applyBorder="1" applyAlignment="1">
      <alignment horizontal="right"/>
    </xf>
    <xf numFmtId="0" fontId="25" fillId="30" borderId="15" xfId="94" applyFont="1" applyFill="1" applyBorder="1" applyAlignment="1">
      <alignment horizontal="right"/>
    </xf>
    <xf numFmtId="0" fontId="25" fillId="30" borderId="19" xfId="94" applyFont="1" applyFill="1" applyBorder="1" applyAlignment="1">
      <alignment horizontal="right"/>
    </xf>
    <xf numFmtId="43" fontId="25" fillId="30" borderId="22" xfId="57" applyFont="1" applyFill="1" applyBorder="1"/>
    <xf numFmtId="0" fontId="26" fillId="30" borderId="0" xfId="94" applyFont="1" applyFill="1" applyBorder="1"/>
    <xf numFmtId="0" fontId="26" fillId="30" borderId="12" xfId="94" applyFont="1" applyFill="1" applyBorder="1"/>
    <xf numFmtId="0" fontId="26" fillId="30" borderId="14" xfId="94" applyFont="1" applyFill="1" applyBorder="1"/>
    <xf numFmtId="43" fontId="25" fillId="30" borderId="12" xfId="57" applyFont="1" applyFill="1" applyBorder="1"/>
    <xf numFmtId="0" fontId="26" fillId="30" borderId="36" xfId="94" applyFont="1" applyFill="1" applyBorder="1"/>
    <xf numFmtId="0" fontId="26" fillId="30" borderId="22" xfId="94" applyFont="1" applyFill="1" applyBorder="1"/>
    <xf numFmtId="0" fontId="26" fillId="30" borderId="28" xfId="94" applyFont="1" applyFill="1" applyBorder="1"/>
    <xf numFmtId="0" fontId="26" fillId="30" borderId="35" xfId="94" applyFont="1" applyFill="1" applyBorder="1"/>
    <xf numFmtId="49" fontId="25" fillId="30" borderId="19" xfId="94" applyNumberFormat="1" applyFont="1" applyFill="1" applyBorder="1" applyAlignment="1">
      <alignment horizontal="right"/>
    </xf>
    <xf numFmtId="49" fontId="25" fillId="30" borderId="20" xfId="94" applyNumberFormat="1" applyFont="1" applyFill="1" applyBorder="1" applyAlignment="1">
      <alignment horizontal="right"/>
    </xf>
    <xf numFmtId="49" fontId="25" fillId="30" borderId="15" xfId="94" applyNumberFormat="1" applyFont="1" applyFill="1" applyBorder="1" applyAlignment="1">
      <alignment horizontal="right"/>
    </xf>
    <xf numFmtId="0" fontId="25" fillId="30" borderId="20" xfId="94" applyFont="1" applyFill="1" applyBorder="1" applyAlignment="1">
      <alignment horizontal="right"/>
    </xf>
    <xf numFmtId="0" fontId="25" fillId="30" borderId="36" xfId="94" applyFont="1" applyFill="1" applyBorder="1" applyAlignment="1">
      <alignment horizontal="right"/>
    </xf>
    <xf numFmtId="0" fontId="25" fillId="30" borderId="28" xfId="94" applyFont="1" applyFill="1" applyBorder="1" applyAlignment="1">
      <alignment horizontal="right"/>
    </xf>
    <xf numFmtId="0" fontId="25" fillId="30" borderId="35" xfId="94" applyFont="1" applyFill="1" applyBorder="1" applyAlignment="1">
      <alignment horizontal="right"/>
    </xf>
    <xf numFmtId="0" fontId="25" fillId="30" borderId="0" xfId="94" applyFont="1" applyFill="1" applyBorder="1"/>
    <xf numFmtId="49" fontId="25" fillId="30" borderId="12" xfId="94" applyNumberFormat="1" applyFont="1" applyFill="1" applyBorder="1" applyAlignment="1">
      <alignment horizontal="right"/>
    </xf>
    <xf numFmtId="49" fontId="25" fillId="30" borderId="14" xfId="94" applyNumberFormat="1" applyFont="1" applyFill="1" applyBorder="1" applyAlignment="1">
      <alignment horizontal="right"/>
    </xf>
    <xf numFmtId="49" fontId="25" fillId="30" borderId="34" xfId="94" applyNumberFormat="1" applyFont="1" applyFill="1" applyBorder="1" applyAlignment="1">
      <alignment horizontal="right"/>
    </xf>
    <xf numFmtId="49" fontId="25" fillId="30" borderId="22" xfId="94" applyNumberFormat="1" applyFont="1" applyFill="1" applyBorder="1" applyAlignment="1">
      <alignment horizontal="right"/>
    </xf>
    <xf numFmtId="49" fontId="25" fillId="30" borderId="33" xfId="94" applyNumberFormat="1" applyFont="1" applyFill="1" applyBorder="1" applyAlignment="1">
      <alignment horizontal="right"/>
    </xf>
    <xf numFmtId="0" fontId="25" fillId="30" borderId="28" xfId="94" applyFont="1" applyFill="1" applyBorder="1"/>
    <xf numFmtId="49" fontId="25" fillId="30" borderId="28" xfId="94" applyNumberFormat="1" applyFont="1" applyFill="1" applyBorder="1" applyAlignment="1">
      <alignment horizontal="right"/>
    </xf>
    <xf numFmtId="49" fontId="25" fillId="30" borderId="36" xfId="94" applyNumberFormat="1" applyFont="1" applyFill="1" applyBorder="1" applyAlignment="1">
      <alignment horizontal="right"/>
    </xf>
    <xf numFmtId="49" fontId="25" fillId="30" borderId="35" xfId="94" applyNumberFormat="1" applyFont="1" applyFill="1" applyBorder="1" applyAlignment="1">
      <alignment horizontal="right"/>
    </xf>
    <xf numFmtId="164" fontId="200" fillId="0" borderId="0" xfId="94" applyNumberFormat="1" applyFont="1" applyFill="1" applyBorder="1"/>
    <xf numFmtId="164" fontId="200" fillId="0" borderId="22" xfId="94" applyNumberFormat="1" applyFont="1" applyBorder="1"/>
    <xf numFmtId="37" fontId="200" fillId="0" borderId="0" xfId="94" applyNumberFormat="1" applyFont="1" applyFill="1" applyBorder="1"/>
    <xf numFmtId="164" fontId="200" fillId="0" borderId="0" xfId="94" applyNumberFormat="1" applyFont="1" applyBorder="1"/>
    <xf numFmtId="165" fontId="200" fillId="0" borderId="14" xfId="94" applyNumberFormat="1" applyFont="1" applyBorder="1"/>
    <xf numFmtId="165" fontId="200" fillId="0" borderId="0" xfId="94" applyNumberFormat="1" applyFont="1" applyBorder="1"/>
    <xf numFmtId="165" fontId="200" fillId="0" borderId="12" xfId="94" applyNumberFormat="1" applyFont="1" applyBorder="1"/>
    <xf numFmtId="38" fontId="200" fillId="0" borderId="12" xfId="94" applyNumberFormat="1" applyFont="1" applyFill="1" applyBorder="1"/>
    <xf numFmtId="38" fontId="200" fillId="0" borderId="0" xfId="94" applyNumberFormat="1" applyFont="1" applyFill="1" applyBorder="1"/>
    <xf numFmtId="38" fontId="200" fillId="0" borderId="14" xfId="94" applyNumberFormat="1" applyFont="1" applyFill="1" applyBorder="1"/>
    <xf numFmtId="37" fontId="200" fillId="0" borderId="12" xfId="94" applyNumberFormat="1" applyFont="1" applyBorder="1"/>
    <xf numFmtId="37" fontId="200" fillId="0" borderId="0" xfId="94" applyNumberFormat="1" applyFont="1" applyBorder="1"/>
    <xf numFmtId="37" fontId="200" fillId="0" borderId="12" xfId="94" applyNumberFormat="1" applyFont="1" applyFill="1" applyBorder="1"/>
    <xf numFmtId="37" fontId="200" fillId="0" borderId="14" xfId="94" applyNumberFormat="1" applyFont="1" applyFill="1" applyBorder="1"/>
    <xf numFmtId="38" fontId="201" fillId="0" borderId="12" xfId="94" applyNumberFormat="1" applyFont="1" applyFill="1" applyBorder="1"/>
    <xf numFmtId="38" fontId="201" fillId="0" borderId="0" xfId="94" applyNumberFormat="1" applyFont="1" applyFill="1" applyBorder="1"/>
    <xf numFmtId="38" fontId="201" fillId="0" borderId="14" xfId="94" applyNumberFormat="1" applyFont="1" applyFill="1" applyBorder="1"/>
    <xf numFmtId="3" fontId="201" fillId="0" borderId="12" xfId="94" applyNumberFormat="1" applyFont="1" applyFill="1" applyBorder="1"/>
    <xf numFmtId="3" fontId="201" fillId="0" borderId="0" xfId="94" applyNumberFormat="1" applyFont="1" applyFill="1" applyBorder="1"/>
    <xf numFmtId="164" fontId="201" fillId="0" borderId="0" xfId="94" applyNumberFormat="1" applyFont="1" applyBorder="1"/>
    <xf numFmtId="164" fontId="201" fillId="0" borderId="14" xfId="94" applyNumberFormat="1" applyFont="1" applyBorder="1"/>
    <xf numFmtId="170" fontId="201" fillId="16" borderId="12" xfId="94" applyNumberFormat="1" applyFont="1" applyFill="1" applyBorder="1"/>
    <xf numFmtId="170" fontId="201" fillId="0" borderId="0" xfId="94" applyNumberFormat="1" applyFont="1" applyFill="1" applyBorder="1"/>
    <xf numFmtId="170" fontId="201" fillId="0" borderId="14" xfId="94" applyNumberFormat="1" applyFont="1" applyFill="1" applyBorder="1"/>
    <xf numFmtId="3" fontId="201" fillId="16" borderId="14" xfId="0" applyNumberFormat="1" applyFont="1" applyFill="1" applyBorder="1"/>
    <xf numFmtId="3" fontId="201" fillId="16" borderId="0" xfId="0" applyNumberFormat="1" applyFont="1" applyFill="1" applyBorder="1"/>
    <xf numFmtId="164" fontId="201" fillId="0" borderId="22" xfId="94" applyNumberFormat="1" applyFont="1" applyBorder="1"/>
    <xf numFmtId="37" fontId="201" fillId="0" borderId="0" xfId="94" applyNumberFormat="1" applyFont="1" applyFill="1" applyBorder="1"/>
    <xf numFmtId="37" fontId="201" fillId="0" borderId="14" xfId="94" applyNumberFormat="1" applyFont="1" applyFill="1" applyBorder="1"/>
    <xf numFmtId="37" fontId="201" fillId="0" borderId="0" xfId="94" applyNumberFormat="1" applyFont="1" applyBorder="1"/>
    <xf numFmtId="1" fontId="201" fillId="0" borderId="14" xfId="94" applyNumberFormat="1" applyFont="1" applyFill="1" applyBorder="1"/>
    <xf numFmtId="164" fontId="201" fillId="17" borderId="14" xfId="112" applyNumberFormat="1" applyFont="1" applyFill="1" applyBorder="1"/>
    <xf numFmtId="3" fontId="201" fillId="16" borderId="33" xfId="94" applyNumberFormat="1" applyFont="1" applyFill="1" applyBorder="1"/>
    <xf numFmtId="3" fontId="201" fillId="16" borderId="22" xfId="94" applyNumberFormat="1" applyFont="1" applyFill="1" applyBorder="1"/>
    <xf numFmtId="3" fontId="201" fillId="0" borderId="22" xfId="94" applyNumberFormat="1" applyFont="1" applyBorder="1"/>
    <xf numFmtId="1" fontId="201" fillId="0" borderId="0" xfId="94" applyNumberFormat="1" applyFont="1" applyBorder="1"/>
    <xf numFmtId="164" fontId="201" fillId="17" borderId="0" xfId="94" applyNumberFormat="1" applyFont="1" applyFill="1" applyBorder="1"/>
    <xf numFmtId="37" fontId="201" fillId="16" borderId="12" xfId="94" applyNumberFormat="1" applyFont="1" applyFill="1" applyBorder="1"/>
    <xf numFmtId="37" fontId="201" fillId="16" borderId="0" xfId="94" applyNumberFormat="1" applyFont="1" applyFill="1" applyBorder="1"/>
    <xf numFmtId="37" fontId="201" fillId="16" borderId="14" xfId="94" applyNumberFormat="1" applyFont="1" applyFill="1" applyBorder="1"/>
    <xf numFmtId="37" fontId="201" fillId="16" borderId="12" xfId="112" applyNumberFormat="1" applyFont="1" applyFill="1" applyBorder="1"/>
    <xf numFmtId="37" fontId="201" fillId="16" borderId="0" xfId="112" applyNumberFormat="1" applyFont="1" applyFill="1" applyBorder="1"/>
    <xf numFmtId="164" fontId="201" fillId="0" borderId="0" xfId="112" applyNumberFormat="1" applyFont="1" applyBorder="1"/>
    <xf numFmtId="37" fontId="202" fillId="0" borderId="12" xfId="94" applyNumberFormat="1" applyFont="1" applyFill="1" applyBorder="1"/>
    <xf numFmtId="37" fontId="202" fillId="0" borderId="0" xfId="94" applyNumberFormat="1" applyFont="1" applyFill="1" applyBorder="1"/>
    <xf numFmtId="37" fontId="202" fillId="0" borderId="14" xfId="94" applyNumberFormat="1" applyFont="1" applyFill="1" applyBorder="1"/>
    <xf numFmtId="164" fontId="201" fillId="0" borderId="14" xfId="112" applyNumberFormat="1" applyFont="1" applyBorder="1"/>
    <xf numFmtId="0" fontId="25" fillId="30" borderId="15" xfId="94" applyFont="1" applyFill="1" applyBorder="1" applyAlignment="1">
      <alignment horizontal="left"/>
    </xf>
    <xf numFmtId="0" fontId="25" fillId="30" borderId="15" xfId="94" applyNumberFormat="1" applyFont="1" applyFill="1" applyBorder="1" applyAlignment="1">
      <alignment horizontal="right"/>
    </xf>
    <xf numFmtId="0" fontId="25" fillId="30" borderId="18" xfId="94" applyFont="1" applyFill="1" applyBorder="1" applyAlignment="1">
      <alignment horizontal="right"/>
    </xf>
    <xf numFmtId="0" fontId="25" fillId="30" borderId="36" xfId="94" applyFont="1" applyFill="1" applyBorder="1"/>
    <xf numFmtId="0" fontId="25" fillId="30" borderId="17" xfId="94" applyFont="1" applyFill="1" applyBorder="1"/>
    <xf numFmtId="0" fontId="25" fillId="30" borderId="12" xfId="94" applyFont="1" applyFill="1" applyBorder="1"/>
    <xf numFmtId="0" fontId="25" fillId="30" borderId="14" xfId="94" applyFont="1" applyFill="1" applyBorder="1"/>
    <xf numFmtId="37" fontId="25" fillId="30" borderId="0" xfId="94" applyNumberFormat="1" applyFont="1" applyFill="1" applyBorder="1" applyAlignment="1">
      <alignment horizontal="right"/>
    </xf>
    <xf numFmtId="0" fontId="25" fillId="30" borderId="17" xfId="94" applyFont="1" applyFill="1" applyBorder="1" applyAlignment="1">
      <alignment horizontal="right"/>
    </xf>
    <xf numFmtId="0" fontId="25" fillId="30" borderId="20" xfId="94" applyFont="1" applyFill="1" applyBorder="1" applyAlignment="1">
      <alignment horizontal="left"/>
    </xf>
    <xf numFmtId="0" fontId="25" fillId="30" borderId="20" xfId="94" applyFont="1" applyFill="1" applyBorder="1"/>
    <xf numFmtId="0" fontId="26" fillId="30" borderId="15" xfId="94" applyFont="1" applyFill="1" applyBorder="1"/>
    <xf numFmtId="0" fontId="26" fillId="30" borderId="20" xfId="94" applyFont="1" applyFill="1" applyBorder="1"/>
    <xf numFmtId="0" fontId="26" fillId="30" borderId="19" xfId="94" applyFont="1" applyFill="1" applyBorder="1"/>
    <xf numFmtId="167" fontId="202" fillId="0" borderId="12" xfId="57" applyNumberFormat="1" applyFont="1" applyFill="1" applyBorder="1"/>
    <xf numFmtId="167" fontId="202" fillId="0" borderId="0" xfId="57" applyNumberFormat="1" applyFont="1" applyFill="1" applyBorder="1"/>
    <xf numFmtId="167" fontId="202" fillId="0" borderId="14" xfId="57" applyNumberFormat="1" applyFont="1" applyFill="1" applyBorder="1"/>
    <xf numFmtId="3" fontId="202" fillId="0" borderId="12" xfId="94" applyNumberFormat="1" applyFont="1" applyBorder="1"/>
    <xf numFmtId="3" fontId="202" fillId="0" borderId="0" xfId="94" applyNumberFormat="1" applyFont="1" applyBorder="1"/>
    <xf numFmtId="3" fontId="202" fillId="0" borderId="14" xfId="94" applyNumberFormat="1" applyFont="1" applyFill="1" applyBorder="1"/>
    <xf numFmtId="3" fontId="202" fillId="0" borderId="0" xfId="94" applyNumberFormat="1" applyFont="1" applyFill="1" applyBorder="1"/>
    <xf numFmtId="37" fontId="202" fillId="0" borderId="12" xfId="3" applyNumberFormat="1" applyFont="1" applyBorder="1"/>
    <xf numFmtId="37" fontId="202" fillId="0" borderId="0" xfId="3" applyNumberFormat="1" applyFont="1" applyBorder="1"/>
    <xf numFmtId="37" fontId="202" fillId="0" borderId="14" xfId="3" applyNumberFormat="1" applyFont="1" applyFill="1" applyBorder="1"/>
    <xf numFmtId="37" fontId="202" fillId="0" borderId="0" xfId="3" applyNumberFormat="1" applyFont="1" applyFill="1" applyBorder="1"/>
    <xf numFmtId="37" fontId="202" fillId="0" borderId="12" xfId="3" applyNumberFormat="1" applyFont="1" applyFill="1" applyBorder="1"/>
    <xf numFmtId="3" fontId="202" fillId="0" borderId="15" xfId="3" applyNumberFormat="1" applyFont="1" applyFill="1" applyBorder="1"/>
    <xf numFmtId="3" fontId="202" fillId="0" borderId="19" xfId="3" applyNumberFormat="1" applyFont="1" applyFill="1" applyBorder="1"/>
    <xf numFmtId="3" fontId="202" fillId="0" borderId="0" xfId="3" applyNumberFormat="1" applyFont="1" applyFill="1" applyBorder="1"/>
    <xf numFmtId="3" fontId="202" fillId="0" borderId="14" xfId="3" applyNumberFormat="1" applyFont="1" applyFill="1" applyBorder="1"/>
    <xf numFmtId="0" fontId="2" fillId="30" borderId="0" xfId="94" applyFont="1" applyFill="1"/>
    <xf numFmtId="37" fontId="2" fillId="30" borderId="0" xfId="94" applyNumberFormat="1" applyFont="1" applyFill="1" applyBorder="1"/>
    <xf numFmtId="1" fontId="0" fillId="0" borderId="0" xfId="0" applyNumberFormat="1"/>
    <xf numFmtId="37" fontId="203" fillId="0" borderId="0" xfId="94" applyNumberFormat="1" applyFont="1" applyFill="1" applyBorder="1"/>
    <xf numFmtId="38" fontId="203" fillId="0" borderId="0" xfId="94" applyNumberFormat="1" applyFont="1" applyBorder="1"/>
    <xf numFmtId="38" fontId="203" fillId="0" borderId="12" xfId="94" applyNumberFormat="1" applyFont="1" applyBorder="1"/>
    <xf numFmtId="38" fontId="203" fillId="0" borderId="14" xfId="94" applyNumberFormat="1" applyFont="1" applyBorder="1"/>
    <xf numFmtId="37" fontId="204" fillId="0" borderId="0" xfId="94" applyNumberFormat="1" applyFont="1" applyBorder="1"/>
    <xf numFmtId="0" fontId="196" fillId="0" borderId="0" xfId="94" applyFont="1" applyBorder="1" applyAlignment="1">
      <alignment horizontal="left" indent="1"/>
    </xf>
    <xf numFmtId="0" fontId="195" fillId="0" borderId="0" xfId="94" applyFont="1" applyBorder="1" applyAlignment="1">
      <alignment horizontal="left" indent="1"/>
    </xf>
    <xf numFmtId="3" fontId="197" fillId="0" borderId="0" xfId="94" applyNumberFormat="1" applyFont="1" applyBorder="1"/>
    <xf numFmtId="3" fontId="196" fillId="0" borderId="0" xfId="94" applyNumberFormat="1" applyFont="1" applyBorder="1"/>
    <xf numFmtId="3" fontId="195" fillId="0" borderId="0" xfId="94" applyNumberFormat="1" applyFont="1" applyBorder="1"/>
    <xf numFmtId="37" fontId="201" fillId="0" borderId="12" xfId="94" applyNumberFormat="1" applyFont="1" applyFill="1" applyBorder="1"/>
    <xf numFmtId="37" fontId="10" fillId="16" borderId="15" xfId="96" applyNumberFormat="1" applyFont="1" applyFill="1" applyBorder="1" applyAlignment="1" applyProtection="1">
      <alignment horizontal="center"/>
    </xf>
    <xf numFmtId="0" fontId="0" fillId="16" borderId="35" xfId="0" applyFill="1" applyBorder="1" applyAlignment="1">
      <alignment horizontal="center"/>
    </xf>
    <xf numFmtId="0" fontId="0" fillId="17" borderId="48" xfId="0" applyFill="1" applyBorder="1" applyAlignment="1">
      <alignment horizontal="center"/>
    </xf>
    <xf numFmtId="3" fontId="9" fillId="16" borderId="17" xfId="0" applyNumberFormat="1" applyFont="1" applyFill="1" applyBorder="1" applyAlignment="1">
      <alignment horizontal="center"/>
    </xf>
    <xf numFmtId="0" fontId="192" fillId="0" borderId="0" xfId="0" applyFont="1" applyAlignment="1">
      <alignment vertical="center"/>
    </xf>
    <xf numFmtId="3" fontId="205" fillId="16" borderId="17" xfId="0" applyNumberFormat="1" applyFont="1" applyFill="1" applyBorder="1" applyAlignment="1">
      <alignment horizontal="center"/>
    </xf>
    <xf numFmtId="3" fontId="206" fillId="16" borderId="17" xfId="0" applyNumberFormat="1" applyFont="1" applyFill="1" applyBorder="1" applyAlignment="1">
      <alignment horizontal="center"/>
    </xf>
    <xf numFmtId="0" fontId="0" fillId="16" borderId="21" xfId="0" applyFill="1" applyBorder="1" applyAlignment="1">
      <alignment horizontal="center"/>
    </xf>
    <xf numFmtId="0" fontId="0" fillId="16" borderId="17" xfId="0" applyFill="1" applyBorder="1" applyAlignment="1">
      <alignment horizontal="left"/>
    </xf>
    <xf numFmtId="0" fontId="0" fillId="16" borderId="21" xfId="0" applyFill="1" applyBorder="1" applyAlignment="1">
      <alignment horizontal="left"/>
    </xf>
    <xf numFmtId="3" fontId="0" fillId="16" borderId="17" xfId="0" applyNumberFormat="1" applyFont="1" applyFill="1" applyBorder="1" applyAlignment="1">
      <alignment horizontal="right"/>
    </xf>
    <xf numFmtId="3" fontId="0" fillId="16" borderId="17" xfId="0" applyNumberFormat="1" applyFill="1" applyBorder="1" applyAlignment="1">
      <alignment horizontal="right"/>
    </xf>
    <xf numFmtId="3" fontId="0" fillId="16" borderId="14" xfId="0" applyNumberFormat="1" applyFill="1" applyBorder="1" applyAlignment="1">
      <alignment horizontal="right"/>
    </xf>
    <xf numFmtId="3" fontId="0" fillId="17" borderId="17" xfId="0" applyNumberFormat="1" applyFill="1" applyBorder="1" applyAlignment="1">
      <alignment horizontal="right"/>
    </xf>
    <xf numFmtId="166" fontId="2" fillId="16" borderId="17" xfId="94" quotePrefix="1" applyNumberFormat="1" applyFont="1" applyFill="1" applyBorder="1" applyAlignment="1">
      <alignment horizontal="right"/>
    </xf>
    <xf numFmtId="8" fontId="0" fillId="16" borderId="17" xfId="0" applyNumberFormat="1" applyFill="1" applyBorder="1" applyAlignment="1">
      <alignment horizontal="right"/>
    </xf>
    <xf numFmtId="8" fontId="0" fillId="16" borderId="14" xfId="0" applyNumberFormat="1" applyFill="1" applyBorder="1" applyAlignment="1">
      <alignment horizontal="right"/>
    </xf>
    <xf numFmtId="166" fontId="9" fillId="17" borderId="17" xfId="94" quotePrefix="1" applyNumberFormat="1" applyFont="1" applyFill="1" applyBorder="1" applyAlignment="1">
      <alignment horizontal="right"/>
    </xf>
    <xf numFmtId="0" fontId="0" fillId="16" borderId="17" xfId="0" applyFont="1" applyFill="1" applyBorder="1" applyAlignment="1">
      <alignment horizontal="right"/>
    </xf>
    <xf numFmtId="0" fontId="0" fillId="16" borderId="17" xfId="0" applyFill="1" applyBorder="1" applyAlignment="1">
      <alignment horizontal="right"/>
    </xf>
    <xf numFmtId="0" fontId="0" fillId="16" borderId="14" xfId="0" applyFill="1" applyBorder="1" applyAlignment="1">
      <alignment horizontal="right"/>
    </xf>
    <xf numFmtId="0" fontId="0" fillId="17" borderId="17" xfId="0" applyFill="1" applyBorder="1" applyAlignment="1">
      <alignment horizontal="right"/>
    </xf>
    <xf numFmtId="164" fontId="0" fillId="16" borderId="17" xfId="0" applyNumberFormat="1" applyFont="1" applyFill="1" applyBorder="1" applyAlignment="1">
      <alignment horizontal="right"/>
    </xf>
    <xf numFmtId="164" fontId="0" fillId="16" borderId="17" xfId="0" applyNumberFormat="1" applyFill="1" applyBorder="1" applyAlignment="1">
      <alignment horizontal="right"/>
    </xf>
    <xf numFmtId="164" fontId="0" fillId="16" borderId="14" xfId="0" applyNumberFormat="1" applyFill="1" applyBorder="1" applyAlignment="1">
      <alignment horizontal="right"/>
    </xf>
    <xf numFmtId="164" fontId="0" fillId="17" borderId="17" xfId="0" applyNumberFormat="1" applyFill="1" applyBorder="1" applyAlignment="1">
      <alignment horizontal="right"/>
    </xf>
    <xf numFmtId="164" fontId="0" fillId="16" borderId="21" xfId="0" applyNumberFormat="1" applyFont="1" applyFill="1" applyBorder="1" applyAlignment="1">
      <alignment horizontal="right"/>
    </xf>
    <xf numFmtId="164" fontId="0" fillId="16" borderId="21" xfId="0" applyNumberFormat="1" applyFill="1" applyBorder="1" applyAlignment="1">
      <alignment horizontal="right"/>
    </xf>
    <xf numFmtId="164" fontId="0" fillId="16" borderId="33" xfId="0" applyNumberFormat="1" applyFill="1" applyBorder="1" applyAlignment="1">
      <alignment horizontal="right"/>
    </xf>
    <xf numFmtId="164" fontId="0" fillId="17" borderId="21" xfId="0" applyNumberFormat="1" applyFill="1" applyBorder="1" applyAlignment="1">
      <alignment horizontal="right"/>
    </xf>
    <xf numFmtId="4" fontId="143" fillId="0" borderId="0" xfId="57" applyNumberFormat="1" applyFont="1" applyFill="1" applyBorder="1"/>
    <xf numFmtId="7" fontId="207" fillId="16" borderId="55" xfId="137" applyNumberFormat="1" applyFont="1" applyFill="1" applyBorder="1"/>
    <xf numFmtId="3" fontId="0" fillId="16" borderId="18" xfId="0" applyNumberFormat="1" applyFill="1" applyBorder="1" applyAlignment="1">
      <alignment horizontal="center"/>
    </xf>
    <xf numFmtId="3" fontId="0" fillId="16" borderId="21" xfId="0" applyNumberFormat="1" applyFill="1" applyBorder="1" applyAlignment="1">
      <alignment horizontal="center"/>
    </xf>
    <xf numFmtId="164" fontId="1" fillId="28" borderId="21" xfId="94" applyNumberFormat="1" applyFont="1" applyFill="1" applyBorder="1" applyAlignment="1">
      <alignment horizontal="center"/>
    </xf>
    <xf numFmtId="0" fontId="0" fillId="28" borderId="22" xfId="0" applyFill="1" applyBorder="1" applyAlignment="1">
      <alignment horizontal="centerContinuous"/>
    </xf>
    <xf numFmtId="3" fontId="0" fillId="16" borderId="17" xfId="0" applyNumberFormat="1" applyFill="1" applyBorder="1" applyAlignment="1">
      <alignment horizontal="center"/>
    </xf>
    <xf numFmtId="166" fontId="9" fillId="16" borderId="17" xfId="94" quotePrefix="1" applyNumberFormat="1" applyFont="1" applyFill="1" applyBorder="1" applyAlignment="1">
      <alignment horizontal="center"/>
    </xf>
    <xf numFmtId="164" fontId="0" fillId="16" borderId="17" xfId="0" applyNumberFormat="1" applyFill="1" applyBorder="1" applyAlignment="1">
      <alignment horizontal="center"/>
    </xf>
    <xf numFmtId="164" fontId="0" fillId="16" borderId="21" xfId="0" applyNumberFormat="1" applyFill="1" applyBorder="1" applyAlignment="1">
      <alignment horizontal="center"/>
    </xf>
    <xf numFmtId="3" fontId="200" fillId="16" borderId="12" xfId="0" applyNumberFormat="1" applyFont="1" applyFill="1" applyBorder="1" applyAlignment="1">
      <alignment horizontal="center"/>
    </xf>
    <xf numFmtId="3" fontId="200" fillId="16" borderId="14" xfId="0" applyNumberFormat="1" applyFont="1" applyFill="1" applyBorder="1" applyAlignment="1">
      <alignment horizontal="center"/>
    </xf>
    <xf numFmtId="8" fontId="200" fillId="16" borderId="12" xfId="0" applyNumberFormat="1" applyFont="1" applyFill="1" applyBorder="1" applyAlignment="1">
      <alignment horizontal="center"/>
    </xf>
    <xf numFmtId="8" fontId="200" fillId="16" borderId="14" xfId="0" applyNumberFormat="1" applyFont="1" applyFill="1" applyBorder="1" applyAlignment="1">
      <alignment horizontal="center"/>
    </xf>
    <xf numFmtId="0" fontId="196" fillId="16" borderId="17" xfId="0" applyFont="1" applyFill="1" applyBorder="1" applyAlignment="1">
      <alignment horizontal="center"/>
    </xf>
    <xf numFmtId="0" fontId="0" fillId="16" borderId="35" xfId="0" applyFill="1" applyBorder="1" applyAlignment="1">
      <alignment wrapText="1"/>
    </xf>
    <xf numFmtId="0" fontId="0" fillId="27" borderId="14" xfId="0" applyFill="1" applyBorder="1" applyAlignment="1">
      <alignment horizontal="center"/>
    </xf>
    <xf numFmtId="0" fontId="0" fillId="16" borderId="0" xfId="0" applyFill="1" applyAlignment="1">
      <alignment horizontal="center"/>
    </xf>
    <xf numFmtId="3" fontId="0" fillId="0" borderId="0" xfId="0" applyNumberFormat="1" applyBorder="1"/>
    <xf numFmtId="3" fontId="9" fillId="0" borderId="0" xfId="57" applyNumberFormat="1" applyFont="1" applyFill="1" applyBorder="1"/>
    <xf numFmtId="6" fontId="9" fillId="0" borderId="0" xfId="57" applyNumberFormat="1" applyFont="1" applyFill="1" applyBorder="1"/>
    <xf numFmtId="37" fontId="200" fillId="0" borderId="14" xfId="94" applyNumberFormat="1" applyFont="1" applyBorder="1"/>
    <xf numFmtId="3" fontId="0" fillId="16" borderId="0" xfId="0" applyNumberFormat="1" applyFill="1" applyBorder="1" applyAlignment="1">
      <alignment horizontal="center"/>
    </xf>
    <xf numFmtId="0" fontId="0" fillId="16" borderId="34" xfId="0" applyFill="1" applyBorder="1" applyAlignment="1">
      <alignment horizontal="centerContinuous"/>
    </xf>
    <xf numFmtId="0" fontId="0" fillId="16" borderId="33" xfId="0" applyFill="1" applyBorder="1" applyAlignment="1">
      <alignment horizontal="centerContinuous"/>
    </xf>
    <xf numFmtId="164" fontId="1" fillId="28" borderId="34" xfId="94" applyNumberFormat="1" applyFont="1" applyFill="1" applyBorder="1" applyAlignment="1">
      <alignment horizontal="centerContinuous"/>
    </xf>
    <xf numFmtId="0" fontId="0" fillId="28" borderId="33" xfId="0" applyFill="1" applyBorder="1" applyAlignment="1">
      <alignment horizontal="centerContinuous"/>
    </xf>
    <xf numFmtId="164" fontId="0" fillId="16" borderId="34" xfId="0" applyNumberFormat="1" applyFill="1" applyBorder="1"/>
    <xf numFmtId="0" fontId="208" fillId="31" borderId="0" xfId="0" applyFont="1" applyFill="1"/>
    <xf numFmtId="0" fontId="208" fillId="16" borderId="0" xfId="0" applyFont="1" applyFill="1"/>
    <xf numFmtId="0" fontId="0" fillId="16" borderId="20" xfId="0" applyFont="1" applyFill="1" applyBorder="1" applyAlignment="1">
      <alignment horizontal="centerContinuous"/>
    </xf>
    <xf numFmtId="0" fontId="0" fillId="16" borderId="15" xfId="0" applyFont="1" applyFill="1" applyBorder="1" applyAlignment="1">
      <alignment horizontal="centerContinuous"/>
    </xf>
    <xf numFmtId="0" fontId="0" fillId="16" borderId="19" xfId="0" applyFont="1" applyFill="1" applyBorder="1" applyAlignment="1">
      <alignment horizontal="centerContinuous"/>
    </xf>
    <xf numFmtId="3" fontId="0" fillId="16" borderId="12" xfId="0" applyNumberFormat="1" applyFont="1" applyFill="1" applyBorder="1"/>
    <xf numFmtId="3" fontId="0" fillId="16" borderId="0" xfId="0" applyNumberFormat="1" applyFont="1" applyFill="1" applyBorder="1"/>
    <xf numFmtId="3" fontId="0" fillId="16" borderId="14" xfId="0" applyNumberFormat="1" applyFont="1" applyFill="1" applyBorder="1"/>
    <xf numFmtId="8" fontId="0" fillId="16" borderId="34" xfId="0" applyNumberFormat="1" applyFont="1" applyFill="1" applyBorder="1"/>
    <xf numFmtId="8" fontId="0" fillId="16" borderId="22" xfId="0" applyNumberFormat="1" applyFont="1" applyFill="1" applyBorder="1"/>
    <xf numFmtId="8" fontId="0" fillId="16" borderId="33" xfId="0" applyNumberFormat="1" applyFont="1" applyFill="1" applyBorder="1"/>
    <xf numFmtId="0" fontId="0" fillId="16" borderId="36" xfId="0" applyFont="1" applyFill="1" applyBorder="1" applyAlignment="1">
      <alignment horizontal="center"/>
    </xf>
    <xf numFmtId="0" fontId="0" fillId="16" borderId="28" xfId="0" applyFont="1" applyFill="1" applyBorder="1" applyAlignment="1">
      <alignment horizontal="center"/>
    </xf>
    <xf numFmtId="0" fontId="0" fillId="16" borderId="35" xfId="0" applyFont="1" applyFill="1" applyBorder="1" applyAlignment="1">
      <alignment horizontal="center"/>
    </xf>
    <xf numFmtId="164" fontId="0" fillId="16" borderId="20" xfId="0" applyNumberFormat="1" applyFill="1" applyBorder="1"/>
    <xf numFmtId="164" fontId="0" fillId="16" borderId="15" xfId="0" applyNumberFormat="1" applyFill="1" applyBorder="1"/>
    <xf numFmtId="164" fontId="0" fillId="16" borderId="19" xfId="0" applyNumberFormat="1" applyFill="1" applyBorder="1"/>
    <xf numFmtId="166" fontId="9" fillId="16" borderId="0" xfId="94" quotePrefix="1" applyNumberFormat="1" applyFont="1" applyFill="1" applyBorder="1" applyAlignment="1">
      <alignment horizontal="center"/>
    </xf>
    <xf numFmtId="0" fontId="0" fillId="16" borderId="0" xfId="0" applyFill="1" applyAlignment="1">
      <alignment horizontal="centerContinuous"/>
    </xf>
    <xf numFmtId="0" fontId="0" fillId="32" borderId="0" xfId="0" applyFill="1" applyAlignment="1">
      <alignment horizontal="center"/>
    </xf>
    <xf numFmtId="164" fontId="0" fillId="32" borderId="0" xfId="0" applyNumberFormat="1" applyFill="1"/>
    <xf numFmtId="37" fontId="209" fillId="16" borderId="18" xfId="95" applyNumberFormat="1" applyFont="1" applyFill="1" applyBorder="1" applyAlignment="1">
      <alignment horizontal="center"/>
    </xf>
    <xf numFmtId="0" fontId="7" fillId="0" borderId="0" xfId="0" applyFont="1" applyFill="1"/>
    <xf numFmtId="0" fontId="71" fillId="16" borderId="17" xfId="95" applyFont="1" applyFill="1" applyBorder="1" applyAlignment="1">
      <alignment horizontal="center"/>
    </xf>
    <xf numFmtId="0" fontId="7" fillId="0" borderId="15" xfId="0" applyFont="1" applyFill="1" applyBorder="1"/>
    <xf numFmtId="0" fontId="7" fillId="16" borderId="0" xfId="0" applyFont="1" applyFill="1"/>
    <xf numFmtId="0" fontId="10" fillId="0" borderId="0" xfId="0" applyFont="1" applyFill="1"/>
    <xf numFmtId="0" fontId="113" fillId="0" borderId="0" xfId="0" applyFont="1" applyFill="1"/>
    <xf numFmtId="0" fontId="210" fillId="0" borderId="0" xfId="0" applyFont="1" applyFill="1" applyAlignment="1">
      <alignment horizontal="right"/>
    </xf>
    <xf numFmtId="0" fontId="210" fillId="0" borderId="0" xfId="0" applyFont="1" applyFill="1" applyAlignment="1">
      <alignment horizontal="center"/>
    </xf>
    <xf numFmtId="7" fontId="211" fillId="0" borderId="0" xfId="61" applyNumberFormat="1" applyFont="1" applyFill="1"/>
    <xf numFmtId="0" fontId="7" fillId="0" borderId="0" xfId="0" applyFont="1" applyFill="1" applyAlignment="1">
      <alignment horizontal="center"/>
    </xf>
    <xf numFmtId="0" fontId="211" fillId="0" borderId="0" xfId="0" applyFont="1" applyFill="1"/>
    <xf numFmtId="7" fontId="211" fillId="0" borderId="0" xfId="0" applyNumberFormat="1" applyFont="1" applyFill="1" applyAlignment="1">
      <alignment horizontal="center"/>
    </xf>
    <xf numFmtId="0" fontId="7" fillId="0" borderId="0" xfId="0" applyFont="1" applyFill="1" applyAlignment="1">
      <alignment horizontal="center"/>
    </xf>
    <xf numFmtId="7" fontId="209" fillId="0" borderId="48" xfId="61" applyNumberFormat="1" applyFont="1" applyFill="1" applyBorder="1"/>
    <xf numFmtId="7" fontId="7" fillId="0" borderId="0" xfId="0" applyNumberFormat="1" applyFont="1" applyFill="1" applyAlignment="1">
      <alignment horizontal="center"/>
    </xf>
    <xf numFmtId="37" fontId="7" fillId="0" borderId="0" xfId="61" applyNumberFormat="1" applyFont="1" applyFill="1" applyBorder="1"/>
    <xf numFmtId="37" fontId="212" fillId="0" borderId="0" xfId="61" applyNumberFormat="1" applyFont="1" applyFill="1" applyBorder="1"/>
    <xf numFmtId="37" fontId="7" fillId="0" borderId="0" xfId="0" applyNumberFormat="1" applyFont="1" applyFill="1"/>
    <xf numFmtId="0" fontId="10" fillId="16" borderId="48" xfId="95" applyFont="1" applyFill="1" applyBorder="1"/>
    <xf numFmtId="164" fontId="213" fillId="16" borderId="18" xfId="115" applyNumberFormat="1" applyFont="1" applyFill="1" applyBorder="1"/>
    <xf numFmtId="164" fontId="71" fillId="16" borderId="21" xfId="115" applyNumberFormat="1" applyFont="1" applyFill="1" applyBorder="1"/>
    <xf numFmtId="37" fontId="211" fillId="0" borderId="0" xfId="61" applyNumberFormat="1" applyFont="1" applyFill="1" applyBorder="1"/>
    <xf numFmtId="0" fontId="7" fillId="0" borderId="0" xfId="95" applyFont="1" applyFill="1" applyAlignment="1">
      <alignment horizontal="right"/>
    </xf>
    <xf numFmtId="0" fontId="10" fillId="16" borderId="0" xfId="0" applyFont="1" applyFill="1" applyAlignment="1">
      <alignment horizontal="right"/>
    </xf>
    <xf numFmtId="5" fontId="7" fillId="16" borderId="0" xfId="0" applyNumberFormat="1" applyFont="1" applyFill="1" applyAlignment="1">
      <alignment horizontal="right"/>
    </xf>
    <xf numFmtId="0" fontId="10" fillId="16" borderId="36" xfId="0" applyFont="1" applyFill="1" applyBorder="1"/>
    <xf numFmtId="0" fontId="10" fillId="16" borderId="28" xfId="0" applyFont="1" applyFill="1" applyBorder="1"/>
    <xf numFmtId="0" fontId="10" fillId="0" borderId="0" xfId="95" applyFont="1" applyFill="1" applyBorder="1" applyAlignment="1">
      <alignment horizontal="right"/>
    </xf>
    <xf numFmtId="37" fontId="212" fillId="0" borderId="0" xfId="0" applyNumberFormat="1" applyFont="1" applyFill="1"/>
    <xf numFmtId="37" fontId="7" fillId="33" borderId="48" xfId="0" applyNumberFormat="1" applyFont="1" applyFill="1" applyBorder="1"/>
    <xf numFmtId="0" fontId="10" fillId="0" borderId="15" xfId="0" applyFont="1" applyFill="1" applyBorder="1"/>
    <xf numFmtId="37" fontId="10" fillId="0" borderId="15" xfId="0" applyNumberFormat="1" applyFont="1" applyFill="1" applyBorder="1"/>
    <xf numFmtId="37" fontId="10" fillId="0" borderId="0" xfId="0" applyNumberFormat="1" applyFont="1" applyFill="1" applyBorder="1"/>
    <xf numFmtId="0" fontId="7" fillId="0" borderId="0" xfId="0" applyFont="1" applyFill="1" applyBorder="1"/>
    <xf numFmtId="37" fontId="7" fillId="0" borderId="0" xfId="0" applyNumberFormat="1" applyFont="1" applyFill="1" applyBorder="1"/>
    <xf numFmtId="0" fontId="10" fillId="0" borderId="0" xfId="0" applyFont="1" applyFill="1" applyBorder="1"/>
    <xf numFmtId="37" fontId="7" fillId="33" borderId="48" xfId="61" applyNumberFormat="1" applyFont="1" applyFill="1" applyBorder="1"/>
    <xf numFmtId="164" fontId="214" fillId="16" borderId="36" xfId="115" applyNumberFormat="1" applyFont="1" applyFill="1" applyBorder="1"/>
    <xf numFmtId="0" fontId="71" fillId="16" borderId="35" xfId="0" applyFont="1" applyFill="1" applyBorder="1"/>
    <xf numFmtId="0" fontId="71" fillId="0" borderId="0" xfId="0" applyFont="1" applyFill="1" applyBorder="1"/>
    <xf numFmtId="0" fontId="10" fillId="0" borderId="0" xfId="95" applyFont="1" applyFill="1"/>
    <xf numFmtId="0" fontId="71" fillId="0" borderId="18" xfId="0" applyFont="1" applyFill="1" applyBorder="1" applyAlignment="1">
      <alignment horizontal="center"/>
    </xf>
    <xf numFmtId="37" fontId="212" fillId="0" borderId="0" xfId="0" applyNumberFormat="1" applyFont="1" applyFill="1" applyBorder="1"/>
    <xf numFmtId="5" fontId="10" fillId="16" borderId="0" xfId="0" applyNumberFormat="1" applyFont="1" applyFill="1" applyAlignment="1">
      <alignment horizontal="right"/>
    </xf>
    <xf numFmtId="164" fontId="213" fillId="16" borderId="21" xfId="115" applyNumberFormat="1" applyFont="1" applyFill="1" applyBorder="1"/>
    <xf numFmtId="37" fontId="211" fillId="0" borderId="0" xfId="61" applyNumberFormat="1" applyFont="1" applyFill="1"/>
    <xf numFmtId="37" fontId="212" fillId="16" borderId="0" xfId="0" applyNumberFormat="1" applyFont="1" applyFill="1" applyAlignment="1">
      <alignment horizontal="right"/>
    </xf>
    <xf numFmtId="5" fontId="10" fillId="0" borderId="15" xfId="0" applyNumberFormat="1" applyFont="1" applyFill="1" applyBorder="1"/>
    <xf numFmtId="5" fontId="10" fillId="0" borderId="0" xfId="0" applyNumberFormat="1" applyFont="1" applyFill="1" applyBorder="1"/>
    <xf numFmtId="37" fontId="7" fillId="0" borderId="0" xfId="61" applyNumberFormat="1" applyFont="1" applyFill="1"/>
    <xf numFmtId="0" fontId="71" fillId="0" borderId="0" xfId="0" applyFont="1" applyFill="1"/>
    <xf numFmtId="0" fontId="7" fillId="0" borderId="22" xfId="0" applyFont="1" applyFill="1" applyBorder="1"/>
    <xf numFmtId="164" fontId="213" fillId="0" borderId="0" xfId="115" applyNumberFormat="1" applyFont="1" applyFill="1"/>
    <xf numFmtId="164" fontId="71" fillId="0" borderId="0" xfId="115" applyNumberFormat="1" applyFont="1" applyFill="1" applyBorder="1"/>
    <xf numFmtId="0" fontId="10" fillId="16" borderId="20" xfId="0" applyFont="1" applyFill="1" applyBorder="1"/>
    <xf numFmtId="0" fontId="10" fillId="16" borderId="15" xfId="0" applyFont="1" applyFill="1" applyBorder="1"/>
    <xf numFmtId="166" fontId="215" fillId="16" borderId="15" xfId="0" applyNumberFormat="1" applyFont="1" applyFill="1" applyBorder="1"/>
    <xf numFmtId="166" fontId="215" fillId="16" borderId="19" xfId="0" applyNumberFormat="1" applyFont="1" applyFill="1" applyBorder="1"/>
    <xf numFmtId="166" fontId="10" fillId="0" borderId="0" xfId="0" applyNumberFormat="1" applyFont="1" applyFill="1" applyBorder="1"/>
    <xf numFmtId="0" fontId="10" fillId="16" borderId="12" xfId="0" applyFont="1" applyFill="1" applyBorder="1"/>
    <xf numFmtId="0" fontId="10" fillId="16" borderId="0" xfId="0" applyFont="1" applyFill="1" applyBorder="1"/>
    <xf numFmtId="166" fontId="10" fillId="16" borderId="0" xfId="0" applyNumberFormat="1" applyFont="1" applyFill="1" applyBorder="1"/>
    <xf numFmtId="166" fontId="10" fillId="16" borderId="14" xfId="0" applyNumberFormat="1" applyFont="1" applyFill="1" applyBorder="1"/>
    <xf numFmtId="0" fontId="57" fillId="16" borderId="34" xfId="0" applyFont="1" applyFill="1" applyBorder="1"/>
    <xf numFmtId="0" fontId="57" fillId="16" borderId="22" xfId="0" applyFont="1" applyFill="1" applyBorder="1"/>
    <xf numFmtId="9" fontId="57" fillId="16" borderId="22" xfId="115" applyFont="1" applyFill="1" applyBorder="1"/>
    <xf numFmtId="9" fontId="57" fillId="16" borderId="33" xfId="115" applyFont="1" applyFill="1" applyBorder="1"/>
    <xf numFmtId="164" fontId="57" fillId="0" borderId="0" xfId="115" applyNumberFormat="1" applyFont="1" applyFill="1" applyBorder="1"/>
    <xf numFmtId="166" fontId="10" fillId="16" borderId="15" xfId="0" applyNumberFormat="1" applyFont="1" applyFill="1" applyBorder="1"/>
    <xf numFmtId="166" fontId="10" fillId="16" borderId="19" xfId="0" applyNumberFormat="1" applyFont="1" applyFill="1" applyBorder="1"/>
    <xf numFmtId="0" fontId="10" fillId="16" borderId="22" xfId="0" applyFont="1" applyFill="1" applyBorder="1"/>
    <xf numFmtId="7" fontId="212" fillId="0" borderId="0" xfId="0" applyNumberFormat="1" applyFont="1" applyFill="1"/>
    <xf numFmtId="7" fontId="7" fillId="0" borderId="0" xfId="0" applyNumberFormat="1" applyFont="1" applyFill="1"/>
    <xf numFmtId="9" fontId="71" fillId="0" borderId="0" xfId="115" applyFont="1" applyFill="1"/>
    <xf numFmtId="37" fontId="10" fillId="16" borderId="15" xfId="0" applyNumberFormat="1" applyFont="1" applyFill="1" applyBorder="1"/>
    <xf numFmtId="37" fontId="10" fillId="16" borderId="19" xfId="0" applyNumberFormat="1" applyFont="1" applyFill="1" applyBorder="1"/>
    <xf numFmtId="0" fontId="71" fillId="16" borderId="34" xfId="0" applyFont="1" applyFill="1" applyBorder="1"/>
    <xf numFmtId="0" fontId="1" fillId="0" borderId="0" xfId="94" applyFont="1" applyFill="1" applyBorder="1"/>
    <xf numFmtId="3" fontId="2" fillId="16" borderId="0" xfId="0" applyNumberFormat="1" applyFont="1" applyFill="1" applyBorder="1"/>
    <xf numFmtId="5" fontId="9" fillId="16" borderId="0" xfId="94" applyNumberFormat="1" applyFont="1" applyFill="1" applyBorder="1"/>
    <xf numFmtId="1" fontId="201" fillId="0" borderId="0" xfId="94" applyNumberFormat="1" applyFont="1" applyFill="1" applyBorder="1"/>
    <xf numFmtId="164" fontId="201" fillId="17" borderId="0" xfId="112" applyNumberFormat="1" applyFont="1" applyFill="1" applyBorder="1"/>
    <xf numFmtId="0" fontId="0" fillId="16" borderId="17" xfId="0" applyNumberFormat="1" applyFill="1" applyBorder="1" applyAlignment="1">
      <alignment horizontal="center"/>
    </xf>
    <xf numFmtId="37" fontId="203" fillId="0" borderId="14" xfId="94" applyNumberFormat="1" applyFont="1" applyFill="1" applyBorder="1"/>
    <xf numFmtId="3" fontId="2" fillId="0" borderId="14" xfId="112" applyNumberFormat="1" applyFont="1" applyFill="1" applyBorder="1"/>
    <xf numFmtId="37" fontId="193" fillId="16" borderId="14" xfId="94" applyNumberFormat="1" applyFont="1" applyFill="1" applyBorder="1"/>
    <xf numFmtId="37" fontId="193" fillId="0" borderId="14" xfId="94" applyNumberFormat="1" applyFont="1" applyFill="1" applyBorder="1"/>
    <xf numFmtId="3" fontId="2" fillId="0" borderId="0" xfId="94" applyNumberFormat="1" applyFont="1" applyFill="1" applyBorder="1" applyAlignment="1">
      <alignment horizontal="center"/>
    </xf>
    <xf numFmtId="3" fontId="143" fillId="0" borderId="0" xfId="57" applyNumberFormat="1" applyFont="1" applyFill="1" applyBorder="1"/>
    <xf numFmtId="6" fontId="145" fillId="0" borderId="0" xfId="92" applyNumberFormat="1" applyFill="1"/>
    <xf numFmtId="165" fontId="0" fillId="0" borderId="0" xfId="0" applyNumberFormat="1"/>
    <xf numFmtId="0" fontId="216" fillId="0" borderId="0" xfId="0" applyFont="1" applyFill="1" applyAlignment="1">
      <alignment horizontal="right"/>
    </xf>
    <xf numFmtId="0" fontId="57" fillId="16" borderId="0" xfId="0" applyFont="1" applyFill="1" applyBorder="1"/>
    <xf numFmtId="9" fontId="57" fillId="16" borderId="0" xfId="115" applyFont="1" applyFill="1" applyBorder="1"/>
    <xf numFmtId="9" fontId="57" fillId="16" borderId="22" xfId="115" applyFont="1" applyFill="1" applyBorder="1" applyAlignment="1">
      <alignment horizontal="right"/>
    </xf>
    <xf numFmtId="9" fontId="57" fillId="16" borderId="33" xfId="115" applyFont="1" applyFill="1" applyBorder="1" applyAlignment="1">
      <alignment horizontal="right"/>
    </xf>
    <xf numFmtId="166" fontId="10" fillId="16" borderId="15" xfId="0" applyNumberFormat="1" applyFont="1" applyFill="1" applyBorder="1" applyAlignment="1">
      <alignment horizontal="right"/>
    </xf>
    <xf numFmtId="166" fontId="10" fillId="16" borderId="19" xfId="0" applyNumberFormat="1" applyFont="1" applyFill="1" applyBorder="1" applyAlignment="1">
      <alignment horizontal="right"/>
    </xf>
    <xf numFmtId="166" fontId="10" fillId="16" borderId="0" xfId="0" applyNumberFormat="1" applyFont="1" applyFill="1" applyBorder="1" applyAlignment="1">
      <alignment horizontal="right"/>
    </xf>
    <xf numFmtId="166" fontId="10" fillId="16" borderId="14" xfId="0" applyNumberFormat="1" applyFont="1" applyFill="1" applyBorder="1" applyAlignment="1">
      <alignment horizontal="right"/>
    </xf>
    <xf numFmtId="165" fontId="7" fillId="0" borderId="0" xfId="0" applyNumberFormat="1" applyFont="1" applyFill="1"/>
    <xf numFmtId="0" fontId="7" fillId="0" borderId="0" xfId="0" applyFont="1" applyFill="1" applyAlignment="1">
      <alignment horizontal="right"/>
    </xf>
    <xf numFmtId="37" fontId="7" fillId="0" borderId="0" xfId="0" applyNumberFormat="1" applyFont="1" applyFill="1" applyAlignment="1">
      <alignment horizontal="right"/>
    </xf>
    <xf numFmtId="3" fontId="7" fillId="0" borderId="0" xfId="0" applyNumberFormat="1" applyFont="1" applyFill="1"/>
    <xf numFmtId="37" fontId="9" fillId="0" borderId="12" xfId="3" applyNumberFormat="1" applyFont="1" applyFill="1" applyBorder="1" applyAlignment="1">
      <alignment horizontal="right"/>
    </xf>
    <xf numFmtId="37" fontId="9" fillId="0" borderId="0" xfId="3" applyNumberFormat="1" applyFont="1" applyFill="1" applyBorder="1" applyAlignment="1">
      <alignment horizontal="right"/>
    </xf>
    <xf numFmtId="37" fontId="9" fillId="0" borderId="14" xfId="3" applyNumberFormat="1" applyFont="1" applyFill="1" applyBorder="1" applyAlignment="1">
      <alignment horizontal="right"/>
    </xf>
    <xf numFmtId="37" fontId="9" fillId="16" borderId="0" xfId="3" applyNumberFormat="1" applyFont="1" applyFill="1" applyBorder="1"/>
    <xf numFmtId="164" fontId="14" fillId="16" borderId="0" xfId="0" applyNumberFormat="1" applyFont="1" applyFill="1" applyBorder="1"/>
    <xf numFmtId="0" fontId="0" fillId="0" borderId="0" xfId="0"/>
    <xf numFmtId="0" fontId="9" fillId="17" borderId="21" xfId="0" applyFont="1" applyFill="1" applyBorder="1"/>
    <xf numFmtId="167" fontId="217" fillId="0" borderId="0" xfId="57" applyNumberFormat="1" applyFont="1" applyFill="1" applyBorder="1"/>
    <xf numFmtId="8" fontId="0" fillId="0" borderId="0" xfId="0" applyNumberFormat="1"/>
    <xf numFmtId="1" fontId="218" fillId="34" borderId="15" xfId="0" applyNumberFormat="1" applyFont="1" applyFill="1" applyBorder="1"/>
    <xf numFmtId="1" fontId="218" fillId="34" borderId="19" xfId="0" applyNumberFormat="1" applyFont="1" applyFill="1" applyBorder="1"/>
    <xf numFmtId="1" fontId="218" fillId="34" borderId="0" xfId="0" applyNumberFormat="1" applyFont="1" applyFill="1" applyBorder="1"/>
    <xf numFmtId="1" fontId="218" fillId="34" borderId="14" xfId="0" applyNumberFormat="1" applyFont="1" applyFill="1" applyBorder="1"/>
    <xf numFmtId="0" fontId="0" fillId="0" borderId="0" xfId="0"/>
    <xf numFmtId="37" fontId="219" fillId="0" borderId="0" xfId="94" applyNumberFormat="1" applyFont="1" applyBorder="1"/>
    <xf numFmtId="0" fontId="71" fillId="16" borderId="0" xfId="0" applyFont="1" applyFill="1" applyBorder="1"/>
    <xf numFmtId="0" fontId="0" fillId="0" borderId="0" xfId="0"/>
    <xf numFmtId="164" fontId="9" fillId="0" borderId="0" xfId="57" applyNumberFormat="1" applyFont="1" applyFill="1" applyBorder="1"/>
    <xf numFmtId="0" fontId="0" fillId="0" borderId="0" xfId="0"/>
    <xf numFmtId="0" fontId="129" fillId="0" borderId="0" xfId="0" applyFont="1"/>
    <xf numFmtId="0" fontId="129" fillId="0" borderId="0" xfId="0" applyFont="1" applyFill="1"/>
    <xf numFmtId="0" fontId="130" fillId="0" borderId="0" xfId="0" applyFont="1"/>
    <xf numFmtId="0" fontId="129" fillId="0" borderId="0" xfId="0" applyFont="1" applyBorder="1"/>
    <xf numFmtId="0" fontId="129" fillId="0" borderId="0" xfId="0" applyFont="1" applyBorder="1" applyAlignment="1">
      <alignment horizontal="right"/>
    </xf>
    <xf numFmtId="0" fontId="139" fillId="0" borderId="0" xfId="0" applyFont="1" applyBorder="1"/>
    <xf numFmtId="0" fontId="129" fillId="0" borderId="0" xfId="0" applyFont="1" applyAlignment="1"/>
    <xf numFmtId="0" fontId="138" fillId="0" borderId="0" xfId="153" applyFont="1" applyFill="1" applyBorder="1"/>
    <xf numFmtId="0" fontId="138" fillId="0" borderId="0" xfId="0" applyFont="1"/>
    <xf numFmtId="0" fontId="130" fillId="0" borderId="0" xfId="0" applyFont="1" applyFill="1"/>
    <xf numFmtId="0" fontId="138" fillId="0" borderId="0" xfId="0" applyNumberFormat="1" applyFont="1"/>
    <xf numFmtId="0" fontId="138" fillId="0" borderId="0" xfId="0" applyFont="1" applyAlignment="1">
      <alignment horizontal="center"/>
    </xf>
    <xf numFmtId="0" fontId="129" fillId="0" borderId="0" xfId="0" applyNumberFormat="1" applyFont="1"/>
    <xf numFmtId="0" fontId="138" fillId="0" borderId="0" xfId="0" applyFont="1" applyAlignment="1">
      <alignment horizontal="right"/>
    </xf>
    <xf numFmtId="49" fontId="138" fillId="0" borderId="0" xfId="0" applyNumberFormat="1" applyFont="1"/>
    <xf numFmtId="0" fontId="129" fillId="29" borderId="63" xfId="0" applyFont="1" applyFill="1" applyBorder="1" applyAlignment="1"/>
    <xf numFmtId="39" fontId="174" fillId="0" borderId="0" xfId="0" applyNumberFormat="1" applyFont="1" applyBorder="1" applyAlignment="1">
      <alignment horizontal="center"/>
    </xf>
    <xf numFmtId="0" fontId="175" fillId="16" borderId="0" xfId="0" applyFont="1" applyFill="1" applyBorder="1"/>
    <xf numFmtId="37" fontId="129" fillId="0" borderId="0" xfId="0" applyNumberFormat="1" applyFont="1" applyBorder="1" applyAlignment="1">
      <alignment horizontal="center"/>
    </xf>
    <xf numFmtId="0" fontId="129" fillId="0" borderId="0" xfId="0" applyFont="1" applyBorder="1" applyAlignment="1">
      <alignment horizontal="center"/>
    </xf>
    <xf numFmtId="0" fontId="129" fillId="0" borderId="0" xfId="0" applyFont="1" applyBorder="1" applyAlignment="1">
      <alignment horizontal="center"/>
    </xf>
    <xf numFmtId="37" fontId="135" fillId="0" borderId="0" xfId="0" applyNumberFormat="1" applyFont="1" applyBorder="1" applyAlignment="1">
      <alignment horizontal="center"/>
    </xf>
    <xf numFmtId="37" fontId="135" fillId="0" borderId="0" xfId="57" applyNumberFormat="1" applyFont="1" applyFill="1" applyBorder="1" applyAlignment="1">
      <alignment horizontal="center"/>
    </xf>
    <xf numFmtId="37" fontId="129" fillId="0" borderId="0" xfId="57" applyNumberFormat="1" applyFont="1" applyFill="1" applyBorder="1" applyAlignment="1">
      <alignment horizontal="center"/>
    </xf>
    <xf numFmtId="0" fontId="132" fillId="30" borderId="0" xfId="0" applyNumberFormat="1" applyFont="1" applyFill="1" applyBorder="1" applyAlignment="1">
      <alignment horizontal="center"/>
    </xf>
    <xf numFmtId="0" fontId="176" fillId="30" borderId="0" xfId="0" applyFont="1" applyFill="1" applyBorder="1"/>
    <xf numFmtId="0" fontId="172" fillId="0" borderId="0" xfId="0" applyFont="1" applyBorder="1"/>
    <xf numFmtId="0" fontId="177" fillId="0" borderId="0" xfId="0" applyFont="1" applyBorder="1"/>
    <xf numFmtId="0" fontId="133" fillId="0" borderId="0" xfId="0" applyFont="1" applyBorder="1"/>
    <xf numFmtId="0" fontId="138" fillId="0" borderId="0" xfId="0" applyFont="1" applyFill="1"/>
    <xf numFmtId="0" fontId="138" fillId="0" borderId="0" xfId="0" applyFont="1" applyBorder="1"/>
    <xf numFmtId="37" fontId="137" fillId="0" borderId="0" xfId="0" applyNumberFormat="1" applyFont="1" applyBorder="1" applyAlignment="1">
      <alignment horizontal="center"/>
    </xf>
    <xf numFmtId="37" fontId="137" fillId="0" borderId="0" xfId="0" applyNumberFormat="1" applyFont="1" applyBorder="1" applyAlignment="1">
      <alignment horizontal="right"/>
    </xf>
    <xf numFmtId="0" fontId="137" fillId="0" borderId="0" xfId="0" applyFont="1" applyBorder="1"/>
    <xf numFmtId="0" fontId="178" fillId="0" borderId="0" xfId="0" applyFont="1" applyBorder="1"/>
    <xf numFmtId="37" fontId="180" fillId="0" borderId="0" xfId="0" applyNumberFormat="1" applyFont="1" applyBorder="1" applyAlignment="1">
      <alignment horizontal="center"/>
    </xf>
    <xf numFmtId="0" fontId="180" fillId="0" borderId="0" xfId="0" applyFont="1" applyBorder="1"/>
    <xf numFmtId="0" fontId="73" fillId="16" borderId="0" xfId="0" applyFont="1" applyFill="1"/>
    <xf numFmtId="37" fontId="129" fillId="0" borderId="0" xfId="0" applyNumberFormat="1" applyFont="1" applyBorder="1"/>
    <xf numFmtId="0" fontId="135" fillId="16" borderId="0" xfId="0" applyFont="1" applyFill="1" applyBorder="1"/>
    <xf numFmtId="0" fontId="129" fillId="16" borderId="0" xfId="0" applyFont="1" applyFill="1" applyBorder="1"/>
    <xf numFmtId="37" fontId="129" fillId="0" borderId="0" xfId="0" applyNumberFormat="1" applyFont="1" applyFill="1" applyBorder="1" applyAlignment="1">
      <alignment horizontal="center"/>
    </xf>
    <xf numFmtId="0" fontId="134" fillId="16" borderId="0" xfId="0" applyFont="1" applyFill="1" applyBorder="1"/>
    <xf numFmtId="0" fontId="175" fillId="16" borderId="0" xfId="0" applyFont="1" applyFill="1" applyBorder="1" applyAlignment="1">
      <alignment horizontal="right"/>
    </xf>
    <xf numFmtId="0" fontId="181" fillId="16" borderId="0" xfId="0" applyFont="1" applyFill="1" applyBorder="1" applyAlignment="1">
      <alignment horizontal="left" wrapText="1"/>
    </xf>
    <xf numFmtId="0" fontId="132" fillId="30" borderId="0" xfId="0" applyFont="1" applyFill="1" applyBorder="1" applyAlignment="1">
      <alignment horizontal="center"/>
    </xf>
    <xf numFmtId="0" fontId="129" fillId="0" borderId="0" xfId="0" applyFont="1" applyBorder="1" applyAlignment="1">
      <alignment horizontal="center"/>
    </xf>
    <xf numFmtId="37" fontId="135" fillId="0" borderId="0" xfId="0" applyNumberFormat="1" applyFont="1" applyFill="1" applyAlignment="1">
      <alignment horizontal="center"/>
    </xf>
    <xf numFmtId="37" fontId="135" fillId="0" borderId="0" xfId="0" applyNumberFormat="1" applyFont="1" applyFill="1" applyBorder="1" applyAlignment="1">
      <alignment horizontal="center"/>
    </xf>
    <xf numFmtId="0" fontId="183" fillId="0" borderId="0" xfId="0" applyFont="1" applyBorder="1"/>
    <xf numFmtId="0" fontId="133" fillId="0" borderId="0" xfId="0" applyFont="1" applyFill="1"/>
    <xf numFmtId="0" fontId="134" fillId="0" borderId="0" xfId="0" applyFont="1" applyFill="1"/>
    <xf numFmtId="0" fontId="134" fillId="0" borderId="0" xfId="0" applyFont="1" applyFill="1" applyBorder="1"/>
    <xf numFmtId="0" fontId="175" fillId="0" borderId="0" xfId="0" applyFont="1" applyFill="1" applyBorder="1"/>
    <xf numFmtId="0" fontId="175" fillId="0" borderId="0" xfId="0" applyFont="1" applyFill="1" applyBorder="1" applyAlignment="1">
      <alignment horizontal="right"/>
    </xf>
    <xf numFmtId="37" fontId="135" fillId="0" borderId="0" xfId="154" applyNumberFormat="1" applyFont="1" applyFill="1" applyBorder="1" applyAlignment="1">
      <alignment horizontal="center"/>
    </xf>
    <xf numFmtId="164" fontId="129" fillId="0" borderId="0" xfId="112" applyNumberFormat="1" applyFont="1"/>
    <xf numFmtId="9" fontId="135" fillId="0" borderId="0" xfId="112" applyNumberFormat="1" applyFont="1" applyFill="1" applyAlignment="1">
      <alignment horizontal="center"/>
    </xf>
    <xf numFmtId="9" fontId="135" fillId="0" borderId="0" xfId="112" applyNumberFormat="1" applyFont="1" applyFill="1" applyBorder="1" applyAlignment="1">
      <alignment horizontal="center"/>
    </xf>
    <xf numFmtId="167" fontId="136" fillId="0" borderId="0" xfId="57" applyNumberFormat="1" applyFont="1"/>
    <xf numFmtId="9" fontId="129" fillId="0" borderId="0" xfId="112" applyFont="1"/>
    <xf numFmtId="37" fontId="129" fillId="0" borderId="0" xfId="57" applyNumberFormat="1" applyFont="1" applyBorder="1" applyAlignment="1">
      <alignment horizontal="center"/>
    </xf>
    <xf numFmtId="37" fontId="129" fillId="0" borderId="0" xfId="0" applyNumberFormat="1" applyFont="1"/>
    <xf numFmtId="37" fontId="130" fillId="0" borderId="0" xfId="154" applyNumberFormat="1" applyFont="1" applyFill="1"/>
    <xf numFmtId="167" fontId="130" fillId="0" borderId="0" xfId="154" applyNumberFormat="1" applyFont="1" applyFill="1"/>
    <xf numFmtId="37" fontId="220" fillId="0" borderId="0" xfId="57" applyNumberFormat="1" applyFont="1" applyFill="1" applyBorder="1" applyAlignment="1">
      <alignment horizontal="center"/>
    </xf>
    <xf numFmtId="167" fontId="129" fillId="0" borderId="0" xfId="57" applyNumberFormat="1" applyFont="1"/>
    <xf numFmtId="0" fontId="136" fillId="0" borderId="0" xfId="0" applyFont="1"/>
    <xf numFmtId="37" fontId="129" fillId="0" borderId="0" xfId="57" applyNumberFormat="1" applyFont="1" applyFill="1" applyAlignment="1">
      <alignment horizontal="center"/>
    </xf>
    <xf numFmtId="0" fontId="129" fillId="0" borderId="0" xfId="0" applyFont="1" applyAlignment="1">
      <alignment horizontal="left"/>
    </xf>
    <xf numFmtId="37" fontId="129" fillId="29" borderId="0" xfId="57" applyNumberFormat="1" applyFont="1" applyFill="1" applyBorder="1" applyAlignment="1">
      <alignment horizontal="center"/>
    </xf>
    <xf numFmtId="0" fontId="129" fillId="0" borderId="0" xfId="0" applyFont="1" applyFill="1" applyAlignment="1">
      <alignment horizontal="right"/>
    </xf>
    <xf numFmtId="0" fontId="135" fillId="0" borderId="0" xfId="0" applyFont="1" applyFill="1"/>
    <xf numFmtId="37" fontId="135" fillId="0" borderId="0" xfId="57" applyNumberFormat="1" applyFont="1" applyFill="1" applyAlignment="1">
      <alignment horizontal="center"/>
    </xf>
    <xf numFmtId="0" fontId="129" fillId="0" borderId="0" xfId="0" applyFont="1" applyFill="1" applyAlignment="1">
      <alignment horizontal="center"/>
    </xf>
    <xf numFmtId="37" fontId="129" fillId="25" borderId="0" xfId="57" applyNumberFormat="1" applyFont="1" applyFill="1" applyBorder="1" applyAlignment="1">
      <alignment horizontal="center"/>
    </xf>
    <xf numFmtId="9" fontId="129" fillId="0" borderId="0" xfId="0" applyNumberFormat="1" applyFont="1"/>
    <xf numFmtId="9" fontId="135" fillId="0" borderId="0" xfId="0" applyNumberFormat="1" applyFont="1"/>
    <xf numFmtId="0" fontId="136" fillId="0" borderId="0" xfId="0" applyNumberFormat="1" applyFont="1"/>
    <xf numFmtId="9" fontId="129" fillId="0" borderId="0" xfId="0" applyNumberFormat="1" applyFont="1" applyFill="1"/>
    <xf numFmtId="37" fontId="130" fillId="0" borderId="0" xfId="154" applyNumberFormat="1" applyFont="1" applyFill="1" applyAlignment="1">
      <alignment horizontal="left"/>
    </xf>
    <xf numFmtId="37" fontId="136" fillId="0" borderId="0" xfId="57" applyNumberFormat="1" applyFont="1" applyFill="1" applyAlignment="1">
      <alignment horizontal="center"/>
    </xf>
    <xf numFmtId="167" fontId="130" fillId="0" borderId="0" xfId="154" applyNumberFormat="1" applyFont="1" applyFill="1" applyAlignment="1">
      <alignment horizontal="left"/>
    </xf>
    <xf numFmtId="37" fontId="136" fillId="0" borderId="0" xfId="57" applyNumberFormat="1" applyFont="1" applyBorder="1" applyAlignment="1">
      <alignment horizontal="center"/>
    </xf>
    <xf numFmtId="37" fontId="136" fillId="0" borderId="0" xfId="57" applyNumberFormat="1" applyFont="1" applyFill="1" applyBorder="1" applyAlignment="1">
      <alignment horizontal="center"/>
    </xf>
    <xf numFmtId="37" fontId="136" fillId="0" borderId="0" xfId="0" applyNumberFormat="1" applyFont="1" applyBorder="1" applyAlignment="1">
      <alignment horizontal="center"/>
    </xf>
    <xf numFmtId="37" fontId="184" fillId="0" borderId="0" xfId="0" applyNumberFormat="1" applyFont="1" applyBorder="1" applyAlignment="1">
      <alignment horizontal="center"/>
    </xf>
    <xf numFmtId="0" fontId="129" fillId="0" borderId="0" xfId="0" applyFont="1" applyBorder="1" applyAlignment="1"/>
    <xf numFmtId="37" fontId="135" fillId="0" borderId="0" xfId="57" applyNumberFormat="1" applyFont="1" applyBorder="1" applyAlignment="1">
      <alignment horizontal="center"/>
    </xf>
    <xf numFmtId="0" fontId="129" fillId="0" borderId="0" xfId="0" applyFont="1" applyFill="1" applyBorder="1"/>
    <xf numFmtId="0" fontId="139" fillId="0" borderId="0" xfId="0" applyFont="1" applyFill="1" applyBorder="1"/>
    <xf numFmtId="0" fontId="129" fillId="0" borderId="48" xfId="0" applyFont="1" applyFill="1" applyBorder="1"/>
    <xf numFmtId="1" fontId="129" fillId="0" borderId="0" xfId="0" applyNumberFormat="1" applyFont="1" applyFill="1" applyBorder="1" applyAlignment="1">
      <alignment horizontal="center"/>
    </xf>
    <xf numFmtId="0" fontId="129" fillId="0" borderId="0" xfId="0" applyFont="1" applyFill="1" applyBorder="1" applyAlignment="1">
      <alignment horizontal="center"/>
    </xf>
    <xf numFmtId="37" fontId="130" fillId="0" borderId="0" xfId="154" applyNumberFormat="1" applyFont="1" applyFill="1" applyBorder="1" applyAlignment="1">
      <alignment horizontal="left"/>
    </xf>
    <xf numFmtId="167" fontId="130" fillId="0" borderId="0" xfId="154" applyNumberFormat="1" applyFont="1" applyFill="1" applyBorder="1" applyAlignment="1">
      <alignment horizontal="left"/>
    </xf>
    <xf numFmtId="0" fontId="131" fillId="0" borderId="0" xfId="0" applyFont="1"/>
    <xf numFmtId="14" fontId="130" fillId="0" borderId="21" xfId="0" applyNumberFormat="1" applyFont="1" applyBorder="1"/>
    <xf numFmtId="0" fontId="130" fillId="0" borderId="33" xfId="0" applyFont="1" applyBorder="1" applyAlignment="1">
      <alignment horizontal="right"/>
    </xf>
    <xf numFmtId="0" fontId="130" fillId="0" borderId="34" xfId="0" applyFont="1" applyBorder="1" applyAlignment="1">
      <alignment horizontal="left"/>
    </xf>
    <xf numFmtId="0" fontId="130" fillId="0" borderId="17" xfId="0" applyFont="1" applyBorder="1"/>
    <xf numFmtId="0" fontId="130" fillId="0" borderId="14" xfId="0" applyNumberFormat="1" applyFont="1" applyBorder="1" applyAlignment="1" applyProtection="1">
      <alignment horizontal="right"/>
    </xf>
    <xf numFmtId="0" fontId="130" fillId="0" borderId="12" xfId="0" applyFont="1" applyBorder="1" applyAlignment="1">
      <alignment horizontal="left"/>
    </xf>
    <xf numFmtId="0" fontId="130" fillId="0" borderId="0" xfId="0" applyFont="1" applyBorder="1"/>
    <xf numFmtId="0" fontId="130" fillId="0" borderId="0" xfId="0" applyFont="1" applyFill="1" applyBorder="1" applyAlignment="1">
      <alignment horizontal="left"/>
    </xf>
    <xf numFmtId="0" fontId="130" fillId="0" borderId="17" xfId="0" applyFont="1" applyBorder="1"/>
    <xf numFmtId="0" fontId="130" fillId="0" borderId="14" xfId="0" applyFont="1" applyBorder="1" applyAlignment="1" applyProtection="1">
      <alignment horizontal="right"/>
    </xf>
    <xf numFmtId="0" fontId="130" fillId="0" borderId="12" xfId="0" applyFont="1" applyBorder="1"/>
    <xf numFmtId="0" fontId="130" fillId="0" borderId="14" xfId="0" applyNumberFormat="1" applyFont="1" applyBorder="1" applyAlignment="1">
      <alignment horizontal="right"/>
    </xf>
    <xf numFmtId="0" fontId="132" fillId="0" borderId="0" xfId="0" applyFont="1" applyFill="1" applyAlignment="1">
      <alignment horizontal="center"/>
    </xf>
    <xf numFmtId="0" fontId="130" fillId="0" borderId="14" xfId="0" applyFont="1" applyBorder="1" applyAlignment="1">
      <alignment horizontal="right"/>
    </xf>
    <xf numFmtId="0" fontId="129" fillId="0" borderId="17" xfId="0" applyFont="1" applyBorder="1"/>
    <xf numFmtId="0" fontId="129" fillId="0" borderId="14" xfId="0" applyFont="1" applyBorder="1"/>
    <xf numFmtId="0" fontId="129" fillId="0" borderId="12" xfId="0" applyFont="1" applyBorder="1"/>
    <xf numFmtId="164" fontId="129" fillId="0" borderId="0" xfId="112" applyNumberFormat="1" applyFont="1" applyFill="1" applyAlignment="1">
      <alignment horizontal="center"/>
    </xf>
    <xf numFmtId="164" fontId="185" fillId="25" borderId="0" xfId="112" applyNumberFormat="1" applyFont="1" applyFill="1" applyBorder="1" applyAlignment="1">
      <alignment horizontal="center"/>
    </xf>
    <xf numFmtId="164" fontId="129" fillId="0" borderId="0" xfId="112" applyNumberFormat="1" applyFont="1" applyFill="1" applyBorder="1" applyAlignment="1">
      <alignment horizontal="center"/>
    </xf>
    <xf numFmtId="164" fontId="130" fillId="0" borderId="0" xfId="112" applyNumberFormat="1" applyFont="1" applyFill="1"/>
    <xf numFmtId="0" fontId="130" fillId="0" borderId="0" xfId="0" applyFont="1" applyFill="1" applyBorder="1"/>
    <xf numFmtId="0" fontId="130" fillId="0" borderId="17" xfId="0" quotePrefix="1" applyFont="1" applyFill="1" applyBorder="1" applyAlignment="1">
      <alignment horizontal="right"/>
    </xf>
    <xf numFmtId="0" fontId="130" fillId="0" borderId="14" xfId="0" quotePrefix="1" applyFont="1" applyFill="1" applyBorder="1" applyAlignment="1">
      <alignment horizontal="right"/>
    </xf>
    <xf numFmtId="164" fontId="185" fillId="29" borderId="0" xfId="0" applyNumberFormat="1" applyFont="1" applyFill="1" applyBorder="1" applyAlignment="1">
      <alignment horizontal="center"/>
    </xf>
    <xf numFmtId="164" fontId="129" fillId="0" borderId="0" xfId="0" applyNumberFormat="1" applyFont="1"/>
    <xf numFmtId="169" fontId="130" fillId="16" borderId="0" xfId="0" applyNumberFormat="1" applyFont="1" applyFill="1" applyBorder="1" applyAlignment="1">
      <alignment vertical="center"/>
    </xf>
    <xf numFmtId="0" fontId="130" fillId="0" borderId="19" xfId="0" quotePrefix="1" applyFont="1" applyFill="1" applyBorder="1" applyAlignment="1">
      <alignment horizontal="right"/>
    </xf>
    <xf numFmtId="0" fontId="130" fillId="0" borderId="20" xfId="0" applyFont="1" applyBorder="1"/>
    <xf numFmtId="168" fontId="129" fillId="0" borderId="0" xfId="0" applyNumberFormat="1" applyFont="1" applyFill="1" applyBorder="1" applyAlignment="1">
      <alignment horizontal="center"/>
    </xf>
    <xf numFmtId="0" fontId="130" fillId="0" borderId="18" xfId="0" applyFont="1" applyBorder="1"/>
    <xf numFmtId="0" fontId="130" fillId="0" borderId="35" xfId="0" applyFont="1" applyBorder="1"/>
    <xf numFmtId="0" fontId="130" fillId="0" borderId="36" xfId="0" applyFont="1" applyBorder="1"/>
    <xf numFmtId="168" fontId="185" fillId="0" borderId="0" xfId="0" applyNumberFormat="1" applyFont="1" applyFill="1" applyBorder="1" applyAlignment="1">
      <alignment horizontal="center"/>
    </xf>
    <xf numFmtId="164" fontId="129" fillId="0" borderId="0" xfId="0" applyNumberFormat="1" applyFont="1" applyFill="1" applyAlignment="1">
      <alignment horizontal="center"/>
    </xf>
    <xf numFmtId="164" fontId="185" fillId="0" borderId="0" xfId="0" applyNumberFormat="1" applyFont="1" applyFill="1" applyBorder="1" applyAlignment="1">
      <alignment horizontal="center"/>
    </xf>
    <xf numFmtId="164" fontId="129" fillId="0" borderId="0" xfId="0" applyNumberFormat="1" applyFont="1" applyFill="1" applyBorder="1" applyAlignment="1">
      <alignment horizontal="center"/>
    </xf>
    <xf numFmtId="0" fontId="131" fillId="0" borderId="0" xfId="0" applyFont="1" applyBorder="1"/>
    <xf numFmtId="0" fontId="131" fillId="0" borderId="0" xfId="0" applyFont="1" applyFill="1"/>
    <xf numFmtId="0" fontId="133" fillId="0" borderId="0" xfId="0" applyFont="1" applyFill="1" applyBorder="1"/>
    <xf numFmtId="0" fontId="136" fillId="16" borderId="0" xfId="0" applyFont="1" applyFill="1"/>
    <xf numFmtId="0" fontId="136" fillId="0" borderId="0" xfId="0" applyFont="1" applyBorder="1"/>
    <xf numFmtId="0" fontId="174" fillId="0" borderId="0" xfId="0" applyFont="1" applyBorder="1"/>
    <xf numFmtId="0" fontId="186" fillId="30" borderId="0" xfId="0" applyFont="1" applyFill="1" applyBorder="1"/>
    <xf numFmtId="0" fontId="187" fillId="29" borderId="63" xfId="0" applyFont="1" applyFill="1" applyBorder="1" applyAlignment="1">
      <alignment wrapText="1"/>
    </xf>
    <xf numFmtId="0" fontId="174" fillId="29" borderId="64" xfId="0" applyFont="1" applyFill="1" applyBorder="1" applyAlignment="1">
      <alignment horizontal="center"/>
    </xf>
    <xf numFmtId="0" fontId="129" fillId="0" borderId="0" xfId="0" applyFont="1" applyAlignment="1">
      <alignment horizontal="right"/>
    </xf>
    <xf numFmtId="0" fontId="189" fillId="0" borderId="0" xfId="0" applyFont="1" applyAlignment="1">
      <alignment horizontal="right"/>
    </xf>
    <xf numFmtId="0" fontId="139" fillId="0" borderId="0" xfId="0" applyFont="1"/>
    <xf numFmtId="49" fontId="129" fillId="0" borderId="0" xfId="0" applyNumberFormat="1" applyFont="1"/>
    <xf numFmtId="0" fontId="190" fillId="0" borderId="0" xfId="0" applyFont="1"/>
    <xf numFmtId="0" fontId="137" fillId="0" borderId="0" xfId="0" applyFont="1"/>
    <xf numFmtId="0" fontId="178" fillId="0" borderId="0" xfId="0" applyFont="1"/>
    <xf numFmtId="37" fontId="137" fillId="0" borderId="0" xfId="0" applyNumberFormat="1" applyFont="1" applyAlignment="1">
      <alignment horizontal="center"/>
    </xf>
    <xf numFmtId="37" fontId="191" fillId="0" borderId="0" xfId="0" applyNumberFormat="1" applyFont="1" applyAlignment="1">
      <alignment horizontal="center"/>
    </xf>
    <xf numFmtId="37" fontId="137" fillId="0" borderId="0" xfId="0" applyNumberFormat="1" applyFont="1" applyAlignment="1">
      <alignment horizontal="right"/>
    </xf>
    <xf numFmtId="2" fontId="129" fillId="0" borderId="0" xfId="112" applyNumberFormat="1" applyFont="1"/>
    <xf numFmtId="0" fontId="129" fillId="0" borderId="0" xfId="0" applyNumberFormat="1" applyFont="1" applyAlignment="1">
      <alignment horizontal="left"/>
    </xf>
    <xf numFmtId="0" fontId="129" fillId="0" borderId="0" xfId="0" applyNumberFormat="1" applyFont="1" applyAlignment="1">
      <alignment horizontal="right"/>
    </xf>
    <xf numFmtId="0" fontId="130" fillId="0" borderId="0" xfId="0" applyFont="1" applyBorder="1" applyAlignment="1">
      <alignment horizontal="left"/>
    </xf>
    <xf numFmtId="49" fontId="130" fillId="0" borderId="0" xfId="0" applyNumberFormat="1" applyFont="1" applyBorder="1" applyAlignment="1">
      <alignment horizontal="right"/>
    </xf>
    <xf numFmtId="0" fontId="136" fillId="0" borderId="0" xfId="0" applyFont="1" applyBorder="1" applyAlignment="1">
      <alignment horizontal="left"/>
    </xf>
    <xf numFmtId="0" fontId="130" fillId="0" borderId="0" xfId="0" applyFont="1" applyBorder="1"/>
    <xf numFmtId="0" fontId="130" fillId="0" borderId="0" xfId="0" applyFont="1" applyBorder="1" applyAlignment="1">
      <alignment horizontal="right"/>
    </xf>
    <xf numFmtId="0" fontId="130" fillId="0" borderId="0" xfId="0" quotePrefix="1" applyFont="1" applyFill="1" applyBorder="1" applyAlignment="1">
      <alignment horizontal="right"/>
    </xf>
    <xf numFmtId="164" fontId="129" fillId="0" borderId="0" xfId="0" applyNumberFormat="1" applyFont="1" applyBorder="1"/>
    <xf numFmtId="0" fontId="130" fillId="0" borderId="19" xfId="0" applyFont="1" applyBorder="1"/>
    <xf numFmtId="49" fontId="174" fillId="0" borderId="0" xfId="0" applyNumberFormat="1" applyFont="1" applyBorder="1" applyAlignment="1">
      <alignment horizontal="left"/>
    </xf>
    <xf numFmtId="0" fontId="176" fillId="23" borderId="0" xfId="0" applyFont="1" applyFill="1" applyBorder="1"/>
    <xf numFmtId="0" fontId="0" fillId="35" borderId="0" xfId="0" applyFill="1"/>
    <xf numFmtId="0" fontId="0" fillId="34" borderId="0" xfId="0" applyFill="1"/>
    <xf numFmtId="0" fontId="0" fillId="34" borderId="0" xfId="0" applyFill="1" applyBorder="1"/>
    <xf numFmtId="1" fontId="0" fillId="35" borderId="0" xfId="0" applyNumberFormat="1" applyFill="1"/>
    <xf numFmtId="37" fontId="10" fillId="0" borderId="0" xfId="0" applyNumberFormat="1" applyFont="1" applyFill="1"/>
    <xf numFmtId="164" fontId="7" fillId="0" borderId="0" xfId="0" applyNumberFormat="1" applyFont="1" applyFill="1"/>
    <xf numFmtId="164" fontId="10" fillId="0" borderId="0" xfId="0" applyNumberFormat="1" applyFont="1" applyFill="1"/>
    <xf numFmtId="0" fontId="10" fillId="16" borderId="0" xfId="95" applyFont="1" applyFill="1" applyBorder="1" applyAlignment="1">
      <alignment horizontal="right"/>
    </xf>
    <xf numFmtId="166" fontId="215" fillId="16" borderId="0" xfId="0" applyNumberFormat="1" applyFont="1" applyFill="1" applyBorder="1"/>
    <xf numFmtId="9" fontId="57" fillId="16" borderId="0" xfId="115" applyFont="1" applyFill="1" applyBorder="1" applyAlignment="1">
      <alignment horizontal="right"/>
    </xf>
    <xf numFmtId="37" fontId="10" fillId="16" borderId="0" xfId="0" applyNumberFormat="1" applyFont="1" applyFill="1" applyBorder="1"/>
    <xf numFmtId="9" fontId="1" fillId="0" borderId="0" xfId="57" applyNumberFormat="1" applyFont="1" applyFill="1" applyBorder="1"/>
    <xf numFmtId="3" fontId="221" fillId="0" borderId="0" xfId="94" applyNumberFormat="1" applyFont="1" applyBorder="1"/>
    <xf numFmtId="164" fontId="24" fillId="0" borderId="0" xfId="94" applyNumberFormat="1" applyFont="1" applyBorder="1"/>
    <xf numFmtId="0" fontId="0" fillId="0" borderId="0" xfId="0" applyFont="1"/>
    <xf numFmtId="164" fontId="222" fillId="0" borderId="0" xfId="94" applyNumberFormat="1" applyFont="1" applyFill="1" applyBorder="1"/>
    <xf numFmtId="0" fontId="0" fillId="0" borderId="0" xfId="0" applyFont="1" applyAlignment="1">
      <alignment horizontal="left" indent="1"/>
    </xf>
    <xf numFmtId="0" fontId="24" fillId="0" borderId="0" xfId="94" applyFont="1" applyBorder="1" applyAlignment="1">
      <alignment horizontal="left" indent="2"/>
    </xf>
    <xf numFmtId="0" fontId="0" fillId="0" borderId="0" xfId="0" applyAlignment="1">
      <alignment horizontal="left" indent="1"/>
    </xf>
    <xf numFmtId="0" fontId="0" fillId="0" borderId="0" xfId="94" applyFont="1" applyBorder="1" applyAlignment="1">
      <alignment horizontal="left" wrapText="1" indent="1"/>
    </xf>
    <xf numFmtId="38" fontId="9" fillId="0" borderId="0" xfId="94" applyNumberFormat="1" applyFont="1" applyFill="1" applyBorder="1"/>
    <xf numFmtId="0" fontId="40" fillId="0" borderId="0" xfId="0" applyFont="1"/>
    <xf numFmtId="9" fontId="223" fillId="0" borderId="0" xfId="94" applyNumberFormat="1" applyFont="1" applyBorder="1"/>
    <xf numFmtId="37" fontId="0" fillId="0" borderId="0" xfId="57" applyNumberFormat="1" applyFont="1" applyBorder="1"/>
    <xf numFmtId="0" fontId="0" fillId="0" borderId="0" xfId="94" applyFont="1" applyFill="1" applyBorder="1"/>
    <xf numFmtId="9" fontId="221" fillId="0" borderId="0" xfId="94" applyNumberFormat="1" applyFont="1" applyFill="1" applyBorder="1"/>
    <xf numFmtId="4" fontId="0" fillId="0" borderId="0" xfId="0" applyNumberFormat="1"/>
    <xf numFmtId="168" fontId="0" fillId="0" borderId="0" xfId="0" applyNumberFormat="1"/>
    <xf numFmtId="0" fontId="0" fillId="0" borderId="0" xfId="0"/>
    <xf numFmtId="6" fontId="0" fillId="0" borderId="0" xfId="0" applyNumberFormat="1"/>
    <xf numFmtId="9" fontId="24" fillId="0" borderId="0" xfId="0" applyNumberFormat="1" applyFont="1"/>
    <xf numFmtId="164" fontId="24" fillId="0" borderId="0" xfId="0" applyNumberFormat="1" applyFont="1"/>
    <xf numFmtId="164" fontId="223" fillId="0" borderId="0" xfId="94" applyNumberFormat="1" applyFont="1" applyBorder="1"/>
    <xf numFmtId="9" fontId="221" fillId="0" borderId="0" xfId="0" applyNumberFormat="1" applyFont="1"/>
    <xf numFmtId="6" fontId="221" fillId="0" borderId="0" xfId="0" applyNumberFormat="1" applyFont="1"/>
    <xf numFmtId="14" fontId="0" fillId="0" borderId="0" xfId="0" applyNumberFormat="1"/>
    <xf numFmtId="0" fontId="0" fillId="0" borderId="0" xfId="0" applyAlignment="1">
      <alignment horizontal="left" indent="2"/>
    </xf>
    <xf numFmtId="0" fontId="0" fillId="0" borderId="15" xfId="0" applyFont="1" applyBorder="1" applyAlignment="1">
      <alignment horizontal="left" indent="1"/>
    </xf>
    <xf numFmtId="0" fontId="0" fillId="0" borderId="15" xfId="0" applyFont="1" applyBorder="1"/>
    <xf numFmtId="37" fontId="0" fillId="0" borderId="15" xfId="0" applyNumberFormat="1" applyFont="1" applyBorder="1"/>
    <xf numFmtId="0" fontId="9" fillId="0" borderId="9" xfId="0" applyFont="1" applyBorder="1" applyAlignment="1">
      <alignment horizontal="left" indent="1"/>
    </xf>
    <xf numFmtId="37" fontId="9" fillId="0" borderId="9" xfId="0" applyNumberFormat="1" applyFont="1" applyBorder="1"/>
    <xf numFmtId="0" fontId="221" fillId="0" borderId="0" xfId="0" applyFont="1"/>
    <xf numFmtId="3" fontId="221" fillId="0" borderId="0" xfId="0" applyNumberFormat="1" applyFont="1"/>
    <xf numFmtId="1" fontId="221" fillId="0" borderId="0" xfId="0" applyNumberFormat="1" applyFont="1"/>
    <xf numFmtId="37" fontId="221" fillId="0" borderId="0" xfId="0" applyNumberFormat="1" applyFont="1"/>
    <xf numFmtId="3" fontId="0" fillId="0" borderId="15" xfId="0" applyNumberFormat="1" applyFont="1" applyBorder="1" applyAlignment="1">
      <alignment horizontal="right"/>
    </xf>
    <xf numFmtId="0" fontId="0" fillId="0" borderId="0" xfId="0" applyFont="1" applyBorder="1" applyAlignment="1">
      <alignment horizontal="left" indent="1"/>
    </xf>
    <xf numFmtId="37" fontId="0" fillId="0" borderId="0" xfId="0" applyNumberFormat="1" applyFont="1" applyBorder="1"/>
    <xf numFmtId="3" fontId="0" fillId="0" borderId="0" xfId="0" applyNumberFormat="1" applyFont="1" applyBorder="1" applyAlignment="1">
      <alignment horizontal="right"/>
    </xf>
    <xf numFmtId="3" fontId="0" fillId="0" borderId="0" xfId="0" applyNumberFormat="1" applyFont="1"/>
    <xf numFmtId="1" fontId="24" fillId="0" borderId="0" xfId="0" applyNumberFormat="1" applyFont="1"/>
    <xf numFmtId="0" fontId="0" fillId="0" borderId="0" xfId="94" applyFont="1" applyBorder="1" applyAlignment="1">
      <alignment horizontal="left" wrapText="1"/>
    </xf>
    <xf numFmtId="0" fontId="0" fillId="0" borderId="0" xfId="0" quotePrefix="1"/>
    <xf numFmtId="37" fontId="221" fillId="0" borderId="0" xfId="94" applyNumberFormat="1" applyFont="1" applyFill="1" applyBorder="1"/>
    <xf numFmtId="4" fontId="0" fillId="0" borderId="0" xfId="0" applyNumberFormat="1" applyAlignment="1">
      <alignment horizontal="left" indent="1"/>
    </xf>
    <xf numFmtId="164" fontId="221" fillId="0" borderId="0" xfId="0" applyNumberFormat="1" applyFont="1"/>
    <xf numFmtId="3" fontId="24" fillId="0" borderId="0" xfId="0" applyNumberFormat="1" applyFont="1"/>
    <xf numFmtId="174" fontId="0" fillId="0" borderId="0" xfId="0" applyNumberFormat="1"/>
    <xf numFmtId="165" fontId="221" fillId="0" borderId="0" xfId="0" applyNumberFormat="1" applyFont="1"/>
    <xf numFmtId="37" fontId="1" fillId="0" borderId="0" xfId="155" applyNumberFormat="1"/>
    <xf numFmtId="37" fontId="1" fillId="0" borderId="0" xfId="156" applyNumberFormat="1" applyFont="1" applyFill="1"/>
    <xf numFmtId="37" fontId="1" fillId="0" borderId="14" xfId="156" applyNumberFormat="1" applyFont="1" applyFill="1" applyBorder="1"/>
    <xf numFmtId="37" fontId="9" fillId="0" borderId="15" xfId="156" applyNumberFormat="1" applyFont="1" applyFill="1" applyBorder="1"/>
    <xf numFmtId="37" fontId="224" fillId="0" borderId="15" xfId="156" applyNumberFormat="1" applyFont="1" applyFill="1" applyBorder="1"/>
    <xf numFmtId="37" fontId="9" fillId="0" borderId="15" xfId="156" applyNumberFormat="1" applyFont="1" applyFill="1" applyBorder="1" applyAlignment="1">
      <alignment horizontal="centerContinuous"/>
    </xf>
    <xf numFmtId="37" fontId="9" fillId="0" borderId="15" xfId="156" applyNumberFormat="1" applyFont="1" applyFill="1" applyBorder="1" applyAlignment="1"/>
    <xf numFmtId="37" fontId="224" fillId="0" borderId="15" xfId="156" applyNumberFormat="1" applyFont="1" applyBorder="1" applyAlignment="1">
      <alignment horizontal="centerContinuous"/>
    </xf>
    <xf numFmtId="37" fontId="9" fillId="0" borderId="19" xfId="156" applyNumberFormat="1" applyFont="1" applyFill="1" applyBorder="1" applyAlignment="1">
      <alignment horizontal="centerContinuous"/>
    </xf>
    <xf numFmtId="37" fontId="224" fillId="0" borderId="19" xfId="156" applyNumberFormat="1" applyFont="1" applyFill="1" applyBorder="1"/>
    <xf numFmtId="37" fontId="224" fillId="0" borderId="0" xfId="156" applyNumberFormat="1" applyFont="1" applyFill="1" applyBorder="1"/>
    <xf numFmtId="37" fontId="9" fillId="0" borderId="14" xfId="156" applyNumberFormat="1" applyFont="1" applyFill="1" applyBorder="1"/>
    <xf numFmtId="175" fontId="9" fillId="0" borderId="15" xfId="156" applyNumberFormat="1" applyFont="1" applyFill="1" applyBorder="1" applyAlignment="1">
      <alignment horizontal="centerContinuous"/>
    </xf>
    <xf numFmtId="175" fontId="9" fillId="0" borderId="70" xfId="156" applyNumberFormat="1" applyFont="1" applyFill="1" applyBorder="1" applyAlignment="1">
      <alignment horizontal="centerContinuous"/>
    </xf>
    <xf numFmtId="175" fontId="9" fillId="0" borderId="20" xfId="156" applyNumberFormat="1" applyFont="1" applyFill="1" applyBorder="1" applyAlignment="1">
      <alignment horizontal="centerContinuous"/>
    </xf>
    <xf numFmtId="175" fontId="225" fillId="0" borderId="20" xfId="156" applyNumberFormat="1" applyFont="1" applyFill="1" applyBorder="1" applyAlignment="1">
      <alignment horizontal="centerContinuous"/>
    </xf>
    <xf numFmtId="175" fontId="225" fillId="0" borderId="70" xfId="156" applyNumberFormat="1" applyFont="1" applyFill="1" applyBorder="1" applyAlignment="1">
      <alignment horizontal="centerContinuous"/>
    </xf>
    <xf numFmtId="175" fontId="9" fillId="0" borderId="71" xfId="156" applyNumberFormat="1" applyFont="1" applyFill="1" applyBorder="1" applyAlignment="1">
      <alignment horizontal="centerContinuous"/>
    </xf>
    <xf numFmtId="175" fontId="225" fillId="0" borderId="72" xfId="156" applyNumberFormat="1" applyFont="1" applyFill="1" applyBorder="1" applyAlignment="1">
      <alignment horizontal="centerContinuous"/>
    </xf>
    <xf numFmtId="37" fontId="179" fillId="0" borderId="0" xfId="156" applyNumberFormat="1" applyFont="1"/>
    <xf numFmtId="175" fontId="226" fillId="0" borderId="22" xfId="156" applyNumberFormat="1" applyFont="1" applyFill="1" applyBorder="1" applyAlignment="1">
      <alignment horizontal="right"/>
    </xf>
    <xf numFmtId="175" fontId="226" fillId="0" borderId="33" xfId="156" applyNumberFormat="1" applyFont="1" applyFill="1" applyBorder="1" applyAlignment="1">
      <alignment horizontal="right"/>
    </xf>
    <xf numFmtId="175" fontId="226" fillId="0" borderId="0" xfId="156" applyNumberFormat="1" applyFont="1" applyFill="1" applyBorder="1" applyAlignment="1">
      <alignment horizontal="right"/>
    </xf>
    <xf numFmtId="175" fontId="226" fillId="0" borderId="0" xfId="156" applyNumberFormat="1" applyFont="1" applyFill="1"/>
    <xf numFmtId="37" fontId="226" fillId="0" borderId="34" xfId="156" applyNumberFormat="1" applyFont="1" applyFill="1" applyBorder="1" applyAlignment="1">
      <alignment horizontal="center"/>
    </xf>
    <xf numFmtId="37" fontId="226" fillId="0" borderId="22" xfId="156" applyNumberFormat="1" applyFont="1" applyFill="1" applyBorder="1" applyAlignment="1">
      <alignment horizontal="center"/>
    </xf>
    <xf numFmtId="37" fontId="226" fillId="0" borderId="33" xfId="156" applyNumberFormat="1" applyFont="1" applyFill="1" applyBorder="1" applyAlignment="1">
      <alignment horizontal="center"/>
    </xf>
    <xf numFmtId="0" fontId="224" fillId="0" borderId="0" xfId="157"/>
    <xf numFmtId="37" fontId="44" fillId="0" borderId="0" xfId="156" applyNumberFormat="1" applyFont="1" applyFill="1"/>
    <xf numFmtId="37" fontId="224" fillId="0" borderId="0" xfId="157" applyNumberFormat="1"/>
    <xf numFmtId="37" fontId="9" fillId="0" borderId="0" xfId="156" applyNumberFormat="1" applyFont="1" applyFill="1"/>
    <xf numFmtId="37" fontId="1" fillId="0" borderId="0" xfId="156" applyNumberFormat="1" applyFont="1" applyFill="1" applyAlignment="1">
      <alignment horizontal="left" indent="1"/>
    </xf>
    <xf numFmtId="37" fontId="24" fillId="0" borderId="0" xfId="156" applyNumberFormat="1" applyFont="1" applyFill="1" applyAlignment="1">
      <alignment horizontal="left" indent="1"/>
    </xf>
    <xf numFmtId="37" fontId="77" fillId="0" borderId="0" xfId="156" applyNumberFormat="1" applyFont="1" applyFill="1"/>
    <xf numFmtId="164" fontId="60" fillId="0" borderId="0" xfId="156" applyNumberFormat="1" applyFont="1" applyFill="1" applyAlignment="1">
      <alignment horizontal="right"/>
    </xf>
    <xf numFmtId="37" fontId="60" fillId="0" borderId="0" xfId="156" applyNumberFormat="1" applyFont="1" applyFill="1" applyAlignment="1">
      <alignment horizontal="right"/>
    </xf>
    <xf numFmtId="164" fontId="24" fillId="0" borderId="0" xfId="156" applyNumberFormat="1" applyFont="1" applyFill="1" applyAlignment="1">
      <alignment horizontal="left" indent="1"/>
    </xf>
    <xf numFmtId="37" fontId="224" fillId="0" borderId="0" xfId="156" applyNumberFormat="1" applyFont="1" applyFill="1"/>
    <xf numFmtId="177" fontId="224" fillId="0" borderId="0" xfId="156" applyNumberFormat="1" applyFont="1" applyFill="1"/>
    <xf numFmtId="175" fontId="224" fillId="0" borderId="0" xfId="156" applyNumberFormat="1" applyFont="1" applyFill="1"/>
    <xf numFmtId="175" fontId="224" fillId="0" borderId="0" xfId="156" applyNumberFormat="1" applyFont="1" applyFill="1" applyAlignment="1">
      <alignment horizontal="right"/>
    </xf>
    <xf numFmtId="175" fontId="232" fillId="0" borderId="0" xfId="156" applyNumberFormat="1" applyFont="1" applyFill="1" applyBorder="1" applyAlignment="1">
      <alignment horizontal="right"/>
    </xf>
    <xf numFmtId="175" fontId="232" fillId="0" borderId="0" xfId="156" applyNumberFormat="1" applyFont="1" applyFill="1" applyBorder="1"/>
    <xf numFmtId="37" fontId="232" fillId="0" borderId="0" xfId="156" applyNumberFormat="1" applyFont="1" applyFill="1" applyBorder="1" applyAlignment="1">
      <alignment horizontal="center"/>
    </xf>
    <xf numFmtId="37" fontId="9" fillId="32" borderId="0" xfId="156" applyNumberFormat="1" applyFont="1" applyFill="1"/>
    <xf numFmtId="177" fontId="9" fillId="32" borderId="0" xfId="156" applyNumberFormat="1" applyFont="1" applyFill="1"/>
    <xf numFmtId="175" fontId="9" fillId="32" borderId="0" xfId="156" applyNumberFormat="1" applyFont="1" applyFill="1"/>
    <xf numFmtId="175" fontId="9" fillId="32" borderId="0" xfId="156" applyNumberFormat="1" applyFont="1" applyFill="1" applyAlignment="1">
      <alignment horizontal="right"/>
    </xf>
    <xf numFmtId="164" fontId="9" fillId="32" borderId="0" xfId="156" applyNumberFormat="1" applyFont="1" applyFill="1"/>
    <xf numFmtId="37" fontId="9" fillId="32" borderId="0" xfId="156" applyNumberFormat="1" applyFont="1" applyFill="1" applyAlignment="1">
      <alignment horizontal="center"/>
    </xf>
    <xf numFmtId="9" fontId="9" fillId="32" borderId="0" xfId="156" applyNumberFormat="1" applyFont="1" applyFill="1" applyAlignment="1">
      <alignment horizontal="center"/>
    </xf>
    <xf numFmtId="164" fontId="9" fillId="32" borderId="0" xfId="156" applyNumberFormat="1" applyFont="1" applyFill="1" applyAlignment="1">
      <alignment horizontal="right"/>
    </xf>
    <xf numFmtId="9" fontId="9" fillId="32" borderId="0" xfId="156" applyNumberFormat="1" applyFont="1" applyFill="1"/>
    <xf numFmtId="164" fontId="224" fillId="0" borderId="0" xfId="156" applyNumberFormat="1" applyFont="1" applyFill="1"/>
    <xf numFmtId="37" fontId="224" fillId="0" borderId="0" xfId="156" applyNumberFormat="1" applyFont="1" applyFill="1" applyAlignment="1">
      <alignment horizontal="center"/>
    </xf>
    <xf numFmtId="9" fontId="224" fillId="0" borderId="0" xfId="156" applyNumberFormat="1" applyFont="1" applyFill="1" applyAlignment="1">
      <alignment horizontal="center"/>
    </xf>
    <xf numFmtId="164" fontId="224" fillId="0" borderId="0" xfId="156" applyNumberFormat="1" applyFont="1" applyFill="1" applyAlignment="1">
      <alignment horizontal="right"/>
    </xf>
    <xf numFmtId="9" fontId="224" fillId="0" borderId="0" xfId="156" applyNumberFormat="1" applyFont="1" applyFill="1"/>
    <xf numFmtId="164" fontId="60" fillId="0" borderId="0" xfId="156" applyNumberFormat="1" applyFont="1" applyFill="1"/>
    <xf numFmtId="164" fontId="60" fillId="0" borderId="0" xfId="156" applyNumberFormat="1" applyFont="1" applyFill="1" applyAlignment="1">
      <alignment horizontal="center"/>
    </xf>
    <xf numFmtId="164" fontId="179" fillId="0" borderId="0" xfId="156" applyNumberFormat="1" applyFont="1" applyFill="1"/>
    <xf numFmtId="164" fontId="1" fillId="0" borderId="0" xfId="156" applyNumberFormat="1" applyFont="1" applyFill="1"/>
    <xf numFmtId="164" fontId="60" fillId="37" borderId="0" xfId="156" applyNumberFormat="1" applyFont="1" applyFill="1" applyAlignment="1">
      <alignment horizontal="right"/>
    </xf>
    <xf numFmtId="164" fontId="60" fillId="37" borderId="0" xfId="156" applyNumberFormat="1" applyFont="1" applyFill="1"/>
    <xf numFmtId="164" fontId="60" fillId="37" borderId="0" xfId="156" applyNumberFormat="1" applyFont="1" applyFill="1" applyAlignment="1">
      <alignment horizontal="center"/>
    </xf>
    <xf numFmtId="175" fontId="9" fillId="0" borderId="0" xfId="156" applyNumberFormat="1" applyFont="1" applyFill="1" applyBorder="1" applyAlignment="1">
      <alignment horizontal="right"/>
    </xf>
    <xf numFmtId="175" fontId="9" fillId="0" borderId="0" xfId="156" applyNumberFormat="1" applyFont="1" applyFill="1" applyBorder="1"/>
    <xf numFmtId="37" fontId="9" fillId="0" borderId="0" xfId="156" applyNumberFormat="1" applyFont="1" applyFill="1" applyBorder="1" applyAlignment="1">
      <alignment horizontal="center"/>
    </xf>
    <xf numFmtId="164" fontId="9" fillId="36" borderId="0" xfId="156" applyNumberFormat="1" applyFont="1" applyFill="1"/>
    <xf numFmtId="164" fontId="69" fillId="36" borderId="0" xfId="156" applyNumberFormat="1" applyFont="1" applyFill="1"/>
    <xf numFmtId="164" fontId="69" fillId="36" borderId="0" xfId="156" applyNumberFormat="1" applyFont="1" applyFill="1" applyAlignment="1">
      <alignment horizontal="right"/>
    </xf>
    <xf numFmtId="164" fontId="69" fillId="36" borderId="0" xfId="156" applyNumberFormat="1" applyFont="1" applyFill="1" applyAlignment="1">
      <alignment horizontal="center"/>
    </xf>
    <xf numFmtId="164" fontId="226" fillId="36" borderId="0" xfId="156" applyNumberFormat="1" applyFont="1" applyFill="1"/>
    <xf numFmtId="164" fontId="1" fillId="0" borderId="0" xfId="156" applyNumberFormat="1" applyFont="1" applyFill="1" applyAlignment="1">
      <alignment horizontal="left" indent="1"/>
    </xf>
    <xf numFmtId="164" fontId="1" fillId="0" borderId="0" xfId="156" applyNumberFormat="1" applyFont="1" applyFill="1" applyAlignment="1">
      <alignment horizontal="right"/>
    </xf>
    <xf numFmtId="164" fontId="233" fillId="0" borderId="0" xfId="156" applyNumberFormat="1" applyFont="1" applyFill="1"/>
    <xf numFmtId="164" fontId="234" fillId="37" borderId="0" xfId="156" applyNumberFormat="1" applyFont="1" applyFill="1" applyAlignment="1">
      <alignment horizontal="right"/>
    </xf>
    <xf numFmtId="164" fontId="233" fillId="0" borderId="0" xfId="156" applyNumberFormat="1" applyFont="1" applyFill="1" applyAlignment="1">
      <alignment horizontal="right"/>
    </xf>
    <xf numFmtId="164" fontId="1" fillId="37" borderId="0" xfId="156" applyNumberFormat="1" applyFont="1" applyFill="1" applyAlignment="1">
      <alignment horizontal="right"/>
    </xf>
    <xf numFmtId="164" fontId="228" fillId="0" borderId="0" xfId="156" applyNumberFormat="1" applyFont="1" applyFill="1"/>
    <xf numFmtId="164" fontId="230" fillId="0" borderId="0" xfId="156" applyNumberFormat="1" applyFont="1" applyFill="1"/>
    <xf numFmtId="178" fontId="0" fillId="0" borderId="0" xfId="0" applyNumberFormat="1"/>
    <xf numFmtId="2" fontId="24" fillId="0" borderId="0" xfId="0" applyNumberFormat="1" applyFont="1"/>
    <xf numFmtId="3" fontId="233" fillId="0" borderId="0" xfId="0" applyNumberFormat="1" applyFont="1" applyAlignment="1">
      <alignment horizontal="right"/>
    </xf>
    <xf numFmtId="179" fontId="25" fillId="30" borderId="15" xfId="94" applyNumberFormat="1" applyFont="1" applyFill="1" applyBorder="1" applyAlignment="1">
      <alignment horizontal="right"/>
    </xf>
    <xf numFmtId="0" fontId="0" fillId="0" borderId="16" xfId="0" applyBorder="1"/>
    <xf numFmtId="0" fontId="9" fillId="0" borderId="16" xfId="0" applyFont="1" applyBorder="1"/>
    <xf numFmtId="0" fontId="0" fillId="38" borderId="0" xfId="0" applyFill="1"/>
    <xf numFmtId="0" fontId="44" fillId="38" borderId="0" xfId="0" applyFont="1" applyFill="1"/>
    <xf numFmtId="3" fontId="0" fillId="38" borderId="0" xfId="0" applyNumberFormat="1" applyFill="1"/>
    <xf numFmtId="37" fontId="0" fillId="38" borderId="0" xfId="0" applyNumberFormat="1" applyFill="1"/>
    <xf numFmtId="9" fontId="0" fillId="38" borderId="0" xfId="0" applyNumberFormat="1" applyFill="1"/>
    <xf numFmtId="6" fontId="0" fillId="38" borderId="0" xfId="0" applyNumberFormat="1" applyFill="1"/>
    <xf numFmtId="9" fontId="7" fillId="0" borderId="0" xfId="0" applyNumberFormat="1" applyFont="1" applyFill="1" applyAlignment="1">
      <alignment horizontal="center"/>
    </xf>
    <xf numFmtId="174" fontId="7" fillId="0" borderId="0" xfId="0" applyNumberFormat="1" applyFont="1" applyFill="1" applyAlignment="1">
      <alignment horizontal="center"/>
    </xf>
    <xf numFmtId="174" fontId="10" fillId="0" borderId="28" xfId="0" applyNumberFormat="1" applyFont="1" applyFill="1" applyBorder="1" applyAlignment="1">
      <alignment horizontal="center"/>
    </xf>
    <xf numFmtId="8" fontId="9" fillId="0" borderId="0" xfId="0" applyNumberFormat="1" applyFont="1"/>
    <xf numFmtId="0" fontId="0" fillId="35" borderId="0" xfId="0" applyFill="1" applyAlignment="1">
      <alignment horizontal="right"/>
    </xf>
    <xf numFmtId="0" fontId="9" fillId="35" borderId="0" xfId="0" applyFont="1" applyFill="1" applyAlignment="1">
      <alignment horizontal="right"/>
    </xf>
    <xf numFmtId="0" fontId="44" fillId="35" borderId="0" xfId="0" applyFont="1" applyFill="1"/>
    <xf numFmtId="0" fontId="44" fillId="35" borderId="0" xfId="0" applyFont="1" applyFill="1" applyAlignment="1">
      <alignment horizontal="right"/>
    </xf>
    <xf numFmtId="0" fontId="77" fillId="35" borderId="0" xfId="0" applyFont="1" applyFill="1" applyAlignment="1">
      <alignment horizontal="right"/>
    </xf>
    <xf numFmtId="8" fontId="0" fillId="35" borderId="0" xfId="0" applyNumberFormat="1" applyFill="1"/>
    <xf numFmtId="0" fontId="0" fillId="34" borderId="0" xfId="0" applyFill="1" applyAlignment="1">
      <alignment horizontal="right"/>
    </xf>
    <xf numFmtId="0" fontId="9" fillId="34" borderId="0" xfId="0" applyFont="1" applyFill="1" applyAlignment="1">
      <alignment horizontal="right"/>
    </xf>
    <xf numFmtId="37" fontId="0" fillId="35" borderId="0" xfId="0" applyNumberFormat="1" applyFill="1" applyAlignment="1">
      <alignment horizontal="right"/>
    </xf>
    <xf numFmtId="3" fontId="0" fillId="35" borderId="0" xfId="0" applyNumberFormat="1" applyFill="1" applyAlignment="1">
      <alignment horizontal="right"/>
    </xf>
    <xf numFmtId="2" fontId="0" fillId="35" borderId="0" xfId="0" applyNumberFormat="1" applyFill="1" applyAlignment="1">
      <alignment horizontal="right"/>
    </xf>
    <xf numFmtId="0" fontId="219" fillId="34" borderId="0" xfId="0" applyFont="1" applyFill="1" applyAlignment="1">
      <alignment horizontal="right"/>
    </xf>
    <xf numFmtId="8" fontId="219" fillId="34" borderId="0" xfId="0" applyNumberFormat="1" applyFont="1" applyFill="1" applyAlignment="1">
      <alignment horizontal="right"/>
    </xf>
    <xf numFmtId="8" fontId="0" fillId="34" borderId="0" xfId="0" applyNumberFormat="1" applyFill="1" applyAlignment="1">
      <alignment horizontal="right"/>
    </xf>
    <xf numFmtId="8" fontId="0" fillId="34" borderId="0" xfId="0" applyNumberFormat="1" applyFill="1"/>
    <xf numFmtId="179" fontId="25" fillId="30" borderId="0" xfId="94" applyNumberFormat="1" applyFont="1" applyFill="1" applyBorder="1" applyAlignment="1">
      <alignment horizontal="right"/>
    </xf>
    <xf numFmtId="6" fontId="9" fillId="17" borderId="17" xfId="0" applyNumberFormat="1" applyFont="1" applyFill="1" applyBorder="1"/>
    <xf numFmtId="0" fontId="9" fillId="16" borderId="12" xfId="0" applyFont="1" applyFill="1" applyBorder="1"/>
    <xf numFmtId="0" fontId="9" fillId="16" borderId="0" xfId="0" applyFont="1" applyFill="1"/>
    <xf numFmtId="6" fontId="9" fillId="0" borderId="12" xfId="0" applyNumberFormat="1" applyFont="1" applyBorder="1"/>
    <xf numFmtId="6" fontId="9" fillId="0" borderId="0" xfId="0" applyNumberFormat="1" applyFont="1"/>
    <xf numFmtId="6" fontId="9" fillId="0" borderId="14" xfId="0" applyNumberFormat="1" applyFont="1" applyBorder="1"/>
    <xf numFmtId="6" fontId="9" fillId="0" borderId="12" xfId="0" applyNumberFormat="1" applyFont="1" applyBorder="1" applyAlignment="1">
      <alignment horizontal="right"/>
    </xf>
    <xf numFmtId="6" fontId="9" fillId="0" borderId="0" xfId="0" applyNumberFormat="1" applyFont="1" applyAlignment="1">
      <alignment horizontal="right"/>
    </xf>
    <xf numFmtId="6" fontId="9" fillId="17" borderId="17" xfId="0" applyNumberFormat="1" applyFont="1" applyFill="1" applyBorder="1" applyAlignment="1">
      <alignment horizontal="right"/>
    </xf>
    <xf numFmtId="6" fontId="9" fillId="16" borderId="0" xfId="0" applyNumberFormat="1" applyFont="1" applyFill="1" applyAlignment="1">
      <alignment horizontal="right"/>
    </xf>
    <xf numFmtId="6" fontId="9" fillId="0" borderId="14" xfId="0" applyNumberFormat="1" applyFont="1" applyBorder="1" applyAlignment="1">
      <alignment horizontal="right"/>
    </xf>
    <xf numFmtId="6" fontId="9" fillId="0" borderId="0" xfId="0" applyNumberFormat="1" applyFont="1" applyAlignment="1"/>
    <xf numFmtId="6" fontId="9" fillId="0" borderId="0" xfId="0" applyNumberFormat="1" applyFont="1" applyBorder="1"/>
    <xf numFmtId="164" fontId="234" fillId="0" borderId="0" xfId="3" applyNumberFormat="1" applyFont="1" applyFill="1" applyBorder="1" applyAlignment="1">
      <alignment horizontal="right"/>
    </xf>
    <xf numFmtId="164" fontId="234" fillId="0" borderId="14" xfId="3" applyNumberFormat="1" applyFont="1" applyFill="1" applyBorder="1" applyAlignment="1">
      <alignment horizontal="right"/>
    </xf>
    <xf numFmtId="164" fontId="234" fillId="0" borderId="12" xfId="3" applyNumberFormat="1" applyFont="1" applyFill="1" applyBorder="1" applyAlignment="1">
      <alignment horizontal="right"/>
    </xf>
    <xf numFmtId="0" fontId="0" fillId="0" borderId="0" xfId="0"/>
    <xf numFmtId="3" fontId="233" fillId="0" borderId="0" xfId="0" applyNumberFormat="1" applyFont="1"/>
    <xf numFmtId="37" fontId="233" fillId="0" borderId="0" xfId="0" applyNumberFormat="1" applyFont="1"/>
    <xf numFmtId="49" fontId="0" fillId="0" borderId="16" xfId="0" applyNumberFormat="1" applyBorder="1" applyAlignment="1">
      <alignment horizontal="right"/>
    </xf>
    <xf numFmtId="179" fontId="0" fillId="0" borderId="16" xfId="0" applyNumberFormat="1" applyBorder="1" applyAlignment="1">
      <alignment horizontal="right"/>
    </xf>
    <xf numFmtId="3" fontId="0" fillId="0" borderId="15" xfId="0" applyNumberFormat="1" applyFont="1" applyBorder="1"/>
    <xf numFmtId="8" fontId="7" fillId="0" borderId="0" xfId="125" applyNumberFormat="1" applyFont="1" applyBorder="1" applyAlignment="1" applyProtection="1">
      <alignment horizontal="center"/>
      <protection locked="0"/>
    </xf>
    <xf numFmtId="8" fontId="7" fillId="0" borderId="53" xfId="125" applyNumberFormat="1" applyFont="1" applyBorder="1" applyAlignment="1" applyProtection="1">
      <alignment horizontal="center"/>
      <protection locked="0"/>
    </xf>
    <xf numFmtId="8" fontId="7" fillId="0" borderId="55" xfId="125" applyNumberFormat="1" applyFont="1" applyBorder="1" applyAlignment="1" applyProtection="1">
      <alignment horizontal="center"/>
      <protection locked="0"/>
    </xf>
    <xf numFmtId="8" fontId="7" fillId="0" borderId="56" xfId="125" applyNumberFormat="1" applyFont="1" applyBorder="1" applyAlignment="1" applyProtection="1">
      <alignment horizontal="center"/>
      <protection locked="0"/>
    </xf>
    <xf numFmtId="0" fontId="0" fillId="0" borderId="0" xfId="0"/>
    <xf numFmtId="0" fontId="0" fillId="0" borderId="0" xfId="0"/>
    <xf numFmtId="3" fontId="1" fillId="0" borderId="0" xfId="94" applyNumberFormat="1" applyFont="1" applyAlignment="1">
      <alignment horizontal="right"/>
    </xf>
    <xf numFmtId="3" fontId="1" fillId="0" borderId="0" xfId="112" applyNumberFormat="1" applyFont="1" applyFill="1" applyBorder="1" applyAlignment="1">
      <alignment horizontal="right"/>
    </xf>
    <xf numFmtId="3" fontId="1" fillId="0" borderId="0" xfId="94" applyNumberFormat="1" applyFont="1" applyFill="1" applyBorder="1" applyAlignment="1">
      <alignment horizontal="right"/>
    </xf>
    <xf numFmtId="3" fontId="1" fillId="0" borderId="0" xfId="112" applyNumberFormat="1" applyFont="1" applyFill="1" applyAlignment="1">
      <alignment horizontal="right"/>
    </xf>
    <xf numFmtId="3" fontId="24" fillId="0" borderId="0" xfId="57" applyNumberFormat="1" applyFont="1" applyFill="1" applyAlignment="1">
      <alignment horizontal="right"/>
    </xf>
    <xf numFmtId="3" fontId="1" fillId="0" borderId="0" xfId="57" applyNumberFormat="1" applyFont="1" applyFill="1" applyAlignment="1">
      <alignment horizontal="right"/>
    </xf>
    <xf numFmtId="3" fontId="1" fillId="0" borderId="0" xfId="94" applyNumberFormat="1" applyFont="1" applyFill="1" applyAlignment="1">
      <alignment horizontal="right"/>
    </xf>
    <xf numFmtId="3" fontId="7" fillId="0" borderId="0" xfId="112" applyNumberFormat="1" applyFont="1" applyFill="1" applyBorder="1" applyAlignment="1">
      <alignment horizontal="right"/>
    </xf>
    <xf numFmtId="3" fontId="1" fillId="0" borderId="0" xfId="57" applyNumberFormat="1" applyFont="1" applyFill="1" applyBorder="1" applyAlignment="1">
      <alignment horizontal="right"/>
    </xf>
    <xf numFmtId="49" fontId="1" fillId="17" borderId="17" xfId="94" applyNumberFormat="1" applyFont="1" applyFill="1" applyBorder="1" applyAlignment="1">
      <alignment horizontal="right"/>
    </xf>
    <xf numFmtId="49" fontId="9" fillId="17" borderId="17" xfId="94" applyNumberFormat="1" applyFont="1" applyFill="1" applyBorder="1" applyAlignment="1">
      <alignment horizontal="right"/>
    </xf>
    <xf numFmtId="164" fontId="1" fillId="18" borderId="0" xfId="112" applyNumberFormat="1" applyFont="1" applyFill="1" applyAlignment="1">
      <alignment horizontal="left" indent="1"/>
    </xf>
    <xf numFmtId="3" fontId="1" fillId="18" borderId="14" xfId="94" applyNumberFormat="1" applyFont="1" applyFill="1" applyBorder="1"/>
    <xf numFmtId="37" fontId="221" fillId="16" borderId="0" xfId="94" applyNumberFormat="1" applyFont="1" applyFill="1" applyBorder="1"/>
    <xf numFmtId="37" fontId="221" fillId="16" borderId="14" xfId="94" applyNumberFormat="1" applyFont="1" applyFill="1" applyBorder="1"/>
    <xf numFmtId="37" fontId="221" fillId="16" borderId="12" xfId="94" applyNumberFormat="1" applyFont="1" applyFill="1" applyBorder="1"/>
    <xf numFmtId="37" fontId="234" fillId="16" borderId="0" xfId="94" applyNumberFormat="1" applyFont="1" applyFill="1" applyBorder="1"/>
    <xf numFmtId="37" fontId="234" fillId="16" borderId="14" xfId="94" applyNumberFormat="1" applyFont="1" applyFill="1" applyBorder="1"/>
    <xf numFmtId="0" fontId="0" fillId="0" borderId="0" xfId="0"/>
    <xf numFmtId="0" fontId="0" fillId="0" borderId="0" xfId="0"/>
    <xf numFmtId="0" fontId="0" fillId="17" borderId="0" xfId="94" applyFont="1" applyFill="1" applyBorder="1"/>
    <xf numFmtId="8" fontId="2" fillId="0" borderId="0" xfId="94" applyNumberFormat="1" applyFont="1" applyBorder="1"/>
    <xf numFmtId="8" fontId="1" fillId="0" borderId="0" xfId="94" applyNumberFormat="1" applyFont="1" applyBorder="1"/>
    <xf numFmtId="8" fontId="1" fillId="0" borderId="12" xfId="94" applyNumberFormat="1" applyFont="1" applyFill="1" applyBorder="1"/>
    <xf numFmtId="8" fontId="25" fillId="17" borderId="17" xfId="94" applyNumberFormat="1" applyFont="1" applyFill="1" applyBorder="1" applyAlignment="1">
      <alignment horizontal="right"/>
    </xf>
    <xf numFmtId="8" fontId="2" fillId="0" borderId="12" xfId="94" applyNumberFormat="1" applyFont="1" applyBorder="1"/>
    <xf numFmtId="8" fontId="2" fillId="0" borderId="12" xfId="94" applyNumberFormat="1" applyFont="1" applyFill="1" applyBorder="1"/>
    <xf numFmtId="8" fontId="2" fillId="0" borderId="0" xfId="94" applyNumberFormat="1" applyFont="1" applyFill="1" applyBorder="1"/>
    <xf numFmtId="8" fontId="1" fillId="0" borderId="0" xfId="94" applyNumberFormat="1" applyFont="1" applyFill="1" applyBorder="1"/>
    <xf numFmtId="3" fontId="2" fillId="0" borderId="34" xfId="94" applyNumberFormat="1" applyFont="1" applyFill="1" applyBorder="1"/>
    <xf numFmtId="8" fontId="1" fillId="0" borderId="14" xfId="94" applyNumberFormat="1" applyFont="1" applyFill="1" applyBorder="1"/>
    <xf numFmtId="8" fontId="233" fillId="0" borderId="19" xfId="94" applyNumberFormat="1" applyFont="1" applyBorder="1"/>
    <xf numFmtId="8" fontId="233" fillId="0" borderId="12" xfId="94" applyNumberFormat="1" applyFont="1" applyBorder="1"/>
    <xf numFmtId="8" fontId="233" fillId="0" borderId="0" xfId="94" applyNumberFormat="1" applyFont="1"/>
    <xf numFmtId="8" fontId="233" fillId="0" borderId="20" xfId="94" applyNumberFormat="1" applyFont="1" applyBorder="1"/>
    <xf numFmtId="8" fontId="233" fillId="0" borderId="15" xfId="94" applyNumberFormat="1" applyFont="1" applyBorder="1"/>
    <xf numFmtId="8" fontId="233" fillId="0" borderId="0" xfId="94" applyNumberFormat="1" applyFont="1" applyBorder="1"/>
    <xf numFmtId="8" fontId="233" fillId="0" borderId="12" xfId="94" applyNumberFormat="1" applyFont="1" applyFill="1" applyBorder="1"/>
    <xf numFmtId="8" fontId="233" fillId="0" borderId="0" xfId="94" applyNumberFormat="1" applyFont="1" applyFill="1"/>
    <xf numFmtId="8" fontId="233" fillId="0" borderId="14" xfId="94" applyNumberFormat="1" applyFont="1" applyFill="1" applyBorder="1"/>
    <xf numFmtId="8" fontId="233" fillId="0" borderId="0" xfId="94" applyNumberFormat="1" applyFont="1" applyFill="1" applyBorder="1"/>
    <xf numFmtId="37" fontId="217" fillId="16" borderId="33" xfId="94" applyNumberFormat="1" applyFont="1" applyFill="1" applyBorder="1"/>
    <xf numFmtId="3" fontId="14" fillId="0" borderId="12" xfId="94" applyNumberFormat="1" applyFont="1" applyFill="1" applyBorder="1" applyAlignment="1">
      <alignment horizontal="right"/>
    </xf>
    <xf numFmtId="3" fontId="14" fillId="0" borderId="0" xfId="94" applyNumberFormat="1" applyFont="1" applyFill="1" applyBorder="1" applyAlignment="1">
      <alignment horizontal="right"/>
    </xf>
    <xf numFmtId="3" fontId="14" fillId="0" borderId="14" xfId="94" applyNumberFormat="1" applyFont="1" applyFill="1" applyBorder="1" applyAlignment="1">
      <alignment horizontal="right"/>
    </xf>
    <xf numFmtId="3" fontId="201" fillId="0" borderId="0" xfId="94" applyNumberFormat="1" applyFont="1" applyFill="1" applyBorder="1" applyAlignment="1">
      <alignment horizontal="right"/>
    </xf>
    <xf numFmtId="3" fontId="201" fillId="0" borderId="14" xfId="94" applyNumberFormat="1" applyFont="1" applyFill="1" applyBorder="1" applyAlignment="1">
      <alignment horizontal="right"/>
    </xf>
    <xf numFmtId="3" fontId="1" fillId="0" borderId="0" xfId="0" applyNumberFormat="1" applyFont="1" applyBorder="1" applyAlignment="1">
      <alignment horizontal="right"/>
    </xf>
    <xf numFmtId="3" fontId="1" fillId="0" borderId="14" xfId="0" applyNumberFormat="1" applyFont="1" applyBorder="1" applyAlignment="1">
      <alignment horizontal="right"/>
    </xf>
    <xf numFmtId="164" fontId="1" fillId="16" borderId="12" xfId="94" applyNumberFormat="1" applyFont="1" applyFill="1" applyBorder="1" applyAlignment="1">
      <alignment horizontal="right"/>
    </xf>
    <xf numFmtId="164" fontId="1" fillId="16" borderId="0" xfId="94" applyNumberFormat="1" applyFont="1" applyFill="1" applyBorder="1" applyAlignment="1">
      <alignment horizontal="right"/>
    </xf>
    <xf numFmtId="164" fontId="2" fillId="16" borderId="14" xfId="94" applyNumberFormat="1" applyFont="1" applyFill="1" applyBorder="1" applyAlignment="1">
      <alignment horizontal="right"/>
    </xf>
    <xf numFmtId="164" fontId="2" fillId="16" borderId="0" xfId="94" applyNumberFormat="1" applyFont="1" applyFill="1" applyBorder="1" applyAlignment="1">
      <alignment horizontal="right"/>
    </xf>
    <xf numFmtId="164" fontId="1" fillId="16" borderId="14" xfId="94" applyNumberFormat="1" applyFont="1" applyFill="1" applyBorder="1" applyAlignment="1">
      <alignment horizontal="right"/>
    </xf>
    <xf numFmtId="37" fontId="0" fillId="0" borderId="12" xfId="94" applyNumberFormat="1" applyFont="1" applyFill="1" applyBorder="1" applyAlignment="1">
      <alignment horizontal="left" indent="1"/>
    </xf>
    <xf numFmtId="3" fontId="233" fillId="0" borderId="0" xfId="94" applyNumberFormat="1" applyFont="1" applyBorder="1"/>
    <xf numFmtId="43" fontId="1" fillId="0" borderId="36" xfId="57" applyFont="1" applyFill="1" applyBorder="1" applyAlignment="1">
      <alignment horizontal="left"/>
    </xf>
    <xf numFmtId="37" fontId="1" fillId="0" borderId="28" xfId="94" applyNumberFormat="1" applyFont="1" applyBorder="1"/>
    <xf numFmtId="3" fontId="1" fillId="0" borderId="28" xfId="94" applyNumberFormat="1" applyFont="1" applyBorder="1"/>
    <xf numFmtId="0" fontId="1" fillId="0" borderId="28" xfId="94" applyFont="1" applyBorder="1"/>
    <xf numFmtId="0" fontId="1" fillId="0" borderId="35" xfId="94" applyFont="1" applyBorder="1"/>
    <xf numFmtId="0" fontId="1" fillId="0" borderId="36" xfId="94" applyFont="1" applyBorder="1"/>
    <xf numFmtId="37" fontId="1" fillId="0" borderId="36" xfId="94" applyNumberFormat="1" applyFont="1" applyBorder="1"/>
    <xf numFmtId="37" fontId="1" fillId="0" borderId="35" xfId="94" applyNumberFormat="1" applyFont="1" applyBorder="1"/>
    <xf numFmtId="3" fontId="1" fillId="0" borderId="36" xfId="94" applyNumberFormat="1" applyFont="1" applyBorder="1"/>
    <xf numFmtId="3" fontId="1" fillId="0" borderId="35" xfId="94" applyNumberFormat="1" applyFont="1" applyBorder="1"/>
    <xf numFmtId="37" fontId="9" fillId="0" borderId="73" xfId="94" applyNumberFormat="1" applyFont="1" applyBorder="1"/>
    <xf numFmtId="37" fontId="9" fillId="0" borderId="46" xfId="94" applyNumberFormat="1" applyFont="1" applyBorder="1"/>
    <xf numFmtId="3" fontId="9" fillId="0" borderId="46" xfId="94" applyNumberFormat="1" applyFont="1" applyBorder="1"/>
    <xf numFmtId="0" fontId="9" fillId="0" borderId="46" xfId="94" applyFont="1" applyBorder="1"/>
    <xf numFmtId="0" fontId="1" fillId="0" borderId="74" xfId="94" applyFont="1" applyBorder="1"/>
    <xf numFmtId="0" fontId="1" fillId="0" borderId="73" xfId="94" applyFont="1" applyBorder="1"/>
    <xf numFmtId="0" fontId="1" fillId="0" borderId="46" xfId="94" applyFont="1" applyBorder="1"/>
    <xf numFmtId="37" fontId="9" fillId="0" borderId="74" xfId="94" applyNumberFormat="1" applyFont="1" applyBorder="1"/>
    <xf numFmtId="3" fontId="9" fillId="0" borderId="73" xfId="94" applyNumberFormat="1" applyFont="1" applyBorder="1"/>
    <xf numFmtId="37" fontId="236" fillId="0" borderId="46" xfId="94" applyNumberFormat="1" applyFont="1" applyBorder="1"/>
    <xf numFmtId="37" fontId="236" fillId="0" borderId="74" xfId="94" applyNumberFormat="1" applyFont="1" applyBorder="1"/>
    <xf numFmtId="3" fontId="9" fillId="0" borderId="74" xfId="94" applyNumberFormat="1" applyFont="1" applyBorder="1"/>
    <xf numFmtId="37" fontId="24" fillId="0" borderId="21" xfId="94" applyNumberFormat="1" applyFont="1" applyFill="1" applyBorder="1"/>
    <xf numFmtId="180" fontId="2" fillId="0" borderId="0" xfId="94" applyNumberFormat="1" applyFont="1" applyBorder="1"/>
    <xf numFmtId="181" fontId="2" fillId="0" borderId="0" xfId="94" applyNumberFormat="1" applyFont="1" applyFill="1"/>
    <xf numFmtId="176" fontId="0" fillId="0" borderId="0" xfId="0" applyNumberFormat="1" applyFont="1"/>
    <xf numFmtId="37" fontId="227" fillId="0" borderId="0" xfId="0" applyNumberFormat="1" applyFont="1"/>
    <xf numFmtId="37" fontId="228" fillId="36" borderId="0" xfId="0" applyNumberFormat="1" applyFont="1" applyFill="1"/>
    <xf numFmtId="37" fontId="229" fillId="36" borderId="0" xfId="0" applyNumberFormat="1" applyFont="1" applyFill="1"/>
    <xf numFmtId="37" fontId="229" fillId="0" borderId="0" xfId="0" applyNumberFormat="1" applyFont="1" applyFill="1"/>
    <xf numFmtId="37" fontId="230" fillId="0" borderId="0" xfId="0" applyNumberFormat="1" applyFont="1" applyFill="1"/>
    <xf numFmtId="37" fontId="228" fillId="0" borderId="0" xfId="0" applyNumberFormat="1" applyFont="1"/>
    <xf numFmtId="37" fontId="229" fillId="0" borderId="0" xfId="0" applyNumberFormat="1" applyFont="1"/>
    <xf numFmtId="37" fontId="230" fillId="0" borderId="0" xfId="0" applyNumberFormat="1" applyFont="1"/>
    <xf numFmtId="37" fontId="228" fillId="0" borderId="0" xfId="0" applyNumberFormat="1" applyFont="1" applyFill="1"/>
    <xf numFmtId="37" fontId="0" fillId="0" borderId="0" xfId="0" applyNumberFormat="1" applyFont="1"/>
    <xf numFmtId="0" fontId="227" fillId="0" borderId="0" xfId="0" applyFont="1"/>
    <xf numFmtId="164" fontId="230" fillId="0" borderId="0" xfId="0" applyNumberFormat="1" applyFont="1"/>
    <xf numFmtId="9" fontId="230" fillId="0" borderId="0" xfId="0" applyNumberFormat="1" applyFont="1"/>
    <xf numFmtId="164" fontId="228" fillId="0" borderId="0" xfId="0" applyNumberFormat="1" applyFont="1"/>
    <xf numFmtId="37" fontId="231" fillId="36" borderId="0" xfId="0" applyNumberFormat="1" applyFont="1" applyFill="1"/>
    <xf numFmtId="15" fontId="10" fillId="0" borderId="58" xfId="107" applyNumberFormat="1" applyFont="1" applyFill="1" applyBorder="1" applyAlignment="1"/>
    <xf numFmtId="8" fontId="233" fillId="0" borderId="0" xfId="0" applyNumberFormat="1" applyFont="1"/>
    <xf numFmtId="9" fontId="9" fillId="0" borderId="0" xfId="57" applyNumberFormat="1" applyFont="1" applyFill="1" applyBorder="1"/>
    <xf numFmtId="0" fontId="0" fillId="0" borderId="0" xfId="0"/>
    <xf numFmtId="0" fontId="0" fillId="0" borderId="0" xfId="0"/>
    <xf numFmtId="164" fontId="9" fillId="0" borderId="0" xfId="0" applyNumberFormat="1" applyFont="1"/>
    <xf numFmtId="0" fontId="0" fillId="0" borderId="0" xfId="0"/>
    <xf numFmtId="164" fontId="93" fillId="38" borderId="12" xfId="112" applyNumberFormat="1" applyFont="1" applyFill="1" applyBorder="1"/>
    <xf numFmtId="164" fontId="93" fillId="38" borderId="0" xfId="112" applyNumberFormat="1" applyFont="1" applyFill="1" applyBorder="1"/>
    <xf numFmtId="164" fontId="93" fillId="38" borderId="14" xfId="112" applyNumberFormat="1" applyFont="1" applyFill="1" applyBorder="1"/>
    <xf numFmtId="164" fontId="9" fillId="38" borderId="0" xfId="3" applyNumberFormat="1" applyFont="1" applyFill="1" applyBorder="1"/>
    <xf numFmtId="164" fontId="9" fillId="38" borderId="14" xfId="3" applyNumberFormat="1" applyFont="1" applyFill="1" applyBorder="1"/>
    <xf numFmtId="37" fontId="221" fillId="0" borderId="14" xfId="94" applyNumberFormat="1" applyFont="1" applyFill="1" applyBorder="1"/>
    <xf numFmtId="0" fontId="9" fillId="0" borderId="14" xfId="0" applyFont="1" applyBorder="1"/>
    <xf numFmtId="3" fontId="9" fillId="0" borderId="14" xfId="0" applyNumberFormat="1" applyFont="1" applyBorder="1"/>
    <xf numFmtId="3" fontId="9" fillId="0" borderId="0" xfId="0" applyNumberFormat="1" applyFont="1" applyBorder="1"/>
    <xf numFmtId="0" fontId="230" fillId="0" borderId="0" xfId="0" applyNumberFormat="1" applyFont="1"/>
    <xf numFmtId="37" fontId="226" fillId="0" borderId="0" xfId="3" applyNumberFormat="1" applyFont="1" applyFill="1" applyBorder="1"/>
    <xf numFmtId="164" fontId="233" fillId="0" borderId="0" xfId="0" applyNumberFormat="1" applyFont="1" applyBorder="1"/>
    <xf numFmtId="164" fontId="0" fillId="16" borderId="14" xfId="94" applyNumberFormat="1" applyFont="1" applyFill="1" applyBorder="1" applyAlignment="1">
      <alignment horizontal="right"/>
    </xf>
    <xf numFmtId="164" fontId="0" fillId="0" borderId="33" xfId="94" applyNumberFormat="1" applyFont="1" applyBorder="1" applyAlignment="1">
      <alignment horizontal="right"/>
    </xf>
    <xf numFmtId="164" fontId="0" fillId="0" borderId="0" xfId="94" applyNumberFormat="1" applyFont="1" applyBorder="1" applyAlignment="1">
      <alignment horizontal="right"/>
    </xf>
    <xf numFmtId="164" fontId="0" fillId="0" borderId="0" xfId="0" applyNumberFormat="1" applyFont="1"/>
    <xf numFmtId="164" fontId="24" fillId="0" borderId="0" xfId="0" applyNumberFormat="1" applyFont="1" applyAlignment="1">
      <alignment horizontal="right"/>
    </xf>
    <xf numFmtId="37" fontId="9" fillId="0" borderId="0" xfId="0" applyNumberFormat="1" applyFont="1" applyAlignment="1">
      <alignment horizontal="right"/>
    </xf>
    <xf numFmtId="37" fontId="0" fillId="0" borderId="0" xfId="0" applyNumberFormat="1" applyFont="1" applyAlignment="1">
      <alignment horizontal="right"/>
    </xf>
    <xf numFmtId="164" fontId="0" fillId="17" borderId="14" xfId="94" applyNumberFormat="1" applyFont="1" applyFill="1" applyBorder="1" applyAlignment="1">
      <alignment horizontal="right"/>
    </xf>
    <xf numFmtId="0" fontId="240" fillId="40" borderId="0" xfId="0" applyFont="1" applyFill="1"/>
    <xf numFmtId="0" fontId="240" fillId="40" borderId="0" xfId="0" applyFont="1" applyFill="1" applyAlignment="1">
      <alignment horizontal="right"/>
    </xf>
    <xf numFmtId="37" fontId="9" fillId="0" borderId="0" xfId="0" applyNumberFormat="1" applyFont="1" applyBorder="1" applyAlignment="1">
      <alignment horizontal="right"/>
    </xf>
    <xf numFmtId="3" fontId="0" fillId="0" borderId="0" xfId="0" applyNumberFormat="1" applyFont="1" applyAlignment="1">
      <alignment horizontal="right"/>
    </xf>
    <xf numFmtId="9" fontId="1" fillId="0" borderId="0" xfId="155" applyNumberFormat="1"/>
    <xf numFmtId="0" fontId="1" fillId="0" borderId="0" xfId="100" applyFont="1" applyBorder="1"/>
    <xf numFmtId="0" fontId="25" fillId="41" borderId="0" xfId="94" applyFont="1" applyFill="1" applyBorder="1"/>
    <xf numFmtId="37" fontId="26" fillId="41" borderId="0" xfId="94" applyNumberFormat="1" applyFont="1" applyFill="1" applyBorder="1"/>
    <xf numFmtId="37" fontId="26" fillId="41" borderId="17" xfId="94" applyNumberFormat="1" applyFont="1" applyFill="1" applyBorder="1"/>
    <xf numFmtId="37" fontId="26" fillId="41" borderId="12" xfId="94" applyNumberFormat="1" applyFont="1" applyFill="1" applyBorder="1"/>
    <xf numFmtId="37" fontId="26" fillId="41" borderId="14" xfId="94" applyNumberFormat="1" applyFont="1" applyFill="1" applyBorder="1"/>
    <xf numFmtId="37" fontId="26" fillId="41" borderId="34" xfId="94" applyNumberFormat="1" applyFont="1" applyFill="1" applyBorder="1"/>
    <xf numFmtId="37" fontId="26" fillId="41" borderId="22" xfId="94" applyNumberFormat="1" applyFont="1" applyFill="1" applyBorder="1"/>
    <xf numFmtId="37" fontId="26" fillId="41" borderId="33" xfId="94" applyNumberFormat="1" applyFont="1" applyFill="1" applyBorder="1"/>
    <xf numFmtId="0" fontId="25" fillId="41" borderId="22" xfId="94" applyFont="1" applyFill="1" applyBorder="1"/>
    <xf numFmtId="164" fontId="26" fillId="41" borderId="22" xfId="94" applyNumberFormat="1" applyFont="1" applyFill="1" applyBorder="1"/>
    <xf numFmtId="164" fontId="26" fillId="41" borderId="21" xfId="94" applyNumberFormat="1" applyFont="1" applyFill="1" applyBorder="1"/>
    <xf numFmtId="164" fontId="26" fillId="41" borderId="33" xfId="94" applyNumberFormat="1" applyFont="1" applyFill="1" applyBorder="1"/>
    <xf numFmtId="164" fontId="26" fillId="41" borderId="34" xfId="94" applyNumberFormat="1" applyFont="1" applyFill="1" applyBorder="1"/>
    <xf numFmtId="164" fontId="26" fillId="41" borderId="0" xfId="94" applyNumberFormat="1" applyFont="1" applyFill="1" applyBorder="1"/>
    <xf numFmtId="164" fontId="26" fillId="41" borderId="14" xfId="94" applyNumberFormat="1" applyFont="1" applyFill="1" applyBorder="1"/>
    <xf numFmtId="164" fontId="26" fillId="41" borderId="12" xfId="94" applyNumberFormat="1" applyFont="1" applyFill="1" applyBorder="1"/>
    <xf numFmtId="3" fontId="1" fillId="0" borderId="12" xfId="57" applyNumberFormat="1" applyFont="1" applyBorder="1"/>
    <xf numFmtId="0" fontId="239" fillId="41" borderId="35" xfId="94" applyFont="1" applyFill="1" applyBorder="1"/>
    <xf numFmtId="39" fontId="240" fillId="41" borderId="35" xfId="94" applyNumberFormat="1" applyFont="1" applyFill="1" applyBorder="1"/>
    <xf numFmtId="37" fontId="236" fillId="0" borderId="12" xfId="94" applyNumberFormat="1" applyFont="1" applyFill="1" applyBorder="1"/>
    <xf numFmtId="37" fontId="236" fillId="0" borderId="0" xfId="94" applyNumberFormat="1" applyFont="1" applyFill="1" applyBorder="1"/>
    <xf numFmtId="37" fontId="236" fillId="0" borderId="14" xfId="94" applyNumberFormat="1" applyFont="1" applyFill="1" applyBorder="1"/>
    <xf numFmtId="6" fontId="9" fillId="0" borderId="0" xfId="0" applyNumberFormat="1" applyFont="1" applyBorder="1" applyAlignment="1">
      <alignment horizontal="right"/>
    </xf>
    <xf numFmtId="164" fontId="0" fillId="16" borderId="0" xfId="94" applyNumberFormat="1" applyFont="1" applyFill="1" applyBorder="1" applyAlignment="1">
      <alignment horizontal="right"/>
    </xf>
    <xf numFmtId="164" fontId="0" fillId="17" borderId="0" xfId="94" applyNumberFormat="1" applyFont="1" applyFill="1" applyBorder="1" applyAlignment="1">
      <alignment horizontal="right"/>
    </xf>
    <xf numFmtId="164" fontId="241" fillId="0" borderId="0" xfId="0" applyNumberFormat="1" applyFont="1" applyBorder="1"/>
    <xf numFmtId="0" fontId="0" fillId="34" borderId="0" xfId="0" applyFont="1" applyFill="1"/>
    <xf numFmtId="3" fontId="0" fillId="34" borderId="0" xfId="0" applyNumberFormat="1" applyFont="1" applyFill="1" applyAlignment="1">
      <alignment horizontal="right"/>
    </xf>
    <xf numFmtId="37" fontId="0" fillId="34" borderId="0" xfId="0" applyNumberFormat="1" applyFont="1" applyFill="1" applyAlignment="1">
      <alignment horizontal="right"/>
    </xf>
    <xf numFmtId="0" fontId="0" fillId="0" borderId="0" xfId="0" applyFont="1" applyAlignment="1">
      <alignment horizontal="right"/>
    </xf>
    <xf numFmtId="164" fontId="0" fillId="0" borderId="0" xfId="0" applyNumberFormat="1" applyFont="1" applyAlignment="1">
      <alignment horizontal="right"/>
    </xf>
    <xf numFmtId="0" fontId="0" fillId="34" borderId="0" xfId="0" applyFont="1" applyFill="1" applyAlignment="1">
      <alignment horizontal="left"/>
    </xf>
    <xf numFmtId="0" fontId="0" fillId="18" borderId="0" xfId="94" applyFont="1" applyFill="1" applyBorder="1" applyAlignment="1">
      <alignment horizontal="left"/>
    </xf>
    <xf numFmtId="164" fontId="0" fillId="18" borderId="0" xfId="112" applyNumberFormat="1" applyFont="1" applyFill="1" applyAlignment="1">
      <alignment horizontal="left" indent="1"/>
    </xf>
    <xf numFmtId="164" fontId="0" fillId="18" borderId="0" xfId="112" applyNumberFormat="1" applyFont="1" applyFill="1" applyBorder="1" applyAlignment="1">
      <alignment horizontal="left" indent="1"/>
    </xf>
    <xf numFmtId="9" fontId="24" fillId="18" borderId="0" xfId="94" applyNumberFormat="1" applyFont="1" applyFill="1" applyBorder="1"/>
    <xf numFmtId="9" fontId="24" fillId="18" borderId="14" xfId="94" applyNumberFormat="1" applyFont="1" applyFill="1" applyBorder="1"/>
    <xf numFmtId="9" fontId="0" fillId="0" borderId="0" xfId="0" applyNumberFormat="1" applyFont="1"/>
    <xf numFmtId="3" fontId="0" fillId="34" borderId="0" xfId="0" applyNumberFormat="1" applyFont="1" applyFill="1"/>
    <xf numFmtId="1" fontId="0" fillId="0" borderId="28" xfId="0" applyNumberFormat="1" applyFont="1" applyBorder="1"/>
    <xf numFmtId="1" fontId="0" fillId="0" borderId="28" xfId="0" applyNumberFormat="1" applyFont="1" applyBorder="1" applyAlignment="1">
      <alignment horizontal="right"/>
    </xf>
    <xf numFmtId="49" fontId="240" fillId="40" borderId="0" xfId="0" applyNumberFormat="1" applyFont="1" applyFill="1" applyAlignment="1">
      <alignment horizontal="right"/>
    </xf>
    <xf numFmtId="0" fontId="0" fillId="0" borderId="17" xfId="0" applyFont="1" applyBorder="1"/>
    <xf numFmtId="0" fontId="240" fillId="40" borderId="17" xfId="0" applyFont="1" applyFill="1" applyBorder="1"/>
    <xf numFmtId="3" fontId="0" fillId="34" borderId="17" xfId="0" applyNumberFormat="1" applyFont="1" applyFill="1" applyBorder="1"/>
    <xf numFmtId="0" fontId="24" fillId="0" borderId="17" xfId="0" applyFont="1" applyBorder="1"/>
    <xf numFmtId="0" fontId="0" fillId="34" borderId="17" xfId="0" applyFont="1" applyFill="1" applyBorder="1"/>
    <xf numFmtId="1" fontId="0" fillId="0" borderId="48" xfId="0" applyNumberFormat="1" applyFont="1" applyBorder="1"/>
    <xf numFmtId="0" fontId="240" fillId="40" borderId="17" xfId="0" applyFont="1" applyFill="1" applyBorder="1" applyAlignment="1">
      <alignment horizontal="right"/>
    </xf>
    <xf numFmtId="0" fontId="0" fillId="34" borderId="17" xfId="0" applyFont="1" applyFill="1" applyBorder="1" applyAlignment="1">
      <alignment horizontal="left"/>
    </xf>
    <xf numFmtId="0" fontId="0" fillId="0" borderId="12" xfId="0" applyFont="1" applyBorder="1" applyAlignment="1">
      <alignment horizontal="right"/>
    </xf>
    <xf numFmtId="3" fontId="0" fillId="0" borderId="0" xfId="0" applyNumberFormat="1" applyFont="1" applyBorder="1"/>
    <xf numFmtId="0" fontId="0" fillId="0" borderId="0" xfId="0" applyFont="1" applyBorder="1"/>
    <xf numFmtId="0" fontId="0" fillId="0" borderId="14" xfId="0" applyFont="1" applyBorder="1"/>
    <xf numFmtId="3" fontId="0" fillId="0" borderId="12" xfId="0" applyNumberFormat="1" applyFont="1" applyBorder="1" applyAlignment="1">
      <alignment horizontal="right"/>
    </xf>
    <xf numFmtId="3" fontId="0" fillId="0" borderId="14" xfId="0" applyNumberFormat="1" applyFont="1" applyBorder="1" applyAlignment="1">
      <alignment horizontal="right"/>
    </xf>
    <xf numFmtId="0" fontId="240" fillId="40" borderId="12" xfId="0" applyFont="1" applyFill="1" applyBorder="1" applyAlignment="1">
      <alignment horizontal="right"/>
    </xf>
    <xf numFmtId="0" fontId="240" fillId="40" borderId="0" xfId="0" applyFont="1" applyFill="1" applyBorder="1" applyAlignment="1">
      <alignment horizontal="right"/>
    </xf>
    <xf numFmtId="0" fontId="240" fillId="40" borderId="14" xfId="0" applyFont="1" applyFill="1" applyBorder="1" applyAlignment="1">
      <alignment horizontal="right"/>
    </xf>
    <xf numFmtId="3" fontId="0" fillId="34" borderId="12" xfId="0" applyNumberFormat="1" applyFont="1" applyFill="1" applyBorder="1" applyAlignment="1">
      <alignment horizontal="right"/>
    </xf>
    <xf numFmtId="3" fontId="0" fillId="34" borderId="0" xfId="0" applyNumberFormat="1" applyFont="1" applyFill="1" applyBorder="1" applyAlignment="1">
      <alignment horizontal="right"/>
    </xf>
    <xf numFmtId="3" fontId="0" fillId="34" borderId="14" xfId="0" applyNumberFormat="1" applyFont="1" applyFill="1" applyBorder="1" applyAlignment="1">
      <alignment horizontal="right"/>
    </xf>
    <xf numFmtId="164" fontId="24" fillId="0" borderId="12" xfId="0" applyNumberFormat="1" applyFont="1" applyBorder="1" applyAlignment="1">
      <alignment horizontal="right"/>
    </xf>
    <xf numFmtId="164" fontId="24" fillId="0" borderId="0" xfId="0" applyNumberFormat="1" applyFont="1" applyBorder="1" applyAlignment="1">
      <alignment horizontal="right"/>
    </xf>
    <xf numFmtId="164" fontId="24" fillId="0" borderId="14" xfId="0" applyNumberFormat="1" applyFont="1" applyBorder="1" applyAlignment="1">
      <alignment horizontal="right"/>
    </xf>
    <xf numFmtId="37" fontId="0" fillId="0" borderId="12" xfId="0" applyNumberFormat="1" applyFont="1" applyBorder="1" applyAlignment="1">
      <alignment horizontal="right"/>
    </xf>
    <xf numFmtId="37" fontId="0" fillId="0" borderId="0" xfId="0" applyNumberFormat="1" applyFont="1" applyBorder="1" applyAlignment="1">
      <alignment horizontal="right"/>
    </xf>
    <xf numFmtId="37" fontId="0" fillId="0" borderId="14" xfId="0" applyNumberFormat="1" applyFont="1" applyBorder="1" applyAlignment="1">
      <alignment horizontal="right"/>
    </xf>
    <xf numFmtId="37" fontId="0" fillId="34" borderId="12" xfId="0" applyNumberFormat="1" applyFont="1" applyFill="1" applyBorder="1" applyAlignment="1">
      <alignment horizontal="right"/>
    </xf>
    <xf numFmtId="37" fontId="0" fillId="34" borderId="0" xfId="0" applyNumberFormat="1" applyFont="1" applyFill="1" applyBorder="1" applyAlignment="1">
      <alignment horizontal="right"/>
    </xf>
    <xf numFmtId="37" fontId="0" fillId="34" borderId="14" xfId="0" applyNumberFormat="1" applyFont="1" applyFill="1" applyBorder="1" applyAlignment="1">
      <alignment horizontal="right"/>
    </xf>
    <xf numFmtId="37" fontId="9" fillId="0" borderId="12" xfId="0" applyNumberFormat="1" applyFont="1" applyBorder="1" applyAlignment="1">
      <alignment horizontal="right"/>
    </xf>
    <xf numFmtId="37" fontId="9" fillId="0" borderId="14" xfId="0" applyNumberFormat="1" applyFont="1" applyBorder="1" applyAlignment="1">
      <alignment horizontal="right"/>
    </xf>
    <xf numFmtId="1" fontId="0" fillId="0" borderId="36" xfId="0" applyNumberFormat="1" applyFont="1" applyBorder="1" applyAlignment="1">
      <alignment horizontal="right"/>
    </xf>
    <xf numFmtId="1" fontId="0" fillId="0" borderId="35" xfId="0" applyNumberFormat="1" applyFont="1" applyBorder="1" applyAlignment="1">
      <alignment horizontal="right"/>
    </xf>
    <xf numFmtId="0" fontId="0" fillId="0" borderId="0" xfId="0" applyFont="1" applyBorder="1" applyAlignment="1">
      <alignment horizontal="right"/>
    </xf>
    <xf numFmtId="0" fontId="0" fillId="0" borderId="14" xfId="0" applyFont="1" applyBorder="1" applyAlignment="1">
      <alignment horizontal="right"/>
    </xf>
    <xf numFmtId="164" fontId="0" fillId="0" borderId="12" xfId="0" applyNumberFormat="1" applyFont="1" applyBorder="1" applyAlignment="1">
      <alignment horizontal="right"/>
    </xf>
    <xf numFmtId="164" fontId="0" fillId="0" borderId="0" xfId="0" applyNumberFormat="1" applyFont="1" applyBorder="1" applyAlignment="1">
      <alignment horizontal="right"/>
    </xf>
    <xf numFmtId="164" fontId="0" fillId="0" borderId="14" xfId="0" applyNumberFormat="1" applyFont="1" applyBorder="1" applyAlignment="1">
      <alignment horizontal="right"/>
    </xf>
    <xf numFmtId="164" fontId="221" fillId="0" borderId="0" xfId="0" applyNumberFormat="1" applyFont="1" applyBorder="1" applyAlignment="1">
      <alignment horizontal="right"/>
    </xf>
    <xf numFmtId="164" fontId="221" fillId="0" borderId="14" xfId="0" applyNumberFormat="1" applyFont="1" applyBorder="1" applyAlignment="1">
      <alignment horizontal="right"/>
    </xf>
    <xf numFmtId="0" fontId="0" fillId="0" borderId="12" xfId="0" applyFont="1" applyBorder="1"/>
    <xf numFmtId="9" fontId="0" fillId="0" borderId="12" xfId="0" applyNumberFormat="1" applyFont="1" applyBorder="1"/>
    <xf numFmtId="9" fontId="0" fillId="0" borderId="0" xfId="0" applyNumberFormat="1" applyFont="1" applyBorder="1"/>
    <xf numFmtId="9" fontId="0" fillId="0" borderId="14" xfId="0" applyNumberFormat="1" applyFont="1" applyBorder="1"/>
    <xf numFmtId="3" fontId="0" fillId="0" borderId="12" xfId="0" applyNumberFormat="1" applyFont="1" applyBorder="1"/>
    <xf numFmtId="3" fontId="0" fillId="0" borderId="14" xfId="0" applyNumberFormat="1" applyFont="1" applyBorder="1"/>
    <xf numFmtId="3" fontId="9" fillId="0" borderId="12" xfId="0" applyNumberFormat="1" applyFont="1" applyBorder="1" applyAlignment="1">
      <alignment horizontal="right"/>
    </xf>
    <xf numFmtId="164" fontId="221" fillId="0" borderId="12" xfId="0" applyNumberFormat="1" applyFont="1" applyBorder="1" applyAlignment="1">
      <alignment horizontal="right"/>
    </xf>
    <xf numFmtId="3" fontId="9" fillId="0" borderId="0" xfId="0" applyNumberFormat="1" applyFont="1" applyBorder="1" applyAlignment="1">
      <alignment horizontal="right"/>
    </xf>
    <xf numFmtId="3" fontId="9" fillId="0" borderId="14" xfId="0" applyNumberFormat="1" applyFont="1" applyBorder="1" applyAlignment="1">
      <alignment horizontal="right"/>
    </xf>
    <xf numFmtId="37" fontId="9" fillId="0" borderId="16" xfId="0" applyNumberFormat="1" applyFont="1" applyBorder="1" applyAlignment="1">
      <alignment horizontal="right"/>
    </xf>
    <xf numFmtId="0" fontId="9" fillId="0" borderId="23" xfId="0" applyFont="1" applyBorder="1"/>
    <xf numFmtId="37" fontId="9" fillId="0" borderId="24" xfId="0" applyNumberFormat="1" applyFont="1" applyBorder="1" applyAlignment="1">
      <alignment horizontal="right"/>
    </xf>
    <xf numFmtId="37" fontId="9" fillId="0" borderId="75" xfId="0" applyNumberFormat="1" applyFont="1" applyBorder="1" applyAlignment="1">
      <alignment horizontal="right"/>
    </xf>
    <xf numFmtId="3" fontId="1" fillId="16" borderId="14" xfId="112" applyNumberFormat="1" applyFont="1" applyFill="1" applyBorder="1"/>
    <xf numFmtId="3" fontId="1" fillId="16" borderId="0" xfId="112" applyNumberFormat="1" applyFont="1" applyFill="1" applyBorder="1"/>
    <xf numFmtId="3" fontId="2" fillId="39" borderId="14" xfId="94" applyNumberFormat="1" applyFont="1" applyFill="1" applyBorder="1"/>
    <xf numFmtId="5" fontId="0" fillId="0" borderId="0" xfId="0" applyNumberFormat="1" applyBorder="1"/>
    <xf numFmtId="5" fontId="0" fillId="0" borderId="14" xfId="0" applyNumberFormat="1" applyBorder="1"/>
    <xf numFmtId="9" fontId="200" fillId="0" borderId="14" xfId="94" applyNumberFormat="1" applyFont="1" applyBorder="1"/>
    <xf numFmtId="9" fontId="200" fillId="0" borderId="0" xfId="94" applyNumberFormat="1" applyFont="1" applyBorder="1"/>
    <xf numFmtId="15" fontId="10" fillId="0" borderId="59" xfId="107" applyNumberFormat="1" applyFont="1" applyFill="1" applyBorder="1" applyAlignment="1"/>
    <xf numFmtId="164" fontId="71" fillId="0" borderId="0" xfId="107" applyNumberFormat="1" applyFont="1" applyFill="1" applyBorder="1" applyAlignment="1">
      <alignment horizontal="right"/>
    </xf>
    <xf numFmtId="164" fontId="71" fillId="0" borderId="53" xfId="107" applyNumberFormat="1" applyFont="1" applyFill="1" applyBorder="1" applyAlignment="1">
      <alignment horizontal="right"/>
    </xf>
    <xf numFmtId="49" fontId="240" fillId="40" borderId="12" xfId="0" applyNumberFormat="1" applyFont="1" applyFill="1" applyBorder="1" applyAlignment="1">
      <alignment horizontal="right"/>
    </xf>
    <xf numFmtId="3" fontId="0" fillId="34" borderId="12" xfId="0" applyNumberFormat="1" applyFont="1" applyFill="1" applyBorder="1"/>
    <xf numFmtId="164" fontId="24" fillId="0" borderId="12" xfId="0" applyNumberFormat="1" applyFont="1" applyBorder="1"/>
    <xf numFmtId="3" fontId="9" fillId="0" borderId="12" xfId="0" applyNumberFormat="1" applyFont="1" applyBorder="1"/>
    <xf numFmtId="1" fontId="0" fillId="0" borderId="36" xfId="0" applyNumberFormat="1" applyFont="1" applyBorder="1"/>
    <xf numFmtId="0" fontId="0" fillId="34" borderId="12" xfId="0" applyFont="1" applyFill="1" applyBorder="1"/>
    <xf numFmtId="0" fontId="240" fillId="40" borderId="12" xfId="0" applyFont="1" applyFill="1" applyBorder="1"/>
    <xf numFmtId="0" fontId="0" fillId="34" borderId="12" xfId="0" applyFont="1" applyFill="1" applyBorder="1" applyAlignment="1">
      <alignment horizontal="left"/>
    </xf>
    <xf numFmtId="164" fontId="24" fillId="0" borderId="14" xfId="0" applyNumberFormat="1" applyFont="1" applyBorder="1"/>
    <xf numFmtId="164" fontId="24" fillId="0" borderId="0" xfId="0" applyNumberFormat="1" applyFont="1" applyBorder="1"/>
    <xf numFmtId="9" fontId="9" fillId="0" borderId="0" xfId="3" applyNumberFormat="1" applyFont="1" applyBorder="1"/>
    <xf numFmtId="9" fontId="242" fillId="18" borderId="0" xfId="94" applyNumberFormat="1" applyFont="1" applyFill="1" applyBorder="1"/>
    <xf numFmtId="0" fontId="93" fillId="18" borderId="0" xfId="57" applyNumberFormat="1" applyFont="1" applyFill="1" applyBorder="1"/>
    <xf numFmtId="0" fontId="93" fillId="18" borderId="15" xfId="94" applyFont="1" applyFill="1" applyBorder="1" applyAlignment="1"/>
    <xf numFmtId="0" fontId="93" fillId="18" borderId="0" xfId="94" applyFont="1" applyFill="1" applyBorder="1" applyAlignment="1"/>
    <xf numFmtId="3" fontId="93" fillId="18" borderId="0" xfId="99" applyNumberFormat="1" applyFont="1" applyFill="1" applyBorder="1" applyAlignment="1"/>
    <xf numFmtId="0" fontId="93" fillId="18" borderId="0" xfId="99" applyFont="1" applyFill="1" applyBorder="1" applyAlignment="1"/>
    <xf numFmtId="37" fontId="93" fillId="18" borderId="0" xfId="99" applyNumberFormat="1" applyFont="1" applyFill="1" applyBorder="1" applyAlignment="1"/>
    <xf numFmtId="1" fontId="93" fillId="18" borderId="0" xfId="99" applyNumberFormat="1" applyFont="1" applyFill="1" applyBorder="1" applyAlignment="1"/>
    <xf numFmtId="1" fontId="0" fillId="16" borderId="0" xfId="94" applyNumberFormat="1" applyFont="1" applyFill="1" applyBorder="1"/>
    <xf numFmtId="8" fontId="1" fillId="17" borderId="17" xfId="94" applyNumberFormat="1" applyFont="1" applyFill="1" applyBorder="1"/>
    <xf numFmtId="8" fontId="2" fillId="0" borderId="17" xfId="94" applyNumberFormat="1" applyFont="1" applyBorder="1"/>
    <xf numFmtId="8" fontId="2" fillId="0" borderId="14" xfId="94" applyNumberFormat="1" applyFont="1" applyBorder="1"/>
    <xf numFmtId="8" fontId="2" fillId="0" borderId="0" xfId="94" applyNumberFormat="1" applyFont="1" applyFill="1" applyBorder="1" applyAlignment="1">
      <alignment horizontal="center"/>
    </xf>
    <xf numFmtId="182" fontId="10" fillId="18" borderId="56" xfId="107" applyNumberFormat="1" applyFont="1" applyFill="1" applyBorder="1"/>
    <xf numFmtId="37" fontId="241" fillId="0" borderId="12" xfId="0" applyNumberFormat="1" applyFont="1" applyBorder="1" applyAlignment="1">
      <alignment horizontal="right"/>
    </xf>
    <xf numFmtId="37" fontId="241" fillId="0" borderId="0" xfId="0" applyNumberFormat="1" applyFont="1" applyBorder="1" applyAlignment="1">
      <alignment horizontal="right"/>
    </xf>
    <xf numFmtId="0" fontId="241" fillId="0" borderId="12" xfId="0" applyFont="1" applyBorder="1" applyAlignment="1">
      <alignment horizontal="right"/>
    </xf>
    <xf numFmtId="0" fontId="241" fillId="0" borderId="0" xfId="0" applyFont="1" applyBorder="1" applyAlignment="1">
      <alignment horizontal="right"/>
    </xf>
    <xf numFmtId="37" fontId="241" fillId="0" borderId="0" xfId="0" applyNumberFormat="1" applyFont="1" applyAlignment="1">
      <alignment horizontal="right"/>
    </xf>
    <xf numFmtId="37" fontId="241" fillId="0" borderId="14" xfId="0" applyNumberFormat="1" applyFont="1" applyBorder="1" applyAlignment="1">
      <alignment horizontal="right"/>
    </xf>
    <xf numFmtId="0" fontId="241" fillId="0" borderId="0" xfId="0" applyFont="1" applyAlignment="1">
      <alignment horizontal="right"/>
    </xf>
    <xf numFmtId="0" fontId="241" fillId="0" borderId="14" xfId="0" applyFont="1" applyBorder="1" applyAlignment="1">
      <alignment horizontal="right"/>
    </xf>
    <xf numFmtId="0" fontId="0" fillId="38" borderId="0" xfId="0" applyFont="1" applyFill="1"/>
    <xf numFmtId="0" fontId="0" fillId="38" borderId="22" xfId="0" applyFont="1" applyFill="1" applyBorder="1"/>
    <xf numFmtId="0" fontId="0" fillId="38" borderId="34" xfId="0" applyFont="1" applyFill="1" applyBorder="1"/>
    <xf numFmtId="0" fontId="0" fillId="38" borderId="21" xfId="0" applyFont="1" applyFill="1" applyBorder="1"/>
    <xf numFmtId="3" fontId="0" fillId="38" borderId="22" xfId="0" applyNumberFormat="1" applyFont="1" applyFill="1" applyBorder="1" applyAlignment="1">
      <alignment horizontal="right"/>
    </xf>
    <xf numFmtId="3" fontId="0" fillId="38" borderId="34" xfId="0" applyNumberFormat="1" applyFont="1" applyFill="1" applyBorder="1" applyAlignment="1">
      <alignment horizontal="right"/>
    </xf>
    <xf numFmtId="3" fontId="0" fillId="38" borderId="33" xfId="0" applyNumberFormat="1" applyFont="1" applyFill="1" applyBorder="1" applyAlignment="1">
      <alignment horizontal="right"/>
    </xf>
    <xf numFmtId="0" fontId="24" fillId="0" borderId="12" xfId="0" applyFont="1" applyBorder="1"/>
    <xf numFmtId="0" fontId="0" fillId="0" borderId="36" xfId="0" applyFont="1" applyBorder="1"/>
    <xf numFmtId="0" fontId="9" fillId="0" borderId="24" xfId="0" applyFont="1" applyBorder="1"/>
    <xf numFmtId="3" fontId="233" fillId="0" borderId="14" xfId="0" applyNumberFormat="1" applyFont="1" applyBorder="1" applyAlignment="1">
      <alignment horizontal="right"/>
    </xf>
    <xf numFmtId="164" fontId="233" fillId="0" borderId="14" xfId="0" applyNumberFormat="1" applyFont="1" applyBorder="1" applyAlignment="1">
      <alignment horizontal="right"/>
    </xf>
    <xf numFmtId="164" fontId="233" fillId="0" borderId="12" xfId="0" applyNumberFormat="1" applyFont="1" applyBorder="1" applyAlignment="1">
      <alignment horizontal="right"/>
    </xf>
    <xf numFmtId="164" fontId="233" fillId="0" borderId="0" xfId="0" applyNumberFormat="1" applyFont="1" applyBorder="1" applyAlignment="1">
      <alignment horizontal="right"/>
    </xf>
    <xf numFmtId="9" fontId="233" fillId="0" borderId="0" xfId="0" applyNumberFormat="1" applyFont="1"/>
    <xf numFmtId="37" fontId="233" fillId="18" borderId="14" xfId="94" applyNumberFormat="1" applyFont="1" applyFill="1" applyBorder="1"/>
    <xf numFmtId="37" fontId="233" fillId="0" borderId="14" xfId="0" applyNumberFormat="1" applyFont="1" applyBorder="1" applyAlignment="1">
      <alignment horizontal="right"/>
    </xf>
    <xf numFmtId="183" fontId="224" fillId="0" borderId="0" xfId="157" applyNumberFormat="1"/>
    <xf numFmtId="0" fontId="224" fillId="42" borderId="0" xfId="157" applyFill="1" applyAlignment="1">
      <alignment horizontal="center"/>
    </xf>
    <xf numFmtId="0" fontId="224" fillId="0" borderId="0" xfId="157" applyAlignment="1">
      <alignment horizontal="center"/>
    </xf>
    <xf numFmtId="9" fontId="224" fillId="0" borderId="0" xfId="157" applyNumberFormat="1"/>
    <xf numFmtId="9" fontId="230" fillId="42" borderId="0" xfId="157" applyNumberFormat="1" applyFont="1" applyFill="1" applyAlignment="1">
      <alignment horizontal="center"/>
    </xf>
    <xf numFmtId="9" fontId="230" fillId="0" borderId="0" xfId="157" applyNumberFormat="1" applyFont="1" applyAlignment="1">
      <alignment horizontal="center"/>
    </xf>
    <xf numFmtId="9" fontId="224" fillId="0" borderId="0" xfId="157" applyNumberFormat="1" applyAlignment="1">
      <alignment horizontal="center"/>
    </xf>
    <xf numFmtId="0" fontId="227" fillId="0" borderId="0" xfId="157" applyFont="1"/>
    <xf numFmtId="184" fontId="224" fillId="42" borderId="0" xfId="157" applyNumberFormat="1" applyFill="1"/>
    <xf numFmtId="184" fontId="224" fillId="0" borderId="0" xfId="157" applyNumberFormat="1"/>
    <xf numFmtId="183" fontId="224" fillId="0" borderId="0" xfId="157" applyNumberFormat="1" applyBorder="1"/>
    <xf numFmtId="184" fontId="224" fillId="42" borderId="0" xfId="157" applyNumberFormat="1" applyFill="1" applyBorder="1"/>
    <xf numFmtId="184" fontId="224" fillId="0" borderId="0" xfId="157" applyNumberFormat="1" applyBorder="1"/>
    <xf numFmtId="0" fontId="227" fillId="0" borderId="0" xfId="157" applyFont="1" applyBorder="1"/>
    <xf numFmtId="176" fontId="224" fillId="0" borderId="0" xfId="157" applyNumberFormat="1" applyFont="1" applyBorder="1"/>
    <xf numFmtId="184" fontId="229" fillId="42" borderId="0" xfId="157" applyNumberFormat="1" applyFont="1" applyFill="1" applyBorder="1"/>
    <xf numFmtId="184" fontId="229" fillId="0" borderId="0" xfId="157" applyNumberFormat="1" applyFont="1" applyBorder="1"/>
    <xf numFmtId="0" fontId="227" fillId="0" borderId="15" xfId="157" applyFont="1" applyBorder="1"/>
    <xf numFmtId="183" fontId="224" fillId="0" borderId="15" xfId="157" applyNumberFormat="1" applyBorder="1"/>
    <xf numFmtId="184" fontId="230" fillId="42" borderId="15" xfId="157" applyNumberFormat="1" applyFont="1" applyFill="1" applyBorder="1"/>
    <xf numFmtId="184" fontId="230" fillId="0" borderId="15" xfId="157" applyNumberFormat="1" applyFont="1" applyBorder="1"/>
    <xf numFmtId="176" fontId="224" fillId="0" borderId="15" xfId="157" applyNumberFormat="1" applyFont="1" applyBorder="1"/>
    <xf numFmtId="184" fontId="224" fillId="0" borderId="15" xfId="157" applyNumberFormat="1" applyBorder="1"/>
    <xf numFmtId="184" fontId="230" fillId="42" borderId="0" xfId="157" applyNumberFormat="1" applyFont="1" applyFill="1"/>
    <xf numFmtId="184" fontId="230" fillId="0" borderId="0" xfId="157" applyNumberFormat="1" applyFont="1"/>
    <xf numFmtId="176" fontId="224" fillId="0" borderId="0" xfId="157" applyNumberFormat="1" applyFont="1"/>
    <xf numFmtId="183" fontId="243" fillId="0" borderId="0" xfId="157" applyNumberFormat="1" applyFont="1" applyBorder="1" applyAlignment="1">
      <alignment horizontal="left"/>
    </xf>
    <xf numFmtId="0" fontId="224" fillId="42" borderId="0" xfId="157" applyFill="1"/>
    <xf numFmtId="164" fontId="14" fillId="0" borderId="12" xfId="0" applyNumberFormat="1" applyFont="1" applyFill="1" applyBorder="1"/>
    <xf numFmtId="164" fontId="14" fillId="0" borderId="12" xfId="3" applyNumberFormat="1" applyFont="1" applyFill="1" applyBorder="1"/>
    <xf numFmtId="0" fontId="73" fillId="0" borderId="12" xfId="0" applyFont="1" applyFill="1" applyBorder="1"/>
    <xf numFmtId="3" fontId="9" fillId="0" borderId="12" xfId="3" applyNumberFormat="1" applyFont="1" applyBorder="1"/>
    <xf numFmtId="3" fontId="9" fillId="0" borderId="28" xfId="0" applyNumberFormat="1" applyFont="1" applyBorder="1" applyAlignment="1">
      <alignment horizontal="right"/>
    </xf>
    <xf numFmtId="0" fontId="0" fillId="0" borderId="0" xfId="94" applyFont="1" applyBorder="1" applyAlignment="1">
      <alignment wrapText="1"/>
    </xf>
    <xf numFmtId="164" fontId="0" fillId="16" borderId="12" xfId="94" applyNumberFormat="1" applyFont="1" applyFill="1" applyBorder="1" applyAlignment="1">
      <alignment horizontal="right"/>
    </xf>
    <xf numFmtId="164" fontId="196" fillId="17" borderId="12" xfId="94" applyNumberFormat="1" applyFont="1" applyFill="1" applyBorder="1"/>
    <xf numFmtId="164" fontId="197" fillId="17" borderId="12" xfId="94" applyNumberFormat="1" applyFont="1" applyFill="1" applyBorder="1"/>
    <xf numFmtId="164" fontId="195" fillId="17" borderId="12" xfId="94" applyNumberFormat="1" applyFont="1" applyFill="1" applyBorder="1"/>
    <xf numFmtId="9" fontId="24" fillId="18" borderId="12" xfId="94" applyNumberFormat="1" applyFont="1" applyFill="1" applyBorder="1"/>
    <xf numFmtId="164" fontId="0" fillId="17" borderId="12" xfId="94" applyNumberFormat="1" applyFont="1" applyFill="1" applyBorder="1" applyAlignment="1">
      <alignment horizontal="right"/>
    </xf>
    <xf numFmtId="9" fontId="200" fillId="0" borderId="12" xfId="94" applyNumberFormat="1" applyFont="1" applyBorder="1"/>
    <xf numFmtId="165" fontId="14" fillId="0" borderId="12" xfId="94" applyNumberFormat="1" applyFont="1" applyFill="1" applyBorder="1"/>
    <xf numFmtId="3" fontId="1" fillId="0" borderId="12" xfId="0" applyNumberFormat="1" applyFont="1" applyBorder="1" applyAlignment="1">
      <alignment horizontal="right"/>
    </xf>
    <xf numFmtId="164" fontId="201" fillId="0" borderId="12" xfId="94" applyNumberFormat="1" applyFont="1" applyBorder="1"/>
    <xf numFmtId="170" fontId="2" fillId="0" borderId="12" xfId="94" applyNumberFormat="1" applyFont="1" applyBorder="1"/>
    <xf numFmtId="3" fontId="2" fillId="16" borderId="12" xfId="0" applyNumberFormat="1" applyFont="1" applyFill="1" applyBorder="1"/>
    <xf numFmtId="37" fontId="201" fillId="0" borderId="14" xfId="94" applyNumberFormat="1" applyFont="1" applyBorder="1"/>
    <xf numFmtId="3" fontId="233" fillId="18" borderId="0" xfId="94" applyNumberFormat="1" applyFont="1" applyFill="1" applyBorder="1"/>
    <xf numFmtId="3" fontId="9" fillId="0" borderId="35" xfId="0" applyNumberFormat="1" applyFont="1" applyBorder="1" applyAlignment="1">
      <alignment horizontal="right"/>
    </xf>
    <xf numFmtId="164" fontId="9" fillId="0" borderId="0" xfId="0" applyNumberFormat="1" applyFont="1" applyBorder="1" applyAlignment="1">
      <alignment horizontal="right"/>
    </xf>
    <xf numFmtId="164" fontId="9" fillId="0" borderId="14" xfId="0" applyNumberFormat="1" applyFont="1" applyBorder="1" applyAlignment="1">
      <alignment horizontal="right"/>
    </xf>
    <xf numFmtId="9" fontId="0" fillId="0" borderId="0" xfId="0" applyNumberFormat="1" applyFont="1" applyBorder="1" applyAlignment="1">
      <alignment horizontal="right"/>
    </xf>
    <xf numFmtId="9" fontId="0" fillId="0" borderId="14" xfId="0" applyNumberFormat="1" applyFont="1" applyBorder="1" applyAlignment="1">
      <alignment horizontal="right"/>
    </xf>
    <xf numFmtId="9" fontId="9" fillId="0" borderId="0" xfId="0" applyNumberFormat="1" applyFont="1" applyBorder="1" applyAlignment="1">
      <alignment horizontal="right"/>
    </xf>
    <xf numFmtId="9" fontId="9" fillId="0" borderId="14" xfId="0" applyNumberFormat="1" applyFont="1" applyBorder="1" applyAlignment="1">
      <alignment horizontal="right"/>
    </xf>
    <xf numFmtId="3" fontId="9" fillId="0" borderId="36" xfId="0" applyNumberFormat="1" applyFont="1" applyBorder="1" applyAlignment="1">
      <alignment horizontal="right"/>
    </xf>
    <xf numFmtId="164" fontId="9" fillId="0" borderId="12" xfId="0" applyNumberFormat="1" applyFont="1" applyBorder="1" applyAlignment="1">
      <alignment horizontal="right"/>
    </xf>
    <xf numFmtId="9" fontId="0" fillId="0" borderId="12" xfId="0" applyNumberFormat="1" applyFont="1" applyBorder="1" applyAlignment="1">
      <alignment horizontal="right"/>
    </xf>
    <xf numFmtId="9" fontId="9" fillId="0" borderId="12" xfId="0" applyNumberFormat="1" applyFont="1" applyBorder="1" applyAlignment="1">
      <alignment horizontal="right"/>
    </xf>
    <xf numFmtId="3" fontId="233" fillId="0" borderId="12" xfId="0" applyNumberFormat="1" applyFont="1" applyBorder="1" applyAlignment="1">
      <alignment horizontal="right"/>
    </xf>
    <xf numFmtId="3" fontId="233" fillId="0" borderId="0" xfId="0" applyNumberFormat="1" applyFont="1" applyBorder="1" applyAlignment="1">
      <alignment horizontal="right"/>
    </xf>
    <xf numFmtId="0" fontId="239" fillId="40" borderId="12" xfId="0" applyFont="1" applyFill="1" applyBorder="1" applyAlignment="1">
      <alignment horizontal="right"/>
    </xf>
    <xf numFmtId="0" fontId="239" fillId="40" borderId="0" xfId="0" applyFont="1" applyFill="1" applyBorder="1" applyAlignment="1">
      <alignment horizontal="right"/>
    </xf>
    <xf numFmtId="0" fontId="239" fillId="40" borderId="14" xfId="0" applyFont="1" applyFill="1" applyBorder="1" applyAlignment="1">
      <alignment horizontal="right"/>
    </xf>
    <xf numFmtId="49" fontId="239" fillId="40" borderId="12" xfId="0" applyNumberFormat="1" applyFont="1" applyFill="1" applyBorder="1" applyAlignment="1">
      <alignment horizontal="right"/>
    </xf>
    <xf numFmtId="164" fontId="9" fillId="0" borderId="28" xfId="0" applyNumberFormat="1" applyFont="1" applyBorder="1" applyAlignment="1">
      <alignment horizontal="right"/>
    </xf>
    <xf numFmtId="164" fontId="9" fillId="0" borderId="36" xfId="0" applyNumberFormat="1" applyFont="1" applyBorder="1" applyAlignment="1">
      <alignment horizontal="right"/>
    </xf>
    <xf numFmtId="164" fontId="9" fillId="0" borderId="35" xfId="0" applyNumberFormat="1" applyFont="1" applyBorder="1" applyAlignment="1">
      <alignment horizontal="right"/>
    </xf>
    <xf numFmtId="2" fontId="1" fillId="0" borderId="0" xfId="94" applyNumberFormat="1" applyFont="1" applyBorder="1"/>
    <xf numFmtId="2" fontId="1" fillId="0" borderId="0" xfId="94" applyNumberFormat="1" applyFont="1"/>
    <xf numFmtId="9" fontId="1" fillId="0" borderId="0" xfId="0" applyNumberFormat="1" applyFont="1"/>
    <xf numFmtId="0" fontId="1" fillId="0" borderId="0" xfId="0" applyFont="1" applyBorder="1" applyAlignment="1">
      <alignment horizontal="center"/>
    </xf>
    <xf numFmtId="2" fontId="1" fillId="0" borderId="0" xfId="94" applyNumberFormat="1" applyFont="1" applyFill="1"/>
    <xf numFmtId="3" fontId="1" fillId="0" borderId="0" xfId="94" applyNumberFormat="1" applyFont="1"/>
    <xf numFmtId="9" fontId="1" fillId="0" borderId="0" xfId="0" applyNumberFormat="1" applyFont="1" applyBorder="1"/>
    <xf numFmtId="4" fontId="1" fillId="0" borderId="0" xfId="94" applyNumberFormat="1" applyFont="1"/>
    <xf numFmtId="0" fontId="1" fillId="0" borderId="0" xfId="0" applyFont="1" applyBorder="1"/>
    <xf numFmtId="167" fontId="1" fillId="0" borderId="0" xfId="94" applyNumberFormat="1" applyFont="1" applyBorder="1"/>
    <xf numFmtId="167" fontId="1" fillId="0" borderId="0" xfId="94" applyNumberFormat="1" applyFont="1"/>
    <xf numFmtId="37" fontId="1" fillId="0" borderId="0" xfId="0" applyNumberFormat="1" applyFont="1" applyBorder="1" applyAlignment="1">
      <alignment horizontal="center"/>
    </xf>
    <xf numFmtId="43" fontId="1" fillId="0" borderId="0" xfId="94" applyNumberFormat="1" applyFont="1"/>
    <xf numFmtId="37" fontId="1" fillId="0" borderId="0" xfId="0" applyNumberFormat="1" applyFont="1" applyBorder="1"/>
    <xf numFmtId="9" fontId="1" fillId="0" borderId="0" xfId="0" applyNumberFormat="1" applyFont="1" applyBorder="1" applyAlignment="1">
      <alignment horizontal="center"/>
    </xf>
    <xf numFmtId="39" fontId="1" fillId="0" borderId="0" xfId="0" applyNumberFormat="1" applyFont="1" applyBorder="1"/>
    <xf numFmtId="9" fontId="1" fillId="0" borderId="0" xfId="112" applyFont="1"/>
    <xf numFmtId="0" fontId="1" fillId="24" borderId="20" xfId="94" applyFont="1" applyFill="1" applyBorder="1" applyAlignment="1">
      <alignment vertical="center"/>
    </xf>
    <xf numFmtId="0" fontId="1" fillId="24" borderId="15" xfId="94" applyFont="1" applyFill="1" applyBorder="1"/>
    <xf numFmtId="0" fontId="1" fillId="24" borderId="15" xfId="94" applyFont="1" applyFill="1" applyBorder="1" applyAlignment="1">
      <alignment vertical="center"/>
    </xf>
    <xf numFmtId="0" fontId="1" fillId="24" borderId="19" xfId="94" applyFont="1" applyFill="1" applyBorder="1"/>
    <xf numFmtId="0" fontId="1" fillId="24" borderId="19" xfId="94" applyFont="1" applyFill="1" applyBorder="1" applyAlignment="1">
      <alignment horizontal="center" vertical="center"/>
    </xf>
    <xf numFmtId="9" fontId="1" fillId="0" borderId="0" xfId="94" applyNumberFormat="1" applyFont="1"/>
    <xf numFmtId="0" fontId="1" fillId="24" borderId="34" xfId="94" applyFont="1" applyFill="1" applyBorder="1" applyAlignment="1">
      <alignment vertical="center"/>
    </xf>
    <xf numFmtId="0" fontId="1" fillId="24" borderId="22" xfId="94" applyFont="1" applyFill="1" applyBorder="1"/>
    <xf numFmtId="0" fontId="1" fillId="24" borderId="22" xfId="94" applyFont="1" applyFill="1" applyBorder="1" applyAlignment="1">
      <alignment vertical="center"/>
    </xf>
    <xf numFmtId="0" fontId="1" fillId="24" borderId="33" xfId="94" applyFont="1" applyFill="1" applyBorder="1"/>
    <xf numFmtId="0" fontId="1" fillId="0" borderId="22" xfId="94" applyFont="1" applyFill="1" applyBorder="1" applyAlignment="1">
      <alignment vertical="center"/>
    </xf>
    <xf numFmtId="0" fontId="1" fillId="0" borderId="0" xfId="94" applyFont="1" applyFill="1" applyBorder="1" applyAlignment="1">
      <alignment vertical="center"/>
    </xf>
    <xf numFmtId="0" fontId="1" fillId="0" borderId="0" xfId="94" applyFont="1" applyFill="1" applyBorder="1" applyAlignment="1">
      <alignment horizontal="right" vertical="center"/>
    </xf>
    <xf numFmtId="0" fontId="1" fillId="0" borderId="0" xfId="94" applyFont="1" applyFill="1" applyBorder="1" applyAlignment="1">
      <alignment horizontal="center" vertical="center"/>
    </xf>
    <xf numFmtId="167" fontId="1" fillId="0" borderId="0" xfId="94" applyNumberFormat="1" applyFont="1" applyFill="1" applyBorder="1" applyAlignment="1">
      <alignment horizontal="center" vertical="center"/>
    </xf>
    <xf numFmtId="0" fontId="1" fillId="30" borderId="18" xfId="94" applyFont="1" applyFill="1" applyBorder="1"/>
    <xf numFmtId="164" fontId="1" fillId="0" borderId="0" xfId="94" applyNumberFormat="1" applyFont="1" applyBorder="1" applyAlignment="1">
      <alignment horizontal="right"/>
    </xf>
    <xf numFmtId="164" fontId="193" fillId="0" borderId="0" xfId="112" applyNumberFormat="1" applyFont="1" applyBorder="1"/>
    <xf numFmtId="0" fontId="1" fillId="17" borderId="17" xfId="94" applyFont="1" applyFill="1" applyBorder="1"/>
    <xf numFmtId="0" fontId="1" fillId="0" borderId="17" xfId="94" applyFont="1" applyFill="1" applyBorder="1"/>
    <xf numFmtId="167" fontId="193" fillId="0" borderId="0" xfId="57" applyNumberFormat="1" applyFont="1" applyFill="1" applyBorder="1"/>
    <xf numFmtId="167" fontId="193" fillId="0" borderId="14" xfId="57" applyNumberFormat="1" applyFont="1" applyFill="1" applyBorder="1"/>
    <xf numFmtId="0" fontId="1" fillId="0" borderId="12" xfId="94" applyFont="1" applyBorder="1" applyAlignment="1">
      <alignment horizontal="left" indent="1"/>
    </xf>
    <xf numFmtId="3" fontId="1" fillId="0" borderId="14" xfId="94" applyNumberFormat="1" applyFont="1" applyFill="1" applyBorder="1"/>
    <xf numFmtId="3" fontId="1" fillId="0" borderId="12" xfId="94" applyNumberFormat="1" applyFont="1" applyFill="1" applyBorder="1"/>
    <xf numFmtId="9" fontId="1" fillId="0" borderId="0" xfId="94" applyNumberFormat="1" applyFont="1" applyBorder="1"/>
    <xf numFmtId="0" fontId="1" fillId="18" borderId="12" xfId="94" applyFont="1" applyFill="1" applyBorder="1"/>
    <xf numFmtId="164" fontId="1" fillId="18" borderId="14" xfId="94" applyNumberFormat="1" applyFont="1" applyFill="1" applyBorder="1" applyAlignment="1">
      <alignment horizontal="right"/>
    </xf>
    <xf numFmtId="0" fontId="1" fillId="30" borderId="17" xfId="94" applyFont="1" applyFill="1" applyBorder="1"/>
    <xf numFmtId="164" fontId="1" fillId="0" borderId="0" xfId="3" applyNumberFormat="1" applyFont="1" applyBorder="1" applyAlignment="1">
      <alignment horizontal="right"/>
    </xf>
    <xf numFmtId="0" fontId="1" fillId="0" borderId="34" xfId="94" applyFont="1" applyFill="1" applyBorder="1"/>
    <xf numFmtId="0" fontId="1" fillId="17" borderId="21" xfId="94" applyFont="1" applyFill="1" applyBorder="1"/>
    <xf numFmtId="0" fontId="1" fillId="0" borderId="21" xfId="94" applyFont="1" applyFill="1" applyBorder="1"/>
    <xf numFmtId="167" fontId="1" fillId="0" borderId="33" xfId="57" applyNumberFormat="1" applyFont="1" applyFill="1" applyBorder="1"/>
    <xf numFmtId="167" fontId="1" fillId="0" borderId="34" xfId="57" applyNumberFormat="1" applyFont="1" applyFill="1" applyBorder="1"/>
    <xf numFmtId="0" fontId="1" fillId="17" borderId="17" xfId="0" applyFont="1" applyFill="1" applyBorder="1"/>
    <xf numFmtId="0" fontId="1" fillId="0" borderId="17" xfId="0" applyFont="1" applyFill="1" applyBorder="1"/>
    <xf numFmtId="0" fontId="1" fillId="0" borderId="34" xfId="94" applyFont="1" applyBorder="1"/>
    <xf numFmtId="167" fontId="1" fillId="0" borderId="22" xfId="94" applyNumberFormat="1" applyFont="1" applyBorder="1"/>
    <xf numFmtId="0" fontId="1" fillId="0" borderId="33" xfId="94" applyFont="1" applyBorder="1"/>
    <xf numFmtId="0" fontId="1" fillId="24" borderId="15" xfId="0" applyFont="1" applyFill="1" applyBorder="1"/>
    <xf numFmtId="0" fontId="1" fillId="17" borderId="18" xfId="0" applyFont="1" applyFill="1" applyBorder="1"/>
    <xf numFmtId="0" fontId="1" fillId="0" borderId="18" xfId="0" applyFont="1" applyFill="1" applyBorder="1"/>
    <xf numFmtId="1" fontId="1" fillId="24" borderId="20" xfId="0" applyNumberFormat="1" applyFont="1" applyFill="1" applyBorder="1"/>
    <xf numFmtId="1" fontId="1" fillId="24" borderId="15" xfId="0" applyNumberFormat="1" applyFont="1" applyFill="1" applyBorder="1"/>
    <xf numFmtId="1" fontId="1" fillId="24" borderId="19" xfId="0" applyNumberFormat="1" applyFont="1" applyFill="1" applyBorder="1"/>
    <xf numFmtId="0" fontId="1" fillId="24" borderId="20" xfId="0" applyFont="1" applyFill="1" applyBorder="1"/>
    <xf numFmtId="0" fontId="1" fillId="24" borderId="19" xfId="0" applyFont="1" applyFill="1" applyBorder="1"/>
    <xf numFmtId="0" fontId="1" fillId="0" borderId="12" xfId="0" applyFont="1" applyBorder="1"/>
    <xf numFmtId="1" fontId="1" fillId="0" borderId="0" xfId="0" applyNumberFormat="1" applyFont="1" applyBorder="1"/>
    <xf numFmtId="0" fontId="1" fillId="0" borderId="14" xfId="0" applyFont="1" applyBorder="1"/>
    <xf numFmtId="3" fontId="1" fillId="0" borderId="14" xfId="0" applyNumberFormat="1" applyFont="1" applyBorder="1"/>
    <xf numFmtId="49" fontId="1" fillId="0" borderId="12" xfId="104" applyNumberFormat="1" applyFont="1" applyBorder="1" applyAlignment="1">
      <alignment horizontal="left" indent="3"/>
    </xf>
    <xf numFmtId="164" fontId="1" fillId="0" borderId="0" xfId="0" applyNumberFormat="1" applyFont="1" applyBorder="1"/>
    <xf numFmtId="164" fontId="1" fillId="0" borderId="0" xfId="0" applyNumberFormat="1" applyFont="1" applyBorder="1" applyAlignment="1">
      <alignment horizontal="center"/>
    </xf>
    <xf numFmtId="1" fontId="1" fillId="0" borderId="12" xfId="0" applyNumberFormat="1" applyFont="1" applyBorder="1"/>
    <xf numFmtId="37" fontId="1" fillId="0" borderId="12" xfId="3" applyNumberFormat="1" applyFont="1" applyBorder="1"/>
    <xf numFmtId="164" fontId="1" fillId="0" borderId="0" xfId="3" applyNumberFormat="1" applyFont="1" applyBorder="1"/>
    <xf numFmtId="164" fontId="1" fillId="0" borderId="14" xfId="3" applyNumberFormat="1" applyFont="1" applyBorder="1"/>
    <xf numFmtId="164" fontId="1" fillId="0" borderId="14" xfId="3" applyNumberFormat="1" applyFont="1" applyBorder="1" applyAlignment="1">
      <alignment horizontal="right"/>
    </xf>
    <xf numFmtId="164" fontId="1" fillId="0" borderId="0" xfId="0" applyNumberFormat="1" applyFont="1" applyBorder="1" applyAlignment="1">
      <alignment horizontal="right"/>
    </xf>
    <xf numFmtId="164" fontId="1" fillId="0" borderId="12" xfId="3" applyNumberFormat="1" applyFont="1" applyBorder="1"/>
    <xf numFmtId="164" fontId="1" fillId="0" borderId="12" xfId="3" applyNumberFormat="1" applyFont="1" applyBorder="1" applyAlignment="1">
      <alignment horizontal="center"/>
    </xf>
    <xf numFmtId="164" fontId="1" fillId="0" borderId="0" xfId="3" applyNumberFormat="1" applyFont="1" applyBorder="1" applyAlignment="1">
      <alignment horizontal="center"/>
    </xf>
    <xf numFmtId="164" fontId="1" fillId="0" borderId="0" xfId="3" applyNumberFormat="1" applyFont="1" applyFill="1" applyBorder="1" applyAlignment="1">
      <alignment horizontal="right"/>
    </xf>
    <xf numFmtId="164" fontId="1" fillId="0" borderId="14" xfId="3" applyNumberFormat="1" applyFont="1" applyFill="1" applyBorder="1" applyAlignment="1">
      <alignment horizontal="right"/>
    </xf>
    <xf numFmtId="164" fontId="1" fillId="0" borderId="12" xfId="3" applyNumberFormat="1" applyFont="1" applyFill="1" applyBorder="1" applyAlignment="1">
      <alignment horizontal="right"/>
    </xf>
    <xf numFmtId="37" fontId="1" fillId="0" borderId="0" xfId="3" applyNumberFormat="1" applyFont="1" applyBorder="1"/>
    <xf numFmtId="49" fontId="1" fillId="0" borderId="12" xfId="104" applyNumberFormat="1" applyFont="1" applyBorder="1" applyAlignment="1">
      <alignment horizontal="left" indent="2"/>
    </xf>
    <xf numFmtId="0" fontId="1" fillId="18" borderId="0" xfId="0" applyFont="1" applyFill="1" applyBorder="1"/>
    <xf numFmtId="1" fontId="1" fillId="18" borderId="12" xfId="0" applyNumberFormat="1" applyFont="1" applyFill="1" applyBorder="1"/>
    <xf numFmtId="1" fontId="1" fillId="18" borderId="0" xfId="0" applyNumberFormat="1" applyFont="1" applyFill="1" applyBorder="1"/>
    <xf numFmtId="0" fontId="1" fillId="18" borderId="12" xfId="0" applyFont="1" applyFill="1" applyBorder="1"/>
    <xf numFmtId="0" fontId="1" fillId="18" borderId="14" xfId="0" applyFont="1" applyFill="1" applyBorder="1"/>
    <xf numFmtId="0" fontId="1" fillId="0" borderId="12" xfId="0" applyFont="1" applyFill="1" applyBorder="1"/>
    <xf numFmtId="0" fontId="1" fillId="0" borderId="0" xfId="0" applyFont="1" applyFill="1" applyBorder="1"/>
    <xf numFmtId="1" fontId="1" fillId="0" borderId="12" xfId="0" applyNumberFormat="1" applyFont="1" applyFill="1" applyBorder="1"/>
    <xf numFmtId="1" fontId="1" fillId="0" borderId="0" xfId="0" applyNumberFormat="1" applyFont="1" applyFill="1" applyBorder="1"/>
    <xf numFmtId="0" fontId="1" fillId="0" borderId="14" xfId="0" applyFont="1" applyFill="1" applyBorder="1"/>
    <xf numFmtId="37" fontId="1" fillId="0" borderId="0" xfId="0" applyNumberFormat="1" applyFont="1" applyFill="1" applyBorder="1"/>
    <xf numFmtId="49" fontId="1" fillId="0" borderId="12" xfId="104" applyNumberFormat="1" applyFont="1" applyFill="1" applyBorder="1" applyAlignment="1">
      <alignment horizontal="left" indent="3"/>
    </xf>
    <xf numFmtId="164" fontId="1" fillId="0" borderId="0" xfId="0" applyNumberFormat="1" applyFont="1" applyFill="1" applyBorder="1"/>
    <xf numFmtId="164" fontId="1" fillId="0" borderId="0" xfId="3" applyNumberFormat="1" applyFont="1" applyFill="1" applyBorder="1"/>
    <xf numFmtId="164" fontId="1" fillId="0" borderId="12" xfId="3" applyNumberFormat="1" applyFont="1" applyFill="1" applyBorder="1" applyAlignment="1">
      <alignment horizontal="center"/>
    </xf>
    <xf numFmtId="164" fontId="1" fillId="0" borderId="0" xfId="3" applyNumberFormat="1" applyFont="1" applyFill="1" applyBorder="1" applyAlignment="1">
      <alignment horizontal="center"/>
    </xf>
    <xf numFmtId="164" fontId="1" fillId="0" borderId="14" xfId="3" applyNumberFormat="1" applyFont="1" applyFill="1" applyBorder="1" applyAlignment="1">
      <alignment horizontal="center"/>
    </xf>
    <xf numFmtId="164" fontId="1" fillId="0" borderId="12" xfId="3" applyNumberFormat="1" applyFont="1" applyFill="1" applyBorder="1"/>
    <xf numFmtId="164" fontId="1" fillId="0" borderId="14" xfId="3" applyNumberFormat="1" applyFont="1" applyFill="1" applyBorder="1"/>
    <xf numFmtId="164" fontId="1" fillId="0" borderId="14" xfId="0" applyNumberFormat="1" applyFont="1" applyFill="1" applyBorder="1"/>
    <xf numFmtId="164" fontId="1" fillId="0" borderId="12" xfId="0" applyNumberFormat="1" applyFont="1" applyFill="1" applyBorder="1" applyAlignment="1">
      <alignment horizontal="center"/>
    </xf>
    <xf numFmtId="164" fontId="1" fillId="0" borderId="12" xfId="0" applyNumberFormat="1" applyFont="1" applyFill="1" applyBorder="1"/>
    <xf numFmtId="170" fontId="1" fillId="0" borderId="0" xfId="3" applyNumberFormat="1" applyFont="1" applyFill="1" applyBorder="1"/>
    <xf numFmtId="7" fontId="1" fillId="0" borderId="0" xfId="65" applyNumberFormat="1" applyFont="1" applyFill="1" applyBorder="1"/>
    <xf numFmtId="164" fontId="1" fillId="0" borderId="0" xfId="65" applyNumberFormat="1" applyFont="1" applyFill="1" applyBorder="1"/>
    <xf numFmtId="170" fontId="1" fillId="0" borderId="12" xfId="3" applyNumberFormat="1" applyFont="1" applyFill="1" applyBorder="1"/>
    <xf numFmtId="7" fontId="1" fillId="0" borderId="12" xfId="65" applyNumberFormat="1" applyFont="1" applyFill="1" applyBorder="1"/>
    <xf numFmtId="7" fontId="1" fillId="0" borderId="14" xfId="65" applyNumberFormat="1" applyFont="1" applyFill="1" applyBorder="1"/>
    <xf numFmtId="164" fontId="1" fillId="0" borderId="0" xfId="0" applyNumberFormat="1" applyFont="1"/>
    <xf numFmtId="37" fontId="1" fillId="0" borderId="12" xfId="0" applyNumberFormat="1" applyFont="1" applyFill="1" applyBorder="1"/>
    <xf numFmtId="164" fontId="1" fillId="0" borderId="0" xfId="0" applyNumberFormat="1" applyFont="1" applyFill="1" applyBorder="1" applyAlignment="1">
      <alignment horizontal="center"/>
    </xf>
    <xf numFmtId="49" fontId="1" fillId="0" borderId="34" xfId="104" applyNumberFormat="1" applyFont="1" applyFill="1" applyBorder="1" applyAlignment="1">
      <alignment horizontal="left" indent="3"/>
    </xf>
    <xf numFmtId="0" fontId="1" fillId="0" borderId="22" xfId="0" applyFont="1" applyFill="1" applyBorder="1"/>
    <xf numFmtId="164" fontId="1" fillId="0" borderId="22" xfId="0" applyNumberFormat="1" applyFont="1" applyFill="1" applyBorder="1"/>
    <xf numFmtId="0" fontId="1" fillId="0" borderId="21" xfId="0" applyFont="1" applyFill="1" applyBorder="1"/>
    <xf numFmtId="0" fontId="1" fillId="0" borderId="22" xfId="0" applyFont="1" applyBorder="1"/>
    <xf numFmtId="1" fontId="1" fillId="0" borderId="34" xfId="0" applyNumberFormat="1" applyFont="1" applyBorder="1"/>
    <xf numFmtId="1" fontId="1" fillId="0" borderId="22" xfId="0" applyNumberFormat="1" applyFont="1" applyBorder="1"/>
    <xf numFmtId="0" fontId="1" fillId="0" borderId="34" xfId="0" applyFont="1" applyBorder="1"/>
    <xf numFmtId="164" fontId="1" fillId="0" borderId="34" xfId="0" applyNumberFormat="1" applyFont="1" applyFill="1" applyBorder="1"/>
    <xf numFmtId="164" fontId="1" fillId="0" borderId="33" xfId="0" applyNumberFormat="1" applyFont="1" applyFill="1" applyBorder="1"/>
    <xf numFmtId="9" fontId="1" fillId="0" borderId="0" xfId="0" applyNumberFormat="1" applyFont="1" applyFill="1" applyBorder="1"/>
    <xf numFmtId="9" fontId="1" fillId="0" borderId="14" xfId="0" applyNumberFormat="1" applyFont="1" applyFill="1" applyBorder="1"/>
    <xf numFmtId="9" fontId="1" fillId="0" borderId="12" xfId="0" applyNumberFormat="1" applyFont="1" applyFill="1" applyBorder="1"/>
    <xf numFmtId="0" fontId="1" fillId="17" borderId="21" xfId="0" applyFont="1" applyFill="1" applyBorder="1"/>
    <xf numFmtId="1" fontId="1" fillId="0" borderId="34" xfId="0" applyNumberFormat="1" applyFont="1" applyFill="1" applyBorder="1"/>
    <xf numFmtId="1" fontId="1" fillId="0" borderId="22" xfId="0" applyNumberFormat="1" applyFont="1" applyFill="1" applyBorder="1"/>
    <xf numFmtId="164" fontId="1" fillId="0" borderId="34" xfId="3" applyNumberFormat="1" applyFont="1" applyFill="1" applyBorder="1"/>
    <xf numFmtId="164" fontId="1" fillId="0" borderId="22" xfId="3" applyNumberFormat="1" applyFont="1" applyFill="1" applyBorder="1"/>
    <xf numFmtId="164" fontId="1" fillId="0" borderId="33" xfId="3" applyNumberFormat="1" applyFont="1" applyFill="1" applyBorder="1"/>
    <xf numFmtId="49" fontId="1" fillId="0" borderId="0" xfId="104" applyNumberFormat="1" applyFont="1" applyFill="1" applyBorder="1" applyAlignment="1">
      <alignment horizontal="left" indent="3"/>
    </xf>
    <xf numFmtId="167" fontId="1" fillId="0" borderId="0" xfId="0" applyNumberFormat="1" applyFont="1" applyFill="1" applyBorder="1"/>
    <xf numFmtId="0" fontId="1" fillId="18" borderId="22" xfId="0" applyFont="1" applyFill="1" applyBorder="1"/>
    <xf numFmtId="1" fontId="1" fillId="18" borderId="34" xfId="0" applyNumberFormat="1" applyFont="1" applyFill="1" applyBorder="1"/>
    <xf numFmtId="1" fontId="1" fillId="18" borderId="22" xfId="0" applyNumberFormat="1" applyFont="1" applyFill="1" applyBorder="1"/>
    <xf numFmtId="164" fontId="1" fillId="18" borderId="22" xfId="112" applyNumberFormat="1" applyFont="1" applyFill="1" applyBorder="1"/>
    <xf numFmtId="164" fontId="1" fillId="18" borderId="34" xfId="112" applyNumberFormat="1" applyFont="1" applyFill="1" applyBorder="1"/>
    <xf numFmtId="164" fontId="1" fillId="18" borderId="33" xfId="112" applyNumberFormat="1" applyFont="1" applyFill="1" applyBorder="1"/>
    <xf numFmtId="0" fontId="1" fillId="0" borderId="0" xfId="0" applyFont="1" applyBorder="1" applyAlignment="1">
      <alignment horizontal="left" indent="1"/>
    </xf>
    <xf numFmtId="164" fontId="1" fillId="0" borderId="34" xfId="3" applyNumberFormat="1" applyFont="1" applyBorder="1"/>
    <xf numFmtId="164" fontId="1" fillId="0" borderId="22" xfId="3" applyNumberFormat="1" applyFont="1" applyBorder="1"/>
    <xf numFmtId="164" fontId="1" fillId="0" borderId="15" xfId="3" applyNumberFormat="1" applyFont="1" applyBorder="1"/>
    <xf numFmtId="164" fontId="1" fillId="0" borderId="20" xfId="3" applyNumberFormat="1" applyFont="1" applyBorder="1"/>
    <xf numFmtId="49" fontId="1" fillId="0" borderId="17" xfId="104" applyNumberFormat="1" applyFont="1" applyFill="1" applyBorder="1" applyAlignment="1">
      <alignment horizontal="left" indent="3"/>
    </xf>
    <xf numFmtId="164" fontId="193" fillId="0" borderId="0" xfId="3" applyNumberFormat="1" applyFont="1" applyFill="1" applyBorder="1"/>
    <xf numFmtId="164" fontId="193" fillId="0" borderId="12" xfId="3" applyNumberFormat="1" applyFont="1" applyFill="1" applyBorder="1"/>
    <xf numFmtId="164" fontId="193" fillId="0" borderId="14" xfId="3" applyNumberFormat="1" applyFont="1" applyFill="1" applyBorder="1"/>
    <xf numFmtId="9" fontId="1" fillId="0" borderId="0" xfId="3" applyNumberFormat="1" applyFont="1" applyBorder="1"/>
    <xf numFmtId="1" fontId="1" fillId="0" borderId="12" xfId="3" applyNumberFormat="1" applyFont="1" applyBorder="1"/>
    <xf numFmtId="1" fontId="1" fillId="0" borderId="0" xfId="3" applyNumberFormat="1" applyFont="1" applyBorder="1"/>
    <xf numFmtId="3" fontId="1" fillId="0" borderId="0" xfId="3" applyNumberFormat="1" applyFont="1" applyBorder="1"/>
    <xf numFmtId="3" fontId="1" fillId="0" borderId="14" xfId="3" applyNumberFormat="1" applyFont="1" applyBorder="1"/>
    <xf numFmtId="1" fontId="1" fillId="0" borderId="34" xfId="3" applyNumberFormat="1" applyFont="1" applyBorder="1"/>
    <xf numFmtId="1" fontId="1" fillId="0" borderId="22" xfId="3" applyNumberFormat="1" applyFont="1" applyBorder="1"/>
    <xf numFmtId="3" fontId="1" fillId="0" borderId="22" xfId="3" applyNumberFormat="1" applyFont="1" applyBorder="1"/>
    <xf numFmtId="9" fontId="1" fillId="0" borderId="15" xfId="3" applyNumberFormat="1" applyFont="1" applyBorder="1"/>
    <xf numFmtId="9" fontId="1" fillId="0" borderId="20" xfId="3" applyNumberFormat="1" applyFont="1" applyBorder="1"/>
    <xf numFmtId="9" fontId="1" fillId="0" borderId="19" xfId="3" applyNumberFormat="1" applyFont="1" applyBorder="1"/>
    <xf numFmtId="9" fontId="1" fillId="0" borderId="12" xfId="3" applyNumberFormat="1" applyFont="1" applyBorder="1"/>
    <xf numFmtId="9" fontId="1" fillId="0" borderId="14" xfId="3" applyNumberFormat="1" applyFont="1" applyBorder="1"/>
    <xf numFmtId="9" fontId="1" fillId="0" borderId="22" xfId="3" applyNumberFormat="1" applyFont="1" applyBorder="1"/>
    <xf numFmtId="9" fontId="1" fillId="0" borderId="34" xfId="3" applyNumberFormat="1" applyFont="1" applyBorder="1"/>
    <xf numFmtId="9" fontId="1" fillId="0" borderId="33" xfId="3" applyNumberFormat="1" applyFont="1" applyBorder="1"/>
    <xf numFmtId="0" fontId="1" fillId="0" borderId="15" xfId="0" applyFont="1" applyBorder="1"/>
    <xf numFmtId="37" fontId="1" fillId="0" borderId="20" xfId="3" applyNumberFormat="1" applyFont="1" applyBorder="1"/>
    <xf numFmtId="37" fontId="1" fillId="0" borderId="15" xfId="3" applyNumberFormat="1" applyFont="1" applyBorder="1"/>
    <xf numFmtId="0" fontId="193" fillId="0" borderId="20" xfId="0" applyFont="1" applyFill="1" applyBorder="1"/>
    <xf numFmtId="0" fontId="193" fillId="0" borderId="15" xfId="0" applyFont="1" applyFill="1" applyBorder="1"/>
    <xf numFmtId="1" fontId="1" fillId="0" borderId="20" xfId="0" applyNumberFormat="1" applyFont="1" applyBorder="1"/>
    <xf numFmtId="1" fontId="1" fillId="0" borderId="15" xfId="0" applyNumberFormat="1" applyFont="1" applyBorder="1"/>
    <xf numFmtId="1" fontId="1" fillId="0" borderId="19" xfId="0" applyNumberFormat="1" applyFont="1" applyBorder="1"/>
    <xf numFmtId="0" fontId="193" fillId="0" borderId="12" xfId="0" applyFont="1" applyFill="1" applyBorder="1"/>
    <xf numFmtId="0" fontId="193" fillId="0" borderId="0" xfId="0" applyFont="1" applyFill="1" applyBorder="1"/>
    <xf numFmtId="1" fontId="1" fillId="0" borderId="14" xfId="0" applyNumberFormat="1" applyFont="1" applyBorder="1"/>
    <xf numFmtId="0" fontId="1" fillId="0" borderId="0" xfId="0" applyFont="1" applyAlignment="1">
      <alignment horizontal="right"/>
    </xf>
    <xf numFmtId="164" fontId="1" fillId="16" borderId="0" xfId="3" applyNumberFormat="1" applyFont="1" applyFill="1" applyBorder="1"/>
    <xf numFmtId="0" fontId="193" fillId="0" borderId="14" xfId="0" applyFont="1" applyFill="1" applyBorder="1"/>
    <xf numFmtId="164" fontId="1" fillId="0" borderId="14" xfId="0" applyNumberFormat="1" applyFont="1" applyBorder="1"/>
    <xf numFmtId="164" fontId="1" fillId="0" borderId="12" xfId="0" applyNumberFormat="1" applyFont="1" applyBorder="1"/>
    <xf numFmtId="0" fontId="1" fillId="0" borderId="20" xfId="0" applyFont="1" applyBorder="1"/>
    <xf numFmtId="0" fontId="193" fillId="0" borderId="19" xfId="0" applyFont="1" applyFill="1" applyBorder="1"/>
    <xf numFmtId="164" fontId="1" fillId="0" borderId="33" xfId="0" applyNumberFormat="1" applyFont="1" applyBorder="1"/>
    <xf numFmtId="164" fontId="1" fillId="0" borderId="22" xfId="0" applyNumberFormat="1" applyFont="1" applyBorder="1"/>
    <xf numFmtId="164" fontId="1" fillId="0" borderId="34" xfId="0" applyNumberFormat="1" applyFont="1" applyBorder="1"/>
    <xf numFmtId="0" fontId="1" fillId="16" borderId="12" xfId="0" applyFont="1" applyFill="1" applyBorder="1"/>
    <xf numFmtId="0" fontId="1" fillId="16" borderId="0" xfId="0" applyFont="1" applyFill="1"/>
    <xf numFmtId="1" fontId="1" fillId="0" borderId="0" xfId="0" applyNumberFormat="1" applyFont="1"/>
    <xf numFmtId="0" fontId="1" fillId="24" borderId="0" xfId="0" applyFont="1" applyFill="1" applyBorder="1"/>
    <xf numFmtId="164" fontId="1" fillId="24" borderId="0" xfId="0" applyNumberFormat="1" applyFont="1" applyFill="1" applyBorder="1"/>
    <xf numFmtId="164" fontId="1" fillId="24" borderId="0" xfId="3" applyNumberFormat="1" applyFont="1" applyFill="1" applyBorder="1"/>
    <xf numFmtId="164" fontId="1" fillId="24" borderId="12" xfId="3" applyNumberFormat="1" applyFont="1" applyFill="1" applyBorder="1"/>
    <xf numFmtId="164" fontId="1" fillId="24" borderId="14" xfId="3" applyNumberFormat="1" applyFont="1" applyFill="1" applyBorder="1"/>
    <xf numFmtId="0" fontId="1" fillId="18" borderId="15" xfId="0" applyFont="1" applyFill="1" applyBorder="1"/>
    <xf numFmtId="1" fontId="1" fillId="18" borderId="15" xfId="0" applyNumberFormat="1" applyFont="1" applyFill="1" applyBorder="1"/>
    <xf numFmtId="0" fontId="1" fillId="18" borderId="20" xfId="0" applyFont="1" applyFill="1" applyBorder="1"/>
    <xf numFmtId="0" fontId="1" fillId="18" borderId="19" xfId="0" applyFont="1" applyFill="1" applyBorder="1"/>
    <xf numFmtId="0" fontId="1" fillId="0" borderId="12" xfId="0" applyFont="1" applyBorder="1" applyAlignment="1">
      <alignment horizontal="left" indent="1"/>
    </xf>
    <xf numFmtId="167" fontId="1" fillId="0" borderId="17" xfId="57" applyNumberFormat="1" applyFont="1" applyFill="1" applyBorder="1"/>
    <xf numFmtId="167" fontId="1" fillId="0" borderId="28" xfId="57" applyNumberFormat="1" applyFont="1" applyBorder="1"/>
    <xf numFmtId="167" fontId="1" fillId="0" borderId="36" xfId="57" applyNumberFormat="1" applyFont="1" applyBorder="1"/>
    <xf numFmtId="167" fontId="193" fillId="0" borderId="35" xfId="57" applyNumberFormat="1" applyFont="1" applyBorder="1"/>
    <xf numFmtId="167" fontId="193" fillId="0" borderId="36" xfId="57" applyNumberFormat="1" applyFont="1" applyBorder="1"/>
    <xf numFmtId="167" fontId="193" fillId="0" borderId="28" xfId="57" applyNumberFormat="1" applyFont="1" applyBorder="1"/>
    <xf numFmtId="167" fontId="1" fillId="0" borderId="35" xfId="57" applyNumberFormat="1" applyFont="1" applyBorder="1"/>
    <xf numFmtId="164" fontId="1" fillId="0" borderId="0" xfId="57" applyNumberFormat="1" applyFont="1" applyBorder="1"/>
    <xf numFmtId="164" fontId="1" fillId="0" borderId="17" xfId="3" applyNumberFormat="1" applyFont="1" applyFill="1" applyBorder="1"/>
    <xf numFmtId="167" fontId="193" fillId="39" borderId="36" xfId="57" applyNumberFormat="1" applyFont="1" applyFill="1" applyBorder="1"/>
    <xf numFmtId="167" fontId="193" fillId="39" borderId="28" xfId="57" applyNumberFormat="1" applyFont="1" applyFill="1" applyBorder="1"/>
    <xf numFmtId="167" fontId="193" fillId="39" borderId="35" xfId="57" applyNumberFormat="1" applyFont="1" applyFill="1" applyBorder="1"/>
    <xf numFmtId="167" fontId="1" fillId="0" borderId="28" xfId="57" applyNumberFormat="1" applyFont="1" applyFill="1" applyBorder="1"/>
    <xf numFmtId="167" fontId="1" fillId="0" borderId="35" xfId="57" applyNumberFormat="1" applyFont="1" applyFill="1" applyBorder="1"/>
    <xf numFmtId="164" fontId="1" fillId="18" borderId="0" xfId="0" applyNumberFormat="1" applyFont="1" applyFill="1" applyBorder="1"/>
    <xf numFmtId="164" fontId="1" fillId="18" borderId="0" xfId="112" applyNumberFormat="1" applyFont="1" applyFill="1" applyBorder="1"/>
    <xf numFmtId="164" fontId="1" fillId="18" borderId="12" xfId="112" applyNumberFormat="1" applyFont="1" applyFill="1" applyBorder="1"/>
    <xf numFmtId="164" fontId="1" fillId="18" borderId="14" xfId="112" applyNumberFormat="1" applyFont="1" applyFill="1" applyBorder="1"/>
    <xf numFmtId="164" fontId="1" fillId="18" borderId="22" xfId="0" applyNumberFormat="1" applyFont="1" applyFill="1" applyBorder="1"/>
    <xf numFmtId="0" fontId="1" fillId="0" borderId="34" xfId="0" applyFont="1" applyBorder="1" applyAlignment="1">
      <alignment horizontal="left" indent="1"/>
    </xf>
    <xf numFmtId="164" fontId="1" fillId="0" borderId="33" xfId="3" applyNumberFormat="1" applyFont="1" applyBorder="1"/>
    <xf numFmtId="167" fontId="1" fillId="0" borderId="0" xfId="0" applyNumberFormat="1" applyFont="1"/>
    <xf numFmtId="178" fontId="1" fillId="0" borderId="0" xfId="0" applyNumberFormat="1" applyFont="1" applyBorder="1"/>
    <xf numFmtId="0" fontId="46" fillId="23" borderId="0" xfId="94" applyFont="1" applyFill="1" applyBorder="1"/>
    <xf numFmtId="0" fontId="101" fillId="23" borderId="0" xfId="94" applyFont="1" applyFill="1" applyBorder="1"/>
    <xf numFmtId="0" fontId="25" fillId="23" borderId="0" xfId="94" applyFont="1" applyFill="1" applyBorder="1"/>
    <xf numFmtId="164" fontId="0" fillId="0" borderId="0" xfId="0" applyNumberFormat="1" applyBorder="1"/>
    <xf numFmtId="9" fontId="9" fillId="0" borderId="0" xfId="0" applyNumberFormat="1" applyFont="1" applyFill="1" applyBorder="1" applyAlignment="1">
      <alignment horizontal="right"/>
    </xf>
    <xf numFmtId="0" fontId="239" fillId="40" borderId="20" xfId="0" applyFont="1" applyFill="1" applyBorder="1"/>
    <xf numFmtId="0" fontId="239" fillId="40" borderId="15" xfId="0" applyFont="1" applyFill="1" applyBorder="1"/>
    <xf numFmtId="0" fontId="239" fillId="40" borderId="15" xfId="0" applyFont="1" applyFill="1" applyBorder="1" applyAlignment="1">
      <alignment horizontal="right"/>
    </xf>
    <xf numFmtId="0" fontId="239" fillId="40" borderId="20" xfId="0" applyFont="1" applyFill="1" applyBorder="1" applyAlignment="1">
      <alignment horizontal="right"/>
    </xf>
    <xf numFmtId="0" fontId="239" fillId="40" borderId="19" xfId="0" applyFont="1" applyFill="1" applyBorder="1" applyAlignment="1">
      <alignment horizontal="right"/>
    </xf>
    <xf numFmtId="0" fontId="0" fillId="34" borderId="15" xfId="0" applyFont="1" applyFill="1" applyBorder="1"/>
    <xf numFmtId="49" fontId="239" fillId="40" borderId="20" xfId="0" applyNumberFormat="1" applyFont="1" applyFill="1" applyBorder="1" applyAlignment="1">
      <alignment horizontal="right"/>
    </xf>
    <xf numFmtId="49" fontId="239" fillId="40" borderId="15" xfId="0" applyNumberFormat="1" applyFont="1" applyFill="1" applyBorder="1" applyAlignment="1">
      <alignment horizontal="right"/>
    </xf>
    <xf numFmtId="49" fontId="239" fillId="40" borderId="19" xfId="0" applyNumberFormat="1" applyFont="1" applyFill="1" applyBorder="1" applyAlignment="1">
      <alignment horizontal="right"/>
    </xf>
    <xf numFmtId="0" fontId="0" fillId="34" borderId="0" xfId="0" applyFont="1" applyFill="1" applyBorder="1"/>
    <xf numFmtId="0" fontId="239" fillId="40" borderId="12" xfId="0" applyFont="1" applyFill="1" applyBorder="1"/>
    <xf numFmtId="0" fontId="239" fillId="40" borderId="0" xfId="0" applyFont="1" applyFill="1" applyBorder="1"/>
    <xf numFmtId="49" fontId="239" fillId="40" borderId="0" xfId="0" applyNumberFormat="1" applyFont="1" applyFill="1" applyBorder="1" applyAlignment="1">
      <alignment horizontal="right"/>
    </xf>
    <xf numFmtId="49" fontId="239" fillId="40" borderId="14" xfId="0" applyNumberFormat="1" applyFont="1" applyFill="1" applyBorder="1" applyAlignment="1">
      <alignment horizontal="right"/>
    </xf>
    <xf numFmtId="0" fontId="0" fillId="0" borderId="34" xfId="0" applyFont="1" applyBorder="1"/>
    <xf numFmtId="0" fontId="0" fillId="0" borderId="22" xfId="0" applyFont="1" applyBorder="1"/>
    <xf numFmtId="0" fontId="0" fillId="0" borderId="33" xfId="0" applyFont="1" applyBorder="1"/>
    <xf numFmtId="0" fontId="0" fillId="0" borderId="0" xfId="0" applyFont="1" applyFill="1" applyBorder="1"/>
    <xf numFmtId="0" fontId="9" fillId="0" borderId="0" xfId="0" applyFont="1" applyBorder="1" applyAlignment="1">
      <alignment horizontal="right"/>
    </xf>
    <xf numFmtId="0" fontId="9" fillId="34" borderId="17" xfId="0" applyFont="1" applyFill="1" applyBorder="1"/>
    <xf numFmtId="0" fontId="1" fillId="43" borderId="0" xfId="165" applyFont="1" applyFill="1" applyAlignment="1">
      <alignment vertical="top"/>
    </xf>
    <xf numFmtId="0" fontId="0" fillId="43" borderId="0" xfId="0" applyFill="1" applyAlignment="1">
      <alignment vertical="top"/>
    </xf>
    <xf numFmtId="0" fontId="0" fillId="43" borderId="0" xfId="0" applyFill="1"/>
    <xf numFmtId="0" fontId="58" fillId="43" borderId="0" xfId="165" applyFont="1" applyFill="1" applyAlignment="1">
      <alignment horizontal="left" vertical="top"/>
    </xf>
    <xf numFmtId="0" fontId="1" fillId="43" borderId="0" xfId="0" applyFont="1" applyFill="1" applyAlignment="1">
      <alignment vertical="top"/>
    </xf>
    <xf numFmtId="0" fontId="24" fillId="43" borderId="0" xfId="165" applyFont="1" applyFill="1" applyAlignment="1">
      <alignment vertical="top"/>
    </xf>
    <xf numFmtId="0" fontId="245" fillId="43" borderId="0" xfId="0" applyFont="1" applyFill="1" applyAlignment="1">
      <alignment vertical="top"/>
    </xf>
    <xf numFmtId="0" fontId="246" fillId="43" borderId="0" xfId="0" applyFont="1" applyFill="1" applyAlignment="1">
      <alignment vertical="top"/>
    </xf>
    <xf numFmtId="0" fontId="245" fillId="43" borderId="76" xfId="0" applyFont="1" applyFill="1" applyBorder="1" applyAlignment="1">
      <alignment vertical="top"/>
    </xf>
    <xf numFmtId="9" fontId="245" fillId="43" borderId="76" xfId="0" applyNumberFormat="1" applyFont="1" applyFill="1" applyBorder="1" applyAlignment="1">
      <alignment vertical="top"/>
    </xf>
    <xf numFmtId="3" fontId="245" fillId="43" borderId="76" xfId="0" applyNumberFormat="1" applyFont="1" applyFill="1" applyBorder="1" applyAlignment="1">
      <alignment vertical="top"/>
    </xf>
    <xf numFmtId="2" fontId="0" fillId="0" borderId="0" xfId="0" applyNumberFormat="1" applyAlignment="1">
      <alignment horizontal="left"/>
    </xf>
    <xf numFmtId="0" fontId="0" fillId="0" borderId="0" xfId="0" applyNumberFormat="1" applyAlignment="1">
      <alignment horizontal="left"/>
    </xf>
    <xf numFmtId="1" fontId="0" fillId="0" borderId="0" xfId="0" applyNumberFormat="1" applyAlignment="1">
      <alignment horizontal="left"/>
    </xf>
    <xf numFmtId="185" fontId="0" fillId="0" borderId="0" xfId="0" applyNumberFormat="1" applyAlignment="1">
      <alignment horizontal="left"/>
    </xf>
    <xf numFmtId="0" fontId="247" fillId="0" borderId="0" xfId="0" applyFont="1" applyAlignment="1">
      <alignment wrapText="1"/>
    </xf>
    <xf numFmtId="0" fontId="247" fillId="0" borderId="0" xfId="0" applyFont="1" applyAlignment="1">
      <alignment horizontal="left" wrapText="1" indent="3"/>
    </xf>
    <xf numFmtId="0" fontId="247" fillId="0" borderId="0" xfId="0" applyFont="1" applyAlignment="1">
      <alignment horizontal="left" wrapText="1" indent="1"/>
    </xf>
    <xf numFmtId="0" fontId="249" fillId="0" borderId="0" xfId="0" applyFont="1" applyAlignment="1">
      <alignment wrapText="1"/>
    </xf>
    <xf numFmtId="0" fontId="245" fillId="43" borderId="0" xfId="0" applyFont="1" applyFill="1" applyAlignment="1">
      <alignment vertical="top"/>
    </xf>
    <xf numFmtId="0" fontId="246" fillId="43" borderId="0" xfId="0" applyFont="1" applyFill="1" applyAlignment="1">
      <alignment vertical="top"/>
    </xf>
    <xf numFmtId="0" fontId="0" fillId="43" borderId="0" xfId="0" applyFill="1" applyAlignment="1">
      <alignment vertical="top"/>
    </xf>
    <xf numFmtId="0" fontId="19" fillId="16" borderId="0" xfId="0" applyFont="1" applyFill="1" applyAlignment="1">
      <alignment wrapText="1"/>
    </xf>
    <xf numFmtId="0" fontId="6" fillId="19" borderId="0" xfId="0" applyFont="1" applyFill="1" applyAlignment="1">
      <alignment horizontal="center" wrapText="1"/>
    </xf>
    <xf numFmtId="0" fontId="56" fillId="16" borderId="0" xfId="0" applyFont="1" applyFill="1" applyAlignment="1">
      <alignment horizontal="center"/>
    </xf>
    <xf numFmtId="0" fontId="56" fillId="16" borderId="65" xfId="0" applyFont="1" applyFill="1" applyBorder="1" applyAlignment="1">
      <alignment horizontal="center"/>
    </xf>
    <xf numFmtId="0" fontId="245" fillId="43" borderId="0" xfId="0" applyFont="1" applyFill="1" applyAlignment="1">
      <alignment vertical="top"/>
    </xf>
    <xf numFmtId="0" fontId="0" fillId="43" borderId="80" xfId="0" applyFill="1" applyBorder="1" applyAlignment="1">
      <alignment vertical="top"/>
    </xf>
    <xf numFmtId="0" fontId="246" fillId="43" borderId="0" xfId="0" applyFont="1" applyFill="1" applyAlignment="1">
      <alignment vertical="top"/>
    </xf>
    <xf numFmtId="0" fontId="0" fillId="43" borderId="0" xfId="0" applyFill="1" applyAlignment="1">
      <alignment vertical="top"/>
    </xf>
    <xf numFmtId="0" fontId="0" fillId="43" borderId="81" xfId="0" applyFill="1" applyBorder="1" applyAlignment="1">
      <alignment vertical="top"/>
    </xf>
    <xf numFmtId="0" fontId="245" fillId="43" borderId="77" xfId="0" applyFont="1" applyFill="1" applyBorder="1" applyAlignment="1">
      <alignment vertical="top"/>
    </xf>
    <xf numFmtId="0" fontId="245" fillId="43" borderId="78" xfId="0" applyFont="1" applyFill="1" applyBorder="1" applyAlignment="1">
      <alignment vertical="top"/>
    </xf>
    <xf numFmtId="0" fontId="245" fillId="43" borderId="79" xfId="0" applyFont="1" applyFill="1" applyBorder="1" applyAlignment="1">
      <alignment vertical="top"/>
    </xf>
    <xf numFmtId="0" fontId="9" fillId="24" borderId="34" xfId="94" applyFont="1" applyFill="1" applyBorder="1" applyAlignment="1">
      <alignment horizontal="center" vertical="center"/>
    </xf>
    <xf numFmtId="0" fontId="9" fillId="24" borderId="22" xfId="94" applyFont="1" applyFill="1" applyBorder="1" applyAlignment="1">
      <alignment horizontal="center" vertical="center"/>
    </xf>
    <xf numFmtId="0" fontId="2" fillId="24" borderId="36" xfId="94" applyFont="1" applyFill="1" applyBorder="1" applyAlignment="1">
      <alignment horizontal="center" vertical="center"/>
    </xf>
    <xf numFmtId="0" fontId="2" fillId="24" borderId="28" xfId="94" applyFont="1" applyFill="1" applyBorder="1" applyAlignment="1">
      <alignment horizontal="center" vertical="center"/>
    </xf>
    <xf numFmtId="0" fontId="2" fillId="24" borderId="35" xfId="94" applyFont="1" applyFill="1" applyBorder="1" applyAlignment="1">
      <alignment horizontal="center" vertical="center"/>
    </xf>
    <xf numFmtId="0" fontId="1" fillId="24" borderId="0" xfId="94" applyFont="1" applyFill="1" applyBorder="1" applyAlignment="1">
      <alignment horizontal="left"/>
    </xf>
    <xf numFmtId="0" fontId="2" fillId="24" borderId="36" xfId="94" applyFont="1" applyFill="1" applyBorder="1" applyAlignment="1">
      <alignment horizontal="center"/>
    </xf>
    <xf numFmtId="0" fontId="2" fillId="24" borderId="28" xfId="94" applyFont="1" applyFill="1" applyBorder="1" applyAlignment="1">
      <alignment horizontal="center"/>
    </xf>
    <xf numFmtId="0" fontId="2" fillId="24" borderId="35" xfId="94" applyFont="1" applyFill="1" applyBorder="1" applyAlignment="1">
      <alignment horizontal="center"/>
    </xf>
    <xf numFmtId="0" fontId="1" fillId="24" borderId="36" xfId="94" applyFont="1" applyFill="1" applyBorder="1" applyAlignment="1">
      <alignment horizontal="center"/>
    </xf>
    <xf numFmtId="0" fontId="1" fillId="24" borderId="35" xfId="94" applyFont="1" applyFill="1" applyBorder="1" applyAlignment="1">
      <alignment horizontal="center"/>
    </xf>
    <xf numFmtId="0" fontId="1" fillId="24" borderId="34" xfId="94" applyFont="1" applyFill="1" applyBorder="1" applyAlignment="1">
      <alignment horizontal="center" vertical="center"/>
    </xf>
    <xf numFmtId="0" fontId="1" fillId="24" borderId="22" xfId="94" applyFont="1" applyFill="1" applyBorder="1" applyAlignment="1">
      <alignment horizontal="center" vertical="center"/>
    </xf>
    <xf numFmtId="0" fontId="1" fillId="24" borderId="33" xfId="94" applyFont="1" applyFill="1" applyBorder="1" applyAlignment="1">
      <alignment horizontal="center" vertical="center"/>
    </xf>
    <xf numFmtId="0" fontId="1" fillId="24" borderId="0" xfId="94" applyFont="1" applyFill="1" applyBorder="1" applyAlignment="1">
      <alignment horizontal="center" vertical="center"/>
    </xf>
    <xf numFmtId="0" fontId="73" fillId="23" borderId="66" xfId="94" applyFont="1" applyFill="1" applyBorder="1" applyAlignment="1">
      <alignment horizontal="center"/>
    </xf>
    <xf numFmtId="0" fontId="73" fillId="23" borderId="67" xfId="94" applyFont="1" applyFill="1" applyBorder="1" applyAlignment="1">
      <alignment horizontal="center"/>
    </xf>
    <xf numFmtId="0" fontId="73" fillId="23" borderId="68" xfId="94" applyFont="1" applyFill="1" applyBorder="1" applyAlignment="1">
      <alignment horizontal="center"/>
    </xf>
    <xf numFmtId="0" fontId="73" fillId="23" borderId="69" xfId="94" applyFont="1" applyFill="1" applyBorder="1" applyAlignment="1">
      <alignment horizontal="center"/>
    </xf>
    <xf numFmtId="0" fontId="150" fillId="0" borderId="0" xfId="92" applyFont="1" applyBorder="1" applyAlignment="1">
      <alignment horizontal="left" wrapText="1"/>
    </xf>
    <xf numFmtId="167" fontId="88" fillId="0" borderId="0" xfId="57" applyNumberFormat="1" applyFont="1" applyFill="1" applyBorder="1" applyAlignment="1">
      <alignment horizontal="center"/>
    </xf>
    <xf numFmtId="171" fontId="9" fillId="0" borderId="0" xfId="101" applyFont="1" applyBorder="1" applyAlignment="1">
      <alignment horizontal="left" vertical="top"/>
    </xf>
    <xf numFmtId="0" fontId="131" fillId="0" borderId="0" xfId="0" applyFont="1" applyBorder="1" applyAlignment="1">
      <alignment horizontal="center" wrapText="1"/>
    </xf>
    <xf numFmtId="0" fontId="179" fillId="0" borderId="0" xfId="0" applyFont="1" applyBorder="1"/>
    <xf numFmtId="0" fontId="182" fillId="16" borderId="0" xfId="0" applyFont="1" applyFill="1" applyBorder="1" applyAlignment="1">
      <alignment horizontal="center" wrapText="1"/>
    </xf>
    <xf numFmtId="0" fontId="188" fillId="29" borderId="63" xfId="0" applyFont="1" applyFill="1" applyBorder="1" applyAlignment="1">
      <alignment horizontal="left" wrapText="1"/>
    </xf>
    <xf numFmtId="0" fontId="250" fillId="43" borderId="0" xfId="0" applyFont="1" applyFill="1" applyAlignment="1">
      <alignment vertical="top"/>
    </xf>
  </cellXfs>
  <cellStyles count="166">
    <cellStyle name=" 1" xfId="1"/>
    <cellStyle name="_x000a_386grabber=M" xfId="158"/>
    <cellStyle name="%" xfId="2"/>
    <cellStyle name="******************************************" xfId="3"/>
    <cellStyle name="****************************************** 2" xfId="156"/>
    <cellStyle name="_Bonus Depreciation" xfId="4"/>
    <cellStyle name="_CTL022511" xfId="5"/>
    <cellStyle name="_FTR" xfId="6"/>
    <cellStyle name="_FTR Morgan Stanley" xfId="7"/>
    <cellStyle name="_Pension Analyzer_T" xfId="8"/>
    <cellStyle name="_Pension Analyzer_VZ" xfId="9"/>
    <cellStyle name="_Q" xfId="10"/>
    <cellStyle name="_RRS1" xfId="11"/>
    <cellStyle name="_RRS3" xfId="12"/>
    <cellStyle name="_RRS4" xfId="13"/>
    <cellStyle name="_RRS5" xfId="159"/>
    <cellStyle name="_RRS9" xfId="160"/>
    <cellStyle name="_SUMMARY " xfId="14"/>
    <cellStyle name="_SUMMARY _Bonus Depreciation" xfId="15"/>
    <cellStyle name="_SUMMARY _T_pending_Pension" xfId="16"/>
    <cellStyle name="_T_pending_Pension" xfId="17"/>
    <cellStyle name="_VZ_Pending" xfId="18"/>
    <cellStyle name="_WIN_Pending" xfId="19"/>
    <cellStyle name="=C:\WINNT35\SYSTEM32\COMMAND.COM" xfId="20"/>
    <cellStyle name="0_Capex &amp; Depreciation " xfId="21"/>
    <cellStyle name="0_Capex &amp; Depreciation _Bonus Depreciation" xfId="22"/>
    <cellStyle name="0_Capex &amp; Depreciation _T_pending_Pension" xfId="23"/>
    <cellStyle name="0_Valuing BP " xfId="24"/>
    <cellStyle name="0_Valuing BP _Bonus Depreciation" xfId="25"/>
    <cellStyle name="0_Valuing BP _T_pending_Pension" xfId="26"/>
    <cellStyle name="20% - Accent1" xfId="27" builtinId="30" customBuiltin="1"/>
    <cellStyle name="20% - Accent2" xfId="28" builtinId="34" customBuiltin="1"/>
    <cellStyle name="20% - Accent3" xfId="29" builtinId="38" customBuiltin="1"/>
    <cellStyle name="20% - Accent4" xfId="30" builtinId="42" customBuiltin="1"/>
    <cellStyle name="20% - Accent5" xfId="31" builtinId="46" customBuiltin="1"/>
    <cellStyle name="20% - Accent6" xfId="32" builtinId="50" customBuiltin="1"/>
    <cellStyle name="40% - Accent1" xfId="33" builtinId="31" customBuiltin="1"/>
    <cellStyle name="40% - Accent2" xfId="34" builtinId="35" customBuiltin="1"/>
    <cellStyle name="40% - Accent3" xfId="35" builtinId="39" customBuiltin="1"/>
    <cellStyle name="40% - Accent4" xfId="36" builtinId="43" customBuiltin="1"/>
    <cellStyle name="40% - Accent5" xfId="37" builtinId="47" customBuiltin="1"/>
    <cellStyle name="40% - Accent6" xfId="38" builtinId="51" customBuiltin="1"/>
    <cellStyle name="60% - Accent1" xfId="39" builtinId="32" customBuiltin="1"/>
    <cellStyle name="60% - Accent2" xfId="40" builtinId="36" customBuiltin="1"/>
    <cellStyle name="60% - Accent3" xfId="41" builtinId="40" customBuiltin="1"/>
    <cellStyle name="60% - Accent4" xfId="42" builtinId="44" customBuiltin="1"/>
    <cellStyle name="60% - Accent5" xfId="43" builtinId="48" customBuiltin="1"/>
    <cellStyle name="60% - Accent6" xfId="44" builtinId="52" customBuiltin="1"/>
    <cellStyle name="Accent1" xfId="45" builtinId="29" customBuiltin="1"/>
    <cellStyle name="Accent2" xfId="46" builtinId="33" customBuiltin="1"/>
    <cellStyle name="Accent3" xfId="47" builtinId="37" customBuiltin="1"/>
    <cellStyle name="Accent4" xfId="48" builtinId="41" customBuiltin="1"/>
    <cellStyle name="Accent5" xfId="49" builtinId="45" customBuiltin="1"/>
    <cellStyle name="Accent6" xfId="50" builtinId="49" customBuiltin="1"/>
    <cellStyle name="Bad" xfId="51" builtinId="27" customBuiltin="1"/>
    <cellStyle name="c_HardInc " xfId="52"/>
    <cellStyle name="c_HardInc _Bonus Depreciation" xfId="53"/>
    <cellStyle name="c_HardInc _T_pending_Pension" xfId="54"/>
    <cellStyle name="Calculation" xfId="55" builtinId="22" customBuiltin="1"/>
    <cellStyle name="Check Cell" xfId="56" builtinId="23" customBuiltin="1"/>
    <cellStyle name="Comma" xfId="57" builtinId="3"/>
    <cellStyle name="Comma 2" xfId="58"/>
    <cellStyle name="Comma 3" xfId="59"/>
    <cellStyle name="Comma 4" xfId="60"/>
    <cellStyle name="Comma 5" xfId="61"/>
    <cellStyle name="Comma_ERTS Dorr Version 22" xfId="62"/>
    <cellStyle name="Comma_Pensions Module Europe FAS87" xfId="154"/>
    <cellStyle name="Currency" xfId="63" builtinId="4"/>
    <cellStyle name="Currency 2" xfId="64"/>
    <cellStyle name="Currency 3" xfId="65"/>
    <cellStyle name="Currency 4" xfId="66"/>
    <cellStyle name="Currency 5" xfId="67"/>
    <cellStyle name="Currency 6" xfId="68"/>
    <cellStyle name="Currency 7" xfId="69"/>
    <cellStyle name="Currency 8" xfId="164"/>
    <cellStyle name="Double Line 25.5" xfId="70"/>
    <cellStyle name="Explanatory Text" xfId="71" builtinId="53" customBuiltin="1"/>
    <cellStyle name="Good" xfId="72" builtinId="26" customBuiltin="1"/>
    <cellStyle name="GrowthRate" xfId="73"/>
    <cellStyle name="Heading 1" xfId="74" builtinId="16" customBuiltin="1"/>
    <cellStyle name="Heading 2" xfId="75" builtinId="17" customBuiltin="1"/>
    <cellStyle name="Heading 3" xfId="76" builtinId="18" customBuiltin="1"/>
    <cellStyle name="Heading 4" xfId="77" builtinId="19" customBuiltin="1"/>
    <cellStyle name="Hyperlink" xfId="78" builtinId="8"/>
    <cellStyle name="IncomeStatement" xfId="79"/>
    <cellStyle name="Input" xfId="80" builtinId="20" customBuiltin="1"/>
    <cellStyle name="Linked Cell" xfId="81" builtinId="24" customBuiltin="1"/>
    <cellStyle name="Margins" xfId="82"/>
    <cellStyle name="Neutral" xfId="83" builtinId="28" customBuiltin="1"/>
    <cellStyle name="Normal" xfId="0" builtinId="0"/>
    <cellStyle name="Normal 2" xfId="84"/>
    <cellStyle name="Normal 2 2" xfId="155"/>
    <cellStyle name="Normal 3" xfId="85"/>
    <cellStyle name="Normal 4" xfId="86"/>
    <cellStyle name="Normal 5" xfId="87"/>
    <cellStyle name="Normal 6" xfId="88"/>
    <cellStyle name="Normal 7" xfId="89"/>
    <cellStyle name="Normal 8" xfId="157"/>
    <cellStyle name="Normal 9" xfId="163"/>
    <cellStyle name="Normal_2006Q3 QCII Tables MDA" xfId="90"/>
    <cellStyle name="Normal_Attachment E" xfId="91"/>
    <cellStyle name="Normal_Bonus Depreciation Worksheets - 2013" xfId="92"/>
    <cellStyle name="Normal_Company1" xfId="93"/>
    <cellStyle name="Normal_CTL+Q_v2" xfId="94"/>
    <cellStyle name="Normal_DisclaimerSheet Samples" xfId="165"/>
    <cellStyle name="Normal_DTV Consolidated" xfId="95"/>
    <cellStyle name="Normal_EQIX Morgan Stanley pending" xfId="96"/>
    <cellStyle name="Normal_ERTS Dorr Version 22" xfId="97"/>
    <cellStyle name="Normal_FTR" xfId="98"/>
    <cellStyle name="Normal_Q" xfId="99"/>
    <cellStyle name="Normal_SBCPending" xfId="100"/>
    <cellStyle name="Normal_SBCPending_IWA" xfId="101"/>
    <cellStyle name="Normal_SBCPending_TDS" xfId="102"/>
    <cellStyle name="Normal_SBCPending_TDS_Q" xfId="103"/>
    <cellStyle name="Normal_Segments" xfId="104"/>
    <cellStyle name="Normal_Summary" xfId="105"/>
    <cellStyle name="Normal_T" xfId="106"/>
    <cellStyle name="Normal_UPL Valuation v7" xfId="107"/>
    <cellStyle name="Note" xfId="108" builtinId="10" customBuiltin="1"/>
    <cellStyle name="Onedec_FT Valuation " xfId="109"/>
    <cellStyle name="Output" xfId="110" builtinId="21" customBuiltin="1"/>
    <cellStyle name="p " xfId="111"/>
    <cellStyle name="Percent" xfId="112" builtinId="5"/>
    <cellStyle name="Percent 2" xfId="113"/>
    <cellStyle name="Percent 3" xfId="114"/>
    <cellStyle name="Percent 4" xfId="115"/>
    <cellStyle name="Price" xfId="116"/>
    <cellStyle name="RRSInstruction" xfId="117"/>
    <cellStyle name="RRSInstruction 2" xfId="161"/>
    <cellStyle name="RRSInstruction 3" xfId="162"/>
    <cellStyle name="s_HardInc " xfId="118"/>
    <cellStyle name="s_HardInc _Bonus Depreciation" xfId="119"/>
    <cellStyle name="s_HardInc _T_pending_Pension" xfId="120"/>
    <cellStyle name="s_Valuation " xfId="121"/>
    <cellStyle name="s_Valuation _Bonus Depreciation" xfId="122"/>
    <cellStyle name="s_Valuation _T_pending_Pension" xfId="123"/>
    <cellStyle name="ssp " xfId="124"/>
    <cellStyle name="Style 1" xfId="125"/>
    <cellStyle name="Style 1 2" xfId="126"/>
    <cellStyle name="Style 1 3" xfId="153"/>
    <cellStyle name="Style 10" xfId="127"/>
    <cellStyle name="Style 11" xfId="128"/>
    <cellStyle name="Style 12" xfId="129"/>
    <cellStyle name="Style 13" xfId="130"/>
    <cellStyle name="Style 14" xfId="131"/>
    <cellStyle name="Style 15" xfId="132"/>
    <cellStyle name="Style 16" xfId="133"/>
    <cellStyle name="Style 17" xfId="134"/>
    <cellStyle name="Style 18" xfId="135"/>
    <cellStyle name="Style 19" xfId="136"/>
    <cellStyle name="Style 2" xfId="137"/>
    <cellStyle name="Style 20" xfId="138"/>
    <cellStyle name="Style 21" xfId="139"/>
    <cellStyle name="Style 22" xfId="140"/>
    <cellStyle name="Style 3" xfId="141"/>
    <cellStyle name="Style 4" xfId="142"/>
    <cellStyle name="Style 5" xfId="143"/>
    <cellStyle name="Style 6" xfId="144"/>
    <cellStyle name="Style 7" xfId="145"/>
    <cellStyle name="Style 8" xfId="146"/>
    <cellStyle name="Style 9" xfId="147"/>
    <cellStyle name="Title" xfId="148" builtinId="15" customBuiltin="1"/>
    <cellStyle name="Total" xfId="149" builtinId="25" customBuiltin="1"/>
    <cellStyle name="Warning Text" xfId="150" builtinId="11" customBuiltin="1"/>
    <cellStyle name="콤마 [0]_#3이설 견적_준공내역총괄표 " xfId="151"/>
    <cellStyle name="콤마_#3이설 견적_준공내역총괄표 " xfId="152"/>
  </cellStyles>
  <dxfs count="15">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
      <font>
        <condense val="0"/>
        <extend val="0"/>
        <color auto="1"/>
      </font>
      <fill>
        <patternFill>
          <bgColor indexed="4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125A31"/>
      <rgbColor rgb="002270AB"/>
      <rgbColor rgb="009DC9DC"/>
      <rgbColor rgb="00B2122B"/>
      <rgbColor rgb="00FC7114"/>
      <rgbColor rgb="00F8CD14"/>
      <rgbColor rgb="00003366"/>
      <rgbColor rgb="004091BF"/>
      <rgbColor rgb="00FCAE91"/>
      <rgbColor rgb="002270AB"/>
      <rgbColor rgb="00E3EEDE"/>
      <rgbColor rgb="0069ADCA"/>
      <rgbColor rgb="00C0C0C0"/>
      <rgbColor rgb="00808080"/>
      <rgbColor rgb="000083C3"/>
      <rgbColor rgb="00F6C54C"/>
      <rgbColor rgb="0032C464"/>
      <rgbColor rgb="009DDEED"/>
      <rgbColor rgb="00F37B53"/>
      <rgbColor rgb="00B9F391"/>
      <rgbColor rgb="00FF9B9D"/>
      <rgbColor rgb="00993366"/>
      <rgbColor rgb="000083C3"/>
      <rgbColor rgb="00F6C54C"/>
      <rgbColor rgb="0032C464"/>
      <rgbColor rgb="009DDEED"/>
      <rgbColor rgb="00993366"/>
      <rgbColor rgb="00FF9B9D"/>
      <rgbColor rgb="00F37B53"/>
      <rgbColor rgb="00B9F391"/>
      <rgbColor rgb="00800080"/>
      <rgbColor rgb="00F3EEA1"/>
      <rgbColor rgb="009DC9DC"/>
      <rgbColor rgb="00F7BEBF"/>
      <rgbColor rgb="00EFC1D2"/>
      <rgbColor rgb="00EFC49F"/>
      <rgbColor rgb="00ECD7B2"/>
      <rgbColor rgb="00A6DAC5"/>
      <rgbColor rgb="00C7E5BE"/>
      <rgbColor rgb="00A1D399"/>
      <rgbColor rgb="0041A95C"/>
      <rgbColor rgb="00238B45"/>
      <rgbColor rgb="00238B45"/>
      <rgbColor rgb="001B4694"/>
      <rgbColor rgb="00C6D9E2"/>
      <rgbColor rgb="00969696"/>
      <rgbColor rgb="00FB9A7A"/>
      <rgbColor rgb="0074BE74"/>
      <rgbColor rgb="00EE7F81"/>
      <rgbColor rgb="00F26163"/>
      <rgbColor rgb="00FF0000"/>
      <rgbColor rgb="00A55628"/>
      <rgbColor rgb="00FDCDB8"/>
      <rgbColor rgb="00333333"/>
    </indexed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e">
        <v>#N/A</v>
        <stp/>
        <stp>acebaa36-ce0c-486d-8b52-08dd770a473d</stp>
        <tr r="BG20" s="71"/>
      </tp>
      <tp t="e">
        <v>#N/A</v>
        <stp/>
        <stp>21058446-79dd-4eea-a7e4-d06fd9464482</stp>
        <tr r="CH29" s="70"/>
      </tp>
      <tp t="e">
        <v>#N/A</v>
        <stp/>
        <stp>24b7fbf9-d473-45e7-a570-24f1b3d0899c</stp>
        <tr r="BG26" s="71"/>
      </tp>
      <tp t="e">
        <v>#N/A</v>
        <stp/>
        <stp>769be23c-814a-4290-a815-64e862a2874c</stp>
        <tr r="CD44" s="70"/>
      </tp>
      <tp t="e">
        <v>#N/A</v>
        <stp/>
        <stp>609ffbff-f8dd-49d9-b517-9735124d043f</stp>
        <tr r="BG8" s="71"/>
      </tp>
      <tp t="e">
        <v>#N/A</v>
        <stp/>
        <stp>2c8c09ce-7d4a-4cc5-bb1d-3e950d531ee9</stp>
        <tr r="BG8" s="70"/>
      </tp>
      <tp t="e">
        <v>#N/A</v>
        <stp/>
        <stp>9301cea9-00b4-40d6-8435-7f087cd61f00</stp>
        <tr r="BG11" s="71"/>
      </tp>
      <tp t="e">
        <v>#N/A</v>
        <stp/>
        <stp>1edc5b69-b2e1-4554-a6f5-5e8032f69afe</stp>
        <tr r="BG22" s="71"/>
      </tp>
      <tp t="e">
        <v>#N/A</v>
        <stp/>
        <stp>7a17fec6-6782-43fc-8aba-12811fc49ebe</stp>
        <tr r="BG29" s="71"/>
      </tp>
      <tp t="e">
        <v>#N/A</v>
        <stp/>
        <stp>2a66c993-0ace-4df8-badd-bfdad3b68bac</stp>
        <tr r="BG37" s="71"/>
      </tp>
      <tp t="e">
        <v>#N/A</v>
        <stp/>
        <stp>3aaf58b0-e07f-42e7-b6dd-be2d093520ce</stp>
        <tr r="BG19" s="70"/>
      </tp>
      <tp t="e">
        <v>#N/A</v>
        <stp/>
        <stp>c6632302-04ed-472e-a3b3-51ebcec3fb52</stp>
        <tr r="CE44" s="70"/>
      </tp>
      <tp t="e">
        <v>#N/A</v>
        <stp/>
        <stp>1e2792b9-87fa-4f22-83ca-2758441c085e</stp>
        <tr r="BA19" s="70"/>
      </tp>
      <tp t="e">
        <v>#N/A</v>
        <stp/>
        <stp>c1069e01-3260-485f-ae5c-bca43ca9f202</stp>
        <tr r="BG38" s="70"/>
      </tp>
      <tp t="e">
        <v>#N/A</v>
        <stp/>
        <stp>59ab1b09-2a2e-4c08-88b6-aaab30964d47</stp>
        <tr r="BG22" s="70"/>
      </tp>
      <tp t="e">
        <v>#N/A</v>
        <stp/>
        <stp>d60a85b0-e20b-486e-a060-46097ac5eecd</stp>
        <tr r="BG20" s="70"/>
      </tp>
      <tp t="e">
        <v>#N/A</v>
        <stp/>
        <stp>cf2d94a0-fc33-451f-ad15-fa4c898a3c3a</stp>
        <tr r="BG37" s="70"/>
      </tp>
      <tp t="e">
        <v>#N/A</v>
        <stp/>
        <stp>4c5d9531-1583-4b88-98c4-5d3f139a12d7</stp>
        <tr r="BG19" s="71"/>
      </tp>
      <tp t="e">
        <v>#N/A</v>
        <stp/>
        <stp>7f0f4aa7-7fea-4074-b0d7-28c98fe3dced</stp>
        <tr r="BG26" s="70"/>
      </tp>
      <tp t="e">
        <v>#N/A</v>
        <stp/>
        <stp>9189c853-06ac-4efd-b617-e0c8c94d781d</stp>
        <tr r="CG44" s="70"/>
      </tp>
      <tp t="e">
        <v>#N/A</v>
        <stp/>
        <stp>a7a34d22-ec44-4a9c-bc89-3a0f3b3be0f8</stp>
        <tr r="CJ44" s="70"/>
      </tp>
      <tp t="e">
        <v>#N/A</v>
        <stp/>
        <stp>57accbac-46d1-4be8-aa65-d5b745143019</stp>
        <tr r="BG21" s="71"/>
      </tp>
      <tp t="e">
        <v>#N/A</v>
        <stp/>
        <stp>af7a1880-0478-422a-abc2-e311973f7713</stp>
        <tr r="J3" s="70"/>
      </tp>
      <tp t="e">
        <v>#N/A</v>
        <stp/>
        <stp>2ef44712-d5ec-4b8e-8898-633aa887d1ea</stp>
        <tr r="BG35" s="71"/>
      </tp>
      <tp t="e">
        <v>#N/A</v>
        <stp/>
        <stp>c9e33d45-27e8-4559-b4f6-70369c2dd293</stp>
        <tr r="CF44" s="70"/>
      </tp>
      <tp t="e">
        <v>#N/A</v>
        <stp/>
        <stp>32468715-569d-4707-8213-7c0bd5f822cf</stp>
        <tr r="CH44" s="70"/>
      </tp>
      <tp t="e">
        <v>#N/A</v>
        <stp/>
        <stp>4d4f2433-ee02-4a7d-b210-5e4b1394fe4a</stp>
        <tr r="BG38" s="71"/>
      </tp>
      <tp t="e">
        <v>#N/A</v>
        <stp/>
        <stp>56374a36-4d0e-4d5d-b869-56706da3c7de</stp>
        <tr r="BG42" s="71"/>
      </tp>
      <tp t="e">
        <v>#N/A</v>
        <stp/>
        <stp>496374c9-0a6c-47bc-b3fa-6fee191f733d</stp>
        <tr r="CH30" s="70"/>
      </tp>
      <tp t="e">
        <v>#N/A</v>
        <stp/>
        <stp>b5ee9f58-b82a-489b-be70-7624aeaafc97</stp>
        <tr r="BG35" s="70"/>
      </tp>
      <tp t="e">
        <v>#N/A</v>
        <stp/>
        <stp>4234e805-c947-4cae-87e7-99302330f710</stp>
        <tr r="CH27" s="70"/>
      </tp>
      <tp t="e">
        <v>#N/A</v>
        <stp/>
        <stp>8c3f5305-4343-495f-adc7-a6f7bb1dbc8e</stp>
        <tr r="CH28" s="70"/>
      </tp>
      <tp t="e">
        <v>#N/A</v>
        <stp/>
        <stp>c23ae411-905a-4c2b-a5e3-ff6959b66192</stp>
        <tr r="BG11" s="70"/>
      </tp>
      <tp t="e">
        <v>#N/A</v>
        <stp/>
        <stp>2043ebdd-3765-490d-b3ca-2a7dd44e1e31</stp>
        <tr r="BG29" s="70"/>
      </tp>
      <tp t="e">
        <v>#N/A</v>
        <stp/>
        <stp>f311e503-4376-43ce-96fa-cf6c4d8e0ed6</stp>
        <tr r="CI44" s="70"/>
      </tp>
      <tp t="e">
        <v>#N/A</v>
        <stp/>
        <stp>8781b908-46ca-4c42-8c3e-ee7f21fe18bb</stp>
        <tr r="BG21" s="70"/>
      </tp>
      <tp t="e">
        <v>#N/A</v>
        <stp/>
        <stp>5ebd0152-d253-48a4-abff-a2993f6c5ad0</stp>
        <tr r="BG42" s="70"/>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externalLinks/externalLink1.xml" Type="http://schemas.openxmlformats.org/officeDocument/2006/relationships/externalLink"/>
<Relationship Id="rId43" Target="externalLinks/externalLink2.xml" Type="http://schemas.openxmlformats.org/officeDocument/2006/relationships/externalLink"/>
<Relationship Id="rId44" Target="externalLinks/externalLink3.xml" Type="http://schemas.openxmlformats.org/officeDocument/2006/relationships/externalLink"/>
<Relationship Id="rId45" Target="externalLinks/externalLink4.xml" Type="http://schemas.openxmlformats.org/officeDocument/2006/relationships/externalLink"/>
<Relationship Id="rId46" Target="externalLinks/externalLink5.xml" Type="http://schemas.openxmlformats.org/officeDocument/2006/relationships/externalLink"/>
<Relationship Id="rId47" Target="externalLinks/externalLink6.xml" Type="http://schemas.openxmlformats.org/officeDocument/2006/relationships/externalLink"/>
<Relationship Id="rId48" Target="externalLinks/externalLink7.xml" Type="http://schemas.openxmlformats.org/officeDocument/2006/relationships/externalLink"/>
<Relationship Id="rId49" Target="externalLinks/externalLink8.xml" Type="http://schemas.openxmlformats.org/officeDocument/2006/relationships/externalLink"/>
<Relationship Id="rId5" Target="worksheets/sheet5.xml" Type="http://schemas.openxmlformats.org/officeDocument/2006/relationships/worksheet"/>
<Relationship Id="rId50" Target="externalLinks/externalLink9.xml" Type="http://schemas.openxmlformats.org/officeDocument/2006/relationships/externalLink"/>
<Relationship Id="rId51" Target="externalLinks/externalLink10.xml" Type="http://schemas.openxmlformats.org/officeDocument/2006/relationships/externalLink"/>
<Relationship Id="rId52" Target="externalLinks/externalLink11.xml" Type="http://schemas.openxmlformats.org/officeDocument/2006/relationships/externalLink"/>
<Relationship Id="rId53" Target="externalLinks/externalLink12.xml" Type="http://schemas.openxmlformats.org/officeDocument/2006/relationships/externalLink"/>
<Relationship Id="rId54" Target="externalLinks/externalLink13.xml" Type="http://schemas.openxmlformats.org/officeDocument/2006/relationships/externalLink"/>
<Relationship Id="rId55" Target="externalLinks/externalLink14.xml" Type="http://schemas.openxmlformats.org/officeDocument/2006/relationships/externalLink"/>
<Relationship Id="rId56" Target="theme/theme1.xml" Type="http://schemas.openxmlformats.org/officeDocument/2006/relationships/theme"/>
<Relationship Id="rId57" Target="styles.xml" Type="http://schemas.openxmlformats.org/officeDocument/2006/relationships/styles"/>
<Relationship Id="rId58" Target="sharedStrings.xml" Type="http://schemas.openxmlformats.org/officeDocument/2006/relationships/sharedStrings"/>
<Relationship Id="rId59" Target="calcChain.xml" Type="http://schemas.openxmlformats.org/officeDocument/2006/relationships/calcChain"/>
<Relationship Id="rId6" Target="worksheets/sheet6.xml" Type="http://schemas.openxmlformats.org/officeDocument/2006/relationships/worksheet"/>
<Relationship Id="rId60" Target="../customXml/item1.xml" Type="http://schemas.openxmlformats.org/officeDocument/2006/relationships/customXml"/>
<Relationship Id="rId61" Target="../customXml/item2.xml" Type="http://schemas.openxmlformats.org/officeDocument/2006/relationships/customXml"/>
<Relationship Id="rId62" Target="volatileDependencies.xml" Type="http://schemas.openxmlformats.org/officeDocument/2006/relationships/volatileDependencies"/>
<Relationship Id="rId63" Target="vbaProject.bin" Type="http://schemas.microsoft.com/office/2006/relationships/vbaProjec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charts/_rels/chart16.xml.rels><?xml version="1.0" encoding="UTF-8" standalone="yes"?>
<Relationships xmlns="http://schemas.openxmlformats.org/package/2006/relationships">
<Relationship Id="rId1" Target="../drawings/drawing5.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87144254027069"/>
          <c:y val="0.15839980786715385"/>
          <c:w val="0.84137038752508875"/>
          <c:h val="0.73244266035373029"/>
        </c:manualLayout>
      </c:layout>
      <c:barChart>
        <c:barDir val="col"/>
        <c:grouping val="clustered"/>
        <c:varyColors val="0"/>
        <c:ser>
          <c:idx val="0"/>
          <c:order val="0"/>
          <c:tx>
            <c:strRef>
              <c:f>'Cash Taxes'!$V$100</c:f>
              <c:strCache>
                <c:ptCount val="1"/>
                <c:pt idx="0">
                  <c:v>No Bonus Depreciation</c:v>
                </c:pt>
              </c:strCache>
            </c:strRef>
          </c:tx>
          <c:invertIfNegative val="0"/>
          <c:cat>
            <c:strRef>
              <c:f>'Cash Taxes'!$Q$99:$U$99</c:f>
              <c:strCache>
                <c:ptCount val="5"/>
                <c:pt idx="0">
                  <c:v>2014E</c:v>
                </c:pt>
                <c:pt idx="1">
                  <c:v>2015E</c:v>
                </c:pt>
                <c:pt idx="2">
                  <c:v>2016E</c:v>
                </c:pt>
                <c:pt idx="3">
                  <c:v>2017E</c:v>
                </c:pt>
                <c:pt idx="4">
                  <c:v>2018E</c:v>
                </c:pt>
              </c:strCache>
            </c:strRef>
          </c:cat>
          <c:val>
            <c:numRef>
              <c:f>'Cash Taxes'!$Q$100:$U$100</c:f>
              <c:numCache>
                <c:formatCode>0</c:formatCode>
                <c:ptCount val="5"/>
                <c:pt idx="0">
                  <c:v>75</c:v>
                </c:pt>
                <c:pt idx="1">
                  <c:v>675</c:v>
                </c:pt>
                <c:pt idx="2">
                  <c:v>825</c:v>
                </c:pt>
                <c:pt idx="3">
                  <c:v>1007.9530737584575</c:v>
                </c:pt>
                <c:pt idx="4">
                  <c:v>976.71774474889617</c:v>
                </c:pt>
              </c:numCache>
            </c:numRef>
          </c:val>
        </c:ser>
        <c:ser>
          <c:idx val="1"/>
          <c:order val="1"/>
          <c:tx>
            <c:strRef>
              <c:f>'Cash Taxes'!$V$101</c:f>
              <c:strCache>
                <c:ptCount val="1"/>
                <c:pt idx="0">
                  <c:v>50% 2014 Bonus Depreciation</c:v>
                </c:pt>
              </c:strCache>
            </c:strRef>
          </c:tx>
          <c:invertIfNegative val="0"/>
          <c:cat>
            <c:strRef>
              <c:f>'Cash Taxes'!$Q$99:$U$99</c:f>
              <c:strCache>
                <c:ptCount val="5"/>
                <c:pt idx="0">
                  <c:v>2014E</c:v>
                </c:pt>
                <c:pt idx="1">
                  <c:v>2015E</c:v>
                </c:pt>
                <c:pt idx="2">
                  <c:v>2016E</c:v>
                </c:pt>
                <c:pt idx="3">
                  <c:v>2017E</c:v>
                </c:pt>
                <c:pt idx="4">
                  <c:v>2018E</c:v>
                </c:pt>
              </c:strCache>
            </c:strRef>
          </c:cat>
          <c:val>
            <c:numRef>
              <c:f>'Cash Taxes'!$Q$101:$U$101</c:f>
              <c:numCache>
                <c:formatCode>#,##0_);\(#,##0\)</c:formatCode>
                <c:ptCount val="5"/>
                <c:pt idx="0" formatCode="0">
                  <c:v>75</c:v>
                </c:pt>
                <c:pt idx="1">
                  <c:v>171</c:v>
                </c:pt>
                <c:pt idx="2">
                  <c:v>825</c:v>
                </c:pt>
                <c:pt idx="3">
                  <c:v>1047.0869383359575</c:v>
                </c:pt>
                <c:pt idx="4">
                  <c:v>1011.9382228686461</c:v>
                </c:pt>
              </c:numCache>
            </c:numRef>
          </c:val>
        </c:ser>
        <c:ser>
          <c:idx val="2"/>
          <c:order val="2"/>
          <c:tx>
            <c:strRef>
              <c:f>'Cash Taxes'!$V$102</c:f>
              <c:strCache>
                <c:ptCount val="1"/>
                <c:pt idx="0">
                  <c:v>50% 2014 &amp;2015 Bonus Depreciation</c:v>
                </c:pt>
              </c:strCache>
            </c:strRef>
          </c:tx>
          <c:invertIfNegative val="0"/>
          <c:cat>
            <c:strRef>
              <c:f>'Cash Taxes'!$Q$99:$U$99</c:f>
              <c:strCache>
                <c:ptCount val="5"/>
                <c:pt idx="0">
                  <c:v>2014E</c:v>
                </c:pt>
                <c:pt idx="1">
                  <c:v>2015E</c:v>
                </c:pt>
                <c:pt idx="2">
                  <c:v>2016E</c:v>
                </c:pt>
                <c:pt idx="3">
                  <c:v>2017E</c:v>
                </c:pt>
                <c:pt idx="4">
                  <c:v>2018E</c:v>
                </c:pt>
              </c:strCache>
            </c:strRef>
          </c:cat>
          <c:val>
            <c:numRef>
              <c:f>'Cash Taxes'!$Q$102:$U$102</c:f>
              <c:numCache>
                <c:formatCode>#,##0_);\(#,##0\)</c:formatCode>
                <c:ptCount val="5"/>
                <c:pt idx="0" formatCode="0">
                  <c:v>75</c:v>
                </c:pt>
                <c:pt idx="1">
                  <c:v>675</c:v>
                </c:pt>
                <c:pt idx="2">
                  <c:v>825</c:v>
                </c:pt>
                <c:pt idx="3">
                  <c:v>476.77938619499992</c:v>
                </c:pt>
                <c:pt idx="4">
                  <c:v>519.6506541788292</c:v>
                </c:pt>
              </c:numCache>
            </c:numRef>
          </c:val>
        </c:ser>
        <c:dLbls>
          <c:showLegendKey val="0"/>
          <c:showVal val="0"/>
          <c:showCatName val="0"/>
          <c:showSerName val="0"/>
          <c:showPercent val="0"/>
          <c:showBubbleSize val="0"/>
        </c:dLbls>
        <c:gapWidth val="150"/>
        <c:axId val="276498304"/>
        <c:axId val="276499840"/>
      </c:barChart>
      <c:catAx>
        <c:axId val="276498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499840"/>
        <c:crosses val="autoZero"/>
        <c:auto val="1"/>
        <c:lblAlgn val="ctr"/>
        <c:lblOffset val="100"/>
        <c:noMultiLvlLbl val="0"/>
      </c:catAx>
      <c:valAx>
        <c:axId val="276499840"/>
        <c:scaling>
          <c:orientation val="minMax"/>
        </c:scaling>
        <c:delete val="0"/>
        <c:axPos val="l"/>
        <c:majorGridlines>
          <c:spPr>
            <a:ln>
              <a:solidFill>
                <a:schemeClr val="bg1">
                  <a:lumMod val="85000"/>
                </a:schemeClr>
              </a:solidFill>
            </a:ln>
          </c:spPr>
        </c:majorGridlines>
        <c:numFmt formatCode="\$#0&quot;M&quot;"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498304"/>
        <c:crosses val="autoZero"/>
        <c:crossBetween val="between"/>
      </c:valAx>
    </c:plotArea>
    <c:legend>
      <c:legendPos val="t"/>
      <c:layout>
        <c:manualLayout>
          <c:xMode val="edge"/>
          <c:yMode val="edge"/>
          <c:x val="0"/>
          <c:y val="2.7777949324961831E-2"/>
          <c:w val="1"/>
          <c:h val="8.3415847528862816E-2"/>
        </c:manualLayout>
      </c:layout>
      <c:overlay val="0"/>
      <c:txPr>
        <a:bodyPr/>
        <a:lstStyle/>
        <a:p>
          <a:pPr>
            <a:defRPr sz="5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1"/>
          <c:order val="1"/>
          <c:tx>
            <c:strRef>
              <c:f>Charts!$C$5</c:f>
              <c:strCache>
                <c:ptCount val="1"/>
                <c:pt idx="0">
                  <c:v>Dividend Paid (LTM)</c:v>
                </c:pt>
              </c:strCache>
            </c:strRef>
          </c:tx>
          <c:invertIfNegative val="0"/>
          <c:cat>
            <c:strRef>
              <c:f>Charts!$N$3:$Z$3</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Charts!$N$5:$Z$5</c:f>
              <c:numCache>
                <c:formatCode>0</c:formatCode>
                <c:ptCount val="13"/>
                <c:pt idx="0">
                  <c:v>1301</c:v>
                </c:pt>
                <c:pt idx="1">
                  <c:v>1269</c:v>
                </c:pt>
                <c:pt idx="2">
                  <c:v>1256</c:v>
                </c:pt>
                <c:pt idx="3">
                  <c:v>1239</c:v>
                </c:pt>
                <c:pt idx="4">
                  <c:v>1228</c:v>
                </c:pt>
                <c:pt idx="5">
                  <c:v>1223</c:v>
                </c:pt>
                <c:pt idx="6">
                  <c:v>1221</c:v>
                </c:pt>
                <c:pt idx="7">
                  <c:v>1209</c:v>
                </c:pt>
                <c:pt idx="8">
                  <c:v>1198</c:v>
                </c:pt>
                <c:pt idx="9">
                  <c:v>1184</c:v>
                </c:pt>
                <c:pt idx="10">
                  <c:v>1175</c:v>
                </c:pt>
                <c:pt idx="11">
                  <c:v>1169</c:v>
                </c:pt>
                <c:pt idx="12">
                  <c:v>1167</c:v>
                </c:pt>
              </c:numCache>
            </c:numRef>
          </c:val>
        </c:ser>
        <c:ser>
          <c:idx val="2"/>
          <c:order val="2"/>
          <c:tx>
            <c:strRef>
              <c:f>Charts!$C$6</c:f>
              <c:strCache>
                <c:ptCount val="1"/>
                <c:pt idx="0">
                  <c:v>FCF (as defined by CTL)</c:v>
                </c:pt>
              </c:strCache>
            </c:strRef>
          </c:tx>
          <c:invertIfNegative val="0"/>
          <c:cat>
            <c:strRef>
              <c:f>Charts!$N$3:$Z$3</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Charts!$N$6:$Z$6</c:f>
              <c:numCache>
                <c:formatCode>#,##0_);\(#,##0\)</c:formatCode>
                <c:ptCount val="13"/>
                <c:pt idx="0">
                  <c:v>3071</c:v>
                </c:pt>
                <c:pt idx="1">
                  <c:v>2925</c:v>
                </c:pt>
                <c:pt idx="2">
                  <c:v>3038</c:v>
                </c:pt>
                <c:pt idx="3" formatCode="0">
                  <c:v>3051</c:v>
                </c:pt>
                <c:pt idx="4" formatCode="0">
                  <c:v>2953</c:v>
                </c:pt>
                <c:pt idx="5" formatCode="0">
                  <c:v>2942</c:v>
                </c:pt>
                <c:pt idx="6" formatCode="0">
                  <c:v>2688</c:v>
                </c:pt>
                <c:pt idx="7" formatCode="0">
                  <c:v>2661</c:v>
                </c:pt>
                <c:pt idx="8" formatCode="0">
                  <c:v>2749</c:v>
                </c:pt>
                <c:pt idx="9" formatCode="0">
                  <c:v>2628</c:v>
                </c:pt>
                <c:pt idx="10" formatCode="0">
                  <c:v>2702</c:v>
                </c:pt>
                <c:pt idx="11" formatCode="0">
                  <c:v>2126</c:v>
                </c:pt>
                <c:pt idx="12" formatCode="0">
                  <c:v>1541</c:v>
                </c:pt>
              </c:numCache>
            </c:numRef>
          </c:val>
        </c:ser>
        <c:dLbls>
          <c:showLegendKey val="0"/>
          <c:showVal val="0"/>
          <c:showCatName val="0"/>
          <c:showSerName val="0"/>
          <c:showPercent val="0"/>
          <c:showBubbleSize val="0"/>
        </c:dLbls>
        <c:gapWidth val="150"/>
        <c:axId val="276564608"/>
        <c:axId val="276578688"/>
      </c:barChart>
      <c:lineChart>
        <c:grouping val="standard"/>
        <c:varyColors val="0"/>
        <c:ser>
          <c:idx val="0"/>
          <c:order val="0"/>
          <c:tx>
            <c:strRef>
              <c:f>Charts!$C$4</c:f>
              <c:strCache>
                <c:ptCount val="1"/>
                <c:pt idx="0">
                  <c:v>Payout Ratio</c:v>
                </c:pt>
              </c:strCache>
            </c:strRef>
          </c:tx>
          <c:cat>
            <c:strRef>
              <c:f>Charts!$N$3:$Z$3</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Charts!$N$4:$Z$4</c:f>
              <c:numCache>
                <c:formatCode>0%</c:formatCode>
                <c:ptCount val="13"/>
                <c:pt idx="0">
                  <c:v>0.42364050797785735</c:v>
                </c:pt>
                <c:pt idx="1">
                  <c:v>0.43384615384615383</c:v>
                </c:pt>
                <c:pt idx="2">
                  <c:v>0.41342988808426595</c:v>
                </c:pt>
                <c:pt idx="3">
                  <c:v>0.40609636184857423</c:v>
                </c:pt>
                <c:pt idx="4">
                  <c:v>0.41584828987470368</c:v>
                </c:pt>
                <c:pt idx="5">
                  <c:v>0.41570360299116249</c:v>
                </c:pt>
                <c:pt idx="6">
                  <c:v>0.45424107142857145</c:v>
                </c:pt>
                <c:pt idx="7">
                  <c:v>0.45434047350620066</c:v>
                </c:pt>
                <c:pt idx="8">
                  <c:v>0.43579483448526735</c:v>
                </c:pt>
                <c:pt idx="9">
                  <c:v>0.45053272450532722</c:v>
                </c:pt>
                <c:pt idx="10">
                  <c:v>0.43486306439674316</c:v>
                </c:pt>
                <c:pt idx="11">
                  <c:v>0.54985888993414866</c:v>
                </c:pt>
                <c:pt idx="12">
                  <c:v>0.75730045425048664</c:v>
                </c:pt>
              </c:numCache>
            </c:numRef>
          </c:val>
          <c:smooth val="0"/>
        </c:ser>
        <c:dLbls>
          <c:showLegendKey val="0"/>
          <c:showVal val="0"/>
          <c:showCatName val="0"/>
          <c:showSerName val="0"/>
          <c:showPercent val="0"/>
          <c:showBubbleSize val="0"/>
        </c:dLbls>
        <c:marker val="1"/>
        <c:smooth val="0"/>
        <c:axId val="276580224"/>
        <c:axId val="276581760"/>
      </c:lineChart>
      <c:catAx>
        <c:axId val="27656460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276578688"/>
        <c:crosses val="autoZero"/>
        <c:auto val="1"/>
        <c:lblAlgn val="ctr"/>
        <c:lblOffset val="100"/>
        <c:noMultiLvlLbl val="0"/>
      </c:catAx>
      <c:valAx>
        <c:axId val="276578688"/>
        <c:scaling>
          <c:orientation val="minMax"/>
        </c:scaling>
        <c:delete val="0"/>
        <c:axPos val="l"/>
        <c:majorGridlines>
          <c:spPr>
            <a:ln>
              <a:solidFill>
                <a:schemeClr val="bg1">
                  <a:lumMod val="85000"/>
                </a:schemeClr>
              </a:solidFill>
            </a:ln>
          </c:spPr>
        </c:majorGridlines>
        <c:numFmt formatCode="\$#,##0&quot;M&quot;"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564608"/>
        <c:crosses val="autoZero"/>
        <c:crossBetween val="between"/>
      </c:valAx>
      <c:catAx>
        <c:axId val="276580224"/>
        <c:scaling>
          <c:orientation val="minMax"/>
        </c:scaling>
        <c:delete val="1"/>
        <c:axPos val="b"/>
        <c:majorTickMark val="out"/>
        <c:minorTickMark val="none"/>
        <c:tickLblPos val="nextTo"/>
        <c:crossAx val="276581760"/>
        <c:crosses val="autoZero"/>
        <c:auto val="1"/>
        <c:lblAlgn val="ctr"/>
        <c:lblOffset val="100"/>
        <c:noMultiLvlLbl val="0"/>
      </c:catAx>
      <c:valAx>
        <c:axId val="276581760"/>
        <c:scaling>
          <c:orientation val="minMax"/>
          <c:min val="0.30000000000000004"/>
        </c:scaling>
        <c:delete val="0"/>
        <c:axPos val="r"/>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580224"/>
        <c:crosses val="max"/>
        <c:crossBetween val="between"/>
      </c:valAx>
    </c:plotArea>
    <c:legend>
      <c:legendPos val="t"/>
      <c:overlay val="0"/>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38157897625849"/>
          <c:y val="0.1615099830738998"/>
          <c:w val="0.79459893247732449"/>
          <c:h val="0.72349662941816217"/>
        </c:manualLayout>
      </c:layout>
      <c:lineChart>
        <c:grouping val="standard"/>
        <c:varyColors val="0"/>
        <c:ser>
          <c:idx val="0"/>
          <c:order val="0"/>
          <c:tx>
            <c:strRef>
              <c:f>Charts!$C$35</c:f>
              <c:strCache>
                <c:ptCount val="1"/>
                <c:pt idx="0">
                  <c:v>Strategic services as % of total</c:v>
                </c:pt>
              </c:strCache>
            </c:strRef>
          </c:tx>
          <c:spPr>
            <a:ln>
              <a:prstDash val="sysDot"/>
            </a:ln>
          </c:spPr>
          <c:marker>
            <c:symbol val="none"/>
          </c:marker>
          <c:dLbls>
            <c:dLbl>
              <c:idx val="0"/>
              <c:layout>
                <c:manualLayout>
                  <c:x val="-3.224582797383975E-2"/>
                  <c:y val="4.456824512534819E-2"/>
                </c:manualLayout>
              </c:layout>
              <c:spPr/>
              <c:txPr>
                <a:bodyPr/>
                <a:lstStyle/>
                <a:p>
                  <a:pPr>
                    <a:defRPr sz="1400" b="0" i="0" u="none" strike="noStrike"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dLbl>
            <c:dLbl>
              <c:idx val="12"/>
              <c:spPr/>
              <c:txPr>
                <a:bodyPr/>
                <a:lstStyle/>
                <a:p>
                  <a:pPr>
                    <a:defRPr sz="14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dLbl>
            <c:showLegendKey val="0"/>
            <c:showVal val="0"/>
            <c:showCatName val="0"/>
            <c:showSerName val="0"/>
            <c:showPercent val="0"/>
            <c:showBubbleSize val="0"/>
          </c:dLbls>
          <c:cat>
            <c:strRef>
              <c:f>Charts!$N$27:$Z$27</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Charts!$N$35:$Z$35</c:f>
              <c:numCache>
                <c:formatCode>0.0%</c:formatCode>
                <c:ptCount val="13"/>
                <c:pt idx="0">
                  <c:v>0.55012165450121653</c:v>
                </c:pt>
                <c:pt idx="1">
                  <c:v>0.55255474452554743</c:v>
                </c:pt>
                <c:pt idx="2">
                  <c:v>0.44243902439024391</c:v>
                </c:pt>
                <c:pt idx="3">
                  <c:v>0.45242766061794998</c:v>
                </c:pt>
                <c:pt idx="4">
                  <c:v>0.46094908551655955</c:v>
                </c:pt>
                <c:pt idx="5">
                  <c:v>0.46941292550567343</c:v>
                </c:pt>
                <c:pt idx="6">
                  <c:v>0.4800895968143355</c:v>
                </c:pt>
                <c:pt idx="7">
                  <c:v>0.48634427461789026</c:v>
                </c:pt>
                <c:pt idx="8">
                  <c:v>0.49751737835153925</c:v>
                </c:pt>
                <c:pt idx="9">
                  <c:v>0.50314307266784009</c:v>
                </c:pt>
                <c:pt idx="10">
                  <c:v>0.514616935483871</c:v>
                </c:pt>
                <c:pt idx="11">
                  <c:v>0.51775223499361434</c:v>
                </c:pt>
                <c:pt idx="12">
                  <c:v>0.52511651993785602</c:v>
                </c:pt>
              </c:numCache>
            </c:numRef>
          </c:val>
          <c:smooth val="0"/>
        </c:ser>
        <c:ser>
          <c:idx val="1"/>
          <c:order val="1"/>
          <c:tx>
            <c:strRef>
              <c:f>Charts!$C$36</c:f>
              <c:strCache>
                <c:ptCount val="1"/>
                <c:pt idx="0">
                  <c:v>Legacy services as % of total</c:v>
                </c:pt>
              </c:strCache>
            </c:strRef>
          </c:tx>
          <c:marker>
            <c:symbol val="none"/>
          </c:marker>
          <c:dLbls>
            <c:dLbl>
              <c:idx val="0"/>
              <c:layout>
                <c:manualLayout>
                  <c:x val="-3.86949935686077E-2"/>
                  <c:y val="-5.5710306406685235E-2"/>
                </c:manualLayout>
              </c:layout>
              <c:spPr/>
              <c:txPr>
                <a:bodyPr/>
                <a:lstStyle/>
                <a:p>
                  <a:pPr>
                    <a:defRPr sz="1400" b="0" i="0" u="none" strike="noStrike"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dLbl>
            <c:dLbl>
              <c:idx val="12"/>
              <c:spPr/>
              <c:txPr>
                <a:bodyPr/>
                <a:lstStyle/>
                <a:p>
                  <a:pPr>
                    <a:defRPr sz="14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dLbl>
            <c:showLegendKey val="0"/>
            <c:showVal val="0"/>
            <c:showCatName val="0"/>
            <c:showSerName val="0"/>
            <c:showPercent val="0"/>
            <c:showBubbleSize val="0"/>
          </c:dLbls>
          <c:cat>
            <c:strRef>
              <c:f>Charts!$N$27:$Z$27</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Charts!$N$36:$Z$36</c:f>
              <c:numCache>
                <c:formatCode>0.0%</c:formatCode>
                <c:ptCount val="13"/>
                <c:pt idx="0">
                  <c:v>0.44987834549878347</c:v>
                </c:pt>
                <c:pt idx="1">
                  <c:v>0.44744525547445257</c:v>
                </c:pt>
                <c:pt idx="2">
                  <c:v>0.55756097560975615</c:v>
                </c:pt>
                <c:pt idx="3">
                  <c:v>0.54757233938205008</c:v>
                </c:pt>
                <c:pt idx="4">
                  <c:v>0.53905091448344045</c:v>
                </c:pt>
                <c:pt idx="5">
                  <c:v>0.53058707449432663</c:v>
                </c:pt>
                <c:pt idx="6">
                  <c:v>0.5199104031856645</c:v>
                </c:pt>
                <c:pt idx="7">
                  <c:v>0.5136557253821098</c:v>
                </c:pt>
                <c:pt idx="8">
                  <c:v>0.5024826216484608</c:v>
                </c:pt>
                <c:pt idx="9">
                  <c:v>0.49685692733215991</c:v>
                </c:pt>
                <c:pt idx="10">
                  <c:v>0.48538306451612906</c:v>
                </c:pt>
                <c:pt idx="11">
                  <c:v>0.48224776500638572</c:v>
                </c:pt>
                <c:pt idx="12">
                  <c:v>0.47488348006214398</c:v>
                </c:pt>
              </c:numCache>
            </c:numRef>
          </c:val>
          <c:smooth val="0"/>
        </c:ser>
        <c:dLbls>
          <c:showLegendKey val="0"/>
          <c:showVal val="0"/>
          <c:showCatName val="0"/>
          <c:showSerName val="0"/>
          <c:showPercent val="0"/>
          <c:showBubbleSize val="0"/>
        </c:dLbls>
        <c:marker val="1"/>
        <c:smooth val="0"/>
        <c:axId val="276626048"/>
        <c:axId val="276767104"/>
      </c:lineChart>
      <c:catAx>
        <c:axId val="27662604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767104"/>
        <c:crosses val="autoZero"/>
        <c:auto val="1"/>
        <c:lblAlgn val="ctr"/>
        <c:lblOffset val="100"/>
        <c:noMultiLvlLbl val="0"/>
      </c:catAx>
      <c:valAx>
        <c:axId val="276767104"/>
        <c:scaling>
          <c:orientation val="minMax"/>
          <c:max val="0.65000000000000013"/>
          <c:min val="0.35000000000000003"/>
        </c:scaling>
        <c:delete val="0"/>
        <c:axPos val="l"/>
        <c:majorGridlines>
          <c:spPr>
            <a:ln>
              <a:solidFill>
                <a:schemeClr val="bg1">
                  <a:lumMod val="85000"/>
                </a:schemeClr>
              </a:solidFill>
            </a:ln>
          </c:spPr>
        </c:majorGridlines>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626048"/>
        <c:crosses val="autoZero"/>
        <c:crossBetween val="between"/>
        <c:majorUnit val="4.0000000000000008E-2"/>
        <c:minorUnit val="1.0000000000000002E-2"/>
      </c:valAx>
    </c:plotArea>
    <c:legend>
      <c:legendPos val="t"/>
      <c:overlay val="0"/>
      <c:spPr>
        <a:ln>
          <a:noFill/>
        </a:ln>
      </c:spPr>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122256995103339E-2"/>
          <c:y val="0.15124616552882678"/>
          <c:w val="0.85744148318093905"/>
          <c:h val="0.76552982078727416"/>
        </c:manualLayout>
      </c:layout>
      <c:barChart>
        <c:barDir val="col"/>
        <c:grouping val="clustered"/>
        <c:varyColors val="0"/>
        <c:ser>
          <c:idx val="0"/>
          <c:order val="0"/>
          <c:tx>
            <c:strRef>
              <c:f>Charts!$C$58</c:f>
              <c:strCache>
                <c:ptCount val="1"/>
                <c:pt idx="0">
                  <c:v>Consumer Strategic Service Revenues</c:v>
                </c:pt>
              </c:strCache>
            </c:strRef>
          </c:tx>
          <c:spPr>
            <a:solidFill>
              <a:schemeClr val="tx2">
                <a:lumMod val="20000"/>
                <a:lumOff val="80000"/>
              </a:schemeClr>
            </a:solidFill>
          </c:spPr>
          <c:invertIfNegative val="0"/>
          <c:dLbls>
            <c:dLbl>
              <c:idx val="0"/>
              <c:layout>
                <c:manualLayout>
                  <c:x val="0"/>
                  <c:y val="5.3153545998089927E-2"/>
                </c:manualLayout>
              </c:layout>
              <c:dLblPos val="outEnd"/>
              <c:showLegendKey val="0"/>
              <c:showVal val="1"/>
              <c:showCatName val="0"/>
              <c:showSerName val="0"/>
              <c:showPercent val="0"/>
              <c:showBubbleSize val="0"/>
            </c:dLbl>
            <c:dLbl>
              <c:idx val="1"/>
              <c:delete val="1"/>
            </c:dLbl>
            <c:dLbl>
              <c:idx val="2"/>
              <c:delete val="1"/>
            </c:dLbl>
            <c:dLbl>
              <c:idx val="3"/>
              <c:delete val="1"/>
            </c:dLbl>
            <c:dLbl>
              <c:idx val="4"/>
              <c:delete val="1"/>
            </c:dLbl>
            <c:dLbl>
              <c:idx val="5"/>
              <c:delete val="1"/>
            </c:dLbl>
            <c:dLbl>
              <c:idx val="6"/>
              <c:delete val="1"/>
            </c:dLbl>
            <c:dLbl>
              <c:idx val="7"/>
              <c:delete val="1"/>
            </c:dLbl>
            <c:dLbl>
              <c:idx val="9"/>
              <c:delete val="1"/>
            </c:dLbl>
            <c:dLbl>
              <c:idx val="10"/>
              <c:delete val="1"/>
            </c:dLbl>
            <c:dLbl>
              <c:idx val="11"/>
              <c:layout>
                <c:manualLayout>
                  <c:x val="-1.1526401055225377E-2"/>
                  <c:y val="0"/>
                </c:manualLayout>
              </c:layout>
              <c:dLblPos val="outEnd"/>
              <c:showLegendKey val="0"/>
              <c:showVal val="1"/>
              <c:showCatName val="0"/>
              <c:showSerName val="0"/>
              <c:showPercent val="0"/>
              <c:showBubbleSize val="0"/>
            </c:dLbl>
            <c:dLbl>
              <c:idx val="12"/>
              <c:layout>
                <c:manualLayout>
                  <c:x val="3.8421336850751257E-3"/>
                  <c:y val="0"/>
                </c:manualLayout>
              </c:layout>
              <c:dLblPos val="outEnd"/>
              <c:showLegendKey val="0"/>
              <c:showVal val="1"/>
              <c:showCatName val="0"/>
              <c:showSerName val="0"/>
              <c:showPercent val="0"/>
              <c:showBubbleSize val="0"/>
            </c:dLbl>
            <c:numFmt formatCode="\$0#&quot;M&quot;" sourceLinked="0"/>
            <c:txPr>
              <a:bodyPr/>
              <a:lstStyle/>
              <a:p>
                <a:pPr>
                  <a:defRPr sz="12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Charts!$N$57:$Z$57</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Charts!$N$58:$Z$58</c:f>
              <c:numCache>
                <c:formatCode>#,##0_);\(#,##0\)</c:formatCode>
                <c:ptCount val="13"/>
                <c:pt idx="0">
                  <c:v>683</c:v>
                </c:pt>
                <c:pt idx="1">
                  <c:v>702</c:v>
                </c:pt>
                <c:pt idx="2">
                  <c:v>709</c:v>
                </c:pt>
                <c:pt idx="3">
                  <c:v>712</c:v>
                </c:pt>
                <c:pt idx="4">
                  <c:v>727</c:v>
                </c:pt>
                <c:pt idx="5">
                  <c:v>738</c:v>
                </c:pt>
                <c:pt idx="6">
                  <c:v>758</c:v>
                </c:pt>
                <c:pt idx="7">
                  <c:v>764</c:v>
                </c:pt>
                <c:pt idx="8">
                  <c:v>773</c:v>
                </c:pt>
                <c:pt idx="9">
                  <c:v>774</c:v>
                </c:pt>
                <c:pt idx="10">
                  <c:v>800</c:v>
                </c:pt>
                <c:pt idx="11">
                  <c:v>789</c:v>
                </c:pt>
                <c:pt idx="12">
                  <c:v>784</c:v>
                </c:pt>
              </c:numCache>
            </c:numRef>
          </c:val>
        </c:ser>
        <c:dLbls>
          <c:showLegendKey val="0"/>
          <c:showVal val="0"/>
          <c:showCatName val="0"/>
          <c:showSerName val="0"/>
          <c:showPercent val="0"/>
          <c:showBubbleSize val="0"/>
        </c:dLbls>
        <c:gapWidth val="150"/>
        <c:axId val="276789888"/>
        <c:axId val="276820352"/>
      </c:barChart>
      <c:lineChart>
        <c:grouping val="standard"/>
        <c:varyColors val="0"/>
        <c:ser>
          <c:idx val="1"/>
          <c:order val="1"/>
          <c:tx>
            <c:strRef>
              <c:f>Charts!$C$59</c:f>
              <c:strCache>
                <c:ptCount val="1"/>
                <c:pt idx="0">
                  <c:v>Broadband Net Adds</c:v>
                </c:pt>
              </c:strCache>
            </c:strRef>
          </c:tx>
          <c:spPr>
            <a:ln>
              <a:prstDash val="sysDot"/>
            </a:ln>
          </c:spPr>
          <c:marker>
            <c:spPr>
              <a:solidFill>
                <a:schemeClr val="bg1"/>
              </a:solidFill>
            </c:spPr>
          </c:marker>
          <c:dLbls>
            <c:numFmt formatCode="#&quot;K&quot;" sourceLinked="0"/>
            <c:txPr>
              <a:bodyPr/>
              <a:lstStyle/>
              <a:p>
                <a:pPr>
                  <a:defRPr sz="14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Charts!$N$57:$Z$57</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Charts!$N$59:$Z$59</c:f>
              <c:numCache>
                <c:formatCode>General</c:formatCode>
                <c:ptCount val="13"/>
                <c:pt idx="0">
                  <c:v>49</c:v>
                </c:pt>
                <c:pt idx="1">
                  <c:v>66</c:v>
                </c:pt>
                <c:pt idx="2">
                  <c:v>-2</c:v>
                </c:pt>
                <c:pt idx="3">
                  <c:v>8</c:v>
                </c:pt>
                <c:pt idx="4">
                  <c:v>18.600000000000001</c:v>
                </c:pt>
                <c:pt idx="5">
                  <c:v>35.4</c:v>
                </c:pt>
                <c:pt idx="6">
                  <c:v>-9</c:v>
                </c:pt>
                <c:pt idx="7">
                  <c:v>-37</c:v>
                </c:pt>
                <c:pt idx="8">
                  <c:v>-23</c:v>
                </c:pt>
                <c:pt idx="9">
                  <c:v>8</c:v>
                </c:pt>
                <c:pt idx="10">
                  <c:v>-66</c:v>
                </c:pt>
                <c:pt idx="11">
                  <c:v>-40</c:v>
                </c:pt>
                <c:pt idx="12">
                  <c:v>-5</c:v>
                </c:pt>
              </c:numCache>
            </c:numRef>
          </c:val>
          <c:smooth val="0"/>
        </c:ser>
        <c:dLbls>
          <c:showLegendKey val="0"/>
          <c:showVal val="0"/>
          <c:showCatName val="0"/>
          <c:showSerName val="0"/>
          <c:showPercent val="0"/>
          <c:showBubbleSize val="0"/>
        </c:dLbls>
        <c:marker val="1"/>
        <c:smooth val="0"/>
        <c:axId val="276821888"/>
        <c:axId val="276823424"/>
      </c:lineChart>
      <c:catAx>
        <c:axId val="276789888"/>
        <c:scaling>
          <c:orientation val="minMax"/>
        </c:scaling>
        <c:delete val="0"/>
        <c:axPos val="b"/>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276820352"/>
        <c:crosses val="autoZero"/>
        <c:auto val="1"/>
        <c:lblAlgn val="ctr"/>
        <c:lblOffset val="100"/>
        <c:noMultiLvlLbl val="0"/>
      </c:catAx>
      <c:valAx>
        <c:axId val="276820352"/>
        <c:scaling>
          <c:orientation val="minMax"/>
        </c:scaling>
        <c:delete val="0"/>
        <c:axPos val="l"/>
        <c:majorGridlines>
          <c:spPr>
            <a:ln>
              <a:solidFill>
                <a:schemeClr val="bg1">
                  <a:lumMod val="75000"/>
                </a:schemeClr>
              </a:solidFill>
            </a:ln>
          </c:spPr>
        </c:majorGridlines>
        <c:numFmt formatCode="\$0#&quot;M&quot;"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789888"/>
        <c:crosses val="autoZero"/>
        <c:crossBetween val="between"/>
      </c:valAx>
      <c:catAx>
        <c:axId val="276821888"/>
        <c:scaling>
          <c:orientation val="minMax"/>
        </c:scaling>
        <c:delete val="1"/>
        <c:axPos val="b"/>
        <c:majorTickMark val="out"/>
        <c:minorTickMark val="none"/>
        <c:tickLblPos val="nextTo"/>
        <c:crossAx val="276823424"/>
        <c:crosses val="autoZero"/>
        <c:auto val="1"/>
        <c:lblAlgn val="ctr"/>
        <c:lblOffset val="100"/>
        <c:noMultiLvlLbl val="0"/>
      </c:catAx>
      <c:valAx>
        <c:axId val="276823424"/>
        <c:scaling>
          <c:orientation val="minMax"/>
        </c:scaling>
        <c:delete val="0"/>
        <c:axPos val="r"/>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821888"/>
        <c:crosses val="max"/>
        <c:crossBetween val="between"/>
      </c:valAx>
    </c:plotArea>
    <c:legend>
      <c:legendPos val="t"/>
      <c:layout>
        <c:manualLayout>
          <c:xMode val="edge"/>
          <c:yMode val="edge"/>
          <c:x val="1.1590082340185945E-2"/>
          <c:y val="2.9898890479599139E-2"/>
          <c:w val="0.93629824980011467"/>
          <c:h val="6.0073073252207121E-2"/>
        </c:manualLayout>
      </c:layout>
      <c:overlay val="0"/>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1"/>
          <c:order val="1"/>
          <c:tx>
            <c:strRef>
              <c:f>Charts!$C$85</c:f>
              <c:strCache>
                <c:ptCount val="1"/>
                <c:pt idx="0">
                  <c:v>Strategic Revenue</c:v>
                </c:pt>
              </c:strCache>
            </c:strRef>
          </c:tx>
          <c:invertIfNegative val="0"/>
          <c:cat>
            <c:strRef>
              <c:f>Charts!$O$82:$Z$82</c:f>
              <c:strCache>
                <c:ptCount val="12"/>
                <c:pt idx="0">
                  <c:v>1Q14</c:v>
                </c:pt>
                <c:pt idx="1">
                  <c:v>2Q14</c:v>
                </c:pt>
                <c:pt idx="2">
                  <c:v>3Q14</c:v>
                </c:pt>
                <c:pt idx="3">
                  <c:v>4Q14</c:v>
                </c:pt>
                <c:pt idx="4">
                  <c:v>1Q15</c:v>
                </c:pt>
                <c:pt idx="5">
                  <c:v>2Q15</c:v>
                </c:pt>
                <c:pt idx="6">
                  <c:v>3Q15</c:v>
                </c:pt>
                <c:pt idx="7">
                  <c:v>4Q15</c:v>
                </c:pt>
                <c:pt idx="8">
                  <c:v>1Q16</c:v>
                </c:pt>
                <c:pt idx="9">
                  <c:v>2Q16</c:v>
                </c:pt>
                <c:pt idx="10">
                  <c:v>3Q16</c:v>
                </c:pt>
                <c:pt idx="11">
                  <c:v>4Q16</c:v>
                </c:pt>
              </c:strCache>
            </c:strRef>
          </c:cat>
          <c:val>
            <c:numRef>
              <c:f>Charts!$O$85:$Z$85</c:f>
              <c:numCache>
                <c:formatCode>#,##0_);\(#,##0\)</c:formatCode>
                <c:ptCount val="12"/>
                <c:pt idx="0">
                  <c:v>2271</c:v>
                </c:pt>
                <c:pt idx="1">
                  <c:v>1814</c:v>
                </c:pt>
                <c:pt idx="2">
                  <c:v>1845</c:v>
                </c:pt>
                <c:pt idx="3">
                  <c:v>1865</c:v>
                </c:pt>
                <c:pt idx="4">
                  <c:v>1903</c:v>
                </c:pt>
                <c:pt idx="5">
                  <c:v>1929</c:v>
                </c:pt>
                <c:pt idx="6">
                  <c:v>1941</c:v>
                </c:pt>
                <c:pt idx="7">
                  <c:v>2004</c:v>
                </c:pt>
                <c:pt idx="8">
                  <c:v>2001</c:v>
                </c:pt>
                <c:pt idx="9">
                  <c:v>2042</c:v>
                </c:pt>
                <c:pt idx="10">
                  <c:v>2027</c:v>
                </c:pt>
                <c:pt idx="11">
                  <c:v>2028</c:v>
                </c:pt>
              </c:numCache>
            </c:numRef>
          </c:val>
        </c:ser>
        <c:ser>
          <c:idx val="2"/>
          <c:order val="2"/>
          <c:tx>
            <c:strRef>
              <c:f>Charts!$C$86</c:f>
              <c:strCache>
                <c:ptCount val="1"/>
                <c:pt idx="0">
                  <c:v>Legacy Revenue</c:v>
                </c:pt>
              </c:strCache>
            </c:strRef>
          </c:tx>
          <c:invertIfNegative val="0"/>
          <c:cat>
            <c:strRef>
              <c:f>Charts!$O$82:$Z$82</c:f>
              <c:strCache>
                <c:ptCount val="12"/>
                <c:pt idx="0">
                  <c:v>1Q14</c:v>
                </c:pt>
                <c:pt idx="1">
                  <c:v>2Q14</c:v>
                </c:pt>
                <c:pt idx="2">
                  <c:v>3Q14</c:v>
                </c:pt>
                <c:pt idx="3">
                  <c:v>4Q14</c:v>
                </c:pt>
                <c:pt idx="4">
                  <c:v>1Q15</c:v>
                </c:pt>
                <c:pt idx="5">
                  <c:v>2Q15</c:v>
                </c:pt>
                <c:pt idx="6">
                  <c:v>3Q15</c:v>
                </c:pt>
                <c:pt idx="7">
                  <c:v>4Q15</c:v>
                </c:pt>
                <c:pt idx="8">
                  <c:v>1Q16</c:v>
                </c:pt>
                <c:pt idx="9">
                  <c:v>2Q16</c:v>
                </c:pt>
                <c:pt idx="10">
                  <c:v>3Q16</c:v>
                </c:pt>
                <c:pt idx="11">
                  <c:v>4Q16</c:v>
                </c:pt>
              </c:strCache>
            </c:strRef>
          </c:cat>
          <c:val>
            <c:numRef>
              <c:f>Charts!$O$86:$Z$86</c:f>
              <c:numCache>
                <c:formatCode>#,##0_);\(#,##0\)</c:formatCode>
                <c:ptCount val="12"/>
                <c:pt idx="0">
                  <c:v>1839</c:v>
                </c:pt>
                <c:pt idx="1">
                  <c:v>2286</c:v>
                </c:pt>
                <c:pt idx="2" formatCode="0">
                  <c:v>2233</c:v>
                </c:pt>
                <c:pt idx="3">
                  <c:v>2181</c:v>
                </c:pt>
                <c:pt idx="4">
                  <c:v>2151</c:v>
                </c:pt>
                <c:pt idx="5">
                  <c:v>2089</c:v>
                </c:pt>
                <c:pt idx="6">
                  <c:v>2050</c:v>
                </c:pt>
                <c:pt idx="7">
                  <c:v>2024</c:v>
                </c:pt>
                <c:pt idx="8">
                  <c:v>1976</c:v>
                </c:pt>
                <c:pt idx="9">
                  <c:v>1926</c:v>
                </c:pt>
                <c:pt idx="10">
                  <c:v>1888</c:v>
                </c:pt>
                <c:pt idx="11">
                  <c:v>1834</c:v>
                </c:pt>
              </c:numCache>
            </c:numRef>
          </c:val>
        </c:ser>
        <c:dLbls>
          <c:showLegendKey val="0"/>
          <c:showVal val="0"/>
          <c:showCatName val="0"/>
          <c:showSerName val="0"/>
          <c:showPercent val="0"/>
          <c:showBubbleSize val="0"/>
        </c:dLbls>
        <c:gapWidth val="150"/>
        <c:axId val="276858752"/>
        <c:axId val="276860288"/>
      </c:barChart>
      <c:lineChart>
        <c:grouping val="standard"/>
        <c:varyColors val="0"/>
        <c:ser>
          <c:idx val="0"/>
          <c:order val="0"/>
          <c:tx>
            <c:strRef>
              <c:f>Charts!$C$84</c:f>
              <c:strCache>
                <c:ptCount val="1"/>
                <c:pt idx="0">
                  <c:v>EBITDA Margins</c:v>
                </c:pt>
              </c:strCache>
            </c:strRef>
          </c:tx>
          <c:marker>
            <c:symbol val="none"/>
          </c:marker>
          <c:cat>
            <c:strRef>
              <c:f>Charts!$O$82:$Z$82</c:f>
              <c:strCache>
                <c:ptCount val="12"/>
                <c:pt idx="0">
                  <c:v>1Q14</c:v>
                </c:pt>
                <c:pt idx="1">
                  <c:v>2Q14</c:v>
                </c:pt>
                <c:pt idx="2">
                  <c:v>3Q14</c:v>
                </c:pt>
                <c:pt idx="3">
                  <c:v>4Q14</c:v>
                </c:pt>
                <c:pt idx="4">
                  <c:v>1Q15</c:v>
                </c:pt>
                <c:pt idx="5">
                  <c:v>2Q15</c:v>
                </c:pt>
                <c:pt idx="6">
                  <c:v>3Q15</c:v>
                </c:pt>
                <c:pt idx="7">
                  <c:v>4Q15</c:v>
                </c:pt>
                <c:pt idx="8">
                  <c:v>1Q16</c:v>
                </c:pt>
                <c:pt idx="9">
                  <c:v>2Q16</c:v>
                </c:pt>
                <c:pt idx="10">
                  <c:v>3Q16</c:v>
                </c:pt>
                <c:pt idx="11">
                  <c:v>4Q16</c:v>
                </c:pt>
              </c:strCache>
            </c:strRef>
          </c:cat>
          <c:val>
            <c:numRef>
              <c:f>Charts!$O$84:$Z$84</c:f>
              <c:numCache>
                <c:formatCode>0.0%</c:formatCode>
                <c:ptCount val="12"/>
                <c:pt idx="0">
                  <c:v>0.39400617011899514</c:v>
                </c:pt>
                <c:pt idx="1">
                  <c:v>0.39911894273127752</c:v>
                </c:pt>
                <c:pt idx="2">
                  <c:v>0.38666075781076886</c:v>
                </c:pt>
                <c:pt idx="3">
                  <c:v>0.38480613165013527</c:v>
                </c:pt>
                <c:pt idx="4">
                  <c:v>0.38732869018198157</c:v>
                </c:pt>
                <c:pt idx="5">
                  <c:v>0.36705136908802899</c:v>
                </c:pt>
                <c:pt idx="6">
                  <c:v>0.38998682476943347</c:v>
                </c:pt>
                <c:pt idx="7">
                  <c:v>0.40482573726541554</c:v>
                </c:pt>
                <c:pt idx="8">
                  <c:v>0.38264030902067714</c:v>
                </c:pt>
                <c:pt idx="9">
                  <c:v>0.37471577989995453</c:v>
                </c:pt>
                <c:pt idx="10">
                  <c:v>0.36421725239616615</c:v>
                </c:pt>
                <c:pt idx="11">
                  <c:v>0.36955001165772905</c:v>
                </c:pt>
              </c:numCache>
            </c:numRef>
          </c:val>
          <c:smooth val="0"/>
        </c:ser>
        <c:dLbls>
          <c:showLegendKey val="0"/>
          <c:showVal val="0"/>
          <c:showCatName val="0"/>
          <c:showSerName val="0"/>
          <c:showPercent val="0"/>
          <c:showBubbleSize val="0"/>
        </c:dLbls>
        <c:marker val="1"/>
        <c:smooth val="0"/>
        <c:axId val="276862080"/>
        <c:axId val="276863616"/>
      </c:lineChart>
      <c:catAx>
        <c:axId val="276858752"/>
        <c:scaling>
          <c:orientation val="minMax"/>
        </c:scaling>
        <c:delete val="0"/>
        <c:axPos val="b"/>
        <c:numFmt formatCode="General" sourceLinked="1"/>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276860288"/>
        <c:crosses val="autoZero"/>
        <c:auto val="1"/>
        <c:lblAlgn val="ctr"/>
        <c:lblOffset val="100"/>
        <c:noMultiLvlLbl val="0"/>
      </c:catAx>
      <c:valAx>
        <c:axId val="276860288"/>
        <c:scaling>
          <c:orientation val="minMax"/>
        </c:scaling>
        <c:delete val="0"/>
        <c:axPos val="l"/>
        <c:majorGridlines/>
        <c:numFmt formatCode="#,##0_);\(#,##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858752"/>
        <c:crosses val="autoZero"/>
        <c:crossBetween val="between"/>
      </c:valAx>
      <c:catAx>
        <c:axId val="276862080"/>
        <c:scaling>
          <c:orientation val="minMax"/>
        </c:scaling>
        <c:delete val="1"/>
        <c:axPos val="b"/>
        <c:majorTickMark val="out"/>
        <c:minorTickMark val="none"/>
        <c:tickLblPos val="nextTo"/>
        <c:crossAx val="276863616"/>
        <c:crosses val="autoZero"/>
        <c:auto val="1"/>
        <c:lblAlgn val="ctr"/>
        <c:lblOffset val="100"/>
        <c:noMultiLvlLbl val="0"/>
      </c:catAx>
      <c:valAx>
        <c:axId val="276863616"/>
        <c:scaling>
          <c:orientation val="minMax"/>
        </c:scaling>
        <c:delete val="0"/>
        <c:axPos val="r"/>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862080"/>
        <c:crosses val="max"/>
        <c:crossBetween val="between"/>
      </c:valAx>
    </c:plotArea>
    <c:legend>
      <c:legendPos val="t"/>
      <c:overlay val="0"/>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16907261592301"/>
          <c:y val="0.18604367162438029"/>
          <c:w val="0.77146741032370958"/>
          <c:h val="0.72112459900845727"/>
        </c:manualLayout>
      </c:layout>
      <c:barChart>
        <c:barDir val="col"/>
        <c:grouping val="clustered"/>
        <c:varyColors val="0"/>
        <c:ser>
          <c:idx val="0"/>
          <c:order val="0"/>
          <c:tx>
            <c:strRef>
              <c:f>Charts!$C$109</c:f>
              <c:strCache>
                <c:ptCount val="1"/>
                <c:pt idx="0">
                  <c:v>Total revenues</c:v>
                </c:pt>
              </c:strCache>
            </c:strRef>
          </c:tx>
          <c:invertIfNegative val="0"/>
          <c:dLbls>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Charts!$E$108:$L$108</c:f>
              <c:strCache>
                <c:ptCount val="8"/>
                <c:pt idx="0">
                  <c:v>2012</c:v>
                </c:pt>
                <c:pt idx="1">
                  <c:v>2013</c:v>
                </c:pt>
                <c:pt idx="2">
                  <c:v>2014</c:v>
                </c:pt>
                <c:pt idx="3">
                  <c:v>2015</c:v>
                </c:pt>
                <c:pt idx="4">
                  <c:v>2016</c:v>
                </c:pt>
                <c:pt idx="5">
                  <c:v>2017</c:v>
                </c:pt>
                <c:pt idx="6">
                  <c:v>2018E</c:v>
                </c:pt>
                <c:pt idx="7">
                  <c:v>2019E</c:v>
                </c:pt>
              </c:strCache>
            </c:strRef>
          </c:cat>
          <c:val>
            <c:numRef>
              <c:f>Charts!$E$109:$L$109</c:f>
              <c:numCache>
                <c:formatCode>#,##0.0</c:formatCode>
                <c:ptCount val="8"/>
                <c:pt idx="0">
                  <c:v>18.376999999999999</c:v>
                </c:pt>
                <c:pt idx="1">
                  <c:v>18.094999999999999</c:v>
                </c:pt>
                <c:pt idx="2">
                  <c:v>18.027000000000001</c:v>
                </c:pt>
                <c:pt idx="3">
                  <c:v>17.899999999999999</c:v>
                </c:pt>
                <c:pt idx="4">
                  <c:v>17.47</c:v>
                </c:pt>
                <c:pt idx="5">
                  <c:v>18.338000000000001</c:v>
                </c:pt>
                <c:pt idx="6">
                  <c:v>23.840293709116747</c:v>
                </c:pt>
                <c:pt idx="7">
                  <c:v>23.587128801288248</c:v>
                </c:pt>
              </c:numCache>
            </c:numRef>
          </c:val>
        </c:ser>
        <c:dLbls>
          <c:showLegendKey val="0"/>
          <c:showVal val="0"/>
          <c:showCatName val="0"/>
          <c:showSerName val="0"/>
          <c:showPercent val="0"/>
          <c:showBubbleSize val="0"/>
        </c:dLbls>
        <c:gapWidth val="150"/>
        <c:axId val="258417408"/>
        <c:axId val="258418944"/>
      </c:barChart>
      <c:lineChart>
        <c:grouping val="standard"/>
        <c:varyColors val="0"/>
        <c:ser>
          <c:idx val="1"/>
          <c:order val="1"/>
          <c:tx>
            <c:strRef>
              <c:f>Charts!$C$110</c:f>
              <c:strCache>
                <c:ptCount val="1"/>
                <c:pt idx="0">
                  <c:v>% growth</c:v>
                </c:pt>
              </c:strCache>
            </c:strRef>
          </c:tx>
          <c:cat>
            <c:strRef>
              <c:f>Charts!$E$108:$L$108</c:f>
              <c:strCache>
                <c:ptCount val="8"/>
                <c:pt idx="0">
                  <c:v>2012</c:v>
                </c:pt>
                <c:pt idx="1">
                  <c:v>2013</c:v>
                </c:pt>
                <c:pt idx="2">
                  <c:v>2014</c:v>
                </c:pt>
                <c:pt idx="3">
                  <c:v>2015</c:v>
                </c:pt>
                <c:pt idx="4">
                  <c:v>2016</c:v>
                </c:pt>
                <c:pt idx="5">
                  <c:v>2017</c:v>
                </c:pt>
                <c:pt idx="6">
                  <c:v>2018E</c:v>
                </c:pt>
                <c:pt idx="7">
                  <c:v>2019E</c:v>
                </c:pt>
              </c:strCache>
            </c:strRef>
          </c:cat>
          <c:val>
            <c:numRef>
              <c:f>Charts!$E$110:$L$110</c:f>
              <c:numCache>
                <c:formatCode>0.0%</c:formatCode>
                <c:ptCount val="8"/>
                <c:pt idx="0">
                  <c:v>-1.6841609689810522E-2</c:v>
                </c:pt>
                <c:pt idx="1">
                  <c:v>-1.5345268542199531E-2</c:v>
                </c:pt>
                <c:pt idx="2">
                  <c:v>-3.7579441834760807E-3</c:v>
                </c:pt>
                <c:pt idx="3">
                  <c:v>-7.0449880734453352E-3</c:v>
                </c:pt>
                <c:pt idx="4">
                  <c:v>-2.4022346368715031E-2</c:v>
                </c:pt>
                <c:pt idx="5">
                  <c:v>0</c:v>
                </c:pt>
                <c:pt idx="6">
                  <c:v>0</c:v>
                </c:pt>
                <c:pt idx="7">
                  <c:v>-1.061920255335147E-2</c:v>
                </c:pt>
              </c:numCache>
            </c:numRef>
          </c:val>
          <c:smooth val="0"/>
        </c:ser>
        <c:dLbls>
          <c:showLegendKey val="0"/>
          <c:showVal val="0"/>
          <c:showCatName val="0"/>
          <c:showSerName val="0"/>
          <c:showPercent val="0"/>
          <c:showBubbleSize val="0"/>
        </c:dLbls>
        <c:marker val="1"/>
        <c:smooth val="0"/>
        <c:axId val="258424832"/>
        <c:axId val="258426368"/>
      </c:lineChart>
      <c:catAx>
        <c:axId val="258417408"/>
        <c:scaling>
          <c:orientation val="minMax"/>
        </c:scaling>
        <c:delete val="0"/>
        <c:axPos val="b"/>
        <c:numFmt formatCode="@"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58418944"/>
        <c:crosses val="autoZero"/>
        <c:auto val="1"/>
        <c:lblAlgn val="ctr"/>
        <c:lblOffset val="100"/>
        <c:noMultiLvlLbl val="0"/>
      </c:catAx>
      <c:valAx>
        <c:axId val="258418944"/>
        <c:scaling>
          <c:orientation val="minMax"/>
          <c:max val="20"/>
          <c:min val="15"/>
        </c:scaling>
        <c:delete val="0"/>
        <c:axPos val="l"/>
        <c:numFmt formatCode="\$#.0&quot;B&quot;"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58417408"/>
        <c:crosses val="autoZero"/>
        <c:crossBetween val="between"/>
      </c:valAx>
      <c:catAx>
        <c:axId val="258424832"/>
        <c:scaling>
          <c:orientation val="minMax"/>
        </c:scaling>
        <c:delete val="1"/>
        <c:axPos val="b"/>
        <c:majorTickMark val="out"/>
        <c:minorTickMark val="none"/>
        <c:tickLblPos val="nextTo"/>
        <c:crossAx val="258426368"/>
        <c:crosses val="autoZero"/>
        <c:auto val="1"/>
        <c:lblAlgn val="ctr"/>
        <c:lblOffset val="100"/>
        <c:noMultiLvlLbl val="0"/>
      </c:catAx>
      <c:valAx>
        <c:axId val="258426368"/>
        <c:scaling>
          <c:orientation val="minMax"/>
        </c:scaling>
        <c:delete val="0"/>
        <c:axPos val="r"/>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58424832"/>
        <c:crosses val="max"/>
        <c:crossBetween val="between"/>
        <c:majorUnit val="1.0000000000000002E-2"/>
      </c:valAx>
    </c:plotArea>
    <c:legend>
      <c:legendPos val="t"/>
      <c:overlay val="0"/>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16907261592301"/>
          <c:y val="0.13188518032686214"/>
          <c:w val="0.77146741032370958"/>
          <c:h val="0.77528325950135413"/>
        </c:manualLayout>
      </c:layout>
      <c:barChart>
        <c:barDir val="col"/>
        <c:grouping val="clustered"/>
        <c:varyColors val="0"/>
        <c:ser>
          <c:idx val="0"/>
          <c:order val="0"/>
          <c:tx>
            <c:strRef>
              <c:f>Charts!$C$112</c:f>
              <c:strCache>
                <c:ptCount val="1"/>
                <c:pt idx="0">
                  <c:v>EBITDA (Adj. OCF)</c:v>
                </c:pt>
              </c:strCache>
            </c:strRef>
          </c:tx>
          <c:invertIfNegative val="0"/>
          <c:cat>
            <c:strRef>
              <c:f>Charts!$E$111:$L$111</c:f>
              <c:strCache>
                <c:ptCount val="8"/>
                <c:pt idx="0">
                  <c:v>2012</c:v>
                </c:pt>
                <c:pt idx="1">
                  <c:v>2013</c:v>
                </c:pt>
                <c:pt idx="2">
                  <c:v>2014</c:v>
                </c:pt>
                <c:pt idx="3">
                  <c:v>2015</c:v>
                </c:pt>
                <c:pt idx="4">
                  <c:v>2016</c:v>
                </c:pt>
                <c:pt idx="5">
                  <c:v>2017</c:v>
                </c:pt>
                <c:pt idx="6">
                  <c:v>2018E</c:v>
                </c:pt>
                <c:pt idx="7">
                  <c:v>2019E</c:v>
                </c:pt>
              </c:strCache>
            </c:strRef>
          </c:cat>
          <c:val>
            <c:numRef>
              <c:f>Charts!$E$112:$L$112</c:f>
              <c:numCache>
                <c:formatCode>#,##0.0</c:formatCode>
                <c:ptCount val="8"/>
                <c:pt idx="0">
                  <c:v>8.0694999999999997</c:v>
                </c:pt>
                <c:pt idx="1">
                  <c:v>7.4320000000000004</c:v>
                </c:pt>
                <c:pt idx="2">
                  <c:v>7.0519999999999996</c:v>
                </c:pt>
                <c:pt idx="3">
                  <c:v>6.9340000000000002</c:v>
                </c:pt>
                <c:pt idx="4">
                  <c:v>6.5129999999999999</c:v>
                </c:pt>
                <c:pt idx="5">
                  <c:v>6.5819999999999999</c:v>
                </c:pt>
                <c:pt idx="6">
                  <c:v>8.846968097327391</c:v>
                </c:pt>
                <c:pt idx="7">
                  <c:v>9.1701733004830928</c:v>
                </c:pt>
              </c:numCache>
            </c:numRef>
          </c:val>
        </c:ser>
        <c:dLbls>
          <c:showLegendKey val="0"/>
          <c:showVal val="0"/>
          <c:showCatName val="0"/>
          <c:showSerName val="0"/>
          <c:showPercent val="0"/>
          <c:showBubbleSize val="0"/>
        </c:dLbls>
        <c:gapWidth val="150"/>
        <c:axId val="258461056"/>
        <c:axId val="276890752"/>
      </c:barChart>
      <c:lineChart>
        <c:grouping val="standard"/>
        <c:varyColors val="0"/>
        <c:ser>
          <c:idx val="1"/>
          <c:order val="1"/>
          <c:tx>
            <c:strRef>
              <c:f>Charts!$C$114</c:f>
              <c:strCache>
                <c:ptCount val="1"/>
                <c:pt idx="0">
                  <c:v>% margin</c:v>
                </c:pt>
              </c:strCache>
            </c:strRef>
          </c:tx>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Charts!$E$111:$L$111</c:f>
              <c:strCache>
                <c:ptCount val="8"/>
                <c:pt idx="0">
                  <c:v>2012</c:v>
                </c:pt>
                <c:pt idx="1">
                  <c:v>2013</c:v>
                </c:pt>
                <c:pt idx="2">
                  <c:v>2014</c:v>
                </c:pt>
                <c:pt idx="3">
                  <c:v>2015</c:v>
                </c:pt>
                <c:pt idx="4">
                  <c:v>2016</c:v>
                </c:pt>
                <c:pt idx="5">
                  <c:v>2017</c:v>
                </c:pt>
                <c:pt idx="6">
                  <c:v>2018E</c:v>
                </c:pt>
                <c:pt idx="7">
                  <c:v>2019E</c:v>
                </c:pt>
              </c:strCache>
            </c:strRef>
          </c:cat>
          <c:val>
            <c:numRef>
              <c:f>Charts!$E$114:$L$114</c:f>
              <c:numCache>
                <c:formatCode>0.0%</c:formatCode>
                <c:ptCount val="8"/>
                <c:pt idx="0">
                  <c:v>0.43910866844425095</c:v>
                </c:pt>
                <c:pt idx="1">
                  <c:v>0.41072119369991711</c:v>
                </c:pt>
                <c:pt idx="2">
                  <c:v>0.39119099129084151</c:v>
                </c:pt>
                <c:pt idx="3">
                  <c:v>0.38737430167597764</c:v>
                </c:pt>
                <c:pt idx="4">
                  <c:v>0.37281053234115624</c:v>
                </c:pt>
                <c:pt idx="5">
                  <c:v>0.35892681862798559</c:v>
                </c:pt>
                <c:pt idx="6">
                  <c:v>0.37109308321752049</c:v>
                </c:pt>
                <c:pt idx="7">
                  <c:v>0.38877870120343982</c:v>
                </c:pt>
              </c:numCache>
            </c:numRef>
          </c:val>
          <c:smooth val="0"/>
        </c:ser>
        <c:dLbls>
          <c:showLegendKey val="0"/>
          <c:showVal val="0"/>
          <c:showCatName val="0"/>
          <c:showSerName val="0"/>
          <c:showPercent val="0"/>
          <c:showBubbleSize val="0"/>
        </c:dLbls>
        <c:marker val="1"/>
        <c:smooth val="0"/>
        <c:axId val="276892288"/>
        <c:axId val="276898176"/>
      </c:lineChart>
      <c:catAx>
        <c:axId val="258461056"/>
        <c:scaling>
          <c:orientation val="minMax"/>
        </c:scaling>
        <c:delete val="0"/>
        <c:axPos val="b"/>
        <c:numFmt formatCode="@"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890752"/>
        <c:crosses val="autoZero"/>
        <c:auto val="1"/>
        <c:lblAlgn val="ctr"/>
        <c:lblOffset val="100"/>
        <c:noMultiLvlLbl val="0"/>
      </c:catAx>
      <c:valAx>
        <c:axId val="276890752"/>
        <c:scaling>
          <c:orientation val="minMax"/>
        </c:scaling>
        <c:delete val="0"/>
        <c:axPos val="l"/>
        <c:majorGridlines>
          <c:spPr>
            <a:ln>
              <a:solidFill>
                <a:schemeClr val="bg1">
                  <a:lumMod val="85000"/>
                </a:schemeClr>
              </a:solidFill>
            </a:ln>
          </c:spPr>
        </c:majorGridlines>
        <c:numFmt formatCode="\$#.0&quot;B&quot;"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58461056"/>
        <c:crosses val="autoZero"/>
        <c:crossBetween val="between"/>
      </c:valAx>
      <c:catAx>
        <c:axId val="276892288"/>
        <c:scaling>
          <c:orientation val="minMax"/>
        </c:scaling>
        <c:delete val="1"/>
        <c:axPos val="b"/>
        <c:majorTickMark val="out"/>
        <c:minorTickMark val="none"/>
        <c:tickLblPos val="nextTo"/>
        <c:crossAx val="276898176"/>
        <c:crosses val="autoZero"/>
        <c:auto val="1"/>
        <c:lblAlgn val="ctr"/>
        <c:lblOffset val="100"/>
        <c:noMultiLvlLbl val="0"/>
      </c:catAx>
      <c:valAx>
        <c:axId val="276898176"/>
        <c:scaling>
          <c:orientation val="minMax"/>
          <c:min val="0.30000000000000004"/>
        </c:scaling>
        <c:delete val="0"/>
        <c:axPos val="r"/>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892288"/>
        <c:crosses val="max"/>
        <c:crossBetween val="between"/>
      </c:valAx>
    </c:plotArea>
    <c:legend>
      <c:legendPos val="t"/>
      <c:overlay val="0"/>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Charts!$C$33</c:f>
              <c:strCache>
                <c:ptCount val="1"/>
                <c:pt idx="0">
                  <c:v>CORE REVENUE</c:v>
                </c:pt>
              </c:strCache>
            </c:strRef>
          </c:tx>
          <c:invertIfNegative val="0"/>
          <c:cat>
            <c:strRef>
              <c:f>Charts!$N$27:$Z$27</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Charts!$N$33:$Z$33</c:f>
              <c:numCache>
                <c:formatCode>#,##0_);\(#,##0\)</c:formatCode>
                <c:ptCount val="13"/>
                <c:pt idx="0">
                  <c:v>4110</c:v>
                </c:pt>
                <c:pt idx="1">
                  <c:v>4110</c:v>
                </c:pt>
                <c:pt idx="2">
                  <c:v>4100</c:v>
                </c:pt>
                <c:pt idx="3">
                  <c:v>4078</c:v>
                </c:pt>
                <c:pt idx="4">
                  <c:v>4046</c:v>
                </c:pt>
                <c:pt idx="5">
                  <c:v>4054</c:v>
                </c:pt>
                <c:pt idx="6">
                  <c:v>4018</c:v>
                </c:pt>
                <c:pt idx="7">
                  <c:v>3991</c:v>
                </c:pt>
                <c:pt idx="8">
                  <c:v>4028</c:v>
                </c:pt>
                <c:pt idx="9">
                  <c:v>3977</c:v>
                </c:pt>
                <c:pt idx="10">
                  <c:v>3968</c:v>
                </c:pt>
                <c:pt idx="11">
                  <c:v>3915</c:v>
                </c:pt>
                <c:pt idx="12">
                  <c:v>3862</c:v>
                </c:pt>
              </c:numCache>
            </c:numRef>
          </c:val>
        </c:ser>
        <c:dLbls>
          <c:showLegendKey val="0"/>
          <c:showVal val="0"/>
          <c:showCatName val="0"/>
          <c:showSerName val="0"/>
          <c:showPercent val="0"/>
          <c:showBubbleSize val="0"/>
        </c:dLbls>
        <c:gapWidth val="150"/>
        <c:axId val="276931712"/>
        <c:axId val="276933248"/>
      </c:barChart>
      <c:lineChart>
        <c:grouping val="standard"/>
        <c:varyColors val="0"/>
        <c:ser>
          <c:idx val="1"/>
          <c:order val="1"/>
          <c:tx>
            <c:strRef>
              <c:f>Charts!$C$34</c:f>
              <c:strCache>
                <c:ptCount val="1"/>
                <c:pt idx="0">
                  <c:v>Y/Y Growth</c:v>
                </c:pt>
              </c:strCache>
            </c:strRef>
          </c:tx>
          <c:marker>
            <c:symbol val="none"/>
          </c:marker>
          <c:cat>
            <c:strRef>
              <c:f>Charts!$N$27:$Z$27</c:f>
              <c:strCache>
                <c:ptCount val="13"/>
                <c:pt idx="0">
                  <c:v>4Q13</c:v>
                </c:pt>
                <c:pt idx="1">
                  <c:v>1Q14</c:v>
                </c:pt>
                <c:pt idx="2">
                  <c:v>2Q14</c:v>
                </c:pt>
                <c:pt idx="3">
                  <c:v>3Q14</c:v>
                </c:pt>
                <c:pt idx="4">
                  <c:v>4Q14</c:v>
                </c:pt>
                <c:pt idx="5">
                  <c:v>1Q15</c:v>
                </c:pt>
                <c:pt idx="6">
                  <c:v>2Q15</c:v>
                </c:pt>
                <c:pt idx="7">
                  <c:v>3Q15</c:v>
                </c:pt>
                <c:pt idx="8">
                  <c:v>4Q15</c:v>
                </c:pt>
                <c:pt idx="9">
                  <c:v>1Q16</c:v>
                </c:pt>
                <c:pt idx="10">
                  <c:v>2Q16</c:v>
                </c:pt>
                <c:pt idx="11">
                  <c:v>3Q16</c:v>
                </c:pt>
                <c:pt idx="12">
                  <c:v>4Q16</c:v>
                </c:pt>
              </c:strCache>
            </c:strRef>
          </c:cat>
          <c:val>
            <c:numRef>
              <c:f>Charts!$N$34:$Z$34</c:f>
              <c:numCache>
                <c:formatCode>0.0%</c:formatCode>
                <c:ptCount val="13"/>
                <c:pt idx="0">
                  <c:v>-4.3604651162790775E-3</c:v>
                </c:pt>
                <c:pt idx="1">
                  <c:v>-1.4577259475219151E-3</c:v>
                </c:pt>
                <c:pt idx="2">
                  <c:v>-2.1903139449988007E-3</c:v>
                </c:pt>
                <c:pt idx="3">
                  <c:v>-6.3352826510720828E-3</c:v>
                </c:pt>
                <c:pt idx="4">
                  <c:v>-1.5571776155717809E-2</c:v>
                </c:pt>
                <c:pt idx="5">
                  <c:v>-1.3625304136253069E-2</c:v>
                </c:pt>
                <c:pt idx="6">
                  <c:v>-2.0000000000000018E-2</c:v>
                </c:pt>
                <c:pt idx="7">
                  <c:v>-2.133398724865132E-2</c:v>
                </c:pt>
                <c:pt idx="8">
                  <c:v>-4.4488383588729974E-3</c:v>
                </c:pt>
                <c:pt idx="9">
                  <c:v>-1.8993586581154465E-2</c:v>
                </c:pt>
                <c:pt idx="10">
                  <c:v>-1.2444001991040343E-2</c:v>
                </c:pt>
                <c:pt idx="11">
                  <c:v>-1.9042846404409897E-2</c:v>
                </c:pt>
                <c:pt idx="12">
                  <c:v>-4.121151936444889E-2</c:v>
                </c:pt>
              </c:numCache>
            </c:numRef>
          </c:val>
          <c:smooth val="0"/>
        </c:ser>
        <c:dLbls>
          <c:showLegendKey val="0"/>
          <c:showVal val="0"/>
          <c:showCatName val="0"/>
          <c:showSerName val="0"/>
          <c:showPercent val="0"/>
          <c:showBubbleSize val="0"/>
        </c:dLbls>
        <c:marker val="1"/>
        <c:smooth val="0"/>
        <c:axId val="276924288"/>
        <c:axId val="276925824"/>
      </c:lineChart>
      <c:catAx>
        <c:axId val="276924288"/>
        <c:scaling>
          <c:orientation val="minMax"/>
        </c:scaling>
        <c:delete val="0"/>
        <c:axPos val="b"/>
        <c:numFmt formatCode="General" sourceLinked="1"/>
        <c:majorTickMark val="out"/>
        <c:minorTickMark val="none"/>
        <c:tickLblPos val="low"/>
        <c:txPr>
          <a:bodyPr rot="-2700000" vert="horz"/>
          <a:lstStyle/>
          <a:p>
            <a:pPr>
              <a:defRPr sz="1000" b="0" i="0" u="none" strike="noStrike" baseline="0">
                <a:solidFill>
                  <a:srgbClr val="000000"/>
                </a:solidFill>
                <a:latin typeface="Calibri"/>
                <a:ea typeface="Calibri"/>
                <a:cs typeface="Calibri"/>
              </a:defRPr>
            </a:pPr>
            <a:endParaRPr lang="en-US"/>
          </a:p>
        </c:txPr>
        <c:crossAx val="276925824"/>
        <c:crosses val="autoZero"/>
        <c:auto val="1"/>
        <c:lblAlgn val="ctr"/>
        <c:lblOffset val="100"/>
        <c:noMultiLvlLbl val="0"/>
      </c:catAx>
      <c:valAx>
        <c:axId val="276925824"/>
        <c:scaling>
          <c:orientation val="minMax"/>
        </c:scaling>
        <c:delete val="0"/>
        <c:axPos val="l"/>
        <c:majorGridlines/>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924288"/>
        <c:crosses val="autoZero"/>
        <c:crossBetween val="between"/>
      </c:valAx>
      <c:catAx>
        <c:axId val="276931712"/>
        <c:scaling>
          <c:orientation val="minMax"/>
        </c:scaling>
        <c:delete val="1"/>
        <c:axPos val="b"/>
        <c:majorTickMark val="out"/>
        <c:minorTickMark val="none"/>
        <c:tickLblPos val="nextTo"/>
        <c:crossAx val="276933248"/>
        <c:crosses val="autoZero"/>
        <c:auto val="1"/>
        <c:lblAlgn val="ctr"/>
        <c:lblOffset val="100"/>
        <c:noMultiLvlLbl val="0"/>
      </c:catAx>
      <c:valAx>
        <c:axId val="276933248"/>
        <c:scaling>
          <c:orientation val="minMax"/>
        </c:scaling>
        <c:delete val="0"/>
        <c:axPos val="r"/>
        <c:numFmt formatCode="#,##0_);\(#,##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6931712"/>
        <c:crosses val="max"/>
        <c:crossBetween val="between"/>
      </c:valAx>
    </c:plotArea>
    <c:legend>
      <c:legendPos val="t"/>
      <c:overlay val="0"/>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16907261592301"/>
          <c:y val="0.18604367162438029"/>
          <c:w val="0.77146741032370958"/>
          <c:h val="0.72112459900845727"/>
        </c:manualLayout>
      </c:layout>
      <c:barChart>
        <c:barDir val="col"/>
        <c:grouping val="clustered"/>
        <c:varyColors val="0"/>
        <c:ser>
          <c:idx val="0"/>
          <c:order val="0"/>
          <c:tx>
            <c:strRef>
              <c:f>Charts!$AE$4</c:f>
              <c:strCache>
                <c:ptCount val="1"/>
                <c:pt idx="0">
                  <c:v>Revenue</c:v>
                </c:pt>
              </c:strCache>
            </c:strRef>
          </c:tx>
          <c:invertIfNegative val="0"/>
          <c:cat>
            <c:strRef>
              <c:f>Charts!$AT$3:$BF$3</c:f>
              <c:strCache>
                <c:ptCount val="13"/>
                <c:pt idx="0">
                  <c:v>4Q14</c:v>
                </c:pt>
                <c:pt idx="1">
                  <c:v>1Q15</c:v>
                </c:pt>
                <c:pt idx="2">
                  <c:v>2Q15</c:v>
                </c:pt>
                <c:pt idx="3">
                  <c:v>3Q15</c:v>
                </c:pt>
                <c:pt idx="4">
                  <c:v>4Q15</c:v>
                </c:pt>
                <c:pt idx="5">
                  <c:v>1Q16</c:v>
                </c:pt>
                <c:pt idx="6">
                  <c:v>2Q16</c:v>
                </c:pt>
                <c:pt idx="7">
                  <c:v>3Q16</c:v>
                </c:pt>
                <c:pt idx="8">
                  <c:v>4Q16</c:v>
                </c:pt>
                <c:pt idx="9">
                  <c:v>1Q17</c:v>
                </c:pt>
                <c:pt idx="10">
                  <c:v>2Q17</c:v>
                </c:pt>
                <c:pt idx="11">
                  <c:v>3Q17</c:v>
                </c:pt>
                <c:pt idx="12">
                  <c:v>4Q17</c:v>
                </c:pt>
              </c:strCache>
            </c:strRef>
          </c:cat>
          <c:val>
            <c:numRef>
              <c:f>Charts!$AT$4:$BF$4</c:f>
              <c:numCache>
                <c:formatCode>#,##0.0</c:formatCode>
                <c:ptCount val="13"/>
                <c:pt idx="0">
                  <c:v>4.4359999999999999</c:v>
                </c:pt>
                <c:pt idx="1">
                  <c:v>4.4509999999999996</c:v>
                </c:pt>
                <c:pt idx="2">
                  <c:v>4.4189999999999996</c:v>
                </c:pt>
                <c:pt idx="3">
                  <c:v>4.5540000000000003</c:v>
                </c:pt>
                <c:pt idx="4">
                  <c:v>4.476</c:v>
                </c:pt>
                <c:pt idx="5">
                  <c:v>4.4009999999999998</c:v>
                </c:pt>
                <c:pt idx="6">
                  <c:v>4.3979999999999997</c:v>
                </c:pt>
                <c:pt idx="7">
                  <c:v>4.3819999999999997</c:v>
                </c:pt>
                <c:pt idx="8">
                  <c:v>4.2889999999999997</c:v>
                </c:pt>
                <c:pt idx="9">
                  <c:v>4.2089999999999996</c:v>
                </c:pt>
                <c:pt idx="10">
                  <c:v>4.09</c:v>
                </c:pt>
                <c:pt idx="11">
                  <c:v>4.0339999999999998</c:v>
                </c:pt>
                <c:pt idx="12">
                  <c:v>6.0049999999999999</c:v>
                </c:pt>
              </c:numCache>
            </c:numRef>
          </c:val>
        </c:ser>
        <c:dLbls>
          <c:showLegendKey val="0"/>
          <c:showVal val="0"/>
          <c:showCatName val="0"/>
          <c:showSerName val="0"/>
          <c:showPercent val="0"/>
          <c:showBubbleSize val="0"/>
        </c:dLbls>
        <c:gapWidth val="150"/>
        <c:axId val="277680512"/>
        <c:axId val="277682048"/>
      </c:barChart>
      <c:lineChart>
        <c:grouping val="standard"/>
        <c:varyColors val="0"/>
        <c:ser>
          <c:idx val="1"/>
          <c:order val="1"/>
          <c:tx>
            <c:strRef>
              <c:f>Charts!$AE$5</c:f>
              <c:strCache>
                <c:ptCount val="1"/>
                <c:pt idx="0">
                  <c:v>Adj. EBITDA Margin</c:v>
                </c:pt>
              </c:strCache>
            </c:strRef>
          </c:tx>
          <c:cat>
            <c:strRef>
              <c:f>Charts!$AT$3:$BF$3</c:f>
              <c:strCache>
                <c:ptCount val="13"/>
                <c:pt idx="0">
                  <c:v>4Q14</c:v>
                </c:pt>
                <c:pt idx="1">
                  <c:v>1Q15</c:v>
                </c:pt>
                <c:pt idx="2">
                  <c:v>2Q15</c:v>
                </c:pt>
                <c:pt idx="3">
                  <c:v>3Q15</c:v>
                </c:pt>
                <c:pt idx="4">
                  <c:v>4Q15</c:v>
                </c:pt>
                <c:pt idx="5">
                  <c:v>1Q16</c:v>
                </c:pt>
                <c:pt idx="6">
                  <c:v>2Q16</c:v>
                </c:pt>
                <c:pt idx="7">
                  <c:v>3Q16</c:v>
                </c:pt>
                <c:pt idx="8">
                  <c:v>4Q16</c:v>
                </c:pt>
                <c:pt idx="9">
                  <c:v>1Q17</c:v>
                </c:pt>
                <c:pt idx="10">
                  <c:v>2Q17</c:v>
                </c:pt>
                <c:pt idx="11">
                  <c:v>3Q17</c:v>
                </c:pt>
                <c:pt idx="12">
                  <c:v>4Q17</c:v>
                </c:pt>
              </c:strCache>
            </c:strRef>
          </c:cat>
          <c:val>
            <c:numRef>
              <c:f>Charts!$AT$5:$BF$5</c:f>
              <c:numCache>
                <c:formatCode>0.0%</c:formatCode>
                <c:ptCount val="13"/>
                <c:pt idx="0">
                  <c:v>0.38480613165013527</c:v>
                </c:pt>
                <c:pt idx="1">
                  <c:v>0.38732869018198157</c:v>
                </c:pt>
                <c:pt idx="2">
                  <c:v>0.36705136908802899</c:v>
                </c:pt>
                <c:pt idx="3">
                  <c:v>0.38998682476943347</c:v>
                </c:pt>
                <c:pt idx="4">
                  <c:v>0.40482573726541554</c:v>
                </c:pt>
                <c:pt idx="5">
                  <c:v>0.38264030902067714</c:v>
                </c:pt>
                <c:pt idx="6">
                  <c:v>0.37471577989995453</c:v>
                </c:pt>
                <c:pt idx="7">
                  <c:v>0.36421725239616615</c:v>
                </c:pt>
                <c:pt idx="8">
                  <c:v>0.36955001165772905</c:v>
                </c:pt>
                <c:pt idx="9">
                  <c:v>0.36398194345450224</c:v>
                </c:pt>
                <c:pt idx="10">
                  <c:v>0.35256723716381416</c:v>
                </c:pt>
                <c:pt idx="11">
                  <c:v>0.34630639563708476</c:v>
                </c:pt>
                <c:pt idx="12">
                  <c:v>0.36819317235636967</c:v>
                </c:pt>
              </c:numCache>
            </c:numRef>
          </c:val>
          <c:smooth val="0"/>
        </c:ser>
        <c:dLbls>
          <c:showLegendKey val="0"/>
          <c:showVal val="0"/>
          <c:showCatName val="0"/>
          <c:showSerName val="0"/>
          <c:showPercent val="0"/>
          <c:showBubbleSize val="0"/>
        </c:dLbls>
        <c:marker val="1"/>
        <c:smooth val="0"/>
        <c:axId val="277683584"/>
        <c:axId val="277697664"/>
      </c:lineChart>
      <c:catAx>
        <c:axId val="27768051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682048"/>
        <c:crosses val="autoZero"/>
        <c:auto val="1"/>
        <c:lblAlgn val="ctr"/>
        <c:lblOffset val="100"/>
        <c:noMultiLvlLbl val="0"/>
      </c:catAx>
      <c:valAx>
        <c:axId val="277682048"/>
        <c:scaling>
          <c:orientation val="minMax"/>
          <c:max val="5"/>
          <c:min val="3"/>
        </c:scaling>
        <c:delete val="0"/>
        <c:axPos val="l"/>
        <c:majorGridlines>
          <c:spPr>
            <a:ln>
              <a:solidFill>
                <a:schemeClr val="bg1">
                  <a:lumMod val="85000"/>
                </a:schemeClr>
              </a:solidFill>
            </a:ln>
          </c:spPr>
        </c:majorGridlines>
        <c:numFmt formatCode="\$#.0&quot;B&quot;"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680512"/>
        <c:crosses val="autoZero"/>
        <c:crossBetween val="between"/>
      </c:valAx>
      <c:catAx>
        <c:axId val="277683584"/>
        <c:scaling>
          <c:orientation val="minMax"/>
        </c:scaling>
        <c:delete val="1"/>
        <c:axPos val="b"/>
        <c:majorTickMark val="out"/>
        <c:minorTickMark val="none"/>
        <c:tickLblPos val="nextTo"/>
        <c:crossAx val="277697664"/>
        <c:crosses val="autoZero"/>
        <c:auto val="1"/>
        <c:lblAlgn val="ctr"/>
        <c:lblOffset val="100"/>
        <c:noMultiLvlLbl val="0"/>
      </c:catAx>
      <c:valAx>
        <c:axId val="277697664"/>
        <c:scaling>
          <c:orientation val="minMax"/>
        </c:scaling>
        <c:delete val="0"/>
        <c:axPos val="r"/>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683584"/>
        <c:crosses val="max"/>
        <c:crossBetween val="between"/>
        <c:majorUnit val="1.0000000000000002E-2"/>
      </c:valAx>
    </c:plotArea>
    <c:legend>
      <c:legendPos val="t"/>
      <c:layout>
        <c:manualLayout>
          <c:xMode val="edge"/>
          <c:yMode val="edge"/>
          <c:x val="0.18088232581150998"/>
          <c:y val="2.1663548962457039E-2"/>
          <c:w val="0.58462009341484078"/>
          <c:h val="6.1804208175635506E-2"/>
        </c:manualLayout>
      </c:layout>
      <c:overlay val="0"/>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16907261592301"/>
          <c:y val="0.18604367162438029"/>
          <c:w val="0.77146741032370958"/>
          <c:h val="0.72112459900845727"/>
        </c:manualLayout>
      </c:layout>
      <c:barChart>
        <c:barDir val="col"/>
        <c:grouping val="clustered"/>
        <c:varyColors val="0"/>
        <c:ser>
          <c:idx val="0"/>
          <c:order val="0"/>
          <c:tx>
            <c:strRef>
              <c:f>Charts!$R$109</c:f>
              <c:strCache>
                <c:ptCount val="1"/>
                <c:pt idx="0">
                  <c:v>FCF</c:v>
                </c:pt>
              </c:strCache>
            </c:strRef>
          </c:tx>
          <c:invertIfNegative val="0"/>
          <c:cat>
            <c:strRef>
              <c:f>Charts!$S$108:$Z$108</c:f>
              <c:strCache>
                <c:ptCount val="8"/>
                <c:pt idx="0">
                  <c:v>2011</c:v>
                </c:pt>
                <c:pt idx="1">
                  <c:v>2012</c:v>
                </c:pt>
                <c:pt idx="2">
                  <c:v>2013</c:v>
                </c:pt>
                <c:pt idx="3">
                  <c:v>2014</c:v>
                </c:pt>
                <c:pt idx="4">
                  <c:v>2015</c:v>
                </c:pt>
                <c:pt idx="5">
                  <c:v>2016</c:v>
                </c:pt>
                <c:pt idx="6">
                  <c:v>2017</c:v>
                </c:pt>
                <c:pt idx="7">
                  <c:v>2018E</c:v>
                </c:pt>
              </c:strCache>
            </c:strRef>
          </c:cat>
          <c:val>
            <c:numRef>
              <c:f>Charts!$S$109:$Z$109</c:f>
              <c:numCache>
                <c:formatCode>#,##0.0_);\(#,##0.0\)</c:formatCode>
                <c:ptCount val="8"/>
                <c:pt idx="0">
                  <c:v>4.6857609999999994</c:v>
                </c:pt>
                <c:pt idx="1">
                  <c:v>3.6844999999999999</c:v>
                </c:pt>
                <c:pt idx="2">
                  <c:v>3.024</c:v>
                </c:pt>
                <c:pt idx="3">
                  <c:v>2.9319999999999999</c:v>
                </c:pt>
                <c:pt idx="4">
                  <c:v>2.738</c:v>
                </c:pt>
                <c:pt idx="5">
                  <c:v>1.518</c:v>
                </c:pt>
                <c:pt idx="6">
                  <c:v>1.157</c:v>
                </c:pt>
                <c:pt idx="7">
                  <c:v>2.2686170838790725</c:v>
                </c:pt>
              </c:numCache>
            </c:numRef>
          </c:val>
        </c:ser>
        <c:dLbls>
          <c:showLegendKey val="0"/>
          <c:showVal val="0"/>
          <c:showCatName val="0"/>
          <c:showSerName val="0"/>
          <c:showPercent val="0"/>
          <c:showBubbleSize val="0"/>
        </c:dLbls>
        <c:gapWidth val="150"/>
        <c:axId val="277732352"/>
        <c:axId val="277734144"/>
      </c:barChart>
      <c:lineChart>
        <c:grouping val="standard"/>
        <c:varyColors val="0"/>
        <c:ser>
          <c:idx val="1"/>
          <c:order val="1"/>
          <c:tx>
            <c:strRef>
              <c:f>Charts!$R$110</c:f>
              <c:strCache>
                <c:ptCount val="1"/>
                <c:pt idx="0">
                  <c:v>FCF Payout</c:v>
                </c:pt>
              </c:strCache>
            </c:strRef>
          </c:tx>
          <c:dLbls>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dLbls>
          <c:cat>
            <c:strRef>
              <c:f>Charts!$S$108:$Z$108</c:f>
              <c:strCache>
                <c:ptCount val="8"/>
                <c:pt idx="0">
                  <c:v>2011</c:v>
                </c:pt>
                <c:pt idx="1">
                  <c:v>2012</c:v>
                </c:pt>
                <c:pt idx="2">
                  <c:v>2013</c:v>
                </c:pt>
                <c:pt idx="3">
                  <c:v>2014</c:v>
                </c:pt>
                <c:pt idx="4">
                  <c:v>2015</c:v>
                </c:pt>
                <c:pt idx="5">
                  <c:v>2016</c:v>
                </c:pt>
                <c:pt idx="6">
                  <c:v>2017</c:v>
                </c:pt>
                <c:pt idx="7">
                  <c:v>2018E</c:v>
                </c:pt>
              </c:strCache>
            </c:strRef>
          </c:cat>
          <c:val>
            <c:numRef>
              <c:f>Charts!$S$110:$Z$110</c:f>
              <c:numCache>
                <c:formatCode>0%</c:formatCode>
                <c:ptCount val="8"/>
                <c:pt idx="0">
                  <c:v>0.3807138851085235</c:v>
                </c:pt>
                <c:pt idx="1">
                  <c:v>0.49151852354457864</c:v>
                </c:pt>
                <c:pt idx="2">
                  <c:v>0.43022486772486773</c:v>
                </c:pt>
                <c:pt idx="3">
                  <c:v>0.49179014817781336</c:v>
                </c:pt>
                <c:pt idx="4">
                  <c:v>0.44684819097351736</c:v>
                </c:pt>
                <c:pt idx="5">
                  <c:v>0.65783540022547915</c:v>
                </c:pt>
                <c:pt idx="6">
                  <c:v>0.91845764854614409</c:v>
                </c:pt>
                <c:pt idx="7">
                  <c:v>0.81259615026433729</c:v>
                </c:pt>
              </c:numCache>
            </c:numRef>
          </c:val>
          <c:smooth val="0"/>
        </c:ser>
        <c:dLbls>
          <c:showLegendKey val="0"/>
          <c:showVal val="0"/>
          <c:showCatName val="0"/>
          <c:showSerName val="0"/>
          <c:showPercent val="0"/>
          <c:showBubbleSize val="0"/>
        </c:dLbls>
        <c:marker val="1"/>
        <c:smooth val="0"/>
        <c:axId val="277735680"/>
        <c:axId val="277753856"/>
      </c:lineChart>
      <c:catAx>
        <c:axId val="277732352"/>
        <c:scaling>
          <c:orientation val="minMax"/>
        </c:scaling>
        <c:delete val="0"/>
        <c:axPos val="b"/>
        <c:numFmt formatCode="@"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734144"/>
        <c:crosses val="autoZero"/>
        <c:auto val="1"/>
        <c:lblAlgn val="ctr"/>
        <c:lblOffset val="100"/>
        <c:noMultiLvlLbl val="0"/>
      </c:catAx>
      <c:valAx>
        <c:axId val="277734144"/>
        <c:scaling>
          <c:orientation val="minMax"/>
          <c:min val="0"/>
        </c:scaling>
        <c:delete val="0"/>
        <c:axPos val="l"/>
        <c:majorGridlines>
          <c:spPr>
            <a:ln>
              <a:solidFill>
                <a:schemeClr val="bg1">
                  <a:lumMod val="85000"/>
                </a:schemeClr>
              </a:solidFill>
            </a:ln>
          </c:spPr>
        </c:majorGridlines>
        <c:numFmt formatCode="\$#0.0&quot;B&quot;"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732352"/>
        <c:crosses val="autoZero"/>
        <c:crossBetween val="between"/>
      </c:valAx>
      <c:catAx>
        <c:axId val="277735680"/>
        <c:scaling>
          <c:orientation val="minMax"/>
        </c:scaling>
        <c:delete val="1"/>
        <c:axPos val="b"/>
        <c:majorTickMark val="out"/>
        <c:minorTickMark val="none"/>
        <c:tickLblPos val="nextTo"/>
        <c:crossAx val="277753856"/>
        <c:crosses val="autoZero"/>
        <c:auto val="1"/>
        <c:lblAlgn val="ctr"/>
        <c:lblOffset val="100"/>
        <c:noMultiLvlLbl val="0"/>
      </c:catAx>
      <c:valAx>
        <c:axId val="277753856"/>
        <c:scaling>
          <c:orientation val="minMax"/>
        </c:scaling>
        <c:delete val="0"/>
        <c:axPos val="r"/>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735680"/>
        <c:crosses val="max"/>
        <c:crossBetween val="between"/>
      </c:valAx>
    </c:plotArea>
    <c:legend>
      <c:legendPos val="t"/>
      <c:overlay val="0"/>
      <c:txPr>
        <a:bodyPr/>
        <a:lstStyle/>
        <a:p>
          <a:pPr>
            <a:defRPr sz="715"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Charts!$C$83</c:f>
              <c:strCache>
                <c:ptCount val="1"/>
                <c:pt idx="0">
                  <c:v>Broadband Net Adds (k)</c:v>
                </c:pt>
              </c:strCache>
            </c:strRef>
          </c:tx>
          <c:invertIfNegative val="0"/>
          <c:dLbls>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Charts!$F$82:$Z$82</c:f>
              <c:strCache>
                <c:ptCount val="21"/>
                <c:pt idx="0">
                  <c:v>4Q11</c:v>
                </c:pt>
                <c:pt idx="1">
                  <c:v>1Q12</c:v>
                </c:pt>
                <c:pt idx="2">
                  <c:v>2Q12</c:v>
                </c:pt>
                <c:pt idx="3">
                  <c:v>3Q12</c:v>
                </c:pt>
                <c:pt idx="4">
                  <c:v>4Q12</c:v>
                </c:pt>
                <c:pt idx="5">
                  <c:v>1Q13</c:v>
                </c:pt>
                <c:pt idx="6">
                  <c:v>2Q13</c:v>
                </c:pt>
                <c:pt idx="7">
                  <c:v>3Q13</c:v>
                </c:pt>
                <c:pt idx="8">
                  <c:v>4Q13</c:v>
                </c:pt>
                <c:pt idx="9">
                  <c:v>1Q14</c:v>
                </c:pt>
                <c:pt idx="10">
                  <c:v>2Q14</c:v>
                </c:pt>
                <c:pt idx="11">
                  <c:v>3Q14</c:v>
                </c:pt>
                <c:pt idx="12">
                  <c:v>4Q14</c:v>
                </c:pt>
                <c:pt idx="13">
                  <c:v>1Q15</c:v>
                </c:pt>
                <c:pt idx="14">
                  <c:v>2Q15</c:v>
                </c:pt>
                <c:pt idx="15">
                  <c:v>3Q15</c:v>
                </c:pt>
                <c:pt idx="16">
                  <c:v>4Q15</c:v>
                </c:pt>
                <c:pt idx="17">
                  <c:v>1Q16</c:v>
                </c:pt>
                <c:pt idx="18">
                  <c:v>2Q16</c:v>
                </c:pt>
                <c:pt idx="19">
                  <c:v>3Q16</c:v>
                </c:pt>
                <c:pt idx="20">
                  <c:v>4Q16</c:v>
                </c:pt>
              </c:strCache>
            </c:strRef>
          </c:cat>
          <c:val>
            <c:numRef>
              <c:f>Charts!$F$83:$Z$83</c:f>
              <c:numCache>
                <c:formatCode>General</c:formatCode>
                <c:ptCount val="21"/>
                <c:pt idx="0">
                  <c:v>73</c:v>
                </c:pt>
                <c:pt idx="1">
                  <c:v>92</c:v>
                </c:pt>
                <c:pt idx="2">
                  <c:v>18</c:v>
                </c:pt>
                <c:pt idx="3">
                  <c:v>44</c:v>
                </c:pt>
                <c:pt idx="4">
                  <c:v>41</c:v>
                </c:pt>
                <c:pt idx="5">
                  <c:v>66</c:v>
                </c:pt>
                <c:pt idx="6">
                  <c:v>-8</c:v>
                </c:pt>
                <c:pt idx="7">
                  <c:v>33</c:v>
                </c:pt>
                <c:pt idx="8">
                  <c:v>49</c:v>
                </c:pt>
                <c:pt idx="9">
                  <c:v>66</c:v>
                </c:pt>
                <c:pt idx="10">
                  <c:v>-2</c:v>
                </c:pt>
                <c:pt idx="11">
                  <c:v>8</c:v>
                </c:pt>
                <c:pt idx="12">
                  <c:v>18.600000000000001</c:v>
                </c:pt>
                <c:pt idx="13">
                  <c:v>35.4</c:v>
                </c:pt>
                <c:pt idx="14">
                  <c:v>-9</c:v>
                </c:pt>
                <c:pt idx="15">
                  <c:v>-37</c:v>
                </c:pt>
                <c:pt idx="16">
                  <c:v>-23</c:v>
                </c:pt>
                <c:pt idx="17">
                  <c:v>8</c:v>
                </c:pt>
                <c:pt idx="18">
                  <c:v>-66</c:v>
                </c:pt>
                <c:pt idx="19">
                  <c:v>-40</c:v>
                </c:pt>
                <c:pt idx="20">
                  <c:v>-5</c:v>
                </c:pt>
              </c:numCache>
            </c:numRef>
          </c:val>
        </c:ser>
        <c:dLbls>
          <c:showLegendKey val="0"/>
          <c:showVal val="0"/>
          <c:showCatName val="0"/>
          <c:showSerName val="0"/>
          <c:showPercent val="0"/>
          <c:showBubbleSize val="0"/>
        </c:dLbls>
        <c:gapWidth val="150"/>
        <c:axId val="277774720"/>
        <c:axId val="277776256"/>
      </c:barChart>
      <c:catAx>
        <c:axId val="277774720"/>
        <c:scaling>
          <c:orientation val="minMax"/>
        </c:scaling>
        <c:delete val="0"/>
        <c:axPos val="b"/>
        <c:numFmt formatCode="General" sourceLinked="1"/>
        <c:majorTickMark val="out"/>
        <c:minorTickMark val="none"/>
        <c:tickLblPos val="low"/>
        <c:txPr>
          <a:bodyPr rot="-2700000" vert="horz"/>
          <a:lstStyle/>
          <a:p>
            <a:pPr>
              <a:defRPr sz="1000" b="0" i="0" u="none" strike="noStrike" baseline="0">
                <a:solidFill>
                  <a:srgbClr val="000000"/>
                </a:solidFill>
                <a:latin typeface="Calibri"/>
                <a:ea typeface="Calibri"/>
                <a:cs typeface="Calibri"/>
              </a:defRPr>
            </a:pPr>
            <a:endParaRPr lang="en-US"/>
          </a:p>
        </c:txPr>
        <c:crossAx val="277776256"/>
        <c:crosses val="autoZero"/>
        <c:auto val="1"/>
        <c:lblAlgn val="ctr"/>
        <c:lblOffset val="100"/>
        <c:noMultiLvlLbl val="0"/>
      </c:catAx>
      <c:valAx>
        <c:axId val="277776256"/>
        <c:scaling>
          <c:orientation val="minMax"/>
        </c:scaling>
        <c:delete val="0"/>
        <c:axPos val="l"/>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774720"/>
        <c:crosses val="autoZero"/>
        <c:crossBetween val="between"/>
      </c:valAx>
    </c:plotArea>
    <c:legend>
      <c:legendPos val="t"/>
      <c:overlay val="0"/>
      <c:txPr>
        <a:bodyPr/>
        <a:lstStyle/>
        <a:p>
          <a:pPr>
            <a:defRPr sz="71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Charts!$C$87</c:f>
              <c:strCache>
                <c:ptCount val="1"/>
                <c:pt idx="0">
                  <c:v>LTM Broadband Net Adds</c:v>
                </c:pt>
              </c:strCache>
            </c:strRef>
          </c:tx>
          <c:invertIfNegative val="0"/>
          <c:dLbls>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cat>
            <c:strRef>
              <c:f>Charts!$G$82:$X$82</c:f>
              <c:strCache>
                <c:ptCount val="18"/>
                <c:pt idx="0">
                  <c:v>1Q12</c:v>
                </c:pt>
                <c:pt idx="1">
                  <c:v>2Q12</c:v>
                </c:pt>
                <c:pt idx="2">
                  <c:v>3Q12</c:v>
                </c:pt>
                <c:pt idx="3">
                  <c:v>4Q12</c:v>
                </c:pt>
                <c:pt idx="4">
                  <c:v>1Q13</c:v>
                </c:pt>
                <c:pt idx="5">
                  <c:v>2Q13</c:v>
                </c:pt>
                <c:pt idx="6">
                  <c:v>3Q13</c:v>
                </c:pt>
                <c:pt idx="7">
                  <c:v>4Q13</c:v>
                </c:pt>
                <c:pt idx="8">
                  <c:v>1Q14</c:v>
                </c:pt>
                <c:pt idx="9">
                  <c:v>2Q14</c:v>
                </c:pt>
                <c:pt idx="10">
                  <c:v>3Q14</c:v>
                </c:pt>
                <c:pt idx="11">
                  <c:v>4Q14</c:v>
                </c:pt>
                <c:pt idx="12">
                  <c:v>1Q15</c:v>
                </c:pt>
                <c:pt idx="13">
                  <c:v>2Q15</c:v>
                </c:pt>
                <c:pt idx="14">
                  <c:v>3Q15</c:v>
                </c:pt>
                <c:pt idx="15">
                  <c:v>4Q15</c:v>
                </c:pt>
                <c:pt idx="16">
                  <c:v>1Q16</c:v>
                </c:pt>
                <c:pt idx="17">
                  <c:v>2Q16</c:v>
                </c:pt>
              </c:strCache>
            </c:strRef>
          </c:cat>
          <c:val>
            <c:numRef>
              <c:f>Charts!$G$87:$X$87</c:f>
              <c:numCache>
                <c:formatCode>0</c:formatCode>
                <c:ptCount val="18"/>
                <c:pt idx="0">
                  <c:v>239</c:v>
                </c:pt>
                <c:pt idx="1">
                  <c:v>243</c:v>
                </c:pt>
                <c:pt idx="2">
                  <c:v>227</c:v>
                </c:pt>
                <c:pt idx="3">
                  <c:v>195</c:v>
                </c:pt>
                <c:pt idx="4">
                  <c:v>169</c:v>
                </c:pt>
                <c:pt idx="5">
                  <c:v>143</c:v>
                </c:pt>
                <c:pt idx="6">
                  <c:v>132</c:v>
                </c:pt>
                <c:pt idx="7">
                  <c:v>140</c:v>
                </c:pt>
                <c:pt idx="8">
                  <c:v>140</c:v>
                </c:pt>
                <c:pt idx="9">
                  <c:v>146</c:v>
                </c:pt>
                <c:pt idx="10">
                  <c:v>121</c:v>
                </c:pt>
                <c:pt idx="11">
                  <c:v>90.6</c:v>
                </c:pt>
                <c:pt idx="12">
                  <c:v>60</c:v>
                </c:pt>
                <c:pt idx="13">
                  <c:v>53</c:v>
                </c:pt>
                <c:pt idx="14">
                  <c:v>8</c:v>
                </c:pt>
                <c:pt idx="15">
                  <c:v>-33.6</c:v>
                </c:pt>
                <c:pt idx="16">
                  <c:v>-61</c:v>
                </c:pt>
                <c:pt idx="17">
                  <c:v>-118</c:v>
                </c:pt>
              </c:numCache>
            </c:numRef>
          </c:val>
        </c:ser>
        <c:dLbls>
          <c:showLegendKey val="0"/>
          <c:showVal val="0"/>
          <c:showCatName val="0"/>
          <c:showSerName val="0"/>
          <c:showPercent val="0"/>
          <c:showBubbleSize val="0"/>
        </c:dLbls>
        <c:gapWidth val="150"/>
        <c:axId val="277800448"/>
        <c:axId val="277801984"/>
      </c:barChart>
      <c:catAx>
        <c:axId val="277800448"/>
        <c:scaling>
          <c:orientation val="minMax"/>
        </c:scaling>
        <c:delete val="0"/>
        <c:axPos val="b"/>
        <c:numFmt formatCode="General" sourceLinked="1"/>
        <c:majorTickMark val="out"/>
        <c:minorTickMark val="none"/>
        <c:tickLblPos val="low"/>
        <c:txPr>
          <a:bodyPr rot="2700000" vert="horz"/>
          <a:lstStyle/>
          <a:p>
            <a:pPr>
              <a:defRPr sz="1000" b="0" i="0" u="none" strike="noStrike" baseline="0">
                <a:solidFill>
                  <a:srgbClr val="000000"/>
                </a:solidFill>
                <a:latin typeface="Calibri"/>
                <a:ea typeface="Calibri"/>
                <a:cs typeface="Calibri"/>
              </a:defRPr>
            </a:pPr>
            <a:endParaRPr lang="en-US"/>
          </a:p>
        </c:txPr>
        <c:crossAx val="277801984"/>
        <c:crosses val="autoZero"/>
        <c:auto val="1"/>
        <c:lblAlgn val="ctr"/>
        <c:lblOffset val="100"/>
        <c:noMultiLvlLbl val="0"/>
      </c:catAx>
      <c:valAx>
        <c:axId val="277801984"/>
        <c:scaling>
          <c:orientation val="minMax"/>
        </c:scaling>
        <c:delete val="0"/>
        <c:axPos val="l"/>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800448"/>
        <c:crosses val="autoZero"/>
        <c:crossBetween val="between"/>
      </c:valAx>
    </c:plotArea>
    <c:legend>
      <c:legendPos val="t"/>
      <c:overlay val="0"/>
      <c:txPr>
        <a:bodyPr/>
        <a:lstStyle/>
        <a:p>
          <a:pPr>
            <a:defRPr sz="59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High -Bandwidth Data Services</c:v>
          </c:tx>
          <c:invertIfNegative val="0"/>
          <c:cat>
            <c:strRef>
              <c:f>Charts!$M$158:$AB$158</c:f>
              <c:strCache>
                <c:ptCount val="16"/>
                <c:pt idx="0">
                  <c:v>1Q14</c:v>
                </c:pt>
                <c:pt idx="1">
                  <c:v>2Q14</c:v>
                </c:pt>
                <c:pt idx="2">
                  <c:v>3Q14</c:v>
                </c:pt>
                <c:pt idx="3">
                  <c:v>4Q14</c:v>
                </c:pt>
                <c:pt idx="4">
                  <c:v>1Q15</c:v>
                </c:pt>
                <c:pt idx="5">
                  <c:v>2Q15</c:v>
                </c:pt>
                <c:pt idx="6">
                  <c:v>3Q15</c:v>
                </c:pt>
                <c:pt idx="7">
                  <c:v>4Q15</c:v>
                </c:pt>
                <c:pt idx="8">
                  <c:v>1Q16</c:v>
                </c:pt>
                <c:pt idx="9">
                  <c:v>2Q16</c:v>
                </c:pt>
                <c:pt idx="10">
                  <c:v>3Q16</c:v>
                </c:pt>
                <c:pt idx="11">
                  <c:v>4Q16</c:v>
                </c:pt>
                <c:pt idx="12">
                  <c:v>1Q17</c:v>
                </c:pt>
                <c:pt idx="13">
                  <c:v>2Q17</c:v>
                </c:pt>
                <c:pt idx="14">
                  <c:v>3Q17</c:v>
                </c:pt>
                <c:pt idx="15">
                  <c:v>4Q17</c:v>
                </c:pt>
              </c:strCache>
            </c:strRef>
          </c:cat>
          <c:val>
            <c:numRef>
              <c:f>Charts!$M$159:$AB$159</c:f>
              <c:numCache>
                <c:formatCode>"$"#,##0_);[Red]\("$"#,##0\)</c:formatCode>
                <c:ptCount val="16"/>
                <c:pt idx="0">
                  <c:v>617</c:v>
                </c:pt>
                <c:pt idx="1">
                  <c:v>632</c:v>
                </c:pt>
                <c:pt idx="2">
                  <c:v>655</c:v>
                </c:pt>
                <c:pt idx="3">
                  <c:v>675</c:v>
                </c:pt>
                <c:pt idx="4">
                  <c:v>687</c:v>
                </c:pt>
                <c:pt idx="5">
                  <c:v>697</c:v>
                </c:pt>
                <c:pt idx="6">
                  <c:v>699</c:v>
                </c:pt>
                <c:pt idx="7">
                  <c:v>733</c:v>
                </c:pt>
                <c:pt idx="8">
                  <c:v>738</c:v>
                </c:pt>
                <c:pt idx="9">
                  <c:v>753</c:v>
                </c:pt>
                <c:pt idx="10">
                  <c:v>744</c:v>
                </c:pt>
                <c:pt idx="11">
                  <c:v>755</c:v>
                </c:pt>
                <c:pt idx="12">
                  <c:v>769</c:v>
                </c:pt>
                <c:pt idx="13">
                  <c:v>760</c:v>
                </c:pt>
                <c:pt idx="14">
                  <c:v>767</c:v>
                </c:pt>
                <c:pt idx="15">
                  <c:v>773</c:v>
                </c:pt>
              </c:numCache>
            </c:numRef>
          </c:val>
        </c:ser>
        <c:dLbls>
          <c:showLegendKey val="0"/>
          <c:showVal val="0"/>
          <c:showCatName val="0"/>
          <c:showSerName val="0"/>
          <c:showPercent val="0"/>
          <c:showBubbleSize val="0"/>
        </c:dLbls>
        <c:gapWidth val="150"/>
        <c:axId val="277906176"/>
        <c:axId val="277907712"/>
      </c:barChart>
      <c:lineChart>
        <c:grouping val="standard"/>
        <c:varyColors val="0"/>
        <c:ser>
          <c:idx val="1"/>
          <c:order val="1"/>
          <c:tx>
            <c:v>Y/Y Growth</c:v>
          </c:tx>
          <c:marker>
            <c:symbol val="none"/>
          </c:marker>
          <c:cat>
            <c:strRef>
              <c:f>Charts!$M$158:$AB$158</c:f>
              <c:strCache>
                <c:ptCount val="16"/>
                <c:pt idx="0">
                  <c:v>1Q14</c:v>
                </c:pt>
                <c:pt idx="1">
                  <c:v>2Q14</c:v>
                </c:pt>
                <c:pt idx="2">
                  <c:v>3Q14</c:v>
                </c:pt>
                <c:pt idx="3">
                  <c:v>4Q14</c:v>
                </c:pt>
                <c:pt idx="4">
                  <c:v>1Q15</c:v>
                </c:pt>
                <c:pt idx="5">
                  <c:v>2Q15</c:v>
                </c:pt>
                <c:pt idx="6">
                  <c:v>3Q15</c:v>
                </c:pt>
                <c:pt idx="7">
                  <c:v>4Q15</c:v>
                </c:pt>
                <c:pt idx="8">
                  <c:v>1Q16</c:v>
                </c:pt>
                <c:pt idx="9">
                  <c:v>2Q16</c:v>
                </c:pt>
                <c:pt idx="10">
                  <c:v>3Q16</c:v>
                </c:pt>
                <c:pt idx="11">
                  <c:v>4Q16</c:v>
                </c:pt>
                <c:pt idx="12">
                  <c:v>1Q17</c:v>
                </c:pt>
                <c:pt idx="13">
                  <c:v>2Q17</c:v>
                </c:pt>
                <c:pt idx="14">
                  <c:v>3Q17</c:v>
                </c:pt>
                <c:pt idx="15">
                  <c:v>4Q17</c:v>
                </c:pt>
              </c:strCache>
            </c:strRef>
          </c:cat>
          <c:val>
            <c:numRef>
              <c:f>Charts!$M$160:$AB$160</c:f>
              <c:numCache>
                <c:formatCode>0%</c:formatCode>
                <c:ptCount val="16"/>
                <c:pt idx="2">
                  <c:v>0.16755793226381455</c:v>
                </c:pt>
                <c:pt idx="3">
                  <c:v>0.125</c:v>
                </c:pt>
                <c:pt idx="4">
                  <c:v>0.11345218800648293</c:v>
                </c:pt>
                <c:pt idx="5">
                  <c:v>0.10284810126582289</c:v>
                </c:pt>
                <c:pt idx="6">
                  <c:v>6.7175572519083904E-2</c:v>
                </c:pt>
                <c:pt idx="7">
                  <c:v>8.5925925925925961E-2</c:v>
                </c:pt>
                <c:pt idx="8">
                  <c:v>7.4235807860262071E-2</c:v>
                </c:pt>
                <c:pt idx="9">
                  <c:v>8.0344332855093237E-2</c:v>
                </c:pt>
                <c:pt idx="10">
                  <c:v>6.4377682403433445E-2</c:v>
                </c:pt>
                <c:pt idx="11">
                  <c:v>3.0013642564802101E-2</c:v>
                </c:pt>
                <c:pt idx="12">
                  <c:v>4.2005420054200604E-2</c:v>
                </c:pt>
                <c:pt idx="13">
                  <c:v>9.2961487383798058E-3</c:v>
                </c:pt>
                <c:pt idx="14">
                  <c:v>3.0913978494623739E-2</c:v>
                </c:pt>
                <c:pt idx="15">
                  <c:v>2.384105960264904E-2</c:v>
                </c:pt>
              </c:numCache>
            </c:numRef>
          </c:val>
          <c:smooth val="0"/>
        </c:ser>
        <c:dLbls>
          <c:showLegendKey val="0"/>
          <c:showVal val="0"/>
          <c:showCatName val="0"/>
          <c:showSerName val="0"/>
          <c:showPercent val="0"/>
          <c:showBubbleSize val="0"/>
        </c:dLbls>
        <c:marker val="1"/>
        <c:smooth val="0"/>
        <c:axId val="277909504"/>
        <c:axId val="277911040"/>
      </c:lineChart>
      <c:catAx>
        <c:axId val="277906176"/>
        <c:scaling>
          <c:orientation val="minMax"/>
        </c:scaling>
        <c:delete val="0"/>
        <c:axPos val="b"/>
        <c:numFmt formatCode="General" sourceLinked="1"/>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277907712"/>
        <c:crosses val="autoZero"/>
        <c:auto val="1"/>
        <c:lblAlgn val="ctr"/>
        <c:lblOffset val="100"/>
        <c:noMultiLvlLbl val="0"/>
      </c:catAx>
      <c:valAx>
        <c:axId val="277907712"/>
        <c:scaling>
          <c:orientation val="minMax"/>
          <c:max val="850"/>
          <c:min val="550"/>
        </c:scaling>
        <c:delete val="0"/>
        <c:axPos val="l"/>
        <c:numFmt formatCode="&quot;$&quot;#,##0_);[Red]\(&quot;$&quot;#,##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906176"/>
        <c:crosses val="autoZero"/>
        <c:crossBetween val="between"/>
      </c:valAx>
      <c:catAx>
        <c:axId val="277909504"/>
        <c:scaling>
          <c:orientation val="minMax"/>
        </c:scaling>
        <c:delete val="1"/>
        <c:axPos val="b"/>
        <c:majorTickMark val="out"/>
        <c:minorTickMark val="none"/>
        <c:tickLblPos val="nextTo"/>
        <c:crossAx val="277911040"/>
        <c:crosses val="autoZero"/>
        <c:auto val="1"/>
        <c:lblAlgn val="ctr"/>
        <c:lblOffset val="100"/>
        <c:noMultiLvlLbl val="0"/>
      </c:catAx>
      <c:valAx>
        <c:axId val="277911040"/>
        <c:scaling>
          <c:orientation val="minMax"/>
        </c:scaling>
        <c:delete val="0"/>
        <c:axPos val="r"/>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909504"/>
        <c:crosses val="max"/>
        <c:crossBetween val="between"/>
      </c:valAx>
    </c:plotArea>
    <c:legend>
      <c:legendPos val="t"/>
      <c:layout>
        <c:manualLayout>
          <c:xMode val="edge"/>
          <c:yMode val="edge"/>
          <c:x val="0.10765836427551104"/>
          <c:y val="2.2231733436264507E-2"/>
          <c:w val="0.74861241707209392"/>
          <c:h val="7.5971551550342478E-2"/>
        </c:manualLayout>
      </c:layout>
      <c:overlay val="0"/>
      <c:txPr>
        <a:bodyPr/>
        <a:lstStyle/>
        <a:p>
          <a:pPr>
            <a:defRPr sz="120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16907261592301"/>
          <c:y val="0.13188518032686214"/>
          <c:w val="0.82900162552299295"/>
          <c:h val="0.77528325950135413"/>
        </c:manualLayout>
      </c:layout>
      <c:barChart>
        <c:barDir val="col"/>
        <c:grouping val="clustered"/>
        <c:varyColors val="0"/>
        <c:ser>
          <c:idx val="0"/>
          <c:order val="0"/>
          <c:tx>
            <c:v>LTM Broadband Net Adds</c:v>
          </c:tx>
          <c:invertIfNegative val="0"/>
          <c:cat>
            <c:strRef>
              <c:f>Charts!$H$57:$AD$57</c:f>
              <c:strCache>
                <c:ptCount val="23"/>
                <c:pt idx="0">
                  <c:v>2Q12</c:v>
                </c:pt>
                <c:pt idx="1">
                  <c:v>3Q12</c:v>
                </c:pt>
                <c:pt idx="2">
                  <c:v>4Q12</c:v>
                </c:pt>
                <c:pt idx="3">
                  <c:v>1Q13</c:v>
                </c:pt>
                <c:pt idx="4">
                  <c:v>2Q13</c:v>
                </c:pt>
                <c:pt idx="5">
                  <c:v>3Q13</c:v>
                </c:pt>
                <c:pt idx="6">
                  <c:v>4Q13</c:v>
                </c:pt>
                <c:pt idx="7">
                  <c:v>1Q14</c:v>
                </c:pt>
                <c:pt idx="8">
                  <c:v>2Q14</c:v>
                </c:pt>
                <c:pt idx="9">
                  <c:v>3Q14</c:v>
                </c:pt>
                <c:pt idx="10">
                  <c:v>4Q14</c:v>
                </c:pt>
                <c:pt idx="11">
                  <c:v>1Q15</c:v>
                </c:pt>
                <c:pt idx="12">
                  <c:v>2Q15</c:v>
                </c:pt>
                <c:pt idx="13">
                  <c:v>3Q15</c:v>
                </c:pt>
                <c:pt idx="14">
                  <c:v>4Q15</c:v>
                </c:pt>
                <c:pt idx="15">
                  <c:v>1Q16</c:v>
                </c:pt>
                <c:pt idx="16">
                  <c:v>2Q16</c:v>
                </c:pt>
                <c:pt idx="17">
                  <c:v>3Q16</c:v>
                </c:pt>
                <c:pt idx="18">
                  <c:v>4Q16</c:v>
                </c:pt>
                <c:pt idx="19">
                  <c:v>1Q17</c:v>
                </c:pt>
                <c:pt idx="20">
                  <c:v>2Q17</c:v>
                </c:pt>
                <c:pt idx="21">
                  <c:v>3Q17</c:v>
                </c:pt>
                <c:pt idx="22">
                  <c:v>4Q17</c:v>
                </c:pt>
              </c:strCache>
            </c:strRef>
          </c:cat>
          <c:val>
            <c:numRef>
              <c:f>Charts!$H$60:$AD$60</c:f>
              <c:numCache>
                <c:formatCode>General</c:formatCode>
                <c:ptCount val="23"/>
                <c:pt idx="0">
                  <c:v>243</c:v>
                </c:pt>
                <c:pt idx="1">
                  <c:v>227</c:v>
                </c:pt>
                <c:pt idx="2">
                  <c:v>195</c:v>
                </c:pt>
                <c:pt idx="3">
                  <c:v>169</c:v>
                </c:pt>
                <c:pt idx="4">
                  <c:v>143</c:v>
                </c:pt>
                <c:pt idx="5">
                  <c:v>132</c:v>
                </c:pt>
                <c:pt idx="6">
                  <c:v>140</c:v>
                </c:pt>
                <c:pt idx="7">
                  <c:v>140</c:v>
                </c:pt>
                <c:pt idx="8">
                  <c:v>146</c:v>
                </c:pt>
                <c:pt idx="9">
                  <c:v>121</c:v>
                </c:pt>
                <c:pt idx="10">
                  <c:v>90.6</c:v>
                </c:pt>
                <c:pt idx="11">
                  <c:v>60</c:v>
                </c:pt>
                <c:pt idx="12">
                  <c:v>53</c:v>
                </c:pt>
                <c:pt idx="13">
                  <c:v>8</c:v>
                </c:pt>
                <c:pt idx="14">
                  <c:v>-33.6</c:v>
                </c:pt>
                <c:pt idx="15">
                  <c:v>-61</c:v>
                </c:pt>
                <c:pt idx="16">
                  <c:v>-118</c:v>
                </c:pt>
                <c:pt idx="17">
                  <c:v>-121</c:v>
                </c:pt>
                <c:pt idx="18">
                  <c:v>-103</c:v>
                </c:pt>
                <c:pt idx="19">
                  <c:v>-111</c:v>
                </c:pt>
                <c:pt idx="20">
                  <c:v>-122</c:v>
                </c:pt>
                <c:pt idx="21">
                  <c:v>-183</c:v>
                </c:pt>
                <c:pt idx="22">
                  <c:v>-283</c:v>
                </c:pt>
              </c:numCache>
            </c:numRef>
          </c:val>
        </c:ser>
        <c:dLbls>
          <c:showLegendKey val="0"/>
          <c:showVal val="0"/>
          <c:showCatName val="0"/>
          <c:showSerName val="0"/>
          <c:showPercent val="0"/>
          <c:showBubbleSize val="0"/>
        </c:dLbls>
        <c:gapWidth val="150"/>
        <c:axId val="277927424"/>
        <c:axId val="277928960"/>
      </c:barChart>
      <c:catAx>
        <c:axId val="277927424"/>
        <c:scaling>
          <c:orientation val="minMax"/>
        </c:scaling>
        <c:delete val="0"/>
        <c:axPos val="b"/>
        <c:numFmt formatCode="General" sourceLinked="1"/>
        <c:majorTickMark val="out"/>
        <c:minorTickMark val="none"/>
        <c:tickLblPos val="low"/>
        <c:txPr>
          <a:bodyPr rot="-2700000" vert="horz"/>
          <a:lstStyle/>
          <a:p>
            <a:pPr>
              <a:defRPr sz="1000" b="0" i="0" u="none" strike="noStrike" baseline="0">
                <a:solidFill>
                  <a:srgbClr val="000000"/>
                </a:solidFill>
                <a:latin typeface="Calibri"/>
                <a:ea typeface="Calibri"/>
                <a:cs typeface="Calibri"/>
              </a:defRPr>
            </a:pPr>
            <a:endParaRPr lang="en-US"/>
          </a:p>
        </c:txPr>
        <c:crossAx val="277928960"/>
        <c:crosses val="autoZero"/>
        <c:auto val="1"/>
        <c:lblAlgn val="ctr"/>
        <c:lblOffset val="100"/>
        <c:noMultiLvlLbl val="0"/>
      </c:catAx>
      <c:valAx>
        <c:axId val="277928960"/>
        <c:scaling>
          <c:orientation val="minMax"/>
        </c:scaling>
        <c:delete val="0"/>
        <c:axPos val="l"/>
        <c:majorGridlines>
          <c:spPr>
            <a:ln>
              <a:solidFill>
                <a:schemeClr val="bg1">
                  <a:lumMod val="85000"/>
                </a:schemeClr>
              </a:solidFill>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77927424"/>
        <c:crosses val="autoZero"/>
        <c:crossBetween val="between"/>
      </c:valAx>
    </c:plotArea>
    <c:legend>
      <c:legendPos val="t"/>
      <c:overlay val="0"/>
      <c:txPr>
        <a:bodyPr/>
        <a:lstStyle/>
        <a:p>
          <a:pPr>
            <a:defRPr sz="1010" b="0" i="0" u="none" strike="noStrike" baseline="0">
              <a:solidFill>
                <a:srgbClr val="000000"/>
              </a:solidFill>
              <a:latin typeface="Calibri"/>
              <a:ea typeface="Calibri"/>
              <a:cs typeface="Calibri"/>
            </a:defRPr>
          </a:pPr>
          <a:endParaRPr lang="en-US"/>
        </a:p>
      </c:txPr>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Charts!$S$163:$X$163</c:f>
              <c:strCache>
                <c:ptCount val="6"/>
                <c:pt idx="0">
                  <c:v>2015</c:v>
                </c:pt>
                <c:pt idx="1">
                  <c:v>2016</c:v>
                </c:pt>
                <c:pt idx="2">
                  <c:v>2017</c:v>
                </c:pt>
                <c:pt idx="3">
                  <c:v>2018E</c:v>
                </c:pt>
                <c:pt idx="4">
                  <c:v>2019E</c:v>
                </c:pt>
                <c:pt idx="5">
                  <c:v>2020E</c:v>
                </c:pt>
              </c:strCache>
            </c:strRef>
          </c:cat>
          <c:val>
            <c:numRef>
              <c:f>Charts!$S$164:$X$164</c:f>
              <c:numCache>
                <c:formatCode>#,##0_);\(#,##0\)</c:formatCode>
                <c:ptCount val="6"/>
                <c:pt idx="0">
                  <c:v>2816</c:v>
                </c:pt>
                <c:pt idx="1">
                  <c:v>2990</c:v>
                </c:pt>
                <c:pt idx="2">
                  <c:v>3069</c:v>
                </c:pt>
                <c:pt idx="3">
                  <c:v>3176.4149999999995</c:v>
                </c:pt>
                <c:pt idx="4">
                  <c:v>3287.5895249999994</c:v>
                </c:pt>
                <c:pt idx="5">
                  <c:v>3402.6551583749992</c:v>
                </c:pt>
              </c:numCache>
            </c:numRef>
          </c:val>
        </c:ser>
        <c:dLbls>
          <c:showLegendKey val="0"/>
          <c:showVal val="0"/>
          <c:showCatName val="0"/>
          <c:showSerName val="0"/>
          <c:showPercent val="0"/>
          <c:showBubbleSize val="0"/>
        </c:dLbls>
        <c:gapWidth val="150"/>
        <c:axId val="277975424"/>
        <c:axId val="277976960"/>
      </c:barChart>
      <c:lineChart>
        <c:grouping val="standard"/>
        <c:varyColors val="0"/>
        <c:ser>
          <c:idx val="1"/>
          <c:order val="1"/>
          <c:marker>
            <c:symbol val="none"/>
          </c:marker>
          <c:cat>
            <c:strRef>
              <c:f>Charts!$S$163:$X$163</c:f>
              <c:strCache>
                <c:ptCount val="6"/>
                <c:pt idx="0">
                  <c:v>2015</c:v>
                </c:pt>
                <c:pt idx="1">
                  <c:v>2016</c:v>
                </c:pt>
                <c:pt idx="2">
                  <c:v>2017</c:v>
                </c:pt>
                <c:pt idx="3">
                  <c:v>2018E</c:v>
                </c:pt>
                <c:pt idx="4">
                  <c:v>2019E</c:v>
                </c:pt>
                <c:pt idx="5">
                  <c:v>2020E</c:v>
                </c:pt>
              </c:strCache>
            </c:strRef>
          </c:cat>
          <c:val>
            <c:numRef>
              <c:f>Charts!$S$165:$X$165</c:f>
              <c:numCache>
                <c:formatCode>0.0%</c:formatCode>
                <c:ptCount val="6"/>
                <c:pt idx="0">
                  <c:v>9.1896083753392865E-2</c:v>
                </c:pt>
                <c:pt idx="1">
                  <c:v>6.1789772727272707E-2</c:v>
                </c:pt>
                <c:pt idx="2">
                  <c:v>2.6421404682274163E-2</c:v>
                </c:pt>
                <c:pt idx="3">
                  <c:v>3.499999999999992E-2</c:v>
                </c:pt>
                <c:pt idx="4">
                  <c:v>3.499999999999992E-2</c:v>
                </c:pt>
                <c:pt idx="5">
                  <c:v>3.499999999999992E-2</c:v>
                </c:pt>
              </c:numCache>
            </c:numRef>
          </c:val>
          <c:smooth val="0"/>
        </c:ser>
        <c:dLbls>
          <c:showLegendKey val="0"/>
          <c:showVal val="0"/>
          <c:showCatName val="0"/>
          <c:showSerName val="0"/>
          <c:showPercent val="0"/>
          <c:showBubbleSize val="0"/>
        </c:dLbls>
        <c:marker val="1"/>
        <c:smooth val="0"/>
        <c:axId val="277980288"/>
        <c:axId val="277978496"/>
      </c:lineChart>
      <c:catAx>
        <c:axId val="277975424"/>
        <c:scaling>
          <c:orientation val="minMax"/>
        </c:scaling>
        <c:delete val="0"/>
        <c:axPos val="b"/>
        <c:majorTickMark val="out"/>
        <c:minorTickMark val="none"/>
        <c:tickLblPos val="nextTo"/>
        <c:crossAx val="277976960"/>
        <c:crosses val="autoZero"/>
        <c:auto val="1"/>
        <c:lblAlgn val="ctr"/>
        <c:lblOffset val="100"/>
        <c:noMultiLvlLbl val="0"/>
      </c:catAx>
      <c:valAx>
        <c:axId val="277976960"/>
        <c:scaling>
          <c:orientation val="minMax"/>
        </c:scaling>
        <c:delete val="0"/>
        <c:axPos val="l"/>
        <c:majorGridlines/>
        <c:numFmt formatCode="#,##0_);\(#,##0\)" sourceLinked="1"/>
        <c:majorTickMark val="out"/>
        <c:minorTickMark val="none"/>
        <c:tickLblPos val="nextTo"/>
        <c:crossAx val="277975424"/>
        <c:crosses val="autoZero"/>
        <c:crossBetween val="between"/>
      </c:valAx>
      <c:valAx>
        <c:axId val="277978496"/>
        <c:scaling>
          <c:orientation val="minMax"/>
        </c:scaling>
        <c:delete val="0"/>
        <c:axPos val="r"/>
        <c:numFmt formatCode="0.0%" sourceLinked="1"/>
        <c:majorTickMark val="out"/>
        <c:minorTickMark val="none"/>
        <c:tickLblPos val="nextTo"/>
        <c:crossAx val="277980288"/>
        <c:crosses val="max"/>
        <c:crossBetween val="between"/>
      </c:valAx>
      <c:catAx>
        <c:axId val="277980288"/>
        <c:scaling>
          <c:orientation val="minMax"/>
        </c:scaling>
        <c:delete val="1"/>
        <c:axPos val="b"/>
        <c:majorTickMark val="out"/>
        <c:minorTickMark val="none"/>
        <c:tickLblPos val="nextTo"/>
        <c:crossAx val="277978496"/>
        <c:crosses val="autoZero"/>
        <c:auto val="1"/>
        <c:lblAlgn val="ctr"/>
        <c:lblOffset val="100"/>
        <c:noMultiLvlLbl val="0"/>
      </c:catAx>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10028354801684E-2"/>
          <c:y val="7.9963336441723473E-2"/>
          <c:w val="0.92752872631903593"/>
          <c:h val="0.70137879305651285"/>
        </c:manualLayout>
      </c:layout>
      <c:barChart>
        <c:barDir val="col"/>
        <c:grouping val="stacked"/>
        <c:varyColors val="0"/>
        <c:ser>
          <c:idx val="2"/>
          <c:order val="0"/>
          <c:invertIfNegative val="0"/>
          <c:dLbls>
            <c:showLegendKey val="0"/>
            <c:showVal val="1"/>
            <c:showCatName val="0"/>
            <c:showSerName val="0"/>
            <c:showPercent val="0"/>
            <c:showBubbleSize val="0"/>
            <c:showLeaderLines val="0"/>
          </c:dLbls>
          <c:cat>
            <c:strRef>
              <c:f>Sheet2!$C$25:$I$25</c:f>
              <c:strCache>
                <c:ptCount val="7"/>
                <c:pt idx="0">
                  <c:v>Reported 1Q17 EBITDA</c:v>
                </c:pt>
                <c:pt idx="1">
                  <c:v>1x 1q17 Expense Tailwind</c:v>
                </c:pt>
                <c:pt idx="2">
                  <c:v>Leasing Expense</c:v>
                </c:pt>
                <c:pt idx="3">
                  <c:v>Data Center Sale</c:v>
                </c:pt>
                <c:pt idx="4">
                  <c:v>Pro forma 1Q17 EBITDA</c:v>
                </c:pt>
                <c:pt idx="5">
                  <c:v>Organic Decline</c:v>
                </c:pt>
                <c:pt idx="6">
                  <c:v>Midpt 2Q17 Guidance</c:v>
                </c:pt>
              </c:strCache>
            </c:strRef>
          </c:cat>
          <c:val>
            <c:numRef>
              <c:f>Sheet2!$C$28:$I$28</c:f>
              <c:numCache>
                <c:formatCode>General</c:formatCode>
                <c:ptCount val="7"/>
                <c:pt idx="0">
                  <c:v>1523</c:v>
                </c:pt>
                <c:pt idx="4">
                  <c:v>1448</c:v>
                </c:pt>
                <c:pt idx="6">
                  <c:v>1430</c:v>
                </c:pt>
              </c:numCache>
            </c:numRef>
          </c:val>
        </c:ser>
        <c:ser>
          <c:idx val="0"/>
          <c:order val="1"/>
          <c:spPr>
            <a:noFill/>
            <a:ln w="25400">
              <a:noFill/>
            </a:ln>
          </c:spPr>
          <c:invertIfNegative val="0"/>
          <c:dPt>
            <c:idx val="0"/>
            <c:invertIfNegative val="0"/>
            <c:bubble3D val="0"/>
            <c:spPr>
              <a:solidFill>
                <a:srgbClr val="137CB1"/>
              </a:solidFill>
              <a:ln w="25400">
                <a:noFill/>
              </a:ln>
            </c:spPr>
          </c:dPt>
          <c:dPt>
            <c:idx val="10"/>
            <c:invertIfNegative val="0"/>
            <c:bubble3D val="0"/>
            <c:spPr>
              <a:solidFill>
                <a:srgbClr val="137CB1"/>
              </a:solidFill>
              <a:ln w="25400">
                <a:noFill/>
              </a:ln>
            </c:spPr>
          </c:dPt>
          <c:cat>
            <c:strRef>
              <c:f>Sheet2!$C$25:$I$25</c:f>
              <c:strCache>
                <c:ptCount val="7"/>
                <c:pt idx="0">
                  <c:v>Reported 1Q17 EBITDA</c:v>
                </c:pt>
                <c:pt idx="1">
                  <c:v>1x 1q17 Expense Tailwind</c:v>
                </c:pt>
                <c:pt idx="2">
                  <c:v>Leasing Expense</c:v>
                </c:pt>
                <c:pt idx="3">
                  <c:v>Data Center Sale</c:v>
                </c:pt>
                <c:pt idx="4">
                  <c:v>Pro forma 1Q17 EBITDA</c:v>
                </c:pt>
                <c:pt idx="5">
                  <c:v>Organic Decline</c:v>
                </c:pt>
                <c:pt idx="6">
                  <c:v>Midpt 2Q17 Guidance</c:v>
                </c:pt>
              </c:strCache>
            </c:strRef>
          </c:cat>
          <c:val>
            <c:numRef>
              <c:f>Sheet2!$C$26:$I$26</c:f>
              <c:numCache>
                <c:formatCode>General</c:formatCode>
                <c:ptCount val="7"/>
                <c:pt idx="1">
                  <c:v>1508</c:v>
                </c:pt>
                <c:pt idx="2">
                  <c:v>1493</c:v>
                </c:pt>
                <c:pt idx="3">
                  <c:v>1448</c:v>
                </c:pt>
                <c:pt idx="4">
                  <c:v>1493</c:v>
                </c:pt>
                <c:pt idx="5">
                  <c:v>1430</c:v>
                </c:pt>
              </c:numCache>
            </c:numRef>
          </c:val>
        </c:ser>
        <c:ser>
          <c:idx val="1"/>
          <c:order val="2"/>
          <c:spPr>
            <a:ln w="25400">
              <a:noFill/>
            </a:ln>
          </c:spPr>
          <c:invertIfNegative val="0"/>
          <c:dPt>
            <c:idx val="1"/>
            <c:invertIfNegative val="0"/>
            <c:bubble3D val="0"/>
          </c:dPt>
          <c:dLbls>
            <c:dLbl>
              <c:idx val="0"/>
              <c:delete val="1"/>
            </c:dLbl>
            <c:showLegendKey val="0"/>
            <c:showVal val="1"/>
            <c:showCatName val="0"/>
            <c:showSerName val="0"/>
            <c:showPercent val="0"/>
            <c:showBubbleSize val="0"/>
            <c:showLeaderLines val="0"/>
          </c:dLbls>
          <c:cat>
            <c:strRef>
              <c:f>Sheet2!$C$25:$I$25</c:f>
              <c:strCache>
                <c:ptCount val="7"/>
                <c:pt idx="0">
                  <c:v>Reported 1Q17 EBITDA</c:v>
                </c:pt>
                <c:pt idx="1">
                  <c:v>1x 1q17 Expense Tailwind</c:v>
                </c:pt>
                <c:pt idx="2">
                  <c:v>Leasing Expense</c:v>
                </c:pt>
                <c:pt idx="3">
                  <c:v>Data Center Sale</c:v>
                </c:pt>
                <c:pt idx="4">
                  <c:v>Pro forma 1Q17 EBITDA</c:v>
                </c:pt>
                <c:pt idx="5">
                  <c:v>Organic Decline</c:v>
                </c:pt>
                <c:pt idx="6">
                  <c:v>Midpt 2Q17 Guidance</c:v>
                </c:pt>
              </c:strCache>
            </c:strRef>
          </c:cat>
          <c:val>
            <c:numRef>
              <c:f>Sheet2!$C$27:$I$27</c:f>
              <c:numCache>
                <c:formatCode>General</c:formatCode>
                <c:ptCount val="7"/>
                <c:pt idx="1">
                  <c:v>15</c:v>
                </c:pt>
                <c:pt idx="2">
                  <c:v>15</c:v>
                </c:pt>
                <c:pt idx="3">
                  <c:v>45</c:v>
                </c:pt>
                <c:pt idx="5">
                  <c:v>18</c:v>
                </c:pt>
              </c:numCache>
            </c:numRef>
          </c:val>
        </c:ser>
        <c:dLbls>
          <c:showLegendKey val="0"/>
          <c:showVal val="0"/>
          <c:showCatName val="0"/>
          <c:showSerName val="0"/>
          <c:showPercent val="0"/>
          <c:showBubbleSize val="0"/>
        </c:dLbls>
        <c:gapWidth val="50"/>
        <c:overlap val="100"/>
        <c:axId val="209564800"/>
        <c:axId val="209566336"/>
      </c:barChart>
      <c:catAx>
        <c:axId val="209564800"/>
        <c:scaling>
          <c:orientation val="minMax"/>
        </c:scaling>
        <c:delete val="0"/>
        <c:axPos val="b"/>
        <c:numFmt formatCode="General" sourceLinked="1"/>
        <c:majorTickMark val="out"/>
        <c:minorTickMark val="none"/>
        <c:tickLblPos val="low"/>
        <c:spPr>
          <a:ln>
            <a:solidFill>
              <a:schemeClr val="tx1"/>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9566336"/>
        <c:crosses val="autoZero"/>
        <c:auto val="1"/>
        <c:lblAlgn val="ctr"/>
        <c:lblOffset val="100"/>
        <c:tickLblSkip val="1"/>
        <c:tickMarkSkip val="1"/>
        <c:noMultiLvlLbl val="0"/>
      </c:catAx>
      <c:valAx>
        <c:axId val="209566336"/>
        <c:scaling>
          <c:orientation val="minMax"/>
          <c:max val="1600"/>
          <c:min val="1200"/>
        </c:scaling>
        <c:delete val="0"/>
        <c:axPos val="l"/>
        <c:numFmt formatCode="\$#,##0_);\(\$#,##0\)" sourceLinked="0"/>
        <c:majorTickMark val="none"/>
        <c:minorTickMark val="none"/>
        <c:tickLblPos val="nextTo"/>
        <c:spPr>
          <a:ln w="9525">
            <a:solidFill>
              <a:schemeClr val="tx1"/>
            </a:solidFill>
          </a:ln>
        </c:spPr>
        <c:txPr>
          <a:bodyPr rot="0" vert="horz"/>
          <a:lstStyle/>
          <a:p>
            <a:pPr>
              <a:defRPr sz="1000" b="0" i="0" u="none" strike="noStrike" baseline="0">
                <a:solidFill>
                  <a:srgbClr val="000000"/>
                </a:solidFill>
                <a:latin typeface="Arial"/>
                <a:ea typeface="Arial"/>
                <a:cs typeface="Arial"/>
              </a:defRPr>
            </a:pPr>
            <a:endParaRPr lang="en-US"/>
          </a:p>
        </c:txPr>
        <c:crossAx val="209564800"/>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Calibri"/>
          <a:ea typeface="Calibri"/>
          <a:cs typeface="Calibri"/>
        </a:defRPr>
      </a:pPr>
      <a:endParaRPr lang="en-US"/>
    </a:p>
  </c:txPr>
  <c:printSettings>
    <c:headerFooter/>
    <c:pageMargins b="0.75" l="0.7" r="0.7" t="0.75" header="0.3" footer="0.3"/>
    <c:pageSetup orientation="portrait"/>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808080"/>
                </a:solidFill>
                <a:latin typeface="Arial"/>
                <a:ea typeface="Arial"/>
                <a:cs typeface="Arial"/>
              </a:defRPr>
            </a:pPr>
            <a:r>
              <a:rPr lang="en-US"/>
              <a:t>Plan Asset Allocation(%)</a:t>
            </a:r>
          </a:p>
        </c:rich>
      </c:tx>
      <c:layout>
        <c:manualLayout>
          <c:xMode val="edge"/>
          <c:yMode val="edge"/>
          <c:x val="0.27508192543893178"/>
          <c:y val="2.1186440677966101E-2"/>
        </c:manualLayout>
      </c:layout>
      <c:overlay val="0"/>
      <c:spPr>
        <a:noFill/>
        <a:ln w="25400">
          <a:noFill/>
        </a:ln>
      </c:spPr>
    </c:title>
    <c:autoTitleDeleted val="0"/>
    <c:plotArea>
      <c:layout>
        <c:manualLayout>
          <c:layoutTarget val="inner"/>
          <c:xMode val="edge"/>
          <c:yMode val="edge"/>
          <c:x val="0.17475783385743407"/>
          <c:y val="0.15677966101694915"/>
          <c:w val="0.77993773999336313"/>
          <c:h val="0.51271186440677963"/>
        </c:manualLayout>
      </c:layout>
      <c:barChart>
        <c:barDir val="col"/>
        <c:grouping val="percentStacked"/>
        <c:varyColors val="0"/>
        <c:ser>
          <c:idx val="0"/>
          <c:order val="0"/>
          <c:tx>
            <c:strRef>
              <c:f>Pension!$CC$27</c:f>
              <c:strCache>
                <c:ptCount val="1"/>
                <c:pt idx="0">
                  <c:v>   Equity</c:v>
                </c:pt>
              </c:strCache>
            </c:strRef>
          </c:tx>
          <c:spPr>
            <a:solidFill>
              <a:srgbClr val="4091BF"/>
            </a:solidFill>
            <a:ln w="25400">
              <a:noFill/>
            </a:ln>
          </c:spPr>
          <c:invertIfNegative val="0"/>
          <c:cat>
            <c:numRef>
              <c:f>Pension!$CD$26:$CG$26</c:f>
              <c:numCache>
                <c:formatCode>General</c:formatCode>
                <c:ptCount val="4"/>
                <c:pt idx="0">
                  <c:v>2013</c:v>
                </c:pt>
                <c:pt idx="1">
                  <c:v>2014</c:v>
                </c:pt>
                <c:pt idx="2">
                  <c:v>2015</c:v>
                </c:pt>
                <c:pt idx="3">
                  <c:v>2016</c:v>
                </c:pt>
              </c:numCache>
            </c:numRef>
          </c:cat>
          <c:val>
            <c:numRef>
              <c:f>Pension!$CD$27:$CG$27</c:f>
              <c:numCache>
                <c:formatCode>0%</c:formatCode>
                <c:ptCount val="4"/>
                <c:pt idx="0">
                  <c:v>0.30690100000000003</c:v>
                </c:pt>
                <c:pt idx="1">
                  <c:v>0.30260120000000001</c:v>
                </c:pt>
                <c:pt idx="2">
                  <c:v>0.24431</c:v>
                </c:pt>
                <c:pt idx="3">
                  <c:v>0</c:v>
                </c:pt>
              </c:numCache>
            </c:numRef>
          </c:val>
        </c:ser>
        <c:ser>
          <c:idx val="1"/>
          <c:order val="1"/>
          <c:tx>
            <c:strRef>
              <c:f>Pension!$CC$28</c:f>
              <c:strCache>
                <c:ptCount val="1"/>
                <c:pt idx="0">
                  <c:v>   Fixed Income</c:v>
                </c:pt>
              </c:strCache>
            </c:strRef>
          </c:tx>
          <c:spPr>
            <a:solidFill>
              <a:srgbClr val="ECD7B2"/>
            </a:solidFill>
            <a:ln w="25400">
              <a:noFill/>
            </a:ln>
          </c:spPr>
          <c:invertIfNegative val="0"/>
          <c:cat>
            <c:numRef>
              <c:f>Pension!$CD$26:$CG$26</c:f>
              <c:numCache>
                <c:formatCode>General</c:formatCode>
                <c:ptCount val="4"/>
                <c:pt idx="0">
                  <c:v>2013</c:v>
                </c:pt>
                <c:pt idx="1">
                  <c:v>2014</c:v>
                </c:pt>
                <c:pt idx="2">
                  <c:v>2015</c:v>
                </c:pt>
                <c:pt idx="3">
                  <c:v>2016</c:v>
                </c:pt>
              </c:numCache>
            </c:numRef>
          </c:cat>
          <c:val>
            <c:numRef>
              <c:f>Pension!$CD$28:$CG$28</c:f>
              <c:numCache>
                <c:formatCode>0%</c:formatCode>
                <c:ptCount val="4"/>
                <c:pt idx="0">
                  <c:v>0.463227</c:v>
                </c:pt>
                <c:pt idx="1">
                  <c:v>0.45939069999999999</c:v>
                </c:pt>
                <c:pt idx="2">
                  <c:v>0.26065749999999999</c:v>
                </c:pt>
                <c:pt idx="3">
                  <c:v>0</c:v>
                </c:pt>
              </c:numCache>
            </c:numRef>
          </c:val>
        </c:ser>
        <c:ser>
          <c:idx val="2"/>
          <c:order val="2"/>
          <c:tx>
            <c:strRef>
              <c:f>Pension!$CC$29</c:f>
              <c:strCache>
                <c:ptCount val="1"/>
                <c:pt idx="0">
                  <c:v>   Real Estate</c:v>
                </c:pt>
              </c:strCache>
            </c:strRef>
          </c:tx>
          <c:spPr>
            <a:solidFill>
              <a:srgbClr val="74BE74"/>
            </a:solidFill>
            <a:ln w="25400">
              <a:noFill/>
            </a:ln>
          </c:spPr>
          <c:invertIfNegative val="0"/>
          <c:cat>
            <c:numRef>
              <c:f>Pension!$CD$26:$CG$26</c:f>
              <c:numCache>
                <c:formatCode>General</c:formatCode>
                <c:ptCount val="4"/>
                <c:pt idx="0">
                  <c:v>2013</c:v>
                </c:pt>
                <c:pt idx="1">
                  <c:v>2014</c:v>
                </c:pt>
                <c:pt idx="2">
                  <c:v>2015</c:v>
                </c:pt>
                <c:pt idx="3">
                  <c:v>2016</c:v>
                </c:pt>
              </c:numCache>
            </c:numRef>
          </c:cat>
          <c:val>
            <c:numRef>
              <c:f>Pension!$CD$29:$CG$29</c:f>
              <c:numCache>
                <c:formatCode>0%</c:formatCode>
                <c:ptCount val="4"/>
                <c:pt idx="0">
                  <c:v>4.6249800000000001E-2</c:v>
                </c:pt>
                <c:pt idx="1">
                  <c:v>5.5604199999999999E-2</c:v>
                </c:pt>
                <c:pt idx="2">
                  <c:v>0</c:v>
                </c:pt>
                <c:pt idx="3">
                  <c:v>0</c:v>
                </c:pt>
              </c:numCache>
            </c:numRef>
          </c:val>
        </c:ser>
        <c:ser>
          <c:idx val="3"/>
          <c:order val="3"/>
          <c:tx>
            <c:strRef>
              <c:f>Pension!$CC$30</c:f>
              <c:strCache>
                <c:ptCount val="1"/>
                <c:pt idx="0">
                  <c:v>   Other</c:v>
                </c:pt>
              </c:strCache>
            </c:strRef>
          </c:tx>
          <c:spPr>
            <a:solidFill>
              <a:srgbClr val="C6D9E2"/>
            </a:solidFill>
            <a:ln w="25400">
              <a:noFill/>
            </a:ln>
          </c:spPr>
          <c:invertIfNegative val="0"/>
          <c:cat>
            <c:numRef>
              <c:f>Pension!$CD$26:$CG$26</c:f>
              <c:numCache>
                <c:formatCode>General</c:formatCode>
                <c:ptCount val="4"/>
                <c:pt idx="0">
                  <c:v>2013</c:v>
                </c:pt>
                <c:pt idx="1">
                  <c:v>2014</c:v>
                </c:pt>
                <c:pt idx="2">
                  <c:v>2015</c:v>
                </c:pt>
                <c:pt idx="3">
                  <c:v>2016</c:v>
                </c:pt>
              </c:numCache>
            </c:numRef>
          </c:cat>
          <c:val>
            <c:numRef>
              <c:f>Pension!$CD$30:$CG$30</c:f>
              <c:numCache>
                <c:formatCode>0%</c:formatCode>
                <c:ptCount val="4"/>
                <c:pt idx="0">
                  <c:v>0.18362220000000001</c:v>
                </c:pt>
                <c:pt idx="1">
                  <c:v>0.18240390000000001</c:v>
                </c:pt>
                <c:pt idx="2">
                  <c:v>0.49503249999999999</c:v>
                </c:pt>
                <c:pt idx="3">
                  <c:v>0</c:v>
                </c:pt>
              </c:numCache>
            </c:numRef>
          </c:val>
        </c:ser>
        <c:dLbls>
          <c:showLegendKey val="0"/>
          <c:showVal val="0"/>
          <c:showCatName val="0"/>
          <c:showSerName val="0"/>
          <c:showPercent val="0"/>
          <c:showBubbleSize val="0"/>
        </c:dLbls>
        <c:gapWidth val="150"/>
        <c:overlap val="100"/>
        <c:axId val="276270464"/>
        <c:axId val="276280448"/>
      </c:barChart>
      <c:catAx>
        <c:axId val="276270464"/>
        <c:scaling>
          <c:orientation val="minMax"/>
        </c:scaling>
        <c:delete val="0"/>
        <c:axPos val="b"/>
        <c:numFmt formatCode="General" sourceLinked="1"/>
        <c:majorTickMark val="out"/>
        <c:minorTickMark val="none"/>
        <c:tickLblPos val="nextTo"/>
        <c:spPr>
          <a:ln w="9525">
            <a:noFill/>
          </a:ln>
        </c:spPr>
        <c:txPr>
          <a:bodyPr rot="0" vert="horz"/>
          <a:lstStyle/>
          <a:p>
            <a:pPr>
              <a:defRPr sz="800" b="1" i="0" u="none" strike="noStrike" baseline="0">
                <a:solidFill>
                  <a:srgbClr val="808080"/>
                </a:solidFill>
                <a:latin typeface="Arial"/>
                <a:ea typeface="Arial"/>
                <a:cs typeface="Arial"/>
              </a:defRPr>
            </a:pPr>
            <a:endParaRPr lang="en-US"/>
          </a:p>
        </c:txPr>
        <c:crossAx val="276280448"/>
        <c:crosses val="autoZero"/>
        <c:auto val="1"/>
        <c:lblAlgn val="ctr"/>
        <c:lblOffset val="100"/>
        <c:tickLblSkip val="1"/>
        <c:tickMarkSkip val="1"/>
        <c:noMultiLvlLbl val="0"/>
      </c:catAx>
      <c:valAx>
        <c:axId val="27628044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9525">
            <a:noFill/>
          </a:ln>
        </c:spPr>
        <c:txPr>
          <a:bodyPr rot="0" vert="horz"/>
          <a:lstStyle/>
          <a:p>
            <a:pPr>
              <a:defRPr sz="800" b="1" i="0" u="none" strike="noStrike" baseline="0">
                <a:solidFill>
                  <a:srgbClr val="808080"/>
                </a:solidFill>
                <a:latin typeface="Arial"/>
                <a:ea typeface="Arial"/>
                <a:cs typeface="Arial"/>
              </a:defRPr>
            </a:pPr>
            <a:endParaRPr lang="en-US"/>
          </a:p>
        </c:txPr>
        <c:crossAx val="276270464"/>
        <c:crosses val="autoZero"/>
        <c:crossBetween val="between"/>
      </c:valAx>
      <c:spPr>
        <a:noFill/>
        <a:ln w="25400">
          <a:noFill/>
        </a:ln>
      </c:spPr>
    </c:plotArea>
    <c:legend>
      <c:legendPos val="b"/>
      <c:layout>
        <c:manualLayout>
          <c:xMode val="edge"/>
          <c:yMode val="edge"/>
          <c:x val="4.2071197411003236E-2"/>
          <c:y val="0.81779661016949157"/>
          <c:w val="0.91586066304818692"/>
          <c:h val="0.16949152542372881"/>
        </c:manualLayout>
      </c:layout>
      <c:overlay val="0"/>
      <c:spPr>
        <a:solidFill>
          <a:srgbClr val="FFFFFF"/>
        </a:solidFill>
        <a:ln w="25400">
          <a:noFill/>
        </a:ln>
      </c:spPr>
      <c:txPr>
        <a:bodyPr/>
        <a:lstStyle/>
        <a:p>
          <a:pPr>
            <a:defRPr sz="67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808080"/>
                </a:solidFill>
                <a:latin typeface="Arial"/>
                <a:ea typeface="Arial"/>
                <a:cs typeface="Arial"/>
              </a:defRPr>
            </a:pPr>
            <a:r>
              <a:rPr lang="en-US"/>
              <a:t>Pension Funded Status</a:t>
            </a:r>
          </a:p>
        </c:rich>
      </c:tx>
      <c:layout>
        <c:manualLayout>
          <c:xMode val="edge"/>
          <c:yMode val="edge"/>
          <c:x val="0.29032291931250526"/>
          <c:y val="2.2026431718061675E-2"/>
        </c:manualLayout>
      </c:layout>
      <c:overlay val="0"/>
      <c:spPr>
        <a:noFill/>
        <a:ln w="25400">
          <a:noFill/>
        </a:ln>
      </c:spPr>
    </c:title>
    <c:autoTitleDeleted val="0"/>
    <c:plotArea>
      <c:layout>
        <c:manualLayout>
          <c:layoutTarget val="inner"/>
          <c:xMode val="edge"/>
          <c:yMode val="edge"/>
          <c:x val="0.11612921517328499"/>
          <c:y val="0.1762114537444934"/>
          <c:w val="0.72258178330043987"/>
          <c:h val="0.54625550660792954"/>
        </c:manualLayout>
      </c:layout>
      <c:barChart>
        <c:barDir val="col"/>
        <c:grouping val="clustered"/>
        <c:varyColors val="0"/>
        <c:ser>
          <c:idx val="1"/>
          <c:order val="0"/>
          <c:tx>
            <c:v>Funded Status(%)</c:v>
          </c:tx>
          <c:spPr>
            <a:solidFill>
              <a:srgbClr val="4091BF"/>
            </a:solidFill>
            <a:ln w="25400">
              <a:noFill/>
            </a:ln>
          </c:spPr>
          <c:invertIfNegative val="0"/>
          <c:dLbls>
            <c:numFmt formatCode="0%" sourceLinked="0"/>
            <c:spPr>
              <a:noFill/>
              <a:ln w="25400">
                <a:noFill/>
              </a:ln>
            </c:spPr>
            <c:txPr>
              <a:bodyPr/>
              <a:lstStyle/>
              <a:p>
                <a:pPr>
                  <a:defRPr sz="800" b="1" i="0" u="none" strike="noStrike" baseline="0">
                    <a:solidFill>
                      <a:srgbClr val="808080"/>
                    </a:solidFill>
                    <a:latin typeface="Arial"/>
                    <a:ea typeface="Arial"/>
                    <a:cs typeface="Arial"/>
                  </a:defRPr>
                </a:pPr>
                <a:endParaRPr lang="en-US"/>
              </a:p>
            </c:txPr>
            <c:showLegendKey val="0"/>
            <c:showVal val="1"/>
            <c:showCatName val="0"/>
            <c:showSerName val="0"/>
            <c:showPercent val="0"/>
            <c:showBubbleSize val="0"/>
            <c:showLeaderLines val="0"/>
          </c:dLbls>
          <c:cat>
            <c:numRef>
              <c:f>Pension!$CD$38:$CJ$38</c:f>
              <c:numCache>
                <c:formatCode>General</c:formatCode>
                <c:ptCount val="7"/>
                <c:pt idx="0">
                  <c:v>2013</c:v>
                </c:pt>
                <c:pt idx="1">
                  <c:v>2014</c:v>
                </c:pt>
                <c:pt idx="2">
                  <c:v>2015</c:v>
                </c:pt>
                <c:pt idx="3">
                  <c:v>2016</c:v>
                </c:pt>
                <c:pt idx="4">
                  <c:v>2017</c:v>
                </c:pt>
                <c:pt idx="5">
                  <c:v>2018</c:v>
                </c:pt>
                <c:pt idx="6">
                  <c:v>2019</c:v>
                </c:pt>
              </c:numCache>
            </c:numRef>
          </c:cat>
          <c:val>
            <c:numRef>
              <c:f>Pension!$CD$43:$CJ$43</c:f>
              <c:numCache>
                <c:formatCode>0%</c:formatCode>
                <c:ptCount val="7"/>
                <c:pt idx="0">
                  <c:v>0.92127453175136187</c:v>
                </c:pt>
                <c:pt idx="1">
                  <c:v>0.83572663209679565</c:v>
                </c:pt>
                <c:pt idx="2">
                  <c:v>0.82942542512547757</c:v>
                </c:pt>
                <c:pt idx="3">
                  <c:v>0.81888579806029627</c:v>
                </c:pt>
                <c:pt idx="4">
                  <c:v>0.84285932022557541</c:v>
                </c:pt>
                <c:pt idx="5">
                  <c:v>0.85509494119336915</c:v>
                </c:pt>
                <c:pt idx="6">
                  <c:v>0.86832494809368843</c:v>
                </c:pt>
              </c:numCache>
            </c:numRef>
          </c:val>
        </c:ser>
        <c:dLbls>
          <c:showLegendKey val="0"/>
          <c:showVal val="0"/>
          <c:showCatName val="0"/>
          <c:showSerName val="0"/>
          <c:showPercent val="0"/>
          <c:showBubbleSize val="0"/>
        </c:dLbls>
        <c:gapWidth val="150"/>
        <c:axId val="307256704"/>
        <c:axId val="307262592"/>
      </c:barChart>
      <c:lineChart>
        <c:grouping val="standard"/>
        <c:varyColors val="0"/>
        <c:ser>
          <c:idx val="0"/>
          <c:order val="1"/>
          <c:tx>
            <c:strRef>
              <c:f>Pension!$CC$42</c:f>
              <c:strCache>
                <c:ptCount val="1"/>
                <c:pt idx="0">
                  <c:v>% of Market cap</c:v>
                </c:pt>
              </c:strCache>
            </c:strRef>
          </c:tx>
          <c:spPr>
            <a:ln w="38100">
              <a:solidFill>
                <a:srgbClr val="F6C54C"/>
              </a:solidFill>
              <a:prstDash val="solid"/>
            </a:ln>
          </c:spPr>
          <c:marker>
            <c:symbol val="none"/>
          </c:marker>
          <c:cat>
            <c:numRef>
              <c:f>Pension!$CD$38:$CJ$38</c:f>
              <c:numCache>
                <c:formatCode>General</c:formatCode>
                <c:ptCount val="7"/>
                <c:pt idx="0">
                  <c:v>2013</c:v>
                </c:pt>
                <c:pt idx="1">
                  <c:v>2014</c:v>
                </c:pt>
                <c:pt idx="2">
                  <c:v>2015</c:v>
                </c:pt>
                <c:pt idx="3">
                  <c:v>2016</c:v>
                </c:pt>
                <c:pt idx="4">
                  <c:v>2017</c:v>
                </c:pt>
                <c:pt idx="5">
                  <c:v>2018</c:v>
                </c:pt>
                <c:pt idx="6">
                  <c:v>2019</c:v>
                </c:pt>
              </c:numCache>
            </c:numRef>
          </c:cat>
          <c:val>
            <c:numRef>
              <c:f>Pension!$CD$42:$CJ$42</c:f>
              <c:numCache>
                <c:formatCode>0%</c:formatCode>
                <c:ptCount val="7"/>
                <c:pt idx="0">
                  <c:v>5.6040719117862119E-2</c:v>
                </c:pt>
                <c:pt idx="1">
                  <c:v>0.10939186914519447</c:v>
                </c:pt>
                <c:pt idx="2">
                  <c:v>0.16484534566098408</c:v>
                </c:pt>
                <c:pt idx="3">
                  <c:v>0.18530356494574626</c:v>
                </c:pt>
                <c:pt idx="4">
                  <c:v>0.13792972274224446</c:v>
                </c:pt>
                <c:pt idx="5">
                  <c:v>0.12065613204262246</c:v>
                </c:pt>
                <c:pt idx="6">
                  <c:v>0.1034771963175902</c:v>
                </c:pt>
              </c:numCache>
            </c:numRef>
          </c:val>
          <c:smooth val="0"/>
        </c:ser>
        <c:dLbls>
          <c:showLegendKey val="0"/>
          <c:showVal val="0"/>
          <c:showCatName val="0"/>
          <c:showSerName val="0"/>
          <c:showPercent val="0"/>
          <c:showBubbleSize val="0"/>
        </c:dLbls>
        <c:marker val="1"/>
        <c:smooth val="0"/>
        <c:axId val="307264128"/>
        <c:axId val="307265920"/>
      </c:lineChart>
      <c:catAx>
        <c:axId val="307256704"/>
        <c:scaling>
          <c:orientation val="minMax"/>
        </c:scaling>
        <c:delete val="0"/>
        <c:axPos val="b"/>
        <c:numFmt formatCode="General" sourceLinked="1"/>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307262592"/>
        <c:crosses val="autoZero"/>
        <c:auto val="0"/>
        <c:lblAlgn val="ctr"/>
        <c:lblOffset val="100"/>
        <c:tickLblSkip val="1"/>
        <c:tickMarkSkip val="1"/>
        <c:noMultiLvlLbl val="0"/>
      </c:catAx>
      <c:valAx>
        <c:axId val="307262592"/>
        <c:scaling>
          <c:orientation val="minMax"/>
        </c:scaling>
        <c:delete val="0"/>
        <c:axPos val="l"/>
        <c:numFmt formatCode="0%" sourceLinked="0"/>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307256704"/>
        <c:crosses val="autoZero"/>
        <c:crossBetween val="between"/>
      </c:valAx>
      <c:catAx>
        <c:axId val="307264128"/>
        <c:scaling>
          <c:orientation val="minMax"/>
        </c:scaling>
        <c:delete val="1"/>
        <c:axPos val="b"/>
        <c:numFmt formatCode="General" sourceLinked="1"/>
        <c:majorTickMark val="out"/>
        <c:minorTickMark val="none"/>
        <c:tickLblPos val="nextTo"/>
        <c:crossAx val="307265920"/>
        <c:crosses val="autoZero"/>
        <c:auto val="0"/>
        <c:lblAlgn val="ctr"/>
        <c:lblOffset val="100"/>
        <c:noMultiLvlLbl val="0"/>
      </c:catAx>
      <c:valAx>
        <c:axId val="307265920"/>
        <c:scaling>
          <c:orientation val="minMax"/>
        </c:scaling>
        <c:delete val="0"/>
        <c:axPos val="r"/>
        <c:numFmt formatCode="0.0%" sourceLinked="0"/>
        <c:majorTickMark val="cross"/>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307264128"/>
        <c:crosses val="max"/>
        <c:crossBetween val="between"/>
      </c:valAx>
      <c:spPr>
        <a:noFill/>
        <a:ln w="25400">
          <a:noFill/>
        </a:ln>
      </c:spPr>
    </c:plotArea>
    <c:legend>
      <c:legendPos val="b"/>
      <c:layout>
        <c:manualLayout>
          <c:xMode val="edge"/>
          <c:yMode val="edge"/>
          <c:x val="5.1612903225806452E-2"/>
          <c:y val="0.88546255506607929"/>
          <c:w val="0.82580780628227912"/>
          <c:h val="8.8105726872246715E-2"/>
        </c:manualLayout>
      </c:layout>
      <c:overlay val="0"/>
      <c:spPr>
        <a:solidFill>
          <a:srgbClr val="FFFFFF"/>
        </a:solidFill>
        <a:ln w="25400">
          <a:noFill/>
        </a:ln>
      </c:spPr>
      <c:txPr>
        <a:bodyPr/>
        <a:lstStyle/>
        <a:p>
          <a:pPr>
            <a:defRPr sz="67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paperSize="9"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808080"/>
                </a:solidFill>
                <a:latin typeface="Arial"/>
                <a:ea typeface="Arial"/>
                <a:cs typeface="Arial"/>
              </a:defRPr>
            </a:pPr>
            <a:r>
              <a:rPr lang="en-US"/>
              <a:t>OPEB Liability</a:t>
            </a:r>
          </a:p>
        </c:rich>
      </c:tx>
      <c:layout>
        <c:manualLayout>
          <c:xMode val="edge"/>
          <c:yMode val="edge"/>
          <c:x val="0.37373843421087516"/>
          <c:y val="2.2831050228310501E-2"/>
        </c:manualLayout>
      </c:layout>
      <c:overlay val="0"/>
      <c:spPr>
        <a:noFill/>
        <a:ln w="25400">
          <a:noFill/>
        </a:ln>
      </c:spPr>
    </c:title>
    <c:autoTitleDeleted val="0"/>
    <c:plotArea>
      <c:layout>
        <c:manualLayout>
          <c:layoutTarget val="inner"/>
          <c:xMode val="edge"/>
          <c:yMode val="edge"/>
          <c:x val="0.14141460639798506"/>
          <c:y val="0.15525183384985841"/>
          <c:w val="0.69023795979968894"/>
          <c:h val="0.62100733539943365"/>
        </c:manualLayout>
      </c:layout>
      <c:barChart>
        <c:barDir val="col"/>
        <c:grouping val="clustered"/>
        <c:varyColors val="0"/>
        <c:ser>
          <c:idx val="1"/>
          <c:order val="0"/>
          <c:tx>
            <c:strRef>
              <c:f>Pension!$AS$186</c:f>
              <c:strCache>
                <c:ptCount val="1"/>
                <c:pt idx="0">
                  <c:v>OPEB in $ mn</c:v>
                </c:pt>
              </c:strCache>
            </c:strRef>
          </c:tx>
          <c:spPr>
            <a:solidFill>
              <a:srgbClr val="4091BF"/>
            </a:solidFill>
            <a:ln w="25400">
              <a:noFill/>
            </a:ln>
          </c:spPr>
          <c:invertIfNegative val="0"/>
          <c:cat>
            <c:numRef>
              <c:f>OPEB!$CD$38:$CJ$38</c:f>
              <c:numCache>
                <c:formatCode>General</c:formatCode>
                <c:ptCount val="7"/>
                <c:pt idx="0">
                  <c:v>2013</c:v>
                </c:pt>
                <c:pt idx="1">
                  <c:v>2014</c:v>
                </c:pt>
                <c:pt idx="2">
                  <c:v>2015</c:v>
                </c:pt>
                <c:pt idx="3">
                  <c:v>2016</c:v>
                </c:pt>
                <c:pt idx="4">
                  <c:v>2017</c:v>
                </c:pt>
                <c:pt idx="5">
                  <c:v>2018</c:v>
                </c:pt>
                <c:pt idx="6">
                  <c:v>2019</c:v>
                </c:pt>
              </c:numCache>
            </c:numRef>
          </c:cat>
          <c:val>
            <c:numRef>
              <c:f>OPEB!$CD$42:$CJ$42</c:f>
              <c:numCache>
                <c:formatCode>0.00</c:formatCode>
                <c:ptCount val="7"/>
                <c:pt idx="0">
                  <c:v>3688</c:v>
                </c:pt>
                <c:pt idx="1">
                  <c:v>3830</c:v>
                </c:pt>
                <c:pt idx="2">
                  <c:v>3567</c:v>
                </c:pt>
                <c:pt idx="3">
                  <c:v>3413</c:v>
                </c:pt>
                <c:pt idx="4">
                  <c:v>3375</c:v>
                </c:pt>
                <c:pt idx="5">
                  <c:v>3533.0625</c:v>
                </c:pt>
                <c:pt idx="6">
                  <c:v>3697.6845937500002</c:v>
                </c:pt>
              </c:numCache>
            </c:numRef>
          </c:val>
        </c:ser>
        <c:dLbls>
          <c:showLegendKey val="0"/>
          <c:showVal val="0"/>
          <c:showCatName val="0"/>
          <c:showSerName val="0"/>
          <c:showPercent val="0"/>
          <c:showBubbleSize val="0"/>
        </c:dLbls>
        <c:gapWidth val="150"/>
        <c:axId val="308654848"/>
        <c:axId val="308656384"/>
      </c:barChart>
      <c:lineChart>
        <c:grouping val="standard"/>
        <c:varyColors val="0"/>
        <c:ser>
          <c:idx val="0"/>
          <c:order val="1"/>
          <c:tx>
            <c:strRef>
              <c:f>Pension!$CC$42</c:f>
              <c:strCache>
                <c:ptCount val="1"/>
                <c:pt idx="0">
                  <c:v>% of Market cap</c:v>
                </c:pt>
              </c:strCache>
            </c:strRef>
          </c:tx>
          <c:spPr>
            <a:ln w="38100">
              <a:solidFill>
                <a:srgbClr val="F6C54C"/>
              </a:solidFill>
              <a:prstDash val="solid"/>
            </a:ln>
          </c:spPr>
          <c:marker>
            <c:symbol val="none"/>
          </c:marker>
          <c:cat>
            <c:numRef>
              <c:f>OPEB!$CD$38:$CJ$38</c:f>
              <c:numCache>
                <c:formatCode>General</c:formatCode>
                <c:ptCount val="7"/>
                <c:pt idx="0">
                  <c:v>2013</c:v>
                </c:pt>
                <c:pt idx="1">
                  <c:v>2014</c:v>
                </c:pt>
                <c:pt idx="2">
                  <c:v>2015</c:v>
                </c:pt>
                <c:pt idx="3">
                  <c:v>2016</c:v>
                </c:pt>
                <c:pt idx="4">
                  <c:v>2017</c:v>
                </c:pt>
                <c:pt idx="5">
                  <c:v>2018</c:v>
                </c:pt>
                <c:pt idx="6">
                  <c:v>2019</c:v>
                </c:pt>
              </c:numCache>
            </c:numRef>
          </c:cat>
          <c:val>
            <c:numRef>
              <c:f>OPEB!$CD$41:$CJ$41</c:f>
              <c:numCache>
                <c:formatCode>0.0%</c:formatCode>
                <c:ptCount val="7"/>
                <c:pt idx="0">
                  <c:v>0.19590348066983457</c:v>
                </c:pt>
                <c:pt idx="1">
                  <c:v>0.16955518366090441</c:v>
                </c:pt>
                <c:pt idx="2">
                  <c:v>0.25823598944783932</c:v>
                </c:pt>
                <c:pt idx="3">
                  <c:v>0.26253261401404399</c:v>
                </c:pt>
                <c:pt idx="4">
                  <c:v>0.22575791185988123</c:v>
                </c:pt>
                <c:pt idx="5">
                  <c:v>0.23633090739865231</c:v>
                </c:pt>
                <c:pt idx="6">
                  <c:v>0.24734268225228243</c:v>
                </c:pt>
              </c:numCache>
            </c:numRef>
          </c:val>
          <c:smooth val="0"/>
        </c:ser>
        <c:dLbls>
          <c:showLegendKey val="0"/>
          <c:showVal val="0"/>
          <c:showCatName val="0"/>
          <c:showSerName val="0"/>
          <c:showPercent val="0"/>
          <c:showBubbleSize val="0"/>
        </c:dLbls>
        <c:marker val="1"/>
        <c:smooth val="0"/>
        <c:axId val="308670464"/>
        <c:axId val="308672000"/>
      </c:lineChart>
      <c:catAx>
        <c:axId val="308654848"/>
        <c:scaling>
          <c:orientation val="minMax"/>
        </c:scaling>
        <c:delete val="0"/>
        <c:axPos val="b"/>
        <c:numFmt formatCode="General" sourceLinked="1"/>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308656384"/>
        <c:crosses val="autoZero"/>
        <c:auto val="0"/>
        <c:lblAlgn val="ctr"/>
        <c:lblOffset val="100"/>
        <c:tickLblSkip val="1"/>
        <c:tickMarkSkip val="1"/>
        <c:noMultiLvlLbl val="0"/>
      </c:catAx>
      <c:valAx>
        <c:axId val="308656384"/>
        <c:scaling>
          <c:orientation val="minMax"/>
          <c:min val="0"/>
        </c:scaling>
        <c:delete val="0"/>
        <c:axPos val="l"/>
        <c:numFmt formatCode="#,##0" sourceLinked="0"/>
        <c:majorTickMark val="out"/>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308654848"/>
        <c:crosses val="autoZero"/>
        <c:crossBetween val="between"/>
      </c:valAx>
      <c:catAx>
        <c:axId val="308670464"/>
        <c:scaling>
          <c:orientation val="minMax"/>
        </c:scaling>
        <c:delete val="1"/>
        <c:axPos val="b"/>
        <c:numFmt formatCode="General" sourceLinked="1"/>
        <c:majorTickMark val="out"/>
        <c:minorTickMark val="none"/>
        <c:tickLblPos val="nextTo"/>
        <c:crossAx val="308672000"/>
        <c:crosses val="autoZero"/>
        <c:auto val="0"/>
        <c:lblAlgn val="ctr"/>
        <c:lblOffset val="100"/>
        <c:noMultiLvlLbl val="0"/>
      </c:catAx>
      <c:valAx>
        <c:axId val="308672000"/>
        <c:scaling>
          <c:orientation val="minMax"/>
        </c:scaling>
        <c:delete val="0"/>
        <c:axPos val="r"/>
        <c:numFmt formatCode="0.0%" sourceLinked="1"/>
        <c:majorTickMark val="cross"/>
        <c:minorTickMark val="none"/>
        <c:tickLblPos val="nextTo"/>
        <c:spPr>
          <a:ln w="3175">
            <a:solidFill>
              <a:srgbClr val="969696"/>
            </a:solidFill>
            <a:prstDash val="solid"/>
          </a:ln>
        </c:spPr>
        <c:txPr>
          <a:bodyPr rot="0" vert="horz"/>
          <a:lstStyle/>
          <a:p>
            <a:pPr>
              <a:defRPr sz="800" b="1" i="0" u="none" strike="noStrike" baseline="0">
                <a:solidFill>
                  <a:srgbClr val="808080"/>
                </a:solidFill>
                <a:latin typeface="Arial"/>
                <a:ea typeface="Arial"/>
                <a:cs typeface="Arial"/>
              </a:defRPr>
            </a:pPr>
            <a:endParaRPr lang="en-US"/>
          </a:p>
        </c:txPr>
        <c:crossAx val="308670464"/>
        <c:crosses val="max"/>
        <c:crossBetween val="between"/>
      </c:valAx>
      <c:spPr>
        <a:noFill/>
        <a:ln w="25400">
          <a:noFill/>
        </a:ln>
      </c:spPr>
    </c:plotArea>
    <c:legend>
      <c:legendPos val="r"/>
      <c:layout>
        <c:manualLayout>
          <c:xMode val="edge"/>
          <c:yMode val="edge"/>
          <c:x val="1.6835016835016835E-2"/>
          <c:y val="0.89041479404115587"/>
          <c:w val="0.86532269324920241"/>
          <c:h val="9.1324680305372774E-2"/>
        </c:manualLayout>
      </c:layout>
      <c:overlay val="0"/>
      <c:spPr>
        <a:solidFill>
          <a:srgbClr val="FFFFFF"/>
        </a:solidFill>
        <a:ln w="25400">
          <a:noFill/>
        </a:ln>
      </c:spPr>
      <c:txPr>
        <a:bodyPr/>
        <a:lstStyle/>
        <a:p>
          <a:pPr>
            <a:defRPr sz="675" b="1"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3175">
      <a:solidFill>
        <a:srgbClr val="C0C0C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88132165470929236"/>
          <c:y val="1.8787975843397045E-2"/>
        </c:manualLayout>
      </c:layout>
      <c:overlay val="0"/>
    </c:title>
    <c:autoTitleDeleted val="0"/>
    <c:plotArea>
      <c:layout/>
      <c:pieChart>
        <c:varyColors val="1"/>
        <c:ser>
          <c:idx val="0"/>
          <c:order val="0"/>
          <c:tx>
            <c:strRef>
              <c:f>'CTL-LVLT Analysis'!$C$105</c:f>
              <c:strCache>
                <c:ptCount val="1"/>
                <c:pt idx="0">
                  <c:v>2017E</c:v>
                </c:pt>
              </c:strCache>
            </c:strRef>
          </c:tx>
          <c:dPt>
            <c:idx val="0"/>
            <c:bubble3D val="0"/>
          </c:dPt>
          <c:dPt>
            <c:idx val="1"/>
            <c:bubble3D val="0"/>
          </c:dPt>
          <c:dLbls>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dLbls>
          <c:cat>
            <c:strRef>
              <c:f>'CTL-LVLT Analysis'!$A$106:$B$107</c:f>
              <c:strCache>
                <c:ptCount val="2"/>
                <c:pt idx="0">
                  <c:v>Level 3 Revenue</c:v>
                </c:pt>
                <c:pt idx="1">
                  <c:v>CenturyLink Revenue</c:v>
                </c:pt>
              </c:strCache>
            </c:strRef>
          </c:cat>
          <c:val>
            <c:numRef>
              <c:f>'CTL-LVLT Analysis'!$C$106:$C$107</c:f>
              <c:numCache>
                <c:formatCode>#,##0</c:formatCode>
                <c:ptCount val="2"/>
                <c:pt idx="0" formatCode="#,##0_);\(#,##0\)">
                  <c:v>0</c:v>
                </c:pt>
                <c:pt idx="1">
                  <c:v>18338</c:v>
                </c:pt>
              </c:numCache>
            </c:numRef>
          </c:val>
        </c:ser>
        <c:ser>
          <c:idx val="1"/>
          <c:order val="1"/>
          <c:dPt>
            <c:idx val="0"/>
            <c:bubble3D val="0"/>
          </c:dPt>
          <c:dPt>
            <c:idx val="1"/>
            <c:bubble3D val="0"/>
          </c:dPt>
          <c:dLbls>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dLbls>
          <c:cat>
            <c:strRef>
              <c:f>'CTL-LVLT Analysis'!$A$106:$B$107</c:f>
              <c:strCache>
                <c:ptCount val="2"/>
                <c:pt idx="0">
                  <c:v>Level 3 Revenue</c:v>
                </c:pt>
                <c:pt idx="1">
                  <c:v>CenturyLink Revenue</c:v>
                </c:pt>
              </c:strCache>
            </c:strRef>
          </c:cat>
          <c:val>
            <c:numRef>
              <c:f>'CTL-LVLT Analysis'!$C$42:$C$43</c:f>
              <c:numCache>
                <c:formatCode>#,##0_);\(#,##0\)</c:formatCode>
                <c:ptCount val="2"/>
                <c:pt idx="0">
                  <c:v>5238.5174579739441</c:v>
                </c:pt>
                <c:pt idx="1">
                  <c:v>6582</c:v>
                </c:pt>
              </c:numCache>
            </c:numRef>
          </c:val>
        </c:ser>
        <c:ser>
          <c:idx val="2"/>
          <c:order val="2"/>
          <c:dPt>
            <c:idx val="0"/>
            <c:bubble3D val="0"/>
          </c:dPt>
          <c:dPt>
            <c:idx val="1"/>
            <c:bubble3D val="0"/>
          </c:dPt>
          <c:dLbls>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dLbls>
          <c:cat>
            <c:strRef>
              <c:f>'CTL-LVLT Analysis'!$A$106:$B$107</c:f>
              <c:strCache>
                <c:ptCount val="2"/>
                <c:pt idx="0">
                  <c:v>Level 3 Revenue</c:v>
                </c:pt>
                <c:pt idx="1">
                  <c:v>CenturyLink Revenue</c:v>
                </c:pt>
              </c:strCache>
            </c:strRef>
          </c:cat>
          <c:val>
            <c:numRef>
              <c:f>'CTL-LVLT Analysis'!$D$42:$D$43</c:f>
              <c:numCache>
                <c:formatCode>#,##0_);\(#,##0\)</c:formatCode>
                <c:ptCount val="2"/>
                <c:pt idx="0">
                  <c:v>5146.8434024594007</c:v>
                </c:pt>
                <c:pt idx="1">
                  <c:v>8846.9680973273917</c:v>
                </c:pt>
              </c:numCache>
            </c:numRef>
          </c:val>
        </c:ser>
        <c:ser>
          <c:idx val="3"/>
          <c:order val="3"/>
          <c:dPt>
            <c:idx val="0"/>
            <c:bubble3D val="0"/>
          </c:dPt>
          <c:dPt>
            <c:idx val="1"/>
            <c:bubble3D val="0"/>
          </c:dPt>
          <c:dLbls>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dLbls>
          <c:cat>
            <c:strRef>
              <c:f>'CTL-LVLT Analysis'!$A$106:$B$107</c:f>
              <c:strCache>
                <c:ptCount val="2"/>
                <c:pt idx="0">
                  <c:v>Level 3 Revenue</c:v>
                </c:pt>
                <c:pt idx="1">
                  <c:v>CenturyLink Revenue</c:v>
                </c:pt>
              </c:strCache>
            </c:strRef>
          </c:cat>
          <c:val>
            <c:numRef>
              <c:f>'CTL-LVLT Analysis'!$E$42:$E$43</c:f>
              <c:numCache>
                <c:formatCode>#,##0_);\(#,##0\)</c:formatCode>
                <c:ptCount val="2"/>
                <c:pt idx="0">
                  <c:v>5056.7736429163615</c:v>
                </c:pt>
                <c:pt idx="1">
                  <c:v>9170.173300483093</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t"/>
      <c:layout>
        <c:manualLayout>
          <c:xMode val="edge"/>
          <c:yMode val="edge"/>
          <c:x val="1.6590026694267363E-2"/>
          <c:y val="1.6898082997732489E-2"/>
          <c:w val="0.69613582677165353"/>
          <c:h val="9.4923811606882472E-2"/>
        </c:manualLayout>
      </c:layout>
      <c:overlay val="0"/>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85252777777777766"/>
          <c:y val="2.7777777777777776E-2"/>
        </c:manualLayout>
      </c:layout>
      <c:overlay val="0"/>
    </c:title>
    <c:autoTitleDeleted val="0"/>
    <c:plotArea>
      <c:layout/>
      <c:pieChart>
        <c:varyColors val="1"/>
        <c:ser>
          <c:idx val="0"/>
          <c:order val="0"/>
          <c:tx>
            <c:strRef>
              <c:f>'CTL-LVLT Analysis'!$C$110</c:f>
              <c:strCache>
                <c:ptCount val="1"/>
                <c:pt idx="0">
                  <c:v>2017E</c:v>
                </c:pt>
              </c:strCache>
            </c:strRef>
          </c:tx>
          <c:dLbls>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dLbls>
          <c:cat>
            <c:strRef>
              <c:f>'CTL-LVLT Analysis'!$A$111:$B$112</c:f>
              <c:strCache>
                <c:ptCount val="2"/>
                <c:pt idx="0">
                  <c:v>Level 3 EBITDA</c:v>
                </c:pt>
                <c:pt idx="1">
                  <c:v>CenturyLink EBITDA</c:v>
                </c:pt>
              </c:strCache>
            </c:strRef>
          </c:cat>
          <c:val>
            <c:numRef>
              <c:f>'CTL-LVLT Analysis'!$C$111:$C$112</c:f>
              <c:numCache>
                <c:formatCode>#,##0_);\(#,##0\)</c:formatCode>
                <c:ptCount val="2"/>
                <c:pt idx="0">
                  <c:v>5238.5174579739441</c:v>
                </c:pt>
                <c:pt idx="1">
                  <c:v>6582</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t"/>
      <c:layout>
        <c:manualLayout>
          <c:xMode val="edge"/>
          <c:yMode val="edge"/>
          <c:x val="3.1828083989501314E-2"/>
          <c:y val="2.6157407407407404E-2"/>
          <c:w val="0.65036942257217845"/>
          <c:h val="9.4923811606882472E-2"/>
        </c:manualLayout>
      </c:layout>
      <c:overlay val="0"/>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Drop" dropLines="3" dropStyle="combo" dx="16" fmlaLink="Q_Capex!$CV$3" fmlaRange="Q_Capex!$CV$4:$CV$6" noThreeD="1" val="0"/>
</file>

<file path=xl/ctrlProps/ctrlProp2.xml><?xml version="1.0" encoding="utf-8"?>
<formControlPr xmlns="http://schemas.microsoft.com/office/spreadsheetml/2009/9/main" objectType="Drop" dropLines="3" dropStyle="combo" dx="16" fmlaLink="Q_Capex!$CV$3" fmlaRange="Q_Capex!$CV$4:$CV$6" noThreeD="1" val="0"/>
</file>

<file path=xl/ctrlProps/ctrlProp3.xml><?xml version="1.0" encoding="utf-8"?>
<formControlPr xmlns="http://schemas.microsoft.com/office/spreadsheetml/2009/9/main" objectType="Drop" dropLines="3" dropStyle="combo" dx="16" fmlaLink="Q_Capex!$CV$3" fmlaRange="Q_Capex!$CV$4:$CV$6" noThreeD="1" val="0"/>
</file>

<file path=xl/ctrlProps/ctrlProp4.xml><?xml version="1.0" encoding="utf-8"?>
<formControlPr xmlns="http://schemas.microsoft.com/office/spreadsheetml/2009/9/main" objectType="Drop" dropLines="3" dropStyle="combo" dx="16" fmlaLink="Q_Capex!$CV$3" fmlaRange="Q_Capex!$CV$4:$CV$6" noThreeD="1" val="0"/>
</file>

<file path=xl/ctrlProps/ctrlProp5.xml><?xml version="1.0" encoding="utf-8"?>
<formControlPr xmlns="http://schemas.microsoft.com/office/spreadsheetml/2009/9/main" objectType="Drop" dropLines="3" dropStyle="combo" dx="16" fmlaLink="Q_Capex!$CV$3" fmlaRange="Q_Capex!$CV$4:$CV$6" noThreeD="1" val="0"/>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s>

</file>

<file path=xl/drawings/_rels/drawing3.xml.rels><?xml version="1.0" encoding="UTF-8" standalone="yes"?>
<Relationships xmlns="http://schemas.openxmlformats.org/package/2006/relationships">
<Relationship Id="rId1" Target="../charts/chart2.xml" Type="http://schemas.openxmlformats.org/officeDocument/2006/relationships/chart"/>
<Relationship Id="rId10" Target="../charts/chart11.xml" Type="http://schemas.openxmlformats.org/officeDocument/2006/relationships/chart"/>
<Relationship Id="rId11" Target="../charts/chart12.xml" Type="http://schemas.openxmlformats.org/officeDocument/2006/relationships/chart"/>
<Relationship Id="rId12" Target="../charts/chart13.xml" Type="http://schemas.openxmlformats.org/officeDocument/2006/relationships/chart"/>
<Relationship Id="rId13" Target="../charts/chart14.xml" Type="http://schemas.openxmlformats.org/officeDocument/2006/relationships/chart"/>
<Relationship Id="rId14" Target="../charts/chart15.xml" Type="http://schemas.openxmlformats.org/officeDocument/2006/relationships/chart"/>
<Relationship Id="rId2" Target="../charts/chart3.xml" Type="http://schemas.openxmlformats.org/officeDocument/2006/relationships/chart"/>
<Relationship Id="rId3" Target="../charts/chart4.xml" Type="http://schemas.openxmlformats.org/officeDocument/2006/relationships/chart"/>
<Relationship Id="rId4" Target="../charts/chart5.xml" Type="http://schemas.openxmlformats.org/officeDocument/2006/relationships/chart"/>
<Relationship Id="rId5" Target="../charts/chart6.xml" Type="http://schemas.openxmlformats.org/officeDocument/2006/relationships/chart"/>
<Relationship Id="rId6" Target="../charts/chart7.xml" Type="http://schemas.openxmlformats.org/officeDocument/2006/relationships/chart"/>
<Relationship Id="rId7" Target="../charts/chart8.xml" Type="http://schemas.openxmlformats.org/officeDocument/2006/relationships/chart"/>
<Relationship Id="rId8" Target="../charts/chart9.xml" Type="http://schemas.openxmlformats.org/officeDocument/2006/relationships/chart"/>
<Relationship Id="rId9" Target="../charts/chart10.xml" Type="http://schemas.openxmlformats.org/officeDocument/2006/relationships/chart"/>
</Relationships>

</file>

<file path=xl/drawings/_rels/drawing4.xml.rels><?xml version="1.0" encoding="UTF-8" standalone="yes"?>
<Relationships xmlns="http://schemas.openxmlformats.org/package/2006/relationships">
<Relationship Id="rId1" Target="../charts/chart16.xml" Type="http://schemas.openxmlformats.org/officeDocument/2006/relationships/chart"/>
</Relationships>

</file>

<file path=xl/drawings/_rels/drawing11.xml.rels><?xml version="1.0" encoding="UTF-8" standalone="yes"?>
<Relationships xmlns="http://schemas.openxmlformats.org/package/2006/relationships">
<Relationship Id="rId1" Target="../charts/chart17.xml" Type="http://schemas.openxmlformats.org/officeDocument/2006/relationships/chart"/>
<Relationship Id="rId2" Target="../charts/chart18.xml" Type="http://schemas.openxmlformats.org/officeDocument/2006/relationships/chart"/>
</Relationships>

</file>

<file path=xl/drawings/_rels/drawing12.xml.rels><?xml version="1.0" encoding="UTF-8" standalone="yes"?>
<Relationships xmlns="http://schemas.openxmlformats.org/package/2006/relationships">
<Relationship Id="rId1" Target="../charts/chart19.xml" Type="http://schemas.openxmlformats.org/officeDocument/2006/relationships/chart"/>
</Relationships>

</file>

<file path=xl/drawings/_rels/drawing13.xml.rels><?xml version="1.0" encoding="UTF-8" standalone="yes"?>
<Relationships xmlns="http://schemas.openxmlformats.org/package/2006/relationships">
<Relationship Id="rId1" Target="../charts/chart20.xml" Type="http://schemas.openxmlformats.org/officeDocument/2006/relationships/chart"/>
<Relationship Id="rId2" Target="../charts/chart21.xml" Type="http://schemas.openxmlformats.org/officeDocument/2006/relationships/chart"/>
</Relationships>

</file>

<file path=xl/drawings/_rels/vmlDrawing21.vml.rels><?xml version="1.0" encoding="UTF-8" standalone="yes"?>
<Relationships xmlns="http://schemas.openxmlformats.org/package/2006/relationships">
<Relationship Id="rId1" Target="../media/image6.emf" Type="http://schemas.openxmlformats.org/officeDocument/2006/relationships/image"/>
<Relationship Id="rId2" Target="../media/image5.emf" Type="http://schemas.openxmlformats.org/officeDocument/2006/relationships/image"/>
<Relationship Id="rId3" Target="../media/image4.emf" Type="http://schemas.openxmlformats.org/officeDocument/2006/relationships/image"/>
</Relationships>

</file>

<file path=xl/drawings/_rels/vmlDrawing22.vml.rels><?xml version="1.0" encoding="UTF-8" standalone="yes"?>
<Relationships xmlns="http://schemas.openxmlformats.org/package/2006/relationships">
<Relationship Id="rId1" Target="../media/image7.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186</xdr:row>
      <xdr:rowOff>0</xdr:rowOff>
    </xdr:from>
    <xdr:to>
      <xdr:col>7</xdr:col>
      <xdr:colOff>390525</xdr:colOff>
      <xdr:row>209</xdr:row>
      <xdr:rowOff>104775</xdr:rowOff>
    </xdr:to>
    <xdr:pic>
      <xdr:nvPicPr>
        <xdr:cNvPr id="32428033" name="Picture 1" descr="C:\Users\spencerg\AppData\Local\Temp\MercuryPriceRatingHistoryChart\CTL.N_2018_03_18_18_42_4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2606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523875</xdr:colOff>
      <xdr:row>105</xdr:row>
      <xdr:rowOff>66675</xdr:rowOff>
    </xdr:from>
    <xdr:to>
      <xdr:col>23</xdr:col>
      <xdr:colOff>495300</xdr:colOff>
      <xdr:row>123</xdr:row>
      <xdr:rowOff>66675</xdr:rowOff>
    </xdr:to>
    <xdr:graphicFrame macro="">
      <xdr:nvGraphicFramePr>
        <xdr:cNvPr id="3069462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8</xdr:row>
      <xdr:rowOff>104775</xdr:rowOff>
    </xdr:from>
    <xdr:to>
      <xdr:col>15</xdr:col>
      <xdr:colOff>457200</xdr:colOff>
      <xdr:row>25</xdr:row>
      <xdr:rowOff>123825</xdr:rowOff>
    </xdr:to>
    <xdr:graphicFrame macro="">
      <xdr:nvGraphicFramePr>
        <xdr:cNvPr id="3543577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123825</xdr:colOff>
      <xdr:row>37</xdr:row>
      <xdr:rowOff>114300</xdr:rowOff>
    </xdr:from>
    <xdr:to>
      <xdr:col>15</xdr:col>
      <xdr:colOff>428625</xdr:colOff>
      <xdr:row>54</xdr:row>
      <xdr:rowOff>104775</xdr:rowOff>
    </xdr:to>
    <xdr:graphicFrame macro="">
      <xdr:nvGraphicFramePr>
        <xdr:cNvPr id="35435779" name="Chart 27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161925</xdr:colOff>
      <xdr:row>61</xdr:row>
      <xdr:rowOff>133350</xdr:rowOff>
    </xdr:from>
    <xdr:to>
      <xdr:col>15</xdr:col>
      <xdr:colOff>390525</xdr:colOff>
      <xdr:row>78</xdr:row>
      <xdr:rowOff>85725</xdr:rowOff>
    </xdr:to>
    <xdr:graphicFrame macro="">
      <xdr:nvGraphicFramePr>
        <xdr:cNvPr id="3543578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161925</xdr:colOff>
      <xdr:row>87</xdr:row>
      <xdr:rowOff>190500</xdr:rowOff>
    </xdr:from>
    <xdr:to>
      <xdr:col>15</xdr:col>
      <xdr:colOff>466725</xdr:colOff>
      <xdr:row>104</xdr:row>
      <xdr:rowOff>123825</xdr:rowOff>
    </xdr:to>
    <xdr:graphicFrame macro="">
      <xdr:nvGraphicFramePr>
        <xdr:cNvPr id="3543578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95250</xdr:colOff>
      <xdr:row>87</xdr:row>
      <xdr:rowOff>114300</xdr:rowOff>
    </xdr:from>
    <xdr:to>
      <xdr:col>27</xdr:col>
      <xdr:colOff>419100</xdr:colOff>
      <xdr:row>104</xdr:row>
      <xdr:rowOff>104775</xdr:rowOff>
    </xdr:to>
    <xdr:graphicFrame macro="">
      <xdr:nvGraphicFramePr>
        <xdr:cNvPr id="35435782" name="Chart 9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104775</xdr:colOff>
      <xdr:row>61</xdr:row>
      <xdr:rowOff>76200</xdr:rowOff>
    </xdr:from>
    <xdr:to>
      <xdr:col>27</xdr:col>
      <xdr:colOff>485775</xdr:colOff>
      <xdr:row>78</xdr:row>
      <xdr:rowOff>123825</xdr:rowOff>
    </xdr:to>
    <xdr:graphicFrame macro="">
      <xdr:nvGraphicFramePr>
        <xdr:cNvPr id="35435783" name="ltm broadba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114300</xdr:colOff>
      <xdr:row>37</xdr:row>
      <xdr:rowOff>85725</xdr:rowOff>
    </xdr:from>
    <xdr:to>
      <xdr:col>27</xdr:col>
      <xdr:colOff>466725</xdr:colOff>
      <xdr:row>54</xdr:row>
      <xdr:rowOff>104775</xdr:rowOff>
    </xdr:to>
    <xdr:graphicFrame macro="">
      <xdr:nvGraphicFramePr>
        <xdr:cNvPr id="35435784" name="Chart 45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66675</xdr:colOff>
      <xdr:row>8</xdr:row>
      <xdr:rowOff>66675</xdr:rowOff>
    </xdr:from>
    <xdr:to>
      <xdr:col>27</xdr:col>
      <xdr:colOff>409575</xdr:colOff>
      <xdr:row>25</xdr:row>
      <xdr:rowOff>114300</xdr:rowOff>
    </xdr:to>
    <xdr:graphicFrame macro="">
      <xdr:nvGraphicFramePr>
        <xdr:cNvPr id="35435785" name="Quarterly EBITDA-margi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104775</xdr:colOff>
      <xdr:row>115</xdr:row>
      <xdr:rowOff>85725</xdr:rowOff>
    </xdr:from>
    <xdr:to>
      <xdr:col>27</xdr:col>
      <xdr:colOff>476250</xdr:colOff>
      <xdr:row>132</xdr:row>
      <xdr:rowOff>114300</xdr:rowOff>
    </xdr:to>
    <xdr:graphicFrame macro="">
      <xdr:nvGraphicFramePr>
        <xdr:cNvPr id="35435786" name="Chart 13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257175</xdr:colOff>
      <xdr:row>115</xdr:row>
      <xdr:rowOff>114300</xdr:rowOff>
    </xdr:from>
    <xdr:to>
      <xdr:col>15</xdr:col>
      <xdr:colOff>314325</xdr:colOff>
      <xdr:row>132</xdr:row>
      <xdr:rowOff>95250</xdr:rowOff>
    </xdr:to>
    <xdr:graphicFrame macro="">
      <xdr:nvGraphicFramePr>
        <xdr:cNvPr id="35435787" name="Chart broadband net add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266700</xdr:colOff>
      <xdr:row>136</xdr:row>
      <xdr:rowOff>57150</xdr:rowOff>
    </xdr:from>
    <xdr:to>
      <xdr:col>15</xdr:col>
      <xdr:colOff>323850</xdr:colOff>
      <xdr:row>153</xdr:row>
      <xdr:rowOff>38100</xdr:rowOff>
    </xdr:to>
    <xdr:graphicFrame macro="">
      <xdr:nvGraphicFramePr>
        <xdr:cNvPr id="35435788" name="Chart broadband net add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176892</xdr:colOff>
      <xdr:row>136</xdr:row>
      <xdr:rowOff>50346</xdr:rowOff>
    </xdr:from>
    <xdr:to>
      <xdr:col>27</xdr:col>
      <xdr:colOff>231320</xdr:colOff>
      <xdr:row>153</xdr:row>
      <xdr:rowOff>8057</xdr:rowOff>
    </xdr:to>
    <xdr:graphicFrame macro="">
      <xdr:nvGraphicFramePr>
        <xdr:cNvPr id="35435789" name="high bandwid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104775</xdr:colOff>
      <xdr:row>61</xdr:row>
      <xdr:rowOff>76200</xdr:rowOff>
    </xdr:from>
    <xdr:to>
      <xdr:col>39</xdr:col>
      <xdr:colOff>485775</xdr:colOff>
      <xdr:row>78</xdr:row>
      <xdr:rowOff>123825</xdr:rowOff>
    </xdr:to>
    <xdr:graphicFrame macro="">
      <xdr:nvGraphicFramePr>
        <xdr:cNvPr id="35435792" name="Chart 2123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336176</xdr:colOff>
      <xdr:row>167</xdr:row>
      <xdr:rowOff>34738</xdr:rowOff>
    </xdr:from>
    <xdr:to>
      <xdr:col>28</xdr:col>
      <xdr:colOff>425823</xdr:colOff>
      <xdr:row>180</xdr:row>
      <xdr:rowOff>155761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104775</xdr:colOff>
      <xdr:row>1</xdr:row>
      <xdr:rowOff>133350</xdr:rowOff>
    </xdr:from>
    <xdr:to>
      <xdr:col>11</xdr:col>
      <xdr:colOff>742950</xdr:colOff>
      <xdr:row>22</xdr:row>
      <xdr:rowOff>104775</xdr:rowOff>
    </xdr:to>
    <xdr:graphicFrame macro="">
      <xdr:nvGraphicFramePr>
        <xdr:cNvPr id="3266268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0.01414</cdr:x>
      <cdr:y>0.00325</cdr:y>
    </cdr:from>
    <cdr:to>
      <cdr:x>0.96283</cdr:x>
      <cdr:y>0.09087</cdr:y>
    </cdr:to>
    <cdr:sp macro="" textlink="">
      <cdr:nvSpPr>
        <cdr:cNvPr id="2" name="TextBox 1"/>
        <cdr:cNvSpPr txBox="1"/>
      </cdr:nvSpPr>
      <cdr:spPr>
        <a:xfrm xmlns:a="http://schemas.openxmlformats.org/drawingml/2006/main">
          <a:off x="82827" y="11206"/>
          <a:ext cx="5558118" cy="30255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00">
              <a:latin typeface="Arial" panose="020B0604020202020204" pitchFamily="34" charset="0"/>
              <a:cs typeface="Arial" panose="020B0604020202020204" pitchFamily="34" charset="0"/>
            </a:rPr>
            <a:t>CenturyLink 1Q17</a:t>
          </a:r>
          <a:r>
            <a:rPr lang="en-US" sz="1000" baseline="0">
              <a:latin typeface="Arial" panose="020B0604020202020204" pitchFamily="34" charset="0"/>
              <a:cs typeface="Arial" panose="020B0604020202020204" pitchFamily="34" charset="0"/>
            </a:rPr>
            <a:t> to 2Q17 EBITDA Walk</a:t>
          </a:r>
          <a:endParaRPr lang="en-US" sz="1000">
            <a:latin typeface="Arial" panose="020B0604020202020204" pitchFamily="34" charset="0"/>
            <a:cs typeface="Arial" panose="020B0604020202020204" pitchFamily="34" charset="0"/>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3</xdr:row>
          <xdr:rowOff>9525</xdr:rowOff>
        </xdr:from>
        <xdr:to>
          <xdr:col>0</xdr:col>
          <xdr:colOff>1943100</xdr:colOff>
          <xdr:row>3</xdr:row>
          <xdr:rowOff>228600</xdr:rowOff>
        </xdr:to>
        <xdr:sp macro="" textlink="">
          <xdr:nvSpPr>
            <xdr:cNvPr id="40993" name="Drop Down 33" hidden="1">
              <a:extLst>
                <a:ext uri="{63B3BB69-23CF-44E3-9099-C40C66FF867C}">
                  <a14:compatExt spid="_x0000_s4099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3</xdr:row>
          <xdr:rowOff>9525</xdr:rowOff>
        </xdr:from>
        <xdr:to>
          <xdr:col>0</xdr:col>
          <xdr:colOff>1943100</xdr:colOff>
          <xdr:row>3</xdr:row>
          <xdr:rowOff>219075</xdr:rowOff>
        </xdr:to>
        <xdr:sp macro="" textlink="">
          <xdr:nvSpPr>
            <xdr:cNvPr id="43022" name="Drop Down 14" hidden="1">
              <a:extLst>
                <a:ext uri="{63B3BB69-23CF-44E3-9099-C40C66FF867C}">
                  <a14:compatExt spid="_x0000_s43022"/>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3</xdr:row>
          <xdr:rowOff>9525</xdr:rowOff>
        </xdr:from>
        <xdr:to>
          <xdr:col>0</xdr:col>
          <xdr:colOff>1943100</xdr:colOff>
          <xdr:row>3</xdr:row>
          <xdr:rowOff>209550</xdr:rowOff>
        </xdr:to>
        <xdr:sp macro="" textlink="">
          <xdr:nvSpPr>
            <xdr:cNvPr id="44043" name="Drop Down 11" hidden="1">
              <a:extLst>
                <a:ext uri="{63B3BB69-23CF-44E3-9099-C40C66FF867C}">
                  <a14:compatExt spid="_x0000_s44043"/>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3</xdr:row>
          <xdr:rowOff>9525</xdr:rowOff>
        </xdr:from>
        <xdr:to>
          <xdr:col>0</xdr:col>
          <xdr:colOff>1943100</xdr:colOff>
          <xdr:row>3</xdr:row>
          <xdr:rowOff>209550</xdr:rowOff>
        </xdr:to>
        <xdr:sp macro="" textlink="">
          <xdr:nvSpPr>
            <xdr:cNvPr id="39951" name="Drop Down 15" hidden="1">
              <a:extLst>
                <a:ext uri="{63B3BB69-23CF-44E3-9099-C40C66FF867C}">
                  <a14:compatExt spid="_x0000_s39951"/>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3</xdr:row>
          <xdr:rowOff>9525</xdr:rowOff>
        </xdr:from>
        <xdr:to>
          <xdr:col>0</xdr:col>
          <xdr:colOff>1943100</xdr:colOff>
          <xdr:row>3</xdr:row>
          <xdr:rowOff>228600</xdr:rowOff>
        </xdr:to>
        <xdr:sp macro="" textlink="">
          <xdr:nvSpPr>
            <xdr:cNvPr id="41993" name="Drop Down 9" hidden="1">
              <a:extLst>
                <a:ext uri="{63B3BB69-23CF-44E3-9099-C40C66FF867C}">
                  <a14:compatExt spid="_x0000_s41993"/>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295275</xdr:colOff>
      <xdr:row>76</xdr:row>
      <xdr:rowOff>133350</xdr:rowOff>
    </xdr:from>
    <xdr:to>
      <xdr:col>2</xdr:col>
      <xdr:colOff>2466975</xdr:colOff>
      <xdr:row>78</xdr:row>
      <xdr:rowOff>104775</xdr:rowOff>
    </xdr:to>
    <xdr:sp macro="" textlink="">
      <xdr:nvSpPr>
        <xdr:cNvPr id="2" name="Rectangle 24"/>
        <xdr:cNvSpPr>
          <a:spLocks noChangeArrowheads="1"/>
        </xdr:cNvSpPr>
      </xdr:nvSpPr>
      <xdr:spPr bwMode="auto">
        <a:xfrm>
          <a:off x="904875" y="12439650"/>
          <a:ext cx="923925" cy="295275"/>
        </a:xfrm>
        <a:prstGeom prst="rect">
          <a:avLst/>
        </a:prstGeom>
        <a:solidFill>
          <a:srgbClr xmlns:mc="http://schemas.openxmlformats.org/markup-compatibility/2006" xmlns:a14="http://schemas.microsoft.com/office/drawing/2010/main" val="2270AB" mc:Ignorable="a14" a14:legacySpreadsheetColorIndex="19"/>
        </a:solidFill>
        <a:ln w="9525" algn="ctr">
          <a:solidFill>
            <a:srgbClr xmlns:mc="http://schemas.openxmlformats.org/markup-compatibility/2006" xmlns:a14="http://schemas.microsoft.com/office/drawing/2010/main" val="2270AB"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lnSpc>
              <a:spcPts val="900"/>
            </a:lnSpc>
            <a:defRPr sz="1000"/>
          </a:pPr>
          <a:r>
            <a:rPr lang="en-IN" sz="900" b="1" i="0" u="none" strike="noStrike" baseline="0">
              <a:solidFill>
                <a:srgbClr val="FFFFFF"/>
              </a:solidFill>
              <a:latin typeface="Verdana"/>
              <a:ea typeface="Verdana"/>
              <a:cs typeface="Verdana"/>
            </a:rPr>
            <a:t>Future Service Costs (after-tax)</a:t>
          </a:r>
          <a:endParaRPr lang="en-IN" sz="1000" b="1" i="0" u="none" strike="noStrike" baseline="0">
            <a:solidFill>
              <a:srgbClr val="FFFFFF"/>
            </a:solidFill>
            <a:latin typeface="Arial"/>
            <a:ea typeface="Verdana"/>
            <a:cs typeface="Arial"/>
          </a:endParaRPr>
        </a:p>
        <a:p>
          <a:pPr algn="l" rtl="0">
            <a:lnSpc>
              <a:spcPts val="1000"/>
            </a:lnSpc>
            <a:defRPr sz="1000"/>
          </a:pPr>
          <a:endParaRPr lang="en-IN" sz="1000" b="1" i="0" u="none" strike="noStrike" baseline="0">
            <a:solidFill>
              <a:srgbClr val="FFFFFF"/>
            </a:solidFill>
            <a:latin typeface="Arial"/>
            <a:cs typeface="Arial"/>
          </a:endParaRPr>
        </a:p>
      </xdr:txBody>
    </xdr:sp>
    <xdr:clientData/>
  </xdr:twoCellAnchor>
  <xdr:twoCellAnchor>
    <xdr:from>
      <xdr:col>1</xdr:col>
      <xdr:colOff>266700</xdr:colOff>
      <xdr:row>73</xdr:row>
      <xdr:rowOff>104775</xdr:rowOff>
    </xdr:from>
    <xdr:to>
      <xdr:col>2</xdr:col>
      <xdr:colOff>2457450</xdr:colOff>
      <xdr:row>75</xdr:row>
      <xdr:rowOff>76200</xdr:rowOff>
    </xdr:to>
    <xdr:sp macro="" textlink="">
      <xdr:nvSpPr>
        <xdr:cNvPr id="3" name="Rectangle 25"/>
        <xdr:cNvSpPr>
          <a:spLocks noChangeArrowheads="1"/>
        </xdr:cNvSpPr>
      </xdr:nvSpPr>
      <xdr:spPr bwMode="auto">
        <a:xfrm>
          <a:off x="876300" y="11925300"/>
          <a:ext cx="952500" cy="295275"/>
        </a:xfrm>
        <a:prstGeom prst="rect">
          <a:avLst/>
        </a:prstGeom>
        <a:solidFill>
          <a:srgbClr xmlns:mc="http://schemas.openxmlformats.org/markup-compatibility/2006" xmlns:a14="http://schemas.microsoft.com/office/drawing/2010/main" val="2270AB" mc:Ignorable="a14" a14:legacySpreadsheetColorIndex="19"/>
        </a:solidFill>
        <a:ln w="9525" algn="ctr">
          <a:solidFill>
            <a:srgbClr xmlns:mc="http://schemas.openxmlformats.org/markup-compatibility/2006" xmlns:a14="http://schemas.microsoft.com/office/drawing/2010/main" val="2270AB"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lnSpc>
              <a:spcPts val="900"/>
            </a:lnSpc>
            <a:defRPr sz="1000"/>
          </a:pPr>
          <a:r>
            <a:rPr lang="en-IN" sz="900" b="1" i="0" u="none" strike="noStrike" baseline="0">
              <a:solidFill>
                <a:srgbClr val="FFFFFF"/>
              </a:solidFill>
              <a:latin typeface="Verdana"/>
              <a:ea typeface="Verdana"/>
              <a:cs typeface="Verdana"/>
            </a:rPr>
            <a:t>Current Funded Status (after-tax)</a:t>
          </a:r>
          <a:endParaRPr lang="en-IN" sz="1000" b="1" i="0" u="none" strike="noStrike" baseline="0">
            <a:solidFill>
              <a:srgbClr val="FFFFFF"/>
            </a:solidFill>
            <a:latin typeface="Arial"/>
            <a:ea typeface="Verdana"/>
            <a:cs typeface="Arial"/>
          </a:endParaRPr>
        </a:p>
        <a:p>
          <a:pPr algn="l" rtl="0">
            <a:lnSpc>
              <a:spcPts val="1000"/>
            </a:lnSpc>
            <a:defRPr sz="1000"/>
          </a:pPr>
          <a:endParaRPr lang="en-IN" sz="1000" b="1" i="0" u="none" strike="noStrike" baseline="0">
            <a:solidFill>
              <a:srgbClr val="FFFFFF"/>
            </a:solidFill>
            <a:latin typeface="Arial"/>
            <a:cs typeface="Arial"/>
          </a:endParaRPr>
        </a:p>
      </xdr:txBody>
    </xdr:sp>
    <xdr:clientData/>
  </xdr:twoCellAnchor>
  <xdr:twoCellAnchor>
    <xdr:from>
      <xdr:col>2</xdr:col>
      <xdr:colOff>895350</xdr:colOff>
      <xdr:row>74</xdr:row>
      <xdr:rowOff>104775</xdr:rowOff>
    </xdr:from>
    <xdr:to>
      <xdr:col>2</xdr:col>
      <xdr:colOff>1257300</xdr:colOff>
      <xdr:row>77</xdr:row>
      <xdr:rowOff>85725</xdr:rowOff>
    </xdr:to>
    <xdr:sp macro="" textlink="">
      <xdr:nvSpPr>
        <xdr:cNvPr id="4" name="Text Box 26"/>
        <xdr:cNvSpPr txBox="1">
          <a:spLocks noChangeArrowheads="1"/>
        </xdr:cNvSpPr>
      </xdr:nvSpPr>
      <xdr:spPr bwMode="auto">
        <a:xfrm>
          <a:off x="1828800" y="12087225"/>
          <a:ext cx="0" cy="46672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1500" b="0" i="0" u="none" strike="noStrike" baseline="0">
              <a:solidFill>
                <a:srgbClr val="2270AB"/>
              </a:solidFill>
              <a:latin typeface="Arial"/>
              <a:cs typeface="Arial"/>
            </a:rPr>
            <a:t>+</a:t>
          </a:r>
          <a:endParaRPr lang="en-US" sz="2000" b="0" i="0" u="none" strike="noStrike" baseline="0">
            <a:solidFill>
              <a:srgbClr val="2270AB"/>
            </a:solidFill>
            <a:latin typeface="Arial"/>
            <a:cs typeface="Arial"/>
          </a:endParaRPr>
        </a:p>
        <a:p>
          <a:pPr algn="l" rtl="0">
            <a:defRPr sz="1000"/>
          </a:pPr>
          <a:endParaRPr lang="en-US" sz="2000" b="0" i="0" u="none" strike="noStrike" baseline="0">
            <a:solidFill>
              <a:srgbClr val="2270AB"/>
            </a:solidFill>
            <a:latin typeface="Arial"/>
            <a:cs typeface="Arial"/>
          </a:endParaRPr>
        </a:p>
      </xdr:txBody>
    </xdr:sp>
    <xdr:clientData/>
  </xdr:twoCellAnchor>
  <xdr:twoCellAnchor>
    <xdr:from>
      <xdr:col>1</xdr:col>
      <xdr:colOff>285750</xdr:colOff>
      <xdr:row>80</xdr:row>
      <xdr:rowOff>19050</xdr:rowOff>
    </xdr:from>
    <xdr:to>
      <xdr:col>2</xdr:col>
      <xdr:colOff>2466975</xdr:colOff>
      <xdr:row>82</xdr:row>
      <xdr:rowOff>9525</xdr:rowOff>
    </xdr:to>
    <xdr:sp macro="" textlink="">
      <xdr:nvSpPr>
        <xdr:cNvPr id="5" name="Rectangle 27"/>
        <xdr:cNvSpPr>
          <a:spLocks noChangeArrowheads="1"/>
        </xdr:cNvSpPr>
      </xdr:nvSpPr>
      <xdr:spPr bwMode="auto">
        <a:xfrm>
          <a:off x="895350" y="12973050"/>
          <a:ext cx="933450" cy="314325"/>
        </a:xfrm>
        <a:prstGeom prst="rect">
          <a:avLst/>
        </a:prstGeom>
        <a:solidFill>
          <a:srgbClr xmlns:mc="http://schemas.openxmlformats.org/markup-compatibility/2006" xmlns:a14="http://schemas.microsoft.com/office/drawing/2010/main" val="2270AB" mc:Ignorable="a14" a14:legacySpreadsheetColorIndex="19"/>
        </a:solidFill>
        <a:ln w="9525" algn="ctr">
          <a:solidFill>
            <a:srgbClr xmlns:mc="http://schemas.openxmlformats.org/markup-compatibility/2006" xmlns:a14="http://schemas.microsoft.com/office/drawing/2010/main" val="2270AB" mc:Ignorable="a14" a14:legacySpreadsheetColorIndex="19"/>
          </a:solidFill>
          <a:miter lim="800000"/>
          <a:headEnd/>
          <a:tailEnd/>
        </a:ln>
        <a:effectLst/>
        <a:extLs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IN" sz="900" b="1" i="0" u="none" strike="noStrike" baseline="0">
              <a:solidFill>
                <a:srgbClr val="FFFFFF"/>
              </a:solidFill>
              <a:latin typeface="Verdana"/>
              <a:ea typeface="Verdana"/>
              <a:cs typeface="Verdana"/>
            </a:rPr>
            <a:t>Interest on Funded Status (after-tax)</a:t>
          </a:r>
        </a:p>
      </xdr:txBody>
    </xdr:sp>
    <xdr:clientData/>
  </xdr:twoCellAnchor>
  <xdr:twoCellAnchor>
    <xdr:from>
      <xdr:col>2</xdr:col>
      <xdr:colOff>876300</xdr:colOff>
      <xdr:row>77</xdr:row>
      <xdr:rowOff>152400</xdr:rowOff>
    </xdr:from>
    <xdr:to>
      <xdr:col>2</xdr:col>
      <xdr:colOff>1247775</xdr:colOff>
      <xdr:row>80</xdr:row>
      <xdr:rowOff>133350</xdr:rowOff>
    </xdr:to>
    <xdr:sp macro="" textlink="">
      <xdr:nvSpPr>
        <xdr:cNvPr id="6" name="Text Box 30"/>
        <xdr:cNvSpPr txBox="1">
          <a:spLocks noChangeArrowheads="1"/>
        </xdr:cNvSpPr>
      </xdr:nvSpPr>
      <xdr:spPr bwMode="auto">
        <a:xfrm>
          <a:off x="1828800" y="12620625"/>
          <a:ext cx="0" cy="46672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1500" b="0" i="0" u="none" strike="noStrike" baseline="0">
              <a:solidFill>
                <a:srgbClr val="2270AB"/>
              </a:solidFill>
              <a:latin typeface="Arial"/>
              <a:cs typeface="Arial"/>
            </a:rPr>
            <a:t>+</a:t>
          </a:r>
          <a:endParaRPr lang="en-US" sz="2000" b="0" i="0" u="none" strike="noStrike" baseline="0">
            <a:solidFill>
              <a:srgbClr val="2270AB"/>
            </a:solidFill>
            <a:latin typeface="Arial"/>
            <a:cs typeface="Arial"/>
          </a:endParaRPr>
        </a:p>
        <a:p>
          <a:pPr algn="l" rtl="0">
            <a:defRPr sz="1000"/>
          </a:pPr>
          <a:endParaRPr lang="en-US" sz="2000" b="0" i="0" u="none" strike="noStrike" baseline="0">
            <a:solidFill>
              <a:srgbClr val="2270AB"/>
            </a:solidFill>
            <a:latin typeface="Arial"/>
            <a:cs typeface="Arial"/>
          </a:endParaRPr>
        </a:p>
      </xdr:txBody>
    </xdr:sp>
    <xdr:clientData/>
  </xdr:twoCellAnchor>
  <xdr:twoCellAnchor>
    <xdr:from>
      <xdr:col>2</xdr:col>
      <xdr:colOff>2562225</xdr:colOff>
      <xdr:row>74</xdr:row>
      <xdr:rowOff>95250</xdr:rowOff>
    </xdr:from>
    <xdr:to>
      <xdr:col>7</xdr:col>
      <xdr:colOff>28575</xdr:colOff>
      <xdr:row>74</xdr:row>
      <xdr:rowOff>95250</xdr:rowOff>
    </xdr:to>
    <xdr:sp macro="" textlink="">
      <xdr:nvSpPr>
        <xdr:cNvPr id="7" name="Line 31"/>
        <xdr:cNvSpPr>
          <a:spLocks noChangeShapeType="1"/>
        </xdr:cNvSpPr>
      </xdr:nvSpPr>
      <xdr:spPr bwMode="gray">
        <a:xfrm>
          <a:off x="1828800" y="12077700"/>
          <a:ext cx="2466975"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2</xdr:col>
      <xdr:colOff>2543175</xdr:colOff>
      <xdr:row>77</xdr:row>
      <xdr:rowOff>133350</xdr:rowOff>
    </xdr:from>
    <xdr:to>
      <xdr:col>7</xdr:col>
      <xdr:colOff>19050</xdr:colOff>
      <xdr:row>77</xdr:row>
      <xdr:rowOff>133350</xdr:rowOff>
    </xdr:to>
    <xdr:sp macro="" textlink="">
      <xdr:nvSpPr>
        <xdr:cNvPr id="8" name="Line 32"/>
        <xdr:cNvSpPr>
          <a:spLocks noChangeShapeType="1"/>
        </xdr:cNvSpPr>
      </xdr:nvSpPr>
      <xdr:spPr bwMode="gray">
        <a:xfrm>
          <a:off x="1828800" y="12601575"/>
          <a:ext cx="2457450"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2</xdr:col>
      <xdr:colOff>2571750</xdr:colOff>
      <xdr:row>81</xdr:row>
      <xdr:rowOff>19050</xdr:rowOff>
    </xdr:from>
    <xdr:to>
      <xdr:col>7</xdr:col>
      <xdr:colOff>9525</xdr:colOff>
      <xdr:row>81</xdr:row>
      <xdr:rowOff>19050</xdr:rowOff>
    </xdr:to>
    <xdr:sp macro="" textlink="">
      <xdr:nvSpPr>
        <xdr:cNvPr id="9" name="Line 33"/>
        <xdr:cNvSpPr>
          <a:spLocks noChangeShapeType="1"/>
        </xdr:cNvSpPr>
      </xdr:nvSpPr>
      <xdr:spPr bwMode="gray">
        <a:xfrm>
          <a:off x="1828800" y="13134975"/>
          <a:ext cx="2447925" cy="0"/>
        </a:xfrm>
        <a:prstGeom prst="line">
          <a:avLst/>
        </a:prstGeom>
        <a:noFill/>
        <a:ln w="19050">
          <a:solidFill>
            <a:srgbClr val="CC0000"/>
          </a:solidFill>
          <a:round/>
          <a:headEnd/>
          <a:tailEnd type="stealth" w="lg" len="lg"/>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969696"/>
                </a:outerShdw>
              </a:effectLst>
            </a14:hiddenEffects>
          </a:ext>
        </a:extLst>
      </xdr:spPr>
    </xdr:sp>
    <xdr:clientData/>
  </xdr:twoCellAnchor>
  <xdr:twoCellAnchor>
    <xdr:from>
      <xdr:col>7</xdr:col>
      <xdr:colOff>95250</xdr:colOff>
      <xdr:row>73</xdr:row>
      <xdr:rowOff>104775</xdr:rowOff>
    </xdr:from>
    <xdr:to>
      <xdr:col>19</xdr:col>
      <xdr:colOff>428625</xdr:colOff>
      <xdr:row>75</xdr:row>
      <xdr:rowOff>123825</xdr:rowOff>
    </xdr:to>
    <xdr:sp macro="" textlink="">
      <xdr:nvSpPr>
        <xdr:cNvPr id="10" name="Text Box 34"/>
        <xdr:cNvSpPr txBox="1">
          <a:spLocks noChangeArrowheads="1"/>
        </xdr:cNvSpPr>
      </xdr:nvSpPr>
      <xdr:spPr bwMode="gray">
        <a:xfrm>
          <a:off x="4362450" y="11925300"/>
          <a:ext cx="7648575" cy="34290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0">
              <a:solidFill>
                <a:srgbClr val="2270AB"/>
              </a:solidFill>
              <a:latin typeface="Verdana"/>
              <a:ea typeface="Verdana"/>
              <a:cs typeface="Verdana"/>
            </a:rPr>
            <a:t>Reduces equity value dollar for dollar as a debt-like liability</a:t>
          </a:r>
          <a:endParaRPr lang="en-US" sz="1200" b="0" i="0" u="none" strike="noStrike" baseline="0">
            <a:solidFill>
              <a:srgbClr val="2270AB"/>
            </a:solidFill>
            <a:latin typeface="Arial"/>
            <a:ea typeface="Verdana"/>
            <a:cs typeface="Arial"/>
          </a:endParaRPr>
        </a:p>
        <a:p>
          <a:pPr algn="l" rtl="0">
            <a:defRPr sz="1000"/>
          </a:pPr>
          <a:endParaRPr lang="en-US" sz="1200" b="0" i="0" u="none" strike="noStrike" baseline="0">
            <a:solidFill>
              <a:srgbClr val="2270AB"/>
            </a:solidFill>
            <a:latin typeface="Arial"/>
            <a:cs typeface="Arial"/>
          </a:endParaRPr>
        </a:p>
      </xdr:txBody>
    </xdr:sp>
    <xdr:clientData/>
  </xdr:twoCellAnchor>
  <xdr:twoCellAnchor>
    <xdr:from>
      <xdr:col>7</xdr:col>
      <xdr:colOff>95250</xdr:colOff>
      <xdr:row>76</xdr:row>
      <xdr:rowOff>95250</xdr:rowOff>
    </xdr:from>
    <xdr:to>
      <xdr:col>19</xdr:col>
      <xdr:colOff>190500</xdr:colOff>
      <xdr:row>79</xdr:row>
      <xdr:rowOff>85725</xdr:rowOff>
    </xdr:to>
    <xdr:sp macro="" textlink="">
      <xdr:nvSpPr>
        <xdr:cNvPr id="11" name="Text Box 35"/>
        <xdr:cNvSpPr txBox="1">
          <a:spLocks noChangeArrowheads="1"/>
        </xdr:cNvSpPr>
      </xdr:nvSpPr>
      <xdr:spPr bwMode="gray">
        <a:xfrm>
          <a:off x="4362450" y="12401550"/>
          <a:ext cx="7410450" cy="47625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0">
              <a:solidFill>
                <a:srgbClr val="2270AB"/>
              </a:solidFill>
              <a:latin typeface="Verdana"/>
              <a:ea typeface="Verdana"/>
              <a:cs typeface="Verdana"/>
            </a:rPr>
            <a:t>Use in projections of earnings and operating cash flow as a proxy for contributions</a:t>
          </a:r>
          <a:r>
            <a:rPr lang="en-US" sz="900" b="1" i="0" u="none" strike="noStrike" baseline="30000">
              <a:solidFill>
                <a:srgbClr val="2270AB"/>
              </a:solidFill>
              <a:latin typeface="Verdana"/>
              <a:ea typeface="Verdana"/>
              <a:cs typeface="Verdana"/>
            </a:rPr>
            <a:t>(1)</a:t>
          </a:r>
          <a:endParaRPr lang="en-US" sz="1200" b="0" i="0" u="none" strike="noStrike" baseline="0">
            <a:solidFill>
              <a:srgbClr val="2270AB"/>
            </a:solidFill>
            <a:latin typeface="Arial"/>
            <a:ea typeface="Verdana"/>
            <a:cs typeface="Arial"/>
          </a:endParaRPr>
        </a:p>
        <a:p>
          <a:pPr algn="l" rtl="0">
            <a:defRPr sz="1000"/>
          </a:pPr>
          <a:endParaRPr lang="en-US" sz="1200" b="0" i="0" u="none" strike="noStrike" baseline="0">
            <a:solidFill>
              <a:srgbClr val="2270AB"/>
            </a:solidFill>
            <a:latin typeface="Arial"/>
            <a:cs typeface="Arial"/>
          </a:endParaRPr>
        </a:p>
      </xdr:txBody>
    </xdr:sp>
    <xdr:clientData/>
  </xdr:twoCellAnchor>
  <xdr:oneCellAnchor>
    <xdr:from>
      <xdr:col>7</xdr:col>
      <xdr:colOff>66675</xdr:colOff>
      <xdr:row>80</xdr:row>
      <xdr:rowOff>57150</xdr:rowOff>
    </xdr:from>
    <xdr:ext cx="3869201" cy="232628"/>
    <xdr:sp macro="" textlink="">
      <xdr:nvSpPr>
        <xdr:cNvPr id="12" name="Text Box 36"/>
        <xdr:cNvSpPr txBox="1">
          <a:spLocks noChangeArrowheads="1"/>
        </xdr:cNvSpPr>
      </xdr:nvSpPr>
      <xdr:spPr bwMode="gray">
        <a:xfrm>
          <a:off x="4333875" y="13011150"/>
          <a:ext cx="3869201" cy="232628"/>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wrap="none" lIns="45720" tIns="45720" rIns="45720" bIns="45720" anchor="t" upright="1">
          <a:spAutoFit/>
        </a:bodyPr>
        <a:lstStyle/>
        <a:p>
          <a:pPr algn="l" rtl="0">
            <a:defRPr sz="1000"/>
          </a:pPr>
          <a:r>
            <a:rPr lang="en-US" sz="900" b="1" i="0" u="none" strike="noStrike" baseline="0">
              <a:solidFill>
                <a:srgbClr val="2270AB"/>
              </a:solidFill>
              <a:latin typeface="Verdana"/>
              <a:ea typeface="Verdana"/>
              <a:cs typeface="Verdana"/>
            </a:rPr>
            <a:t>Use in projections of net income in equity-level valuations</a:t>
          </a:r>
        </a:p>
      </xdr:txBody>
    </xdr:sp>
    <xdr:clientData/>
  </xdr:oneCellAnchor>
  <xdr:twoCellAnchor>
    <xdr:from>
      <xdr:col>1</xdr:col>
      <xdr:colOff>257175</xdr:colOff>
      <xdr:row>82</xdr:row>
      <xdr:rowOff>104775</xdr:rowOff>
    </xdr:from>
    <xdr:to>
      <xdr:col>19</xdr:col>
      <xdr:colOff>447675</xdr:colOff>
      <xdr:row>84</xdr:row>
      <xdr:rowOff>114300</xdr:rowOff>
    </xdr:to>
    <xdr:sp macro="" textlink="">
      <xdr:nvSpPr>
        <xdr:cNvPr id="13" name="Text Box 37"/>
        <xdr:cNvSpPr txBox="1">
          <a:spLocks noChangeArrowheads="1"/>
        </xdr:cNvSpPr>
      </xdr:nvSpPr>
      <xdr:spPr bwMode="gray">
        <a:xfrm>
          <a:off x="866775" y="13382625"/>
          <a:ext cx="11163300" cy="333375"/>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30000">
              <a:solidFill>
                <a:srgbClr val="2270AB"/>
              </a:solidFill>
              <a:latin typeface="Verdana"/>
              <a:ea typeface="Verdana"/>
              <a:cs typeface="Verdana"/>
            </a:rPr>
            <a:t>(1)</a:t>
          </a:r>
          <a:r>
            <a:rPr lang="en-US" sz="900" b="1" i="0" u="none" strike="noStrike" baseline="0">
              <a:solidFill>
                <a:srgbClr val="2270AB"/>
              </a:solidFill>
              <a:latin typeface="Verdana"/>
              <a:ea typeface="Verdana"/>
              <a:cs typeface="Verdana"/>
            </a:rPr>
            <a:t>Projections of pension contributions are relevant only if large cash outflows would constrain business activities</a:t>
          </a:r>
        </a:p>
      </xdr:txBody>
    </xdr:sp>
    <xdr:clientData/>
  </xdr:twoCellAnchor>
  <mc:AlternateContent xmlns:mc="http://schemas.openxmlformats.org/markup-compatibility/2006">
    <mc:Choice xmlns:a14="http://schemas.microsoft.com/office/drawing/2010/main" Requires="a14">
      <xdr:twoCellAnchor editAs="oneCell">
        <xdr:from>
          <xdr:col>20</xdr:col>
          <xdr:colOff>209550</xdr:colOff>
          <xdr:row>0</xdr:row>
          <xdr:rowOff>66675</xdr:rowOff>
        </xdr:from>
        <xdr:to>
          <xdr:col>22</xdr:col>
          <xdr:colOff>180975</xdr:colOff>
          <xdr:row>1</xdr:row>
          <xdr:rowOff>133350</xdr:rowOff>
        </xdr:to>
        <xdr:sp macro="" textlink="">
          <xdr:nvSpPr>
            <xdr:cNvPr id="32313377" name="CommandButton1" hidden="1">
              <a:extLst>
                <a:ext uri="{63B3BB69-23CF-44E3-9099-C40C66FF867C}">
                  <a14:compatExt spid="_x0000_s32313377"/>
                </a:ext>
              </a:extLst>
            </xdr:cNvPr>
            <xdr:cNvSpPr/>
          </xdr:nvSpPr>
          <xdr:spPr>
            <a:xfrm>
              <a:off x="0" y="0"/>
              <a:ext cx="0" cy="0"/>
            </a:xfrm>
            <a:prstGeom prst="rect">
              <a:avLst/>
            </a:prstGeom>
          </xdr:spPr>
        </xdr:sp>
        <xdr:clientData/>
      </xdr:twoCellAnchor>
    </mc:Choice>
    <mc:Fallback/>
  </mc:AlternateContent>
  <xdr:twoCellAnchor>
    <xdr:from>
      <xdr:col>20</xdr:col>
      <xdr:colOff>114300</xdr:colOff>
      <xdr:row>32</xdr:row>
      <xdr:rowOff>9525</xdr:rowOff>
    </xdr:from>
    <xdr:to>
      <xdr:col>25</xdr:col>
      <xdr:colOff>361950</xdr:colOff>
      <xdr:row>45</xdr:row>
      <xdr:rowOff>152400</xdr:rowOff>
    </xdr:to>
    <xdr:graphicFrame macro="">
      <xdr:nvGraphicFramePr>
        <xdr:cNvPr id="15"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85725</xdr:colOff>
      <xdr:row>16</xdr:row>
      <xdr:rowOff>38100</xdr:rowOff>
    </xdr:from>
    <xdr:to>
      <xdr:col>25</xdr:col>
      <xdr:colOff>342900</xdr:colOff>
      <xdr:row>31</xdr:row>
      <xdr:rowOff>19050</xdr:rowOff>
    </xdr:to>
    <xdr:graphicFrame macro="">
      <xdr:nvGraphicFramePr>
        <xdr:cNvPr id="16" name="Chart 1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57150</xdr:rowOff>
        </xdr:from>
        <xdr:to>
          <xdr:col>26</xdr:col>
          <xdr:colOff>0</xdr:colOff>
          <xdr:row>1</xdr:row>
          <xdr:rowOff>133350</xdr:rowOff>
        </xdr:to>
        <xdr:sp macro="" textlink="">
          <xdr:nvSpPr>
            <xdr:cNvPr id="32313378" name="CommandButton2" hidden="1">
              <a:extLst>
                <a:ext uri="{63B3BB69-23CF-44E3-9099-C40C66FF867C}">
                  <a14:compatExt spid="_x0000_s32313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0</xdr:row>
          <xdr:rowOff>85725</xdr:rowOff>
        </xdr:from>
        <xdr:to>
          <xdr:col>13</xdr:col>
          <xdr:colOff>657225</xdr:colOff>
          <xdr:row>1</xdr:row>
          <xdr:rowOff>171450</xdr:rowOff>
        </xdr:to>
        <xdr:sp macro="" textlink="">
          <xdr:nvSpPr>
            <xdr:cNvPr id="32313379" name="ComboBox1" hidden="1">
              <a:extLst>
                <a:ext uri="{63B3BB69-23CF-44E3-9099-C40C66FF867C}">
                  <a14:compatExt spid="_x0000_s32313379"/>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20</xdr:col>
      <xdr:colOff>171450</xdr:colOff>
      <xdr:row>17</xdr:row>
      <xdr:rowOff>19050</xdr:rowOff>
    </xdr:from>
    <xdr:to>
      <xdr:col>24</xdr:col>
      <xdr:colOff>200025</xdr:colOff>
      <xdr:row>31</xdr:row>
      <xdr:rowOff>152400</xdr:rowOff>
    </xdr:to>
    <xdr:graphicFrame macro="">
      <xdr:nvGraphicFramePr>
        <xdr:cNvPr id="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0</xdr:row>
          <xdr:rowOff>57150</xdr:rowOff>
        </xdr:from>
        <xdr:to>
          <xdr:col>14</xdr:col>
          <xdr:colOff>0</xdr:colOff>
          <xdr:row>1</xdr:row>
          <xdr:rowOff>180975</xdr:rowOff>
        </xdr:to>
        <xdr:sp macro="" textlink="">
          <xdr:nvSpPr>
            <xdr:cNvPr id="32314400" name="ComboBox1" hidden="1">
              <a:extLst>
                <a:ext uri="{63B3BB69-23CF-44E3-9099-C40C66FF867C}">
                  <a14:compatExt spid="_x0000_s32314400"/>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400050</xdr:colOff>
      <xdr:row>47</xdr:row>
      <xdr:rowOff>28575</xdr:rowOff>
    </xdr:from>
    <xdr:to>
      <xdr:col>17</xdr:col>
      <xdr:colOff>180975</xdr:colOff>
      <xdr:row>66</xdr:row>
      <xdr:rowOff>57150</xdr:rowOff>
    </xdr:to>
    <xdr:graphicFrame macro="">
      <xdr:nvGraphicFramePr>
        <xdr:cNvPr id="2036083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419100</xdr:colOff>
      <xdr:row>66</xdr:row>
      <xdr:rowOff>114300</xdr:rowOff>
    </xdr:from>
    <xdr:to>
      <xdr:col>17</xdr:col>
      <xdr:colOff>200025</xdr:colOff>
      <xdr:row>86</xdr:row>
      <xdr:rowOff>0</xdr:rowOff>
    </xdr:to>
    <xdr:graphicFrame macro="">
      <xdr:nvGraphicFramePr>
        <xdr:cNvPr id="2036083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WIN.O.txt"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https://ny.matrix.ms.com/ER13/wireless/Towers/MODEL/AMT%20Morgan%20Stanley.xls"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ER13/wireless/Towers/MODEL/CCI%20Morgan%20Stanley_Pending.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ER13/CLECs/CLEC/LVLT/Fcalls/2011/August%20-%20Reassumption/Backup_LVLT%20-%20Reassumption.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Documents%20and%20Settings/warjohn/Local%20Settings/Temporary%20Internet%20Files/OLK1DA/Funded%20status%20Chart.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Documents%20and%20Settings/warjohn/Local%20Settings/Temporary%20Internet%20Files/OLK1DA/Funded%20status%20Chart.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ER13/CLECs/CLEC/TWTC/Models/TWTC%20Morgan%20Stanley%20-%20v1.xlsm"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ER13/Large%20Cap%20Telco/AT&amp;T%20formerly%20SBC/MODELS/T_pending_Pension.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file://///MSAD/ROOT/NA/NY/LIB/ER/ER13/Independent_Rural%20Telcos/CTL/CTLEQ_MergerDocs/Summary_states.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ER13/Large%20Cap%20Telco/Client%20Models/VZ%20Morgan%20Stanley.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4.xml.rels><?xml version="1.0" encoding="UTF-8" standalone="yes"?>
<Relationships xmlns="http://schemas.openxmlformats.org/package/2006/relationships">
<Relationship Id="rId1" Target="Documents%20and%20Settings/warjohn/Desktop/Pension%20Analyzer_VZ.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Good 12-00 (2)"/>
      <sheetName val="Good 11-36"/>
      <sheetName val="Good 11-50"/>
      <sheetName val="Sheet3 (5)"/>
      <sheetName val="WACC"/>
      <sheetName val="Sheet1"/>
      <sheetName val="Fixed Line Mkt"/>
      <sheetName val="Cash Flow"/>
      <sheetName val="upside_downside"/>
      <sheetName val="Income Statement"/>
      <sheetName val="Balance Sheet"/>
      <sheetName val="Valsum"/>
      <sheetName val="Risk-Reward_View_Chart"/>
      <sheetName val="variables"/>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Total_Production"/>
      <sheetName val="RFS"/>
      <sheetName val="Corn_Uses"/>
      <sheetName val="US_Production"/>
      <sheetName val="IS Quarterly"/>
      <sheetName val="Sheet1 (2)"/>
      <sheetName val="1Q11 Preview"/>
      <sheetName val="2Q11 Preview"/>
      <sheetName val="Model"/>
      <sheetName val="Intrinsic Value"/>
      <sheetName val="Rev by Geo"/>
      <sheetName val="Exclusion List"/>
      <sheetName val="fin"/>
      <sheetName val="Report template"/>
      <sheetName val="Model (WIP)"/>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FX"/>
      <sheetName val="Risk-Reward_View_Chart"/>
      <sheetName val="Valsum"/>
      <sheetName val="Interims"/>
      <sheetName val="Financial Statements"/>
      <sheetName val="Inputs"/>
      <sheetName val="Good 12-00 (2)"/>
      <sheetName val="Good 11-36"/>
      <sheetName val="Good 11-50"/>
      <sheetName val="Sheet3 (5)"/>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Charts"/>
      <sheetName val="Pension"/>
      <sheetName val="Wal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heetVisibilityStatus"/>
      <sheetName val="CircularReferenceAlert"/>
      <sheetName val="Cover"/>
      <sheetName val="MW-Cache"/>
      <sheetName val="__FDSCACHE__"/>
      <sheetName val="MS vs Consensus"/>
      <sheetName val="Valuation"/>
      <sheetName val="IS"/>
      <sheetName val="CFS"/>
      <sheetName val="Segments"/>
      <sheetName val="BS"/>
      <sheetName val="Global links"/>
      <sheetName val="As Reported 06"/>
      <sheetName val="Valor IS"/>
      <sheetName val="AT Wireline"/>
      <sheetName val="VCG Wireline"/>
      <sheetName val="WIN ELNK PRO FORMA"/>
      <sheetName val="Sheet1"/>
      <sheetName val="Pension"/>
      <sheetName val="OPEB"/>
      <sheetName val="WIN.O"/>
      <sheetName val="ModPubIndex"/>
      <sheetName val="charts 2"/>
      <sheetName val="Charts"/>
      <sheetName val="MW Valuation"/>
      <sheetName val="Sheet2"/>
      <sheetName val="Segments (OLD)"/>
      <sheetName val="Segments OLD"/>
      <sheetName val="Value"/>
      <sheetName val="Deal Impact"/>
      <sheetName val="Old Links"/>
      <sheetName val="Segments bef CT"/>
      <sheetName val="OLD Segments"/>
      <sheetName val="AT Comm Sppt Svs"/>
      <sheetName val="Cash Taxes"/>
      <sheetName val="Links"/>
      <sheetName val="Inputs"/>
    </sheetNames>
    <sheetDataSet>
      <sheetData sheetId="0" refreshError="1"/>
      <sheetData sheetId="1" refreshError="1"/>
      <sheetData sheetId="2" refreshError="1"/>
      <sheetData sheetId="3" refreshError="1">
        <row r="2">
          <cell r="A2" t="str">
            <v>K</v>
          </cell>
        </row>
        <row r="23">
          <cell r="E23" t="str">
            <v xml:space="preserve">US Telecom Services: Rural Local Exchange Carriers </v>
          </cell>
        </row>
        <row r="26">
          <cell r="E26" t="str">
            <v>Simon Flannery</v>
          </cell>
          <cell r="H26" t="str">
            <v>(212) 761 - 6432</v>
          </cell>
          <cell r="J26" t="str">
            <v>simon.flannery@morganstanley.com</v>
          </cell>
        </row>
        <row r="27">
          <cell r="E27" t="str">
            <v>Spencer Gantsoudes</v>
          </cell>
          <cell r="H27" t="str">
            <v>(212) 761 - 5374</v>
          </cell>
          <cell r="J27" t="str">
            <v>spencer.gantsoudes@morganstanley.com</v>
          </cell>
        </row>
      </sheetData>
      <sheetData sheetId="4" refreshError="1"/>
      <sheetData sheetId="5" refreshError="1"/>
      <sheetData sheetId="6" refreshError="1"/>
      <sheetData sheetId="7" refreshError="1"/>
      <sheetData sheetId="8" refreshError="1">
        <row r="1">
          <cell r="A1" t="str">
            <v>Windstream Communications</v>
          </cell>
        </row>
        <row r="2">
          <cell r="A2" t="str">
            <v>Morgan Stanley</v>
          </cell>
          <cell r="W2">
            <v>-154893.76797047071</v>
          </cell>
          <cell r="X2">
            <v>-140479.11689895578</v>
          </cell>
          <cell r="Y2">
            <v>-127206.53047993407</v>
          </cell>
        </row>
        <row r="3">
          <cell r="A3" t="str">
            <v>Simon Flannery (212) 761-6432</v>
          </cell>
          <cell r="W3">
            <v>-74463.543339685071</v>
          </cell>
          <cell r="X3">
            <v>-68550.506317030638</v>
          </cell>
          <cell r="Y3">
            <v>-63184.965061462019</v>
          </cell>
        </row>
        <row r="4">
          <cell r="L4" t="str">
            <v>Pf for PAETEC</v>
          </cell>
          <cell r="N4" t="str">
            <v>Pf PAETEC</v>
          </cell>
          <cell r="W4">
            <v>-0.51926055957344286</v>
          </cell>
          <cell r="X4">
            <v>-0.51202351046712624</v>
          </cell>
          <cell r="Y4">
            <v>-0.50328835459096966</v>
          </cell>
          <cell r="BT4" t="str">
            <v>PRO-FORMA FOR DATA CENTER SALE</v>
          </cell>
        </row>
        <row r="5">
          <cell r="A5" t="str">
            <v>Income Statement</v>
          </cell>
          <cell r="E5">
            <v>2002</v>
          </cell>
          <cell r="F5">
            <v>2003</v>
          </cell>
          <cell r="G5">
            <v>2004</v>
          </cell>
          <cell r="H5">
            <v>2005</v>
          </cell>
          <cell r="I5">
            <v>2006</v>
          </cell>
          <cell r="J5">
            <v>2007</v>
          </cell>
          <cell r="K5">
            <v>2008</v>
          </cell>
          <cell r="L5">
            <v>2009</v>
          </cell>
          <cell r="M5">
            <v>2010</v>
          </cell>
          <cell r="N5">
            <v>2011</v>
          </cell>
          <cell r="O5">
            <v>2012</v>
          </cell>
          <cell r="P5">
            <v>2013</v>
          </cell>
          <cell r="Q5">
            <v>2014</v>
          </cell>
          <cell r="R5">
            <v>2015</v>
          </cell>
          <cell r="S5">
            <v>2016</v>
          </cell>
          <cell r="T5">
            <v>2017</v>
          </cell>
          <cell r="U5">
            <v>2018</v>
          </cell>
          <cell r="V5">
            <v>2019</v>
          </cell>
          <cell r="W5">
            <v>2020</v>
          </cell>
          <cell r="X5">
            <v>2021</v>
          </cell>
          <cell r="Y5">
            <v>2022</v>
          </cell>
          <cell r="Z5" t="str">
            <v>CAGR
 '16 -21</v>
          </cell>
          <cell r="AB5" t="str">
            <v>1Q04</v>
          </cell>
          <cell r="AC5" t="str">
            <v>2Q04</v>
          </cell>
          <cell r="AD5" t="str">
            <v>3Q04</v>
          </cell>
          <cell r="AE5" t="str">
            <v>4Q04</v>
          </cell>
          <cell r="AF5" t="str">
            <v>1Q05</v>
          </cell>
          <cell r="AG5" t="str">
            <v>2Q05</v>
          </cell>
          <cell r="AH5" t="str">
            <v>3Q05</v>
          </cell>
          <cell r="AI5" t="str">
            <v>4Q05</v>
          </cell>
          <cell r="AJ5" t="str">
            <v>1Q06</v>
          </cell>
          <cell r="AK5" t="str">
            <v>2Q06</v>
          </cell>
          <cell r="AL5" t="str">
            <v>3Q06</v>
          </cell>
          <cell r="AM5" t="str">
            <v>4Q06</v>
          </cell>
          <cell r="AN5" t="str">
            <v>1Q07</v>
          </cell>
          <cell r="AO5" t="str">
            <v>2Q07</v>
          </cell>
          <cell r="AP5" t="str">
            <v>3Q07</v>
          </cell>
          <cell r="AQ5" t="str">
            <v>4Q07</v>
          </cell>
          <cell r="AR5" t="str">
            <v>1Q08</v>
          </cell>
          <cell r="AS5" t="str">
            <v>2Q08</v>
          </cell>
          <cell r="AT5" t="str">
            <v>3Q08</v>
          </cell>
          <cell r="AU5" t="str">
            <v>4Q08</v>
          </cell>
          <cell r="AV5" t="str">
            <v>1Q09</v>
          </cell>
          <cell r="AW5" t="str">
            <v>2Q09</v>
          </cell>
          <cell r="AX5" t="str">
            <v>3Q09</v>
          </cell>
          <cell r="AY5" t="str">
            <v>4Q09</v>
          </cell>
          <cell r="AZ5" t="str">
            <v>1Q10</v>
          </cell>
          <cell r="BA5" t="str">
            <v>2Q10</v>
          </cell>
          <cell r="BB5" t="str">
            <v>3Q10</v>
          </cell>
          <cell r="BC5" t="str">
            <v>4Q10</v>
          </cell>
          <cell r="BD5" t="str">
            <v>1Q11</v>
          </cell>
          <cell r="BE5" t="str">
            <v>2Q11</v>
          </cell>
          <cell r="BF5" t="str">
            <v>3Q11</v>
          </cell>
          <cell r="BG5" t="str">
            <v>4Q11</v>
          </cell>
          <cell r="BH5" t="str">
            <v>1Q12</v>
          </cell>
          <cell r="BI5" t="str">
            <v>2Q12</v>
          </cell>
          <cell r="BJ5" t="str">
            <v>3Q12</v>
          </cell>
          <cell r="BK5" t="str">
            <v>4Q12</v>
          </cell>
          <cell r="BL5" t="str">
            <v>1Q13</v>
          </cell>
          <cell r="BM5" t="str">
            <v>2Q13</v>
          </cell>
          <cell r="BN5" t="str">
            <v>3Q13</v>
          </cell>
          <cell r="BO5" t="str">
            <v>4Q13</v>
          </cell>
          <cell r="BP5" t="str">
            <v>1Q14</v>
          </cell>
          <cell r="BQ5" t="str">
            <v>2Q14</v>
          </cell>
          <cell r="BR5" t="str">
            <v>3Q14</v>
          </cell>
          <cell r="BS5" t="str">
            <v>4Q14</v>
          </cell>
          <cell r="BT5" t="str">
            <v>1Q15</v>
          </cell>
          <cell r="BU5" t="str">
            <v>2Q15</v>
          </cell>
          <cell r="BV5" t="str">
            <v>3Q15</v>
          </cell>
          <cell r="BW5" t="str">
            <v>4Q15</v>
          </cell>
          <cell r="BX5" t="str">
            <v>1Q16</v>
          </cell>
          <cell r="BY5" t="str">
            <v>2Q16</v>
          </cell>
          <cell r="BZ5" t="str">
            <v>3Q16</v>
          </cell>
          <cell r="CA5" t="str">
            <v>4Q16</v>
          </cell>
          <cell r="CB5" t="str">
            <v>1Q17</v>
          </cell>
          <cell r="CC5" t="str">
            <v>2Q17E</v>
          </cell>
          <cell r="CD5" t="str">
            <v>3Q17E</v>
          </cell>
          <cell r="CE5" t="str">
            <v>4Q17E</v>
          </cell>
        </row>
        <row r="6">
          <cell r="A6" t="str">
            <v>EPS (Proforma)</v>
          </cell>
          <cell r="J6">
            <v>1.0072356964787699</v>
          </cell>
          <cell r="K6">
            <v>6.6793466270683064</v>
          </cell>
          <cell r="L6">
            <v>5.497793381417055</v>
          </cell>
          <cell r="M6">
            <v>4.3993691714412932</v>
          </cell>
          <cell r="N6">
            <v>3.3216832383016821</v>
          </cell>
          <cell r="O6">
            <v>1.9683937603604369</v>
          </cell>
          <cell r="P6">
            <v>2.465606863487257</v>
          </cell>
          <cell r="Q6">
            <v>-0.29826298565075104</v>
          </cell>
          <cell r="R6">
            <v>0.81199586349534647</v>
          </cell>
          <cell r="S6">
            <v>-4.5140544915025629</v>
          </cell>
          <cell r="T6">
            <v>-0.48978120752881393</v>
          </cell>
          <cell r="U6">
            <v>-0.39929521597470735</v>
          </cell>
          <cell r="V6">
            <v>-0.37161971527463517</v>
          </cell>
          <cell r="W6">
            <v>-0.35255422835553085</v>
          </cell>
          <cell r="X6">
            <v>-0.35719160488412244</v>
          </cell>
          <cell r="Y6">
            <v>-0.66789059845036569</v>
          </cell>
          <cell r="AJ6">
            <v>-0.63324427089274737</v>
          </cell>
          <cell r="AK6">
            <v>-0.80935606694277107</v>
          </cell>
          <cell r="AL6">
            <v>0.17434151623484007</v>
          </cell>
          <cell r="AM6">
            <v>0.2586414778893506</v>
          </cell>
          <cell r="AN6">
            <v>0.22965697429414242</v>
          </cell>
          <cell r="AO6">
            <v>0.23967586352148273</v>
          </cell>
          <cell r="AP6">
            <v>0.24871551905664349</v>
          </cell>
          <cell r="AQ6">
            <v>0.28918733960650128</v>
          </cell>
          <cell r="AR6">
            <v>0.30160932297447279</v>
          </cell>
          <cell r="AS6">
            <v>0.30693628558517849</v>
          </cell>
          <cell r="AT6">
            <v>0.28907822506861847</v>
          </cell>
          <cell r="AU6">
            <v>0.28978265843056511</v>
          </cell>
          <cell r="AV6">
            <v>1.2979165828249815</v>
          </cell>
          <cell r="AW6">
            <v>1.2322043327241408</v>
          </cell>
          <cell r="AX6">
            <v>1.2677844388106798</v>
          </cell>
          <cell r="AY6">
            <v>1.3412313911241467</v>
          </cell>
          <cell r="AZ6">
            <v>1.160526570103056</v>
          </cell>
          <cell r="BA6">
            <v>1.1222992232192406</v>
          </cell>
          <cell r="BB6">
            <v>1.1840126525022627</v>
          </cell>
          <cell r="BC6">
            <v>0.93253072561673356</v>
          </cell>
          <cell r="BD6">
            <v>1.2712790928983491</v>
          </cell>
          <cell r="BE6">
            <v>1.1893882352941176</v>
          </cell>
          <cell r="BF6">
            <v>1.3197192435172547</v>
          </cell>
          <cell r="BG6">
            <v>-0.31267407840842598</v>
          </cell>
          <cell r="BH6">
            <v>0.70798569725864113</v>
          </cell>
          <cell r="BI6">
            <v>0.58959537572254328</v>
          </cell>
          <cell r="BJ6">
            <v>0.49991498044550242</v>
          </cell>
          <cell r="BK6">
            <v>0.15363427697016066</v>
          </cell>
          <cell r="BL6">
            <v>0.48654416123295796</v>
          </cell>
          <cell r="BM6">
            <v>0.43323492197385072</v>
          </cell>
          <cell r="BN6">
            <v>0.28140297754226595</v>
          </cell>
          <cell r="BO6">
            <v>1.2653191310911682</v>
          </cell>
          <cell r="BP6">
            <v>0.15794478271749102</v>
          </cell>
          <cell r="BQ6">
            <v>0.17262319561971129</v>
          </cell>
          <cell r="BR6">
            <v>0.12504770596531986</v>
          </cell>
          <cell r="BS6">
            <v>-0.75691070531077231</v>
          </cell>
          <cell r="BT6">
            <v>0.10575396825396825</v>
          </cell>
          <cell r="BU6">
            <v>-0.75179282868525898</v>
          </cell>
          <cell r="BV6">
            <v>-7.5125881168177241E-2</v>
          </cell>
          <cell r="BW6">
            <v>1.5594622543950363</v>
          </cell>
          <cell r="BX6">
            <v>-2.5017353579175703</v>
          </cell>
          <cell r="BY6">
            <v>7.261410788381743E-3</v>
          </cell>
          <cell r="BZ6">
            <v>-0.70538793103448272</v>
          </cell>
          <cell r="CA6">
            <v>-1.3231431646932186</v>
          </cell>
          <cell r="CB6">
            <v>0.25294117647058822</v>
          </cell>
          <cell r="CC6">
            <v>-0.22286570201193584</v>
          </cell>
          <cell r="CD6">
            <v>-0.20511568766628235</v>
          </cell>
          <cell r="CE6">
            <v>-0.27338998113302443</v>
          </cell>
        </row>
        <row r="7">
          <cell r="A7" t="str">
            <v>y/y growth %</v>
          </cell>
          <cell r="K7">
            <v>5.6313640892780761</v>
          </cell>
          <cell r="L7" t="str">
            <v>na</v>
          </cell>
          <cell r="M7">
            <v>-0.199793650610537</v>
          </cell>
          <cell r="N7">
            <v>-0.24496374165083912</v>
          </cell>
          <cell r="O7">
            <v>-0.40741075558822948</v>
          </cell>
          <cell r="P7">
            <v>0.25259839425409192</v>
          </cell>
          <cell r="Q7">
            <v>-1.120969401110808</v>
          </cell>
          <cell r="R7">
            <v>-3.7224157959920219</v>
          </cell>
          <cell r="S7">
            <v>-6.5592087280730746</v>
          </cell>
          <cell r="T7">
            <v>-0.89149860542206616</v>
          </cell>
          <cell r="U7">
            <v>-0.18474778158731886</v>
          </cell>
          <cell r="V7">
            <v>-6.931087474342601E-2</v>
          </cell>
          <cell r="W7">
            <v>-5.1303755251560057E-2</v>
          </cell>
          <cell r="X7">
            <v>1.315365454620232E-2</v>
          </cell>
          <cell r="Y7">
            <v>0.86983845453769271</v>
          </cell>
          <cell r="AP7">
            <v>0.42659949522075258</v>
          </cell>
          <cell r="AQ7">
            <v>0.11810117219566196</v>
          </cell>
          <cell r="AR7">
            <v>0.31330356459444819</v>
          </cell>
          <cell r="AS7">
            <v>0.28063076972148693</v>
          </cell>
          <cell r="AT7">
            <v>0.16228463010698824</v>
          </cell>
          <cell r="AU7">
            <v>2.0585922774969401E-3</v>
          </cell>
          <cell r="AV7" t="str">
            <v>na</v>
          </cell>
          <cell r="AW7" t="str">
            <v>na</v>
          </cell>
          <cell r="AX7" t="str">
            <v>na</v>
          </cell>
          <cell r="AY7" t="str">
            <v>na</v>
          </cell>
          <cell r="AZ7">
            <v>-0.10585427025124305</v>
          </cell>
          <cell r="BA7">
            <v>-8.9193899571772706E-2</v>
          </cell>
          <cell r="BB7">
            <v>-6.6077310735099593E-2</v>
          </cell>
          <cell r="BC7">
            <v>-0.30472047419413784</v>
          </cell>
          <cell r="BD7">
            <v>9.5432991926637234E-2</v>
          </cell>
          <cell r="BE7">
            <v>5.9778186322215099E-2</v>
          </cell>
          <cell r="BF7">
            <v>0.11461582841044216</v>
          </cell>
          <cell r="BG7">
            <v>-1.3352962747706114</v>
          </cell>
          <cell r="BH7">
            <v>-0.44309184252804246</v>
          </cell>
          <cell r="BI7">
            <v>-0.50428686090312191</v>
          </cell>
          <cell r="BJ7">
            <v>-0.62119596050357484</v>
          </cell>
          <cell r="BK7">
            <v>-1.4913559760124346</v>
          </cell>
          <cell r="BL7">
            <v>-0.31277684970631014</v>
          </cell>
          <cell r="BM7">
            <v>-0.26519959312278252</v>
          </cell>
          <cell r="BN7">
            <v>-0.43709832961698425</v>
          </cell>
          <cell r="BO7">
            <v>7.2359168542637295</v>
          </cell>
          <cell r="BP7">
            <v>-0.67537420998488384</v>
          </cell>
          <cell r="BQ7">
            <v>-0.60154828970567031</v>
          </cell>
          <cell r="BR7">
            <v>-0.55562763742775956</v>
          </cell>
          <cell r="BS7">
            <v>-1.5981974718567942</v>
          </cell>
          <cell r="BT7">
            <v>-0.3304370905170968</v>
          </cell>
          <cell r="BU7">
            <v>-5.3551089758612616</v>
          </cell>
          <cell r="BV7">
            <v>-1.6007777638800691</v>
          </cell>
          <cell r="BW7">
            <v>-3.0602988482700249</v>
          </cell>
          <cell r="BX7">
            <v>-24.656184247475711</v>
          </cell>
          <cell r="BY7">
            <v>-1.0096587923046307</v>
          </cell>
          <cell r="BZ7">
            <v>8.3894130766386237</v>
          </cell>
          <cell r="CA7">
            <v>-1.8484611672800679</v>
          </cell>
          <cell r="CB7">
            <v>-1.1011062883490341</v>
          </cell>
          <cell r="CC7">
            <v>-31.691790962786591</v>
          </cell>
          <cell r="CD7">
            <v>-0.70921576817245646</v>
          </cell>
          <cell r="CE7">
            <v>-0.79337838230346591</v>
          </cell>
        </row>
        <row r="8">
          <cell r="A8" t="str">
            <v>Total Revenues</v>
          </cell>
          <cell r="F8">
            <v>3500634</v>
          </cell>
          <cell r="G8">
            <v>3440810</v>
          </cell>
          <cell r="H8">
            <v>3190602</v>
          </cell>
          <cell r="I8">
            <v>3192327</v>
          </cell>
          <cell r="J8">
            <v>3334100</v>
          </cell>
          <cell r="K8">
            <v>3839600</v>
          </cell>
          <cell r="L8">
            <v>4231400</v>
          </cell>
          <cell r="M8">
            <v>6259300</v>
          </cell>
          <cell r="N8">
            <v>6239100</v>
          </cell>
          <cell r="O8">
            <v>6139500</v>
          </cell>
          <cell r="P8">
            <v>5988100</v>
          </cell>
          <cell r="Q8">
            <v>5675000</v>
          </cell>
          <cell r="R8">
            <v>5634100</v>
          </cell>
          <cell r="S8">
            <v>5387000</v>
          </cell>
          <cell r="T8">
            <v>5953085.0817501182</v>
          </cell>
          <cell r="U8">
            <v>5775419.7956096614</v>
          </cell>
          <cell r="V8">
            <v>5601627.8055722984</v>
          </cell>
          <cell r="W8">
            <v>5446734.0376018276</v>
          </cell>
          <cell r="X8">
            <v>5306254.9207028719</v>
          </cell>
          <cell r="Y8">
            <v>5179048.3902229378</v>
          </cell>
          <cell r="Z8">
            <v>-3.0159120286882279E-3</v>
          </cell>
          <cell r="AB8">
            <v>838033.71959195728</v>
          </cell>
          <cell r="AC8">
            <v>867599.23579886509</v>
          </cell>
          <cell r="AD8">
            <v>852857.31507855805</v>
          </cell>
          <cell r="AE8">
            <v>882319.72953061957</v>
          </cell>
          <cell r="AF8">
            <v>784217</v>
          </cell>
          <cell r="AG8">
            <v>806592</v>
          </cell>
          <cell r="AH8">
            <v>796963</v>
          </cell>
          <cell r="AI8">
            <v>802830</v>
          </cell>
          <cell r="AJ8">
            <v>773535</v>
          </cell>
          <cell r="AK8">
            <v>796418</v>
          </cell>
          <cell r="AL8">
            <v>794766</v>
          </cell>
          <cell r="AM8">
            <v>827608</v>
          </cell>
          <cell r="AN8">
            <v>824800</v>
          </cell>
          <cell r="AO8">
            <v>844500</v>
          </cell>
          <cell r="AP8">
            <v>839700</v>
          </cell>
          <cell r="AQ8">
            <v>825100</v>
          </cell>
          <cell r="AR8">
            <v>968200</v>
          </cell>
          <cell r="AS8">
            <v>965700</v>
          </cell>
          <cell r="AT8">
            <v>957000</v>
          </cell>
          <cell r="AU8">
            <v>948700</v>
          </cell>
          <cell r="AV8">
            <v>1069600</v>
          </cell>
          <cell r="AW8">
            <v>1057600</v>
          </cell>
          <cell r="AX8">
            <v>1050800</v>
          </cell>
          <cell r="AY8">
            <v>1053400</v>
          </cell>
          <cell r="AZ8">
            <v>1570200</v>
          </cell>
          <cell r="BA8">
            <v>1559600</v>
          </cell>
          <cell r="BB8">
            <v>1571100</v>
          </cell>
          <cell r="BC8">
            <v>1558400</v>
          </cell>
          <cell r="BD8">
            <v>1553200</v>
          </cell>
          <cell r="BE8">
            <v>1556300</v>
          </cell>
          <cell r="BF8">
            <v>1565200</v>
          </cell>
          <cell r="BG8">
            <v>1564400</v>
          </cell>
          <cell r="BH8">
            <v>1534100</v>
          </cell>
          <cell r="BI8">
            <v>1530300</v>
          </cell>
          <cell r="BJ8">
            <v>1541000</v>
          </cell>
          <cell r="BK8">
            <v>1534100</v>
          </cell>
          <cell r="BL8">
            <v>1496500</v>
          </cell>
          <cell r="BM8">
            <v>1501700</v>
          </cell>
          <cell r="BN8">
            <v>1498600</v>
          </cell>
          <cell r="BO8">
            <v>1491300</v>
          </cell>
          <cell r="BP8">
            <v>1427400</v>
          </cell>
          <cell r="BQ8">
            <v>1427500</v>
          </cell>
          <cell r="BR8">
            <v>1416600</v>
          </cell>
          <cell r="BS8">
            <v>1403500</v>
          </cell>
          <cell r="BT8">
            <v>1379900</v>
          </cell>
          <cell r="BU8">
            <v>1388400</v>
          </cell>
          <cell r="BV8">
            <v>1467200</v>
          </cell>
          <cell r="BW8">
            <v>1398600</v>
          </cell>
          <cell r="BX8">
            <v>1373400</v>
          </cell>
          <cell r="BY8">
            <v>1359600</v>
          </cell>
          <cell r="BZ8">
            <v>1344900</v>
          </cell>
          <cell r="CA8">
            <v>1309100</v>
          </cell>
          <cell r="CB8">
            <v>1515200</v>
          </cell>
          <cell r="CC8">
            <v>1495920.4587368206</v>
          </cell>
          <cell r="CD8">
            <v>1478626.9035453596</v>
          </cell>
          <cell r="CE8">
            <v>1463337.7194679379</v>
          </cell>
        </row>
        <row r="9">
          <cell r="A9" t="str">
            <v>Base</v>
          </cell>
          <cell r="U9">
            <v>5775419.7956096614</v>
          </cell>
          <cell r="V9">
            <v>5601627.8055722984</v>
          </cell>
          <cell r="W9">
            <v>5446734.0376018276</v>
          </cell>
          <cell r="X9">
            <v>5306254.9207028719</v>
          </cell>
          <cell r="Y9">
            <v>5179048.3902229378</v>
          </cell>
          <cell r="CB9">
            <v>1540091.7308331027</v>
          </cell>
          <cell r="CC9">
            <v>1495920.4587368206</v>
          </cell>
          <cell r="CD9">
            <v>1517247.3333333333</v>
          </cell>
          <cell r="CE9">
            <v>1522247.3333333333</v>
          </cell>
        </row>
        <row r="10">
          <cell r="A10" t="str">
            <v>Bull</v>
          </cell>
          <cell r="U10">
            <v>5833173.9935657578</v>
          </cell>
          <cell r="V10">
            <v>5657644.0836280212</v>
          </cell>
          <cell r="W10">
            <v>5501201.3779778462</v>
          </cell>
          <cell r="X10">
            <v>5359317.4699099008</v>
          </cell>
          <cell r="Y10">
            <v>5230838.8741251668</v>
          </cell>
          <cell r="CB10">
            <v>1555492.6481414337</v>
          </cell>
          <cell r="CC10">
            <v>1510879.6633241889</v>
          </cell>
          <cell r="CD10">
            <v>1532419.8066666666</v>
          </cell>
          <cell r="CE10">
            <v>1537469.8066666666</v>
          </cell>
        </row>
        <row r="11">
          <cell r="A11" t="str">
            <v>Bear</v>
          </cell>
          <cell r="U11">
            <v>5659911.3996974677</v>
          </cell>
          <cell r="V11">
            <v>5489595.2494608527</v>
          </cell>
          <cell r="W11">
            <v>5337799.3568497906</v>
          </cell>
          <cell r="X11">
            <v>5200129.822288814</v>
          </cell>
          <cell r="Y11">
            <v>5075467.4224184789</v>
          </cell>
          <cell r="CB11">
            <v>1510829.9879472738</v>
          </cell>
          <cell r="CC11">
            <v>1467497.9700208211</v>
          </cell>
          <cell r="CD11">
            <v>1488419.6339999998</v>
          </cell>
          <cell r="CE11">
            <v>1493324.6339999998</v>
          </cell>
        </row>
        <row r="12">
          <cell r="A12" t="str">
            <v xml:space="preserve">  % y/y growth</v>
          </cell>
          <cell r="G12">
            <v>-1.7089475792099407E-2</v>
          </cell>
          <cell r="H12">
            <v>-7.271776122482787E-2</v>
          </cell>
          <cell r="I12">
            <v>5.4065032241568112E-4</v>
          </cell>
          <cell r="J12">
            <v>4.4410550673536831E-2</v>
          </cell>
          <cell r="K12">
            <v>0.15161512852044035</v>
          </cell>
          <cell r="L12" t="str">
            <v>na</v>
          </cell>
          <cell r="M12">
            <v>0.47925036630902307</v>
          </cell>
          <cell r="N12">
            <v>-3.2271979294808961E-3</v>
          </cell>
          <cell r="O12">
            <v>-1.5963840938596929E-2</v>
          </cell>
          <cell r="P12">
            <v>-2.4659988598420113E-2</v>
          </cell>
          <cell r="Q12">
            <v>-5.2287035954643346E-2</v>
          </cell>
          <cell r="R12">
            <v>-7.2070484581497896E-3</v>
          </cell>
          <cell r="S12">
            <v>-4.3857936493849947E-2</v>
          </cell>
          <cell r="T12">
            <v>0.1050835496101945</v>
          </cell>
          <cell r="U12">
            <v>-2.9844237685281993E-2</v>
          </cell>
          <cell r="V12">
            <v>-3.0091663669102542E-2</v>
          </cell>
          <cell r="W12">
            <v>-2.7651563678755653E-2</v>
          </cell>
          <cell r="X12">
            <v>-2.5791440508963759E-2</v>
          </cell>
          <cell r="Y12">
            <v>-2.3972939932385362E-2</v>
          </cell>
          <cell r="AF12">
            <v>-6.4217845098358262E-2</v>
          </cell>
          <cell r="AG12">
            <v>-7.0317300063883814E-2</v>
          </cell>
          <cell r="AH12">
            <v>-6.5537709638346153E-2</v>
          </cell>
          <cell r="AI12">
            <v>-9.0091751176080925E-2</v>
          </cell>
          <cell r="AJ12">
            <v>-1.3621229838169824E-2</v>
          </cell>
          <cell r="AK12">
            <v>-1.2613564230738672E-2</v>
          </cell>
          <cell r="AL12">
            <v>-2.7567151800020895E-3</v>
          </cell>
          <cell r="AM12">
            <v>3.0863321001955546E-2</v>
          </cell>
          <cell r="AN12">
            <v>6.6273665703555862E-2</v>
          </cell>
          <cell r="AO12">
            <v>6.0372819298408542E-2</v>
          </cell>
          <cell r="AP12">
            <v>5.6537395912759303E-2</v>
          </cell>
          <cell r="AQ12">
            <v>-3.0304201989347357E-3</v>
          </cell>
          <cell r="AR12">
            <v>0.17386032977691568</v>
          </cell>
          <cell r="AS12">
            <v>0.14351687388987577</v>
          </cell>
          <cell r="AT12">
            <v>0.13969274740978932</v>
          </cell>
          <cell r="AU12">
            <v>0.14980002423948613</v>
          </cell>
          <cell r="AV12" t="str">
            <v>na</v>
          </cell>
          <cell r="AW12" t="str">
            <v>na</v>
          </cell>
          <cell r="AX12" t="str">
            <v>na</v>
          </cell>
          <cell r="AY12" t="str">
            <v>na</v>
          </cell>
          <cell r="AZ12">
            <v>0.46802543006731478</v>
          </cell>
          <cell r="BA12">
            <v>0.47465960665658091</v>
          </cell>
          <cell r="BB12">
            <v>0.49514655500570992</v>
          </cell>
          <cell r="BC12">
            <v>0.47940003797228026</v>
          </cell>
          <cell r="BD12">
            <v>-1.0826646287097175E-2</v>
          </cell>
          <cell r="BE12">
            <v>-2.115927160810438E-3</v>
          </cell>
          <cell r="BF12">
            <v>-3.7553306600470737E-3</v>
          </cell>
          <cell r="BG12">
            <v>3.8501026694044427E-3</v>
          </cell>
          <cell r="BH12">
            <v>-1.2297192892093745E-2</v>
          </cell>
          <cell r="BI12">
            <v>-1.6706290560945858E-2</v>
          </cell>
          <cell r="BJ12">
            <v>-1.5461282903143414E-2</v>
          </cell>
          <cell r="BK12">
            <v>-1.9368447967271774E-2</v>
          </cell>
          <cell r="BL12">
            <v>-2.4509484388240632E-2</v>
          </cell>
          <cell r="BM12">
            <v>-1.8689145919100869E-2</v>
          </cell>
          <cell r="BN12">
            <v>-2.7514600908500997E-2</v>
          </cell>
          <cell r="BO12">
            <v>-2.7899093931295194E-2</v>
          </cell>
          <cell r="BP12">
            <v>-4.6174406949548996E-2</v>
          </cell>
          <cell r="BQ12">
            <v>-4.9410667909702388E-2</v>
          </cell>
          <cell r="BR12">
            <v>-5.4717736554117158E-2</v>
          </cell>
          <cell r="BS12">
            <v>-5.8874807215181346E-2</v>
          </cell>
          <cell r="BT12">
            <v>-3.3277287375648057E-2</v>
          </cell>
          <cell r="BU12">
            <v>-2.7390542907180349E-2</v>
          </cell>
          <cell r="BV12">
            <v>3.5719327968374959E-2</v>
          </cell>
          <cell r="BW12">
            <v>-3.491271820448838E-3</v>
          </cell>
          <cell r="BX12">
            <v>-4.7104862671207837E-3</v>
          </cell>
          <cell r="BY12">
            <v>-2.074330164217808E-2</v>
          </cell>
          <cell r="BZ12">
            <v>-8.3356052344601972E-2</v>
          </cell>
          <cell r="CA12">
            <v>-6.3992563992564033E-2</v>
          </cell>
          <cell r="CB12">
            <v>0.10324741517402058</v>
          </cell>
          <cell r="CC12">
            <v>0.100265121165652</v>
          </cell>
          <cell r="CD12">
            <v>9.9432599855275194E-2</v>
          </cell>
          <cell r="CE12">
            <v>0.11781966195702243</v>
          </cell>
        </row>
        <row r="13">
          <cell r="A13" t="str">
            <v>Cost of Service</v>
          </cell>
          <cell r="F13">
            <v>622594</v>
          </cell>
          <cell r="G13">
            <v>647884</v>
          </cell>
          <cell r="H13">
            <v>923100</v>
          </cell>
          <cell r="I13">
            <v>950000</v>
          </cell>
          <cell r="J13">
            <v>1088600</v>
          </cell>
          <cell r="K13">
            <v>1368700</v>
          </cell>
          <cell r="L13">
            <v>1580100</v>
          </cell>
          <cell r="M13">
            <v>2641800</v>
          </cell>
          <cell r="N13">
            <v>2696800</v>
          </cell>
          <cell r="O13">
            <v>2692200</v>
          </cell>
          <cell r="P13">
            <v>2492200</v>
          </cell>
          <cell r="Q13">
            <v>2746600</v>
          </cell>
          <cell r="R13">
            <v>2762000</v>
          </cell>
          <cell r="S13">
            <v>2677800</v>
          </cell>
          <cell r="T13">
            <v>3021506.1025084825</v>
          </cell>
          <cell r="U13">
            <v>2945464.0957609275</v>
          </cell>
          <cell r="V13">
            <v>2876435.8781613749</v>
          </cell>
          <cell r="W13">
            <v>2815961.4974401444</v>
          </cell>
          <cell r="X13">
            <v>2761905.6862258441</v>
          </cell>
          <cell r="Y13">
            <v>2713821.3564768182</v>
          </cell>
          <cell r="Z13">
            <v>3.8772392056636296E-3</v>
          </cell>
          <cell r="AB13">
            <v>146602</v>
          </cell>
          <cell r="AC13">
            <v>160408</v>
          </cell>
          <cell r="AD13">
            <v>159071</v>
          </cell>
          <cell r="AE13">
            <v>181803</v>
          </cell>
          <cell r="AF13">
            <v>239500</v>
          </cell>
          <cell r="AG13">
            <v>237100</v>
          </cell>
          <cell r="AH13">
            <v>234800</v>
          </cell>
          <cell r="AI13">
            <v>211700</v>
          </cell>
          <cell r="AJ13">
            <v>229400</v>
          </cell>
          <cell r="AK13">
            <v>220900</v>
          </cell>
          <cell r="AL13">
            <v>252500</v>
          </cell>
          <cell r="AM13">
            <v>247200</v>
          </cell>
          <cell r="AN13">
            <v>266600</v>
          </cell>
          <cell r="AO13">
            <v>280500</v>
          </cell>
          <cell r="AP13">
            <v>271700</v>
          </cell>
          <cell r="AQ13">
            <v>269800</v>
          </cell>
          <cell r="AR13">
            <v>343700</v>
          </cell>
          <cell r="AS13">
            <v>341800</v>
          </cell>
          <cell r="AT13">
            <v>346900</v>
          </cell>
          <cell r="AU13">
            <v>336300</v>
          </cell>
          <cell r="AV13">
            <v>395300</v>
          </cell>
          <cell r="AW13">
            <v>399800</v>
          </cell>
          <cell r="AX13">
            <v>397700</v>
          </cell>
          <cell r="AY13">
            <v>387300</v>
          </cell>
          <cell r="AZ13">
            <v>657500</v>
          </cell>
          <cell r="BA13">
            <v>657000</v>
          </cell>
          <cell r="BB13">
            <v>659100</v>
          </cell>
          <cell r="BC13">
            <v>668200</v>
          </cell>
          <cell r="BD13">
            <v>635800</v>
          </cell>
          <cell r="BE13">
            <v>646300</v>
          </cell>
          <cell r="BF13">
            <v>640000</v>
          </cell>
          <cell r="BG13">
            <v>774700</v>
          </cell>
          <cell r="BH13">
            <v>660200</v>
          </cell>
          <cell r="BI13">
            <v>655700</v>
          </cell>
          <cell r="BJ13">
            <v>671200</v>
          </cell>
          <cell r="BK13">
            <v>705100</v>
          </cell>
          <cell r="BL13">
            <v>641200</v>
          </cell>
          <cell r="BM13">
            <v>646600</v>
          </cell>
          <cell r="BN13">
            <v>644900</v>
          </cell>
          <cell r="BO13">
            <v>559500</v>
          </cell>
          <cell r="BP13">
            <v>657900</v>
          </cell>
          <cell r="BQ13">
            <v>666300</v>
          </cell>
          <cell r="BR13">
            <v>670900</v>
          </cell>
          <cell r="BS13">
            <v>751500</v>
          </cell>
          <cell r="BT13">
            <v>680000</v>
          </cell>
          <cell r="BU13">
            <v>685200</v>
          </cell>
          <cell r="BV13">
            <v>703900</v>
          </cell>
          <cell r="BW13">
            <v>692900</v>
          </cell>
          <cell r="BX13">
            <v>668800</v>
          </cell>
          <cell r="BY13">
            <v>667200</v>
          </cell>
          <cell r="BZ13">
            <v>677500</v>
          </cell>
          <cell r="CA13">
            <v>664300</v>
          </cell>
          <cell r="CB13">
            <v>758200</v>
          </cell>
          <cell r="CC13">
            <v>762919.43395577848</v>
          </cell>
          <cell r="CD13">
            <v>752621.09390458802</v>
          </cell>
          <cell r="CE13">
            <v>747765.57464811625</v>
          </cell>
        </row>
        <row r="14">
          <cell r="A14" t="str">
            <v xml:space="preserve">  % y/y growth</v>
          </cell>
          <cell r="G14">
            <v>4.0620372184762443E-2</v>
          </cell>
          <cell r="H14">
            <v>0.42479209241160465</v>
          </cell>
          <cell r="I14">
            <v>2.9140938143213058E-2</v>
          </cell>
          <cell r="J14">
            <v>0.1458947368421053</v>
          </cell>
          <cell r="K14">
            <v>0.25730295792761337</v>
          </cell>
          <cell r="L14" t="str">
            <v>na</v>
          </cell>
          <cell r="M14">
            <v>0.67191949876590096</v>
          </cell>
          <cell r="N14">
            <v>2.0819138466197318E-2</v>
          </cell>
          <cell r="O14">
            <v>-1.7057253040640985E-3</v>
          </cell>
          <cell r="P14">
            <v>-7.4288685833147627E-2</v>
          </cell>
          <cell r="Q14">
            <v>0.10207848487280313</v>
          </cell>
          <cell r="R14">
            <v>5.6069322070924077E-3</v>
          </cell>
          <cell r="S14">
            <v>-3.048515568428678E-2</v>
          </cell>
          <cell r="T14">
            <v>0.12835391086282866</v>
          </cell>
          <cell r="U14">
            <v>-2.5166921451664215E-2</v>
          </cell>
          <cell r="V14">
            <v>-2.3435429988400536E-2</v>
          </cell>
          <cell r="W14">
            <v>-2.1024067033917682E-2</v>
          </cell>
          <cell r="X14">
            <v>-1.9196218152641609E-2</v>
          </cell>
          <cell r="Y14">
            <v>-1.7409837703304509E-2</v>
          </cell>
          <cell r="AF14">
            <v>0.63367484754641823</v>
          </cell>
          <cell r="AG14">
            <v>0.47810583013316044</v>
          </cell>
          <cell r="AH14">
            <v>0.47607043395716375</v>
          </cell>
          <cell r="AI14">
            <v>0.16444723134381722</v>
          </cell>
          <cell r="AJ14">
            <v>-4.2171189979123169E-2</v>
          </cell>
          <cell r="AK14">
            <v>-6.8325601012231174E-2</v>
          </cell>
          <cell r="AL14">
            <v>7.5383304940374707E-2</v>
          </cell>
          <cell r="AM14">
            <v>0.16769012753897017</v>
          </cell>
          <cell r="AN14">
            <v>0.16216216216216206</v>
          </cell>
          <cell r="AO14">
            <v>0.2698053417836126</v>
          </cell>
          <cell r="AP14">
            <v>7.6039603960396107E-2</v>
          </cell>
          <cell r="AQ14">
            <v>9.1423948220064721E-2</v>
          </cell>
          <cell r="AR14">
            <v>0.28919729932483129</v>
          </cell>
          <cell r="AS14">
            <v>0.21853832442067733</v>
          </cell>
          <cell r="AT14">
            <v>0.27677585572322405</v>
          </cell>
          <cell r="AU14">
            <v>0.24647887323943651</v>
          </cell>
          <cell r="AV14" t="str">
            <v>na</v>
          </cell>
          <cell r="AW14" t="str">
            <v>na</v>
          </cell>
          <cell r="AX14" t="str">
            <v>na</v>
          </cell>
          <cell r="AY14" t="str">
            <v>na</v>
          </cell>
          <cell r="AZ14">
            <v>0.66329370098659246</v>
          </cell>
          <cell r="BA14">
            <v>0.64332166083041531</v>
          </cell>
          <cell r="BB14">
            <v>0.65727935629871759</v>
          </cell>
          <cell r="BC14">
            <v>0.7252775626129615</v>
          </cell>
          <cell r="BD14">
            <v>-3.3003802281368788E-2</v>
          </cell>
          <cell r="BE14">
            <v>-1.628614916286153E-2</v>
          </cell>
          <cell r="BF14">
            <v>-2.8978910635715338E-2</v>
          </cell>
          <cell r="BG14">
            <v>0.15938341813828205</v>
          </cell>
          <cell r="BH14">
            <v>3.8376848065429403E-2</v>
          </cell>
          <cell r="BI14">
            <v>1.4544329258858069E-2</v>
          </cell>
          <cell r="BJ14">
            <v>4.8750000000000071E-2</v>
          </cell>
          <cell r="BK14">
            <v>-8.984122886278556E-2</v>
          </cell>
          <cell r="BL14">
            <v>-2.87791578309603E-2</v>
          </cell>
          <cell r="BM14">
            <v>-1.3878298002135137E-2</v>
          </cell>
          <cell r="BN14">
            <v>-3.9183551847437381E-2</v>
          </cell>
          <cell r="BO14">
            <v>-0.20649553254857467</v>
          </cell>
          <cell r="BP14">
            <v>2.6044915782907019E-2</v>
          </cell>
          <cell r="BQ14">
            <v>3.0467058459634933E-2</v>
          </cell>
          <cell r="BR14">
            <v>4.0316328112885769E-2</v>
          </cell>
          <cell r="BS14">
            <v>0.34316353887399464</v>
          </cell>
          <cell r="BT14">
            <v>3.3591731266149782E-2</v>
          </cell>
          <cell r="BU14">
            <v>2.8365601080594383E-2</v>
          </cell>
          <cell r="BV14">
            <v>4.9187658369354681E-2</v>
          </cell>
          <cell r="BW14">
            <v>-7.7977378576180922E-2</v>
          </cell>
          <cell r="BX14">
            <v>-1.6470588235294126E-2</v>
          </cell>
          <cell r="BY14">
            <v>-2.6269702276707552E-2</v>
          </cell>
          <cell r="BZ14">
            <v>-3.7505327461287097E-2</v>
          </cell>
          <cell r="CA14">
            <v>-4.1275797373358403E-2</v>
          </cell>
          <cell r="CB14">
            <v>0.13367224880382778</v>
          </cell>
          <cell r="CC14">
            <v>0.14346437943012358</v>
          </cell>
          <cell r="CD14">
            <v>0.11087984340160584</v>
          </cell>
          <cell r="CE14">
            <v>0.12564439959072149</v>
          </cell>
        </row>
        <row r="15">
          <cell r="A15" t="str">
            <v>% of revenues</v>
          </cell>
          <cell r="K15">
            <v>0.35646942389832276</v>
          </cell>
          <cell r="L15">
            <v>0.37342250791700149</v>
          </cell>
          <cell r="M15">
            <v>0.42205997475756074</v>
          </cell>
          <cell r="N15">
            <v>0.43224182975108588</v>
          </cell>
          <cell r="O15">
            <v>0.43850476423161494</v>
          </cell>
          <cell r="P15">
            <v>0.41619211436014764</v>
          </cell>
          <cell r="Q15">
            <v>0.48398237885462553</v>
          </cell>
          <cell r="R15">
            <v>0.49022914041284321</v>
          </cell>
          <cell r="S15">
            <v>0.49708557638759976</v>
          </cell>
          <cell r="T15">
            <v>0.50755298488363021</v>
          </cell>
          <cell r="U15">
            <v>0.51</v>
          </cell>
          <cell r="V15">
            <v>0.51349999999999996</v>
          </cell>
          <cell r="W15">
            <v>0.5169999999999999</v>
          </cell>
          <cell r="X15">
            <v>0.52049999999999985</v>
          </cell>
          <cell r="Y15">
            <v>0.5239999999999998</v>
          </cell>
          <cell r="AR15">
            <v>0.35498863871101011</v>
          </cell>
          <cell r="AS15">
            <v>0.35394014704359533</v>
          </cell>
          <cell r="AT15">
            <v>0.3624869383490073</v>
          </cell>
          <cell r="AU15">
            <v>0.35448508485295666</v>
          </cell>
          <cell r="AV15">
            <v>0.3695774121166791</v>
          </cell>
          <cell r="AW15">
            <v>0.37802571860816941</v>
          </cell>
          <cell r="AX15">
            <v>0.37847354396650174</v>
          </cell>
          <cell r="AY15">
            <v>0.36766660337953294</v>
          </cell>
          <cell r="AZ15">
            <v>0.41873646669214115</v>
          </cell>
          <cell r="BA15">
            <v>0.42126186201590149</v>
          </cell>
          <cell r="BB15">
            <v>0.41951498949780408</v>
          </cell>
          <cell r="BC15">
            <v>0.42877310061601642</v>
          </cell>
          <cell r="BD15">
            <v>0.40934844192634562</v>
          </cell>
          <cell r="BE15">
            <v>0.41527983036689586</v>
          </cell>
          <cell r="BF15">
            <v>0.40889343214924612</v>
          </cell>
          <cell r="BG15">
            <v>0.49520582971107135</v>
          </cell>
          <cell r="BH15">
            <v>0.43035004237011931</v>
          </cell>
          <cell r="BI15">
            <v>0.4284780761942103</v>
          </cell>
          <cell r="BJ15">
            <v>0.43556132381570412</v>
          </cell>
          <cell r="BK15">
            <v>0.45961801707841732</v>
          </cell>
          <cell r="BL15">
            <v>0.42846642165051785</v>
          </cell>
          <cell r="BM15">
            <v>0.43057867749883466</v>
          </cell>
          <cell r="BN15">
            <v>0.43033497931402642</v>
          </cell>
          <cell r="BO15">
            <v>0.37517602092134378</v>
          </cell>
          <cell r="BP15">
            <v>0.4609079445145019</v>
          </cell>
          <cell r="BQ15">
            <v>0.46676007005253939</v>
          </cell>
          <cell r="BR15">
            <v>0.47359875758859238</v>
          </cell>
          <cell r="BS15">
            <v>0.53544709654435341</v>
          </cell>
          <cell r="BT15">
            <v>0.49278933256033047</v>
          </cell>
          <cell r="BU15">
            <v>0.49351771823681934</v>
          </cell>
          <cell r="BV15">
            <v>0.47975736095965105</v>
          </cell>
          <cell r="BW15">
            <v>0.4954239954239954</v>
          </cell>
          <cell r="BX15">
            <v>0.48696665210426676</v>
          </cell>
          <cell r="BY15">
            <v>0.49073256840247131</v>
          </cell>
          <cell r="BZ15">
            <v>0.50375492601680427</v>
          </cell>
          <cell r="CA15">
            <v>0.5074478649453823</v>
          </cell>
          <cell r="CB15">
            <v>0.50039598732840551</v>
          </cell>
          <cell r="CC15">
            <v>0.51</v>
          </cell>
          <cell r="CD15">
            <v>0.50900000000000001</v>
          </cell>
          <cell r="CE15">
            <v>0.51100000000000001</v>
          </cell>
        </row>
        <row r="16">
          <cell r="A16" t="str">
            <v>Cost of Products Sold</v>
          </cell>
          <cell r="H16">
            <v>173400</v>
          </cell>
          <cell r="I16">
            <v>170600</v>
          </cell>
          <cell r="J16">
            <v>82500</v>
          </cell>
          <cell r="K16">
            <v>103200</v>
          </cell>
          <cell r="L16">
            <v>83900</v>
          </cell>
          <cell r="M16">
            <v>179900</v>
          </cell>
          <cell r="N16">
            <v>200300</v>
          </cell>
          <cell r="O16">
            <v>206600</v>
          </cell>
          <cell r="P16">
            <v>183900</v>
          </cell>
          <cell r="Q16">
            <v>156400</v>
          </cell>
          <cell r="R16">
            <v>145200</v>
          </cell>
          <cell r="S16">
            <v>98500</v>
          </cell>
          <cell r="T16">
            <v>87568.276226251779</v>
          </cell>
          <cell r="U16">
            <v>86631.296934144921</v>
          </cell>
          <cell r="V16">
            <v>84024.417083584471</v>
          </cell>
          <cell r="W16">
            <v>81701.010564027412</v>
          </cell>
          <cell r="X16">
            <v>79593.823810543079</v>
          </cell>
          <cell r="Y16">
            <v>77685.725853344062</v>
          </cell>
          <cell r="Z16">
            <v>-0.10864200873959518</v>
          </cell>
          <cell r="AF16">
            <v>32200</v>
          </cell>
          <cell r="AG16">
            <v>51500</v>
          </cell>
          <cell r="AH16">
            <v>44400</v>
          </cell>
          <cell r="AI16">
            <v>45300</v>
          </cell>
          <cell r="AJ16">
            <v>38400</v>
          </cell>
          <cell r="AK16">
            <v>48300</v>
          </cell>
          <cell r="AL16">
            <v>42500</v>
          </cell>
          <cell r="AM16">
            <v>41400</v>
          </cell>
          <cell r="AN16">
            <v>20400</v>
          </cell>
          <cell r="AO16">
            <v>19700</v>
          </cell>
          <cell r="AP16">
            <v>22800</v>
          </cell>
          <cell r="AQ16">
            <v>19600</v>
          </cell>
          <cell r="AR16">
            <v>20000</v>
          </cell>
          <cell r="AS16">
            <v>26500</v>
          </cell>
          <cell r="AT16">
            <v>30600</v>
          </cell>
          <cell r="AU16">
            <v>26100</v>
          </cell>
          <cell r="AV16">
            <v>21900</v>
          </cell>
          <cell r="AW16">
            <v>20800</v>
          </cell>
          <cell r="AX16">
            <v>21600</v>
          </cell>
          <cell r="AY16">
            <v>19600</v>
          </cell>
          <cell r="AZ16">
            <v>42200</v>
          </cell>
          <cell r="BA16">
            <v>41200</v>
          </cell>
          <cell r="BB16">
            <v>49900</v>
          </cell>
          <cell r="BC16">
            <v>46600</v>
          </cell>
          <cell r="BD16">
            <v>47000</v>
          </cell>
          <cell r="BE16">
            <v>44800</v>
          </cell>
          <cell r="BF16">
            <v>51900</v>
          </cell>
          <cell r="BG16">
            <v>56600</v>
          </cell>
          <cell r="BH16">
            <v>44300</v>
          </cell>
          <cell r="BI16">
            <v>56400</v>
          </cell>
          <cell r="BJ16">
            <v>56000</v>
          </cell>
          <cell r="BK16">
            <v>49900</v>
          </cell>
          <cell r="BL16">
            <v>42600</v>
          </cell>
          <cell r="BM16">
            <v>49400</v>
          </cell>
          <cell r="BN16">
            <v>46200</v>
          </cell>
          <cell r="BO16">
            <v>45700</v>
          </cell>
          <cell r="BP16">
            <v>41000</v>
          </cell>
          <cell r="BQ16">
            <v>39900</v>
          </cell>
          <cell r="BR16">
            <v>39000</v>
          </cell>
          <cell r="BS16">
            <v>36500</v>
          </cell>
          <cell r="BT16">
            <v>31900</v>
          </cell>
          <cell r="BU16">
            <v>38500</v>
          </cell>
          <cell r="BV16">
            <v>41400</v>
          </cell>
          <cell r="BW16">
            <v>33400</v>
          </cell>
          <cell r="BX16">
            <v>28900</v>
          </cell>
          <cell r="BY16">
            <v>24200</v>
          </cell>
          <cell r="BZ16">
            <v>21500</v>
          </cell>
          <cell r="CA16">
            <v>23900</v>
          </cell>
          <cell r="CB16">
            <v>21000</v>
          </cell>
          <cell r="CC16">
            <v>22438.806881052307</v>
          </cell>
          <cell r="CD16">
            <v>22179.403553180393</v>
          </cell>
          <cell r="CE16">
            <v>21950.065792019068</v>
          </cell>
        </row>
        <row r="17">
          <cell r="A17" t="str">
            <v xml:space="preserve">  % y/y growth</v>
          </cell>
          <cell r="I17">
            <v>-1.6147635524798143E-2</v>
          </cell>
          <cell r="K17">
            <v>0.25090909090909097</v>
          </cell>
          <cell r="L17" t="str">
            <v>na</v>
          </cell>
          <cell r="M17">
            <v>1.1442193087008343</v>
          </cell>
          <cell r="N17">
            <v>0.11339633129516402</v>
          </cell>
          <cell r="O17">
            <v>3.1452820768846701E-2</v>
          </cell>
          <cell r="P17">
            <v>-0.10987415295256531</v>
          </cell>
          <cell r="Q17">
            <v>-0.14953779227841213</v>
          </cell>
          <cell r="R17">
            <v>-7.1611253196930957E-2</v>
          </cell>
          <cell r="S17">
            <v>-0.32162534435261703</v>
          </cell>
          <cell r="T17">
            <v>-0.11098196724617482</v>
          </cell>
          <cell r="U17">
            <v>-1.0699985571098414E-2</v>
          </cell>
          <cell r="V17">
            <v>-3.0091663669102653E-2</v>
          </cell>
          <cell r="W17">
            <v>-2.7651563678755653E-2</v>
          </cell>
          <cell r="X17">
            <v>-2.5791440508963759E-2</v>
          </cell>
          <cell r="Y17">
            <v>-2.3972939932385362E-2</v>
          </cell>
          <cell r="AJ17">
            <v>0.19254658385093171</v>
          </cell>
          <cell r="AK17">
            <v>-6.2135922330097126E-2</v>
          </cell>
          <cell r="AL17">
            <v>-4.27927927927928E-2</v>
          </cell>
          <cell r="AM17">
            <v>-8.6092715231788075E-2</v>
          </cell>
          <cell r="AN17">
            <v>-0.46875</v>
          </cell>
          <cell r="AO17">
            <v>-0.59213250517598337</v>
          </cell>
          <cell r="AP17">
            <v>-0.46352941176470586</v>
          </cell>
          <cell r="AQ17">
            <v>-0.52657004830917875</v>
          </cell>
          <cell r="AR17">
            <v>-1.9607843137254943E-2</v>
          </cell>
          <cell r="AS17">
            <v>0.34517766497461921</v>
          </cell>
          <cell r="AT17">
            <v>0.34210526315789469</v>
          </cell>
          <cell r="AU17">
            <v>0.33163265306122458</v>
          </cell>
          <cell r="AV17" t="str">
            <v>na</v>
          </cell>
          <cell r="AW17" t="str">
            <v>na</v>
          </cell>
          <cell r="AX17" t="str">
            <v>na</v>
          </cell>
          <cell r="AY17" t="str">
            <v>na</v>
          </cell>
          <cell r="AZ17">
            <v>0.9269406392694064</v>
          </cell>
          <cell r="BA17">
            <v>0.98076923076923084</v>
          </cell>
          <cell r="BB17">
            <v>1.3101851851851851</v>
          </cell>
          <cell r="BC17">
            <v>1.3775510204081631</v>
          </cell>
          <cell r="BD17">
            <v>0.11374407582938395</v>
          </cell>
          <cell r="BE17">
            <v>8.737864077669899E-2</v>
          </cell>
          <cell r="BF17">
            <v>4.0080160320641323E-2</v>
          </cell>
          <cell r="BG17">
            <v>0.21459227467811148</v>
          </cell>
          <cell r="BH17">
            <v>-5.7446808510638325E-2</v>
          </cell>
          <cell r="BI17">
            <v>0.2589285714285714</v>
          </cell>
          <cell r="BJ17">
            <v>7.899807321772645E-2</v>
          </cell>
          <cell r="BK17">
            <v>-0.11837455830388688</v>
          </cell>
          <cell r="BL17">
            <v>-3.8374717832957095E-2</v>
          </cell>
          <cell r="BM17">
            <v>-0.12411347517730498</v>
          </cell>
          <cell r="BN17">
            <v>-0.17500000000000004</v>
          </cell>
          <cell r="BO17">
            <v>-8.4168336673346666E-2</v>
          </cell>
          <cell r="BP17">
            <v>-3.7558685446009377E-2</v>
          </cell>
          <cell r="BQ17">
            <v>-0.19230769230769229</v>
          </cell>
          <cell r="BR17">
            <v>-0.1558441558441559</v>
          </cell>
          <cell r="BS17">
            <v>-0.20131291028446385</v>
          </cell>
          <cell r="BT17">
            <v>-0.2219512195121951</v>
          </cell>
          <cell r="BU17">
            <v>-3.5087719298245612E-2</v>
          </cell>
          <cell r="BV17">
            <v>6.1538461538461542E-2</v>
          </cell>
          <cell r="BW17">
            <v>-8.4931506849315053E-2</v>
          </cell>
          <cell r="BX17">
            <v>-9.404388714733547E-2</v>
          </cell>
          <cell r="BY17">
            <v>-0.37142857142857144</v>
          </cell>
          <cell r="BZ17">
            <v>-0.48067632850241548</v>
          </cell>
          <cell r="CA17">
            <v>-0.28443113772455086</v>
          </cell>
          <cell r="CB17">
            <v>-0.27335640138408301</v>
          </cell>
          <cell r="CC17">
            <v>-7.2776575163127744E-2</v>
          </cell>
          <cell r="CD17">
            <v>3.1600165264204394E-2</v>
          </cell>
          <cell r="CE17">
            <v>-8.1587205354850756E-2</v>
          </cell>
        </row>
        <row r="18">
          <cell r="A18" t="str">
            <v>% revenues</v>
          </cell>
          <cell r="J18">
            <v>2.4744308808973936E-2</v>
          </cell>
          <cell r="K18">
            <v>2.6877799770809459E-2</v>
          </cell>
          <cell r="L18">
            <v>1.9827952923382332E-2</v>
          </cell>
          <cell r="M18">
            <v>2.8741233045228701E-2</v>
          </cell>
          <cell r="N18">
            <v>3.2103989357439376E-2</v>
          </cell>
          <cell r="O18">
            <v>3.3650948774330156E-2</v>
          </cell>
          <cell r="P18">
            <v>3.0710909971443361E-2</v>
          </cell>
          <cell r="Q18">
            <v>2.7559471365638768E-2</v>
          </cell>
          <cell r="R18">
            <v>2.5771640545961202E-2</v>
          </cell>
          <cell r="S18">
            <v>1.8284759606459998E-2</v>
          </cell>
          <cell r="T18">
            <v>1.47097303370823E-2</v>
          </cell>
          <cell r="U18">
            <v>1.4999999999999999E-2</v>
          </cell>
          <cell r="V18">
            <v>1.4999999999999999E-2</v>
          </cell>
          <cell r="W18">
            <v>1.4999999999999999E-2</v>
          </cell>
          <cell r="X18">
            <v>1.4999999999999999E-2</v>
          </cell>
          <cell r="Y18">
            <v>1.4999999999999999E-2</v>
          </cell>
          <cell r="AF18">
            <v>4.1060063732359792E-2</v>
          </cell>
          <cell r="AG18">
            <v>6.3848885186066809E-2</v>
          </cell>
          <cell r="AH18">
            <v>5.5711494761990207E-2</v>
          </cell>
          <cell r="AI18">
            <v>5.6425395164605208E-2</v>
          </cell>
          <cell r="AJ18">
            <v>4.9642226919273204E-2</v>
          </cell>
          <cell r="AK18">
            <v>6.0646544904811292E-2</v>
          </cell>
          <cell r="AL18">
            <v>5.3474859266752731E-2</v>
          </cell>
          <cell r="AM18">
            <v>5.0023682709688648E-2</v>
          </cell>
          <cell r="AN18">
            <v>2.4733268671193017E-2</v>
          </cell>
          <cell r="AO18">
            <v>2.3327412670219063E-2</v>
          </cell>
          <cell r="AP18">
            <v>2.7152554483744193E-2</v>
          </cell>
          <cell r="AQ18">
            <v>2.3754696400436311E-2</v>
          </cell>
          <cell r="AR18">
            <v>2.065688907250568E-2</v>
          </cell>
          <cell r="AS18">
            <v>2.7441234337786061E-2</v>
          </cell>
          <cell r="AT18">
            <v>3.1974921630094043E-2</v>
          </cell>
          <cell r="AU18">
            <v>2.751133129545694E-2</v>
          </cell>
          <cell r="AV18">
            <v>2.0474943904263274E-2</v>
          </cell>
          <cell r="AW18">
            <v>1.9667170953101363E-2</v>
          </cell>
          <cell r="AX18">
            <v>2.0555767034640272E-2</v>
          </cell>
          <cell r="AY18">
            <v>1.8606417315359787E-2</v>
          </cell>
          <cell r="AZ18">
            <v>2.6875557253853013E-2</v>
          </cell>
          <cell r="BA18">
            <v>2.641703000769428E-2</v>
          </cell>
          <cell r="BB18">
            <v>3.1761186429889884E-2</v>
          </cell>
          <cell r="BC18">
            <v>2.9902464065708418E-2</v>
          </cell>
          <cell r="BD18">
            <v>3.0260108163790884E-2</v>
          </cell>
          <cell r="BE18">
            <v>2.878622373578359E-2</v>
          </cell>
          <cell r="BF18">
            <v>3.3158701763352928E-2</v>
          </cell>
          <cell r="BG18">
            <v>3.6180005113781638E-2</v>
          </cell>
          <cell r="BH18">
            <v>2.8876865914868651E-2</v>
          </cell>
          <cell r="BI18">
            <v>3.6855518525779257E-2</v>
          </cell>
          <cell r="BJ18">
            <v>3.6340038935756006E-2</v>
          </cell>
          <cell r="BK18">
            <v>3.2527214653542795E-2</v>
          </cell>
          <cell r="BL18">
            <v>2.8466421650517874E-2</v>
          </cell>
          <cell r="BM18">
            <v>3.2896051142039022E-2</v>
          </cell>
          <cell r="BN18">
            <v>3.0828773521953824E-2</v>
          </cell>
          <cell r="BO18">
            <v>3.0644404211090995E-2</v>
          </cell>
          <cell r="BP18">
            <v>2.8723553313717249E-2</v>
          </cell>
          <cell r="BQ18">
            <v>2.7950963222416813E-2</v>
          </cell>
          <cell r="BR18">
            <v>2.7530707327403644E-2</v>
          </cell>
          <cell r="BS18">
            <v>2.6006412540078374E-2</v>
          </cell>
          <cell r="BT18">
            <v>2.3117617218639031E-2</v>
          </cell>
          <cell r="BU18">
            <v>2.7729760875828291E-2</v>
          </cell>
          <cell r="BV18">
            <v>2.8217011995637951E-2</v>
          </cell>
          <cell r="BW18">
            <v>2.388102388102388E-2</v>
          </cell>
          <cell r="BX18">
            <v>2.1042667831658656E-2</v>
          </cell>
          <cell r="BY18">
            <v>1.7799352750809062E-2</v>
          </cell>
          <cell r="BZ18">
            <v>1.5986318685404118E-2</v>
          </cell>
          <cell r="CA18">
            <v>1.8256817660988467E-2</v>
          </cell>
          <cell r="CB18">
            <v>1.3859556494192186E-2</v>
          </cell>
          <cell r="CC18">
            <v>1.4999999999999999E-2</v>
          </cell>
          <cell r="CD18">
            <v>1.4999999999999999E-2</v>
          </cell>
          <cell r="CE18">
            <v>1.4999999999999999E-2</v>
          </cell>
        </row>
        <row r="19">
          <cell r="A19" t="str">
            <v>SG&amp;A</v>
          </cell>
          <cell r="F19">
            <v>1169829</v>
          </cell>
          <cell r="G19">
            <v>1072654</v>
          </cell>
          <cell r="H19">
            <v>452400</v>
          </cell>
          <cell r="I19">
            <v>437600</v>
          </cell>
          <cell r="J19">
            <v>423200</v>
          </cell>
          <cell r="K19">
            <v>519700</v>
          </cell>
          <cell r="L19">
            <v>617500</v>
          </cell>
          <cell r="M19">
            <v>1113300</v>
          </cell>
          <cell r="N19">
            <v>1118400</v>
          </cell>
          <cell r="O19">
            <v>967300</v>
          </cell>
          <cell r="P19">
            <v>923300</v>
          </cell>
          <cell r="Q19">
            <v>855100</v>
          </cell>
          <cell r="R19">
            <v>778500</v>
          </cell>
          <cell r="S19">
            <v>797700</v>
          </cell>
          <cell r="T19">
            <v>901612.64766558714</v>
          </cell>
          <cell r="U19">
            <v>854762.12975022988</v>
          </cell>
          <cell r="V19">
            <v>834642.54303027247</v>
          </cell>
          <cell r="W19">
            <v>817010.10564027412</v>
          </cell>
          <cell r="X19">
            <v>801244.49302613363</v>
          </cell>
          <cell r="Y19">
            <v>787215.35531388654</v>
          </cell>
          <cell r="Z19">
            <v>9.7032689238847336E-3</v>
          </cell>
          <cell r="AB19">
            <v>261035.76743530028</v>
          </cell>
          <cell r="AC19">
            <v>268260.85250106605</v>
          </cell>
          <cell r="AD19">
            <v>271281.32427592087</v>
          </cell>
          <cell r="AE19">
            <v>272076.0557877128</v>
          </cell>
          <cell r="AF19">
            <v>118400</v>
          </cell>
          <cell r="AG19">
            <v>110700</v>
          </cell>
          <cell r="AH19">
            <v>110700</v>
          </cell>
          <cell r="AI19">
            <v>112600</v>
          </cell>
          <cell r="AJ19">
            <v>106600</v>
          </cell>
          <cell r="AK19">
            <v>113000</v>
          </cell>
          <cell r="AL19">
            <v>104900</v>
          </cell>
          <cell r="AM19">
            <v>113100</v>
          </cell>
          <cell r="AN19">
            <v>110200</v>
          </cell>
          <cell r="AO19">
            <v>108700</v>
          </cell>
          <cell r="AP19">
            <v>105400</v>
          </cell>
          <cell r="AQ19">
            <v>98900</v>
          </cell>
          <cell r="AR19">
            <v>133500</v>
          </cell>
          <cell r="AS19">
            <v>130400</v>
          </cell>
          <cell r="AT19">
            <v>128600</v>
          </cell>
          <cell r="AU19">
            <v>127200</v>
          </cell>
          <cell r="AV19">
            <v>156400</v>
          </cell>
          <cell r="AW19">
            <v>156500</v>
          </cell>
          <cell r="AX19">
            <v>154500</v>
          </cell>
          <cell r="AY19">
            <v>150100</v>
          </cell>
          <cell r="AZ19">
            <v>277700</v>
          </cell>
          <cell r="BA19">
            <v>277900</v>
          </cell>
          <cell r="BB19">
            <v>277100</v>
          </cell>
          <cell r="BC19">
            <v>280600</v>
          </cell>
          <cell r="BD19">
            <v>273900</v>
          </cell>
          <cell r="BE19">
            <v>270200</v>
          </cell>
          <cell r="BF19">
            <v>273700</v>
          </cell>
          <cell r="BG19">
            <v>300600</v>
          </cell>
          <cell r="BH19">
            <v>249900</v>
          </cell>
          <cell r="BI19">
            <v>236000</v>
          </cell>
          <cell r="BJ19">
            <v>227300</v>
          </cell>
          <cell r="BK19">
            <v>254100</v>
          </cell>
          <cell r="BL19">
            <v>237500</v>
          </cell>
          <cell r="BM19">
            <v>237000</v>
          </cell>
          <cell r="BN19">
            <v>243100</v>
          </cell>
          <cell r="BO19">
            <v>205700</v>
          </cell>
          <cell r="BP19">
            <v>213000</v>
          </cell>
          <cell r="BQ19">
            <v>210900</v>
          </cell>
          <cell r="BR19">
            <v>206600</v>
          </cell>
          <cell r="BS19">
            <v>224600</v>
          </cell>
          <cell r="BT19">
            <v>199700</v>
          </cell>
          <cell r="BU19">
            <v>194000</v>
          </cell>
          <cell r="BV19">
            <v>193900</v>
          </cell>
          <cell r="BW19">
            <v>190900</v>
          </cell>
          <cell r="BX19">
            <v>203800</v>
          </cell>
          <cell r="BY19">
            <v>196900</v>
          </cell>
          <cell r="BZ19">
            <v>190100</v>
          </cell>
          <cell r="CA19">
            <v>206900</v>
          </cell>
          <cell r="CB19">
            <v>237600</v>
          </cell>
          <cell r="CC19">
            <v>218404.38697557579</v>
          </cell>
          <cell r="CD19">
            <v>214400.90101407713</v>
          </cell>
          <cell r="CE19">
            <v>231207.35967593419</v>
          </cell>
        </row>
        <row r="20">
          <cell r="A20" t="str">
            <v xml:space="preserve">  % y/y growth</v>
          </cell>
          <cell r="G20">
            <v>-8.306769621884913E-2</v>
          </cell>
          <cell r="H20">
            <v>-0.57824237825058222</v>
          </cell>
          <cell r="I20">
            <v>-3.2714412024756889E-2</v>
          </cell>
          <cell r="J20">
            <v>-3.2906764168190161E-2</v>
          </cell>
          <cell r="K20">
            <v>0.22802457466918713</v>
          </cell>
          <cell r="L20" t="str">
            <v>na</v>
          </cell>
          <cell r="M20">
            <v>0.80291497975708492</v>
          </cell>
          <cell r="N20">
            <v>4.5809754783077139E-3</v>
          </cell>
          <cell r="O20">
            <v>-0.1351037195994278</v>
          </cell>
          <cell r="P20">
            <v>-4.5487439263930507E-2</v>
          </cell>
          <cell r="Q20">
            <v>-7.3865482508393754E-2</v>
          </cell>
          <cell r="R20">
            <v>-8.9580166062448785E-2</v>
          </cell>
          <cell r="S20">
            <v>2.4662813102119374E-2</v>
          </cell>
          <cell r="T20">
            <v>0.13026532238383748</v>
          </cell>
          <cell r="U20">
            <v>-5.1963022076786936E-2</v>
          </cell>
          <cell r="V20">
            <v>-2.3538228964164021E-2</v>
          </cell>
          <cell r="W20">
            <v>-2.112573524706951E-2</v>
          </cell>
          <cell r="X20">
            <v>-1.9296716779023559E-2</v>
          </cell>
          <cell r="Y20">
            <v>-1.7509184567699121E-2</v>
          </cell>
          <cell r="AF20">
            <v>-0.5464223115349649</v>
          </cell>
          <cell r="AG20">
            <v>-0.58734195106026488</v>
          </cell>
          <cell r="AH20">
            <v>-0.59193652458210955</v>
          </cell>
          <cell r="AI20">
            <v>-0.58614513256596124</v>
          </cell>
          <cell r="AJ20">
            <v>-9.9662162162162171E-2</v>
          </cell>
          <cell r="AK20">
            <v>2.0776874435411097E-2</v>
          </cell>
          <cell r="AL20">
            <v>-5.2393857271906041E-2</v>
          </cell>
          <cell r="AM20">
            <v>4.4404973357015098E-3</v>
          </cell>
          <cell r="AN20">
            <v>3.3771106941838713E-2</v>
          </cell>
          <cell r="AO20">
            <v>-3.8053097345132736E-2</v>
          </cell>
          <cell r="AP20">
            <v>4.7664442326025291E-3</v>
          </cell>
          <cell r="AQ20">
            <v>-0.12555260831122905</v>
          </cell>
          <cell r="AR20">
            <v>0.21143375680580756</v>
          </cell>
          <cell r="AS20">
            <v>0.19963201471941128</v>
          </cell>
          <cell r="AT20">
            <v>0.22011385199240996</v>
          </cell>
          <cell r="AU20">
            <v>0.28614762386248738</v>
          </cell>
          <cell r="AV20" t="str">
            <v>na</v>
          </cell>
          <cell r="AW20" t="str">
            <v>na</v>
          </cell>
          <cell r="AX20" t="str">
            <v>na</v>
          </cell>
          <cell r="AY20" t="str">
            <v>na</v>
          </cell>
          <cell r="AZ20">
            <v>0.77557544757033248</v>
          </cell>
          <cell r="BA20">
            <v>0.77571884984025563</v>
          </cell>
          <cell r="BB20">
            <v>0.79352750809061479</v>
          </cell>
          <cell r="BC20">
            <v>0.86942038640906061</v>
          </cell>
          <cell r="BD20">
            <v>-1.368383147281238E-2</v>
          </cell>
          <cell r="BE20">
            <v>-2.7707808564231717E-2</v>
          </cell>
          <cell r="BF20">
            <v>-1.2269938650306789E-2</v>
          </cell>
          <cell r="BG20">
            <v>7.1275837491090455E-2</v>
          </cell>
          <cell r="BH20">
            <v>-8.7623220153340675E-2</v>
          </cell>
          <cell r="BI20">
            <v>-0.12657290895632867</v>
          </cell>
          <cell r="BJ20">
            <v>-0.16952868103763241</v>
          </cell>
          <cell r="BK20">
            <v>-0.15469061876247503</v>
          </cell>
          <cell r="BL20">
            <v>-4.9619847939175621E-2</v>
          </cell>
          <cell r="BM20">
            <v>4.237288135593209E-3</v>
          </cell>
          <cell r="BN20">
            <v>6.9511658600967863E-2</v>
          </cell>
          <cell r="BO20">
            <v>-0.19047619047619047</v>
          </cell>
          <cell r="BP20">
            <v>-0.10315789473684212</v>
          </cell>
          <cell r="BQ20">
            <v>-0.11012658227848104</v>
          </cell>
          <cell r="BR20">
            <v>-0.15014397367338539</v>
          </cell>
          <cell r="BS20">
            <v>9.188138065143403E-2</v>
          </cell>
          <cell r="BT20">
            <v>-6.2441314553990601E-2</v>
          </cell>
          <cell r="BU20">
            <v>-8.0132764343290641E-2</v>
          </cell>
          <cell r="BV20">
            <v>-6.1471442400774401E-2</v>
          </cell>
          <cell r="BW20">
            <v>-0.15004452359750664</v>
          </cell>
          <cell r="BX20">
            <v>2.0530796194291545E-2</v>
          </cell>
          <cell r="BY20">
            <v>1.494845360824737E-2</v>
          </cell>
          <cell r="BZ20">
            <v>-1.959773078906657E-2</v>
          </cell>
          <cell r="CA20">
            <v>8.381351492928224E-2</v>
          </cell>
          <cell r="CB20">
            <v>0.16584887144259075</v>
          </cell>
          <cell r="CC20">
            <v>0.10921476371546879</v>
          </cell>
          <cell r="CD20">
            <v>0.12783219891676545</v>
          </cell>
          <cell r="CE20">
            <v>0.11748361370678673</v>
          </cell>
        </row>
        <row r="21">
          <cell r="A21" t="str">
            <v>% of revenues</v>
          </cell>
          <cell r="K21">
            <v>0.13535264090009377</v>
          </cell>
          <cell r="L21">
            <v>0.14593278820248617</v>
          </cell>
          <cell r="M21">
            <v>0.17786333935104565</v>
          </cell>
          <cell r="N21">
            <v>0.17925662355147376</v>
          </cell>
          <cell r="O21">
            <v>0.1575535467057578</v>
          </cell>
          <cell r="P21">
            <v>0.15418914179789917</v>
          </cell>
          <cell r="Q21">
            <v>0.15067841409691629</v>
          </cell>
          <cell r="R21">
            <v>0.13817646119167215</v>
          </cell>
          <cell r="S21">
            <v>0.14807870800074252</v>
          </cell>
          <cell r="T21">
            <v>0.15145300886587135</v>
          </cell>
          <cell r="U21">
            <v>0.14799999999999999</v>
          </cell>
          <cell r="V21">
            <v>0.14899999999999999</v>
          </cell>
          <cell r="W21">
            <v>0.15</v>
          </cell>
          <cell r="X21">
            <v>0.151</v>
          </cell>
          <cell r="Y21">
            <v>0.152</v>
          </cell>
          <cell r="AR21">
            <v>0.13788473455897543</v>
          </cell>
          <cell r="AS21">
            <v>0.13503158330744539</v>
          </cell>
          <cell r="AT21">
            <v>0.13437826541274817</v>
          </cell>
          <cell r="AU21">
            <v>0.13407821229050279</v>
          </cell>
          <cell r="AV21">
            <v>0.1462228870605834</v>
          </cell>
          <cell r="AW21">
            <v>0.14797655068078669</v>
          </cell>
          <cell r="AX21">
            <v>0.14703083365055197</v>
          </cell>
          <cell r="AY21">
            <v>0.14249098158344409</v>
          </cell>
          <cell r="AZ21">
            <v>0.176856451407464</v>
          </cell>
          <cell r="BA21">
            <v>0.17818671454219032</v>
          </cell>
          <cell r="BB21">
            <v>0.17637324167780535</v>
          </cell>
          <cell r="BC21">
            <v>0.18005646817248461</v>
          </cell>
          <cell r="BD21">
            <v>0.17634560906515581</v>
          </cell>
          <cell r="BE21">
            <v>0.17361691190644477</v>
          </cell>
          <cell r="BF21">
            <v>0.17486583184257604</v>
          </cell>
          <cell r="BG21">
            <v>0.19215034518026081</v>
          </cell>
          <cell r="BH21">
            <v>0.16289681246333354</v>
          </cell>
          <cell r="BI21">
            <v>0.15421812716460825</v>
          </cell>
          <cell r="BJ21">
            <v>0.14750162232316677</v>
          </cell>
          <cell r="BK21">
            <v>0.16563457401733916</v>
          </cell>
          <cell r="BL21">
            <v>0.15870364183093885</v>
          </cell>
          <cell r="BM21">
            <v>0.15782113604581474</v>
          </cell>
          <cell r="BN21">
            <v>0.16221807019885226</v>
          </cell>
          <cell r="BO21">
            <v>0.13793334674445115</v>
          </cell>
          <cell r="BP21">
            <v>0.14922236233711644</v>
          </cell>
          <cell r="BQ21">
            <v>0.14774080560420316</v>
          </cell>
          <cell r="BR21">
            <v>0.14584215727798955</v>
          </cell>
          <cell r="BS21">
            <v>0.16002850017812612</v>
          </cell>
          <cell r="BT21">
            <v>0.14472063192984999</v>
          </cell>
          <cell r="BU21">
            <v>0.13972918467300491</v>
          </cell>
          <cell r="BV21">
            <v>0.13215648854961831</v>
          </cell>
          <cell r="BW21">
            <v>0.13649363649363649</v>
          </cell>
          <cell r="BX21">
            <v>0.14839085481287317</v>
          </cell>
          <cell r="BY21">
            <v>0.14482200647249191</v>
          </cell>
          <cell r="BZ21">
            <v>0.14134879916722434</v>
          </cell>
          <cell r="CA21">
            <v>0.15804751355893362</v>
          </cell>
          <cell r="CB21">
            <v>0.15681098204857444</v>
          </cell>
          <cell r="CC21">
            <v>0.14599999999999999</v>
          </cell>
          <cell r="CD21">
            <v>0.14499999999999999</v>
          </cell>
          <cell r="CE21">
            <v>0.158</v>
          </cell>
        </row>
        <row r="22">
          <cell r="A22" t="str">
            <v>Restructuring Charges</v>
          </cell>
          <cell r="G22">
            <v>0</v>
          </cell>
          <cell r="H22">
            <v>4500</v>
          </cell>
          <cell r="I22">
            <v>10600</v>
          </cell>
          <cell r="J22">
            <v>4600</v>
          </cell>
          <cell r="K22">
            <v>8500</v>
          </cell>
          <cell r="L22">
            <v>9100</v>
          </cell>
          <cell r="M22">
            <v>7700</v>
          </cell>
          <cell r="N22">
            <v>1300</v>
          </cell>
          <cell r="O22">
            <v>27400</v>
          </cell>
          <cell r="P22">
            <v>8600</v>
          </cell>
          <cell r="Q22">
            <v>35900</v>
          </cell>
          <cell r="R22">
            <v>20700</v>
          </cell>
          <cell r="S22">
            <v>20300</v>
          </cell>
          <cell r="T22">
            <v>11210.9375</v>
          </cell>
          <cell r="AH22">
            <v>4700</v>
          </cell>
          <cell r="AI22">
            <v>-200</v>
          </cell>
          <cell r="AJ22">
            <v>0</v>
          </cell>
          <cell r="AK22">
            <v>0</v>
          </cell>
          <cell r="AL22">
            <v>0</v>
          </cell>
          <cell r="AM22">
            <v>10600</v>
          </cell>
          <cell r="AN22">
            <v>3200</v>
          </cell>
          <cell r="AO22">
            <v>0</v>
          </cell>
          <cell r="AP22">
            <v>200</v>
          </cell>
          <cell r="AQ22">
            <v>1200</v>
          </cell>
          <cell r="AR22">
            <v>600</v>
          </cell>
          <cell r="AS22">
            <v>500</v>
          </cell>
          <cell r="AT22">
            <v>1000</v>
          </cell>
          <cell r="AU22">
            <v>6400</v>
          </cell>
          <cell r="AV22">
            <v>-100</v>
          </cell>
          <cell r="AW22">
            <v>-100</v>
          </cell>
          <cell r="AX22">
            <v>7500</v>
          </cell>
          <cell r="AY22">
            <v>1800</v>
          </cell>
          <cell r="AZ22">
            <v>0</v>
          </cell>
          <cell r="BA22">
            <v>500</v>
          </cell>
          <cell r="BB22">
            <v>200</v>
          </cell>
          <cell r="BC22">
            <v>7000</v>
          </cell>
          <cell r="BD22">
            <v>100</v>
          </cell>
          <cell r="BE22">
            <v>100</v>
          </cell>
          <cell r="BF22">
            <v>500</v>
          </cell>
          <cell r="BG22">
            <v>600</v>
          </cell>
          <cell r="BH22">
            <v>900</v>
          </cell>
          <cell r="BI22">
            <v>10300</v>
          </cell>
          <cell r="BJ22">
            <v>12100</v>
          </cell>
          <cell r="BK22">
            <v>4100</v>
          </cell>
          <cell r="BL22">
            <v>4900</v>
          </cell>
          <cell r="BM22">
            <v>2600</v>
          </cell>
          <cell r="BN22">
            <v>800</v>
          </cell>
          <cell r="BO22">
            <v>300</v>
          </cell>
          <cell r="BP22">
            <v>12400</v>
          </cell>
          <cell r="BQ22">
            <v>3800</v>
          </cell>
          <cell r="BR22">
            <v>3600</v>
          </cell>
          <cell r="BS22">
            <v>16100</v>
          </cell>
          <cell r="BT22">
            <v>7000</v>
          </cell>
          <cell r="BU22">
            <v>3400</v>
          </cell>
          <cell r="BV22">
            <v>5300</v>
          </cell>
          <cell r="BW22">
            <v>5000</v>
          </cell>
          <cell r="BX22">
            <v>4400</v>
          </cell>
          <cell r="BY22">
            <v>5900</v>
          </cell>
          <cell r="BZ22">
            <v>2500</v>
          </cell>
          <cell r="CA22">
            <v>7500</v>
          </cell>
          <cell r="CB22">
            <v>0</v>
          </cell>
          <cell r="CC22">
            <v>3975</v>
          </cell>
          <cell r="CD22">
            <v>3493.75</v>
          </cell>
          <cell r="CE22">
            <v>3742.1875</v>
          </cell>
        </row>
        <row r="23">
          <cell r="A23" t="str">
            <v>Integration Costs</v>
          </cell>
          <cell r="M23">
            <v>77300</v>
          </cell>
          <cell r="N23">
            <v>69800</v>
          </cell>
          <cell r="O23">
            <v>65000</v>
          </cell>
          <cell r="P23">
            <v>15000</v>
          </cell>
          <cell r="Q23">
            <v>40400</v>
          </cell>
          <cell r="R23">
            <v>95000</v>
          </cell>
          <cell r="S23">
            <v>13800</v>
          </cell>
          <cell r="T23">
            <v>2676.5625</v>
          </cell>
          <cell r="AZ23">
            <v>23200</v>
          </cell>
          <cell r="BA23">
            <v>16800</v>
          </cell>
          <cell r="BB23">
            <v>11500</v>
          </cell>
          <cell r="BC23">
            <v>25800</v>
          </cell>
          <cell r="BD23">
            <v>8900</v>
          </cell>
          <cell r="BE23">
            <v>5100</v>
          </cell>
          <cell r="BF23">
            <v>19900</v>
          </cell>
          <cell r="BG23">
            <v>35900</v>
          </cell>
          <cell r="BH23">
            <v>22300</v>
          </cell>
          <cell r="BI23">
            <v>19400</v>
          </cell>
          <cell r="BJ23">
            <v>12700</v>
          </cell>
          <cell r="BK23">
            <v>11000</v>
          </cell>
          <cell r="BL23">
            <v>5100</v>
          </cell>
          <cell r="BM23">
            <v>6900</v>
          </cell>
          <cell r="BN23">
            <v>5800</v>
          </cell>
          <cell r="BO23">
            <v>12400</v>
          </cell>
          <cell r="BP23">
            <v>7900</v>
          </cell>
          <cell r="BQ23">
            <v>8100</v>
          </cell>
          <cell r="BR23">
            <v>10000</v>
          </cell>
          <cell r="BS23">
            <v>14400</v>
          </cell>
          <cell r="BT23">
            <v>14100</v>
          </cell>
          <cell r="BU23">
            <v>57300</v>
          </cell>
          <cell r="BV23">
            <v>3100</v>
          </cell>
          <cell r="BW23">
            <v>20500</v>
          </cell>
          <cell r="BX23">
            <v>5000</v>
          </cell>
          <cell r="BY23">
            <v>2600</v>
          </cell>
          <cell r="BZ23">
            <v>2900</v>
          </cell>
          <cell r="CA23">
            <v>3300</v>
          </cell>
          <cell r="CB23">
            <v>0</v>
          </cell>
          <cell r="CC23">
            <v>1100</v>
          </cell>
          <cell r="CD23">
            <v>912.5</v>
          </cell>
          <cell r="CE23">
            <v>664.0625</v>
          </cell>
        </row>
        <row r="24">
          <cell r="A24" t="str">
            <v>Restricted Stock Expense</v>
          </cell>
          <cell r="K24">
            <v>19000</v>
          </cell>
          <cell r="L24">
            <v>26200</v>
          </cell>
          <cell r="M24">
            <v>29000</v>
          </cell>
          <cell r="N24">
            <v>39900</v>
          </cell>
          <cell r="O24">
            <v>37000</v>
          </cell>
          <cell r="P24">
            <v>44700</v>
          </cell>
          <cell r="Q24">
            <v>41200</v>
          </cell>
          <cell r="R24">
            <v>54700</v>
          </cell>
          <cell r="S24">
            <v>41600</v>
          </cell>
          <cell r="T24">
            <v>0</v>
          </cell>
          <cell r="U24">
            <v>0</v>
          </cell>
          <cell r="V24">
            <v>0</v>
          </cell>
          <cell r="W24">
            <v>0</v>
          </cell>
          <cell r="X24">
            <v>0</v>
          </cell>
          <cell r="Y24">
            <v>0</v>
          </cell>
          <cell r="AN24">
            <v>3900</v>
          </cell>
          <cell r="AO24">
            <v>4600</v>
          </cell>
          <cell r="AP24">
            <v>3900</v>
          </cell>
          <cell r="AQ24">
            <v>3900</v>
          </cell>
          <cell r="AR24">
            <v>4800</v>
          </cell>
          <cell r="AS24">
            <v>5100</v>
          </cell>
          <cell r="AT24">
            <v>4100</v>
          </cell>
          <cell r="AU24">
            <v>5000</v>
          </cell>
          <cell r="AV24">
            <v>6900</v>
          </cell>
          <cell r="AW24">
            <v>8000</v>
          </cell>
          <cell r="AX24">
            <v>5600</v>
          </cell>
          <cell r="AY24">
            <v>5700</v>
          </cell>
          <cell r="AZ24">
            <v>7400</v>
          </cell>
          <cell r="BA24">
            <v>7500</v>
          </cell>
          <cell r="BB24">
            <v>7400</v>
          </cell>
          <cell r="BC24">
            <v>6700</v>
          </cell>
          <cell r="BD24">
            <v>7900</v>
          </cell>
          <cell r="BE24">
            <v>8900</v>
          </cell>
          <cell r="BF24">
            <v>11400</v>
          </cell>
          <cell r="BG24">
            <v>11700</v>
          </cell>
          <cell r="BH24">
            <v>7400</v>
          </cell>
          <cell r="BI24">
            <v>6300</v>
          </cell>
          <cell r="BJ24">
            <v>5600</v>
          </cell>
          <cell r="BK24">
            <v>23700</v>
          </cell>
          <cell r="BL24">
            <v>12300</v>
          </cell>
          <cell r="BM24">
            <v>10400</v>
          </cell>
          <cell r="BN24">
            <v>11200</v>
          </cell>
          <cell r="BO24">
            <v>10800</v>
          </cell>
          <cell r="BP24">
            <v>13500</v>
          </cell>
          <cell r="BQ24">
            <v>13900</v>
          </cell>
          <cell r="BR24">
            <v>10500</v>
          </cell>
          <cell r="BS24">
            <v>3300</v>
          </cell>
          <cell r="BT24">
            <v>14800</v>
          </cell>
          <cell r="BU24">
            <v>13300</v>
          </cell>
          <cell r="BV24">
            <v>14400</v>
          </cell>
          <cell r="BW24">
            <v>12200</v>
          </cell>
          <cell r="BX24">
            <v>13700</v>
          </cell>
          <cell r="BY24">
            <v>8900</v>
          </cell>
          <cell r="BZ24">
            <v>9200</v>
          </cell>
          <cell r="CA24">
            <v>9800</v>
          </cell>
          <cell r="CB24">
            <v>0</v>
          </cell>
          <cell r="CC24">
            <v>0</v>
          </cell>
          <cell r="CD24">
            <v>0</v>
          </cell>
          <cell r="CE24">
            <v>0</v>
          </cell>
        </row>
        <row r="25">
          <cell r="A25" t="str">
            <v>Pension Expense (benefit)</v>
          </cell>
          <cell r="F25">
            <v>0</v>
          </cell>
          <cell r="G25">
            <v>0</v>
          </cell>
          <cell r="H25">
            <v>0</v>
          </cell>
          <cell r="I25">
            <v>0</v>
          </cell>
          <cell r="J25">
            <v>18800</v>
          </cell>
          <cell r="K25">
            <v>1800</v>
          </cell>
          <cell r="L25">
            <v>92500</v>
          </cell>
          <cell r="M25">
            <v>52700</v>
          </cell>
          <cell r="N25">
            <v>166300</v>
          </cell>
          <cell r="O25">
            <v>67400</v>
          </cell>
          <cell r="P25">
            <v>-115300.00000000001</v>
          </cell>
          <cell r="Q25">
            <v>128300.00000000001</v>
          </cell>
          <cell r="R25">
            <v>1200</v>
          </cell>
          <cell r="S25">
            <v>59100</v>
          </cell>
          <cell r="T25">
            <v>24225.830200000011</v>
          </cell>
          <cell r="U25">
            <v>23014.538690000009</v>
          </cell>
          <cell r="V25">
            <v>0</v>
          </cell>
          <cell r="W25">
            <v>0</v>
          </cell>
          <cell r="X25">
            <v>0</v>
          </cell>
          <cell r="Y25">
            <v>0</v>
          </cell>
          <cell r="AB25">
            <v>0</v>
          </cell>
          <cell r="AC25">
            <v>0</v>
          </cell>
          <cell r="AD25">
            <v>0</v>
          </cell>
          <cell r="AE25">
            <v>0</v>
          </cell>
          <cell r="AN25">
            <v>4300</v>
          </cell>
          <cell r="AO25">
            <v>5400</v>
          </cell>
          <cell r="AP25">
            <v>4900</v>
          </cell>
          <cell r="AQ25">
            <v>4200</v>
          </cell>
          <cell r="AR25">
            <v>400</v>
          </cell>
          <cell r="AS25">
            <v>700</v>
          </cell>
          <cell r="AT25">
            <v>500</v>
          </cell>
          <cell r="AU25">
            <v>200</v>
          </cell>
          <cell r="AV25">
            <v>22800</v>
          </cell>
          <cell r="AW25">
            <v>22800</v>
          </cell>
          <cell r="AX25">
            <v>23000</v>
          </cell>
          <cell r="AY25">
            <v>23900</v>
          </cell>
          <cell r="AZ25">
            <v>3800</v>
          </cell>
          <cell r="BA25">
            <v>5400</v>
          </cell>
          <cell r="BB25">
            <v>3800</v>
          </cell>
          <cell r="BC25">
            <v>39700</v>
          </cell>
          <cell r="BD25">
            <v>-200</v>
          </cell>
          <cell r="BE25">
            <v>4100</v>
          </cell>
          <cell r="BF25">
            <v>-700</v>
          </cell>
          <cell r="BG25">
            <v>163100</v>
          </cell>
          <cell r="BH25">
            <v>-1100</v>
          </cell>
          <cell r="BI25">
            <v>1200</v>
          </cell>
          <cell r="BJ25">
            <v>-1400</v>
          </cell>
          <cell r="BK25">
            <v>68700</v>
          </cell>
          <cell r="BL25">
            <v>-1200</v>
          </cell>
          <cell r="BM25">
            <v>2300</v>
          </cell>
          <cell r="BN25">
            <v>-1100</v>
          </cell>
          <cell r="BO25">
            <v>-115300</v>
          </cell>
          <cell r="BP25">
            <v>-300</v>
          </cell>
          <cell r="BQ25">
            <v>6300</v>
          </cell>
          <cell r="BR25">
            <v>200</v>
          </cell>
          <cell r="BS25">
            <v>122100</v>
          </cell>
          <cell r="BT25">
            <v>-1800</v>
          </cell>
          <cell r="BU25">
            <v>-4700</v>
          </cell>
          <cell r="BV25">
            <v>-1900</v>
          </cell>
          <cell r="BW25">
            <v>9600</v>
          </cell>
          <cell r="BX25">
            <v>-300</v>
          </cell>
          <cell r="BY25">
            <v>2000</v>
          </cell>
          <cell r="BZ25">
            <v>-300</v>
          </cell>
          <cell r="CA25">
            <v>57700</v>
          </cell>
          <cell r="CB25">
            <v>0</v>
          </cell>
          <cell r="CC25">
            <v>0</v>
          </cell>
          <cell r="CD25">
            <v>0</v>
          </cell>
          <cell r="CE25">
            <v>24225.830200000011</v>
          </cell>
        </row>
        <row r="26">
          <cell r="A26" t="str">
            <v>Other EBIT Adjustments</v>
          </cell>
          <cell r="O26">
            <v>-70000</v>
          </cell>
          <cell r="P26">
            <v>-88000</v>
          </cell>
          <cell r="Q26">
            <v>0</v>
          </cell>
          <cell r="R26">
            <v>-2700</v>
          </cell>
          <cell r="S26">
            <v>0</v>
          </cell>
          <cell r="T26">
            <v>-113900</v>
          </cell>
          <cell r="U26">
            <v>0</v>
          </cell>
          <cell r="V26">
            <v>0</v>
          </cell>
          <cell r="W26">
            <v>0</v>
          </cell>
          <cell r="X26">
            <v>0</v>
          </cell>
          <cell r="Y26">
            <v>0</v>
          </cell>
          <cell r="BH26">
            <v>-6000</v>
          </cell>
          <cell r="BI26">
            <v>-12000</v>
          </cell>
          <cell r="BJ26">
            <v>-15000</v>
          </cell>
          <cell r="BK26">
            <v>-17500</v>
          </cell>
          <cell r="BL26">
            <v>-19000</v>
          </cell>
          <cell r="BM26">
            <v>-20000</v>
          </cell>
          <cell r="BN26">
            <v>-20000</v>
          </cell>
          <cell r="BO26">
            <v>-22000</v>
          </cell>
          <cell r="BU26">
            <v>-2700</v>
          </cell>
          <cell r="CB26">
            <v>-113900</v>
          </cell>
        </row>
        <row r="27">
          <cell r="A27" t="str">
            <v>CLEC Adjustment (1q14-2q15)</v>
          </cell>
          <cell r="Q27">
            <v>-20500</v>
          </cell>
          <cell r="R27">
            <v>-5500</v>
          </cell>
          <cell r="S27">
            <v>0</v>
          </cell>
          <cell r="T27">
            <v>0</v>
          </cell>
          <cell r="BP27">
            <v>-5500</v>
          </cell>
          <cell r="BQ27">
            <v>-5200</v>
          </cell>
          <cell r="BR27">
            <v>-5100</v>
          </cell>
          <cell r="BS27">
            <v>-4700</v>
          </cell>
          <cell r="BT27">
            <v>-4300</v>
          </cell>
          <cell r="BU27">
            <v>-1200</v>
          </cell>
          <cell r="BV27">
            <v>0</v>
          </cell>
          <cell r="BW27">
            <v>0</v>
          </cell>
          <cell r="BX27">
            <v>0</v>
          </cell>
          <cell r="BY27">
            <v>0</v>
          </cell>
          <cell r="BZ27">
            <v>0</v>
          </cell>
          <cell r="CA27">
            <v>0</v>
          </cell>
          <cell r="CB27">
            <v>0</v>
          </cell>
          <cell r="CC27">
            <v>0</v>
          </cell>
          <cell r="CD27">
            <v>0</v>
          </cell>
          <cell r="CE27">
            <v>0</v>
          </cell>
        </row>
        <row r="28">
          <cell r="A28" t="str">
            <v>Data Center Adjustment (1q14-4q15)</v>
          </cell>
          <cell r="Q28">
            <v>-32400</v>
          </cell>
          <cell r="R28">
            <v>-37400</v>
          </cell>
          <cell r="S28">
            <v>0</v>
          </cell>
          <cell r="T28">
            <v>0</v>
          </cell>
          <cell r="BP28">
            <v>-6000</v>
          </cell>
          <cell r="BQ28">
            <v>-7500</v>
          </cell>
          <cell r="BR28">
            <v>-8500</v>
          </cell>
          <cell r="BS28">
            <v>-10400</v>
          </cell>
          <cell r="BT28">
            <v>-8800</v>
          </cell>
          <cell r="BU28">
            <v>-9900</v>
          </cell>
          <cell r="BV28">
            <v>-9400</v>
          </cell>
          <cell r="BW28">
            <v>-9300</v>
          </cell>
          <cell r="BX28">
            <v>0</v>
          </cell>
          <cell r="BY28">
            <v>0</v>
          </cell>
          <cell r="BZ28">
            <v>0</v>
          </cell>
          <cell r="CA28">
            <v>0</v>
          </cell>
          <cell r="CB28">
            <v>0</v>
          </cell>
          <cell r="CC28">
            <v>0</v>
          </cell>
        </row>
        <row r="29">
          <cell r="A29" t="str">
            <v>Synergies</v>
          </cell>
          <cell r="Q29">
            <v>-2609400</v>
          </cell>
          <cell r="R29">
            <v>0</v>
          </cell>
          <cell r="S29">
            <v>0</v>
          </cell>
          <cell r="T29">
            <v>-37500</v>
          </cell>
          <cell r="U29">
            <v>-50000</v>
          </cell>
          <cell r="V29">
            <v>-50000</v>
          </cell>
          <cell r="W29">
            <v>-50000</v>
          </cell>
          <cell r="X29">
            <v>-50000</v>
          </cell>
          <cell r="Y29">
            <v>-50000</v>
          </cell>
          <cell r="BP29">
            <v>-642500</v>
          </cell>
          <cell r="BQ29">
            <v>-645200</v>
          </cell>
          <cell r="BR29">
            <v>-667500</v>
          </cell>
          <cell r="BS29">
            <v>-654200</v>
          </cell>
          <cell r="BT29">
            <v>0</v>
          </cell>
          <cell r="BU29">
            <v>0</v>
          </cell>
          <cell r="BV29">
            <v>0</v>
          </cell>
          <cell r="BW29">
            <v>0</v>
          </cell>
          <cell r="BX29">
            <v>0</v>
          </cell>
          <cell r="BY29">
            <v>0</v>
          </cell>
          <cell r="BZ29">
            <v>0</v>
          </cell>
          <cell r="CA29">
            <v>0</v>
          </cell>
          <cell r="CB29">
            <v>0</v>
          </cell>
          <cell r="CC29">
            <v>-7500</v>
          </cell>
          <cell r="CD29">
            <v>-12500</v>
          </cell>
          <cell r="CE29">
            <v>-17500</v>
          </cell>
        </row>
        <row r="30">
          <cell r="A30" t="str">
            <v>Cash Operating Expenses</v>
          </cell>
          <cell r="F30">
            <v>1792423</v>
          </cell>
          <cell r="G30">
            <v>1720538</v>
          </cell>
          <cell r="H30">
            <v>1548900</v>
          </cell>
          <cell r="I30">
            <v>1558200</v>
          </cell>
          <cell r="J30">
            <v>1594300</v>
          </cell>
          <cell r="K30">
            <v>1991600</v>
          </cell>
          <cell r="L30">
            <v>2281500</v>
          </cell>
          <cell r="M30">
            <v>3935000</v>
          </cell>
          <cell r="N30">
            <v>4015500</v>
          </cell>
          <cell r="O30">
            <v>3866100</v>
          </cell>
          <cell r="P30">
            <v>3599400</v>
          </cell>
          <cell r="Q30">
            <v>3758100</v>
          </cell>
          <cell r="R30">
            <v>3685700</v>
          </cell>
          <cell r="S30">
            <v>3574000</v>
          </cell>
          <cell r="T30">
            <v>3973187.0264003216</v>
          </cell>
          <cell r="U30">
            <v>3836857.5224453025</v>
          </cell>
          <cell r="V30">
            <v>3745102.8382752314</v>
          </cell>
          <cell r="W30">
            <v>3664672.6136444458</v>
          </cell>
          <cell r="X30">
            <v>3592744.0030625206</v>
          </cell>
          <cell r="Y30">
            <v>3528722.4376440486</v>
          </cell>
          <cell r="Z30">
            <v>-1.1436382145026958E-3</v>
          </cell>
          <cell r="AB30">
            <v>407637.76743530028</v>
          </cell>
          <cell r="AC30">
            <v>428668.85250106605</v>
          </cell>
          <cell r="AD30">
            <v>430352.32427592087</v>
          </cell>
          <cell r="AE30">
            <v>453879.0557877128</v>
          </cell>
          <cell r="AF30">
            <v>390100</v>
          </cell>
          <cell r="AG30">
            <v>399300</v>
          </cell>
          <cell r="AH30">
            <v>389900</v>
          </cell>
          <cell r="AI30">
            <v>369600</v>
          </cell>
          <cell r="AJ30">
            <v>374400</v>
          </cell>
          <cell r="AK30">
            <v>382200</v>
          </cell>
          <cell r="AL30">
            <v>399900</v>
          </cell>
          <cell r="AM30">
            <v>401700</v>
          </cell>
          <cell r="AN30">
            <v>397200</v>
          </cell>
          <cell r="AO30">
            <v>408900</v>
          </cell>
          <cell r="AP30">
            <v>399900</v>
          </cell>
          <cell r="AQ30">
            <v>388300</v>
          </cell>
          <cell r="AR30">
            <v>497200</v>
          </cell>
          <cell r="AS30">
            <v>498700</v>
          </cell>
          <cell r="AT30">
            <v>506100</v>
          </cell>
          <cell r="AU30">
            <v>489600</v>
          </cell>
          <cell r="AV30">
            <v>573600</v>
          </cell>
          <cell r="AW30">
            <v>577100</v>
          </cell>
          <cell r="AX30">
            <v>573800</v>
          </cell>
          <cell r="AY30">
            <v>557000</v>
          </cell>
          <cell r="AZ30">
            <v>977400</v>
          </cell>
          <cell r="BA30">
            <v>976100</v>
          </cell>
          <cell r="BB30">
            <v>986100</v>
          </cell>
          <cell r="BC30">
            <v>995400</v>
          </cell>
          <cell r="BD30">
            <v>956700</v>
          </cell>
          <cell r="BE30">
            <v>961300</v>
          </cell>
          <cell r="BF30">
            <v>965600</v>
          </cell>
          <cell r="BG30">
            <v>1131900</v>
          </cell>
          <cell r="BH30">
            <v>954400</v>
          </cell>
          <cell r="BI30">
            <v>948100</v>
          </cell>
          <cell r="BJ30">
            <v>954500</v>
          </cell>
          <cell r="BK30">
            <v>1009100</v>
          </cell>
          <cell r="BL30">
            <v>921300</v>
          </cell>
          <cell r="BM30">
            <v>933000</v>
          </cell>
          <cell r="BN30">
            <v>934200</v>
          </cell>
          <cell r="BO30">
            <v>810900</v>
          </cell>
          <cell r="BP30">
            <v>911900</v>
          </cell>
          <cell r="BQ30">
            <v>917100</v>
          </cell>
          <cell r="BR30">
            <v>916500</v>
          </cell>
          <cell r="BS30">
            <v>1012600</v>
          </cell>
          <cell r="BT30">
            <v>911600</v>
          </cell>
          <cell r="BU30">
            <v>917700</v>
          </cell>
          <cell r="BV30">
            <v>939200</v>
          </cell>
          <cell r="BW30">
            <v>917200</v>
          </cell>
          <cell r="BX30">
            <v>901500</v>
          </cell>
          <cell r="BY30">
            <v>888300</v>
          </cell>
          <cell r="BZ30">
            <v>889100</v>
          </cell>
          <cell r="CA30">
            <v>895100</v>
          </cell>
          <cell r="CB30">
            <v>1016800</v>
          </cell>
          <cell r="CC30">
            <v>996262.62781240663</v>
          </cell>
          <cell r="CD30">
            <v>976701.39847184555</v>
          </cell>
          <cell r="CE30">
            <v>983423.00011606945</v>
          </cell>
        </row>
        <row r="31">
          <cell r="A31" t="str">
            <v>% y/y growth</v>
          </cell>
          <cell r="L31">
            <v>0.14556135770234979</v>
          </cell>
          <cell r="M31">
            <v>0.72474249397326318</v>
          </cell>
          <cell r="N31">
            <v>2.0457433290978377E-2</v>
          </cell>
          <cell r="O31">
            <v>-3.7205827418752335E-2</v>
          </cell>
          <cell r="P31">
            <v>-6.8984247691472045E-2</v>
          </cell>
          <cell r="Q31">
            <v>4.4090681780296626E-2</v>
          </cell>
          <cell r="R31">
            <v>-1.9265054149703253E-2</v>
          </cell>
          <cell r="S31">
            <v>-3.0306319016740413E-2</v>
          </cell>
          <cell r="T31">
            <v>0.11169194918867431</v>
          </cell>
          <cell r="U31">
            <v>-3.4312380225033801E-2</v>
          </cell>
          <cell r="V31">
            <v>-2.3914019124586683E-2</v>
          </cell>
          <cell r="W31">
            <v>-2.1476105758373998E-2</v>
          </cell>
          <cell r="X31">
            <v>-1.962756790718978E-2</v>
          </cell>
          <cell r="Y31">
            <v>-1.7819684721176565E-2</v>
          </cell>
          <cell r="AV31">
            <v>0.15366049879324217</v>
          </cell>
          <cell r="AW31">
            <v>0.15720874273110086</v>
          </cell>
          <cell r="AX31">
            <v>0.13376803003359017</v>
          </cell>
          <cell r="AY31">
            <v>0.13766339869281041</v>
          </cell>
          <cell r="AZ31">
            <v>0.70397489539748959</v>
          </cell>
          <cell r="BA31">
            <v>0.69138797435453125</v>
          </cell>
          <cell r="BB31">
            <v>0.7185430463576159</v>
          </cell>
          <cell r="BC31">
            <v>0.78707360861759423</v>
          </cell>
          <cell r="BD31">
            <v>-2.117863720073665E-2</v>
          </cell>
          <cell r="BE31">
            <v>-1.5162380903595896E-2</v>
          </cell>
          <cell r="BF31">
            <v>-2.0788966636243744E-2</v>
          </cell>
          <cell r="BG31">
            <v>0.1371308016877637</v>
          </cell>
          <cell r="BH31">
            <v>-2.4040974182084618E-3</v>
          </cell>
          <cell r="BI31">
            <v>-1.3731405388536344E-2</v>
          </cell>
          <cell r="BJ31">
            <v>-1.1495443247721671E-2</v>
          </cell>
          <cell r="BK31">
            <v>-0.10849014930647582</v>
          </cell>
          <cell r="BL31">
            <v>-3.4681475272422491E-2</v>
          </cell>
          <cell r="BM31">
            <v>-1.5926590022149578E-2</v>
          </cell>
          <cell r="BN31">
            <v>-2.1267679413305429E-2</v>
          </cell>
          <cell r="BO31">
            <v>-0.19641264493112676</v>
          </cell>
          <cell r="BP31">
            <v>-1.0202974058395764E-2</v>
          </cell>
          <cell r="BQ31">
            <v>-1.7041800643086802E-2</v>
          </cell>
          <cell r="BR31">
            <v>-1.8946692357097006E-2</v>
          </cell>
          <cell r="BS31">
            <v>0.24873597237637202</v>
          </cell>
          <cell r="BT31">
            <v>-3.289834411668302E-4</v>
          </cell>
          <cell r="BU31">
            <v>6.5423617926074762E-4</v>
          </cell>
          <cell r="BV31">
            <v>2.4768139661756727E-2</v>
          </cell>
          <cell r="BW31">
            <v>-9.4212917242741501E-2</v>
          </cell>
          <cell r="BX31">
            <v>-1.1079420798595918E-2</v>
          </cell>
          <cell r="BY31">
            <v>-3.2036613272311221E-2</v>
          </cell>
          <cell r="BZ31">
            <v>-5.3343270868824511E-2</v>
          </cell>
          <cell r="CA31">
            <v>-2.4095071958133429E-2</v>
          </cell>
          <cell r="CB31">
            <v>0.12789794786467001</v>
          </cell>
          <cell r="CC31">
            <v>0.12153847552899544</v>
          </cell>
          <cell r="CD31">
            <v>9.8528172839776884E-2</v>
          </cell>
          <cell r="CE31">
            <v>9.8673891315014473E-2</v>
          </cell>
        </row>
        <row r="32">
          <cell r="A32" t="str">
            <v>% of revenues</v>
          </cell>
          <cell r="K32">
            <v>0.51869986456922601</v>
          </cell>
          <cell r="L32">
            <v>0.53918324904286996</v>
          </cell>
          <cell r="M32">
            <v>0.62866454715383513</v>
          </cell>
          <cell r="N32">
            <v>0.643602442659999</v>
          </cell>
          <cell r="O32">
            <v>0.62970925971170288</v>
          </cell>
          <cell r="P32">
            <v>0.60109216612949012</v>
          </cell>
          <cell r="Q32">
            <v>0.66222026431718062</v>
          </cell>
          <cell r="R32">
            <v>0.65417724215047657</v>
          </cell>
          <cell r="S32">
            <v>0.66344904399480231</v>
          </cell>
          <cell r="T32">
            <v>0.66741646924896025</v>
          </cell>
          <cell r="U32">
            <v>0.66434262066317529</v>
          </cell>
          <cell r="V32">
            <v>0.66857402317050363</v>
          </cell>
          <cell r="W32">
            <v>0.672820186986399</v>
          </cell>
          <cell r="X32">
            <v>0.67707715832593696</v>
          </cell>
          <cell r="Y32">
            <v>0.68134571677407152</v>
          </cell>
          <cell r="AR32">
            <v>0.51353026234249122</v>
          </cell>
          <cell r="AS32">
            <v>0.5164129646888268</v>
          </cell>
          <cell r="AT32">
            <v>0.52884012539184955</v>
          </cell>
          <cell r="AU32">
            <v>0.51607462843891638</v>
          </cell>
          <cell r="AV32">
            <v>0.53627524308152585</v>
          </cell>
          <cell r="AW32">
            <v>0.54566944024205744</v>
          </cell>
          <cell r="AX32">
            <v>0.54606014465169395</v>
          </cell>
          <cell r="AY32">
            <v>0.52876400227833686</v>
          </cell>
          <cell r="AZ32">
            <v>0.62246847535345817</v>
          </cell>
          <cell r="BA32">
            <v>0.62586560656578605</v>
          </cell>
          <cell r="BB32">
            <v>0.6276494176054993</v>
          </cell>
          <cell r="BC32">
            <v>0.63873203285420943</v>
          </cell>
          <cell r="BD32">
            <v>0.61595415915529228</v>
          </cell>
          <cell r="BE32">
            <v>0.6176829660091242</v>
          </cell>
          <cell r="BF32">
            <v>0.6169179657551751</v>
          </cell>
          <cell r="BG32">
            <v>0.72353618000511377</v>
          </cell>
          <cell r="BH32">
            <v>0.62212372074832145</v>
          </cell>
          <cell r="BI32">
            <v>0.61955172188459784</v>
          </cell>
          <cell r="BJ32">
            <v>0.61940298507462688</v>
          </cell>
          <cell r="BK32">
            <v>0.65777980574929928</v>
          </cell>
          <cell r="BL32">
            <v>0.61563648513197455</v>
          </cell>
          <cell r="BM32">
            <v>0.6212958646866884</v>
          </cell>
          <cell r="BN32">
            <v>0.62338182303483247</v>
          </cell>
          <cell r="BO32">
            <v>0.54375377187688589</v>
          </cell>
          <cell r="BP32">
            <v>0.63885386016533563</v>
          </cell>
          <cell r="BQ32">
            <v>0.64245183887915935</v>
          </cell>
          <cell r="BR32">
            <v>0.64697162219398563</v>
          </cell>
          <cell r="BS32">
            <v>0.7214820092625579</v>
          </cell>
          <cell r="BT32">
            <v>0.66062758170881952</v>
          </cell>
          <cell r="BU32">
            <v>0.66097666378565256</v>
          </cell>
          <cell r="BV32">
            <v>0.64013086150490728</v>
          </cell>
          <cell r="BW32">
            <v>0.65579865579865582</v>
          </cell>
          <cell r="BX32">
            <v>0.65640017474879864</v>
          </cell>
          <cell r="BY32">
            <v>0.65335392762577227</v>
          </cell>
          <cell r="BZ32">
            <v>0.66109004386943271</v>
          </cell>
          <cell r="CA32">
            <v>0.68375219616530436</v>
          </cell>
          <cell r="CB32">
            <v>0.6710665258711721</v>
          </cell>
          <cell r="CC32">
            <v>0.66598636444458204</v>
          </cell>
          <cell r="CD32">
            <v>0.66054621090010723</v>
          </cell>
          <cell r="CE32">
            <v>0.67204103812320026</v>
          </cell>
        </row>
        <row r="34">
          <cell r="A34" t="str">
            <v>EBITDAR</v>
          </cell>
          <cell r="F34">
            <v>1708211</v>
          </cell>
          <cell r="G34">
            <v>1720272</v>
          </cell>
          <cell r="H34">
            <v>1641702</v>
          </cell>
          <cell r="I34">
            <v>1634127</v>
          </cell>
          <cell r="J34">
            <v>1739800</v>
          </cell>
          <cell r="K34">
            <v>1848000</v>
          </cell>
          <cell r="L34">
            <v>1949900</v>
          </cell>
          <cell r="M34">
            <v>2324300</v>
          </cell>
          <cell r="N34">
            <v>2223600</v>
          </cell>
          <cell r="O34">
            <v>2273400</v>
          </cell>
          <cell r="P34">
            <v>2388700</v>
          </cell>
          <cell r="Q34">
            <v>1916900</v>
          </cell>
          <cell r="R34">
            <v>1948400</v>
          </cell>
          <cell r="S34">
            <v>1813000</v>
          </cell>
          <cell r="T34">
            <v>1979898.0553497965</v>
          </cell>
          <cell r="U34">
            <v>1938562.2731643589</v>
          </cell>
          <cell r="V34">
            <v>1856524.9672970669</v>
          </cell>
          <cell r="W34">
            <v>1782061.4239573819</v>
          </cell>
          <cell r="X34">
            <v>1713510.9176403512</v>
          </cell>
          <cell r="Y34">
            <v>1650325.9525788892</v>
          </cell>
          <cell r="Z34">
            <v>-1.7689220942379569E-2</v>
          </cell>
          <cell r="AB34">
            <v>430395.952156657</v>
          </cell>
          <cell r="AC34">
            <v>438930.38329779904</v>
          </cell>
          <cell r="AD34">
            <v>422504.99080263718</v>
          </cell>
          <cell r="AE34">
            <v>428440.67374290677</v>
          </cell>
          <cell r="AF34">
            <v>394117</v>
          </cell>
          <cell r="AG34">
            <v>407292</v>
          </cell>
          <cell r="AH34">
            <v>407063</v>
          </cell>
          <cell r="AI34">
            <v>433230</v>
          </cell>
          <cell r="AJ34">
            <v>399135</v>
          </cell>
          <cell r="AK34">
            <v>414218</v>
          </cell>
          <cell r="AL34">
            <v>394866</v>
          </cell>
          <cell r="AM34">
            <v>425908</v>
          </cell>
          <cell r="AN34">
            <v>427600</v>
          </cell>
          <cell r="AO34">
            <v>435600</v>
          </cell>
          <cell r="AP34">
            <v>439800</v>
          </cell>
          <cell r="AQ34">
            <v>436800</v>
          </cell>
          <cell r="AR34">
            <v>471000</v>
          </cell>
          <cell r="AS34">
            <v>467000</v>
          </cell>
          <cell r="AT34">
            <v>450900</v>
          </cell>
          <cell r="AU34">
            <v>459100</v>
          </cell>
          <cell r="AV34">
            <v>496000</v>
          </cell>
          <cell r="AW34">
            <v>480500</v>
          </cell>
          <cell r="AX34">
            <v>477000</v>
          </cell>
          <cell r="AY34">
            <v>496400</v>
          </cell>
          <cell r="AZ34">
            <v>592800</v>
          </cell>
          <cell r="BA34">
            <v>583500</v>
          </cell>
          <cell r="BB34">
            <v>585000</v>
          </cell>
          <cell r="BC34">
            <v>563000</v>
          </cell>
          <cell r="BD34">
            <v>596500</v>
          </cell>
          <cell r="BE34">
            <v>595000</v>
          </cell>
          <cell r="BF34">
            <v>599600</v>
          </cell>
          <cell r="BG34">
            <v>432500</v>
          </cell>
          <cell r="BH34">
            <v>579700</v>
          </cell>
          <cell r="BI34">
            <v>582200</v>
          </cell>
          <cell r="BJ34">
            <v>586500</v>
          </cell>
          <cell r="BK34">
            <v>525000</v>
          </cell>
          <cell r="BL34">
            <v>575200</v>
          </cell>
          <cell r="BM34">
            <v>568700</v>
          </cell>
          <cell r="BN34">
            <v>564400</v>
          </cell>
          <cell r="BO34">
            <v>680400</v>
          </cell>
          <cell r="BP34">
            <v>515500</v>
          </cell>
          <cell r="BQ34">
            <v>510400</v>
          </cell>
          <cell r="BR34">
            <v>500100</v>
          </cell>
          <cell r="BS34">
            <v>390900</v>
          </cell>
          <cell r="BT34">
            <v>468300</v>
          </cell>
          <cell r="BU34">
            <v>470700</v>
          </cell>
          <cell r="BV34">
            <v>528000</v>
          </cell>
          <cell r="BW34">
            <v>481400</v>
          </cell>
          <cell r="BX34">
            <v>471900</v>
          </cell>
          <cell r="BY34">
            <v>471300</v>
          </cell>
          <cell r="BZ34">
            <v>455800</v>
          </cell>
          <cell r="CA34">
            <v>414000</v>
          </cell>
          <cell r="CB34">
            <v>498400</v>
          </cell>
          <cell r="CC34">
            <v>499657.83092441398</v>
          </cell>
          <cell r="CD34">
            <v>501925.50507351407</v>
          </cell>
          <cell r="CE34">
            <v>479914.71935186849</v>
          </cell>
        </row>
        <row r="35">
          <cell r="A35" t="str">
            <v>% y/y growth</v>
          </cell>
          <cell r="G35">
            <v>7.0606031690465532E-3</v>
          </cell>
          <cell r="H35">
            <v>-4.5673009849605206E-2</v>
          </cell>
          <cell r="I35">
            <v>-4.6141138891223621E-3</v>
          </cell>
          <cell r="J35">
            <v>6.4666332543309002E-2</v>
          </cell>
          <cell r="L35">
            <v>5.5140692640692546E-2</v>
          </cell>
          <cell r="M35">
            <v>0.19200984665880294</v>
          </cell>
          <cell r="N35">
            <v>-4.3324872004474435E-2</v>
          </cell>
          <cell r="O35">
            <v>2.2396114409066303E-2</v>
          </cell>
          <cell r="P35">
            <v>5.0716987771619593E-2</v>
          </cell>
          <cell r="R35">
            <v>1.6432782096092557E-2</v>
          </cell>
          <cell r="S35">
            <v>-6.9492917265448595E-2</v>
          </cell>
          <cell r="T35">
            <v>9.2056290871371571E-2</v>
          </cell>
          <cell r="U35">
            <v>-2.0877732605345978E-2</v>
          </cell>
          <cell r="V35">
            <v>-4.2318633248433435E-2</v>
          </cell>
          <cell r="W35">
            <v>-4.0109098800915843E-2</v>
          </cell>
          <cell r="X35">
            <v>-3.8466971674187334E-2</v>
          </cell>
          <cell r="Y35">
            <v>-3.6874562286695611E-2</v>
          </cell>
          <cell r="AV35">
            <v>5.3078556263269627E-2</v>
          </cell>
          <cell r="AW35">
            <v>2.8907922912205564E-2</v>
          </cell>
          <cell r="AX35">
            <v>5.7884231536926123E-2</v>
          </cell>
          <cell r="AY35">
            <v>8.1245915922457002E-2</v>
          </cell>
          <cell r="AZ35">
            <v>0.19516129032258056</v>
          </cell>
          <cell r="BA35">
            <v>0.21436004162330913</v>
          </cell>
          <cell r="BB35">
            <v>0.22641509433962259</v>
          </cell>
          <cell r="BC35">
            <v>0.13416599516518946</v>
          </cell>
          <cell r="BD35">
            <v>6.2415654520917574E-3</v>
          </cell>
          <cell r="BE35">
            <v>1.9708654670094194E-2</v>
          </cell>
          <cell r="BF35">
            <v>2.4957264957264913E-2</v>
          </cell>
          <cell r="BG35">
            <v>-0.23179396092362348</v>
          </cell>
          <cell r="BH35">
            <v>-2.8164291701592625E-2</v>
          </cell>
          <cell r="BI35">
            <v>-2.1512605042016797E-2</v>
          </cell>
          <cell r="BJ35">
            <v>-2.1847898599065996E-2</v>
          </cell>
          <cell r="BK35">
            <v>0.21387283236994215</v>
          </cell>
          <cell r="BL35">
            <v>-7.7626358461273526E-3</v>
          </cell>
          <cell r="BM35">
            <v>-2.3187907935417362E-2</v>
          </cell>
          <cell r="BN35">
            <v>-3.7681159420289823E-2</v>
          </cell>
          <cell r="BO35">
            <v>0.29600000000000004</v>
          </cell>
          <cell r="BT35">
            <v>-9.1561590688651773E-2</v>
          </cell>
          <cell r="BU35">
            <v>-7.7782131661441989E-2</v>
          </cell>
          <cell r="BV35">
            <v>5.5788842231553781E-2</v>
          </cell>
          <cell r="BW35">
            <v>0.23151701202353547</v>
          </cell>
          <cell r="BX35">
            <v>7.6873798846892605E-3</v>
          </cell>
          <cell r="BY35">
            <v>1.274697259400881E-3</v>
          </cell>
          <cell r="BZ35">
            <v>-0.13674242424242422</v>
          </cell>
          <cell r="CA35">
            <v>-0.14000830909846285</v>
          </cell>
          <cell r="CB35">
            <v>5.6155965246874384E-2</v>
          </cell>
          <cell r="CC35">
            <v>6.0169384520292857E-2</v>
          </cell>
          <cell r="CD35">
            <v>0.10119680797172892</v>
          </cell>
          <cell r="CE35">
            <v>0.1592142979513731</v>
          </cell>
        </row>
        <row r="36">
          <cell r="A36" t="str">
            <v xml:space="preserve">   % margin</v>
          </cell>
          <cell r="F36">
            <v>0.48797189309136574</v>
          </cell>
          <cell r="G36">
            <v>0.49996134631089773</v>
          </cell>
          <cell r="H36">
            <v>0.51454302354226567</v>
          </cell>
          <cell r="I36">
            <v>0.5118921087971251</v>
          </cell>
          <cell r="J36">
            <v>0.52181998140427699</v>
          </cell>
          <cell r="K36">
            <v>0.48130013543077405</v>
          </cell>
          <cell r="L36">
            <v>0.46081675095713004</v>
          </cell>
          <cell r="M36">
            <v>0.37133545284616493</v>
          </cell>
          <cell r="N36">
            <v>0.35639755734000095</v>
          </cell>
          <cell r="O36">
            <v>0.37029074028829712</v>
          </cell>
          <cell r="P36">
            <v>0.39890783387050982</v>
          </cell>
          <cell r="Q36">
            <v>0.33777973568281938</v>
          </cell>
          <cell r="R36">
            <v>0.34582275784952343</v>
          </cell>
          <cell r="S36">
            <v>0.33655095600519769</v>
          </cell>
          <cell r="T36">
            <v>0.33258353075103975</v>
          </cell>
          <cell r="U36">
            <v>0.33565737933682477</v>
          </cell>
          <cell r="V36">
            <v>0.33142597682949632</v>
          </cell>
          <cell r="W36">
            <v>0.327179813013601</v>
          </cell>
          <cell r="X36">
            <v>0.32292284167406299</v>
          </cell>
          <cell r="Y36">
            <v>0.31865428322592854</v>
          </cell>
          <cell r="AB36">
            <v>0.5135783227985371</v>
          </cell>
          <cell r="AC36">
            <v>0.50591375048139853</v>
          </cell>
          <cell r="AD36">
            <v>0.49539938666495414</v>
          </cell>
          <cell r="AE36">
            <v>0.48558437423906475</v>
          </cell>
          <cell r="AF36">
            <v>0.50256115335423746</v>
          </cell>
          <cell r="AG36">
            <v>0.50495417757676742</v>
          </cell>
          <cell r="AH36">
            <v>0.5107677520788293</v>
          </cell>
          <cell r="AI36">
            <v>0.53962856395500913</v>
          </cell>
          <cell r="AJ36">
            <v>0.51598828753708625</v>
          </cell>
          <cell r="AK36">
            <v>0.52010125336192803</v>
          </cell>
          <cell r="AL36">
            <v>0.49683303009942548</v>
          </cell>
          <cell r="AM36">
            <v>0.51462528153425291</v>
          </cell>
          <cell r="AN36">
            <v>0.51842870999030066</v>
          </cell>
          <cell r="AO36">
            <v>0.51580817051509764</v>
          </cell>
          <cell r="AP36">
            <v>0.52375848517327617</v>
          </cell>
          <cell r="AQ36">
            <v>0.52939037692400925</v>
          </cell>
          <cell r="AR36">
            <v>0.48646973765750878</v>
          </cell>
          <cell r="AS36">
            <v>0.48358703531117325</v>
          </cell>
          <cell r="AT36">
            <v>0.47115987460815045</v>
          </cell>
          <cell r="AU36">
            <v>0.48392537156108356</v>
          </cell>
          <cell r="AV36">
            <v>0.4637247569184742</v>
          </cell>
          <cell r="AW36">
            <v>0.45433055975794251</v>
          </cell>
          <cell r="AX36">
            <v>0.45393985534830605</v>
          </cell>
          <cell r="AY36">
            <v>0.47123599772166319</v>
          </cell>
          <cell r="AZ36">
            <v>0.37753152464654183</v>
          </cell>
          <cell r="BA36">
            <v>0.3741343934342139</v>
          </cell>
          <cell r="BB36">
            <v>0.3723505823945007</v>
          </cell>
          <cell r="BC36">
            <v>0.36126796714579057</v>
          </cell>
          <cell r="BD36">
            <v>0.38404584084470772</v>
          </cell>
          <cell r="BE36">
            <v>0.3823170339908758</v>
          </cell>
          <cell r="BF36">
            <v>0.38308203424482495</v>
          </cell>
          <cell r="BG36">
            <v>0.27646381999488623</v>
          </cell>
          <cell r="BH36">
            <v>0.37787627925167849</v>
          </cell>
          <cell r="BI36">
            <v>0.38044827811540222</v>
          </cell>
          <cell r="BJ36">
            <v>0.38059701492537312</v>
          </cell>
          <cell r="BK36">
            <v>0.34222019425070072</v>
          </cell>
          <cell r="BL36">
            <v>0.38436351486802539</v>
          </cell>
          <cell r="BM36">
            <v>0.3787041353133116</v>
          </cell>
          <cell r="BN36">
            <v>0.37661817696516747</v>
          </cell>
          <cell r="BO36">
            <v>0.45624622812311405</v>
          </cell>
          <cell r="BP36">
            <v>0.36114613983466443</v>
          </cell>
          <cell r="BQ36">
            <v>0.35754816112084065</v>
          </cell>
          <cell r="BR36">
            <v>0.35302837780601443</v>
          </cell>
          <cell r="BS36">
            <v>0.2785179907374421</v>
          </cell>
          <cell r="BT36">
            <v>0.33937241829118053</v>
          </cell>
          <cell r="BU36">
            <v>0.33902333621434744</v>
          </cell>
          <cell r="BV36">
            <v>0.35986913849509267</v>
          </cell>
          <cell r="BW36">
            <v>0.34420134420134418</v>
          </cell>
          <cell r="BX36">
            <v>0.34359982525120142</v>
          </cell>
          <cell r="BY36">
            <v>0.34664607237422773</v>
          </cell>
          <cell r="BZ36">
            <v>0.33890995613056735</v>
          </cell>
          <cell r="CA36">
            <v>0.31624780383469558</v>
          </cell>
          <cell r="CB36">
            <v>0.3289334741288279</v>
          </cell>
          <cell r="CC36">
            <v>0.33401363555541791</v>
          </cell>
          <cell r="CD36">
            <v>0.33945378909989282</v>
          </cell>
          <cell r="CE36">
            <v>0.32795896187679974</v>
          </cell>
        </row>
        <row r="38">
          <cell r="A38" t="str">
            <v>EBITDAR (Ex. Pension, Stock Comp.)</v>
          </cell>
          <cell r="F38">
            <v>1708211</v>
          </cell>
          <cell r="G38">
            <v>1720272</v>
          </cell>
          <cell r="H38">
            <v>1641702</v>
          </cell>
          <cell r="I38">
            <v>1634127</v>
          </cell>
          <cell r="J38">
            <v>1758600</v>
          </cell>
          <cell r="K38">
            <v>1868800</v>
          </cell>
          <cell r="L38">
            <v>2068600</v>
          </cell>
          <cell r="M38">
            <v>2406000</v>
          </cell>
          <cell r="N38">
            <v>2429800</v>
          </cell>
          <cell r="O38">
            <v>2383800</v>
          </cell>
          <cell r="P38">
            <v>2318100</v>
          </cell>
          <cell r="Q38">
            <v>2086400</v>
          </cell>
          <cell r="R38">
            <v>2004300</v>
          </cell>
          <cell r="S38">
            <v>1913700</v>
          </cell>
          <cell r="T38">
            <v>2004123.8855497965</v>
          </cell>
          <cell r="U38">
            <v>1938562.2731643589</v>
          </cell>
          <cell r="V38">
            <v>1856524.9672970669</v>
          </cell>
          <cell r="W38">
            <v>1782061.4239573819</v>
          </cell>
          <cell r="X38">
            <v>1713510.9176403512</v>
          </cell>
          <cell r="Y38">
            <v>1650325.9525788892</v>
          </cell>
          <cell r="Z38">
            <v>-2.1856431257150977E-2</v>
          </cell>
          <cell r="AB38">
            <v>430395.952156657</v>
          </cell>
          <cell r="AC38">
            <v>438930.38329779904</v>
          </cell>
          <cell r="AD38">
            <v>422504.99080263718</v>
          </cell>
          <cell r="AE38">
            <v>428440.67374290677</v>
          </cell>
          <cell r="AF38">
            <v>394117</v>
          </cell>
          <cell r="AG38">
            <v>407292</v>
          </cell>
          <cell r="AH38">
            <v>407063</v>
          </cell>
          <cell r="AI38">
            <v>433230</v>
          </cell>
          <cell r="AJ38">
            <v>399135</v>
          </cell>
          <cell r="AK38">
            <v>414218</v>
          </cell>
          <cell r="AL38">
            <v>394866</v>
          </cell>
          <cell r="AM38">
            <v>425908</v>
          </cell>
          <cell r="AN38">
            <v>431900</v>
          </cell>
          <cell r="AO38">
            <v>441000</v>
          </cell>
          <cell r="AP38">
            <v>444700</v>
          </cell>
          <cell r="AQ38">
            <v>441000</v>
          </cell>
          <cell r="AR38">
            <v>476200</v>
          </cell>
          <cell r="AS38">
            <v>472800</v>
          </cell>
          <cell r="AT38">
            <v>455500</v>
          </cell>
          <cell r="AU38">
            <v>464300</v>
          </cell>
          <cell r="AV38">
            <v>525700</v>
          </cell>
          <cell r="AW38">
            <v>511300</v>
          </cell>
          <cell r="AX38">
            <v>505600</v>
          </cell>
          <cell r="AY38">
            <v>526000</v>
          </cell>
          <cell r="AZ38">
            <v>604000</v>
          </cell>
          <cell r="BA38">
            <v>596400</v>
          </cell>
          <cell r="BB38">
            <v>596200</v>
          </cell>
          <cell r="BC38">
            <v>609400</v>
          </cell>
          <cell r="BD38">
            <v>604200</v>
          </cell>
          <cell r="BE38">
            <v>608000</v>
          </cell>
          <cell r="BF38">
            <v>610300</v>
          </cell>
          <cell r="BG38">
            <v>607300</v>
          </cell>
          <cell r="BH38">
            <v>586000</v>
          </cell>
          <cell r="BI38">
            <v>589700</v>
          </cell>
          <cell r="BJ38">
            <v>590700</v>
          </cell>
          <cell r="BK38">
            <v>617400</v>
          </cell>
          <cell r="BL38">
            <v>586300</v>
          </cell>
          <cell r="BM38">
            <v>581400</v>
          </cell>
          <cell r="BN38">
            <v>574500</v>
          </cell>
          <cell r="BO38">
            <v>575900</v>
          </cell>
          <cell r="BP38">
            <v>528700</v>
          </cell>
          <cell r="BQ38">
            <v>530600</v>
          </cell>
          <cell r="BR38">
            <v>510800</v>
          </cell>
          <cell r="BS38">
            <v>516300</v>
          </cell>
          <cell r="BT38">
            <v>481300</v>
          </cell>
          <cell r="BU38">
            <v>479300</v>
          </cell>
          <cell r="BV38">
            <v>540500</v>
          </cell>
          <cell r="BW38">
            <v>503200</v>
          </cell>
          <cell r="BX38">
            <v>485300</v>
          </cell>
          <cell r="BY38">
            <v>482200</v>
          </cell>
          <cell r="BZ38">
            <v>464700</v>
          </cell>
          <cell r="CA38">
            <v>481500</v>
          </cell>
          <cell r="CB38">
            <v>498400</v>
          </cell>
          <cell r="CC38">
            <v>499657.83092441398</v>
          </cell>
          <cell r="CD38">
            <v>501925.50507351407</v>
          </cell>
          <cell r="CE38">
            <v>504140.54955186852</v>
          </cell>
        </row>
        <row r="39">
          <cell r="A39" t="str">
            <v>% y/y growth</v>
          </cell>
          <cell r="G39">
            <v>7.0606031690465532E-3</v>
          </cell>
          <cell r="H39">
            <v>-4.5673009849605206E-2</v>
          </cell>
          <cell r="I39">
            <v>-4.6141138891223621E-3</v>
          </cell>
          <cell r="J39">
            <v>7.6170946321797439E-2</v>
          </cell>
          <cell r="K39">
            <v>6.2663482315478136E-2</v>
          </cell>
          <cell r="L39">
            <v>0.10691352739726034</v>
          </cell>
          <cell r="M39">
            <v>0.16310548196848118</v>
          </cell>
          <cell r="N39">
            <v>9.8919368246050965E-3</v>
          </cell>
          <cell r="O39">
            <v>-1.8931599308585123E-2</v>
          </cell>
          <cell r="P39">
            <v>-2.7561036999748323E-2</v>
          </cell>
          <cell r="Q39">
            <v>-9.9952547344808296E-2</v>
          </cell>
          <cell r="R39">
            <v>-3.9350076687116542E-2</v>
          </cell>
          <cell r="S39">
            <v>-4.520281395000747E-2</v>
          </cell>
          <cell r="T39">
            <v>4.7250815462087425E-2</v>
          </cell>
          <cell r="U39">
            <v>-3.271335313058843E-2</v>
          </cell>
          <cell r="V39">
            <v>-4.2318633248433435E-2</v>
          </cell>
          <cell r="W39">
            <v>-4.0109098800915843E-2</v>
          </cell>
          <cell r="X39">
            <v>-3.8466971674187334E-2</v>
          </cell>
          <cell r="Y39">
            <v>-3.6874562286695611E-2</v>
          </cell>
          <cell r="AV39">
            <v>0.10394792104157924</v>
          </cell>
          <cell r="AW39">
            <v>8.1429780033841048E-2</v>
          </cell>
          <cell r="AX39">
            <v>0.10998902305159164</v>
          </cell>
          <cell r="AY39">
            <v>0.13288821882403612</v>
          </cell>
          <cell r="AZ39">
            <v>0.14894426478980405</v>
          </cell>
          <cell r="BA39">
            <v>0.16643849012321543</v>
          </cell>
          <cell r="BB39">
            <v>0.17919303797468356</v>
          </cell>
          <cell r="BC39">
            <v>0.15855513307984781</v>
          </cell>
          <cell r="BD39">
            <v>3.3112582781447131E-4</v>
          </cell>
          <cell r="BE39">
            <v>1.9450033534540667E-2</v>
          </cell>
          <cell r="BF39">
            <v>2.364978195236489E-2</v>
          </cell>
          <cell r="BG39">
            <v>-3.4460124712831774E-3</v>
          </cell>
          <cell r="BH39">
            <v>-3.0122476001324117E-2</v>
          </cell>
          <cell r="BI39">
            <v>-3.0098684210526305E-2</v>
          </cell>
          <cell r="BJ39">
            <v>-3.2115353105030331E-2</v>
          </cell>
          <cell r="BK39">
            <v>1.6630989626214454E-2</v>
          </cell>
          <cell r="BL39">
            <v>5.1194539249155291E-4</v>
          </cell>
          <cell r="BM39">
            <v>-1.4074953366118415E-2</v>
          </cell>
          <cell r="BN39">
            <v>-2.7425088877602866E-2</v>
          </cell>
          <cell r="BO39">
            <v>-6.7217363135730457E-2</v>
          </cell>
          <cell r="BP39">
            <v>-9.8243220194439762E-2</v>
          </cell>
          <cell r="BQ39">
            <v>-8.7375300997592054E-2</v>
          </cell>
          <cell r="BR39">
            <v>-0.11087902523933857</v>
          </cell>
          <cell r="BS39">
            <v>-0.10349018926897036</v>
          </cell>
          <cell r="BT39">
            <v>-8.9653867978059409E-2</v>
          </cell>
          <cell r="BU39">
            <v>-9.6683000376931783E-2</v>
          </cell>
          <cell r="BV39">
            <v>5.8144087705559899E-2</v>
          </cell>
          <cell r="BW39">
            <v>-2.5372845245012599E-2</v>
          </cell>
          <cell r="BX39">
            <v>8.310824849366405E-3</v>
          </cell>
          <cell r="BY39">
            <v>6.0504902983518072E-3</v>
          </cell>
          <cell r="BZ39">
            <v>-0.14024051803885296</v>
          </cell>
          <cell r="CA39">
            <v>-4.3124006359300471E-2</v>
          </cell>
          <cell r="CB39">
            <v>2.6993612198640049E-2</v>
          </cell>
          <cell r="CC39">
            <v>3.6204543601024541E-2</v>
          </cell>
          <cell r="CD39">
            <v>8.010653125352718E-2</v>
          </cell>
          <cell r="CE39">
            <v>4.702087134344457E-2</v>
          </cell>
        </row>
        <row r="40">
          <cell r="A40" t="str">
            <v xml:space="preserve">   % margin</v>
          </cell>
          <cell r="F40">
            <v>0.48797189309136574</v>
          </cell>
          <cell r="G40">
            <v>0.49996134631089773</v>
          </cell>
          <cell r="H40">
            <v>0.51454302354226567</v>
          </cell>
          <cell r="I40">
            <v>0.5118921087971251</v>
          </cell>
          <cell r="J40">
            <v>0.52745868450256439</v>
          </cell>
          <cell r="K40">
            <v>0.48671736639233254</v>
          </cell>
          <cell r="L40">
            <v>0.48886893226827999</v>
          </cell>
          <cell r="M40">
            <v>0.38438803061045163</v>
          </cell>
          <cell r="N40">
            <v>0.38944719590966648</v>
          </cell>
          <cell r="O40">
            <v>0.38827266064011728</v>
          </cell>
          <cell r="P40">
            <v>0.38711778360414822</v>
          </cell>
          <cell r="Q40">
            <v>0.367647577092511</v>
          </cell>
          <cell r="R40">
            <v>0.35574448447844376</v>
          </cell>
          <cell r="S40">
            <v>0.35524410618154817</v>
          </cell>
          <cell r="T40">
            <v>0.33665298883324779</v>
          </cell>
          <cell r="U40">
            <v>0.33565737933682477</v>
          </cell>
          <cell r="V40">
            <v>0.33142597682949632</v>
          </cell>
          <cell r="W40">
            <v>0.327179813013601</v>
          </cell>
          <cell r="X40">
            <v>0.32292284167406299</v>
          </cell>
          <cell r="Y40">
            <v>0.31865428322592854</v>
          </cell>
          <cell r="AB40">
            <v>0.5135783227985371</v>
          </cell>
          <cell r="AC40">
            <v>0.50591375048139853</v>
          </cell>
          <cell r="AD40">
            <v>0.49539938666495414</v>
          </cell>
          <cell r="AE40">
            <v>0.48558437423906475</v>
          </cell>
          <cell r="AF40">
            <v>0.50256115335423746</v>
          </cell>
          <cell r="AG40">
            <v>0.50495417757676742</v>
          </cell>
          <cell r="AH40">
            <v>0.5107677520788293</v>
          </cell>
          <cell r="AI40">
            <v>0.53962856395500913</v>
          </cell>
          <cell r="AJ40">
            <v>0.51598828753708625</v>
          </cell>
          <cell r="AK40">
            <v>0.52010125336192803</v>
          </cell>
          <cell r="AL40">
            <v>0.49683303009942548</v>
          </cell>
          <cell r="AM40">
            <v>0.51462528153425291</v>
          </cell>
          <cell r="AN40">
            <v>0.52364209505334625</v>
          </cell>
          <cell r="AO40">
            <v>0.52220248667850799</v>
          </cell>
          <cell r="AP40">
            <v>0.52959390258425632</v>
          </cell>
          <cell r="AQ40">
            <v>0.53448066900981694</v>
          </cell>
          <cell r="AR40">
            <v>0.49184052881636026</v>
          </cell>
          <cell r="AS40">
            <v>0.48959304131717923</v>
          </cell>
          <cell r="AT40">
            <v>0.47596656217345873</v>
          </cell>
          <cell r="AU40">
            <v>0.48940655634025509</v>
          </cell>
          <cell r="AV40">
            <v>0.49149214659685864</v>
          </cell>
          <cell r="AW40">
            <v>0.48345310136157338</v>
          </cell>
          <cell r="AX40">
            <v>0.48115721355157975</v>
          </cell>
          <cell r="AY40">
            <v>0.49933548509587999</v>
          </cell>
          <cell r="AZ40">
            <v>0.3846643739651</v>
          </cell>
          <cell r="BA40">
            <v>0.38240574506283664</v>
          </cell>
          <cell r="BB40">
            <v>0.37947934568136976</v>
          </cell>
          <cell r="BC40">
            <v>0.39104209445585214</v>
          </cell>
          <cell r="BD40">
            <v>0.3890033479268607</v>
          </cell>
          <cell r="BE40">
            <v>0.39067017927134873</v>
          </cell>
          <cell r="BF40">
            <v>0.38991822131357012</v>
          </cell>
          <cell r="BG40">
            <v>0.38819994886218356</v>
          </cell>
          <cell r="BH40">
            <v>0.38198292158268693</v>
          </cell>
          <cell r="BI40">
            <v>0.38534927791936224</v>
          </cell>
          <cell r="BJ40">
            <v>0.38332251784555482</v>
          </cell>
          <cell r="BK40">
            <v>0.40245094843882406</v>
          </cell>
          <cell r="BL40">
            <v>0.39178082191780822</v>
          </cell>
          <cell r="BM40">
            <v>0.38716121728707464</v>
          </cell>
          <cell r="BN40">
            <v>0.38335780061390629</v>
          </cell>
          <cell r="BO40">
            <v>0.38617313753101323</v>
          </cell>
          <cell r="BP40">
            <v>0.37039372285273925</v>
          </cell>
          <cell r="BQ40">
            <v>0.3716987740805604</v>
          </cell>
          <cell r="BR40">
            <v>0.36058167443173794</v>
          </cell>
          <cell r="BS40">
            <v>0.36786604916280724</v>
          </cell>
          <cell r="BT40">
            <v>0.34879339082542216</v>
          </cell>
          <cell r="BU40">
            <v>0.34521751656583116</v>
          </cell>
          <cell r="BV40">
            <v>0.36838876772082879</v>
          </cell>
          <cell r="BW40">
            <v>0.35978835978835977</v>
          </cell>
          <cell r="BX40">
            <v>0.35335663317314692</v>
          </cell>
          <cell r="BY40">
            <v>0.35466313621653428</v>
          </cell>
          <cell r="BZ40">
            <v>0.34552754851661832</v>
          </cell>
          <cell r="CA40">
            <v>0.36780994576426551</v>
          </cell>
          <cell r="CB40">
            <v>0.3289334741288279</v>
          </cell>
          <cell r="CC40">
            <v>0.33401363555541791</v>
          </cell>
          <cell r="CD40">
            <v>0.33945378909989282</v>
          </cell>
          <cell r="CE40">
            <v>0.3445141492936924</v>
          </cell>
        </row>
        <row r="41">
          <cell r="A41" t="str">
            <v>D&amp;A</v>
          </cell>
          <cell r="F41">
            <v>644337</v>
          </cell>
          <cell r="G41">
            <v>637221</v>
          </cell>
          <cell r="H41">
            <v>636500</v>
          </cell>
          <cell r="I41">
            <v>552500</v>
          </cell>
          <cell r="J41">
            <v>578800</v>
          </cell>
          <cell r="K41">
            <v>631400</v>
          </cell>
          <cell r="L41">
            <v>848600</v>
          </cell>
          <cell r="M41">
            <v>1206200</v>
          </cell>
          <cell r="N41">
            <v>1149200</v>
          </cell>
          <cell r="O41">
            <v>1296900</v>
          </cell>
          <cell r="P41">
            <v>1340900</v>
          </cell>
          <cell r="Q41">
            <v>1386400</v>
          </cell>
          <cell r="R41">
            <v>1366500</v>
          </cell>
          <cell r="S41">
            <v>1263500</v>
          </cell>
          <cell r="T41">
            <v>1365396.6712431591</v>
          </cell>
          <cell r="U41">
            <v>1254089.6450026974</v>
          </cell>
          <cell r="V41">
            <v>1182674.2052160576</v>
          </cell>
          <cell r="W41">
            <v>1125690.322273958</v>
          </cell>
          <cell r="X41">
            <v>1078949.1900286241</v>
          </cell>
          <cell r="Y41">
            <v>1134166.7322607995</v>
          </cell>
          <cell r="Z41">
            <v>-3.8029266968726994E-2</v>
          </cell>
          <cell r="AB41">
            <v>161707</v>
          </cell>
          <cell r="AC41">
            <v>158509</v>
          </cell>
          <cell r="AD41">
            <v>158172</v>
          </cell>
          <cell r="AE41">
            <v>158833</v>
          </cell>
          <cell r="AF41">
            <v>165200</v>
          </cell>
          <cell r="AG41">
            <v>163500</v>
          </cell>
          <cell r="AH41">
            <v>159100</v>
          </cell>
          <cell r="AI41">
            <v>148700</v>
          </cell>
          <cell r="AJ41">
            <v>141900</v>
          </cell>
          <cell r="AK41">
            <v>139000</v>
          </cell>
          <cell r="AL41">
            <v>138900</v>
          </cell>
          <cell r="AM41">
            <v>132700</v>
          </cell>
          <cell r="AN41">
            <v>147100</v>
          </cell>
          <cell r="AO41">
            <v>149500</v>
          </cell>
          <cell r="AP41">
            <v>149700</v>
          </cell>
          <cell r="AQ41">
            <v>132500</v>
          </cell>
          <cell r="AR41">
            <v>159300</v>
          </cell>
          <cell r="AS41">
            <v>158200</v>
          </cell>
          <cell r="AT41">
            <v>155500</v>
          </cell>
          <cell r="AU41">
            <v>158400</v>
          </cell>
          <cell r="AV41">
            <v>212200</v>
          </cell>
          <cell r="AW41">
            <v>213300</v>
          </cell>
          <cell r="AX41">
            <v>211600</v>
          </cell>
          <cell r="AY41">
            <v>211500</v>
          </cell>
          <cell r="AZ41">
            <v>310900</v>
          </cell>
          <cell r="BA41">
            <v>302400</v>
          </cell>
          <cell r="BB41">
            <v>295300</v>
          </cell>
          <cell r="BC41">
            <v>297600</v>
          </cell>
          <cell r="BD41">
            <v>287500</v>
          </cell>
          <cell r="BE41">
            <v>280500</v>
          </cell>
          <cell r="BF41">
            <v>284500</v>
          </cell>
          <cell r="BG41">
            <v>296700</v>
          </cell>
          <cell r="BH41">
            <v>312100</v>
          </cell>
          <cell r="BI41">
            <v>320000</v>
          </cell>
          <cell r="BJ41">
            <v>326100</v>
          </cell>
          <cell r="BK41">
            <v>338700</v>
          </cell>
          <cell r="BL41">
            <v>329300</v>
          </cell>
          <cell r="BM41">
            <v>332200</v>
          </cell>
          <cell r="BN41">
            <v>338200</v>
          </cell>
          <cell r="BO41">
            <v>341200</v>
          </cell>
          <cell r="BP41">
            <v>338900</v>
          </cell>
          <cell r="BQ41">
            <v>344000</v>
          </cell>
          <cell r="BR41">
            <v>348500</v>
          </cell>
          <cell r="BS41">
            <v>355000</v>
          </cell>
          <cell r="BT41">
            <v>340700</v>
          </cell>
          <cell r="BU41">
            <v>341800</v>
          </cell>
          <cell r="BV41">
            <v>350500</v>
          </cell>
          <cell r="BW41">
            <v>333500</v>
          </cell>
          <cell r="BX41">
            <v>304800</v>
          </cell>
          <cell r="BY41">
            <v>308200</v>
          </cell>
          <cell r="BZ41">
            <v>321000</v>
          </cell>
          <cell r="CA41">
            <v>329500</v>
          </cell>
          <cell r="CB41">
            <v>338500</v>
          </cell>
          <cell r="CC41">
            <v>342349.92944505246</v>
          </cell>
          <cell r="CD41">
            <v>342333.28792278311</v>
          </cell>
          <cell r="CE41">
            <v>342213.45387532358</v>
          </cell>
        </row>
        <row r="42">
          <cell r="A42" t="str">
            <v xml:space="preserve">  % y/y growth</v>
          </cell>
          <cell r="L42" t="str">
            <v>na</v>
          </cell>
          <cell r="M42">
            <v>0.42139995286353993</v>
          </cell>
          <cell r="N42">
            <v>-4.7255844801857072E-2</v>
          </cell>
          <cell r="O42">
            <v>0.12852419074138521</v>
          </cell>
          <cell r="P42">
            <v>3.3927056827820268E-2</v>
          </cell>
          <cell r="Q42">
            <v>3.3932433440226673E-2</v>
          </cell>
          <cell r="R42">
            <v>-1.4353721869590275E-2</v>
          </cell>
          <cell r="S42">
            <v>-7.537504573728504E-2</v>
          </cell>
          <cell r="T42">
            <v>8.0646356345990489E-2</v>
          </cell>
          <cell r="U42">
            <v>-8.1519919144902753E-2</v>
          </cell>
          <cell r="V42">
            <v>-5.6946040557161459E-2</v>
          </cell>
          <cell r="W42">
            <v>-4.818223200504268E-2</v>
          </cell>
          <cell r="X42">
            <v>-4.1522194266460533E-2</v>
          </cell>
          <cell r="Y42">
            <v>5.1177147860605343E-2</v>
          </cell>
          <cell r="AV42" t="str">
            <v>na</v>
          </cell>
          <cell r="AW42" t="str">
            <v>na</v>
          </cell>
          <cell r="AX42" t="str">
            <v>na</v>
          </cell>
          <cell r="AY42" t="str">
            <v>na</v>
          </cell>
          <cell r="AZ42">
            <v>0.46512723845428838</v>
          </cell>
          <cell r="BA42">
            <v>0.41772151898734178</v>
          </cell>
          <cell r="BB42">
            <v>0.39555765595463144</v>
          </cell>
          <cell r="BC42">
            <v>0.40709219858156032</v>
          </cell>
          <cell r="BD42">
            <v>-7.5265358636217417E-2</v>
          </cell>
          <cell r="BE42">
            <v>-7.2420634920634885E-2</v>
          </cell>
          <cell r="BF42">
            <v>-3.6572976633931553E-2</v>
          </cell>
          <cell r="BG42">
            <v>-3.0241935483871218E-3</v>
          </cell>
          <cell r="BH42">
            <v>8.5565217391304405E-2</v>
          </cell>
          <cell r="BI42">
            <v>0.14081996434937616</v>
          </cell>
          <cell r="BJ42">
            <v>0.14622144112478042</v>
          </cell>
          <cell r="BK42">
            <v>0.14155712841253787</v>
          </cell>
          <cell r="BL42">
            <v>5.5110541493111231E-2</v>
          </cell>
          <cell r="BM42">
            <v>3.8124999999999964E-2</v>
          </cell>
          <cell r="BN42">
            <v>3.7105182459368224E-2</v>
          </cell>
          <cell r="BO42">
            <v>7.3811632713316477E-3</v>
          </cell>
          <cell r="BP42">
            <v>2.9152748253871819E-2</v>
          </cell>
          <cell r="BQ42">
            <v>3.5520770620108388E-2</v>
          </cell>
          <cell r="BR42">
            <v>3.0455351862803015E-2</v>
          </cell>
          <cell r="BS42">
            <v>4.0445486518171148E-2</v>
          </cell>
          <cell r="BT42">
            <v>5.311301268810853E-3</v>
          </cell>
          <cell r="BU42">
            <v>-6.3953488372092693E-3</v>
          </cell>
          <cell r="BV42">
            <v>5.7388809182210565E-3</v>
          </cell>
          <cell r="BW42">
            <v>-6.0563380281690171E-2</v>
          </cell>
          <cell r="BX42">
            <v>-0.10537129439389492</v>
          </cell>
          <cell r="BY42">
            <v>-9.8303101228788714E-2</v>
          </cell>
          <cell r="BZ42">
            <v>-8.4165477888730411E-2</v>
          </cell>
          <cell r="CA42">
            <v>-1.199400299850073E-2</v>
          </cell>
          <cell r="CB42">
            <v>0.11056430446194221</v>
          </cell>
          <cell r="CC42">
            <v>0.1108044433648685</v>
          </cell>
          <cell r="CD42">
            <v>6.6458840880944337E-2</v>
          </cell>
          <cell r="CE42">
            <v>3.8584078529054988E-2</v>
          </cell>
        </row>
        <row r="43">
          <cell r="A43" t="str">
            <v>Cash Lease Payment</v>
          </cell>
          <cell r="R43">
            <v>446000</v>
          </cell>
          <cell r="S43">
            <v>653600</v>
          </cell>
          <cell r="T43">
            <v>653000</v>
          </cell>
          <cell r="U43">
            <v>654632.5</v>
          </cell>
          <cell r="V43">
            <v>657905.66249999998</v>
          </cell>
          <cell r="W43">
            <v>661195.19081249996</v>
          </cell>
          <cell r="X43">
            <v>664501.16676656238</v>
          </cell>
          <cell r="Y43">
            <v>667823.67260039516</v>
          </cell>
          <cell r="BU43">
            <v>121000</v>
          </cell>
          <cell r="BV43">
            <v>162500</v>
          </cell>
          <cell r="BW43">
            <v>162500</v>
          </cell>
          <cell r="BX43">
            <v>163500</v>
          </cell>
          <cell r="BY43">
            <v>163400</v>
          </cell>
          <cell r="BZ43">
            <v>163300</v>
          </cell>
          <cell r="CA43">
            <v>163400</v>
          </cell>
          <cell r="CB43">
            <v>163400</v>
          </cell>
          <cell r="CC43">
            <v>163300</v>
          </cell>
          <cell r="CD43">
            <v>163200</v>
          </cell>
          <cell r="CE43">
            <v>163100</v>
          </cell>
        </row>
        <row r="44">
          <cell r="A44" t="str">
            <v xml:space="preserve">  % y/y growth</v>
          </cell>
          <cell r="R44" t="str">
            <v>n/a</v>
          </cell>
          <cell r="S44" t="str">
            <v>n/a</v>
          </cell>
          <cell r="T44">
            <v>-9.1799265605874147E-4</v>
          </cell>
          <cell r="U44">
            <v>2.5000000000000001E-3</v>
          </cell>
          <cell r="V44">
            <v>5.0000000000000001E-3</v>
          </cell>
          <cell r="W44">
            <v>5.0000000000000001E-3</v>
          </cell>
          <cell r="X44">
            <v>5.0000000000000001E-3</v>
          </cell>
          <cell r="Y44">
            <v>5.0000000000000001E-3</v>
          </cell>
          <cell r="BY44">
            <v>0.35041322314049594</v>
          </cell>
          <cell r="BZ44">
            <v>4.9230769230770299E-3</v>
          </cell>
          <cell r="CA44">
            <v>5.5384615384614921E-3</v>
          </cell>
          <cell r="CB44">
            <v>-6.1162079510701517E-4</v>
          </cell>
          <cell r="CC44">
            <v>-6.1199510403919799E-4</v>
          </cell>
          <cell r="CD44">
            <v>-6.1236987140234067E-4</v>
          </cell>
          <cell r="CE44">
            <v>-1.8359853121174829E-3</v>
          </cell>
        </row>
        <row r="45">
          <cell r="A45" t="str">
            <v>EBITDA less Lease Payment</v>
          </cell>
          <cell r="R45">
            <v>1558300</v>
          </cell>
          <cell r="S45">
            <v>1260100</v>
          </cell>
          <cell r="T45">
            <v>1351123.8855497965</v>
          </cell>
          <cell r="U45">
            <v>1283929.7731643589</v>
          </cell>
          <cell r="V45">
            <v>1198619.3047970668</v>
          </cell>
          <cell r="W45">
            <v>1120866.2331448819</v>
          </cell>
          <cell r="X45">
            <v>1049009.7508737887</v>
          </cell>
          <cell r="Y45">
            <v>982502.27997849404</v>
          </cell>
          <cell r="BU45">
            <v>358300</v>
          </cell>
          <cell r="BV45">
            <v>378000</v>
          </cell>
          <cell r="BW45">
            <v>340700</v>
          </cell>
          <cell r="BX45">
            <v>321800</v>
          </cell>
          <cell r="BY45">
            <v>318800</v>
          </cell>
          <cell r="BZ45">
            <v>301400</v>
          </cell>
          <cell r="CA45">
            <v>318100</v>
          </cell>
          <cell r="CB45">
            <v>335000</v>
          </cell>
          <cell r="CC45">
            <v>336357.83092441398</v>
          </cell>
          <cell r="CD45">
            <v>338725.50507351407</v>
          </cell>
          <cell r="CE45">
            <v>341040.54955186852</v>
          </cell>
        </row>
        <row r="46">
          <cell r="A46" t="str">
            <v xml:space="preserve">  % y/y growth</v>
          </cell>
          <cell r="U46">
            <v>-4.9732014291269167E-2</v>
          </cell>
          <cell r="V46">
            <v>-6.6444808859784321E-2</v>
          </cell>
          <cell r="W46">
            <v>-6.486886315029694E-2</v>
          </cell>
          <cell r="X46">
            <v>-6.410799089689867E-2</v>
          </cell>
          <cell r="Y46">
            <v>-6.3400240884220804E-2</v>
          </cell>
          <cell r="AV46" t="str">
            <v>na</v>
          </cell>
          <cell r="AW46" t="str">
            <v>na</v>
          </cell>
          <cell r="AX46" t="str">
            <v>na</v>
          </cell>
          <cell r="AY46" t="str">
            <v>na</v>
          </cell>
        </row>
        <row r="47">
          <cell r="A47" t="str">
            <v xml:space="preserve">  % margin</v>
          </cell>
          <cell r="R47">
            <v>0.27658366021192382</v>
          </cell>
          <cell r="S47">
            <v>0.23391498050863188</v>
          </cell>
          <cell r="T47">
            <v>0.22696196459409348</v>
          </cell>
          <cell r="U47">
            <v>0.22230934176254549</v>
          </cell>
          <cell r="V47">
            <v>0.21397696284010934</v>
          </cell>
          <cell r="W47">
            <v>0.20578684867058319</v>
          </cell>
          <cell r="X47">
            <v>0.19769305594063616</v>
          </cell>
          <cell r="Y47">
            <v>0.18970710562065268</v>
          </cell>
          <cell r="BM47" t="str">
            <v>x</v>
          </cell>
          <cell r="BU47">
            <v>0.25806683952751369</v>
          </cell>
          <cell r="BV47">
            <v>0.25763358778625955</v>
          </cell>
          <cell r="BW47">
            <v>0.2436007436007436</v>
          </cell>
          <cell r="BX47">
            <v>0.23430901412552788</v>
          </cell>
          <cell r="BY47">
            <v>0.23448072962636068</v>
          </cell>
          <cell r="BZ47">
            <v>0.22410588147817681</v>
          </cell>
          <cell r="CA47">
            <v>0.24299136811549921</v>
          </cell>
          <cell r="CB47">
            <v>0.22109292502639916</v>
          </cell>
          <cell r="CC47">
            <v>0.22485007739545187</v>
          </cell>
          <cell r="CD47">
            <v>0.22908111861169245</v>
          </cell>
          <cell r="CE47">
            <v>0.23305662460191973</v>
          </cell>
        </row>
        <row r="48">
          <cell r="A48" t="str">
            <v>EBIT (GAAP)</v>
          </cell>
          <cell r="F48">
            <v>1063874</v>
          </cell>
          <cell r="G48">
            <v>1083051</v>
          </cell>
          <cell r="H48">
            <v>1000702</v>
          </cell>
          <cell r="I48">
            <v>1071027</v>
          </cell>
          <cell r="J48">
            <v>1156400</v>
          </cell>
          <cell r="K48">
            <v>1208100</v>
          </cell>
          <cell r="L48">
            <v>1092200</v>
          </cell>
          <cell r="M48">
            <v>1033100</v>
          </cell>
          <cell r="N48">
            <v>1003300</v>
          </cell>
          <cell r="O48">
            <v>883700</v>
          </cell>
          <cell r="P48">
            <v>1009000</v>
          </cell>
          <cell r="Q48">
            <v>507100</v>
          </cell>
          <cell r="R48">
            <v>509100</v>
          </cell>
          <cell r="S48">
            <v>515400</v>
          </cell>
          <cell r="T48">
            <v>486713.88410663739</v>
          </cell>
          <cell r="U48">
            <v>684472.62816166156</v>
          </cell>
          <cell r="V48">
            <v>673850.76208100934</v>
          </cell>
          <cell r="W48">
            <v>656371.10168342385</v>
          </cell>
          <cell r="X48">
            <v>634561.72761172708</v>
          </cell>
          <cell r="Y48">
            <v>516159.2203180897</v>
          </cell>
          <cell r="AB48">
            <v>268688.952156657</v>
          </cell>
          <cell r="AC48">
            <v>280421.38329779904</v>
          </cell>
          <cell r="AD48">
            <v>264332.99080263718</v>
          </cell>
          <cell r="AE48">
            <v>269607.67374290677</v>
          </cell>
          <cell r="AF48">
            <v>228917</v>
          </cell>
          <cell r="AG48">
            <v>243792</v>
          </cell>
          <cell r="AH48">
            <v>243263</v>
          </cell>
          <cell r="AI48">
            <v>284730</v>
          </cell>
          <cell r="AJ48">
            <v>257235</v>
          </cell>
          <cell r="AK48">
            <v>275218</v>
          </cell>
          <cell r="AL48">
            <v>255966</v>
          </cell>
          <cell r="AM48">
            <v>282608</v>
          </cell>
          <cell r="AN48">
            <v>277300</v>
          </cell>
          <cell r="AO48">
            <v>286100</v>
          </cell>
          <cell r="AP48">
            <v>289900</v>
          </cell>
          <cell r="AQ48">
            <v>303100</v>
          </cell>
          <cell r="AR48">
            <v>311100</v>
          </cell>
          <cell r="AS48">
            <v>308300</v>
          </cell>
          <cell r="AT48">
            <v>294400</v>
          </cell>
          <cell r="AU48">
            <v>294300</v>
          </cell>
          <cell r="AV48">
            <v>283900</v>
          </cell>
          <cell r="AW48">
            <v>267300</v>
          </cell>
          <cell r="AX48">
            <v>257900</v>
          </cell>
          <cell r="AY48">
            <v>283100</v>
          </cell>
          <cell r="AZ48">
            <v>258700</v>
          </cell>
          <cell r="BA48">
            <v>263800</v>
          </cell>
          <cell r="BB48">
            <v>278000</v>
          </cell>
          <cell r="BC48">
            <v>232600</v>
          </cell>
          <cell r="BD48">
            <v>300000</v>
          </cell>
          <cell r="BE48">
            <v>309300</v>
          </cell>
          <cell r="BF48">
            <v>294700</v>
          </cell>
          <cell r="BG48">
            <v>99300</v>
          </cell>
          <cell r="BH48">
            <v>244400</v>
          </cell>
          <cell r="BI48">
            <v>232500</v>
          </cell>
          <cell r="BJ48">
            <v>235600</v>
          </cell>
          <cell r="BK48">
            <v>171200</v>
          </cell>
          <cell r="BL48">
            <v>235900</v>
          </cell>
          <cell r="BM48">
            <v>227000</v>
          </cell>
          <cell r="BN48">
            <v>219600</v>
          </cell>
          <cell r="BO48">
            <v>326500</v>
          </cell>
          <cell r="BP48">
            <v>167800</v>
          </cell>
          <cell r="BQ48">
            <v>167200</v>
          </cell>
          <cell r="BR48">
            <v>151600</v>
          </cell>
          <cell r="BS48">
            <v>20500</v>
          </cell>
          <cell r="BT48">
            <v>119600</v>
          </cell>
          <cell r="BU48">
            <v>79300</v>
          </cell>
          <cell r="BV48">
            <v>178500</v>
          </cell>
          <cell r="BW48">
            <v>131700</v>
          </cell>
          <cell r="BX48">
            <v>157700</v>
          </cell>
          <cell r="BY48">
            <v>154600</v>
          </cell>
          <cell r="BZ48">
            <v>129400</v>
          </cell>
          <cell r="CA48">
            <v>73700</v>
          </cell>
          <cell r="CB48">
            <v>46000</v>
          </cell>
          <cell r="CC48">
            <v>152232.90147936152</v>
          </cell>
          <cell r="CD48">
            <v>155185.96715073095</v>
          </cell>
          <cell r="CE48">
            <v>133295.01547654491</v>
          </cell>
        </row>
        <row r="49">
          <cell r="A49" t="str">
            <v>EBIT (Pro-forma)</v>
          </cell>
          <cell r="F49">
            <v>1063874</v>
          </cell>
          <cell r="G49">
            <v>1083051</v>
          </cell>
          <cell r="H49">
            <v>1005202</v>
          </cell>
          <cell r="I49">
            <v>1081627</v>
          </cell>
          <cell r="J49">
            <v>1161000</v>
          </cell>
          <cell r="K49">
            <v>1216600</v>
          </cell>
          <cell r="L49">
            <v>1101300</v>
          </cell>
          <cell r="M49">
            <v>1118100</v>
          </cell>
          <cell r="N49">
            <v>1074400</v>
          </cell>
          <cell r="O49">
            <v>949100</v>
          </cell>
          <cell r="P49">
            <v>1039200</v>
          </cell>
          <cell r="Q49">
            <v>547500</v>
          </cell>
          <cell r="R49">
            <v>606800</v>
          </cell>
          <cell r="S49">
            <v>529200</v>
          </cell>
          <cell r="T49">
            <v>603290.44660663744</v>
          </cell>
          <cell r="U49">
            <v>684472.62816166156</v>
          </cell>
          <cell r="V49">
            <v>673850.76208100934</v>
          </cell>
          <cell r="W49">
            <v>656371.10168342385</v>
          </cell>
          <cell r="X49">
            <v>634561.72761172708</v>
          </cell>
          <cell r="Y49">
            <v>516159.2203180897</v>
          </cell>
          <cell r="AB49">
            <v>268688.952156657</v>
          </cell>
          <cell r="AC49">
            <v>280421.38329779904</v>
          </cell>
          <cell r="AD49">
            <v>264332.99080263718</v>
          </cell>
          <cell r="AE49">
            <v>269607.67374290677</v>
          </cell>
          <cell r="AF49">
            <v>228917</v>
          </cell>
          <cell r="AG49">
            <v>243792</v>
          </cell>
          <cell r="AH49">
            <v>247963</v>
          </cell>
          <cell r="AI49">
            <v>284530</v>
          </cell>
          <cell r="AJ49">
            <v>257235</v>
          </cell>
          <cell r="AK49">
            <v>275218</v>
          </cell>
          <cell r="AL49">
            <v>255966</v>
          </cell>
          <cell r="AM49">
            <v>293208</v>
          </cell>
          <cell r="AN49">
            <v>280500</v>
          </cell>
          <cell r="AO49">
            <v>286100</v>
          </cell>
          <cell r="AP49">
            <v>290100</v>
          </cell>
          <cell r="AQ49">
            <v>304300</v>
          </cell>
          <cell r="AR49">
            <v>311700</v>
          </cell>
          <cell r="AS49">
            <v>308800</v>
          </cell>
          <cell r="AT49">
            <v>295400</v>
          </cell>
          <cell r="AU49">
            <v>300700</v>
          </cell>
          <cell r="AV49">
            <v>283800</v>
          </cell>
          <cell r="AW49">
            <v>267200</v>
          </cell>
          <cell r="AX49">
            <v>265400</v>
          </cell>
          <cell r="AY49">
            <v>284900</v>
          </cell>
          <cell r="AZ49">
            <v>281900</v>
          </cell>
          <cell r="BA49">
            <v>281100</v>
          </cell>
          <cell r="BB49">
            <v>289700</v>
          </cell>
          <cell r="BC49">
            <v>265400</v>
          </cell>
          <cell r="BD49">
            <v>309000</v>
          </cell>
          <cell r="BE49">
            <v>314500</v>
          </cell>
          <cell r="BF49">
            <v>315100</v>
          </cell>
          <cell r="BG49">
            <v>135800</v>
          </cell>
          <cell r="BH49">
            <v>266700</v>
          </cell>
          <cell r="BI49">
            <v>251900</v>
          </cell>
          <cell r="BJ49">
            <v>248300</v>
          </cell>
          <cell r="BK49">
            <v>182200</v>
          </cell>
          <cell r="BL49">
            <v>241000</v>
          </cell>
          <cell r="BM49">
            <v>233900</v>
          </cell>
          <cell r="BN49">
            <v>225400</v>
          </cell>
          <cell r="BO49">
            <v>338900</v>
          </cell>
          <cell r="BP49">
            <v>175700</v>
          </cell>
          <cell r="BQ49">
            <v>175300</v>
          </cell>
          <cell r="BR49">
            <v>161600</v>
          </cell>
          <cell r="BS49">
            <v>34900</v>
          </cell>
          <cell r="BT49">
            <v>133700</v>
          </cell>
          <cell r="BU49">
            <v>139300</v>
          </cell>
          <cell r="BV49">
            <v>181600</v>
          </cell>
          <cell r="BW49">
            <v>152200</v>
          </cell>
          <cell r="BX49">
            <v>162700</v>
          </cell>
          <cell r="BY49">
            <v>157200</v>
          </cell>
          <cell r="BZ49">
            <v>132300</v>
          </cell>
          <cell r="CA49">
            <v>77000</v>
          </cell>
          <cell r="CB49">
            <v>159900</v>
          </cell>
          <cell r="CC49">
            <v>153332.90147936152</v>
          </cell>
          <cell r="CD49">
            <v>156098.46715073095</v>
          </cell>
          <cell r="CE49">
            <v>133959.07797654491</v>
          </cell>
        </row>
        <row r="50">
          <cell r="A50" t="str">
            <v xml:space="preserve">   % margin</v>
          </cell>
          <cell r="K50">
            <v>0.31685592249192623</v>
          </cell>
          <cell r="L50">
            <v>0.26026846906461221</v>
          </cell>
          <cell r="M50">
            <v>0.17863019826498172</v>
          </cell>
          <cell r="N50">
            <v>0.17220432434165184</v>
          </cell>
          <cell r="O50">
            <v>0.15458913592312076</v>
          </cell>
          <cell r="P50">
            <v>0.17354419598871093</v>
          </cell>
          <cell r="Q50">
            <v>9.647577092511013E-2</v>
          </cell>
          <cell r="R50">
            <v>0.10770131875543565</v>
          </cell>
          <cell r="S50">
            <v>9.8236495266382035E-2</v>
          </cell>
          <cell r="T50">
            <v>0.10134080704744086</v>
          </cell>
          <cell r="U50">
            <v>0.11851478375337869</v>
          </cell>
          <cell r="V50">
            <v>0.12029552577746896</v>
          </cell>
          <cell r="W50">
            <v>0.12050727961970052</v>
          </cell>
          <cell r="X50">
            <v>0.1195874938341018</v>
          </cell>
          <cell r="Y50">
            <v>9.9662946052502727E-2</v>
          </cell>
          <cell r="AR50">
            <v>0.32193761619500105</v>
          </cell>
          <cell r="AS50">
            <v>0.31976804390597496</v>
          </cell>
          <cell r="AT50">
            <v>0.30867293625914316</v>
          </cell>
          <cell r="AU50">
            <v>0.31696005059555182</v>
          </cell>
          <cell r="AV50">
            <v>0.26533283470456243</v>
          </cell>
          <cell r="AW50">
            <v>0.25264750378214829</v>
          </cell>
          <cell r="AX50">
            <v>0.25256947087933002</v>
          </cell>
          <cell r="AY50">
            <v>0.2704575659768369</v>
          </cell>
          <cell r="AZ50">
            <v>0.17953126990192333</v>
          </cell>
          <cell r="BA50">
            <v>0.18023852269812773</v>
          </cell>
          <cell r="BB50">
            <v>0.18439310037553305</v>
          </cell>
          <cell r="BC50">
            <v>0.17030287474332648</v>
          </cell>
          <cell r="BD50">
            <v>0.19894411537471027</v>
          </cell>
          <cell r="BE50">
            <v>0.20208186082374863</v>
          </cell>
          <cell r="BF50">
            <v>0.20131612573473037</v>
          </cell>
          <cell r="BG50">
            <v>8.6806443364868327E-2</v>
          </cell>
          <cell r="BH50">
            <v>0.17384785867935598</v>
          </cell>
          <cell r="BI50">
            <v>0.16460824674900346</v>
          </cell>
          <cell r="BJ50">
            <v>0.16112913692407527</v>
          </cell>
          <cell r="BK50">
            <v>0.11876670360471937</v>
          </cell>
          <cell r="BL50">
            <v>0.16104243234213164</v>
          </cell>
          <cell r="BM50">
            <v>0.15575680894985683</v>
          </cell>
          <cell r="BN50">
            <v>0.15040704657680501</v>
          </cell>
          <cell r="BO50">
            <v>0.22725139140347347</v>
          </cell>
          <cell r="BP50">
            <v>0.1230909345663444</v>
          </cell>
          <cell r="BQ50">
            <v>0.12280210157618214</v>
          </cell>
          <cell r="BR50">
            <v>0.11407595651560073</v>
          </cell>
          <cell r="BS50">
            <v>2.4866405415033845E-2</v>
          </cell>
          <cell r="BT50">
            <v>9.6891079063700272E-2</v>
          </cell>
          <cell r="BU50">
            <v>0.10033131662345146</v>
          </cell>
          <cell r="BV50">
            <v>0.123773173391494</v>
          </cell>
          <cell r="BW50">
            <v>0.10882310882310882</v>
          </cell>
          <cell r="BX50">
            <v>0.11846512305227902</v>
          </cell>
          <cell r="BY50">
            <v>0.11562224183583407</v>
          </cell>
          <cell r="BZ50">
            <v>9.8371626143207672E-2</v>
          </cell>
          <cell r="CA50">
            <v>5.8819035978916814E-2</v>
          </cell>
          <cell r="CB50">
            <v>0.10553062302006336</v>
          </cell>
          <cell r="CC50">
            <v>0.10250070488964252</v>
          </cell>
          <cell r="CD50">
            <v>0.10556988160870585</v>
          </cell>
          <cell r="CE50">
            <v>9.1543514661298925E-2</v>
          </cell>
        </row>
        <row r="51">
          <cell r="A51" t="str">
            <v>Other Income (Expense)</v>
          </cell>
          <cell r="F51" t="str">
            <v>NOT FULLY COMPARABLE BECAUSE INCL AT WIRELESS</v>
          </cell>
          <cell r="AB51" t="str">
            <v>NOT FULLY COMPARABLE BECAUSE MAY INCL SOME AT WIRELESS</v>
          </cell>
        </row>
        <row r="52">
          <cell r="A52" t="str">
            <v>Interest Expense</v>
          </cell>
          <cell r="F52">
            <v>-497812</v>
          </cell>
          <cell r="G52">
            <v>-462777</v>
          </cell>
          <cell r="H52">
            <v>-415742</v>
          </cell>
          <cell r="I52">
            <v>-453383.77717189625</v>
          </cell>
          <cell r="J52">
            <v>-444400</v>
          </cell>
          <cell r="K52">
            <v>-416400</v>
          </cell>
          <cell r="L52">
            <v>-442013</v>
          </cell>
          <cell r="M52">
            <v>-527678</v>
          </cell>
          <cell r="N52">
            <v>-607394</v>
          </cell>
          <cell r="O52">
            <v>-625100</v>
          </cell>
          <cell r="P52">
            <v>-627700</v>
          </cell>
          <cell r="Q52">
            <v>-571800</v>
          </cell>
          <cell r="R52">
            <v>-813200</v>
          </cell>
          <cell r="S52">
            <v>-869900</v>
          </cell>
          <cell r="T52">
            <v>-852092.15276426903</v>
          </cell>
          <cell r="U52">
            <v>-863858.78614627104</v>
          </cell>
          <cell r="V52">
            <v>-846714.41245459125</v>
          </cell>
          <cell r="W52">
            <v>-825107.84382390173</v>
          </cell>
          <cell r="X52">
            <v>-806337.42576518294</v>
          </cell>
          <cell r="Y52">
            <v>-786908.48654778267</v>
          </cell>
          <cell r="AB52">
            <v>-119466</v>
          </cell>
          <cell r="AC52">
            <v>-113908</v>
          </cell>
          <cell r="AD52">
            <v>-114988</v>
          </cell>
          <cell r="AE52">
            <v>-114415</v>
          </cell>
          <cell r="AF52">
            <v>-112737</v>
          </cell>
          <cell r="AG52">
            <v>-95207</v>
          </cell>
          <cell r="AH52">
            <v>-103236</v>
          </cell>
          <cell r="AI52">
            <v>-104562</v>
          </cell>
          <cell r="AJ52">
            <v>-109589</v>
          </cell>
          <cell r="AK52">
            <v>-113447.37967751722</v>
          </cell>
          <cell r="AL52">
            <v>-110202</v>
          </cell>
          <cell r="AM52">
            <v>-109712</v>
          </cell>
          <cell r="AN52">
            <v>-114700</v>
          </cell>
          <cell r="AO52">
            <v>-108100</v>
          </cell>
          <cell r="AP52">
            <v>-109600</v>
          </cell>
          <cell r="AQ52">
            <v>-112000</v>
          </cell>
          <cell r="AR52">
            <v>-105000</v>
          </cell>
          <cell r="AS52">
            <v>-103600</v>
          </cell>
          <cell r="AT52">
            <v>-103300</v>
          </cell>
          <cell r="AU52">
            <v>-104500</v>
          </cell>
          <cell r="AV52">
            <v>-107296</v>
          </cell>
          <cell r="AW52">
            <v>-105412</v>
          </cell>
          <cell r="AX52">
            <v>-105833</v>
          </cell>
          <cell r="AY52">
            <v>-123472</v>
          </cell>
          <cell r="AZ52">
            <v>-125902</v>
          </cell>
          <cell r="BA52">
            <v>-128871</v>
          </cell>
          <cell r="BB52">
            <v>-132784</v>
          </cell>
          <cell r="BC52">
            <v>-140121</v>
          </cell>
          <cell r="BD52">
            <v>-147488</v>
          </cell>
          <cell r="BE52">
            <v>-147902</v>
          </cell>
          <cell r="BF52">
            <v>-147086</v>
          </cell>
          <cell r="BG52">
            <v>-164918</v>
          </cell>
          <cell r="BH52">
            <v>-156500</v>
          </cell>
          <cell r="BI52">
            <v>-153500</v>
          </cell>
          <cell r="BJ52">
            <v>-155400</v>
          </cell>
          <cell r="BK52">
            <v>-159700</v>
          </cell>
          <cell r="BL52">
            <v>-168900</v>
          </cell>
          <cell r="BM52">
            <v>-162000</v>
          </cell>
          <cell r="BN52">
            <v>-148800</v>
          </cell>
          <cell r="BO52">
            <v>-148000</v>
          </cell>
          <cell r="BP52">
            <v>-141900</v>
          </cell>
          <cell r="BQ52">
            <v>-142500</v>
          </cell>
          <cell r="BR52">
            <v>-143400</v>
          </cell>
          <cell r="BS52">
            <v>-144000</v>
          </cell>
          <cell r="BT52">
            <v>-141100</v>
          </cell>
          <cell r="BU52">
            <v>-217500</v>
          </cell>
          <cell r="BV52">
            <v>-230200</v>
          </cell>
          <cell r="BW52">
            <v>-224400</v>
          </cell>
          <cell r="BX52">
            <v>-219700</v>
          </cell>
          <cell r="BY52">
            <v>-217400</v>
          </cell>
          <cell r="BZ52">
            <v>-216400</v>
          </cell>
          <cell r="CA52">
            <v>-216400</v>
          </cell>
          <cell r="CB52">
            <v>-211800</v>
          </cell>
          <cell r="CC52">
            <v>-215492.33173024241</v>
          </cell>
          <cell r="CD52">
            <v>-213470.04704559274</v>
          </cell>
          <cell r="CE52">
            <v>-211329.77398843391</v>
          </cell>
        </row>
        <row r="53">
          <cell r="A53" t="str">
            <v xml:space="preserve">   % y/y growth</v>
          </cell>
          <cell r="G53">
            <v>-7.0377974014286471E-2</v>
          </cell>
          <cell r="H53">
            <v>-0.10163642531932227</v>
          </cell>
          <cell r="I53">
            <v>9.054119423078788E-2</v>
          </cell>
          <cell r="J53">
            <v>-1.9814950653803676E-2</v>
          </cell>
          <cell r="K53">
            <v>-6.3006300630062961E-2</v>
          </cell>
          <cell r="L53" t="str">
            <v>na</v>
          </cell>
          <cell r="M53">
            <v>0.19380651700289353</v>
          </cell>
          <cell r="N53">
            <v>0.15106940217329501</v>
          </cell>
          <cell r="O53">
            <v>2.9150765401041223E-2</v>
          </cell>
          <cell r="P53">
            <v>4.1593345064789844E-3</v>
          </cell>
          <cell r="Q53">
            <v>-8.9055281185279611E-2</v>
          </cell>
          <cell r="R53">
            <v>0.42217558586918513</v>
          </cell>
          <cell r="S53">
            <v>6.9724545007378236E-2</v>
          </cell>
          <cell r="T53">
            <v>-2.0471142931062114E-2</v>
          </cell>
          <cell r="U53">
            <v>1.3809108960609384E-2</v>
          </cell>
          <cell r="V53">
            <v>-1.9846268819192048E-2</v>
          </cell>
          <cell r="W53">
            <v>-2.5518130213530887E-2</v>
          </cell>
          <cell r="X53">
            <v>-2.2749048138639316E-2</v>
          </cell>
          <cell r="Y53">
            <v>-2.4095296332007576E-2</v>
          </cell>
          <cell r="AF53">
            <v>-5.6325649138667111E-2</v>
          </cell>
          <cell r="AG53">
            <v>-0.1641763528461565</v>
          </cell>
          <cell r="AH53">
            <v>-0.10220196890110267</v>
          </cell>
          <cell r="AI53">
            <v>-8.6116330900668614E-2</v>
          </cell>
          <cell r="AJ53">
            <v>-2.7923396932684086E-2</v>
          </cell>
          <cell r="AK53">
            <v>0.19158653961911654</v>
          </cell>
          <cell r="AL53">
            <v>6.7476461699407242E-2</v>
          </cell>
          <cell r="AM53">
            <v>4.9253074730781776E-2</v>
          </cell>
          <cell r="AN53">
            <v>4.6637892489209687E-2</v>
          </cell>
          <cell r="AO53">
            <v>-4.7135329989265062E-2</v>
          </cell>
          <cell r="AP53">
            <v>-5.4626957768461049E-3</v>
          </cell>
          <cell r="AQ53">
            <v>2.0854601137523687E-2</v>
          </cell>
          <cell r="AR53">
            <v>-8.4568439407149087E-2</v>
          </cell>
          <cell r="AS53">
            <v>-4.1628122109158228E-2</v>
          </cell>
          <cell r="AT53">
            <v>-5.7481751824817517E-2</v>
          </cell>
          <cell r="AU53">
            <v>-6.6964285714285698E-2</v>
          </cell>
          <cell r="AV53">
            <v>2.1866666666666701E-2</v>
          </cell>
          <cell r="AW53">
            <v>1.7490347490347391E-2</v>
          </cell>
          <cell r="AX53">
            <v>2.4520813165537225E-2</v>
          </cell>
          <cell r="AY53">
            <v>0.18155023923444968</v>
          </cell>
          <cell r="AZ53">
            <v>0.1734081419624216</v>
          </cell>
          <cell r="BA53">
            <v>0.22254582021022284</v>
          </cell>
          <cell r="BB53">
            <v>0.25465592017612648</v>
          </cell>
          <cell r="BC53">
            <v>0.1348402876765582</v>
          </cell>
          <cell r="BD53">
            <v>0.17145081094819781</v>
          </cell>
          <cell r="BE53">
            <v>0.14767480658953525</v>
          </cell>
          <cell r="BF53">
            <v>0.10770876009157737</v>
          </cell>
          <cell r="BG53">
            <v>0.17696847724466713</v>
          </cell>
          <cell r="BH53">
            <v>6.1103276198741563E-2</v>
          </cell>
          <cell r="BI53">
            <v>3.7849386756095171E-2</v>
          </cell>
          <cell r="BJ53">
            <v>5.6524754225419249E-2</v>
          </cell>
          <cell r="BK53">
            <v>-3.1639966528820396E-2</v>
          </cell>
          <cell r="BL53">
            <v>7.9233226837060799E-2</v>
          </cell>
          <cell r="BM53">
            <v>5.5374592833876246E-2</v>
          </cell>
          <cell r="BN53">
            <v>-4.2471042471042497E-2</v>
          </cell>
          <cell r="BO53">
            <v>-7.3262366938008805E-2</v>
          </cell>
          <cell r="BP53">
            <v>-0.15985790408525757</v>
          </cell>
          <cell r="BQ53">
            <v>-0.12037037037037035</v>
          </cell>
          <cell r="BR53">
            <v>-3.6290322580645129E-2</v>
          </cell>
          <cell r="BS53">
            <v>-2.7027027027026973E-2</v>
          </cell>
          <cell r="BT53">
            <v>-5.6377730796335346E-3</v>
          </cell>
          <cell r="BU53">
            <v>0.52631578947368429</v>
          </cell>
          <cell r="BV53">
            <v>0.60529986052998597</v>
          </cell>
          <cell r="BW53">
            <v>0.55833333333333335</v>
          </cell>
          <cell r="BX53">
            <v>0.55705173635719341</v>
          </cell>
          <cell r="BY53">
            <v>-4.5977011494258146E-4</v>
          </cell>
          <cell r="BZ53">
            <v>-5.994787141615987E-2</v>
          </cell>
          <cell r="CA53">
            <v>-3.5650623885917998E-2</v>
          </cell>
          <cell r="CB53">
            <v>-3.5958124715521178E-2</v>
          </cell>
          <cell r="CC53">
            <v>-8.774923043963101E-3</v>
          </cell>
          <cell r="CD53">
            <v>-1.3539523818887567E-2</v>
          </cell>
          <cell r="CE53">
            <v>-2.3429879905573436E-2</v>
          </cell>
        </row>
        <row r="54">
          <cell r="A54" t="str">
            <v xml:space="preserve">  Loss on interest rate hedging arrangements</v>
          </cell>
          <cell r="F54">
            <v>-2113</v>
          </cell>
          <cell r="G54">
            <v>-126</v>
          </cell>
          <cell r="H54">
            <v>-399</v>
          </cell>
          <cell r="I54">
            <v>770</v>
          </cell>
          <cell r="J54">
            <v>0</v>
          </cell>
          <cell r="K54">
            <v>0</v>
          </cell>
          <cell r="L54">
            <v>0</v>
          </cell>
          <cell r="M54">
            <v>0</v>
          </cell>
          <cell r="N54">
            <v>0</v>
          </cell>
          <cell r="O54">
            <v>0</v>
          </cell>
          <cell r="S54">
            <v>0</v>
          </cell>
          <cell r="T54">
            <v>0</v>
          </cell>
          <cell r="U54">
            <v>0</v>
          </cell>
          <cell r="V54">
            <v>0</v>
          </cell>
          <cell r="W54">
            <v>0</v>
          </cell>
          <cell r="X54">
            <v>0</v>
          </cell>
          <cell r="Y54">
            <v>0</v>
          </cell>
          <cell r="AB54">
            <v>-342</v>
          </cell>
          <cell r="AC54">
            <v>305</v>
          </cell>
          <cell r="AD54">
            <v>-85</v>
          </cell>
          <cell r="AE54">
            <v>-4</v>
          </cell>
          <cell r="AF54">
            <v>-40</v>
          </cell>
          <cell r="AG54">
            <v>-516</v>
          </cell>
          <cell r="AH54">
            <v>178</v>
          </cell>
          <cell r="AI54">
            <v>-21</v>
          </cell>
          <cell r="AJ54">
            <v>304</v>
          </cell>
          <cell r="AK54">
            <v>466</v>
          </cell>
          <cell r="AP54">
            <v>0</v>
          </cell>
          <cell r="AQ54">
            <v>0</v>
          </cell>
          <cell r="AR54">
            <v>0</v>
          </cell>
          <cell r="AS54">
            <v>0</v>
          </cell>
          <cell r="AT54">
            <v>0</v>
          </cell>
          <cell r="AU54">
            <v>0</v>
          </cell>
          <cell r="AV54">
            <v>0</v>
          </cell>
          <cell r="AW54">
            <v>0</v>
          </cell>
          <cell r="AX54">
            <v>0</v>
          </cell>
          <cell r="AY54">
            <v>0</v>
          </cell>
        </row>
        <row r="55">
          <cell r="A55" t="str">
            <v xml:space="preserve">  Earnings from unconsolidated cellular partnerships</v>
          </cell>
          <cell r="F55">
            <v>3258</v>
          </cell>
          <cell r="G55">
            <v>1113</v>
          </cell>
          <cell r="H55">
            <v>421</v>
          </cell>
          <cell r="I55">
            <v>392</v>
          </cell>
          <cell r="J55">
            <v>0</v>
          </cell>
          <cell r="K55">
            <v>0</v>
          </cell>
          <cell r="L55">
            <v>0</v>
          </cell>
          <cell r="M55">
            <v>0</v>
          </cell>
          <cell r="N55">
            <v>0</v>
          </cell>
          <cell r="O55">
            <v>0</v>
          </cell>
          <cell r="S55">
            <v>0</v>
          </cell>
          <cell r="T55">
            <v>0</v>
          </cell>
          <cell r="U55">
            <v>0</v>
          </cell>
          <cell r="V55">
            <v>0</v>
          </cell>
          <cell r="W55">
            <v>0</v>
          </cell>
          <cell r="X55">
            <v>0</v>
          </cell>
          <cell r="Y55">
            <v>0</v>
          </cell>
          <cell r="AB55">
            <v>325</v>
          </cell>
          <cell r="AC55">
            <v>343</v>
          </cell>
          <cell r="AD55">
            <v>339</v>
          </cell>
          <cell r="AE55">
            <v>106</v>
          </cell>
          <cell r="AF55">
            <v>29</v>
          </cell>
          <cell r="AG55">
            <v>32</v>
          </cell>
          <cell r="AH55">
            <v>146</v>
          </cell>
          <cell r="AI55">
            <v>214</v>
          </cell>
          <cell r="AJ55">
            <v>140</v>
          </cell>
          <cell r="AK55">
            <v>252</v>
          </cell>
          <cell r="AP55">
            <v>0</v>
          </cell>
          <cell r="AQ55">
            <v>0</v>
          </cell>
          <cell r="AR55">
            <v>0</v>
          </cell>
          <cell r="AS55">
            <v>0</v>
          </cell>
          <cell r="AT55">
            <v>0</v>
          </cell>
          <cell r="AU55">
            <v>0</v>
          </cell>
          <cell r="AV55">
            <v>0</v>
          </cell>
          <cell r="AW55">
            <v>0</v>
          </cell>
          <cell r="AX55">
            <v>0</v>
          </cell>
          <cell r="AY55">
            <v>0</v>
          </cell>
        </row>
        <row r="56">
          <cell r="A56" t="str">
            <v xml:space="preserve">   % y/y growth</v>
          </cell>
          <cell r="G56">
            <v>-0.65837937384898715</v>
          </cell>
          <cell r="H56">
            <v>-0.62174303683737642</v>
          </cell>
          <cell r="I56">
            <v>-6.8883610451306421E-2</v>
          </cell>
          <cell r="S56">
            <v>0</v>
          </cell>
          <cell r="T56">
            <v>0</v>
          </cell>
          <cell r="AF56">
            <v>-0.91076923076923078</v>
          </cell>
          <cell r="AG56">
            <v>-0.90670553935860054</v>
          </cell>
          <cell r="AH56">
            <v>-0.56932153392330376</v>
          </cell>
          <cell r="AI56">
            <v>1.0188679245283021</v>
          </cell>
          <cell r="AJ56">
            <v>3.8275862068965516</v>
          </cell>
          <cell r="AK56">
            <v>6.875</v>
          </cell>
        </row>
        <row r="57">
          <cell r="A57" t="str">
            <v xml:space="preserve">  Impairment</v>
          </cell>
          <cell r="F57">
            <v>0</v>
          </cell>
          <cell r="G57">
            <v>0</v>
          </cell>
          <cell r="H57">
            <v>0</v>
          </cell>
          <cell r="I57">
            <v>0</v>
          </cell>
          <cell r="J57">
            <v>0</v>
          </cell>
          <cell r="K57">
            <v>0</v>
          </cell>
          <cell r="L57">
            <v>0</v>
          </cell>
          <cell r="M57">
            <v>0</v>
          </cell>
          <cell r="N57">
            <v>0</v>
          </cell>
          <cell r="O57">
            <v>0</v>
          </cell>
          <cell r="S57">
            <v>-181900</v>
          </cell>
          <cell r="T57">
            <v>0</v>
          </cell>
          <cell r="AB57">
            <v>0</v>
          </cell>
          <cell r="AC57">
            <v>0</v>
          </cell>
          <cell r="AD57">
            <v>0</v>
          </cell>
          <cell r="AE57">
            <v>0</v>
          </cell>
          <cell r="AF57">
            <v>0</v>
          </cell>
          <cell r="AG57">
            <v>0</v>
          </cell>
          <cell r="AH57">
            <v>0</v>
          </cell>
          <cell r="AI57">
            <v>0</v>
          </cell>
          <cell r="AJ57">
            <v>0</v>
          </cell>
          <cell r="AK57">
            <v>0</v>
          </cell>
          <cell r="AP57">
            <v>0</v>
          </cell>
          <cell r="AQ57">
            <v>0</v>
          </cell>
          <cell r="AR57">
            <v>0</v>
          </cell>
          <cell r="AS57">
            <v>0</v>
          </cell>
          <cell r="AT57">
            <v>0</v>
          </cell>
          <cell r="AU57">
            <v>0</v>
          </cell>
          <cell r="AV57">
            <v>0</v>
          </cell>
          <cell r="AW57">
            <v>0</v>
          </cell>
          <cell r="AX57">
            <v>0</v>
          </cell>
          <cell r="AY57">
            <v>0</v>
          </cell>
          <cell r="BX57">
            <v>-181900</v>
          </cell>
          <cell r="CB57">
            <v>0</v>
          </cell>
          <cell r="CC57">
            <v>0</v>
          </cell>
        </row>
        <row r="58">
          <cell r="A58" t="str">
            <v xml:space="preserve">  Loss on debt extinguishment</v>
          </cell>
          <cell r="F58">
            <v>0</v>
          </cell>
          <cell r="I58">
            <v>0</v>
          </cell>
          <cell r="J58">
            <v>0</v>
          </cell>
          <cell r="K58">
            <v>0</v>
          </cell>
          <cell r="L58">
            <v>0</v>
          </cell>
          <cell r="M58">
            <v>0</v>
          </cell>
          <cell r="N58">
            <v>0</v>
          </cell>
          <cell r="O58">
            <v>0</v>
          </cell>
          <cell r="P58">
            <v>-28500</v>
          </cell>
          <cell r="Q58">
            <v>0</v>
          </cell>
          <cell r="R58">
            <v>-36400</v>
          </cell>
          <cell r="S58">
            <v>-38100</v>
          </cell>
          <cell r="T58">
            <v>-3200</v>
          </cell>
          <cell r="AB58">
            <v>0</v>
          </cell>
          <cell r="AC58">
            <v>0</v>
          </cell>
          <cell r="AD58">
            <v>0</v>
          </cell>
          <cell r="AE58">
            <v>0</v>
          </cell>
          <cell r="AF58">
            <v>0</v>
          </cell>
          <cell r="AG58">
            <v>0</v>
          </cell>
          <cell r="AH58">
            <v>0</v>
          </cell>
          <cell r="AI58">
            <v>0</v>
          </cell>
          <cell r="AJ58">
            <v>0</v>
          </cell>
          <cell r="AK58">
            <v>0</v>
          </cell>
          <cell r="AP58">
            <v>0</v>
          </cell>
          <cell r="AQ58">
            <v>0</v>
          </cell>
          <cell r="AR58">
            <v>0</v>
          </cell>
          <cell r="AS58">
            <v>0</v>
          </cell>
          <cell r="AT58">
            <v>0</v>
          </cell>
          <cell r="AU58">
            <v>0</v>
          </cell>
          <cell r="AV58">
            <v>0</v>
          </cell>
          <cell r="AW58">
            <v>0</v>
          </cell>
          <cell r="AX58">
            <v>0</v>
          </cell>
          <cell r="AY58">
            <v>0</v>
          </cell>
          <cell r="BL58">
            <v>-13800</v>
          </cell>
          <cell r="BN58">
            <v>-14700</v>
          </cell>
          <cell r="BU58">
            <v>-43400</v>
          </cell>
          <cell r="BV58">
            <v>7600</v>
          </cell>
          <cell r="BW58">
            <v>-600</v>
          </cell>
          <cell r="BX58">
            <v>-35400</v>
          </cell>
          <cell r="BY58">
            <v>37500</v>
          </cell>
          <cell r="BZ58">
            <v>-20100</v>
          </cell>
          <cell r="CA58">
            <v>-20100</v>
          </cell>
          <cell r="CB58">
            <v>-3200</v>
          </cell>
          <cell r="CC58">
            <v>0</v>
          </cell>
        </row>
        <row r="59">
          <cell r="A59" t="str">
            <v>Other Income (Expense), net</v>
          </cell>
          <cell r="F59">
            <v>7692</v>
          </cell>
          <cell r="G59">
            <v>9384</v>
          </cell>
          <cell r="H59">
            <v>40854</v>
          </cell>
          <cell r="I59">
            <v>30134.506055981252</v>
          </cell>
          <cell r="J59">
            <v>11100</v>
          </cell>
          <cell r="K59">
            <v>2100</v>
          </cell>
          <cell r="L59">
            <v>1158</v>
          </cell>
          <cell r="M59">
            <v>-3056</v>
          </cell>
          <cell r="N59">
            <v>-100</v>
          </cell>
          <cell r="O59">
            <v>4400</v>
          </cell>
          <cell r="P59">
            <v>-12500</v>
          </cell>
          <cell r="Q59">
            <v>100</v>
          </cell>
          <cell r="R59">
            <v>383600</v>
          </cell>
          <cell r="S59">
            <v>28800</v>
          </cell>
          <cell r="T59">
            <v>700</v>
          </cell>
          <cell r="U59">
            <v>0</v>
          </cell>
          <cell r="V59">
            <v>0</v>
          </cell>
          <cell r="W59">
            <v>0</v>
          </cell>
          <cell r="X59">
            <v>0</v>
          </cell>
          <cell r="Y59">
            <v>0</v>
          </cell>
          <cell r="AB59">
            <v>4543</v>
          </cell>
          <cell r="AC59">
            <v>-15412</v>
          </cell>
          <cell r="AD59">
            <v>8949</v>
          </cell>
          <cell r="AE59">
            <v>11304</v>
          </cell>
          <cell r="AF59">
            <v>9782</v>
          </cell>
          <cell r="AG59">
            <v>8494</v>
          </cell>
          <cell r="AH59">
            <v>22625</v>
          </cell>
          <cell r="AI59">
            <v>-47</v>
          </cell>
          <cell r="AJ59">
            <v>12595</v>
          </cell>
          <cell r="AK59">
            <v>10065.506055981252</v>
          </cell>
          <cell r="AL59">
            <v>2545</v>
          </cell>
          <cell r="AM59">
            <v>4929</v>
          </cell>
          <cell r="AN59">
            <v>5200</v>
          </cell>
          <cell r="AO59">
            <v>6300</v>
          </cell>
          <cell r="AP59">
            <v>200</v>
          </cell>
          <cell r="AQ59">
            <v>-600</v>
          </cell>
          <cell r="AR59">
            <v>5600</v>
          </cell>
          <cell r="AS59">
            <v>3000</v>
          </cell>
          <cell r="AT59">
            <v>500</v>
          </cell>
          <cell r="AU59">
            <v>-7000</v>
          </cell>
          <cell r="AV59">
            <v>1514</v>
          </cell>
          <cell r="AW59">
            <v>879</v>
          </cell>
          <cell r="AX59">
            <v>-875</v>
          </cell>
          <cell r="AY59">
            <v>-360</v>
          </cell>
          <cell r="AZ59">
            <v>144</v>
          </cell>
          <cell r="BA59">
            <v>-900</v>
          </cell>
          <cell r="BB59">
            <v>-3000</v>
          </cell>
          <cell r="BC59">
            <v>700</v>
          </cell>
          <cell r="BD59">
            <v>2600</v>
          </cell>
          <cell r="BE59">
            <v>-3200</v>
          </cell>
          <cell r="BF59">
            <v>-1500</v>
          </cell>
          <cell r="BG59">
            <v>2000</v>
          </cell>
          <cell r="BH59">
            <v>6600</v>
          </cell>
          <cell r="BI59">
            <v>3200</v>
          </cell>
          <cell r="BJ59">
            <v>-5300</v>
          </cell>
          <cell r="BK59">
            <v>-100</v>
          </cell>
          <cell r="BL59">
            <v>2300</v>
          </cell>
          <cell r="BM59">
            <v>-1700</v>
          </cell>
          <cell r="BN59">
            <v>-5600</v>
          </cell>
          <cell r="BO59">
            <v>-7500</v>
          </cell>
          <cell r="BP59">
            <v>900</v>
          </cell>
          <cell r="BQ59">
            <v>-700</v>
          </cell>
          <cell r="BR59">
            <v>-100</v>
          </cell>
          <cell r="BS59">
            <v>0</v>
          </cell>
          <cell r="BT59">
            <v>-1200</v>
          </cell>
          <cell r="BU59">
            <v>22300</v>
          </cell>
          <cell r="BV59">
            <v>17400</v>
          </cell>
          <cell r="BW59">
            <v>345100</v>
          </cell>
          <cell r="BX59">
            <v>16400</v>
          </cell>
          <cell r="BY59">
            <v>15400</v>
          </cell>
          <cell r="BZ59">
            <v>-1500</v>
          </cell>
          <cell r="CA59">
            <v>-1500</v>
          </cell>
          <cell r="CB59">
            <v>700</v>
          </cell>
          <cell r="CC59">
            <v>0</v>
          </cell>
          <cell r="CD59">
            <v>0</v>
          </cell>
          <cell r="CE59">
            <v>0</v>
          </cell>
        </row>
        <row r="60">
          <cell r="A60" t="str">
            <v>Total Other Income (Expense)</v>
          </cell>
          <cell r="F60">
            <v>-488975</v>
          </cell>
          <cell r="G60">
            <v>-452406</v>
          </cell>
          <cell r="H60">
            <v>-374866</v>
          </cell>
          <cell r="I60">
            <v>-422087.27111591498</v>
          </cell>
          <cell r="J60">
            <v>-433300</v>
          </cell>
          <cell r="K60">
            <v>-414300</v>
          </cell>
          <cell r="L60">
            <v>-440855</v>
          </cell>
          <cell r="M60">
            <v>-530734</v>
          </cell>
          <cell r="N60">
            <v>-607494</v>
          </cell>
          <cell r="O60">
            <v>-620700</v>
          </cell>
          <cell r="P60">
            <v>-668700</v>
          </cell>
          <cell r="Q60">
            <v>-571700</v>
          </cell>
          <cell r="R60">
            <v>-466000</v>
          </cell>
          <cell r="S60">
            <v>-1061100</v>
          </cell>
          <cell r="T60">
            <v>-854592.15276426903</v>
          </cell>
          <cell r="U60">
            <v>-863858.78614627104</v>
          </cell>
          <cell r="V60">
            <v>-846714.41245459125</v>
          </cell>
          <cell r="W60">
            <v>-825107.84382390173</v>
          </cell>
          <cell r="X60">
            <v>-806337.42576518294</v>
          </cell>
          <cell r="Y60">
            <v>-786908.48654778267</v>
          </cell>
          <cell r="AB60">
            <v>-114940</v>
          </cell>
          <cell r="AC60">
            <v>-128672</v>
          </cell>
          <cell r="AD60">
            <v>-105785</v>
          </cell>
          <cell r="AE60">
            <v>-103009</v>
          </cell>
          <cell r="AF60">
            <v>-102966</v>
          </cell>
          <cell r="AG60">
            <v>-87197</v>
          </cell>
          <cell r="AH60">
            <v>-80287</v>
          </cell>
          <cell r="AI60">
            <v>-104416</v>
          </cell>
          <cell r="AJ60">
            <v>-96550</v>
          </cell>
          <cell r="AK60">
            <v>-102663.87362153597</v>
          </cell>
          <cell r="AL60">
            <v>-107657</v>
          </cell>
          <cell r="AM60">
            <v>-104783</v>
          </cell>
          <cell r="AN60">
            <v>-109500</v>
          </cell>
          <cell r="AO60">
            <v>-101800</v>
          </cell>
          <cell r="AP60">
            <v>-109400</v>
          </cell>
          <cell r="AQ60">
            <v>-112600</v>
          </cell>
          <cell r="AR60">
            <v>-99400</v>
          </cell>
          <cell r="AS60">
            <v>-100600</v>
          </cell>
          <cell r="AT60">
            <v>-102800</v>
          </cell>
          <cell r="AU60">
            <v>-111500</v>
          </cell>
          <cell r="AV60">
            <v>-105782</v>
          </cell>
          <cell r="AW60">
            <v>-104533</v>
          </cell>
          <cell r="AX60">
            <v>-106708</v>
          </cell>
          <cell r="AY60">
            <v>-123832</v>
          </cell>
          <cell r="AZ60">
            <v>-125758</v>
          </cell>
          <cell r="BA60">
            <v>-129771</v>
          </cell>
          <cell r="BB60">
            <v>-135784</v>
          </cell>
          <cell r="BC60">
            <v>-139421</v>
          </cell>
          <cell r="BD60">
            <v>-144888</v>
          </cell>
          <cell r="BE60">
            <v>-151102</v>
          </cell>
          <cell r="BF60">
            <v>-148586</v>
          </cell>
          <cell r="BG60">
            <v>-162918</v>
          </cell>
          <cell r="BH60">
            <v>-149900</v>
          </cell>
          <cell r="BI60">
            <v>-150300</v>
          </cell>
          <cell r="BJ60">
            <v>-160700</v>
          </cell>
          <cell r="BK60">
            <v>-159800</v>
          </cell>
          <cell r="BL60">
            <v>-180400</v>
          </cell>
          <cell r="BM60">
            <v>-163700</v>
          </cell>
          <cell r="BN60">
            <v>-169100</v>
          </cell>
          <cell r="BO60">
            <v>-155500</v>
          </cell>
          <cell r="BP60">
            <v>-141000</v>
          </cell>
          <cell r="BQ60">
            <v>-143200</v>
          </cell>
          <cell r="BR60">
            <v>-143500</v>
          </cell>
          <cell r="BS60">
            <v>-144000</v>
          </cell>
          <cell r="BT60">
            <v>-142300</v>
          </cell>
          <cell r="BU60">
            <v>-238600</v>
          </cell>
          <cell r="BV60">
            <v>-205200</v>
          </cell>
          <cell r="BW60">
            <v>120100</v>
          </cell>
          <cell r="BX60">
            <v>-420600</v>
          </cell>
          <cell r="BY60">
            <v>-164500</v>
          </cell>
          <cell r="BZ60">
            <v>-238000</v>
          </cell>
          <cell r="CA60">
            <v>-238000</v>
          </cell>
          <cell r="CB60">
            <v>-214300</v>
          </cell>
          <cell r="CC60">
            <v>-215492.33173024241</v>
          </cell>
          <cell r="CD60">
            <v>-213470.04704559274</v>
          </cell>
          <cell r="CE60">
            <v>-211329.77398843391</v>
          </cell>
        </row>
        <row r="61">
          <cell r="A61" t="str">
            <v>PBT</v>
          </cell>
          <cell r="F61">
            <v>574899</v>
          </cell>
          <cell r="G61">
            <v>630645</v>
          </cell>
          <cell r="H61">
            <v>630336</v>
          </cell>
          <cell r="I61">
            <v>659539.72888408508</v>
          </cell>
          <cell r="J61">
            <v>727700</v>
          </cell>
          <cell r="K61">
            <v>802300</v>
          </cell>
          <cell r="L61">
            <v>660445</v>
          </cell>
          <cell r="M61">
            <v>587366</v>
          </cell>
          <cell r="N61">
            <v>466906</v>
          </cell>
          <cell r="O61">
            <v>328400</v>
          </cell>
          <cell r="P61">
            <v>370500</v>
          </cell>
          <cell r="Q61">
            <v>-24200</v>
          </cell>
          <cell r="R61">
            <v>140800</v>
          </cell>
          <cell r="S61">
            <v>-531900</v>
          </cell>
          <cell r="T61">
            <v>-251301.70615763159</v>
          </cell>
          <cell r="U61">
            <v>-179386.15798460948</v>
          </cell>
          <cell r="V61">
            <v>-172863.65037358191</v>
          </cell>
          <cell r="W61">
            <v>-168736.74214047787</v>
          </cell>
          <cell r="X61">
            <v>-171775.69815345586</v>
          </cell>
          <cell r="Y61">
            <v>-270749.26622969296</v>
          </cell>
          <cell r="AB61">
            <v>153748.952156657</v>
          </cell>
          <cell r="AC61">
            <v>151749.38329779904</v>
          </cell>
          <cell r="AD61">
            <v>158547.99080263718</v>
          </cell>
          <cell r="AE61">
            <v>166598.67374290677</v>
          </cell>
          <cell r="AF61">
            <v>125951</v>
          </cell>
          <cell r="AG61">
            <v>156595</v>
          </cell>
          <cell r="AH61">
            <v>167676</v>
          </cell>
          <cell r="AI61">
            <v>180114</v>
          </cell>
          <cell r="AJ61">
            <v>160685</v>
          </cell>
          <cell r="AK61">
            <v>172554.12637846405</v>
          </cell>
          <cell r="AL61">
            <v>148309</v>
          </cell>
          <cell r="AM61">
            <v>188425</v>
          </cell>
          <cell r="AN61">
            <v>171000</v>
          </cell>
          <cell r="AO61">
            <v>184300</v>
          </cell>
          <cell r="AP61">
            <v>180700</v>
          </cell>
          <cell r="AQ61">
            <v>191700</v>
          </cell>
          <cell r="AR61">
            <v>212300</v>
          </cell>
          <cell r="AS61">
            <v>208200</v>
          </cell>
          <cell r="AT61">
            <v>192600</v>
          </cell>
          <cell r="AU61">
            <v>189200</v>
          </cell>
          <cell r="AV61">
            <v>178018</v>
          </cell>
          <cell r="AW61">
            <v>162667</v>
          </cell>
          <cell r="AX61">
            <v>158692</v>
          </cell>
          <cell r="AY61">
            <v>161068</v>
          </cell>
          <cell r="AZ61">
            <v>156142</v>
          </cell>
          <cell r="BA61">
            <v>151329</v>
          </cell>
          <cell r="BB61">
            <v>153916</v>
          </cell>
          <cell r="BC61">
            <v>125979</v>
          </cell>
          <cell r="BD61">
            <v>164112</v>
          </cell>
          <cell r="BE61">
            <v>163398</v>
          </cell>
          <cell r="BF61">
            <v>166514</v>
          </cell>
          <cell r="BG61">
            <v>-27118</v>
          </cell>
          <cell r="BH61">
            <v>116800</v>
          </cell>
          <cell r="BI61">
            <v>101600</v>
          </cell>
          <cell r="BJ61">
            <v>87600</v>
          </cell>
          <cell r="BK61">
            <v>22400</v>
          </cell>
          <cell r="BL61">
            <v>60600</v>
          </cell>
          <cell r="BM61">
            <v>70200</v>
          </cell>
          <cell r="BN61">
            <v>56300</v>
          </cell>
          <cell r="BO61">
            <v>183400</v>
          </cell>
          <cell r="BP61">
            <v>34700</v>
          </cell>
          <cell r="BQ61">
            <v>32100</v>
          </cell>
          <cell r="BR61">
            <v>18100</v>
          </cell>
          <cell r="BS61">
            <v>-109100</v>
          </cell>
          <cell r="BT61">
            <v>-8600</v>
          </cell>
          <cell r="BU61">
            <v>-99300</v>
          </cell>
          <cell r="BV61">
            <v>-23600</v>
          </cell>
          <cell r="BW61">
            <v>272300</v>
          </cell>
          <cell r="BX61">
            <v>-257900</v>
          </cell>
          <cell r="BY61">
            <v>-7300</v>
          </cell>
          <cell r="BZ61">
            <v>-105700</v>
          </cell>
          <cell r="CA61">
            <v>-161000</v>
          </cell>
          <cell r="CB61">
            <v>-54400</v>
          </cell>
          <cell r="CC61">
            <v>-62159.430250880891</v>
          </cell>
          <cell r="CD61">
            <v>-57371.579894861788</v>
          </cell>
          <cell r="CE61">
            <v>-77370.696011888998</v>
          </cell>
        </row>
        <row r="62">
          <cell r="A62" t="str">
            <v>Income tax expense</v>
          </cell>
          <cell r="F62">
            <v>583087</v>
          </cell>
          <cell r="G62">
            <v>605475</v>
          </cell>
          <cell r="H62">
            <v>716896</v>
          </cell>
          <cell r="I62">
            <v>565274.76787021756</v>
          </cell>
          <cell r="J62">
            <v>252000</v>
          </cell>
          <cell r="K62">
            <v>283700</v>
          </cell>
          <cell r="L62">
            <v>211100</v>
          </cell>
          <cell r="M62">
            <v>184600</v>
          </cell>
          <cell r="N62">
            <v>96900</v>
          </cell>
          <cell r="O62">
            <v>98100</v>
          </cell>
          <cell r="P62">
            <v>105300</v>
          </cell>
          <cell r="Q62">
            <v>-25100</v>
          </cell>
          <cell r="R62">
            <v>16000</v>
          </cell>
          <cell r="S62">
            <v>-127200</v>
          </cell>
          <cell r="T62">
            <v>-125915.59715517108</v>
          </cell>
          <cell r="U62">
            <v>-62785.155294613316</v>
          </cell>
          <cell r="V62">
            <v>-60502.277630753662</v>
          </cell>
          <cell r="W62">
            <v>-59057.859749167248</v>
          </cell>
          <cell r="X62">
            <v>-60121.494353709546</v>
          </cell>
          <cell r="Y62">
            <v>-94762.243180392528</v>
          </cell>
          <cell r="AB62">
            <v>136209</v>
          </cell>
          <cell r="AC62">
            <v>151256</v>
          </cell>
          <cell r="AD62">
            <v>161354</v>
          </cell>
          <cell r="AE62">
            <v>156656</v>
          </cell>
          <cell r="AF62">
            <v>143744</v>
          </cell>
          <cell r="AG62">
            <v>173956</v>
          </cell>
          <cell r="AH62">
            <v>209981</v>
          </cell>
          <cell r="AI62">
            <v>189215</v>
          </cell>
          <cell r="AJ62">
            <v>204872</v>
          </cell>
          <cell r="AK62">
            <v>229048.69253755859</v>
          </cell>
          <cell r="AL62">
            <v>65551</v>
          </cell>
          <cell r="AM62">
            <v>65803.075332658889</v>
          </cell>
          <cell r="AN62">
            <v>60200</v>
          </cell>
          <cell r="AO62">
            <v>75100</v>
          </cell>
          <cell r="AP62">
            <v>61500</v>
          </cell>
          <cell r="AQ62">
            <v>55200</v>
          </cell>
          <cell r="AR62">
            <v>75600</v>
          </cell>
          <cell r="AS62">
            <v>70400</v>
          </cell>
          <cell r="AT62">
            <v>63500</v>
          </cell>
          <cell r="AU62">
            <v>74200</v>
          </cell>
          <cell r="AV62">
            <v>65500</v>
          </cell>
          <cell r="AW62">
            <v>56400</v>
          </cell>
          <cell r="AX62">
            <v>45700</v>
          </cell>
          <cell r="AY62">
            <v>43500</v>
          </cell>
          <cell r="AZ62">
            <v>49400</v>
          </cell>
          <cell r="BA62">
            <v>50700</v>
          </cell>
          <cell r="BB62">
            <v>49700</v>
          </cell>
          <cell r="BC62">
            <v>34800</v>
          </cell>
          <cell r="BD62">
            <v>17200</v>
          </cell>
          <cell r="BE62">
            <v>59600</v>
          </cell>
          <cell r="BF62">
            <v>38800</v>
          </cell>
          <cell r="BG62">
            <v>-18700</v>
          </cell>
          <cell r="BH62">
            <v>37300</v>
          </cell>
          <cell r="BI62">
            <v>31600</v>
          </cell>
          <cell r="BJ62">
            <v>29100</v>
          </cell>
          <cell r="BK62">
            <v>100</v>
          </cell>
          <cell r="BL62">
            <v>3500</v>
          </cell>
          <cell r="BM62">
            <v>24000</v>
          </cell>
          <cell r="BN62">
            <v>19900</v>
          </cell>
          <cell r="BO62">
            <v>57900</v>
          </cell>
          <cell r="BP62">
            <v>10800</v>
          </cell>
          <cell r="BQ62">
            <v>10000</v>
          </cell>
          <cell r="BR62">
            <v>100</v>
          </cell>
          <cell r="BS62">
            <v>-46000</v>
          </cell>
          <cell r="BT62">
            <v>-27700</v>
          </cell>
          <cell r="BU62">
            <v>-48100</v>
          </cell>
          <cell r="BV62">
            <v>-19500</v>
          </cell>
          <cell r="BW62">
            <v>111300</v>
          </cell>
          <cell r="BX62">
            <v>-31000</v>
          </cell>
          <cell r="BY62">
            <v>-11400</v>
          </cell>
          <cell r="BZ62">
            <v>-42400</v>
          </cell>
          <cell r="CA62">
            <v>-42400</v>
          </cell>
          <cell r="CB62">
            <v>-57000</v>
          </cell>
          <cell r="CC62">
            <v>-21755.80058780831</v>
          </cell>
          <cell r="CD62">
            <v>-20080.052963201626</v>
          </cell>
          <cell r="CE62">
            <v>-27079.743604161147</v>
          </cell>
        </row>
        <row r="63">
          <cell r="A63" t="str">
            <v xml:space="preserve">   Adjustment for taxes</v>
          </cell>
          <cell r="F63">
            <v>583087</v>
          </cell>
          <cell r="G63">
            <v>0</v>
          </cell>
          <cell r="H63">
            <v>0</v>
          </cell>
          <cell r="I63">
            <v>0</v>
          </cell>
          <cell r="J63">
            <v>-432.29999999999927</v>
          </cell>
          <cell r="K63">
            <v>-6174</v>
          </cell>
          <cell r="L63">
            <v>17401.7</v>
          </cell>
          <cell r="M63">
            <v>33000</v>
          </cell>
          <cell r="N63">
            <v>76200</v>
          </cell>
          <cell r="O63">
            <v>37340</v>
          </cell>
          <cell r="P63">
            <v>26920</v>
          </cell>
          <cell r="Q63">
            <v>30520</v>
          </cell>
          <cell r="R63">
            <v>46280</v>
          </cell>
          <cell r="S63">
            <v>13640</v>
          </cell>
          <cell r="T63">
            <v>-40005</v>
          </cell>
          <cell r="U63">
            <v>-40005</v>
          </cell>
          <cell r="V63">
            <v>-40005</v>
          </cell>
          <cell r="W63">
            <v>-40005</v>
          </cell>
          <cell r="X63">
            <v>-40005</v>
          </cell>
          <cell r="Y63">
            <v>-40005</v>
          </cell>
          <cell r="AB63">
            <v>0</v>
          </cell>
          <cell r="AC63">
            <v>0</v>
          </cell>
          <cell r="AD63">
            <v>0</v>
          </cell>
          <cell r="AE63">
            <v>0</v>
          </cell>
          <cell r="AF63">
            <v>0</v>
          </cell>
          <cell r="AG63">
            <v>0</v>
          </cell>
          <cell r="AH63">
            <v>0</v>
          </cell>
          <cell r="AI63">
            <v>0</v>
          </cell>
          <cell r="AJ63">
            <v>0</v>
          </cell>
          <cell r="AK63">
            <v>0</v>
          </cell>
          <cell r="AL63">
            <v>0</v>
          </cell>
          <cell r="AM63">
            <v>0</v>
          </cell>
          <cell r="AN63">
            <v>1804.8</v>
          </cell>
          <cell r="AO63">
            <v>-4598.0999999999995</v>
          </cell>
          <cell r="AP63">
            <v>1085</v>
          </cell>
          <cell r="AQ63">
            <v>1276</v>
          </cell>
          <cell r="AR63">
            <v>825</v>
          </cell>
          <cell r="AS63">
            <v>1950</v>
          </cell>
          <cell r="AT63">
            <v>2715</v>
          </cell>
          <cell r="AU63">
            <v>-11664</v>
          </cell>
          <cell r="AV63">
            <v>3428.4</v>
          </cell>
          <cell r="AW63">
            <v>2700.5</v>
          </cell>
          <cell r="AX63">
            <v>6435</v>
          </cell>
          <cell r="AY63">
            <v>4837.8</v>
          </cell>
          <cell r="AZ63">
            <v>9200</v>
          </cell>
          <cell r="BA63">
            <v>6300</v>
          </cell>
          <cell r="BB63">
            <v>4700</v>
          </cell>
          <cell r="BC63">
            <v>12800</v>
          </cell>
          <cell r="BD63">
            <v>40400</v>
          </cell>
          <cell r="BE63">
            <v>2700</v>
          </cell>
          <cell r="BF63">
            <v>14900</v>
          </cell>
          <cell r="BG63">
            <v>18200</v>
          </cell>
          <cell r="BH63">
            <v>10100</v>
          </cell>
          <cell r="BI63">
            <v>11700</v>
          </cell>
          <cell r="BJ63">
            <v>9500</v>
          </cell>
          <cell r="BK63">
            <v>6040</v>
          </cell>
          <cell r="BL63">
            <v>9520</v>
          </cell>
          <cell r="BM63">
            <v>3800</v>
          </cell>
          <cell r="BN63">
            <v>8520</v>
          </cell>
          <cell r="BO63">
            <v>5080</v>
          </cell>
          <cell r="BP63">
            <v>8120</v>
          </cell>
          <cell r="BQ63">
            <v>4760</v>
          </cell>
          <cell r="BR63">
            <v>5440</v>
          </cell>
          <cell r="BS63">
            <v>12200</v>
          </cell>
          <cell r="BT63">
            <v>8440</v>
          </cell>
          <cell r="BU63">
            <v>24280</v>
          </cell>
          <cell r="BV63">
            <v>3360</v>
          </cell>
          <cell r="BW63">
            <v>10200</v>
          </cell>
          <cell r="BX63">
            <v>3760</v>
          </cell>
          <cell r="BY63">
            <v>3400</v>
          </cell>
          <cell r="BZ63">
            <v>2160</v>
          </cell>
          <cell r="CA63">
            <v>4320</v>
          </cell>
          <cell r="CB63">
            <v>-45560</v>
          </cell>
          <cell r="CC63">
            <v>2030</v>
          </cell>
          <cell r="CD63">
            <v>1762.5</v>
          </cell>
          <cell r="CE63">
            <v>1762.5</v>
          </cell>
        </row>
        <row r="64">
          <cell r="A64" t="str">
            <v>Income Tax Expense</v>
          </cell>
          <cell r="F64">
            <v>583087</v>
          </cell>
          <cell r="G64">
            <v>605475</v>
          </cell>
          <cell r="H64">
            <v>716896</v>
          </cell>
          <cell r="I64">
            <v>565274.76787021756</v>
          </cell>
          <cell r="J64">
            <v>251567.7</v>
          </cell>
          <cell r="K64">
            <v>277526</v>
          </cell>
          <cell r="L64">
            <v>228501.7</v>
          </cell>
          <cell r="M64">
            <v>217600</v>
          </cell>
          <cell r="N64">
            <v>173100</v>
          </cell>
          <cell r="O64">
            <v>135440</v>
          </cell>
          <cell r="P64">
            <v>132220</v>
          </cell>
          <cell r="Q64">
            <v>5420</v>
          </cell>
          <cell r="R64">
            <v>62280</v>
          </cell>
          <cell r="S64">
            <v>-113560</v>
          </cell>
          <cell r="T64">
            <v>-165920.5971551711</v>
          </cell>
          <cell r="U64">
            <v>-102790.15529461332</v>
          </cell>
          <cell r="V64">
            <v>-100507.27763075367</v>
          </cell>
          <cell r="W64">
            <v>-99062.859749167255</v>
          </cell>
          <cell r="X64">
            <v>-100126.49435370954</v>
          </cell>
          <cell r="Y64">
            <v>-134767.24318039254</v>
          </cell>
          <cell r="AB64">
            <v>136209</v>
          </cell>
          <cell r="AC64">
            <v>151256</v>
          </cell>
          <cell r="AD64">
            <v>161354</v>
          </cell>
          <cell r="AE64">
            <v>156656</v>
          </cell>
          <cell r="AF64">
            <v>143744</v>
          </cell>
          <cell r="AG64">
            <v>173956</v>
          </cell>
          <cell r="AH64">
            <v>209981</v>
          </cell>
          <cell r="AI64">
            <v>189215</v>
          </cell>
          <cell r="AJ64">
            <v>204872</v>
          </cell>
          <cell r="AK64">
            <v>229048.69253755859</v>
          </cell>
          <cell r="AL64">
            <v>65551</v>
          </cell>
          <cell r="AM64">
            <v>65803.075332658889</v>
          </cell>
          <cell r="AN64">
            <v>62004.800000000003</v>
          </cell>
          <cell r="AO64">
            <v>70501.899999999994</v>
          </cell>
          <cell r="AP64">
            <v>62585</v>
          </cell>
          <cell r="AQ64">
            <v>56476</v>
          </cell>
          <cell r="AR64">
            <v>76425</v>
          </cell>
          <cell r="AS64">
            <v>72350</v>
          </cell>
          <cell r="AT64">
            <v>66215</v>
          </cell>
          <cell r="AU64">
            <v>62536</v>
          </cell>
          <cell r="AV64">
            <v>68928.399999999994</v>
          </cell>
          <cell r="AW64">
            <v>59100.5</v>
          </cell>
          <cell r="AX64">
            <v>52135</v>
          </cell>
          <cell r="AY64">
            <v>48337.8</v>
          </cell>
          <cell r="AZ64">
            <v>58600</v>
          </cell>
          <cell r="BA64">
            <v>57000</v>
          </cell>
          <cell r="BB64">
            <v>54400</v>
          </cell>
          <cell r="BC64">
            <v>47600</v>
          </cell>
          <cell r="BD64">
            <v>57600</v>
          </cell>
          <cell r="BE64">
            <v>62300</v>
          </cell>
          <cell r="BF64">
            <v>53700</v>
          </cell>
          <cell r="BG64">
            <v>-500</v>
          </cell>
          <cell r="BH64">
            <v>47400</v>
          </cell>
          <cell r="BI64">
            <v>43300</v>
          </cell>
          <cell r="BJ64">
            <v>38600</v>
          </cell>
          <cell r="BK64">
            <v>6140</v>
          </cell>
          <cell r="BL64">
            <v>13020</v>
          </cell>
          <cell r="BM64">
            <v>27800</v>
          </cell>
          <cell r="BN64">
            <v>28420</v>
          </cell>
          <cell r="BO64">
            <v>62980</v>
          </cell>
          <cell r="BP64">
            <v>18920</v>
          </cell>
          <cell r="BQ64">
            <v>14760</v>
          </cell>
          <cell r="BR64">
            <v>5540</v>
          </cell>
          <cell r="BS64">
            <v>-33800</v>
          </cell>
          <cell r="BT64">
            <v>-19260</v>
          </cell>
          <cell r="BU64">
            <v>-23820</v>
          </cell>
          <cell r="BV64">
            <v>-16140</v>
          </cell>
          <cell r="BW64">
            <v>121500</v>
          </cell>
          <cell r="BX64">
            <v>-27240</v>
          </cell>
          <cell r="BY64">
            <v>-8000</v>
          </cell>
          <cell r="BZ64">
            <v>-40240</v>
          </cell>
          <cell r="CA64">
            <v>-38080</v>
          </cell>
          <cell r="CB64">
            <v>-102560</v>
          </cell>
          <cell r="CC64">
            <v>-19725.80058780831</v>
          </cell>
          <cell r="CD64">
            <v>-18317.552963201626</v>
          </cell>
          <cell r="CE64">
            <v>-25317.243604161147</v>
          </cell>
        </row>
        <row r="65">
          <cell r="A65" t="str">
            <v xml:space="preserve">   % effective tax rate</v>
          </cell>
          <cell r="F65">
            <v>1.0142425017263903</v>
          </cell>
          <cell r="G65">
            <v>0.9600884808410437</v>
          </cell>
          <cell r="H65">
            <v>1.1373235861508784</v>
          </cell>
          <cell r="I65">
            <v>0.85707462812989288</v>
          </cell>
          <cell r="J65">
            <v>0.34570248728871789</v>
          </cell>
          <cell r="K65">
            <v>0.34591300012464166</v>
          </cell>
          <cell r="L65">
            <v>0.34598142161724293</v>
          </cell>
          <cell r="M65">
            <v>0.3704674768372701</v>
          </cell>
          <cell r="N65">
            <v>0.37073843557375574</v>
          </cell>
          <cell r="O65">
            <v>0.41242387332521313</v>
          </cell>
          <cell r="P65">
            <v>0.35686909581646425</v>
          </cell>
          <cell r="Q65">
            <v>-0.22396694214876034</v>
          </cell>
          <cell r="R65">
            <v>0.44232954545454545</v>
          </cell>
          <cell r="S65">
            <v>0.21349877796578304</v>
          </cell>
          <cell r="T65">
            <v>0.6602446107194182</v>
          </cell>
          <cell r="U65">
            <v>0.57301051792096602</v>
          </cell>
          <cell r="V65">
            <v>0.58142517188283216</v>
          </cell>
          <cell r="W65">
            <v>0.58708529329489345</v>
          </cell>
          <cell r="X65">
            <v>0.58289091780760227</v>
          </cell>
          <cell r="Y65">
            <v>0.49775663312808888</v>
          </cell>
          <cell r="AB65">
            <v>0.88591823286844062</v>
          </cell>
          <cell r="AC65">
            <v>0.99674869652135056</v>
          </cell>
          <cell r="AD65">
            <v>1.0176981693880673</v>
          </cell>
          <cell r="AE65">
            <v>0.94031961047751078</v>
          </cell>
          <cell r="AF65">
            <v>1.1412692237457425</v>
          </cell>
          <cell r="AG65">
            <v>1.110865608735911</v>
          </cell>
          <cell r="AH65">
            <v>1.252302058732317</v>
          </cell>
          <cell r="AI65">
            <v>1.0505291093418612</v>
          </cell>
          <cell r="AJ65">
            <v>1.2749914428851479</v>
          </cell>
          <cell r="AK65">
            <v>1.3274020004319378</v>
          </cell>
          <cell r="AL65">
            <v>0.4419893600523232</v>
          </cell>
          <cell r="AM65">
            <v>0.34922688248724365</v>
          </cell>
          <cell r="AN65">
            <v>0.36260116959064331</v>
          </cell>
          <cell r="AO65">
            <v>0.38253879544221375</v>
          </cell>
          <cell r="AP65">
            <v>0.34634753735473162</v>
          </cell>
          <cell r="AQ65">
            <v>0.29460615545122587</v>
          </cell>
          <cell r="AR65">
            <v>0.35998586905322655</v>
          </cell>
          <cell r="AS65">
            <v>0.3475024015369837</v>
          </cell>
          <cell r="AT65">
            <v>0.34379543094496368</v>
          </cell>
          <cell r="AU65">
            <v>0.33052854122621567</v>
          </cell>
          <cell r="AV65">
            <v>0.38719904728735294</v>
          </cell>
          <cell r="AW65">
            <v>0.3633220013893414</v>
          </cell>
          <cell r="AX65">
            <v>0.32852947848662817</v>
          </cell>
          <cell r="AY65">
            <v>0.30010802890704547</v>
          </cell>
          <cell r="AZ65">
            <v>0.3752994069500839</v>
          </cell>
          <cell r="BA65">
            <v>0.37666276787661318</v>
          </cell>
          <cell r="BB65">
            <v>0.3534395384495439</v>
          </cell>
          <cell r="BC65">
            <v>0.37784075123631716</v>
          </cell>
          <cell r="BD65">
            <v>0.35097981866042705</v>
          </cell>
          <cell r="BE65">
            <v>0.38127761661709447</v>
          </cell>
          <cell r="BF65">
            <v>0.32249540579170521</v>
          </cell>
          <cell r="BG65">
            <v>1.8437937901025148E-2</v>
          </cell>
          <cell r="BH65">
            <v>0.40582191780821919</v>
          </cell>
          <cell r="BI65">
            <v>0.42618110236220474</v>
          </cell>
          <cell r="BJ65">
            <v>0.4406392694063927</v>
          </cell>
          <cell r="BK65">
            <v>0.27410714285714288</v>
          </cell>
          <cell r="BL65">
            <v>0.21485148514851485</v>
          </cell>
          <cell r="BM65">
            <v>0.39601139601139601</v>
          </cell>
          <cell r="BN65">
            <v>0.50479573712255776</v>
          </cell>
          <cell r="BO65">
            <v>0.34340239912758996</v>
          </cell>
          <cell r="BP65">
            <v>0.54524495677233431</v>
          </cell>
          <cell r="BQ65">
            <v>0.45981308411214955</v>
          </cell>
          <cell r="BR65">
            <v>0.30607734806629833</v>
          </cell>
          <cell r="BS65">
            <v>0.30980751604032997</v>
          </cell>
          <cell r="BT65">
            <v>2.2395348837209301</v>
          </cell>
          <cell r="BU65">
            <v>0.23987915407854984</v>
          </cell>
          <cell r="BV65">
            <v>0.68389830508474581</v>
          </cell>
          <cell r="BW65">
            <v>0.44619904517076753</v>
          </cell>
          <cell r="BX65">
            <v>0.10562233423807678</v>
          </cell>
          <cell r="BY65">
            <v>1.095890410958904</v>
          </cell>
          <cell r="BZ65">
            <v>0.38070009460737936</v>
          </cell>
          <cell r="CA65">
            <v>0.23652173913043478</v>
          </cell>
          <cell r="CB65">
            <v>1.8852941176470588</v>
          </cell>
          <cell r="CC65">
            <v>0.31734204300446861</v>
          </cell>
          <cell r="CD65">
            <v>0.31927921449557556</v>
          </cell>
          <cell r="CE65">
            <v>0.32722005758188899</v>
          </cell>
        </row>
        <row r="66">
          <cell r="A66" t="str">
            <v xml:space="preserve">   % statutory tax rate</v>
          </cell>
          <cell r="F66">
            <v>0.4</v>
          </cell>
          <cell r="G66">
            <v>0.4</v>
          </cell>
          <cell r="H66">
            <v>0.4</v>
          </cell>
          <cell r="I66">
            <v>0.4</v>
          </cell>
          <cell r="J66">
            <v>0.35</v>
          </cell>
          <cell r="K66">
            <v>0.35</v>
          </cell>
          <cell r="L66">
            <v>0.35</v>
          </cell>
          <cell r="M66">
            <v>0.35</v>
          </cell>
          <cell r="N66">
            <v>0.35</v>
          </cell>
          <cell r="O66">
            <v>0.35</v>
          </cell>
          <cell r="P66">
            <v>0.35</v>
          </cell>
          <cell r="Q66">
            <v>0.35</v>
          </cell>
          <cell r="R66">
            <v>0.35</v>
          </cell>
          <cell r="S66">
            <v>0.35</v>
          </cell>
          <cell r="T66">
            <v>0.35</v>
          </cell>
          <cell r="U66">
            <v>0.35</v>
          </cell>
          <cell r="V66">
            <v>0.35</v>
          </cell>
          <cell r="W66">
            <v>0.35</v>
          </cell>
          <cell r="X66">
            <v>0.35</v>
          </cell>
          <cell r="Y66">
            <v>0.35</v>
          </cell>
          <cell r="AB66">
            <v>0.4</v>
          </cell>
          <cell r="AC66">
            <v>0.4</v>
          </cell>
          <cell r="AD66">
            <v>0.4</v>
          </cell>
          <cell r="AE66">
            <v>0.4</v>
          </cell>
          <cell r="AF66">
            <v>0.4</v>
          </cell>
          <cell r="AG66">
            <v>0.4</v>
          </cell>
          <cell r="AH66">
            <v>0.4</v>
          </cell>
          <cell r="AI66">
            <v>0.4</v>
          </cell>
          <cell r="AJ66">
            <v>0.4</v>
          </cell>
          <cell r="AK66">
            <v>0.4</v>
          </cell>
          <cell r="AL66">
            <v>0.4</v>
          </cell>
          <cell r="AM66">
            <v>0.4</v>
          </cell>
          <cell r="AN66">
            <v>0.35</v>
          </cell>
          <cell r="AO66">
            <v>0.35</v>
          </cell>
          <cell r="AP66">
            <v>0.35</v>
          </cell>
          <cell r="AQ66">
            <v>0.35</v>
          </cell>
          <cell r="AR66">
            <v>0.35</v>
          </cell>
          <cell r="AS66">
            <v>0.35</v>
          </cell>
          <cell r="AT66">
            <v>0.35</v>
          </cell>
          <cell r="AU66">
            <v>0.35</v>
          </cell>
          <cell r="AV66">
            <v>0.35</v>
          </cell>
          <cell r="AW66">
            <v>0.35</v>
          </cell>
          <cell r="AX66">
            <v>0.35</v>
          </cell>
          <cell r="AY66">
            <v>0.35</v>
          </cell>
          <cell r="AZ66">
            <v>0.35</v>
          </cell>
          <cell r="BA66">
            <v>0.35</v>
          </cell>
          <cell r="BB66">
            <v>0.35</v>
          </cell>
          <cell r="BC66">
            <v>0.35</v>
          </cell>
          <cell r="BD66">
            <v>0.35</v>
          </cell>
          <cell r="BE66">
            <v>0.35</v>
          </cell>
          <cell r="BF66">
            <v>0.35</v>
          </cell>
          <cell r="BG66">
            <v>0.35</v>
          </cell>
          <cell r="BH66">
            <v>0.35</v>
          </cell>
          <cell r="BI66">
            <v>0.35</v>
          </cell>
          <cell r="BJ66">
            <v>0.35</v>
          </cell>
          <cell r="BK66">
            <v>0.35</v>
          </cell>
          <cell r="BL66">
            <v>0.35</v>
          </cell>
          <cell r="BM66">
            <v>0.35</v>
          </cell>
          <cell r="BN66">
            <v>0.35</v>
          </cell>
          <cell r="BO66">
            <v>0.35</v>
          </cell>
          <cell r="BP66">
            <v>0.35</v>
          </cell>
          <cell r="BQ66">
            <v>0.35</v>
          </cell>
          <cell r="BR66">
            <v>0.35</v>
          </cell>
          <cell r="BS66">
            <v>0.35</v>
          </cell>
          <cell r="BT66">
            <v>0.35</v>
          </cell>
          <cell r="BU66">
            <v>0.35</v>
          </cell>
          <cell r="BV66">
            <v>0.35</v>
          </cell>
          <cell r="BW66">
            <v>0.35</v>
          </cell>
          <cell r="BX66">
            <v>0.35</v>
          </cell>
          <cell r="BY66">
            <v>0.35</v>
          </cell>
          <cell r="BZ66">
            <v>0.35</v>
          </cell>
          <cell r="CA66">
            <v>0.35</v>
          </cell>
          <cell r="CB66">
            <v>0.35</v>
          </cell>
          <cell r="CC66">
            <v>0.35</v>
          </cell>
          <cell r="CD66">
            <v>0.35</v>
          </cell>
          <cell r="CE66">
            <v>0.35</v>
          </cell>
        </row>
        <row r="67">
          <cell r="A67" t="str">
            <v>Income (loss) before minority interest</v>
          </cell>
          <cell r="F67">
            <v>-8188</v>
          </cell>
          <cell r="G67">
            <v>25170</v>
          </cell>
          <cell r="H67">
            <v>-86560</v>
          </cell>
          <cell r="I67">
            <v>94264.96101386752</v>
          </cell>
          <cell r="J67">
            <v>476132.3</v>
          </cell>
          <cell r="K67">
            <v>524774</v>
          </cell>
          <cell r="L67">
            <v>431943.3</v>
          </cell>
          <cell r="M67">
            <v>369766</v>
          </cell>
          <cell r="N67">
            <v>293806</v>
          </cell>
          <cell r="O67">
            <v>192960</v>
          </cell>
          <cell r="P67">
            <v>238280</v>
          </cell>
          <cell r="Q67">
            <v>-29620</v>
          </cell>
          <cell r="R67">
            <v>78520</v>
          </cell>
          <cell r="S67">
            <v>-418340</v>
          </cell>
          <cell r="T67">
            <v>-85381.109002460493</v>
          </cell>
          <cell r="U67">
            <v>-76596.002689996167</v>
          </cell>
          <cell r="V67">
            <v>-72356.372742828244</v>
          </cell>
          <cell r="W67">
            <v>-69673.882391310617</v>
          </cell>
          <cell r="X67">
            <v>-71649.203799746319</v>
          </cell>
          <cell r="Y67">
            <v>-135982.02304930042</v>
          </cell>
          <cell r="AB67">
            <v>17539.952156657004</v>
          </cell>
          <cell r="AC67">
            <v>493.3832977990387</v>
          </cell>
          <cell r="AD67">
            <v>-2806.009197362815</v>
          </cell>
          <cell r="AE67">
            <v>9942.6737429067725</v>
          </cell>
          <cell r="AF67">
            <v>-17793</v>
          </cell>
          <cell r="AG67">
            <v>-17361</v>
          </cell>
          <cell r="AH67">
            <v>-42305</v>
          </cell>
          <cell r="AI67">
            <v>-9101</v>
          </cell>
          <cell r="AJ67">
            <v>-44187</v>
          </cell>
          <cell r="AK67">
            <v>-56494.566159094538</v>
          </cell>
          <cell r="AL67">
            <v>82758</v>
          </cell>
          <cell r="AM67">
            <v>122621.92466734111</v>
          </cell>
          <cell r="AN67">
            <v>108995.2</v>
          </cell>
          <cell r="AO67">
            <v>113798.1</v>
          </cell>
          <cell r="AP67">
            <v>118115</v>
          </cell>
          <cell r="AQ67">
            <v>135224</v>
          </cell>
          <cell r="AR67">
            <v>135875</v>
          </cell>
          <cell r="AS67">
            <v>135850</v>
          </cell>
          <cell r="AT67">
            <v>126385</v>
          </cell>
          <cell r="AU67">
            <v>126664</v>
          </cell>
          <cell r="AV67">
            <v>109089.60000000001</v>
          </cell>
          <cell r="AW67">
            <v>103566.5</v>
          </cell>
          <cell r="AX67">
            <v>106557</v>
          </cell>
          <cell r="AY67">
            <v>112730.2</v>
          </cell>
          <cell r="AZ67">
            <v>97542</v>
          </cell>
          <cell r="BA67">
            <v>94329</v>
          </cell>
          <cell r="BB67">
            <v>99516</v>
          </cell>
          <cell r="BC67">
            <v>78379</v>
          </cell>
          <cell r="BD67">
            <v>106512</v>
          </cell>
          <cell r="BE67">
            <v>101098</v>
          </cell>
          <cell r="BF67">
            <v>112814</v>
          </cell>
          <cell r="BG67">
            <v>-26618</v>
          </cell>
          <cell r="BH67">
            <v>69400</v>
          </cell>
          <cell r="BI67">
            <v>58300</v>
          </cell>
          <cell r="BJ67">
            <v>49000</v>
          </cell>
          <cell r="BK67">
            <v>16260</v>
          </cell>
          <cell r="BL67">
            <v>47580</v>
          </cell>
          <cell r="BM67">
            <v>42400</v>
          </cell>
          <cell r="BN67">
            <v>27880</v>
          </cell>
          <cell r="BO67">
            <v>120420</v>
          </cell>
          <cell r="BP67">
            <v>15780</v>
          </cell>
          <cell r="BQ67">
            <v>17340</v>
          </cell>
          <cell r="BR67">
            <v>12560</v>
          </cell>
          <cell r="BS67">
            <v>-75300</v>
          </cell>
          <cell r="BT67">
            <v>10660</v>
          </cell>
          <cell r="BU67">
            <v>-75480</v>
          </cell>
          <cell r="BV67">
            <v>-7460</v>
          </cell>
          <cell r="BW67">
            <v>150800</v>
          </cell>
          <cell r="BX67">
            <v>-230660</v>
          </cell>
          <cell r="BY67">
            <v>700</v>
          </cell>
          <cell r="BZ67">
            <v>-65460</v>
          </cell>
          <cell r="CA67">
            <v>-122920</v>
          </cell>
          <cell r="CB67">
            <v>48160</v>
          </cell>
          <cell r="CC67">
            <v>-42433.629663072585</v>
          </cell>
          <cell r="CD67">
            <v>-39054.026931660163</v>
          </cell>
          <cell r="CE67">
            <v>-52053.452407727847</v>
          </cell>
        </row>
        <row r="68">
          <cell r="A68" t="str">
            <v>Minority interest</v>
          </cell>
          <cell r="F68">
            <v>-254</v>
          </cell>
          <cell r="G68">
            <v>-142</v>
          </cell>
          <cell r="H68">
            <v>-468</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AB68">
            <v>-1518</v>
          </cell>
          <cell r="AC68">
            <v>-1286</v>
          </cell>
          <cell r="AD68">
            <v>-367</v>
          </cell>
          <cell r="AE68">
            <v>3029</v>
          </cell>
          <cell r="AF68">
            <v>-468</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row>
        <row r="69">
          <cell r="A69" t="str">
            <v>Income (loss) from continuing operations</v>
          </cell>
          <cell r="F69">
            <v>-8442</v>
          </cell>
          <cell r="G69">
            <v>25028</v>
          </cell>
          <cell r="H69">
            <v>-87028</v>
          </cell>
          <cell r="I69">
            <v>94264.96101386752</v>
          </cell>
          <cell r="J69">
            <v>476132.3</v>
          </cell>
          <cell r="K69">
            <v>524774</v>
          </cell>
          <cell r="L69">
            <v>431943.3</v>
          </cell>
          <cell r="M69">
            <v>369766</v>
          </cell>
          <cell r="N69">
            <v>293806</v>
          </cell>
          <cell r="O69">
            <v>192960</v>
          </cell>
          <cell r="P69">
            <v>238280</v>
          </cell>
          <cell r="Q69">
            <v>-29620</v>
          </cell>
          <cell r="R69">
            <v>78520</v>
          </cell>
          <cell r="S69">
            <v>-418340</v>
          </cell>
          <cell r="T69">
            <v>-85381.109002460493</v>
          </cell>
          <cell r="U69">
            <v>-76596.002689996167</v>
          </cell>
          <cell r="V69">
            <v>-72356.372742828244</v>
          </cell>
          <cell r="W69">
            <v>-69673.882391310617</v>
          </cell>
          <cell r="X69">
            <v>-71649.203799746319</v>
          </cell>
          <cell r="Y69">
            <v>-135982.02304930042</v>
          </cell>
          <cell r="AB69">
            <v>16021.952156657004</v>
          </cell>
          <cell r="AC69">
            <v>-792.6167022009613</v>
          </cell>
          <cell r="AD69">
            <v>-3173.009197362815</v>
          </cell>
          <cell r="AE69">
            <v>12971.673742906773</v>
          </cell>
          <cell r="AF69">
            <v>-18261</v>
          </cell>
          <cell r="AG69">
            <v>-17361</v>
          </cell>
          <cell r="AH69">
            <v>-42305</v>
          </cell>
          <cell r="AI69">
            <v>-9101</v>
          </cell>
          <cell r="AJ69">
            <v>-44187</v>
          </cell>
          <cell r="AK69">
            <v>-56494.566159094538</v>
          </cell>
          <cell r="AL69">
            <v>82758</v>
          </cell>
          <cell r="AM69">
            <v>122621.92466734111</v>
          </cell>
          <cell r="AN69">
            <v>108995.2</v>
          </cell>
          <cell r="AO69">
            <v>113798.1</v>
          </cell>
          <cell r="AP69">
            <v>118115</v>
          </cell>
          <cell r="AQ69">
            <v>135224</v>
          </cell>
          <cell r="AR69">
            <v>135875</v>
          </cell>
          <cell r="AS69">
            <v>135850</v>
          </cell>
          <cell r="AT69">
            <v>126385</v>
          </cell>
          <cell r="AU69">
            <v>126664</v>
          </cell>
          <cell r="AV69">
            <v>109089.60000000001</v>
          </cell>
          <cell r="AW69">
            <v>103566.5</v>
          </cell>
          <cell r="AX69">
            <v>106557</v>
          </cell>
          <cell r="AY69">
            <v>112730.2</v>
          </cell>
          <cell r="AZ69">
            <v>97542</v>
          </cell>
          <cell r="BA69">
            <v>94329</v>
          </cell>
          <cell r="BB69">
            <v>99516</v>
          </cell>
          <cell r="BC69">
            <v>78379</v>
          </cell>
          <cell r="BD69">
            <v>106512</v>
          </cell>
          <cell r="BE69">
            <v>101098</v>
          </cell>
          <cell r="BF69">
            <v>112814</v>
          </cell>
          <cell r="BG69">
            <v>-26618</v>
          </cell>
          <cell r="BH69">
            <v>69400</v>
          </cell>
          <cell r="BI69">
            <v>58300</v>
          </cell>
          <cell r="BJ69">
            <v>49000</v>
          </cell>
          <cell r="BK69">
            <v>16260</v>
          </cell>
          <cell r="BL69">
            <v>47580</v>
          </cell>
          <cell r="BM69">
            <v>42400</v>
          </cell>
          <cell r="BN69">
            <v>27880</v>
          </cell>
          <cell r="BO69">
            <v>120420</v>
          </cell>
          <cell r="BP69">
            <v>15780</v>
          </cell>
          <cell r="BQ69">
            <v>17340</v>
          </cell>
          <cell r="BR69">
            <v>12560</v>
          </cell>
          <cell r="BS69">
            <v>-75300</v>
          </cell>
          <cell r="BT69">
            <v>10660</v>
          </cell>
          <cell r="BU69">
            <v>-75480</v>
          </cell>
          <cell r="BV69">
            <v>-7460</v>
          </cell>
          <cell r="BW69">
            <v>150800</v>
          </cell>
          <cell r="BX69">
            <v>-230660</v>
          </cell>
          <cell r="BY69">
            <v>700</v>
          </cell>
          <cell r="BZ69">
            <v>-65460</v>
          </cell>
          <cell r="CA69">
            <v>-122920</v>
          </cell>
          <cell r="CB69">
            <v>48160</v>
          </cell>
          <cell r="CC69">
            <v>-42433.629663072585</v>
          </cell>
          <cell r="CD69">
            <v>-39054.026931660163</v>
          </cell>
          <cell r="CE69">
            <v>-52053.452407727847</v>
          </cell>
        </row>
        <row r="70">
          <cell r="A70" t="str">
            <v>Discontinued operations</v>
          </cell>
          <cell r="F70">
            <v>108</v>
          </cell>
          <cell r="G70">
            <v>0</v>
          </cell>
          <cell r="H70">
            <v>0</v>
          </cell>
          <cell r="I70">
            <v>0</v>
          </cell>
          <cell r="J70">
            <v>0</v>
          </cell>
          <cell r="K70">
            <v>0</v>
          </cell>
          <cell r="L70">
            <v>0</v>
          </cell>
          <cell r="M70">
            <v>0</v>
          </cell>
          <cell r="N70">
            <v>-100</v>
          </cell>
          <cell r="O70">
            <v>0</v>
          </cell>
          <cell r="P70">
            <v>6000</v>
          </cell>
          <cell r="Q70">
            <v>0</v>
          </cell>
          <cell r="R70">
            <v>0</v>
          </cell>
          <cell r="S70">
            <v>0</v>
          </cell>
          <cell r="T70">
            <v>0</v>
          </cell>
          <cell r="U70">
            <v>0</v>
          </cell>
          <cell r="V70">
            <v>0</v>
          </cell>
          <cell r="W70">
            <v>0</v>
          </cell>
          <cell r="X70">
            <v>0</v>
          </cell>
          <cell r="Y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U70">
            <v>0</v>
          </cell>
          <cell r="AV70">
            <v>0</v>
          </cell>
          <cell r="AW70">
            <v>0</v>
          </cell>
          <cell r="AX70">
            <v>0</v>
          </cell>
          <cell r="AY70">
            <v>0</v>
          </cell>
          <cell r="AZ70">
            <v>0</v>
          </cell>
          <cell r="BA70">
            <v>0</v>
          </cell>
          <cell r="BB70">
            <v>0</v>
          </cell>
          <cell r="BC70">
            <v>0</v>
          </cell>
          <cell r="BD70">
            <v>0</v>
          </cell>
          <cell r="BE70">
            <v>0</v>
          </cell>
          <cell r="BF70">
            <v>0</v>
          </cell>
          <cell r="BG70">
            <v>-100</v>
          </cell>
          <cell r="BH70">
            <v>-100</v>
          </cell>
          <cell r="BI70">
            <v>-500</v>
          </cell>
          <cell r="BJ70">
            <v>0</v>
          </cell>
          <cell r="BK70">
            <v>-1200</v>
          </cell>
          <cell r="BL70">
            <v>300</v>
          </cell>
          <cell r="BM70">
            <v>400</v>
          </cell>
          <cell r="BN70">
            <v>0</v>
          </cell>
          <cell r="BO70">
            <v>5300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row>
        <row r="71">
          <cell r="A71" t="str">
            <v>Net income (loss)</v>
          </cell>
          <cell r="F71">
            <v>-8334</v>
          </cell>
          <cell r="G71">
            <v>25028</v>
          </cell>
          <cell r="H71">
            <v>-87028</v>
          </cell>
          <cell r="I71">
            <v>94264.96101386752</v>
          </cell>
          <cell r="J71">
            <v>476132.3</v>
          </cell>
          <cell r="K71">
            <v>524774</v>
          </cell>
          <cell r="L71">
            <v>431943.3</v>
          </cell>
          <cell r="M71">
            <v>369766</v>
          </cell>
          <cell r="N71">
            <v>293706</v>
          </cell>
          <cell r="O71">
            <v>192960</v>
          </cell>
          <cell r="P71">
            <v>244280</v>
          </cell>
          <cell r="Q71">
            <v>-29620</v>
          </cell>
          <cell r="R71">
            <v>78520</v>
          </cell>
          <cell r="S71">
            <v>-418340</v>
          </cell>
          <cell r="T71">
            <v>-85381.109002460493</v>
          </cell>
          <cell r="U71">
            <v>-76596.002689996167</v>
          </cell>
          <cell r="V71">
            <v>-72356.372742828244</v>
          </cell>
          <cell r="W71">
            <v>-69673.882391310617</v>
          </cell>
          <cell r="X71">
            <v>-71649.203799746319</v>
          </cell>
          <cell r="Y71">
            <v>-135982.02304930042</v>
          </cell>
          <cell r="Z71" t="str">
            <v>na</v>
          </cell>
          <cell r="AB71">
            <v>16021.952156657004</v>
          </cell>
          <cell r="AC71">
            <v>-792.6167022009613</v>
          </cell>
          <cell r="AD71">
            <v>-3173.009197362815</v>
          </cell>
          <cell r="AE71">
            <v>12971.673742906773</v>
          </cell>
          <cell r="AF71">
            <v>-18261</v>
          </cell>
          <cell r="AG71">
            <v>-17361</v>
          </cell>
          <cell r="AH71">
            <v>-42305</v>
          </cell>
          <cell r="AI71">
            <v>-9101</v>
          </cell>
          <cell r="AJ71">
            <v>-44187</v>
          </cell>
          <cell r="AK71">
            <v>-56494.566159094538</v>
          </cell>
          <cell r="AL71">
            <v>82758</v>
          </cell>
          <cell r="AM71">
            <v>122621.92466734111</v>
          </cell>
          <cell r="AN71">
            <v>108995.2</v>
          </cell>
          <cell r="AO71">
            <v>113798.1</v>
          </cell>
          <cell r="AP71">
            <v>118115</v>
          </cell>
          <cell r="AQ71">
            <v>135224</v>
          </cell>
          <cell r="AR71">
            <v>135875</v>
          </cell>
          <cell r="AS71">
            <v>135850</v>
          </cell>
          <cell r="AT71">
            <v>126385</v>
          </cell>
          <cell r="AU71">
            <v>126664</v>
          </cell>
          <cell r="AV71">
            <v>109089.60000000001</v>
          </cell>
          <cell r="AW71">
            <v>103566.5</v>
          </cell>
          <cell r="AX71">
            <v>106557</v>
          </cell>
          <cell r="AY71">
            <v>112730.2</v>
          </cell>
          <cell r="AZ71">
            <v>97542</v>
          </cell>
          <cell r="BA71">
            <v>94329</v>
          </cell>
          <cell r="BB71">
            <v>99516</v>
          </cell>
          <cell r="BC71">
            <v>78379</v>
          </cell>
          <cell r="BD71">
            <v>106512</v>
          </cell>
          <cell r="BE71">
            <v>101098</v>
          </cell>
          <cell r="BF71">
            <v>112814</v>
          </cell>
          <cell r="BG71">
            <v>-26718</v>
          </cell>
          <cell r="BH71">
            <v>69300</v>
          </cell>
          <cell r="BI71">
            <v>57800</v>
          </cell>
          <cell r="BJ71">
            <v>49000</v>
          </cell>
          <cell r="BK71">
            <v>15060</v>
          </cell>
          <cell r="BL71">
            <v>47880</v>
          </cell>
          <cell r="BM71">
            <v>42800</v>
          </cell>
          <cell r="BN71">
            <v>27880</v>
          </cell>
          <cell r="BO71">
            <v>125720</v>
          </cell>
          <cell r="BP71">
            <v>15780</v>
          </cell>
          <cell r="BQ71">
            <v>17340</v>
          </cell>
          <cell r="BR71">
            <v>12560</v>
          </cell>
          <cell r="BS71">
            <v>-75300</v>
          </cell>
          <cell r="BT71">
            <v>10660</v>
          </cell>
          <cell r="BU71">
            <v>-75480</v>
          </cell>
          <cell r="BV71">
            <v>-7460</v>
          </cell>
          <cell r="BW71">
            <v>150800</v>
          </cell>
          <cell r="BX71">
            <v>-230660</v>
          </cell>
          <cell r="BY71">
            <v>700</v>
          </cell>
          <cell r="BZ71">
            <v>-65460</v>
          </cell>
          <cell r="CA71">
            <v>-122920</v>
          </cell>
          <cell r="CB71">
            <v>48160</v>
          </cell>
          <cell r="CC71">
            <v>-42433.629663072585</v>
          </cell>
          <cell r="CD71">
            <v>-39054.026931660163</v>
          </cell>
          <cell r="CE71">
            <v>-52053.452407727847</v>
          </cell>
        </row>
        <row r="72">
          <cell r="A72" t="str">
            <v>Other comprehensive loss:</v>
          </cell>
          <cell r="F72" t="str">
            <v/>
          </cell>
          <cell r="G72" t="str">
            <v/>
          </cell>
        </row>
        <row r="73">
          <cell r="A73" t="str">
            <v>Minimum pension liability adjustment, net of tax</v>
          </cell>
          <cell r="F73">
            <v>-2813</v>
          </cell>
          <cell r="G73">
            <v>-523</v>
          </cell>
          <cell r="H73">
            <v>462</v>
          </cell>
          <cell r="I73">
            <v>4111</v>
          </cell>
          <cell r="J73">
            <v>0</v>
          </cell>
          <cell r="K73">
            <v>0</v>
          </cell>
          <cell r="L73">
            <v>0</v>
          </cell>
          <cell r="M73">
            <v>0</v>
          </cell>
          <cell r="N73">
            <v>0</v>
          </cell>
          <cell r="O73">
            <v>0</v>
          </cell>
          <cell r="U73">
            <v>0</v>
          </cell>
          <cell r="V73">
            <v>0</v>
          </cell>
          <cell r="W73">
            <v>0</v>
          </cell>
          <cell r="X73">
            <v>0</v>
          </cell>
          <cell r="Y73">
            <v>0</v>
          </cell>
          <cell r="AB73">
            <v>0</v>
          </cell>
          <cell r="AC73">
            <v>0</v>
          </cell>
          <cell r="AD73">
            <v>0</v>
          </cell>
          <cell r="AE73">
            <v>-523</v>
          </cell>
          <cell r="AF73">
            <v>0</v>
          </cell>
          <cell r="AG73">
            <v>0</v>
          </cell>
          <cell r="AH73">
            <v>0</v>
          </cell>
          <cell r="AI73">
            <v>0</v>
          </cell>
          <cell r="AJ73">
            <v>0</v>
          </cell>
          <cell r="AK73">
            <v>0</v>
          </cell>
        </row>
        <row r="74">
          <cell r="A74" t="str">
            <v>Interest rate hedging arrangements, net of tax</v>
          </cell>
          <cell r="F74">
            <v>0</v>
          </cell>
          <cell r="G74">
            <v>0</v>
          </cell>
          <cell r="H74">
            <v>-9101</v>
          </cell>
          <cell r="I74">
            <v>-96570.566159094538</v>
          </cell>
          <cell r="J74">
            <v>0</v>
          </cell>
          <cell r="K74">
            <v>0</v>
          </cell>
          <cell r="L74">
            <v>0</v>
          </cell>
          <cell r="M74">
            <v>0</v>
          </cell>
          <cell r="N74">
            <v>0</v>
          </cell>
          <cell r="O74">
            <v>0</v>
          </cell>
          <cell r="U74">
            <v>0</v>
          </cell>
          <cell r="V74">
            <v>0</v>
          </cell>
          <cell r="W74">
            <v>0</v>
          </cell>
          <cell r="X74">
            <v>0</v>
          </cell>
          <cell r="Y74">
            <v>0</v>
          </cell>
          <cell r="AB74">
            <v>0</v>
          </cell>
          <cell r="AC74">
            <v>0</v>
          </cell>
          <cell r="AD74">
            <v>0</v>
          </cell>
          <cell r="AE74">
            <v>0</v>
          </cell>
          <cell r="AF74">
            <v>210</v>
          </cell>
          <cell r="AG74">
            <v>-2883</v>
          </cell>
          <cell r="AH74">
            <v>3135</v>
          </cell>
          <cell r="AI74">
            <v>0</v>
          </cell>
          <cell r="AJ74">
            <v>2423</v>
          </cell>
          <cell r="AK74">
            <v>1688</v>
          </cell>
        </row>
        <row r="75">
          <cell r="A75" t="str">
            <v>Comprehensive income (loss)</v>
          </cell>
          <cell r="F75">
            <v>-11147</v>
          </cell>
          <cell r="G75">
            <v>24505</v>
          </cell>
          <cell r="H75">
            <v>-95667</v>
          </cell>
          <cell r="I75">
            <v>1805.3948547729815</v>
          </cell>
          <cell r="J75">
            <v>476132.3</v>
          </cell>
          <cell r="K75">
            <v>524774</v>
          </cell>
          <cell r="L75">
            <v>431943.3</v>
          </cell>
          <cell r="M75">
            <v>369766</v>
          </cell>
          <cell r="N75">
            <v>293706</v>
          </cell>
          <cell r="O75">
            <v>192960</v>
          </cell>
          <cell r="P75">
            <v>244280</v>
          </cell>
          <cell r="Q75">
            <v>-29620</v>
          </cell>
          <cell r="R75">
            <v>27100</v>
          </cell>
          <cell r="S75">
            <v>-418500</v>
          </cell>
          <cell r="T75">
            <v>-241962.67150246055</v>
          </cell>
          <cell r="U75">
            <v>-116601.00268999617</v>
          </cell>
          <cell r="V75">
            <v>-112361.37274282824</v>
          </cell>
          <cell r="W75">
            <v>-109678.88239131062</v>
          </cell>
          <cell r="X75">
            <v>-111654.20379974632</v>
          </cell>
          <cell r="Y75">
            <v>-175987.02304930042</v>
          </cell>
          <cell r="AB75">
            <v>16021.952156657004</v>
          </cell>
          <cell r="AC75">
            <v>-792.6167022009613</v>
          </cell>
          <cell r="AD75">
            <v>-3173.009197362815</v>
          </cell>
          <cell r="AE75">
            <v>12448.673742906773</v>
          </cell>
          <cell r="AF75">
            <v>-18051</v>
          </cell>
          <cell r="AG75">
            <v>-20244</v>
          </cell>
          <cell r="AH75">
            <v>-39170</v>
          </cell>
          <cell r="AI75">
            <v>-9101</v>
          </cell>
          <cell r="AJ75">
            <v>-41764</v>
          </cell>
          <cell r="AK75">
            <v>-54806.566159094538</v>
          </cell>
          <cell r="AZ75">
            <v>97542</v>
          </cell>
          <cell r="BA75">
            <v>94329</v>
          </cell>
          <cell r="BB75">
            <v>99516</v>
          </cell>
          <cell r="BC75">
            <v>78379</v>
          </cell>
          <cell r="BD75">
            <v>106512</v>
          </cell>
          <cell r="BE75">
            <v>101098</v>
          </cell>
          <cell r="BF75">
            <v>112814</v>
          </cell>
          <cell r="BG75">
            <v>-26718</v>
          </cell>
          <cell r="BH75">
            <v>57100</v>
          </cell>
          <cell r="BI75">
            <v>50100</v>
          </cell>
          <cell r="BJ75">
            <v>45800</v>
          </cell>
          <cell r="BK75">
            <v>10100</v>
          </cell>
          <cell r="BL75">
            <v>52300</v>
          </cell>
          <cell r="BM75">
            <v>39700</v>
          </cell>
          <cell r="BN75">
            <v>30600</v>
          </cell>
          <cell r="BO75">
            <v>118400</v>
          </cell>
          <cell r="BP75">
            <v>16000</v>
          </cell>
          <cell r="BQ75">
            <v>14000</v>
          </cell>
          <cell r="BR75">
            <v>8000</v>
          </cell>
          <cell r="BS75">
            <v>-77500</v>
          </cell>
          <cell r="BT75">
            <v>5000</v>
          </cell>
          <cell r="BU75">
            <v>-111200</v>
          </cell>
          <cell r="BV75">
            <v>-7200</v>
          </cell>
          <cell r="BW75">
            <v>140500</v>
          </cell>
          <cell r="BX75">
            <v>-231900</v>
          </cell>
          <cell r="BY75">
            <v>1500</v>
          </cell>
          <cell r="BZ75">
            <v>-66200</v>
          </cell>
          <cell r="CA75">
            <v>-121900</v>
          </cell>
          <cell r="CB75">
            <v>-111300</v>
          </cell>
          <cell r="CC75">
            <v>-41503.629663072585</v>
          </cell>
          <cell r="CD75">
            <v>-38204.026931660163</v>
          </cell>
          <cell r="CE75">
            <v>-50955.014907727847</v>
          </cell>
        </row>
        <row r="76">
          <cell r="A76" t="str">
            <v xml:space="preserve">  % margin</v>
          </cell>
          <cell r="P76">
            <v>4.07942419131277E-2</v>
          </cell>
          <cell r="Q76">
            <v>-5.2193832599118943E-3</v>
          </cell>
          <cell r="R76">
            <v>1.3936564846204362E-2</v>
          </cell>
          <cell r="S76">
            <v>-7.765732318544645E-2</v>
          </cell>
          <cell r="T76">
            <v>-1.4342329704678053E-2</v>
          </cell>
          <cell r="U76">
            <v>-1.3262413019434994E-2</v>
          </cell>
          <cell r="V76">
            <v>-1.2917026131377511E-2</v>
          </cell>
          <cell r="W76">
            <v>-1.2791864245676977E-2</v>
          </cell>
          <cell r="X76">
            <v>-1.3502782069553416E-2</v>
          </cell>
          <cell r="Y76">
            <v>-2.6256179283052988E-2</v>
          </cell>
          <cell r="AB76" t="str">
            <v/>
          </cell>
          <cell r="AC76" t="str">
            <v/>
          </cell>
          <cell r="AF76" t="str">
            <v/>
          </cell>
          <cell r="AG76" t="str">
            <v/>
          </cell>
          <cell r="AH76" t="str">
            <v/>
          </cell>
          <cell r="BP76">
            <v>1.105506515342581E-2</v>
          </cell>
          <cell r="BQ76">
            <v>1.2147110332749561E-2</v>
          </cell>
          <cell r="BR76">
            <v>8.8662995905689681E-3</v>
          </cell>
          <cell r="BS76">
            <v>-5.3651585322408268E-2</v>
          </cell>
          <cell r="BT76">
            <v>7.7251974780781218E-3</v>
          </cell>
          <cell r="BU76">
            <v>-5.4364736387208297E-2</v>
          </cell>
          <cell r="BV76">
            <v>-5.0845147219193022E-3</v>
          </cell>
          <cell r="BW76">
            <v>0.10782210782210783</v>
          </cell>
          <cell r="BX76">
            <v>-0.16794815785641473</v>
          </cell>
          <cell r="BY76">
            <v>5.1485731097381578E-4</v>
          </cell>
          <cell r="BZ76">
            <v>-4.8672763774258311E-2</v>
          </cell>
          <cell r="CA76">
            <v>-9.3896570162707207E-2</v>
          </cell>
          <cell r="CB76">
            <v>3.1784582893347416E-2</v>
          </cell>
          <cell r="CC76">
            <v>-2.8366233923228932E-2</v>
          </cell>
          <cell r="CD76">
            <v>-2.6412360574543076E-2</v>
          </cell>
          <cell r="CE76">
            <v>-3.5571728737132678E-2</v>
          </cell>
        </row>
        <row r="77">
          <cell r="A77" t="str">
            <v>EPS basic</v>
          </cell>
          <cell r="H77">
            <v>-1.25481427294259</v>
          </cell>
          <cell r="I77">
            <v>4.8137768552447439E-2</v>
          </cell>
          <cell r="J77">
            <v>1.0096244587336884</v>
          </cell>
          <cell r="K77">
            <v>7.0486769644056411</v>
          </cell>
          <cell r="L77">
            <v>5.497793381417055</v>
          </cell>
          <cell r="M77">
            <v>4.3993691714412932</v>
          </cell>
          <cell r="N77">
            <v>3.4747826086956524</v>
          </cell>
          <cell r="O77">
            <v>1.9817870592262925</v>
          </cell>
          <cell r="P77">
            <v>2.4895834218013499</v>
          </cell>
          <cell r="Q77">
            <v>-0.29826298565075104</v>
          </cell>
          <cell r="R77">
            <v>0.78815558343789205</v>
          </cell>
          <cell r="S77">
            <v>-4.5140544915025629</v>
          </cell>
          <cell r="T77">
            <v>-0.48978120752881393</v>
          </cell>
          <cell r="U77">
            <v>-0.39929521597470735</v>
          </cell>
          <cell r="V77">
            <v>-0.37161971527463517</v>
          </cell>
          <cell r="W77">
            <v>-0.35255422835553085</v>
          </cell>
          <cell r="X77">
            <v>-0.35719160488412244</v>
          </cell>
          <cell r="Y77">
            <v>-0.66789059845036569</v>
          </cell>
          <cell r="AB77" t="str">
            <v/>
          </cell>
          <cell r="AC77" t="str">
            <v/>
          </cell>
          <cell r="AD77" t="str">
            <v/>
          </cell>
          <cell r="AF77">
            <v>-0.26350356949141501</v>
          </cell>
          <cell r="AG77">
            <v>-0.25027741206207382</v>
          </cell>
          <cell r="AH77">
            <v>-0.60984273049013571</v>
          </cell>
          <cell r="AI77">
            <v>-0.13119056089896539</v>
          </cell>
          <cell r="AJ77">
            <v>-0.63324427089274737</v>
          </cell>
          <cell r="AK77">
            <v>-0.80935606694277107</v>
          </cell>
          <cell r="AL77">
            <v>0.17442419235179066</v>
          </cell>
          <cell r="AM77">
            <v>0.2589615611520274</v>
          </cell>
          <cell r="AN77">
            <v>0.23019049630411825</v>
          </cell>
          <cell r="AO77">
            <v>0.24033389651531153</v>
          </cell>
          <cell r="AP77">
            <v>0.2492929506120726</v>
          </cell>
          <cell r="AQ77">
            <v>0.289807115302186</v>
          </cell>
          <cell r="AR77">
            <v>0.30234757454383621</v>
          </cell>
          <cell r="AS77">
            <v>0.30784047133469294</v>
          </cell>
          <cell r="AT77">
            <v>0.28994035329203943</v>
          </cell>
          <cell r="AU77">
            <v>0.29044714515019493</v>
          </cell>
          <cell r="AV77">
            <v>1.2979165828249815</v>
          </cell>
          <cell r="AW77">
            <v>1.2322043327241408</v>
          </cell>
          <cell r="AX77">
            <v>1.2677844388106798</v>
          </cell>
          <cell r="AY77">
            <v>1.3412313911241467</v>
          </cell>
          <cell r="AZ77">
            <v>1.160526570103056</v>
          </cell>
          <cell r="BA77">
            <v>1.1222992232192406</v>
          </cell>
          <cell r="BB77">
            <v>1.1840126525022627</v>
          </cell>
          <cell r="BC77">
            <v>0.93253072561673356</v>
          </cell>
          <cell r="BD77">
            <v>1.2712790928983491</v>
          </cell>
          <cell r="BE77">
            <v>1.1980801896109028</v>
          </cell>
          <cell r="BF77">
            <v>1.3353403038074572</v>
          </cell>
          <cell r="BG77">
            <v>-0.31267407840842598</v>
          </cell>
          <cell r="BH77">
            <v>0.71235223573753648</v>
          </cell>
          <cell r="BI77">
            <v>0.593733949666153</v>
          </cell>
          <cell r="BJ77">
            <v>0.50308008213552358</v>
          </cell>
          <cell r="BK77">
            <v>0.1545672254533014</v>
          </cell>
          <cell r="BL77">
            <v>0.48973747016706443</v>
          </cell>
          <cell r="BM77">
            <v>0.43695763144461458</v>
          </cell>
          <cell r="BN77">
            <v>0.28434472208057116</v>
          </cell>
          <cell r="BO77">
            <v>1.273543812257302</v>
          </cell>
          <cell r="BP77">
            <v>0.15936710991415587</v>
          </cell>
          <cell r="BQ77">
            <v>0.17459305252559154</v>
          </cell>
          <cell r="BR77">
            <v>0.12633696563285834</v>
          </cell>
          <cell r="BS77">
            <v>-0.75691070531077231</v>
          </cell>
          <cell r="BT77">
            <v>0.10670670670670671</v>
          </cell>
          <cell r="BU77">
            <v>-0.75179282868525898</v>
          </cell>
          <cell r="BV77">
            <v>-7.5125881168177241E-2</v>
          </cell>
          <cell r="BW77">
            <v>1.5247724974721941</v>
          </cell>
          <cell r="BX77">
            <v>-2.5017353579175703</v>
          </cell>
          <cell r="BY77">
            <v>7.5431034482758624E-3</v>
          </cell>
          <cell r="BZ77">
            <v>-0.70538793103448272</v>
          </cell>
          <cell r="CA77">
            <v>-1.3231431646932186</v>
          </cell>
          <cell r="CB77">
            <v>0.38191911181601901</v>
          </cell>
          <cell r="CC77">
            <v>-0.22286570201193584</v>
          </cell>
          <cell r="CD77">
            <v>-0.20511568766628235</v>
          </cell>
          <cell r="CE77">
            <v>-0.27338998113302443</v>
          </cell>
        </row>
        <row r="78">
          <cell r="A78" t="str">
            <v>EPS diluted</v>
          </cell>
          <cell r="H78">
            <v>-0.991310703451175</v>
          </cell>
          <cell r="I78">
            <v>4.8181819039065932E-2</v>
          </cell>
          <cell r="J78">
            <v>1.0072356964787699</v>
          </cell>
          <cell r="K78">
            <v>6.6793466270683064</v>
          </cell>
          <cell r="L78">
            <v>5.497793381417055</v>
          </cell>
          <cell r="M78">
            <v>4.3993691714412932</v>
          </cell>
          <cell r="N78">
            <v>3.3216832383016821</v>
          </cell>
          <cell r="O78">
            <v>1.9683937603604369</v>
          </cell>
          <cell r="P78">
            <v>2.465606863487257</v>
          </cell>
          <cell r="Q78">
            <v>-0.29826298565075104</v>
          </cell>
          <cell r="R78">
            <v>0.81199586349534647</v>
          </cell>
          <cell r="S78">
            <v>-4.5140544915025629</v>
          </cell>
          <cell r="T78">
            <v>-0.48978120752881393</v>
          </cell>
          <cell r="U78">
            <v>-0.39929521597470735</v>
          </cell>
          <cell r="V78">
            <v>-0.37161971527463517</v>
          </cell>
          <cell r="W78">
            <v>-0.35255422835553085</v>
          </cell>
          <cell r="X78">
            <v>-0.35719160488412244</v>
          </cell>
          <cell r="Y78">
            <v>-0.66789059845036569</v>
          </cell>
          <cell r="Z78" t="str">
            <v>nm</v>
          </cell>
          <cell r="AD78" t="str">
            <v/>
          </cell>
          <cell r="AG78">
            <v>-0.25027741206207382</v>
          </cell>
          <cell r="AH78">
            <v>-0.60984273049013571</v>
          </cell>
          <cell r="AI78">
            <v>-0.13119056089896539</v>
          </cell>
          <cell r="AJ78">
            <v>-0.63324427089274737</v>
          </cell>
          <cell r="AK78">
            <v>-0.80935606694277107</v>
          </cell>
          <cell r="AL78">
            <v>0.17434151623484007</v>
          </cell>
          <cell r="AM78">
            <v>0.2586414778893506</v>
          </cell>
          <cell r="AN78">
            <v>0.22965697429414242</v>
          </cell>
          <cell r="AO78">
            <v>0.23967586352148273</v>
          </cell>
          <cell r="AP78">
            <v>0.24871551905664349</v>
          </cell>
          <cell r="AQ78">
            <v>0.28918733960650128</v>
          </cell>
          <cell r="AR78">
            <v>0.30160932297447279</v>
          </cell>
          <cell r="AS78">
            <v>0.30693628558517849</v>
          </cell>
          <cell r="AT78">
            <v>0.28907822506861847</v>
          </cell>
          <cell r="AU78">
            <v>0.28978265843056511</v>
          </cell>
          <cell r="AV78">
            <v>1.2979165828249815</v>
          </cell>
          <cell r="AW78">
            <v>1.2322043327241408</v>
          </cell>
          <cell r="AX78">
            <v>1.2677844388106798</v>
          </cell>
          <cell r="AY78">
            <v>1.3412313911241467</v>
          </cell>
          <cell r="AZ78">
            <v>1.160526570103056</v>
          </cell>
          <cell r="BA78">
            <v>1.1222992232192406</v>
          </cell>
          <cell r="BB78">
            <v>1.1840126525022627</v>
          </cell>
          <cell r="BC78">
            <v>0.93253072561673356</v>
          </cell>
          <cell r="BD78">
            <v>1.2712790928983491</v>
          </cell>
          <cell r="BE78">
            <v>1.1893882352941176</v>
          </cell>
          <cell r="BF78">
            <v>1.3197192435172547</v>
          </cell>
          <cell r="BG78">
            <v>-0.31267407840842598</v>
          </cell>
          <cell r="BH78">
            <v>0.70798569725864113</v>
          </cell>
          <cell r="BI78">
            <v>0.58959537572254328</v>
          </cell>
          <cell r="BJ78">
            <v>0.49991498044550242</v>
          </cell>
          <cell r="BK78">
            <v>0.15363427697016066</v>
          </cell>
          <cell r="BL78">
            <v>0.48654416123295796</v>
          </cell>
          <cell r="BM78">
            <v>0.43323492197385072</v>
          </cell>
          <cell r="BN78">
            <v>0.28140297754226595</v>
          </cell>
          <cell r="BO78">
            <v>1.2653191310911682</v>
          </cell>
          <cell r="BP78">
            <v>0.15794478271749102</v>
          </cell>
          <cell r="BQ78">
            <v>0.17262319561971129</v>
          </cell>
          <cell r="BR78">
            <v>0.12504770596531986</v>
          </cell>
          <cell r="BS78">
            <v>-0.75691070531077231</v>
          </cell>
          <cell r="BT78">
            <v>0.10575396825396825</v>
          </cell>
          <cell r="BU78">
            <v>-0.75179282868525898</v>
          </cell>
          <cell r="BV78">
            <v>-7.5125881168177241E-2</v>
          </cell>
          <cell r="BW78">
            <v>1.5594622543950363</v>
          </cell>
          <cell r="BX78">
            <v>-2.5017353579175703</v>
          </cell>
          <cell r="BY78">
            <v>7.261410788381743E-3</v>
          </cell>
          <cell r="BZ78">
            <v>-0.70538793103448272</v>
          </cell>
          <cell r="CA78">
            <v>-1.3231431646932186</v>
          </cell>
          <cell r="CB78">
            <v>0.25294117647058822</v>
          </cell>
          <cell r="CC78">
            <v>-0.22286570201193584</v>
          </cell>
          <cell r="CD78">
            <v>-0.20511568766628235</v>
          </cell>
          <cell r="CE78">
            <v>-0.27338998113302443</v>
          </cell>
        </row>
        <row r="79">
          <cell r="P79">
            <v>2.4583696746058368</v>
          </cell>
          <cell r="Q79">
            <v>-0.29477525294410351</v>
          </cell>
          <cell r="R79">
            <v>0.28024819027921405</v>
          </cell>
          <cell r="S79">
            <v>-4.3457943925233646</v>
          </cell>
          <cell r="T79">
            <v>-1.2708123503280491</v>
          </cell>
          <cell r="BP79">
            <v>0.15928322548531607</v>
          </cell>
          <cell r="BQ79">
            <v>0.13937282229965156</v>
          </cell>
          <cell r="BR79">
            <v>7.9654829074012612E-2</v>
          </cell>
          <cell r="BS79">
            <v>-0.77127218444186441</v>
          </cell>
          <cell r="BT79">
            <v>4.96031746031746E-2</v>
          </cell>
          <cell r="BU79">
            <v>-1.0682036503362151</v>
          </cell>
          <cell r="BV79">
            <v>-7.1287128712871281E-2</v>
          </cell>
          <cell r="BW79">
            <v>1.4529472595656669</v>
          </cell>
          <cell r="BX79">
            <v>-2.4056016597510372</v>
          </cell>
          <cell r="BY79">
            <v>1.5560165975103735E-2</v>
          </cell>
          <cell r="BZ79">
            <v>-0.68886576482830386</v>
          </cell>
          <cell r="CA79">
            <v>-1.2658359293873314</v>
          </cell>
          <cell r="CB79">
            <v>-0.5845588235294118</v>
          </cell>
          <cell r="CC79">
            <v>-0.21798124823042325</v>
          </cell>
          <cell r="CD79">
            <v>-0.20065140195199666</v>
          </cell>
          <cell r="CE79">
            <v>-0.2676208766162177</v>
          </cell>
        </row>
        <row r="80">
          <cell r="A80" t="str">
            <v>Period end basic shares</v>
          </cell>
          <cell r="H80">
            <v>70518.990000000005</v>
          </cell>
          <cell r="I80">
            <v>79500</v>
          </cell>
          <cell r="J80">
            <v>75666.666666666672</v>
          </cell>
          <cell r="K80">
            <v>73233.333333333328</v>
          </cell>
          <cell r="L80">
            <v>84049.777499999997</v>
          </cell>
          <cell r="M80">
            <v>84049.777499999997</v>
          </cell>
          <cell r="N80">
            <v>97716.666666666672</v>
          </cell>
          <cell r="O80">
            <v>98033.333333333328</v>
          </cell>
          <cell r="P80">
            <v>99366.666666666672</v>
          </cell>
          <cell r="Q80">
            <v>100483.33333333333</v>
          </cell>
          <cell r="R80">
            <v>96700</v>
          </cell>
          <cell r="S80">
            <v>96300</v>
          </cell>
          <cell r="T80">
            <v>190400</v>
          </cell>
          <cell r="U80">
            <v>193255.99999999997</v>
          </cell>
          <cell r="V80">
            <v>196154.83999999994</v>
          </cell>
          <cell r="W80">
            <v>199097.16259999992</v>
          </cell>
          <cell r="X80">
            <v>202083.62003899991</v>
          </cell>
          <cell r="Y80">
            <v>205114.8743395849</v>
          </cell>
          <cell r="AF80">
            <v>70646.607229999994</v>
          </cell>
          <cell r="AG80">
            <v>70833.308000000005</v>
          </cell>
          <cell r="AH80">
            <v>70584.869000000006</v>
          </cell>
          <cell r="AI80">
            <v>70518.990000000005</v>
          </cell>
          <cell r="AJ80">
            <v>70767.501000000004</v>
          </cell>
          <cell r="AK80">
            <v>70710.329000000012</v>
          </cell>
          <cell r="AL80">
            <v>474477</v>
          </cell>
          <cell r="AM80">
            <v>477000</v>
          </cell>
          <cell r="AN80">
            <v>477230.81</v>
          </cell>
          <cell r="AO80">
            <v>477400</v>
          </cell>
          <cell r="AP80">
            <v>470200</v>
          </cell>
          <cell r="AQ80">
            <v>454000</v>
          </cell>
          <cell r="AR80">
            <v>447300</v>
          </cell>
          <cell r="AS80">
            <v>439600</v>
          </cell>
          <cell r="AT80">
            <v>439442</v>
          </cell>
          <cell r="AU80">
            <v>439400</v>
          </cell>
          <cell r="AV80">
            <v>84049.777499999997</v>
          </cell>
          <cell r="AW80">
            <v>84049.777499999997</v>
          </cell>
          <cell r="AX80">
            <v>84049.777499999997</v>
          </cell>
          <cell r="AY80">
            <v>84049.777499999997</v>
          </cell>
          <cell r="AZ80">
            <v>84049.777499999997</v>
          </cell>
          <cell r="BA80">
            <v>84049.777499999997</v>
          </cell>
          <cell r="BB80">
            <v>84049.777499999997</v>
          </cell>
          <cell r="BC80">
            <v>84049.777499999997</v>
          </cell>
          <cell r="BD80">
            <v>85000</v>
          </cell>
          <cell r="BE80">
            <v>85000</v>
          </cell>
          <cell r="BF80">
            <v>85966.666666666672</v>
          </cell>
          <cell r="BG80">
            <v>97716.666666666672</v>
          </cell>
          <cell r="BH80">
            <v>98050</v>
          </cell>
          <cell r="BI80">
            <v>98016.666666666672</v>
          </cell>
          <cell r="BJ80">
            <v>98016.666666666672</v>
          </cell>
          <cell r="BK80">
            <v>98033.333333333328</v>
          </cell>
          <cell r="BL80">
            <v>98783.333333333328</v>
          </cell>
          <cell r="BM80">
            <v>98800</v>
          </cell>
          <cell r="BN80">
            <v>99350</v>
          </cell>
          <cell r="BO80">
            <v>99366.666666666672</v>
          </cell>
          <cell r="BP80">
            <v>100450</v>
          </cell>
          <cell r="BQ80">
            <v>100450</v>
          </cell>
          <cell r="BR80">
            <v>100433.33333333333</v>
          </cell>
          <cell r="BS80">
            <v>100483.33333333333</v>
          </cell>
          <cell r="BT80">
            <v>100800</v>
          </cell>
          <cell r="BU80">
            <v>104100</v>
          </cell>
          <cell r="BV80">
            <v>101000</v>
          </cell>
          <cell r="BW80">
            <v>96700</v>
          </cell>
          <cell r="BX80">
            <v>96400</v>
          </cell>
          <cell r="BY80">
            <v>96400</v>
          </cell>
          <cell r="BZ80">
            <v>96100</v>
          </cell>
          <cell r="CA80">
            <v>96300</v>
          </cell>
          <cell r="CB80">
            <v>190400</v>
          </cell>
          <cell r="CC80">
            <v>190400</v>
          </cell>
          <cell r="CD80">
            <v>190400</v>
          </cell>
          <cell r="CE80">
            <v>190400</v>
          </cell>
        </row>
        <row r="81">
          <cell r="A81" t="str">
            <v>Weighted average basic shares</v>
          </cell>
          <cell r="H81">
            <v>69352.627250000005</v>
          </cell>
          <cell r="I81">
            <v>75009.494999999995</v>
          </cell>
          <cell r="J81">
            <v>77583.333333333343</v>
          </cell>
          <cell r="K81">
            <v>74450</v>
          </cell>
          <cell r="L81">
            <v>78566.666666666672</v>
          </cell>
          <cell r="M81">
            <v>84049.777499999997</v>
          </cell>
          <cell r="N81">
            <v>84525</v>
          </cell>
          <cell r="O81">
            <v>97366.666666666657</v>
          </cell>
          <cell r="P81">
            <v>98120.833333333343</v>
          </cell>
          <cell r="Q81">
            <v>99308.333333333328</v>
          </cell>
          <cell r="R81">
            <v>99625</v>
          </cell>
          <cell r="S81">
            <v>92675</v>
          </cell>
          <cell r="T81">
            <v>174325</v>
          </cell>
          <cell r="U81">
            <v>191828</v>
          </cell>
          <cell r="V81">
            <v>194705.41999999995</v>
          </cell>
          <cell r="W81">
            <v>197626.00129999995</v>
          </cell>
          <cell r="X81">
            <v>200590.39131949993</v>
          </cell>
          <cell r="Y81">
            <v>203599.24718929239</v>
          </cell>
          <cell r="AF81">
            <v>69300.769</v>
          </cell>
          <cell r="AG81">
            <v>69367.027000000002</v>
          </cell>
          <cell r="AH81">
            <v>69370.343999999997</v>
          </cell>
          <cell r="AI81">
            <v>69372.369000000006</v>
          </cell>
          <cell r="AJ81">
            <v>69778.759999999995</v>
          </cell>
          <cell r="AK81">
            <v>69801.869000000006</v>
          </cell>
          <cell r="AL81">
            <v>474464</v>
          </cell>
          <cell r="AM81">
            <v>473514</v>
          </cell>
          <cell r="AN81">
            <v>473500</v>
          </cell>
          <cell r="AO81">
            <v>473500</v>
          </cell>
          <cell r="AP81">
            <v>473800</v>
          </cell>
          <cell r="AQ81">
            <v>466600</v>
          </cell>
          <cell r="AR81">
            <v>449400</v>
          </cell>
          <cell r="AS81">
            <v>441300</v>
          </cell>
          <cell r="AT81">
            <v>435900</v>
          </cell>
          <cell r="AU81">
            <v>436100</v>
          </cell>
          <cell r="AV81">
            <v>84049.777499999997</v>
          </cell>
          <cell r="AW81">
            <v>84049.777499999997</v>
          </cell>
          <cell r="AX81">
            <v>84049.777499999997</v>
          </cell>
          <cell r="AY81">
            <v>84049.777499999997</v>
          </cell>
          <cell r="AZ81">
            <v>84049.777499999997</v>
          </cell>
          <cell r="BA81">
            <v>84049.777499999997</v>
          </cell>
          <cell r="BB81">
            <v>84049.777499999997</v>
          </cell>
          <cell r="BC81">
            <v>84049.777499999997</v>
          </cell>
          <cell r="BD81">
            <v>83783.333333333328</v>
          </cell>
          <cell r="BE81">
            <v>84383.333333333328</v>
          </cell>
          <cell r="BF81">
            <v>84483.333333333328</v>
          </cell>
          <cell r="BG81">
            <v>85450</v>
          </cell>
          <cell r="BH81">
            <v>97283.333333333328</v>
          </cell>
          <cell r="BI81">
            <v>97350</v>
          </cell>
          <cell r="BJ81">
            <v>97400</v>
          </cell>
          <cell r="BK81">
            <v>97433.333333333328</v>
          </cell>
          <cell r="BL81">
            <v>97766.666666666672</v>
          </cell>
          <cell r="BM81">
            <v>97950</v>
          </cell>
          <cell r="BN81">
            <v>98050</v>
          </cell>
          <cell r="BO81">
            <v>98716.666666666672</v>
          </cell>
          <cell r="BP81">
            <v>99016.666666666672</v>
          </cell>
          <cell r="BQ81">
            <v>99316.666666666672</v>
          </cell>
          <cell r="BR81">
            <v>99416.666666666672</v>
          </cell>
          <cell r="BS81">
            <v>99483.333333333328</v>
          </cell>
          <cell r="BT81">
            <v>99900</v>
          </cell>
          <cell r="BU81">
            <v>100400</v>
          </cell>
          <cell r="BV81">
            <v>99300</v>
          </cell>
          <cell r="BW81">
            <v>98900</v>
          </cell>
          <cell r="BX81">
            <v>92200</v>
          </cell>
          <cell r="BY81">
            <v>92800</v>
          </cell>
          <cell r="BZ81">
            <v>92800</v>
          </cell>
          <cell r="CA81">
            <v>92900</v>
          </cell>
          <cell r="CB81">
            <v>126100</v>
          </cell>
          <cell r="CC81">
            <v>190400</v>
          </cell>
          <cell r="CD81">
            <v>190400</v>
          </cell>
          <cell r="CE81">
            <v>190400</v>
          </cell>
        </row>
        <row r="82">
          <cell r="A82" t="str">
            <v>Retired Shares</v>
          </cell>
          <cell r="H82">
            <v>248.5109999999986</v>
          </cell>
          <cell r="I82">
            <v>586</v>
          </cell>
          <cell r="J82">
            <v>1000</v>
          </cell>
          <cell r="K82">
            <v>58841.703750000008</v>
          </cell>
          <cell r="L82">
            <v>0</v>
          </cell>
          <cell r="M82">
            <v>0</v>
          </cell>
          <cell r="N82">
            <v>0</v>
          </cell>
          <cell r="O82">
            <v>0</v>
          </cell>
          <cell r="P82">
            <v>0</v>
          </cell>
          <cell r="Q82">
            <v>0</v>
          </cell>
          <cell r="R82">
            <v>0</v>
          </cell>
          <cell r="S82">
            <v>-3200.4429678848287</v>
          </cell>
          <cell r="T82">
            <v>1063.1229235880398</v>
          </cell>
          <cell r="U82">
            <v>0</v>
          </cell>
          <cell r="V82">
            <v>0</v>
          </cell>
          <cell r="W82">
            <v>0</v>
          </cell>
          <cell r="X82">
            <v>0</v>
          </cell>
          <cell r="Y82">
            <v>0</v>
          </cell>
          <cell r="AF82">
            <v>1.50177</v>
          </cell>
          <cell r="AG82">
            <v>35.469000000000001</v>
          </cell>
          <cell r="AH82">
            <v>182.63200000000001</v>
          </cell>
          <cell r="AI82">
            <v>248.5109999999986</v>
          </cell>
          <cell r="AJ82">
            <v>0</v>
          </cell>
          <cell r="AK82">
            <v>57.171999999991385</v>
          </cell>
          <cell r="AL82">
            <v>225</v>
          </cell>
          <cell r="AM82">
            <v>586</v>
          </cell>
          <cell r="AN82">
            <v>1100</v>
          </cell>
          <cell r="AO82">
            <v>1300</v>
          </cell>
          <cell r="AP82">
            <v>1100</v>
          </cell>
          <cell r="AQ82">
            <v>1000</v>
          </cell>
          <cell r="AR82">
            <v>1100</v>
          </cell>
          <cell r="AS82">
            <v>1300</v>
          </cell>
          <cell r="AT82">
            <v>1300</v>
          </cell>
          <cell r="AU82">
            <v>353050.22250000003</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row>
        <row r="83">
          <cell r="A83" t="str">
            <v>Weighted avg diluted shares</v>
          </cell>
          <cell r="H83" t="str">
            <v>NA</v>
          </cell>
          <cell r="I83">
            <v>74940.917166666666</v>
          </cell>
          <cell r="J83">
            <v>78785.316694746391</v>
          </cell>
          <cell r="K83">
            <v>78566.666666666672</v>
          </cell>
          <cell r="L83">
            <v>78566.666666666672</v>
          </cell>
          <cell r="M83">
            <v>84049.777499999997</v>
          </cell>
          <cell r="N83">
            <v>88420.833333333343</v>
          </cell>
          <cell r="O83">
            <v>98029.166666666672</v>
          </cell>
          <cell r="P83">
            <v>99075</v>
          </cell>
          <cell r="Q83">
            <v>100454.16666666666</v>
          </cell>
          <cell r="R83">
            <v>100650</v>
          </cell>
          <cell r="S83">
            <v>96300</v>
          </cell>
          <cell r="T83">
            <v>190400</v>
          </cell>
          <cell r="U83">
            <v>191828</v>
          </cell>
          <cell r="V83">
            <v>194705.41999999995</v>
          </cell>
          <cell r="W83">
            <v>197626.00129999995</v>
          </cell>
          <cell r="X83">
            <v>200590.39131949993</v>
          </cell>
          <cell r="Y83">
            <v>203599.24718929239</v>
          </cell>
          <cell r="AF83">
            <v>69302.270770000003</v>
          </cell>
          <cell r="AG83">
            <v>69402.495999999999</v>
          </cell>
          <cell r="AH83">
            <v>69552.975999999995</v>
          </cell>
          <cell r="AI83">
            <v>69620.88</v>
          </cell>
          <cell r="AJ83">
            <v>69778.759999999995</v>
          </cell>
          <cell r="AK83">
            <v>69859.040999999997</v>
          </cell>
          <cell r="AL83">
            <v>474689</v>
          </cell>
          <cell r="AM83">
            <v>474100</v>
          </cell>
          <cell r="AN83">
            <v>474600</v>
          </cell>
          <cell r="AO83">
            <v>474800</v>
          </cell>
          <cell r="AP83">
            <v>474900</v>
          </cell>
          <cell r="AQ83">
            <v>467600</v>
          </cell>
          <cell r="AR83">
            <v>450500</v>
          </cell>
          <cell r="AS83">
            <v>442600</v>
          </cell>
          <cell r="AT83">
            <v>437200</v>
          </cell>
          <cell r="AU83">
            <v>437100</v>
          </cell>
          <cell r="AV83">
            <v>84049.777499999997</v>
          </cell>
          <cell r="AW83">
            <v>84049.777499999997</v>
          </cell>
          <cell r="AX83">
            <v>84049.777499999997</v>
          </cell>
          <cell r="AY83">
            <v>84049.777499999997</v>
          </cell>
          <cell r="AZ83">
            <v>84049.777499999997</v>
          </cell>
          <cell r="BA83">
            <v>84049.777499999997</v>
          </cell>
          <cell r="BB83">
            <v>84049.777499999997</v>
          </cell>
          <cell r="BC83">
            <v>84049.777499999997</v>
          </cell>
          <cell r="BD83">
            <v>83783.333333333328</v>
          </cell>
          <cell r="BE83">
            <v>85000</v>
          </cell>
          <cell r="BF83">
            <v>85483.333333333343</v>
          </cell>
          <cell r="BG83">
            <v>91841.666666666672</v>
          </cell>
          <cell r="BH83">
            <v>97883.333333333343</v>
          </cell>
          <cell r="BI83">
            <v>98033.333333333343</v>
          </cell>
          <cell r="BJ83">
            <v>98016.666666666672</v>
          </cell>
          <cell r="BK83">
            <v>98025</v>
          </cell>
          <cell r="BL83">
            <v>98408.333333333328</v>
          </cell>
          <cell r="BM83">
            <v>98791.666666666657</v>
          </cell>
          <cell r="BN83">
            <v>99075</v>
          </cell>
          <cell r="BO83">
            <v>99358.333333333343</v>
          </cell>
          <cell r="BP83">
            <v>99908.333333333343</v>
          </cell>
          <cell r="BQ83">
            <v>100450</v>
          </cell>
          <cell r="BR83">
            <v>100441.66666666666</v>
          </cell>
          <cell r="BS83">
            <v>100458.33333333333</v>
          </cell>
          <cell r="BT83">
            <v>100641.66666666666</v>
          </cell>
          <cell r="BU83">
            <v>102450</v>
          </cell>
          <cell r="BV83">
            <v>102550</v>
          </cell>
          <cell r="BW83">
            <v>98850</v>
          </cell>
          <cell r="BX83">
            <v>96550</v>
          </cell>
          <cell r="BY83">
            <v>96400</v>
          </cell>
          <cell r="BZ83">
            <v>96250</v>
          </cell>
          <cell r="CA83">
            <v>96200</v>
          </cell>
          <cell r="CB83">
            <v>143350</v>
          </cell>
          <cell r="CC83">
            <v>190400</v>
          </cell>
          <cell r="CD83">
            <v>190400</v>
          </cell>
          <cell r="CE83">
            <v>190400</v>
          </cell>
        </row>
        <row r="84">
          <cell r="A84" t="str">
            <v>Period end diluted shares</v>
          </cell>
          <cell r="H84">
            <v>70767.501000000004</v>
          </cell>
          <cell r="I84">
            <v>79114.333333333328</v>
          </cell>
          <cell r="J84">
            <v>75833.333333333328</v>
          </cell>
          <cell r="K84">
            <v>78566.666666666672</v>
          </cell>
          <cell r="L84">
            <v>78566.666666666672</v>
          </cell>
          <cell r="M84">
            <v>84049.777499999997</v>
          </cell>
          <cell r="N84">
            <v>97716.666666666672</v>
          </cell>
          <cell r="O84">
            <v>98033.333333333328</v>
          </cell>
          <cell r="P84">
            <v>99366.666666666672</v>
          </cell>
          <cell r="Q84">
            <v>100483.33333333333</v>
          </cell>
          <cell r="R84">
            <v>96700</v>
          </cell>
          <cell r="S84">
            <v>96300</v>
          </cell>
          <cell r="T84">
            <v>190400</v>
          </cell>
          <cell r="U84">
            <v>193255.99999999997</v>
          </cell>
          <cell r="V84">
            <v>196154.83999999994</v>
          </cell>
          <cell r="W84">
            <v>199097.16259999992</v>
          </cell>
          <cell r="X84">
            <v>202083.62003899991</v>
          </cell>
          <cell r="Y84">
            <v>205114.8743395849</v>
          </cell>
          <cell r="AF84">
            <v>70648.108999999997</v>
          </cell>
          <cell r="AG84">
            <v>70868.777000000002</v>
          </cell>
          <cell r="AH84">
            <v>70767.501000000004</v>
          </cell>
          <cell r="AI84">
            <v>70767.501000000004</v>
          </cell>
          <cell r="AJ84">
            <v>70767.501000000004</v>
          </cell>
          <cell r="AK84">
            <v>70767.501000000004</v>
          </cell>
          <cell r="AL84">
            <v>474914</v>
          </cell>
          <cell r="AM84">
            <v>474686</v>
          </cell>
          <cell r="AN84">
            <v>478330.81</v>
          </cell>
          <cell r="AO84">
            <v>478700</v>
          </cell>
          <cell r="AP84">
            <v>471300</v>
          </cell>
          <cell r="AQ84">
            <v>455000</v>
          </cell>
          <cell r="AR84">
            <v>448400</v>
          </cell>
          <cell r="AS84">
            <v>440900</v>
          </cell>
          <cell r="AT84">
            <v>440742</v>
          </cell>
          <cell r="AU84">
            <v>792450.22250000003</v>
          </cell>
          <cell r="AV84">
            <v>84049.777499999997</v>
          </cell>
          <cell r="AW84">
            <v>84049.777499999997</v>
          </cell>
          <cell r="AX84">
            <v>84049.777499999997</v>
          </cell>
          <cell r="AY84">
            <v>84049.777499999997</v>
          </cell>
          <cell r="AZ84">
            <v>84049.777499999997</v>
          </cell>
          <cell r="BA84">
            <v>84049.777499999997</v>
          </cell>
          <cell r="BB84">
            <v>84049.777499999997</v>
          </cell>
          <cell r="BC84">
            <v>84049.777499999997</v>
          </cell>
          <cell r="BD84">
            <v>85000</v>
          </cell>
          <cell r="BE84">
            <v>85000</v>
          </cell>
          <cell r="BF84">
            <v>85966.666666666672</v>
          </cell>
          <cell r="BG84">
            <v>97716.666666666672</v>
          </cell>
          <cell r="BH84">
            <v>98050</v>
          </cell>
          <cell r="BI84">
            <v>98016.666666666672</v>
          </cell>
          <cell r="BJ84">
            <v>98016.666666666672</v>
          </cell>
          <cell r="BK84">
            <v>98033.333333333328</v>
          </cell>
          <cell r="BL84">
            <v>98783.333333333328</v>
          </cell>
          <cell r="BM84">
            <v>98800</v>
          </cell>
          <cell r="BN84">
            <v>99350</v>
          </cell>
          <cell r="BO84">
            <v>99366.666666666672</v>
          </cell>
          <cell r="BP84">
            <v>100450</v>
          </cell>
          <cell r="BQ84">
            <v>100450</v>
          </cell>
          <cell r="BR84">
            <v>100433.33333333333</v>
          </cell>
          <cell r="BS84">
            <v>100483.33333333333</v>
          </cell>
          <cell r="BT84">
            <v>100800</v>
          </cell>
          <cell r="BU84">
            <v>104100</v>
          </cell>
          <cell r="BV84">
            <v>101000</v>
          </cell>
          <cell r="BW84">
            <v>96700</v>
          </cell>
          <cell r="BX84">
            <v>96400</v>
          </cell>
          <cell r="BY84">
            <v>96400</v>
          </cell>
          <cell r="BZ84">
            <v>96100</v>
          </cell>
          <cell r="CA84">
            <v>96300</v>
          </cell>
          <cell r="CB84">
            <v>190400</v>
          </cell>
          <cell r="CC84">
            <v>190400</v>
          </cell>
          <cell r="CD84">
            <v>190400</v>
          </cell>
          <cell r="CE84">
            <v>190400</v>
          </cell>
        </row>
        <row r="85">
          <cell r="A85" t="str">
            <v>Options</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row>
        <row r="86">
          <cell r="A86" t="str">
            <v>Dividends</v>
          </cell>
        </row>
        <row r="87">
          <cell r="A87" t="str">
            <v>Dividends per share</v>
          </cell>
          <cell r="H87">
            <v>1.26</v>
          </cell>
          <cell r="I87">
            <v>0.98053820732447561</v>
          </cell>
          <cell r="J87">
            <v>1</v>
          </cell>
          <cell r="K87">
            <v>1</v>
          </cell>
          <cell r="L87">
            <v>1</v>
          </cell>
          <cell r="M87">
            <v>6</v>
          </cell>
          <cell r="N87">
            <v>6</v>
          </cell>
          <cell r="O87">
            <v>6</v>
          </cell>
          <cell r="P87">
            <v>6</v>
          </cell>
          <cell r="Q87">
            <v>6</v>
          </cell>
          <cell r="R87">
            <v>3.3</v>
          </cell>
          <cell r="S87">
            <v>0.6</v>
          </cell>
          <cell r="T87">
            <v>0.6</v>
          </cell>
          <cell r="U87">
            <v>0.6</v>
          </cell>
          <cell r="V87">
            <v>0.6</v>
          </cell>
          <cell r="W87">
            <v>0.6</v>
          </cell>
          <cell r="X87">
            <v>0.6</v>
          </cell>
          <cell r="Y87">
            <v>0.6</v>
          </cell>
          <cell r="AC87" t="str">
            <v/>
          </cell>
          <cell r="AD87" t="str">
            <v/>
          </cell>
          <cell r="AF87">
            <v>0.18</v>
          </cell>
          <cell r="AG87">
            <v>0.36</v>
          </cell>
          <cell r="AH87">
            <v>0.36</v>
          </cell>
          <cell r="AI87">
            <v>0.36</v>
          </cell>
          <cell r="AJ87">
            <v>0.36</v>
          </cell>
          <cell r="AK87">
            <v>0.36</v>
          </cell>
          <cell r="AL87">
            <v>1.0538207324475619E-2</v>
          </cell>
          <cell r="AM87">
            <v>0.25</v>
          </cell>
          <cell r="AN87">
            <v>0.25</v>
          </cell>
          <cell r="AO87">
            <v>0.25</v>
          </cell>
          <cell r="AP87">
            <v>0.25</v>
          </cell>
          <cell r="AQ87">
            <v>0.25</v>
          </cell>
          <cell r="AR87">
            <v>0.25</v>
          </cell>
          <cell r="AS87">
            <v>0.25</v>
          </cell>
          <cell r="AT87">
            <v>0.25</v>
          </cell>
          <cell r="AU87">
            <v>0.25</v>
          </cell>
          <cell r="AV87">
            <v>0.25</v>
          </cell>
          <cell r="AW87">
            <v>0.25</v>
          </cell>
          <cell r="AX87">
            <v>0.25</v>
          </cell>
          <cell r="AY87">
            <v>0.25</v>
          </cell>
          <cell r="AZ87">
            <v>1.5</v>
          </cell>
          <cell r="BA87">
            <v>1.5</v>
          </cell>
          <cell r="BB87">
            <v>1.5</v>
          </cell>
          <cell r="BC87">
            <v>1.5</v>
          </cell>
          <cell r="BD87">
            <v>1.5</v>
          </cell>
          <cell r="BE87">
            <v>1.5</v>
          </cell>
          <cell r="BF87">
            <v>1.5</v>
          </cell>
          <cell r="BG87">
            <v>1.5</v>
          </cell>
          <cell r="BH87">
            <v>1.5</v>
          </cell>
          <cell r="BI87">
            <v>1.5</v>
          </cell>
          <cell r="BJ87">
            <v>1.5</v>
          </cell>
          <cell r="BK87">
            <v>1.5</v>
          </cell>
          <cell r="BL87">
            <v>1.5</v>
          </cell>
          <cell r="BM87">
            <v>1.5</v>
          </cell>
          <cell r="BN87">
            <v>1.5</v>
          </cell>
          <cell r="BO87">
            <v>1.5</v>
          </cell>
          <cell r="BP87">
            <v>1.5</v>
          </cell>
          <cell r="BQ87">
            <v>1.5</v>
          </cell>
          <cell r="BR87">
            <v>1.5</v>
          </cell>
          <cell r="BS87">
            <v>1.5</v>
          </cell>
          <cell r="BT87">
            <v>1.5</v>
          </cell>
          <cell r="BU87">
            <v>1.5</v>
          </cell>
          <cell r="BV87">
            <v>0.15</v>
          </cell>
          <cell r="BW87">
            <v>0.15</v>
          </cell>
          <cell r="BX87">
            <v>0.15</v>
          </cell>
          <cell r="BY87">
            <v>0.15</v>
          </cell>
          <cell r="BZ87">
            <v>0.15</v>
          </cell>
          <cell r="CA87">
            <v>0.15</v>
          </cell>
          <cell r="CB87">
            <v>0.15</v>
          </cell>
          <cell r="CC87">
            <v>0.15</v>
          </cell>
          <cell r="CD87">
            <v>0.15</v>
          </cell>
          <cell r="CE87">
            <v>0.15</v>
          </cell>
        </row>
        <row r="88">
          <cell r="A88" t="str">
            <v>Common dividends</v>
          </cell>
          <cell r="H88">
            <v>87393.644820000001</v>
          </cell>
          <cell r="I88">
            <v>173627.52643999999</v>
          </cell>
          <cell r="J88">
            <v>476800</v>
          </cell>
          <cell r="K88">
            <v>445200</v>
          </cell>
          <cell r="L88">
            <v>437400</v>
          </cell>
          <cell r="M88">
            <v>464600</v>
          </cell>
          <cell r="N88">
            <v>509600</v>
          </cell>
          <cell r="O88">
            <v>588000</v>
          </cell>
          <cell r="P88">
            <v>593600</v>
          </cell>
          <cell r="Q88">
            <v>602200</v>
          </cell>
          <cell r="R88">
            <v>369200</v>
          </cell>
          <cell r="S88">
            <v>58600</v>
          </cell>
          <cell r="T88">
            <v>109380</v>
          </cell>
          <cell r="U88">
            <v>115096.8</v>
          </cell>
          <cell r="V88">
            <v>116823.25199999996</v>
          </cell>
          <cell r="W88">
            <v>118575.60077999996</v>
          </cell>
          <cell r="X88">
            <v>120354.23479169996</v>
          </cell>
          <cell r="Y88">
            <v>122159.54831357543</v>
          </cell>
          <cell r="AF88">
            <v>12474.138419999999</v>
          </cell>
          <cell r="AG88">
            <v>24972.129720000001</v>
          </cell>
          <cell r="AH88">
            <v>24973.323839999997</v>
          </cell>
          <cell r="AI88">
            <v>24974.05284</v>
          </cell>
          <cell r="AJ88">
            <v>25120.353599999999</v>
          </cell>
          <cell r="AK88">
            <v>25128.672840000003</v>
          </cell>
          <cell r="AL88">
            <v>5000</v>
          </cell>
          <cell r="AM88">
            <v>118378.5</v>
          </cell>
          <cell r="AN88">
            <v>119100</v>
          </cell>
          <cell r="AO88">
            <v>119400</v>
          </cell>
          <cell r="AP88">
            <v>119200</v>
          </cell>
          <cell r="AQ88">
            <v>119100</v>
          </cell>
          <cell r="AR88">
            <v>113600</v>
          </cell>
          <cell r="AS88">
            <v>111800</v>
          </cell>
          <cell r="AT88">
            <v>109900</v>
          </cell>
          <cell r="AU88">
            <v>109900</v>
          </cell>
          <cell r="AV88">
            <v>109900</v>
          </cell>
          <cell r="AW88">
            <v>109500</v>
          </cell>
          <cell r="AX88">
            <v>109200</v>
          </cell>
          <cell r="AY88">
            <v>108800</v>
          </cell>
          <cell r="AZ88">
            <v>109200</v>
          </cell>
          <cell r="BA88">
            <v>114000</v>
          </cell>
          <cell r="BB88">
            <v>120600</v>
          </cell>
          <cell r="BC88">
            <v>120800</v>
          </cell>
          <cell r="BD88">
            <v>125900</v>
          </cell>
          <cell r="BE88">
            <v>127400</v>
          </cell>
          <cell r="BF88">
            <v>127400</v>
          </cell>
          <cell r="BG88">
            <v>128900</v>
          </cell>
          <cell r="BH88">
            <v>146500</v>
          </cell>
          <cell r="BI88">
            <v>147000</v>
          </cell>
          <cell r="BJ88">
            <v>147000</v>
          </cell>
          <cell r="BK88">
            <v>147500</v>
          </cell>
          <cell r="BL88">
            <v>148100</v>
          </cell>
          <cell r="BM88">
            <v>148200</v>
          </cell>
          <cell r="BN88">
            <v>148300</v>
          </cell>
          <cell r="BO88">
            <v>149000</v>
          </cell>
          <cell r="BP88">
            <v>150200</v>
          </cell>
          <cell r="BQ88">
            <v>150700</v>
          </cell>
          <cell r="BR88">
            <v>150700</v>
          </cell>
          <cell r="BS88">
            <v>150600</v>
          </cell>
          <cell r="BT88">
            <v>151500</v>
          </cell>
          <cell r="BU88">
            <v>191100</v>
          </cell>
          <cell r="BV88">
            <v>11500</v>
          </cell>
          <cell r="BW88">
            <v>15100</v>
          </cell>
          <cell r="BX88">
            <v>14900</v>
          </cell>
          <cell r="BY88">
            <v>14600</v>
          </cell>
          <cell r="BZ88">
            <v>14600</v>
          </cell>
          <cell r="CA88">
            <v>14500</v>
          </cell>
          <cell r="CB88">
            <v>23700</v>
          </cell>
          <cell r="CC88">
            <v>28560</v>
          </cell>
          <cell r="CD88">
            <v>28560</v>
          </cell>
          <cell r="CE88">
            <v>28560</v>
          </cell>
        </row>
        <row r="89">
          <cell r="A89" t="str">
            <v>Common dividends</v>
          </cell>
          <cell r="M89">
            <v>504298.66499999998</v>
          </cell>
          <cell r="N89">
            <v>519162.5</v>
          </cell>
          <cell r="O89">
            <v>587937.5</v>
          </cell>
          <cell r="P89">
            <v>593450</v>
          </cell>
          <cell r="Q89">
            <v>601887.5</v>
          </cell>
          <cell r="R89">
            <v>334847.5</v>
          </cell>
          <cell r="S89">
            <v>57810</v>
          </cell>
          <cell r="T89">
            <v>107182.5</v>
          </cell>
          <cell r="U89">
            <v>115096.8</v>
          </cell>
          <cell r="V89">
            <v>116823.25199999996</v>
          </cell>
          <cell r="W89">
            <v>118575.60077999996</v>
          </cell>
          <cell r="X89">
            <v>120354.23479169996</v>
          </cell>
          <cell r="Y89">
            <v>122159.54831357543</v>
          </cell>
          <cell r="AZ89">
            <v>126074.66624999999</v>
          </cell>
          <cell r="BA89">
            <v>126074.66624999999</v>
          </cell>
          <cell r="BB89">
            <v>126074.66624999999</v>
          </cell>
          <cell r="BC89">
            <v>126074.66624999999</v>
          </cell>
          <cell r="BD89">
            <v>125675</v>
          </cell>
          <cell r="BE89">
            <v>127500</v>
          </cell>
          <cell r="BF89">
            <v>128225.00000000001</v>
          </cell>
          <cell r="BG89">
            <v>137762.5</v>
          </cell>
          <cell r="BH89">
            <v>146825</v>
          </cell>
          <cell r="BI89">
            <v>147050</v>
          </cell>
          <cell r="BJ89">
            <v>147025</v>
          </cell>
          <cell r="BK89">
            <v>147037.5</v>
          </cell>
          <cell r="BL89">
            <v>147612.5</v>
          </cell>
          <cell r="BM89">
            <v>148187.5</v>
          </cell>
          <cell r="BN89">
            <v>148612.5</v>
          </cell>
          <cell r="BO89">
            <v>149037.5</v>
          </cell>
          <cell r="BP89">
            <v>149862.5</v>
          </cell>
          <cell r="BQ89">
            <v>150675</v>
          </cell>
          <cell r="BR89">
            <v>150662.5</v>
          </cell>
          <cell r="BS89">
            <v>150687.5</v>
          </cell>
          <cell r="BT89">
            <v>150962.5</v>
          </cell>
          <cell r="BU89">
            <v>153675</v>
          </cell>
          <cell r="BV89">
            <v>15382.5</v>
          </cell>
          <cell r="BW89">
            <v>14827.5</v>
          </cell>
          <cell r="BX89">
            <v>14482.5</v>
          </cell>
          <cell r="BY89">
            <v>14460</v>
          </cell>
          <cell r="BZ89">
            <v>14437.5</v>
          </cell>
          <cell r="CA89">
            <v>14430</v>
          </cell>
          <cell r="CB89">
            <v>21502.5</v>
          </cell>
          <cell r="CC89">
            <v>28560</v>
          </cell>
          <cell r="CD89">
            <v>28560</v>
          </cell>
          <cell r="CE89">
            <v>28560</v>
          </cell>
        </row>
        <row r="90">
          <cell r="A90" t="str">
            <v xml:space="preserve">  Latest announced dividend annualized</v>
          </cell>
        </row>
        <row r="91">
          <cell r="A91" t="str">
            <v>Net Income Reconciliation</v>
          </cell>
        </row>
        <row r="92">
          <cell r="A92" t="str">
            <v>Reported Net Income</v>
          </cell>
          <cell r="F92">
            <v>58233</v>
          </cell>
          <cell r="G92">
            <v>-27755</v>
          </cell>
          <cell r="H92">
            <v>35347</v>
          </cell>
          <cell r="I92">
            <v>391764.35850824654</v>
          </cell>
          <cell r="J92">
            <v>917100</v>
          </cell>
          <cell r="K92">
            <v>412700</v>
          </cell>
          <cell r="L92">
            <v>334500</v>
          </cell>
          <cell r="M92">
            <v>310700</v>
          </cell>
          <cell r="N92">
            <v>169500</v>
          </cell>
          <cell r="O92">
            <v>175200</v>
          </cell>
          <cell r="P92">
            <v>241000</v>
          </cell>
          <cell r="Q92">
            <v>-39500</v>
          </cell>
          <cell r="R92">
            <v>78520</v>
          </cell>
          <cell r="S92">
            <v>-418340</v>
          </cell>
          <cell r="T92">
            <v>-85381.109002460595</v>
          </cell>
          <cell r="U92">
            <v>-76596.002689996167</v>
          </cell>
          <cell r="V92">
            <v>-72356.372742828244</v>
          </cell>
          <cell r="W92">
            <v>-69673.882391310617</v>
          </cell>
          <cell r="X92">
            <v>-71649.203799746319</v>
          </cell>
          <cell r="Y92">
            <v>-135982.02304930042</v>
          </cell>
          <cell r="AB92">
            <v>15614</v>
          </cell>
          <cell r="AC92">
            <v>3291</v>
          </cell>
          <cell r="AD92">
            <v>6266</v>
          </cell>
          <cell r="AE92">
            <v>-52926</v>
          </cell>
          <cell r="AF92">
            <v>-12636</v>
          </cell>
          <cell r="AG92">
            <v>18242</v>
          </cell>
          <cell r="AH92">
            <v>13321</v>
          </cell>
          <cell r="AI92">
            <v>16420</v>
          </cell>
          <cell r="AJ92">
            <v>-44187</v>
          </cell>
          <cell r="AK92">
            <v>-56494.566159094538</v>
          </cell>
          <cell r="AL92">
            <v>396394</v>
          </cell>
          <cell r="AM92">
            <v>96051.924667341111</v>
          </cell>
          <cell r="AN92">
            <v>99900</v>
          </cell>
          <cell r="AO92">
            <v>115900</v>
          </cell>
          <cell r="AP92">
            <v>117700</v>
          </cell>
          <cell r="AQ92">
            <v>583600</v>
          </cell>
          <cell r="AR92">
            <v>123700</v>
          </cell>
          <cell r="AS92">
            <v>102000</v>
          </cell>
          <cell r="AT92">
            <v>105900</v>
          </cell>
          <cell r="AU92">
            <v>81100</v>
          </cell>
          <cell r="AV92">
            <v>88200</v>
          </cell>
          <cell r="AW92">
            <v>90800</v>
          </cell>
          <cell r="AX92">
            <v>80000</v>
          </cell>
          <cell r="AY92">
            <v>75500</v>
          </cell>
          <cell r="AZ92">
            <v>74100</v>
          </cell>
          <cell r="BA92">
            <v>79000</v>
          </cell>
          <cell r="BB92">
            <v>85200</v>
          </cell>
          <cell r="BC92">
            <v>72400</v>
          </cell>
          <cell r="BD92">
            <v>29400</v>
          </cell>
          <cell r="BE92">
            <v>96700</v>
          </cell>
          <cell r="BF92">
            <v>78100</v>
          </cell>
          <cell r="BG92">
            <v>-34700</v>
          </cell>
          <cell r="BH92">
            <v>60400</v>
          </cell>
          <cell r="BI92">
            <v>51000</v>
          </cell>
          <cell r="BJ92">
            <v>53700</v>
          </cell>
          <cell r="BK92">
            <v>10100</v>
          </cell>
          <cell r="BL92">
            <v>52300</v>
          </cell>
          <cell r="BM92">
            <v>39700</v>
          </cell>
          <cell r="BN92">
            <v>30600</v>
          </cell>
          <cell r="BO92">
            <v>118400</v>
          </cell>
          <cell r="BP92">
            <v>16000</v>
          </cell>
          <cell r="BQ92">
            <v>14000</v>
          </cell>
          <cell r="BR92">
            <v>8000</v>
          </cell>
          <cell r="BS92">
            <v>-77500</v>
          </cell>
          <cell r="BT92">
            <v>10660</v>
          </cell>
          <cell r="BU92">
            <v>-75480</v>
          </cell>
          <cell r="BV92">
            <v>-7460</v>
          </cell>
          <cell r="BW92">
            <v>150800</v>
          </cell>
          <cell r="BX92">
            <v>-230660</v>
          </cell>
          <cell r="BY92">
            <v>700</v>
          </cell>
          <cell r="BZ92">
            <v>-65460</v>
          </cell>
          <cell r="CA92">
            <v>-122920</v>
          </cell>
          <cell r="CB92">
            <v>48160</v>
          </cell>
          <cell r="CC92">
            <v>-42433.629663072585</v>
          </cell>
          <cell r="CD92">
            <v>-39054.026931660163</v>
          </cell>
          <cell r="CE92">
            <v>-52053.452407727847</v>
          </cell>
        </row>
        <row r="93">
          <cell r="A93" t="str">
            <v>Restructuring costs</v>
          </cell>
          <cell r="J93">
            <v>1032.3000000000002</v>
          </cell>
          <cell r="K93">
            <v>13474</v>
          </cell>
          <cell r="L93">
            <v>6274.1</v>
          </cell>
          <cell r="M93">
            <v>51534</v>
          </cell>
          <cell r="N93">
            <v>193647</v>
          </cell>
          <cell r="O93">
            <v>15960</v>
          </cell>
          <cell r="P93">
            <v>3280</v>
          </cell>
          <cell r="Q93">
            <v>-10620</v>
          </cell>
          <cell r="R93">
            <v>822.5</v>
          </cell>
          <cell r="S93">
            <v>0</v>
          </cell>
          <cell r="T93">
            <v>0</v>
          </cell>
          <cell r="AM93">
            <v>26570</v>
          </cell>
          <cell r="AN93">
            <v>2995.2</v>
          </cell>
          <cell r="AO93">
            <v>-7101.9</v>
          </cell>
          <cell r="AP93">
            <v>2015</v>
          </cell>
          <cell r="AQ93">
            <v>3124</v>
          </cell>
          <cell r="AR93">
            <v>1375</v>
          </cell>
          <cell r="AS93">
            <v>3250</v>
          </cell>
          <cell r="AT93">
            <v>4785</v>
          </cell>
          <cell r="AU93">
            <v>4064</v>
          </cell>
          <cell r="AV93">
            <v>-57.400000000000006</v>
          </cell>
          <cell r="AW93">
            <v>925.5</v>
          </cell>
          <cell r="AX93">
            <v>5406</v>
          </cell>
          <cell r="AZ93">
            <v>12834.6</v>
          </cell>
          <cell r="BA93">
            <v>20600</v>
          </cell>
          <cell r="BB93">
            <v>14799.513999999996</v>
          </cell>
          <cell r="BC93">
            <v>3300</v>
          </cell>
          <cell r="BD93">
            <v>78099.600000000006</v>
          </cell>
          <cell r="BE93">
            <v>15900</v>
          </cell>
          <cell r="BF93">
            <v>47600</v>
          </cell>
          <cell r="BG93">
            <v>52047</v>
          </cell>
          <cell r="BH93">
            <v>8900</v>
          </cell>
          <cell r="BI93">
            <v>6800</v>
          </cell>
          <cell r="BJ93">
            <v>-4700</v>
          </cell>
          <cell r="BK93">
            <v>4960</v>
          </cell>
          <cell r="BL93">
            <v>-4420</v>
          </cell>
          <cell r="BM93">
            <v>3100</v>
          </cell>
          <cell r="BN93">
            <v>-2720</v>
          </cell>
          <cell r="BO93">
            <v>7320</v>
          </cell>
          <cell r="BP93">
            <v>-6057.5</v>
          </cell>
          <cell r="BS93">
            <v>-2412.5</v>
          </cell>
          <cell r="BT93">
            <v>822.5</v>
          </cell>
          <cell r="BU93">
            <v>0</v>
          </cell>
          <cell r="BV93">
            <v>0</v>
          </cell>
          <cell r="BW93">
            <v>0</v>
          </cell>
          <cell r="BX93">
            <v>0</v>
          </cell>
          <cell r="BY93">
            <v>0</v>
          </cell>
          <cell r="BZ93">
            <v>0</v>
          </cell>
          <cell r="CA93">
            <v>0</v>
          </cell>
          <cell r="CB93">
            <v>0</v>
          </cell>
          <cell r="CC93">
            <v>0</v>
          </cell>
          <cell r="CD93">
            <v>0</v>
          </cell>
          <cell r="CE93">
            <v>0</v>
          </cell>
        </row>
        <row r="94">
          <cell r="A94" t="str">
            <v>(Gain) Loss on sale of assets</v>
          </cell>
          <cell r="J94">
            <v>-451300</v>
          </cell>
          <cell r="K94">
            <v>0</v>
          </cell>
          <cell r="L94">
            <v>0</v>
          </cell>
          <cell r="M94">
            <v>0</v>
          </cell>
          <cell r="N94">
            <v>0</v>
          </cell>
          <cell r="O94">
            <v>0</v>
          </cell>
          <cell r="P94">
            <v>0</v>
          </cell>
          <cell r="Q94">
            <v>0</v>
          </cell>
          <cell r="R94">
            <v>0</v>
          </cell>
          <cell r="S94">
            <v>0</v>
          </cell>
          <cell r="T94">
            <v>0</v>
          </cell>
          <cell r="AQ94">
            <v>-451300</v>
          </cell>
        </row>
        <row r="95">
          <cell r="A95" t="str">
            <v>Asset impairment</v>
          </cell>
          <cell r="F95">
            <v>0</v>
          </cell>
          <cell r="G95">
            <v>-6678</v>
          </cell>
          <cell r="H95">
            <v>-4035</v>
          </cell>
          <cell r="I95">
            <v>200283</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AB95">
            <v>0</v>
          </cell>
          <cell r="AC95">
            <v>0</v>
          </cell>
          <cell r="AD95">
            <v>-6678</v>
          </cell>
          <cell r="AE95">
            <v>0</v>
          </cell>
          <cell r="AF95">
            <v>0</v>
          </cell>
          <cell r="AG95">
            <v>0</v>
          </cell>
          <cell r="AH95">
            <v>-2953</v>
          </cell>
          <cell r="AI95">
            <v>-1082</v>
          </cell>
          <cell r="AJ95">
            <v>0</v>
          </cell>
          <cell r="AK95">
            <v>0</v>
          </cell>
          <cell r="AL95">
            <v>200283</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row>
        <row r="96">
          <cell r="A96" t="str">
            <v>Cum. effect of change in accounting principal</v>
          </cell>
          <cell r="J96">
            <v>0</v>
          </cell>
          <cell r="K96">
            <v>0</v>
          </cell>
          <cell r="L96">
            <v>0</v>
          </cell>
          <cell r="M96">
            <v>0</v>
          </cell>
          <cell r="N96">
            <v>0</v>
          </cell>
          <cell r="O96">
            <v>0</v>
          </cell>
          <cell r="P96">
            <v>0</v>
          </cell>
          <cell r="Q96">
            <v>0</v>
          </cell>
          <cell r="R96">
            <v>0</v>
          </cell>
          <cell r="S96">
            <v>0</v>
          </cell>
          <cell r="T96">
            <v>0</v>
          </cell>
          <cell r="AI96">
            <v>-269</v>
          </cell>
          <cell r="AL96">
            <v>75974</v>
          </cell>
        </row>
        <row r="97">
          <cell r="A97" t="str">
            <v>Loss on debt extinguishment</v>
          </cell>
          <cell r="F97">
            <v>0</v>
          </cell>
          <cell r="G97">
            <v>-62975</v>
          </cell>
          <cell r="H97">
            <v>-29262</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AB97">
            <v>0</v>
          </cell>
          <cell r="AC97">
            <v>0</v>
          </cell>
          <cell r="AD97">
            <v>0</v>
          </cell>
          <cell r="AE97">
            <v>-62975</v>
          </cell>
          <cell r="AF97">
            <v>-29262</v>
          </cell>
          <cell r="AG97">
            <v>0</v>
          </cell>
          <cell r="AH97">
            <v>0</v>
          </cell>
          <cell r="AI97">
            <v>0</v>
          </cell>
          <cell r="AJ97">
            <v>0</v>
          </cell>
          <cell r="AK97">
            <v>0</v>
          </cell>
          <cell r="AL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row>
        <row r="98">
          <cell r="A98" t="str">
            <v>Income from discontinued operations</v>
          </cell>
          <cell r="F98">
            <v>8334</v>
          </cell>
          <cell r="G98">
            <v>-81325</v>
          </cell>
          <cell r="H98">
            <v>148925.64499999999</v>
          </cell>
          <cell r="I98">
            <v>1658191.527</v>
          </cell>
          <cell r="J98">
            <v>9300</v>
          </cell>
          <cell r="K98">
            <v>98600</v>
          </cell>
          <cell r="L98">
            <v>91169.2</v>
          </cell>
          <cell r="M98">
            <v>7531.8859999999995</v>
          </cell>
          <cell r="N98">
            <v>-69440.600000000006</v>
          </cell>
          <cell r="O98">
            <v>28600</v>
          </cell>
          <cell r="P98">
            <v>31000</v>
          </cell>
          <cell r="Q98">
            <v>35900</v>
          </cell>
          <cell r="R98">
            <v>-382991.25</v>
          </cell>
          <cell r="S98">
            <v>-620775</v>
          </cell>
          <cell r="T98">
            <v>-620775</v>
          </cell>
          <cell r="AL98">
            <v>37379</v>
          </cell>
          <cell r="AN98">
            <v>6100</v>
          </cell>
          <cell r="AO98">
            <v>5000</v>
          </cell>
          <cell r="AP98">
            <v>-1600</v>
          </cell>
          <cell r="AQ98">
            <v>-200</v>
          </cell>
          <cell r="AR98">
            <v>10800</v>
          </cell>
          <cell r="AS98">
            <v>30600</v>
          </cell>
          <cell r="AT98">
            <v>15700</v>
          </cell>
          <cell r="AU98">
            <v>41500</v>
          </cell>
          <cell r="AV98">
            <v>20947</v>
          </cell>
          <cell r="AW98">
            <v>11841</v>
          </cell>
          <cell r="AX98">
            <v>21151</v>
          </cell>
          <cell r="AY98">
            <v>37230.199999999997</v>
          </cell>
          <cell r="AZ98">
            <v>10607.4</v>
          </cell>
          <cell r="BA98">
            <v>-5271</v>
          </cell>
          <cell r="BB98">
            <v>-483.51400000000001</v>
          </cell>
          <cell r="BC98">
            <v>2679</v>
          </cell>
          <cell r="BD98">
            <v>-987.6</v>
          </cell>
          <cell r="BE98">
            <v>-11502</v>
          </cell>
          <cell r="BF98">
            <v>-12886</v>
          </cell>
          <cell r="BG98">
            <v>-44065</v>
          </cell>
          <cell r="BH98">
            <v>900</v>
          </cell>
          <cell r="BI98">
            <v>10300</v>
          </cell>
          <cell r="BJ98">
            <v>12100</v>
          </cell>
          <cell r="BK98">
            <v>4100</v>
          </cell>
          <cell r="BL98">
            <v>18700</v>
          </cell>
          <cell r="BM98">
            <v>2600</v>
          </cell>
          <cell r="BN98">
            <v>15500</v>
          </cell>
          <cell r="BP98">
            <v>12400</v>
          </cell>
          <cell r="BQ98">
            <v>3800</v>
          </cell>
          <cell r="BR98">
            <v>3600</v>
          </cell>
          <cell r="BS98">
            <v>16100</v>
          </cell>
          <cell r="BT98">
            <v>1877.5</v>
          </cell>
          <cell r="BU98">
            <v>-73500</v>
          </cell>
          <cell r="BV98">
            <v>-156175</v>
          </cell>
          <cell r="BW98">
            <v>-155193.75</v>
          </cell>
          <cell r="BX98">
            <v>-155193.75</v>
          </cell>
          <cell r="BY98">
            <v>-155193.75</v>
          </cell>
          <cell r="BZ98">
            <v>-155193.75</v>
          </cell>
          <cell r="CA98">
            <v>-155193.75</v>
          </cell>
          <cell r="CB98">
            <v>-155193.75</v>
          </cell>
          <cell r="CC98">
            <v>-155193.75</v>
          </cell>
          <cell r="CD98">
            <v>-155193.75</v>
          </cell>
          <cell r="CE98">
            <v>-155193.75</v>
          </cell>
        </row>
        <row r="99">
          <cell r="A99" t="str">
            <v>Normalized Net Income</v>
          </cell>
          <cell r="F99">
            <v>58233</v>
          </cell>
          <cell r="G99">
            <v>41898</v>
          </cell>
          <cell r="H99">
            <v>68644</v>
          </cell>
          <cell r="I99">
            <v>191481.35850824654</v>
          </cell>
          <cell r="J99">
            <v>476132.3</v>
          </cell>
          <cell r="K99">
            <v>524774</v>
          </cell>
          <cell r="L99">
            <v>431943.3</v>
          </cell>
          <cell r="M99">
            <v>369765.886</v>
          </cell>
          <cell r="N99">
            <v>293706.40000000002</v>
          </cell>
          <cell r="O99">
            <v>219760</v>
          </cell>
          <cell r="P99">
            <v>275280</v>
          </cell>
          <cell r="Q99">
            <v>-14220</v>
          </cell>
          <cell r="R99">
            <v>-303648.75</v>
          </cell>
          <cell r="S99">
            <v>-1039115</v>
          </cell>
          <cell r="T99">
            <v>-706156.10900246061</v>
          </cell>
          <cell r="U99">
            <v>-76596.002689996167</v>
          </cell>
          <cell r="V99">
            <v>-72356.372742828244</v>
          </cell>
          <cell r="W99">
            <v>-69673.882391310617</v>
          </cell>
          <cell r="X99">
            <v>-71649.203799746319</v>
          </cell>
          <cell r="Y99">
            <v>-135982.02304930042</v>
          </cell>
          <cell r="AB99">
            <v>15614</v>
          </cell>
          <cell r="AC99">
            <v>3291</v>
          </cell>
          <cell r="AD99">
            <v>12944</v>
          </cell>
          <cell r="AE99">
            <v>10049</v>
          </cell>
          <cell r="AF99">
            <v>16626</v>
          </cell>
          <cell r="AG99">
            <v>18242</v>
          </cell>
          <cell r="AH99">
            <v>16274</v>
          </cell>
          <cell r="AI99">
            <v>17771</v>
          </cell>
          <cell r="AJ99">
            <v>-44187</v>
          </cell>
          <cell r="AK99">
            <v>-56494.566159094538</v>
          </cell>
          <cell r="AL99">
            <v>82758</v>
          </cell>
          <cell r="AM99">
            <v>122621.92466734111</v>
          </cell>
          <cell r="AN99">
            <v>108995.2</v>
          </cell>
          <cell r="AO99">
            <v>113798.1</v>
          </cell>
          <cell r="AP99">
            <v>118115</v>
          </cell>
          <cell r="AQ99">
            <v>135224</v>
          </cell>
          <cell r="AR99">
            <v>135875</v>
          </cell>
          <cell r="AS99">
            <v>135850</v>
          </cell>
          <cell r="AT99">
            <v>126385</v>
          </cell>
          <cell r="AU99">
            <v>126664</v>
          </cell>
          <cell r="AV99">
            <v>109089.60000000001</v>
          </cell>
          <cell r="AW99">
            <v>103566.5</v>
          </cell>
          <cell r="AX99">
            <v>106557</v>
          </cell>
          <cell r="AY99">
            <v>112730.2</v>
          </cell>
          <cell r="AZ99">
            <v>97542</v>
          </cell>
          <cell r="BA99">
            <v>94329</v>
          </cell>
          <cell r="BB99">
            <v>99516</v>
          </cell>
          <cell r="BC99">
            <v>78379</v>
          </cell>
          <cell r="BD99">
            <v>106512</v>
          </cell>
          <cell r="BE99">
            <v>101098</v>
          </cell>
          <cell r="BF99">
            <v>112814</v>
          </cell>
          <cell r="BG99">
            <v>-26718</v>
          </cell>
          <cell r="BH99">
            <v>70200</v>
          </cell>
          <cell r="BI99">
            <v>68100</v>
          </cell>
          <cell r="BJ99">
            <v>61100</v>
          </cell>
          <cell r="BK99">
            <v>19160</v>
          </cell>
          <cell r="BL99">
            <v>66580</v>
          </cell>
          <cell r="BM99">
            <v>45400</v>
          </cell>
          <cell r="BN99">
            <v>43380</v>
          </cell>
          <cell r="BO99">
            <v>125720</v>
          </cell>
          <cell r="BP99">
            <v>22342.5</v>
          </cell>
          <cell r="BQ99">
            <v>17800</v>
          </cell>
          <cell r="BR99">
            <v>11600</v>
          </cell>
          <cell r="BS99">
            <v>-63812.5</v>
          </cell>
          <cell r="BT99">
            <v>13360</v>
          </cell>
          <cell r="BU99">
            <v>-148980</v>
          </cell>
          <cell r="BV99">
            <v>-163635</v>
          </cell>
          <cell r="BW99">
            <v>-4393.75</v>
          </cell>
          <cell r="BX99">
            <v>-385853.75</v>
          </cell>
          <cell r="BY99">
            <v>-154493.75</v>
          </cell>
          <cell r="BZ99">
            <v>-220653.75</v>
          </cell>
          <cell r="CA99">
            <v>-278113.75</v>
          </cell>
          <cell r="CB99">
            <v>-107033.75</v>
          </cell>
          <cell r="CC99">
            <v>-197627.37966307258</v>
          </cell>
          <cell r="CD99">
            <v>-194247.77693166016</v>
          </cell>
          <cell r="CE99">
            <v>-207247.20240772783</v>
          </cell>
        </row>
        <row r="100">
          <cell r="A100" t="str">
            <v>GAAP EBIT</v>
          </cell>
          <cell r="BL100">
            <v>235900</v>
          </cell>
          <cell r="BM100">
            <v>227000</v>
          </cell>
          <cell r="BN100">
            <v>219600</v>
          </cell>
          <cell r="BO100">
            <v>326500</v>
          </cell>
          <cell r="BP100">
            <v>167800</v>
          </cell>
          <cell r="BQ100">
            <v>167200</v>
          </cell>
          <cell r="BR100">
            <v>151600</v>
          </cell>
          <cell r="BS100">
            <v>20500</v>
          </cell>
          <cell r="BT100">
            <v>119600</v>
          </cell>
          <cell r="BU100">
            <v>79300</v>
          </cell>
          <cell r="BV100">
            <v>178500</v>
          </cell>
          <cell r="BW100">
            <v>131700</v>
          </cell>
          <cell r="BX100">
            <v>157700</v>
          </cell>
          <cell r="BY100">
            <v>154600</v>
          </cell>
          <cell r="BZ100">
            <v>129400</v>
          </cell>
          <cell r="CA100">
            <v>73700</v>
          </cell>
          <cell r="CB100">
            <v>46000</v>
          </cell>
          <cell r="CC100">
            <v>152232.90147936152</v>
          </cell>
          <cell r="CD100">
            <v>155185.96715073095</v>
          </cell>
          <cell r="CE100">
            <v>133295.01547654491</v>
          </cell>
        </row>
        <row r="101">
          <cell r="A101" t="str">
            <v>Other Income Expense</v>
          </cell>
          <cell r="BL101">
            <v>-11500</v>
          </cell>
          <cell r="BM101">
            <v>-1700</v>
          </cell>
          <cell r="BN101">
            <v>-20300</v>
          </cell>
          <cell r="BO101">
            <v>-7500</v>
          </cell>
          <cell r="BP101">
            <v>900</v>
          </cell>
          <cell r="BQ101">
            <v>-700</v>
          </cell>
          <cell r="BR101">
            <v>-100</v>
          </cell>
          <cell r="BS101">
            <v>0</v>
          </cell>
          <cell r="BT101">
            <v>-1200</v>
          </cell>
          <cell r="BU101">
            <v>-21100</v>
          </cell>
          <cell r="BV101">
            <v>25000</v>
          </cell>
          <cell r="BW101">
            <v>344500</v>
          </cell>
          <cell r="BX101">
            <v>-200900</v>
          </cell>
          <cell r="BY101">
            <v>52900</v>
          </cell>
          <cell r="CB101">
            <v>-2500</v>
          </cell>
          <cell r="CC101">
            <v>-100</v>
          </cell>
        </row>
        <row r="102">
          <cell r="A102" t="str">
            <v>Interest</v>
          </cell>
          <cell r="BL102">
            <v>-168900</v>
          </cell>
          <cell r="BM102">
            <v>-162000</v>
          </cell>
          <cell r="BN102">
            <v>-148800</v>
          </cell>
          <cell r="BO102">
            <v>-148000</v>
          </cell>
          <cell r="BP102">
            <v>-141900</v>
          </cell>
          <cell r="BQ102">
            <v>-142500</v>
          </cell>
          <cell r="BR102">
            <v>-143400</v>
          </cell>
          <cell r="BS102">
            <v>-144000</v>
          </cell>
          <cell r="BT102">
            <v>-141100</v>
          </cell>
          <cell r="BU102">
            <v>-217500</v>
          </cell>
          <cell r="BV102">
            <v>-230200</v>
          </cell>
          <cell r="BW102">
            <v>-224400</v>
          </cell>
          <cell r="BX102">
            <v>-219700</v>
          </cell>
          <cell r="BY102">
            <v>-217400</v>
          </cell>
          <cell r="CB102">
            <v>-211800</v>
          </cell>
          <cell r="CC102">
            <v>-214400</v>
          </cell>
        </row>
        <row r="103">
          <cell r="A103" t="str">
            <v>Tax</v>
          </cell>
          <cell r="BL103">
            <v>-3500</v>
          </cell>
          <cell r="BM103">
            <v>-24000</v>
          </cell>
          <cell r="BN103">
            <v>-19900</v>
          </cell>
          <cell r="BO103">
            <v>-57900</v>
          </cell>
          <cell r="BP103">
            <v>-10800</v>
          </cell>
          <cell r="BQ103">
            <v>-10000</v>
          </cell>
          <cell r="BR103">
            <v>-100</v>
          </cell>
          <cell r="BS103">
            <v>46000</v>
          </cell>
          <cell r="BT103">
            <v>27700</v>
          </cell>
          <cell r="BU103">
            <v>48100</v>
          </cell>
          <cell r="BV103">
            <v>19500</v>
          </cell>
          <cell r="BW103">
            <v>-111300</v>
          </cell>
          <cell r="BX103">
            <v>31000</v>
          </cell>
          <cell r="BY103">
            <v>11400</v>
          </cell>
          <cell r="CB103">
            <v>57000</v>
          </cell>
          <cell r="CC103">
            <v>39600</v>
          </cell>
        </row>
        <row r="104">
          <cell r="A104" t="str">
            <v>Other Extraordinary After Tax Charge</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CB104">
            <v>0</v>
          </cell>
          <cell r="CC104">
            <v>0</v>
          </cell>
        </row>
        <row r="105">
          <cell r="A105" t="str">
            <v>GAAP Net Income</v>
          </cell>
          <cell r="BL105">
            <v>52000</v>
          </cell>
          <cell r="BM105">
            <v>39300</v>
          </cell>
          <cell r="BN105">
            <v>30600</v>
          </cell>
          <cell r="BO105">
            <v>113100</v>
          </cell>
          <cell r="BP105">
            <v>16000</v>
          </cell>
          <cell r="BQ105">
            <v>14000</v>
          </cell>
          <cell r="BR105">
            <v>8000</v>
          </cell>
          <cell r="BS105">
            <v>-77500</v>
          </cell>
          <cell r="BT105">
            <v>5000</v>
          </cell>
          <cell r="BU105">
            <v>-111200</v>
          </cell>
          <cell r="BV105">
            <v>-7200</v>
          </cell>
          <cell r="BW105">
            <v>140500</v>
          </cell>
          <cell r="BX105">
            <v>-231900</v>
          </cell>
          <cell r="BY105">
            <v>1500</v>
          </cell>
          <cell r="CB105">
            <v>-111300</v>
          </cell>
          <cell r="CC105">
            <v>-68100</v>
          </cell>
        </row>
        <row r="106">
          <cell r="A106" t="str">
            <v>Reported GAAP Net Income</v>
          </cell>
          <cell r="BL106">
            <v>52300</v>
          </cell>
          <cell r="BM106">
            <v>39700</v>
          </cell>
          <cell r="BN106">
            <v>30600</v>
          </cell>
          <cell r="BO106">
            <v>118400</v>
          </cell>
          <cell r="BP106">
            <v>16000</v>
          </cell>
          <cell r="BQ106">
            <v>14000</v>
          </cell>
          <cell r="BR106">
            <v>8000</v>
          </cell>
          <cell r="BS106">
            <v>-77500</v>
          </cell>
          <cell r="BT106">
            <v>5300</v>
          </cell>
          <cell r="BU106">
            <v>-111200</v>
          </cell>
          <cell r="BV106">
            <v>-7200</v>
          </cell>
          <cell r="BW106">
            <v>140500</v>
          </cell>
          <cell r="BX106">
            <v>-231900</v>
          </cell>
          <cell r="BY106">
            <v>1500</v>
          </cell>
          <cell r="CB106">
            <v>-111300</v>
          </cell>
          <cell r="CC106">
            <v>-68100</v>
          </cell>
        </row>
        <row r="107">
          <cell r="A107" t="str">
            <v xml:space="preserve"> check</v>
          </cell>
          <cell r="F107">
            <v>66567</v>
          </cell>
          <cell r="G107">
            <v>16870</v>
          </cell>
          <cell r="H107">
            <v>155672</v>
          </cell>
          <cell r="I107">
            <v>97216.397494379024</v>
          </cell>
          <cell r="J107">
            <v>0</v>
          </cell>
          <cell r="K107">
            <v>0</v>
          </cell>
          <cell r="L107">
            <v>0</v>
          </cell>
          <cell r="M107">
            <v>-0.11400000000139698</v>
          </cell>
          <cell r="N107">
            <v>0.40000000002328306</v>
          </cell>
          <cell r="O107">
            <v>26800</v>
          </cell>
          <cell r="P107">
            <v>31000</v>
          </cell>
          <cell r="Q107">
            <v>15400</v>
          </cell>
          <cell r="R107">
            <v>-382168.75</v>
          </cell>
          <cell r="S107">
            <v>-620775</v>
          </cell>
          <cell r="T107">
            <v>-620775.00000000012</v>
          </cell>
          <cell r="U107">
            <v>0</v>
          </cell>
          <cell r="V107">
            <v>0</v>
          </cell>
          <cell r="W107">
            <v>0</v>
          </cell>
          <cell r="X107">
            <v>0</v>
          </cell>
          <cell r="Y107">
            <v>0</v>
          </cell>
          <cell r="AB107">
            <v>-407.9521566570038</v>
          </cell>
          <cell r="AC107">
            <v>4083.6167022009613</v>
          </cell>
          <cell r="AD107">
            <v>16117.009197362815</v>
          </cell>
          <cell r="AE107">
            <v>-2922.6737429067725</v>
          </cell>
          <cell r="AF107">
            <v>34887</v>
          </cell>
          <cell r="AG107">
            <v>35603</v>
          </cell>
          <cell r="AH107">
            <v>58579</v>
          </cell>
          <cell r="AI107">
            <v>26872</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900</v>
          </cell>
          <cell r="BI107">
            <v>10300</v>
          </cell>
          <cell r="BJ107">
            <v>12100</v>
          </cell>
          <cell r="BK107">
            <v>4100</v>
          </cell>
          <cell r="BL107">
            <v>18700</v>
          </cell>
          <cell r="BM107">
            <v>2600</v>
          </cell>
          <cell r="BN107">
            <v>15500</v>
          </cell>
          <cell r="BO107">
            <v>0</v>
          </cell>
          <cell r="BP107">
            <v>0</v>
          </cell>
          <cell r="BQ107">
            <v>0</v>
          </cell>
          <cell r="BR107">
            <v>0</v>
          </cell>
          <cell r="BS107">
            <v>0</v>
          </cell>
          <cell r="BT107">
            <v>-300</v>
          </cell>
          <cell r="BU107">
            <v>0</v>
          </cell>
          <cell r="BV107">
            <v>0</v>
          </cell>
          <cell r="BW107">
            <v>0</v>
          </cell>
          <cell r="BX107">
            <v>0</v>
          </cell>
          <cell r="BY107">
            <v>0</v>
          </cell>
          <cell r="BZ107">
            <v>0</v>
          </cell>
          <cell r="CA107">
            <v>0</v>
          </cell>
          <cell r="CB107">
            <v>0</v>
          </cell>
          <cell r="CC107">
            <v>0</v>
          </cell>
          <cell r="CD107">
            <v>0</v>
          </cell>
          <cell r="CE107">
            <v>0</v>
          </cell>
        </row>
        <row r="108">
          <cell r="A108" t="str">
            <v>EPS diluted (GAAP)</v>
          </cell>
          <cell r="P108">
            <v>2.4325006308352259</v>
          </cell>
          <cell r="Q108">
            <v>-0.39321415239122326</v>
          </cell>
          <cell r="R108">
            <v>0.78012916045702929</v>
          </cell>
          <cell r="S108">
            <v>-4.3441329179646937</v>
          </cell>
          <cell r="T108">
            <v>-0.4484301943406544</v>
          </cell>
          <cell r="BP108">
            <v>0.1601468012344649</v>
          </cell>
          <cell r="BQ108">
            <v>0.13937282229965156</v>
          </cell>
          <cell r="BR108">
            <v>7.9648220360076336E-2</v>
          </cell>
          <cell r="BS108">
            <v>-0.77146412277063459</v>
          </cell>
          <cell r="BT108">
            <v>0.10592034445640475</v>
          </cell>
          <cell r="BU108">
            <v>-0.73674963396778914</v>
          </cell>
          <cell r="BV108">
            <v>-7.2745002437835202E-2</v>
          </cell>
          <cell r="BW108">
            <v>1.5255437531613556</v>
          </cell>
          <cell r="BX108">
            <v>-2.3890212325220093</v>
          </cell>
          <cell r="BY108">
            <v>7.261410788381743E-3</v>
          </cell>
          <cell r="BZ108">
            <v>-0.6801038961038961</v>
          </cell>
          <cell r="CA108">
            <v>-1.2777546777546778</v>
          </cell>
          <cell r="CB108">
            <v>0.33596093477502614</v>
          </cell>
          <cell r="CC108">
            <v>-0.22286570201193584</v>
          </cell>
          <cell r="CD108">
            <v>-0.20511568766628235</v>
          </cell>
          <cell r="CE108">
            <v>-0.27338998113302443</v>
          </cell>
        </row>
        <row r="116">
          <cell r="A116" t="str">
            <v>margin assumption drivers</v>
          </cell>
          <cell r="AY116">
            <v>0</v>
          </cell>
        </row>
        <row r="117">
          <cell r="A117" t="str">
            <v>Cost of Service</v>
          </cell>
          <cell r="R117">
            <v>0.49022914041284321</v>
          </cell>
          <cell r="S117">
            <v>0.49708557638759976</v>
          </cell>
          <cell r="T117">
            <v>0.50827426703869993</v>
          </cell>
          <cell r="U117">
            <v>0.51</v>
          </cell>
          <cell r="V117">
            <v>0.51349999999999996</v>
          </cell>
          <cell r="W117">
            <v>0.5169999999999999</v>
          </cell>
          <cell r="X117">
            <v>0.52049999999999985</v>
          </cell>
          <cell r="Y117">
            <v>0.5239999999999998</v>
          </cell>
        </row>
        <row r="118">
          <cell r="A118" t="str">
            <v>Cost of Products Sold</v>
          </cell>
          <cell r="R118">
            <v>2.5771640545961202E-2</v>
          </cell>
          <cell r="S118">
            <v>1.8284759606459998E-2</v>
          </cell>
          <cell r="T118">
            <v>1.6681152269345786E-2</v>
          </cell>
          <cell r="U118">
            <v>1.4999999999999999E-2</v>
          </cell>
          <cell r="V118">
            <v>1.4999999999999999E-2</v>
          </cell>
          <cell r="W118">
            <v>1.4999999999999999E-2</v>
          </cell>
          <cell r="X118">
            <v>1.4999999999999999E-2</v>
          </cell>
          <cell r="Y118">
            <v>1.4999999999999999E-2</v>
          </cell>
        </row>
        <row r="119">
          <cell r="A119" t="str">
            <v>SG&amp;A</v>
          </cell>
          <cell r="R119">
            <v>0.13817646119167215</v>
          </cell>
          <cell r="S119">
            <v>0.14807870800074252</v>
          </cell>
          <cell r="T119">
            <v>0.15354307464560665</v>
          </cell>
          <cell r="U119">
            <v>0.14799999999999999</v>
          </cell>
          <cell r="V119">
            <v>0.14899999999999999</v>
          </cell>
          <cell r="W119">
            <v>0.15</v>
          </cell>
          <cell r="X119">
            <v>0.151</v>
          </cell>
          <cell r="Y119">
            <v>0.152</v>
          </cell>
        </row>
      </sheetData>
      <sheetData sheetId="9" refreshError="1">
        <row r="1">
          <cell r="A1" t="str">
            <v>Windstream Communications</v>
          </cell>
        </row>
        <row r="2">
          <cell r="A2" t="str">
            <v>Morgan Stanley</v>
          </cell>
        </row>
        <row r="3">
          <cell r="A3" t="str">
            <v>Simon Flannery (212) 761-6432</v>
          </cell>
        </row>
        <row r="5">
          <cell r="A5" t="str">
            <v>Cash Flow Statement</v>
          </cell>
          <cell r="D5">
            <v>2002</v>
          </cell>
          <cell r="E5">
            <v>2003</v>
          </cell>
          <cell r="F5">
            <v>2004</v>
          </cell>
          <cell r="G5">
            <v>2005</v>
          </cell>
          <cell r="H5">
            <v>2006</v>
          </cell>
          <cell r="I5">
            <v>2007</v>
          </cell>
          <cell r="J5">
            <v>2008</v>
          </cell>
          <cell r="K5">
            <v>2009</v>
          </cell>
          <cell r="L5">
            <v>2010</v>
          </cell>
          <cell r="M5">
            <v>2011</v>
          </cell>
          <cell r="N5">
            <v>2012</v>
          </cell>
          <cell r="O5">
            <v>2013</v>
          </cell>
          <cell r="P5">
            <v>2014</v>
          </cell>
          <cell r="Q5">
            <v>2015</v>
          </cell>
          <cell r="R5">
            <v>2016</v>
          </cell>
          <cell r="S5">
            <v>2017</v>
          </cell>
          <cell r="T5">
            <v>2018</v>
          </cell>
          <cell r="U5">
            <v>2019</v>
          </cell>
          <cell r="V5">
            <v>2020</v>
          </cell>
          <cell r="W5">
            <v>2021</v>
          </cell>
          <cell r="X5">
            <v>2022</v>
          </cell>
          <cell r="Z5" t="str">
            <v>1Q04</v>
          </cell>
          <cell r="AA5" t="str">
            <v>2Q04</v>
          </cell>
          <cell r="AB5" t="str">
            <v>3Q04</v>
          </cell>
          <cell r="AC5" t="str">
            <v>4Q04</v>
          </cell>
          <cell r="AD5" t="str">
            <v>1Q05</v>
          </cell>
          <cell r="AE5" t="str">
            <v>2Q05</v>
          </cell>
          <cell r="AF5" t="str">
            <v>3Q05</v>
          </cell>
          <cell r="AG5" t="str">
            <v>4Q05</v>
          </cell>
          <cell r="AH5" t="str">
            <v>1Q06</v>
          </cell>
          <cell r="AI5" t="str">
            <v>2Q06</v>
          </cell>
          <cell r="AJ5" t="str">
            <v>3Q06</v>
          </cell>
          <cell r="AK5" t="str">
            <v>4Q06</v>
          </cell>
          <cell r="AL5" t="str">
            <v>1Q07</v>
          </cell>
          <cell r="AM5" t="str">
            <v>2Q07</v>
          </cell>
          <cell r="AN5" t="str">
            <v>3Q07</v>
          </cell>
          <cell r="AO5" t="str">
            <v>4Q07</v>
          </cell>
          <cell r="AP5" t="str">
            <v>1Q08</v>
          </cell>
          <cell r="AQ5" t="str">
            <v>2Q08</v>
          </cell>
          <cell r="AR5" t="str">
            <v>3Q08</v>
          </cell>
          <cell r="AS5" t="str">
            <v>4Q08</v>
          </cell>
          <cell r="AT5" t="str">
            <v>1Q09</v>
          </cell>
          <cell r="AU5" t="str">
            <v>2Q09</v>
          </cell>
          <cell r="AV5" t="str">
            <v>3Q09</v>
          </cell>
          <cell r="AW5" t="str">
            <v>4Q09</v>
          </cell>
          <cell r="AX5" t="str">
            <v>1Q10</v>
          </cell>
          <cell r="AY5" t="str">
            <v>2Q10</v>
          </cell>
          <cell r="AZ5" t="str">
            <v>3Q10</v>
          </cell>
          <cell r="BA5" t="str">
            <v>4Q10</v>
          </cell>
          <cell r="BB5" t="str">
            <v>1Q11</v>
          </cell>
          <cell r="BC5" t="str">
            <v>2Q11</v>
          </cell>
          <cell r="BD5" t="str">
            <v>3Q11</v>
          </cell>
          <cell r="BE5" t="str">
            <v>4Q11</v>
          </cell>
          <cell r="BF5" t="str">
            <v>1Q12</v>
          </cell>
          <cell r="BG5" t="str">
            <v>2Q12</v>
          </cell>
          <cell r="BH5" t="str">
            <v>3Q12</v>
          </cell>
          <cell r="BI5" t="str">
            <v>4Q12</v>
          </cell>
          <cell r="BJ5" t="str">
            <v>1Q13</v>
          </cell>
          <cell r="BK5" t="str">
            <v>2Q13</v>
          </cell>
          <cell r="BL5" t="str">
            <v>3Q13</v>
          </cell>
          <cell r="BM5" t="str">
            <v>4Q13</v>
          </cell>
          <cell r="BN5" t="str">
            <v>1Q14</v>
          </cell>
          <cell r="BO5" t="str">
            <v>2Q14</v>
          </cell>
          <cell r="BP5" t="str">
            <v>3Q14</v>
          </cell>
          <cell r="BQ5" t="str">
            <v>4Q14</v>
          </cell>
          <cell r="BR5" t="str">
            <v>1Q15</v>
          </cell>
          <cell r="BS5" t="str">
            <v>2Q15</v>
          </cell>
          <cell r="BT5" t="str">
            <v>3Q15</v>
          </cell>
          <cell r="BU5" t="str">
            <v>4Q15</v>
          </cell>
          <cell r="BV5" t="str">
            <v>1Q16</v>
          </cell>
          <cell r="BW5" t="str">
            <v>2Q16</v>
          </cell>
          <cell r="BX5" t="str">
            <v>3Q16</v>
          </cell>
          <cell r="BY5" t="str">
            <v>4Q16</v>
          </cell>
          <cell r="BZ5" t="str">
            <v>1Q17</v>
          </cell>
          <cell r="CA5" t="str">
            <v>2Q17E</v>
          </cell>
          <cell r="CB5" t="str">
            <v>3Q17E</v>
          </cell>
          <cell r="CC5" t="str">
            <v>4Q17E</v>
          </cell>
        </row>
        <row r="6">
          <cell r="A6" t="str">
            <v>EPS (Proforma)</v>
          </cell>
          <cell r="I6">
            <v>1.0072356964787699</v>
          </cell>
          <cell r="J6">
            <v>6.6793466270683064</v>
          </cell>
          <cell r="K6">
            <v>5.497793381417055</v>
          </cell>
          <cell r="L6">
            <v>4.3993691714412932</v>
          </cell>
          <cell r="M6">
            <v>3.3216832383016821</v>
          </cell>
          <cell r="N6">
            <v>1.9683937603604369</v>
          </cell>
          <cell r="O6">
            <v>2.465606863487257</v>
          </cell>
          <cell r="P6">
            <v>-0.29826298565075104</v>
          </cell>
          <cell r="Q6">
            <v>0.81199586349534647</v>
          </cell>
          <cell r="R6">
            <v>-4.5140544915025629</v>
          </cell>
          <cell r="S6">
            <v>-0.48978120752881393</v>
          </cell>
          <cell r="T6">
            <v>-0.39929521597470735</v>
          </cell>
          <cell r="U6">
            <v>-0.37161971527463517</v>
          </cell>
          <cell r="V6">
            <v>-0.35255422835553085</v>
          </cell>
          <cell r="W6">
            <v>-0.35719160488412244</v>
          </cell>
          <cell r="X6">
            <v>-0.66789059845036569</v>
          </cell>
          <cell r="AJ6">
            <v>0.17434151623484007</v>
          </cell>
          <cell r="AK6">
            <v>0.2586414778893506</v>
          </cell>
          <cell r="AL6">
            <v>0.22965697429414242</v>
          </cell>
          <cell r="AM6">
            <v>0.23967586352148273</v>
          </cell>
          <cell r="AN6">
            <v>0.24871551905664349</v>
          </cell>
          <cell r="AO6">
            <v>0.28918733960650128</v>
          </cell>
          <cell r="AP6">
            <v>0.30160932297447279</v>
          </cell>
          <cell r="AQ6">
            <v>0.30693628558517849</v>
          </cell>
          <cell r="AR6">
            <v>0.28907822506861847</v>
          </cell>
          <cell r="AS6">
            <v>0.28978265843056511</v>
          </cell>
          <cell r="AT6">
            <v>1.2979165828249815</v>
          </cell>
          <cell r="AU6">
            <v>1.2322043327241408</v>
          </cell>
          <cell r="AV6">
            <v>1.2677844388106798</v>
          </cell>
          <cell r="AW6">
            <v>1.3412313911241467</v>
          </cell>
          <cell r="AX6">
            <v>1.160526570103056</v>
          </cell>
          <cell r="AY6">
            <v>1.1222992232192406</v>
          </cell>
          <cell r="AZ6">
            <v>1.1840126525022627</v>
          </cell>
          <cell r="BA6">
            <v>0.93253072561673356</v>
          </cell>
          <cell r="BB6">
            <v>1.2712790928983491</v>
          </cell>
          <cell r="BC6">
            <v>1.1893882352941176</v>
          </cell>
          <cell r="BD6">
            <v>1.3197192435172547</v>
          </cell>
          <cell r="BE6">
            <v>-0.31267407840842598</v>
          </cell>
          <cell r="BF6">
            <v>0.70798569725864113</v>
          </cell>
          <cell r="BG6">
            <v>0.58959537572254328</v>
          </cell>
          <cell r="BH6">
            <v>0.49991498044550242</v>
          </cell>
          <cell r="BI6">
            <v>0.15363427697016066</v>
          </cell>
          <cell r="BJ6">
            <v>0.48654416123295796</v>
          </cell>
          <cell r="BK6">
            <v>0.43323492197385072</v>
          </cell>
          <cell r="BL6">
            <v>0.28140297754226595</v>
          </cell>
          <cell r="BM6">
            <v>1.2653191310911682</v>
          </cell>
          <cell r="BN6">
            <v>0.15794478271749102</v>
          </cell>
          <cell r="BO6">
            <v>0.17262319561971129</v>
          </cell>
          <cell r="BP6">
            <v>0.12504770596531986</v>
          </cell>
          <cell r="BQ6">
            <v>-0.75691070531077231</v>
          </cell>
          <cell r="BR6">
            <v>0.10575396825396825</v>
          </cell>
          <cell r="BS6">
            <v>-0.75179282868525898</v>
          </cell>
          <cell r="BT6">
            <v>-7.5125881168177241E-2</v>
          </cell>
          <cell r="BU6">
            <v>1.5594622543950363</v>
          </cell>
          <cell r="BV6">
            <v>-2.5017353579175703</v>
          </cell>
          <cell r="BW6">
            <v>7.261410788381743E-3</v>
          </cell>
          <cell r="BX6">
            <v>-0.70538793103448272</v>
          </cell>
          <cell r="BY6">
            <v>-1.3231431646932186</v>
          </cell>
          <cell r="BZ6">
            <v>0.25294117647058822</v>
          </cell>
          <cell r="CA6">
            <v>-0.22286570201193584</v>
          </cell>
          <cell r="CB6">
            <v>-0.20511568766628235</v>
          </cell>
          <cell r="CC6">
            <v>-0.27338998113302443</v>
          </cell>
        </row>
        <row r="7">
          <cell r="A7" t="str">
            <v>y/y growth %</v>
          </cell>
          <cell r="I7">
            <v>0</v>
          </cell>
          <cell r="J7">
            <v>5.6313640892780761</v>
          </cell>
          <cell r="K7" t="str">
            <v>na</v>
          </cell>
          <cell r="L7">
            <v>-0.199793650610537</v>
          </cell>
          <cell r="M7">
            <v>-0.24496374165083912</v>
          </cell>
          <cell r="N7">
            <v>-0.40741075558822948</v>
          </cell>
          <cell r="O7">
            <v>0.25259839425409192</v>
          </cell>
          <cell r="P7">
            <v>-1.120969401110808</v>
          </cell>
          <cell r="Q7">
            <v>-3.7224157959920219</v>
          </cell>
          <cell r="R7">
            <v>-6.5592087280730746</v>
          </cell>
          <cell r="S7">
            <v>-0.89149860542206616</v>
          </cell>
          <cell r="T7">
            <v>-0.18474778158731886</v>
          </cell>
          <cell r="U7">
            <v>-6.931087474342601E-2</v>
          </cell>
          <cell r="V7">
            <v>-5.1303755251560057E-2</v>
          </cell>
          <cell r="W7">
            <v>1.315365454620232E-2</v>
          </cell>
          <cell r="X7">
            <v>0.86983845453769271</v>
          </cell>
          <cell r="AJ7">
            <v>0</v>
          </cell>
          <cell r="AK7">
            <v>0</v>
          </cell>
          <cell r="AL7">
            <v>0</v>
          </cell>
          <cell r="AM7">
            <v>0</v>
          </cell>
          <cell r="AN7">
            <v>0.42659949522075258</v>
          </cell>
          <cell r="AO7">
            <v>0.11810117219566196</v>
          </cell>
          <cell r="AP7">
            <v>0.31330356459444819</v>
          </cell>
          <cell r="AQ7">
            <v>0.28063076972148693</v>
          </cell>
          <cell r="AR7">
            <v>0.16228463010698824</v>
          </cell>
          <cell r="AS7">
            <v>2.0585922774969401E-3</v>
          </cell>
          <cell r="AT7" t="str">
            <v>na</v>
          </cell>
          <cell r="AU7" t="str">
            <v>na</v>
          </cell>
          <cell r="AV7" t="str">
            <v>na</v>
          </cell>
          <cell r="AW7" t="str">
            <v>na</v>
          </cell>
          <cell r="AX7">
            <v>-0.10585427025124305</v>
          </cell>
          <cell r="AY7">
            <v>-8.9193899571772706E-2</v>
          </cell>
          <cell r="AZ7">
            <v>-6.6077310735099593E-2</v>
          </cell>
          <cell r="BA7">
            <v>-0.30472047419413784</v>
          </cell>
          <cell r="BB7">
            <v>9.5432991926637234E-2</v>
          </cell>
          <cell r="BC7">
            <v>5.9778186322215099E-2</v>
          </cell>
          <cell r="BD7">
            <v>0.11461582841044216</v>
          </cell>
          <cell r="BE7">
            <v>-1.3352962747706114</v>
          </cell>
          <cell r="BF7">
            <v>-0.44309184252804246</v>
          </cell>
          <cell r="BG7">
            <v>-0.50428686090312191</v>
          </cell>
          <cell r="BH7">
            <v>-0.62119596050357484</v>
          </cell>
          <cell r="BI7">
            <v>-1.4913559760124346</v>
          </cell>
          <cell r="BJ7">
            <v>-0.31277684970631014</v>
          </cell>
          <cell r="BK7">
            <v>-0.26519959312278252</v>
          </cell>
          <cell r="BL7">
            <v>-0.43709832961698425</v>
          </cell>
          <cell r="BM7">
            <v>7.2359168542637295</v>
          </cell>
          <cell r="BN7">
            <v>-0.67537420998488384</v>
          </cell>
          <cell r="BO7">
            <v>-0.60154828970567031</v>
          </cell>
          <cell r="BP7">
            <v>-0.55562763742775956</v>
          </cell>
          <cell r="BQ7">
            <v>-1.5981974718567942</v>
          </cell>
          <cell r="BR7">
            <v>-0.3304370905170968</v>
          </cell>
          <cell r="BS7">
            <v>-5.3551089758612616</v>
          </cell>
          <cell r="BT7">
            <v>-1.6007777638800691</v>
          </cell>
          <cell r="BU7">
            <v>-3.0602988482700249</v>
          </cell>
          <cell r="BV7">
            <v>-24.656184247475711</v>
          </cell>
          <cell r="BW7">
            <v>-1.0096587923046307</v>
          </cell>
          <cell r="BX7">
            <v>8.3894130766386237</v>
          </cell>
          <cell r="BY7">
            <v>-1.8484611672800679</v>
          </cell>
          <cell r="BZ7">
            <v>-1.1011062883490341</v>
          </cell>
          <cell r="CA7">
            <v>-31.691790962786591</v>
          </cell>
          <cell r="CB7">
            <v>-0.70921576817245646</v>
          </cell>
          <cell r="CC7">
            <v>-0.79337838230346591</v>
          </cell>
        </row>
        <row r="8">
          <cell r="A8" t="str">
            <v>Operating activities</v>
          </cell>
          <cell r="K8" t="str">
            <v>NOT Pf</v>
          </cell>
          <cell r="L8" t="str">
            <v>NOT Pf</v>
          </cell>
          <cell r="M8" t="str">
            <v>NOT Pf</v>
          </cell>
          <cell r="AX8" t="str">
            <v>NOT PROFORMA FOR PAETEC</v>
          </cell>
          <cell r="BB8" t="str">
            <v>NOT PROFORMA FOR PAETEC</v>
          </cell>
        </row>
        <row r="9">
          <cell r="A9" t="str">
            <v>Net income (loss)</v>
          </cell>
          <cell r="D9">
            <v>16302</v>
          </cell>
          <cell r="E9">
            <v>58233</v>
          </cell>
          <cell r="F9">
            <v>-27755</v>
          </cell>
          <cell r="G9">
            <v>35347</v>
          </cell>
          <cell r="H9">
            <v>545295</v>
          </cell>
          <cell r="I9">
            <v>917100</v>
          </cell>
          <cell r="J9">
            <v>412700</v>
          </cell>
          <cell r="K9">
            <v>334500</v>
          </cell>
          <cell r="L9">
            <v>310700</v>
          </cell>
          <cell r="M9">
            <v>169500</v>
          </cell>
          <cell r="N9">
            <v>175200</v>
          </cell>
          <cell r="O9">
            <v>241000</v>
          </cell>
          <cell r="P9">
            <v>-39500</v>
          </cell>
          <cell r="Q9">
            <v>27400</v>
          </cell>
          <cell r="R9">
            <v>-383500</v>
          </cell>
          <cell r="S9">
            <v>-244841.10900246061</v>
          </cell>
          <cell r="T9">
            <v>-76596.002689996167</v>
          </cell>
          <cell r="U9">
            <v>-72356.372742828244</v>
          </cell>
          <cell r="V9">
            <v>-69673.882391310617</v>
          </cell>
          <cell r="W9">
            <v>-71649.203799746319</v>
          </cell>
          <cell r="X9">
            <v>-135982.02304930042</v>
          </cell>
          <cell r="Z9">
            <v>15614</v>
          </cell>
          <cell r="AA9">
            <v>3291</v>
          </cell>
          <cell r="AB9">
            <v>6266</v>
          </cell>
          <cell r="AC9">
            <v>-52926</v>
          </cell>
          <cell r="AD9">
            <v>-12636</v>
          </cell>
          <cell r="AE9">
            <v>18242</v>
          </cell>
          <cell r="AF9">
            <v>13321</v>
          </cell>
          <cell r="AG9">
            <v>16420</v>
          </cell>
          <cell r="AH9">
            <v>16001</v>
          </cell>
          <cell r="AI9">
            <v>15181</v>
          </cell>
          <cell r="AJ9">
            <v>396394</v>
          </cell>
          <cell r="AK9">
            <v>117719</v>
          </cell>
          <cell r="AL9">
            <v>99900</v>
          </cell>
          <cell r="AM9">
            <v>115900</v>
          </cell>
          <cell r="AN9">
            <v>117700</v>
          </cell>
          <cell r="AO9">
            <v>583600</v>
          </cell>
          <cell r="AP9">
            <v>123700</v>
          </cell>
          <cell r="AQ9">
            <v>102000</v>
          </cell>
          <cell r="AR9">
            <v>105900</v>
          </cell>
          <cell r="AS9">
            <v>81100</v>
          </cell>
          <cell r="AT9">
            <v>88200</v>
          </cell>
          <cell r="AU9">
            <v>90800</v>
          </cell>
          <cell r="AV9">
            <v>80000</v>
          </cell>
          <cell r="AW9">
            <v>75500</v>
          </cell>
          <cell r="AX9">
            <v>74100</v>
          </cell>
          <cell r="AY9">
            <v>79000</v>
          </cell>
          <cell r="AZ9">
            <v>85200</v>
          </cell>
          <cell r="BA9">
            <v>72400</v>
          </cell>
          <cell r="BB9">
            <v>29400</v>
          </cell>
          <cell r="BC9">
            <v>96700</v>
          </cell>
          <cell r="BD9">
            <v>78100</v>
          </cell>
          <cell r="BE9">
            <v>-34700</v>
          </cell>
          <cell r="BF9">
            <v>60400</v>
          </cell>
          <cell r="BG9">
            <v>51000</v>
          </cell>
          <cell r="BH9">
            <v>53700</v>
          </cell>
          <cell r="BI9">
            <v>10100</v>
          </cell>
          <cell r="BJ9">
            <v>52300</v>
          </cell>
          <cell r="BK9">
            <v>39700</v>
          </cell>
          <cell r="BL9">
            <v>30600</v>
          </cell>
          <cell r="BM9">
            <v>118400</v>
          </cell>
          <cell r="BN9">
            <v>16000</v>
          </cell>
          <cell r="BO9">
            <v>14000</v>
          </cell>
          <cell r="BP9">
            <v>8000</v>
          </cell>
          <cell r="BQ9">
            <v>-77500</v>
          </cell>
          <cell r="BR9">
            <v>5300</v>
          </cell>
          <cell r="BS9">
            <v>-111200</v>
          </cell>
          <cell r="BT9">
            <v>-7200</v>
          </cell>
          <cell r="BU9">
            <v>140500</v>
          </cell>
          <cell r="BV9">
            <v>-231900</v>
          </cell>
          <cell r="BW9">
            <v>1500</v>
          </cell>
          <cell r="BX9">
            <v>-66200</v>
          </cell>
          <cell r="BY9">
            <v>-86900</v>
          </cell>
          <cell r="BZ9">
            <v>-111300</v>
          </cell>
          <cell r="CA9">
            <v>-42433.629663072585</v>
          </cell>
          <cell r="CB9">
            <v>-39054.026931660163</v>
          </cell>
          <cell r="CC9">
            <v>-52053.452407727847</v>
          </cell>
        </row>
        <row r="10">
          <cell r="A10" t="str">
            <v>Depreciation and amortization</v>
          </cell>
          <cell r="D10">
            <v>73273</v>
          </cell>
          <cell r="E10">
            <v>81638</v>
          </cell>
          <cell r="F10">
            <v>86451</v>
          </cell>
          <cell r="G10">
            <v>89928</v>
          </cell>
          <cell r="H10">
            <v>449582</v>
          </cell>
          <cell r="I10">
            <v>507500</v>
          </cell>
          <cell r="J10">
            <v>494500</v>
          </cell>
          <cell r="K10">
            <v>537800</v>
          </cell>
          <cell r="L10">
            <v>693600</v>
          </cell>
          <cell r="M10">
            <v>847500</v>
          </cell>
          <cell r="N10">
            <v>1297600</v>
          </cell>
          <cell r="O10">
            <v>1341500</v>
          </cell>
          <cell r="P10">
            <v>1386400</v>
          </cell>
          <cell r="Q10">
            <v>1366500</v>
          </cell>
          <cell r="R10">
            <v>1263500</v>
          </cell>
          <cell r="S10">
            <v>1365396.6712431591</v>
          </cell>
          <cell r="T10">
            <v>1254089.6450026974</v>
          </cell>
          <cell r="U10">
            <v>1182674.2052160576</v>
          </cell>
          <cell r="V10">
            <v>1125690.322273958</v>
          </cell>
          <cell r="W10">
            <v>1078949.1900286241</v>
          </cell>
          <cell r="X10">
            <v>1134166.7322607995</v>
          </cell>
          <cell r="Z10">
            <v>20827</v>
          </cell>
          <cell r="AA10">
            <v>21144</v>
          </cell>
          <cell r="AB10">
            <v>22022</v>
          </cell>
          <cell r="AC10">
            <v>22458</v>
          </cell>
          <cell r="AD10">
            <v>22235</v>
          </cell>
          <cell r="AE10">
            <v>22489</v>
          </cell>
          <cell r="AF10">
            <v>22460</v>
          </cell>
          <cell r="AG10">
            <v>22744</v>
          </cell>
          <cell r="AH10">
            <v>22010</v>
          </cell>
          <cell r="AI10">
            <v>22448</v>
          </cell>
          <cell r="AJ10">
            <v>281200</v>
          </cell>
          <cell r="AK10">
            <v>123924</v>
          </cell>
          <cell r="AL10">
            <v>125100</v>
          </cell>
          <cell r="AM10">
            <v>126900</v>
          </cell>
          <cell r="AN10">
            <v>132700</v>
          </cell>
          <cell r="AO10">
            <v>122800</v>
          </cell>
          <cell r="AP10">
            <v>122800</v>
          </cell>
          <cell r="AQ10">
            <v>124300</v>
          </cell>
          <cell r="AR10">
            <v>123800</v>
          </cell>
          <cell r="AS10">
            <v>123600</v>
          </cell>
          <cell r="AT10">
            <v>132000</v>
          </cell>
          <cell r="AU10">
            <v>133300</v>
          </cell>
          <cell r="AV10">
            <v>133800</v>
          </cell>
          <cell r="AW10">
            <v>138700</v>
          </cell>
          <cell r="AX10">
            <v>155400</v>
          </cell>
          <cell r="AY10">
            <v>167700</v>
          </cell>
          <cell r="AZ10">
            <v>179900</v>
          </cell>
          <cell r="BA10">
            <v>190600</v>
          </cell>
          <cell r="BB10">
            <v>205200</v>
          </cell>
          <cell r="BC10">
            <v>196800</v>
          </cell>
          <cell r="BD10">
            <v>203800</v>
          </cell>
          <cell r="BE10">
            <v>241700</v>
          </cell>
          <cell r="BF10">
            <v>312100</v>
          </cell>
          <cell r="BG10">
            <v>320000</v>
          </cell>
          <cell r="BH10">
            <v>326400</v>
          </cell>
          <cell r="BI10">
            <v>339100</v>
          </cell>
          <cell r="BJ10">
            <v>329500</v>
          </cell>
          <cell r="BK10">
            <v>332400</v>
          </cell>
          <cell r="BL10">
            <v>338400</v>
          </cell>
          <cell r="BM10">
            <v>341200</v>
          </cell>
          <cell r="BN10">
            <v>338900</v>
          </cell>
          <cell r="BO10">
            <v>344000</v>
          </cell>
          <cell r="BP10">
            <v>348500</v>
          </cell>
          <cell r="BQ10">
            <v>355000</v>
          </cell>
          <cell r="BR10">
            <v>340700</v>
          </cell>
          <cell r="BS10">
            <v>341800</v>
          </cell>
          <cell r="BT10">
            <v>350500</v>
          </cell>
          <cell r="BU10">
            <v>333500</v>
          </cell>
          <cell r="BV10">
            <v>304800</v>
          </cell>
          <cell r="BW10">
            <v>308200</v>
          </cell>
          <cell r="BX10">
            <v>321000</v>
          </cell>
          <cell r="BY10">
            <v>329500</v>
          </cell>
          <cell r="BZ10">
            <v>338500</v>
          </cell>
          <cell r="CA10">
            <v>342349.92944505246</v>
          </cell>
          <cell r="CB10">
            <v>342333.28792278311</v>
          </cell>
          <cell r="CC10">
            <v>342213.45387532358</v>
          </cell>
        </row>
        <row r="11">
          <cell r="A11" t="str">
            <v>Extraordinary Item</v>
          </cell>
          <cell r="G11">
            <v>0</v>
          </cell>
          <cell r="H11">
            <v>-99703</v>
          </cell>
          <cell r="I11">
            <v>0</v>
          </cell>
          <cell r="J11">
            <v>0</v>
          </cell>
          <cell r="K11">
            <v>0</v>
          </cell>
          <cell r="L11">
            <v>0</v>
          </cell>
          <cell r="M11">
            <v>0</v>
          </cell>
          <cell r="N11">
            <v>0</v>
          </cell>
          <cell r="Q11">
            <v>0</v>
          </cell>
          <cell r="R11">
            <v>0</v>
          </cell>
          <cell r="S11">
            <v>0</v>
          </cell>
          <cell r="AJ11">
            <v>-99704</v>
          </cell>
          <cell r="AK11">
            <v>1</v>
          </cell>
        </row>
        <row r="12">
          <cell r="A12" t="str">
            <v>(Gain)/Loss on Sale of Assets</v>
          </cell>
          <cell r="G12">
            <v>0</v>
          </cell>
          <cell r="H12">
            <v>0</v>
          </cell>
          <cell r="I12">
            <v>-451300</v>
          </cell>
          <cell r="J12">
            <v>21300</v>
          </cell>
          <cell r="K12">
            <v>0</v>
          </cell>
          <cell r="L12">
            <v>0</v>
          </cell>
          <cell r="M12">
            <v>0</v>
          </cell>
          <cell r="N12">
            <v>0</v>
          </cell>
          <cell r="Q12">
            <v>0</v>
          </cell>
          <cell r="R12">
            <v>0</v>
          </cell>
          <cell r="S12">
            <v>0</v>
          </cell>
          <cell r="AO12">
            <v>-451300</v>
          </cell>
          <cell r="AQ12">
            <v>16400</v>
          </cell>
          <cell r="AR12">
            <v>0</v>
          </cell>
          <cell r="AS12">
            <v>4900</v>
          </cell>
        </row>
        <row r="13">
          <cell r="A13" t="str">
            <v>Loss on debt extinguishment</v>
          </cell>
          <cell r="D13" t="str">
            <v/>
          </cell>
          <cell r="E13" t="str">
            <v/>
          </cell>
          <cell r="F13">
            <v>62975</v>
          </cell>
          <cell r="G13">
            <v>29262</v>
          </cell>
          <cell r="H13">
            <v>0</v>
          </cell>
          <cell r="I13">
            <v>0</v>
          </cell>
          <cell r="J13">
            <v>0</v>
          </cell>
          <cell r="K13">
            <v>0</v>
          </cell>
          <cell r="L13">
            <v>0</v>
          </cell>
          <cell r="M13">
            <v>0</v>
          </cell>
          <cell r="N13">
            <v>0</v>
          </cell>
          <cell r="Q13">
            <v>0</v>
          </cell>
          <cell r="R13">
            <v>0</v>
          </cell>
          <cell r="S13">
            <v>0</v>
          </cell>
          <cell r="AA13" t="str">
            <v/>
          </cell>
          <cell r="AB13" t="str">
            <v/>
          </cell>
          <cell r="AC13">
            <v>62975</v>
          </cell>
          <cell r="AD13">
            <v>29262</v>
          </cell>
        </row>
        <row r="14">
          <cell r="A14" t="str">
            <v>Deferred income taxes</v>
          </cell>
          <cell r="D14">
            <v>93</v>
          </cell>
          <cell r="E14">
            <v>450</v>
          </cell>
          <cell r="F14">
            <v>203</v>
          </cell>
          <cell r="G14">
            <v>14174</v>
          </cell>
          <cell r="H14">
            <v>30192</v>
          </cell>
          <cell r="I14">
            <v>13000</v>
          </cell>
          <cell r="J14">
            <v>110000</v>
          </cell>
          <cell r="K14">
            <v>96800</v>
          </cell>
          <cell r="L14">
            <v>120400</v>
          </cell>
          <cell r="M14">
            <v>173800</v>
          </cell>
          <cell r="N14">
            <v>79000</v>
          </cell>
          <cell r="O14">
            <v>134800</v>
          </cell>
          <cell r="P14">
            <v>-13400</v>
          </cell>
          <cell r="Q14">
            <v>-16300</v>
          </cell>
          <cell r="R14">
            <v>-138300</v>
          </cell>
          <cell r="S14">
            <v>-70200</v>
          </cell>
          <cell r="T14">
            <v>-15000</v>
          </cell>
          <cell r="U14">
            <v>-15000</v>
          </cell>
          <cell r="V14">
            <v>0</v>
          </cell>
          <cell r="W14">
            <v>0</v>
          </cell>
          <cell r="X14">
            <v>0</v>
          </cell>
          <cell r="Z14">
            <v>123</v>
          </cell>
          <cell r="AA14">
            <v>-4807</v>
          </cell>
          <cell r="AB14">
            <v>-2072</v>
          </cell>
          <cell r="AC14">
            <v>6959</v>
          </cell>
          <cell r="AD14">
            <v>-5437</v>
          </cell>
          <cell r="AE14">
            <v>7771</v>
          </cell>
          <cell r="AF14">
            <v>6518</v>
          </cell>
          <cell r="AG14">
            <v>5322</v>
          </cell>
          <cell r="AH14">
            <v>8619</v>
          </cell>
          <cell r="AI14">
            <v>8096</v>
          </cell>
          <cell r="AJ14">
            <v>-2746</v>
          </cell>
          <cell r="AK14">
            <v>16223</v>
          </cell>
          <cell r="AL14">
            <v>-5700</v>
          </cell>
          <cell r="AM14">
            <v>0</v>
          </cell>
          <cell r="AN14">
            <v>15400</v>
          </cell>
          <cell r="AO14">
            <v>3300</v>
          </cell>
          <cell r="AP14">
            <v>15600</v>
          </cell>
          <cell r="AQ14">
            <v>46100</v>
          </cell>
          <cell r="AR14">
            <v>12600</v>
          </cell>
          <cell r="AS14">
            <v>35700</v>
          </cell>
          <cell r="AT14">
            <v>36400</v>
          </cell>
          <cell r="AU14">
            <v>-9200</v>
          </cell>
          <cell r="AV14">
            <v>65200</v>
          </cell>
          <cell r="AW14">
            <v>4400</v>
          </cell>
          <cell r="AX14">
            <v>7100</v>
          </cell>
          <cell r="AY14">
            <v>-6300</v>
          </cell>
          <cell r="AZ14">
            <v>59000</v>
          </cell>
          <cell r="BA14">
            <v>60600</v>
          </cell>
          <cell r="BB14">
            <v>52200</v>
          </cell>
          <cell r="BC14">
            <v>44300</v>
          </cell>
          <cell r="BD14">
            <v>85400</v>
          </cell>
          <cell r="BE14">
            <v>-8100</v>
          </cell>
          <cell r="BF14">
            <v>35800</v>
          </cell>
          <cell r="BG14">
            <v>28200</v>
          </cell>
          <cell r="BH14">
            <v>27900</v>
          </cell>
          <cell r="BI14">
            <v>-12900</v>
          </cell>
          <cell r="BJ14">
            <v>26900</v>
          </cell>
          <cell r="BK14">
            <v>17100</v>
          </cell>
          <cell r="BL14">
            <v>15600</v>
          </cell>
          <cell r="BM14">
            <v>75200</v>
          </cell>
          <cell r="BN14">
            <v>9300</v>
          </cell>
          <cell r="BO14">
            <v>1200</v>
          </cell>
          <cell r="BP14">
            <v>300</v>
          </cell>
          <cell r="BQ14">
            <v>-24200</v>
          </cell>
          <cell r="BR14">
            <v>-33800</v>
          </cell>
          <cell r="BS14">
            <v>-49600</v>
          </cell>
          <cell r="BT14">
            <v>-19900</v>
          </cell>
          <cell r="BU14">
            <v>87000</v>
          </cell>
          <cell r="BV14">
            <v>-27500</v>
          </cell>
          <cell r="BW14">
            <v>-12800</v>
          </cell>
          <cell r="BX14">
            <v>-39700</v>
          </cell>
          <cell r="BY14">
            <v>-58300</v>
          </cell>
          <cell r="BZ14">
            <v>-55200</v>
          </cell>
          <cell r="CA14">
            <v>-5000</v>
          </cell>
          <cell r="CB14">
            <v>-5000</v>
          </cell>
          <cell r="CC14">
            <v>-5000</v>
          </cell>
        </row>
        <row r="15">
          <cell r="A15" t="str">
            <v>Loss (income) from discontinued operations</v>
          </cell>
          <cell r="D15">
            <v>3461</v>
          </cell>
          <cell r="E15">
            <v>-108</v>
          </cell>
          <cell r="F15" t="str">
            <v/>
          </cell>
          <cell r="G15">
            <v>0</v>
          </cell>
          <cell r="H15">
            <v>0</v>
          </cell>
          <cell r="I15">
            <v>0</v>
          </cell>
          <cell r="J15">
            <v>0</v>
          </cell>
          <cell r="K15">
            <v>0</v>
          </cell>
          <cell r="L15">
            <v>0</v>
          </cell>
          <cell r="M15">
            <v>0</v>
          </cell>
          <cell r="N15">
            <v>0</v>
          </cell>
          <cell r="Q15">
            <v>0</v>
          </cell>
          <cell r="R15">
            <v>0</v>
          </cell>
          <cell r="S15">
            <v>0</v>
          </cell>
        </row>
        <row r="16">
          <cell r="A16" t="str">
            <v>Amortization of debt issuance costs</v>
          </cell>
          <cell r="D16">
            <v>6801</v>
          </cell>
          <cell r="E16">
            <v>8105</v>
          </cell>
          <cell r="F16">
            <v>7399</v>
          </cell>
          <cell r="G16">
            <v>3690</v>
          </cell>
          <cell r="H16">
            <v>0</v>
          </cell>
          <cell r="I16">
            <v>0</v>
          </cell>
          <cell r="J16">
            <v>0</v>
          </cell>
          <cell r="K16">
            <v>0</v>
          </cell>
          <cell r="L16">
            <v>0</v>
          </cell>
          <cell r="M16">
            <v>0</v>
          </cell>
          <cell r="N16">
            <v>0</v>
          </cell>
          <cell r="Q16">
            <v>0</v>
          </cell>
          <cell r="R16">
            <v>0</v>
          </cell>
          <cell r="S16">
            <v>0</v>
          </cell>
          <cell r="Z16">
            <v>2019</v>
          </cell>
          <cell r="AA16">
            <v>2065</v>
          </cell>
          <cell r="AB16">
            <v>2108</v>
          </cell>
          <cell r="AC16">
            <v>1207</v>
          </cell>
          <cell r="AD16">
            <v>910</v>
          </cell>
          <cell r="AE16">
            <v>942</v>
          </cell>
          <cell r="AF16">
            <v>921</v>
          </cell>
          <cell r="AG16">
            <v>917</v>
          </cell>
          <cell r="AH16">
            <v>925</v>
          </cell>
          <cell r="AI16">
            <v>938</v>
          </cell>
          <cell r="AJ16">
            <v>-1863</v>
          </cell>
        </row>
        <row r="17">
          <cell r="A17" t="str">
            <v>Expense incurred related to cash payment to minority shareholders in connection with reorganization</v>
          </cell>
          <cell r="D17" t="str">
            <v/>
          </cell>
          <cell r="E17" t="str">
            <v/>
          </cell>
          <cell r="F17">
            <v>17988</v>
          </cell>
          <cell r="G17">
            <v>0</v>
          </cell>
          <cell r="H17">
            <v>0</v>
          </cell>
          <cell r="I17">
            <v>0</v>
          </cell>
          <cell r="J17">
            <v>0</v>
          </cell>
          <cell r="K17">
            <v>0</v>
          </cell>
          <cell r="L17">
            <v>0</v>
          </cell>
          <cell r="M17">
            <v>0</v>
          </cell>
          <cell r="N17">
            <v>0</v>
          </cell>
          <cell r="Q17">
            <v>0</v>
          </cell>
          <cell r="R17">
            <v>0</v>
          </cell>
          <cell r="S17">
            <v>0</v>
          </cell>
          <cell r="Z17">
            <v>0</v>
          </cell>
          <cell r="AA17">
            <v>17988</v>
          </cell>
          <cell r="AB17">
            <v>0</v>
          </cell>
          <cell r="AC17">
            <v>0</v>
          </cell>
          <cell r="AE17" t="str">
            <v/>
          </cell>
        </row>
        <row r="18">
          <cell r="A18" t="str">
            <v>Non-cash interest expense</v>
          </cell>
          <cell r="D18">
            <v>32612</v>
          </cell>
          <cell r="E18">
            <v>17788</v>
          </cell>
          <cell r="F18" t="str">
            <v/>
          </cell>
          <cell r="G18">
            <v>0</v>
          </cell>
          <cell r="H18">
            <v>0</v>
          </cell>
          <cell r="I18">
            <v>0</v>
          </cell>
          <cell r="J18">
            <v>0</v>
          </cell>
          <cell r="K18">
            <v>0</v>
          </cell>
          <cell r="L18">
            <v>0</v>
          </cell>
          <cell r="M18">
            <v>0</v>
          </cell>
          <cell r="N18">
            <v>0</v>
          </cell>
          <cell r="Q18">
            <v>0</v>
          </cell>
          <cell r="R18">
            <v>0</v>
          </cell>
          <cell r="S18">
            <v>0</v>
          </cell>
        </row>
        <row r="19">
          <cell r="A19" t="str">
            <v>Non-cash unrealized loss (gain) on interest rate hedging arrangements</v>
          </cell>
          <cell r="D19">
            <v>2748</v>
          </cell>
          <cell r="E19">
            <v>-8487</v>
          </cell>
          <cell r="F19">
            <v>-8867</v>
          </cell>
          <cell r="G19">
            <v>378</v>
          </cell>
          <cell r="H19">
            <v>0</v>
          </cell>
          <cell r="I19">
            <v>0</v>
          </cell>
          <cell r="J19">
            <v>0</v>
          </cell>
          <cell r="K19">
            <v>0</v>
          </cell>
          <cell r="L19">
            <v>0</v>
          </cell>
          <cell r="M19">
            <v>0</v>
          </cell>
          <cell r="N19">
            <v>0</v>
          </cell>
          <cell r="Q19">
            <v>0</v>
          </cell>
          <cell r="R19">
            <v>0</v>
          </cell>
          <cell r="S19">
            <v>0</v>
          </cell>
          <cell r="Z19">
            <v>-2351</v>
          </cell>
          <cell r="AA19">
            <v>-2993</v>
          </cell>
          <cell r="AB19">
            <v>-2469</v>
          </cell>
          <cell r="AC19">
            <v>-1054</v>
          </cell>
          <cell r="AD19">
            <v>40</v>
          </cell>
          <cell r="AE19">
            <v>516</v>
          </cell>
          <cell r="AF19">
            <v>-178</v>
          </cell>
          <cell r="AH19">
            <v>-304</v>
          </cell>
          <cell r="AI19">
            <v>-466</v>
          </cell>
          <cell r="AJ19">
            <v>770</v>
          </cell>
        </row>
        <row r="20">
          <cell r="A20" t="str">
            <v>Asset impairment</v>
          </cell>
          <cell r="G20">
            <v>1696</v>
          </cell>
          <cell r="H20">
            <v>0</v>
          </cell>
          <cell r="I20">
            <v>0</v>
          </cell>
          <cell r="J20">
            <v>0</v>
          </cell>
          <cell r="K20">
            <v>0</v>
          </cell>
          <cell r="L20">
            <v>0</v>
          </cell>
          <cell r="M20">
            <v>0</v>
          </cell>
          <cell r="N20">
            <v>0</v>
          </cell>
          <cell r="Q20">
            <v>0</v>
          </cell>
          <cell r="R20">
            <v>0</v>
          </cell>
          <cell r="S20">
            <v>0</v>
          </cell>
          <cell r="AB20" t="str">
            <v/>
          </cell>
          <cell r="AD20">
            <v>0</v>
          </cell>
          <cell r="AE20">
            <v>0</v>
          </cell>
          <cell r="AF20">
            <v>614</v>
          </cell>
          <cell r="AG20">
            <v>1082</v>
          </cell>
        </row>
        <row r="21">
          <cell r="A21" t="str">
            <v>Impairment on investment in cellular partnerships</v>
          </cell>
          <cell r="D21" t="str">
            <v/>
          </cell>
          <cell r="E21" t="str">
            <v/>
          </cell>
          <cell r="F21">
            <v>6678</v>
          </cell>
          <cell r="G21">
            <v>2339</v>
          </cell>
          <cell r="H21">
            <v>0</v>
          </cell>
          <cell r="I21">
            <v>0</v>
          </cell>
          <cell r="J21">
            <v>0</v>
          </cell>
          <cell r="K21">
            <v>0</v>
          </cell>
          <cell r="L21">
            <v>0</v>
          </cell>
          <cell r="M21">
            <v>0</v>
          </cell>
          <cell r="N21">
            <v>0</v>
          </cell>
          <cell r="Q21">
            <v>0</v>
          </cell>
          <cell r="R21">
            <v>0</v>
          </cell>
          <cell r="S21">
            <v>0</v>
          </cell>
          <cell r="Z21">
            <v>0</v>
          </cell>
          <cell r="AA21">
            <v>0</v>
          </cell>
          <cell r="AB21">
            <v>6678</v>
          </cell>
          <cell r="AC21">
            <v>0</v>
          </cell>
          <cell r="AD21">
            <v>0</v>
          </cell>
          <cell r="AE21">
            <v>0</v>
          </cell>
          <cell r="AF21">
            <v>2339</v>
          </cell>
        </row>
        <row r="22">
          <cell r="A22" t="str">
            <v>Earnings from unconsolidated cellular partnerships</v>
          </cell>
          <cell r="D22">
            <v>-2757</v>
          </cell>
          <cell r="E22">
            <v>-3258</v>
          </cell>
          <cell r="F22">
            <v>-1113</v>
          </cell>
          <cell r="G22">
            <v>-421</v>
          </cell>
          <cell r="H22">
            <v>0</v>
          </cell>
          <cell r="I22">
            <v>0</v>
          </cell>
          <cell r="J22">
            <v>0</v>
          </cell>
          <cell r="K22">
            <v>0</v>
          </cell>
          <cell r="L22">
            <v>0</v>
          </cell>
          <cell r="M22">
            <v>0</v>
          </cell>
          <cell r="N22">
            <v>0</v>
          </cell>
          <cell r="Q22">
            <v>0</v>
          </cell>
          <cell r="R22">
            <v>0</v>
          </cell>
          <cell r="S22">
            <v>0</v>
          </cell>
          <cell r="Z22">
            <v>-325</v>
          </cell>
          <cell r="AA22">
            <v>-343</v>
          </cell>
          <cell r="AB22">
            <v>-339</v>
          </cell>
          <cell r="AC22">
            <v>-106</v>
          </cell>
          <cell r="AD22">
            <v>-29</v>
          </cell>
          <cell r="AE22">
            <v>-32</v>
          </cell>
          <cell r="AF22">
            <v>-146</v>
          </cell>
          <cell r="AG22">
            <v>-214</v>
          </cell>
          <cell r="AH22">
            <v>-140</v>
          </cell>
          <cell r="AI22">
            <v>-252</v>
          </cell>
          <cell r="AJ22">
            <v>392</v>
          </cell>
        </row>
        <row r="23">
          <cell r="A23" t="str">
            <v>Provision for doubtful accounts receivable</v>
          </cell>
          <cell r="D23">
            <v>11393</v>
          </cell>
          <cell r="E23">
            <v>3298</v>
          </cell>
          <cell r="F23">
            <v>4438</v>
          </cell>
          <cell r="G23">
            <v>6073</v>
          </cell>
          <cell r="H23">
            <v>18457</v>
          </cell>
          <cell r="I23">
            <v>28500</v>
          </cell>
          <cell r="J23">
            <v>38700</v>
          </cell>
          <cell r="K23">
            <v>44000</v>
          </cell>
          <cell r="L23">
            <v>48900</v>
          </cell>
          <cell r="M23">
            <v>48500</v>
          </cell>
          <cell r="N23">
            <v>59400</v>
          </cell>
          <cell r="O23">
            <v>63500</v>
          </cell>
          <cell r="P23">
            <v>54900</v>
          </cell>
          <cell r="Q23">
            <v>47100</v>
          </cell>
          <cell r="R23">
            <v>43800</v>
          </cell>
          <cell r="S23">
            <v>38585</v>
          </cell>
          <cell r="T23">
            <v>36655.75</v>
          </cell>
          <cell r="U23">
            <v>34822.962500000001</v>
          </cell>
          <cell r="V23">
            <v>33081.814375000002</v>
          </cell>
          <cell r="W23">
            <v>31427.72365625</v>
          </cell>
          <cell r="X23">
            <v>29856.337473437499</v>
          </cell>
          <cell r="Z23">
            <v>1769</v>
          </cell>
          <cell r="AA23">
            <v>500</v>
          </cell>
          <cell r="AB23">
            <v>890</v>
          </cell>
          <cell r="AC23">
            <v>1279</v>
          </cell>
          <cell r="AD23">
            <v>1093</v>
          </cell>
          <cell r="AE23">
            <v>1358</v>
          </cell>
          <cell r="AF23">
            <v>1795</v>
          </cell>
          <cell r="AG23">
            <v>1827</v>
          </cell>
          <cell r="AH23">
            <v>1076</v>
          </cell>
          <cell r="AI23">
            <v>1229</v>
          </cell>
          <cell r="AJ23">
            <v>13477</v>
          </cell>
          <cell r="AK23">
            <v>2675</v>
          </cell>
          <cell r="AL23">
            <v>3700</v>
          </cell>
          <cell r="AM23">
            <v>7500</v>
          </cell>
          <cell r="AN23">
            <v>8700</v>
          </cell>
          <cell r="AO23">
            <v>8600</v>
          </cell>
          <cell r="AP23">
            <v>8900</v>
          </cell>
          <cell r="AQ23">
            <v>7900</v>
          </cell>
          <cell r="AR23">
            <v>8300</v>
          </cell>
          <cell r="AS23">
            <v>13600</v>
          </cell>
          <cell r="AT23">
            <v>9300</v>
          </cell>
          <cell r="AU23">
            <v>11700</v>
          </cell>
          <cell r="AV23">
            <v>11400</v>
          </cell>
          <cell r="AW23">
            <v>11600</v>
          </cell>
          <cell r="AX23">
            <v>8600</v>
          </cell>
          <cell r="AY23">
            <v>11300</v>
          </cell>
          <cell r="AZ23">
            <v>14100</v>
          </cell>
          <cell r="BA23">
            <v>14900</v>
          </cell>
          <cell r="BB23">
            <v>7900</v>
          </cell>
          <cell r="BC23">
            <v>11700</v>
          </cell>
          <cell r="BD23">
            <v>12700</v>
          </cell>
          <cell r="BE23">
            <v>16200</v>
          </cell>
          <cell r="BF23">
            <v>14700</v>
          </cell>
          <cell r="BG23">
            <v>10600</v>
          </cell>
          <cell r="BH23">
            <v>16400</v>
          </cell>
          <cell r="BI23">
            <v>17700</v>
          </cell>
          <cell r="BJ23">
            <v>16100</v>
          </cell>
          <cell r="BK23">
            <v>16900</v>
          </cell>
          <cell r="BL23">
            <v>16800</v>
          </cell>
          <cell r="BM23">
            <v>13700</v>
          </cell>
          <cell r="BN23">
            <v>12300</v>
          </cell>
          <cell r="BO23">
            <v>10700</v>
          </cell>
          <cell r="BP23">
            <v>15800</v>
          </cell>
          <cell r="BQ23">
            <v>16100</v>
          </cell>
          <cell r="BR23">
            <v>10300</v>
          </cell>
          <cell r="BS23">
            <v>13200</v>
          </cell>
          <cell r="BT23">
            <v>13600</v>
          </cell>
          <cell r="BU23">
            <v>10000</v>
          </cell>
          <cell r="BV23">
            <v>9700</v>
          </cell>
          <cell r="BW23">
            <v>10800</v>
          </cell>
          <cell r="BX23">
            <v>12600</v>
          </cell>
          <cell r="BY23">
            <v>10700</v>
          </cell>
          <cell r="BZ23">
            <v>9600</v>
          </cell>
          <cell r="CA23">
            <v>9180</v>
          </cell>
          <cell r="CB23">
            <v>10710</v>
          </cell>
          <cell r="CC23">
            <v>9095</v>
          </cell>
        </row>
        <row r="24">
          <cell r="A24" t="str">
            <v>Stock compensation expense</v>
          </cell>
          <cell r="D24">
            <v>0</v>
          </cell>
          <cell r="E24">
            <v>0</v>
          </cell>
          <cell r="F24">
            <v>1345</v>
          </cell>
          <cell r="G24">
            <v>12699</v>
          </cell>
          <cell r="H24">
            <v>0</v>
          </cell>
          <cell r="I24">
            <v>15900</v>
          </cell>
          <cell r="J24">
            <v>18100</v>
          </cell>
          <cell r="K24">
            <v>17400</v>
          </cell>
          <cell r="L24">
            <v>17000</v>
          </cell>
          <cell r="M24">
            <v>24100</v>
          </cell>
          <cell r="N24">
            <v>43200</v>
          </cell>
          <cell r="O24">
            <v>44900</v>
          </cell>
          <cell r="P24">
            <v>41800</v>
          </cell>
          <cell r="Q24">
            <v>55300</v>
          </cell>
          <cell r="R24">
            <v>41600</v>
          </cell>
          <cell r="S24">
            <v>16800</v>
          </cell>
          <cell r="T24">
            <v>16800</v>
          </cell>
          <cell r="U24">
            <v>16800</v>
          </cell>
          <cell r="V24">
            <v>16800</v>
          </cell>
          <cell r="W24">
            <v>16800</v>
          </cell>
          <cell r="X24">
            <v>16800</v>
          </cell>
          <cell r="Z24" t="str">
            <v/>
          </cell>
          <cell r="AA24" t="str">
            <v/>
          </cell>
          <cell r="AB24" t="str">
            <v/>
          </cell>
          <cell r="AD24">
            <v>6387</v>
          </cell>
          <cell r="AE24">
            <v>1956</v>
          </cell>
          <cell r="AF24">
            <v>2069</v>
          </cell>
          <cell r="AG24">
            <v>2287</v>
          </cell>
          <cell r="AH24">
            <v>2103</v>
          </cell>
          <cell r="AI24">
            <v>2581</v>
          </cell>
          <cell r="AJ24">
            <v>-4684</v>
          </cell>
          <cell r="AK24">
            <v>0</v>
          </cell>
          <cell r="AL24">
            <v>3800</v>
          </cell>
          <cell r="AM24">
            <v>4500</v>
          </cell>
          <cell r="AN24">
            <v>3800</v>
          </cell>
          <cell r="AO24">
            <v>3800</v>
          </cell>
          <cell r="AP24">
            <v>4600</v>
          </cell>
          <cell r="AQ24">
            <v>4600</v>
          </cell>
          <cell r="AR24">
            <v>4300</v>
          </cell>
          <cell r="AS24">
            <v>4600</v>
          </cell>
          <cell r="AT24">
            <v>5200</v>
          </cell>
          <cell r="AU24">
            <v>5400</v>
          </cell>
          <cell r="AV24">
            <v>3700</v>
          </cell>
          <cell r="AW24">
            <v>3100</v>
          </cell>
          <cell r="AX24">
            <v>3500</v>
          </cell>
          <cell r="AY24">
            <v>4000</v>
          </cell>
          <cell r="AZ24">
            <v>4700</v>
          </cell>
          <cell r="BA24">
            <v>4800</v>
          </cell>
          <cell r="BB24">
            <v>5300</v>
          </cell>
          <cell r="BC24">
            <v>6100</v>
          </cell>
          <cell r="BD24">
            <v>6000</v>
          </cell>
          <cell r="BE24">
            <v>6700</v>
          </cell>
          <cell r="BF24">
            <v>7400</v>
          </cell>
          <cell r="BG24">
            <v>6300</v>
          </cell>
          <cell r="BH24">
            <v>5600</v>
          </cell>
          <cell r="BI24">
            <v>23900</v>
          </cell>
          <cell r="BJ24">
            <v>12400</v>
          </cell>
          <cell r="BK24">
            <v>10400</v>
          </cell>
          <cell r="BL24">
            <v>11200</v>
          </cell>
          <cell r="BM24">
            <v>10900</v>
          </cell>
          <cell r="BN24">
            <v>13700</v>
          </cell>
          <cell r="BO24">
            <v>14000</v>
          </cell>
          <cell r="BP24">
            <v>10600</v>
          </cell>
          <cell r="BQ24">
            <v>3500</v>
          </cell>
          <cell r="BR24">
            <v>14800</v>
          </cell>
          <cell r="BS24">
            <v>13500</v>
          </cell>
          <cell r="BT24">
            <v>14600</v>
          </cell>
          <cell r="BU24">
            <v>12400</v>
          </cell>
          <cell r="BV24">
            <v>13700</v>
          </cell>
          <cell r="BW24">
            <v>8900</v>
          </cell>
          <cell r="BX24">
            <v>9200</v>
          </cell>
          <cell r="BY24">
            <v>9800</v>
          </cell>
          <cell r="BZ24">
            <v>16800</v>
          </cell>
          <cell r="CA24">
            <v>0</v>
          </cell>
          <cell r="CB24">
            <v>0</v>
          </cell>
          <cell r="CC24">
            <v>0</v>
          </cell>
        </row>
        <row r="25">
          <cell r="A25" t="str">
            <v>Pension and post retirement benefits expense</v>
          </cell>
          <cell r="D25">
            <v>0</v>
          </cell>
          <cell r="E25">
            <v>0</v>
          </cell>
          <cell r="F25">
            <v>0</v>
          </cell>
          <cell r="G25">
            <v>0</v>
          </cell>
          <cell r="H25">
            <v>0</v>
          </cell>
          <cell r="I25">
            <v>39300</v>
          </cell>
          <cell r="J25">
            <v>13900</v>
          </cell>
          <cell r="K25">
            <v>97100</v>
          </cell>
          <cell r="L25">
            <v>20900</v>
          </cell>
          <cell r="M25">
            <v>162600</v>
          </cell>
          <cell r="N25">
            <v>68700</v>
          </cell>
          <cell r="O25">
            <v>-115300</v>
          </cell>
          <cell r="P25">
            <v>122100</v>
          </cell>
          <cell r="Q25">
            <v>9600</v>
          </cell>
          <cell r="R25">
            <v>57700</v>
          </cell>
          <cell r="S25">
            <v>25232.830874999945</v>
          </cell>
          <cell r="T25">
            <v>13576.028482579082</v>
          </cell>
          <cell r="U25">
            <v>-14564.887737904464</v>
          </cell>
          <cell r="V25">
            <v>-14599.368050633846</v>
          </cell>
          <cell r="W25">
            <v>-14592.500177576716</v>
          </cell>
          <cell r="X25">
            <v>0</v>
          </cell>
          <cell r="AL25">
            <v>8900</v>
          </cell>
          <cell r="AM25">
            <v>-8900</v>
          </cell>
          <cell r="AN25">
            <v>0</v>
          </cell>
          <cell r="AO25">
            <v>39300</v>
          </cell>
          <cell r="AP25">
            <v>3700</v>
          </cell>
          <cell r="AQ25">
            <v>5100</v>
          </cell>
          <cell r="AR25">
            <v>3500</v>
          </cell>
          <cell r="AS25">
            <v>1600</v>
          </cell>
          <cell r="AT25">
            <v>24500</v>
          </cell>
          <cell r="AU25">
            <v>23900</v>
          </cell>
          <cell r="AV25">
            <v>24400</v>
          </cell>
          <cell r="AW25">
            <v>24300</v>
          </cell>
          <cell r="AX25">
            <v>14900</v>
          </cell>
          <cell r="AY25">
            <v>16100</v>
          </cell>
          <cell r="AZ25">
            <v>-25500</v>
          </cell>
          <cell r="BA25">
            <v>15400</v>
          </cell>
          <cell r="BB25">
            <v>-300</v>
          </cell>
          <cell r="BC25">
            <v>0</v>
          </cell>
          <cell r="BD25">
            <v>0</v>
          </cell>
          <cell r="BE25">
            <v>162900</v>
          </cell>
          <cell r="BF25">
            <v>0</v>
          </cell>
          <cell r="BG25">
            <v>0</v>
          </cell>
          <cell r="BH25">
            <v>0</v>
          </cell>
          <cell r="BI25">
            <v>68700</v>
          </cell>
          <cell r="BJ25">
            <v>0</v>
          </cell>
          <cell r="BK25">
            <v>0</v>
          </cell>
          <cell r="BL25">
            <v>0</v>
          </cell>
          <cell r="BM25">
            <v>-115300</v>
          </cell>
          <cell r="BN25">
            <v>0</v>
          </cell>
          <cell r="BO25">
            <v>0</v>
          </cell>
          <cell r="BP25">
            <v>0</v>
          </cell>
          <cell r="BQ25">
            <v>122100</v>
          </cell>
          <cell r="BR25">
            <v>0</v>
          </cell>
          <cell r="BS25">
            <v>0</v>
          </cell>
          <cell r="BT25">
            <v>0</v>
          </cell>
          <cell r="BU25">
            <v>9600</v>
          </cell>
          <cell r="BV25">
            <v>0</v>
          </cell>
          <cell r="BW25">
            <v>0</v>
          </cell>
          <cell r="BX25">
            <v>0</v>
          </cell>
          <cell r="BY25">
            <v>57700</v>
          </cell>
          <cell r="BZ25">
            <v>8410.9436249999817</v>
          </cell>
          <cell r="CA25">
            <v>8410.9436249999817</v>
          </cell>
          <cell r="CB25">
            <v>8410.9436249999817</v>
          </cell>
          <cell r="CC25">
            <v>58285.060000000085</v>
          </cell>
        </row>
        <row r="26">
          <cell r="A26" t="str">
            <v>Amortization of interest rate swaps</v>
          </cell>
          <cell r="D26">
            <v>0</v>
          </cell>
          <cell r="E26">
            <v>0</v>
          </cell>
          <cell r="F26">
            <v>0</v>
          </cell>
          <cell r="G26">
            <v>0</v>
          </cell>
          <cell r="H26">
            <v>0</v>
          </cell>
          <cell r="I26">
            <v>0</v>
          </cell>
          <cell r="J26">
            <v>0</v>
          </cell>
          <cell r="K26">
            <v>0</v>
          </cell>
          <cell r="L26">
            <v>0</v>
          </cell>
          <cell r="M26">
            <v>49000</v>
          </cell>
          <cell r="N26">
            <v>45400</v>
          </cell>
          <cell r="O26">
            <v>35900</v>
          </cell>
          <cell r="P26">
            <v>15800</v>
          </cell>
          <cell r="Q26">
            <v>11600</v>
          </cell>
          <cell r="R26">
            <v>4800</v>
          </cell>
          <cell r="S26">
            <v>6000</v>
          </cell>
          <cell r="T26">
            <v>6000</v>
          </cell>
          <cell r="U26">
            <v>6000</v>
          </cell>
          <cell r="V26">
            <v>6000</v>
          </cell>
          <cell r="W26">
            <v>6000</v>
          </cell>
          <cell r="X26">
            <v>6000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13100</v>
          </cell>
          <cell r="BC26">
            <v>11900</v>
          </cell>
          <cell r="BD26">
            <v>12300</v>
          </cell>
          <cell r="BE26">
            <v>11700</v>
          </cell>
          <cell r="BF26">
            <v>11100</v>
          </cell>
          <cell r="BG26">
            <v>10500</v>
          </cell>
          <cell r="BH26">
            <v>11400</v>
          </cell>
          <cell r="BI26">
            <v>12400</v>
          </cell>
          <cell r="BJ26">
            <v>13200</v>
          </cell>
          <cell r="BK26">
            <v>12400</v>
          </cell>
          <cell r="BL26">
            <v>6000</v>
          </cell>
          <cell r="BM26">
            <v>4300</v>
          </cell>
          <cell r="BN26">
            <v>4200</v>
          </cell>
          <cell r="BO26">
            <v>4100</v>
          </cell>
          <cell r="BP26">
            <v>3900</v>
          </cell>
          <cell r="BQ26">
            <v>3600</v>
          </cell>
          <cell r="BR26">
            <v>3400</v>
          </cell>
          <cell r="BS26">
            <v>3700</v>
          </cell>
          <cell r="BT26">
            <v>2900</v>
          </cell>
          <cell r="BU26">
            <v>1600</v>
          </cell>
          <cell r="BV26">
            <v>1200</v>
          </cell>
          <cell r="BW26">
            <v>1000</v>
          </cell>
          <cell r="BX26">
            <v>800</v>
          </cell>
          <cell r="BY26">
            <v>1800</v>
          </cell>
          <cell r="BZ26">
            <v>1500</v>
          </cell>
          <cell r="CA26">
            <v>1500</v>
          </cell>
          <cell r="CB26">
            <v>0</v>
          </cell>
          <cell r="CC26">
            <v>0</v>
          </cell>
        </row>
        <row r="27">
          <cell r="A27" t="str">
            <v>Redeemable preferred interests of subsidiary</v>
          </cell>
          <cell r="D27">
            <v>602</v>
          </cell>
          <cell r="E27">
            <v>3314</v>
          </cell>
          <cell r="F27">
            <v>231</v>
          </cell>
          <cell r="G27">
            <v>0</v>
          </cell>
          <cell r="H27">
            <v>0</v>
          </cell>
          <cell r="I27">
            <v>0</v>
          </cell>
          <cell r="J27">
            <v>0</v>
          </cell>
          <cell r="K27">
            <v>0</v>
          </cell>
          <cell r="L27">
            <v>0</v>
          </cell>
          <cell r="M27">
            <v>0</v>
          </cell>
          <cell r="N27">
            <v>0</v>
          </cell>
          <cell r="Q27">
            <v>0</v>
          </cell>
          <cell r="R27">
            <v>0</v>
          </cell>
          <cell r="S27">
            <v>0</v>
          </cell>
        </row>
        <row r="28">
          <cell r="A28" t="str">
            <v>Minority interest</v>
          </cell>
          <cell r="D28">
            <v>13</v>
          </cell>
          <cell r="E28">
            <v>254</v>
          </cell>
          <cell r="F28">
            <v>142</v>
          </cell>
          <cell r="G28">
            <v>468</v>
          </cell>
          <cell r="H28">
            <v>0</v>
          </cell>
          <cell r="I28">
            <v>0</v>
          </cell>
          <cell r="J28">
            <v>0</v>
          </cell>
          <cell r="K28">
            <v>0</v>
          </cell>
          <cell r="L28">
            <v>0</v>
          </cell>
          <cell r="M28">
            <v>0</v>
          </cell>
          <cell r="N28">
            <v>0</v>
          </cell>
          <cell r="Q28">
            <v>0</v>
          </cell>
          <cell r="R28">
            <v>0</v>
          </cell>
          <cell r="S28">
            <v>0</v>
          </cell>
          <cell r="Z28">
            <v>1518</v>
          </cell>
          <cell r="AA28">
            <v>1286</v>
          </cell>
          <cell r="AB28">
            <v>367</v>
          </cell>
          <cell r="AC28">
            <v>-3029</v>
          </cell>
          <cell r="AD28">
            <v>468</v>
          </cell>
        </row>
        <row r="29">
          <cell r="A29" t="str">
            <v>Other, net</v>
          </cell>
          <cell r="D29">
            <v>0</v>
          </cell>
          <cell r="E29">
            <v>0</v>
          </cell>
          <cell r="F29">
            <v>0</v>
          </cell>
          <cell r="G29">
            <v>0</v>
          </cell>
          <cell r="H29">
            <v>0</v>
          </cell>
          <cell r="I29">
            <v>15600</v>
          </cell>
          <cell r="J29">
            <v>18100</v>
          </cell>
          <cell r="K29">
            <v>6000</v>
          </cell>
          <cell r="L29">
            <v>15900</v>
          </cell>
          <cell r="M29">
            <v>22300</v>
          </cell>
          <cell r="N29">
            <v>-43200</v>
          </cell>
          <cell r="O29">
            <v>-68300</v>
          </cell>
          <cell r="P29">
            <v>13000</v>
          </cell>
          <cell r="Q29">
            <v>-364100</v>
          </cell>
          <cell r="R29">
            <v>121900</v>
          </cell>
          <cell r="S29">
            <v>-14400</v>
          </cell>
          <cell r="Z29">
            <v>0</v>
          </cell>
          <cell r="AA29">
            <v>0</v>
          </cell>
          <cell r="AB29">
            <v>0</v>
          </cell>
          <cell r="AC29">
            <v>0</v>
          </cell>
          <cell r="AD29">
            <v>0</v>
          </cell>
          <cell r="AE29">
            <v>0</v>
          </cell>
          <cell r="AF29">
            <v>0</v>
          </cell>
          <cell r="AG29">
            <v>0</v>
          </cell>
          <cell r="AH29">
            <v>0</v>
          </cell>
          <cell r="AI29">
            <v>0</v>
          </cell>
          <cell r="AJ29">
            <v>0</v>
          </cell>
          <cell r="AK29">
            <v>0</v>
          </cell>
          <cell r="AL29">
            <v>7200</v>
          </cell>
          <cell r="AM29">
            <v>-7200</v>
          </cell>
          <cell r="AN29">
            <v>0</v>
          </cell>
          <cell r="AO29">
            <v>15600</v>
          </cell>
          <cell r="AP29">
            <v>-2400</v>
          </cell>
          <cell r="AQ29">
            <v>2300</v>
          </cell>
          <cell r="AR29">
            <v>8900</v>
          </cell>
          <cell r="AS29">
            <v>9300</v>
          </cell>
          <cell r="AT29">
            <v>1500</v>
          </cell>
          <cell r="AU29">
            <v>-100</v>
          </cell>
          <cell r="AV29">
            <v>2800</v>
          </cell>
          <cell r="AW29">
            <v>1800</v>
          </cell>
          <cell r="AX29">
            <v>3300</v>
          </cell>
          <cell r="AY29">
            <v>2400</v>
          </cell>
          <cell r="AZ29">
            <v>4800</v>
          </cell>
          <cell r="BA29">
            <v>5400</v>
          </cell>
          <cell r="BB29">
            <v>15700</v>
          </cell>
          <cell r="BC29">
            <v>11100</v>
          </cell>
          <cell r="BD29">
            <v>-6800</v>
          </cell>
          <cell r="BE29">
            <v>2300</v>
          </cell>
          <cell r="BF29">
            <v>-29300</v>
          </cell>
          <cell r="BG29">
            <v>-11200</v>
          </cell>
          <cell r="BH29">
            <v>-1400</v>
          </cell>
          <cell r="BI29">
            <v>-1300</v>
          </cell>
          <cell r="BJ29">
            <v>-61300</v>
          </cell>
          <cell r="BK29">
            <v>-200</v>
          </cell>
          <cell r="BL29">
            <v>4900</v>
          </cell>
          <cell r="BM29">
            <v>-11700</v>
          </cell>
          <cell r="BN29">
            <v>-4900</v>
          </cell>
          <cell r="BO29">
            <v>10600</v>
          </cell>
          <cell r="BP29">
            <v>5800</v>
          </cell>
          <cell r="BQ29">
            <v>1500</v>
          </cell>
          <cell r="BR29">
            <v>6900</v>
          </cell>
          <cell r="BS29">
            <v>-30600</v>
          </cell>
          <cell r="BT29">
            <v>-21300</v>
          </cell>
          <cell r="BU29">
            <v>-319100</v>
          </cell>
          <cell r="BV29">
            <v>153700</v>
          </cell>
          <cell r="BW29">
            <v>-45000</v>
          </cell>
          <cell r="BX29">
            <v>1800</v>
          </cell>
          <cell r="BY29">
            <v>11400</v>
          </cell>
          <cell r="BZ29">
            <v>-14400</v>
          </cell>
          <cell r="CA29">
            <v>5700</v>
          </cell>
        </row>
        <row r="30">
          <cell r="A30" t="str">
            <v>Changes in current assets and current liabilities:</v>
          </cell>
        </row>
        <row r="31">
          <cell r="A31" t="str">
            <v xml:space="preserve">  Accounts receivable</v>
          </cell>
          <cell r="D31">
            <v>-5147</v>
          </cell>
          <cell r="E31">
            <v>3786</v>
          </cell>
          <cell r="F31">
            <v>-6295</v>
          </cell>
          <cell r="G31">
            <v>-3152</v>
          </cell>
          <cell r="H31">
            <v>-40949</v>
          </cell>
          <cell r="I31">
            <v>-12300</v>
          </cell>
          <cell r="J31">
            <v>-25100</v>
          </cell>
          <cell r="K31">
            <v>-3400</v>
          </cell>
          <cell r="L31">
            <v>-42800</v>
          </cell>
          <cell r="M31">
            <v>-188400</v>
          </cell>
          <cell r="N31">
            <v>47500</v>
          </cell>
          <cell r="O31">
            <v>-45800</v>
          </cell>
          <cell r="P31">
            <v>-55000</v>
          </cell>
          <cell r="Q31">
            <v>-69500</v>
          </cell>
          <cell r="R31">
            <v>-15100</v>
          </cell>
          <cell r="S31">
            <v>56212.500852952944</v>
          </cell>
          <cell r="T31">
            <v>-73497.14253857825</v>
          </cell>
          <cell r="U31">
            <v>21241.243226788822</v>
          </cell>
          <cell r="V31">
            <v>18931.460529724136</v>
          </cell>
          <cell r="W31">
            <v>17169.669843205833</v>
          </cell>
          <cell r="X31">
            <v>15547.464836436324</v>
          </cell>
          <cell r="Z31">
            <v>5828</v>
          </cell>
          <cell r="AA31">
            <v>-5790</v>
          </cell>
          <cell r="AB31">
            <v>-1086</v>
          </cell>
          <cell r="AC31">
            <v>-5247</v>
          </cell>
          <cell r="AD31">
            <v>2730</v>
          </cell>
          <cell r="AE31">
            <v>-935</v>
          </cell>
          <cell r="AF31">
            <v>-2776</v>
          </cell>
          <cell r="AG31">
            <v>-2171</v>
          </cell>
          <cell r="AH31">
            <v>4401</v>
          </cell>
          <cell r="AI31">
            <v>204</v>
          </cell>
          <cell r="AJ31">
            <v>-35601</v>
          </cell>
          <cell r="AK31">
            <v>-9953</v>
          </cell>
          <cell r="AL31">
            <v>16800</v>
          </cell>
          <cell r="AN31">
            <v>-41600</v>
          </cell>
          <cell r="AO31">
            <v>12500</v>
          </cell>
          <cell r="AP31">
            <v>-3300</v>
          </cell>
          <cell r="AQ31">
            <v>-11000</v>
          </cell>
          <cell r="AR31">
            <v>-13600</v>
          </cell>
          <cell r="AS31">
            <v>2800</v>
          </cell>
          <cell r="AT31">
            <v>19400</v>
          </cell>
          <cell r="AU31">
            <v>-20000</v>
          </cell>
          <cell r="AV31">
            <v>-9900</v>
          </cell>
          <cell r="AW31">
            <v>7100</v>
          </cell>
          <cell r="AX31">
            <v>1700</v>
          </cell>
          <cell r="AY31">
            <v>-9200</v>
          </cell>
          <cell r="AZ31">
            <v>-20600</v>
          </cell>
          <cell r="BA31">
            <v>-14700</v>
          </cell>
          <cell r="BB31">
            <v>-7700</v>
          </cell>
          <cell r="BC31">
            <v>-13800</v>
          </cell>
          <cell r="BD31">
            <v>-27100</v>
          </cell>
          <cell r="BE31">
            <v>-139800</v>
          </cell>
          <cell r="BF31">
            <v>111200</v>
          </cell>
          <cell r="BG31">
            <v>-11200</v>
          </cell>
          <cell r="BH31">
            <v>-49600</v>
          </cell>
          <cell r="BI31">
            <v>-2900</v>
          </cell>
          <cell r="BJ31">
            <v>3900</v>
          </cell>
          <cell r="BK31">
            <v>-36600</v>
          </cell>
          <cell r="BL31">
            <v>-37200</v>
          </cell>
          <cell r="BM31">
            <v>24100</v>
          </cell>
          <cell r="BN31">
            <v>-9700</v>
          </cell>
          <cell r="BO31">
            <v>-9000</v>
          </cell>
          <cell r="BP31">
            <v>-2100</v>
          </cell>
          <cell r="BQ31">
            <v>-34200</v>
          </cell>
          <cell r="BR31">
            <v>-33300</v>
          </cell>
          <cell r="BS31">
            <v>-20400</v>
          </cell>
          <cell r="BT31">
            <v>-5200</v>
          </cell>
          <cell r="BU31">
            <v>-10600</v>
          </cell>
          <cell r="BV31">
            <v>-2000</v>
          </cell>
          <cell r="BW31">
            <v>-200</v>
          </cell>
          <cell r="BX31">
            <v>-33700</v>
          </cell>
          <cell r="BY31">
            <v>20800</v>
          </cell>
          <cell r="BZ31">
            <v>33800</v>
          </cell>
          <cell r="CA31">
            <v>8331.7341731321067</v>
          </cell>
          <cell r="CB31">
            <v>7473.4820085590472</v>
          </cell>
          <cell r="CC31">
            <v>6607.2846712617902</v>
          </cell>
        </row>
        <row r="32">
          <cell r="A32" t="str">
            <v xml:space="preserve">  Inventories</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833.71822840196546</v>
          </cell>
          <cell r="T32">
            <v>2168.5400451277674</v>
          </cell>
          <cell r="U32">
            <v>1968.5231954144401</v>
          </cell>
          <cell r="V32">
            <v>1724.5877891368</v>
          </cell>
          <cell r="W32">
            <v>1541.5452103892021</v>
          </cell>
          <cell r="X32">
            <v>1371.2525361154258</v>
          </cell>
          <cell r="AQ32">
            <v>0</v>
          </cell>
          <cell r="BZ32">
            <v>-12754.039856657706</v>
          </cell>
          <cell r="CA32">
            <v>-247.52555192458385</v>
          </cell>
          <cell r="CB32">
            <v>-2368.2925653138955</v>
          </cell>
          <cell r="CC32">
            <v>-2401.9149879011675</v>
          </cell>
        </row>
        <row r="33">
          <cell r="A33" t="str">
            <v xml:space="preserve">  Prepaid income taxes</v>
          </cell>
          <cell r="D33">
            <v>0</v>
          </cell>
          <cell r="E33">
            <v>0</v>
          </cell>
          <cell r="F33">
            <v>0</v>
          </cell>
          <cell r="G33">
            <v>0</v>
          </cell>
          <cell r="H33">
            <v>0</v>
          </cell>
          <cell r="I33">
            <v>0</v>
          </cell>
          <cell r="J33">
            <v>0</v>
          </cell>
          <cell r="K33">
            <v>0</v>
          </cell>
          <cell r="L33">
            <v>-12200</v>
          </cell>
          <cell r="M33">
            <v>57800</v>
          </cell>
          <cell r="N33">
            <v>-13800</v>
          </cell>
          <cell r="O33">
            <v>-7100</v>
          </cell>
          <cell r="P33">
            <v>-9800</v>
          </cell>
          <cell r="Q33">
            <v>17900</v>
          </cell>
          <cell r="R33">
            <v>-10500</v>
          </cell>
          <cell r="S33">
            <v>-5600</v>
          </cell>
          <cell r="T33">
            <v>0</v>
          </cell>
          <cell r="U33">
            <v>0</v>
          </cell>
          <cell r="V33">
            <v>0</v>
          </cell>
          <cell r="W33">
            <v>0</v>
          </cell>
          <cell r="X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-12200</v>
          </cell>
          <cell r="BB33">
            <v>-26400</v>
          </cell>
          <cell r="BC33">
            <v>16400</v>
          </cell>
          <cell r="BD33">
            <v>-37600</v>
          </cell>
          <cell r="BE33">
            <v>105400</v>
          </cell>
          <cell r="BF33">
            <v>-15700</v>
          </cell>
          <cell r="BG33">
            <v>3500</v>
          </cell>
          <cell r="BH33">
            <v>-1200</v>
          </cell>
          <cell r="BI33">
            <v>-400</v>
          </cell>
          <cell r="BJ33">
            <v>-11400</v>
          </cell>
          <cell r="BK33">
            <v>10800</v>
          </cell>
          <cell r="BL33">
            <v>4300</v>
          </cell>
          <cell r="BM33">
            <v>-10800</v>
          </cell>
          <cell r="BN33">
            <v>-9600</v>
          </cell>
          <cell r="BO33">
            <v>12800</v>
          </cell>
          <cell r="BP33">
            <v>-1100</v>
          </cell>
          <cell r="BQ33">
            <v>-11900</v>
          </cell>
          <cell r="BR33">
            <v>-3100</v>
          </cell>
          <cell r="BS33">
            <v>10200</v>
          </cell>
          <cell r="BT33">
            <v>-4800</v>
          </cell>
          <cell r="BU33">
            <v>15600</v>
          </cell>
          <cell r="BV33">
            <v>-18300</v>
          </cell>
          <cell r="BW33">
            <v>4400</v>
          </cell>
          <cell r="BX33">
            <v>-2200</v>
          </cell>
          <cell r="BY33">
            <v>5600</v>
          </cell>
          <cell r="BZ33">
            <v>-5600</v>
          </cell>
          <cell r="CA33">
            <v>16600</v>
          </cell>
        </row>
        <row r="34">
          <cell r="A34" t="str">
            <v xml:space="preserve">  Accounts payable</v>
          </cell>
          <cell r="D34">
            <v>3235</v>
          </cell>
          <cell r="E34">
            <v>-6668</v>
          </cell>
          <cell r="F34">
            <v>-8611</v>
          </cell>
          <cell r="G34">
            <v>774</v>
          </cell>
          <cell r="H34">
            <v>20554</v>
          </cell>
          <cell r="I34">
            <v>-3000</v>
          </cell>
          <cell r="J34">
            <v>-27600</v>
          </cell>
          <cell r="K34">
            <v>9600</v>
          </cell>
          <cell r="L34">
            <v>-18100</v>
          </cell>
          <cell r="M34">
            <v>23500</v>
          </cell>
          <cell r="N34">
            <v>63600</v>
          </cell>
          <cell r="O34">
            <v>-21000</v>
          </cell>
          <cell r="P34">
            <v>-13100</v>
          </cell>
          <cell r="Q34">
            <v>31100</v>
          </cell>
          <cell r="R34">
            <v>-47200</v>
          </cell>
          <cell r="S34">
            <v>-27130.346531866584</v>
          </cell>
          <cell r="T34">
            <v>-8139.261340145953</v>
          </cell>
          <cell r="U34">
            <v>-8657.6017210303107</v>
          </cell>
          <cell r="V34">
            <v>-7589.0714189115679</v>
          </cell>
          <cell r="W34">
            <v>-6786.8934256384382</v>
          </cell>
          <cell r="X34">
            <v>-6040.8165530018159</v>
          </cell>
          <cell r="Z34">
            <v>-1040</v>
          </cell>
          <cell r="AA34">
            <v>2349</v>
          </cell>
          <cell r="AB34">
            <v>-3252</v>
          </cell>
          <cell r="AC34">
            <v>-6668</v>
          </cell>
          <cell r="AD34">
            <v>1515</v>
          </cell>
          <cell r="AE34">
            <v>-283</v>
          </cell>
          <cell r="AF34">
            <v>3825</v>
          </cell>
          <cell r="AG34">
            <v>-4283</v>
          </cell>
          <cell r="AH34">
            <v>2612</v>
          </cell>
          <cell r="AI34">
            <v>1353</v>
          </cell>
          <cell r="AJ34">
            <v>24570</v>
          </cell>
          <cell r="AK34">
            <v>-7981</v>
          </cell>
          <cell r="AN34">
            <v>-4300</v>
          </cell>
          <cell r="AO34">
            <v>1300</v>
          </cell>
          <cell r="AP34">
            <v>0</v>
          </cell>
          <cell r="AQ34">
            <v>-17300</v>
          </cell>
          <cell r="AR34">
            <v>8600</v>
          </cell>
          <cell r="AS34">
            <v>-18900</v>
          </cell>
          <cell r="AT34">
            <v>-17100</v>
          </cell>
          <cell r="AU34">
            <v>2900</v>
          </cell>
          <cell r="AV34">
            <v>12100</v>
          </cell>
          <cell r="AW34">
            <v>11700</v>
          </cell>
          <cell r="AX34">
            <v>-17200</v>
          </cell>
          <cell r="AY34">
            <v>-11100</v>
          </cell>
          <cell r="AZ34">
            <v>-6600</v>
          </cell>
          <cell r="BA34">
            <v>16800</v>
          </cell>
          <cell r="BB34">
            <v>18900</v>
          </cell>
          <cell r="BC34">
            <v>3700</v>
          </cell>
          <cell r="BD34">
            <v>9300</v>
          </cell>
          <cell r="BE34">
            <v>-8400</v>
          </cell>
          <cell r="BF34">
            <v>22800</v>
          </cell>
          <cell r="BG34">
            <v>-26100</v>
          </cell>
          <cell r="BH34">
            <v>1100</v>
          </cell>
          <cell r="BI34">
            <v>65800</v>
          </cell>
          <cell r="BJ34">
            <v>-69200</v>
          </cell>
          <cell r="BK34">
            <v>35400</v>
          </cell>
          <cell r="BL34">
            <v>59600</v>
          </cell>
          <cell r="BM34">
            <v>-46800</v>
          </cell>
          <cell r="BN34">
            <v>-46100</v>
          </cell>
          <cell r="BO34">
            <v>7300</v>
          </cell>
          <cell r="BP34">
            <v>-10400</v>
          </cell>
          <cell r="BQ34">
            <v>36100</v>
          </cell>
          <cell r="BR34">
            <v>-64200</v>
          </cell>
          <cell r="BS34">
            <v>35000</v>
          </cell>
          <cell r="BT34">
            <v>-8700</v>
          </cell>
          <cell r="BU34">
            <v>69000</v>
          </cell>
          <cell r="BV34">
            <v>-100200</v>
          </cell>
          <cell r="BW34">
            <v>19300</v>
          </cell>
          <cell r="BX34">
            <v>-10400</v>
          </cell>
          <cell r="BY34">
            <v>44100</v>
          </cell>
          <cell r="BZ34">
            <v>-61500</v>
          </cell>
          <cell r="CA34">
            <v>26318.099657134444</v>
          </cell>
          <cell r="CB34">
            <v>1741.1277278814814</v>
          </cell>
          <cell r="CC34">
            <v>6310.4260831174906</v>
          </cell>
        </row>
        <row r="35">
          <cell r="A35" t="str">
            <v xml:space="preserve">  Accrued interest</v>
          </cell>
          <cell r="D35">
            <v>-1466</v>
          </cell>
          <cell r="E35">
            <v>-401</v>
          </cell>
          <cell r="F35">
            <v>2281</v>
          </cell>
          <cell r="G35">
            <v>8234</v>
          </cell>
          <cell r="H35">
            <v>130976</v>
          </cell>
          <cell r="I35">
            <v>-9100</v>
          </cell>
          <cell r="J35">
            <v>-1100</v>
          </cell>
          <cell r="K35">
            <v>4400</v>
          </cell>
          <cell r="L35">
            <v>20600</v>
          </cell>
          <cell r="M35">
            <v>-99100</v>
          </cell>
          <cell r="N35">
            <v>-40800</v>
          </cell>
          <cell r="O35">
            <v>-10200</v>
          </cell>
          <cell r="P35">
            <v>-3100</v>
          </cell>
          <cell r="Q35">
            <v>-26400</v>
          </cell>
          <cell r="R35">
            <v>-20100</v>
          </cell>
          <cell r="S35">
            <v>-20160.716925784815</v>
          </cell>
          <cell r="T35">
            <v>-14320.797955934009</v>
          </cell>
          <cell r="U35">
            <v>-14320.797955934009</v>
          </cell>
          <cell r="V35">
            <v>-14320.797955934009</v>
          </cell>
          <cell r="Z35">
            <v>7814</v>
          </cell>
          <cell r="AA35">
            <v>-8494</v>
          </cell>
          <cell r="AB35">
            <v>7605</v>
          </cell>
          <cell r="AC35">
            <v>-4644</v>
          </cell>
          <cell r="AD35">
            <v>-1179</v>
          </cell>
          <cell r="AE35">
            <v>7454</v>
          </cell>
          <cell r="AF35">
            <v>-5927</v>
          </cell>
          <cell r="AG35">
            <v>7886</v>
          </cell>
          <cell r="AH35">
            <v>-9688</v>
          </cell>
          <cell r="AI35">
            <v>7753</v>
          </cell>
          <cell r="AJ35">
            <v>74495</v>
          </cell>
          <cell r="AK35">
            <v>58416</v>
          </cell>
          <cell r="AL35">
            <v>-83900</v>
          </cell>
          <cell r="AM35">
            <v>0</v>
          </cell>
          <cell r="AN35">
            <v>9900</v>
          </cell>
          <cell r="AO35">
            <v>64900</v>
          </cell>
          <cell r="AP35">
            <v>-68900</v>
          </cell>
          <cell r="AQ35">
            <v>66800</v>
          </cell>
          <cell r="AR35">
            <v>-67700</v>
          </cell>
          <cell r="AS35">
            <v>68700</v>
          </cell>
          <cell r="AT35">
            <v>-72700</v>
          </cell>
          <cell r="AU35">
            <v>66400</v>
          </cell>
          <cell r="AV35">
            <v>-68000</v>
          </cell>
          <cell r="AW35">
            <v>78700</v>
          </cell>
          <cell r="AX35">
            <v>-48000</v>
          </cell>
          <cell r="AY35">
            <v>0</v>
          </cell>
          <cell r="AZ35">
            <v>8500</v>
          </cell>
          <cell r="BA35">
            <v>60100</v>
          </cell>
          <cell r="BB35">
            <v>-75500</v>
          </cell>
          <cell r="BC35">
            <v>15900</v>
          </cell>
          <cell r="BD35">
            <v>4900</v>
          </cell>
          <cell r="BE35">
            <v>-44400</v>
          </cell>
          <cell r="BF35">
            <v>10000</v>
          </cell>
          <cell r="BG35">
            <v>-38400</v>
          </cell>
          <cell r="BH35">
            <v>22900</v>
          </cell>
          <cell r="BI35">
            <v>-35300</v>
          </cell>
          <cell r="BJ35">
            <v>47200</v>
          </cell>
          <cell r="BK35">
            <v>-31600</v>
          </cell>
          <cell r="BL35">
            <v>23900</v>
          </cell>
          <cell r="BM35">
            <v>-49700</v>
          </cell>
          <cell r="BN35">
            <v>66000</v>
          </cell>
          <cell r="BO35">
            <v>-68300</v>
          </cell>
          <cell r="BP35">
            <v>67100</v>
          </cell>
          <cell r="BQ35">
            <v>-67900</v>
          </cell>
          <cell r="BR35">
            <v>67400</v>
          </cell>
          <cell r="BS35">
            <v>-87600</v>
          </cell>
          <cell r="BT35">
            <v>54400</v>
          </cell>
          <cell r="BU35">
            <v>-60600</v>
          </cell>
          <cell r="BV35">
            <v>39800</v>
          </cell>
          <cell r="BW35">
            <v>-51800</v>
          </cell>
          <cell r="BX35">
            <v>26800</v>
          </cell>
          <cell r="BY35">
            <v>-34900</v>
          </cell>
          <cell r="BZ35">
            <v>29900</v>
          </cell>
          <cell r="CA35">
            <v>-39803.868215825518</v>
          </cell>
          <cell r="CB35">
            <v>32798.386748433863</v>
          </cell>
          <cell r="CC35">
            <v>-43055.235458393159</v>
          </cell>
        </row>
        <row r="36">
          <cell r="A36" t="str">
            <v xml:space="preserve">  Other current assets and current liabilities, net</v>
          </cell>
          <cell r="D36">
            <v>6669</v>
          </cell>
          <cell r="E36">
            <v>3316</v>
          </cell>
          <cell r="F36">
            <v>6556</v>
          </cell>
          <cell r="G36">
            <v>-2937</v>
          </cell>
          <cell r="H36">
            <v>77071</v>
          </cell>
          <cell r="I36">
            <v>-49600</v>
          </cell>
          <cell r="J36">
            <v>-8900</v>
          </cell>
          <cell r="K36">
            <v>-18700</v>
          </cell>
          <cell r="L36">
            <v>-55700</v>
          </cell>
          <cell r="M36">
            <v>-5600</v>
          </cell>
          <cell r="N36">
            <v>-29500</v>
          </cell>
          <cell r="O36">
            <v>-13000</v>
          </cell>
          <cell r="P36">
            <v>-8200</v>
          </cell>
          <cell r="Q36">
            <v>-11600</v>
          </cell>
          <cell r="R36">
            <v>-7800</v>
          </cell>
          <cell r="S36">
            <v>-46454.563756254152</v>
          </cell>
          <cell r="T36">
            <v>-6098.5337691610039</v>
          </cell>
          <cell r="U36">
            <v>-5965.5791127065895</v>
          </cell>
          <cell r="V36">
            <v>-5316.8792571763915</v>
          </cell>
          <cell r="W36">
            <v>-4822.0823374179017</v>
          </cell>
          <cell r="X36">
            <v>-4366.4878977898916</v>
          </cell>
          <cell r="Z36">
            <v>-4095</v>
          </cell>
          <cell r="AA36">
            <v>2530</v>
          </cell>
          <cell r="AB36">
            <v>8735</v>
          </cell>
          <cell r="AC36">
            <v>-614</v>
          </cell>
          <cell r="AD36">
            <v>-6890</v>
          </cell>
          <cell r="AE36">
            <v>-1878</v>
          </cell>
          <cell r="AF36">
            <v>4577</v>
          </cell>
          <cell r="AG36">
            <v>1254</v>
          </cell>
          <cell r="AH36">
            <v>-7026</v>
          </cell>
          <cell r="AI36">
            <v>457</v>
          </cell>
          <cell r="AJ36">
            <v>110649</v>
          </cell>
          <cell r="AK36">
            <v>-27009</v>
          </cell>
          <cell r="AL36">
            <v>23600</v>
          </cell>
          <cell r="AM36">
            <v>-32400</v>
          </cell>
          <cell r="AN36">
            <v>-10200</v>
          </cell>
          <cell r="AO36">
            <v>-30600</v>
          </cell>
          <cell r="AP36">
            <v>16600</v>
          </cell>
          <cell r="AQ36">
            <v>-55200</v>
          </cell>
          <cell r="AR36">
            <v>28000</v>
          </cell>
          <cell r="AS36">
            <v>1700</v>
          </cell>
          <cell r="AT36">
            <v>-5600</v>
          </cell>
          <cell r="AU36">
            <v>-12800</v>
          </cell>
          <cell r="AV36">
            <v>-17500</v>
          </cell>
          <cell r="AW36">
            <v>17200</v>
          </cell>
          <cell r="AX36">
            <v>3600</v>
          </cell>
          <cell r="AY36">
            <v>31000</v>
          </cell>
          <cell r="AZ36">
            <v>-98600</v>
          </cell>
          <cell r="BA36">
            <v>8300</v>
          </cell>
          <cell r="BB36">
            <v>-20200</v>
          </cell>
          <cell r="BC36">
            <v>4600</v>
          </cell>
          <cell r="BD36">
            <v>8100</v>
          </cell>
          <cell r="BE36">
            <v>1900</v>
          </cell>
          <cell r="BF36">
            <v>-56900</v>
          </cell>
          <cell r="BG36">
            <v>5900</v>
          </cell>
          <cell r="BH36">
            <v>7200</v>
          </cell>
          <cell r="BI36">
            <v>14300</v>
          </cell>
          <cell r="BJ36">
            <v>-25600</v>
          </cell>
          <cell r="BK36">
            <v>1400</v>
          </cell>
          <cell r="BL36">
            <v>500</v>
          </cell>
          <cell r="BM36">
            <v>10700</v>
          </cell>
          <cell r="BN36">
            <v>-20100</v>
          </cell>
          <cell r="BO36">
            <v>3400</v>
          </cell>
          <cell r="BP36">
            <v>-17500</v>
          </cell>
          <cell r="BQ36">
            <v>26000</v>
          </cell>
          <cell r="BR36">
            <v>-24800</v>
          </cell>
          <cell r="BS36">
            <v>12300</v>
          </cell>
          <cell r="BT36">
            <v>24100</v>
          </cell>
          <cell r="BU36">
            <v>-23200</v>
          </cell>
          <cell r="BV36">
            <v>-5800</v>
          </cell>
          <cell r="BW36">
            <v>19100</v>
          </cell>
          <cell r="BX36">
            <v>-5000</v>
          </cell>
          <cell r="BY36">
            <v>-16100</v>
          </cell>
          <cell r="BZ36">
            <v>-35700</v>
          </cell>
          <cell r="CA36">
            <v>-4793.3368845377408</v>
          </cell>
          <cell r="CB36">
            <v>-3727.3490249575989</v>
          </cell>
          <cell r="CC36">
            <v>-2233.8778467588127</v>
          </cell>
        </row>
        <row r="37">
          <cell r="A37" t="str">
            <v xml:space="preserve">  Other, net</v>
          </cell>
          <cell r="D37">
            <v>2551</v>
          </cell>
          <cell r="E37">
            <v>4805</v>
          </cell>
          <cell r="F37">
            <v>-330</v>
          </cell>
          <cell r="G37">
            <v>-7461</v>
          </cell>
          <cell r="H37">
            <v>-6268</v>
          </cell>
          <cell r="I37">
            <v>22100</v>
          </cell>
          <cell r="J37">
            <v>15800</v>
          </cell>
          <cell r="K37">
            <v>-4700</v>
          </cell>
          <cell r="L37">
            <v>-24700</v>
          </cell>
          <cell r="M37">
            <v>-56700</v>
          </cell>
          <cell r="N37">
            <v>25300</v>
          </cell>
          <cell r="O37">
            <v>-61500</v>
          </cell>
          <cell r="P37">
            <v>-24600</v>
          </cell>
          <cell r="Q37">
            <v>-52000</v>
          </cell>
          <cell r="R37">
            <v>13600</v>
          </cell>
          <cell r="S37">
            <v>-55600</v>
          </cell>
          <cell r="T37">
            <v>-55600</v>
          </cell>
          <cell r="U37">
            <v>-55600</v>
          </cell>
          <cell r="V37">
            <v>-55600</v>
          </cell>
          <cell r="W37">
            <v>-55600</v>
          </cell>
          <cell r="X37">
            <v>-55600</v>
          </cell>
          <cell r="Z37">
            <v>2408</v>
          </cell>
          <cell r="AA37">
            <v>1829</v>
          </cell>
          <cell r="AB37">
            <v>-823</v>
          </cell>
          <cell r="AD37">
            <v>2020</v>
          </cell>
          <cell r="AE37">
            <v>588</v>
          </cell>
          <cell r="AF37">
            <v>-12070</v>
          </cell>
          <cell r="AG37">
            <v>2001</v>
          </cell>
          <cell r="AH37">
            <v>1286</v>
          </cell>
          <cell r="AI37">
            <v>1991</v>
          </cell>
          <cell r="AJ37">
            <v>7597</v>
          </cell>
          <cell r="AK37">
            <v>-17142</v>
          </cell>
          <cell r="AL37">
            <v>15900</v>
          </cell>
          <cell r="AM37">
            <v>91900</v>
          </cell>
          <cell r="AN37">
            <v>-61800</v>
          </cell>
          <cell r="AO37">
            <v>-23900</v>
          </cell>
          <cell r="AP37">
            <v>-6200</v>
          </cell>
          <cell r="AQ37">
            <v>-200</v>
          </cell>
          <cell r="AR37">
            <v>300</v>
          </cell>
          <cell r="AS37">
            <v>21900</v>
          </cell>
          <cell r="AT37">
            <v>-6100</v>
          </cell>
          <cell r="AU37">
            <v>-8100</v>
          </cell>
          <cell r="AV37">
            <v>4200</v>
          </cell>
          <cell r="AW37">
            <v>5300</v>
          </cell>
          <cell r="AX37">
            <v>-33500</v>
          </cell>
          <cell r="AY37">
            <v>200</v>
          </cell>
          <cell r="AZ37">
            <v>48000</v>
          </cell>
          <cell r="BA37">
            <v>-39400</v>
          </cell>
          <cell r="BB37">
            <v>-5300</v>
          </cell>
          <cell r="BC37">
            <v>-31000</v>
          </cell>
          <cell r="BD37">
            <v>-19400</v>
          </cell>
          <cell r="BE37">
            <v>-1000</v>
          </cell>
          <cell r="BF37">
            <v>-44800</v>
          </cell>
          <cell r="BG37">
            <v>48900</v>
          </cell>
          <cell r="BH37">
            <v>-13600</v>
          </cell>
          <cell r="BI37">
            <v>34800</v>
          </cell>
          <cell r="BJ37">
            <v>-29400</v>
          </cell>
          <cell r="BK37">
            <v>-100</v>
          </cell>
          <cell r="BL37">
            <v>-26500</v>
          </cell>
          <cell r="BM37">
            <v>-5500</v>
          </cell>
          <cell r="BN37">
            <v>-50200</v>
          </cell>
          <cell r="BO37">
            <v>17000</v>
          </cell>
          <cell r="BP37">
            <v>2100</v>
          </cell>
          <cell r="BQ37">
            <v>6500</v>
          </cell>
          <cell r="BR37">
            <v>-45800</v>
          </cell>
          <cell r="BS37">
            <v>5900</v>
          </cell>
          <cell r="BT37">
            <v>-16700</v>
          </cell>
          <cell r="BU37">
            <v>4600</v>
          </cell>
          <cell r="BV37">
            <v>-10000</v>
          </cell>
          <cell r="BW37">
            <v>33900</v>
          </cell>
          <cell r="BX37">
            <v>-17400</v>
          </cell>
          <cell r="BY37">
            <v>7100</v>
          </cell>
          <cell r="BZ37">
            <v>-13900</v>
          </cell>
          <cell r="CA37">
            <v>-13900</v>
          </cell>
          <cell r="CB37">
            <v>-13900</v>
          </cell>
          <cell r="CC37">
            <v>-13900</v>
          </cell>
        </row>
        <row r="38">
          <cell r="A38" t="str">
            <v>Operating Cash Flow</v>
          </cell>
          <cell r="D38">
            <v>150383</v>
          </cell>
          <cell r="E38">
            <v>166065</v>
          </cell>
          <cell r="F38">
            <v>143716</v>
          </cell>
          <cell r="G38">
            <v>191091</v>
          </cell>
          <cell r="H38">
            <v>1125207</v>
          </cell>
          <cell r="I38">
            <v>1033700</v>
          </cell>
          <cell r="J38">
            <v>1080400</v>
          </cell>
          <cell r="K38">
            <v>1120800</v>
          </cell>
          <cell r="L38">
            <v>1094500</v>
          </cell>
          <cell r="M38">
            <v>1228800</v>
          </cell>
          <cell r="N38">
            <v>1777600</v>
          </cell>
          <cell r="O38">
            <v>1519400</v>
          </cell>
          <cell r="P38">
            <v>1467300</v>
          </cell>
          <cell r="Q38">
            <v>1026600</v>
          </cell>
          <cell r="R38">
            <v>924400</v>
          </cell>
          <cell r="S38">
            <v>1024673.9849831476</v>
          </cell>
          <cell r="T38">
            <v>1094359.0231925228</v>
          </cell>
          <cell r="U38">
            <v>1091362.4928237912</v>
          </cell>
          <cell r="V38">
            <v>1049448.9838497865</v>
          </cell>
          <cell r="W38">
            <v>998437.44899808965</v>
          </cell>
          <cell r="X38">
            <v>1001752.4596066969</v>
          </cell>
          <cell r="Z38">
            <v>50109</v>
          </cell>
          <cell r="AA38">
            <v>30555</v>
          </cell>
          <cell r="AB38">
            <v>44630</v>
          </cell>
          <cell r="AC38">
            <v>20590</v>
          </cell>
          <cell r="AD38">
            <v>40489</v>
          </cell>
          <cell r="AE38">
            <v>58188</v>
          </cell>
          <cell r="AF38">
            <v>37342</v>
          </cell>
          <cell r="AG38">
            <v>55072</v>
          </cell>
          <cell r="AH38">
            <v>41875</v>
          </cell>
          <cell r="AI38">
            <v>61513</v>
          </cell>
          <cell r="AJ38">
            <v>764946</v>
          </cell>
          <cell r="AK38">
            <v>256873</v>
          </cell>
          <cell r="AL38">
            <v>215300</v>
          </cell>
          <cell r="AM38">
            <v>298200</v>
          </cell>
          <cell r="AN38">
            <v>170300</v>
          </cell>
          <cell r="AO38">
            <v>349900</v>
          </cell>
          <cell r="AP38">
            <v>215100</v>
          </cell>
          <cell r="AQ38">
            <v>291800</v>
          </cell>
          <cell r="AR38">
            <v>222900</v>
          </cell>
          <cell r="AS38">
            <v>350600</v>
          </cell>
          <cell r="AT38">
            <v>215000</v>
          </cell>
          <cell r="AU38">
            <v>284200</v>
          </cell>
          <cell r="AV38">
            <v>242200</v>
          </cell>
          <cell r="AW38">
            <v>379400</v>
          </cell>
          <cell r="AX38">
            <v>173500</v>
          </cell>
          <cell r="AY38">
            <v>285100</v>
          </cell>
          <cell r="AZ38">
            <v>252900</v>
          </cell>
          <cell r="BA38">
            <v>383000</v>
          </cell>
          <cell r="BB38">
            <v>212300</v>
          </cell>
          <cell r="BC38">
            <v>374400</v>
          </cell>
          <cell r="BD38">
            <v>329700</v>
          </cell>
          <cell r="BE38">
            <v>312400</v>
          </cell>
          <cell r="BF38">
            <v>438800</v>
          </cell>
          <cell r="BG38">
            <v>398000</v>
          </cell>
          <cell r="BH38">
            <v>406800</v>
          </cell>
          <cell r="BI38">
            <v>534000</v>
          </cell>
          <cell r="BJ38">
            <v>304600</v>
          </cell>
          <cell r="BK38">
            <v>408000</v>
          </cell>
          <cell r="BL38">
            <v>448100</v>
          </cell>
          <cell r="BM38">
            <v>358700</v>
          </cell>
          <cell r="BN38">
            <v>319800</v>
          </cell>
          <cell r="BO38">
            <v>361800</v>
          </cell>
          <cell r="BP38">
            <v>431000</v>
          </cell>
          <cell r="BQ38">
            <v>354700</v>
          </cell>
          <cell r="BR38">
            <v>243800</v>
          </cell>
          <cell r="BS38">
            <v>136200</v>
          </cell>
          <cell r="BT38">
            <v>376300</v>
          </cell>
          <cell r="BU38">
            <v>270300</v>
          </cell>
          <cell r="BV38">
            <v>127200</v>
          </cell>
          <cell r="BW38">
            <v>297300</v>
          </cell>
          <cell r="BX38">
            <v>197600</v>
          </cell>
          <cell r="BY38">
            <v>302300</v>
          </cell>
          <cell r="BZ38">
            <v>132500</v>
          </cell>
          <cell r="CA38">
            <v>289912.34658495849</v>
          </cell>
          <cell r="CB38">
            <v>343818.82309052756</v>
          </cell>
          <cell r="CC38">
            <v>258442.81530766166</v>
          </cell>
        </row>
        <row r="40">
          <cell r="A40" t="str">
            <v>Investing activities</v>
          </cell>
          <cell r="D40" t="str">
            <v/>
          </cell>
          <cell r="E40" t="str">
            <v/>
          </cell>
          <cell r="F40" t="str">
            <v/>
          </cell>
          <cell r="Z40">
            <v>0.25416253338420453</v>
          </cell>
          <cell r="AA40">
            <v>0.28843773584905663</v>
          </cell>
          <cell r="AB40">
            <v>0.26415315753298352</v>
          </cell>
          <cell r="AC40">
            <v>0.23717590475706615</v>
          </cell>
          <cell r="AD40">
            <v>0.30284917661409777</v>
          </cell>
          <cell r="AE40">
            <v>0.24900477707006369</v>
          </cell>
          <cell r="AF40">
            <v>0.29434042883778744</v>
          </cell>
          <cell r="AG40">
            <v>4.8113623161284536E-2</v>
          </cell>
        </row>
        <row r="41">
          <cell r="A41" t="str">
            <v>Acquisition/sale, net of cash acquired</v>
          </cell>
          <cell r="D41">
            <v>-128135</v>
          </cell>
          <cell r="E41" t="str">
            <v/>
          </cell>
          <cell r="F41">
            <v>-1500</v>
          </cell>
          <cell r="G41">
            <v>0</v>
          </cell>
          <cell r="H41">
            <v>69050</v>
          </cell>
          <cell r="I41">
            <v>-506800</v>
          </cell>
          <cell r="J41">
            <v>74500</v>
          </cell>
          <cell r="K41">
            <v>-195300</v>
          </cell>
          <cell r="L41">
            <v>-1043900</v>
          </cell>
          <cell r="M41">
            <v>0</v>
          </cell>
          <cell r="N41">
            <v>0</v>
          </cell>
          <cell r="Q41">
            <v>0</v>
          </cell>
          <cell r="R41">
            <v>0</v>
          </cell>
          <cell r="S41">
            <v>0</v>
          </cell>
          <cell r="T41">
            <v>0</v>
          </cell>
          <cell r="U41">
            <v>0</v>
          </cell>
          <cell r="V41">
            <v>0</v>
          </cell>
          <cell r="W41">
            <v>0</v>
          </cell>
          <cell r="X41">
            <v>0</v>
          </cell>
          <cell r="AJ41">
            <v>69050</v>
          </cell>
          <cell r="AK41">
            <v>0</v>
          </cell>
          <cell r="AL41">
            <v>0</v>
          </cell>
          <cell r="AM41">
            <v>0</v>
          </cell>
          <cell r="AN41">
            <v>-547600</v>
          </cell>
          <cell r="AO41">
            <v>40800</v>
          </cell>
          <cell r="AP41">
            <v>16400</v>
          </cell>
          <cell r="AQ41">
            <v>900</v>
          </cell>
          <cell r="AR41">
            <v>0</v>
          </cell>
          <cell r="AS41">
            <v>57200</v>
          </cell>
          <cell r="AW41">
            <v>-195300</v>
          </cell>
          <cell r="AX41">
            <v>-198400</v>
          </cell>
          <cell r="AY41">
            <v>-253600</v>
          </cell>
          <cell r="AZ41">
            <v>0</v>
          </cell>
          <cell r="BA41">
            <v>-591900</v>
          </cell>
          <cell r="BB41">
            <v>0</v>
          </cell>
          <cell r="BC41">
            <v>0</v>
          </cell>
          <cell r="BD41">
            <v>0</v>
          </cell>
          <cell r="BE41">
            <v>0</v>
          </cell>
          <cell r="BF41">
            <v>0</v>
          </cell>
          <cell r="BG41">
            <v>0</v>
          </cell>
          <cell r="BH41">
            <v>0</v>
          </cell>
          <cell r="BI41">
            <v>0</v>
          </cell>
          <cell r="BZ41">
            <v>-673000</v>
          </cell>
          <cell r="CA41">
            <v>0</v>
          </cell>
          <cell r="CB41">
            <v>0</v>
          </cell>
          <cell r="CC41">
            <v>0</v>
          </cell>
        </row>
        <row r="42">
          <cell r="A42" t="str">
            <v>Additions to property, plant and equipment</v>
          </cell>
          <cell r="D42">
            <v>-89527</v>
          </cell>
          <cell r="E42">
            <v>-69850</v>
          </cell>
          <cell r="F42">
            <v>-65525</v>
          </cell>
          <cell r="G42">
            <v>-57385</v>
          </cell>
          <cell r="H42">
            <v>-373840</v>
          </cell>
          <cell r="I42">
            <v>-365700</v>
          </cell>
          <cell r="J42">
            <v>-317500</v>
          </cell>
          <cell r="K42">
            <v>-298100</v>
          </cell>
          <cell r="L42">
            <v>-415200</v>
          </cell>
          <cell r="M42">
            <v>-701900</v>
          </cell>
          <cell r="N42">
            <v>-1101200</v>
          </cell>
          <cell r="O42">
            <v>-841000</v>
          </cell>
          <cell r="P42">
            <v>-786500</v>
          </cell>
          <cell r="Q42">
            <v>-1055300</v>
          </cell>
          <cell r="R42">
            <v>-989800</v>
          </cell>
          <cell r="S42">
            <v>-842590.93195665313</v>
          </cell>
          <cell r="T42">
            <v>-808558.77138535271</v>
          </cell>
          <cell r="U42">
            <v>-784227.89278012188</v>
          </cell>
          <cell r="V42">
            <v>-762542.76526425593</v>
          </cell>
          <cell r="W42">
            <v>-726956.92413629347</v>
          </cell>
          <cell r="X42">
            <v>-693992.48428987374</v>
          </cell>
          <cell r="Z42">
            <v>-16654</v>
          </cell>
          <cell r="AA42">
            <v>-19109</v>
          </cell>
          <cell r="AB42">
            <v>-15757</v>
          </cell>
          <cell r="AC42">
            <v>-14005</v>
          </cell>
          <cell r="AD42">
            <v>-17379</v>
          </cell>
          <cell r="AE42">
            <v>-12510</v>
          </cell>
          <cell r="AF42">
            <v>-15155</v>
          </cell>
          <cell r="AG42">
            <v>-12341</v>
          </cell>
          <cell r="AH42">
            <v>-10234</v>
          </cell>
          <cell r="AI42">
            <v>-13758</v>
          </cell>
          <cell r="AJ42">
            <v>-220164</v>
          </cell>
          <cell r="AK42">
            <v>-129684</v>
          </cell>
          <cell r="AL42">
            <v>-80000</v>
          </cell>
          <cell r="AM42">
            <v>-98000</v>
          </cell>
          <cell r="AN42">
            <v>-90300</v>
          </cell>
          <cell r="AO42">
            <v>-97400</v>
          </cell>
          <cell r="AP42">
            <v>-55800</v>
          </cell>
          <cell r="AQ42">
            <v>-77500</v>
          </cell>
          <cell r="AR42">
            <v>-86200</v>
          </cell>
          <cell r="AS42">
            <v>-98000</v>
          </cell>
          <cell r="AT42">
            <v>-62800</v>
          </cell>
          <cell r="AU42">
            <v>-76700</v>
          </cell>
          <cell r="AV42">
            <v>-67300</v>
          </cell>
          <cell r="AW42">
            <v>-91300</v>
          </cell>
          <cell r="AX42">
            <v>-60500</v>
          </cell>
          <cell r="AY42">
            <v>-98900</v>
          </cell>
          <cell r="AZ42">
            <v>-113300</v>
          </cell>
          <cell r="BA42">
            <v>-142500</v>
          </cell>
          <cell r="BB42">
            <v>-158500</v>
          </cell>
          <cell r="BC42">
            <v>-171000</v>
          </cell>
          <cell r="BD42">
            <v>-177000</v>
          </cell>
          <cell r="BE42">
            <v>-195400</v>
          </cell>
          <cell r="BF42">
            <v>-226100</v>
          </cell>
          <cell r="BG42">
            <v>-276000</v>
          </cell>
          <cell r="BH42">
            <v>-307300</v>
          </cell>
          <cell r="BI42">
            <v>-291800</v>
          </cell>
          <cell r="BJ42">
            <v>-243500</v>
          </cell>
          <cell r="BK42">
            <v>-228700</v>
          </cell>
          <cell r="BL42">
            <v>-193800</v>
          </cell>
          <cell r="BM42">
            <v>-175000</v>
          </cell>
          <cell r="BN42">
            <v>-153000</v>
          </cell>
          <cell r="BO42">
            <v>-205800</v>
          </cell>
          <cell r="BP42">
            <v>-193900</v>
          </cell>
          <cell r="BQ42">
            <v>-233800</v>
          </cell>
          <cell r="BR42">
            <v>-189300</v>
          </cell>
          <cell r="BS42">
            <v>-255000</v>
          </cell>
          <cell r="BT42">
            <v>-300100</v>
          </cell>
          <cell r="BU42">
            <v>-310900</v>
          </cell>
          <cell r="BV42">
            <v>-263800</v>
          </cell>
          <cell r="BW42">
            <v>-246500</v>
          </cell>
          <cell r="BX42">
            <v>-243100</v>
          </cell>
          <cell r="BY42">
            <v>-236400</v>
          </cell>
          <cell r="BZ42">
            <v>-243400</v>
          </cell>
          <cell r="CA42">
            <v>-201949.26192947078</v>
          </cell>
          <cell r="CB42">
            <v>-207007.76649635038</v>
          </cell>
          <cell r="CC42">
            <v>-190233.90353083194</v>
          </cell>
        </row>
        <row r="43">
          <cell r="A43" t="str">
            <v>Redemption of RTFC capital certificate</v>
          </cell>
          <cell r="D43" t="str">
            <v/>
          </cell>
          <cell r="E43" t="str">
            <v/>
          </cell>
          <cell r="F43">
            <v>31111</v>
          </cell>
          <cell r="G43">
            <v>24445</v>
          </cell>
          <cell r="H43">
            <v>0</v>
          </cell>
          <cell r="I43">
            <v>0</v>
          </cell>
          <cell r="J43">
            <v>0</v>
          </cell>
          <cell r="K43">
            <v>0</v>
          </cell>
          <cell r="L43">
            <v>0</v>
          </cell>
          <cell r="M43">
            <v>0</v>
          </cell>
          <cell r="N43">
            <v>0</v>
          </cell>
          <cell r="Q43">
            <v>0</v>
          </cell>
          <cell r="R43">
            <v>0</v>
          </cell>
          <cell r="S43">
            <v>0</v>
          </cell>
          <cell r="AB43" t="str">
            <v/>
          </cell>
          <cell r="AD43">
            <v>24445</v>
          </cell>
        </row>
        <row r="44">
          <cell r="A44" t="str">
            <v>Distributions from CS&amp;L</v>
          </cell>
          <cell r="D44">
            <v>1939</v>
          </cell>
          <cell r="E44">
            <v>3507</v>
          </cell>
          <cell r="F44">
            <v>1904</v>
          </cell>
          <cell r="G44">
            <v>0</v>
          </cell>
          <cell r="H44">
            <v>0</v>
          </cell>
          <cell r="I44">
            <v>0</v>
          </cell>
          <cell r="J44">
            <v>0</v>
          </cell>
          <cell r="K44">
            <v>0</v>
          </cell>
          <cell r="L44">
            <v>0</v>
          </cell>
          <cell r="M44">
            <v>0</v>
          </cell>
          <cell r="N44">
            <v>0</v>
          </cell>
          <cell r="Q44">
            <v>0</v>
          </cell>
          <cell r="R44">
            <v>0</v>
          </cell>
          <cell r="S44">
            <v>0</v>
          </cell>
          <cell r="AD44">
            <v>317</v>
          </cell>
          <cell r="AE44">
            <v>0</v>
          </cell>
          <cell r="AF44">
            <v>-317</v>
          </cell>
          <cell r="BZ44">
            <v>0</v>
          </cell>
          <cell r="CA44">
            <v>0</v>
          </cell>
          <cell r="CB44">
            <v>0</v>
          </cell>
          <cell r="CC44">
            <v>0</v>
          </cell>
        </row>
        <row r="45">
          <cell r="A45" t="str">
            <v>Share Repurchase</v>
          </cell>
          <cell r="Q45">
            <v>0</v>
          </cell>
          <cell r="S45">
            <v>0</v>
          </cell>
        </row>
        <row r="46">
          <cell r="A46" t="str">
            <v>Other, net</v>
          </cell>
          <cell r="D46">
            <v>-1050</v>
          </cell>
          <cell r="E46">
            <v>44</v>
          </cell>
          <cell r="F46">
            <v>-848</v>
          </cell>
          <cell r="G46">
            <v>203</v>
          </cell>
          <cell r="H46">
            <v>5778</v>
          </cell>
          <cell r="I46">
            <v>5400</v>
          </cell>
          <cell r="J46">
            <v>9900</v>
          </cell>
          <cell r="K46">
            <v>600</v>
          </cell>
          <cell r="L46">
            <v>1600</v>
          </cell>
          <cell r="M46">
            <v>49700</v>
          </cell>
          <cell r="N46">
            <v>-500</v>
          </cell>
          <cell r="O46">
            <v>133400</v>
          </cell>
          <cell r="P46">
            <v>17400</v>
          </cell>
          <cell r="Q46">
            <v>533300</v>
          </cell>
          <cell r="R46">
            <v>-200</v>
          </cell>
          <cell r="S46">
            <v>2500</v>
          </cell>
          <cell r="T46">
            <v>0</v>
          </cell>
          <cell r="U46">
            <v>0</v>
          </cell>
          <cell r="V46">
            <v>0</v>
          </cell>
          <cell r="W46">
            <v>0</v>
          </cell>
          <cell r="X46">
            <v>0</v>
          </cell>
          <cell r="Z46">
            <v>-69</v>
          </cell>
          <cell r="AA46">
            <v>-395</v>
          </cell>
          <cell r="AB46">
            <v>-12</v>
          </cell>
          <cell r="AC46">
            <v>-372</v>
          </cell>
          <cell r="AD46">
            <v>-19</v>
          </cell>
          <cell r="AE46">
            <v>-209</v>
          </cell>
          <cell r="AF46">
            <v>453</v>
          </cell>
          <cell r="AG46">
            <v>-22</v>
          </cell>
          <cell r="AH46">
            <v>4</v>
          </cell>
          <cell r="AI46">
            <v>213</v>
          </cell>
          <cell r="AJ46">
            <v>4130</v>
          </cell>
          <cell r="AK46">
            <v>1431</v>
          </cell>
          <cell r="AL46">
            <v>-4400</v>
          </cell>
          <cell r="AM46">
            <v>5600</v>
          </cell>
          <cell r="AN46">
            <v>800</v>
          </cell>
          <cell r="AO46">
            <v>3400</v>
          </cell>
          <cell r="AP46">
            <v>9200</v>
          </cell>
          <cell r="AQ46">
            <v>1400</v>
          </cell>
          <cell r="AR46">
            <v>1000</v>
          </cell>
          <cell r="AS46">
            <v>-1700</v>
          </cell>
          <cell r="AT46">
            <v>0</v>
          </cell>
          <cell r="AU46">
            <v>300</v>
          </cell>
          <cell r="AV46">
            <v>0</v>
          </cell>
          <cell r="AW46">
            <v>300</v>
          </cell>
          <cell r="AX46">
            <v>600</v>
          </cell>
          <cell r="AY46">
            <v>2500</v>
          </cell>
          <cell r="AZ46">
            <v>-300</v>
          </cell>
          <cell r="BA46">
            <v>-1200</v>
          </cell>
          <cell r="BB46">
            <v>-7400</v>
          </cell>
          <cell r="BC46">
            <v>-2100</v>
          </cell>
          <cell r="BD46">
            <v>-7200</v>
          </cell>
          <cell r="BE46">
            <v>66400</v>
          </cell>
          <cell r="BF46">
            <v>50400</v>
          </cell>
          <cell r="BG46">
            <v>-11600</v>
          </cell>
          <cell r="BH46">
            <v>-35300</v>
          </cell>
          <cell r="BI46">
            <v>-4000</v>
          </cell>
          <cell r="BJ46">
            <v>9000</v>
          </cell>
          <cell r="BK46">
            <v>18000</v>
          </cell>
          <cell r="BL46">
            <v>10700</v>
          </cell>
          <cell r="BM46">
            <v>95700</v>
          </cell>
          <cell r="BN46">
            <v>29400</v>
          </cell>
          <cell r="BO46">
            <v>9800</v>
          </cell>
          <cell r="BP46">
            <v>1000</v>
          </cell>
          <cell r="BQ46">
            <v>-22800</v>
          </cell>
          <cell r="BR46">
            <v>-3400</v>
          </cell>
          <cell r="BS46">
            <v>-9200</v>
          </cell>
          <cell r="BT46">
            <v>-15700</v>
          </cell>
          <cell r="BU46">
            <v>561600</v>
          </cell>
          <cell r="BV46">
            <v>6200</v>
          </cell>
          <cell r="BW46">
            <v>-4300</v>
          </cell>
          <cell r="BX46">
            <v>-2100</v>
          </cell>
          <cell r="BY46">
            <v>0</v>
          </cell>
          <cell r="BZ46">
            <v>2500</v>
          </cell>
          <cell r="CA46">
            <v>-9300</v>
          </cell>
          <cell r="CB46">
            <v>-227000</v>
          </cell>
        </row>
        <row r="47">
          <cell r="A47" t="str">
            <v>Cash used in investing activities</v>
          </cell>
          <cell r="D47">
            <v>-216773</v>
          </cell>
          <cell r="E47">
            <v>-66299</v>
          </cell>
          <cell r="F47">
            <v>-34858</v>
          </cell>
          <cell r="G47">
            <v>-32737</v>
          </cell>
          <cell r="H47">
            <v>-299012</v>
          </cell>
          <cell r="I47">
            <v>-867100</v>
          </cell>
          <cell r="J47">
            <v>-233100</v>
          </cell>
          <cell r="K47">
            <v>-492800</v>
          </cell>
          <cell r="L47">
            <v>-1457500</v>
          </cell>
          <cell r="M47">
            <v>-652200</v>
          </cell>
          <cell r="N47">
            <v>-1101700</v>
          </cell>
          <cell r="O47">
            <v>-707600</v>
          </cell>
          <cell r="P47">
            <v>-769100</v>
          </cell>
          <cell r="Q47">
            <v>-522000</v>
          </cell>
          <cell r="R47">
            <v>-990000</v>
          </cell>
          <cell r="S47">
            <v>-840090.93195665313</v>
          </cell>
          <cell r="T47">
            <v>-808558.77138535271</v>
          </cell>
          <cell r="U47">
            <v>-784227.89278012188</v>
          </cell>
          <cell r="V47">
            <v>-762542.76526425593</v>
          </cell>
          <cell r="W47">
            <v>-726956.92413629347</v>
          </cell>
          <cell r="X47">
            <v>-693992.48428987374</v>
          </cell>
          <cell r="Z47">
            <v>-16723</v>
          </cell>
          <cell r="AA47">
            <v>-19504</v>
          </cell>
          <cell r="AB47">
            <v>-15769</v>
          </cell>
          <cell r="AC47">
            <v>-14377</v>
          </cell>
          <cell r="AD47">
            <v>7364</v>
          </cell>
          <cell r="AE47">
            <v>-12719</v>
          </cell>
          <cell r="AF47">
            <v>-15019</v>
          </cell>
          <cell r="AG47">
            <v>-12363</v>
          </cell>
          <cell r="AH47">
            <v>-10230</v>
          </cell>
          <cell r="AI47">
            <v>-13545</v>
          </cell>
          <cell r="AJ47">
            <v>-146984</v>
          </cell>
          <cell r="AK47">
            <v>-128253</v>
          </cell>
          <cell r="AL47">
            <v>-84400</v>
          </cell>
          <cell r="AM47">
            <v>-92400</v>
          </cell>
          <cell r="AN47">
            <v>-637100</v>
          </cell>
          <cell r="AO47">
            <v>-53200</v>
          </cell>
          <cell r="AP47">
            <v>-30200</v>
          </cell>
          <cell r="AQ47">
            <v>-75200</v>
          </cell>
          <cell r="AR47">
            <v>-85200</v>
          </cell>
          <cell r="AS47">
            <v>-42500</v>
          </cell>
          <cell r="AT47">
            <v>-62800</v>
          </cell>
          <cell r="AU47">
            <v>-76400</v>
          </cell>
          <cell r="AV47">
            <v>-67300</v>
          </cell>
          <cell r="AW47">
            <v>-286300</v>
          </cell>
          <cell r="AX47">
            <v>-258300</v>
          </cell>
          <cell r="AY47">
            <v>-350000</v>
          </cell>
          <cell r="AZ47">
            <v>-113600</v>
          </cell>
          <cell r="BA47">
            <v>-735600</v>
          </cell>
          <cell r="BB47">
            <v>-165900</v>
          </cell>
          <cell r="BC47">
            <v>-173100</v>
          </cell>
          <cell r="BD47">
            <v>-184200</v>
          </cell>
          <cell r="BE47">
            <v>-129000</v>
          </cell>
          <cell r="BF47">
            <v>-175700</v>
          </cell>
          <cell r="BG47">
            <v>-287600</v>
          </cell>
          <cell r="BH47">
            <v>-342600</v>
          </cell>
          <cell r="BI47">
            <v>-295800</v>
          </cell>
          <cell r="BJ47">
            <v>-234500</v>
          </cell>
          <cell r="BK47">
            <v>-210700</v>
          </cell>
          <cell r="BL47">
            <v>-183100</v>
          </cell>
          <cell r="BM47">
            <v>-79300</v>
          </cell>
          <cell r="BN47">
            <v>-123600</v>
          </cell>
          <cell r="BO47">
            <v>-196000</v>
          </cell>
          <cell r="BP47">
            <v>-192900</v>
          </cell>
          <cell r="BQ47">
            <v>-256600</v>
          </cell>
          <cell r="BR47">
            <v>-192700</v>
          </cell>
          <cell r="BS47">
            <v>-264200</v>
          </cell>
          <cell r="BT47">
            <v>-315800</v>
          </cell>
          <cell r="BU47">
            <v>250700</v>
          </cell>
          <cell r="BV47">
            <v>-257600</v>
          </cell>
          <cell r="BW47">
            <v>-250800</v>
          </cell>
          <cell r="BX47">
            <v>-245200</v>
          </cell>
          <cell r="BY47">
            <v>-236400</v>
          </cell>
          <cell r="BZ47">
            <v>-240900</v>
          </cell>
          <cell r="CA47">
            <v>-201949.26192947078</v>
          </cell>
          <cell r="CB47">
            <v>-207007.76649635038</v>
          </cell>
          <cell r="CC47">
            <v>-190233.90353083194</v>
          </cell>
        </row>
        <row r="49">
          <cell r="A49" t="str">
            <v>Financing activities</v>
          </cell>
          <cell r="Z49" t="str">
            <v/>
          </cell>
          <cell r="AA49" t="str">
            <v/>
          </cell>
          <cell r="AB49" t="str">
            <v/>
          </cell>
          <cell r="AF49" t="str">
            <v/>
          </cell>
        </row>
        <row r="50">
          <cell r="A50" t="str">
            <v xml:space="preserve">  Proceeds from issuance of debt</v>
          </cell>
          <cell r="D50">
            <v>116500</v>
          </cell>
          <cell r="E50">
            <v>61500</v>
          </cell>
          <cell r="F50">
            <v>1359000</v>
          </cell>
          <cell r="G50">
            <v>400000</v>
          </cell>
          <cell r="H50">
            <v>3156103</v>
          </cell>
          <cell r="I50">
            <v>848900</v>
          </cell>
          <cell r="J50">
            <v>380000</v>
          </cell>
          <cell r="K50">
            <v>1083600</v>
          </cell>
          <cell r="L50">
            <v>1551800</v>
          </cell>
          <cell r="M50">
            <v>4922000</v>
          </cell>
          <cell r="N50">
            <v>1910000</v>
          </cell>
          <cell r="O50">
            <v>4919600</v>
          </cell>
          <cell r="P50">
            <v>1315000</v>
          </cell>
          <cell r="Q50">
            <v>2335000</v>
          </cell>
          <cell r="R50">
            <v>2995900</v>
          </cell>
          <cell r="S50">
            <v>1315600</v>
          </cell>
          <cell r="Z50">
            <v>0</v>
          </cell>
          <cell r="AA50">
            <v>58000</v>
          </cell>
          <cell r="AB50">
            <v>1000</v>
          </cell>
          <cell r="AC50">
            <v>1300000</v>
          </cell>
          <cell r="AD50">
            <v>400000</v>
          </cell>
          <cell r="AE50">
            <v>0</v>
          </cell>
          <cell r="AF50">
            <v>0</v>
          </cell>
          <cell r="AG50">
            <v>0</v>
          </cell>
          <cell r="AH50">
            <v>0</v>
          </cell>
          <cell r="AI50">
            <v>0</v>
          </cell>
          <cell r="AJ50">
            <v>3158802</v>
          </cell>
          <cell r="AK50">
            <v>-2699</v>
          </cell>
          <cell r="AL50">
            <v>499100</v>
          </cell>
          <cell r="AM50">
            <v>-200</v>
          </cell>
          <cell r="AN50">
            <v>250000</v>
          </cell>
          <cell r="AO50">
            <v>100000</v>
          </cell>
          <cell r="AP50">
            <v>100000</v>
          </cell>
          <cell r="AQ50">
            <v>120000</v>
          </cell>
          <cell r="AR50">
            <v>160000</v>
          </cell>
          <cell r="AS50">
            <v>0</v>
          </cell>
          <cell r="AT50">
            <v>0</v>
          </cell>
          <cell r="AU50">
            <v>0</v>
          </cell>
          <cell r="AV50">
            <v>0</v>
          </cell>
          <cell r="AW50">
            <v>1083600</v>
          </cell>
          <cell r="AX50">
            <v>0</v>
          </cell>
          <cell r="AY50">
            <v>375000</v>
          </cell>
          <cell r="AZ50">
            <v>437000</v>
          </cell>
          <cell r="BA50">
            <v>739800</v>
          </cell>
          <cell r="BB50">
            <v>2137000</v>
          </cell>
          <cell r="BC50">
            <v>325000</v>
          </cell>
          <cell r="BD50">
            <v>685000</v>
          </cell>
          <cell r="BE50">
            <v>1775000</v>
          </cell>
          <cell r="BF50">
            <v>505000</v>
          </cell>
          <cell r="BG50">
            <v>245000</v>
          </cell>
          <cell r="BH50">
            <v>1025000</v>
          </cell>
          <cell r="BI50">
            <v>135000</v>
          </cell>
          <cell r="BJ50">
            <v>2195000</v>
          </cell>
          <cell r="BK50">
            <v>240000</v>
          </cell>
          <cell r="BL50">
            <v>1562500</v>
          </cell>
          <cell r="BM50">
            <v>922100</v>
          </cell>
          <cell r="BN50">
            <v>325000</v>
          </cell>
          <cell r="BO50">
            <v>310000</v>
          </cell>
          <cell r="BP50">
            <v>350000</v>
          </cell>
          <cell r="BQ50">
            <v>330000</v>
          </cell>
          <cell r="BR50">
            <v>490000</v>
          </cell>
          <cell r="BS50">
            <v>610000</v>
          </cell>
          <cell r="BT50">
            <v>520000</v>
          </cell>
          <cell r="BU50">
            <v>715000</v>
          </cell>
          <cell r="BV50">
            <v>1278000</v>
          </cell>
          <cell r="BW50">
            <v>647000</v>
          </cell>
          <cell r="BX50">
            <v>1415000</v>
          </cell>
          <cell r="BY50">
            <v>-344100</v>
          </cell>
          <cell r="BZ50">
            <v>1315600</v>
          </cell>
          <cell r="CA50">
            <v>220000</v>
          </cell>
        </row>
        <row r="51">
          <cell r="A51" t="str">
            <v xml:space="preserve">  Repayments of long-term debt</v>
          </cell>
          <cell r="D51">
            <v>-77304</v>
          </cell>
          <cell r="E51">
            <v>-161549</v>
          </cell>
          <cell r="F51">
            <v>-1223249</v>
          </cell>
          <cell r="G51">
            <v>-820364</v>
          </cell>
          <cell r="H51">
            <v>-871422</v>
          </cell>
          <cell r="I51">
            <v>-811000</v>
          </cell>
          <cell r="J51">
            <v>-354300</v>
          </cell>
          <cell r="K51">
            <v>-356600</v>
          </cell>
          <cell r="L51">
            <v>-1715000</v>
          </cell>
          <cell r="M51">
            <v>-4780300</v>
          </cell>
          <cell r="N51">
            <v>-2054500</v>
          </cell>
          <cell r="O51">
            <v>-5161000</v>
          </cell>
          <cell r="P51">
            <v>-1395400</v>
          </cell>
          <cell r="Q51">
            <v>-3350900</v>
          </cell>
          <cell r="R51">
            <v>-2585100</v>
          </cell>
          <cell r="S51">
            <v>-1355435.3697093742</v>
          </cell>
          <cell r="T51">
            <v>-155784.99999999985</v>
          </cell>
          <cell r="U51">
            <v>-180727.15000000061</v>
          </cell>
          <cell r="V51">
            <v>-163669.87849999988</v>
          </cell>
          <cell r="W51">
            <v>-121277.81000562481</v>
          </cell>
          <cell r="X51">
            <v>-205557.04791785046</v>
          </cell>
          <cell r="Z51">
            <v>-33777</v>
          </cell>
          <cell r="AA51">
            <v>-52032</v>
          </cell>
          <cell r="AB51">
            <v>-32538</v>
          </cell>
          <cell r="AC51">
            <v>-1104902</v>
          </cell>
          <cell r="AD51">
            <v>-800165</v>
          </cell>
          <cell r="AE51">
            <v>-10049</v>
          </cell>
          <cell r="AF51">
            <v>-10086</v>
          </cell>
          <cell r="AG51">
            <v>-64</v>
          </cell>
          <cell r="AH51">
            <v>-43</v>
          </cell>
          <cell r="AI51">
            <v>-16</v>
          </cell>
          <cell r="AJ51">
            <v>-861304</v>
          </cell>
          <cell r="AK51">
            <v>-10059</v>
          </cell>
          <cell r="AL51">
            <v>-500100</v>
          </cell>
          <cell r="AM51">
            <v>0</v>
          </cell>
          <cell r="AN51">
            <v>-77600</v>
          </cell>
          <cell r="AO51">
            <v>-233300</v>
          </cell>
          <cell r="AP51">
            <v>-88600</v>
          </cell>
          <cell r="AQ51">
            <v>-118500</v>
          </cell>
          <cell r="AR51">
            <v>-133600</v>
          </cell>
          <cell r="AS51">
            <v>-13600</v>
          </cell>
          <cell r="AT51">
            <v>-3600</v>
          </cell>
          <cell r="AU51">
            <v>-153500</v>
          </cell>
          <cell r="AV51">
            <v>-3600</v>
          </cell>
          <cell r="AW51">
            <v>-195900</v>
          </cell>
          <cell r="AX51">
            <v>-284500</v>
          </cell>
          <cell r="AY51">
            <v>-707600</v>
          </cell>
          <cell r="AZ51">
            <v>-343100</v>
          </cell>
          <cell r="BA51">
            <v>-379800</v>
          </cell>
          <cell r="BB51">
            <v>-2052700</v>
          </cell>
          <cell r="BC51">
            <v>-381700</v>
          </cell>
          <cell r="BD51">
            <v>-716400</v>
          </cell>
          <cell r="BE51">
            <v>-1629500</v>
          </cell>
          <cell r="BF51">
            <v>-774400</v>
          </cell>
          <cell r="BG51">
            <v>-229500</v>
          </cell>
          <cell r="BH51">
            <v>-844700</v>
          </cell>
          <cell r="BI51">
            <v>-205900</v>
          </cell>
          <cell r="BJ51">
            <v>-2164900</v>
          </cell>
          <cell r="BK51">
            <v>-261300</v>
          </cell>
          <cell r="BL51">
            <v>-1667000</v>
          </cell>
          <cell r="BM51">
            <v>-1067800</v>
          </cell>
          <cell r="BN51">
            <v>-331600</v>
          </cell>
          <cell r="BO51">
            <v>-336900</v>
          </cell>
          <cell r="BP51">
            <v>-380500</v>
          </cell>
          <cell r="BQ51">
            <v>-346400</v>
          </cell>
          <cell r="BR51">
            <v>-325400</v>
          </cell>
          <cell r="BS51">
            <v>-1316500</v>
          </cell>
          <cell r="BT51">
            <v>-456700</v>
          </cell>
          <cell r="BU51">
            <v>-1252300</v>
          </cell>
          <cell r="BV51">
            <v>-985300</v>
          </cell>
          <cell r="BW51">
            <v>-646200</v>
          </cell>
          <cell r="BX51">
            <v>-1288100</v>
          </cell>
          <cell r="BY51">
            <v>334500</v>
          </cell>
          <cell r="BZ51">
            <v>-1140400</v>
          </cell>
          <cell r="CA51">
            <v>-63353.499999999258</v>
          </cell>
          <cell r="CB51">
            <v>-73345.116250000501</v>
          </cell>
          <cell r="CC51">
            <v>-78336.753459374449</v>
          </cell>
        </row>
        <row r="52">
          <cell r="A52" t="str">
            <v xml:space="preserve">  Notes payable, net</v>
          </cell>
          <cell r="D52">
            <v>-11497</v>
          </cell>
          <cell r="E52">
            <v>1742</v>
          </cell>
          <cell r="F52">
            <v>-8273</v>
          </cell>
          <cell r="G52">
            <v>-1893</v>
          </cell>
          <cell r="H52">
            <v>0</v>
          </cell>
          <cell r="I52">
            <v>0</v>
          </cell>
          <cell r="J52">
            <v>0</v>
          </cell>
          <cell r="K52">
            <v>0</v>
          </cell>
          <cell r="L52">
            <v>0</v>
          </cell>
          <cell r="M52">
            <v>0</v>
          </cell>
          <cell r="N52">
            <v>0</v>
          </cell>
          <cell r="Q52">
            <v>0</v>
          </cell>
          <cell r="R52">
            <v>0</v>
          </cell>
          <cell r="S52">
            <v>0</v>
          </cell>
          <cell r="Z52">
            <v>2736</v>
          </cell>
          <cell r="AA52">
            <v>-1223</v>
          </cell>
          <cell r="AB52">
            <v>2550</v>
          </cell>
          <cell r="AC52">
            <v>-12336</v>
          </cell>
          <cell r="AD52">
            <v>-1893</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row>
        <row r="53">
          <cell r="A53" t="str">
            <v xml:space="preserve">  Proceeds from stock issuances/(repurchses)</v>
          </cell>
          <cell r="D53">
            <v>46000</v>
          </cell>
          <cell r="E53">
            <v>0</v>
          </cell>
          <cell r="F53">
            <v>0</v>
          </cell>
          <cell r="G53">
            <v>-19458</v>
          </cell>
          <cell r="H53">
            <v>0</v>
          </cell>
          <cell r="I53">
            <v>-40100</v>
          </cell>
          <cell r="J53">
            <v>-200300</v>
          </cell>
          <cell r="K53">
            <v>-121300</v>
          </cell>
          <cell r="L53">
            <v>0</v>
          </cell>
          <cell r="M53">
            <v>0</v>
          </cell>
          <cell r="N53">
            <v>0</v>
          </cell>
          <cell r="Q53">
            <v>0</v>
          </cell>
          <cell r="R53">
            <v>0</v>
          </cell>
          <cell r="S53">
            <v>0</v>
          </cell>
          <cell r="Z53">
            <v>0</v>
          </cell>
          <cell r="AA53">
            <v>-18646</v>
          </cell>
          <cell r="AB53">
            <v>18646</v>
          </cell>
          <cell r="AC53">
            <v>0</v>
          </cell>
          <cell r="AD53">
            <v>-19393</v>
          </cell>
          <cell r="AE53">
            <v>0</v>
          </cell>
          <cell r="AF53">
            <v>0</v>
          </cell>
          <cell r="AG53">
            <v>-65</v>
          </cell>
          <cell r="AH53">
            <v>0</v>
          </cell>
          <cell r="AI53">
            <v>0</v>
          </cell>
          <cell r="AJ53">
            <v>0</v>
          </cell>
          <cell r="AK53">
            <v>0</v>
          </cell>
          <cell r="AL53">
            <v>0</v>
          </cell>
          <cell r="AM53">
            <v>0</v>
          </cell>
          <cell r="AN53">
            <v>0</v>
          </cell>
          <cell r="AO53">
            <v>-40100</v>
          </cell>
          <cell r="AP53">
            <v>-100200</v>
          </cell>
          <cell r="AQ53">
            <v>-100100</v>
          </cell>
          <cell r="AR53">
            <v>0</v>
          </cell>
          <cell r="AS53">
            <v>0</v>
          </cell>
          <cell r="AT53">
            <v>-20700</v>
          </cell>
          <cell r="AU53">
            <v>-12100</v>
          </cell>
          <cell r="AV53">
            <v>-10700</v>
          </cell>
          <cell r="AW53">
            <v>-77800</v>
          </cell>
        </row>
        <row r="54">
          <cell r="A54" t="str">
            <v xml:space="preserve">  Proceeds from issuance of minority interests</v>
          </cell>
          <cell r="D54">
            <v>110</v>
          </cell>
          <cell r="E54">
            <v>0</v>
          </cell>
          <cell r="F54">
            <v>0</v>
          </cell>
          <cell r="G54">
            <v>0</v>
          </cell>
          <cell r="H54">
            <v>0</v>
          </cell>
          <cell r="I54">
            <v>0</v>
          </cell>
          <cell r="J54">
            <v>0</v>
          </cell>
          <cell r="M54">
            <v>0</v>
          </cell>
          <cell r="N54">
            <v>0</v>
          </cell>
          <cell r="Q54">
            <v>0</v>
          </cell>
          <cell r="R54">
            <v>0</v>
          </cell>
          <cell r="S54">
            <v>0</v>
          </cell>
          <cell r="Z54">
            <v>0</v>
          </cell>
          <cell r="AA54">
            <v>0</v>
          </cell>
          <cell r="AB54">
            <v>0</v>
          </cell>
          <cell r="AC54">
            <v>0</v>
          </cell>
          <cell r="AD54">
            <v>0</v>
          </cell>
          <cell r="AE54">
            <v>0</v>
          </cell>
          <cell r="AF54">
            <v>0</v>
          </cell>
          <cell r="AG54">
            <v>0</v>
          </cell>
          <cell r="AJ54">
            <v>0</v>
          </cell>
          <cell r="AK54">
            <v>0</v>
          </cell>
        </row>
        <row r="55">
          <cell r="A55" t="str">
            <v xml:space="preserve">  Prepayment fees paid in connection with the debt recapitalization</v>
          </cell>
          <cell r="D55">
            <v>0</v>
          </cell>
          <cell r="E55">
            <v>0</v>
          </cell>
          <cell r="F55">
            <v>-11376</v>
          </cell>
          <cell r="G55">
            <v>411322</v>
          </cell>
          <cell r="H55">
            <v>0</v>
          </cell>
          <cell r="I55">
            <v>0</v>
          </cell>
          <cell r="J55">
            <v>0</v>
          </cell>
          <cell r="K55">
            <v>0</v>
          </cell>
          <cell r="L55">
            <v>0</v>
          </cell>
          <cell r="M55">
            <v>0</v>
          </cell>
          <cell r="N55">
            <v>0</v>
          </cell>
          <cell r="Q55">
            <v>0</v>
          </cell>
          <cell r="R55">
            <v>0</v>
          </cell>
          <cell r="S55">
            <v>0</v>
          </cell>
          <cell r="Z55">
            <v>0</v>
          </cell>
          <cell r="AA55">
            <v>0</v>
          </cell>
          <cell r="AB55">
            <v>0</v>
          </cell>
          <cell r="AC55">
            <v>-11376</v>
          </cell>
          <cell r="AD55">
            <v>412746</v>
          </cell>
          <cell r="AE55">
            <v>-1339</v>
          </cell>
          <cell r="AF55">
            <v>-85</v>
          </cell>
          <cell r="AG55">
            <v>0</v>
          </cell>
          <cell r="AH55">
            <v>0</v>
          </cell>
          <cell r="AI55">
            <v>0</v>
          </cell>
          <cell r="AJ55">
            <v>0</v>
          </cell>
          <cell r="AK55">
            <v>0</v>
          </cell>
          <cell r="AL55">
            <v>0</v>
          </cell>
          <cell r="AM55">
            <v>0</v>
          </cell>
          <cell r="AN55">
            <v>0</v>
          </cell>
          <cell r="AO55">
            <v>0</v>
          </cell>
          <cell r="AP55">
            <v>0</v>
          </cell>
          <cell r="AQ55">
            <v>0</v>
          </cell>
          <cell r="AR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row>
        <row r="56">
          <cell r="A56" t="str">
            <v xml:space="preserve">  Redemption of redeemable preferred interests</v>
          </cell>
          <cell r="D56">
            <v>0</v>
          </cell>
          <cell r="E56">
            <v>0</v>
          </cell>
          <cell r="F56">
            <v>-134102</v>
          </cell>
          <cell r="G56">
            <v>0</v>
          </cell>
          <cell r="H56">
            <v>0</v>
          </cell>
          <cell r="I56">
            <v>0</v>
          </cell>
          <cell r="J56">
            <v>0</v>
          </cell>
          <cell r="K56">
            <v>0</v>
          </cell>
          <cell r="L56">
            <v>0</v>
          </cell>
          <cell r="M56">
            <v>0</v>
          </cell>
          <cell r="N56">
            <v>0</v>
          </cell>
          <cell r="Q56">
            <v>0</v>
          </cell>
          <cell r="R56">
            <v>0</v>
          </cell>
          <cell r="S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U56">
            <v>0</v>
          </cell>
          <cell r="AV56">
            <v>0</v>
          </cell>
          <cell r="AW56">
            <v>0</v>
          </cell>
        </row>
        <row r="57">
          <cell r="A57" t="str">
            <v xml:space="preserve">  Dividend/Redemption of Class C interests</v>
          </cell>
          <cell r="D57">
            <v>0</v>
          </cell>
          <cell r="E57">
            <v>0</v>
          </cell>
          <cell r="F57">
            <v>-16458</v>
          </cell>
          <cell r="G57">
            <v>-62433</v>
          </cell>
          <cell r="H57">
            <v>-2476231</v>
          </cell>
          <cell r="I57">
            <v>-476800</v>
          </cell>
          <cell r="J57">
            <v>-445200</v>
          </cell>
          <cell r="K57">
            <v>-437400</v>
          </cell>
          <cell r="L57">
            <v>-464600</v>
          </cell>
          <cell r="M57">
            <v>-509600</v>
          </cell>
          <cell r="N57">
            <v>-588000</v>
          </cell>
          <cell r="O57">
            <v>-593600</v>
          </cell>
          <cell r="P57">
            <v>-602200</v>
          </cell>
          <cell r="Q57">
            <v>-369200</v>
          </cell>
          <cell r="R57">
            <v>-58600</v>
          </cell>
          <cell r="S57">
            <v>-109380</v>
          </cell>
          <cell r="T57">
            <v>-115096.8</v>
          </cell>
          <cell r="U57">
            <v>-116823.25199999996</v>
          </cell>
          <cell r="V57">
            <v>-118575.60077999996</v>
          </cell>
          <cell r="W57">
            <v>-120354.23479169996</v>
          </cell>
          <cell r="X57">
            <v>-122159.54831357543</v>
          </cell>
          <cell r="Z57">
            <v>0</v>
          </cell>
          <cell r="AA57">
            <v>0</v>
          </cell>
          <cell r="AB57">
            <v>0</v>
          </cell>
          <cell r="AC57">
            <v>0</v>
          </cell>
          <cell r="AD57">
            <v>0</v>
          </cell>
          <cell r="AE57">
            <v>-12486</v>
          </cell>
          <cell r="AF57">
            <v>-24973</v>
          </cell>
          <cell r="AG57">
            <v>-24974</v>
          </cell>
          <cell r="AH57">
            <v>-25138</v>
          </cell>
          <cell r="AI57">
            <v>-25584</v>
          </cell>
          <cell r="AJ57">
            <v>45835</v>
          </cell>
          <cell r="AK57">
            <v>-2471344</v>
          </cell>
          <cell r="AL57">
            <v>-119100</v>
          </cell>
          <cell r="AM57">
            <v>-119400</v>
          </cell>
          <cell r="AN57">
            <v>-119200</v>
          </cell>
          <cell r="AO57">
            <v>-119100</v>
          </cell>
          <cell r="AP57">
            <v>-113600</v>
          </cell>
          <cell r="AQ57">
            <v>-111800</v>
          </cell>
          <cell r="AR57">
            <v>-109900</v>
          </cell>
          <cell r="AS57">
            <v>-109900</v>
          </cell>
          <cell r="AT57">
            <v>-109900</v>
          </cell>
          <cell r="AU57">
            <v>-109500</v>
          </cell>
          <cell r="AV57">
            <v>-109200</v>
          </cell>
          <cell r="AW57">
            <v>-108800</v>
          </cell>
          <cell r="AX57">
            <v>-109200</v>
          </cell>
          <cell r="AY57">
            <v>-114000</v>
          </cell>
          <cell r="AZ57">
            <v>-120600</v>
          </cell>
          <cell r="BA57">
            <v>-120800</v>
          </cell>
          <cell r="BB57">
            <v>-125900</v>
          </cell>
          <cell r="BC57">
            <v>-127400</v>
          </cell>
          <cell r="BD57">
            <v>-127400</v>
          </cell>
          <cell r="BE57">
            <v>-128900</v>
          </cell>
          <cell r="BF57">
            <v>-146500</v>
          </cell>
          <cell r="BG57">
            <v>-147000</v>
          </cell>
          <cell r="BH57">
            <v>-147000</v>
          </cell>
          <cell r="BI57">
            <v>-147500</v>
          </cell>
          <cell r="BJ57">
            <v>-148100</v>
          </cell>
          <cell r="BK57">
            <v>-148200</v>
          </cell>
          <cell r="BL57">
            <v>-148300</v>
          </cell>
          <cell r="BM57">
            <v>-149000</v>
          </cell>
          <cell r="BN57">
            <v>-150200</v>
          </cell>
          <cell r="BO57">
            <v>-150700</v>
          </cell>
          <cell r="BP57">
            <v>-150700</v>
          </cell>
          <cell r="BQ57">
            <v>-150600</v>
          </cell>
          <cell r="BR57">
            <v>-151500</v>
          </cell>
          <cell r="BS57">
            <v>-191100</v>
          </cell>
          <cell r="BT57">
            <v>-11500</v>
          </cell>
          <cell r="BU57">
            <v>-15100</v>
          </cell>
          <cell r="BV57">
            <v>-14900</v>
          </cell>
          <cell r="BW57">
            <v>-14600</v>
          </cell>
          <cell r="BX57">
            <v>-14600</v>
          </cell>
          <cell r="BY57">
            <v>-14500</v>
          </cell>
          <cell r="BZ57">
            <v>-23700</v>
          </cell>
          <cell r="CA57">
            <v>-28560</v>
          </cell>
          <cell r="CB57">
            <v>-28560</v>
          </cell>
          <cell r="CC57">
            <v>-28560</v>
          </cell>
        </row>
        <row r="58">
          <cell r="A58" t="str">
            <v xml:space="preserve">  Cash payment to minority interest holders in connection with reorganization</v>
          </cell>
          <cell r="D58">
            <v>0</v>
          </cell>
          <cell r="E58">
            <v>0</v>
          </cell>
          <cell r="F58">
            <v>-18646</v>
          </cell>
          <cell r="G58">
            <v>0</v>
          </cell>
          <cell r="H58">
            <v>0</v>
          </cell>
          <cell r="I58">
            <v>0</v>
          </cell>
          <cell r="J58">
            <v>0</v>
          </cell>
          <cell r="K58">
            <v>0</v>
          </cell>
          <cell r="L58">
            <v>0</v>
          </cell>
          <cell r="M58">
            <v>0</v>
          </cell>
          <cell r="N58">
            <v>0</v>
          </cell>
          <cell r="O58">
            <v>0</v>
          </cell>
          <cell r="Q58">
            <v>0</v>
          </cell>
          <cell r="R58">
            <v>0</v>
          </cell>
          <cell r="S58">
            <v>0</v>
          </cell>
          <cell r="Z58">
            <v>0</v>
          </cell>
          <cell r="AA58">
            <v>0</v>
          </cell>
          <cell r="AB58">
            <v>-18646</v>
          </cell>
        </row>
        <row r="59">
          <cell r="A59" t="str">
            <v xml:space="preserve">  Redemption of redeemable preferred interests in subsidiary</v>
          </cell>
          <cell r="D59">
            <v>0</v>
          </cell>
          <cell r="E59">
            <v>0</v>
          </cell>
          <cell r="F59">
            <v>-8791</v>
          </cell>
          <cell r="G59">
            <v>0</v>
          </cell>
          <cell r="H59">
            <v>0</v>
          </cell>
          <cell r="I59">
            <v>0</v>
          </cell>
          <cell r="J59">
            <v>0</v>
          </cell>
          <cell r="K59">
            <v>0</v>
          </cell>
          <cell r="L59">
            <v>0</v>
          </cell>
          <cell r="M59">
            <v>0</v>
          </cell>
          <cell r="N59">
            <v>0</v>
          </cell>
          <cell r="O59">
            <v>0</v>
          </cell>
          <cell r="Q59">
            <v>0</v>
          </cell>
          <cell r="R59">
            <v>0</v>
          </cell>
          <cell r="S59">
            <v>0</v>
          </cell>
        </row>
        <row r="60">
          <cell r="A60" t="str">
            <v xml:space="preserve">  Payment of debt issuance costs</v>
          </cell>
          <cell r="D60">
            <v>-2794</v>
          </cell>
          <cell r="E60">
            <v>-1158</v>
          </cell>
          <cell r="F60">
            <v>-31330</v>
          </cell>
          <cell r="G60">
            <v>-17530</v>
          </cell>
          <cell r="H60">
            <v>0</v>
          </cell>
          <cell r="I60">
            <v>0</v>
          </cell>
          <cell r="J60">
            <v>0</v>
          </cell>
          <cell r="K60">
            <v>0</v>
          </cell>
          <cell r="L60">
            <v>0</v>
          </cell>
          <cell r="M60">
            <v>0</v>
          </cell>
          <cell r="N60">
            <v>0</v>
          </cell>
          <cell r="O60">
            <v>0</v>
          </cell>
          <cell r="Q60">
            <v>0</v>
          </cell>
          <cell r="R60">
            <v>0</v>
          </cell>
          <cell r="S60">
            <v>0</v>
          </cell>
          <cell r="Z60">
            <v>0</v>
          </cell>
          <cell r="AA60">
            <v>-124</v>
          </cell>
          <cell r="AB60">
            <v>0</v>
          </cell>
          <cell r="AC60">
            <v>-31206</v>
          </cell>
          <cell r="AD60">
            <v>-16206</v>
          </cell>
          <cell r="AE60">
            <v>-588</v>
          </cell>
          <cell r="AF60">
            <v>-587</v>
          </cell>
          <cell r="AG60">
            <v>-149</v>
          </cell>
        </row>
        <row r="61">
          <cell r="A61" t="str">
            <v xml:space="preserve">  Share Repurchase</v>
          </cell>
          <cell r="Q61">
            <v>-46200</v>
          </cell>
          <cell r="R61">
            <v>-28900</v>
          </cell>
          <cell r="S61">
            <v>9600</v>
          </cell>
          <cell r="T61">
            <v>0</v>
          </cell>
          <cell r="U61">
            <v>0</v>
          </cell>
          <cell r="V61">
            <v>0</v>
          </cell>
          <cell r="W61">
            <v>0</v>
          </cell>
          <cell r="X61">
            <v>0</v>
          </cell>
          <cell r="BT61">
            <v>-20000</v>
          </cell>
          <cell r="BU61">
            <v>-26200</v>
          </cell>
          <cell r="BV61">
            <v>-28900</v>
          </cell>
          <cell r="BW61">
            <v>0</v>
          </cell>
          <cell r="BX61">
            <v>0</v>
          </cell>
          <cell r="BY61">
            <v>0</v>
          </cell>
          <cell r="BZ61">
            <v>9600</v>
          </cell>
          <cell r="CA61">
            <v>0</v>
          </cell>
          <cell r="CB61">
            <v>0</v>
          </cell>
          <cell r="CC61">
            <v>0</v>
          </cell>
        </row>
        <row r="62">
          <cell r="A62" t="str">
            <v xml:space="preserve">  Lease Reduction Payment</v>
          </cell>
          <cell r="Q62">
            <v>-102600</v>
          </cell>
          <cell r="R62">
            <v>-152800</v>
          </cell>
          <cell r="S62">
            <v>-40600</v>
          </cell>
          <cell r="BS62">
            <v>-24500</v>
          </cell>
          <cell r="BT62">
            <v>-34800</v>
          </cell>
          <cell r="BU62">
            <v>-43300</v>
          </cell>
          <cell r="BV62">
            <v>-36800</v>
          </cell>
          <cell r="BW62">
            <v>-37700</v>
          </cell>
          <cell r="BX62">
            <v>-38700</v>
          </cell>
          <cell r="BY62">
            <v>-39600</v>
          </cell>
          <cell r="BZ62">
            <v>-40600</v>
          </cell>
          <cell r="CA62">
            <v>-41600</v>
          </cell>
        </row>
        <row r="63">
          <cell r="A63" t="str">
            <v xml:space="preserve">  Other, net</v>
          </cell>
          <cell r="G63">
            <v>-854</v>
          </cell>
          <cell r="H63">
            <v>-259704</v>
          </cell>
          <cell r="I63">
            <v>-2400</v>
          </cell>
          <cell r="J63">
            <v>-2900</v>
          </cell>
          <cell r="K63">
            <v>-30000</v>
          </cell>
          <cell r="L63">
            <v>-29800</v>
          </cell>
          <cell r="M63">
            <v>-24000</v>
          </cell>
          <cell r="N63">
            <v>-38400</v>
          </cell>
          <cell r="O63">
            <v>-60600</v>
          </cell>
          <cell r="P63">
            <v>-36000</v>
          </cell>
          <cell r="Q63">
            <v>1032800</v>
          </cell>
          <cell r="R63">
            <v>-77100</v>
          </cell>
          <cell r="S63">
            <v>-19700</v>
          </cell>
          <cell r="T63">
            <v>0</v>
          </cell>
          <cell r="U63">
            <v>0</v>
          </cell>
          <cell r="V63">
            <v>0</v>
          </cell>
          <cell r="W63">
            <v>0</v>
          </cell>
          <cell r="X63">
            <v>0</v>
          </cell>
          <cell r="AA63" t="str">
            <v/>
          </cell>
          <cell r="AB63" t="str">
            <v/>
          </cell>
          <cell r="AD63">
            <v>-854</v>
          </cell>
          <cell r="AE63">
            <v>0</v>
          </cell>
          <cell r="AF63">
            <v>0</v>
          </cell>
          <cell r="AH63">
            <v>-794</v>
          </cell>
          <cell r="AI63">
            <v>-47</v>
          </cell>
          <cell r="AJ63">
            <v>-2628209</v>
          </cell>
          <cell r="AK63">
            <v>2369346</v>
          </cell>
          <cell r="AL63">
            <v>0</v>
          </cell>
          <cell r="AM63">
            <v>0</v>
          </cell>
          <cell r="AN63">
            <v>-2300</v>
          </cell>
          <cell r="AO63">
            <v>-100</v>
          </cell>
          <cell r="AP63">
            <v>-1000</v>
          </cell>
          <cell r="AQ63">
            <v>-100</v>
          </cell>
          <cell r="AR63">
            <v>-2200</v>
          </cell>
          <cell r="AS63">
            <v>400</v>
          </cell>
          <cell r="AT63">
            <v>-2400</v>
          </cell>
          <cell r="AU63">
            <v>500</v>
          </cell>
          <cell r="AV63">
            <v>-6800</v>
          </cell>
          <cell r="AW63">
            <v>-21300</v>
          </cell>
          <cell r="AX63">
            <v>-4300</v>
          </cell>
          <cell r="AY63">
            <v>-15100</v>
          </cell>
          <cell r="AZ63">
            <v>-10900</v>
          </cell>
          <cell r="BA63">
            <v>500</v>
          </cell>
          <cell r="BB63">
            <v>-11300</v>
          </cell>
          <cell r="BC63">
            <v>-900</v>
          </cell>
          <cell r="BD63">
            <v>-4500</v>
          </cell>
          <cell r="BE63">
            <v>-7300</v>
          </cell>
          <cell r="BF63">
            <v>-10000</v>
          </cell>
          <cell r="BG63">
            <v>-5600</v>
          </cell>
          <cell r="BH63">
            <v>-20200</v>
          </cell>
          <cell r="BI63">
            <v>-2600</v>
          </cell>
          <cell r="BJ63">
            <v>-29700</v>
          </cell>
          <cell r="BK63">
            <v>-3900</v>
          </cell>
          <cell r="BL63">
            <v>-17100</v>
          </cell>
          <cell r="BM63">
            <v>-9900</v>
          </cell>
          <cell r="BN63">
            <v>-17600</v>
          </cell>
          <cell r="BO63">
            <v>-3400</v>
          </cell>
          <cell r="BP63">
            <v>-8000</v>
          </cell>
          <cell r="BQ63">
            <v>-7000</v>
          </cell>
          <cell r="BR63">
            <v>-18000</v>
          </cell>
          <cell r="BS63">
            <v>1023100</v>
          </cell>
          <cell r="BT63">
            <v>-7300</v>
          </cell>
          <cell r="BU63">
            <v>35000</v>
          </cell>
          <cell r="BV63">
            <v>-38400</v>
          </cell>
          <cell r="BW63">
            <v>-28000</v>
          </cell>
          <cell r="BX63">
            <v>-6200</v>
          </cell>
          <cell r="BY63">
            <v>-4500</v>
          </cell>
          <cell r="BZ63">
            <v>-19700</v>
          </cell>
          <cell r="CA63">
            <v>-12900</v>
          </cell>
        </row>
        <row r="64">
          <cell r="A64" t="str">
            <v xml:space="preserve">Net cash provided by (used in) fin. activities </v>
          </cell>
          <cell r="D64">
            <v>71015</v>
          </cell>
          <cell r="E64">
            <v>-99465</v>
          </cell>
          <cell r="F64">
            <v>-93225</v>
          </cell>
          <cell r="G64">
            <v>-111210</v>
          </cell>
          <cell r="H64">
            <v>-451254</v>
          </cell>
          <cell r="I64">
            <v>-481400</v>
          </cell>
          <cell r="J64">
            <v>-622700</v>
          </cell>
          <cell r="K64">
            <v>138300</v>
          </cell>
          <cell r="L64">
            <v>-657600</v>
          </cell>
          <cell r="M64">
            <v>-391900</v>
          </cell>
          <cell r="N64">
            <v>-770900</v>
          </cell>
          <cell r="O64">
            <v>-895600</v>
          </cell>
          <cell r="P64">
            <v>-718600</v>
          </cell>
          <cell r="Q64">
            <v>-501100</v>
          </cell>
          <cell r="R64">
            <v>93400</v>
          </cell>
          <cell r="S64">
            <v>-199915.36970937415</v>
          </cell>
          <cell r="T64">
            <v>-270881.79999999987</v>
          </cell>
          <cell r="U64">
            <v>-297550.40200000058</v>
          </cell>
          <cell r="V64">
            <v>-282245.47927999985</v>
          </cell>
          <cell r="W64">
            <v>-241632.04479732475</v>
          </cell>
          <cell r="X64">
            <v>-327716.59623142588</v>
          </cell>
          <cell r="Z64">
            <v>-31041</v>
          </cell>
          <cell r="AA64">
            <v>-14025</v>
          </cell>
          <cell r="AB64">
            <v>-28988</v>
          </cell>
          <cell r="AC64">
            <v>140180</v>
          </cell>
          <cell r="AD64">
            <v>-25765</v>
          </cell>
          <cell r="AE64">
            <v>-24462</v>
          </cell>
          <cell r="AF64">
            <v>-35731</v>
          </cell>
          <cell r="AG64">
            <v>-25252</v>
          </cell>
          <cell r="AH64">
            <v>-25975</v>
          </cell>
          <cell r="AI64">
            <v>-25647</v>
          </cell>
          <cell r="AJ64">
            <v>-284876</v>
          </cell>
          <cell r="AK64">
            <v>-114756</v>
          </cell>
          <cell r="AL64">
            <v>-120100</v>
          </cell>
          <cell r="AM64">
            <v>-119600</v>
          </cell>
          <cell r="AN64">
            <v>50900</v>
          </cell>
          <cell r="AO64">
            <v>-292600</v>
          </cell>
          <cell r="AP64">
            <v>-203400</v>
          </cell>
          <cell r="AQ64">
            <v>-210500</v>
          </cell>
          <cell r="AR64">
            <v>-85700</v>
          </cell>
          <cell r="AS64">
            <v>-123100</v>
          </cell>
          <cell r="AT64">
            <v>-136600</v>
          </cell>
          <cell r="AU64">
            <v>-274600</v>
          </cell>
          <cell r="AV64">
            <v>-130300</v>
          </cell>
          <cell r="AW64">
            <v>679800</v>
          </cell>
          <cell r="AX64">
            <v>-398000</v>
          </cell>
          <cell r="AY64">
            <v>-461700</v>
          </cell>
          <cell r="AZ64">
            <v>-37600</v>
          </cell>
          <cell r="BA64">
            <v>239700</v>
          </cell>
          <cell r="BB64">
            <v>-52900</v>
          </cell>
          <cell r="BC64">
            <v>-185000</v>
          </cell>
          <cell r="BD64">
            <v>-163300</v>
          </cell>
          <cell r="BE64">
            <v>9300</v>
          </cell>
          <cell r="BF64">
            <v>-425900</v>
          </cell>
          <cell r="BG64">
            <v>-137100</v>
          </cell>
          <cell r="BH64">
            <v>13100</v>
          </cell>
          <cell r="BI64">
            <v>-221000</v>
          </cell>
          <cell r="BJ64">
            <v>-147700</v>
          </cell>
          <cell r="BK64">
            <v>-173400</v>
          </cell>
          <cell r="BL64">
            <v>-269900</v>
          </cell>
          <cell r="BM64">
            <v>-304600</v>
          </cell>
          <cell r="BN64">
            <v>-174400</v>
          </cell>
          <cell r="BO64">
            <v>-181000</v>
          </cell>
          <cell r="BP64">
            <v>-189200</v>
          </cell>
          <cell r="BQ64">
            <v>-174000</v>
          </cell>
          <cell r="BR64">
            <v>-4900</v>
          </cell>
          <cell r="BS64">
            <v>101000</v>
          </cell>
          <cell r="BT64">
            <v>-10300</v>
          </cell>
          <cell r="BU64">
            <v>-586900</v>
          </cell>
          <cell r="BV64">
            <v>173700</v>
          </cell>
          <cell r="BW64">
            <v>-79500</v>
          </cell>
          <cell r="BX64">
            <v>67400</v>
          </cell>
          <cell r="BY64">
            <v>-68200</v>
          </cell>
          <cell r="BZ64">
            <v>100800</v>
          </cell>
          <cell r="CA64">
            <v>-91913.499999999258</v>
          </cell>
          <cell r="CB64">
            <v>-101905.1162500005</v>
          </cell>
          <cell r="CC64">
            <v>-106896.75345937445</v>
          </cell>
        </row>
        <row r="66">
          <cell r="A66" t="str">
            <v xml:space="preserve">Net increase in cash and equivalents </v>
          </cell>
          <cell r="D66">
            <v>4625</v>
          </cell>
          <cell r="E66">
            <v>301</v>
          </cell>
          <cell r="F66">
            <v>15633</v>
          </cell>
          <cell r="G66">
            <v>47144</v>
          </cell>
          <cell r="H66">
            <v>374941</v>
          </cell>
          <cell r="I66">
            <v>-314800</v>
          </cell>
          <cell r="J66">
            <v>224600</v>
          </cell>
          <cell r="K66">
            <v>766300</v>
          </cell>
          <cell r="L66">
            <v>-1020600</v>
          </cell>
          <cell r="M66">
            <v>184700</v>
          </cell>
          <cell r="N66">
            <v>-95000</v>
          </cell>
          <cell r="O66">
            <v>-83800</v>
          </cell>
          <cell r="P66">
            <v>-20400</v>
          </cell>
          <cell r="Q66">
            <v>3500</v>
          </cell>
          <cell r="R66">
            <v>27800</v>
          </cell>
          <cell r="S66">
            <v>-15332.316682879609</v>
          </cell>
          <cell r="T66">
            <v>14918.451807170233</v>
          </cell>
          <cell r="U66">
            <v>9584.1980436687591</v>
          </cell>
          <cell r="V66">
            <v>4660.7393055306748</v>
          </cell>
          <cell r="W66">
            <v>29848.480064471427</v>
          </cell>
          <cell r="X66">
            <v>-19956.620914602769</v>
          </cell>
          <cell r="Z66">
            <v>2345</v>
          </cell>
          <cell r="AA66">
            <v>-2974</v>
          </cell>
          <cell r="AB66">
            <v>-127</v>
          </cell>
          <cell r="AC66">
            <v>16376</v>
          </cell>
          <cell r="AD66">
            <v>22088</v>
          </cell>
          <cell r="AE66">
            <v>21007</v>
          </cell>
          <cell r="AF66">
            <v>-13408</v>
          </cell>
          <cell r="AG66">
            <v>17457</v>
          </cell>
          <cell r="AH66">
            <v>5670</v>
          </cell>
          <cell r="AI66">
            <v>22321</v>
          </cell>
          <cell r="AJ66">
            <v>333086</v>
          </cell>
          <cell r="AK66">
            <v>13864</v>
          </cell>
          <cell r="AL66">
            <v>10800</v>
          </cell>
          <cell r="AM66">
            <v>86200</v>
          </cell>
          <cell r="AN66">
            <v>-415900</v>
          </cell>
          <cell r="AO66">
            <v>4100</v>
          </cell>
          <cell r="AP66">
            <v>-18500</v>
          </cell>
          <cell r="AQ66">
            <v>6100</v>
          </cell>
          <cell r="AR66">
            <v>52000</v>
          </cell>
          <cell r="AS66">
            <v>185000</v>
          </cell>
          <cell r="AT66">
            <v>15600</v>
          </cell>
          <cell r="AU66">
            <v>-66800</v>
          </cell>
          <cell r="AV66">
            <v>44600</v>
          </cell>
          <cell r="AW66">
            <v>772900</v>
          </cell>
          <cell r="AX66">
            <v>-482800</v>
          </cell>
          <cell r="AY66">
            <v>-526600</v>
          </cell>
          <cell r="AZ66">
            <v>101700</v>
          </cell>
          <cell r="BA66">
            <v>-112900</v>
          </cell>
          <cell r="BB66">
            <v>-6500</v>
          </cell>
          <cell r="BC66">
            <v>16300</v>
          </cell>
          <cell r="BD66">
            <v>-17800</v>
          </cell>
          <cell r="BE66">
            <v>192700</v>
          </cell>
          <cell r="BF66">
            <v>-162800</v>
          </cell>
          <cell r="BG66">
            <v>-26700</v>
          </cell>
          <cell r="BH66">
            <v>77300</v>
          </cell>
          <cell r="BI66">
            <v>17200</v>
          </cell>
          <cell r="BJ66">
            <v>-77600</v>
          </cell>
          <cell r="BK66">
            <v>23900</v>
          </cell>
          <cell r="BL66">
            <v>-4900</v>
          </cell>
          <cell r="BM66">
            <v>-25200</v>
          </cell>
          <cell r="BN66">
            <v>21800</v>
          </cell>
          <cell r="BO66">
            <v>-15200</v>
          </cell>
          <cell r="BP66">
            <v>48900</v>
          </cell>
          <cell r="BQ66">
            <v>-75900</v>
          </cell>
          <cell r="BR66">
            <v>46200</v>
          </cell>
          <cell r="BS66">
            <v>-27000</v>
          </cell>
          <cell r="BT66">
            <v>50200</v>
          </cell>
          <cell r="BU66">
            <v>-65900</v>
          </cell>
          <cell r="BV66">
            <v>43300</v>
          </cell>
          <cell r="BW66">
            <v>-33000</v>
          </cell>
          <cell r="BX66">
            <v>19800</v>
          </cell>
          <cell r="BY66">
            <v>-2300</v>
          </cell>
          <cell r="BZ66">
            <v>-7600</v>
          </cell>
          <cell r="CA66">
            <v>-3950.4153445115517</v>
          </cell>
          <cell r="CB66">
            <v>34905.940344176677</v>
          </cell>
          <cell r="CC66">
            <v>-38687.841682544735</v>
          </cell>
        </row>
        <row r="67">
          <cell r="A67" t="str">
            <v>Net operating cash used in discontinued operations</v>
          </cell>
          <cell r="D67">
            <v>-3662</v>
          </cell>
          <cell r="E67">
            <v>-176</v>
          </cell>
          <cell r="F67">
            <v>-13</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Z67">
            <v>-9</v>
          </cell>
          <cell r="AA67">
            <v>-7</v>
          </cell>
          <cell r="AB67">
            <v>-1</v>
          </cell>
          <cell r="AC67">
            <v>17</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row>
        <row r="68">
          <cell r="A68" t="str">
            <v>Net increase in cash and equivalents</v>
          </cell>
          <cell r="D68">
            <v>963</v>
          </cell>
          <cell r="E68">
            <v>125</v>
          </cell>
          <cell r="F68">
            <v>15620</v>
          </cell>
          <cell r="G68">
            <v>47144</v>
          </cell>
          <cell r="H68">
            <v>374941</v>
          </cell>
          <cell r="I68">
            <v>-314800</v>
          </cell>
          <cell r="J68">
            <v>224600</v>
          </cell>
          <cell r="K68">
            <v>766300</v>
          </cell>
          <cell r="L68">
            <v>-1020600</v>
          </cell>
          <cell r="M68">
            <v>184700</v>
          </cell>
          <cell r="N68">
            <v>-95000</v>
          </cell>
          <cell r="O68">
            <v>-83800</v>
          </cell>
          <cell r="P68">
            <v>-20400</v>
          </cell>
          <cell r="Q68">
            <v>3500</v>
          </cell>
          <cell r="R68">
            <v>27800</v>
          </cell>
          <cell r="S68">
            <v>-15332.316682879609</v>
          </cell>
          <cell r="T68">
            <v>14918.451807170233</v>
          </cell>
          <cell r="U68">
            <v>9584.1980436687591</v>
          </cell>
          <cell r="V68">
            <v>4660.7393055306748</v>
          </cell>
          <cell r="W68">
            <v>29848.480064471427</v>
          </cell>
          <cell r="X68">
            <v>-19956.620914602769</v>
          </cell>
          <cell r="Z68">
            <v>2336</v>
          </cell>
          <cell r="AA68">
            <v>-2981</v>
          </cell>
          <cell r="AB68">
            <v>-128</v>
          </cell>
          <cell r="AC68">
            <v>16393</v>
          </cell>
          <cell r="AD68">
            <v>22088</v>
          </cell>
          <cell r="AE68">
            <v>21007</v>
          </cell>
          <cell r="AF68">
            <v>-13408</v>
          </cell>
          <cell r="AG68">
            <v>17457</v>
          </cell>
          <cell r="AH68">
            <v>5670</v>
          </cell>
          <cell r="AI68">
            <v>22321</v>
          </cell>
          <cell r="AJ68">
            <v>333086</v>
          </cell>
          <cell r="AK68">
            <v>13864</v>
          </cell>
          <cell r="AL68">
            <v>10800</v>
          </cell>
          <cell r="AM68">
            <v>86200</v>
          </cell>
          <cell r="AN68">
            <v>-415900</v>
          </cell>
          <cell r="AO68">
            <v>4100</v>
          </cell>
          <cell r="AP68">
            <v>-18500</v>
          </cell>
          <cell r="AQ68">
            <v>6100</v>
          </cell>
          <cell r="AR68">
            <v>52000</v>
          </cell>
          <cell r="AS68">
            <v>185000</v>
          </cell>
          <cell r="AT68">
            <v>15600</v>
          </cell>
          <cell r="AU68">
            <v>-66800</v>
          </cell>
          <cell r="AV68">
            <v>44600</v>
          </cell>
          <cell r="AW68">
            <v>772900</v>
          </cell>
          <cell r="AX68">
            <v>-482800</v>
          </cell>
          <cell r="AY68">
            <v>-526600</v>
          </cell>
          <cell r="AZ68">
            <v>101700</v>
          </cell>
          <cell r="BA68">
            <v>-112900</v>
          </cell>
          <cell r="BB68">
            <v>-6500</v>
          </cell>
          <cell r="BC68">
            <v>16300</v>
          </cell>
          <cell r="BD68">
            <v>-17800</v>
          </cell>
          <cell r="BE68">
            <v>192700</v>
          </cell>
          <cell r="BF68">
            <v>-162800</v>
          </cell>
          <cell r="BG68">
            <v>-26700</v>
          </cell>
          <cell r="BH68">
            <v>77300</v>
          </cell>
          <cell r="BI68">
            <v>17200</v>
          </cell>
          <cell r="BJ68">
            <v>-77600</v>
          </cell>
          <cell r="BK68">
            <v>23900</v>
          </cell>
          <cell r="BL68">
            <v>-4900</v>
          </cell>
          <cell r="BM68">
            <v>-25200</v>
          </cell>
          <cell r="BN68">
            <v>21800</v>
          </cell>
          <cell r="BO68">
            <v>-15200</v>
          </cell>
          <cell r="BP68">
            <v>48900</v>
          </cell>
          <cell r="BQ68">
            <v>-75900</v>
          </cell>
          <cell r="BR68">
            <v>46200</v>
          </cell>
          <cell r="BS68">
            <v>-27000</v>
          </cell>
          <cell r="BT68">
            <v>50200</v>
          </cell>
          <cell r="BU68">
            <v>-65900</v>
          </cell>
          <cell r="BV68">
            <v>43300</v>
          </cell>
          <cell r="BW68">
            <v>-33000</v>
          </cell>
          <cell r="BX68">
            <v>19800</v>
          </cell>
          <cell r="BY68">
            <v>-2300</v>
          </cell>
          <cell r="BZ68">
            <v>-7600</v>
          </cell>
          <cell r="CA68">
            <v>-3950.4153445115517</v>
          </cell>
          <cell r="CB68">
            <v>34905.940344176677</v>
          </cell>
          <cell r="CC68">
            <v>-38687.841682544735</v>
          </cell>
        </row>
        <row r="70">
          <cell r="A70" t="str">
            <v xml:space="preserve">Cash restatement </v>
          </cell>
          <cell r="H70">
            <v>-52266</v>
          </cell>
          <cell r="I70">
            <v>0</v>
          </cell>
          <cell r="J70">
            <v>0</v>
          </cell>
          <cell r="AJ70">
            <v>-52266</v>
          </cell>
        </row>
        <row r="72">
          <cell r="A72" t="str">
            <v>Cash and equivalents BOP</v>
          </cell>
          <cell r="D72">
            <v>326</v>
          </cell>
          <cell r="E72">
            <v>1289</v>
          </cell>
          <cell r="F72">
            <v>1414</v>
          </cell>
          <cell r="G72">
            <v>17034</v>
          </cell>
          <cell r="H72">
            <v>64178</v>
          </cell>
          <cell r="I72">
            <v>386800</v>
          </cell>
          <cell r="J72">
            <v>72000</v>
          </cell>
          <cell r="K72">
            <v>296600</v>
          </cell>
          <cell r="L72">
            <v>1062900</v>
          </cell>
          <cell r="M72">
            <v>42300</v>
          </cell>
          <cell r="N72">
            <v>227000</v>
          </cell>
          <cell r="O72">
            <v>132000</v>
          </cell>
          <cell r="P72">
            <v>48200</v>
          </cell>
          <cell r="Q72">
            <v>27800</v>
          </cell>
          <cell r="R72">
            <v>31300</v>
          </cell>
          <cell r="S72">
            <v>59100</v>
          </cell>
          <cell r="T72">
            <v>43767.683317120391</v>
          </cell>
          <cell r="U72">
            <v>58686.135124290624</v>
          </cell>
          <cell r="V72">
            <v>68270.333167959383</v>
          </cell>
          <cell r="W72">
            <v>72931.072473490058</v>
          </cell>
          <cell r="X72">
            <v>102779.55253796148</v>
          </cell>
          <cell r="Z72">
            <v>1414</v>
          </cell>
          <cell r="AA72">
            <v>3750</v>
          </cell>
          <cell r="AB72">
            <v>769</v>
          </cell>
          <cell r="AC72">
            <v>641</v>
          </cell>
          <cell r="AD72">
            <v>17034</v>
          </cell>
          <cell r="AE72">
            <v>39122</v>
          </cell>
          <cell r="AF72">
            <v>60129</v>
          </cell>
          <cell r="AG72">
            <v>46721</v>
          </cell>
          <cell r="AH72">
            <v>64178</v>
          </cell>
          <cell r="AI72">
            <v>69848</v>
          </cell>
          <cell r="AJ72">
            <v>92169</v>
          </cell>
          <cell r="AK72">
            <v>372989</v>
          </cell>
          <cell r="AL72">
            <v>386800</v>
          </cell>
          <cell r="AM72">
            <v>397600</v>
          </cell>
          <cell r="AN72">
            <v>483800</v>
          </cell>
          <cell r="AO72">
            <v>67900</v>
          </cell>
          <cell r="AP72">
            <v>72000</v>
          </cell>
          <cell r="AQ72">
            <v>53500</v>
          </cell>
          <cell r="AR72">
            <v>59600</v>
          </cell>
          <cell r="AS72">
            <v>111600</v>
          </cell>
          <cell r="AT72">
            <v>296600</v>
          </cell>
          <cell r="AU72">
            <v>312200</v>
          </cell>
          <cell r="AV72">
            <v>245400</v>
          </cell>
          <cell r="AW72">
            <v>290000</v>
          </cell>
          <cell r="AX72">
            <v>1062900</v>
          </cell>
          <cell r="AY72">
            <v>580100</v>
          </cell>
          <cell r="AZ72">
            <v>53500</v>
          </cell>
          <cell r="BA72">
            <v>155200</v>
          </cell>
          <cell r="BB72">
            <v>42300</v>
          </cell>
          <cell r="BC72">
            <v>35800</v>
          </cell>
          <cell r="BD72">
            <v>52100</v>
          </cell>
          <cell r="BE72">
            <v>34300</v>
          </cell>
          <cell r="BF72">
            <v>227000</v>
          </cell>
          <cell r="BG72">
            <v>64200</v>
          </cell>
          <cell r="BH72">
            <v>37500</v>
          </cell>
          <cell r="BI72">
            <v>114800</v>
          </cell>
          <cell r="BJ72">
            <v>132000</v>
          </cell>
          <cell r="BK72">
            <v>54400</v>
          </cell>
          <cell r="BL72">
            <v>78300</v>
          </cell>
          <cell r="BM72">
            <v>73400</v>
          </cell>
          <cell r="BN72">
            <v>48200</v>
          </cell>
          <cell r="BO72">
            <v>70000</v>
          </cell>
          <cell r="BP72">
            <v>54800</v>
          </cell>
          <cell r="BQ72">
            <v>103700</v>
          </cell>
          <cell r="BR72">
            <v>27800</v>
          </cell>
          <cell r="BS72">
            <v>74000</v>
          </cell>
          <cell r="BT72">
            <v>47000</v>
          </cell>
          <cell r="BU72">
            <v>97200</v>
          </cell>
          <cell r="BV72">
            <v>31300</v>
          </cell>
          <cell r="BW72">
            <v>74600</v>
          </cell>
          <cell r="BX72">
            <v>41600</v>
          </cell>
          <cell r="BY72">
            <v>61400</v>
          </cell>
          <cell r="BZ72">
            <v>59100</v>
          </cell>
          <cell r="CA72">
            <v>51500</v>
          </cell>
          <cell r="CB72">
            <v>47549.584655488448</v>
          </cell>
          <cell r="CC72">
            <v>82455.524999665126</v>
          </cell>
        </row>
        <row r="73">
          <cell r="A73" t="str">
            <v>Cash and equivalents EOP</v>
          </cell>
          <cell r="D73">
            <v>1289</v>
          </cell>
          <cell r="E73">
            <v>1414</v>
          </cell>
          <cell r="F73">
            <v>17034</v>
          </cell>
          <cell r="G73">
            <v>64178</v>
          </cell>
          <cell r="H73">
            <v>386853</v>
          </cell>
          <cell r="I73">
            <v>72000</v>
          </cell>
          <cell r="J73">
            <v>296600</v>
          </cell>
          <cell r="K73">
            <v>1062900</v>
          </cell>
          <cell r="L73">
            <v>42300</v>
          </cell>
          <cell r="M73">
            <v>227000</v>
          </cell>
          <cell r="N73">
            <v>132000</v>
          </cell>
          <cell r="O73">
            <v>48200</v>
          </cell>
          <cell r="P73">
            <v>27800</v>
          </cell>
          <cell r="Q73">
            <v>31300</v>
          </cell>
          <cell r="R73">
            <v>59100</v>
          </cell>
          <cell r="S73">
            <v>43767.683317120391</v>
          </cell>
          <cell r="T73">
            <v>58686.135124290624</v>
          </cell>
          <cell r="U73">
            <v>68270.333167959383</v>
          </cell>
          <cell r="V73">
            <v>72931.072473490058</v>
          </cell>
          <cell r="W73">
            <v>102779.55253796148</v>
          </cell>
          <cell r="X73">
            <v>82822.931623358716</v>
          </cell>
          <cell r="Z73">
            <v>3750</v>
          </cell>
          <cell r="AA73">
            <v>769</v>
          </cell>
          <cell r="AB73">
            <v>641</v>
          </cell>
          <cell r="AC73">
            <v>17034</v>
          </cell>
          <cell r="AD73">
            <v>39122</v>
          </cell>
          <cell r="AE73">
            <v>60129</v>
          </cell>
          <cell r="AF73">
            <v>46721</v>
          </cell>
          <cell r="AG73">
            <v>64178</v>
          </cell>
          <cell r="AH73">
            <v>69848</v>
          </cell>
          <cell r="AI73">
            <v>92169</v>
          </cell>
          <cell r="AJ73">
            <v>372989</v>
          </cell>
          <cell r="AK73">
            <v>386853</v>
          </cell>
          <cell r="AL73">
            <v>397600</v>
          </cell>
          <cell r="AM73">
            <v>483800</v>
          </cell>
          <cell r="AN73">
            <v>67900</v>
          </cell>
          <cell r="AO73">
            <v>72000</v>
          </cell>
          <cell r="AP73">
            <v>53500</v>
          </cell>
          <cell r="AQ73">
            <v>59600</v>
          </cell>
          <cell r="AR73">
            <v>111600</v>
          </cell>
          <cell r="AS73">
            <v>296600</v>
          </cell>
          <cell r="AT73">
            <v>312200</v>
          </cell>
          <cell r="AU73">
            <v>245400</v>
          </cell>
          <cell r="AV73">
            <v>290000</v>
          </cell>
          <cell r="AW73">
            <v>1062900</v>
          </cell>
          <cell r="AX73">
            <v>580100</v>
          </cell>
          <cell r="AY73">
            <v>53500</v>
          </cell>
          <cell r="AZ73">
            <v>155200</v>
          </cell>
          <cell r="BA73">
            <v>42300</v>
          </cell>
          <cell r="BB73">
            <v>35800</v>
          </cell>
          <cell r="BC73">
            <v>52100</v>
          </cell>
          <cell r="BD73">
            <v>34300</v>
          </cell>
          <cell r="BE73">
            <v>227000</v>
          </cell>
          <cell r="BF73">
            <v>64200</v>
          </cell>
          <cell r="BG73">
            <v>37500</v>
          </cell>
          <cell r="BH73">
            <v>114800</v>
          </cell>
          <cell r="BI73">
            <v>132000</v>
          </cell>
          <cell r="BJ73">
            <v>54400</v>
          </cell>
          <cell r="BK73">
            <v>78300</v>
          </cell>
          <cell r="BL73">
            <v>73400</v>
          </cell>
          <cell r="BM73">
            <v>48200</v>
          </cell>
          <cell r="BN73">
            <v>70000</v>
          </cell>
          <cell r="BO73">
            <v>54800</v>
          </cell>
          <cell r="BP73">
            <v>103700</v>
          </cell>
          <cell r="BQ73">
            <v>27800</v>
          </cell>
          <cell r="BR73">
            <v>74000</v>
          </cell>
          <cell r="BS73">
            <v>47000</v>
          </cell>
          <cell r="BT73">
            <v>97200</v>
          </cell>
          <cell r="BU73">
            <v>31300</v>
          </cell>
          <cell r="BV73">
            <v>74600</v>
          </cell>
          <cell r="BW73">
            <v>41600</v>
          </cell>
          <cell r="BX73">
            <v>61400</v>
          </cell>
          <cell r="BY73">
            <v>59100</v>
          </cell>
          <cell r="BZ73">
            <v>51500</v>
          </cell>
          <cell r="CA73">
            <v>47549.584655488448</v>
          </cell>
          <cell r="CB73">
            <v>82455.524999665126</v>
          </cell>
          <cell r="CC73">
            <v>43767.683317120391</v>
          </cell>
        </row>
        <row r="75">
          <cell r="A75" t="str">
            <v xml:space="preserve"> check (Net Income vs. IS)</v>
          </cell>
          <cell r="I75">
            <v>440967.7</v>
          </cell>
          <cell r="J75">
            <v>-112074</v>
          </cell>
          <cell r="K75">
            <v>-97443.299999999988</v>
          </cell>
          <cell r="L75">
            <v>-59066</v>
          </cell>
          <cell r="M75">
            <v>-124206</v>
          </cell>
          <cell r="N75">
            <v>-17760</v>
          </cell>
          <cell r="O75">
            <v>-3280</v>
          </cell>
          <cell r="P75">
            <v>-9880</v>
          </cell>
          <cell r="Q75">
            <v>-51120</v>
          </cell>
          <cell r="R75">
            <v>34840</v>
          </cell>
          <cell r="S75">
            <v>-159460.00000000012</v>
          </cell>
          <cell r="T75">
            <v>0</v>
          </cell>
          <cell r="U75">
            <v>0</v>
          </cell>
          <cell r="V75">
            <v>0</v>
          </cell>
          <cell r="W75">
            <v>0</v>
          </cell>
          <cell r="X75">
            <v>0</v>
          </cell>
          <cell r="Z75">
            <v>0</v>
          </cell>
          <cell r="AA75">
            <v>0</v>
          </cell>
          <cell r="AB75">
            <v>6678</v>
          </cell>
          <cell r="AC75">
            <v>62975</v>
          </cell>
          <cell r="AD75">
            <v>29262</v>
          </cell>
          <cell r="AE75">
            <v>0</v>
          </cell>
          <cell r="AF75">
            <v>2953</v>
          </cell>
          <cell r="AG75">
            <v>1351</v>
          </cell>
          <cell r="AH75">
            <v>0</v>
          </cell>
          <cell r="AI75">
            <v>0</v>
          </cell>
          <cell r="AJ75">
            <v>-313581.31136599998</v>
          </cell>
          <cell r="AK75">
            <v>4902.9246673411108</v>
          </cell>
          <cell r="AL75">
            <v>9095.1999999999971</v>
          </cell>
          <cell r="AM75">
            <v>-2101.8999999999942</v>
          </cell>
          <cell r="AN75">
            <v>415</v>
          </cell>
          <cell r="AO75">
            <v>-448376</v>
          </cell>
          <cell r="AP75">
            <v>12175</v>
          </cell>
          <cell r="AQ75">
            <v>33850</v>
          </cell>
          <cell r="AR75">
            <v>20485</v>
          </cell>
          <cell r="AS75">
            <v>45564</v>
          </cell>
          <cell r="AT75">
            <v>20889.600000000006</v>
          </cell>
          <cell r="AU75">
            <v>12766.5</v>
          </cell>
          <cell r="AV75">
            <v>26557</v>
          </cell>
          <cell r="AW75">
            <v>37230.199999999997</v>
          </cell>
          <cell r="AX75">
            <v>23442</v>
          </cell>
          <cell r="AY75">
            <v>15329</v>
          </cell>
          <cell r="AZ75">
            <v>14316</v>
          </cell>
          <cell r="BA75">
            <v>5979</v>
          </cell>
          <cell r="BB75">
            <v>77112</v>
          </cell>
          <cell r="BC75">
            <v>4398</v>
          </cell>
          <cell r="BD75">
            <v>34714</v>
          </cell>
          <cell r="BE75">
            <v>7982</v>
          </cell>
          <cell r="BF75">
            <v>8900</v>
          </cell>
          <cell r="BG75">
            <v>6800</v>
          </cell>
          <cell r="BH75">
            <v>-4700</v>
          </cell>
          <cell r="BI75">
            <v>4960</v>
          </cell>
          <cell r="BJ75">
            <v>-4420</v>
          </cell>
          <cell r="BK75">
            <v>3100</v>
          </cell>
          <cell r="BL75">
            <v>-2720</v>
          </cell>
          <cell r="BM75">
            <v>7320</v>
          </cell>
          <cell r="BN75">
            <v>-220</v>
          </cell>
          <cell r="BO75">
            <v>3340</v>
          </cell>
          <cell r="BP75">
            <v>4560</v>
          </cell>
          <cell r="BQ75">
            <v>2200</v>
          </cell>
          <cell r="BR75">
            <v>5360</v>
          </cell>
          <cell r="BS75">
            <v>35720</v>
          </cell>
          <cell r="BT75">
            <v>-260</v>
          </cell>
          <cell r="BU75">
            <v>10300</v>
          </cell>
          <cell r="BV75">
            <v>1240</v>
          </cell>
          <cell r="BW75">
            <v>-800</v>
          </cell>
          <cell r="BX75">
            <v>740</v>
          </cell>
          <cell r="BY75">
            <v>-36020</v>
          </cell>
          <cell r="BZ75">
            <v>159460</v>
          </cell>
          <cell r="CA75">
            <v>0</v>
          </cell>
          <cell r="CB75">
            <v>0</v>
          </cell>
          <cell r="CC75">
            <v>0</v>
          </cell>
        </row>
        <row r="76">
          <cell r="A76" t="str">
            <v xml:space="preserve"> check (Cash vs. BS)</v>
          </cell>
          <cell r="D76" t="str">
            <v>NA</v>
          </cell>
          <cell r="E76">
            <v>0</v>
          </cell>
          <cell r="F76">
            <v>0</v>
          </cell>
          <cell r="G76">
            <v>0</v>
          </cell>
          <cell r="H76">
            <v>1</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Z76" t="str">
            <v>NA</v>
          </cell>
          <cell r="AA76" t="str">
            <v>NA</v>
          </cell>
          <cell r="AB76" t="str">
            <v>NA</v>
          </cell>
          <cell r="AC76" t="str">
            <v>NA</v>
          </cell>
          <cell r="AD76">
            <v>0</v>
          </cell>
          <cell r="AE76">
            <v>0</v>
          </cell>
          <cell r="AF76">
            <v>0</v>
          </cell>
          <cell r="AG76">
            <v>0</v>
          </cell>
          <cell r="AH76">
            <v>0</v>
          </cell>
          <cell r="AI76">
            <v>0</v>
          </cell>
          <cell r="AJ76">
            <v>13</v>
          </cell>
          <cell r="AK76">
            <v>1</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row>
        <row r="78">
          <cell r="A78" t="str">
            <v>Capital Spending Forecasts</v>
          </cell>
          <cell r="G78">
            <v>2005</v>
          </cell>
          <cell r="H78">
            <v>2006</v>
          </cell>
          <cell r="I78">
            <v>2007</v>
          </cell>
          <cell r="J78">
            <v>2008</v>
          </cell>
          <cell r="K78">
            <v>2009</v>
          </cell>
          <cell r="L78">
            <v>2010</v>
          </cell>
          <cell r="M78">
            <v>2011</v>
          </cell>
          <cell r="N78">
            <v>2012</v>
          </cell>
          <cell r="O78">
            <v>2013</v>
          </cell>
          <cell r="P78">
            <v>2014</v>
          </cell>
          <cell r="Q78">
            <v>2015</v>
          </cell>
          <cell r="R78">
            <v>2016</v>
          </cell>
          <cell r="S78">
            <v>2017</v>
          </cell>
          <cell r="T78">
            <v>2018</v>
          </cell>
          <cell r="U78">
            <v>2019</v>
          </cell>
          <cell r="V78">
            <v>2020</v>
          </cell>
          <cell r="W78">
            <v>2021</v>
          </cell>
          <cell r="X78">
            <v>2022</v>
          </cell>
          <cell r="Z78" t="str">
            <v>1Q04</v>
          </cell>
          <cell r="AA78" t="str">
            <v>2Q04</v>
          </cell>
          <cell r="AB78" t="str">
            <v>3Q04</v>
          </cell>
          <cell r="AC78" t="str">
            <v>4Q04</v>
          </cell>
          <cell r="AD78" t="str">
            <v>1Q05</v>
          </cell>
          <cell r="AE78" t="str">
            <v>2Q05</v>
          </cell>
          <cell r="AF78" t="str">
            <v>3Q05</v>
          </cell>
          <cell r="AG78" t="str">
            <v>4Q05</v>
          </cell>
          <cell r="AH78" t="str">
            <v>1Q06</v>
          </cell>
          <cell r="AI78" t="str">
            <v>2Q06</v>
          </cell>
          <cell r="AJ78" t="str">
            <v>3Q06</v>
          </cell>
          <cell r="AK78" t="str">
            <v>4Q06</v>
          </cell>
          <cell r="AL78" t="str">
            <v>1Q07</v>
          </cell>
          <cell r="AM78" t="str">
            <v>2Q07</v>
          </cell>
          <cell r="AN78" t="str">
            <v>3Q07</v>
          </cell>
          <cell r="AO78" t="str">
            <v>4Q07</v>
          </cell>
          <cell r="AP78" t="str">
            <v>1Q08</v>
          </cell>
          <cell r="AQ78" t="str">
            <v>2Q08</v>
          </cell>
          <cell r="AR78" t="str">
            <v>3Q08</v>
          </cell>
          <cell r="AS78" t="str">
            <v>4Q08</v>
          </cell>
          <cell r="AT78" t="str">
            <v>1Q09</v>
          </cell>
          <cell r="AU78" t="str">
            <v>2Q09</v>
          </cell>
          <cell r="AV78" t="str">
            <v>3Q09</v>
          </cell>
          <cell r="AW78" t="str">
            <v>4Q09</v>
          </cell>
          <cell r="AX78" t="str">
            <v>1Q10</v>
          </cell>
          <cell r="AY78" t="str">
            <v>2Q10</v>
          </cell>
          <cell r="AZ78" t="str">
            <v>3Q10</v>
          </cell>
          <cell r="BA78" t="str">
            <v>4Q10</v>
          </cell>
          <cell r="BB78" t="str">
            <v>1Q11</v>
          </cell>
          <cell r="BC78" t="str">
            <v>2Q11</v>
          </cell>
          <cell r="BD78" t="str">
            <v>3Q11</v>
          </cell>
          <cell r="BE78" t="str">
            <v>4Q11</v>
          </cell>
          <cell r="BF78" t="str">
            <v>1Q12</v>
          </cell>
          <cell r="BG78" t="str">
            <v>2Q12</v>
          </cell>
          <cell r="BH78" t="str">
            <v>3Q12</v>
          </cell>
          <cell r="BI78" t="str">
            <v>4Q12</v>
          </cell>
          <cell r="BJ78" t="str">
            <v>1Q13</v>
          </cell>
          <cell r="BK78" t="str">
            <v>2Q13</v>
          </cell>
          <cell r="BL78" t="str">
            <v>3Q13</v>
          </cell>
          <cell r="BM78" t="str">
            <v>4Q13</v>
          </cell>
          <cell r="BN78" t="str">
            <v>1Q14</v>
          </cell>
          <cell r="BO78" t="str">
            <v>2Q14</v>
          </cell>
          <cell r="BP78" t="str">
            <v>3Q14</v>
          </cell>
          <cell r="BQ78" t="str">
            <v>4Q14</v>
          </cell>
          <cell r="BR78" t="str">
            <v>1Q15</v>
          </cell>
          <cell r="BS78" t="str">
            <v>2Q15</v>
          </cell>
          <cell r="BT78" t="str">
            <v>3Q15</v>
          </cell>
          <cell r="BU78" t="str">
            <v>4Q15</v>
          </cell>
          <cell r="BV78" t="str">
            <v>1Q16</v>
          </cell>
          <cell r="BW78" t="str">
            <v>2Q16</v>
          </cell>
          <cell r="BX78" t="str">
            <v>3Q16</v>
          </cell>
          <cell r="BY78" t="str">
            <v>4Q16</v>
          </cell>
          <cell r="BZ78" t="str">
            <v>1Q17</v>
          </cell>
          <cell r="CA78" t="str">
            <v>2Q17E</v>
          </cell>
          <cell r="CB78" t="str">
            <v>3Q17E</v>
          </cell>
          <cell r="CC78" t="str">
            <v>4Q17E</v>
          </cell>
        </row>
        <row r="79">
          <cell r="A79" t="str">
            <v>Capex (Proforma NuVox, Iowa, Hosted Solutions, Qcomm, PAETEC)</v>
          </cell>
          <cell r="H79">
            <v>443300</v>
          </cell>
          <cell r="I79">
            <v>418000</v>
          </cell>
          <cell r="J79">
            <v>404800</v>
          </cell>
          <cell r="K79">
            <v>487400</v>
          </cell>
          <cell r="L79">
            <v>647200</v>
          </cell>
          <cell r="M79">
            <v>892000</v>
          </cell>
          <cell r="N79">
            <v>1101200</v>
          </cell>
          <cell r="O79">
            <v>841000</v>
          </cell>
          <cell r="P79">
            <v>786500</v>
          </cell>
          <cell r="Q79">
            <v>1055300</v>
          </cell>
          <cell r="R79">
            <v>989800</v>
          </cell>
          <cell r="S79">
            <v>842590.93195665313</v>
          </cell>
          <cell r="T79">
            <v>808558.77138535271</v>
          </cell>
          <cell r="U79">
            <v>784227.89278012188</v>
          </cell>
          <cell r="V79">
            <v>762542.76526425593</v>
          </cell>
          <cell r="W79">
            <v>726956.92413629347</v>
          </cell>
          <cell r="X79">
            <v>693992.48428987374</v>
          </cell>
          <cell r="AH79">
            <v>80900</v>
          </cell>
          <cell r="AI79">
            <v>112900</v>
          </cell>
          <cell r="AJ79">
            <v>101600</v>
          </cell>
          <cell r="AK79">
            <v>147900</v>
          </cell>
          <cell r="AL79">
            <v>99100</v>
          </cell>
          <cell r="AM79">
            <v>111800</v>
          </cell>
          <cell r="AN79">
            <v>101700</v>
          </cell>
          <cell r="AO79">
            <v>105400</v>
          </cell>
          <cell r="AP79">
            <v>76900</v>
          </cell>
          <cell r="AQ79">
            <v>101500</v>
          </cell>
          <cell r="AR79">
            <v>105300</v>
          </cell>
          <cell r="AS79">
            <v>121100</v>
          </cell>
          <cell r="AT79">
            <v>117000</v>
          </cell>
          <cell r="AU79">
            <v>116700</v>
          </cell>
          <cell r="AV79">
            <v>120600</v>
          </cell>
          <cell r="AW79">
            <v>133100</v>
          </cell>
          <cell r="AX79">
            <v>118700</v>
          </cell>
          <cell r="AY79">
            <v>164900</v>
          </cell>
          <cell r="AZ79">
            <v>168500</v>
          </cell>
          <cell r="BA79">
            <v>195100</v>
          </cell>
          <cell r="BB79">
            <v>206500</v>
          </cell>
          <cell r="BC79">
            <v>223900</v>
          </cell>
          <cell r="BD79">
            <v>222700</v>
          </cell>
          <cell r="BE79">
            <v>238900</v>
          </cell>
          <cell r="BF79">
            <v>226100</v>
          </cell>
          <cell r="BG79">
            <v>276000</v>
          </cell>
          <cell r="BH79">
            <v>307300</v>
          </cell>
          <cell r="BI79">
            <v>291800</v>
          </cell>
          <cell r="BJ79">
            <v>243500</v>
          </cell>
          <cell r="BK79">
            <v>228700</v>
          </cell>
          <cell r="BL79">
            <v>193800</v>
          </cell>
          <cell r="BM79">
            <v>175000</v>
          </cell>
          <cell r="BN79">
            <v>153000</v>
          </cell>
          <cell r="BO79">
            <v>205800</v>
          </cell>
          <cell r="BP79">
            <v>193900</v>
          </cell>
          <cell r="BQ79">
            <v>233800</v>
          </cell>
          <cell r="BR79">
            <v>189300</v>
          </cell>
          <cell r="BS79">
            <v>255000</v>
          </cell>
          <cell r="BT79">
            <v>300100</v>
          </cell>
          <cell r="BU79">
            <v>310900</v>
          </cell>
          <cell r="BV79">
            <v>263800</v>
          </cell>
          <cell r="BW79">
            <v>246500</v>
          </cell>
          <cell r="BX79">
            <v>243100</v>
          </cell>
          <cell r="BY79">
            <v>236400</v>
          </cell>
          <cell r="BZ79">
            <v>243400</v>
          </cell>
          <cell r="CA79">
            <v>201949.26192947078</v>
          </cell>
          <cell r="CB79">
            <v>207007.76649635038</v>
          </cell>
          <cell r="CC79">
            <v>190233.90353083194</v>
          </cell>
        </row>
        <row r="80">
          <cell r="A80" t="str">
            <v>% of revs</v>
          </cell>
          <cell r="H80">
            <v>0.13886422036339008</v>
          </cell>
          <cell r="I80">
            <v>0.1253711646321346</v>
          </cell>
          <cell r="J80">
            <v>0.10542764871340765</v>
          </cell>
          <cell r="K80">
            <v>0.11518646310913645</v>
          </cell>
          <cell r="L80">
            <v>0.10339814356237918</v>
          </cell>
          <cell r="M80">
            <v>0.14296933852639002</v>
          </cell>
          <cell r="N80">
            <v>0.17936314032087303</v>
          </cell>
          <cell r="O80">
            <v>0.14044521634575241</v>
          </cell>
          <cell r="P80">
            <v>0.13859030837004405</v>
          </cell>
          <cell r="Q80">
            <v>0.18730586961537779</v>
          </cell>
          <cell r="R80">
            <v>0.18373863003527011</v>
          </cell>
          <cell r="S80">
            <v>0.14153853344708858</v>
          </cell>
          <cell r="T80">
            <v>0.14000000000000001</v>
          </cell>
          <cell r="U80">
            <v>0.14000000000000001</v>
          </cell>
          <cell r="V80">
            <v>0.14000000000000001</v>
          </cell>
          <cell r="W80">
            <v>0.13700000000000001</v>
          </cell>
          <cell r="X80">
            <v>0.13400000000000001</v>
          </cell>
          <cell r="AH80">
            <v>0.10458479577523964</v>
          </cell>
          <cell r="AI80">
            <v>0.14175972918743676</v>
          </cell>
          <cell r="AJ80">
            <v>0.12783636944710769</v>
          </cell>
          <cell r="AK80">
            <v>0.17870779402809059</v>
          </cell>
          <cell r="AL80">
            <v>0.12015033947623667</v>
          </cell>
          <cell r="AM80">
            <v>0.13238602723505033</v>
          </cell>
          <cell r="AN80">
            <v>0.12111468381564845</v>
          </cell>
          <cell r="AO80">
            <v>0.1277420918676524</v>
          </cell>
          <cell r="AP80">
            <v>7.9425738483784342E-2</v>
          </cell>
          <cell r="AQ80">
            <v>0.10510510510510511</v>
          </cell>
          <cell r="AR80">
            <v>0.11003134796238244</v>
          </cell>
          <cell r="AS80">
            <v>0.12764836091493623</v>
          </cell>
          <cell r="AT80">
            <v>0.1093866866118175</v>
          </cell>
          <cell r="AU80">
            <v>0.11034417549167927</v>
          </cell>
          <cell r="AV80">
            <v>0.11476969927674154</v>
          </cell>
          <cell r="AW80">
            <v>0.12635276248338712</v>
          </cell>
          <cell r="AX80">
            <v>7.5595465545790344E-2</v>
          </cell>
          <cell r="AY80">
            <v>0.10573223903565017</v>
          </cell>
          <cell r="AZ80">
            <v>0.10724969766405704</v>
          </cell>
          <cell r="BA80">
            <v>0.12519250513347022</v>
          </cell>
          <cell r="BB80">
            <v>0.1329513262941025</v>
          </cell>
          <cell r="BC80">
            <v>0.143866863715222</v>
          </cell>
          <cell r="BD80">
            <v>0.14228213646818297</v>
          </cell>
          <cell r="BE80">
            <v>0.15271030427000767</v>
          </cell>
          <cell r="BF80">
            <v>0.14738283032396846</v>
          </cell>
          <cell r="BG80">
            <v>0.18035679278572828</v>
          </cell>
          <cell r="BH80">
            <v>0.19941596365996106</v>
          </cell>
          <cell r="BI80">
            <v>0.19020924320448471</v>
          </cell>
          <cell r="BJ80">
            <v>0.16271299699298364</v>
          </cell>
          <cell r="BK80">
            <v>0.15229406672437903</v>
          </cell>
          <cell r="BL80">
            <v>0.12932069931936474</v>
          </cell>
          <cell r="BM80">
            <v>0.11734728089586267</v>
          </cell>
          <cell r="BN80">
            <v>0.10718789407313997</v>
          </cell>
          <cell r="BO80">
            <v>0.14416812609457094</v>
          </cell>
          <cell r="BP80">
            <v>0.13687702950727093</v>
          </cell>
          <cell r="BQ80">
            <v>0.16658354114713217</v>
          </cell>
          <cell r="BR80">
            <v>0.13718385390245669</v>
          </cell>
          <cell r="BS80">
            <v>0.18366464995678478</v>
          </cell>
          <cell r="BT80">
            <v>0.20453925845147219</v>
          </cell>
          <cell r="BU80">
            <v>0.2222937222937223</v>
          </cell>
          <cell r="BV80">
            <v>0.19207805446337556</v>
          </cell>
          <cell r="BW80">
            <v>0.18130332450720801</v>
          </cell>
          <cell r="BX80">
            <v>0.18075693360101122</v>
          </cell>
          <cell r="BY80">
            <v>0.18058207929111603</v>
          </cell>
          <cell r="BZ80">
            <v>0.16063885955649418</v>
          </cell>
          <cell r="CA80">
            <v>0.13500000000000001</v>
          </cell>
          <cell r="CB80">
            <v>0.14000000000000001</v>
          </cell>
          <cell r="CC80">
            <v>0.13</v>
          </cell>
        </row>
        <row r="82">
          <cell r="A82" t="str">
            <v>Payout</v>
          </cell>
          <cell r="G82">
            <v>2005</v>
          </cell>
          <cell r="H82">
            <v>2006</v>
          </cell>
          <cell r="I82">
            <v>2007</v>
          </cell>
          <cell r="J82">
            <v>2008</v>
          </cell>
          <cell r="K82">
            <v>2009</v>
          </cell>
          <cell r="L82">
            <v>2010</v>
          </cell>
          <cell r="M82">
            <v>2011</v>
          </cell>
          <cell r="N82">
            <v>2012</v>
          </cell>
          <cell r="O82">
            <v>2013</v>
          </cell>
          <cell r="P82">
            <v>2014</v>
          </cell>
          <cell r="Q82">
            <v>2015</v>
          </cell>
          <cell r="R82">
            <v>2016</v>
          </cell>
          <cell r="S82">
            <v>2017</v>
          </cell>
          <cell r="T82">
            <v>2018</v>
          </cell>
          <cell r="U82">
            <v>2019</v>
          </cell>
          <cell r="V82">
            <v>2020</v>
          </cell>
          <cell r="W82">
            <v>2021</v>
          </cell>
          <cell r="X82">
            <v>2022</v>
          </cell>
          <cell r="Z82" t="str">
            <v>1Q04</v>
          </cell>
          <cell r="AA82" t="str">
            <v>2Q04</v>
          </cell>
          <cell r="AB82" t="str">
            <v>3Q04</v>
          </cell>
          <cell r="AC82" t="str">
            <v>4Q04</v>
          </cell>
          <cell r="AD82" t="str">
            <v>1Q05</v>
          </cell>
          <cell r="AE82" t="str">
            <v>2Q05</v>
          </cell>
          <cell r="AF82" t="str">
            <v>3Q05</v>
          </cell>
          <cell r="AG82" t="str">
            <v>4Q05</v>
          </cell>
          <cell r="AH82" t="str">
            <v>1Q06</v>
          </cell>
          <cell r="AI82" t="str">
            <v>2Q06</v>
          </cell>
          <cell r="AJ82" t="str">
            <v>3Q06</v>
          </cell>
          <cell r="AK82" t="str">
            <v>4Q06</v>
          </cell>
          <cell r="AL82" t="str">
            <v>1Q07</v>
          </cell>
          <cell r="AM82" t="str">
            <v>2Q07</v>
          </cell>
          <cell r="AN82" t="str">
            <v>3Q07</v>
          </cell>
          <cell r="AO82" t="str">
            <v>4Q07</v>
          </cell>
          <cell r="AP82" t="str">
            <v>1Q08</v>
          </cell>
          <cell r="AQ82" t="str">
            <v>2Q08</v>
          </cell>
          <cell r="AR82" t="str">
            <v>3Q08</v>
          </cell>
          <cell r="AS82" t="str">
            <v>4Q08</v>
          </cell>
          <cell r="AT82" t="str">
            <v>1Q09</v>
          </cell>
          <cell r="AU82" t="str">
            <v>2Q09</v>
          </cell>
          <cell r="AV82" t="str">
            <v>3Q09</v>
          </cell>
          <cell r="AW82" t="str">
            <v>4Q09</v>
          </cell>
          <cell r="AX82" t="str">
            <v>1Q10</v>
          </cell>
          <cell r="AY82" t="str">
            <v>2Q10</v>
          </cell>
          <cell r="AZ82" t="str">
            <v>3Q10</v>
          </cell>
          <cell r="BA82" t="str">
            <v>4Q10</v>
          </cell>
          <cell r="BB82" t="str">
            <v>1Q11</v>
          </cell>
          <cell r="BC82" t="str">
            <v>2Q11</v>
          </cell>
          <cell r="BD82" t="str">
            <v>3Q11</v>
          </cell>
          <cell r="BE82" t="str">
            <v>4Q11</v>
          </cell>
          <cell r="BF82" t="str">
            <v>1Q12</v>
          </cell>
          <cell r="BG82" t="str">
            <v>2Q12</v>
          </cell>
          <cell r="BH82" t="str">
            <v>3Q12</v>
          </cell>
          <cell r="BI82" t="str">
            <v>4Q12</v>
          </cell>
          <cell r="BJ82" t="str">
            <v>1Q13</v>
          </cell>
          <cell r="BK82" t="str">
            <v>2Q13</v>
          </cell>
          <cell r="BL82" t="str">
            <v>3Q13</v>
          </cell>
          <cell r="BM82" t="str">
            <v>4Q13</v>
          </cell>
          <cell r="BN82" t="str">
            <v>1Q14</v>
          </cell>
          <cell r="BO82" t="str">
            <v>2Q14</v>
          </cell>
          <cell r="BP82" t="str">
            <v>3Q14</v>
          </cell>
          <cell r="BQ82" t="str">
            <v>4Q14</v>
          </cell>
          <cell r="BR82" t="str">
            <v>1Q15</v>
          </cell>
          <cell r="BS82" t="str">
            <v>2Q15</v>
          </cell>
          <cell r="BT82" t="str">
            <v>3Q15</v>
          </cell>
          <cell r="BU82" t="str">
            <v>4Q15</v>
          </cell>
          <cell r="BV82" t="str">
            <v>1Q16</v>
          </cell>
          <cell r="BW82" t="str">
            <v>2Q16</v>
          </cell>
          <cell r="BX82" t="str">
            <v>3Q16</v>
          </cell>
          <cell r="BY82" t="str">
            <v>4Q16</v>
          </cell>
          <cell r="BZ82" t="str">
            <v>1Q17</v>
          </cell>
          <cell r="CA82" t="str">
            <v>2Q17E</v>
          </cell>
          <cell r="CB82" t="str">
            <v>3Q17E</v>
          </cell>
          <cell r="CC82" t="str">
            <v>4Q17E</v>
          </cell>
        </row>
        <row r="83">
          <cell r="A83" t="str">
            <v xml:space="preserve">Free Cash Flow </v>
          </cell>
          <cell r="K83" t="str">
            <v>NOT Pf</v>
          </cell>
          <cell r="L83" t="str">
            <v>NOT Pf</v>
          </cell>
          <cell r="M83" t="str">
            <v>Ex. PAETEC</v>
          </cell>
          <cell r="AX83" t="str">
            <v>NOT PROFORMA FOR PAETEC</v>
          </cell>
          <cell r="BB83" t="str">
            <v>NOT PROFORMA FOR PAETEC</v>
          </cell>
        </row>
        <row r="84">
          <cell r="A84" t="str">
            <v xml:space="preserve">  OCF-Cap-ex</v>
          </cell>
          <cell r="G84">
            <v>133706</v>
          </cell>
          <cell r="H84">
            <v>751367</v>
          </cell>
          <cell r="I84">
            <v>668000</v>
          </cell>
          <cell r="J84">
            <v>762900</v>
          </cell>
          <cell r="K84">
            <v>822700</v>
          </cell>
          <cell r="L84">
            <v>679300</v>
          </cell>
          <cell r="M84">
            <v>526900</v>
          </cell>
          <cell r="N84">
            <v>676400</v>
          </cell>
          <cell r="O84">
            <v>678400</v>
          </cell>
          <cell r="P84">
            <v>680800</v>
          </cell>
          <cell r="Q84">
            <v>-28700</v>
          </cell>
          <cell r="R84">
            <v>-65400</v>
          </cell>
          <cell r="S84">
            <v>182083.05302649445</v>
          </cell>
          <cell r="T84">
            <v>285800.25180717011</v>
          </cell>
          <cell r="U84">
            <v>307134.60004366934</v>
          </cell>
          <cell r="V84">
            <v>286906.21858553053</v>
          </cell>
          <cell r="W84">
            <v>271480.52486179618</v>
          </cell>
          <cell r="X84">
            <v>307759.97531682311</v>
          </cell>
          <cell r="Z84">
            <v>33455</v>
          </cell>
          <cell r="AA84">
            <v>11446</v>
          </cell>
          <cell r="AB84">
            <v>28873</v>
          </cell>
          <cell r="AC84">
            <v>6585</v>
          </cell>
          <cell r="AD84">
            <v>23110</v>
          </cell>
          <cell r="AE84">
            <v>45678</v>
          </cell>
          <cell r="AF84">
            <v>22187</v>
          </cell>
          <cell r="AG84">
            <v>42731</v>
          </cell>
          <cell r="AH84">
            <v>31641</v>
          </cell>
          <cell r="AI84">
            <v>47755</v>
          </cell>
          <cell r="AJ84">
            <v>544782</v>
          </cell>
          <cell r="AK84">
            <v>127189</v>
          </cell>
          <cell r="AL84">
            <v>135300</v>
          </cell>
          <cell r="AM84">
            <v>200200</v>
          </cell>
          <cell r="AN84">
            <v>80000</v>
          </cell>
          <cell r="AO84">
            <v>252500</v>
          </cell>
          <cell r="AP84">
            <v>159300</v>
          </cell>
          <cell r="AQ84">
            <v>214300</v>
          </cell>
          <cell r="AR84">
            <v>136700</v>
          </cell>
          <cell r="AS84">
            <v>252600</v>
          </cell>
          <cell r="AT84">
            <v>152200</v>
          </cell>
          <cell r="AU84">
            <v>207500</v>
          </cell>
          <cell r="AV84">
            <v>174900</v>
          </cell>
          <cell r="AW84">
            <v>288100</v>
          </cell>
          <cell r="AX84">
            <v>113000</v>
          </cell>
          <cell r="AY84">
            <v>186200</v>
          </cell>
          <cell r="AZ84">
            <v>139600</v>
          </cell>
          <cell r="BA84">
            <v>240500</v>
          </cell>
          <cell r="BB84">
            <v>53800</v>
          </cell>
          <cell r="BC84">
            <v>203400</v>
          </cell>
          <cell r="BD84">
            <v>152700</v>
          </cell>
          <cell r="BE84">
            <v>117000</v>
          </cell>
          <cell r="BF84">
            <v>212700</v>
          </cell>
          <cell r="BG84">
            <v>122000</v>
          </cell>
          <cell r="BH84">
            <v>99500</v>
          </cell>
          <cell r="BI84">
            <v>242200</v>
          </cell>
          <cell r="BJ84">
            <v>61100</v>
          </cell>
          <cell r="BK84">
            <v>179300</v>
          </cell>
          <cell r="BL84">
            <v>254300</v>
          </cell>
          <cell r="BM84">
            <v>183700</v>
          </cell>
          <cell r="BN84">
            <v>166800</v>
          </cell>
          <cell r="BO84">
            <v>156000</v>
          </cell>
          <cell r="BP84">
            <v>237100</v>
          </cell>
          <cell r="BQ84">
            <v>120900</v>
          </cell>
          <cell r="BR84">
            <v>54500</v>
          </cell>
          <cell r="BS84">
            <v>-118800</v>
          </cell>
          <cell r="BT84">
            <v>76200</v>
          </cell>
          <cell r="BU84">
            <v>-40600</v>
          </cell>
          <cell r="BV84">
            <v>-136600</v>
          </cell>
          <cell r="BW84">
            <v>50800</v>
          </cell>
          <cell r="BX84">
            <v>-45500</v>
          </cell>
          <cell r="BY84">
            <v>65900</v>
          </cell>
          <cell r="BZ84">
            <v>-110900</v>
          </cell>
          <cell r="CA84">
            <v>87963.084655487706</v>
          </cell>
          <cell r="CB84">
            <v>136811.05659417718</v>
          </cell>
          <cell r="CC84">
            <v>68208.911776829715</v>
          </cell>
        </row>
        <row r="85">
          <cell r="A85" t="str">
            <v xml:space="preserve">    Dividend Payout % FCF</v>
          </cell>
          <cell r="G85">
            <v>0.65362545300884034</v>
          </cell>
          <cell r="H85">
            <v>0.23108218279482595</v>
          </cell>
          <cell r="I85">
            <v>0.71377245508982035</v>
          </cell>
          <cell r="J85">
            <v>0.58356272119543851</v>
          </cell>
          <cell r="K85">
            <v>0.53166403306186949</v>
          </cell>
          <cell r="L85">
            <v>0.68393934933019285</v>
          </cell>
          <cell r="M85">
            <v>0.96716644524577722</v>
          </cell>
          <cell r="N85">
            <v>0.86930810171496153</v>
          </cell>
          <cell r="O85">
            <v>0.875</v>
          </cell>
          <cell r="P85">
            <v>0.88454759106933023</v>
          </cell>
          <cell r="Q85">
            <v>-12.86411149825784</v>
          </cell>
          <cell r="R85">
            <v>-0.89602446483180431</v>
          </cell>
          <cell r="S85">
            <v>0.60071488357614689</v>
          </cell>
          <cell r="T85">
            <v>0.40271762978591075</v>
          </cell>
          <cell r="U85">
            <v>0.38036499952590713</v>
          </cell>
          <cell r="V85">
            <v>0.41329045206683457</v>
          </cell>
          <cell r="W85">
            <v>0.44332548293462021</v>
          </cell>
          <cell r="X85">
            <v>0.39693123898849564</v>
          </cell>
          <cell r="AD85">
            <v>0.53977232453483337</v>
          </cell>
          <cell r="AE85">
            <v>0.54669928017864178</v>
          </cell>
          <cell r="AF85">
            <v>1.1255836228422047</v>
          </cell>
          <cell r="AG85">
            <v>0.58444812524864853</v>
          </cell>
          <cell r="AH85">
            <v>0.79391781549255713</v>
          </cell>
          <cell r="AI85">
            <v>0.52619982912784002</v>
          </cell>
          <cell r="AJ85">
            <v>9.1779831198534455E-3</v>
          </cell>
          <cell r="AK85">
            <v>0.93072907248268322</v>
          </cell>
          <cell r="AL85">
            <v>0.88026607538802659</v>
          </cell>
          <cell r="AM85">
            <v>0.59640359640359641</v>
          </cell>
          <cell r="AN85">
            <v>1.49</v>
          </cell>
          <cell r="AO85">
            <v>0.47168316831683166</v>
          </cell>
          <cell r="AP85">
            <v>0.71311989956057753</v>
          </cell>
          <cell r="AQ85">
            <v>0.52169855342977134</v>
          </cell>
          <cell r="AR85">
            <v>0.80395025603511339</v>
          </cell>
          <cell r="AS85">
            <v>0.4350752177355503</v>
          </cell>
          <cell r="AT85">
            <v>0.72207621550591328</v>
          </cell>
          <cell r="AU85">
            <v>0.52771084337349394</v>
          </cell>
          <cell r="AV85">
            <v>0.62435677530017153</v>
          </cell>
          <cell r="AW85">
            <v>0.37764665046858731</v>
          </cell>
          <cell r="AX85">
            <v>0.96637168141592922</v>
          </cell>
          <cell r="AY85">
            <v>0.61224489795918369</v>
          </cell>
          <cell r="AZ85">
            <v>0.86389684813753587</v>
          </cell>
          <cell r="BA85">
            <v>0.50228690228690231</v>
          </cell>
          <cell r="BB85">
            <v>2.3401486988847582</v>
          </cell>
          <cell r="BC85">
            <v>0.62635201573254673</v>
          </cell>
          <cell r="BD85">
            <v>0.8343156516044532</v>
          </cell>
          <cell r="BE85">
            <v>1.1017094017094018</v>
          </cell>
          <cell r="BF85">
            <v>0.68876351669017399</v>
          </cell>
          <cell r="BG85">
            <v>1.2049180327868851</v>
          </cell>
          <cell r="BH85">
            <v>1.4773869346733668</v>
          </cell>
          <cell r="BI85">
            <v>0.60900082576383152</v>
          </cell>
          <cell r="BJ85">
            <v>2.4238952536824878</v>
          </cell>
          <cell r="BK85">
            <v>0.82654768544339097</v>
          </cell>
          <cell r="BL85">
            <v>0.5831694848604011</v>
          </cell>
          <cell r="BM85">
            <v>0.8111050626020686</v>
          </cell>
          <cell r="BN85">
            <v>0.90047961630695439</v>
          </cell>
          <cell r="BO85">
            <v>0.96602564102564104</v>
          </cell>
          <cell r="BP85">
            <v>0.63559679460143403</v>
          </cell>
          <cell r="BQ85">
            <v>1.2456575682382134</v>
          </cell>
          <cell r="BR85">
            <v>2.7798165137614679</v>
          </cell>
          <cell r="BS85">
            <v>-1.6085858585858586</v>
          </cell>
          <cell r="BT85">
            <v>0.15091863517060367</v>
          </cell>
          <cell r="BU85">
            <v>-0.37192118226600984</v>
          </cell>
          <cell r="BV85">
            <v>-0.10907759882869693</v>
          </cell>
          <cell r="BW85">
            <v>0.2874015748031496</v>
          </cell>
          <cell r="BX85">
            <v>-0.3208791208791209</v>
          </cell>
          <cell r="BY85">
            <v>0.22003034901365706</v>
          </cell>
          <cell r="BZ85">
            <v>-0.21370604147880973</v>
          </cell>
          <cell r="CA85">
            <v>0.32468165608171679</v>
          </cell>
          <cell r="CB85">
            <v>0.20875505760267291</v>
          </cell>
          <cell r="CC85">
            <v>0.41871361462919154</v>
          </cell>
        </row>
        <row r="87">
          <cell r="A87" t="str">
            <v>Cash Tax Rate</v>
          </cell>
          <cell r="I87">
            <v>0.29735473015081643</v>
          </cell>
          <cell r="J87">
            <v>0.25365624692442218</v>
          </cell>
          <cell r="K87">
            <v>0.19941357720930586</v>
          </cell>
          <cell r="L87">
            <v>0.20532342696036202</v>
          </cell>
          <cell r="M87">
            <v>-2.377352186521484E-2</v>
          </cell>
          <cell r="N87">
            <v>-0.30663824604141293</v>
          </cell>
          <cell r="O87">
            <v>1.5384615384615385E-2</v>
          </cell>
          <cell r="P87">
            <v>0.35</v>
          </cell>
          <cell r="Q87">
            <v>0.35</v>
          </cell>
          <cell r="R87">
            <v>0.35</v>
          </cell>
          <cell r="S87">
            <v>0.35</v>
          </cell>
          <cell r="T87">
            <v>0.35</v>
          </cell>
          <cell r="U87">
            <v>0.35</v>
          </cell>
          <cell r="V87">
            <v>0.35</v>
          </cell>
          <cell r="W87">
            <v>0.35</v>
          </cell>
          <cell r="X87">
            <v>0.35</v>
          </cell>
          <cell r="AH87">
            <v>1.2213523353144351</v>
          </cell>
          <cell r="AI87">
            <v>1.2804833890378353</v>
          </cell>
          <cell r="AJ87">
            <v>0.46050475696013055</v>
          </cell>
          <cell r="AK87">
            <v>0.26312896554416287</v>
          </cell>
          <cell r="AL87">
            <v>0.39593450292397664</v>
          </cell>
          <cell r="AM87">
            <v>0.38253879544221375</v>
          </cell>
          <cell r="AN87">
            <v>0.26112340896513558</v>
          </cell>
          <cell r="AO87">
            <v>0.27739175795513826</v>
          </cell>
          <cell r="AP87">
            <v>0.28650494583137071</v>
          </cell>
          <cell r="AQ87">
            <v>0.12608069164265129</v>
          </cell>
          <cell r="AR87">
            <v>0.27837487019730012</v>
          </cell>
          <cell r="AS87">
            <v>0.14183932346723044</v>
          </cell>
          <cell r="AT87">
            <v>0.18272534238110749</v>
          </cell>
          <cell r="AU87">
            <v>0.4198792625424948</v>
          </cell>
          <cell r="AV87">
            <v>-8.2329291961787621E-2</v>
          </cell>
          <cell r="AW87">
            <v>0.27279037425186881</v>
          </cell>
          <cell r="AX87">
            <v>4.5471429852313922E-2</v>
          </cell>
          <cell r="AY87">
            <v>0.53195355814153267</v>
          </cell>
          <cell r="AZ87">
            <v>0.22089971153096494</v>
          </cell>
          <cell r="BA87">
            <v>-7.9378309083259907E-3</v>
          </cell>
          <cell r="BB87">
            <v>-0.10236911377595788</v>
          </cell>
          <cell r="BC87">
            <v>4.5900194616825173E-2</v>
          </cell>
          <cell r="BD87">
            <v>-6.606051142846848E-3</v>
          </cell>
          <cell r="BE87">
            <v>2.581311306143521E-2</v>
          </cell>
          <cell r="BF87">
            <v>-1.0282534246575343</v>
          </cell>
          <cell r="BG87">
            <v>9.4488188976377951E-2</v>
          </cell>
          <cell r="BH87">
            <v>7.6484018264840178E-2</v>
          </cell>
          <cell r="BI87">
            <v>0.13839285714285715</v>
          </cell>
          <cell r="BJ87">
            <v>8.2508250825082501E-3</v>
          </cell>
          <cell r="BK87">
            <v>4.843304843304843E-2</v>
          </cell>
          <cell r="BL87">
            <v>8.8809946714031966E-3</v>
          </cell>
          <cell r="BM87">
            <v>7.0883315158124316E-3</v>
          </cell>
          <cell r="BN87">
            <v>-2.8818443804034581E-2</v>
          </cell>
          <cell r="BO87">
            <v>6.5420560747663545E-2</v>
          </cell>
          <cell r="BP87">
            <v>0.16022099447513813</v>
          </cell>
          <cell r="BQ87">
            <v>0.11732355637030248</v>
          </cell>
          <cell r="BR87">
            <v>0.13953488372093023</v>
          </cell>
          <cell r="BS87">
            <v>3.0211480362537764E-3</v>
          </cell>
          <cell r="BT87">
            <v>-9.7457627118644072E-2</v>
          </cell>
          <cell r="BU87">
            <v>1.1017260374586854E-3</v>
          </cell>
          <cell r="BV87">
            <v>-2.5203567274137261E-2</v>
          </cell>
          <cell r="BW87">
            <v>-0.19178082191780821</v>
          </cell>
          <cell r="BX87">
            <v>-2.8382213812677389E-3</v>
          </cell>
          <cell r="BY87">
            <v>1.2422360248447204E-2</v>
          </cell>
          <cell r="BZ87">
            <v>0</v>
          </cell>
          <cell r="CA87">
            <v>-1.6087663544596734E-2</v>
          </cell>
          <cell r="CB87">
            <v>-1.7430232910311753E-2</v>
          </cell>
          <cell r="CC87">
            <v>-1.2924790024460129E-2</v>
          </cell>
        </row>
        <row r="89">
          <cell r="A89" t="str">
            <v xml:space="preserve"> EBITDA (ex pension)</v>
          </cell>
          <cell r="I89">
            <v>1758600</v>
          </cell>
          <cell r="J89">
            <v>1868800</v>
          </cell>
          <cell r="K89">
            <v>2068600</v>
          </cell>
          <cell r="L89">
            <v>2406000</v>
          </cell>
          <cell r="M89">
            <v>2429800</v>
          </cell>
          <cell r="N89">
            <v>2383800</v>
          </cell>
          <cell r="O89">
            <v>2318100</v>
          </cell>
          <cell r="P89">
            <v>2086400</v>
          </cell>
          <cell r="Q89">
            <v>2004300</v>
          </cell>
          <cell r="R89">
            <v>1913700</v>
          </cell>
          <cell r="S89">
            <v>2004123.8855497965</v>
          </cell>
          <cell r="T89">
            <v>1938562.2731643589</v>
          </cell>
          <cell r="U89">
            <v>1856524.9672970669</v>
          </cell>
          <cell r="V89">
            <v>1782061.4239573819</v>
          </cell>
          <cell r="W89">
            <v>1713510.9176403512</v>
          </cell>
          <cell r="X89">
            <v>1650325.9525788892</v>
          </cell>
          <cell r="Z89">
            <v>430395.952156657</v>
          </cell>
          <cell r="AA89">
            <v>438930.38329779904</v>
          </cell>
          <cell r="AB89">
            <v>422504.99080263718</v>
          </cell>
          <cell r="AC89">
            <v>428440.67374290677</v>
          </cell>
          <cell r="AD89">
            <v>394117</v>
          </cell>
          <cell r="AE89">
            <v>407292</v>
          </cell>
          <cell r="AF89">
            <v>407063</v>
          </cell>
          <cell r="AG89">
            <v>433230</v>
          </cell>
          <cell r="AH89">
            <v>399135</v>
          </cell>
          <cell r="AI89">
            <v>414218</v>
          </cell>
          <cell r="AJ89">
            <v>394866</v>
          </cell>
          <cell r="AK89">
            <v>425908</v>
          </cell>
          <cell r="AL89">
            <v>431900</v>
          </cell>
          <cell r="AM89">
            <v>441000</v>
          </cell>
          <cell r="AN89">
            <v>444700</v>
          </cell>
          <cell r="AO89">
            <v>441000</v>
          </cell>
          <cell r="AP89">
            <v>476200</v>
          </cell>
          <cell r="AQ89">
            <v>472800</v>
          </cell>
          <cell r="AR89">
            <v>455500</v>
          </cell>
          <cell r="AS89">
            <v>464300</v>
          </cell>
          <cell r="AT89">
            <v>525700</v>
          </cell>
          <cell r="AU89">
            <v>511300</v>
          </cell>
          <cell r="AV89">
            <v>505600</v>
          </cell>
          <cell r="AW89">
            <v>526000</v>
          </cell>
          <cell r="AX89">
            <v>604000</v>
          </cell>
          <cell r="AY89">
            <v>596400</v>
          </cell>
          <cell r="AZ89">
            <v>596200</v>
          </cell>
          <cell r="BA89">
            <v>609400</v>
          </cell>
          <cell r="BB89">
            <v>604200</v>
          </cell>
          <cell r="BC89">
            <v>608000</v>
          </cell>
          <cell r="BD89">
            <v>610300</v>
          </cell>
          <cell r="BE89">
            <v>607300</v>
          </cell>
          <cell r="BF89">
            <v>586000</v>
          </cell>
          <cell r="BG89">
            <v>589700</v>
          </cell>
          <cell r="BH89">
            <v>590700</v>
          </cell>
          <cell r="BI89">
            <v>617400</v>
          </cell>
          <cell r="BJ89">
            <v>586300</v>
          </cell>
          <cell r="BK89">
            <v>581400</v>
          </cell>
          <cell r="BL89">
            <v>574500</v>
          </cell>
          <cell r="BM89">
            <v>575900</v>
          </cell>
          <cell r="BN89">
            <v>528700</v>
          </cell>
          <cell r="BO89">
            <v>530600</v>
          </cell>
          <cell r="BP89">
            <v>510800</v>
          </cell>
          <cell r="BQ89">
            <v>516300</v>
          </cell>
          <cell r="BR89">
            <v>481300</v>
          </cell>
          <cell r="BS89">
            <v>479300</v>
          </cell>
          <cell r="BT89">
            <v>540500</v>
          </cell>
          <cell r="BU89">
            <v>503200</v>
          </cell>
          <cell r="BV89">
            <v>485300</v>
          </cell>
          <cell r="BW89">
            <v>482200</v>
          </cell>
          <cell r="BX89">
            <v>464700</v>
          </cell>
          <cell r="BY89">
            <v>481500</v>
          </cell>
          <cell r="BZ89">
            <v>498400</v>
          </cell>
          <cell r="CA89">
            <v>499657.83092441398</v>
          </cell>
          <cell r="CB89">
            <v>501925.50507351407</v>
          </cell>
          <cell r="CC89">
            <v>504140.54955186852</v>
          </cell>
        </row>
        <row r="90">
          <cell r="A90" t="str">
            <v xml:space="preserve">  less lease payment</v>
          </cell>
          <cell r="Q90">
            <v>-446000</v>
          </cell>
          <cell r="R90">
            <v>-653600</v>
          </cell>
          <cell r="S90">
            <v>-653000</v>
          </cell>
          <cell r="T90">
            <v>-654632.5</v>
          </cell>
          <cell r="U90">
            <v>-657905.66249999998</v>
          </cell>
          <cell r="V90">
            <v>-661195.19081249996</v>
          </cell>
          <cell r="W90">
            <v>-664501.16676656238</v>
          </cell>
          <cell r="X90">
            <v>-667823.67260039516</v>
          </cell>
          <cell r="BR90">
            <v>0</v>
          </cell>
          <cell r="BS90">
            <v>-121000</v>
          </cell>
          <cell r="BT90">
            <v>-162500</v>
          </cell>
          <cell r="BU90">
            <v>-162500</v>
          </cell>
          <cell r="BV90">
            <v>-163500</v>
          </cell>
          <cell r="BW90">
            <v>-163400</v>
          </cell>
          <cell r="BX90">
            <v>-163300</v>
          </cell>
          <cell r="BY90">
            <v>-163400</v>
          </cell>
          <cell r="BZ90">
            <v>-163400</v>
          </cell>
          <cell r="CA90">
            <v>-163300</v>
          </cell>
          <cell r="CB90">
            <v>-163200</v>
          </cell>
          <cell r="CC90">
            <v>-163100</v>
          </cell>
        </row>
        <row r="91">
          <cell r="A91" t="str">
            <v xml:space="preserve">  less net interest expense</v>
          </cell>
          <cell r="I91">
            <v>-453500</v>
          </cell>
          <cell r="J91">
            <v>-417500</v>
          </cell>
          <cell r="K91">
            <v>-437613</v>
          </cell>
          <cell r="L91">
            <v>-493300</v>
          </cell>
          <cell r="M91">
            <v>-601900</v>
          </cell>
          <cell r="N91">
            <v>-671500</v>
          </cell>
          <cell r="O91">
            <v>-609400</v>
          </cell>
          <cell r="P91">
            <v>-568100</v>
          </cell>
          <cell r="Q91">
            <v>-487800</v>
          </cell>
          <cell r="R91">
            <v>-366200</v>
          </cell>
          <cell r="S91">
            <v>-335908.26369363087</v>
          </cell>
          <cell r="T91">
            <v>-353642.2861462711</v>
          </cell>
          <cell r="U91">
            <v>-342168.99495459127</v>
          </cell>
          <cell r="V91">
            <v>-325581.15341140173</v>
          </cell>
          <cell r="W91">
            <v>-311305.16880474542</v>
          </cell>
          <cell r="X91">
            <v>-295948.83087214729</v>
          </cell>
          <cell r="Z91">
            <v>-111652</v>
          </cell>
          <cell r="AA91">
            <v>-122402</v>
          </cell>
          <cell r="AB91">
            <v>-107383</v>
          </cell>
          <cell r="AC91">
            <v>-119059</v>
          </cell>
          <cell r="AD91">
            <v>-113916</v>
          </cell>
          <cell r="AE91">
            <v>-87753</v>
          </cell>
          <cell r="AF91">
            <v>-109163</v>
          </cell>
          <cell r="AG91">
            <v>-96676</v>
          </cell>
          <cell r="AH91">
            <v>-119277</v>
          </cell>
          <cell r="AI91">
            <v>-105694.37967751722</v>
          </cell>
          <cell r="AJ91">
            <v>-35707</v>
          </cell>
          <cell r="AK91">
            <v>-51296</v>
          </cell>
          <cell r="AL91">
            <v>-198600</v>
          </cell>
          <cell r="AM91">
            <v>-108100</v>
          </cell>
          <cell r="AN91">
            <v>-99700</v>
          </cell>
          <cell r="AO91">
            <v>-47100</v>
          </cell>
          <cell r="AP91">
            <v>-173900</v>
          </cell>
          <cell r="AQ91">
            <v>-36800</v>
          </cell>
          <cell r="AR91">
            <v>-171000</v>
          </cell>
          <cell r="AS91">
            <v>-35800</v>
          </cell>
          <cell r="AT91">
            <v>-179996</v>
          </cell>
          <cell r="AU91">
            <v>-39012</v>
          </cell>
          <cell r="AV91">
            <v>-173833</v>
          </cell>
          <cell r="AW91">
            <v>-44772</v>
          </cell>
          <cell r="AX91">
            <v>-168600</v>
          </cell>
          <cell r="AY91">
            <v>-81000</v>
          </cell>
          <cell r="AZ91">
            <v>-171000</v>
          </cell>
          <cell r="BA91">
            <v>-72700</v>
          </cell>
          <cell r="BB91">
            <v>-200600</v>
          </cell>
          <cell r="BC91">
            <v>-106200</v>
          </cell>
          <cell r="BD91">
            <v>-120800</v>
          </cell>
          <cell r="BE91">
            <v>-174300</v>
          </cell>
          <cell r="BF91">
            <v>-139000</v>
          </cell>
          <cell r="BG91">
            <v>-184800</v>
          </cell>
          <cell r="BH91">
            <v>-125000</v>
          </cell>
          <cell r="BI91">
            <v>-222700</v>
          </cell>
          <cell r="BJ91">
            <v>-105200</v>
          </cell>
          <cell r="BK91">
            <v>-188900</v>
          </cell>
          <cell r="BL91">
            <v>-123300</v>
          </cell>
          <cell r="BM91">
            <v>-192000</v>
          </cell>
          <cell r="BN91">
            <v>-74700</v>
          </cell>
          <cell r="BO91">
            <v>-208900</v>
          </cell>
          <cell r="BP91">
            <v>-74700</v>
          </cell>
          <cell r="BQ91">
            <v>-209800</v>
          </cell>
          <cell r="BR91">
            <v>-74700</v>
          </cell>
          <cell r="BS91">
            <v>-206300</v>
          </cell>
          <cell r="BT91">
            <v>-46500</v>
          </cell>
          <cell r="BU91">
            <v>-160300</v>
          </cell>
          <cell r="BV91">
            <v>-55500</v>
          </cell>
          <cell r="BW91">
            <v>-138800</v>
          </cell>
          <cell r="BX91">
            <v>-58000</v>
          </cell>
          <cell r="BY91">
            <v>-113900</v>
          </cell>
          <cell r="BZ91">
            <v>-47600</v>
          </cell>
          <cell r="CA91">
            <v>-125965.70921874999</v>
          </cell>
          <cell r="CB91">
            <v>-56515.750414453127</v>
          </cell>
          <cell r="CC91">
            <v>-105826.80406042775</v>
          </cell>
        </row>
        <row r="92">
          <cell r="A92" t="str">
            <v xml:space="preserve">  less cash taxes</v>
          </cell>
          <cell r="I92">
            <v>-238567.7</v>
          </cell>
          <cell r="J92">
            <v>-167526</v>
          </cell>
          <cell r="K92">
            <v>-131701.70000000001</v>
          </cell>
          <cell r="L92">
            <v>-120600</v>
          </cell>
          <cell r="M92">
            <v>11100</v>
          </cell>
          <cell r="N92">
            <v>100700</v>
          </cell>
          <cell r="O92">
            <v>-5700</v>
          </cell>
          <cell r="P92">
            <v>8800</v>
          </cell>
          <cell r="Q92">
            <v>-1100</v>
          </cell>
          <cell r="R92">
            <v>-6200</v>
          </cell>
          <cell r="S92">
            <v>-3000</v>
          </cell>
          <cell r="T92">
            <v>-5000</v>
          </cell>
          <cell r="U92">
            <v>-5000</v>
          </cell>
          <cell r="V92">
            <v>-5000</v>
          </cell>
          <cell r="W92">
            <v>-5000</v>
          </cell>
          <cell r="X92">
            <v>-5000</v>
          </cell>
          <cell r="Z92">
            <v>-136086</v>
          </cell>
          <cell r="AA92">
            <v>-156063</v>
          </cell>
          <cell r="AB92">
            <v>-163426</v>
          </cell>
          <cell r="AC92">
            <v>-149697</v>
          </cell>
          <cell r="AD92">
            <v>-149181</v>
          </cell>
          <cell r="AE92">
            <v>-166185</v>
          </cell>
          <cell r="AF92">
            <v>-203463</v>
          </cell>
          <cell r="AG92">
            <v>-183893</v>
          </cell>
          <cell r="AH92">
            <v>-196253</v>
          </cell>
          <cell r="AI92">
            <v>-220952.69253755859</v>
          </cell>
          <cell r="AJ92">
            <v>-68297</v>
          </cell>
          <cell r="AK92">
            <v>-49580.075332658889</v>
          </cell>
          <cell r="AL92">
            <v>-67704.800000000003</v>
          </cell>
          <cell r="AM92">
            <v>-70501.899999999994</v>
          </cell>
          <cell r="AN92">
            <v>-47185</v>
          </cell>
          <cell r="AO92">
            <v>-53176</v>
          </cell>
          <cell r="AP92">
            <v>-60825</v>
          </cell>
          <cell r="AQ92">
            <v>-26250</v>
          </cell>
          <cell r="AR92">
            <v>-53615</v>
          </cell>
          <cell r="AS92">
            <v>-26836</v>
          </cell>
          <cell r="AT92">
            <v>-32528.399999999994</v>
          </cell>
          <cell r="AU92">
            <v>-68300.5</v>
          </cell>
          <cell r="AV92">
            <v>13065</v>
          </cell>
          <cell r="AW92">
            <v>-43937.8</v>
          </cell>
          <cell r="AX92">
            <v>-7100</v>
          </cell>
          <cell r="AY92">
            <v>-80500</v>
          </cell>
          <cell r="AZ92">
            <v>-34000</v>
          </cell>
          <cell r="BA92">
            <v>1000</v>
          </cell>
          <cell r="BB92">
            <v>16800</v>
          </cell>
          <cell r="BC92">
            <v>-7500</v>
          </cell>
          <cell r="BD92">
            <v>1100</v>
          </cell>
          <cell r="BE92">
            <v>700</v>
          </cell>
          <cell r="BF92">
            <v>120100</v>
          </cell>
          <cell r="BG92">
            <v>-9600</v>
          </cell>
          <cell r="BH92">
            <v>-6700</v>
          </cell>
          <cell r="BI92">
            <v>-3100</v>
          </cell>
          <cell r="BJ92">
            <v>-500</v>
          </cell>
          <cell r="BK92">
            <v>-3400</v>
          </cell>
          <cell r="BL92">
            <v>-500</v>
          </cell>
          <cell r="BM92">
            <v>-1300</v>
          </cell>
          <cell r="BN92">
            <v>1000</v>
          </cell>
          <cell r="BO92">
            <v>-2100</v>
          </cell>
          <cell r="BP92">
            <v>-2900</v>
          </cell>
          <cell r="BQ92">
            <v>12800</v>
          </cell>
          <cell r="BR92">
            <v>1200</v>
          </cell>
          <cell r="BS92">
            <v>300</v>
          </cell>
          <cell r="BT92">
            <v>-2300</v>
          </cell>
          <cell r="BU92">
            <v>-300</v>
          </cell>
          <cell r="BV92">
            <v>-6500</v>
          </cell>
          <cell r="BW92">
            <v>-1400</v>
          </cell>
          <cell r="BX92">
            <v>-300</v>
          </cell>
          <cell r="BY92">
            <v>2000</v>
          </cell>
          <cell r="BZ92">
            <v>0</v>
          </cell>
          <cell r="CA92">
            <v>-1000</v>
          </cell>
          <cell r="CB92">
            <v>-1000</v>
          </cell>
          <cell r="CC92">
            <v>-1000</v>
          </cell>
        </row>
        <row r="93">
          <cell r="A93" t="str">
            <v xml:space="preserve">  less cap-ex</v>
          </cell>
          <cell r="I93">
            <v>-418000</v>
          </cell>
          <cell r="J93">
            <v>-404800</v>
          </cell>
          <cell r="K93">
            <v>-487400</v>
          </cell>
          <cell r="L93">
            <v>-647200</v>
          </cell>
          <cell r="M93">
            <v>-892000</v>
          </cell>
          <cell r="N93">
            <v>-1101200</v>
          </cell>
          <cell r="O93">
            <v>-841000</v>
          </cell>
          <cell r="P93">
            <v>-786500</v>
          </cell>
          <cell r="Q93">
            <v>-1055300</v>
          </cell>
          <cell r="R93">
            <v>-989800</v>
          </cell>
          <cell r="S93">
            <v>-842590.93195665313</v>
          </cell>
          <cell r="T93">
            <v>-808558.77138535271</v>
          </cell>
          <cell r="U93">
            <v>-784227.89278012188</v>
          </cell>
          <cell r="V93">
            <v>-762542.76526425593</v>
          </cell>
          <cell r="W93">
            <v>-726956.92413629347</v>
          </cell>
          <cell r="X93">
            <v>-693992.48428987374</v>
          </cell>
          <cell r="Z93">
            <v>-16654</v>
          </cell>
          <cell r="AA93">
            <v>-19109</v>
          </cell>
          <cell r="AB93">
            <v>-15757</v>
          </cell>
          <cell r="AC93">
            <v>-14005</v>
          </cell>
          <cell r="AD93">
            <v>-17379</v>
          </cell>
          <cell r="AE93">
            <v>-12510</v>
          </cell>
          <cell r="AF93">
            <v>-15155</v>
          </cell>
          <cell r="AG93">
            <v>-12341</v>
          </cell>
          <cell r="AH93">
            <v>-80900</v>
          </cell>
          <cell r="AI93">
            <v>-112900</v>
          </cell>
          <cell r="AJ93">
            <v>-101600</v>
          </cell>
          <cell r="AK93">
            <v>-147900</v>
          </cell>
          <cell r="AL93">
            <v>-99100</v>
          </cell>
          <cell r="AM93">
            <v>-111800</v>
          </cell>
          <cell r="AN93">
            <v>-101700</v>
          </cell>
          <cell r="AO93">
            <v>-105400</v>
          </cell>
          <cell r="AP93">
            <v>-76900</v>
          </cell>
          <cell r="AQ93">
            <v>-101500</v>
          </cell>
          <cell r="AR93">
            <v>-105300</v>
          </cell>
          <cell r="AS93">
            <v>-121100</v>
          </cell>
          <cell r="AT93">
            <v>-117000</v>
          </cell>
          <cell r="AU93">
            <v>-116700</v>
          </cell>
          <cell r="AV93">
            <v>-120600</v>
          </cell>
          <cell r="AW93">
            <v>-133100</v>
          </cell>
          <cell r="AX93">
            <v>-118700</v>
          </cell>
          <cell r="AY93">
            <v>-164900</v>
          </cell>
          <cell r="AZ93">
            <v>-168500</v>
          </cell>
          <cell r="BA93">
            <v>-195100</v>
          </cell>
          <cell r="BB93">
            <v>-206500</v>
          </cell>
          <cell r="BC93">
            <v>-223900</v>
          </cell>
          <cell r="BD93">
            <v>-222700</v>
          </cell>
          <cell r="BE93">
            <v>-238900</v>
          </cell>
          <cell r="BF93">
            <v>-226100</v>
          </cell>
          <cell r="BG93">
            <v>-276000</v>
          </cell>
          <cell r="BH93">
            <v>-307300</v>
          </cell>
          <cell r="BI93">
            <v>-291800</v>
          </cell>
          <cell r="BJ93">
            <v>-243500</v>
          </cell>
          <cell r="BK93">
            <v>-228700</v>
          </cell>
          <cell r="BL93">
            <v>-193800</v>
          </cell>
          <cell r="BM93">
            <v>-175000</v>
          </cell>
          <cell r="BN93">
            <v>-153000</v>
          </cell>
          <cell r="BO93">
            <v>-205800</v>
          </cell>
          <cell r="BP93">
            <v>-193900</v>
          </cell>
          <cell r="BQ93">
            <v>-233800</v>
          </cell>
          <cell r="BR93">
            <v>-189300</v>
          </cell>
          <cell r="BS93">
            <v>-255000</v>
          </cell>
          <cell r="BT93">
            <v>-300100</v>
          </cell>
          <cell r="BU93">
            <v>-310900</v>
          </cell>
          <cell r="BV93">
            <v>-263800</v>
          </cell>
          <cell r="BW93">
            <v>-246500</v>
          </cell>
          <cell r="BX93">
            <v>-243100</v>
          </cell>
          <cell r="BY93">
            <v>-236400</v>
          </cell>
          <cell r="BZ93">
            <v>-243400</v>
          </cell>
          <cell r="CA93">
            <v>-201949.26192947078</v>
          </cell>
          <cell r="CB93">
            <v>-207007.76649635038</v>
          </cell>
          <cell r="CC93">
            <v>-190233.90353083194</v>
          </cell>
        </row>
        <row r="94">
          <cell r="A94" t="str">
            <v xml:space="preserve">  plus CS&amp;L Dividends</v>
          </cell>
          <cell r="Q94">
            <v>30600</v>
          </cell>
          <cell r="R94">
            <v>35200</v>
          </cell>
          <cell r="S94">
            <v>0</v>
          </cell>
          <cell r="BT94">
            <v>13000</v>
          </cell>
          <cell r="BU94">
            <v>17600</v>
          </cell>
          <cell r="BV94">
            <v>17600</v>
          </cell>
          <cell r="BW94">
            <v>17600</v>
          </cell>
          <cell r="BX94">
            <v>0</v>
          </cell>
          <cell r="BY94">
            <v>0</v>
          </cell>
          <cell r="BZ94">
            <v>0</v>
          </cell>
          <cell r="CA94">
            <v>0</v>
          </cell>
        </row>
        <row r="95">
          <cell r="A95" t="str">
            <v xml:space="preserve">  adjustment to arrive to reported FCF</v>
          </cell>
          <cell r="I95">
            <v>0</v>
          </cell>
          <cell r="J95">
            <v>0</v>
          </cell>
          <cell r="K95">
            <v>0</v>
          </cell>
          <cell r="L95">
            <v>-330300</v>
          </cell>
          <cell r="M95">
            <v>-162800</v>
          </cell>
          <cell r="N95">
            <v>51400</v>
          </cell>
          <cell r="O95">
            <v>29300</v>
          </cell>
          <cell r="Q95">
            <v>134100</v>
          </cell>
          <cell r="R95">
            <v>173800</v>
          </cell>
          <cell r="S95">
            <v>12900</v>
          </cell>
          <cell r="AX95">
            <v>-101800</v>
          </cell>
          <cell r="AY95">
            <v>-72800</v>
          </cell>
          <cell r="AZ95">
            <v>-101000</v>
          </cell>
          <cell r="BA95">
            <v>-54700</v>
          </cell>
          <cell r="BB95">
            <v>-44900</v>
          </cell>
          <cell r="BC95">
            <v>-44600</v>
          </cell>
          <cell r="BD95">
            <v>-57900</v>
          </cell>
          <cell r="BE95">
            <v>-15400</v>
          </cell>
          <cell r="BF95">
            <v>2800</v>
          </cell>
          <cell r="BG95">
            <v>8900</v>
          </cell>
          <cell r="BH95">
            <v>18300</v>
          </cell>
          <cell r="BI95">
            <v>21400</v>
          </cell>
          <cell r="BJ95">
            <v>9600</v>
          </cell>
          <cell r="BK95">
            <v>8200</v>
          </cell>
          <cell r="BL95">
            <v>6400</v>
          </cell>
          <cell r="BM95">
            <v>5100</v>
          </cell>
          <cell r="BN95">
            <v>11500</v>
          </cell>
          <cell r="BO95">
            <v>12700</v>
          </cell>
          <cell r="BP95">
            <v>13600</v>
          </cell>
          <cell r="BQ95">
            <v>15100</v>
          </cell>
          <cell r="BR95">
            <v>13400</v>
          </cell>
          <cell r="BS95">
            <v>11300</v>
          </cell>
          <cell r="BT95">
            <v>15600</v>
          </cell>
          <cell r="BU95">
            <v>93800</v>
          </cell>
          <cell r="BV95">
            <v>33700</v>
          </cell>
          <cell r="BW95">
            <v>36900</v>
          </cell>
          <cell r="BX95">
            <v>49900</v>
          </cell>
          <cell r="BY95">
            <v>53300</v>
          </cell>
          <cell r="BZ95">
            <v>12900</v>
          </cell>
          <cell r="CA95">
            <v>-48200</v>
          </cell>
        </row>
        <row r="96">
          <cell r="A96" t="str">
            <v>FCF (company calc)</v>
          </cell>
          <cell r="I96">
            <v>648532.30000000005</v>
          </cell>
          <cell r="J96">
            <v>878974</v>
          </cell>
          <cell r="K96">
            <v>1011885.3</v>
          </cell>
          <cell r="L96">
            <v>814600</v>
          </cell>
          <cell r="M96">
            <v>784200</v>
          </cell>
          <cell r="N96">
            <v>763200</v>
          </cell>
          <cell r="O96">
            <v>891300</v>
          </cell>
          <cell r="P96">
            <v>740600</v>
          </cell>
          <cell r="Q96">
            <v>178800</v>
          </cell>
          <cell r="R96">
            <v>106900</v>
          </cell>
          <cell r="S96">
            <v>182524.6898995126</v>
          </cell>
          <cell r="T96">
            <v>116728.71563273517</v>
          </cell>
          <cell r="U96">
            <v>67222.417062353692</v>
          </cell>
          <cell r="V96">
            <v>27742.314469224308</v>
          </cell>
          <cell r="W96">
            <v>5747.657932749833</v>
          </cell>
          <cell r="X96">
            <v>-12439.035183526925</v>
          </cell>
          <cell r="Z96">
            <v>166003.952156657</v>
          </cell>
          <cell r="AA96">
            <v>141356.38329779904</v>
          </cell>
          <cell r="AB96">
            <v>135938.99080263718</v>
          </cell>
          <cell r="AC96">
            <v>145679.67374290677</v>
          </cell>
          <cell r="AD96">
            <v>113641</v>
          </cell>
          <cell r="AE96">
            <v>140844</v>
          </cell>
          <cell r="AF96">
            <v>79282</v>
          </cell>
          <cell r="AG96">
            <v>140320</v>
          </cell>
          <cell r="AH96">
            <v>2705</v>
          </cell>
          <cell r="AI96">
            <v>-25329.072215075808</v>
          </cell>
          <cell r="AJ96">
            <v>189262</v>
          </cell>
          <cell r="AK96">
            <v>177131.92466734111</v>
          </cell>
          <cell r="AL96">
            <v>66495.200000000012</v>
          </cell>
          <cell r="AM96">
            <v>150598.09999999998</v>
          </cell>
          <cell r="AN96">
            <v>196115</v>
          </cell>
          <cell r="AO96">
            <v>235324</v>
          </cell>
          <cell r="AP96">
            <v>164575</v>
          </cell>
          <cell r="AQ96">
            <v>308250</v>
          </cell>
          <cell r="AR96">
            <v>125585</v>
          </cell>
          <cell r="AS96">
            <v>280564</v>
          </cell>
          <cell r="AT96">
            <v>196175.59999999998</v>
          </cell>
          <cell r="AU96">
            <v>287287.5</v>
          </cell>
          <cell r="AV96">
            <v>224232</v>
          </cell>
          <cell r="AW96">
            <v>304190.2</v>
          </cell>
          <cell r="AX96">
            <v>207800</v>
          </cell>
          <cell r="AY96">
            <v>197200</v>
          </cell>
          <cell r="AZ96">
            <v>121700</v>
          </cell>
          <cell r="BA96">
            <v>287900</v>
          </cell>
          <cell r="BB96">
            <v>169000</v>
          </cell>
          <cell r="BC96">
            <v>225800</v>
          </cell>
          <cell r="BD96">
            <v>210000</v>
          </cell>
          <cell r="BE96">
            <v>179400</v>
          </cell>
          <cell r="BF96">
            <v>343800</v>
          </cell>
          <cell r="BG96">
            <v>128200</v>
          </cell>
          <cell r="BH96">
            <v>170000</v>
          </cell>
          <cell r="BI96">
            <v>121200</v>
          </cell>
          <cell r="BJ96">
            <v>246700</v>
          </cell>
          <cell r="BK96">
            <v>168600</v>
          </cell>
          <cell r="BL96">
            <v>263300</v>
          </cell>
          <cell r="BM96">
            <v>212700</v>
          </cell>
          <cell r="BN96">
            <v>313500</v>
          </cell>
          <cell r="BO96">
            <v>126500</v>
          </cell>
          <cell r="BP96">
            <v>252900</v>
          </cell>
          <cell r="BQ96">
            <v>100600</v>
          </cell>
          <cell r="BR96">
            <v>231900</v>
          </cell>
          <cell r="BS96">
            <v>-91400</v>
          </cell>
          <cell r="BT96">
            <v>57700</v>
          </cell>
          <cell r="BU96">
            <v>-19400</v>
          </cell>
          <cell r="BV96">
            <v>47300</v>
          </cell>
          <cell r="BW96">
            <v>-13400</v>
          </cell>
          <cell r="BX96">
            <v>49900</v>
          </cell>
          <cell r="BY96">
            <v>23100</v>
          </cell>
          <cell r="BZ96">
            <v>56900</v>
          </cell>
          <cell r="CA96">
            <v>7442.8597761931887</v>
          </cell>
          <cell r="CB96">
            <v>74201.988162710593</v>
          </cell>
          <cell r="CC96">
            <v>43979.841960608814</v>
          </cell>
        </row>
        <row r="97">
          <cell r="A97" t="str">
            <v>Dividend Payout % FCF</v>
          </cell>
          <cell r="I97">
            <v>0.73519853984142347</v>
          </cell>
          <cell r="J97">
            <v>0.50649962342458366</v>
          </cell>
          <cell r="K97">
            <v>0.43226243132497327</v>
          </cell>
          <cell r="L97">
            <v>0.57034127178983551</v>
          </cell>
          <cell r="M97">
            <v>0.64983422596276463</v>
          </cell>
          <cell r="N97">
            <v>0.77044025157232709</v>
          </cell>
          <cell r="O97">
            <v>0.66599349265118368</v>
          </cell>
          <cell r="P97">
            <v>0.81312449365379424</v>
          </cell>
          <cell r="Q97">
            <v>2.0648769574944073</v>
          </cell>
          <cell r="R97">
            <v>0.54817586529466789</v>
          </cell>
          <cell r="S97">
            <v>0.59926139340501394</v>
          </cell>
          <cell r="T97">
            <v>0.98601958717793414</v>
          </cell>
          <cell r="U97">
            <v>1.7378615215760225</v>
          </cell>
          <cell r="V97">
            <v>4.2741783823242567</v>
          </cell>
          <cell r="W97">
            <v>20.939700344018085</v>
          </cell>
          <cell r="X97">
            <v>-9.8206610489655919</v>
          </cell>
          <cell r="AD97">
            <v>0.10976793956406578</v>
          </cell>
          <cell r="AE97">
            <v>0.17730346851836074</v>
          </cell>
          <cell r="AF97">
            <v>0.31499361570091566</v>
          </cell>
          <cell r="AG97">
            <v>0.17797928192702395</v>
          </cell>
          <cell r="AH97">
            <v>9.2866371903881699</v>
          </cell>
          <cell r="AI97">
            <v>-0.99208816756594309</v>
          </cell>
          <cell r="AJ97">
            <v>2.6418404117044096E-2</v>
          </cell>
          <cell r="AK97">
            <v>0.66830697076384316</v>
          </cell>
          <cell r="AL97">
            <v>1.7911067265005591</v>
          </cell>
          <cell r="AM97">
            <v>0.79283868787189227</v>
          </cell>
          <cell r="AN97">
            <v>0.60780664406088269</v>
          </cell>
          <cell r="AO97">
            <v>0.50611072393805989</v>
          </cell>
          <cell r="AP97">
            <v>0.69026279811636038</v>
          </cell>
          <cell r="AQ97">
            <v>0.36269261962692617</v>
          </cell>
          <cell r="AR97">
            <v>0.87510451088903929</v>
          </cell>
          <cell r="AS97">
            <v>0.39171098216449723</v>
          </cell>
          <cell r="AT97">
            <v>0.56021238115239613</v>
          </cell>
          <cell r="AU97">
            <v>0.38115128573293305</v>
          </cell>
          <cell r="AV97">
            <v>0.48699561168789468</v>
          </cell>
          <cell r="AW97">
            <v>0.35767095718402497</v>
          </cell>
          <cell r="AX97">
            <v>0.52550529355149178</v>
          </cell>
          <cell r="AY97">
            <v>0.57809330628803246</v>
          </cell>
          <cell r="AZ97">
            <v>0.99096138044371407</v>
          </cell>
          <cell r="BA97">
            <v>0.41959013546370266</v>
          </cell>
          <cell r="BB97">
            <v>0.74497041420118348</v>
          </cell>
          <cell r="BC97">
            <v>0.56421612046058456</v>
          </cell>
          <cell r="BD97">
            <v>0.60666666666666669</v>
          </cell>
          <cell r="BE97">
            <v>0.71850613154960985</v>
          </cell>
          <cell r="BF97">
            <v>0.4261198371146015</v>
          </cell>
          <cell r="BG97">
            <v>1.1466458658346335</v>
          </cell>
          <cell r="BH97">
            <v>0.86470588235294121</v>
          </cell>
          <cell r="BI97">
            <v>1.216996699669967</v>
          </cell>
          <cell r="BJ97">
            <v>0.60032428050263476</v>
          </cell>
          <cell r="BK97">
            <v>0.87900355871886116</v>
          </cell>
          <cell r="BL97">
            <v>0.56323585263957465</v>
          </cell>
          <cell r="BM97">
            <v>0.70051716031969913</v>
          </cell>
          <cell r="BN97">
            <v>0.47910685805422648</v>
          </cell>
          <cell r="BO97">
            <v>1.191304347826087</v>
          </cell>
          <cell r="BP97">
            <v>0.59588770264926849</v>
          </cell>
          <cell r="BQ97">
            <v>1.4970178926441351</v>
          </cell>
          <cell r="BR97">
            <v>0.65329883570504532</v>
          </cell>
          <cell r="BS97">
            <v>-2.0908096280087527</v>
          </cell>
          <cell r="BT97">
            <v>0.19930675909878684</v>
          </cell>
          <cell r="BU97">
            <v>-0.77835051546391754</v>
          </cell>
          <cell r="BV97">
            <v>0.31501057082452433</v>
          </cell>
          <cell r="BW97">
            <v>-1.0895522388059702</v>
          </cell>
          <cell r="BX97">
            <v>0.29258517034068138</v>
          </cell>
          <cell r="BY97">
            <v>0.62770562770562766</v>
          </cell>
          <cell r="BZ97">
            <v>0.41652021089630931</v>
          </cell>
          <cell r="CA97">
            <v>3.8372347268119067</v>
          </cell>
          <cell r="CB97">
            <v>0.38489534724289931</v>
          </cell>
          <cell r="CC97">
            <v>0.64938841812074222</v>
          </cell>
        </row>
        <row r="99">
          <cell r="A99" t="str">
            <v>FCF yield</v>
          </cell>
          <cell r="Q99">
            <v>0.13812810918609866</v>
          </cell>
          <cell r="R99">
            <v>8.2583304653209996E-2</v>
          </cell>
          <cell r="S99">
            <v>0.1410055385659881</v>
          </cell>
          <cell r="T99">
            <v>9.0176268333733253E-2</v>
          </cell>
          <cell r="U99">
            <v>5.193123805224973E-2</v>
          </cell>
          <cell r="V99">
            <v>2.1431730660403242E-2</v>
          </cell>
          <cell r="W99">
            <v>4.4402299916063478E-3</v>
          </cell>
          <cell r="X99">
            <v>-9.6095101230421129E-3</v>
          </cell>
        </row>
        <row r="100">
          <cell r="A100" t="str">
            <v>EBITDA</v>
          </cell>
          <cell r="Z100">
            <v>430395.952156657</v>
          </cell>
          <cell r="AA100">
            <v>438930.38329779904</v>
          </cell>
          <cell r="AB100">
            <v>422504.99080263718</v>
          </cell>
          <cell r="AC100">
            <v>428440.67374290677</v>
          </cell>
          <cell r="AD100">
            <v>394117</v>
          </cell>
          <cell r="AE100">
            <v>407292</v>
          </cell>
          <cell r="AF100">
            <v>407063</v>
          </cell>
          <cell r="AG100">
            <v>433230</v>
          </cell>
          <cell r="AH100">
            <v>399135</v>
          </cell>
          <cell r="AI100">
            <v>414218</v>
          </cell>
          <cell r="AJ100">
            <v>394866</v>
          </cell>
          <cell r="AK100">
            <v>425908</v>
          </cell>
          <cell r="AL100">
            <v>427600</v>
          </cell>
          <cell r="AM100">
            <v>435600</v>
          </cell>
          <cell r="AN100">
            <v>439800</v>
          </cell>
          <cell r="AO100">
            <v>436800</v>
          </cell>
          <cell r="AP100">
            <v>471000</v>
          </cell>
          <cell r="AQ100">
            <v>467000</v>
          </cell>
          <cell r="AR100">
            <v>450900</v>
          </cell>
          <cell r="AS100">
            <v>459100</v>
          </cell>
          <cell r="AT100">
            <v>496000</v>
          </cell>
          <cell r="AU100">
            <v>480500</v>
          </cell>
          <cell r="AV100">
            <v>477000</v>
          </cell>
          <cell r="AW100">
            <v>496400</v>
          </cell>
          <cell r="AX100">
            <v>592800</v>
          </cell>
          <cell r="AY100">
            <v>583500</v>
          </cell>
          <cell r="AZ100">
            <v>585000</v>
          </cell>
          <cell r="BA100">
            <v>563000</v>
          </cell>
          <cell r="BB100">
            <v>596500</v>
          </cell>
          <cell r="BC100">
            <v>595000</v>
          </cell>
          <cell r="BD100">
            <v>599600</v>
          </cell>
          <cell r="BE100">
            <v>432500</v>
          </cell>
          <cell r="BF100">
            <v>579700</v>
          </cell>
          <cell r="BG100">
            <v>582200</v>
          </cell>
          <cell r="BH100">
            <v>586500</v>
          </cell>
          <cell r="BI100">
            <v>525000</v>
          </cell>
          <cell r="BJ100">
            <v>575200</v>
          </cell>
          <cell r="BK100">
            <v>568700</v>
          </cell>
          <cell r="BL100">
            <v>564400</v>
          </cell>
          <cell r="BM100">
            <v>680400</v>
          </cell>
          <cell r="BN100">
            <v>515500</v>
          </cell>
          <cell r="BO100">
            <v>510400</v>
          </cell>
          <cell r="BP100">
            <v>500100</v>
          </cell>
          <cell r="BQ100">
            <v>390900</v>
          </cell>
          <cell r="BR100">
            <v>468300</v>
          </cell>
          <cell r="BS100">
            <v>470700</v>
          </cell>
          <cell r="BT100">
            <v>528000</v>
          </cell>
          <cell r="BU100">
            <v>481400</v>
          </cell>
          <cell r="BV100">
            <v>471900</v>
          </cell>
          <cell r="BW100">
            <v>471300</v>
          </cell>
          <cell r="BX100">
            <v>455800</v>
          </cell>
          <cell r="BY100">
            <v>414000</v>
          </cell>
          <cell r="BZ100">
            <v>498400</v>
          </cell>
          <cell r="CA100">
            <v>499657.83092441398</v>
          </cell>
          <cell r="CB100">
            <v>501925.50507351407</v>
          </cell>
          <cell r="CC100">
            <v>479914.71935186849</v>
          </cell>
        </row>
        <row r="101">
          <cell r="A101" t="str">
            <v>Capex</v>
          </cell>
          <cell r="AK101">
            <v>129684</v>
          </cell>
          <cell r="AL101">
            <v>80000</v>
          </cell>
          <cell r="AM101">
            <v>98000</v>
          </cell>
          <cell r="AN101">
            <v>90300</v>
          </cell>
          <cell r="AO101">
            <v>97400</v>
          </cell>
          <cell r="AP101">
            <v>55800</v>
          </cell>
          <cell r="AQ101">
            <v>77500</v>
          </cell>
          <cell r="AR101">
            <v>86200</v>
          </cell>
          <cell r="AS101">
            <v>98000</v>
          </cell>
          <cell r="AT101">
            <v>62800</v>
          </cell>
          <cell r="AU101">
            <v>76700</v>
          </cell>
          <cell r="AV101">
            <v>67300</v>
          </cell>
          <cell r="AW101">
            <v>91300</v>
          </cell>
          <cell r="AX101">
            <v>60500</v>
          </cell>
          <cell r="AY101">
            <v>98900</v>
          </cell>
          <cell r="AZ101">
            <v>113300</v>
          </cell>
          <cell r="BA101">
            <v>142500</v>
          </cell>
          <cell r="BB101">
            <v>158500</v>
          </cell>
          <cell r="BC101">
            <v>171000</v>
          </cell>
          <cell r="BD101">
            <v>177000</v>
          </cell>
          <cell r="BE101">
            <v>195400</v>
          </cell>
          <cell r="BF101">
            <v>226100</v>
          </cell>
          <cell r="BG101">
            <v>276000</v>
          </cell>
          <cell r="BH101">
            <v>307300</v>
          </cell>
          <cell r="BI101">
            <v>291800</v>
          </cell>
          <cell r="BJ101">
            <v>243500</v>
          </cell>
          <cell r="BK101">
            <v>228700</v>
          </cell>
          <cell r="BL101">
            <v>193800</v>
          </cell>
          <cell r="BM101">
            <v>175000</v>
          </cell>
          <cell r="BN101">
            <v>153000</v>
          </cell>
          <cell r="BO101">
            <v>205800</v>
          </cell>
          <cell r="BP101">
            <v>193900</v>
          </cell>
          <cell r="BQ101">
            <v>233800</v>
          </cell>
          <cell r="BR101">
            <v>189300</v>
          </cell>
          <cell r="BS101">
            <v>255000</v>
          </cell>
          <cell r="BT101">
            <v>300100</v>
          </cell>
          <cell r="BU101">
            <v>310900</v>
          </cell>
          <cell r="BV101">
            <v>263800</v>
          </cell>
          <cell r="BW101">
            <v>246500</v>
          </cell>
          <cell r="BX101">
            <v>243100</v>
          </cell>
          <cell r="BY101">
            <v>236400</v>
          </cell>
          <cell r="BZ101">
            <v>243400</v>
          </cell>
          <cell r="CA101">
            <v>201949.26192947078</v>
          </cell>
          <cell r="CB101">
            <v>207007.76649635038</v>
          </cell>
          <cell r="CC101">
            <v>190233.90353083194</v>
          </cell>
        </row>
        <row r="102">
          <cell r="A102" t="str">
            <v xml:space="preserve">Free Cash Flow </v>
          </cell>
          <cell r="AP102">
            <v>415200</v>
          </cell>
          <cell r="AQ102">
            <v>389500</v>
          </cell>
          <cell r="AR102">
            <v>364700</v>
          </cell>
          <cell r="AS102">
            <v>361100</v>
          </cell>
          <cell r="AT102">
            <v>433200</v>
          </cell>
          <cell r="AU102">
            <v>403800</v>
          </cell>
          <cell r="AV102">
            <v>409700</v>
          </cell>
          <cell r="AW102">
            <v>405100</v>
          </cell>
          <cell r="AX102">
            <v>532300</v>
          </cell>
          <cell r="AY102">
            <v>484600</v>
          </cell>
          <cell r="AZ102">
            <v>471700</v>
          </cell>
          <cell r="BA102">
            <v>420500</v>
          </cell>
          <cell r="BB102">
            <v>438000</v>
          </cell>
          <cell r="BC102">
            <v>424000</v>
          </cell>
          <cell r="BD102">
            <v>422600</v>
          </cell>
          <cell r="BE102">
            <v>237100</v>
          </cell>
          <cell r="BF102">
            <v>353600</v>
          </cell>
          <cell r="BG102">
            <v>306200</v>
          </cell>
          <cell r="BH102">
            <v>279200</v>
          </cell>
          <cell r="BI102">
            <v>233200</v>
          </cell>
          <cell r="BJ102">
            <v>331700</v>
          </cell>
          <cell r="BK102">
            <v>340000</v>
          </cell>
          <cell r="BL102">
            <v>370600</v>
          </cell>
          <cell r="BM102">
            <v>505400</v>
          </cell>
          <cell r="BN102">
            <v>362500</v>
          </cell>
          <cell r="BO102">
            <v>304600</v>
          </cell>
          <cell r="BP102">
            <v>306200</v>
          </cell>
          <cell r="BQ102">
            <v>157100</v>
          </cell>
          <cell r="BR102">
            <v>279000</v>
          </cell>
          <cell r="BS102">
            <v>215700</v>
          </cell>
          <cell r="BT102">
            <v>227900</v>
          </cell>
          <cell r="BU102">
            <v>170500</v>
          </cell>
          <cell r="BV102">
            <v>-163500</v>
          </cell>
          <cell r="BW102">
            <v>-163400</v>
          </cell>
          <cell r="BX102">
            <v>-163300</v>
          </cell>
          <cell r="BY102">
            <v>-163400</v>
          </cell>
          <cell r="BZ102">
            <v>-163400</v>
          </cell>
          <cell r="CA102">
            <v>-163400</v>
          </cell>
          <cell r="CB102">
            <v>-163300</v>
          </cell>
          <cell r="CC102">
            <v>-163200</v>
          </cell>
        </row>
        <row r="103">
          <cell r="A103" t="str">
            <v xml:space="preserve">Free Cash Flow </v>
          </cell>
          <cell r="AP103">
            <v>415200</v>
          </cell>
          <cell r="AQ103">
            <v>389500</v>
          </cell>
          <cell r="AR103">
            <v>364700</v>
          </cell>
          <cell r="AS103">
            <v>361100</v>
          </cell>
          <cell r="AT103">
            <v>433200</v>
          </cell>
          <cell r="AU103">
            <v>403800</v>
          </cell>
          <cell r="AV103">
            <v>409700</v>
          </cell>
          <cell r="AW103">
            <v>405100</v>
          </cell>
          <cell r="AX103">
            <v>532300</v>
          </cell>
          <cell r="AY103">
            <v>484600</v>
          </cell>
          <cell r="AZ103">
            <v>471700</v>
          </cell>
          <cell r="BA103">
            <v>420500</v>
          </cell>
          <cell r="BB103">
            <v>438000</v>
          </cell>
          <cell r="BC103">
            <v>424000</v>
          </cell>
          <cell r="BD103">
            <v>422600</v>
          </cell>
          <cell r="BE103">
            <v>237100</v>
          </cell>
          <cell r="BF103">
            <v>353600</v>
          </cell>
          <cell r="BG103">
            <v>306200</v>
          </cell>
          <cell r="BH103">
            <v>279200</v>
          </cell>
          <cell r="BI103">
            <v>233200</v>
          </cell>
          <cell r="BJ103">
            <v>331700</v>
          </cell>
          <cell r="BK103">
            <v>340000</v>
          </cell>
          <cell r="BL103">
            <v>370600</v>
          </cell>
          <cell r="BM103">
            <v>505400</v>
          </cell>
          <cell r="BN103">
            <v>362500</v>
          </cell>
          <cell r="BO103">
            <v>304600</v>
          </cell>
          <cell r="BP103">
            <v>306200</v>
          </cell>
          <cell r="BQ103">
            <v>157100</v>
          </cell>
          <cell r="BR103">
            <v>279000</v>
          </cell>
          <cell r="BS103">
            <v>215700</v>
          </cell>
          <cell r="BT103">
            <v>227900</v>
          </cell>
          <cell r="BU103">
            <v>170500</v>
          </cell>
          <cell r="BV103">
            <v>58000</v>
          </cell>
          <cell r="BW103">
            <v>72300</v>
          </cell>
          <cell r="BX103">
            <v>58300</v>
          </cell>
          <cell r="BY103">
            <v>81700</v>
          </cell>
          <cell r="BZ103">
            <v>91600</v>
          </cell>
          <cell r="CA103">
            <v>72500</v>
          </cell>
          <cell r="CB103">
            <v>135959.74599999993</v>
          </cell>
          <cell r="CC103">
            <v>159431.77533333341</v>
          </cell>
        </row>
        <row r="104">
          <cell r="A104" t="str">
            <v>Adjusted FCFE (for Global Comps)</v>
          </cell>
          <cell r="E104">
            <v>2003</v>
          </cell>
          <cell r="F104">
            <v>2004</v>
          </cell>
          <cell r="G104">
            <v>2005</v>
          </cell>
          <cell r="H104">
            <v>2006</v>
          </cell>
          <cell r="I104">
            <v>2007</v>
          </cell>
          <cell r="J104">
            <v>2008</v>
          </cell>
          <cell r="K104">
            <v>2009</v>
          </cell>
          <cell r="L104">
            <v>2010</v>
          </cell>
          <cell r="M104">
            <v>2011</v>
          </cell>
          <cell r="N104">
            <v>2012</v>
          </cell>
          <cell r="O104">
            <v>2013</v>
          </cell>
          <cell r="P104">
            <v>2014</v>
          </cell>
          <cell r="Q104">
            <v>2015</v>
          </cell>
          <cell r="R104">
            <v>2016</v>
          </cell>
          <cell r="S104">
            <v>2017</v>
          </cell>
          <cell r="T104">
            <v>2018</v>
          </cell>
          <cell r="U104">
            <v>2019</v>
          </cell>
          <cell r="V104">
            <v>2020</v>
          </cell>
          <cell r="W104">
            <v>2021</v>
          </cell>
          <cell r="X104">
            <v>2022</v>
          </cell>
          <cell r="Z104" t="str">
            <v>1Q04</v>
          </cell>
          <cell r="AA104" t="str">
            <v>2Q04</v>
          </cell>
          <cell r="AB104" t="str">
            <v>3Q04</v>
          </cell>
          <cell r="AC104" t="str">
            <v>4Q04</v>
          </cell>
          <cell r="AD104" t="str">
            <v>1Q05</v>
          </cell>
          <cell r="AE104" t="str">
            <v>2Q05</v>
          </cell>
          <cell r="AF104" t="str">
            <v>3Q05</v>
          </cell>
          <cell r="AG104" t="str">
            <v>4Q05</v>
          </cell>
          <cell r="AH104" t="str">
            <v>1Q06</v>
          </cell>
          <cell r="AI104" t="str">
            <v>2Q06</v>
          </cell>
          <cell r="AJ104" t="str">
            <v>3Q06</v>
          </cell>
          <cell r="AK104" t="str">
            <v>4Q06</v>
          </cell>
          <cell r="AL104" t="str">
            <v>1Q07</v>
          </cell>
          <cell r="AM104" t="str">
            <v>2Q07</v>
          </cell>
          <cell r="AN104" t="str">
            <v>3Q07</v>
          </cell>
          <cell r="AO104" t="str">
            <v>4Q07</v>
          </cell>
          <cell r="AP104" t="str">
            <v>1Q08</v>
          </cell>
          <cell r="AQ104" t="str">
            <v>2Q08</v>
          </cell>
          <cell r="AR104" t="str">
            <v>3Q08</v>
          </cell>
          <cell r="AS104" t="str">
            <v>4Q08</v>
          </cell>
          <cell r="AT104" t="str">
            <v>1Q09</v>
          </cell>
          <cell r="AU104" t="str">
            <v>2Q09</v>
          </cell>
          <cell r="AV104" t="str">
            <v>3Q09</v>
          </cell>
          <cell r="AW104" t="str">
            <v>4Q09</v>
          </cell>
          <cell r="AX104" t="str">
            <v>1Q10</v>
          </cell>
          <cell r="AY104" t="str">
            <v>2Q10</v>
          </cell>
          <cell r="AZ104" t="str">
            <v>3Q10</v>
          </cell>
          <cell r="BA104" t="str">
            <v>4Q10</v>
          </cell>
          <cell r="BB104" t="str">
            <v>1Q11</v>
          </cell>
          <cell r="BC104" t="str">
            <v>2Q11</v>
          </cell>
          <cell r="BD104" t="str">
            <v>3Q11</v>
          </cell>
          <cell r="BE104" t="str">
            <v>4Q11</v>
          </cell>
          <cell r="BF104" t="str">
            <v>1Q12</v>
          </cell>
          <cell r="BG104" t="str">
            <v>2Q12</v>
          </cell>
          <cell r="BH104" t="str">
            <v>3Q12</v>
          </cell>
          <cell r="BI104" t="str">
            <v>4Q12</v>
          </cell>
          <cell r="BJ104" t="str">
            <v>1Q13</v>
          </cell>
          <cell r="BK104" t="str">
            <v>2Q13</v>
          </cell>
          <cell r="BL104" t="str">
            <v>3Q13</v>
          </cell>
          <cell r="BM104" t="str">
            <v>4Q13</v>
          </cell>
          <cell r="BN104" t="str">
            <v>1Q14</v>
          </cell>
          <cell r="BO104" t="str">
            <v>2Q14</v>
          </cell>
          <cell r="BP104" t="str">
            <v>3Q14</v>
          </cell>
          <cell r="BQ104" t="str">
            <v>4Q14</v>
          </cell>
          <cell r="BR104" t="str">
            <v>1Q15</v>
          </cell>
          <cell r="BS104" t="str">
            <v>2Q15</v>
          </cell>
          <cell r="BT104" t="str">
            <v>3Q15</v>
          </cell>
          <cell r="BU104" t="str">
            <v>4Q15</v>
          </cell>
          <cell r="BV104" t="str">
            <v>1Q16</v>
          </cell>
          <cell r="BW104" t="str">
            <v>2Q16</v>
          </cell>
          <cell r="BX104" t="str">
            <v>3Q16</v>
          </cell>
          <cell r="BY104" t="str">
            <v>4Q16</v>
          </cell>
          <cell r="BZ104" t="str">
            <v>1Q17</v>
          </cell>
          <cell r="CA104" t="str">
            <v>2Q17E</v>
          </cell>
          <cell r="CB104" t="str">
            <v>3Q17E</v>
          </cell>
          <cell r="CC104" t="str">
            <v>4Q17E</v>
          </cell>
        </row>
        <row r="105">
          <cell r="A105" t="str">
            <v>Adjusted FCFE (for Global Comps)</v>
          </cell>
          <cell r="E105">
            <v>2003</v>
          </cell>
          <cell r="F105">
            <v>2004</v>
          </cell>
          <cell r="G105">
            <v>2005</v>
          </cell>
          <cell r="H105">
            <v>2006</v>
          </cell>
          <cell r="I105">
            <v>2007</v>
          </cell>
          <cell r="J105">
            <v>2008</v>
          </cell>
          <cell r="K105">
            <v>2009</v>
          </cell>
          <cell r="L105">
            <v>2010</v>
          </cell>
          <cell r="M105">
            <v>2011</v>
          </cell>
          <cell r="N105">
            <v>2012</v>
          </cell>
          <cell r="O105">
            <v>2013</v>
          </cell>
          <cell r="P105">
            <v>2014</v>
          </cell>
          <cell r="Q105">
            <v>2015</v>
          </cell>
          <cell r="R105">
            <v>2016</v>
          </cell>
          <cell r="S105">
            <v>2017</v>
          </cell>
          <cell r="T105">
            <v>2018</v>
          </cell>
          <cell r="U105">
            <v>2019</v>
          </cell>
          <cell r="V105">
            <v>2020</v>
          </cell>
          <cell r="W105">
            <v>2021</v>
          </cell>
          <cell r="X105">
            <v>2022</v>
          </cell>
          <cell r="Z105" t="str">
            <v>1Q04</v>
          </cell>
          <cell r="AA105" t="str">
            <v>2Q04</v>
          </cell>
          <cell r="AB105" t="str">
            <v>3Q04</v>
          </cell>
          <cell r="AC105" t="str">
            <v>4Q04</v>
          </cell>
          <cell r="AD105" t="str">
            <v>1Q05</v>
          </cell>
          <cell r="AE105" t="str">
            <v>2Q05</v>
          </cell>
          <cell r="AF105" t="str">
            <v>3Q05</v>
          </cell>
          <cell r="AG105" t="str">
            <v>4Q05</v>
          </cell>
          <cell r="AH105" t="str">
            <v>1Q06</v>
          </cell>
          <cell r="AI105" t="str">
            <v>2Q06</v>
          </cell>
          <cell r="AJ105" t="str">
            <v>3Q06</v>
          </cell>
          <cell r="AK105" t="str">
            <v>4Q06</v>
          </cell>
          <cell r="AL105" t="str">
            <v>1Q07</v>
          </cell>
          <cell r="AM105" t="str">
            <v>2Q07</v>
          </cell>
          <cell r="AN105" t="str">
            <v>3Q07</v>
          </cell>
          <cell r="AO105" t="str">
            <v>4Q07</v>
          </cell>
          <cell r="AP105" t="str">
            <v>1Q08</v>
          </cell>
          <cell r="AQ105" t="str">
            <v>2Q08</v>
          </cell>
          <cell r="AR105" t="str">
            <v>3Q08</v>
          </cell>
          <cell r="AS105" t="str">
            <v>4Q08</v>
          </cell>
          <cell r="AT105" t="str">
            <v>1Q09</v>
          </cell>
          <cell r="AU105" t="str">
            <v>2Q09</v>
          </cell>
          <cell r="AV105" t="str">
            <v>3Q09</v>
          </cell>
          <cell r="AW105" t="str">
            <v>4Q09</v>
          </cell>
          <cell r="AX105" t="str">
            <v>1Q10</v>
          </cell>
          <cell r="AY105" t="str">
            <v>2Q10</v>
          </cell>
          <cell r="AZ105" t="str">
            <v>3Q10</v>
          </cell>
          <cell r="BA105" t="str">
            <v>4Q10</v>
          </cell>
          <cell r="BB105" t="str">
            <v>1Q11</v>
          </cell>
          <cell r="BC105" t="str">
            <v>2Q11</v>
          </cell>
          <cell r="BD105" t="str">
            <v>3Q11</v>
          </cell>
          <cell r="BE105" t="str">
            <v>4Q11</v>
          </cell>
          <cell r="BF105" t="str">
            <v>1Q12</v>
          </cell>
          <cell r="BG105" t="str">
            <v>2Q12</v>
          </cell>
          <cell r="BH105" t="str">
            <v>3Q12</v>
          </cell>
          <cell r="BI105" t="str">
            <v>4Q12</v>
          </cell>
          <cell r="BJ105" t="str">
            <v>1Q13</v>
          </cell>
          <cell r="BK105" t="str">
            <v>2Q13</v>
          </cell>
          <cell r="BL105" t="str">
            <v>3Q13</v>
          </cell>
          <cell r="BM105" t="str">
            <v>4Q13</v>
          </cell>
          <cell r="BN105" t="str">
            <v>1Q14</v>
          </cell>
          <cell r="BO105" t="str">
            <v>2Q14</v>
          </cell>
          <cell r="BP105" t="str">
            <v>3Q14</v>
          </cell>
          <cell r="BQ105" t="str">
            <v>4Q14</v>
          </cell>
          <cell r="BR105" t="str">
            <v>1Q15</v>
          </cell>
          <cell r="BS105" t="str">
            <v>2Q15</v>
          </cell>
          <cell r="BT105" t="str">
            <v>3Q15</v>
          </cell>
          <cell r="BU105" t="str">
            <v>4Q15</v>
          </cell>
          <cell r="BV105" t="str">
            <v>1Q16</v>
          </cell>
          <cell r="BW105" t="str">
            <v>2Q16</v>
          </cell>
          <cell r="BX105" t="str">
            <v>3Q16</v>
          </cell>
          <cell r="BY105" t="str">
            <v>4Q16</v>
          </cell>
          <cell r="BZ105" t="str">
            <v>1Q17</v>
          </cell>
          <cell r="CA105" t="str">
            <v>2Q17</v>
          </cell>
          <cell r="CB105" t="str">
            <v>3Q17E</v>
          </cell>
          <cell r="CC105" t="str">
            <v>4Q17E</v>
          </cell>
        </row>
        <row r="106">
          <cell r="A106" t="str">
            <v xml:space="preserve">EBITDA </v>
          </cell>
          <cell r="E106">
            <v>1708211</v>
          </cell>
          <cell r="F106">
            <v>1720272</v>
          </cell>
          <cell r="G106">
            <v>1641702</v>
          </cell>
          <cell r="H106">
            <v>1634127</v>
          </cell>
          <cell r="I106">
            <v>1758600</v>
          </cell>
          <cell r="J106">
            <v>1868800</v>
          </cell>
          <cell r="K106">
            <v>2068600</v>
          </cell>
          <cell r="L106">
            <v>2406000</v>
          </cell>
          <cell r="M106">
            <v>2429800</v>
          </cell>
          <cell r="N106">
            <v>2383800</v>
          </cell>
          <cell r="O106">
            <v>2318100</v>
          </cell>
          <cell r="P106">
            <v>2086400</v>
          </cell>
          <cell r="Q106">
            <v>2004300</v>
          </cell>
          <cell r="R106">
            <v>1913700</v>
          </cell>
          <cell r="S106">
            <v>2004123.8855497965</v>
          </cell>
          <cell r="T106">
            <v>1938562.2731643589</v>
          </cell>
          <cell r="U106">
            <v>1856524.9672970669</v>
          </cell>
          <cell r="V106">
            <v>1782061.4239573819</v>
          </cell>
          <cell r="W106">
            <v>1713510.9176403512</v>
          </cell>
          <cell r="X106">
            <v>1650325.9525788892</v>
          </cell>
          <cell r="Z106">
            <v>430395.952156657</v>
          </cell>
          <cell r="AA106">
            <v>438930.38329779904</v>
          </cell>
          <cell r="AB106">
            <v>422504.99080263718</v>
          </cell>
          <cell r="AC106">
            <v>428440.67374290677</v>
          </cell>
          <cell r="AD106">
            <v>394117</v>
          </cell>
          <cell r="AE106">
            <v>407292</v>
          </cell>
          <cell r="AF106">
            <v>407063</v>
          </cell>
          <cell r="AG106">
            <v>433230</v>
          </cell>
          <cell r="AH106">
            <v>399135</v>
          </cell>
          <cell r="AI106">
            <v>414218</v>
          </cell>
          <cell r="AJ106">
            <v>394866</v>
          </cell>
          <cell r="AK106">
            <v>425908</v>
          </cell>
          <cell r="AL106">
            <v>431900</v>
          </cell>
          <cell r="AM106">
            <v>441000</v>
          </cell>
          <cell r="AN106">
            <v>444700</v>
          </cell>
          <cell r="AO106">
            <v>441000</v>
          </cell>
          <cell r="AP106">
            <v>476200</v>
          </cell>
          <cell r="AQ106">
            <v>472800</v>
          </cell>
          <cell r="AR106">
            <v>455500</v>
          </cell>
          <cell r="AS106">
            <v>464300</v>
          </cell>
          <cell r="AT106">
            <v>525700</v>
          </cell>
          <cell r="AU106">
            <v>511300</v>
          </cell>
          <cell r="AV106">
            <v>505600</v>
          </cell>
          <cell r="AW106">
            <v>526000</v>
          </cell>
          <cell r="AX106">
            <v>604000</v>
          </cell>
          <cell r="AY106">
            <v>596400</v>
          </cell>
          <cell r="AZ106">
            <v>596200</v>
          </cell>
          <cell r="BA106">
            <v>609400</v>
          </cell>
          <cell r="BB106">
            <v>604200</v>
          </cell>
          <cell r="BC106">
            <v>608000</v>
          </cell>
          <cell r="BD106">
            <v>610300</v>
          </cell>
          <cell r="BE106">
            <v>607300</v>
          </cell>
          <cell r="BF106">
            <v>586000</v>
          </cell>
          <cell r="BG106">
            <v>589700</v>
          </cell>
          <cell r="BH106">
            <v>590700</v>
          </cell>
          <cell r="BI106">
            <v>617400</v>
          </cell>
          <cell r="BJ106">
            <v>586300</v>
          </cell>
          <cell r="BK106">
            <v>581400</v>
          </cell>
          <cell r="BL106">
            <v>574500</v>
          </cell>
          <cell r="BM106">
            <v>575900</v>
          </cell>
          <cell r="BN106">
            <v>528700</v>
          </cell>
          <cell r="BO106">
            <v>530600</v>
          </cell>
          <cell r="BP106">
            <v>510800</v>
          </cell>
          <cell r="BQ106">
            <v>516300</v>
          </cell>
          <cell r="BR106">
            <v>481300</v>
          </cell>
          <cell r="BS106">
            <v>479300</v>
          </cell>
          <cell r="BT106">
            <v>540500</v>
          </cell>
          <cell r="BU106">
            <v>503200</v>
          </cell>
          <cell r="BV106">
            <v>485300</v>
          </cell>
          <cell r="BW106">
            <v>482200</v>
          </cell>
          <cell r="BX106">
            <v>464700</v>
          </cell>
          <cell r="BY106">
            <v>481500</v>
          </cell>
          <cell r="BZ106">
            <v>498400</v>
          </cell>
          <cell r="CA106">
            <v>499657.83092441398</v>
          </cell>
          <cell r="CB106">
            <v>501925.50507351407</v>
          </cell>
          <cell r="CC106">
            <v>504140.54955186852</v>
          </cell>
        </row>
        <row r="107">
          <cell r="A107" t="str">
            <v xml:space="preserve"> - Net Income from associates</v>
          </cell>
          <cell r="E107">
            <v>1708211</v>
          </cell>
          <cell r="F107">
            <v>1720272</v>
          </cell>
          <cell r="G107">
            <v>1641702</v>
          </cell>
          <cell r="H107">
            <v>1634127</v>
          </cell>
          <cell r="I107">
            <v>1758600</v>
          </cell>
          <cell r="J107">
            <v>1868800</v>
          </cell>
          <cell r="K107">
            <v>2068600</v>
          </cell>
          <cell r="L107">
            <v>2406000</v>
          </cell>
          <cell r="M107">
            <v>2429800</v>
          </cell>
          <cell r="N107">
            <v>2383800</v>
          </cell>
          <cell r="O107">
            <v>2318100</v>
          </cell>
          <cell r="P107">
            <v>2086400</v>
          </cell>
          <cell r="Q107">
            <v>2004300</v>
          </cell>
          <cell r="R107">
            <v>1913700</v>
          </cell>
          <cell r="S107">
            <v>2030898.3013333334</v>
          </cell>
          <cell r="T107">
            <v>1951721.2878303425</v>
          </cell>
          <cell r="U107">
            <v>1895501.7565873228</v>
          </cell>
          <cell r="V107">
            <v>1843848.3819203596</v>
          </cell>
          <cell r="W107">
            <v>1794406.9082632903</v>
          </cell>
          <cell r="X107">
            <v>1747282.8579212436</v>
          </cell>
          <cell r="Z107">
            <v>430395.952156657</v>
          </cell>
          <cell r="AA107">
            <v>438930.38329779904</v>
          </cell>
          <cell r="AB107">
            <v>422504.99080263718</v>
          </cell>
          <cell r="AC107">
            <v>428440.67374290677</v>
          </cell>
          <cell r="AD107">
            <v>394117</v>
          </cell>
          <cell r="AE107">
            <v>407292</v>
          </cell>
          <cell r="AF107">
            <v>407063</v>
          </cell>
          <cell r="AG107">
            <v>433230</v>
          </cell>
          <cell r="AH107">
            <v>399135</v>
          </cell>
          <cell r="AI107">
            <v>414218</v>
          </cell>
          <cell r="AJ107">
            <v>394866</v>
          </cell>
          <cell r="AK107">
            <v>425908</v>
          </cell>
          <cell r="AL107">
            <v>431900</v>
          </cell>
          <cell r="AM107">
            <v>441000</v>
          </cell>
          <cell r="AN107">
            <v>444700</v>
          </cell>
          <cell r="AO107">
            <v>441000</v>
          </cell>
          <cell r="AP107">
            <v>476200</v>
          </cell>
          <cell r="AQ107">
            <v>472800</v>
          </cell>
          <cell r="AR107">
            <v>455500</v>
          </cell>
          <cell r="AS107">
            <v>464300</v>
          </cell>
          <cell r="AT107">
            <v>525700</v>
          </cell>
          <cell r="AU107">
            <v>511300</v>
          </cell>
          <cell r="AV107">
            <v>505600</v>
          </cell>
          <cell r="AW107">
            <v>526000</v>
          </cell>
          <cell r="AX107">
            <v>604000</v>
          </cell>
          <cell r="AY107">
            <v>596400</v>
          </cell>
          <cell r="AZ107">
            <v>596200</v>
          </cell>
          <cell r="BA107">
            <v>609400</v>
          </cell>
          <cell r="BB107">
            <v>604200</v>
          </cell>
          <cell r="BC107">
            <v>608000</v>
          </cell>
          <cell r="BD107">
            <v>610300</v>
          </cell>
          <cell r="BE107">
            <v>607300</v>
          </cell>
          <cell r="BF107">
            <v>586000</v>
          </cell>
          <cell r="BG107">
            <v>589700</v>
          </cell>
          <cell r="BH107">
            <v>590700</v>
          </cell>
          <cell r="BI107">
            <v>617400</v>
          </cell>
          <cell r="BJ107">
            <v>586300</v>
          </cell>
          <cell r="BK107">
            <v>581400</v>
          </cell>
          <cell r="BL107">
            <v>574500</v>
          </cell>
          <cell r="BM107">
            <v>575900</v>
          </cell>
          <cell r="BN107">
            <v>528700</v>
          </cell>
          <cell r="BO107">
            <v>530600</v>
          </cell>
          <cell r="BP107">
            <v>510800</v>
          </cell>
          <cell r="BQ107">
            <v>516300</v>
          </cell>
          <cell r="BR107">
            <v>481300</v>
          </cell>
          <cell r="BS107">
            <v>479300</v>
          </cell>
          <cell r="BT107">
            <v>540500</v>
          </cell>
          <cell r="BU107">
            <v>503200</v>
          </cell>
          <cell r="BV107">
            <v>485300</v>
          </cell>
          <cell r="BW107">
            <v>482200</v>
          </cell>
          <cell r="BX107">
            <v>464700</v>
          </cell>
          <cell r="BY107">
            <v>481500</v>
          </cell>
          <cell r="BZ107">
            <v>498400</v>
          </cell>
          <cell r="CA107">
            <v>500300</v>
          </cell>
          <cell r="CB107">
            <v>511674.37266666663</v>
          </cell>
          <cell r="CC107">
            <v>520523.92866666673</v>
          </cell>
        </row>
        <row r="108">
          <cell r="A108" t="str">
            <v xml:space="preserve"> - Change in WC</v>
          </cell>
          <cell r="E108">
            <v>33</v>
          </cell>
          <cell r="F108">
            <v>-6069</v>
          </cell>
          <cell r="G108">
            <v>2919</v>
          </cell>
          <cell r="H108">
            <v>187652</v>
          </cell>
          <cell r="I108">
            <v>-74000</v>
          </cell>
          <cell r="J108">
            <v>-62700</v>
          </cell>
          <cell r="K108">
            <v>-8100</v>
          </cell>
          <cell r="L108">
            <v>-108200</v>
          </cell>
          <cell r="M108">
            <v>-211800</v>
          </cell>
          <cell r="N108">
            <v>27000</v>
          </cell>
          <cell r="O108">
            <v>-97100</v>
          </cell>
          <cell r="P108">
            <v>-89200</v>
          </cell>
          <cell r="Q108">
            <v>-58500</v>
          </cell>
          <cell r="R108">
            <v>-100700</v>
          </cell>
          <cell r="S108">
            <v>-42299.408132550641</v>
          </cell>
          <cell r="T108">
            <v>-85566.397602757439</v>
          </cell>
          <cell r="U108">
            <v>8586.5855884663615</v>
          </cell>
          <cell r="V108">
            <v>7750.0976427729765</v>
          </cell>
          <cell r="W108">
            <v>7102.2392905386951</v>
          </cell>
          <cell r="X108">
            <v>6511.4129217600421</v>
          </cell>
          <cell r="Z108">
            <v>8507</v>
          </cell>
          <cell r="AA108">
            <v>-9405</v>
          </cell>
          <cell r="AB108">
            <v>12002</v>
          </cell>
          <cell r="AC108">
            <v>-17173</v>
          </cell>
          <cell r="AD108">
            <v>-3824</v>
          </cell>
          <cell r="AE108">
            <v>4358</v>
          </cell>
          <cell r="AF108">
            <v>-301</v>
          </cell>
          <cell r="AG108">
            <v>2686</v>
          </cell>
          <cell r="AH108">
            <v>-9701</v>
          </cell>
          <cell r="AI108">
            <v>9767</v>
          </cell>
          <cell r="AJ108">
            <v>174113</v>
          </cell>
          <cell r="AK108">
            <v>13473</v>
          </cell>
          <cell r="AL108">
            <v>-43500</v>
          </cell>
          <cell r="AM108">
            <v>-32400</v>
          </cell>
          <cell r="AN108">
            <v>-46200</v>
          </cell>
          <cell r="AO108">
            <v>48100</v>
          </cell>
          <cell r="AP108">
            <v>-55600</v>
          </cell>
          <cell r="AQ108">
            <v>-16700</v>
          </cell>
          <cell r="AR108">
            <v>-44700</v>
          </cell>
          <cell r="AS108">
            <v>54300</v>
          </cell>
          <cell r="AT108">
            <v>-76000</v>
          </cell>
          <cell r="AU108">
            <v>36500</v>
          </cell>
          <cell r="AV108">
            <v>-83300</v>
          </cell>
          <cell r="AW108">
            <v>114700</v>
          </cell>
          <cell r="AX108">
            <v>-59900</v>
          </cell>
          <cell r="AY108">
            <v>10700</v>
          </cell>
          <cell r="AZ108">
            <v>-117300</v>
          </cell>
          <cell r="BA108">
            <v>58300</v>
          </cell>
          <cell r="BB108">
            <v>-110900</v>
          </cell>
          <cell r="BC108">
            <v>26800</v>
          </cell>
          <cell r="BD108">
            <v>-42400</v>
          </cell>
          <cell r="BE108">
            <v>-85300</v>
          </cell>
          <cell r="BF108">
            <v>71400</v>
          </cell>
          <cell r="BG108">
            <v>-66300</v>
          </cell>
          <cell r="BH108">
            <v>-19600</v>
          </cell>
          <cell r="BI108">
            <v>41500</v>
          </cell>
          <cell r="BJ108">
            <v>-55100</v>
          </cell>
          <cell r="BK108">
            <v>-20600</v>
          </cell>
          <cell r="BL108">
            <v>51100</v>
          </cell>
          <cell r="BM108">
            <v>-72500</v>
          </cell>
          <cell r="BN108">
            <v>-19500</v>
          </cell>
          <cell r="BO108">
            <v>-53800</v>
          </cell>
          <cell r="BP108">
            <v>36000</v>
          </cell>
          <cell r="BQ108">
            <v>-51900</v>
          </cell>
          <cell r="BR108">
            <v>-58000</v>
          </cell>
          <cell r="BS108">
            <v>-50500</v>
          </cell>
          <cell r="BT108">
            <v>59800</v>
          </cell>
          <cell r="BU108">
            <v>-9800</v>
          </cell>
          <cell r="BV108">
            <v>-86500</v>
          </cell>
          <cell r="BW108">
            <v>-9200</v>
          </cell>
          <cell r="BX108">
            <v>-24500</v>
          </cell>
          <cell r="BY108">
            <v>19500</v>
          </cell>
          <cell r="BZ108">
            <v>-39100</v>
          </cell>
          <cell r="CA108">
            <v>-10194.896822021292</v>
          </cell>
          <cell r="CB108">
            <v>38818.618474404699</v>
          </cell>
          <cell r="CC108">
            <v>-31823.129784934048</v>
          </cell>
        </row>
        <row r="109">
          <cell r="A109" t="str">
            <v xml:space="preserve"> - Capex (excluding spectrum spend)</v>
          </cell>
          <cell r="E109">
            <v>-69850</v>
          </cell>
          <cell r="F109">
            <v>-65525</v>
          </cell>
          <cell r="G109">
            <v>-57385</v>
          </cell>
          <cell r="H109">
            <v>-373840</v>
          </cell>
          <cell r="I109">
            <v>-365700</v>
          </cell>
          <cell r="J109">
            <v>-317500</v>
          </cell>
          <cell r="K109">
            <v>-298100</v>
          </cell>
          <cell r="L109">
            <v>-415200</v>
          </cell>
          <cell r="M109">
            <v>-701900</v>
          </cell>
          <cell r="N109">
            <v>-1101200</v>
          </cell>
          <cell r="O109">
            <v>-841000</v>
          </cell>
          <cell r="P109">
            <v>-786500</v>
          </cell>
          <cell r="Q109">
            <v>-1055300</v>
          </cell>
          <cell r="R109">
            <v>-989800</v>
          </cell>
          <cell r="S109">
            <v>-842590.93195665313</v>
          </cell>
          <cell r="T109">
            <v>-808558.77138535271</v>
          </cell>
          <cell r="U109">
            <v>-784227.89278012188</v>
          </cell>
          <cell r="V109">
            <v>-762542.76526425593</v>
          </cell>
          <cell r="W109">
            <v>-726956.92413629347</v>
          </cell>
          <cell r="X109">
            <v>-693992.48428987374</v>
          </cell>
          <cell r="Z109">
            <v>-16654</v>
          </cell>
          <cell r="AA109">
            <v>-19109</v>
          </cell>
          <cell r="AB109">
            <v>-15757</v>
          </cell>
          <cell r="AC109">
            <v>-14005</v>
          </cell>
          <cell r="AD109">
            <v>-17379</v>
          </cell>
          <cell r="AE109">
            <v>-12510</v>
          </cell>
          <cell r="AF109">
            <v>-15155</v>
          </cell>
          <cell r="AG109">
            <v>-12341</v>
          </cell>
          <cell r="AH109">
            <v>-10234</v>
          </cell>
          <cell r="AI109">
            <v>-13758</v>
          </cell>
          <cell r="AJ109">
            <v>-220164</v>
          </cell>
          <cell r="AK109">
            <v>-129684</v>
          </cell>
          <cell r="AL109">
            <v>-80000</v>
          </cell>
          <cell r="AM109">
            <v>-98000</v>
          </cell>
          <cell r="AN109">
            <v>-90300</v>
          </cell>
          <cell r="AO109">
            <v>-97400</v>
          </cell>
          <cell r="AP109">
            <v>-55800</v>
          </cell>
          <cell r="AQ109">
            <v>-77500</v>
          </cell>
          <cell r="AR109">
            <v>-86200</v>
          </cell>
          <cell r="AS109">
            <v>-98000</v>
          </cell>
          <cell r="AT109">
            <v>-62800</v>
          </cell>
          <cell r="AU109">
            <v>-76700</v>
          </cell>
          <cell r="AV109">
            <v>-67300</v>
          </cell>
          <cell r="AW109">
            <v>-91300</v>
          </cell>
          <cell r="AX109">
            <v>-60500</v>
          </cell>
          <cell r="AY109">
            <v>-98900</v>
          </cell>
          <cell r="AZ109">
            <v>-113300</v>
          </cell>
          <cell r="BA109">
            <v>-142500</v>
          </cell>
          <cell r="BB109">
            <v>-158500</v>
          </cell>
          <cell r="BC109">
            <v>-171000</v>
          </cell>
          <cell r="BD109">
            <v>-177000</v>
          </cell>
          <cell r="BE109">
            <v>-195400</v>
          </cell>
          <cell r="BF109">
            <v>-226100</v>
          </cell>
          <cell r="BG109">
            <v>-276000</v>
          </cell>
          <cell r="BH109">
            <v>-307300</v>
          </cell>
          <cell r="BI109">
            <v>-291800</v>
          </cell>
          <cell r="BJ109">
            <v>-243500</v>
          </cell>
          <cell r="BK109">
            <v>-228700</v>
          </cell>
          <cell r="BL109">
            <v>-193800</v>
          </cell>
          <cell r="BM109">
            <v>-175000</v>
          </cell>
          <cell r="BN109">
            <v>-153000</v>
          </cell>
          <cell r="BO109">
            <v>-205800</v>
          </cell>
          <cell r="BP109">
            <v>-193900</v>
          </cell>
          <cell r="BQ109">
            <v>-233800</v>
          </cell>
          <cell r="BR109">
            <v>-189300</v>
          </cell>
          <cell r="BS109">
            <v>-255000</v>
          </cell>
          <cell r="BT109">
            <v>-300100</v>
          </cell>
          <cell r="BU109">
            <v>-310900</v>
          </cell>
          <cell r="BV109">
            <v>-263800</v>
          </cell>
          <cell r="BW109">
            <v>-246500</v>
          </cell>
          <cell r="BX109">
            <v>-243100</v>
          </cell>
          <cell r="BY109">
            <v>-236400</v>
          </cell>
          <cell r="BZ109">
            <v>-243400</v>
          </cell>
          <cell r="CA109">
            <v>-201949.26192947078</v>
          </cell>
          <cell r="CB109">
            <v>-207007.76649635038</v>
          </cell>
          <cell r="CC109">
            <v>-190233.90353083194</v>
          </cell>
        </row>
        <row r="110">
          <cell r="A110" t="str">
            <v xml:space="preserve"> - Normalised Tax (statutory tax rate * PBT)</v>
          </cell>
          <cell r="E110">
            <v>-229959.6</v>
          </cell>
          <cell r="F110">
            <v>-252258</v>
          </cell>
          <cell r="G110">
            <v>-252134.40000000002</v>
          </cell>
          <cell r="H110">
            <v>-263815.89155363402</v>
          </cell>
          <cell r="I110">
            <v>-254694.99999999997</v>
          </cell>
          <cell r="J110">
            <v>-280805</v>
          </cell>
          <cell r="K110">
            <v>-231155.74999999997</v>
          </cell>
          <cell r="L110">
            <v>-205578.09999999998</v>
          </cell>
          <cell r="M110">
            <v>-163417.09999999998</v>
          </cell>
          <cell r="N110">
            <v>-114939.99999999999</v>
          </cell>
          <cell r="O110">
            <v>-129674.99999999999</v>
          </cell>
          <cell r="P110">
            <v>8470</v>
          </cell>
          <cell r="Q110">
            <v>-1055300</v>
          </cell>
          <cell r="R110">
            <v>-989800</v>
          </cell>
          <cell r="S110">
            <v>-918106.78</v>
          </cell>
          <cell r="T110">
            <v>62785.155294613316</v>
          </cell>
          <cell r="U110">
            <v>60502.277630753662</v>
          </cell>
          <cell r="V110">
            <v>59057.859749167248</v>
          </cell>
          <cell r="W110">
            <v>60121.494353709546</v>
          </cell>
          <cell r="X110">
            <v>94762.243180392528</v>
          </cell>
          <cell r="Z110">
            <v>-61499.580862662806</v>
          </cell>
          <cell r="AA110">
            <v>-60699.75331911962</v>
          </cell>
          <cell r="AB110">
            <v>-63419.196321054878</v>
          </cell>
          <cell r="AC110">
            <v>-66639.469497162718</v>
          </cell>
          <cell r="AD110">
            <v>-50380.4</v>
          </cell>
          <cell r="AE110">
            <v>-62638</v>
          </cell>
          <cell r="AF110">
            <v>-67070.400000000009</v>
          </cell>
          <cell r="AG110">
            <v>-72045.600000000006</v>
          </cell>
          <cell r="AH110">
            <v>-64274</v>
          </cell>
          <cell r="AI110">
            <v>-69021.650551385625</v>
          </cell>
          <cell r="AJ110">
            <v>-59323.600000000006</v>
          </cell>
          <cell r="AK110">
            <v>-75370</v>
          </cell>
          <cell r="AL110">
            <v>-59849.999999999993</v>
          </cell>
          <cell r="AM110">
            <v>-64504.999999999993</v>
          </cell>
          <cell r="AN110">
            <v>-63244.999999999993</v>
          </cell>
          <cell r="AO110">
            <v>-67095</v>
          </cell>
          <cell r="AP110">
            <v>-74305</v>
          </cell>
          <cell r="AQ110">
            <v>-72870</v>
          </cell>
          <cell r="AR110">
            <v>-67410</v>
          </cell>
          <cell r="AS110">
            <v>-66220</v>
          </cell>
          <cell r="AT110">
            <v>-62306.299999999996</v>
          </cell>
          <cell r="AU110">
            <v>-56933.45</v>
          </cell>
          <cell r="AV110">
            <v>-55542.2</v>
          </cell>
          <cell r="AW110">
            <v>-56373.799999999996</v>
          </cell>
          <cell r="AX110">
            <v>-54649.7</v>
          </cell>
          <cell r="AY110">
            <v>-52965.149999999994</v>
          </cell>
          <cell r="AZ110">
            <v>-53870.6</v>
          </cell>
          <cell r="BA110">
            <v>-44092.649999999994</v>
          </cell>
          <cell r="BB110">
            <v>-57439.199999999997</v>
          </cell>
          <cell r="BC110">
            <v>-57189.299999999996</v>
          </cell>
          <cell r="BD110">
            <v>-58279.899999999994</v>
          </cell>
          <cell r="BE110">
            <v>9491.2999999999993</v>
          </cell>
          <cell r="BF110">
            <v>-40880</v>
          </cell>
          <cell r="BG110">
            <v>-35560</v>
          </cell>
          <cell r="BH110">
            <v>-30659.999999999996</v>
          </cell>
          <cell r="BI110">
            <v>-7839.9999999999991</v>
          </cell>
          <cell r="BJ110">
            <v>-21210</v>
          </cell>
          <cell r="BK110">
            <v>-24570</v>
          </cell>
          <cell r="BL110">
            <v>-19705</v>
          </cell>
          <cell r="BM110">
            <v>-64189.999999999993</v>
          </cell>
          <cell r="BN110">
            <v>-12145</v>
          </cell>
          <cell r="BO110">
            <v>-11235</v>
          </cell>
          <cell r="BP110">
            <v>-6335</v>
          </cell>
          <cell r="BQ110">
            <v>38185</v>
          </cell>
          <cell r="BR110">
            <v>3010</v>
          </cell>
          <cell r="BS110">
            <v>34755</v>
          </cell>
          <cell r="BT110">
            <v>8260</v>
          </cell>
          <cell r="BU110">
            <v>-95305</v>
          </cell>
          <cell r="BV110">
            <v>90265</v>
          </cell>
          <cell r="BW110">
            <v>2555</v>
          </cell>
          <cell r="BX110">
            <v>36995</v>
          </cell>
          <cell r="BY110">
            <v>56350</v>
          </cell>
          <cell r="BZ110">
            <v>19040</v>
          </cell>
          <cell r="CA110">
            <v>21755.80058780831</v>
          </cell>
          <cell r="CB110">
            <v>20080.052963201626</v>
          </cell>
          <cell r="CC110">
            <v>27079.743604161147</v>
          </cell>
        </row>
        <row r="111">
          <cell r="A111" t="str">
            <v xml:space="preserve"> + FCF from operating associates</v>
          </cell>
          <cell r="E111">
            <v>-229959.6</v>
          </cell>
          <cell r="F111">
            <v>-252258</v>
          </cell>
          <cell r="G111">
            <v>-252134.40000000002</v>
          </cell>
          <cell r="H111">
            <v>-263815.89155363402</v>
          </cell>
          <cell r="I111">
            <v>-254694.99999999997</v>
          </cell>
          <cell r="J111">
            <v>-280805</v>
          </cell>
          <cell r="K111">
            <v>-231155.74999999997</v>
          </cell>
          <cell r="L111">
            <v>-205578.09999999998</v>
          </cell>
          <cell r="M111">
            <v>-163417.09999999998</v>
          </cell>
          <cell r="N111">
            <v>-114939.99999999999</v>
          </cell>
          <cell r="O111">
            <v>-129674.99999999999</v>
          </cell>
          <cell r="P111">
            <v>8470</v>
          </cell>
          <cell r="T111">
            <v>74384.084041781927</v>
          </cell>
          <cell r="U111">
            <v>67554.776965753088</v>
          </cell>
          <cell r="V111">
            <v>62662.134369802974</v>
          </cell>
          <cell r="W111">
            <v>61454.777982371299</v>
          </cell>
          <cell r="X111">
            <v>98738.420638379437</v>
          </cell>
          <cell r="Z111">
            <v>-61499.580862662806</v>
          </cell>
          <cell r="AA111">
            <v>-60699.75331911962</v>
          </cell>
          <cell r="AB111">
            <v>-63419.196321054878</v>
          </cell>
          <cell r="AC111">
            <v>-66639.469497162718</v>
          </cell>
          <cell r="AD111">
            <v>-50380.4</v>
          </cell>
          <cell r="AE111">
            <v>-62638</v>
          </cell>
          <cell r="AF111">
            <v>-67070.400000000009</v>
          </cell>
          <cell r="AG111">
            <v>-72045.600000000006</v>
          </cell>
          <cell r="AH111">
            <v>-64274</v>
          </cell>
          <cell r="AI111">
            <v>-69021.650551385625</v>
          </cell>
          <cell r="AJ111">
            <v>-59323.600000000006</v>
          </cell>
          <cell r="AK111">
            <v>-75370</v>
          </cell>
          <cell r="AL111">
            <v>-59849.999999999993</v>
          </cell>
          <cell r="AM111">
            <v>-64504.999999999993</v>
          </cell>
          <cell r="AN111">
            <v>-63244.999999999993</v>
          </cell>
          <cell r="AO111">
            <v>-67095</v>
          </cell>
          <cell r="AP111">
            <v>-74305</v>
          </cell>
          <cell r="AQ111">
            <v>-72870</v>
          </cell>
          <cell r="AR111">
            <v>-67410</v>
          </cell>
          <cell r="AS111">
            <v>-66220</v>
          </cell>
          <cell r="AT111">
            <v>-62306.299999999996</v>
          </cell>
          <cell r="AU111">
            <v>-56933.45</v>
          </cell>
          <cell r="AV111">
            <v>-55542.2</v>
          </cell>
          <cell r="AW111">
            <v>-56373.799999999996</v>
          </cell>
          <cell r="AX111">
            <v>-54649.7</v>
          </cell>
          <cell r="AY111">
            <v>-52965.149999999994</v>
          </cell>
          <cell r="AZ111">
            <v>-53870.6</v>
          </cell>
          <cell r="BA111">
            <v>-44092.649999999994</v>
          </cell>
          <cell r="BB111">
            <v>-57439.199999999997</v>
          </cell>
          <cell r="BC111">
            <v>-57189.299999999996</v>
          </cell>
          <cell r="BD111">
            <v>-58279.899999999994</v>
          </cell>
          <cell r="BE111">
            <v>9491.2999999999993</v>
          </cell>
          <cell r="BF111">
            <v>-40880</v>
          </cell>
          <cell r="BG111">
            <v>-35560</v>
          </cell>
          <cell r="BH111">
            <v>-30659.999999999996</v>
          </cell>
          <cell r="BI111">
            <v>-7839.9999999999991</v>
          </cell>
          <cell r="BJ111">
            <v>-21210</v>
          </cell>
          <cell r="BK111">
            <v>-24570</v>
          </cell>
          <cell r="BL111">
            <v>-19705</v>
          </cell>
          <cell r="BM111">
            <v>-64189.999999999993</v>
          </cell>
          <cell r="BN111">
            <v>-12145</v>
          </cell>
          <cell r="BO111">
            <v>-11235</v>
          </cell>
          <cell r="BP111">
            <v>-6335</v>
          </cell>
          <cell r="BQ111">
            <v>38185</v>
          </cell>
          <cell r="BR111">
            <v>3010</v>
          </cell>
          <cell r="BS111">
            <v>34755</v>
          </cell>
          <cell r="BT111">
            <v>8260</v>
          </cell>
          <cell r="BU111">
            <v>-95305</v>
          </cell>
          <cell r="BV111">
            <v>90265</v>
          </cell>
          <cell r="BW111">
            <v>2555</v>
          </cell>
          <cell r="BX111">
            <v>36995</v>
          </cell>
          <cell r="BY111">
            <v>56350</v>
          </cell>
          <cell r="BZ111">
            <v>19040</v>
          </cell>
          <cell r="CA111">
            <v>37695</v>
          </cell>
          <cell r="CB111">
            <v>25649.371561265256</v>
          </cell>
          <cell r="CC111">
            <v>43494.116848989834</v>
          </cell>
        </row>
        <row r="112">
          <cell r="A112" t="str">
            <v xml:space="preserve"> - Net interest (from IS)</v>
          </cell>
          <cell r="E112">
            <v>-488975</v>
          </cell>
          <cell r="F112">
            <v>-452406</v>
          </cell>
          <cell r="G112">
            <v>-374866</v>
          </cell>
          <cell r="H112">
            <v>-422087.27111591498</v>
          </cell>
          <cell r="I112">
            <v>-433300</v>
          </cell>
          <cell r="J112">
            <v>-414300</v>
          </cell>
          <cell r="K112">
            <v>-440855</v>
          </cell>
          <cell r="L112">
            <v>-530734</v>
          </cell>
          <cell r="M112">
            <v>-607494</v>
          </cell>
          <cell r="N112">
            <v>-620700</v>
          </cell>
          <cell r="O112">
            <v>-668700</v>
          </cell>
          <cell r="P112">
            <v>-571700</v>
          </cell>
          <cell r="Q112">
            <v>-466000</v>
          </cell>
          <cell r="R112">
            <v>-1061100</v>
          </cell>
          <cell r="S112">
            <v>-854592.15276426903</v>
          </cell>
          <cell r="T112">
            <v>-863858.78614627104</v>
          </cell>
          <cell r="U112">
            <v>-846714.41245459125</v>
          </cell>
          <cell r="V112">
            <v>-825107.84382390173</v>
          </cell>
          <cell r="W112">
            <v>-806337.42576518294</v>
          </cell>
          <cell r="X112">
            <v>-786908.48654778267</v>
          </cell>
          <cell r="Z112">
            <v>-114940</v>
          </cell>
          <cell r="AA112">
            <v>-128672</v>
          </cell>
          <cell r="AB112">
            <v>-105785</v>
          </cell>
          <cell r="AC112">
            <v>-103009</v>
          </cell>
          <cell r="AD112">
            <v>-102966</v>
          </cell>
          <cell r="AE112">
            <v>-87197</v>
          </cell>
          <cell r="AF112">
            <v>-80287</v>
          </cell>
          <cell r="AG112">
            <v>-104416</v>
          </cell>
          <cell r="AH112">
            <v>-96550</v>
          </cell>
          <cell r="AI112">
            <v>-102663.87362153597</v>
          </cell>
          <cell r="AJ112">
            <v>-107657</v>
          </cell>
          <cell r="AK112">
            <v>-104783</v>
          </cell>
          <cell r="AL112">
            <v>-109500</v>
          </cell>
          <cell r="AM112">
            <v>-101800</v>
          </cell>
          <cell r="AN112">
            <v>-109400</v>
          </cell>
          <cell r="AO112">
            <v>-112600</v>
          </cell>
          <cell r="AP112">
            <v>-99400</v>
          </cell>
          <cell r="AQ112">
            <v>-100600</v>
          </cell>
          <cell r="AR112">
            <v>-102800</v>
          </cell>
          <cell r="AS112">
            <v>-111500</v>
          </cell>
          <cell r="AT112">
            <v>-105782</v>
          </cell>
          <cell r="AU112">
            <v>-104533</v>
          </cell>
          <cell r="AV112">
            <v>-106708</v>
          </cell>
          <cell r="AW112">
            <v>-123832</v>
          </cell>
          <cell r="AX112">
            <v>-125758</v>
          </cell>
          <cell r="AY112">
            <v>-129771</v>
          </cell>
          <cell r="AZ112">
            <v>-135784</v>
          </cell>
          <cell r="BA112">
            <v>-139421</v>
          </cell>
          <cell r="BB112">
            <v>-144888</v>
          </cell>
          <cell r="BC112">
            <v>-151102</v>
          </cell>
          <cell r="BD112">
            <v>-148586</v>
          </cell>
          <cell r="BE112">
            <v>-162918</v>
          </cell>
          <cell r="BF112">
            <v>-149900</v>
          </cell>
          <cell r="BG112">
            <v>-150300</v>
          </cell>
          <cell r="BH112">
            <v>-160700</v>
          </cell>
          <cell r="BI112">
            <v>-159800</v>
          </cell>
          <cell r="BJ112">
            <v>-180400</v>
          </cell>
          <cell r="BK112">
            <v>-163700</v>
          </cell>
          <cell r="BL112">
            <v>-169100</v>
          </cell>
          <cell r="BM112">
            <v>-155500</v>
          </cell>
          <cell r="BN112">
            <v>-141000</v>
          </cell>
          <cell r="BO112">
            <v>-143200</v>
          </cell>
          <cell r="BP112">
            <v>-143500</v>
          </cell>
          <cell r="BQ112">
            <v>-144000</v>
          </cell>
          <cell r="BR112">
            <v>-142300</v>
          </cell>
          <cell r="BS112">
            <v>-238600</v>
          </cell>
          <cell r="BT112">
            <v>-205200</v>
          </cell>
          <cell r="BU112">
            <v>120100</v>
          </cell>
          <cell r="BV112">
            <v>-420600</v>
          </cell>
          <cell r="BW112">
            <v>-164500</v>
          </cell>
          <cell r="BX112">
            <v>-238000</v>
          </cell>
          <cell r="BY112">
            <v>-238000</v>
          </cell>
          <cell r="BZ112">
            <v>-214300</v>
          </cell>
          <cell r="CA112">
            <v>-215492.33173024241</v>
          </cell>
          <cell r="CB112">
            <v>-213470.04704559274</v>
          </cell>
          <cell r="CC112">
            <v>-211329.77398843391</v>
          </cell>
        </row>
        <row r="113">
          <cell r="A113" t="str">
            <v xml:space="preserve"> - FCF due to minorities</v>
          </cell>
          <cell r="E113">
            <v>-488975</v>
          </cell>
          <cell r="F113">
            <v>-452406</v>
          </cell>
          <cell r="G113">
            <v>-374866</v>
          </cell>
          <cell r="H113">
            <v>-422087.27111591498</v>
          </cell>
          <cell r="I113">
            <v>-433300</v>
          </cell>
          <cell r="J113">
            <v>-414300</v>
          </cell>
          <cell r="K113">
            <v>-440855</v>
          </cell>
          <cell r="L113">
            <v>-530734</v>
          </cell>
          <cell r="M113">
            <v>-607494</v>
          </cell>
          <cell r="N113">
            <v>-620700</v>
          </cell>
          <cell r="O113">
            <v>-668700</v>
          </cell>
          <cell r="P113">
            <v>-571700</v>
          </cell>
          <cell r="Q113">
            <v>-466000</v>
          </cell>
          <cell r="R113">
            <v>-1061100</v>
          </cell>
          <cell r="S113">
            <v>-863315.85653660598</v>
          </cell>
          <cell r="T113">
            <v>-874666.31716822926</v>
          </cell>
          <cell r="U113">
            <v>-852705.54083379719</v>
          </cell>
          <cell r="V113">
            <v>-828015.76783613185</v>
          </cell>
          <cell r="W113">
            <v>-806605.82725298265</v>
          </cell>
          <cell r="X113">
            <v>-786731.17087167373</v>
          </cell>
          <cell r="Z113">
            <v>-114940</v>
          </cell>
          <cell r="AA113">
            <v>-128672</v>
          </cell>
          <cell r="AB113">
            <v>-105785</v>
          </cell>
          <cell r="AC113">
            <v>-103009</v>
          </cell>
          <cell r="AD113">
            <v>-102966</v>
          </cell>
          <cell r="AE113">
            <v>-87197</v>
          </cell>
          <cell r="AF113">
            <v>-80287</v>
          </cell>
          <cell r="AG113">
            <v>-104416</v>
          </cell>
          <cell r="AH113">
            <v>-96550</v>
          </cell>
          <cell r="AI113">
            <v>-102663.87362153597</v>
          </cell>
          <cell r="AJ113">
            <v>-107657</v>
          </cell>
          <cell r="AK113">
            <v>-104783</v>
          </cell>
          <cell r="AL113">
            <v>-109500</v>
          </cell>
          <cell r="AM113">
            <v>-101800</v>
          </cell>
          <cell r="AN113">
            <v>-109400</v>
          </cell>
          <cell r="AO113">
            <v>-112600</v>
          </cell>
          <cell r="AP113">
            <v>-99400</v>
          </cell>
          <cell r="AQ113">
            <v>-100600</v>
          </cell>
          <cell r="AR113">
            <v>-102800</v>
          </cell>
          <cell r="AS113">
            <v>-111500</v>
          </cell>
          <cell r="AT113">
            <v>-105782</v>
          </cell>
          <cell r="AU113">
            <v>-104533</v>
          </cell>
          <cell r="AV113">
            <v>-106708</v>
          </cell>
          <cell r="AW113">
            <v>-123832</v>
          </cell>
          <cell r="AX113">
            <v>-125758</v>
          </cell>
          <cell r="AY113">
            <v>-129771</v>
          </cell>
          <cell r="AZ113">
            <v>-135784</v>
          </cell>
          <cell r="BA113">
            <v>-139421</v>
          </cell>
          <cell r="BB113">
            <v>-144888</v>
          </cell>
          <cell r="BC113">
            <v>-151102</v>
          </cell>
          <cell r="BD113">
            <v>-148586</v>
          </cell>
          <cell r="BE113">
            <v>-162918</v>
          </cell>
          <cell r="BF113">
            <v>-149900</v>
          </cell>
          <cell r="BG113">
            <v>-150300</v>
          </cell>
          <cell r="BH113">
            <v>-160700</v>
          </cell>
          <cell r="BI113">
            <v>-159800</v>
          </cell>
          <cell r="BJ113">
            <v>-180400</v>
          </cell>
          <cell r="BK113">
            <v>-163700</v>
          </cell>
          <cell r="BL113">
            <v>-169100</v>
          </cell>
          <cell r="BM113">
            <v>-155500</v>
          </cell>
          <cell r="BN113">
            <v>-141000</v>
          </cell>
          <cell r="BO113">
            <v>-143200</v>
          </cell>
          <cell r="BP113">
            <v>-143500</v>
          </cell>
          <cell r="BQ113">
            <v>-144000</v>
          </cell>
          <cell r="BR113">
            <v>-142300</v>
          </cell>
          <cell r="BS113">
            <v>-238600</v>
          </cell>
          <cell r="BT113">
            <v>-205200</v>
          </cell>
          <cell r="BU113">
            <v>120100</v>
          </cell>
          <cell r="BV113">
            <v>-420600</v>
          </cell>
          <cell r="BW113">
            <v>-164500</v>
          </cell>
          <cell r="BX113">
            <v>-238000</v>
          </cell>
          <cell r="BY113">
            <v>-238000</v>
          </cell>
          <cell r="BZ113">
            <v>-214300</v>
          </cell>
          <cell r="CA113">
            <v>-214500</v>
          </cell>
          <cell r="CB113">
            <v>-216767.31274246494</v>
          </cell>
          <cell r="CC113">
            <v>-217748.54379414106</v>
          </cell>
        </row>
        <row r="114">
          <cell r="A114" t="str">
            <v>Total Adjusted FCFE</v>
          </cell>
          <cell r="E114">
            <v>919459.39999999991</v>
          </cell>
          <cell r="F114">
            <v>944014</v>
          </cell>
          <cell r="G114">
            <v>960235.60000000009</v>
          </cell>
          <cell r="H114">
            <v>762035.837330451</v>
          </cell>
          <cell r="I114">
            <v>630905</v>
          </cell>
          <cell r="J114">
            <v>793495</v>
          </cell>
          <cell r="K114">
            <v>1090389.25</v>
          </cell>
          <cell r="L114">
            <v>1146287.8999999999</v>
          </cell>
          <cell r="M114">
            <v>745188.89999999991</v>
          </cell>
          <cell r="N114">
            <v>573960</v>
          </cell>
          <cell r="O114">
            <v>581625</v>
          </cell>
          <cell r="P114">
            <v>647470</v>
          </cell>
          <cell r="Q114">
            <v>424500</v>
          </cell>
          <cell r="R114">
            <v>-237900</v>
          </cell>
          <cell r="S114">
            <v>264641.39269632392</v>
          </cell>
          <cell r="T114">
            <v>243363.47332459106</v>
          </cell>
          <cell r="U114">
            <v>294671.52528157376</v>
          </cell>
          <cell r="V114">
            <v>261218.7722611645</v>
          </cell>
          <cell r="W114">
            <v>247440.30138312315</v>
          </cell>
          <cell r="X114">
            <v>270698.63784338522</v>
          </cell>
          <cell r="Z114">
            <v>245809.37129399419</v>
          </cell>
          <cell r="AA114">
            <v>221044.62997867941</v>
          </cell>
          <cell r="AB114">
            <v>249545.7944815823</v>
          </cell>
          <cell r="AC114">
            <v>227614.20424574404</v>
          </cell>
          <cell r="AD114">
            <v>219567.59999999998</v>
          </cell>
          <cell r="AE114">
            <v>249305</v>
          </cell>
          <cell r="AF114">
            <v>244249.59999999998</v>
          </cell>
          <cell r="AG114">
            <v>247113.40000000002</v>
          </cell>
          <cell r="AH114">
            <v>218376</v>
          </cell>
          <cell r="AI114">
            <v>238541.47582707845</v>
          </cell>
          <cell r="AJ114">
            <v>181834.40000000002</v>
          </cell>
          <cell r="AK114">
            <v>129544</v>
          </cell>
          <cell r="AL114">
            <v>139050</v>
          </cell>
          <cell r="AM114">
            <v>144295</v>
          </cell>
          <cell r="AN114">
            <v>135555</v>
          </cell>
          <cell r="AO114">
            <v>212005</v>
          </cell>
          <cell r="AP114">
            <v>191095</v>
          </cell>
          <cell r="AQ114">
            <v>205130</v>
          </cell>
          <cell r="AR114">
            <v>154390</v>
          </cell>
          <cell r="AS114">
            <v>242880</v>
          </cell>
          <cell r="AT114">
            <v>218811.7</v>
          </cell>
          <cell r="AU114">
            <v>309633.55</v>
          </cell>
          <cell r="AV114">
            <v>192749.8</v>
          </cell>
          <cell r="AW114">
            <v>369194.2</v>
          </cell>
          <cell r="AX114">
            <v>303192.3</v>
          </cell>
          <cell r="AY114">
            <v>325463.84999999998</v>
          </cell>
          <cell r="AZ114">
            <v>175945.40000000002</v>
          </cell>
          <cell r="BA114">
            <v>341686.35</v>
          </cell>
          <cell r="BB114">
            <v>132472.79999999999</v>
          </cell>
          <cell r="BC114">
            <v>255508.7</v>
          </cell>
          <cell r="BD114">
            <v>184034.09999999998</v>
          </cell>
          <cell r="BE114">
            <v>173173.3</v>
          </cell>
          <cell r="BF114">
            <v>240520</v>
          </cell>
          <cell r="BG114">
            <v>61540</v>
          </cell>
          <cell r="BH114">
            <v>72440</v>
          </cell>
          <cell r="BI114">
            <v>199460</v>
          </cell>
          <cell r="BJ114">
            <v>86090</v>
          </cell>
          <cell r="BK114">
            <v>143830</v>
          </cell>
          <cell r="BL114">
            <v>242995</v>
          </cell>
          <cell r="BM114">
            <v>108710</v>
          </cell>
          <cell r="BN114">
            <v>203055</v>
          </cell>
          <cell r="BO114">
            <v>116565</v>
          </cell>
          <cell r="BP114">
            <v>203065</v>
          </cell>
          <cell r="BQ114">
            <v>124785</v>
          </cell>
          <cell r="BR114">
            <v>94710</v>
          </cell>
          <cell r="BS114">
            <v>-30045</v>
          </cell>
          <cell r="BT114">
            <v>103260</v>
          </cell>
          <cell r="BU114">
            <v>207295</v>
          </cell>
          <cell r="BV114">
            <v>-195335</v>
          </cell>
          <cell r="BW114">
            <v>64555</v>
          </cell>
          <cell r="BX114">
            <v>-3905</v>
          </cell>
          <cell r="BY114">
            <v>82950</v>
          </cell>
          <cell r="BZ114">
            <v>20640</v>
          </cell>
          <cell r="CA114">
            <v>93777.141030487837</v>
          </cell>
          <cell r="CB114">
            <v>140346.36296917725</v>
          </cell>
          <cell r="CC114">
            <v>97833.485851829784</v>
          </cell>
        </row>
        <row r="115">
          <cell r="A115" t="str">
            <v>Total Adjusted FCFE</v>
          </cell>
          <cell r="E115">
            <v>919459.39999999991</v>
          </cell>
          <cell r="F115">
            <v>944014</v>
          </cell>
          <cell r="G115">
            <v>960235.60000000009</v>
          </cell>
          <cell r="H115">
            <v>762035.837330451</v>
          </cell>
          <cell r="I115">
            <v>630905</v>
          </cell>
          <cell r="J115">
            <v>793495</v>
          </cell>
          <cell r="K115">
            <v>1090389.25</v>
          </cell>
          <cell r="L115">
            <v>1146287.8999999999</v>
          </cell>
          <cell r="M115">
            <v>745188.89999999991</v>
          </cell>
          <cell r="N115">
            <v>573960</v>
          </cell>
          <cell r="O115">
            <v>581625</v>
          </cell>
          <cell r="P115">
            <v>647470</v>
          </cell>
          <cell r="Q115">
            <v>424500</v>
          </cell>
          <cell r="R115">
            <v>-237900</v>
          </cell>
          <cell r="S115">
            <v>184630.78528924182</v>
          </cell>
          <cell r="T115">
            <v>311263.79915171419</v>
          </cell>
          <cell r="U115">
            <v>287228.78888430947</v>
          </cell>
          <cell r="V115">
            <v>273969.98292697291</v>
          </cell>
          <cell r="W115">
            <v>277064.05724863545</v>
          </cell>
          <cell r="X115">
            <v>304239.12069236336</v>
          </cell>
          <cell r="Z115">
            <v>245809.37129399419</v>
          </cell>
          <cell r="AA115">
            <v>221044.62997867941</v>
          </cell>
          <cell r="AB115">
            <v>249545.7944815823</v>
          </cell>
          <cell r="AC115">
            <v>227614.20424574404</v>
          </cell>
          <cell r="AD115">
            <v>219567.59999999998</v>
          </cell>
          <cell r="AE115">
            <v>249305</v>
          </cell>
          <cell r="AF115">
            <v>244249.59999999998</v>
          </cell>
          <cell r="AG115">
            <v>247113.40000000002</v>
          </cell>
          <cell r="AH115">
            <v>218376</v>
          </cell>
          <cell r="AI115">
            <v>238541.47582707845</v>
          </cell>
          <cell r="AJ115">
            <v>181834.40000000002</v>
          </cell>
          <cell r="AK115">
            <v>129544</v>
          </cell>
          <cell r="AL115">
            <v>139050</v>
          </cell>
          <cell r="AM115">
            <v>144295</v>
          </cell>
          <cell r="AN115">
            <v>135555</v>
          </cell>
          <cell r="AO115">
            <v>212005</v>
          </cell>
          <cell r="AP115">
            <v>191095</v>
          </cell>
          <cell r="AQ115">
            <v>205130</v>
          </cell>
          <cell r="AR115">
            <v>154390</v>
          </cell>
          <cell r="AS115">
            <v>242880</v>
          </cell>
          <cell r="AT115">
            <v>218811.7</v>
          </cell>
          <cell r="AU115">
            <v>309633.55</v>
          </cell>
          <cell r="AV115">
            <v>192749.8</v>
          </cell>
          <cell r="AW115">
            <v>369194.2</v>
          </cell>
          <cell r="AX115">
            <v>303192.3</v>
          </cell>
          <cell r="AY115">
            <v>325463.84999999998</v>
          </cell>
          <cell r="AZ115">
            <v>175945.40000000002</v>
          </cell>
          <cell r="BA115">
            <v>341686.35</v>
          </cell>
          <cell r="BB115">
            <v>132472.79999999999</v>
          </cell>
          <cell r="BC115">
            <v>255508.7</v>
          </cell>
          <cell r="BD115">
            <v>184034.09999999998</v>
          </cell>
          <cell r="BE115">
            <v>173173.3</v>
          </cell>
          <cell r="BF115">
            <v>240520</v>
          </cell>
          <cell r="BG115">
            <v>61540</v>
          </cell>
          <cell r="BH115">
            <v>72440</v>
          </cell>
          <cell r="BI115">
            <v>199460</v>
          </cell>
          <cell r="BJ115">
            <v>86090</v>
          </cell>
          <cell r="BK115">
            <v>143830</v>
          </cell>
          <cell r="BL115">
            <v>242995</v>
          </cell>
          <cell r="BM115">
            <v>108710</v>
          </cell>
          <cell r="BN115">
            <v>203055</v>
          </cell>
          <cell r="BO115">
            <v>116565</v>
          </cell>
          <cell r="BP115">
            <v>203065</v>
          </cell>
          <cell r="BQ115">
            <v>124785</v>
          </cell>
          <cell r="BR115">
            <v>94710</v>
          </cell>
          <cell r="BS115">
            <v>-30045</v>
          </cell>
          <cell r="BT115">
            <v>103260</v>
          </cell>
          <cell r="BU115">
            <v>207295</v>
          </cell>
          <cell r="BV115">
            <v>-195335</v>
          </cell>
          <cell r="BW115">
            <v>64555</v>
          </cell>
          <cell r="BX115">
            <v>-3905</v>
          </cell>
          <cell r="BY115">
            <v>82950</v>
          </cell>
          <cell r="BZ115">
            <v>20640</v>
          </cell>
          <cell r="CA115">
            <v>30395</v>
          </cell>
          <cell r="CB115">
            <v>147203.96677252761</v>
          </cell>
          <cell r="CC115">
            <v>112270.30692696924</v>
          </cell>
        </row>
        <row r="116">
          <cell r="A116" t="str">
            <v>shares</v>
          </cell>
          <cell r="J116">
            <v>78566.666666666672</v>
          </cell>
          <cell r="K116">
            <v>78566.666666666672</v>
          </cell>
          <cell r="L116">
            <v>84049.777499999997</v>
          </cell>
          <cell r="M116">
            <v>88420.833333333343</v>
          </cell>
          <cell r="N116">
            <v>98029.166666666672</v>
          </cell>
          <cell r="O116">
            <v>99075</v>
          </cell>
          <cell r="P116">
            <v>100454.16666666666</v>
          </cell>
          <cell r="Q116">
            <v>100650</v>
          </cell>
          <cell r="R116">
            <v>96300</v>
          </cell>
          <cell r="S116">
            <v>190400</v>
          </cell>
          <cell r="T116">
            <v>191828</v>
          </cell>
          <cell r="U116">
            <v>194705.41999999995</v>
          </cell>
          <cell r="V116">
            <v>197626.00129999995</v>
          </cell>
          <cell r="W116">
            <v>200590.39131949993</v>
          </cell>
          <cell r="X116">
            <v>203599.24718929239</v>
          </cell>
        </row>
        <row r="117">
          <cell r="A117" t="str">
            <v>Mkt cap</v>
          </cell>
          <cell r="J117">
            <v>709457</v>
          </cell>
          <cell r="K117">
            <v>709457</v>
          </cell>
          <cell r="L117">
            <v>758969.49082499987</v>
          </cell>
          <cell r="M117">
            <v>798440.125</v>
          </cell>
          <cell r="N117">
            <v>885203.375</v>
          </cell>
          <cell r="O117">
            <v>894647.24999999988</v>
          </cell>
          <cell r="P117">
            <v>907101.12499999988</v>
          </cell>
          <cell r="Q117">
            <v>908869.49999999988</v>
          </cell>
          <cell r="R117">
            <v>869588.99999999988</v>
          </cell>
          <cell r="S117">
            <v>1719311.9999999998</v>
          </cell>
          <cell r="T117">
            <v>1732206.8399999999</v>
          </cell>
          <cell r="U117">
            <v>1758189.9425999995</v>
          </cell>
          <cell r="V117">
            <v>1784562.7917389993</v>
          </cell>
          <cell r="W117">
            <v>1811331.2336150843</v>
          </cell>
          <cell r="X117">
            <v>1838501.2021193102</v>
          </cell>
        </row>
        <row r="118">
          <cell r="A118" t="str">
            <v>FCF yld</v>
          </cell>
          <cell r="J118">
            <v>1.1184539725452001</v>
          </cell>
          <cell r="K118">
            <v>1.5369349375649264</v>
          </cell>
          <cell r="L118">
            <v>1.5103214475116582</v>
          </cell>
          <cell r="M118">
            <v>0.93330592572611493</v>
          </cell>
          <cell r="N118">
            <v>0.64839337061949187</v>
          </cell>
          <cell r="O118">
            <v>0.65011656828990427</v>
          </cell>
          <cell r="P118">
            <v>0.71377929335056234</v>
          </cell>
          <cell r="Q118">
            <v>0.46706375337713507</v>
          </cell>
          <cell r="R118">
            <v>-0.27357751765489219</v>
          </cell>
          <cell r="S118">
            <v>0.15392284396102857</v>
          </cell>
          <cell r="T118">
            <v>0.14049331044356753</v>
          </cell>
          <cell r="U118">
            <v>0.16759936918181631</v>
          </cell>
          <cell r="V118">
            <v>0.14637690165366227</v>
          </cell>
          <cell r="W118">
            <v>0.13660687608708527</v>
          </cell>
          <cell r="X118">
            <v>0.14723876031810076</v>
          </cell>
        </row>
        <row r="119">
          <cell r="A119" t="str">
            <v>FCF yld</v>
          </cell>
          <cell r="J119">
            <v>4.2081830717013151</v>
          </cell>
          <cell r="K119">
            <v>5.7827177025880356</v>
          </cell>
          <cell r="L119">
            <v>5.6825844462626129</v>
          </cell>
          <cell r="M119">
            <v>3.5115635455445067</v>
          </cell>
          <cell r="N119">
            <v>2.4395800569558381</v>
          </cell>
          <cell r="O119">
            <v>2.4460635881907646</v>
          </cell>
          <cell r="P119">
            <v>2.6855945912314905</v>
          </cell>
          <cell r="Q119">
            <v>1.7573273720814704</v>
          </cell>
          <cell r="R119">
            <v>-1.0293354101765317</v>
          </cell>
          <cell r="S119">
            <v>0.40340584095709187</v>
          </cell>
          <cell r="T119">
            <v>0.67467395813655229</v>
          </cell>
          <cell r="U119">
            <v>0.61337667627630255</v>
          </cell>
          <cell r="V119">
            <v>0.57641627066897538</v>
          </cell>
          <cell r="W119">
            <v>0.57431134568502296</v>
          </cell>
          <cell r="X119">
            <v>0.62132127005322635</v>
          </cell>
        </row>
      </sheetData>
      <sheetData sheetId="10" refreshError="1"/>
      <sheetData sheetId="11" refreshError="1">
        <row r="1">
          <cell r="A1" t="str">
            <v>Windstream Communications</v>
          </cell>
        </row>
        <row r="2">
          <cell r="A2" t="str">
            <v>Morgan Stanley</v>
          </cell>
        </row>
        <row r="3">
          <cell r="A3" t="str">
            <v>Simon Flannery (212) 761-6432</v>
          </cell>
        </row>
        <row r="5">
          <cell r="A5" t="str">
            <v>Balance Sheet</v>
          </cell>
          <cell r="F5">
            <v>2003</v>
          </cell>
          <cell r="G5">
            <v>2004</v>
          </cell>
          <cell r="H5">
            <v>2005</v>
          </cell>
          <cell r="I5">
            <v>2006</v>
          </cell>
          <cell r="J5">
            <v>2007</v>
          </cell>
          <cell r="K5">
            <v>2008</v>
          </cell>
          <cell r="L5">
            <v>2009</v>
          </cell>
          <cell r="M5">
            <v>2010</v>
          </cell>
          <cell r="N5">
            <v>2011</v>
          </cell>
          <cell r="O5">
            <v>2012</v>
          </cell>
          <cell r="P5">
            <v>2013</v>
          </cell>
          <cell r="Q5">
            <v>2014</v>
          </cell>
          <cell r="R5">
            <v>2015</v>
          </cell>
          <cell r="S5">
            <v>2016</v>
          </cell>
          <cell r="T5">
            <v>2017</v>
          </cell>
          <cell r="U5">
            <v>2018</v>
          </cell>
          <cell r="V5">
            <v>2019</v>
          </cell>
          <cell r="W5">
            <v>2020</v>
          </cell>
          <cell r="X5">
            <v>2021</v>
          </cell>
          <cell r="Y5">
            <v>2022</v>
          </cell>
          <cell r="AA5" t="str">
            <v>1Q04</v>
          </cell>
          <cell r="AB5" t="str">
            <v>2Q04</v>
          </cell>
          <cell r="AC5" t="str">
            <v>3Q04</v>
          </cell>
          <cell r="AD5" t="str">
            <v>4Q04</v>
          </cell>
          <cell r="AE5" t="str">
            <v>1Q05</v>
          </cell>
          <cell r="AF5" t="str">
            <v>2Q05</v>
          </cell>
          <cell r="AG5" t="str">
            <v>3Q05</v>
          </cell>
          <cell r="AH5" t="str">
            <v>4Q05</v>
          </cell>
          <cell r="AI5" t="str">
            <v>1Q06</v>
          </cell>
          <cell r="AJ5" t="str">
            <v>2Q06</v>
          </cell>
          <cell r="AK5" t="str">
            <v>3Q06</v>
          </cell>
          <cell r="AL5" t="str">
            <v>4Q06</v>
          </cell>
          <cell r="AM5" t="str">
            <v>1Q07</v>
          </cell>
          <cell r="AN5" t="str">
            <v>2Q07</v>
          </cell>
          <cell r="AO5" t="str">
            <v>3Q07</v>
          </cell>
          <cell r="AP5" t="str">
            <v>4Q07</v>
          </cell>
          <cell r="AQ5" t="str">
            <v>1Q08</v>
          </cell>
          <cell r="AR5" t="str">
            <v>2Q08</v>
          </cell>
          <cell r="AS5" t="str">
            <v>3Q08</v>
          </cell>
          <cell r="AT5" t="str">
            <v>4Q08</v>
          </cell>
          <cell r="AU5" t="str">
            <v>1Q09</v>
          </cell>
          <cell r="AV5" t="str">
            <v>2Q09</v>
          </cell>
          <cell r="AW5" t="str">
            <v>3Q09</v>
          </cell>
          <cell r="AX5" t="str">
            <v>4Q09</v>
          </cell>
          <cell r="AY5" t="str">
            <v>1Q10</v>
          </cell>
          <cell r="AZ5" t="str">
            <v>2Q10</v>
          </cell>
          <cell r="BA5" t="str">
            <v>3Q10</v>
          </cell>
          <cell r="BB5" t="str">
            <v>4Q10</v>
          </cell>
          <cell r="BC5" t="str">
            <v>1Q11</v>
          </cell>
          <cell r="BD5" t="str">
            <v>2Q11</v>
          </cell>
          <cell r="BE5" t="str">
            <v>3Q11</v>
          </cell>
          <cell r="BF5" t="str">
            <v>4Q11</v>
          </cell>
          <cell r="BG5" t="str">
            <v>1Q12</v>
          </cell>
          <cell r="BH5" t="str">
            <v>2Q12</v>
          </cell>
          <cell r="BI5" t="str">
            <v>3Q12</v>
          </cell>
          <cell r="BJ5" t="str">
            <v>4Q12</v>
          </cell>
          <cell r="BK5" t="str">
            <v>1Q13</v>
          </cell>
          <cell r="BL5" t="str">
            <v>2Q13</v>
          </cell>
          <cell r="BM5" t="str">
            <v>3Q13</v>
          </cell>
          <cell r="BN5" t="str">
            <v>4Q13</v>
          </cell>
          <cell r="BO5" t="str">
            <v>1Q14</v>
          </cell>
          <cell r="BP5" t="str">
            <v>2Q14</v>
          </cell>
          <cell r="BQ5" t="str">
            <v>3Q14</v>
          </cell>
          <cell r="BR5" t="str">
            <v>4Q14</v>
          </cell>
          <cell r="BS5" t="str">
            <v>1Q15</v>
          </cell>
          <cell r="BT5" t="str">
            <v>2Q15</v>
          </cell>
          <cell r="BU5" t="str">
            <v>3Q15</v>
          </cell>
          <cell r="BV5" t="str">
            <v>4Q15</v>
          </cell>
          <cell r="BW5" t="str">
            <v>1Q16</v>
          </cell>
          <cell r="BX5" t="str">
            <v>2Q16</v>
          </cell>
          <cell r="BY5" t="str">
            <v>3Q16</v>
          </cell>
          <cell r="BZ5" t="str">
            <v>4Q16</v>
          </cell>
          <cell r="CA5" t="str">
            <v>1Q17</v>
          </cell>
          <cell r="CB5" t="str">
            <v>2Q17E</v>
          </cell>
          <cell r="CC5" t="str">
            <v>3Q17E</v>
          </cell>
          <cell r="CD5" t="str">
            <v>4Q17E</v>
          </cell>
        </row>
        <row r="6">
          <cell r="A6" t="str">
            <v>EPS (Proforma)</v>
          </cell>
          <cell r="J6">
            <v>1.0072356964787699</v>
          </cell>
          <cell r="K6">
            <v>6.6793466270683064</v>
          </cell>
          <cell r="L6">
            <v>5.497793381417055</v>
          </cell>
          <cell r="M6">
            <v>4.3993691714412932</v>
          </cell>
          <cell r="N6">
            <v>3.3216832383016821</v>
          </cell>
          <cell r="O6">
            <v>1.9683937603604369</v>
          </cell>
          <cell r="P6">
            <v>2.465606863487257</v>
          </cell>
          <cell r="Q6">
            <v>-0.29826298565075104</v>
          </cell>
          <cell r="R6">
            <v>0.81199586349534647</v>
          </cell>
          <cell r="S6">
            <v>-4.5140544915025629</v>
          </cell>
          <cell r="T6">
            <v>-0.48978120752881393</v>
          </cell>
          <cell r="U6">
            <v>-0.39929521597470735</v>
          </cell>
          <cell r="V6">
            <v>-0.37161971527463517</v>
          </cell>
          <cell r="W6">
            <v>-0.35255422835553085</v>
          </cell>
          <cell r="X6">
            <v>-0.35719160488412244</v>
          </cell>
          <cell r="Y6">
            <v>-0.66789059845036569</v>
          </cell>
          <cell r="AL6">
            <v>0.2586414778893506</v>
          </cell>
          <cell r="AM6">
            <v>0.22965697429414242</v>
          </cell>
          <cell r="AN6">
            <v>0.23967586352148273</v>
          </cell>
          <cell r="AO6">
            <v>0.24871551905664349</v>
          </cell>
          <cell r="AP6">
            <v>0.28918733960650128</v>
          </cell>
          <cell r="AQ6">
            <v>0.30160932297447279</v>
          </cell>
          <cell r="AR6">
            <v>0.30693628558517849</v>
          </cell>
          <cell r="AS6">
            <v>0.28907822506861847</v>
          </cell>
          <cell r="AT6">
            <v>0.28978265843056511</v>
          </cell>
          <cell r="AU6">
            <v>1.2979165828249815</v>
          </cell>
          <cell r="AV6">
            <v>1.2322043327241408</v>
          </cell>
          <cell r="AW6">
            <v>1.2677844388106798</v>
          </cell>
          <cell r="AX6">
            <v>1.3412313911241467</v>
          </cell>
          <cell r="AY6">
            <v>1.160526570103056</v>
          </cell>
          <cell r="AZ6">
            <v>1.1222992232192406</v>
          </cell>
          <cell r="BA6">
            <v>1.1840126525022627</v>
          </cell>
          <cell r="BB6">
            <v>0.93253072561673356</v>
          </cell>
          <cell r="BC6">
            <v>1.2712790928983491</v>
          </cell>
          <cell r="BD6">
            <v>1.1893882352941176</v>
          </cell>
          <cell r="BE6">
            <v>1.3197192435172547</v>
          </cell>
          <cell r="BF6">
            <v>-0.31267407840842598</v>
          </cell>
          <cell r="BG6">
            <v>0.70798569725864113</v>
          </cell>
          <cell r="BH6">
            <v>0.58959537572254328</v>
          </cell>
          <cell r="BI6">
            <v>0.49991498044550242</v>
          </cell>
          <cell r="BJ6">
            <v>0.15363427697016066</v>
          </cell>
          <cell r="BK6">
            <v>0.48654416123295796</v>
          </cell>
          <cell r="BL6">
            <v>0.43323492197385072</v>
          </cell>
          <cell r="BM6">
            <v>0.28140297754226595</v>
          </cell>
          <cell r="BN6">
            <v>1.2653191310911682</v>
          </cell>
          <cell r="BO6">
            <v>0.15794478271749102</v>
          </cell>
          <cell r="BP6">
            <v>0.17262319561971129</v>
          </cell>
          <cell r="BQ6">
            <v>0.12504770596531986</v>
          </cell>
          <cell r="BR6">
            <v>-0.75691070531077231</v>
          </cell>
          <cell r="BS6">
            <v>0.10575396825396825</v>
          </cell>
          <cell r="BT6">
            <v>-0.75179282868525898</v>
          </cell>
          <cell r="BU6">
            <v>-7.5125881168177241E-2</v>
          </cell>
          <cell r="BV6">
            <v>1.5594622543950363</v>
          </cell>
          <cell r="BW6">
            <v>-2.5017353579175703</v>
          </cell>
          <cell r="BX6">
            <v>7.261410788381743E-3</v>
          </cell>
          <cell r="BY6">
            <v>-0.70538793103448272</v>
          </cell>
          <cell r="BZ6">
            <v>-1.3231431646932186</v>
          </cell>
          <cell r="CA6">
            <v>0.25294117647058822</v>
          </cell>
          <cell r="CB6">
            <v>-0.22286570201193584</v>
          </cell>
          <cell r="CC6">
            <v>-0.20511568766628235</v>
          </cell>
          <cell r="CD6">
            <v>-0.27338998113302443</v>
          </cell>
        </row>
        <row r="7">
          <cell r="A7" t="str">
            <v>y/y growth %</v>
          </cell>
          <cell r="J7">
            <v>0</v>
          </cell>
          <cell r="K7">
            <v>5.6313640892780761</v>
          </cell>
          <cell r="L7" t="str">
            <v>na</v>
          </cell>
          <cell r="M7">
            <v>-0.199793650610537</v>
          </cell>
          <cell r="N7">
            <v>-0.24496374165083912</v>
          </cell>
          <cell r="O7">
            <v>-0.40741075558822948</v>
          </cell>
          <cell r="P7">
            <v>0.25259839425409192</v>
          </cell>
          <cell r="Q7">
            <v>-1.120969401110808</v>
          </cell>
          <cell r="R7">
            <v>-3.7224157959920219</v>
          </cell>
          <cell r="S7">
            <v>-6.5592087280730746</v>
          </cell>
          <cell r="T7">
            <v>-0.89149860542206616</v>
          </cell>
          <cell r="U7">
            <v>-0.18474778158731886</v>
          </cell>
          <cell r="V7">
            <v>-6.931087474342601E-2</v>
          </cell>
          <cell r="W7">
            <v>-5.1303755251560057E-2</v>
          </cell>
          <cell r="X7">
            <v>1.315365454620232E-2</v>
          </cell>
          <cell r="Y7">
            <v>0.86983845453769271</v>
          </cell>
          <cell r="AM7">
            <v>0</v>
          </cell>
          <cell r="AN7">
            <v>0</v>
          </cell>
          <cell r="AO7">
            <v>0.42659949522075258</v>
          </cell>
          <cell r="AP7">
            <v>0.11810117219566196</v>
          </cell>
          <cell r="AQ7">
            <v>0.31330356459444819</v>
          </cell>
          <cell r="AR7">
            <v>0.28063076972148693</v>
          </cell>
          <cell r="AS7">
            <v>0.16228463010698824</v>
          </cell>
          <cell r="AT7">
            <v>2.0585922774969401E-3</v>
          </cell>
          <cell r="AU7" t="str">
            <v>na</v>
          </cell>
          <cell r="AV7" t="str">
            <v>na</v>
          </cell>
          <cell r="AW7" t="str">
            <v>na</v>
          </cell>
          <cell r="AX7" t="str">
            <v>na</v>
          </cell>
          <cell r="AY7">
            <v>-0.10585427025124305</v>
          </cell>
          <cell r="AZ7">
            <v>-8.9193899571772706E-2</v>
          </cell>
          <cell r="BA7">
            <v>-6.6077310735099593E-2</v>
          </cell>
          <cell r="BB7">
            <v>-0.30472047419413784</v>
          </cell>
          <cell r="BC7">
            <v>9.5432991926637234E-2</v>
          </cell>
          <cell r="BD7">
            <v>5.9778186322215099E-2</v>
          </cell>
          <cell r="BE7">
            <v>0.11461582841044216</v>
          </cell>
          <cell r="BF7">
            <v>-1.3352962747706114</v>
          </cell>
          <cell r="BG7">
            <v>-0.44309184252804246</v>
          </cell>
          <cell r="BH7">
            <v>-0.50428686090312191</v>
          </cell>
          <cell r="BI7">
            <v>-0.62119596050357484</v>
          </cell>
          <cell r="BJ7">
            <v>-1.4913559760124346</v>
          </cell>
          <cell r="BK7">
            <v>-0.31277684970631014</v>
          </cell>
          <cell r="BL7">
            <v>-0.26519959312278252</v>
          </cell>
          <cell r="BM7">
            <v>-0.43709832961698425</v>
          </cell>
          <cell r="BN7">
            <v>7.2359168542637295</v>
          </cell>
          <cell r="BO7">
            <v>-0.67537420998488384</v>
          </cell>
          <cell r="BP7">
            <v>-0.60154828970567031</v>
          </cell>
          <cell r="BQ7">
            <v>-0.55562763742775956</v>
          </cell>
          <cell r="BR7">
            <v>-1.5981974718567942</v>
          </cell>
          <cell r="BS7">
            <v>-0.3304370905170968</v>
          </cell>
          <cell r="BT7">
            <v>-5.3551089758612616</v>
          </cell>
          <cell r="BU7">
            <v>-1.6007777638800691</v>
          </cell>
          <cell r="BV7">
            <v>-3.0602988482700249</v>
          </cell>
          <cell r="BW7">
            <v>-24.656184247475711</v>
          </cell>
          <cell r="BX7">
            <v>-1.0096587923046307</v>
          </cell>
          <cell r="BY7">
            <v>8.3894130766386237</v>
          </cell>
          <cell r="BZ7">
            <v>-1.8484611672800679</v>
          </cell>
          <cell r="CA7">
            <v>-1.1011062883490341</v>
          </cell>
          <cell r="CB7">
            <v>-31.691790962786591</v>
          </cell>
          <cell r="CC7">
            <v>-0.70921576817245646</v>
          </cell>
          <cell r="CD7">
            <v>-0.79337838230346591</v>
          </cell>
        </row>
        <row r="8">
          <cell r="A8" t="str">
            <v>ASSETS</v>
          </cell>
          <cell r="M8" t="str">
            <v>NOT Pf</v>
          </cell>
          <cell r="N8" t="str">
            <v>NOT Pf</v>
          </cell>
          <cell r="AY8" t="str">
            <v>NOT PROFORMA FOR PAETEC</v>
          </cell>
          <cell r="BC8" t="str">
            <v>NOT PROFORMA FOR PAETEC</v>
          </cell>
        </row>
        <row r="9">
          <cell r="A9" t="str">
            <v>Current assets</v>
          </cell>
        </row>
        <row r="10">
          <cell r="A10" t="str">
            <v xml:space="preserve">  Cash and cash equivalents</v>
          </cell>
          <cell r="F10">
            <v>1414</v>
          </cell>
          <cell r="G10">
            <v>17034</v>
          </cell>
          <cell r="H10">
            <v>64178</v>
          </cell>
          <cell r="I10">
            <v>386852</v>
          </cell>
          <cell r="J10">
            <v>72000</v>
          </cell>
          <cell r="K10">
            <v>296600</v>
          </cell>
          <cell r="L10">
            <v>1062900</v>
          </cell>
          <cell r="M10">
            <v>42300</v>
          </cell>
          <cell r="N10">
            <v>227000</v>
          </cell>
          <cell r="O10">
            <v>132000</v>
          </cell>
          <cell r="P10">
            <v>48200</v>
          </cell>
          <cell r="Q10">
            <v>27800</v>
          </cell>
          <cell r="R10">
            <v>31300</v>
          </cell>
          <cell r="S10">
            <v>59100</v>
          </cell>
          <cell r="T10">
            <v>43767.683317120391</v>
          </cell>
          <cell r="U10">
            <v>58686.135124290624</v>
          </cell>
          <cell r="V10">
            <v>68270.333167959383</v>
          </cell>
          <cell r="W10">
            <v>72931.072473490058</v>
          </cell>
          <cell r="X10">
            <v>102779.55253796148</v>
          </cell>
          <cell r="Y10">
            <v>82822.931623358716</v>
          </cell>
          <cell r="AD10">
            <v>17034</v>
          </cell>
          <cell r="AE10">
            <v>39122</v>
          </cell>
          <cell r="AF10">
            <v>60129</v>
          </cell>
          <cell r="AG10">
            <v>46721</v>
          </cell>
          <cell r="AH10">
            <v>64178</v>
          </cell>
          <cell r="AI10">
            <v>69848</v>
          </cell>
          <cell r="AJ10">
            <v>92169</v>
          </cell>
          <cell r="AK10">
            <v>372976</v>
          </cell>
          <cell r="AL10">
            <v>386852</v>
          </cell>
          <cell r="AM10">
            <v>397600</v>
          </cell>
          <cell r="AN10">
            <v>483800</v>
          </cell>
          <cell r="AO10">
            <v>67900</v>
          </cell>
          <cell r="AP10">
            <v>72000</v>
          </cell>
          <cell r="AQ10">
            <v>53500</v>
          </cell>
          <cell r="AR10">
            <v>59600</v>
          </cell>
          <cell r="AS10">
            <v>111600</v>
          </cell>
          <cell r="AT10">
            <v>296600</v>
          </cell>
          <cell r="AU10">
            <v>312200</v>
          </cell>
          <cell r="AV10">
            <v>245400</v>
          </cell>
          <cell r="AW10">
            <v>290000</v>
          </cell>
          <cell r="AX10">
            <v>1062900</v>
          </cell>
          <cell r="AY10">
            <v>580100</v>
          </cell>
          <cell r="AZ10">
            <v>53500</v>
          </cell>
          <cell r="BA10">
            <v>155200</v>
          </cell>
          <cell r="BB10">
            <v>42300</v>
          </cell>
          <cell r="BC10">
            <v>35800</v>
          </cell>
          <cell r="BD10">
            <v>52100</v>
          </cell>
          <cell r="BE10">
            <v>34300</v>
          </cell>
          <cell r="BF10">
            <v>227000</v>
          </cell>
          <cell r="BG10">
            <v>64200</v>
          </cell>
          <cell r="BH10">
            <v>37500</v>
          </cell>
          <cell r="BI10">
            <v>114800</v>
          </cell>
          <cell r="BJ10">
            <v>132000</v>
          </cell>
          <cell r="BK10">
            <v>54400</v>
          </cell>
          <cell r="BL10">
            <v>78300</v>
          </cell>
          <cell r="BM10">
            <v>73400</v>
          </cell>
          <cell r="BN10">
            <v>48200</v>
          </cell>
          <cell r="BO10">
            <v>70000</v>
          </cell>
          <cell r="BP10">
            <v>54800</v>
          </cell>
          <cell r="BQ10">
            <v>103700</v>
          </cell>
          <cell r="BR10">
            <v>27800</v>
          </cell>
          <cell r="BS10">
            <v>74000</v>
          </cell>
          <cell r="BT10">
            <v>47000</v>
          </cell>
          <cell r="BU10">
            <v>97200</v>
          </cell>
          <cell r="BV10">
            <v>31300</v>
          </cell>
          <cell r="BW10">
            <v>74600</v>
          </cell>
          <cell r="BX10">
            <v>41600</v>
          </cell>
          <cell r="BY10">
            <v>61400</v>
          </cell>
          <cell r="BZ10">
            <v>59100</v>
          </cell>
          <cell r="CA10">
            <v>51500</v>
          </cell>
          <cell r="CB10">
            <v>47549.584655488448</v>
          </cell>
          <cell r="CC10">
            <v>82455.524999665126</v>
          </cell>
          <cell r="CD10">
            <v>43767.683317120391</v>
          </cell>
        </row>
        <row r="11">
          <cell r="A11" t="str">
            <v xml:space="preserve">  Accounts receivable:</v>
          </cell>
          <cell r="S11">
            <v>0</v>
          </cell>
          <cell r="T11">
            <v>0</v>
          </cell>
        </row>
        <row r="12">
          <cell r="A12" t="str">
            <v xml:space="preserve">    Customers, net of allowance for doubtful</v>
          </cell>
          <cell r="F12">
            <v>26550</v>
          </cell>
          <cell r="G12">
            <v>26602</v>
          </cell>
          <cell r="H12">
            <v>25333</v>
          </cell>
          <cell r="I12">
            <v>0</v>
          </cell>
          <cell r="J12">
            <v>0</v>
          </cell>
          <cell r="K12">
            <v>0</v>
          </cell>
          <cell r="L12">
            <v>0</v>
          </cell>
          <cell r="M12">
            <v>0</v>
          </cell>
          <cell r="N12">
            <v>0</v>
          </cell>
          <cell r="O12">
            <v>0</v>
          </cell>
          <cell r="S12">
            <v>0</v>
          </cell>
          <cell r="T12">
            <v>0</v>
          </cell>
          <cell r="U12">
            <v>0</v>
          </cell>
          <cell r="V12">
            <v>0</v>
          </cell>
          <cell r="W12">
            <v>0</v>
          </cell>
          <cell r="X12">
            <v>0</v>
          </cell>
          <cell r="Y12">
            <v>0</v>
          </cell>
          <cell r="AD12">
            <v>26602</v>
          </cell>
          <cell r="AE12">
            <v>24247</v>
          </cell>
          <cell r="AF12">
            <v>26760</v>
          </cell>
          <cell r="AG12">
            <v>25850</v>
          </cell>
          <cell r="AH12">
            <v>25333</v>
          </cell>
          <cell r="AI12">
            <v>24346</v>
          </cell>
          <cell r="AJ12">
            <v>23841</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row>
        <row r="13">
          <cell r="A13" t="str">
            <v xml:space="preserve">    Carriers and other, net of allowance for</v>
          </cell>
          <cell r="F13">
            <v>34223</v>
          </cell>
          <cell r="G13">
            <v>36155</v>
          </cell>
          <cell r="H13">
            <v>34640</v>
          </cell>
          <cell r="I13">
            <v>0</v>
          </cell>
          <cell r="J13">
            <v>0</v>
          </cell>
          <cell r="K13">
            <v>0</v>
          </cell>
          <cell r="L13">
            <v>0</v>
          </cell>
          <cell r="M13">
            <v>0</v>
          </cell>
          <cell r="N13">
            <v>0</v>
          </cell>
          <cell r="O13">
            <v>0</v>
          </cell>
          <cell r="S13">
            <v>0</v>
          </cell>
          <cell r="T13">
            <v>0</v>
          </cell>
          <cell r="U13">
            <v>0</v>
          </cell>
          <cell r="V13">
            <v>0</v>
          </cell>
          <cell r="W13">
            <v>0</v>
          </cell>
          <cell r="X13">
            <v>0</v>
          </cell>
          <cell r="Y13">
            <v>0</v>
          </cell>
          <cell r="AD13">
            <v>36155</v>
          </cell>
          <cell r="AE13">
            <v>34687</v>
          </cell>
          <cell r="AF13">
            <v>31753</v>
          </cell>
          <cell r="AG13">
            <v>33653</v>
          </cell>
          <cell r="AH13">
            <v>34640</v>
          </cell>
          <cell r="AI13">
            <v>30150</v>
          </cell>
          <cell r="AJ13">
            <v>29222</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row>
        <row r="14">
          <cell r="A14" t="str">
            <v xml:space="preserve">    Materials and supplies, at average cost</v>
          </cell>
          <cell r="F14">
            <v>1922</v>
          </cell>
          <cell r="G14">
            <v>1400</v>
          </cell>
          <cell r="H14">
            <v>1418</v>
          </cell>
          <cell r="I14">
            <v>0</v>
          </cell>
          <cell r="J14">
            <v>0</v>
          </cell>
          <cell r="K14">
            <v>0</v>
          </cell>
          <cell r="L14">
            <v>0</v>
          </cell>
          <cell r="M14">
            <v>0</v>
          </cell>
          <cell r="N14">
            <v>0</v>
          </cell>
          <cell r="O14">
            <v>0</v>
          </cell>
          <cell r="S14">
            <v>0</v>
          </cell>
          <cell r="T14">
            <v>0</v>
          </cell>
          <cell r="U14">
            <v>0</v>
          </cell>
          <cell r="V14">
            <v>0</v>
          </cell>
          <cell r="W14">
            <v>0</v>
          </cell>
          <cell r="X14">
            <v>0</v>
          </cell>
          <cell r="Y14">
            <v>0</v>
          </cell>
          <cell r="AD14">
            <v>1400</v>
          </cell>
          <cell r="AE14">
            <v>1477</v>
          </cell>
          <cell r="AF14">
            <v>1641</v>
          </cell>
          <cell r="AG14">
            <v>1356</v>
          </cell>
          <cell r="AH14">
            <v>1418</v>
          </cell>
          <cell r="AI14">
            <v>1373</v>
          </cell>
          <cell r="AJ14">
            <v>1513</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row>
        <row r="15">
          <cell r="A15" t="str">
            <v xml:space="preserve">  Accounts receivable</v>
          </cell>
          <cell r="H15">
            <v>0</v>
          </cell>
          <cell r="I15">
            <v>337211</v>
          </cell>
          <cell r="J15">
            <v>327100</v>
          </cell>
          <cell r="K15">
            <v>316600</v>
          </cell>
          <cell r="L15">
            <v>291700</v>
          </cell>
          <cell r="M15">
            <v>373900</v>
          </cell>
          <cell r="N15">
            <v>781500</v>
          </cell>
          <cell r="O15">
            <v>614100</v>
          </cell>
          <cell r="P15">
            <v>635300</v>
          </cell>
          <cell r="Q15">
            <v>635500</v>
          </cell>
          <cell r="R15">
            <v>643900</v>
          </cell>
          <cell r="S15">
            <v>618600</v>
          </cell>
          <cell r="T15">
            <v>632387.49914704706</v>
          </cell>
          <cell r="U15">
            <v>705884.64168562531</v>
          </cell>
          <cell r="V15">
            <v>684643.39845883648</v>
          </cell>
          <cell r="W15">
            <v>665711.93792911235</v>
          </cell>
          <cell r="X15">
            <v>648542.26808590651</v>
          </cell>
          <cell r="Y15">
            <v>632994.80324947019</v>
          </cell>
          <cell r="AK15">
            <v>420407</v>
          </cell>
          <cell r="AL15">
            <v>337211</v>
          </cell>
          <cell r="AM15">
            <v>312800</v>
          </cell>
          <cell r="AN15">
            <v>311100</v>
          </cell>
          <cell r="AO15">
            <v>350800</v>
          </cell>
          <cell r="AP15">
            <v>327100</v>
          </cell>
          <cell r="AQ15">
            <v>329400</v>
          </cell>
          <cell r="AR15">
            <v>322200</v>
          </cell>
          <cell r="AS15">
            <v>329100</v>
          </cell>
          <cell r="AT15">
            <v>316600</v>
          </cell>
          <cell r="AU15">
            <v>287900</v>
          </cell>
          <cell r="AV15">
            <v>296200</v>
          </cell>
          <cell r="AW15">
            <v>294700</v>
          </cell>
          <cell r="AX15">
            <v>291700</v>
          </cell>
          <cell r="AY15">
            <v>321000</v>
          </cell>
          <cell r="AZ15">
            <v>343000</v>
          </cell>
          <cell r="BA15">
            <v>348500</v>
          </cell>
          <cell r="BB15">
            <v>373900</v>
          </cell>
          <cell r="BC15">
            <v>370500</v>
          </cell>
          <cell r="BD15">
            <v>371700</v>
          </cell>
          <cell r="BE15">
            <v>386200</v>
          </cell>
          <cell r="BF15">
            <v>781500</v>
          </cell>
          <cell r="BG15">
            <v>606900</v>
          </cell>
          <cell r="BH15">
            <v>597800</v>
          </cell>
          <cell r="BI15">
            <v>634800</v>
          </cell>
          <cell r="BJ15">
            <v>614100</v>
          </cell>
          <cell r="BK15">
            <v>594100</v>
          </cell>
          <cell r="BL15">
            <v>613500</v>
          </cell>
          <cell r="BM15">
            <v>634800</v>
          </cell>
          <cell r="BN15">
            <v>635300</v>
          </cell>
          <cell r="BO15">
            <v>632700</v>
          </cell>
          <cell r="BP15">
            <v>630900</v>
          </cell>
          <cell r="BQ15">
            <v>617300</v>
          </cell>
          <cell r="BR15">
            <v>635500</v>
          </cell>
          <cell r="BS15">
            <v>658500</v>
          </cell>
          <cell r="BT15">
            <v>665700</v>
          </cell>
          <cell r="BU15">
            <v>657300</v>
          </cell>
          <cell r="BV15">
            <v>643900</v>
          </cell>
          <cell r="BW15">
            <v>636100</v>
          </cell>
          <cell r="BX15">
            <v>628500</v>
          </cell>
          <cell r="BY15">
            <v>649700</v>
          </cell>
          <cell r="BZ15">
            <v>618600</v>
          </cell>
          <cell r="CA15">
            <v>654800</v>
          </cell>
          <cell r="CB15">
            <v>646468.26582686789</v>
          </cell>
          <cell r="CC15">
            <v>638994.78381830885</v>
          </cell>
          <cell r="CD15">
            <v>632387.49914704706</v>
          </cell>
        </row>
        <row r="16">
          <cell r="A16" t="str">
            <v>Inventories</v>
          </cell>
          <cell r="F16">
            <v>0</v>
          </cell>
          <cell r="G16">
            <v>0</v>
          </cell>
          <cell r="H16">
            <v>0</v>
          </cell>
          <cell r="I16">
            <v>43485</v>
          </cell>
          <cell r="J16">
            <v>30100</v>
          </cell>
          <cell r="K16">
            <v>30800</v>
          </cell>
          <cell r="L16">
            <v>26100</v>
          </cell>
          <cell r="M16">
            <v>52500</v>
          </cell>
          <cell r="N16">
            <v>76500</v>
          </cell>
          <cell r="O16">
            <v>75000</v>
          </cell>
          <cell r="P16">
            <v>67700</v>
          </cell>
          <cell r="Q16">
            <v>63700</v>
          </cell>
          <cell r="R16">
            <v>79500</v>
          </cell>
          <cell r="S16">
            <v>77500</v>
          </cell>
          <cell r="T16">
            <v>86166.281771598035</v>
          </cell>
          <cell r="U16">
            <v>83997.741726470267</v>
          </cell>
          <cell r="V16">
            <v>82029.218531055827</v>
          </cell>
          <cell r="W16">
            <v>80304.630741919027</v>
          </cell>
          <cell r="X16">
            <v>78763.085531529825</v>
          </cell>
          <cell r="Y16">
            <v>77391.832995414399</v>
          </cell>
          <cell r="AD16">
            <v>0</v>
          </cell>
          <cell r="AE16">
            <v>0</v>
          </cell>
          <cell r="AF16">
            <v>0</v>
          </cell>
          <cell r="AG16">
            <v>0</v>
          </cell>
          <cell r="AH16">
            <v>0</v>
          </cell>
          <cell r="AI16">
            <v>0</v>
          </cell>
          <cell r="AJ16">
            <v>0</v>
          </cell>
          <cell r="AK16">
            <v>40088</v>
          </cell>
          <cell r="AL16">
            <v>43485</v>
          </cell>
          <cell r="AM16">
            <v>37000</v>
          </cell>
          <cell r="AN16">
            <v>44300</v>
          </cell>
          <cell r="AO16">
            <v>34800</v>
          </cell>
          <cell r="AP16">
            <v>30100</v>
          </cell>
          <cell r="AQ16">
            <v>30800</v>
          </cell>
          <cell r="AR16">
            <v>29600</v>
          </cell>
          <cell r="AS16">
            <v>31000</v>
          </cell>
          <cell r="AT16">
            <v>30800</v>
          </cell>
          <cell r="AU16">
            <v>24100</v>
          </cell>
          <cell r="AV16">
            <v>31000</v>
          </cell>
          <cell r="AW16">
            <v>23500</v>
          </cell>
          <cell r="AX16">
            <v>26100</v>
          </cell>
          <cell r="AY16">
            <v>31900</v>
          </cell>
          <cell r="AZ16">
            <v>35100</v>
          </cell>
          <cell r="BA16">
            <v>33600</v>
          </cell>
          <cell r="BB16">
            <v>52500</v>
          </cell>
          <cell r="BC16">
            <v>45400</v>
          </cell>
          <cell r="BD16">
            <v>56400</v>
          </cell>
          <cell r="BE16">
            <v>60800</v>
          </cell>
          <cell r="BF16">
            <v>76500</v>
          </cell>
          <cell r="BG16">
            <v>68200</v>
          </cell>
          <cell r="BH16">
            <v>70700</v>
          </cell>
          <cell r="BI16">
            <v>74400</v>
          </cell>
          <cell r="BJ16">
            <v>75000</v>
          </cell>
          <cell r="BK16">
            <v>71400</v>
          </cell>
          <cell r="BL16">
            <v>69900</v>
          </cell>
          <cell r="BM16">
            <v>68500</v>
          </cell>
          <cell r="BN16">
            <v>67700</v>
          </cell>
          <cell r="BO16">
            <v>70400</v>
          </cell>
          <cell r="BP16">
            <v>64500</v>
          </cell>
          <cell r="BQ16">
            <v>68100</v>
          </cell>
          <cell r="BR16">
            <v>63700</v>
          </cell>
          <cell r="BS16">
            <v>63000</v>
          </cell>
          <cell r="BT16">
            <v>73100</v>
          </cell>
          <cell r="BU16">
            <v>81000</v>
          </cell>
          <cell r="BV16">
            <v>79500</v>
          </cell>
          <cell r="BW16">
            <v>79400</v>
          </cell>
          <cell r="BX16">
            <v>70700</v>
          </cell>
          <cell r="BY16">
            <v>80300</v>
          </cell>
          <cell r="BZ16">
            <v>77500</v>
          </cell>
          <cell r="CA16">
            <v>87000</v>
          </cell>
          <cell r="CB16">
            <v>87247.525551924584</v>
          </cell>
          <cell r="CC16">
            <v>86714.554537436677</v>
          </cell>
          <cell r="CD16">
            <v>86166.281771598035</v>
          </cell>
        </row>
        <row r="17">
          <cell r="A17" t="str">
            <v>Deferred income taxes</v>
          </cell>
          <cell r="J17">
            <v>32000</v>
          </cell>
          <cell r="K17">
            <v>30800</v>
          </cell>
          <cell r="L17">
            <v>21700</v>
          </cell>
          <cell r="M17">
            <v>44800</v>
          </cell>
          <cell r="N17">
            <v>232100</v>
          </cell>
          <cell r="O17">
            <v>249500</v>
          </cell>
          <cell r="P17">
            <v>241500</v>
          </cell>
          <cell r="Q17">
            <v>0</v>
          </cell>
          <cell r="R17">
            <v>0</v>
          </cell>
          <cell r="S17">
            <v>0</v>
          </cell>
          <cell r="T17">
            <v>0</v>
          </cell>
          <cell r="U17">
            <v>0</v>
          </cell>
          <cell r="V17">
            <v>0</v>
          </cell>
          <cell r="W17">
            <v>0</v>
          </cell>
          <cell r="X17">
            <v>0</v>
          </cell>
          <cell r="Y17">
            <v>0</v>
          </cell>
          <cell r="AP17">
            <v>32000</v>
          </cell>
          <cell r="AQ17">
            <v>32000</v>
          </cell>
          <cell r="AR17">
            <v>28500</v>
          </cell>
          <cell r="AS17">
            <v>22400</v>
          </cell>
          <cell r="AT17">
            <v>30800</v>
          </cell>
          <cell r="AU17">
            <v>22200</v>
          </cell>
          <cell r="AV17">
            <v>19000</v>
          </cell>
          <cell r="AW17">
            <v>16500</v>
          </cell>
          <cell r="AX17">
            <v>21700</v>
          </cell>
          <cell r="AY17">
            <v>27300</v>
          </cell>
          <cell r="AZ17">
            <v>29500</v>
          </cell>
          <cell r="BA17">
            <v>21300</v>
          </cell>
          <cell r="BB17">
            <v>44800</v>
          </cell>
          <cell r="BC17">
            <v>40600</v>
          </cell>
          <cell r="BD17">
            <v>33600</v>
          </cell>
          <cell r="BE17">
            <v>92600</v>
          </cell>
          <cell r="BF17">
            <v>232100</v>
          </cell>
          <cell r="BG17">
            <v>183500</v>
          </cell>
          <cell r="BH17">
            <v>168000</v>
          </cell>
          <cell r="BI17">
            <v>126000</v>
          </cell>
          <cell r="BJ17">
            <v>249500</v>
          </cell>
          <cell r="BK17">
            <v>145000</v>
          </cell>
          <cell r="BL17">
            <v>124900</v>
          </cell>
          <cell r="BM17">
            <v>96200</v>
          </cell>
          <cell r="BN17">
            <v>241500</v>
          </cell>
          <cell r="BO17">
            <v>167500</v>
          </cell>
          <cell r="BP17">
            <v>98700</v>
          </cell>
          <cell r="BQ17">
            <v>69500</v>
          </cell>
          <cell r="BR17">
            <v>0</v>
          </cell>
          <cell r="BS17">
            <v>91700</v>
          </cell>
          <cell r="BT17">
            <v>166300</v>
          </cell>
          <cell r="BU17">
            <v>128800</v>
          </cell>
          <cell r="BV17">
            <v>0</v>
          </cell>
          <cell r="BW17">
            <v>0</v>
          </cell>
          <cell r="BX17">
            <v>0</v>
          </cell>
          <cell r="BY17">
            <v>0</v>
          </cell>
          <cell r="BZ17">
            <v>0</v>
          </cell>
          <cell r="CA17">
            <v>0</v>
          </cell>
          <cell r="CB17">
            <v>0</v>
          </cell>
          <cell r="CC17">
            <v>0</v>
          </cell>
          <cell r="CD17">
            <v>0</v>
          </cell>
        </row>
        <row r="18">
          <cell r="A18" t="str">
            <v>Acquired assets held for sale</v>
          </cell>
          <cell r="I18">
            <v>80005</v>
          </cell>
          <cell r="J18">
            <v>26600</v>
          </cell>
          <cell r="K18">
            <v>0</v>
          </cell>
          <cell r="L18">
            <v>0</v>
          </cell>
          <cell r="M18">
            <v>50600</v>
          </cell>
          <cell r="N18">
            <v>61400</v>
          </cell>
          <cell r="O18">
            <v>0</v>
          </cell>
          <cell r="R18">
            <v>0</v>
          </cell>
          <cell r="S18">
            <v>0</v>
          </cell>
          <cell r="T18">
            <v>0</v>
          </cell>
          <cell r="U18">
            <v>0</v>
          </cell>
          <cell r="V18">
            <v>0</v>
          </cell>
          <cell r="W18">
            <v>0</v>
          </cell>
          <cell r="X18">
            <v>0</v>
          </cell>
          <cell r="Y18">
            <v>0</v>
          </cell>
          <cell r="AL18">
            <v>80005</v>
          </cell>
          <cell r="AM18">
            <v>66400</v>
          </cell>
          <cell r="AN18">
            <v>75500</v>
          </cell>
          <cell r="AO18">
            <v>98500</v>
          </cell>
          <cell r="AP18">
            <v>26600</v>
          </cell>
          <cell r="AQ18">
            <v>10000</v>
          </cell>
          <cell r="AR18">
            <v>20600</v>
          </cell>
          <cell r="AS18">
            <v>10500</v>
          </cell>
          <cell r="AU18">
            <v>0</v>
          </cell>
          <cell r="AV18">
            <v>0</v>
          </cell>
          <cell r="AW18">
            <v>0</v>
          </cell>
          <cell r="AX18">
            <v>0</v>
          </cell>
          <cell r="AY18">
            <v>0</v>
          </cell>
          <cell r="AZ18">
            <v>0</v>
          </cell>
          <cell r="BA18">
            <v>40000</v>
          </cell>
          <cell r="BB18">
            <v>50600</v>
          </cell>
          <cell r="BC18">
            <v>50600</v>
          </cell>
          <cell r="BD18">
            <v>51200</v>
          </cell>
          <cell r="BE18">
            <v>50600</v>
          </cell>
          <cell r="BF18">
            <v>61400</v>
          </cell>
          <cell r="BG18">
            <v>6500</v>
          </cell>
          <cell r="BH18">
            <v>0</v>
          </cell>
          <cell r="BI18">
            <v>0</v>
          </cell>
          <cell r="BJ18">
            <v>0</v>
          </cell>
        </row>
        <row r="19">
          <cell r="A19" t="str">
            <v>Prepaid expenses and other</v>
          </cell>
          <cell r="F19">
            <v>9052</v>
          </cell>
          <cell r="G19">
            <v>8821</v>
          </cell>
          <cell r="H19">
            <v>10306</v>
          </cell>
          <cell r="I19">
            <v>29189</v>
          </cell>
          <cell r="J19">
            <v>40500</v>
          </cell>
          <cell r="K19">
            <v>33900</v>
          </cell>
          <cell r="L19">
            <v>53600</v>
          </cell>
          <cell r="M19">
            <v>123600</v>
          </cell>
          <cell r="N19">
            <v>139900</v>
          </cell>
          <cell r="O19">
            <v>229500</v>
          </cell>
          <cell r="P19">
            <v>192100</v>
          </cell>
          <cell r="Q19">
            <v>171300</v>
          </cell>
          <cell r="R19">
            <v>120600</v>
          </cell>
          <cell r="S19">
            <v>111700</v>
          </cell>
          <cell r="T19">
            <v>211500</v>
          </cell>
          <cell r="U19">
            <v>267100</v>
          </cell>
          <cell r="V19">
            <v>322700</v>
          </cell>
          <cell r="W19">
            <v>378300</v>
          </cell>
          <cell r="X19">
            <v>433900</v>
          </cell>
          <cell r="Y19">
            <v>489500</v>
          </cell>
          <cell r="AD19">
            <v>8821</v>
          </cell>
          <cell r="AE19">
            <v>7828</v>
          </cell>
          <cell r="AF19">
            <v>7378</v>
          </cell>
          <cell r="AG19">
            <v>7701</v>
          </cell>
          <cell r="AH19">
            <v>10306</v>
          </cell>
          <cell r="AI19">
            <v>11061</v>
          </cell>
          <cell r="AJ19">
            <v>9394</v>
          </cell>
          <cell r="AK19">
            <v>34811</v>
          </cell>
          <cell r="AL19">
            <v>29189</v>
          </cell>
          <cell r="AM19">
            <v>35400</v>
          </cell>
          <cell r="AN19">
            <v>34300</v>
          </cell>
          <cell r="AO19">
            <v>45700</v>
          </cell>
          <cell r="AP19">
            <v>40500</v>
          </cell>
          <cell r="AQ19">
            <v>43000</v>
          </cell>
          <cell r="AR19">
            <v>39200</v>
          </cell>
          <cell r="AS19">
            <v>55000</v>
          </cell>
          <cell r="AT19">
            <v>33900</v>
          </cell>
          <cell r="AU19">
            <v>40800</v>
          </cell>
          <cell r="AV19">
            <v>37100</v>
          </cell>
          <cell r="AW19">
            <v>53900</v>
          </cell>
          <cell r="AX19">
            <v>53600</v>
          </cell>
          <cell r="AY19">
            <v>56100</v>
          </cell>
          <cell r="AZ19">
            <v>117000</v>
          </cell>
          <cell r="BA19">
            <v>108200</v>
          </cell>
          <cell r="BB19">
            <v>123600</v>
          </cell>
          <cell r="BC19">
            <v>158300</v>
          </cell>
          <cell r="BD19">
            <v>148200</v>
          </cell>
          <cell r="BE19">
            <v>198900</v>
          </cell>
          <cell r="BF19">
            <v>139900</v>
          </cell>
          <cell r="BG19">
            <v>203500</v>
          </cell>
          <cell r="BH19">
            <v>237900</v>
          </cell>
          <cell r="BI19">
            <v>263500</v>
          </cell>
          <cell r="BJ19">
            <v>229500</v>
          </cell>
          <cell r="BK19">
            <v>249700</v>
          </cell>
          <cell r="BL19">
            <v>227200</v>
          </cell>
          <cell r="BM19">
            <v>211700</v>
          </cell>
          <cell r="BN19">
            <v>192100</v>
          </cell>
          <cell r="BO19">
            <v>202800</v>
          </cell>
          <cell r="BP19">
            <v>182100</v>
          </cell>
          <cell r="BQ19">
            <v>169500</v>
          </cell>
          <cell r="BR19">
            <v>171300</v>
          </cell>
          <cell r="BS19">
            <v>178700</v>
          </cell>
          <cell r="BT19">
            <v>162100</v>
          </cell>
          <cell r="BU19">
            <v>158700</v>
          </cell>
          <cell r="BV19">
            <v>120600</v>
          </cell>
          <cell r="BW19">
            <v>149900</v>
          </cell>
          <cell r="BX19">
            <v>130900</v>
          </cell>
          <cell r="BY19">
            <v>129600</v>
          </cell>
          <cell r="BZ19">
            <v>111700</v>
          </cell>
          <cell r="CA19">
            <v>169800</v>
          </cell>
          <cell r="CB19">
            <v>183700</v>
          </cell>
          <cell r="CC19">
            <v>197600</v>
          </cell>
          <cell r="CD19">
            <v>211500</v>
          </cell>
        </row>
        <row r="20">
          <cell r="A20" t="str">
            <v>Total current assets</v>
          </cell>
          <cell r="F20">
            <v>73161</v>
          </cell>
          <cell r="G20">
            <v>90012</v>
          </cell>
          <cell r="H20">
            <v>135875</v>
          </cell>
          <cell r="I20">
            <v>876742</v>
          </cell>
          <cell r="J20">
            <v>528300</v>
          </cell>
          <cell r="K20">
            <v>708700</v>
          </cell>
          <cell r="L20">
            <v>1456000</v>
          </cell>
          <cell r="M20">
            <v>687700</v>
          </cell>
          <cell r="N20">
            <v>1518400</v>
          </cell>
          <cell r="O20">
            <v>1300100</v>
          </cell>
          <cell r="P20">
            <v>1184800</v>
          </cell>
          <cell r="Q20">
            <v>898300</v>
          </cell>
          <cell r="R20">
            <v>875300</v>
          </cell>
          <cell r="S20">
            <v>866900</v>
          </cell>
          <cell r="T20">
            <v>973821.46423576551</v>
          </cell>
          <cell r="U20">
            <v>1115668.5185363861</v>
          </cell>
          <cell r="V20">
            <v>1157642.9501578517</v>
          </cell>
          <cell r="W20">
            <v>1197247.6411445215</v>
          </cell>
          <cell r="X20">
            <v>1263984.9061553979</v>
          </cell>
          <cell r="Y20">
            <v>1282709.5678682434</v>
          </cell>
          <cell r="AD20">
            <v>90012</v>
          </cell>
          <cell r="AE20">
            <v>107361</v>
          </cell>
          <cell r="AF20">
            <v>127661</v>
          </cell>
          <cell r="AG20">
            <v>115281</v>
          </cell>
          <cell r="AH20">
            <v>135875</v>
          </cell>
          <cell r="AI20">
            <v>136778</v>
          </cell>
          <cell r="AJ20">
            <v>156139</v>
          </cell>
          <cell r="AK20">
            <v>868282</v>
          </cell>
          <cell r="AL20">
            <v>876742</v>
          </cell>
          <cell r="AM20">
            <v>849200</v>
          </cell>
          <cell r="AN20">
            <v>949000</v>
          </cell>
          <cell r="AO20">
            <v>597700</v>
          </cell>
          <cell r="AP20">
            <v>528300</v>
          </cell>
          <cell r="AQ20">
            <v>498700</v>
          </cell>
          <cell r="AR20">
            <v>499700</v>
          </cell>
          <cell r="AS20">
            <v>559600</v>
          </cell>
          <cell r="AT20">
            <v>708700</v>
          </cell>
          <cell r="AU20">
            <v>687200</v>
          </cell>
          <cell r="AV20">
            <v>628700</v>
          </cell>
          <cell r="AW20">
            <v>678600</v>
          </cell>
          <cell r="AX20">
            <v>1456000</v>
          </cell>
          <cell r="AY20">
            <v>1016400</v>
          </cell>
          <cell r="AZ20">
            <v>578100</v>
          </cell>
          <cell r="BA20">
            <v>706800</v>
          </cell>
          <cell r="BB20">
            <v>687700</v>
          </cell>
          <cell r="BC20">
            <v>701200</v>
          </cell>
          <cell r="BD20">
            <v>713200</v>
          </cell>
          <cell r="BE20">
            <v>823400</v>
          </cell>
          <cell r="BF20">
            <v>1518400</v>
          </cell>
          <cell r="BG20">
            <v>1132800</v>
          </cell>
          <cell r="BH20">
            <v>1111900</v>
          </cell>
          <cell r="BI20">
            <v>1213500</v>
          </cell>
          <cell r="BJ20">
            <v>1300100</v>
          </cell>
          <cell r="BK20">
            <v>1114600</v>
          </cell>
          <cell r="BL20">
            <v>1113800</v>
          </cell>
          <cell r="BM20">
            <v>1084600</v>
          </cell>
          <cell r="BN20">
            <v>1184800</v>
          </cell>
          <cell r="BO20">
            <v>1143400</v>
          </cell>
          <cell r="BP20">
            <v>1031000</v>
          </cell>
          <cell r="BQ20">
            <v>1028100</v>
          </cell>
          <cell r="BR20">
            <v>898300</v>
          </cell>
          <cell r="BS20">
            <v>1065900</v>
          </cell>
          <cell r="BT20">
            <v>1114200</v>
          </cell>
          <cell r="BU20">
            <v>1123000</v>
          </cell>
          <cell r="BV20">
            <v>875300</v>
          </cell>
          <cell r="BW20">
            <v>940000</v>
          </cell>
          <cell r="BX20">
            <v>871700</v>
          </cell>
          <cell r="BY20">
            <v>921000</v>
          </cell>
          <cell r="BZ20">
            <v>866900</v>
          </cell>
          <cell r="CA20">
            <v>963100</v>
          </cell>
          <cell r="CB20">
            <v>964965.37603428098</v>
          </cell>
          <cell r="CC20">
            <v>1005764.8633554106</v>
          </cell>
          <cell r="CD20">
            <v>973821.46423576551</v>
          </cell>
        </row>
        <row r="21">
          <cell r="A21" t="str">
            <v/>
          </cell>
        </row>
        <row r="22">
          <cell r="A22" t="str">
            <v>Gross PP&amp;E</v>
          </cell>
          <cell r="F22">
            <v>990188</v>
          </cell>
          <cell r="G22">
            <v>1048527</v>
          </cell>
          <cell r="H22">
            <v>1089937</v>
          </cell>
          <cell r="I22">
            <v>8724326</v>
          </cell>
          <cell r="J22">
            <v>9220700</v>
          </cell>
          <cell r="K22">
            <v>9470900</v>
          </cell>
          <cell r="L22">
            <v>9985700</v>
          </cell>
          <cell r="M22">
            <v>11254500</v>
          </cell>
          <cell r="N22">
            <v>12764600</v>
          </cell>
          <cell r="O22">
            <v>13827900</v>
          </cell>
          <cell r="P22">
            <v>14627400</v>
          </cell>
          <cell r="Q22">
            <v>15723500</v>
          </cell>
          <cell r="R22">
            <v>16957500</v>
          </cell>
          <cell r="S22">
            <v>18224700</v>
          </cell>
          <cell r="T22">
            <v>19454490.931956653</v>
          </cell>
          <cell r="U22">
            <v>20676377.708129663</v>
          </cell>
          <cell r="V22">
            <v>21899893.679648407</v>
          </cell>
          <cell r="W22">
            <v>23127719.21130991</v>
          </cell>
          <cell r="X22">
            <v>24346045.149949551</v>
          </cell>
          <cell r="Y22">
            <v>25557291.069525626</v>
          </cell>
          <cell r="AD22">
            <v>1048527</v>
          </cell>
          <cell r="AE22">
            <v>1065730</v>
          </cell>
          <cell r="AF22">
            <v>1079230</v>
          </cell>
          <cell r="AG22">
            <v>1093750</v>
          </cell>
          <cell r="AH22">
            <v>1089937</v>
          </cell>
          <cell r="AI22">
            <v>1101800</v>
          </cell>
          <cell r="AJ22">
            <v>1113731</v>
          </cell>
          <cell r="AK22">
            <v>8590033</v>
          </cell>
          <cell r="AL22">
            <v>8724326</v>
          </cell>
          <cell r="AM22">
            <v>8808600</v>
          </cell>
          <cell r="AN22">
            <v>8934500</v>
          </cell>
          <cell r="AO22">
            <v>9264400</v>
          </cell>
          <cell r="AP22">
            <v>9220700</v>
          </cell>
          <cell r="AQ22">
            <v>9324200</v>
          </cell>
          <cell r="AR22">
            <v>9431100</v>
          </cell>
          <cell r="AS22">
            <v>9562800</v>
          </cell>
          <cell r="AT22">
            <v>9470900</v>
          </cell>
          <cell r="AU22">
            <v>9621300</v>
          </cell>
          <cell r="AV22">
            <v>9798100</v>
          </cell>
          <cell r="AW22">
            <v>9962700</v>
          </cell>
          <cell r="AX22">
            <v>9985700</v>
          </cell>
          <cell r="AY22">
            <v>10471200</v>
          </cell>
          <cell r="AZ22">
            <v>11074800</v>
          </cell>
          <cell r="BA22">
            <v>11340400</v>
          </cell>
          <cell r="BB22">
            <v>11254500</v>
          </cell>
          <cell r="BC22">
            <v>11552100</v>
          </cell>
          <cell r="BD22">
            <v>11854000</v>
          </cell>
          <cell r="BE22">
            <v>12159900</v>
          </cell>
          <cell r="BF22">
            <v>12764600</v>
          </cell>
          <cell r="BG22">
            <v>13085700</v>
          </cell>
          <cell r="BH22">
            <v>13447000</v>
          </cell>
          <cell r="BI22">
            <v>13838500</v>
          </cell>
          <cell r="BJ22">
            <v>13827900</v>
          </cell>
          <cell r="BK22">
            <v>14152700</v>
          </cell>
          <cell r="BL22">
            <v>14462100</v>
          </cell>
          <cell r="BM22">
            <v>14745900</v>
          </cell>
          <cell r="BN22">
            <v>14627400</v>
          </cell>
          <cell r="BO22">
            <v>14873800</v>
          </cell>
          <cell r="BP22">
            <v>15148400</v>
          </cell>
          <cell r="BQ22">
            <v>15412500</v>
          </cell>
          <cell r="BR22">
            <v>15723500</v>
          </cell>
          <cell r="BS22">
            <v>15966900</v>
          </cell>
          <cell r="BT22">
            <v>16285400</v>
          </cell>
          <cell r="BU22">
            <v>16673900</v>
          </cell>
          <cell r="BV22">
            <v>16957500</v>
          </cell>
          <cell r="BW22">
            <v>17238200</v>
          </cell>
          <cell r="BX22">
            <v>17530000</v>
          </cell>
          <cell r="BY22">
            <v>17850500</v>
          </cell>
          <cell r="BZ22">
            <v>18224700</v>
          </cell>
          <cell r="CA22">
            <v>18855300</v>
          </cell>
          <cell r="CB22">
            <v>19057249.261929471</v>
          </cell>
          <cell r="CC22">
            <v>19264257.02842582</v>
          </cell>
          <cell r="CD22">
            <v>19454490.931956653</v>
          </cell>
        </row>
        <row r="23">
          <cell r="A23" t="str">
            <v>Accum. depreciation</v>
          </cell>
          <cell r="F23">
            <v>220618</v>
          </cell>
          <cell r="G23">
            <v>298543</v>
          </cell>
          <cell r="H23">
            <v>372408</v>
          </cell>
          <cell r="I23">
            <v>4784585</v>
          </cell>
          <cell r="J23">
            <v>5178400</v>
          </cell>
          <cell r="K23">
            <v>5573800</v>
          </cell>
          <cell r="L23">
            <v>5993100</v>
          </cell>
          <cell r="M23">
            <v>6481800</v>
          </cell>
          <cell r="N23">
            <v>7055400</v>
          </cell>
          <cell r="O23">
            <v>7965200</v>
          </cell>
          <cell r="P23">
            <v>8924800</v>
          </cell>
          <cell r="Q23">
            <v>10311200</v>
          </cell>
          <cell r="R23">
            <v>11677700</v>
          </cell>
          <cell r="S23">
            <v>12941200</v>
          </cell>
          <cell r="T23">
            <v>14306596.671243159</v>
          </cell>
          <cell r="U23">
            <v>15974014.321033513</v>
          </cell>
          <cell r="V23">
            <v>17595976.604988195</v>
          </cell>
          <cell r="W23">
            <v>19186949.693659399</v>
          </cell>
          <cell r="X23">
            <v>20757267.89819137</v>
          </cell>
          <cell r="Y23">
            <v>22408688.065738373</v>
          </cell>
          <cell r="AD23">
            <v>298543</v>
          </cell>
          <cell r="AE23">
            <v>320574</v>
          </cell>
          <cell r="AF23">
            <v>344084</v>
          </cell>
          <cell r="AG23">
            <v>366435</v>
          </cell>
          <cell r="AH23">
            <v>372408</v>
          </cell>
          <cell r="AI23">
            <v>394222</v>
          </cell>
          <cell r="AJ23">
            <v>415559</v>
          </cell>
          <cell r="AK23">
            <v>4699665</v>
          </cell>
          <cell r="AL23">
            <v>4784585</v>
          </cell>
          <cell r="AM23">
            <v>4891300</v>
          </cell>
          <cell r="AN23">
            <v>5040800</v>
          </cell>
          <cell r="AO23">
            <v>5190500</v>
          </cell>
          <cell r="AP23">
            <v>5178400</v>
          </cell>
          <cell r="AQ23">
            <v>5337700</v>
          </cell>
          <cell r="AR23">
            <v>5495900</v>
          </cell>
          <cell r="AS23">
            <v>5651400</v>
          </cell>
          <cell r="AT23">
            <v>5573800</v>
          </cell>
          <cell r="AU23">
            <v>5786000</v>
          </cell>
          <cell r="AV23">
            <v>5999300</v>
          </cell>
          <cell r="AW23">
            <v>6210900</v>
          </cell>
          <cell r="AX23">
            <v>5993100</v>
          </cell>
          <cell r="AY23">
            <v>6304000</v>
          </cell>
          <cell r="AZ23">
            <v>6606400</v>
          </cell>
          <cell r="BA23">
            <v>6901700</v>
          </cell>
          <cell r="BB23">
            <v>6481800</v>
          </cell>
          <cell r="BC23">
            <v>6769300</v>
          </cell>
          <cell r="BD23">
            <v>7049800</v>
          </cell>
          <cell r="BE23">
            <v>7334300</v>
          </cell>
          <cell r="BF23">
            <v>7055400</v>
          </cell>
          <cell r="BG23">
            <v>7367500</v>
          </cell>
          <cell r="BH23">
            <v>7687500</v>
          </cell>
          <cell r="BI23">
            <v>8013600</v>
          </cell>
          <cell r="BJ23">
            <v>7965200</v>
          </cell>
          <cell r="BK23">
            <v>8294500</v>
          </cell>
          <cell r="BL23">
            <v>8626700</v>
          </cell>
          <cell r="BM23">
            <v>8964900</v>
          </cell>
          <cell r="BN23">
            <v>8924800</v>
          </cell>
          <cell r="BO23">
            <v>9263700</v>
          </cell>
          <cell r="BP23">
            <v>9607700</v>
          </cell>
          <cell r="BQ23">
            <v>9956200</v>
          </cell>
          <cell r="BR23">
            <v>10311200</v>
          </cell>
          <cell r="BS23">
            <v>10651900</v>
          </cell>
          <cell r="BT23">
            <v>10993700</v>
          </cell>
          <cell r="BU23">
            <v>11344200</v>
          </cell>
          <cell r="BV23">
            <v>11677700</v>
          </cell>
          <cell r="BW23">
            <v>11982500</v>
          </cell>
          <cell r="BX23">
            <v>12290700</v>
          </cell>
          <cell r="BY23">
            <v>12611700</v>
          </cell>
          <cell r="BZ23">
            <v>12941200</v>
          </cell>
          <cell r="CA23">
            <v>13279700</v>
          </cell>
          <cell r="CB23">
            <v>13622049.929445053</v>
          </cell>
          <cell r="CC23">
            <v>13964383.217367835</v>
          </cell>
          <cell r="CD23">
            <v>14306596.671243159</v>
          </cell>
        </row>
        <row r="24">
          <cell r="A24" t="str">
            <v>Net, PPE</v>
          </cell>
          <cell r="F24">
            <v>769570</v>
          </cell>
          <cell r="G24">
            <v>749984</v>
          </cell>
          <cell r="H24">
            <v>717529</v>
          </cell>
          <cell r="I24">
            <v>3939741</v>
          </cell>
          <cell r="J24">
            <v>4042300</v>
          </cell>
          <cell r="K24">
            <v>3897100</v>
          </cell>
          <cell r="L24">
            <v>3992600</v>
          </cell>
          <cell r="M24">
            <v>4772700</v>
          </cell>
          <cell r="N24">
            <v>5709200</v>
          </cell>
          <cell r="O24">
            <v>5862700</v>
          </cell>
          <cell r="P24">
            <v>5702600</v>
          </cell>
          <cell r="Q24">
            <v>5412300</v>
          </cell>
          <cell r="R24">
            <v>5279800</v>
          </cell>
          <cell r="S24">
            <v>5283500</v>
          </cell>
          <cell r="T24">
            <v>5147894.2607134935</v>
          </cell>
          <cell r="U24">
            <v>4702363.3870961498</v>
          </cell>
          <cell r="V24">
            <v>4303917.0746602118</v>
          </cell>
          <cell r="W24">
            <v>3940769.5176505111</v>
          </cell>
          <cell r="X24">
            <v>3588777.2517581806</v>
          </cell>
          <cell r="Y24">
            <v>3148603.0037872531</v>
          </cell>
          <cell r="AD24">
            <v>749984</v>
          </cell>
          <cell r="AE24">
            <v>745156</v>
          </cell>
          <cell r="AF24">
            <v>735146</v>
          </cell>
          <cell r="AG24">
            <v>727315</v>
          </cell>
          <cell r="AH24">
            <v>717529</v>
          </cell>
          <cell r="AI24">
            <v>707578</v>
          </cell>
          <cell r="AJ24">
            <v>698172</v>
          </cell>
          <cell r="AK24">
            <v>3890368</v>
          </cell>
          <cell r="AL24">
            <v>3939741</v>
          </cell>
          <cell r="AM24">
            <v>3917300</v>
          </cell>
          <cell r="AN24">
            <v>3893700</v>
          </cell>
          <cell r="AO24">
            <v>4073900</v>
          </cell>
          <cell r="AP24">
            <v>4042300</v>
          </cell>
          <cell r="AQ24">
            <v>3986500</v>
          </cell>
          <cell r="AR24">
            <v>3935200</v>
          </cell>
          <cell r="AS24">
            <v>3911400</v>
          </cell>
          <cell r="AT24">
            <v>3897100</v>
          </cell>
          <cell r="AU24">
            <v>3835300</v>
          </cell>
          <cell r="AV24">
            <v>3798800</v>
          </cell>
          <cell r="AW24">
            <v>3751800</v>
          </cell>
          <cell r="AX24">
            <v>3992600</v>
          </cell>
          <cell r="AY24">
            <v>4167200</v>
          </cell>
          <cell r="AZ24">
            <v>4468400</v>
          </cell>
          <cell r="BA24">
            <v>4438700</v>
          </cell>
          <cell r="BB24">
            <v>4772700</v>
          </cell>
          <cell r="BC24">
            <v>4782800</v>
          </cell>
          <cell r="BD24">
            <v>4804200</v>
          </cell>
          <cell r="BE24">
            <v>4825600</v>
          </cell>
          <cell r="BF24">
            <v>5709200</v>
          </cell>
          <cell r="BG24">
            <v>5718200</v>
          </cell>
          <cell r="BH24">
            <v>5759500</v>
          </cell>
          <cell r="BI24">
            <v>5824900</v>
          </cell>
          <cell r="BJ24">
            <v>5862700</v>
          </cell>
          <cell r="BK24">
            <v>5858200</v>
          </cell>
          <cell r="BL24">
            <v>5835400</v>
          </cell>
          <cell r="BM24">
            <v>5781000</v>
          </cell>
          <cell r="BN24">
            <v>5702600</v>
          </cell>
          <cell r="BO24">
            <v>5610100</v>
          </cell>
          <cell r="BP24">
            <v>5540700</v>
          </cell>
          <cell r="BQ24">
            <v>5456300</v>
          </cell>
          <cell r="BR24">
            <v>5412300</v>
          </cell>
          <cell r="BS24">
            <v>5315000</v>
          </cell>
          <cell r="BT24">
            <v>5291700</v>
          </cell>
          <cell r="BU24">
            <v>5329700</v>
          </cell>
          <cell r="BV24">
            <v>5279800</v>
          </cell>
          <cell r="BW24">
            <v>5255700</v>
          </cell>
          <cell r="BX24">
            <v>5239300</v>
          </cell>
          <cell r="BY24">
            <v>5238800</v>
          </cell>
          <cell r="BZ24">
            <v>5283500</v>
          </cell>
          <cell r="CA24">
            <v>5575600</v>
          </cell>
          <cell r="CB24">
            <v>5435199.3324844185</v>
          </cell>
          <cell r="CC24">
            <v>5299873.8110579848</v>
          </cell>
          <cell r="CD24">
            <v>5147894.2607134935</v>
          </cell>
        </row>
        <row r="25">
          <cell r="A25" t="str">
            <v>Goodwill</v>
          </cell>
          <cell r="F25">
            <v>1057007</v>
          </cell>
          <cell r="G25">
            <v>1058235</v>
          </cell>
          <cell r="H25">
            <v>1057007</v>
          </cell>
          <cell r="I25">
            <v>1965063</v>
          </cell>
          <cell r="J25">
            <v>2276400</v>
          </cell>
          <cell r="K25">
            <v>2198200</v>
          </cell>
          <cell r="L25">
            <v>2344400</v>
          </cell>
          <cell r="M25">
            <v>3704000</v>
          </cell>
          <cell r="N25">
            <v>4301700</v>
          </cell>
          <cell r="O25">
            <v>4340900</v>
          </cell>
          <cell r="P25">
            <v>4331400</v>
          </cell>
          <cell r="Q25">
            <v>4352800</v>
          </cell>
          <cell r="R25">
            <v>4213600</v>
          </cell>
          <cell r="S25">
            <v>4213600</v>
          </cell>
          <cell r="T25">
            <v>4690200</v>
          </cell>
          <cell r="U25">
            <v>4690200</v>
          </cell>
          <cell r="V25">
            <v>4690200</v>
          </cell>
          <cell r="W25">
            <v>4690200</v>
          </cell>
          <cell r="X25">
            <v>4690200</v>
          </cell>
          <cell r="Y25">
            <v>4690200</v>
          </cell>
          <cell r="AD25">
            <v>1058235</v>
          </cell>
          <cell r="AE25">
            <v>1058235</v>
          </cell>
          <cell r="AF25">
            <v>1058235</v>
          </cell>
          <cell r="AG25">
            <v>1058215</v>
          </cell>
          <cell r="AH25">
            <v>1057007</v>
          </cell>
          <cell r="AI25">
            <v>1057007</v>
          </cell>
          <cell r="AJ25">
            <v>1057007</v>
          </cell>
          <cell r="AK25">
            <v>3112195</v>
          </cell>
          <cell r="AL25">
            <v>1965063</v>
          </cell>
          <cell r="AM25">
            <v>1965000</v>
          </cell>
          <cell r="AN25">
            <v>1965000</v>
          </cell>
          <cell r="AO25">
            <v>2284900</v>
          </cell>
          <cell r="AP25">
            <v>2276400</v>
          </cell>
          <cell r="AQ25">
            <v>2276400</v>
          </cell>
          <cell r="AR25">
            <v>2224200</v>
          </cell>
          <cell r="AS25">
            <v>2224200</v>
          </cell>
          <cell r="AT25">
            <v>2198200</v>
          </cell>
          <cell r="AU25">
            <v>2198200</v>
          </cell>
          <cell r="AV25">
            <v>2198200</v>
          </cell>
          <cell r="AW25">
            <v>2198200</v>
          </cell>
          <cell r="AX25">
            <v>2344400</v>
          </cell>
          <cell r="AY25">
            <v>2639900</v>
          </cell>
          <cell r="AZ25">
            <v>3208300</v>
          </cell>
          <cell r="BA25">
            <v>3187900</v>
          </cell>
          <cell r="BB25">
            <v>3704000</v>
          </cell>
          <cell r="BC25">
            <v>3721300</v>
          </cell>
          <cell r="BD25">
            <v>3724300</v>
          </cell>
          <cell r="BE25">
            <v>3720400</v>
          </cell>
          <cell r="BF25">
            <v>4301700</v>
          </cell>
          <cell r="BG25">
            <v>4357000</v>
          </cell>
          <cell r="BH25">
            <v>4409000</v>
          </cell>
          <cell r="BI25">
            <v>4411600</v>
          </cell>
          <cell r="BJ25">
            <v>4340900</v>
          </cell>
          <cell r="BK25">
            <v>4340900</v>
          </cell>
          <cell r="BL25">
            <v>4340900</v>
          </cell>
          <cell r="BM25">
            <v>4340900</v>
          </cell>
          <cell r="BN25">
            <v>4331400</v>
          </cell>
          <cell r="BO25">
            <v>4331400</v>
          </cell>
          <cell r="BP25">
            <v>4331400</v>
          </cell>
          <cell r="BQ25">
            <v>4331400</v>
          </cell>
          <cell r="BR25">
            <v>4352800</v>
          </cell>
          <cell r="BS25">
            <v>4352800</v>
          </cell>
          <cell r="BT25">
            <v>4340000</v>
          </cell>
          <cell r="BU25">
            <v>4340000</v>
          </cell>
          <cell r="BV25">
            <v>4213600</v>
          </cell>
          <cell r="BW25">
            <v>4213600</v>
          </cell>
          <cell r="BX25">
            <v>4213600</v>
          </cell>
          <cell r="BY25">
            <v>4213600</v>
          </cell>
          <cell r="BZ25">
            <v>4213600</v>
          </cell>
          <cell r="CA25">
            <v>4690200</v>
          </cell>
          <cell r="CB25">
            <v>4690200</v>
          </cell>
          <cell r="CC25">
            <v>4690200</v>
          </cell>
          <cell r="CD25">
            <v>4690200</v>
          </cell>
        </row>
        <row r="26">
          <cell r="A26" t="str">
            <v>Other</v>
          </cell>
          <cell r="F26">
            <v>139305</v>
          </cell>
          <cell r="G26">
            <v>72936</v>
          </cell>
          <cell r="H26">
            <v>52370</v>
          </cell>
          <cell r="I26">
            <v>1249174</v>
          </cell>
          <cell r="J26">
            <v>1394200</v>
          </cell>
          <cell r="K26">
            <v>1205300</v>
          </cell>
          <cell r="L26">
            <v>1352400</v>
          </cell>
          <cell r="M26">
            <v>2189300</v>
          </cell>
          <cell r="N26">
            <v>2862800</v>
          </cell>
          <cell r="O26">
            <v>2478300</v>
          </cell>
          <cell r="P26">
            <v>2225800</v>
          </cell>
          <cell r="Q26">
            <v>1856900</v>
          </cell>
          <cell r="R26">
            <v>1600200</v>
          </cell>
          <cell r="S26">
            <v>1406000</v>
          </cell>
          <cell r="T26">
            <v>1675300</v>
          </cell>
          <cell r="U26">
            <v>1675300</v>
          </cell>
          <cell r="V26">
            <v>1675300</v>
          </cell>
          <cell r="W26">
            <v>1675300</v>
          </cell>
          <cell r="X26">
            <v>1675300</v>
          </cell>
          <cell r="Y26">
            <v>1675300</v>
          </cell>
          <cell r="AD26">
            <v>72936</v>
          </cell>
          <cell r="AE26">
            <v>55098</v>
          </cell>
          <cell r="AF26">
            <v>53437</v>
          </cell>
          <cell r="AG26">
            <v>51289</v>
          </cell>
          <cell r="AH26">
            <v>52370</v>
          </cell>
          <cell r="AI26">
            <v>55941</v>
          </cell>
          <cell r="AJ26">
            <v>58567</v>
          </cell>
          <cell r="AK26">
            <v>290903</v>
          </cell>
          <cell r="AL26">
            <v>1249174</v>
          </cell>
          <cell r="AM26">
            <v>1229700</v>
          </cell>
          <cell r="AN26">
            <v>1198700</v>
          </cell>
          <cell r="AO26">
            <v>1340900</v>
          </cell>
          <cell r="AP26">
            <v>1394200</v>
          </cell>
          <cell r="AQ26">
            <v>1381300</v>
          </cell>
          <cell r="AR26">
            <v>1381400</v>
          </cell>
          <cell r="AS26">
            <v>1365000</v>
          </cell>
          <cell r="AT26">
            <v>1205300</v>
          </cell>
          <cell r="AU26">
            <v>1184300</v>
          </cell>
          <cell r="AV26">
            <v>1163800</v>
          </cell>
          <cell r="AW26">
            <v>1139500</v>
          </cell>
          <cell r="AX26">
            <v>1352400</v>
          </cell>
          <cell r="AY26">
            <v>1503900</v>
          </cell>
          <cell r="AZ26">
            <v>1832400</v>
          </cell>
          <cell r="BA26">
            <v>1798800</v>
          </cell>
          <cell r="BB26">
            <v>2189300</v>
          </cell>
          <cell r="BC26">
            <v>2137500</v>
          </cell>
          <cell r="BD26">
            <v>2087500</v>
          </cell>
          <cell r="BE26">
            <v>2049700</v>
          </cell>
          <cell r="BF26">
            <v>2862800</v>
          </cell>
          <cell r="BG26">
            <v>2758400</v>
          </cell>
          <cell r="BH26">
            <v>2646800</v>
          </cell>
          <cell r="BI26">
            <v>2578400</v>
          </cell>
          <cell r="BJ26">
            <v>2478300</v>
          </cell>
          <cell r="BK26">
            <v>2409800</v>
          </cell>
          <cell r="BL26">
            <v>2348800</v>
          </cell>
          <cell r="BM26">
            <v>2280200</v>
          </cell>
          <cell r="BN26">
            <v>2225800</v>
          </cell>
          <cell r="BO26">
            <v>2154900</v>
          </cell>
          <cell r="BP26">
            <v>2082600</v>
          </cell>
          <cell r="BQ26">
            <v>2015800</v>
          </cell>
          <cell r="BR26">
            <v>1856900</v>
          </cell>
          <cell r="BS26">
            <v>1885400</v>
          </cell>
          <cell r="BT26">
            <v>1732100</v>
          </cell>
          <cell r="BU26">
            <v>1685700</v>
          </cell>
          <cell r="BV26">
            <v>1600200</v>
          </cell>
          <cell r="BW26">
            <v>1548100</v>
          </cell>
          <cell r="BX26">
            <v>1497000</v>
          </cell>
          <cell r="BY26">
            <v>1450200</v>
          </cell>
          <cell r="BZ26">
            <v>1406000</v>
          </cell>
          <cell r="CA26">
            <v>1675300</v>
          </cell>
          <cell r="CB26">
            <v>1675300</v>
          </cell>
          <cell r="CC26">
            <v>1675300</v>
          </cell>
          <cell r="CD26">
            <v>1675300</v>
          </cell>
        </row>
        <row r="27">
          <cell r="A27" t="str">
            <v>Investment in CS&amp;L</v>
          </cell>
          <cell r="R27">
            <v>549200</v>
          </cell>
          <cell r="S27">
            <v>0</v>
          </cell>
          <cell r="T27">
            <v>118129.73841025509</v>
          </cell>
          <cell r="U27">
            <v>230560.07245203701</v>
          </cell>
          <cell r="V27">
            <v>336161.09941779007</v>
          </cell>
          <cell r="W27">
            <v>436869.48378759308</v>
          </cell>
          <cell r="X27">
            <v>536370.51176996436</v>
          </cell>
          <cell r="Y27">
            <v>673155.18240834377</v>
          </cell>
          <cell r="BT27">
            <v>726400</v>
          </cell>
          <cell r="BU27">
            <v>526000</v>
          </cell>
          <cell r="BV27">
            <v>549200</v>
          </cell>
          <cell r="BW27">
            <v>653800</v>
          </cell>
          <cell r="BX27">
            <v>0</v>
          </cell>
          <cell r="BY27">
            <v>0</v>
          </cell>
          <cell r="BZ27">
            <v>0</v>
          </cell>
          <cell r="CA27">
            <v>0</v>
          </cell>
          <cell r="CB27">
            <v>53500</v>
          </cell>
          <cell r="CC27">
            <v>76839.37156126526</v>
          </cell>
          <cell r="CD27">
            <v>118129.73841025509</v>
          </cell>
        </row>
        <row r="28">
          <cell r="A28" t="str">
            <v>Total long-term assets</v>
          </cell>
          <cell r="F28">
            <v>1965882</v>
          </cell>
          <cell r="G28">
            <v>1881155</v>
          </cell>
          <cell r="H28">
            <v>1826906</v>
          </cell>
          <cell r="I28">
            <v>7153978</v>
          </cell>
          <cell r="J28">
            <v>7712900</v>
          </cell>
          <cell r="K28">
            <v>7300600</v>
          </cell>
          <cell r="L28">
            <v>7689400</v>
          </cell>
          <cell r="M28">
            <v>10666000</v>
          </cell>
          <cell r="N28">
            <v>12873700</v>
          </cell>
          <cell r="O28">
            <v>12681900</v>
          </cell>
          <cell r="P28">
            <v>12259800</v>
          </cell>
          <cell r="Q28">
            <v>11622000</v>
          </cell>
          <cell r="R28">
            <v>549200</v>
          </cell>
          <cell r="S28">
            <v>0</v>
          </cell>
          <cell r="T28">
            <v>0</v>
          </cell>
          <cell r="U28">
            <v>0</v>
          </cell>
          <cell r="V28">
            <v>0</v>
          </cell>
          <cell r="W28">
            <v>0</v>
          </cell>
          <cell r="X28">
            <v>0</v>
          </cell>
          <cell r="Y28">
            <v>0</v>
          </cell>
          <cell r="AD28">
            <v>1881155</v>
          </cell>
          <cell r="AE28">
            <v>1858489</v>
          </cell>
          <cell r="AF28">
            <v>1846818</v>
          </cell>
          <cell r="AG28">
            <v>1836819</v>
          </cell>
          <cell r="AH28">
            <v>1826906</v>
          </cell>
          <cell r="AI28">
            <v>1820526</v>
          </cell>
          <cell r="AJ28">
            <v>1813746</v>
          </cell>
          <cell r="AK28">
            <v>7293466</v>
          </cell>
          <cell r="AL28">
            <v>7153978</v>
          </cell>
          <cell r="AM28">
            <v>7112000</v>
          </cell>
          <cell r="AN28">
            <v>7057400</v>
          </cell>
          <cell r="AO28">
            <v>7699700</v>
          </cell>
          <cell r="AP28">
            <v>7712900</v>
          </cell>
          <cell r="AQ28">
            <v>7644200</v>
          </cell>
          <cell r="AR28">
            <v>7540800</v>
          </cell>
          <cell r="AS28">
            <v>7500600</v>
          </cell>
          <cell r="AT28">
            <v>7300600</v>
          </cell>
          <cell r="AU28">
            <v>7217800</v>
          </cell>
          <cell r="AV28">
            <v>7160800</v>
          </cell>
          <cell r="AW28">
            <v>7089500</v>
          </cell>
          <cell r="AX28">
            <v>7689400</v>
          </cell>
          <cell r="AY28">
            <v>8311000</v>
          </cell>
          <cell r="AZ28">
            <v>9509100</v>
          </cell>
          <cell r="BA28">
            <v>9425400</v>
          </cell>
          <cell r="BB28">
            <v>10666000</v>
          </cell>
          <cell r="BC28">
            <v>10641600</v>
          </cell>
          <cell r="BD28">
            <v>10616000</v>
          </cell>
          <cell r="BE28">
            <v>10595700</v>
          </cell>
          <cell r="BF28">
            <v>12873700</v>
          </cell>
          <cell r="BG28">
            <v>12833600</v>
          </cell>
          <cell r="BH28">
            <v>12815300</v>
          </cell>
          <cell r="BI28">
            <v>12814900</v>
          </cell>
          <cell r="BJ28">
            <v>12681900</v>
          </cell>
          <cell r="BK28">
            <v>12608900</v>
          </cell>
          <cell r="BL28">
            <v>12525100</v>
          </cell>
          <cell r="BM28">
            <v>12402100</v>
          </cell>
          <cell r="BN28">
            <v>12259800</v>
          </cell>
          <cell r="BO28">
            <v>12096400</v>
          </cell>
          <cell r="BP28">
            <v>11954700</v>
          </cell>
          <cell r="BQ28">
            <v>11803500</v>
          </cell>
          <cell r="BR28">
            <v>11622000</v>
          </cell>
          <cell r="BS28">
            <v>11553200</v>
          </cell>
          <cell r="BT28">
            <v>726400</v>
          </cell>
          <cell r="BU28">
            <v>526000</v>
          </cell>
          <cell r="BV28">
            <v>549200</v>
          </cell>
          <cell r="BW28">
            <v>653800</v>
          </cell>
          <cell r="BX28">
            <v>0</v>
          </cell>
          <cell r="BY28">
            <v>0</v>
          </cell>
          <cell r="BZ28">
            <v>0</v>
          </cell>
          <cell r="CA28">
            <v>0</v>
          </cell>
          <cell r="CB28">
            <v>0</v>
          </cell>
          <cell r="CC28">
            <v>11665373.811057985</v>
          </cell>
          <cell r="CD28">
            <v>11513394.260713493</v>
          </cell>
        </row>
        <row r="29">
          <cell r="A29" t="str">
            <v>Total long-term assets</v>
          </cell>
          <cell r="F29">
            <v>1965882</v>
          </cell>
          <cell r="G29">
            <v>1881155</v>
          </cell>
          <cell r="H29">
            <v>1826906</v>
          </cell>
          <cell r="I29">
            <v>7153978</v>
          </cell>
          <cell r="J29">
            <v>7712900</v>
          </cell>
          <cell r="K29">
            <v>7300600</v>
          </cell>
          <cell r="L29">
            <v>7689400</v>
          </cell>
          <cell r="M29">
            <v>10666000</v>
          </cell>
          <cell r="N29">
            <v>12873700</v>
          </cell>
          <cell r="O29">
            <v>12681900</v>
          </cell>
          <cell r="P29">
            <v>12259800</v>
          </cell>
          <cell r="Q29">
            <v>11622000</v>
          </cell>
          <cell r="R29">
            <v>11642800</v>
          </cell>
          <cell r="S29">
            <v>10903100</v>
          </cell>
          <cell r="T29">
            <v>11748006.709584225</v>
          </cell>
          <cell r="U29">
            <v>11405941.566584678</v>
          </cell>
          <cell r="V29">
            <v>11089961.848614518</v>
          </cell>
          <cell r="W29">
            <v>10791001.764268182</v>
          </cell>
          <cell r="X29">
            <v>10504088.705730561</v>
          </cell>
          <cell r="Y29">
            <v>10157819.599020705</v>
          </cell>
          <cell r="AD29">
            <v>1881155</v>
          </cell>
          <cell r="AE29">
            <v>1858489</v>
          </cell>
          <cell r="AF29">
            <v>1846818</v>
          </cell>
          <cell r="AG29">
            <v>1836819</v>
          </cell>
          <cell r="AH29">
            <v>1826906</v>
          </cell>
          <cell r="AI29">
            <v>1820526</v>
          </cell>
          <cell r="AJ29">
            <v>1813746</v>
          </cell>
          <cell r="AK29">
            <v>7293466</v>
          </cell>
          <cell r="AL29">
            <v>7153978</v>
          </cell>
          <cell r="AM29">
            <v>7112000</v>
          </cell>
          <cell r="AN29">
            <v>7057400</v>
          </cell>
          <cell r="AO29">
            <v>7699700</v>
          </cell>
          <cell r="AP29">
            <v>7712900</v>
          </cell>
          <cell r="AQ29">
            <v>7644200</v>
          </cell>
          <cell r="AR29">
            <v>7540800</v>
          </cell>
          <cell r="AS29">
            <v>7500600</v>
          </cell>
          <cell r="AT29">
            <v>7300600</v>
          </cell>
          <cell r="AU29">
            <v>7217800</v>
          </cell>
          <cell r="AV29">
            <v>7160800</v>
          </cell>
          <cell r="AW29">
            <v>7089500</v>
          </cell>
          <cell r="AX29">
            <v>7689400</v>
          </cell>
          <cell r="AY29">
            <v>8311000</v>
          </cell>
          <cell r="AZ29">
            <v>9509100</v>
          </cell>
          <cell r="BA29">
            <v>9425400</v>
          </cell>
          <cell r="BB29">
            <v>10666000</v>
          </cell>
          <cell r="BC29">
            <v>10641600</v>
          </cell>
          <cell r="BD29">
            <v>10616000</v>
          </cell>
          <cell r="BE29">
            <v>10595700</v>
          </cell>
          <cell r="BF29">
            <v>12873700</v>
          </cell>
          <cell r="BG29">
            <v>12833600</v>
          </cell>
          <cell r="BH29">
            <v>12815300</v>
          </cell>
          <cell r="BI29">
            <v>12814900</v>
          </cell>
          <cell r="BJ29">
            <v>12681900</v>
          </cell>
          <cell r="BK29">
            <v>12608900</v>
          </cell>
          <cell r="BL29">
            <v>12525100</v>
          </cell>
          <cell r="BM29">
            <v>12402100</v>
          </cell>
          <cell r="BN29">
            <v>12259800</v>
          </cell>
          <cell r="BO29">
            <v>12096400</v>
          </cell>
          <cell r="BP29">
            <v>11954700</v>
          </cell>
          <cell r="BQ29">
            <v>11803500</v>
          </cell>
          <cell r="BR29">
            <v>11622000</v>
          </cell>
          <cell r="BS29">
            <v>11553200</v>
          </cell>
          <cell r="BT29">
            <v>12090200</v>
          </cell>
          <cell r="BU29">
            <v>11881400</v>
          </cell>
          <cell r="BV29">
            <v>11642800</v>
          </cell>
          <cell r="BW29">
            <v>11671200</v>
          </cell>
          <cell r="BX29">
            <v>10949900</v>
          </cell>
          <cell r="BY29">
            <v>10902600</v>
          </cell>
          <cell r="BZ29">
            <v>10903100</v>
          </cell>
          <cell r="CA29">
            <v>11941100</v>
          </cell>
          <cell r="CB29">
            <v>11779300</v>
          </cell>
          <cell r="CC29">
            <v>11876363.019557256</v>
          </cell>
          <cell r="CD29">
            <v>11748006.709584225</v>
          </cell>
        </row>
        <row r="30">
          <cell r="A30" t="str">
            <v>TOTAL ASSETS</v>
          </cell>
          <cell r="F30">
            <v>2039043</v>
          </cell>
          <cell r="G30">
            <v>1971167</v>
          </cell>
          <cell r="H30">
            <v>1962781</v>
          </cell>
          <cell r="I30">
            <v>8030720</v>
          </cell>
          <cell r="J30">
            <v>8241200</v>
          </cell>
          <cell r="K30">
            <v>8009300</v>
          </cell>
          <cell r="L30">
            <v>9145400</v>
          </cell>
          <cell r="M30">
            <v>11353700</v>
          </cell>
          <cell r="N30">
            <v>14392100</v>
          </cell>
          <cell r="O30">
            <v>13982000</v>
          </cell>
          <cell r="P30">
            <v>13444600</v>
          </cell>
          <cell r="Q30">
            <v>12520300</v>
          </cell>
          <cell r="R30">
            <v>12518100</v>
          </cell>
          <cell r="S30">
            <v>11770000</v>
          </cell>
          <cell r="T30">
            <v>12487215.724949259</v>
          </cell>
          <cell r="U30">
            <v>12183531.905632537</v>
          </cell>
          <cell r="V30">
            <v>11827060.024818063</v>
          </cell>
          <cell r="W30">
            <v>11503517.158795033</v>
          </cell>
          <cell r="X30">
            <v>11218262.157913579</v>
          </cell>
          <cell r="Y30">
            <v>10796812.571655497</v>
          </cell>
          <cell r="AD30">
            <v>1971167</v>
          </cell>
          <cell r="AE30">
            <v>1965850</v>
          </cell>
          <cell r="AF30">
            <v>1974479</v>
          </cell>
          <cell r="AG30">
            <v>1952100</v>
          </cell>
          <cell r="AH30">
            <v>1962781</v>
          </cell>
          <cell r="AI30">
            <v>1957304</v>
          </cell>
          <cell r="AJ30">
            <v>1969885</v>
          </cell>
          <cell r="AK30">
            <v>8161748</v>
          </cell>
          <cell r="AL30">
            <v>8030720</v>
          </cell>
          <cell r="AM30">
            <v>7961200</v>
          </cell>
          <cell r="AN30">
            <v>8006400</v>
          </cell>
          <cell r="AO30">
            <v>8297400</v>
          </cell>
          <cell r="AP30">
            <v>8241200</v>
          </cell>
          <cell r="AQ30">
            <v>8142900</v>
          </cell>
          <cell r="AR30">
            <v>8040500</v>
          </cell>
          <cell r="AS30">
            <v>8060200</v>
          </cell>
          <cell r="AT30">
            <v>8009300</v>
          </cell>
          <cell r="AU30">
            <v>7905000</v>
          </cell>
          <cell r="AV30">
            <v>7789500</v>
          </cell>
          <cell r="AW30">
            <v>7768100</v>
          </cell>
          <cell r="AX30">
            <v>9145400</v>
          </cell>
          <cell r="AY30">
            <v>9327400</v>
          </cell>
          <cell r="AZ30">
            <v>10087200</v>
          </cell>
          <cell r="BA30">
            <v>10132200</v>
          </cell>
          <cell r="BB30">
            <v>11353700</v>
          </cell>
          <cell r="BC30">
            <v>11342800</v>
          </cell>
          <cell r="BD30">
            <v>11329200</v>
          </cell>
          <cell r="BE30">
            <v>11419100</v>
          </cell>
          <cell r="BF30">
            <v>14392100</v>
          </cell>
          <cell r="BG30">
            <v>13966400</v>
          </cell>
          <cell r="BH30">
            <v>13927200</v>
          </cell>
          <cell r="BI30">
            <v>14028400</v>
          </cell>
          <cell r="BJ30">
            <v>13982000</v>
          </cell>
          <cell r="BK30">
            <v>13723500</v>
          </cell>
          <cell r="BL30">
            <v>13638900</v>
          </cell>
          <cell r="BM30">
            <v>13486700</v>
          </cell>
          <cell r="BN30">
            <v>13444600</v>
          </cell>
          <cell r="BO30">
            <v>13239800</v>
          </cell>
          <cell r="BP30">
            <v>12985700</v>
          </cell>
          <cell r="BQ30">
            <v>12831600</v>
          </cell>
          <cell r="BR30">
            <v>12520300</v>
          </cell>
          <cell r="BS30">
            <v>12619100</v>
          </cell>
          <cell r="BT30">
            <v>13204400</v>
          </cell>
          <cell r="BU30">
            <v>13004400</v>
          </cell>
          <cell r="BV30">
            <v>12518100</v>
          </cell>
          <cell r="BW30">
            <v>12611200</v>
          </cell>
          <cell r="BX30">
            <v>11821600</v>
          </cell>
          <cell r="BY30">
            <v>11823600</v>
          </cell>
          <cell r="BZ30">
            <v>11770000</v>
          </cell>
          <cell r="CA30">
            <v>12904200</v>
          </cell>
          <cell r="CB30">
            <v>12765664.708518699</v>
          </cell>
          <cell r="CC30">
            <v>12671138.674413396</v>
          </cell>
          <cell r="CD30">
            <v>12487215.724949259</v>
          </cell>
        </row>
        <row r="31">
          <cell r="A31" t="str">
            <v>TOTAL ASSETS</v>
          </cell>
          <cell r="F31">
            <v>2039043</v>
          </cell>
          <cell r="G31">
            <v>1971167</v>
          </cell>
          <cell r="H31">
            <v>1962781</v>
          </cell>
          <cell r="I31">
            <v>8030720</v>
          </cell>
          <cell r="J31">
            <v>8241200</v>
          </cell>
          <cell r="K31">
            <v>8009300</v>
          </cell>
          <cell r="L31">
            <v>9145400</v>
          </cell>
          <cell r="M31">
            <v>11353700</v>
          </cell>
          <cell r="N31">
            <v>14392100</v>
          </cell>
          <cell r="O31">
            <v>13982000</v>
          </cell>
          <cell r="P31">
            <v>13444600</v>
          </cell>
          <cell r="Q31">
            <v>12520300</v>
          </cell>
          <cell r="R31">
            <v>12518100</v>
          </cell>
          <cell r="S31">
            <v>11770000</v>
          </cell>
          <cell r="T31">
            <v>12828164.753863608</v>
          </cell>
          <cell r="U31">
            <v>12527596.301551372</v>
          </cell>
          <cell r="V31">
            <v>12234920.895019468</v>
          </cell>
          <cell r="W31">
            <v>11987793.474174675</v>
          </cell>
          <cell r="X31">
            <v>11786605.262402903</v>
          </cell>
          <cell r="Y31">
            <v>11503519.808456594</v>
          </cell>
          <cell r="AD31">
            <v>1971167</v>
          </cell>
          <cell r="AE31">
            <v>1965850</v>
          </cell>
          <cell r="AF31">
            <v>1974479</v>
          </cell>
          <cell r="AG31">
            <v>1952100</v>
          </cell>
          <cell r="AH31">
            <v>1962781</v>
          </cell>
          <cell r="AI31">
            <v>1957304</v>
          </cell>
          <cell r="AJ31">
            <v>1969885</v>
          </cell>
          <cell r="AK31">
            <v>8161748</v>
          </cell>
          <cell r="AL31">
            <v>8030720</v>
          </cell>
          <cell r="AM31">
            <v>7961200</v>
          </cell>
          <cell r="AN31">
            <v>8006400</v>
          </cell>
          <cell r="AO31">
            <v>8297400</v>
          </cell>
          <cell r="AP31">
            <v>8241200</v>
          </cell>
          <cell r="AQ31">
            <v>8142900</v>
          </cell>
          <cell r="AR31">
            <v>8040500</v>
          </cell>
          <cell r="AS31">
            <v>8060200</v>
          </cell>
          <cell r="AT31">
            <v>8009300</v>
          </cell>
          <cell r="AU31">
            <v>7905000</v>
          </cell>
          <cell r="AV31">
            <v>7789500</v>
          </cell>
          <cell r="AW31">
            <v>7768100</v>
          </cell>
          <cell r="AX31">
            <v>9145400</v>
          </cell>
          <cell r="AY31">
            <v>9327400</v>
          </cell>
          <cell r="AZ31">
            <v>10087200</v>
          </cell>
          <cell r="BA31">
            <v>10132200</v>
          </cell>
          <cell r="BB31">
            <v>11353700</v>
          </cell>
          <cell r="BC31">
            <v>11342800</v>
          </cell>
          <cell r="BD31">
            <v>11329200</v>
          </cell>
          <cell r="BE31">
            <v>11419100</v>
          </cell>
          <cell r="BF31">
            <v>14392100</v>
          </cell>
          <cell r="BG31">
            <v>13966400</v>
          </cell>
          <cell r="BH31">
            <v>13927200</v>
          </cell>
          <cell r="BI31">
            <v>14028400</v>
          </cell>
          <cell r="BJ31">
            <v>13982000</v>
          </cell>
          <cell r="BK31">
            <v>13723500</v>
          </cell>
          <cell r="BL31">
            <v>13638900</v>
          </cell>
          <cell r="BM31">
            <v>13486700</v>
          </cell>
          <cell r="BN31">
            <v>13444600</v>
          </cell>
          <cell r="BO31">
            <v>13239800</v>
          </cell>
          <cell r="BP31">
            <v>12985700</v>
          </cell>
          <cell r="BQ31">
            <v>12831600</v>
          </cell>
          <cell r="BR31">
            <v>12520300</v>
          </cell>
          <cell r="BS31">
            <v>12619100</v>
          </cell>
          <cell r="BT31">
            <v>13204400</v>
          </cell>
          <cell r="BU31">
            <v>13004400</v>
          </cell>
          <cell r="BV31">
            <v>12518100</v>
          </cell>
          <cell r="BW31">
            <v>12611200</v>
          </cell>
          <cell r="BX31">
            <v>11821600</v>
          </cell>
          <cell r="BY31">
            <v>11823600</v>
          </cell>
          <cell r="BZ31">
            <v>11770000</v>
          </cell>
          <cell r="CA31">
            <v>12904200</v>
          </cell>
          <cell r="CB31">
            <v>12706200</v>
          </cell>
          <cell r="CC31">
            <v>12938814.990946062</v>
          </cell>
          <cell r="CD31">
            <v>12828164.753863608</v>
          </cell>
        </row>
        <row r="32">
          <cell r="A32" t="str">
            <v>LIABILITIES AND EQUITY</v>
          </cell>
          <cell r="AE32" t="str">
            <v/>
          </cell>
          <cell r="AF32" t="str">
            <v/>
          </cell>
          <cell r="AG32" t="str">
            <v/>
          </cell>
        </row>
        <row r="33">
          <cell r="A33" t="str">
            <v>Current liabilities</v>
          </cell>
          <cell r="F33" t="str">
            <v/>
          </cell>
          <cell r="G33" t="str">
            <v/>
          </cell>
          <cell r="AD33" t="str">
            <v/>
          </cell>
          <cell r="AE33" t="str">
            <v/>
          </cell>
          <cell r="AF33" t="str">
            <v/>
          </cell>
          <cell r="AG33" t="str">
            <v/>
          </cell>
        </row>
        <row r="34">
          <cell r="A34" t="str">
            <v xml:space="preserve">  Current maturities of LT Debt</v>
          </cell>
          <cell r="F34">
            <v>37318</v>
          </cell>
          <cell r="G34">
            <v>1801</v>
          </cell>
          <cell r="H34">
            <v>59</v>
          </cell>
          <cell r="I34">
            <v>32241</v>
          </cell>
          <cell r="J34">
            <v>24300</v>
          </cell>
          <cell r="K34">
            <v>24300</v>
          </cell>
          <cell r="L34">
            <v>23800</v>
          </cell>
          <cell r="M34">
            <v>139200</v>
          </cell>
          <cell r="N34">
            <v>213700</v>
          </cell>
          <cell r="O34">
            <v>866000</v>
          </cell>
          <cell r="P34">
            <v>85000</v>
          </cell>
          <cell r="Q34">
            <v>717500</v>
          </cell>
          <cell r="R34">
            <v>5900</v>
          </cell>
          <cell r="S34">
            <v>14900</v>
          </cell>
          <cell r="T34">
            <v>19300</v>
          </cell>
          <cell r="U34">
            <v>19300</v>
          </cell>
          <cell r="V34">
            <v>19300</v>
          </cell>
          <cell r="W34">
            <v>19300</v>
          </cell>
          <cell r="X34">
            <v>19300</v>
          </cell>
          <cell r="Y34">
            <v>19300</v>
          </cell>
          <cell r="AD34">
            <v>1801</v>
          </cell>
          <cell r="AE34">
            <v>223</v>
          </cell>
          <cell r="AF34">
            <v>208</v>
          </cell>
          <cell r="AG34">
            <v>123</v>
          </cell>
          <cell r="AH34">
            <v>59</v>
          </cell>
          <cell r="AI34">
            <v>16</v>
          </cell>
          <cell r="AJ34">
            <v>0</v>
          </cell>
          <cell r="AK34">
            <v>21237</v>
          </cell>
          <cell r="AL34">
            <v>32241</v>
          </cell>
          <cell r="AM34">
            <v>39500</v>
          </cell>
          <cell r="AN34">
            <v>49300</v>
          </cell>
          <cell r="AO34">
            <v>65200</v>
          </cell>
          <cell r="AP34">
            <v>24300</v>
          </cell>
          <cell r="AQ34">
            <v>24300</v>
          </cell>
          <cell r="AR34">
            <v>24300</v>
          </cell>
          <cell r="AS34">
            <v>24300</v>
          </cell>
          <cell r="AT34">
            <v>24300</v>
          </cell>
          <cell r="AU34">
            <v>24200</v>
          </cell>
          <cell r="AV34">
            <v>24200</v>
          </cell>
          <cell r="AW34">
            <v>24100</v>
          </cell>
          <cell r="AX34">
            <v>23800</v>
          </cell>
          <cell r="AY34">
            <v>28300</v>
          </cell>
          <cell r="AZ34">
            <v>28100</v>
          </cell>
          <cell r="BA34">
            <v>130500</v>
          </cell>
          <cell r="BB34">
            <v>139200</v>
          </cell>
          <cell r="BC34">
            <v>137700</v>
          </cell>
          <cell r="BD34">
            <v>142700</v>
          </cell>
          <cell r="BE34">
            <v>44800</v>
          </cell>
          <cell r="BF34">
            <v>213700</v>
          </cell>
          <cell r="BG34">
            <v>66100</v>
          </cell>
          <cell r="BH34">
            <v>65800</v>
          </cell>
          <cell r="BI34">
            <v>1182500</v>
          </cell>
          <cell r="BJ34">
            <v>866000</v>
          </cell>
          <cell r="BK34">
            <v>888000</v>
          </cell>
          <cell r="BL34">
            <v>76800</v>
          </cell>
          <cell r="BM34">
            <v>86000</v>
          </cell>
          <cell r="BN34">
            <v>85000</v>
          </cell>
          <cell r="BO34">
            <v>88700</v>
          </cell>
          <cell r="BP34">
            <v>92500</v>
          </cell>
          <cell r="BQ34">
            <v>92500</v>
          </cell>
          <cell r="BR34">
            <v>717500</v>
          </cell>
          <cell r="BS34">
            <v>92500</v>
          </cell>
          <cell r="BT34">
            <v>5900</v>
          </cell>
          <cell r="BU34">
            <v>5900</v>
          </cell>
          <cell r="BV34">
            <v>5900</v>
          </cell>
          <cell r="BW34">
            <v>11900</v>
          </cell>
          <cell r="BX34">
            <v>11900</v>
          </cell>
          <cell r="BY34">
            <v>13400</v>
          </cell>
          <cell r="BZ34">
            <v>14900</v>
          </cell>
          <cell r="CA34">
            <v>19300</v>
          </cell>
          <cell r="CB34">
            <v>19300</v>
          </cell>
          <cell r="CC34">
            <v>19300</v>
          </cell>
          <cell r="CD34">
            <v>19300</v>
          </cell>
        </row>
        <row r="35">
          <cell r="A35" t="str">
            <v xml:space="preserve">  Accounts payable</v>
          </cell>
          <cell r="F35">
            <v>14458</v>
          </cell>
          <cell r="G35">
            <v>5847</v>
          </cell>
          <cell r="H35">
            <v>6621</v>
          </cell>
          <cell r="I35">
            <v>169443</v>
          </cell>
          <cell r="J35">
            <v>161900</v>
          </cell>
          <cell r="K35">
            <v>134000</v>
          </cell>
          <cell r="L35">
            <v>158500</v>
          </cell>
          <cell r="M35">
            <v>151300</v>
          </cell>
          <cell r="N35">
            <v>296000</v>
          </cell>
          <cell r="O35">
            <v>363700</v>
          </cell>
          <cell r="P35">
            <v>385900</v>
          </cell>
          <cell r="Q35">
            <v>403300</v>
          </cell>
          <cell r="R35">
            <v>430100</v>
          </cell>
          <cell r="S35">
            <v>390200</v>
          </cell>
          <cell r="T35">
            <v>370169.65346813342</v>
          </cell>
          <cell r="U35">
            <v>362030.39212798746</v>
          </cell>
          <cell r="V35">
            <v>353372.79040695715</v>
          </cell>
          <cell r="W35">
            <v>345783.71898804558</v>
          </cell>
          <cell r="X35">
            <v>338996.82556240715</v>
          </cell>
          <cell r="Y35">
            <v>332956.00900940533</v>
          </cell>
          <cell r="AD35">
            <v>5847</v>
          </cell>
          <cell r="AE35">
            <v>7362</v>
          </cell>
          <cell r="AF35">
            <v>7079</v>
          </cell>
          <cell r="AG35">
            <v>10904</v>
          </cell>
          <cell r="AH35">
            <v>6621</v>
          </cell>
          <cell r="AI35">
            <v>9881</v>
          </cell>
          <cell r="AJ35">
            <v>11769</v>
          </cell>
          <cell r="AK35">
            <v>215356</v>
          </cell>
          <cell r="AL35">
            <v>169443</v>
          </cell>
          <cell r="AM35">
            <v>169900</v>
          </cell>
          <cell r="AN35">
            <v>156100</v>
          </cell>
          <cell r="AO35">
            <v>160400</v>
          </cell>
          <cell r="AP35">
            <v>161900</v>
          </cell>
          <cell r="AQ35">
            <v>163100</v>
          </cell>
          <cell r="AR35">
            <v>140000</v>
          </cell>
          <cell r="AS35">
            <v>149900</v>
          </cell>
          <cell r="AT35">
            <v>134000</v>
          </cell>
          <cell r="AU35">
            <v>117000</v>
          </cell>
          <cell r="AV35">
            <v>119800</v>
          </cell>
          <cell r="AW35">
            <v>131900</v>
          </cell>
          <cell r="AX35">
            <v>158500</v>
          </cell>
          <cell r="AY35">
            <v>178700</v>
          </cell>
          <cell r="AZ35">
            <v>182300</v>
          </cell>
          <cell r="BA35">
            <v>137200</v>
          </cell>
          <cell r="BB35">
            <v>151300</v>
          </cell>
          <cell r="BC35">
            <v>170500</v>
          </cell>
          <cell r="BD35">
            <v>172000</v>
          </cell>
          <cell r="BE35">
            <v>171700</v>
          </cell>
          <cell r="BF35">
            <v>296000</v>
          </cell>
          <cell r="BG35">
            <v>330300</v>
          </cell>
          <cell r="BH35">
            <v>306200</v>
          </cell>
          <cell r="BI35">
            <v>320000</v>
          </cell>
          <cell r="BJ35">
            <v>363700</v>
          </cell>
          <cell r="BK35">
            <v>301500</v>
          </cell>
          <cell r="BL35">
            <v>329900</v>
          </cell>
          <cell r="BM35">
            <v>389500</v>
          </cell>
          <cell r="BN35">
            <v>385900</v>
          </cell>
          <cell r="BO35">
            <v>355900</v>
          </cell>
          <cell r="BP35">
            <v>361400</v>
          </cell>
          <cell r="BQ35">
            <v>356500</v>
          </cell>
          <cell r="BR35">
            <v>403300</v>
          </cell>
          <cell r="BS35">
            <v>332000</v>
          </cell>
          <cell r="BT35">
            <v>369600</v>
          </cell>
          <cell r="BU35">
            <v>366700</v>
          </cell>
          <cell r="BV35">
            <v>430100</v>
          </cell>
          <cell r="BW35">
            <v>323600</v>
          </cell>
          <cell r="BX35">
            <v>342200</v>
          </cell>
          <cell r="BY35">
            <v>327800</v>
          </cell>
          <cell r="BZ35">
            <v>390200</v>
          </cell>
          <cell r="CA35">
            <v>335800</v>
          </cell>
          <cell r="CB35">
            <v>362118.09965713444</v>
          </cell>
          <cell r="CC35">
            <v>363859.22738501593</v>
          </cell>
          <cell r="CD35">
            <v>370169.65346813342</v>
          </cell>
        </row>
        <row r="36">
          <cell r="A36" t="str">
            <v xml:space="preserve">  Notes payable</v>
          </cell>
          <cell r="F36">
            <v>6687</v>
          </cell>
          <cell r="G36">
            <v>1893</v>
          </cell>
          <cell r="H36">
            <v>0</v>
          </cell>
          <cell r="I36">
            <v>0</v>
          </cell>
          <cell r="J36">
            <v>0</v>
          </cell>
          <cell r="K36">
            <v>0</v>
          </cell>
          <cell r="L36">
            <v>0</v>
          </cell>
          <cell r="M36">
            <v>0</v>
          </cell>
          <cell r="N36">
            <v>0</v>
          </cell>
          <cell r="O36">
            <v>0</v>
          </cell>
          <cell r="P36">
            <v>385900</v>
          </cell>
          <cell r="Q36">
            <v>403300</v>
          </cell>
          <cell r="R36">
            <v>0</v>
          </cell>
          <cell r="S36">
            <v>0</v>
          </cell>
          <cell r="T36">
            <v>0</v>
          </cell>
          <cell r="U36">
            <v>0</v>
          </cell>
          <cell r="V36">
            <v>0</v>
          </cell>
          <cell r="W36">
            <v>0</v>
          </cell>
          <cell r="X36">
            <v>0</v>
          </cell>
          <cell r="Y36">
            <v>0</v>
          </cell>
          <cell r="AD36">
            <v>1893</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178700</v>
          </cell>
          <cell r="AZ36">
            <v>182300</v>
          </cell>
          <cell r="BA36">
            <v>137200</v>
          </cell>
          <cell r="BB36">
            <v>151300</v>
          </cell>
          <cell r="BC36">
            <v>170500</v>
          </cell>
          <cell r="BD36">
            <v>172000</v>
          </cell>
          <cell r="BE36">
            <v>171700</v>
          </cell>
          <cell r="BF36">
            <v>296000</v>
          </cell>
          <cell r="BG36">
            <v>330300</v>
          </cell>
          <cell r="BH36">
            <v>306200</v>
          </cell>
          <cell r="BI36">
            <v>320000</v>
          </cell>
          <cell r="BJ36">
            <v>363700</v>
          </cell>
          <cell r="BK36">
            <v>301500</v>
          </cell>
          <cell r="BL36">
            <v>329900</v>
          </cell>
          <cell r="BM36">
            <v>389500</v>
          </cell>
          <cell r="BN36">
            <v>385900</v>
          </cell>
          <cell r="BO36">
            <v>355900</v>
          </cell>
          <cell r="BP36">
            <v>361400</v>
          </cell>
          <cell r="BQ36">
            <v>356500</v>
          </cell>
          <cell r="BR36">
            <v>403300</v>
          </cell>
          <cell r="BS36">
            <v>332000</v>
          </cell>
          <cell r="BT36">
            <v>369600</v>
          </cell>
          <cell r="BU36">
            <v>366700</v>
          </cell>
          <cell r="BV36">
            <v>430100</v>
          </cell>
          <cell r="BW36">
            <v>323600</v>
          </cell>
          <cell r="BX36">
            <v>342200</v>
          </cell>
          <cell r="BY36">
            <v>327800</v>
          </cell>
          <cell r="BZ36">
            <v>390200</v>
          </cell>
          <cell r="CA36">
            <v>335800</v>
          </cell>
          <cell r="CB36">
            <v>340400</v>
          </cell>
          <cell r="CC36">
            <v>368654.97387969843</v>
          </cell>
          <cell r="CD36">
            <v>393338.54092425958</v>
          </cell>
        </row>
        <row r="37">
          <cell r="A37" t="str">
            <v>Accrued expenses and other current liabilities:</v>
          </cell>
          <cell r="F37">
            <v>6687</v>
          </cell>
          <cell r="G37">
            <v>1893</v>
          </cell>
          <cell r="H37">
            <v>0</v>
          </cell>
          <cell r="I37">
            <v>0</v>
          </cell>
          <cell r="J37">
            <v>0</v>
          </cell>
          <cell r="K37">
            <v>0</v>
          </cell>
          <cell r="L37">
            <v>0</v>
          </cell>
          <cell r="M37">
            <v>0</v>
          </cell>
          <cell r="N37">
            <v>0</v>
          </cell>
          <cell r="O37">
            <v>0</v>
          </cell>
          <cell r="R37">
            <v>0</v>
          </cell>
          <cell r="S37">
            <v>0</v>
          </cell>
          <cell r="T37">
            <v>0</v>
          </cell>
          <cell r="U37">
            <v>0</v>
          </cell>
          <cell r="V37">
            <v>0</v>
          </cell>
          <cell r="W37">
            <v>0</v>
          </cell>
          <cell r="X37">
            <v>0</v>
          </cell>
          <cell r="Y37">
            <v>0</v>
          </cell>
          <cell r="AD37">
            <v>1893</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row>
        <row r="38">
          <cell r="A38" t="str">
            <v xml:space="preserve">  Taxes</v>
          </cell>
          <cell r="F38">
            <v>11983</v>
          </cell>
          <cell r="G38">
            <v>13505</v>
          </cell>
          <cell r="H38">
            <v>10760</v>
          </cell>
          <cell r="I38">
            <v>31896</v>
          </cell>
          <cell r="J38">
            <v>52600</v>
          </cell>
          <cell r="K38">
            <v>48000</v>
          </cell>
          <cell r="L38">
            <v>60600</v>
          </cell>
          <cell r="M38">
            <v>81200</v>
          </cell>
          <cell r="N38">
            <v>117900</v>
          </cell>
          <cell r="O38">
            <v>104300</v>
          </cell>
          <cell r="P38">
            <v>104200</v>
          </cell>
          <cell r="Q38">
            <v>95200</v>
          </cell>
          <cell r="R38">
            <v>0</v>
          </cell>
          <cell r="S38">
            <v>0</v>
          </cell>
          <cell r="T38">
            <v>0</v>
          </cell>
          <cell r="U38">
            <v>50900</v>
          </cell>
          <cell r="V38">
            <v>35900</v>
          </cell>
          <cell r="W38">
            <v>35900</v>
          </cell>
          <cell r="X38">
            <v>35900</v>
          </cell>
          <cell r="Y38">
            <v>35900</v>
          </cell>
          <cell r="AD38">
            <v>13505</v>
          </cell>
          <cell r="AE38">
            <v>8977</v>
          </cell>
          <cell r="AF38">
            <v>10160</v>
          </cell>
          <cell r="AG38">
            <v>11577</v>
          </cell>
          <cell r="AH38">
            <v>10760</v>
          </cell>
          <cell r="AI38">
            <v>7486</v>
          </cell>
          <cell r="AJ38">
            <v>8548</v>
          </cell>
          <cell r="AK38">
            <v>89769</v>
          </cell>
          <cell r="AL38">
            <v>31896</v>
          </cell>
          <cell r="AM38">
            <v>70500</v>
          </cell>
          <cell r="AN38">
            <v>52700</v>
          </cell>
          <cell r="AO38">
            <v>59900</v>
          </cell>
          <cell r="AP38">
            <v>52600</v>
          </cell>
          <cell r="AQ38">
            <v>84600</v>
          </cell>
          <cell r="AR38">
            <v>29300</v>
          </cell>
          <cell r="AS38">
            <v>69900</v>
          </cell>
          <cell r="AT38">
            <v>48000</v>
          </cell>
          <cell r="AU38">
            <v>71800</v>
          </cell>
          <cell r="AV38">
            <v>54400</v>
          </cell>
          <cell r="AW38">
            <v>43100</v>
          </cell>
          <cell r="AX38">
            <v>60600</v>
          </cell>
          <cell r="AY38">
            <v>87600</v>
          </cell>
          <cell r="AZ38">
            <v>81300</v>
          </cell>
          <cell r="BA38">
            <v>71300</v>
          </cell>
          <cell r="BB38">
            <v>81200</v>
          </cell>
          <cell r="BC38">
            <v>75400</v>
          </cell>
          <cell r="BD38">
            <v>85100</v>
          </cell>
          <cell r="BE38">
            <v>90800</v>
          </cell>
          <cell r="BF38">
            <v>117900</v>
          </cell>
          <cell r="BG38">
            <v>103300</v>
          </cell>
          <cell r="BH38">
            <v>115400</v>
          </cell>
          <cell r="BI38">
            <v>114400</v>
          </cell>
          <cell r="BJ38">
            <v>104300</v>
          </cell>
          <cell r="BK38">
            <v>96200</v>
          </cell>
          <cell r="BL38">
            <v>103300</v>
          </cell>
          <cell r="BM38">
            <v>104300</v>
          </cell>
          <cell r="BN38">
            <v>104200</v>
          </cell>
          <cell r="BO38">
            <v>89000</v>
          </cell>
          <cell r="BP38">
            <v>95000</v>
          </cell>
          <cell r="BQ38">
            <v>97600</v>
          </cell>
          <cell r="BR38">
            <v>95200</v>
          </cell>
          <cell r="BS38">
            <v>84300</v>
          </cell>
          <cell r="BT38">
            <v>93100</v>
          </cell>
          <cell r="BU38">
            <v>93200</v>
          </cell>
          <cell r="BV38">
            <v>84100</v>
          </cell>
          <cell r="BW38">
            <v>71600</v>
          </cell>
          <cell r="BX38">
            <v>76300</v>
          </cell>
          <cell r="BY38">
            <v>77600</v>
          </cell>
          <cell r="BZ38">
            <v>78000</v>
          </cell>
          <cell r="CA38">
            <v>80900</v>
          </cell>
          <cell r="CB38">
            <v>75900</v>
          </cell>
          <cell r="CC38">
            <v>70900</v>
          </cell>
          <cell r="CD38">
            <v>65900</v>
          </cell>
        </row>
        <row r="39">
          <cell r="A39" t="str">
            <v xml:space="preserve">  Salaries and benefits</v>
          </cell>
          <cell r="F39">
            <v>14372</v>
          </cell>
          <cell r="G39">
            <v>15135</v>
          </cell>
          <cell r="H39">
            <v>13679</v>
          </cell>
          <cell r="I39">
            <v>0</v>
          </cell>
          <cell r="J39">
            <v>0</v>
          </cell>
          <cell r="K39">
            <v>0</v>
          </cell>
          <cell r="L39">
            <v>0</v>
          </cell>
          <cell r="M39">
            <v>0</v>
          </cell>
          <cell r="N39">
            <v>117900</v>
          </cell>
          <cell r="O39">
            <v>104300</v>
          </cell>
          <cell r="P39">
            <v>104200</v>
          </cell>
          <cell r="Q39">
            <v>95200</v>
          </cell>
          <cell r="R39">
            <v>0</v>
          </cell>
          <cell r="S39">
            <v>0</v>
          </cell>
          <cell r="T39">
            <v>0</v>
          </cell>
          <cell r="U39">
            <v>85300</v>
          </cell>
          <cell r="V39">
            <v>85300</v>
          </cell>
          <cell r="W39">
            <v>85300</v>
          </cell>
          <cell r="X39">
            <v>85300</v>
          </cell>
          <cell r="Y39">
            <v>85300</v>
          </cell>
          <cell r="AD39">
            <v>15135</v>
          </cell>
          <cell r="AE39">
            <v>13361</v>
          </cell>
          <cell r="AF39">
            <v>9911</v>
          </cell>
          <cell r="AG39">
            <v>12619</v>
          </cell>
          <cell r="AH39">
            <v>13679</v>
          </cell>
          <cell r="AI39">
            <v>11967</v>
          </cell>
          <cell r="AJ39">
            <v>11094</v>
          </cell>
          <cell r="AK39">
            <v>89769</v>
          </cell>
          <cell r="AL39">
            <v>31896</v>
          </cell>
          <cell r="AM39">
            <v>70500</v>
          </cell>
          <cell r="AN39">
            <v>52700</v>
          </cell>
          <cell r="AO39">
            <v>59900</v>
          </cell>
          <cell r="AP39">
            <v>52600</v>
          </cell>
          <cell r="AQ39">
            <v>84600</v>
          </cell>
          <cell r="AR39">
            <v>29300</v>
          </cell>
          <cell r="AS39">
            <v>69900</v>
          </cell>
          <cell r="AT39">
            <v>48000</v>
          </cell>
          <cell r="AU39">
            <v>71800</v>
          </cell>
          <cell r="AV39">
            <v>54400</v>
          </cell>
          <cell r="AW39">
            <v>43100</v>
          </cell>
          <cell r="AX39">
            <v>60600</v>
          </cell>
          <cell r="AY39">
            <v>87600</v>
          </cell>
          <cell r="AZ39">
            <v>81300</v>
          </cell>
          <cell r="BA39">
            <v>71300</v>
          </cell>
          <cell r="BB39">
            <v>81200</v>
          </cell>
          <cell r="BC39">
            <v>75400</v>
          </cell>
          <cell r="BD39">
            <v>85100</v>
          </cell>
          <cell r="BE39">
            <v>90800</v>
          </cell>
          <cell r="BF39">
            <v>117900</v>
          </cell>
          <cell r="BG39">
            <v>103300</v>
          </cell>
          <cell r="BH39">
            <v>115400</v>
          </cell>
          <cell r="BI39">
            <v>114400</v>
          </cell>
          <cell r="BJ39">
            <v>104300</v>
          </cell>
          <cell r="BK39">
            <v>96200</v>
          </cell>
          <cell r="BL39">
            <v>103300</v>
          </cell>
          <cell r="BM39">
            <v>104300</v>
          </cell>
          <cell r="BN39">
            <v>104200</v>
          </cell>
          <cell r="BO39">
            <v>89000</v>
          </cell>
          <cell r="BP39">
            <v>95000</v>
          </cell>
          <cell r="BQ39">
            <v>97600</v>
          </cell>
          <cell r="BR39">
            <v>95200</v>
          </cell>
          <cell r="BS39">
            <v>84300</v>
          </cell>
          <cell r="BT39">
            <v>93100</v>
          </cell>
          <cell r="BU39">
            <v>93200</v>
          </cell>
          <cell r="BV39">
            <v>84100</v>
          </cell>
          <cell r="BW39">
            <v>71600</v>
          </cell>
          <cell r="BX39">
            <v>76300</v>
          </cell>
          <cell r="BY39">
            <v>77600</v>
          </cell>
          <cell r="BZ39">
            <v>78000</v>
          </cell>
          <cell r="CA39">
            <v>80900</v>
          </cell>
          <cell r="CB39">
            <v>85300</v>
          </cell>
          <cell r="CC39">
            <v>85300</v>
          </cell>
          <cell r="CD39">
            <v>85300</v>
          </cell>
        </row>
        <row r="40">
          <cell r="A40" t="str">
            <v xml:space="preserve">  Interest</v>
          </cell>
          <cell r="F40">
            <v>3190</v>
          </cell>
          <cell r="G40">
            <v>5471</v>
          </cell>
          <cell r="H40">
            <v>13705</v>
          </cell>
          <cell r="I40">
            <v>148184</v>
          </cell>
          <cell r="J40">
            <v>139600</v>
          </cell>
          <cell r="K40">
            <v>178900</v>
          </cell>
          <cell r="L40">
            <v>201800</v>
          </cell>
          <cell r="M40">
            <v>209300</v>
          </cell>
          <cell r="N40">
            <v>192300</v>
          </cell>
          <cell r="O40">
            <v>142600</v>
          </cell>
          <cell r="P40">
            <v>133500</v>
          </cell>
          <cell r="Q40">
            <v>102500</v>
          </cell>
          <cell r="R40">
            <v>0</v>
          </cell>
          <cell r="S40">
            <v>0</v>
          </cell>
          <cell r="T40">
            <v>0</v>
          </cell>
          <cell r="U40">
            <v>45939.283074215185</v>
          </cell>
          <cell r="V40">
            <v>45939.283074215185</v>
          </cell>
          <cell r="W40">
            <v>45939.283074215185</v>
          </cell>
          <cell r="X40">
            <v>45939.283074215185</v>
          </cell>
          <cell r="Y40">
            <v>45939.283074215185</v>
          </cell>
          <cell r="AD40">
            <v>5471</v>
          </cell>
          <cell r="AE40">
            <v>4292</v>
          </cell>
          <cell r="AF40">
            <v>11746</v>
          </cell>
          <cell r="AG40">
            <v>5819</v>
          </cell>
          <cell r="AH40">
            <v>13705</v>
          </cell>
          <cell r="AI40">
            <v>4017</v>
          </cell>
          <cell r="AJ40">
            <v>11770</v>
          </cell>
          <cell r="AK40">
            <v>89768</v>
          </cell>
          <cell r="AL40">
            <v>148184</v>
          </cell>
          <cell r="AM40">
            <v>64300</v>
          </cell>
          <cell r="AN40">
            <v>143200</v>
          </cell>
          <cell r="AO40">
            <v>74700</v>
          </cell>
          <cell r="AP40">
            <v>139600</v>
          </cell>
          <cell r="AQ40">
            <v>70700</v>
          </cell>
          <cell r="AR40">
            <v>172000</v>
          </cell>
          <cell r="AS40">
            <v>69800</v>
          </cell>
          <cell r="AT40">
            <v>178900</v>
          </cell>
          <cell r="AU40">
            <v>108700</v>
          </cell>
          <cell r="AV40">
            <v>177300</v>
          </cell>
          <cell r="AW40">
            <v>111400</v>
          </cell>
          <cell r="AX40">
            <v>201800</v>
          </cell>
          <cell r="AY40">
            <v>154700</v>
          </cell>
          <cell r="AZ40">
            <v>192700</v>
          </cell>
          <cell r="BA40">
            <v>107200</v>
          </cell>
          <cell r="BB40">
            <v>209300</v>
          </cell>
          <cell r="BC40">
            <v>145100</v>
          </cell>
          <cell r="BD40">
            <v>168300</v>
          </cell>
          <cell r="BE40">
            <v>174000</v>
          </cell>
          <cell r="BF40">
            <v>192300</v>
          </cell>
          <cell r="BG40">
            <v>210400</v>
          </cell>
          <cell r="BH40">
            <v>178200</v>
          </cell>
          <cell r="BI40">
            <v>208800</v>
          </cell>
          <cell r="BJ40">
            <v>142600</v>
          </cell>
          <cell r="BK40">
            <v>189400</v>
          </cell>
          <cell r="BL40">
            <v>158700</v>
          </cell>
          <cell r="BM40">
            <v>182700</v>
          </cell>
          <cell r="BN40">
            <v>133500</v>
          </cell>
          <cell r="BO40">
            <v>200900</v>
          </cell>
          <cell r="BP40">
            <v>132300</v>
          </cell>
          <cell r="BQ40">
            <v>199200</v>
          </cell>
          <cell r="BR40">
            <v>102500</v>
          </cell>
          <cell r="BS40">
            <v>170400</v>
          </cell>
          <cell r="BT40">
            <v>84500</v>
          </cell>
          <cell r="BU40">
            <v>139000</v>
          </cell>
          <cell r="BV40">
            <v>78400</v>
          </cell>
          <cell r="BW40">
            <v>118100</v>
          </cell>
          <cell r="BX40">
            <v>66300</v>
          </cell>
          <cell r="BY40">
            <v>93100</v>
          </cell>
          <cell r="BZ40">
            <v>58100</v>
          </cell>
          <cell r="CA40">
            <v>96000</v>
          </cell>
          <cell r="CB40">
            <v>56196.131784174482</v>
          </cell>
          <cell r="CC40">
            <v>88994.518532608345</v>
          </cell>
          <cell r="CD40">
            <v>45939.283074215185</v>
          </cell>
        </row>
        <row r="41">
          <cell r="A41" t="str">
            <v xml:space="preserve">  Other</v>
          </cell>
          <cell r="F41">
            <v>14405</v>
          </cell>
          <cell r="G41">
            <v>15564</v>
          </cell>
          <cell r="H41">
            <v>40543</v>
          </cell>
          <cell r="I41">
            <v>187602</v>
          </cell>
          <cell r="J41">
            <v>189000</v>
          </cell>
          <cell r="K41">
            <v>186100</v>
          </cell>
          <cell r="L41">
            <v>169400</v>
          </cell>
          <cell r="M41">
            <v>258700</v>
          </cell>
          <cell r="N41">
            <v>399200</v>
          </cell>
          <cell r="O41">
            <v>471700</v>
          </cell>
          <cell r="P41">
            <v>513500</v>
          </cell>
          <cell r="Q41">
            <v>509800</v>
          </cell>
          <cell r="R41">
            <v>474700</v>
          </cell>
          <cell r="S41">
            <v>535300</v>
          </cell>
          <cell r="T41">
            <v>553900</v>
          </cell>
          <cell r="U41">
            <v>553900</v>
          </cell>
          <cell r="V41">
            <v>553900</v>
          </cell>
          <cell r="W41">
            <v>553900</v>
          </cell>
          <cell r="X41">
            <v>553900</v>
          </cell>
          <cell r="Y41">
            <v>553900</v>
          </cell>
          <cell r="AD41">
            <v>15564</v>
          </cell>
          <cell r="AE41">
            <v>29527</v>
          </cell>
          <cell r="AF41">
            <v>39528</v>
          </cell>
          <cell r="AG41">
            <v>40198</v>
          </cell>
          <cell r="AH41">
            <v>40543</v>
          </cell>
          <cell r="AI41">
            <v>40215</v>
          </cell>
          <cell r="AJ41">
            <v>38355</v>
          </cell>
          <cell r="AK41">
            <v>171300</v>
          </cell>
          <cell r="AL41">
            <v>187602</v>
          </cell>
          <cell r="AM41">
            <v>196300</v>
          </cell>
          <cell r="AN41">
            <v>189800</v>
          </cell>
          <cell r="AO41">
            <v>210300</v>
          </cell>
          <cell r="AP41">
            <v>189000</v>
          </cell>
          <cell r="AQ41">
            <v>175400</v>
          </cell>
          <cell r="AR41">
            <v>173200</v>
          </cell>
          <cell r="AS41">
            <v>203100</v>
          </cell>
          <cell r="AT41">
            <v>186100</v>
          </cell>
          <cell r="AU41">
            <v>156300</v>
          </cell>
          <cell r="AV41">
            <v>159100</v>
          </cell>
          <cell r="AW41">
            <v>169600</v>
          </cell>
          <cell r="AX41">
            <v>169400</v>
          </cell>
          <cell r="AY41">
            <v>161600</v>
          </cell>
          <cell r="AZ41">
            <v>180100</v>
          </cell>
          <cell r="BA41">
            <v>297300</v>
          </cell>
          <cell r="BB41">
            <v>258700</v>
          </cell>
          <cell r="BC41">
            <v>244400</v>
          </cell>
          <cell r="BD41">
            <v>236600</v>
          </cell>
          <cell r="BE41">
            <v>251900</v>
          </cell>
          <cell r="BF41">
            <v>399200</v>
          </cell>
          <cell r="BG41">
            <v>352800</v>
          </cell>
          <cell r="BH41">
            <v>410400</v>
          </cell>
          <cell r="BI41">
            <v>391900</v>
          </cell>
          <cell r="BJ41">
            <v>471700</v>
          </cell>
          <cell r="BK41">
            <v>406600</v>
          </cell>
          <cell r="BL41">
            <v>437700</v>
          </cell>
          <cell r="BM41">
            <v>449600</v>
          </cell>
          <cell r="BN41">
            <v>513500</v>
          </cell>
          <cell r="BO41">
            <v>471100</v>
          </cell>
          <cell r="BP41">
            <v>503200</v>
          </cell>
          <cell r="BQ41">
            <v>441400</v>
          </cell>
          <cell r="BR41">
            <v>509800</v>
          </cell>
          <cell r="BS41">
            <v>462600</v>
          </cell>
          <cell r="BT41">
            <v>452900</v>
          </cell>
          <cell r="BU41">
            <v>485500</v>
          </cell>
          <cell r="BV41">
            <v>474700</v>
          </cell>
          <cell r="BW41">
            <v>430500</v>
          </cell>
          <cell r="BX41">
            <v>430100</v>
          </cell>
          <cell r="BY41">
            <v>452600</v>
          </cell>
          <cell r="BZ41">
            <v>535300</v>
          </cell>
          <cell r="CA41">
            <v>553900</v>
          </cell>
          <cell r="CB41">
            <v>553900</v>
          </cell>
          <cell r="CC41">
            <v>553900</v>
          </cell>
          <cell r="CD41">
            <v>553900</v>
          </cell>
        </row>
        <row r="42">
          <cell r="A42" t="str">
            <v xml:space="preserve">  Adv billings/customer deposits</v>
          </cell>
          <cell r="F42">
            <v>16958</v>
          </cell>
          <cell r="G42">
            <v>15700</v>
          </cell>
          <cell r="H42">
            <v>14892</v>
          </cell>
          <cell r="I42">
            <v>115215</v>
          </cell>
          <cell r="J42">
            <v>91400</v>
          </cell>
          <cell r="K42">
            <v>94000</v>
          </cell>
          <cell r="L42">
            <v>95200</v>
          </cell>
          <cell r="M42">
            <v>145800</v>
          </cell>
          <cell r="N42">
            <v>243900</v>
          </cell>
          <cell r="O42">
            <v>219600</v>
          </cell>
          <cell r="P42">
            <v>223500</v>
          </cell>
          <cell r="Q42">
            <v>214700</v>
          </cell>
          <cell r="R42">
            <v>193900</v>
          </cell>
          <cell r="S42">
            <v>178100</v>
          </cell>
          <cell r="T42">
            <v>204345.43624374585</v>
          </cell>
          <cell r="U42">
            <v>198246.90247458484</v>
          </cell>
          <cell r="V42">
            <v>192281.32336187825</v>
          </cell>
          <cell r="W42">
            <v>186964.44410470186</v>
          </cell>
          <cell r="X42">
            <v>182142.36176728396</v>
          </cell>
          <cell r="Y42">
            <v>177775.87386949407</v>
          </cell>
          <cell r="AD42">
            <v>15700</v>
          </cell>
          <cell r="AE42">
            <v>15551</v>
          </cell>
          <cell r="AF42">
            <v>15308</v>
          </cell>
          <cell r="AG42">
            <v>15129</v>
          </cell>
          <cell r="AH42">
            <v>14892</v>
          </cell>
          <cell r="AI42">
            <v>15445</v>
          </cell>
          <cell r="AJ42">
            <v>15059</v>
          </cell>
          <cell r="AK42">
            <v>64979</v>
          </cell>
          <cell r="AL42">
            <v>115215</v>
          </cell>
          <cell r="AM42">
            <v>92300</v>
          </cell>
          <cell r="AN42">
            <v>90800</v>
          </cell>
          <cell r="AO42">
            <v>94100</v>
          </cell>
          <cell r="AP42">
            <v>91400</v>
          </cell>
          <cell r="AQ42">
            <v>97000</v>
          </cell>
          <cell r="AR42">
            <v>100700</v>
          </cell>
          <cell r="AS42">
            <v>94300</v>
          </cell>
          <cell r="AT42">
            <v>94000</v>
          </cell>
          <cell r="AU42">
            <v>93000</v>
          </cell>
          <cell r="AV42">
            <v>92200</v>
          </cell>
          <cell r="AW42">
            <v>92000</v>
          </cell>
          <cell r="AX42">
            <v>95200</v>
          </cell>
          <cell r="AY42">
            <v>110500</v>
          </cell>
          <cell r="AZ42">
            <v>122100</v>
          </cell>
          <cell r="BA42">
            <v>121100</v>
          </cell>
          <cell r="BB42">
            <v>145800</v>
          </cell>
          <cell r="BC42">
            <v>150300</v>
          </cell>
          <cell r="BD42">
            <v>146200</v>
          </cell>
          <cell r="BE42">
            <v>142400</v>
          </cell>
          <cell r="BF42">
            <v>243900</v>
          </cell>
          <cell r="BG42">
            <v>217200</v>
          </cell>
          <cell r="BH42">
            <v>225700</v>
          </cell>
          <cell r="BI42">
            <v>224800</v>
          </cell>
          <cell r="BJ42">
            <v>219600</v>
          </cell>
          <cell r="BK42">
            <v>223200</v>
          </cell>
          <cell r="BL42">
            <v>226000</v>
          </cell>
          <cell r="BM42">
            <v>223600</v>
          </cell>
          <cell r="BN42">
            <v>223500</v>
          </cell>
          <cell r="BO42">
            <v>222000</v>
          </cell>
          <cell r="BP42">
            <v>220900</v>
          </cell>
          <cell r="BQ42">
            <v>216700</v>
          </cell>
          <cell r="BR42">
            <v>214700</v>
          </cell>
          <cell r="BS42">
            <v>214500</v>
          </cell>
          <cell r="BT42">
            <v>211100</v>
          </cell>
          <cell r="BU42">
            <v>207400</v>
          </cell>
          <cell r="BV42">
            <v>193900</v>
          </cell>
          <cell r="BW42">
            <v>193900</v>
          </cell>
          <cell r="BX42">
            <v>193200</v>
          </cell>
          <cell r="BY42">
            <v>183900</v>
          </cell>
          <cell r="BZ42">
            <v>178100</v>
          </cell>
          <cell r="CA42">
            <v>215100</v>
          </cell>
          <cell r="CB42">
            <v>210306.66311546226</v>
          </cell>
          <cell r="CC42">
            <v>206579.31409050466</v>
          </cell>
          <cell r="CD42">
            <v>204345.43624374585</v>
          </cell>
        </row>
        <row r="43">
          <cell r="A43" t="str">
            <v>Total current liabilities</v>
          </cell>
          <cell r="F43">
            <v>119371</v>
          </cell>
          <cell r="G43">
            <v>74916</v>
          </cell>
          <cell r="H43">
            <v>100259</v>
          </cell>
          <cell r="I43">
            <v>684581</v>
          </cell>
          <cell r="J43">
            <v>658800</v>
          </cell>
          <cell r="K43">
            <v>665300</v>
          </cell>
          <cell r="L43">
            <v>709300</v>
          </cell>
          <cell r="M43">
            <v>985500</v>
          </cell>
          <cell r="N43">
            <v>1463000</v>
          </cell>
          <cell r="O43">
            <v>2167900</v>
          </cell>
          <cell r="P43">
            <v>1445600</v>
          </cell>
          <cell r="Q43">
            <v>2043000</v>
          </cell>
          <cell r="R43">
            <v>1267100</v>
          </cell>
          <cell r="S43">
            <v>1254600</v>
          </cell>
          <cell r="T43">
            <v>1259554.3727860944</v>
          </cell>
          <cell r="U43">
            <v>1230316.5776767875</v>
          </cell>
          <cell r="V43">
            <v>1200693.3968430506</v>
          </cell>
          <cell r="W43">
            <v>1187787.4461669626</v>
          </cell>
          <cell r="X43">
            <v>1176178.4704039062</v>
          </cell>
          <cell r="Y43">
            <v>1165771.1659531146</v>
          </cell>
          <cell r="AD43">
            <v>74916</v>
          </cell>
          <cell r="AE43">
            <v>79293</v>
          </cell>
          <cell r="AF43">
            <v>93940</v>
          </cell>
          <cell r="AG43">
            <v>96369</v>
          </cell>
          <cell r="AH43">
            <v>100259</v>
          </cell>
          <cell r="AI43">
            <v>89027</v>
          </cell>
          <cell r="AJ43">
            <v>96595</v>
          </cell>
          <cell r="AK43">
            <v>652409</v>
          </cell>
          <cell r="AL43">
            <v>684581</v>
          </cell>
          <cell r="AM43">
            <v>632800</v>
          </cell>
          <cell r="AN43">
            <v>681900</v>
          </cell>
          <cell r="AO43">
            <v>664600</v>
          </cell>
          <cell r="AP43">
            <v>658800</v>
          </cell>
          <cell r="AQ43">
            <v>615100</v>
          </cell>
          <cell r="AR43">
            <v>639500</v>
          </cell>
          <cell r="AS43">
            <v>611300</v>
          </cell>
          <cell r="AT43">
            <v>665300</v>
          </cell>
          <cell r="AU43">
            <v>571000</v>
          </cell>
          <cell r="AV43">
            <v>627000</v>
          </cell>
          <cell r="AW43">
            <v>572100</v>
          </cell>
          <cell r="AX43">
            <v>709300</v>
          </cell>
          <cell r="AY43">
            <v>721400</v>
          </cell>
          <cell r="AZ43">
            <v>786600</v>
          </cell>
          <cell r="BA43">
            <v>864600</v>
          </cell>
          <cell r="BB43">
            <v>985500</v>
          </cell>
          <cell r="BC43">
            <v>923400</v>
          </cell>
          <cell r="BD43">
            <v>950900</v>
          </cell>
          <cell r="BE43">
            <v>875600</v>
          </cell>
          <cell r="BF43">
            <v>1463000</v>
          </cell>
          <cell r="BG43">
            <v>1280100</v>
          </cell>
          <cell r="BH43">
            <v>1301700</v>
          </cell>
          <cell r="BI43">
            <v>2442400</v>
          </cell>
          <cell r="BJ43">
            <v>2167900</v>
          </cell>
          <cell r="BK43">
            <v>2104900</v>
          </cell>
          <cell r="BL43">
            <v>1332400</v>
          </cell>
          <cell r="BM43">
            <v>1435700</v>
          </cell>
          <cell r="BN43">
            <v>1445600</v>
          </cell>
          <cell r="BO43">
            <v>1427600</v>
          </cell>
          <cell r="BP43">
            <v>1405300</v>
          </cell>
          <cell r="BQ43">
            <v>1403900</v>
          </cell>
          <cell r="BR43">
            <v>2043000</v>
          </cell>
          <cell r="BS43">
            <v>1356300</v>
          </cell>
          <cell r="BT43">
            <v>1217100</v>
          </cell>
          <cell r="BU43">
            <v>1297700</v>
          </cell>
          <cell r="BV43">
            <v>1267100</v>
          </cell>
          <cell r="BW43">
            <v>1149600</v>
          </cell>
          <cell r="BX43">
            <v>1120000</v>
          </cell>
          <cell r="BY43">
            <v>1148400</v>
          </cell>
          <cell r="BZ43">
            <v>1254600</v>
          </cell>
          <cell r="CA43">
            <v>1301000</v>
          </cell>
          <cell r="CB43">
            <v>1277720.8945567713</v>
          </cell>
          <cell r="CC43">
            <v>1303533.0600081291</v>
          </cell>
          <cell r="CD43">
            <v>1259554.3727860944</v>
          </cell>
        </row>
        <row r="44">
          <cell r="A44" t="str">
            <v>Total current liabilities</v>
          </cell>
          <cell r="F44">
            <v>119371</v>
          </cell>
          <cell r="G44">
            <v>74916</v>
          </cell>
          <cell r="H44">
            <v>100259</v>
          </cell>
          <cell r="I44">
            <v>684581</v>
          </cell>
          <cell r="J44">
            <v>658800</v>
          </cell>
          <cell r="K44">
            <v>665300</v>
          </cell>
          <cell r="L44">
            <v>709300</v>
          </cell>
          <cell r="M44">
            <v>985500</v>
          </cell>
          <cell r="N44">
            <v>1463000</v>
          </cell>
          <cell r="O44">
            <v>2167900</v>
          </cell>
          <cell r="P44">
            <v>1445600</v>
          </cell>
          <cell r="Q44">
            <v>2043000</v>
          </cell>
          <cell r="R44">
            <v>1267100</v>
          </cell>
          <cell r="S44">
            <v>1254600</v>
          </cell>
          <cell r="T44">
            <v>1276279.4169826561</v>
          </cell>
          <cell r="U44">
            <v>1260243.0850337313</v>
          </cell>
          <cell r="V44">
            <v>1231572.5000096504</v>
          </cell>
          <cell r="W44">
            <v>1204193.2694230652</v>
          </cell>
          <cell r="X44">
            <v>1191683.2066185579</v>
          </cell>
          <cell r="Y44">
            <v>1179767.1632863805</v>
          </cell>
          <cell r="AD44">
            <v>74916</v>
          </cell>
          <cell r="AE44">
            <v>79293</v>
          </cell>
          <cell r="AF44">
            <v>93940</v>
          </cell>
          <cell r="AG44">
            <v>96369</v>
          </cell>
          <cell r="AH44">
            <v>100259</v>
          </cell>
          <cell r="AI44">
            <v>89027</v>
          </cell>
          <cell r="AJ44">
            <v>96595</v>
          </cell>
          <cell r="AK44">
            <v>652409</v>
          </cell>
          <cell r="AL44">
            <v>684581</v>
          </cell>
          <cell r="AM44">
            <v>632800</v>
          </cell>
          <cell r="AN44">
            <v>681900</v>
          </cell>
          <cell r="AO44">
            <v>664600</v>
          </cell>
          <cell r="AP44">
            <v>658800</v>
          </cell>
          <cell r="AQ44">
            <v>615100</v>
          </cell>
          <cell r="AR44">
            <v>639500</v>
          </cell>
          <cell r="AS44">
            <v>611300</v>
          </cell>
          <cell r="AT44">
            <v>665300</v>
          </cell>
          <cell r="AU44">
            <v>571000</v>
          </cell>
          <cell r="AV44">
            <v>627000</v>
          </cell>
          <cell r="AW44">
            <v>572100</v>
          </cell>
          <cell r="AX44">
            <v>709300</v>
          </cell>
          <cell r="AY44">
            <v>721400</v>
          </cell>
          <cell r="AZ44">
            <v>786600</v>
          </cell>
          <cell r="BA44">
            <v>864600</v>
          </cell>
          <cell r="BB44">
            <v>985500</v>
          </cell>
          <cell r="BC44">
            <v>923400</v>
          </cell>
          <cell r="BD44">
            <v>950900</v>
          </cell>
          <cell r="BE44">
            <v>875600</v>
          </cell>
          <cell r="BF44">
            <v>1463000</v>
          </cell>
          <cell r="BG44">
            <v>1280100</v>
          </cell>
          <cell r="BH44">
            <v>1301700</v>
          </cell>
          <cell r="BI44">
            <v>2442400</v>
          </cell>
          <cell r="BJ44">
            <v>2167900</v>
          </cell>
          <cell r="BK44">
            <v>2104900</v>
          </cell>
          <cell r="BL44">
            <v>1332400</v>
          </cell>
          <cell r="BM44">
            <v>1435700</v>
          </cell>
          <cell r="BN44">
            <v>1445600</v>
          </cell>
          <cell r="BO44">
            <v>1427600</v>
          </cell>
          <cell r="BP44">
            <v>1405300</v>
          </cell>
          <cell r="BQ44">
            <v>1403900</v>
          </cell>
          <cell r="BR44">
            <v>2043000</v>
          </cell>
          <cell r="BS44">
            <v>1356300</v>
          </cell>
          <cell r="BT44">
            <v>1217100</v>
          </cell>
          <cell r="BU44">
            <v>1297700</v>
          </cell>
          <cell r="BV44">
            <v>1267100</v>
          </cell>
          <cell r="BW44">
            <v>1149600</v>
          </cell>
          <cell r="BX44">
            <v>1120000</v>
          </cell>
          <cell r="BY44">
            <v>1148400</v>
          </cell>
          <cell r="BZ44">
            <v>1254600</v>
          </cell>
          <cell r="CA44">
            <v>1301000</v>
          </cell>
          <cell r="CB44">
            <v>1227800</v>
          </cell>
          <cell r="CC44">
            <v>1293994.5381312696</v>
          </cell>
          <cell r="CD44">
            <v>1276279.4169826561</v>
          </cell>
        </row>
        <row r="45">
          <cell r="A45" t="str">
            <v>Long-term debt</v>
          </cell>
          <cell r="F45">
            <v>1426655</v>
          </cell>
          <cell r="G45">
            <v>1599177</v>
          </cell>
          <cell r="H45">
            <v>1180555</v>
          </cell>
          <cell r="I45">
            <v>5456172</v>
          </cell>
          <cell r="J45">
            <v>5331200</v>
          </cell>
          <cell r="K45">
            <v>5358200</v>
          </cell>
          <cell r="L45">
            <v>6271400</v>
          </cell>
          <cell r="M45">
            <v>7186600</v>
          </cell>
          <cell r="N45">
            <v>8936700</v>
          </cell>
          <cell r="O45">
            <v>8099800</v>
          </cell>
          <cell r="P45">
            <v>8622200</v>
          </cell>
          <cell r="Q45">
            <v>7846500</v>
          </cell>
          <cell r="R45">
            <v>5164600</v>
          </cell>
          <cell r="S45">
            <v>4848700</v>
          </cell>
          <cell r="T45">
            <v>5244764.6302906256</v>
          </cell>
          <cell r="U45">
            <v>5088979.6302906256</v>
          </cell>
          <cell r="V45">
            <v>4908252.4802906252</v>
          </cell>
          <cell r="W45">
            <v>4744582.6017906256</v>
          </cell>
          <cell r="X45">
            <v>4623304.7917850008</v>
          </cell>
          <cell r="Y45">
            <v>4417747.7438671505</v>
          </cell>
          <cell r="AD45">
            <v>1599177</v>
          </cell>
          <cell r="AE45">
            <v>1200590</v>
          </cell>
          <cell r="AF45">
            <v>1190556</v>
          </cell>
          <cell r="AG45">
            <v>1180555</v>
          </cell>
          <cell r="AH45">
            <v>1180555</v>
          </cell>
          <cell r="AI45">
            <v>1180555</v>
          </cell>
          <cell r="AJ45">
            <v>1180555</v>
          </cell>
          <cell r="AK45">
            <v>5477428</v>
          </cell>
          <cell r="AL45">
            <v>5456172</v>
          </cell>
          <cell r="AM45">
            <v>5449100</v>
          </cell>
          <cell r="AN45">
            <v>5439500</v>
          </cell>
          <cell r="AO45">
            <v>5633700</v>
          </cell>
          <cell r="AP45">
            <v>5331200</v>
          </cell>
          <cell r="AQ45">
            <v>5342900</v>
          </cell>
          <cell r="AR45">
            <v>5344700</v>
          </cell>
          <cell r="AS45">
            <v>5371400</v>
          </cell>
          <cell r="AT45">
            <v>5358200</v>
          </cell>
          <cell r="AU45">
            <v>5355100</v>
          </cell>
          <cell r="AV45">
            <v>5202000</v>
          </cell>
          <cell r="AW45">
            <v>5199000</v>
          </cell>
          <cell r="AX45">
            <v>6271400</v>
          </cell>
          <cell r="AY45">
            <v>6266700</v>
          </cell>
          <cell r="AZ45">
            <v>6564000</v>
          </cell>
          <cell r="BA45">
            <v>6555800</v>
          </cell>
          <cell r="BB45">
            <v>7186600</v>
          </cell>
          <cell r="BC45">
            <v>7285300</v>
          </cell>
          <cell r="BD45">
            <v>7224500</v>
          </cell>
          <cell r="BE45">
            <v>7296600</v>
          </cell>
          <cell r="BF45">
            <v>8936700</v>
          </cell>
          <cell r="BG45">
            <v>8788000</v>
          </cell>
          <cell r="BH45">
            <v>8794300</v>
          </cell>
          <cell r="BI45">
            <v>7848300</v>
          </cell>
          <cell r="BJ45">
            <v>8099800</v>
          </cell>
          <cell r="BK45">
            <v>8108700</v>
          </cell>
          <cell r="BL45">
            <v>8867900</v>
          </cell>
          <cell r="BM45">
            <v>8760800</v>
          </cell>
          <cell r="BN45">
            <v>8622200</v>
          </cell>
          <cell r="BO45">
            <v>8617600</v>
          </cell>
          <cell r="BP45">
            <v>8593100</v>
          </cell>
          <cell r="BQ45">
            <v>8568600</v>
          </cell>
          <cell r="BR45">
            <v>7846500</v>
          </cell>
          <cell r="BS45">
            <v>8728100</v>
          </cell>
          <cell r="BT45">
            <v>5637900</v>
          </cell>
          <cell r="BU45">
            <v>5693400</v>
          </cell>
          <cell r="BV45">
            <v>5164600</v>
          </cell>
          <cell r="BW45">
            <v>5433100</v>
          </cell>
          <cell r="BX45">
            <v>4731600</v>
          </cell>
          <cell r="BY45">
            <v>4852700</v>
          </cell>
          <cell r="BZ45">
            <v>4848700</v>
          </cell>
          <cell r="CA45">
            <v>5459800</v>
          </cell>
          <cell r="CB45">
            <v>5396446.5000000009</v>
          </cell>
          <cell r="CC45">
            <v>5323101.38375</v>
          </cell>
          <cell r="CD45">
            <v>5244764.6302906256</v>
          </cell>
        </row>
        <row r="46">
          <cell r="A46" t="str">
            <v>Deferred income taxes</v>
          </cell>
          <cell r="F46">
            <v>0</v>
          </cell>
          <cell r="G46">
            <v>0</v>
          </cell>
          <cell r="H46">
            <v>0</v>
          </cell>
          <cell r="I46">
            <v>990816</v>
          </cell>
          <cell r="J46">
            <v>1136600</v>
          </cell>
          <cell r="K46">
            <v>1070600</v>
          </cell>
          <cell r="L46">
            <v>1372000</v>
          </cell>
          <cell r="M46">
            <v>1767600</v>
          </cell>
          <cell r="N46">
            <v>1849800</v>
          </cell>
          <cell r="O46">
            <v>1896800</v>
          </cell>
          <cell r="P46">
            <v>2038300</v>
          </cell>
          <cell r="Q46">
            <v>1773200</v>
          </cell>
          <cell r="R46">
            <v>287400</v>
          </cell>
          <cell r="S46">
            <v>151500</v>
          </cell>
          <cell r="T46">
            <v>98200</v>
          </cell>
          <cell r="U46">
            <v>98200</v>
          </cell>
          <cell r="V46">
            <v>98200</v>
          </cell>
          <cell r="W46">
            <v>98200</v>
          </cell>
          <cell r="X46">
            <v>98200</v>
          </cell>
          <cell r="Y46">
            <v>98200</v>
          </cell>
          <cell r="AD46">
            <v>0</v>
          </cell>
          <cell r="AE46">
            <v>0</v>
          </cell>
          <cell r="AF46">
            <v>0</v>
          </cell>
          <cell r="AG46">
            <v>0</v>
          </cell>
          <cell r="AH46">
            <v>0</v>
          </cell>
          <cell r="AI46">
            <v>0</v>
          </cell>
          <cell r="AJ46">
            <v>0</v>
          </cell>
          <cell r="AK46">
            <v>1063860</v>
          </cell>
          <cell r="AL46">
            <v>990816</v>
          </cell>
          <cell r="AM46">
            <v>987500</v>
          </cell>
          <cell r="AN46">
            <v>1002200</v>
          </cell>
          <cell r="AO46">
            <v>1077700</v>
          </cell>
          <cell r="AP46">
            <v>1136600</v>
          </cell>
          <cell r="AQ46">
            <v>1131000</v>
          </cell>
          <cell r="AR46">
            <v>1177600</v>
          </cell>
          <cell r="AS46">
            <v>1210600</v>
          </cell>
          <cell r="AT46">
            <v>1070600</v>
          </cell>
          <cell r="AU46">
            <v>1105300</v>
          </cell>
          <cell r="AV46">
            <v>1111400</v>
          </cell>
          <cell r="AW46">
            <v>1177700</v>
          </cell>
          <cell r="AX46">
            <v>1372000</v>
          </cell>
          <cell r="AY46">
            <v>1412500</v>
          </cell>
          <cell r="AZ46">
            <v>1541300</v>
          </cell>
          <cell r="BA46">
            <v>1563900</v>
          </cell>
          <cell r="BB46">
            <v>1767600</v>
          </cell>
          <cell r="BC46">
            <v>1819800</v>
          </cell>
          <cell r="BD46">
            <v>1864700</v>
          </cell>
          <cell r="BE46">
            <v>2003600</v>
          </cell>
          <cell r="BF46">
            <v>1849800</v>
          </cell>
          <cell r="BG46">
            <v>1841600</v>
          </cell>
          <cell r="BH46">
            <v>1853500</v>
          </cell>
          <cell r="BI46">
            <v>1835700</v>
          </cell>
          <cell r="BJ46">
            <v>1896800</v>
          </cell>
          <cell r="BK46">
            <v>1815200</v>
          </cell>
          <cell r="BL46">
            <v>1827000</v>
          </cell>
          <cell r="BM46">
            <v>1810400</v>
          </cell>
          <cell r="BN46">
            <v>2038300</v>
          </cell>
          <cell r="BO46">
            <v>1968000</v>
          </cell>
          <cell r="BP46">
            <v>1897900</v>
          </cell>
          <cell r="BQ46">
            <v>1872500</v>
          </cell>
          <cell r="BR46">
            <v>1773200</v>
          </cell>
          <cell r="BS46">
            <v>1828800</v>
          </cell>
          <cell r="BT46">
            <v>382500</v>
          </cell>
          <cell r="BU46">
            <v>322800</v>
          </cell>
          <cell r="BV46">
            <v>287400</v>
          </cell>
          <cell r="BW46">
            <v>254900</v>
          </cell>
          <cell r="BX46">
            <v>241400</v>
          </cell>
          <cell r="BY46">
            <v>199700</v>
          </cell>
          <cell r="BZ46">
            <v>151500</v>
          </cell>
          <cell r="CA46">
            <v>98200</v>
          </cell>
          <cell r="CB46">
            <v>98200</v>
          </cell>
          <cell r="CC46">
            <v>98200</v>
          </cell>
          <cell r="CD46">
            <v>98200</v>
          </cell>
        </row>
        <row r="47">
          <cell r="A47" t="str">
            <v>Other liabilities</v>
          </cell>
          <cell r="F47">
            <v>48072</v>
          </cell>
          <cell r="G47">
            <v>38698</v>
          </cell>
          <cell r="H47">
            <v>110199</v>
          </cell>
          <cell r="I47">
            <v>429317</v>
          </cell>
          <cell r="J47">
            <v>414800</v>
          </cell>
          <cell r="K47">
            <v>662900</v>
          </cell>
          <cell r="L47">
            <v>532000</v>
          </cell>
          <cell r="M47">
            <v>583400</v>
          </cell>
          <cell r="N47">
            <v>647300</v>
          </cell>
          <cell r="O47">
            <v>712700</v>
          </cell>
          <cell r="P47">
            <v>498300</v>
          </cell>
          <cell r="Q47">
            <v>551800</v>
          </cell>
          <cell r="R47">
            <v>492200</v>
          </cell>
          <cell r="S47">
            <v>513300</v>
          </cell>
          <cell r="T47">
            <v>594417.83087499987</v>
          </cell>
          <cell r="U47">
            <v>650649.60935757891</v>
          </cell>
          <cell r="V47">
            <v>676907.68411967449</v>
          </cell>
          <cell r="W47">
            <v>701390.13044404064</v>
          </cell>
          <cell r="X47">
            <v>724225.35392271401</v>
          </cell>
          <cell r="Y47">
            <v>760081.69139615155</v>
          </cell>
          <cell r="AD47">
            <v>38698</v>
          </cell>
          <cell r="AE47">
            <v>113476</v>
          </cell>
          <cell r="AF47">
            <v>125252</v>
          </cell>
          <cell r="AG47">
            <v>99245</v>
          </cell>
          <cell r="AH47">
            <v>110199</v>
          </cell>
          <cell r="AI47">
            <v>121638</v>
          </cell>
          <cell r="AJ47">
            <v>132667</v>
          </cell>
          <cell r="AK47">
            <v>365165</v>
          </cell>
          <cell r="AL47">
            <v>429317</v>
          </cell>
          <cell r="AM47">
            <v>431700</v>
          </cell>
          <cell r="AN47">
            <v>409300</v>
          </cell>
          <cell r="AO47">
            <v>460600</v>
          </cell>
          <cell r="AP47">
            <v>414800</v>
          </cell>
          <cell r="AQ47">
            <v>458900</v>
          </cell>
          <cell r="AR47">
            <v>376400</v>
          </cell>
          <cell r="AS47">
            <v>326300</v>
          </cell>
          <cell r="AT47">
            <v>662900</v>
          </cell>
          <cell r="AU47">
            <v>650400</v>
          </cell>
          <cell r="AV47">
            <v>622700</v>
          </cell>
          <cell r="AW47">
            <v>629500</v>
          </cell>
          <cell r="AX47">
            <v>532000</v>
          </cell>
          <cell r="AY47">
            <v>523900</v>
          </cell>
          <cell r="AZ47">
            <v>553500</v>
          </cell>
          <cell r="BA47">
            <v>532500</v>
          </cell>
          <cell r="BB47">
            <v>583400</v>
          </cell>
          <cell r="BC47">
            <v>509500</v>
          </cell>
          <cell r="BD47">
            <v>488700</v>
          </cell>
          <cell r="BE47">
            <v>420700</v>
          </cell>
          <cell r="BF47">
            <v>647300</v>
          </cell>
          <cell r="BG47">
            <v>630600</v>
          </cell>
          <cell r="BH47">
            <v>640300</v>
          </cell>
          <cell r="BI47">
            <v>657400</v>
          </cell>
          <cell r="BJ47">
            <v>712700</v>
          </cell>
          <cell r="BK47">
            <v>670800</v>
          </cell>
          <cell r="BL47">
            <v>665500</v>
          </cell>
          <cell r="BM47">
            <v>625000</v>
          </cell>
          <cell r="BN47">
            <v>498300</v>
          </cell>
          <cell r="BO47">
            <v>503900</v>
          </cell>
          <cell r="BP47">
            <v>499200</v>
          </cell>
          <cell r="BQ47">
            <v>527700</v>
          </cell>
          <cell r="BR47">
            <v>551800</v>
          </cell>
          <cell r="BS47">
            <v>610900</v>
          </cell>
          <cell r="BT47">
            <v>486500</v>
          </cell>
          <cell r="BU47">
            <v>508600</v>
          </cell>
          <cell r="BV47">
            <v>492200</v>
          </cell>
          <cell r="BW47">
            <v>476100</v>
          </cell>
          <cell r="BX47">
            <v>481000</v>
          </cell>
          <cell r="BY47">
            <v>496800</v>
          </cell>
          <cell r="BZ47">
            <v>513300</v>
          </cell>
          <cell r="CA47">
            <v>535700</v>
          </cell>
          <cell r="CB47">
            <v>554790.94362499996</v>
          </cell>
          <cell r="CC47">
            <v>575411.88724999991</v>
          </cell>
          <cell r="CD47">
            <v>594417.83087499987</v>
          </cell>
        </row>
        <row r="48">
          <cell r="A48" t="str">
            <v>Redeemable preferred interests</v>
          </cell>
          <cell r="F48">
            <v>370231</v>
          </cell>
          <cell r="G48">
            <v>236129</v>
          </cell>
          <cell r="H48">
            <v>0</v>
          </cell>
          <cell r="I48">
            <v>0</v>
          </cell>
          <cell r="J48">
            <v>0</v>
          </cell>
          <cell r="K48">
            <v>0</v>
          </cell>
          <cell r="L48">
            <v>0</v>
          </cell>
          <cell r="M48">
            <v>0</v>
          </cell>
          <cell r="N48">
            <v>0</v>
          </cell>
          <cell r="O48">
            <v>0</v>
          </cell>
          <cell r="P48">
            <v>498300</v>
          </cell>
          <cell r="Q48">
            <v>551800</v>
          </cell>
          <cell r="R48">
            <v>492200</v>
          </cell>
          <cell r="S48">
            <v>0</v>
          </cell>
          <cell r="T48">
            <v>0</v>
          </cell>
          <cell r="U48">
            <v>0</v>
          </cell>
          <cell r="V48">
            <v>0</v>
          </cell>
          <cell r="W48">
            <v>0</v>
          </cell>
          <cell r="X48">
            <v>0</v>
          </cell>
          <cell r="Y48">
            <v>0</v>
          </cell>
          <cell r="AD48">
            <v>236129</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523900</v>
          </cell>
          <cell r="AZ48">
            <v>553500</v>
          </cell>
          <cell r="BA48">
            <v>532500</v>
          </cell>
          <cell r="BB48">
            <v>583400</v>
          </cell>
          <cell r="BC48">
            <v>509500</v>
          </cell>
          <cell r="BD48">
            <v>488700</v>
          </cell>
          <cell r="BE48">
            <v>420700</v>
          </cell>
          <cell r="BF48">
            <v>647300</v>
          </cell>
          <cell r="BG48">
            <v>630600</v>
          </cell>
          <cell r="BH48">
            <v>640300</v>
          </cell>
          <cell r="BI48">
            <v>657400</v>
          </cell>
          <cell r="BJ48">
            <v>712700</v>
          </cell>
          <cell r="BK48">
            <v>670800</v>
          </cell>
          <cell r="BL48">
            <v>665500</v>
          </cell>
          <cell r="BM48">
            <v>625000</v>
          </cell>
          <cell r="BN48">
            <v>498300</v>
          </cell>
          <cell r="BO48">
            <v>503900</v>
          </cell>
          <cell r="BP48">
            <v>499200</v>
          </cell>
          <cell r="BQ48">
            <v>527700</v>
          </cell>
          <cell r="BR48">
            <v>551800</v>
          </cell>
          <cell r="BS48">
            <v>610900</v>
          </cell>
          <cell r="BT48">
            <v>486500</v>
          </cell>
          <cell r="BU48">
            <v>508600</v>
          </cell>
          <cell r="BV48">
            <v>492200</v>
          </cell>
          <cell r="BW48">
            <v>476100</v>
          </cell>
          <cell r="BX48">
            <v>481000</v>
          </cell>
          <cell r="BY48">
            <v>496800</v>
          </cell>
          <cell r="BZ48">
            <v>513300</v>
          </cell>
          <cell r="CA48">
            <v>535700</v>
          </cell>
          <cell r="CB48">
            <v>547700</v>
          </cell>
          <cell r="CC48">
            <v>558410</v>
          </cell>
          <cell r="CD48">
            <v>625790.06000000006</v>
          </cell>
        </row>
        <row r="49">
          <cell r="A49" t="str">
            <v>Long-term Lease</v>
          </cell>
          <cell r="F49">
            <v>24475</v>
          </cell>
          <cell r="G49">
            <v>15776</v>
          </cell>
          <cell r="H49">
            <v>0</v>
          </cell>
          <cell r="I49">
            <v>0</v>
          </cell>
          <cell r="J49">
            <v>0</v>
          </cell>
          <cell r="K49">
            <v>0</v>
          </cell>
          <cell r="L49">
            <v>0</v>
          </cell>
          <cell r="M49">
            <v>0</v>
          </cell>
          <cell r="N49">
            <v>0</v>
          </cell>
          <cell r="O49">
            <v>0</v>
          </cell>
          <cell r="Q49">
            <v>81000</v>
          </cell>
          <cell r="R49">
            <v>5000400</v>
          </cell>
          <cell r="S49">
            <v>0</v>
          </cell>
          <cell r="T49">
            <v>0</v>
          </cell>
          <cell r="U49">
            <v>0</v>
          </cell>
          <cell r="V49">
            <v>0</v>
          </cell>
          <cell r="W49">
            <v>0</v>
          </cell>
          <cell r="X49">
            <v>0</v>
          </cell>
          <cell r="Y49">
            <v>0</v>
          </cell>
          <cell r="AD49">
            <v>15776</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BR49">
            <v>81000</v>
          </cell>
          <cell r="BT49">
            <v>5045400</v>
          </cell>
          <cell r="BU49">
            <v>5007600</v>
          </cell>
          <cell r="BV49">
            <v>5000400</v>
          </cell>
          <cell r="BW49">
            <v>4959800</v>
          </cell>
          <cell r="BX49">
            <v>4918400</v>
          </cell>
          <cell r="BY49">
            <v>4875700</v>
          </cell>
          <cell r="BZ49">
            <v>4831900</v>
          </cell>
          <cell r="CA49">
            <v>4787100</v>
          </cell>
          <cell r="CB49">
            <v>4787100</v>
          </cell>
          <cell r="CC49">
            <v>4787100</v>
          </cell>
          <cell r="CD49">
            <v>4787100</v>
          </cell>
        </row>
        <row r="50">
          <cell r="A50" t="str">
            <v>Total liabilities</v>
          </cell>
          <cell r="F50">
            <v>1988804</v>
          </cell>
          <cell r="G50">
            <v>1964696</v>
          </cell>
          <cell r="H50">
            <v>1391013</v>
          </cell>
          <cell r="I50">
            <v>7560886</v>
          </cell>
          <cell r="J50">
            <v>7541400</v>
          </cell>
          <cell r="K50">
            <v>7757000</v>
          </cell>
          <cell r="L50">
            <v>8884700</v>
          </cell>
          <cell r="M50">
            <v>10523100</v>
          </cell>
          <cell r="N50">
            <v>12896800</v>
          </cell>
          <cell r="O50">
            <v>12877200</v>
          </cell>
          <cell r="P50">
            <v>12604400</v>
          </cell>
          <cell r="Q50">
            <v>81000</v>
          </cell>
          <cell r="R50">
            <v>5000400</v>
          </cell>
          <cell r="S50">
            <v>4831900</v>
          </cell>
          <cell r="T50">
            <v>4740600</v>
          </cell>
          <cell r="U50">
            <v>4740600</v>
          </cell>
          <cell r="V50">
            <v>4740600</v>
          </cell>
          <cell r="W50">
            <v>4740600</v>
          </cell>
          <cell r="X50">
            <v>4740600</v>
          </cell>
          <cell r="Y50">
            <v>4740600</v>
          </cell>
          <cell r="AD50">
            <v>1964696</v>
          </cell>
          <cell r="AE50">
            <v>1393359</v>
          </cell>
          <cell r="AF50">
            <v>1409748</v>
          </cell>
          <cell r="AG50">
            <v>1376169</v>
          </cell>
          <cell r="AH50">
            <v>1391013</v>
          </cell>
          <cell r="AI50">
            <v>1391220</v>
          </cell>
          <cell r="AJ50">
            <v>1409817</v>
          </cell>
          <cell r="AK50">
            <v>7558862</v>
          </cell>
          <cell r="AL50">
            <v>7560886</v>
          </cell>
          <cell r="AM50">
            <v>7501100</v>
          </cell>
          <cell r="AN50">
            <v>7532900</v>
          </cell>
          <cell r="AO50">
            <v>7836600</v>
          </cell>
          <cell r="AP50">
            <v>7541400</v>
          </cell>
          <cell r="AQ50">
            <v>7547900</v>
          </cell>
          <cell r="AR50">
            <v>7538200</v>
          </cell>
          <cell r="AS50">
            <v>7519600</v>
          </cell>
          <cell r="AT50">
            <v>7757000</v>
          </cell>
          <cell r="AU50">
            <v>7681800</v>
          </cell>
          <cell r="AV50">
            <v>7563100</v>
          </cell>
          <cell r="AW50">
            <v>7578300</v>
          </cell>
          <cell r="AX50">
            <v>8884700</v>
          </cell>
          <cell r="AY50">
            <v>8924500</v>
          </cell>
          <cell r="AZ50">
            <v>9445400</v>
          </cell>
          <cell r="BA50">
            <v>9516800</v>
          </cell>
          <cell r="BB50">
            <v>10523100</v>
          </cell>
          <cell r="BC50">
            <v>10538000</v>
          </cell>
          <cell r="BD50">
            <v>10528800</v>
          </cell>
          <cell r="BE50">
            <v>10596500</v>
          </cell>
          <cell r="BF50">
            <v>12896800</v>
          </cell>
          <cell r="BG50">
            <v>12540300</v>
          </cell>
          <cell r="BH50">
            <v>12589800</v>
          </cell>
          <cell r="BI50">
            <v>12783800</v>
          </cell>
          <cell r="BJ50">
            <v>12877200</v>
          </cell>
          <cell r="BK50">
            <v>12699600</v>
          </cell>
          <cell r="BL50">
            <v>12692800</v>
          </cell>
          <cell r="BM50">
            <v>12631900</v>
          </cell>
          <cell r="BN50">
            <v>12604400</v>
          </cell>
          <cell r="BO50">
            <v>12517100</v>
          </cell>
          <cell r="BP50">
            <v>12395500</v>
          </cell>
          <cell r="BQ50">
            <v>12372700</v>
          </cell>
          <cell r="BR50">
            <v>81000</v>
          </cell>
          <cell r="BS50">
            <v>12524100</v>
          </cell>
          <cell r="BT50">
            <v>5045400</v>
          </cell>
          <cell r="BU50">
            <v>5007600</v>
          </cell>
          <cell r="BV50">
            <v>5000400</v>
          </cell>
          <cell r="BW50">
            <v>4959800</v>
          </cell>
          <cell r="BX50">
            <v>4918400</v>
          </cell>
          <cell r="BY50">
            <v>4875700</v>
          </cell>
          <cell r="BZ50">
            <v>4831900</v>
          </cell>
          <cell r="CA50">
            <v>4787100</v>
          </cell>
          <cell r="CB50">
            <v>4740600</v>
          </cell>
          <cell r="CC50">
            <v>4740600</v>
          </cell>
          <cell r="CD50">
            <v>4740600</v>
          </cell>
        </row>
        <row r="51">
          <cell r="A51" t="str">
            <v>Total liabilities</v>
          </cell>
          <cell r="F51">
            <v>1988804</v>
          </cell>
          <cell r="G51">
            <v>1964696</v>
          </cell>
          <cell r="H51">
            <v>1391013</v>
          </cell>
          <cell r="I51">
            <v>7560886</v>
          </cell>
          <cell r="J51">
            <v>7541400</v>
          </cell>
          <cell r="K51">
            <v>7757000</v>
          </cell>
          <cell r="L51">
            <v>8884700</v>
          </cell>
          <cell r="M51">
            <v>10523100</v>
          </cell>
          <cell r="N51">
            <v>12896800</v>
          </cell>
          <cell r="O51">
            <v>12877200</v>
          </cell>
          <cell r="P51">
            <v>12604400</v>
          </cell>
          <cell r="Q51">
            <v>12295500</v>
          </cell>
          <cell r="R51">
            <v>12211700</v>
          </cell>
          <cell r="S51">
            <v>11600000</v>
          </cell>
          <cell r="T51">
            <v>12328887.839482658</v>
          </cell>
          <cell r="U51">
            <v>12092635.007533733</v>
          </cell>
          <cell r="V51">
            <v>11853131.222509652</v>
          </cell>
          <cell r="W51">
            <v>11651551.136923067</v>
          </cell>
          <cell r="X51">
            <v>11495056.97461856</v>
          </cell>
          <cell r="Y51">
            <v>11327226.120911382</v>
          </cell>
          <cell r="AD51">
            <v>1964696</v>
          </cell>
          <cell r="AE51">
            <v>1393359</v>
          </cell>
          <cell r="AF51">
            <v>1409748</v>
          </cell>
          <cell r="AG51">
            <v>1376169</v>
          </cell>
          <cell r="AH51">
            <v>1391013</v>
          </cell>
          <cell r="AI51">
            <v>1391220</v>
          </cell>
          <cell r="AJ51">
            <v>1409817</v>
          </cell>
          <cell r="AK51">
            <v>7558862</v>
          </cell>
          <cell r="AL51">
            <v>7560886</v>
          </cell>
          <cell r="AM51">
            <v>7501100</v>
          </cell>
          <cell r="AN51">
            <v>7532900</v>
          </cell>
          <cell r="AO51">
            <v>7836600</v>
          </cell>
          <cell r="AP51">
            <v>7541400</v>
          </cell>
          <cell r="AQ51">
            <v>7547900</v>
          </cell>
          <cell r="AR51">
            <v>7538200</v>
          </cell>
          <cell r="AS51">
            <v>7519600</v>
          </cell>
          <cell r="AT51">
            <v>7757000</v>
          </cell>
          <cell r="AU51">
            <v>7681800</v>
          </cell>
          <cell r="AV51">
            <v>7563100</v>
          </cell>
          <cell r="AW51">
            <v>7578300</v>
          </cell>
          <cell r="AX51">
            <v>8884700</v>
          </cell>
          <cell r="AY51">
            <v>8924500</v>
          </cell>
          <cell r="AZ51">
            <v>9445400</v>
          </cell>
          <cell r="BA51">
            <v>9516800</v>
          </cell>
          <cell r="BB51">
            <v>10523100</v>
          </cell>
          <cell r="BC51">
            <v>10538000</v>
          </cell>
          <cell r="BD51">
            <v>10528800</v>
          </cell>
          <cell r="BE51">
            <v>10596500</v>
          </cell>
          <cell r="BF51">
            <v>12896800</v>
          </cell>
          <cell r="BG51">
            <v>12540300</v>
          </cell>
          <cell r="BH51">
            <v>12589800</v>
          </cell>
          <cell r="BI51">
            <v>12783800</v>
          </cell>
          <cell r="BJ51">
            <v>12877200</v>
          </cell>
          <cell r="BK51">
            <v>12699600</v>
          </cell>
          <cell r="BL51">
            <v>12692800</v>
          </cell>
          <cell r="BM51">
            <v>12631900</v>
          </cell>
          <cell r="BN51">
            <v>12604400</v>
          </cell>
          <cell r="BO51">
            <v>12517100</v>
          </cell>
          <cell r="BP51">
            <v>12395500</v>
          </cell>
          <cell r="BQ51">
            <v>12372700</v>
          </cell>
          <cell r="BR51">
            <v>12295500</v>
          </cell>
          <cell r="BS51">
            <v>12524100</v>
          </cell>
          <cell r="BT51">
            <v>12769400</v>
          </cell>
          <cell r="BU51">
            <v>12830100</v>
          </cell>
          <cell r="BV51">
            <v>12211700</v>
          </cell>
          <cell r="BW51">
            <v>12273500</v>
          </cell>
          <cell r="BX51">
            <v>11492400</v>
          </cell>
          <cell r="BY51">
            <v>11573300</v>
          </cell>
          <cell r="BZ51">
            <v>11600000</v>
          </cell>
          <cell r="CA51">
            <v>12181800</v>
          </cell>
          <cell r="CB51">
            <v>12076000</v>
          </cell>
          <cell r="CC51">
            <v>12357559.538131271</v>
          </cell>
          <cell r="CD51">
            <v>12328887.839482658</v>
          </cell>
        </row>
        <row r="52">
          <cell r="A52" t="str">
            <v>Minority interests</v>
          </cell>
          <cell r="F52">
            <v>377</v>
          </cell>
          <cell r="G52" t="str">
            <v/>
          </cell>
          <cell r="H52">
            <v>0</v>
          </cell>
          <cell r="I52">
            <v>0</v>
          </cell>
          <cell r="J52">
            <v>0</v>
          </cell>
          <cell r="AD52" t="str">
            <v/>
          </cell>
          <cell r="AE52" t="str">
            <v/>
          </cell>
          <cell r="AF52" t="str">
            <v/>
          </cell>
          <cell r="AG52" t="str">
            <v/>
          </cell>
        </row>
        <row r="53">
          <cell r="A53" t="str">
            <v/>
          </cell>
          <cell r="F53">
            <v>377</v>
          </cell>
          <cell r="G53" t="str">
            <v/>
          </cell>
          <cell r="H53">
            <v>0</v>
          </cell>
          <cell r="I53">
            <v>0</v>
          </cell>
          <cell r="J53">
            <v>0</v>
          </cell>
          <cell r="AD53" t="str">
            <v/>
          </cell>
          <cell r="AE53" t="str">
            <v/>
          </cell>
          <cell r="AF53" t="str">
            <v/>
          </cell>
          <cell r="AG53" t="str">
            <v/>
          </cell>
        </row>
        <row r="54">
          <cell r="A54" t="str">
            <v>Common owners equity</v>
          </cell>
          <cell r="F54" t="str">
            <v/>
          </cell>
          <cell r="G54" t="str">
            <v/>
          </cell>
          <cell r="AD54" t="str">
            <v/>
          </cell>
        </row>
        <row r="55">
          <cell r="A55" t="str">
            <v xml:space="preserve">  Class A common interests, no par or stated value</v>
          </cell>
          <cell r="F55">
            <v>64633</v>
          </cell>
          <cell r="G55">
            <v>64633</v>
          </cell>
          <cell r="H55">
            <v>0</v>
          </cell>
          <cell r="I55">
            <v>0</v>
          </cell>
          <cell r="J55">
            <v>0</v>
          </cell>
          <cell r="K55">
            <v>0</v>
          </cell>
          <cell r="L55">
            <v>0</v>
          </cell>
          <cell r="M55">
            <v>0</v>
          </cell>
          <cell r="N55">
            <v>0</v>
          </cell>
          <cell r="O55">
            <v>0</v>
          </cell>
          <cell r="U55">
            <v>0</v>
          </cell>
          <cell r="V55">
            <v>0</v>
          </cell>
          <cell r="W55">
            <v>0</v>
          </cell>
          <cell r="X55">
            <v>0</v>
          </cell>
          <cell r="Y55">
            <v>0</v>
          </cell>
          <cell r="AD55">
            <v>64633</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row>
        <row r="56">
          <cell r="A56" t="str">
            <v xml:space="preserve">  Class C interests, no par or stated value,</v>
          </cell>
          <cell r="F56">
            <v>46000</v>
          </cell>
          <cell r="G56">
            <v>29542</v>
          </cell>
          <cell r="H56">
            <v>0</v>
          </cell>
          <cell r="I56">
            <v>0</v>
          </cell>
          <cell r="J56">
            <v>0</v>
          </cell>
          <cell r="K56">
            <v>0</v>
          </cell>
          <cell r="L56">
            <v>0</v>
          </cell>
          <cell r="M56">
            <v>0</v>
          </cell>
          <cell r="N56">
            <v>0</v>
          </cell>
          <cell r="O56">
            <v>0</v>
          </cell>
          <cell r="U56">
            <v>0</v>
          </cell>
          <cell r="V56">
            <v>0</v>
          </cell>
          <cell r="W56">
            <v>0</v>
          </cell>
          <cell r="X56">
            <v>0</v>
          </cell>
          <cell r="Y56">
            <v>0</v>
          </cell>
          <cell r="AD56">
            <v>29542</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row>
        <row r="57">
          <cell r="A57" t="str">
            <v xml:space="preserve">  Common stock, $0.0001 par value per share</v>
          </cell>
          <cell r="F57">
            <v>0</v>
          </cell>
          <cell r="G57">
            <v>0</v>
          </cell>
          <cell r="H57">
            <v>7</v>
          </cell>
          <cell r="I57">
            <v>47</v>
          </cell>
          <cell r="J57">
            <v>0</v>
          </cell>
          <cell r="K57">
            <v>0</v>
          </cell>
          <cell r="L57">
            <v>0</v>
          </cell>
          <cell r="M57">
            <v>100</v>
          </cell>
          <cell r="N57">
            <v>100</v>
          </cell>
          <cell r="O57">
            <v>100</v>
          </cell>
          <cell r="P57">
            <v>100</v>
          </cell>
          <cell r="Q57">
            <v>100</v>
          </cell>
          <cell r="R57">
            <v>0</v>
          </cell>
          <cell r="S57">
            <v>0</v>
          </cell>
          <cell r="T57">
            <v>0</v>
          </cell>
          <cell r="U57">
            <v>0</v>
          </cell>
          <cell r="V57">
            <v>0</v>
          </cell>
          <cell r="W57">
            <v>0</v>
          </cell>
          <cell r="X57">
            <v>0</v>
          </cell>
          <cell r="Y57">
            <v>0</v>
          </cell>
          <cell r="AD57">
            <v>0</v>
          </cell>
          <cell r="AE57">
            <v>7</v>
          </cell>
          <cell r="AF57">
            <v>7</v>
          </cell>
          <cell r="AG57">
            <v>7</v>
          </cell>
          <cell r="AH57">
            <v>7</v>
          </cell>
          <cell r="AI57">
            <v>7</v>
          </cell>
          <cell r="AJ57">
            <v>7</v>
          </cell>
          <cell r="AK57">
            <v>47</v>
          </cell>
          <cell r="AL57">
            <v>47</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100</v>
          </cell>
          <cell r="BB57">
            <v>100</v>
          </cell>
          <cell r="BC57">
            <v>100</v>
          </cell>
          <cell r="BD57">
            <v>100</v>
          </cell>
          <cell r="BE57">
            <v>100</v>
          </cell>
          <cell r="BF57">
            <v>100</v>
          </cell>
          <cell r="BG57">
            <v>100</v>
          </cell>
          <cell r="BH57">
            <v>100</v>
          </cell>
          <cell r="BI57">
            <v>100</v>
          </cell>
          <cell r="BJ57">
            <v>100</v>
          </cell>
          <cell r="BK57">
            <v>100</v>
          </cell>
          <cell r="BL57">
            <v>100</v>
          </cell>
          <cell r="BM57">
            <v>100</v>
          </cell>
          <cell r="BN57">
            <v>100</v>
          </cell>
          <cell r="BO57">
            <v>100</v>
          </cell>
          <cell r="BP57">
            <v>100</v>
          </cell>
          <cell r="BQ57">
            <v>100</v>
          </cell>
          <cell r="BR57">
            <v>100</v>
          </cell>
          <cell r="BS57">
            <v>100</v>
          </cell>
          <cell r="BT57">
            <v>100</v>
          </cell>
          <cell r="BU57">
            <v>0</v>
          </cell>
          <cell r="BV57">
            <v>0</v>
          </cell>
          <cell r="BW57">
            <v>0</v>
          </cell>
          <cell r="BX57">
            <v>0</v>
          </cell>
          <cell r="BY57">
            <v>0</v>
          </cell>
          <cell r="BZ57">
            <v>0</v>
          </cell>
          <cell r="CA57">
            <v>0</v>
          </cell>
          <cell r="CB57">
            <v>0</v>
          </cell>
          <cell r="CC57">
            <v>0</v>
          </cell>
          <cell r="CD57">
            <v>0</v>
          </cell>
        </row>
        <row r="58">
          <cell r="A58" t="str">
            <v xml:space="preserve">  Additional paid-in capital</v>
          </cell>
          <cell r="F58">
            <v>0</v>
          </cell>
          <cell r="G58">
            <v>0</v>
          </cell>
          <cell r="H58">
            <v>918929</v>
          </cell>
          <cell r="I58">
            <v>550480</v>
          </cell>
          <cell r="J58">
            <v>286800</v>
          </cell>
          <cell r="K58">
            <v>101500</v>
          </cell>
          <cell r="L58">
            <v>83600</v>
          </cell>
          <cell r="M58">
            <v>833300</v>
          </cell>
          <cell r="N58">
            <v>1493300</v>
          </cell>
          <cell r="O58">
            <v>1098300</v>
          </cell>
          <cell r="P58">
            <v>811600</v>
          </cell>
          <cell r="Q58">
            <v>212600</v>
          </cell>
          <cell r="R58">
            <v>590800</v>
          </cell>
          <cell r="S58">
            <v>164100</v>
          </cell>
          <cell r="T58">
            <v>713600</v>
          </cell>
          <cell r="U58">
            <v>730400</v>
          </cell>
          <cell r="V58">
            <v>747200</v>
          </cell>
          <cell r="W58">
            <v>764000</v>
          </cell>
          <cell r="X58">
            <v>780800</v>
          </cell>
          <cell r="Y58">
            <v>797600</v>
          </cell>
          <cell r="AD58">
            <v>0</v>
          </cell>
          <cell r="AE58">
            <v>941968</v>
          </cell>
          <cell r="AF58">
            <v>916886</v>
          </cell>
          <cell r="AG58">
            <v>921891</v>
          </cell>
          <cell r="AH58">
            <v>918929</v>
          </cell>
          <cell r="AI58">
            <v>892710</v>
          </cell>
          <cell r="AJ58">
            <v>884869</v>
          </cell>
          <cell r="AK58">
            <v>556842</v>
          </cell>
          <cell r="AL58">
            <v>550480</v>
          </cell>
          <cell r="AM58">
            <v>558200</v>
          </cell>
          <cell r="AN58">
            <v>562700</v>
          </cell>
          <cell r="AO58">
            <v>565500</v>
          </cell>
          <cell r="AP58">
            <v>286800</v>
          </cell>
          <cell r="AQ58">
            <v>190200</v>
          </cell>
          <cell r="AR58">
            <v>94500</v>
          </cell>
          <cell r="AS58">
            <v>96600</v>
          </cell>
          <cell r="AT58">
            <v>101500</v>
          </cell>
          <cell r="AU58">
            <v>83600</v>
          </cell>
          <cell r="AV58">
            <v>77400</v>
          </cell>
          <cell r="AW58">
            <v>63600</v>
          </cell>
          <cell r="AX58">
            <v>83600</v>
          </cell>
          <cell r="AY58">
            <v>268100</v>
          </cell>
          <cell r="AZ58">
            <v>550900</v>
          </cell>
          <cell r="BA58">
            <v>556100</v>
          </cell>
          <cell r="BB58">
            <v>833300</v>
          </cell>
          <cell r="BC58">
            <v>894200</v>
          </cell>
          <cell r="BD58">
            <v>900600</v>
          </cell>
          <cell r="BE58">
            <v>982000</v>
          </cell>
          <cell r="BF58">
            <v>1493300</v>
          </cell>
          <cell r="BG58">
            <v>1419400</v>
          </cell>
          <cell r="BH58">
            <v>1331900</v>
          </cell>
          <cell r="BI58">
            <v>1245100</v>
          </cell>
          <cell r="BJ58">
            <v>1098300</v>
          </cell>
          <cell r="BK58">
            <v>1023100</v>
          </cell>
          <cell r="BL58">
            <v>921500</v>
          </cell>
          <cell r="BM58">
            <v>835700</v>
          </cell>
          <cell r="BN58">
            <v>811600</v>
          </cell>
          <cell r="BO58">
            <v>703300</v>
          </cell>
          <cell r="BP58">
            <v>574600</v>
          </cell>
          <cell r="BQ58">
            <v>437700</v>
          </cell>
          <cell r="BR58">
            <v>212600</v>
          </cell>
          <cell r="BS58">
            <v>86900</v>
          </cell>
          <cell r="BT58">
            <v>530400</v>
          </cell>
          <cell r="BU58">
            <v>486000</v>
          </cell>
          <cell r="BV58">
            <v>590800</v>
          </cell>
          <cell r="BW58">
            <v>343600</v>
          </cell>
          <cell r="BX58">
            <v>336200</v>
          </cell>
          <cell r="BY58">
            <v>260600</v>
          </cell>
          <cell r="BZ58">
            <v>164100</v>
          </cell>
          <cell r="CA58">
            <v>713600</v>
          </cell>
          <cell r="CB58">
            <v>713600</v>
          </cell>
          <cell r="CC58">
            <v>713600</v>
          </cell>
          <cell r="CD58">
            <v>713600</v>
          </cell>
        </row>
        <row r="59">
          <cell r="A59" t="str">
            <v xml:space="preserve">  Treasury stock</v>
          </cell>
          <cell r="F59">
            <v>-34</v>
          </cell>
          <cell r="G59">
            <v>-34</v>
          </cell>
          <cell r="H59">
            <v>-46</v>
          </cell>
          <cell r="I59">
            <v>0</v>
          </cell>
          <cell r="J59">
            <v>0</v>
          </cell>
          <cell r="K59">
            <v>0</v>
          </cell>
          <cell r="L59">
            <v>0</v>
          </cell>
          <cell r="M59">
            <v>833300</v>
          </cell>
          <cell r="N59">
            <v>0</v>
          </cell>
          <cell r="O59">
            <v>0</v>
          </cell>
          <cell r="P59">
            <v>811600</v>
          </cell>
          <cell r="Q59">
            <v>212600</v>
          </cell>
          <cell r="R59">
            <v>0</v>
          </cell>
          <cell r="S59">
            <v>0</v>
          </cell>
          <cell r="T59">
            <v>0</v>
          </cell>
          <cell r="U59">
            <v>0</v>
          </cell>
          <cell r="V59">
            <v>0</v>
          </cell>
          <cell r="W59">
            <v>0</v>
          </cell>
          <cell r="X59">
            <v>0</v>
          </cell>
          <cell r="Y59">
            <v>0</v>
          </cell>
          <cell r="AD59">
            <v>-34</v>
          </cell>
          <cell r="AE59">
            <v>-3193</v>
          </cell>
          <cell r="AF59">
            <v>-1573</v>
          </cell>
          <cell r="AG59">
            <v>-1461</v>
          </cell>
          <cell r="AH59">
            <v>-46</v>
          </cell>
          <cell r="AI59">
            <v>-433</v>
          </cell>
          <cell r="AJ59">
            <v>-296</v>
          </cell>
          <cell r="AK59">
            <v>-300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100</v>
          </cell>
          <cell r="BA59">
            <v>0</v>
          </cell>
          <cell r="BB59">
            <v>0</v>
          </cell>
          <cell r="BC59">
            <v>0</v>
          </cell>
          <cell r="BD59">
            <v>0</v>
          </cell>
          <cell r="BE59">
            <v>0</v>
          </cell>
          <cell r="BF59">
            <v>0</v>
          </cell>
          <cell r="BG59">
            <v>0</v>
          </cell>
          <cell r="BH59">
            <v>0</v>
          </cell>
          <cell r="BI59">
            <v>0</v>
          </cell>
          <cell r="BJ59">
            <v>0</v>
          </cell>
          <cell r="BK59">
            <v>1023100</v>
          </cell>
          <cell r="BL59">
            <v>921500</v>
          </cell>
          <cell r="BM59">
            <v>835700</v>
          </cell>
          <cell r="BN59">
            <v>811600</v>
          </cell>
          <cell r="BO59">
            <v>703300</v>
          </cell>
          <cell r="BP59">
            <v>574600</v>
          </cell>
          <cell r="BQ59">
            <v>437700</v>
          </cell>
          <cell r="BR59">
            <v>212600</v>
          </cell>
          <cell r="BS59">
            <v>86900</v>
          </cell>
          <cell r="BT59">
            <v>530400</v>
          </cell>
          <cell r="BU59">
            <v>486000</v>
          </cell>
          <cell r="BV59">
            <v>590800</v>
          </cell>
          <cell r="BW59">
            <v>343600</v>
          </cell>
          <cell r="BX59">
            <v>336200</v>
          </cell>
          <cell r="BY59">
            <v>260600</v>
          </cell>
          <cell r="BZ59">
            <v>164100</v>
          </cell>
          <cell r="CA59">
            <v>713600</v>
          </cell>
          <cell r="CB59">
            <v>623000</v>
          </cell>
          <cell r="CC59">
            <v>623000</v>
          </cell>
          <cell r="CD59">
            <v>623000</v>
          </cell>
        </row>
        <row r="60">
          <cell r="A60" t="str">
            <v xml:space="preserve">  Acc other comprehensive loss</v>
          </cell>
          <cell r="F60">
            <v>-7371</v>
          </cell>
          <cell r="G60">
            <v>-7894</v>
          </cell>
          <cell r="H60">
            <v>-7304</v>
          </cell>
          <cell r="I60">
            <v>-150838</v>
          </cell>
          <cell r="J60">
            <v>-103000</v>
          </cell>
          <cell r="K60">
            <v>-336600</v>
          </cell>
          <cell r="L60">
            <v>-208300</v>
          </cell>
          <cell r="M60">
            <v>-216900</v>
          </cell>
          <cell r="N60">
            <v>0</v>
          </cell>
          <cell r="O60">
            <v>0</v>
          </cell>
          <cell r="P60">
            <v>28500</v>
          </cell>
          <cell r="Q60">
            <v>12100</v>
          </cell>
          <cell r="R60">
            <v>0</v>
          </cell>
          <cell r="S60">
            <v>0</v>
          </cell>
          <cell r="T60">
            <v>0</v>
          </cell>
          <cell r="U60">
            <v>0</v>
          </cell>
          <cell r="V60">
            <v>0</v>
          </cell>
          <cell r="W60">
            <v>0</v>
          </cell>
          <cell r="X60">
            <v>0</v>
          </cell>
          <cell r="Y60">
            <v>0</v>
          </cell>
          <cell r="AD60">
            <v>-7894</v>
          </cell>
          <cell r="AE60">
            <v>-7684</v>
          </cell>
          <cell r="AF60">
            <v>-10567</v>
          </cell>
          <cell r="AG60">
            <v>-7432</v>
          </cell>
          <cell r="AH60">
            <v>-7304</v>
          </cell>
          <cell r="AI60">
            <v>-4881</v>
          </cell>
          <cell r="AJ60">
            <v>-3193</v>
          </cell>
          <cell r="AK60">
            <v>-25322</v>
          </cell>
          <cell r="AL60">
            <v>-150838</v>
          </cell>
          <cell r="AM60">
            <v>-148900</v>
          </cell>
          <cell r="AN60">
            <v>-136500</v>
          </cell>
          <cell r="AO60">
            <v>-150600</v>
          </cell>
          <cell r="AP60">
            <v>-103000</v>
          </cell>
          <cell r="AQ60">
            <v>-123100</v>
          </cell>
          <cell r="AR60">
            <v>-112300</v>
          </cell>
          <cell r="AS60">
            <v>-72100</v>
          </cell>
          <cell r="AT60">
            <v>-336600</v>
          </cell>
          <cell r="AU60">
            <v>-326500</v>
          </cell>
          <cell r="AV60">
            <v>-298700</v>
          </cell>
          <cell r="AW60">
            <v>-292800</v>
          </cell>
          <cell r="AX60">
            <v>-208300</v>
          </cell>
          <cell r="AY60">
            <v>-210600</v>
          </cell>
          <cell r="AZ60">
            <v>-212700</v>
          </cell>
          <cell r="BA60">
            <v>-208600</v>
          </cell>
          <cell r="BB60">
            <v>-216900</v>
          </cell>
          <cell r="BC60">
            <v>-199700</v>
          </cell>
          <cell r="BD60">
            <v>-176200</v>
          </cell>
          <cell r="BE60">
            <v>-178100</v>
          </cell>
          <cell r="BF60">
            <v>1900</v>
          </cell>
          <cell r="BG60">
            <v>6600</v>
          </cell>
          <cell r="BH60">
            <v>5400</v>
          </cell>
          <cell r="BI60">
            <v>-600</v>
          </cell>
          <cell r="BJ60">
            <v>6400</v>
          </cell>
          <cell r="BK60">
            <v>700</v>
          </cell>
          <cell r="BL60">
            <v>24500</v>
          </cell>
          <cell r="BM60">
            <v>19000</v>
          </cell>
          <cell r="BN60">
            <v>28500</v>
          </cell>
          <cell r="BO60">
            <v>19300</v>
          </cell>
          <cell r="BP60">
            <v>15500</v>
          </cell>
          <cell r="BQ60">
            <v>21100</v>
          </cell>
          <cell r="BR60">
            <v>12100</v>
          </cell>
          <cell r="BS60">
            <v>8000</v>
          </cell>
          <cell r="BT60">
            <v>-95500</v>
          </cell>
          <cell r="BU60">
            <v>-311700</v>
          </cell>
          <cell r="BV60">
            <v>-284400</v>
          </cell>
          <cell r="BW60">
            <v>-5900</v>
          </cell>
          <cell r="BX60">
            <v>-7000</v>
          </cell>
          <cell r="BY60">
            <v>-10300</v>
          </cell>
          <cell r="BZ60">
            <v>5900</v>
          </cell>
          <cell r="CA60">
            <v>8800</v>
          </cell>
          <cell r="CB60">
            <v>-62193.629663072585</v>
          </cell>
          <cell r="CC60">
            <v>-129807.65659473275</v>
          </cell>
          <cell r="CD60">
            <v>-210421.10900246061</v>
          </cell>
        </row>
        <row r="61">
          <cell r="A61" t="str">
            <v xml:space="preserve">  Deferred equity compensation</v>
          </cell>
          <cell r="F61">
            <v>0</v>
          </cell>
          <cell r="G61">
            <v>0</v>
          </cell>
          <cell r="H61">
            <v>-18502</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AD61">
            <v>0</v>
          </cell>
          <cell r="AE61">
            <v>-18301</v>
          </cell>
          <cell r="AF61">
            <v>-17790</v>
          </cell>
          <cell r="AG61">
            <v>-15841</v>
          </cell>
          <cell r="AH61">
            <v>-18502</v>
          </cell>
          <cell r="AI61">
            <v>0</v>
          </cell>
          <cell r="AJ61">
            <v>0</v>
          </cell>
          <cell r="AK61">
            <v>-25322</v>
          </cell>
          <cell r="AL61">
            <v>0</v>
          </cell>
          <cell r="AM61">
            <v>0</v>
          </cell>
          <cell r="AN61">
            <v>0</v>
          </cell>
          <cell r="AO61">
            <v>0</v>
          </cell>
          <cell r="AP61">
            <v>0</v>
          </cell>
          <cell r="AQ61">
            <v>0</v>
          </cell>
          <cell r="AR61">
            <v>0</v>
          </cell>
          <cell r="AS61">
            <v>0</v>
          </cell>
          <cell r="AT61">
            <v>0</v>
          </cell>
          <cell r="AU61">
            <v>0</v>
          </cell>
          <cell r="AV61">
            <v>0</v>
          </cell>
          <cell r="AW61">
            <v>0</v>
          </cell>
          <cell r="AX61">
            <v>0</v>
          </cell>
          <cell r="AY61">
            <v>-210600</v>
          </cell>
          <cell r="AZ61">
            <v>-212700</v>
          </cell>
          <cell r="BA61">
            <v>-208600</v>
          </cell>
          <cell r="BB61">
            <v>-216900</v>
          </cell>
          <cell r="BC61">
            <v>-199700</v>
          </cell>
          <cell r="BD61">
            <v>-176200</v>
          </cell>
          <cell r="BE61">
            <v>-178100</v>
          </cell>
          <cell r="BF61">
            <v>1900</v>
          </cell>
          <cell r="BG61">
            <v>6600</v>
          </cell>
          <cell r="BH61">
            <v>5400</v>
          </cell>
          <cell r="BI61">
            <v>-600</v>
          </cell>
          <cell r="BJ61">
            <v>6400</v>
          </cell>
          <cell r="BK61">
            <v>700</v>
          </cell>
          <cell r="BL61">
            <v>24500</v>
          </cell>
          <cell r="BM61">
            <v>19000</v>
          </cell>
          <cell r="BN61">
            <v>28500</v>
          </cell>
          <cell r="BO61">
            <v>19300</v>
          </cell>
          <cell r="BP61">
            <v>15500</v>
          </cell>
          <cell r="BQ61">
            <v>21100</v>
          </cell>
          <cell r="BR61">
            <v>12100</v>
          </cell>
          <cell r="BS61">
            <v>8000</v>
          </cell>
          <cell r="BT61">
            <v>-95500</v>
          </cell>
          <cell r="BU61">
            <v>-311700</v>
          </cell>
          <cell r="BV61">
            <v>-284400</v>
          </cell>
          <cell r="BW61">
            <v>-5900</v>
          </cell>
          <cell r="BX61">
            <v>-7000</v>
          </cell>
          <cell r="BY61">
            <v>-10300</v>
          </cell>
          <cell r="BZ61">
            <v>5900</v>
          </cell>
          <cell r="CA61">
            <v>8800</v>
          </cell>
          <cell r="CB61">
            <v>7200</v>
          </cell>
          <cell r="CC61">
            <v>-41744.547185206902</v>
          </cell>
          <cell r="CD61">
            <v>-123723.08561904519</v>
          </cell>
        </row>
        <row r="62">
          <cell r="A62" t="str">
            <v xml:space="preserve">  Retained earnings</v>
          </cell>
          <cell r="F62">
            <v>-53366</v>
          </cell>
          <cell r="G62">
            <v>-79776</v>
          </cell>
          <cell r="H62">
            <v>-321316</v>
          </cell>
          <cell r="I62">
            <v>70145</v>
          </cell>
          <cell r="J62">
            <v>516000</v>
          </cell>
          <cell r="K62">
            <v>487400</v>
          </cell>
          <cell r="L62">
            <v>385400</v>
          </cell>
          <cell r="M62">
            <v>214100</v>
          </cell>
          <cell r="N62">
            <v>0</v>
          </cell>
          <cell r="O62">
            <v>0</v>
          </cell>
          <cell r="P62">
            <v>0</v>
          </cell>
          <cell r="Q62">
            <v>0</v>
          </cell>
          <cell r="R62">
            <v>0</v>
          </cell>
          <cell r="S62">
            <v>0</v>
          </cell>
          <cell r="T62">
            <v>0</v>
          </cell>
          <cell r="U62">
            <v>0</v>
          </cell>
          <cell r="V62">
            <v>0</v>
          </cell>
          <cell r="W62">
            <v>0</v>
          </cell>
          <cell r="X62">
            <v>0</v>
          </cell>
          <cell r="Y62">
            <v>0</v>
          </cell>
          <cell r="AD62">
            <v>-79776</v>
          </cell>
          <cell r="AE62">
            <v>-340306</v>
          </cell>
          <cell r="AF62">
            <v>-322232</v>
          </cell>
          <cell r="AG62">
            <v>-321233</v>
          </cell>
          <cell r="AH62">
            <v>-321316</v>
          </cell>
          <cell r="AI62">
            <v>-321319</v>
          </cell>
          <cell r="AJ62">
            <v>-321319</v>
          </cell>
          <cell r="AK62">
            <v>71619</v>
          </cell>
          <cell r="AL62">
            <v>0</v>
          </cell>
          <cell r="AM62">
            <v>0</v>
          </cell>
          <cell r="AN62">
            <v>0</v>
          </cell>
          <cell r="AO62">
            <v>0</v>
          </cell>
          <cell r="AP62">
            <v>0</v>
          </cell>
          <cell r="AQ62">
            <v>0</v>
          </cell>
          <cell r="AR62">
            <v>0</v>
          </cell>
          <cell r="AS62">
            <v>0</v>
          </cell>
          <cell r="AT62">
            <v>0</v>
          </cell>
          <cell r="AU62">
            <v>0</v>
          </cell>
          <cell r="AV62">
            <v>0</v>
          </cell>
          <cell r="AW62">
            <v>0</v>
          </cell>
          <cell r="AX62">
            <v>0</v>
          </cell>
          <cell r="AY62">
            <v>345400</v>
          </cell>
          <cell r="AZ62">
            <v>303500</v>
          </cell>
          <cell r="BA62">
            <v>267800</v>
          </cell>
          <cell r="BB62">
            <v>214100</v>
          </cell>
          <cell r="BC62">
            <v>110200</v>
          </cell>
          <cell r="BD62">
            <v>75900</v>
          </cell>
          <cell r="BE62">
            <v>18600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row>
        <row r="63">
          <cell r="A63" t="str">
            <v>Total stockholders equity</v>
          </cell>
          <cell r="F63">
            <v>49862</v>
          </cell>
          <cell r="G63">
            <v>6471</v>
          </cell>
          <cell r="H63">
            <v>571768</v>
          </cell>
          <cell r="I63">
            <v>469834</v>
          </cell>
          <cell r="J63">
            <v>699800</v>
          </cell>
          <cell r="K63">
            <v>252300</v>
          </cell>
          <cell r="L63">
            <v>260700</v>
          </cell>
          <cell r="M63">
            <v>830600</v>
          </cell>
          <cell r="N63">
            <v>1495300</v>
          </cell>
          <cell r="O63">
            <v>1104800</v>
          </cell>
          <cell r="P63">
            <v>840200</v>
          </cell>
          <cell r="Q63">
            <v>224800</v>
          </cell>
          <cell r="R63">
            <v>306400</v>
          </cell>
          <cell r="S63">
            <v>170000</v>
          </cell>
          <cell r="T63">
            <v>503178.89099753939</v>
          </cell>
          <cell r="U63">
            <v>328286.08830754325</v>
          </cell>
          <cell r="V63">
            <v>155906.463564715</v>
          </cell>
          <cell r="W63">
            <v>-15543.019606595626</v>
          </cell>
          <cell r="X63">
            <v>-190746.45819804189</v>
          </cell>
          <cell r="Y63">
            <v>-432088.02956091752</v>
          </cell>
          <cell r="AD63">
            <v>6471</v>
          </cell>
          <cell r="AE63">
            <v>572491</v>
          </cell>
          <cell r="AF63">
            <v>564731</v>
          </cell>
          <cell r="AG63">
            <v>575931</v>
          </cell>
          <cell r="AH63">
            <v>571768</v>
          </cell>
          <cell r="AI63">
            <v>566084</v>
          </cell>
          <cell r="AJ63">
            <v>560068</v>
          </cell>
          <cell r="AK63">
            <v>602886</v>
          </cell>
          <cell r="AL63">
            <v>469834</v>
          </cell>
          <cell r="AM63">
            <v>460100</v>
          </cell>
          <cell r="AN63">
            <v>473500</v>
          </cell>
          <cell r="AO63">
            <v>460800</v>
          </cell>
          <cell r="AP63">
            <v>699800</v>
          </cell>
          <cell r="AQ63">
            <v>595000</v>
          </cell>
          <cell r="AR63">
            <v>502300</v>
          </cell>
          <cell r="AS63">
            <v>540600</v>
          </cell>
          <cell r="AT63">
            <v>252300</v>
          </cell>
          <cell r="AU63">
            <v>223200</v>
          </cell>
          <cell r="AV63">
            <v>226400</v>
          </cell>
          <cell r="AW63">
            <v>189800</v>
          </cell>
          <cell r="AX63">
            <v>260700</v>
          </cell>
          <cell r="AY63">
            <v>402900</v>
          </cell>
          <cell r="AZ63">
            <v>641800</v>
          </cell>
          <cell r="BA63">
            <v>615400</v>
          </cell>
          <cell r="BB63">
            <v>830600</v>
          </cell>
          <cell r="BC63">
            <v>804800</v>
          </cell>
          <cell r="BD63">
            <v>800400</v>
          </cell>
          <cell r="BE63">
            <v>822600</v>
          </cell>
          <cell r="BF63">
            <v>1495300</v>
          </cell>
          <cell r="BG63">
            <v>1426100</v>
          </cell>
          <cell r="BH63">
            <v>1337400</v>
          </cell>
          <cell r="BI63">
            <v>1244600</v>
          </cell>
          <cell r="BJ63">
            <v>1104800</v>
          </cell>
          <cell r="BK63">
            <v>1023900</v>
          </cell>
          <cell r="BL63">
            <v>946100</v>
          </cell>
          <cell r="BM63">
            <v>854800</v>
          </cell>
          <cell r="BN63">
            <v>840200</v>
          </cell>
          <cell r="BO63">
            <v>722700</v>
          </cell>
          <cell r="BP63">
            <v>590200</v>
          </cell>
          <cell r="BQ63">
            <v>458900</v>
          </cell>
          <cell r="BR63">
            <v>224800</v>
          </cell>
          <cell r="BS63">
            <v>95000</v>
          </cell>
          <cell r="BT63">
            <v>435000</v>
          </cell>
          <cell r="BU63">
            <v>174300</v>
          </cell>
          <cell r="BV63">
            <v>306400</v>
          </cell>
          <cell r="BW63">
            <v>337700</v>
          </cell>
          <cell r="BX63">
            <v>329200</v>
          </cell>
          <cell r="BY63">
            <v>250300</v>
          </cell>
          <cell r="BZ63">
            <v>170000</v>
          </cell>
          <cell r="CA63">
            <v>722400</v>
          </cell>
          <cell r="CB63">
            <v>651406.37033692747</v>
          </cell>
          <cell r="CC63">
            <v>583792.34340526722</v>
          </cell>
          <cell r="CD63">
            <v>503178.89099753939</v>
          </cell>
        </row>
        <row r="64">
          <cell r="A64" t="str">
            <v>Total stockholders equity</v>
          </cell>
          <cell r="F64">
            <v>49862</v>
          </cell>
          <cell r="G64">
            <v>6471</v>
          </cell>
          <cell r="H64">
            <v>571768</v>
          </cell>
          <cell r="I64">
            <v>469834</v>
          </cell>
          <cell r="J64">
            <v>699800</v>
          </cell>
          <cell r="K64">
            <v>252300</v>
          </cell>
          <cell r="L64">
            <v>260700</v>
          </cell>
          <cell r="M64">
            <v>830600</v>
          </cell>
          <cell r="N64">
            <v>1495300</v>
          </cell>
          <cell r="O64">
            <v>1104800</v>
          </cell>
          <cell r="P64">
            <v>840200</v>
          </cell>
          <cell r="Q64">
            <v>224800</v>
          </cell>
          <cell r="R64">
            <v>306400</v>
          </cell>
          <cell r="S64">
            <v>170000</v>
          </cell>
          <cell r="T64">
            <v>499276.91438095481</v>
          </cell>
          <cell r="U64">
            <v>434961.29401764553</v>
          </cell>
          <cell r="V64">
            <v>381789.67250981834</v>
          </cell>
          <cell r="W64">
            <v>336242.3372516128</v>
          </cell>
          <cell r="X64">
            <v>291548.28778435173</v>
          </cell>
          <cell r="Y64">
            <v>176293.6875452185</v>
          </cell>
          <cell r="AD64">
            <v>6471</v>
          </cell>
          <cell r="AE64">
            <v>572491</v>
          </cell>
          <cell r="AF64">
            <v>564731</v>
          </cell>
          <cell r="AG64">
            <v>575931</v>
          </cell>
          <cell r="AH64">
            <v>571768</v>
          </cell>
          <cell r="AI64">
            <v>566084</v>
          </cell>
          <cell r="AJ64">
            <v>560068</v>
          </cell>
          <cell r="AK64">
            <v>602886</v>
          </cell>
          <cell r="AL64">
            <v>469834</v>
          </cell>
          <cell r="AM64">
            <v>460100</v>
          </cell>
          <cell r="AN64">
            <v>473500</v>
          </cell>
          <cell r="AO64">
            <v>460800</v>
          </cell>
          <cell r="AP64">
            <v>699800</v>
          </cell>
          <cell r="AQ64">
            <v>595000</v>
          </cell>
          <cell r="AR64">
            <v>502300</v>
          </cell>
          <cell r="AS64">
            <v>540600</v>
          </cell>
          <cell r="AT64">
            <v>252300</v>
          </cell>
          <cell r="AU64">
            <v>223200</v>
          </cell>
          <cell r="AV64">
            <v>226400</v>
          </cell>
          <cell r="AW64">
            <v>189800</v>
          </cell>
          <cell r="AX64">
            <v>260700</v>
          </cell>
          <cell r="AY64">
            <v>402900</v>
          </cell>
          <cell r="AZ64">
            <v>641800</v>
          </cell>
          <cell r="BA64">
            <v>615400</v>
          </cell>
          <cell r="BB64">
            <v>830600</v>
          </cell>
          <cell r="BC64">
            <v>804800</v>
          </cell>
          <cell r="BD64">
            <v>800400</v>
          </cell>
          <cell r="BE64">
            <v>822600</v>
          </cell>
          <cell r="BF64">
            <v>1495300</v>
          </cell>
          <cell r="BG64">
            <v>1426100</v>
          </cell>
          <cell r="BH64">
            <v>1337400</v>
          </cell>
          <cell r="BI64">
            <v>1244600</v>
          </cell>
          <cell r="BJ64">
            <v>1104800</v>
          </cell>
          <cell r="BK64">
            <v>1023900</v>
          </cell>
          <cell r="BL64">
            <v>946100</v>
          </cell>
          <cell r="BM64">
            <v>854800</v>
          </cell>
          <cell r="BN64">
            <v>840200</v>
          </cell>
          <cell r="BO64">
            <v>722700</v>
          </cell>
          <cell r="BP64">
            <v>590200</v>
          </cell>
          <cell r="BQ64">
            <v>458900</v>
          </cell>
          <cell r="BR64">
            <v>224800</v>
          </cell>
          <cell r="BS64">
            <v>95000</v>
          </cell>
          <cell r="BT64">
            <v>435000</v>
          </cell>
          <cell r="BU64">
            <v>174300</v>
          </cell>
          <cell r="BV64">
            <v>306400</v>
          </cell>
          <cell r="BW64">
            <v>337700</v>
          </cell>
          <cell r="BX64">
            <v>329200</v>
          </cell>
          <cell r="BY64">
            <v>250300</v>
          </cell>
          <cell r="BZ64">
            <v>170000</v>
          </cell>
          <cell r="CA64">
            <v>722400</v>
          </cell>
          <cell r="CB64">
            <v>630200</v>
          </cell>
          <cell r="CC64">
            <v>581255.4528147931</v>
          </cell>
          <cell r="CD64">
            <v>499276.91438095481</v>
          </cell>
        </row>
        <row r="65">
          <cell r="A65" t="str">
            <v>LIABILITIES AND EQUITY</v>
          </cell>
          <cell r="F65">
            <v>2039043</v>
          </cell>
          <cell r="G65">
            <v>1971167</v>
          </cell>
          <cell r="H65">
            <v>1962781</v>
          </cell>
          <cell r="I65">
            <v>8030720</v>
          </cell>
          <cell r="J65">
            <v>8241200</v>
          </cell>
          <cell r="K65">
            <v>8009300</v>
          </cell>
          <cell r="L65">
            <v>9145400</v>
          </cell>
          <cell r="M65">
            <v>11353700</v>
          </cell>
          <cell r="N65">
            <v>14392100</v>
          </cell>
          <cell r="O65">
            <v>13982000</v>
          </cell>
          <cell r="P65">
            <v>13444600</v>
          </cell>
          <cell r="Q65">
            <v>12520300</v>
          </cell>
          <cell r="R65">
            <v>12518100</v>
          </cell>
          <cell r="S65">
            <v>11770000</v>
          </cell>
          <cell r="T65">
            <v>12487215.724949259</v>
          </cell>
          <cell r="U65">
            <v>12183531.905632535</v>
          </cell>
          <cell r="V65">
            <v>11827060.024818065</v>
          </cell>
          <cell r="W65">
            <v>11503517.158795033</v>
          </cell>
          <cell r="X65">
            <v>11218262.157913579</v>
          </cell>
          <cell r="Y65">
            <v>10796812.571655499</v>
          </cell>
          <cell r="AD65">
            <v>1971167</v>
          </cell>
          <cell r="AE65">
            <v>1965850</v>
          </cell>
          <cell r="AF65">
            <v>1974479</v>
          </cell>
          <cell r="AG65">
            <v>1952100</v>
          </cell>
          <cell r="AH65">
            <v>1962781</v>
          </cell>
          <cell r="AI65">
            <v>1957304</v>
          </cell>
          <cell r="AJ65">
            <v>1969885</v>
          </cell>
          <cell r="AK65">
            <v>8161748</v>
          </cell>
          <cell r="AL65">
            <v>8030720</v>
          </cell>
          <cell r="AM65">
            <v>7961200</v>
          </cell>
          <cell r="AN65">
            <v>8006400</v>
          </cell>
          <cell r="AO65">
            <v>8297400</v>
          </cell>
          <cell r="AP65">
            <v>8241200</v>
          </cell>
          <cell r="AQ65">
            <v>8142900</v>
          </cell>
          <cell r="AR65">
            <v>8040500</v>
          </cell>
          <cell r="AS65">
            <v>8060200</v>
          </cell>
          <cell r="AT65">
            <v>8009300</v>
          </cell>
          <cell r="AU65">
            <v>7905000</v>
          </cell>
          <cell r="AV65">
            <v>7789500</v>
          </cell>
          <cell r="AW65">
            <v>7768100</v>
          </cell>
          <cell r="AX65">
            <v>9145400</v>
          </cell>
          <cell r="AY65">
            <v>9327400</v>
          </cell>
          <cell r="AZ65">
            <v>10087200</v>
          </cell>
          <cell r="BA65">
            <v>10132200</v>
          </cell>
          <cell r="BB65">
            <v>11353700</v>
          </cell>
          <cell r="BC65">
            <v>11342800</v>
          </cell>
          <cell r="BD65">
            <v>11329200</v>
          </cell>
          <cell r="BE65">
            <v>11419100</v>
          </cell>
          <cell r="BF65">
            <v>14392100</v>
          </cell>
          <cell r="BG65">
            <v>13966400</v>
          </cell>
          <cell r="BH65">
            <v>13927200</v>
          </cell>
          <cell r="BI65">
            <v>14028400</v>
          </cell>
          <cell r="BJ65">
            <v>13982000</v>
          </cell>
          <cell r="BK65">
            <v>13723500</v>
          </cell>
          <cell r="BL65">
            <v>13638900</v>
          </cell>
          <cell r="BM65">
            <v>13486700</v>
          </cell>
          <cell r="BN65">
            <v>13444600</v>
          </cell>
          <cell r="BO65">
            <v>13239800</v>
          </cell>
          <cell r="BP65">
            <v>12985700</v>
          </cell>
          <cell r="BQ65">
            <v>12831600</v>
          </cell>
          <cell r="BR65">
            <v>12520300</v>
          </cell>
          <cell r="BS65">
            <v>12619100</v>
          </cell>
          <cell r="BT65">
            <v>13204400</v>
          </cell>
          <cell r="BU65">
            <v>13004400</v>
          </cell>
          <cell r="BV65">
            <v>12518100</v>
          </cell>
          <cell r="BW65">
            <v>12611200</v>
          </cell>
          <cell r="BX65">
            <v>11821600</v>
          </cell>
          <cell r="BY65">
            <v>11823600</v>
          </cell>
          <cell r="BZ65">
            <v>11770000</v>
          </cell>
          <cell r="CA65">
            <v>12904200</v>
          </cell>
          <cell r="CB65">
            <v>12765664.708518701</v>
          </cell>
          <cell r="CC65">
            <v>12671138.674413396</v>
          </cell>
          <cell r="CD65">
            <v>12487215.724949259</v>
          </cell>
        </row>
        <row r="66">
          <cell r="A66" t="str">
            <v xml:space="preserve"> check</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row>
        <row r="67">
          <cell r="A67" t="str">
            <v xml:space="preserve"> check</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row>
        <row r="68">
          <cell r="A68" t="str">
            <v>Net issuance (repurchase) of common stock</v>
          </cell>
          <cell r="F68">
            <v>110599</v>
          </cell>
          <cell r="G68">
            <v>-16458</v>
          </cell>
          <cell r="H68">
            <v>806247</v>
          </cell>
          <cell r="I68">
            <v>-349861</v>
          </cell>
          <cell r="J68">
            <v>-263727</v>
          </cell>
          <cell r="K68">
            <v>-185300</v>
          </cell>
          <cell r="L68">
            <v>-17900</v>
          </cell>
          <cell r="M68">
            <v>749800</v>
          </cell>
          <cell r="N68">
            <v>-16224.5</v>
          </cell>
          <cell r="O68">
            <v>-482700</v>
          </cell>
          <cell r="P68">
            <v>-377980</v>
          </cell>
          <cell r="Q68">
            <v>-3218280</v>
          </cell>
          <cell r="R68">
            <v>378100</v>
          </cell>
          <cell r="S68">
            <v>-426700</v>
          </cell>
          <cell r="T68">
            <v>630631</v>
          </cell>
          <cell r="U68">
            <v>16800</v>
          </cell>
          <cell r="V68">
            <v>16800</v>
          </cell>
          <cell r="W68">
            <v>16800</v>
          </cell>
          <cell r="X68">
            <v>16800</v>
          </cell>
          <cell r="Y68">
            <v>16800</v>
          </cell>
          <cell r="AE68">
            <v>826340</v>
          </cell>
          <cell r="AF68">
            <v>-22951</v>
          </cell>
          <cell r="AG68">
            <v>7066</v>
          </cell>
          <cell r="AH68">
            <v>-4208</v>
          </cell>
          <cell r="AI68">
            <v>-8104</v>
          </cell>
          <cell r="AJ68">
            <v>-7704</v>
          </cell>
          <cell r="AK68">
            <v>-327991</v>
          </cell>
          <cell r="AL68">
            <v>-6062</v>
          </cell>
          <cell r="AM68">
            <v>7673</v>
          </cell>
          <cell r="AN68">
            <v>4500</v>
          </cell>
          <cell r="AO68">
            <v>2800</v>
          </cell>
          <cell r="AP68">
            <v>-278700</v>
          </cell>
          <cell r="AQ68">
            <v>-96600</v>
          </cell>
          <cell r="AR68">
            <v>-95700</v>
          </cell>
          <cell r="AS68">
            <v>2100</v>
          </cell>
          <cell r="AT68">
            <v>4900</v>
          </cell>
          <cell r="AU68">
            <v>-17900</v>
          </cell>
          <cell r="AV68">
            <v>-6200</v>
          </cell>
          <cell r="AW68">
            <v>-13800</v>
          </cell>
          <cell r="AX68">
            <v>20000</v>
          </cell>
          <cell r="AY68">
            <v>184500</v>
          </cell>
          <cell r="AZ68">
            <v>282900</v>
          </cell>
          <cell r="BA68">
            <v>5200</v>
          </cell>
          <cell r="BB68">
            <v>277200</v>
          </cell>
          <cell r="BC68">
            <v>60900</v>
          </cell>
          <cell r="BD68">
            <v>6400</v>
          </cell>
          <cell r="BE68">
            <v>81400</v>
          </cell>
          <cell r="BF68">
            <v>648918</v>
          </cell>
          <cell r="BG68">
            <v>-73900</v>
          </cell>
          <cell r="BH68">
            <v>-87500</v>
          </cell>
          <cell r="BI68">
            <v>-86800</v>
          </cell>
          <cell r="BJ68">
            <v>-146800</v>
          </cell>
          <cell r="BK68">
            <v>-75200</v>
          </cell>
          <cell r="BL68">
            <v>-101600</v>
          </cell>
          <cell r="BM68">
            <v>-85800</v>
          </cell>
          <cell r="BN68">
            <v>-24100</v>
          </cell>
          <cell r="BO68">
            <v>-108300</v>
          </cell>
          <cell r="BP68">
            <v>-128700</v>
          </cell>
          <cell r="BQ68">
            <v>-136900</v>
          </cell>
          <cell r="BR68">
            <v>-225100</v>
          </cell>
          <cell r="BS68">
            <v>-125700</v>
          </cell>
          <cell r="BT68">
            <v>443500</v>
          </cell>
          <cell r="BU68">
            <v>-44500</v>
          </cell>
          <cell r="BV68">
            <v>104800</v>
          </cell>
          <cell r="BW68">
            <v>-247200</v>
          </cell>
          <cell r="BX68">
            <v>-7400</v>
          </cell>
          <cell r="BY68">
            <v>-75600</v>
          </cell>
          <cell r="BZ68">
            <v>-96500</v>
          </cell>
          <cell r="CA68">
            <v>549500</v>
          </cell>
          <cell r="CB68">
            <v>0</v>
          </cell>
          <cell r="CC68">
            <v>0</v>
          </cell>
          <cell r="CD68">
            <v>0</v>
          </cell>
        </row>
        <row r="69">
          <cell r="A69" t="str">
            <v xml:space="preserve"> Accumulated other comprehensive income </v>
          </cell>
          <cell r="F69">
            <v>-118970</v>
          </cell>
          <cell r="G69">
            <v>822</v>
          </cell>
          <cell r="H69">
            <v>-188903.35517999998</v>
          </cell>
          <cell r="I69">
            <v>-102073.39822734112</v>
          </cell>
          <cell r="J69">
            <v>53393</v>
          </cell>
          <cell r="K69">
            <v>-229700</v>
          </cell>
          <cell r="L69">
            <v>129200</v>
          </cell>
          <cell r="M69">
            <v>-26000</v>
          </cell>
          <cell r="N69">
            <v>344800</v>
          </cell>
          <cell r="O69">
            <v>417300</v>
          </cell>
          <cell r="P69">
            <v>374700</v>
          </cell>
          <cell r="Q69">
            <v>625300</v>
          </cell>
          <cell r="R69">
            <v>-5820</v>
          </cell>
          <cell r="S69">
            <v>767240</v>
          </cell>
          <cell r="T69">
            <v>0</v>
          </cell>
          <cell r="U69">
            <v>0</v>
          </cell>
          <cell r="V69">
            <v>0</v>
          </cell>
          <cell r="W69">
            <v>0</v>
          </cell>
          <cell r="X69">
            <v>0</v>
          </cell>
          <cell r="Y69">
            <v>2.3283064365386963E-10</v>
          </cell>
          <cell r="AE69">
            <v>-235209.86158</v>
          </cell>
          <cell r="AF69">
            <v>21921.129720000026</v>
          </cell>
          <cell r="AG69">
            <v>15786.323839999968</v>
          </cell>
          <cell r="AH69">
            <v>8599.0528400000185</v>
          </cell>
          <cell r="AI69">
            <v>11539.353599999973</v>
          </cell>
          <cell r="AJ69">
            <v>11635.672840000014</v>
          </cell>
          <cell r="AK69">
            <v>-20585</v>
          </cell>
          <cell r="AL69">
            <v>-104663.42466734111</v>
          </cell>
          <cell r="AM69">
            <v>1793</v>
          </cell>
          <cell r="AN69">
            <v>12400</v>
          </cell>
          <cell r="AO69">
            <v>-14000</v>
          </cell>
          <cell r="AP69">
            <v>53200</v>
          </cell>
          <cell r="AQ69">
            <v>-18300</v>
          </cell>
          <cell r="AR69">
            <v>12800</v>
          </cell>
          <cell r="AS69">
            <v>40200</v>
          </cell>
          <cell r="AT69">
            <v>-283000</v>
          </cell>
          <cell r="AU69">
            <v>10500</v>
          </cell>
          <cell r="AV69">
            <v>28100</v>
          </cell>
          <cell r="AW69">
            <v>6400</v>
          </cell>
          <cell r="AX69">
            <v>84200</v>
          </cell>
          <cell r="AY69">
            <v>9674.6662500000093</v>
          </cell>
          <cell r="AZ69">
            <v>3074.6662500000093</v>
          </cell>
          <cell r="BA69">
            <v>9274.6662500000093</v>
          </cell>
          <cell r="BB69">
            <v>-8325.3337499999907</v>
          </cell>
          <cell r="BC69">
            <v>9575</v>
          </cell>
          <cell r="BD69">
            <v>20000</v>
          </cell>
          <cell r="BE69">
            <v>-9074.9999999999854</v>
          </cell>
          <cell r="BF69">
            <v>333862.5</v>
          </cell>
          <cell r="BG69">
            <v>91125</v>
          </cell>
          <cell r="BH69">
            <v>94850</v>
          </cell>
          <cell r="BI69">
            <v>87325</v>
          </cell>
          <cell r="BJ69">
            <v>143937.5</v>
          </cell>
          <cell r="BK69">
            <v>89612.5</v>
          </cell>
          <cell r="BL69">
            <v>132287.5</v>
          </cell>
          <cell r="BM69">
            <v>112512.5</v>
          </cell>
          <cell r="BN69">
            <v>40137.5</v>
          </cell>
          <cell r="BO69">
            <v>124662.5</v>
          </cell>
          <cell r="BP69">
            <v>132875</v>
          </cell>
          <cell r="BQ69">
            <v>148262.5</v>
          </cell>
          <cell r="BR69">
            <v>219187.5</v>
          </cell>
          <cell r="BS69">
            <v>136202.5</v>
          </cell>
          <cell r="BT69">
            <v>125655</v>
          </cell>
          <cell r="BU69">
            <v>-193357.5</v>
          </cell>
          <cell r="BV69">
            <v>-108672.5</v>
          </cell>
          <cell r="BW69">
            <v>523642.5</v>
          </cell>
          <cell r="BX69">
            <v>12660</v>
          </cell>
          <cell r="BY69">
            <v>76597.5</v>
          </cell>
          <cell r="BZ69">
            <v>153550</v>
          </cell>
          <cell r="CA69">
            <v>-23757.5</v>
          </cell>
          <cell r="CB69">
            <v>0</v>
          </cell>
          <cell r="CC69">
            <v>0</v>
          </cell>
          <cell r="CD69">
            <v>0</v>
          </cell>
        </row>
        <row r="70">
          <cell r="A70" t="str">
            <v>Balance Sheet Assumptions and Ratios</v>
          </cell>
          <cell r="F70">
            <v>-118970</v>
          </cell>
          <cell r="G70">
            <v>822</v>
          </cell>
          <cell r="H70">
            <v>-188903.35517999998</v>
          </cell>
          <cell r="I70">
            <v>-102073.39822734112</v>
          </cell>
          <cell r="J70">
            <v>53393</v>
          </cell>
          <cell r="K70">
            <v>-229700</v>
          </cell>
          <cell r="L70">
            <v>129200</v>
          </cell>
          <cell r="M70">
            <v>-26000</v>
          </cell>
          <cell r="O70">
            <v>417300</v>
          </cell>
          <cell r="P70">
            <v>374700</v>
          </cell>
          <cell r="Q70">
            <v>625300</v>
          </cell>
          <cell r="R70">
            <v>-5820</v>
          </cell>
          <cell r="S70">
            <v>767240</v>
          </cell>
          <cell r="T70">
            <v>56840</v>
          </cell>
          <cell r="U70">
            <v>0</v>
          </cell>
          <cell r="V70">
            <v>0</v>
          </cell>
          <cell r="W70">
            <v>0</v>
          </cell>
          <cell r="X70">
            <v>0</v>
          </cell>
          <cell r="Y70">
            <v>0</v>
          </cell>
          <cell r="AE70">
            <v>-235209.86158</v>
          </cell>
          <cell r="AF70">
            <v>21921.129720000026</v>
          </cell>
          <cell r="AG70">
            <v>15786.323839999968</v>
          </cell>
          <cell r="AH70">
            <v>8599.0528400000185</v>
          </cell>
          <cell r="AI70">
            <v>11539.353599999973</v>
          </cell>
          <cell r="AJ70">
            <v>11635.672840000014</v>
          </cell>
          <cell r="AK70">
            <v>-20585</v>
          </cell>
          <cell r="AL70">
            <v>-104663.42466734111</v>
          </cell>
          <cell r="AM70">
            <v>1793</v>
          </cell>
          <cell r="AN70">
            <v>12400</v>
          </cell>
          <cell r="AO70">
            <v>-14000</v>
          </cell>
          <cell r="AP70">
            <v>53200</v>
          </cell>
          <cell r="AQ70">
            <v>-18300</v>
          </cell>
          <cell r="AR70">
            <v>12800</v>
          </cell>
          <cell r="AS70">
            <v>40200</v>
          </cell>
          <cell r="AT70">
            <v>-283000</v>
          </cell>
          <cell r="AU70">
            <v>10500</v>
          </cell>
          <cell r="AV70">
            <v>28100</v>
          </cell>
          <cell r="AW70">
            <v>6400</v>
          </cell>
          <cell r="AX70">
            <v>84200</v>
          </cell>
          <cell r="AY70">
            <v>9674.6662500000093</v>
          </cell>
          <cell r="AZ70">
            <v>3074.6662500000093</v>
          </cell>
          <cell r="BA70">
            <v>9274.6662500000093</v>
          </cell>
          <cell r="BB70">
            <v>-8325.3337499999907</v>
          </cell>
          <cell r="BC70">
            <v>9575</v>
          </cell>
          <cell r="BD70">
            <v>20000</v>
          </cell>
          <cell r="BE70">
            <v>-9074.9999999999854</v>
          </cell>
          <cell r="BG70">
            <v>91125</v>
          </cell>
          <cell r="BH70">
            <v>94850</v>
          </cell>
          <cell r="BI70">
            <v>87325</v>
          </cell>
          <cell r="BJ70">
            <v>143937.5</v>
          </cell>
          <cell r="BK70">
            <v>89612.5</v>
          </cell>
          <cell r="BL70">
            <v>132287.5</v>
          </cell>
          <cell r="BM70">
            <v>112512.5</v>
          </cell>
          <cell r="BN70">
            <v>40137.5</v>
          </cell>
          <cell r="BO70">
            <v>124662.5</v>
          </cell>
          <cell r="BP70">
            <v>132875</v>
          </cell>
          <cell r="BQ70">
            <v>148262.5</v>
          </cell>
          <cell r="BR70">
            <v>219187.5</v>
          </cell>
          <cell r="BS70">
            <v>136202.5</v>
          </cell>
          <cell r="BT70">
            <v>125655</v>
          </cell>
          <cell r="BU70">
            <v>-193357.5</v>
          </cell>
          <cell r="BV70">
            <v>-108672.5</v>
          </cell>
          <cell r="BW70">
            <v>523642.5</v>
          </cell>
          <cell r="BX70">
            <v>12660</v>
          </cell>
          <cell r="BY70">
            <v>76597.5</v>
          </cell>
          <cell r="BZ70">
            <v>153550</v>
          </cell>
          <cell r="CA70">
            <v>-23757.5</v>
          </cell>
          <cell r="CB70">
            <v>95090</v>
          </cell>
          <cell r="CC70">
            <v>0</v>
          </cell>
          <cell r="CD70">
            <v>0</v>
          </cell>
        </row>
        <row r="71">
          <cell r="A71" t="str">
            <v>Balance Sheet Assumptions and Ratios</v>
          </cell>
        </row>
        <row r="72">
          <cell r="A72" t="str">
            <v>Receivable days (based on revenues)</v>
          </cell>
          <cell r="AJ72" t="str">
            <v>VCG</v>
          </cell>
          <cell r="AK72" t="str">
            <v>WIN</v>
          </cell>
        </row>
        <row r="73">
          <cell r="A73" t="str">
            <v>AR Customers, net of allowance for doubtful</v>
          </cell>
          <cell r="F73">
            <v>19.218472897489413</v>
          </cell>
          <cell r="G73">
            <v>18.877451656777907</v>
          </cell>
          <cell r="H73">
            <v>18.027254721344786</v>
          </cell>
          <cell r="I73">
            <v>0</v>
          </cell>
          <cell r="J73">
            <v>0</v>
          </cell>
          <cell r="K73">
            <v>0</v>
          </cell>
          <cell r="L73">
            <v>0</v>
          </cell>
          <cell r="M73">
            <v>0</v>
          </cell>
          <cell r="N73">
            <v>0</v>
          </cell>
          <cell r="O73">
            <v>0</v>
          </cell>
          <cell r="U73">
            <v>0</v>
          </cell>
          <cell r="V73">
            <v>0</v>
          </cell>
          <cell r="W73">
            <v>0</v>
          </cell>
          <cell r="X73">
            <v>0</v>
          </cell>
          <cell r="Y73">
            <v>0</v>
          </cell>
          <cell r="AD73">
            <v>18.700002343182511</v>
          </cell>
          <cell r="AE73">
            <v>17.329463335609802</v>
          </cell>
          <cell r="AF73">
            <v>19.103975632198495</v>
          </cell>
          <cell r="AG73">
            <v>18.181462957174116</v>
          </cell>
          <cell r="AH73">
            <v>18.103620771796095</v>
          </cell>
          <cell r="AI73">
            <v>17.444409945305594</v>
          </cell>
          <cell r="AJ73" t="str">
            <v>VCG</v>
          </cell>
          <cell r="AK73" t="str">
            <v>WIN</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row>
        <row r="74">
          <cell r="A74" t="str">
            <v>AR Carriers and other, net of allowance for</v>
          </cell>
          <cell r="F74">
            <v>24.77264775784483</v>
          </cell>
          <cell r="G74">
            <v>25.656501941613609</v>
          </cell>
          <cell r="H74">
            <v>24.650223169280522</v>
          </cell>
          <cell r="I74">
            <v>0</v>
          </cell>
          <cell r="J74">
            <v>0</v>
          </cell>
          <cell r="K74">
            <v>0</v>
          </cell>
          <cell r="L74">
            <v>0</v>
          </cell>
          <cell r="M74">
            <v>0</v>
          </cell>
          <cell r="N74">
            <v>0</v>
          </cell>
          <cell r="O74">
            <v>0</v>
          </cell>
          <cell r="U74">
            <v>0</v>
          </cell>
          <cell r="V74">
            <v>0</v>
          </cell>
          <cell r="W74">
            <v>0</v>
          </cell>
          <cell r="X74">
            <v>0</v>
          </cell>
          <cell r="Y74">
            <v>0</v>
          </cell>
          <cell r="AD74">
            <v>25.415329099983598</v>
          </cell>
          <cell r="AE74">
            <v>24.790988358242142</v>
          </cell>
          <cell r="AF74">
            <v>22.668480502585908</v>
          </cell>
          <cell r="AG74">
            <v>23.669662394498282</v>
          </cell>
          <cell r="AH74">
            <v>24.754645069080514</v>
          </cell>
          <cell r="AI74">
            <v>21.603095368888678</v>
          </cell>
          <cell r="AJ74">
            <v>20.962530188664207</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row>
        <row r="75">
          <cell r="A75" t="str">
            <v>AR Materials and supplies, at average cost</v>
          </cell>
          <cell r="F75">
            <v>1.3912581886619455</v>
          </cell>
          <cell r="G75">
            <v>0.99347538980110783</v>
          </cell>
          <cell r="H75">
            <v>1.0090651401281692</v>
          </cell>
          <cell r="I75">
            <v>0</v>
          </cell>
          <cell r="J75">
            <v>0</v>
          </cell>
          <cell r="K75">
            <v>0</v>
          </cell>
          <cell r="L75">
            <v>0</v>
          </cell>
          <cell r="M75">
            <v>0</v>
          </cell>
          <cell r="N75">
            <v>0</v>
          </cell>
          <cell r="O75">
            <v>0</v>
          </cell>
          <cell r="U75">
            <v>0</v>
          </cell>
          <cell r="V75">
            <v>0</v>
          </cell>
          <cell r="W75">
            <v>0</v>
          </cell>
          <cell r="X75">
            <v>0</v>
          </cell>
          <cell r="Y75">
            <v>0</v>
          </cell>
          <cell r="AD75">
            <v>0.98413665440401155</v>
          </cell>
          <cell r="AE75">
            <v>1.0556199672823723</v>
          </cell>
          <cell r="AF75">
            <v>1.1715106133197957</v>
          </cell>
          <cell r="AG75">
            <v>0.95373554235698654</v>
          </cell>
          <cell r="AH75">
            <v>1.0133396855645544</v>
          </cell>
          <cell r="AI75">
            <v>0.98378275096133172</v>
          </cell>
          <cell r="AJ75">
            <v>1.085357202636676</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row>
        <row r="76">
          <cell r="A76" t="str">
            <v>AR Total</v>
          </cell>
          <cell r="F76">
            <v>0</v>
          </cell>
          <cell r="G76">
            <v>0</v>
          </cell>
          <cell r="H76">
            <v>0</v>
          </cell>
          <cell r="I76">
            <v>64.798355113208729</v>
          </cell>
          <cell r="J76">
            <v>35.318676704357998</v>
          </cell>
          <cell r="K76">
            <v>29.684342118970726</v>
          </cell>
          <cell r="L76">
            <v>24.817318145294699</v>
          </cell>
          <cell r="M76">
            <v>21.504641094052051</v>
          </cell>
          <cell r="N76">
            <v>45.093042265711404</v>
          </cell>
          <cell r="O76">
            <v>36.00879550451991</v>
          </cell>
          <cell r="P76">
            <v>38.193750939363071</v>
          </cell>
          <cell r="Q76">
            <v>40.313656387665198</v>
          </cell>
          <cell r="R76">
            <v>41.143039704655578</v>
          </cell>
          <cell r="S76">
            <v>41.339521069240767</v>
          </cell>
          <cell r="T76">
            <v>38.242272127246068</v>
          </cell>
          <cell r="U76">
            <v>0</v>
          </cell>
          <cell r="V76">
            <v>0</v>
          </cell>
          <cell r="W76">
            <v>0</v>
          </cell>
          <cell r="X76">
            <v>0</v>
          </cell>
          <cell r="Y76">
            <v>0</v>
          </cell>
          <cell r="AD76">
            <v>45.099468097570124</v>
          </cell>
          <cell r="AE76">
            <v>43.176071661134316</v>
          </cell>
          <cell r="AF76">
            <v>42.943966748104195</v>
          </cell>
          <cell r="AG76">
            <v>42.804860894029389</v>
          </cell>
          <cell r="AH76">
            <v>43.871605526441158</v>
          </cell>
          <cell r="AI76">
            <v>40.031288065155607</v>
          </cell>
          <cell r="AJ76">
            <v>39.150333569794597</v>
          </cell>
          <cell r="AK76">
            <v>47.60725798536928</v>
          </cell>
          <cell r="AL76">
            <v>36.670730587427862</v>
          </cell>
          <cell r="AM76">
            <v>34.131910766246364</v>
          </cell>
          <cell r="AN76">
            <v>33.154529307282417</v>
          </cell>
          <cell r="AO76">
            <v>37.59914255091104</v>
          </cell>
          <cell r="AP76">
            <v>35.679311598594111</v>
          </cell>
          <cell r="AQ76">
            <v>30.61970667217517</v>
          </cell>
          <cell r="AR76">
            <v>30.027958993476236</v>
          </cell>
          <cell r="AS76">
            <v>30.949843260188086</v>
          </cell>
          <cell r="AT76">
            <v>30.034784441867821</v>
          </cell>
          <cell r="AU76">
            <v>24.224943904263274</v>
          </cell>
          <cell r="AV76">
            <v>25.206127080181545</v>
          </cell>
          <cell r="AW76">
            <v>25.240768937952037</v>
          </cell>
          <cell r="AX76">
            <v>24.922156825517373</v>
          </cell>
          <cell r="AY76">
            <v>18.398930072602216</v>
          </cell>
          <cell r="AZ76">
            <v>19.793536804308797</v>
          </cell>
          <cell r="BA76">
            <v>19.963719686843614</v>
          </cell>
          <cell r="BB76">
            <v>21.593300821355236</v>
          </cell>
          <cell r="BC76">
            <v>21.468580994076746</v>
          </cell>
          <cell r="BD76">
            <v>21.495213005204654</v>
          </cell>
          <cell r="BE76">
            <v>22.206746741630464</v>
          </cell>
          <cell r="BF76">
            <v>44.959728969573</v>
          </cell>
          <cell r="BG76">
            <v>35.604589009842904</v>
          </cell>
          <cell r="BH76">
            <v>35.157812193687512</v>
          </cell>
          <cell r="BI76">
            <v>37.07462686567164</v>
          </cell>
          <cell r="BJ76">
            <v>36.026986506746624</v>
          </cell>
          <cell r="BK76">
            <v>35.729368526561977</v>
          </cell>
          <cell r="BL76">
            <v>36.768329226876212</v>
          </cell>
          <cell r="BM76">
            <v>38.123582009875882</v>
          </cell>
          <cell r="BN76">
            <v>38.340374170187083</v>
          </cell>
          <cell r="BO76">
            <v>39.892812105926858</v>
          </cell>
          <cell r="BP76">
            <v>39.776532399299477</v>
          </cell>
          <cell r="BQ76">
            <v>39.218551461245234</v>
          </cell>
          <cell r="BR76">
            <v>40.751692198076242</v>
          </cell>
          <cell r="BS76">
            <v>42.948764403217623</v>
          </cell>
          <cell r="BT76">
            <v>43.152549697493519</v>
          </cell>
          <cell r="BU76">
            <v>40.319656488549619</v>
          </cell>
          <cell r="BV76">
            <v>41.435006435006436</v>
          </cell>
          <cell r="BW76">
            <v>41.684141546526867</v>
          </cell>
          <cell r="BX76">
            <v>41.604148278905555</v>
          </cell>
          <cell r="BY76">
            <v>43.477581976355118</v>
          </cell>
          <cell r="BZ76">
            <v>42.528454663509279</v>
          </cell>
          <cell r="CA76">
            <v>38.89387539598733</v>
          </cell>
          <cell r="CB76">
            <v>38.89387539598733</v>
          </cell>
          <cell r="CC76">
            <v>38.89387539598733</v>
          </cell>
          <cell r="CD76">
            <v>38.89387539598733</v>
          </cell>
        </row>
        <row r="77">
          <cell r="A77" t="str">
            <v>Inventories (based on COS)</v>
          </cell>
          <cell r="F77">
            <v>0</v>
          </cell>
          <cell r="G77">
            <v>0</v>
          </cell>
          <cell r="H77">
            <v>0</v>
          </cell>
          <cell r="I77">
            <v>64.798355113208729</v>
          </cell>
          <cell r="J77">
            <v>10.040770941438103</v>
          </cell>
          <cell r="K77">
            <v>8.2426404995539695</v>
          </cell>
          <cell r="L77">
            <v>2.4471299093655587</v>
          </cell>
          <cell r="M77">
            <v>7.0712361568392694</v>
          </cell>
          <cell r="N77">
            <v>8.8873112172453848</v>
          </cell>
          <cell r="O77">
            <v>9.5731101971351578</v>
          </cell>
          <cell r="P77">
            <v>9.7793114517293951</v>
          </cell>
          <cell r="Q77">
            <v>8.3492317774703277</v>
          </cell>
          <cell r="R77">
            <v>10.362056480811006</v>
          </cell>
          <cell r="S77">
            <v>10.419000672193592</v>
          </cell>
          <cell r="T77">
            <v>10.26635736794386</v>
          </cell>
          <cell r="U77">
            <v>10.26635736794386</v>
          </cell>
          <cell r="V77">
            <v>10.26635736794386</v>
          </cell>
          <cell r="W77">
            <v>10.26635736794386</v>
          </cell>
          <cell r="X77">
            <v>10.26635736794386</v>
          </cell>
          <cell r="Y77">
            <v>10.26635736794386</v>
          </cell>
          <cell r="AD77">
            <v>45.099468097570124</v>
          </cell>
          <cell r="AE77">
            <v>43.176071661134316</v>
          </cell>
          <cell r="AF77">
            <v>42.943966748104195</v>
          </cell>
          <cell r="AG77">
            <v>42.804860894029389</v>
          </cell>
          <cell r="AH77">
            <v>43.871605526441158</v>
          </cell>
          <cell r="AI77">
            <v>0</v>
          </cell>
          <cell r="AJ77">
            <v>0</v>
          </cell>
          <cell r="AK77">
            <v>14.288792079207921</v>
          </cell>
          <cell r="AL77">
            <v>15.831917475728156</v>
          </cell>
          <cell r="AM77">
            <v>12.490622655663916</v>
          </cell>
          <cell r="AN77">
            <v>14.213903743315507</v>
          </cell>
          <cell r="AO77">
            <v>11.527419948472581</v>
          </cell>
          <cell r="AP77">
            <v>10.040770941438103</v>
          </cell>
          <cell r="AQ77">
            <v>8.0651731160896123</v>
          </cell>
          <cell r="AR77">
            <v>7.7940315974253949</v>
          </cell>
          <cell r="AS77">
            <v>8.0426635918132021</v>
          </cell>
          <cell r="AT77">
            <v>8.2426404995539695</v>
          </cell>
          <cell r="AU77">
            <v>5.4869719200607134</v>
          </cell>
          <cell r="AV77">
            <v>6.9784892446223106</v>
          </cell>
          <cell r="AW77">
            <v>5.3180789539854159</v>
          </cell>
          <cell r="AX77">
            <v>6.0650658404337721</v>
          </cell>
          <cell r="AY77">
            <v>4.3665399239543721</v>
          </cell>
          <cell r="AZ77">
            <v>4.8082191780821919</v>
          </cell>
          <cell r="BA77">
            <v>4.5880746472462448</v>
          </cell>
          <cell r="BB77">
            <v>7.0712361568392694</v>
          </cell>
          <cell r="BC77">
            <v>6.4265492293173949</v>
          </cell>
          <cell r="BD77">
            <v>7.8539377997833819</v>
          </cell>
          <cell r="BE77">
            <v>8.5500000000000007</v>
          </cell>
          <cell r="BF77">
            <v>8.8873112172453848</v>
          </cell>
          <cell r="BG77">
            <v>9.2971826719176001</v>
          </cell>
          <cell r="BH77">
            <v>9.7041329876467906</v>
          </cell>
          <cell r="BI77">
            <v>9.9761620977353989</v>
          </cell>
          <cell r="BJ77">
            <v>9.5731101971351578</v>
          </cell>
          <cell r="BK77">
            <v>10.021834061135371</v>
          </cell>
          <cell r="BL77">
            <v>9.7293535416022259</v>
          </cell>
          <cell r="BM77">
            <v>9.5596216467669404</v>
          </cell>
          <cell r="BN77">
            <v>10.890080428954423</v>
          </cell>
          <cell r="BO77">
            <v>9.630642954856361</v>
          </cell>
          <cell r="BP77">
            <v>8.7122917604682577</v>
          </cell>
          <cell r="BQ77">
            <v>9.1354896407810404</v>
          </cell>
          <cell r="BR77">
            <v>7.6287425149700603</v>
          </cell>
          <cell r="BS77">
            <v>8.3382352941176467</v>
          </cell>
          <cell r="BT77">
            <v>9.6015761821366024</v>
          </cell>
          <cell r="BU77">
            <v>10.356584742150874</v>
          </cell>
          <cell r="BV77">
            <v>10.326165391831433</v>
          </cell>
          <cell r="BW77">
            <v>10.684808612440191</v>
          </cell>
          <cell r="BX77">
            <v>9.5368705035971217</v>
          </cell>
          <cell r="BY77">
            <v>10.667158671586716</v>
          </cell>
          <cell r="BZ77">
            <v>10.499774198404335</v>
          </cell>
          <cell r="CA77">
            <v>10.327090477446584</v>
          </cell>
          <cell r="CB77">
            <v>10.292406970102636</v>
          </cell>
          <cell r="CC77">
            <v>10.369507274743851</v>
          </cell>
          <cell r="CD77">
            <v>10.370851002459101</v>
          </cell>
        </row>
        <row r="78">
          <cell r="A78" t="str">
            <v>Other current assets (based on operating expenses)</v>
          </cell>
          <cell r="F78">
            <v>13.960578006451806</v>
          </cell>
          <cell r="G78">
            <v>13.028579868547373</v>
          </cell>
          <cell r="H78">
            <v>15.0071594411591</v>
          </cell>
          <cell r="I78">
            <v>12.561822628887299</v>
          </cell>
          <cell r="J78">
            <v>10.040770941438103</v>
          </cell>
          <cell r="K78">
            <v>8.2426404995539695</v>
          </cell>
          <cell r="L78">
            <v>2.4471299093655587</v>
          </cell>
          <cell r="M78">
            <v>7.0712361568392694</v>
          </cell>
          <cell r="N78">
            <v>8.8873112172453848</v>
          </cell>
          <cell r="O78">
            <v>9.5731101971351578</v>
          </cell>
          <cell r="P78">
            <v>9.7793114517293951</v>
          </cell>
          <cell r="Q78">
            <v>8.3492317774703277</v>
          </cell>
          <cell r="R78">
            <v>10.362056480811006</v>
          </cell>
          <cell r="S78">
            <v>10.419000672193592</v>
          </cell>
          <cell r="T78">
            <v>11.148490952240396</v>
          </cell>
          <cell r="U78">
            <v>11.148490952240396</v>
          </cell>
          <cell r="V78">
            <v>11.148490952240396</v>
          </cell>
          <cell r="W78">
            <v>11.148490952240396</v>
          </cell>
          <cell r="X78">
            <v>11.148490952240396</v>
          </cell>
          <cell r="Y78">
            <v>11.148490952240396</v>
          </cell>
          <cell r="AD78">
            <v>12.225729949488727</v>
          </cell>
          <cell r="AE78">
            <v>10.665173029761725</v>
          </cell>
          <cell r="AF78">
            <v>11.31248083409997</v>
          </cell>
          <cell r="AG78">
            <v>10.905185977720436</v>
          </cell>
          <cell r="AH78">
            <v>15.743965780629393</v>
          </cell>
          <cell r="AI78">
            <v>0</v>
          </cell>
          <cell r="AJ78">
            <v>0</v>
          </cell>
          <cell r="AK78">
            <v>14.288792079207921</v>
          </cell>
          <cell r="AL78">
            <v>15.831917475728156</v>
          </cell>
          <cell r="AM78">
            <v>12.490622655663916</v>
          </cell>
          <cell r="AN78">
            <v>14.213903743315507</v>
          </cell>
          <cell r="AO78">
            <v>11.527419948472581</v>
          </cell>
          <cell r="AP78">
            <v>10.040770941438103</v>
          </cell>
          <cell r="AQ78">
            <v>8.0651731160896123</v>
          </cell>
          <cell r="AR78">
            <v>7.7940315974253949</v>
          </cell>
          <cell r="AS78">
            <v>8.0426635918132021</v>
          </cell>
          <cell r="AT78">
            <v>8.2426404995539695</v>
          </cell>
          <cell r="AU78">
            <v>5.4869719200607134</v>
          </cell>
          <cell r="AV78">
            <v>6.9784892446223106</v>
          </cell>
          <cell r="AW78">
            <v>5.3180789539854159</v>
          </cell>
          <cell r="AX78">
            <v>6.0650658404337721</v>
          </cell>
          <cell r="AY78">
            <v>4.3665399239543721</v>
          </cell>
          <cell r="AZ78">
            <v>4.8082191780821919</v>
          </cell>
          <cell r="BA78">
            <v>4.5880746472462448</v>
          </cell>
          <cell r="BB78">
            <v>7.0712361568392694</v>
          </cell>
          <cell r="BC78">
            <v>6.4265492293173949</v>
          </cell>
          <cell r="BD78">
            <v>7.8539377997833819</v>
          </cell>
          <cell r="BE78">
            <v>8.5500000000000007</v>
          </cell>
          <cell r="BF78">
            <v>8.8873112172453848</v>
          </cell>
          <cell r="BG78">
            <v>9.2971826719176001</v>
          </cell>
          <cell r="BH78">
            <v>9.7041329876467906</v>
          </cell>
          <cell r="BI78">
            <v>9.9761620977353989</v>
          </cell>
          <cell r="BJ78">
            <v>9.5731101971351578</v>
          </cell>
          <cell r="BK78">
            <v>10.021834061135371</v>
          </cell>
          <cell r="BL78">
            <v>9.7293535416022259</v>
          </cell>
          <cell r="BM78">
            <v>9.5596216467669404</v>
          </cell>
          <cell r="BN78">
            <v>10.890080428954423</v>
          </cell>
          <cell r="BO78">
            <v>9.630642954856361</v>
          </cell>
          <cell r="BP78">
            <v>8.7122917604682577</v>
          </cell>
          <cell r="BQ78">
            <v>9.1354896407810404</v>
          </cell>
          <cell r="BR78">
            <v>7.6287425149700603</v>
          </cell>
          <cell r="BS78">
            <v>8.3382352941176467</v>
          </cell>
          <cell r="BT78">
            <v>9.6015761821366024</v>
          </cell>
          <cell r="BU78">
            <v>10.356584742150874</v>
          </cell>
          <cell r="BV78">
            <v>10.326165391831433</v>
          </cell>
          <cell r="BW78">
            <v>10.684808612440191</v>
          </cell>
          <cell r="BX78">
            <v>9.5368705035971217</v>
          </cell>
          <cell r="BY78">
            <v>10.667158671586716</v>
          </cell>
          <cell r="BZ78">
            <v>10.499774198404335</v>
          </cell>
          <cell r="CA78">
            <v>10.327090477446584</v>
          </cell>
          <cell r="CB78">
            <v>10.964959568733153</v>
          </cell>
          <cell r="CC78">
            <v>10.789852648887925</v>
          </cell>
          <cell r="CD78">
            <v>10.717635936127962</v>
          </cell>
        </row>
        <row r="79">
          <cell r="A79" t="str">
            <v>Payable days (based on operating expenses)</v>
          </cell>
          <cell r="F79">
            <v>22.298059745612044</v>
          </cell>
          <cell r="G79">
            <v>8.6359943874159963</v>
          </cell>
          <cell r="H79">
            <v>9.6412189656427714</v>
          </cell>
          <cell r="I79">
            <v>72.921748319796876</v>
          </cell>
          <cell r="J79">
            <v>39.519934906427991</v>
          </cell>
          <cell r="K79">
            <v>26.019417475728154</v>
          </cell>
          <cell r="L79">
            <v>0</v>
          </cell>
          <cell r="M79">
            <v>14.35181281618887</v>
          </cell>
          <cell r="N79">
            <v>24.774481540035342</v>
          </cell>
          <cell r="O79">
            <v>34.125312760633861</v>
          </cell>
          <cell r="P79">
            <v>40.674571805006586</v>
          </cell>
          <cell r="Q79">
            <v>40.310964266873974</v>
          </cell>
          <cell r="R79">
            <v>43.732806100833216</v>
          </cell>
          <cell r="S79">
            <v>40.417781614156233</v>
          </cell>
          <cell r="T79">
            <v>33.968147215175478</v>
          </cell>
          <cell r="U79">
            <v>33.968147215175478</v>
          </cell>
          <cell r="V79">
            <v>33.968147215175478</v>
          </cell>
          <cell r="W79">
            <v>33.968147215175478</v>
          </cell>
          <cell r="X79">
            <v>33.968147215175478</v>
          </cell>
          <cell r="Y79">
            <v>33.968147215175478</v>
          </cell>
          <cell r="AD79">
            <v>8.1038253049156079</v>
          </cell>
          <cell r="AE79">
            <v>10.030276423748827</v>
          </cell>
          <cell r="AF79">
            <v>10.854032505366453</v>
          </cell>
          <cell r="AG79">
            <v>15.44087104285984</v>
          </cell>
          <cell r="AH79">
            <v>10.114573785517873</v>
          </cell>
          <cell r="AI79">
            <v>14.991655287513277</v>
          </cell>
          <cell r="AJ79">
            <v>17.805739069040296</v>
          </cell>
          <cell r="AK79">
            <v>54.230665920537206</v>
          </cell>
          <cell r="AL79">
            <v>42.325478767693589</v>
          </cell>
          <cell r="AM79">
            <v>40.581210191082803</v>
          </cell>
          <cell r="AN79">
            <v>36.097122302158276</v>
          </cell>
          <cell r="AO79">
            <v>38.281622911694512</v>
          </cell>
          <cell r="AP79">
            <v>39.519934906427991</v>
          </cell>
          <cell r="AQ79">
            <v>30.76068734283319</v>
          </cell>
          <cell r="AR79">
            <v>26.683608640406611</v>
          </cell>
          <cell r="AS79">
            <v>28.372239747634069</v>
          </cell>
          <cell r="AT79">
            <v>26.019417475728154</v>
          </cell>
          <cell r="AU79">
            <v>19.086460032626427</v>
          </cell>
          <cell r="AV79">
            <v>19.381628617652346</v>
          </cell>
          <cell r="AW79">
            <v>21.497645780514308</v>
          </cell>
          <cell r="AX79">
            <v>26.544473390398217</v>
          </cell>
          <cell r="AY79">
            <v>17.197390932420873</v>
          </cell>
          <cell r="AZ79">
            <v>17.549470531607657</v>
          </cell>
          <cell r="BA79">
            <v>13.189489425336467</v>
          </cell>
          <cell r="BB79">
            <v>14.35181281618887</v>
          </cell>
          <cell r="BC79">
            <v>16.868198307134222</v>
          </cell>
          <cell r="BD79">
            <v>16.890343698854338</v>
          </cell>
          <cell r="BE79">
            <v>16.912553354492722</v>
          </cell>
          <cell r="BF79">
            <v>24.774481540035342</v>
          </cell>
          <cell r="BG79">
            <v>32.663443577628833</v>
          </cell>
          <cell r="BH79">
            <v>30.905012896714144</v>
          </cell>
          <cell r="BI79">
            <v>32.053422370617696</v>
          </cell>
          <cell r="BJ79">
            <v>34.125312760633861</v>
          </cell>
          <cell r="BK79">
            <v>30.880846705360192</v>
          </cell>
          <cell r="BL79">
            <v>33.602308736985059</v>
          </cell>
          <cell r="BM79">
            <v>39.476351351351347</v>
          </cell>
          <cell r="BN79">
            <v>45.388133821223207</v>
          </cell>
          <cell r="BO79">
            <v>36.779193937306232</v>
          </cell>
          <cell r="BP79">
            <v>37.079343365253074</v>
          </cell>
          <cell r="BQ79">
            <v>36.564102564102569</v>
          </cell>
          <cell r="BR79">
            <v>37.185739166069048</v>
          </cell>
          <cell r="BS79">
            <v>33.966124815277936</v>
          </cell>
          <cell r="BT79">
            <v>37.834394904458598</v>
          </cell>
          <cell r="BU79">
            <v>36.759857429271548</v>
          </cell>
          <cell r="BV79">
            <v>43.798370672097761</v>
          </cell>
          <cell r="BW79">
            <v>33.37611735044694</v>
          </cell>
          <cell r="BX79">
            <v>35.641708135632449</v>
          </cell>
          <cell r="BY79">
            <v>34.004149377593357</v>
          </cell>
          <cell r="BZ79">
            <v>40.309917355371901</v>
          </cell>
          <cell r="CA79">
            <v>30.349467764611365</v>
          </cell>
          <cell r="CB79">
            <v>32.712889211456819</v>
          </cell>
          <cell r="CC79">
            <v>33.52849756935759</v>
          </cell>
          <cell r="CD79">
            <v>33.876845272278501</v>
          </cell>
        </row>
        <row r="80">
          <cell r="A80" t="str">
            <v>Salaries and benefits</v>
          </cell>
          <cell r="F80">
            <v>22.165425000963914</v>
          </cell>
          <cell r="G80">
            <v>22.354331290155823</v>
          </cell>
          <cell r="H80">
            <v>19.918778769223302</v>
          </cell>
          <cell r="I80">
            <v>0</v>
          </cell>
          <cell r="J80">
            <v>0</v>
          </cell>
          <cell r="K80">
            <v>0</v>
          </cell>
          <cell r="L80">
            <v>5.0255234920304197</v>
          </cell>
          <cell r="M80">
            <v>0</v>
          </cell>
          <cell r="N80">
            <v>0</v>
          </cell>
          <cell r="O80">
            <v>0</v>
          </cell>
          <cell r="P80">
            <v>40.674571805006586</v>
          </cell>
          <cell r="Q80">
            <v>40.310964266873974</v>
          </cell>
          <cell r="R80">
            <v>43.732806100833216</v>
          </cell>
          <cell r="S80">
            <v>40.417781614156233</v>
          </cell>
          <cell r="T80">
            <v>35.386821195298062</v>
          </cell>
          <cell r="U80">
            <v>0</v>
          </cell>
          <cell r="V80">
            <v>0</v>
          </cell>
          <cell r="W80">
            <v>0</v>
          </cell>
          <cell r="X80">
            <v>0</v>
          </cell>
          <cell r="Y80">
            <v>0</v>
          </cell>
          <cell r="AD80">
            <v>20.976807933965752</v>
          </cell>
          <cell r="AE80">
            <v>18.203548396863361</v>
          </cell>
          <cell r="AF80">
            <v>15.196258816314014</v>
          </cell>
          <cell r="AG80">
            <v>17.86943797595821</v>
          </cell>
          <cell r="AH80">
            <v>20.896730827986556</v>
          </cell>
          <cell r="AI80">
            <v>18.156577150659992</v>
          </cell>
          <cell r="AJ80">
            <v>16.784507539462403</v>
          </cell>
          <cell r="AK80">
            <v>54.230665920537206</v>
          </cell>
          <cell r="AL80">
            <v>42.325478767693589</v>
          </cell>
          <cell r="AM80">
            <v>40.581210191082803</v>
          </cell>
          <cell r="AN80">
            <v>36.097122302158276</v>
          </cell>
          <cell r="AO80">
            <v>38.281622911694512</v>
          </cell>
          <cell r="AP80">
            <v>39.519934906427991</v>
          </cell>
          <cell r="AQ80">
            <v>30.76068734283319</v>
          </cell>
          <cell r="AR80">
            <v>26.683608640406611</v>
          </cell>
          <cell r="AS80">
            <v>28.372239747634069</v>
          </cell>
          <cell r="AT80">
            <v>26.019417475728154</v>
          </cell>
          <cell r="AU80">
            <v>19.086460032626427</v>
          </cell>
          <cell r="AV80">
            <v>19.381628617652346</v>
          </cell>
          <cell r="AW80">
            <v>21.497645780514308</v>
          </cell>
          <cell r="AX80">
            <v>26.544473390398217</v>
          </cell>
          <cell r="AY80">
            <v>17.197390932420873</v>
          </cell>
          <cell r="AZ80">
            <v>17.549470531607657</v>
          </cell>
          <cell r="BA80">
            <v>13.189489425336467</v>
          </cell>
          <cell r="BB80">
            <v>14.35181281618887</v>
          </cell>
          <cell r="BC80">
            <v>16.868198307134222</v>
          </cell>
          <cell r="BD80">
            <v>16.890343698854338</v>
          </cell>
          <cell r="BE80">
            <v>16.912553354492722</v>
          </cell>
          <cell r="BF80">
            <v>24.774481540035342</v>
          </cell>
          <cell r="BG80">
            <v>32.663443577628833</v>
          </cell>
          <cell r="BH80">
            <v>30.905012896714144</v>
          </cell>
          <cell r="BI80">
            <v>32.053422370617696</v>
          </cell>
          <cell r="BJ80">
            <v>34.125312760633861</v>
          </cell>
          <cell r="BK80">
            <v>30.880846705360192</v>
          </cell>
          <cell r="BL80">
            <v>33.602308736985059</v>
          </cell>
          <cell r="BM80">
            <v>39.476351351351347</v>
          </cell>
          <cell r="BN80">
            <v>45.388133821223207</v>
          </cell>
          <cell r="BO80">
            <v>36.779193937306232</v>
          </cell>
          <cell r="BP80">
            <v>37.079343365253074</v>
          </cell>
          <cell r="BQ80">
            <v>36.564102564102569</v>
          </cell>
          <cell r="BR80">
            <v>37.185739166069048</v>
          </cell>
          <cell r="BS80">
            <v>33.966124815277936</v>
          </cell>
          <cell r="BT80">
            <v>37.834394904458598</v>
          </cell>
          <cell r="BU80">
            <v>36.759857429271548</v>
          </cell>
          <cell r="BV80">
            <v>43.798370672097761</v>
          </cell>
          <cell r="BW80">
            <v>33.37611735044694</v>
          </cell>
          <cell r="BX80">
            <v>35.641708135632449</v>
          </cell>
          <cell r="BY80">
            <v>34.004149377593357</v>
          </cell>
          <cell r="BZ80">
            <v>40.309917355371901</v>
          </cell>
          <cell r="CA80" t="e">
            <v>#DIV/0!</v>
          </cell>
          <cell r="CB80" t="e">
            <v>#DIV/0!</v>
          </cell>
          <cell r="CC80" t="e">
            <v>#DIV/0!</v>
          </cell>
          <cell r="CD80" t="e">
            <v>#DIV/0!</v>
          </cell>
        </row>
        <row r="81">
          <cell r="A81" t="str">
            <v>Advance billings and customer deposits</v>
          </cell>
          <cell r="F81">
            <v>12.275211427330525</v>
          </cell>
          <cell r="G81">
            <v>11.141116871340996</v>
          </cell>
          <cell r="H81">
            <v>10.597318805915863</v>
          </cell>
          <cell r="I81">
            <v>22.139676595272231</v>
          </cell>
          <cell r="J81">
            <v>9.9697006423463819</v>
          </cell>
          <cell r="K81">
            <v>8.9174660061136279</v>
          </cell>
          <cell r="L81">
            <v>136.51422023127409</v>
          </cell>
          <cell r="M81">
            <v>8.4201745379876787</v>
          </cell>
          <cell r="N81">
            <v>14.03157760163641</v>
          </cell>
          <cell r="O81">
            <v>12.883123655563523</v>
          </cell>
          <cell r="P81">
            <v>13.436649354553198</v>
          </cell>
          <cell r="Q81">
            <v>13.619735682819384</v>
          </cell>
          <cell r="R81">
            <v>12.389556450897215</v>
          </cell>
          <cell r="S81">
            <v>11.901986263226286</v>
          </cell>
          <cell r="T81">
            <v>12.357350186925546</v>
          </cell>
          <cell r="U81">
            <v>0</v>
          </cell>
          <cell r="V81">
            <v>0</v>
          </cell>
          <cell r="W81">
            <v>0</v>
          </cell>
          <cell r="X81">
            <v>0</v>
          </cell>
          <cell r="Y81">
            <v>0</v>
          </cell>
          <cell r="AD81">
            <v>11.036389624387844</v>
          </cell>
          <cell r="AE81">
            <v>11.11438463859727</v>
          </cell>
          <cell r="AF81">
            <v>10.928387854173938</v>
          </cell>
          <cell r="AG81">
            <v>10.640903407314786</v>
          </cell>
          <cell r="AH81">
            <v>10.642210576464985</v>
          </cell>
          <cell r="AI81">
            <v>11.066660297594879</v>
          </cell>
          <cell r="AJ81">
            <v>10.8026398641809</v>
          </cell>
          <cell r="AK81">
            <v>7.3582790406232776</v>
          </cell>
          <cell r="AL81">
            <v>12.529301311732125</v>
          </cell>
          <cell r="AM81">
            <v>10.07153249272551</v>
          </cell>
          <cell r="AN81">
            <v>9.6767317939609239</v>
          </cell>
          <cell r="AO81">
            <v>10.085744908896034</v>
          </cell>
          <cell r="AP81">
            <v>9.9697006423463819</v>
          </cell>
          <cell r="AQ81">
            <v>9.0167320801487296</v>
          </cell>
          <cell r="AR81">
            <v>9.384902143522833</v>
          </cell>
          <cell r="AS81">
            <v>8.8683385579937291</v>
          </cell>
          <cell r="AT81">
            <v>8.9174660061136279</v>
          </cell>
          <cell r="AU81">
            <v>7.8253552729992526</v>
          </cell>
          <cell r="AV81">
            <v>7.8460665658093802</v>
          </cell>
          <cell r="AW81">
            <v>7.8797106966121051</v>
          </cell>
          <cell r="AX81">
            <v>8.1336624264287067</v>
          </cell>
          <cell r="AY81">
            <v>6.3335880779518536</v>
          </cell>
          <cell r="AZ81">
            <v>7.0460374454988459</v>
          </cell>
          <cell r="BA81">
            <v>6.9371777735344669</v>
          </cell>
          <cell r="BB81">
            <v>8.4201745379876787</v>
          </cell>
          <cell r="BC81">
            <v>8.709116662374452</v>
          </cell>
          <cell r="BD81">
            <v>8.4546681231125103</v>
          </cell>
          <cell r="BE81">
            <v>8.1880909787886527</v>
          </cell>
          <cell r="BF81">
            <v>14.03157760163641</v>
          </cell>
          <cell r="BG81">
            <v>12.742324489928949</v>
          </cell>
          <cell r="BH81">
            <v>13.273867869045285</v>
          </cell>
          <cell r="BI81">
            <v>13.129136924075276</v>
          </cell>
          <cell r="BJ81">
            <v>12.883123655563523</v>
          </cell>
          <cell r="BK81">
            <v>13.423321082525895</v>
          </cell>
          <cell r="BL81">
            <v>13.544649397349669</v>
          </cell>
          <cell r="BM81">
            <v>13.428533297744563</v>
          </cell>
          <cell r="BN81">
            <v>13.488231744115874</v>
          </cell>
          <cell r="BO81">
            <v>13.997477931904161</v>
          </cell>
          <cell r="BP81">
            <v>13.927145359019265</v>
          </cell>
          <cell r="BQ81">
            <v>13.767471410419313</v>
          </cell>
          <cell r="BR81">
            <v>13.767723548272176</v>
          </cell>
          <cell r="BS81">
            <v>13.990144213348792</v>
          </cell>
          <cell r="BT81">
            <v>13.684096802074329</v>
          </cell>
          <cell r="BU81">
            <v>12.722191930207199</v>
          </cell>
          <cell r="BV81">
            <v>12.477477477477478</v>
          </cell>
          <cell r="BW81">
            <v>12.706422018348624</v>
          </cell>
          <cell r="BX81">
            <v>12.789055604589585</v>
          </cell>
          <cell r="BY81">
            <v>12.306491188935981</v>
          </cell>
          <cell r="BZ81">
            <v>12.244289970208539</v>
          </cell>
          <cell r="CA81">
            <v>12.776531151003168</v>
          </cell>
          <cell r="CB81">
            <v>12.652811564843743</v>
          </cell>
          <cell r="CC81" t="e">
            <v>#DIV/0!</v>
          </cell>
          <cell r="CD81" t="e">
            <v>#DIV/0!</v>
          </cell>
        </row>
        <row r="82">
          <cell r="A82" t="str">
            <v>Advance billings and customer deposits</v>
          </cell>
          <cell r="F82">
            <v>12.275211427330525</v>
          </cell>
          <cell r="G82">
            <v>11.141116871340996</v>
          </cell>
          <cell r="H82">
            <v>10.597318805915863</v>
          </cell>
          <cell r="I82">
            <v>22.139676595272231</v>
          </cell>
          <cell r="J82">
            <v>9.9697006423463819</v>
          </cell>
          <cell r="K82">
            <v>8.9174660061136279</v>
          </cell>
          <cell r="L82">
            <v>136.51422023127409</v>
          </cell>
          <cell r="M82">
            <v>8.4201745379876787</v>
          </cell>
          <cell r="N82">
            <v>14.03157760163641</v>
          </cell>
          <cell r="O82">
            <v>12.883123655563523</v>
          </cell>
          <cell r="P82">
            <v>13.436649354553198</v>
          </cell>
          <cell r="Q82">
            <v>13.619735682819384</v>
          </cell>
          <cell r="R82">
            <v>12.389556450897215</v>
          </cell>
          <cell r="S82">
            <v>11.901986263226286</v>
          </cell>
          <cell r="T82">
            <v>12.644141058263408</v>
          </cell>
          <cell r="U82">
            <v>12.644141058263408</v>
          </cell>
          <cell r="V82">
            <v>12.644141058263408</v>
          </cell>
          <cell r="W82">
            <v>12.644141058263408</v>
          </cell>
          <cell r="X82">
            <v>12.644141058263408</v>
          </cell>
          <cell r="Y82">
            <v>12.644141058263408</v>
          </cell>
          <cell r="AD82">
            <v>11.036389624387844</v>
          </cell>
          <cell r="AE82">
            <v>11.11438463859727</v>
          </cell>
          <cell r="AF82">
            <v>10.928387854173938</v>
          </cell>
          <cell r="AG82">
            <v>10.640903407314786</v>
          </cell>
          <cell r="AH82">
            <v>10.642210576464985</v>
          </cell>
          <cell r="AI82">
            <v>11.066660297594879</v>
          </cell>
          <cell r="AJ82">
            <v>10.8026398641809</v>
          </cell>
          <cell r="AK82">
            <v>7.3582790406232776</v>
          </cell>
          <cell r="AL82">
            <v>12.529301311732125</v>
          </cell>
          <cell r="AM82">
            <v>10.07153249272551</v>
          </cell>
          <cell r="AN82">
            <v>9.6767317939609239</v>
          </cell>
          <cell r="AO82">
            <v>10.085744908896034</v>
          </cell>
          <cell r="AP82">
            <v>9.9697006423463819</v>
          </cell>
          <cell r="AQ82">
            <v>9.0167320801487296</v>
          </cell>
          <cell r="AR82">
            <v>9.384902143522833</v>
          </cell>
          <cell r="AS82">
            <v>8.8683385579937291</v>
          </cell>
          <cell r="AT82">
            <v>8.9174660061136279</v>
          </cell>
          <cell r="AU82">
            <v>7.8253552729992526</v>
          </cell>
          <cell r="AV82">
            <v>7.8460665658093802</v>
          </cell>
          <cell r="AW82">
            <v>7.8797106966121051</v>
          </cell>
          <cell r="AX82">
            <v>8.1336624264287067</v>
          </cell>
          <cell r="AY82">
            <v>6.3335880779518536</v>
          </cell>
          <cell r="AZ82">
            <v>7.0460374454988459</v>
          </cell>
          <cell r="BA82">
            <v>6.9371777735344669</v>
          </cell>
          <cell r="BB82">
            <v>8.4201745379876787</v>
          </cell>
          <cell r="BC82">
            <v>8.709116662374452</v>
          </cell>
          <cell r="BD82">
            <v>8.4546681231125103</v>
          </cell>
          <cell r="BE82">
            <v>8.1880909787886527</v>
          </cell>
          <cell r="BF82">
            <v>14.03157760163641</v>
          </cell>
          <cell r="BG82">
            <v>12.742324489928949</v>
          </cell>
          <cell r="BH82">
            <v>13.273867869045285</v>
          </cell>
          <cell r="BI82">
            <v>13.129136924075276</v>
          </cell>
          <cell r="BJ82">
            <v>12.883123655563523</v>
          </cell>
          <cell r="BK82">
            <v>13.423321082525895</v>
          </cell>
          <cell r="BL82">
            <v>13.544649397349669</v>
          </cell>
          <cell r="BM82">
            <v>13.428533297744563</v>
          </cell>
          <cell r="BN82">
            <v>13.488231744115874</v>
          </cell>
          <cell r="BO82">
            <v>13.997477931904161</v>
          </cell>
          <cell r="BP82">
            <v>13.927145359019265</v>
          </cell>
          <cell r="BQ82">
            <v>13.767471410419313</v>
          </cell>
          <cell r="BR82">
            <v>13.767723548272176</v>
          </cell>
          <cell r="BS82">
            <v>13.990144213348792</v>
          </cell>
          <cell r="BT82">
            <v>13.684096802074329</v>
          </cell>
          <cell r="BU82">
            <v>12.722191930207199</v>
          </cell>
          <cell r="BV82">
            <v>12.477477477477478</v>
          </cell>
          <cell r="BW82">
            <v>12.706422018348624</v>
          </cell>
          <cell r="BX82">
            <v>12.789055604589585</v>
          </cell>
          <cell r="BY82">
            <v>12.306491188935981</v>
          </cell>
          <cell r="BZ82">
            <v>12.244289970208539</v>
          </cell>
          <cell r="CA82">
            <v>12.776531151003168</v>
          </cell>
          <cell r="CB82">
            <v>12.628720836685439</v>
          </cell>
          <cell r="CC82">
            <v>12.558864561696861</v>
          </cell>
          <cell r="CD82">
            <v>12.555483095797682</v>
          </cell>
        </row>
        <row r="83">
          <cell r="A83" t="str">
            <v>Working capital</v>
          </cell>
          <cell r="F83">
            <v>-10306</v>
          </cell>
          <cell r="G83">
            <v>-137</v>
          </cell>
          <cell r="H83">
            <v>-28503</v>
          </cell>
          <cell r="I83">
            <v>-162450</v>
          </cell>
          <cell r="J83">
            <v>-178200</v>
          </cell>
          <cell r="K83">
            <v>-228900</v>
          </cell>
          <cell r="L83">
            <v>-292400</v>
          </cell>
          <cell r="M83">
            <v>-200900</v>
          </cell>
          <cell r="N83">
            <v>42100</v>
          </cell>
          <cell r="O83">
            <v>-133800</v>
          </cell>
          <cell r="P83">
            <v>-224000</v>
          </cell>
          <cell r="Q83">
            <v>-455000</v>
          </cell>
          <cell r="R83">
            <v>-417200</v>
          </cell>
          <cell r="S83">
            <v>-431900</v>
          </cell>
          <cell r="T83">
            <v>-310200.59186744934</v>
          </cell>
          <cell r="U83">
            <v>-154034.19426469202</v>
          </cell>
          <cell r="V83">
            <v>-92020.779853158398</v>
          </cell>
          <cell r="W83">
            <v>-44170.877495931229</v>
          </cell>
          <cell r="X83">
            <v>4326.8832135302946</v>
          </cell>
          <cell r="Y83">
            <v>53415.470291770063</v>
          </cell>
          <cell r="AD83">
            <v>-137</v>
          </cell>
          <cell r="AE83">
            <v>-10831</v>
          </cell>
          <cell r="AF83">
            <v>-26200</v>
          </cell>
          <cell r="AG83">
            <v>-27686</v>
          </cell>
          <cell r="AH83">
            <v>-28503</v>
          </cell>
          <cell r="AI83">
            <v>-22081</v>
          </cell>
          <cell r="AJ83">
            <v>-32625</v>
          </cell>
          <cell r="AK83">
            <v>-596361</v>
          </cell>
          <cell r="AL83">
            <v>-623151</v>
          </cell>
          <cell r="AM83">
            <v>-557900</v>
          </cell>
          <cell r="AN83">
            <v>-598300</v>
          </cell>
          <cell r="AO83">
            <v>-553700</v>
          </cell>
          <cell r="AP83">
            <v>-594000</v>
          </cell>
          <cell r="AQ83">
            <v>-547800</v>
          </cell>
          <cell r="AR83">
            <v>-576000</v>
          </cell>
          <cell r="AS83">
            <v>-532000</v>
          </cell>
          <cell r="AT83">
            <v>-607100</v>
          </cell>
          <cell r="AU83">
            <v>-506000</v>
          </cell>
          <cell r="AV83">
            <v>-565700</v>
          </cell>
          <cell r="AW83">
            <v>-494100</v>
          </cell>
          <cell r="AX83">
            <v>-631900</v>
          </cell>
          <cell r="AY83">
            <v>-637000</v>
          </cell>
          <cell r="AZ83">
            <v>-641500</v>
          </cell>
          <cell r="BA83">
            <v>-625900</v>
          </cell>
          <cell r="BB83">
            <v>-722700</v>
          </cell>
          <cell r="BC83">
            <v>-627400</v>
          </cell>
          <cell r="BD83">
            <v>-660000</v>
          </cell>
          <cell r="BE83">
            <v>-631900</v>
          </cell>
          <cell r="BF83">
            <v>-1109400</v>
          </cell>
          <cell r="BG83">
            <v>-1010500</v>
          </cell>
          <cell r="BH83">
            <v>-998000</v>
          </cell>
          <cell r="BI83">
            <v>-996400</v>
          </cell>
          <cell r="BJ83">
            <v>-1072400</v>
          </cell>
          <cell r="BK83">
            <v>-156700</v>
          </cell>
          <cell r="BL83">
            <v>-220100</v>
          </cell>
          <cell r="BM83">
            <v>-338500</v>
          </cell>
          <cell r="BN83">
            <v>-224000</v>
          </cell>
          <cell r="BO83">
            <v>-265500</v>
          </cell>
          <cell r="BP83">
            <v>-336600</v>
          </cell>
          <cell r="BQ83">
            <v>-387000</v>
          </cell>
          <cell r="BR83">
            <v>-455000</v>
          </cell>
          <cell r="BS83">
            <v>-271900</v>
          </cell>
          <cell r="BT83">
            <v>-144000</v>
          </cell>
          <cell r="BU83">
            <v>-266000</v>
          </cell>
          <cell r="BV83">
            <v>-417200</v>
          </cell>
          <cell r="BW83">
            <v>-272300</v>
          </cell>
          <cell r="BX83">
            <v>-278000</v>
          </cell>
          <cell r="BY83">
            <v>-275400</v>
          </cell>
          <cell r="BZ83">
            <v>-431900</v>
          </cell>
          <cell r="CA83">
            <v>-370100</v>
          </cell>
          <cell r="CB83">
            <v>-341005.10317797877</v>
          </cell>
          <cell r="CC83">
            <v>-360923.72165238357</v>
          </cell>
          <cell r="CD83">
            <v>-310200.59186744934</v>
          </cell>
        </row>
        <row r="84">
          <cell r="A84" t="str">
            <v>Increase (decrease) working capital</v>
          </cell>
          <cell r="F84">
            <v>-10306</v>
          </cell>
          <cell r="G84">
            <v>10169</v>
          </cell>
          <cell r="H84">
            <v>-28366</v>
          </cell>
          <cell r="I84">
            <v>-133947</v>
          </cell>
          <cell r="J84">
            <v>-15750</v>
          </cell>
          <cell r="K84">
            <v>-50700</v>
          </cell>
          <cell r="L84">
            <v>-63500</v>
          </cell>
          <cell r="M84">
            <v>91500</v>
          </cell>
          <cell r="N84">
            <v>243000</v>
          </cell>
          <cell r="O84">
            <v>-175900</v>
          </cell>
          <cell r="P84">
            <v>-90200</v>
          </cell>
          <cell r="Q84">
            <v>-231000</v>
          </cell>
          <cell r="R84">
            <v>37800</v>
          </cell>
          <cell r="S84">
            <v>-14700</v>
          </cell>
          <cell r="T84">
            <v>121699.40813255066</v>
          </cell>
          <cell r="U84">
            <v>156166.39760275732</v>
          </cell>
          <cell r="V84">
            <v>62013.414411533624</v>
          </cell>
          <cell r="W84">
            <v>47849.902357227169</v>
          </cell>
          <cell r="X84">
            <v>48497.760709461523</v>
          </cell>
          <cell r="Y84">
            <v>49088.587078239769</v>
          </cell>
          <cell r="AD84">
            <v>-137</v>
          </cell>
          <cell r="AE84">
            <v>-10694</v>
          </cell>
          <cell r="AF84">
            <v>-15369</v>
          </cell>
          <cell r="AG84">
            <v>-1486</v>
          </cell>
          <cell r="AH84">
            <v>-817</v>
          </cell>
          <cell r="AI84">
            <v>6422</v>
          </cell>
          <cell r="AJ84">
            <v>-10544</v>
          </cell>
          <cell r="AK84">
            <v>-563736</v>
          </cell>
          <cell r="AL84">
            <v>-26790</v>
          </cell>
          <cell r="AM84">
            <v>65251</v>
          </cell>
          <cell r="AN84">
            <v>-40400</v>
          </cell>
          <cell r="AO84">
            <v>44600</v>
          </cell>
          <cell r="AP84">
            <v>-40300</v>
          </cell>
          <cell r="AQ84">
            <v>46200</v>
          </cell>
          <cell r="AR84">
            <v>-28200</v>
          </cell>
          <cell r="AS84">
            <v>44000</v>
          </cell>
          <cell r="AT84">
            <v>-75100</v>
          </cell>
          <cell r="AU84">
            <v>101100</v>
          </cell>
          <cell r="AV84">
            <v>-59700</v>
          </cell>
          <cell r="AW84">
            <v>71600</v>
          </cell>
          <cell r="AX84">
            <v>-137800</v>
          </cell>
          <cell r="AY84">
            <v>-5100</v>
          </cell>
          <cell r="AZ84">
            <v>-4500</v>
          </cell>
          <cell r="BA84">
            <v>15600</v>
          </cell>
          <cell r="BB84">
            <v>-96800</v>
          </cell>
          <cell r="BC84">
            <v>95300</v>
          </cell>
          <cell r="BD84">
            <v>-32600</v>
          </cell>
          <cell r="BE84">
            <v>28100</v>
          </cell>
          <cell r="BF84">
            <v>-477500</v>
          </cell>
          <cell r="BG84">
            <v>98900</v>
          </cell>
          <cell r="BH84">
            <v>12500</v>
          </cell>
          <cell r="BI84">
            <v>1600</v>
          </cell>
          <cell r="BJ84">
            <v>-76000</v>
          </cell>
          <cell r="BK84">
            <v>915700</v>
          </cell>
          <cell r="BL84">
            <v>-63400</v>
          </cell>
          <cell r="BM84">
            <v>-118400</v>
          </cell>
          <cell r="BN84">
            <v>114500</v>
          </cell>
          <cell r="BO84">
            <v>-41500</v>
          </cell>
          <cell r="BP84">
            <v>-71100</v>
          </cell>
          <cell r="BQ84">
            <v>-50400</v>
          </cell>
          <cell r="BR84">
            <v>-68000</v>
          </cell>
          <cell r="BS84">
            <v>183100</v>
          </cell>
          <cell r="BT84">
            <v>127900</v>
          </cell>
          <cell r="BU84">
            <v>-122000</v>
          </cell>
          <cell r="BV84">
            <v>-151200</v>
          </cell>
          <cell r="BW84">
            <v>144900</v>
          </cell>
          <cell r="BX84">
            <v>-5700</v>
          </cell>
          <cell r="BY84">
            <v>2600</v>
          </cell>
          <cell r="BZ84">
            <v>-156500</v>
          </cell>
          <cell r="CA84">
            <v>61800</v>
          </cell>
          <cell r="CB84">
            <v>29094.896822021226</v>
          </cell>
          <cell r="CC84">
            <v>-19918.618474404793</v>
          </cell>
          <cell r="CD84">
            <v>50723.129784934223</v>
          </cell>
        </row>
        <row r="85">
          <cell r="A85" t="str">
            <v>Increase (decrease) working capital</v>
          </cell>
          <cell r="G85">
            <v>10169</v>
          </cell>
          <cell r="H85">
            <v>-28366</v>
          </cell>
          <cell r="I85">
            <v>-133947</v>
          </cell>
          <cell r="J85">
            <v>-15750</v>
          </cell>
          <cell r="K85">
            <v>-50700</v>
          </cell>
          <cell r="L85">
            <v>-63500</v>
          </cell>
          <cell r="M85">
            <v>91500</v>
          </cell>
          <cell r="N85">
            <v>243000</v>
          </cell>
          <cell r="O85">
            <v>-175900</v>
          </cell>
          <cell r="P85">
            <v>-90200</v>
          </cell>
          <cell r="Q85">
            <v>-231000</v>
          </cell>
          <cell r="R85">
            <v>37800</v>
          </cell>
          <cell r="S85">
            <v>-14700</v>
          </cell>
          <cell r="T85">
            <v>150863.62950748578</v>
          </cell>
          <cell r="U85">
            <v>80908.557526301127</v>
          </cell>
          <cell r="V85">
            <v>84711.834543781355</v>
          </cell>
          <cell r="W85">
            <v>85144.700530956499</v>
          </cell>
          <cell r="X85">
            <v>71038.47730409517</v>
          </cell>
          <cell r="Y85">
            <v>71262.054041740252</v>
          </cell>
          <cell r="AE85">
            <v>-10694</v>
          </cell>
          <cell r="AF85">
            <v>-15369</v>
          </cell>
          <cell r="AG85">
            <v>-1486</v>
          </cell>
          <cell r="AH85">
            <v>-817</v>
          </cell>
          <cell r="AI85">
            <v>6422</v>
          </cell>
          <cell r="AJ85">
            <v>-10544</v>
          </cell>
          <cell r="AK85">
            <v>-563736</v>
          </cell>
          <cell r="AL85">
            <v>-26790</v>
          </cell>
          <cell r="AM85">
            <v>65251</v>
          </cell>
          <cell r="AN85">
            <v>-40400</v>
          </cell>
          <cell r="AO85">
            <v>44600</v>
          </cell>
          <cell r="AP85">
            <v>-40300</v>
          </cell>
          <cell r="AQ85">
            <v>46200</v>
          </cell>
          <cell r="AR85">
            <v>-28200</v>
          </cell>
          <cell r="AS85">
            <v>44000</v>
          </cell>
          <cell r="AT85">
            <v>-75100</v>
          </cell>
          <cell r="AU85">
            <v>101100</v>
          </cell>
          <cell r="AV85">
            <v>-59700</v>
          </cell>
          <cell r="AW85">
            <v>71600</v>
          </cell>
          <cell r="AX85">
            <v>-137800</v>
          </cell>
          <cell r="AY85">
            <v>-5100</v>
          </cell>
          <cell r="AZ85">
            <v>-4500</v>
          </cell>
          <cell r="BA85">
            <v>15600</v>
          </cell>
          <cell r="BB85">
            <v>-96800</v>
          </cell>
          <cell r="BC85">
            <v>95300</v>
          </cell>
          <cell r="BD85">
            <v>-32600</v>
          </cell>
          <cell r="BE85">
            <v>28100</v>
          </cell>
          <cell r="BF85">
            <v>-477500</v>
          </cell>
          <cell r="BG85">
            <v>98900</v>
          </cell>
          <cell r="BH85">
            <v>12500</v>
          </cell>
          <cell r="BI85">
            <v>1600</v>
          </cell>
          <cell r="BJ85">
            <v>-76000</v>
          </cell>
          <cell r="BK85">
            <v>915700</v>
          </cell>
          <cell r="BL85">
            <v>-63400</v>
          </cell>
          <cell r="BM85">
            <v>-118400</v>
          </cell>
          <cell r="BN85">
            <v>114500</v>
          </cell>
          <cell r="BO85">
            <v>-41500</v>
          </cell>
          <cell r="BP85">
            <v>-71100</v>
          </cell>
          <cell r="BQ85">
            <v>-50400</v>
          </cell>
          <cell r="BR85">
            <v>-68000</v>
          </cell>
          <cell r="BS85">
            <v>183100</v>
          </cell>
          <cell r="BT85">
            <v>127900</v>
          </cell>
          <cell r="BU85">
            <v>-122000</v>
          </cell>
          <cell r="BV85">
            <v>-151200</v>
          </cell>
          <cell r="BW85">
            <v>144900</v>
          </cell>
          <cell r="BX85">
            <v>-5700</v>
          </cell>
          <cell r="BY85">
            <v>2600</v>
          </cell>
          <cell r="BZ85">
            <v>-156500</v>
          </cell>
          <cell r="CA85">
            <v>61800</v>
          </cell>
          <cell r="CB85">
            <v>63800</v>
          </cell>
          <cell r="CC85">
            <v>-24587.161953727482</v>
          </cell>
          <cell r="CD85">
            <v>49850.791461213259</v>
          </cell>
        </row>
        <row r="86">
          <cell r="A86" t="str">
            <v>Total debt</v>
          </cell>
          <cell r="F86">
            <v>1463973</v>
          </cell>
          <cell r="G86">
            <v>1600978</v>
          </cell>
          <cell r="H86">
            <v>1180614</v>
          </cell>
          <cell r="I86">
            <v>5488413</v>
          </cell>
          <cell r="J86">
            <v>5355500.0000000009</v>
          </cell>
          <cell r="K86">
            <v>5382500</v>
          </cell>
          <cell r="L86">
            <v>6295200</v>
          </cell>
          <cell r="M86">
            <v>7325800</v>
          </cell>
          <cell r="N86">
            <v>9150400</v>
          </cell>
          <cell r="O86">
            <v>8965800.0000000019</v>
          </cell>
          <cell r="P86">
            <v>8707199.9999999981</v>
          </cell>
          <cell r="Q86">
            <v>8563999.9999999981</v>
          </cell>
          <cell r="R86">
            <v>5170500.0000000009</v>
          </cell>
          <cell r="S86">
            <v>4863599.9999999991</v>
          </cell>
          <cell r="T86">
            <v>5264064.6302906256</v>
          </cell>
          <cell r="U86">
            <v>5108279.6302906256</v>
          </cell>
          <cell r="V86">
            <v>4927552.4802906243</v>
          </cell>
          <cell r="W86">
            <v>4763882.6017906247</v>
          </cell>
          <cell r="X86">
            <v>4642604.7917849999</v>
          </cell>
          <cell r="Y86">
            <v>4437047.7438671496</v>
          </cell>
          <cell r="AD86">
            <v>1600978</v>
          </cell>
          <cell r="AE86">
            <v>1200813</v>
          </cell>
          <cell r="AF86">
            <v>1190764</v>
          </cell>
          <cell r="AG86">
            <v>1180678</v>
          </cell>
          <cell r="AH86">
            <v>1180614</v>
          </cell>
          <cell r="AI86">
            <v>1180571</v>
          </cell>
          <cell r="AJ86">
            <v>1180555</v>
          </cell>
          <cell r="AK86">
            <v>5498665</v>
          </cell>
          <cell r="AL86">
            <v>5488413</v>
          </cell>
          <cell r="AM86">
            <v>5488600</v>
          </cell>
          <cell r="AN86">
            <v>5488800</v>
          </cell>
          <cell r="AO86">
            <v>5698900</v>
          </cell>
          <cell r="AP86">
            <v>5355500</v>
          </cell>
          <cell r="AQ86">
            <v>5367200</v>
          </cell>
          <cell r="AR86">
            <v>5369000</v>
          </cell>
          <cell r="AS86">
            <v>5395700</v>
          </cell>
          <cell r="AT86">
            <v>5382500</v>
          </cell>
          <cell r="AU86">
            <v>5379300</v>
          </cell>
          <cell r="AV86">
            <v>5226200</v>
          </cell>
          <cell r="AW86">
            <v>5223100</v>
          </cell>
          <cell r="AX86">
            <v>6295200</v>
          </cell>
          <cell r="AY86">
            <v>6295000</v>
          </cell>
          <cell r="AZ86">
            <v>6592100</v>
          </cell>
          <cell r="BA86">
            <v>6686300</v>
          </cell>
          <cell r="BB86">
            <v>7325800</v>
          </cell>
          <cell r="BC86">
            <v>7423000</v>
          </cell>
          <cell r="BD86">
            <v>7367200</v>
          </cell>
          <cell r="BE86">
            <v>7341400</v>
          </cell>
          <cell r="BF86">
            <v>9150400</v>
          </cell>
          <cell r="BG86">
            <v>8854100</v>
          </cell>
          <cell r="BH86">
            <v>8860100</v>
          </cell>
          <cell r="BI86">
            <v>9030800</v>
          </cell>
          <cell r="BJ86">
            <v>8965800</v>
          </cell>
          <cell r="BK86">
            <v>8996700</v>
          </cell>
          <cell r="BL86">
            <v>8944700</v>
          </cell>
          <cell r="BM86">
            <v>8846800</v>
          </cell>
          <cell r="BN86">
            <v>8707200</v>
          </cell>
          <cell r="BO86">
            <v>8706300</v>
          </cell>
          <cell r="BP86">
            <v>8685600</v>
          </cell>
          <cell r="BQ86">
            <v>8661100</v>
          </cell>
          <cell r="BR86">
            <v>8564000</v>
          </cell>
          <cell r="BS86">
            <v>8820600</v>
          </cell>
          <cell r="BT86">
            <v>5643800</v>
          </cell>
          <cell r="BU86">
            <v>5699300</v>
          </cell>
          <cell r="BV86">
            <v>5170500</v>
          </cell>
          <cell r="BW86">
            <v>5445000</v>
          </cell>
          <cell r="BX86">
            <v>4743500</v>
          </cell>
          <cell r="BY86">
            <v>4866100</v>
          </cell>
          <cell r="BZ86">
            <v>4863600</v>
          </cell>
          <cell r="CA86">
            <v>5479100</v>
          </cell>
          <cell r="CB86">
            <v>5415746.5000000009</v>
          </cell>
          <cell r="CC86">
            <v>5342401.38375</v>
          </cell>
          <cell r="CD86">
            <v>5264064.6302906256</v>
          </cell>
        </row>
        <row r="87">
          <cell r="A87" t="str">
            <v xml:space="preserve"> Average total debt</v>
          </cell>
          <cell r="F87">
            <v>1463973</v>
          </cell>
          <cell r="G87">
            <v>1532475.5</v>
          </cell>
          <cell r="H87">
            <v>1390796</v>
          </cell>
          <cell r="I87">
            <v>3334513.5</v>
          </cell>
          <cell r="J87">
            <v>5421956.5</v>
          </cell>
          <cell r="K87">
            <v>5369000</v>
          </cell>
          <cell r="L87">
            <v>5838850</v>
          </cell>
          <cell r="M87">
            <v>6810500</v>
          </cell>
          <cell r="N87">
            <v>8238100</v>
          </cell>
          <cell r="O87">
            <v>9058100</v>
          </cell>
          <cell r="P87">
            <v>8836500</v>
          </cell>
          <cell r="Q87">
            <v>8635599.9999999981</v>
          </cell>
          <cell r="R87">
            <v>6867250</v>
          </cell>
          <cell r="S87">
            <v>5017050</v>
          </cell>
          <cell r="T87">
            <v>5063832.3151453119</v>
          </cell>
          <cell r="U87">
            <v>5186172.1302906256</v>
          </cell>
          <cell r="V87">
            <v>5017916.0552906245</v>
          </cell>
          <cell r="W87">
            <v>4845717.5410406245</v>
          </cell>
          <cell r="X87">
            <v>4703243.6967878118</v>
          </cell>
          <cell r="Y87">
            <v>4539826.2678260747</v>
          </cell>
          <cell r="AD87">
            <v>1600978</v>
          </cell>
          <cell r="AE87">
            <v>1400895.5</v>
          </cell>
          <cell r="AF87">
            <v>1195788.5</v>
          </cell>
          <cell r="AG87">
            <v>1185721</v>
          </cell>
          <cell r="AH87">
            <v>1180646</v>
          </cell>
          <cell r="AI87">
            <v>1180592.5</v>
          </cell>
          <cell r="AJ87">
            <v>1180563</v>
          </cell>
          <cell r="AK87">
            <v>5498665</v>
          </cell>
          <cell r="AL87">
            <v>5493539</v>
          </cell>
          <cell r="AM87">
            <v>5488506.5</v>
          </cell>
          <cell r="AN87">
            <v>5488700</v>
          </cell>
          <cell r="AO87">
            <v>5593850</v>
          </cell>
          <cell r="AP87">
            <v>5527200</v>
          </cell>
          <cell r="AQ87">
            <v>5361350</v>
          </cell>
          <cell r="AR87">
            <v>5368100</v>
          </cell>
          <cell r="AS87">
            <v>5382350</v>
          </cell>
          <cell r="AT87">
            <v>5389100</v>
          </cell>
          <cell r="AU87">
            <v>5380900</v>
          </cell>
          <cell r="AV87">
            <v>5302750</v>
          </cell>
          <cell r="AW87">
            <v>5224650</v>
          </cell>
          <cell r="AX87">
            <v>5759150</v>
          </cell>
          <cell r="AY87">
            <v>6295100</v>
          </cell>
          <cell r="AZ87">
            <v>6443550</v>
          </cell>
          <cell r="BA87">
            <v>6639200</v>
          </cell>
          <cell r="BB87">
            <v>7006050</v>
          </cell>
          <cell r="BC87">
            <v>7374400</v>
          </cell>
          <cell r="BD87">
            <v>7395100</v>
          </cell>
          <cell r="BE87">
            <v>7354300</v>
          </cell>
          <cell r="BF87">
            <v>8245900</v>
          </cell>
          <cell r="BG87">
            <v>9002250</v>
          </cell>
          <cell r="BH87">
            <v>8857100</v>
          </cell>
          <cell r="BI87">
            <v>8945450</v>
          </cell>
          <cell r="BJ87">
            <v>8998300</v>
          </cell>
          <cell r="BK87">
            <v>8981250</v>
          </cell>
          <cell r="BL87">
            <v>8970700</v>
          </cell>
          <cell r="BM87">
            <v>8895750</v>
          </cell>
          <cell r="BN87">
            <v>8777000</v>
          </cell>
          <cell r="BO87">
            <v>8706750</v>
          </cell>
          <cell r="BP87">
            <v>8695950</v>
          </cell>
          <cell r="BQ87">
            <v>8673350</v>
          </cell>
          <cell r="BR87">
            <v>8612550</v>
          </cell>
          <cell r="BS87">
            <v>8692300</v>
          </cell>
          <cell r="BT87">
            <v>7232200</v>
          </cell>
          <cell r="BU87">
            <v>5671550</v>
          </cell>
          <cell r="BV87">
            <v>5434900</v>
          </cell>
          <cell r="BW87">
            <v>5307750</v>
          </cell>
          <cell r="BX87">
            <v>5094250</v>
          </cell>
          <cell r="BY87">
            <v>4804800</v>
          </cell>
          <cell r="BZ87">
            <v>4864850</v>
          </cell>
          <cell r="CA87">
            <v>5171350</v>
          </cell>
          <cell r="CB87">
            <v>5447423.25</v>
          </cell>
          <cell r="CC87">
            <v>5379073.9418750005</v>
          </cell>
          <cell r="CD87">
            <v>5303233.0070203133</v>
          </cell>
        </row>
        <row r="88">
          <cell r="A88" t="str">
            <v xml:space="preserve"> Average total debt</v>
          </cell>
          <cell r="G88">
            <v>1532475.5</v>
          </cell>
          <cell r="H88">
            <v>1390796</v>
          </cell>
          <cell r="I88">
            <v>3334513.5</v>
          </cell>
          <cell r="J88">
            <v>5421956.5</v>
          </cell>
          <cell r="K88">
            <v>5369000</v>
          </cell>
          <cell r="L88">
            <v>5838850</v>
          </cell>
          <cell r="M88">
            <v>6810500</v>
          </cell>
          <cell r="N88">
            <v>8238100</v>
          </cell>
          <cell r="O88">
            <v>9058100</v>
          </cell>
          <cell r="P88">
            <v>8836500</v>
          </cell>
          <cell r="Q88">
            <v>8635599.9999999981</v>
          </cell>
          <cell r="R88">
            <v>6867250</v>
          </cell>
          <cell r="S88">
            <v>5017050</v>
          </cell>
          <cell r="T88">
            <v>5284559.1812499994</v>
          </cell>
          <cell r="U88">
            <v>5577632.8624999998</v>
          </cell>
          <cell r="V88">
            <v>5328331.2375000007</v>
          </cell>
          <cell r="W88">
            <v>5105415.1125000007</v>
          </cell>
          <cell r="X88">
            <v>4918963.4474999998</v>
          </cell>
          <cell r="Y88">
            <v>4744390.7235874999</v>
          </cell>
          <cell r="AE88">
            <v>1400895.5</v>
          </cell>
          <cell r="AF88">
            <v>1195788.5</v>
          </cell>
          <cell r="AG88">
            <v>1185721</v>
          </cell>
          <cell r="AH88">
            <v>1180646</v>
          </cell>
          <cell r="AI88">
            <v>1180592.5</v>
          </cell>
          <cell r="AJ88">
            <v>1180563</v>
          </cell>
          <cell r="AK88">
            <v>5498665</v>
          </cell>
          <cell r="AL88">
            <v>5493539</v>
          </cell>
          <cell r="AM88">
            <v>5488506.5</v>
          </cell>
          <cell r="AN88">
            <v>5488700</v>
          </cell>
          <cell r="AO88">
            <v>5593850</v>
          </cell>
          <cell r="AP88">
            <v>5527200</v>
          </cell>
          <cell r="AQ88">
            <v>5361350</v>
          </cell>
          <cell r="AR88">
            <v>5368100</v>
          </cell>
          <cell r="AS88">
            <v>5382350</v>
          </cell>
          <cell r="AT88">
            <v>5389100</v>
          </cell>
          <cell r="AU88">
            <v>5380900</v>
          </cell>
          <cell r="AV88">
            <v>5302750</v>
          </cell>
          <cell r="AW88">
            <v>5224650</v>
          </cell>
          <cell r="AX88">
            <v>5759150</v>
          </cell>
          <cell r="AY88">
            <v>6295100</v>
          </cell>
          <cell r="AZ88">
            <v>6443550</v>
          </cell>
          <cell r="BA88">
            <v>6639200</v>
          </cell>
          <cell r="BB88">
            <v>7006050</v>
          </cell>
          <cell r="BC88">
            <v>7374400</v>
          </cell>
          <cell r="BD88">
            <v>7395100</v>
          </cell>
          <cell r="BE88">
            <v>7354300</v>
          </cell>
          <cell r="BF88">
            <v>8245900</v>
          </cell>
          <cell r="BG88">
            <v>9002250</v>
          </cell>
          <cell r="BH88">
            <v>8857100</v>
          </cell>
          <cell r="BI88">
            <v>8945450</v>
          </cell>
          <cell r="BJ88">
            <v>8998300</v>
          </cell>
          <cell r="BK88">
            <v>8981250</v>
          </cell>
          <cell r="BL88">
            <v>8970700</v>
          </cell>
          <cell r="BM88">
            <v>8895750</v>
          </cell>
          <cell r="BN88">
            <v>8777000</v>
          </cell>
          <cell r="BO88">
            <v>8706750</v>
          </cell>
          <cell r="BP88">
            <v>8695950</v>
          </cell>
          <cell r="BQ88">
            <v>8673350</v>
          </cell>
          <cell r="BR88">
            <v>8612550</v>
          </cell>
          <cell r="BS88">
            <v>8692300</v>
          </cell>
          <cell r="BT88">
            <v>7232200</v>
          </cell>
          <cell r="BU88">
            <v>5671550</v>
          </cell>
          <cell r="BV88">
            <v>5434900</v>
          </cell>
          <cell r="BW88">
            <v>5307750</v>
          </cell>
          <cell r="BX88">
            <v>5094250</v>
          </cell>
          <cell r="BY88">
            <v>4804800</v>
          </cell>
          <cell r="BZ88">
            <v>4864850</v>
          </cell>
          <cell r="CA88">
            <v>5171350</v>
          </cell>
          <cell r="CB88">
            <v>5529150</v>
          </cell>
          <cell r="CC88">
            <v>5681527.5</v>
          </cell>
          <cell r="CD88">
            <v>5744686.6812500004</v>
          </cell>
        </row>
        <row r="89">
          <cell r="A89" t="str">
            <v>Net debt</v>
          </cell>
          <cell r="F89">
            <v>1462559</v>
          </cell>
          <cell r="G89">
            <v>1583944</v>
          </cell>
          <cell r="H89">
            <v>1116436</v>
          </cell>
          <cell r="I89">
            <v>5101561</v>
          </cell>
          <cell r="J89">
            <v>5283500.0000000009</v>
          </cell>
          <cell r="K89">
            <v>5085900</v>
          </cell>
          <cell r="L89">
            <v>5232300</v>
          </cell>
          <cell r="M89">
            <v>7283500</v>
          </cell>
          <cell r="N89">
            <v>8923400</v>
          </cell>
          <cell r="O89">
            <v>8833800.0000000019</v>
          </cell>
          <cell r="P89">
            <v>8658999.9999999981</v>
          </cell>
          <cell r="Q89">
            <v>8536199.9999999981</v>
          </cell>
          <cell r="R89">
            <v>5139200.0000000009</v>
          </cell>
          <cell r="S89">
            <v>4804499.9999999991</v>
          </cell>
          <cell r="T89">
            <v>5220296.9469735054</v>
          </cell>
          <cell r="U89">
            <v>5049593.4951663353</v>
          </cell>
          <cell r="V89">
            <v>4859282.1471226653</v>
          </cell>
          <cell r="W89">
            <v>4690951.529317135</v>
          </cell>
          <cell r="X89">
            <v>4539825.239247038</v>
          </cell>
          <cell r="Y89">
            <v>4354224.8122437913</v>
          </cell>
          <cell r="AK89">
            <v>5125689</v>
          </cell>
          <cell r="AL89">
            <v>5101561</v>
          </cell>
          <cell r="AM89">
            <v>5091000</v>
          </cell>
          <cell r="AN89">
            <v>5005000</v>
          </cell>
          <cell r="AO89">
            <v>5631000</v>
          </cell>
          <cell r="AP89">
            <v>5283500</v>
          </cell>
          <cell r="AQ89">
            <v>5313700</v>
          </cell>
          <cell r="AR89">
            <v>5309400</v>
          </cell>
          <cell r="AS89">
            <v>5284100</v>
          </cell>
          <cell r="AT89">
            <v>5085900</v>
          </cell>
          <cell r="AU89">
            <v>5067100</v>
          </cell>
          <cell r="AV89">
            <v>4980800</v>
          </cell>
          <cell r="AW89">
            <v>4933100</v>
          </cell>
          <cell r="AX89">
            <v>5232300</v>
          </cell>
          <cell r="AY89">
            <v>5714900</v>
          </cell>
          <cell r="AZ89">
            <v>6538600</v>
          </cell>
          <cell r="BA89">
            <v>6531100</v>
          </cell>
          <cell r="BB89">
            <v>7283500</v>
          </cell>
          <cell r="BC89">
            <v>7387200</v>
          </cell>
          <cell r="BD89">
            <v>7315100</v>
          </cell>
          <cell r="BE89">
            <v>7307100</v>
          </cell>
          <cell r="BF89">
            <v>8923400</v>
          </cell>
          <cell r="BG89">
            <v>8789900</v>
          </cell>
          <cell r="BH89">
            <v>8822600</v>
          </cell>
          <cell r="BI89">
            <v>8916000</v>
          </cell>
          <cell r="BJ89">
            <v>8833800</v>
          </cell>
          <cell r="BK89">
            <v>8942300</v>
          </cell>
          <cell r="BL89">
            <v>8866400</v>
          </cell>
          <cell r="BM89">
            <v>8773400</v>
          </cell>
          <cell r="BN89">
            <v>8659000</v>
          </cell>
          <cell r="BO89">
            <v>8636300</v>
          </cell>
          <cell r="BP89">
            <v>8630800</v>
          </cell>
          <cell r="BQ89">
            <v>8557400</v>
          </cell>
          <cell r="BR89">
            <v>8536200</v>
          </cell>
          <cell r="BS89">
            <v>8746600</v>
          </cell>
          <cell r="BT89">
            <v>5596800</v>
          </cell>
          <cell r="BU89">
            <v>5602100</v>
          </cell>
          <cell r="BV89">
            <v>5139200</v>
          </cell>
          <cell r="BW89">
            <v>5370400</v>
          </cell>
          <cell r="BX89">
            <v>4701900</v>
          </cell>
          <cell r="BY89">
            <v>4804700</v>
          </cell>
          <cell r="BZ89">
            <v>4804500</v>
          </cell>
          <cell r="CA89">
            <v>5427600</v>
          </cell>
          <cell r="CB89">
            <v>5368196.9153445121</v>
          </cell>
          <cell r="CC89">
            <v>5259945.8587503349</v>
          </cell>
          <cell r="CD89">
            <v>5220296.9469735054</v>
          </cell>
        </row>
        <row r="90">
          <cell r="A90" t="str">
            <v xml:space="preserve"> Average net debt</v>
          </cell>
          <cell r="F90">
            <v>1462559</v>
          </cell>
          <cell r="G90">
            <v>1523251.5</v>
          </cell>
          <cell r="H90">
            <v>1350190</v>
          </cell>
          <cell r="I90">
            <v>3108998.5</v>
          </cell>
          <cell r="J90">
            <v>5192530.5</v>
          </cell>
          <cell r="K90">
            <v>5184700</v>
          </cell>
          <cell r="L90">
            <v>5159100</v>
          </cell>
          <cell r="M90">
            <v>6257900</v>
          </cell>
          <cell r="N90">
            <v>8103450</v>
          </cell>
          <cell r="O90">
            <v>8878600</v>
          </cell>
          <cell r="P90">
            <v>8746400</v>
          </cell>
          <cell r="Q90">
            <v>8597599.9999999981</v>
          </cell>
          <cell r="R90">
            <v>6837700</v>
          </cell>
          <cell r="S90">
            <v>4971850</v>
          </cell>
          <cell r="T90">
            <v>5012398.4734867522</v>
          </cell>
          <cell r="U90">
            <v>5134945.2210699208</v>
          </cell>
          <cell r="V90">
            <v>4954437.8211445007</v>
          </cell>
          <cell r="W90">
            <v>4775116.8382198997</v>
          </cell>
          <cell r="X90">
            <v>4615388.384282086</v>
          </cell>
          <cell r="Y90">
            <v>4447025.0257454142</v>
          </cell>
          <cell r="AK90">
            <v>5125689</v>
          </cell>
          <cell r="AL90">
            <v>5101561</v>
          </cell>
          <cell r="AM90">
            <v>5091000</v>
          </cell>
          <cell r="AN90">
            <v>5005000</v>
          </cell>
          <cell r="AO90">
            <v>5631000</v>
          </cell>
          <cell r="AP90">
            <v>5283500</v>
          </cell>
          <cell r="AQ90">
            <v>5313700</v>
          </cell>
          <cell r="AR90">
            <v>5309400</v>
          </cell>
          <cell r="AS90">
            <v>5284100</v>
          </cell>
          <cell r="AT90">
            <v>5085900</v>
          </cell>
          <cell r="AU90">
            <v>5067100</v>
          </cell>
          <cell r="AV90">
            <v>4980800</v>
          </cell>
          <cell r="AW90">
            <v>4933100</v>
          </cell>
          <cell r="AX90">
            <v>5232300</v>
          </cell>
          <cell r="AY90">
            <v>5714900</v>
          </cell>
          <cell r="AZ90">
            <v>6538600</v>
          </cell>
          <cell r="BA90">
            <v>6531100</v>
          </cell>
          <cell r="BB90">
            <v>7283500</v>
          </cell>
          <cell r="BC90">
            <v>7387200</v>
          </cell>
          <cell r="BD90">
            <v>7315100</v>
          </cell>
          <cell r="BE90">
            <v>7307100</v>
          </cell>
          <cell r="BF90">
            <v>8923400</v>
          </cell>
          <cell r="BG90">
            <v>8789900</v>
          </cell>
          <cell r="BH90">
            <v>8822600</v>
          </cell>
          <cell r="BI90">
            <v>8916000</v>
          </cell>
          <cell r="BJ90">
            <v>8833800</v>
          </cell>
          <cell r="BK90">
            <v>8942300</v>
          </cell>
          <cell r="BL90">
            <v>8866400</v>
          </cell>
          <cell r="BM90">
            <v>8773400</v>
          </cell>
          <cell r="BN90">
            <v>8659000</v>
          </cell>
          <cell r="BO90">
            <v>8636300</v>
          </cell>
          <cell r="BP90">
            <v>8630800</v>
          </cell>
          <cell r="BQ90">
            <v>8557400</v>
          </cell>
          <cell r="BR90">
            <v>8536200</v>
          </cell>
          <cell r="BS90">
            <v>8746600</v>
          </cell>
          <cell r="BT90">
            <v>5596800</v>
          </cell>
          <cell r="BU90">
            <v>5602100</v>
          </cell>
          <cell r="BV90">
            <v>5139200</v>
          </cell>
          <cell r="BW90">
            <v>5370400</v>
          </cell>
          <cell r="BX90">
            <v>4701900</v>
          </cell>
          <cell r="BY90">
            <v>4804700</v>
          </cell>
          <cell r="BZ90">
            <v>4804500</v>
          </cell>
          <cell r="CA90">
            <v>5427600</v>
          </cell>
          <cell r="CB90">
            <v>5554500</v>
          </cell>
          <cell r="CC90">
            <v>5665210.4047887381</v>
          </cell>
          <cell r="CD90">
            <v>5601303.3647107584</v>
          </cell>
        </row>
        <row r="91">
          <cell r="A91" t="str">
            <v xml:space="preserve"> Average net debt</v>
          </cell>
          <cell r="G91">
            <v>1523251.5</v>
          </cell>
          <cell r="H91">
            <v>1350190</v>
          </cell>
          <cell r="I91">
            <v>3108998.5</v>
          </cell>
          <cell r="J91">
            <v>5192530.5</v>
          </cell>
          <cell r="K91">
            <v>5184700</v>
          </cell>
          <cell r="L91">
            <v>5159100</v>
          </cell>
          <cell r="M91">
            <v>6257900</v>
          </cell>
          <cell r="N91">
            <v>8103450</v>
          </cell>
          <cell r="O91">
            <v>8878600</v>
          </cell>
          <cell r="P91">
            <v>8746400</v>
          </cell>
          <cell r="Q91">
            <v>8597599.9999999981</v>
          </cell>
          <cell r="R91">
            <v>6837700</v>
          </cell>
          <cell r="S91">
            <v>4971850</v>
          </cell>
          <cell r="T91">
            <v>5202901.6823553778</v>
          </cell>
          <cell r="U91">
            <v>5485105.6321557909</v>
          </cell>
          <cell r="V91">
            <v>5263860.2436415479</v>
          </cell>
          <cell r="W91">
            <v>5060278.9909036849</v>
          </cell>
          <cell r="X91">
            <v>4863195.5129919667</v>
          </cell>
          <cell r="Y91">
            <v>4673105.7519193431</v>
          </cell>
        </row>
        <row r="92">
          <cell r="A92" t="str">
            <v>Leverage ratios</v>
          </cell>
        </row>
        <row r="93">
          <cell r="A93" t="str">
            <v>Net Debt/EBITDA</v>
          </cell>
          <cell r="I93">
            <v>3.1218877112978367</v>
          </cell>
          <cell r="J93">
            <v>3.0368433153236003</v>
          </cell>
          <cell r="K93">
            <v>2.7521103896103898</v>
          </cell>
          <cell r="L93">
            <v>2.6833683778655315</v>
          </cell>
          <cell r="M93">
            <v>3.1336316310286967</v>
          </cell>
          <cell r="N93">
            <v>4.0130419140133116</v>
          </cell>
          <cell r="O93">
            <v>3.8857218263394033</v>
          </cell>
          <cell r="P93">
            <v>3.6249843010842717</v>
          </cell>
          <cell r="Q93">
            <v>4.4531274453544789</v>
          </cell>
          <cell r="R93">
            <v>3.2979528973881793</v>
          </cell>
          <cell r="S93">
            <v>3.8127926355051187</v>
          </cell>
          <cell r="T93">
            <v>3.8636700918430384</v>
          </cell>
          <cell r="U93">
            <v>3.9329203206505321</v>
          </cell>
          <cell r="V93">
            <v>4.0540663141958744</v>
          </cell>
          <cell r="W93">
            <v>4.1851127196110198</v>
          </cell>
          <cell r="X93">
            <v>4.3277245377991216</v>
          </cell>
          <cell r="Y93">
            <v>4.4317706950655644</v>
          </cell>
          <cell r="AK93">
            <v>3.1226611365933392</v>
          </cell>
          <cell r="AL93">
            <v>3.1218877112978367</v>
          </cell>
          <cell r="AM93">
            <v>3.0541870739076078</v>
          </cell>
          <cell r="AN93">
            <v>2.9551141482953627</v>
          </cell>
          <cell r="AO93">
            <v>3.2296955333729471</v>
          </cell>
          <cell r="AP93">
            <v>3.0043784828841122</v>
          </cell>
          <cell r="AQ93">
            <v>2.9473071163126074</v>
          </cell>
          <cell r="AR93">
            <v>2.8938791083010846</v>
          </cell>
          <cell r="AS93">
            <v>2.8632348956922242</v>
          </cell>
          <cell r="AT93">
            <v>2.7214790239726026</v>
          </cell>
          <cell r="AU93">
            <v>2.6414533701715062</v>
          </cell>
          <cell r="AV93">
            <v>2.5453802125919869</v>
          </cell>
          <cell r="AW93">
            <v>2.4580696596741243</v>
          </cell>
          <cell r="AX93">
            <v>2.5293918592284639</v>
          </cell>
          <cell r="AY93">
            <v>2.6619311565513066</v>
          </cell>
          <cell r="AZ93">
            <v>2.9294802867383511</v>
          </cell>
          <cell r="BA93">
            <v>2.8119779557392577</v>
          </cell>
          <cell r="BB93">
            <v>3.0272236076475476</v>
          </cell>
          <cell r="BC93">
            <v>3.0700689884465131</v>
          </cell>
          <cell r="BD93">
            <v>3.0255190669203409</v>
          </cell>
          <cell r="BE93">
            <v>3.0046876927505242</v>
          </cell>
          <cell r="BF93">
            <v>3.6724833319614785</v>
          </cell>
          <cell r="BG93">
            <v>3.6448415989384642</v>
          </cell>
          <cell r="BH93">
            <v>3.6863744620398613</v>
          </cell>
          <cell r="BI93">
            <v>3.756161267219952</v>
          </cell>
          <cell r="BJ93">
            <v>3.7057639063679839</v>
          </cell>
          <cell r="BK93">
            <v>3.750807432574137</v>
          </cell>
          <cell r="BL93">
            <v>3.7319639700311473</v>
          </cell>
          <cell r="BM93">
            <v>3.7181725716223091</v>
          </cell>
          <cell r="BN93">
            <v>3.7353867391398126</v>
          </cell>
          <cell r="BO93">
            <v>3.8205264322052641</v>
          </cell>
          <cell r="BP93">
            <v>3.9058695750554375</v>
          </cell>
          <cell r="BQ93">
            <v>3.987604846225536</v>
          </cell>
          <cell r="BR93">
            <v>4.091353527607362</v>
          </cell>
          <cell r="BS93">
            <v>4.289651790093183</v>
          </cell>
          <cell r="BT93">
            <v>2.8157166574432759</v>
          </cell>
          <cell r="BU93">
            <v>2.7768910478834141</v>
          </cell>
          <cell r="BV93">
            <v>2.5640872124931398</v>
          </cell>
          <cell r="BW93">
            <v>3.8392908207034599</v>
          </cell>
          <cell r="BX93">
            <v>3.4590598101964245</v>
          </cell>
          <cell r="BY93">
            <v>3.7457706400561315</v>
          </cell>
          <cell r="BZ93">
            <v>3.8127926355051187</v>
          </cell>
          <cell r="CA93">
            <v>4.2626246760386399</v>
          </cell>
          <cell r="CB93">
            <v>4.158627531817519</v>
          </cell>
          <cell r="CC93">
            <v>3.9602558744635092</v>
          </cell>
          <cell r="CD93">
            <v>3.8636700918430384</v>
          </cell>
        </row>
        <row r="94">
          <cell r="A94" t="str">
            <v>Net Debt (+capitalized lease) / EBITDAR</v>
          </cell>
          <cell r="I94">
            <v>3.1218877112978367</v>
          </cell>
          <cell r="J94">
            <v>3.0043784828841122</v>
          </cell>
          <cell r="K94">
            <v>2.7214790239726026</v>
          </cell>
          <cell r="L94">
            <v>2.5293918592284639</v>
          </cell>
          <cell r="M94">
            <v>3.0272236076475476</v>
          </cell>
          <cell r="N94">
            <v>3.6724833319614785</v>
          </cell>
          <cell r="O94">
            <v>3.7057639063679839</v>
          </cell>
          <cell r="P94">
            <v>3.7353867391398126</v>
          </cell>
          <cell r="Q94">
            <v>4.1301763803680984</v>
          </cell>
          <cell r="R94">
            <v>5.0589233148730228</v>
          </cell>
          <cell r="S94">
            <v>5.0354810053822439</v>
          </cell>
          <cell r="T94">
            <v>4.9934023635610476</v>
          </cell>
          <cell r="U94">
            <v>5.0742210510006878</v>
          </cell>
          <cell r="V94">
            <v>5.1959345104671169</v>
          </cell>
          <cell r="W94">
            <v>5.3185885749490325</v>
          </cell>
          <cell r="X94">
            <v>5.4431665087322596</v>
          </cell>
          <cell r="Y94">
            <v>5.5391026227025399</v>
          </cell>
          <cell r="AK94">
            <v>3.1226611365933392</v>
          </cell>
          <cell r="AL94">
            <v>3.1218877112978367</v>
          </cell>
          <cell r="AM94">
            <v>3.0541870739076078</v>
          </cell>
          <cell r="AN94">
            <v>2.9551141482953627</v>
          </cell>
          <cell r="AO94">
            <v>3.2296955333729471</v>
          </cell>
          <cell r="AP94">
            <v>3.0043784828841122</v>
          </cell>
          <cell r="AQ94">
            <v>2.9473071163126074</v>
          </cell>
          <cell r="AR94">
            <v>2.8938791083010846</v>
          </cell>
          <cell r="AS94">
            <v>2.8632348956922242</v>
          </cell>
          <cell r="AT94">
            <v>2.7214790239726026</v>
          </cell>
          <cell r="AU94">
            <v>2.6414533701715062</v>
          </cell>
          <cell r="AV94">
            <v>2.5453802125919869</v>
          </cell>
          <cell r="AW94">
            <v>2.4580696596741243</v>
          </cell>
          <cell r="AX94">
            <v>2.5293918592284639</v>
          </cell>
          <cell r="AY94">
            <v>2.6619311565513066</v>
          </cell>
          <cell r="AZ94">
            <v>2.9294802867383511</v>
          </cell>
          <cell r="BA94">
            <v>2.8119779557392577</v>
          </cell>
          <cell r="BB94">
            <v>3.0272236076475476</v>
          </cell>
          <cell r="BC94">
            <v>3.0700689884465131</v>
          </cell>
          <cell r="BD94">
            <v>3.0255190669203409</v>
          </cell>
          <cell r="BE94">
            <v>3.0046876927505242</v>
          </cell>
          <cell r="BF94">
            <v>3.6724833319614785</v>
          </cell>
          <cell r="BG94">
            <v>3.6448415989384642</v>
          </cell>
          <cell r="BH94">
            <v>3.6863744620398613</v>
          </cell>
          <cell r="BI94">
            <v>3.756161267219952</v>
          </cell>
          <cell r="BJ94">
            <v>3.7057639063679839</v>
          </cell>
          <cell r="BK94">
            <v>3.750807432574137</v>
          </cell>
          <cell r="BL94">
            <v>3.7319639700311473</v>
          </cell>
          <cell r="BM94">
            <v>3.7181725716223091</v>
          </cell>
          <cell r="BN94">
            <v>3.7353867391398126</v>
          </cell>
          <cell r="BO94">
            <v>3.8205264322052641</v>
          </cell>
          <cell r="BP94">
            <v>3.9058695750554375</v>
          </cell>
          <cell r="BQ94">
            <v>3.987604846225536</v>
          </cell>
          <cell r="BR94">
            <v>4.091353527607362</v>
          </cell>
          <cell r="BS94">
            <v>4.289651790093183</v>
          </cell>
          <cell r="BT94">
            <v>2.8157166574432759</v>
          </cell>
          <cell r="BU94">
            <v>2.7768910478834141</v>
          </cell>
          <cell r="BV94">
            <v>2.5640872124931398</v>
          </cell>
          <cell r="BW94">
            <v>5.1437534232933331</v>
          </cell>
          <cell r="BX94">
            <v>4.7833631662688942</v>
          </cell>
          <cell r="BY94">
            <v>5.0017567427921881</v>
          </cell>
          <cell r="BZ94">
            <v>5.0354810053822439</v>
          </cell>
          <cell r="CA94">
            <v>5.3013805272991492</v>
          </cell>
          <cell r="CB94">
            <v>5.2232254147671808</v>
          </cell>
          <cell r="CC94">
            <v>5.0704669962265276</v>
          </cell>
          <cell r="CD94">
            <v>4.9934023635610476</v>
          </cell>
        </row>
        <row r="95">
          <cell r="A95" t="str">
            <v>Net Debt (+capitalized lease) / EBITDAR</v>
          </cell>
          <cell r="I95">
            <v>3.1218877112978367</v>
          </cell>
          <cell r="J95">
            <v>3.0043784828841122</v>
          </cell>
          <cell r="K95">
            <v>2.7214790239726026</v>
          </cell>
          <cell r="L95">
            <v>2.5293918592284639</v>
          </cell>
          <cell r="M95">
            <v>3.0272236076475476</v>
          </cell>
          <cell r="N95">
            <v>3.6724833319614785</v>
          </cell>
          <cell r="O95">
            <v>3.7057639063679839</v>
          </cell>
          <cell r="P95">
            <v>3.7353867391398126</v>
          </cell>
          <cell r="Q95">
            <v>4.1301763803680984</v>
          </cell>
          <cell r="R95">
            <v>5.0589233148730228</v>
          </cell>
          <cell r="S95">
            <v>5.0354810053822439</v>
          </cell>
          <cell r="T95">
            <v>5.0922802771172995</v>
          </cell>
          <cell r="U95">
            <v>5.1797907634850864</v>
          </cell>
          <cell r="V95">
            <v>5.222581595231679</v>
          </cell>
          <cell r="W95">
            <v>5.2620082482162402</v>
          </cell>
          <cell r="X95">
            <v>5.2971517151917631</v>
          </cell>
          <cell r="Y95">
            <v>5.3352356945059869</v>
          </cell>
          <cell r="AK95">
            <v>3.1226611365933392</v>
          </cell>
          <cell r="AL95">
            <v>3.1218877112978367</v>
          </cell>
          <cell r="AM95">
            <v>3.0541870739076078</v>
          </cell>
          <cell r="AN95">
            <v>2.9551141482953627</v>
          </cell>
          <cell r="AO95">
            <v>3.2296955333729471</v>
          </cell>
          <cell r="AP95">
            <v>3.0043784828841122</v>
          </cell>
          <cell r="AQ95">
            <v>2.9473071163126074</v>
          </cell>
          <cell r="AR95">
            <v>2.8938791083010846</v>
          </cell>
          <cell r="AS95">
            <v>2.8632348956922242</v>
          </cell>
          <cell r="AT95">
            <v>2.7214790239726026</v>
          </cell>
          <cell r="AU95">
            <v>2.6414533701715062</v>
          </cell>
          <cell r="AV95">
            <v>2.5453802125919869</v>
          </cell>
          <cell r="AW95">
            <v>2.4580696596741243</v>
          </cell>
          <cell r="AX95">
            <v>2.5293918592284639</v>
          </cell>
          <cell r="AY95">
            <v>2.6619311565513066</v>
          </cell>
          <cell r="AZ95">
            <v>2.9294802867383511</v>
          </cell>
          <cell r="BA95">
            <v>2.8119779557392577</v>
          </cell>
          <cell r="BB95">
            <v>3.0272236076475476</v>
          </cell>
          <cell r="BC95">
            <v>3.0700689884465131</v>
          </cell>
          <cell r="BD95">
            <v>3.0255190669203409</v>
          </cell>
          <cell r="BE95">
            <v>3.0046876927505242</v>
          </cell>
          <cell r="BF95">
            <v>3.6724833319614785</v>
          </cell>
          <cell r="BG95">
            <v>3.6448415989384642</v>
          </cell>
          <cell r="BH95">
            <v>3.6863744620398613</v>
          </cell>
          <cell r="BI95">
            <v>3.756161267219952</v>
          </cell>
          <cell r="BJ95">
            <v>3.7057639063679839</v>
          </cell>
          <cell r="BK95">
            <v>3.750807432574137</v>
          </cell>
          <cell r="BL95">
            <v>3.7319639700311473</v>
          </cell>
          <cell r="BM95">
            <v>3.7181725716223091</v>
          </cell>
          <cell r="BN95">
            <v>3.7353867391398126</v>
          </cell>
          <cell r="BO95">
            <v>3.8205264322052641</v>
          </cell>
          <cell r="BP95">
            <v>3.9058695750554375</v>
          </cell>
          <cell r="BQ95">
            <v>3.987604846225536</v>
          </cell>
          <cell r="BR95">
            <v>4.091353527607362</v>
          </cell>
          <cell r="BS95">
            <v>4.289651790093183</v>
          </cell>
          <cell r="BT95">
            <v>2.8157166574432759</v>
          </cell>
          <cell r="BU95">
            <v>2.7768910478834141</v>
          </cell>
          <cell r="BV95">
            <v>2.5640872124931398</v>
          </cell>
          <cell r="BW95">
            <v>5.1437534232933331</v>
          </cell>
          <cell r="BX95">
            <v>4.7833631662688942</v>
          </cell>
          <cell r="BY95">
            <v>5.0017567427921881</v>
          </cell>
          <cell r="BZ95">
            <v>5.0354810053822439</v>
          </cell>
          <cell r="CA95">
            <v>5.3013805272991492</v>
          </cell>
          <cell r="CB95">
            <v>5.2933826931975938</v>
          </cell>
          <cell r="CC95">
            <v>5.2241298686210431</v>
          </cell>
          <cell r="CD95">
            <v>5.0922802771172995</v>
          </cell>
        </row>
        <row r="96">
          <cell r="A96" t="str">
            <v>EBITDA/Interest expense</v>
          </cell>
          <cell r="L96">
            <v>4.4114087142233371</v>
          </cell>
          <cell r="M96">
            <v>4.4047695753849885</v>
          </cell>
          <cell r="N96">
            <v>3.6608856854035436</v>
          </cell>
          <cell r="O96">
            <v>3.6368581027035676</v>
          </cell>
          <cell r="P96">
            <v>3.8054803249960174</v>
          </cell>
          <cell r="Q96">
            <v>3.3523959426372856</v>
          </cell>
          <cell r="R96">
            <v>2.395966551893753</v>
          </cell>
          <cell r="S96">
            <v>2.0841476031727786</v>
          </cell>
          <cell r="T96">
            <v>2.3235726897927842</v>
          </cell>
          <cell r="U96">
            <v>2.2440731103892668</v>
          </cell>
          <cell r="V96">
            <v>2.1926223765520598</v>
          </cell>
          <cell r="W96">
            <v>2.1597921257160144</v>
          </cell>
          <cell r="X96">
            <v>2.1250544286894484</v>
          </cell>
          <cell r="Y96">
            <v>2.0972272898199047</v>
          </cell>
          <cell r="AQ96">
            <v>4.4857142857142858</v>
          </cell>
          <cell r="AR96">
            <v>4.5077220077220082</v>
          </cell>
          <cell r="AS96">
            <v>4.3649564375605037</v>
          </cell>
          <cell r="AT96">
            <v>4.3933014354066984</v>
          </cell>
          <cell r="AU96">
            <v>4.6227259170891735</v>
          </cell>
          <cell r="AV96">
            <v>4.5583045573558989</v>
          </cell>
          <cell r="AW96">
            <v>4.5071008097663299</v>
          </cell>
          <cell r="AX96">
            <v>4.0203446935337563</v>
          </cell>
          <cell r="AY96">
            <v>4.7084240123270478</v>
          </cell>
          <cell r="AZ96">
            <v>4.5277835975510392</v>
          </cell>
          <cell r="BA96">
            <v>4.4056512832871428</v>
          </cell>
          <cell r="BB96">
            <v>4.0179559095353303</v>
          </cell>
          <cell r="BC96">
            <v>4.0443968322846606</v>
          </cell>
          <cell r="BD96">
            <v>4.0229341050154837</v>
          </cell>
          <cell r="BE96">
            <v>4.0765266578736252</v>
          </cell>
          <cell r="BF96">
            <v>2.6225154319116166</v>
          </cell>
          <cell r="BG96">
            <v>3.704153354632588</v>
          </cell>
          <cell r="BH96">
            <v>3.7928338762214984</v>
          </cell>
          <cell r="BI96">
            <v>3.7741312741312742</v>
          </cell>
          <cell r="BJ96">
            <v>3.2874139010644958</v>
          </cell>
          <cell r="BK96">
            <v>3.4055654233274129</v>
          </cell>
          <cell r="BL96">
            <v>3.5104938271604937</v>
          </cell>
          <cell r="BM96">
            <v>3.793010752688172</v>
          </cell>
          <cell r="BN96">
            <v>4.5972972972972972</v>
          </cell>
          <cell r="BO96">
            <v>3.6328400281888653</v>
          </cell>
          <cell r="BP96">
            <v>3.5817543859649121</v>
          </cell>
          <cell r="BQ96">
            <v>3.48744769874477</v>
          </cell>
          <cell r="BR96">
            <v>2.7145833333333331</v>
          </cell>
          <cell r="BS96">
            <v>3.3189227498228209</v>
          </cell>
          <cell r="BT96">
            <v>2.1641379310344826</v>
          </cell>
          <cell r="BU96">
            <v>2.2936576889661162</v>
          </cell>
          <cell r="BV96">
            <v>2.1452762923351161</v>
          </cell>
          <cell r="BW96">
            <v>2.1479289940828403</v>
          </cell>
          <cell r="BX96">
            <v>2.1678932842686294</v>
          </cell>
          <cell r="BY96">
            <v>2.1062846580406656</v>
          </cell>
          <cell r="BZ96">
            <v>1.9131238447319778</v>
          </cell>
          <cell r="CA96">
            <v>2.3531633616619452</v>
          </cell>
          <cell r="CB96">
            <v>2.318680330351131</v>
          </cell>
          <cell r="CC96">
            <v>2.3512690048094349</v>
          </cell>
          <cell r="CD96">
            <v>2.2709280869156387</v>
          </cell>
        </row>
        <row r="97">
          <cell r="A97" t="str">
            <v>EBITDA/Interest expense</v>
          </cell>
          <cell r="L97">
            <v>4.4114087142233371</v>
          </cell>
          <cell r="M97">
            <v>4.4047695753849885</v>
          </cell>
          <cell r="N97">
            <v>3.6608856854035436</v>
          </cell>
          <cell r="O97">
            <v>3.6368581027035676</v>
          </cell>
          <cell r="P97">
            <v>3.8054803249960174</v>
          </cell>
          <cell r="Q97">
            <v>3.3523959426372856</v>
          </cell>
          <cell r="R97">
            <v>2.395966551893753</v>
          </cell>
          <cell r="S97">
            <v>2.0841476031727786</v>
          </cell>
          <cell r="T97">
            <v>2.2933152983564029</v>
          </cell>
          <cell r="U97">
            <v>2.2313895591053812</v>
          </cell>
          <cell r="V97">
            <v>2.2229265154461797</v>
          </cell>
          <cell r="W97">
            <v>2.2268276203711928</v>
          </cell>
          <cell r="X97">
            <v>2.2246391578578257</v>
          </cell>
          <cell r="Y97">
            <v>2.2209401668746751</v>
          </cell>
          <cell r="AQ97">
            <v>4.4857142857142858</v>
          </cell>
          <cell r="AR97">
            <v>4.5077220077220082</v>
          </cell>
          <cell r="AS97">
            <v>4.3649564375605037</v>
          </cell>
          <cell r="AT97">
            <v>4.3933014354066984</v>
          </cell>
          <cell r="AU97">
            <v>4.6227259170891735</v>
          </cell>
          <cell r="AV97">
            <v>4.5583045573558989</v>
          </cell>
          <cell r="AW97">
            <v>4.5071008097663299</v>
          </cell>
          <cell r="AX97">
            <v>4.0203446935337563</v>
          </cell>
          <cell r="AY97">
            <v>4.7084240123270478</v>
          </cell>
          <cell r="AZ97">
            <v>4.5277835975510392</v>
          </cell>
          <cell r="BA97">
            <v>4.4056512832871428</v>
          </cell>
          <cell r="BB97">
            <v>4.0179559095353303</v>
          </cell>
          <cell r="BC97">
            <v>4.0443968322846606</v>
          </cell>
          <cell r="BD97">
            <v>4.0229341050154837</v>
          </cell>
          <cell r="BE97">
            <v>4.0765266578736252</v>
          </cell>
          <cell r="BF97">
            <v>2.6225154319116166</v>
          </cell>
          <cell r="BG97">
            <v>3.704153354632588</v>
          </cell>
          <cell r="BH97">
            <v>3.7928338762214984</v>
          </cell>
          <cell r="BI97">
            <v>3.7741312741312742</v>
          </cell>
          <cell r="BJ97">
            <v>3.2874139010644958</v>
          </cell>
          <cell r="BK97">
            <v>3.4055654233274129</v>
          </cell>
          <cell r="BL97">
            <v>3.5104938271604937</v>
          </cell>
          <cell r="BM97">
            <v>3.793010752688172</v>
          </cell>
          <cell r="BN97">
            <v>4.5972972972972972</v>
          </cell>
          <cell r="BO97">
            <v>3.6328400281888653</v>
          </cell>
          <cell r="BP97">
            <v>3.5817543859649121</v>
          </cell>
          <cell r="BQ97">
            <v>3.48744769874477</v>
          </cell>
          <cell r="BR97">
            <v>2.7145833333333331</v>
          </cell>
          <cell r="BS97">
            <v>3.3189227498228209</v>
          </cell>
          <cell r="BT97">
            <v>2.1641379310344826</v>
          </cell>
          <cell r="BU97">
            <v>2.2936576889661162</v>
          </cell>
          <cell r="BV97">
            <v>2.1452762923351161</v>
          </cell>
          <cell r="BW97">
            <v>2.1479289940828403</v>
          </cell>
          <cell r="BX97">
            <v>2.1678932842686294</v>
          </cell>
          <cell r="BY97">
            <v>2.1062846580406656</v>
          </cell>
          <cell r="BZ97">
            <v>1.9131238447319778</v>
          </cell>
          <cell r="CA97">
            <v>2.3531633616619452</v>
          </cell>
          <cell r="CB97">
            <v>2.3334888059701493</v>
          </cell>
          <cell r="CC97">
            <v>2.3604775378406444</v>
          </cell>
          <cell r="CD97">
            <v>2.1286868816210127</v>
          </cell>
        </row>
        <row r="98">
          <cell r="A98" t="str">
            <v>Interest Calculations</v>
          </cell>
        </row>
        <row r="99">
          <cell r="A99" t="str">
            <v>Interest Calculations</v>
          </cell>
        </row>
        <row r="100">
          <cell r="A100" t="str">
            <v>Interest expense (ex lease)</v>
          </cell>
          <cell r="F100">
            <v>119185</v>
          </cell>
          <cell r="G100">
            <v>110287</v>
          </cell>
          <cell r="H100">
            <v>83154</v>
          </cell>
          <cell r="I100">
            <v>262184</v>
          </cell>
          <cell r="J100">
            <v>444400</v>
          </cell>
          <cell r="K100">
            <v>416400</v>
          </cell>
          <cell r="L100">
            <v>442013</v>
          </cell>
          <cell r="M100">
            <v>527678</v>
          </cell>
          <cell r="N100">
            <v>607394</v>
          </cell>
          <cell r="O100">
            <v>625100</v>
          </cell>
          <cell r="P100">
            <v>627700</v>
          </cell>
          <cell r="Q100">
            <v>571800</v>
          </cell>
          <cell r="R100">
            <v>442000</v>
          </cell>
          <cell r="S100">
            <v>350900</v>
          </cell>
          <cell r="T100">
            <v>345300</v>
          </cell>
          <cell r="U100">
            <v>353642.2861462711</v>
          </cell>
          <cell r="V100">
            <v>342168.99495459127</v>
          </cell>
          <cell r="W100">
            <v>325581.15341140173</v>
          </cell>
          <cell r="X100">
            <v>311305.16880474542</v>
          </cell>
          <cell r="Y100">
            <v>295948.83087214729</v>
          </cell>
          <cell r="AA100">
            <v>27730</v>
          </cell>
          <cell r="AB100">
            <v>27365</v>
          </cell>
          <cell r="AC100">
            <v>28289</v>
          </cell>
          <cell r="AD100">
            <v>26903</v>
          </cell>
          <cell r="AE100">
            <v>26048</v>
          </cell>
          <cell r="AF100">
            <v>18864</v>
          </cell>
          <cell r="AG100">
            <v>19814</v>
          </cell>
          <cell r="AH100">
            <v>18428</v>
          </cell>
          <cell r="AI100">
            <v>20615</v>
          </cell>
          <cell r="AJ100">
            <v>21655</v>
          </cell>
          <cell r="AK100">
            <v>110202</v>
          </cell>
          <cell r="AL100">
            <v>109712</v>
          </cell>
          <cell r="AM100">
            <v>114700</v>
          </cell>
          <cell r="AN100">
            <v>108100</v>
          </cell>
          <cell r="AO100">
            <v>109600</v>
          </cell>
          <cell r="AP100">
            <v>112000</v>
          </cell>
          <cell r="AQ100">
            <v>105000</v>
          </cell>
          <cell r="AR100">
            <v>103600</v>
          </cell>
          <cell r="AS100">
            <v>103300</v>
          </cell>
          <cell r="AT100">
            <v>104500</v>
          </cell>
          <cell r="AU100">
            <v>107296</v>
          </cell>
          <cell r="AV100">
            <v>105412</v>
          </cell>
          <cell r="AW100">
            <v>105833</v>
          </cell>
          <cell r="AX100">
            <v>123472</v>
          </cell>
          <cell r="AY100">
            <v>125902</v>
          </cell>
          <cell r="AZ100">
            <v>128871</v>
          </cell>
          <cell r="BA100">
            <v>132784</v>
          </cell>
          <cell r="BB100">
            <v>140121</v>
          </cell>
          <cell r="BC100">
            <v>147488</v>
          </cell>
          <cell r="BD100">
            <v>147902</v>
          </cell>
          <cell r="BE100">
            <v>147086</v>
          </cell>
          <cell r="BF100">
            <v>164918</v>
          </cell>
          <cell r="BG100">
            <v>156500</v>
          </cell>
          <cell r="BH100">
            <v>153500</v>
          </cell>
          <cell r="BI100">
            <v>155400</v>
          </cell>
          <cell r="BJ100">
            <v>159700</v>
          </cell>
          <cell r="BK100">
            <v>168900</v>
          </cell>
          <cell r="BL100">
            <v>162000</v>
          </cell>
          <cell r="BM100">
            <v>148800</v>
          </cell>
          <cell r="BN100">
            <v>148000</v>
          </cell>
          <cell r="BO100">
            <v>141900</v>
          </cell>
          <cell r="BP100">
            <v>142500</v>
          </cell>
          <cell r="BQ100">
            <v>143400</v>
          </cell>
          <cell r="BR100">
            <v>144000</v>
          </cell>
          <cell r="BS100">
            <v>133600</v>
          </cell>
          <cell r="BT100">
            <v>115200</v>
          </cell>
          <cell r="BU100">
            <v>98200</v>
          </cell>
          <cell r="BV100">
            <v>95000</v>
          </cell>
          <cell r="BW100">
            <v>91500</v>
          </cell>
          <cell r="BX100">
            <v>89600</v>
          </cell>
          <cell r="BY100">
            <v>89600</v>
          </cell>
          <cell r="BZ100">
            <v>80200</v>
          </cell>
          <cell r="CA100">
            <v>85900</v>
          </cell>
          <cell r="CB100">
            <v>90485.783629999903</v>
          </cell>
          <cell r="CC100">
            <v>89350.450386661614</v>
          </cell>
          <cell r="CD100">
            <v>88090.675607538637</v>
          </cell>
        </row>
        <row r="101">
          <cell r="A101" t="str">
            <v xml:space="preserve">    Blended Interest rate</v>
          </cell>
          <cell r="F101">
            <v>119185</v>
          </cell>
          <cell r="G101">
            <v>7.1966566512808847E-2</v>
          </cell>
          <cell r="H101">
            <v>5.9788782826525243E-2</v>
          </cell>
          <cell r="I101">
            <v>7.8627361982490096E-2</v>
          </cell>
          <cell r="J101">
            <v>8.1963033085934944E-2</v>
          </cell>
          <cell r="K101">
            <v>7.7556341963121625E-2</v>
          </cell>
          <cell r="L101">
            <v>7.5702064618888995E-2</v>
          </cell>
          <cell r="M101">
            <v>7.7480067542764847E-2</v>
          </cell>
          <cell r="N101">
            <v>7.3729864896031852E-2</v>
          </cell>
          <cell r="O101">
            <v>6.9010057296784097E-2</v>
          </cell>
          <cell r="P101">
            <v>7.10349120126747E-2</v>
          </cell>
          <cell r="Q101">
            <v>6.6214275788596053E-2</v>
          </cell>
          <cell r="R101">
            <v>6.4363464268812121E-2</v>
          </cell>
          <cell r="S101">
            <v>6.9941499486750186E-2</v>
          </cell>
          <cell r="T101">
            <v>6.8189461757501194E-2</v>
          </cell>
          <cell r="U101">
            <v>6.8189461757501194E-2</v>
          </cell>
          <cell r="V101">
            <v>6.8189461757501194E-2</v>
          </cell>
          <cell r="W101">
            <v>6.7189461757501193E-2</v>
          </cell>
          <cell r="X101">
            <v>6.6189461757501192E-2</v>
          </cell>
          <cell r="Y101">
            <v>6.5189461757501191E-2</v>
          </cell>
          <cell r="AA101">
            <v>27730</v>
          </cell>
          <cell r="AB101">
            <v>27365</v>
          </cell>
          <cell r="AC101">
            <v>28289</v>
          </cell>
          <cell r="AD101">
            <v>26903</v>
          </cell>
          <cell r="AE101">
            <v>7.4375283524003036E-2</v>
          </cell>
          <cell r="AF101">
            <v>6.3101459831734458E-2</v>
          </cell>
          <cell r="AG101">
            <v>6.6842031135486341E-2</v>
          </cell>
          <cell r="AH101">
            <v>6.2433616850436115E-2</v>
          </cell>
          <cell r="AI101">
            <v>6.9846284810381229E-2</v>
          </cell>
          <cell r="AJ101">
            <v>7.337177262035148E-2</v>
          </cell>
          <cell r="AK101">
            <v>8.016636765469437E-2</v>
          </cell>
          <cell r="AL101">
            <v>7.988438782358695E-2</v>
          </cell>
          <cell r="AM101">
            <v>8.3592868114486157E-2</v>
          </cell>
          <cell r="AN101">
            <v>7.8780038989195986E-2</v>
          </cell>
          <cell r="AO101">
            <v>7.8371783297728759E-2</v>
          </cell>
          <cell r="AP101">
            <v>8.1053698074974673E-2</v>
          </cell>
          <cell r="AQ101">
            <v>7.833847818180123E-2</v>
          </cell>
          <cell r="AR101">
            <v>7.719677353253479E-2</v>
          </cell>
          <cell r="AS101">
            <v>7.6769440857617957E-2</v>
          </cell>
          <cell r="AT101">
            <v>7.7563971720695485E-2</v>
          </cell>
          <cell r="AU101">
            <v>7.9760634838038247E-2</v>
          </cell>
          <cell r="AV101">
            <v>7.9514968648342843E-2</v>
          </cell>
          <cell r="AW101">
            <v>8.102590604155302E-2</v>
          </cell>
          <cell r="AX101">
            <v>8.5757099571985448E-2</v>
          </cell>
          <cell r="AY101">
            <v>0.08</v>
          </cell>
          <cell r="AZ101">
            <v>0.08</v>
          </cell>
          <cell r="BA101">
            <v>0.08</v>
          </cell>
          <cell r="BB101">
            <v>0.08</v>
          </cell>
          <cell r="BC101">
            <v>0.08</v>
          </cell>
          <cell r="BD101">
            <v>0.08</v>
          </cell>
          <cell r="BE101">
            <v>0.08</v>
          </cell>
          <cell r="BF101">
            <v>0.08</v>
          </cell>
          <cell r="BG101">
            <v>6.9538171012802352E-2</v>
          </cell>
          <cell r="BH101">
            <v>6.9322916078626187E-2</v>
          </cell>
          <cell r="BI101">
            <v>6.9487840186910663E-2</v>
          </cell>
          <cell r="BJ101">
            <v>7.0991187224253474E-2</v>
          </cell>
          <cell r="BK101">
            <v>7.5223382045929016E-2</v>
          </cell>
          <cell r="BL101">
            <v>7.223516559465816E-2</v>
          </cell>
          <cell r="BM101">
            <v>6.690835511339685E-2</v>
          </cell>
          <cell r="BN101">
            <v>6.7449014469636553E-2</v>
          </cell>
          <cell r="BO101">
            <v>6.5190800241192184E-2</v>
          </cell>
          <cell r="BP101">
            <v>6.554775498939161E-2</v>
          </cell>
          <cell r="BQ101">
            <v>6.6133616192128764E-2</v>
          </cell>
          <cell r="BR101">
            <v>6.6879147290872035E-2</v>
          </cell>
          <cell r="BS101">
            <v>6.1479700424513652E-2</v>
          </cell>
          <cell r="BT101">
            <v>6.3715052127983188E-2</v>
          </cell>
          <cell r="BU101">
            <v>6.925796299071682E-2</v>
          </cell>
          <cell r="BV101">
            <v>6.9918489760621177E-2</v>
          </cell>
          <cell r="BW101">
            <v>6.8955772219867179E-2</v>
          </cell>
          <cell r="BX101">
            <v>7.0353830298866368E-2</v>
          </cell>
          <cell r="BY101">
            <v>7.4592074592074592E-2</v>
          </cell>
          <cell r="BZ101">
            <v>6.5942423712961343E-2</v>
          </cell>
          <cell r="CA101">
            <v>6.6442998443346515E-2</v>
          </cell>
          <cell r="CB101">
            <v>6.6442998443346515E-2</v>
          </cell>
          <cell r="CC101">
            <v>6.6442998443346515E-2</v>
          </cell>
          <cell r="CD101">
            <v>6.6442998443346515E-2</v>
          </cell>
        </row>
        <row r="102">
          <cell r="A102" t="str">
            <v>Interest expense (Term Loans)</v>
          </cell>
          <cell r="G102">
            <v>7.1966566512808847E-2</v>
          </cell>
          <cell r="H102">
            <v>5.9788782826525243E-2</v>
          </cell>
          <cell r="I102">
            <v>7.8627361982490096E-2</v>
          </cell>
          <cell r="J102">
            <v>8.1963033085934944E-2</v>
          </cell>
          <cell r="K102">
            <v>7.7556341963121625E-2</v>
          </cell>
          <cell r="L102">
            <v>7.5702064618888995E-2</v>
          </cell>
          <cell r="M102">
            <v>7.7480067542764847E-2</v>
          </cell>
          <cell r="N102">
            <v>7.3729864896031852E-2</v>
          </cell>
          <cell r="O102">
            <v>6.9010057296784097E-2</v>
          </cell>
          <cell r="P102">
            <v>7.10349120126747E-2</v>
          </cell>
          <cell r="Q102">
            <v>6.6214275788596053E-2</v>
          </cell>
          <cell r="R102">
            <v>6.4363464268812121E-2</v>
          </cell>
          <cell r="S102">
            <v>6.9941499486750186E-2</v>
          </cell>
          <cell r="T102">
            <v>6.5341306276812935E-2</v>
          </cell>
          <cell r="U102">
            <v>6.5341306276812935E-2</v>
          </cell>
          <cell r="V102">
            <v>6.5341306276812935E-2</v>
          </cell>
          <cell r="W102">
            <v>6.4341306276812935E-2</v>
          </cell>
          <cell r="X102">
            <v>6.3341306276812934E-2</v>
          </cell>
          <cell r="Y102">
            <v>6.2341306276812933E-2</v>
          </cell>
          <cell r="AE102">
            <v>7.4375283524003036E-2</v>
          </cell>
          <cell r="AF102">
            <v>6.3101459831734458E-2</v>
          </cell>
          <cell r="AG102">
            <v>6.6842031135486341E-2</v>
          </cell>
          <cell r="AH102">
            <v>6.2433616850436115E-2</v>
          </cell>
          <cell r="AI102">
            <v>6.9846284810381229E-2</v>
          </cell>
          <cell r="AJ102">
            <v>7.337177262035148E-2</v>
          </cell>
          <cell r="AK102">
            <v>8.016636765469437E-2</v>
          </cell>
          <cell r="AL102">
            <v>7.988438782358695E-2</v>
          </cell>
          <cell r="AM102">
            <v>8.3592868114486157E-2</v>
          </cell>
          <cell r="AN102">
            <v>7.8780038989195986E-2</v>
          </cell>
          <cell r="AO102">
            <v>7.8371783297728759E-2</v>
          </cell>
          <cell r="AP102">
            <v>8.1053698074974673E-2</v>
          </cell>
          <cell r="AQ102">
            <v>7.833847818180123E-2</v>
          </cell>
          <cell r="AR102">
            <v>7.719677353253479E-2</v>
          </cell>
          <cell r="AS102">
            <v>7.6769440857617957E-2</v>
          </cell>
          <cell r="AT102">
            <v>7.7563971720695485E-2</v>
          </cell>
          <cell r="AU102">
            <v>7.9760634838038247E-2</v>
          </cell>
          <cell r="AV102">
            <v>7.9514968648342843E-2</v>
          </cell>
          <cell r="AW102">
            <v>8.102590604155302E-2</v>
          </cell>
          <cell r="AX102">
            <v>8.5757099571985448E-2</v>
          </cell>
          <cell r="AY102">
            <v>0.08</v>
          </cell>
          <cell r="AZ102">
            <v>0.08</v>
          </cell>
          <cell r="BA102">
            <v>0.08</v>
          </cell>
          <cell r="BB102">
            <v>0.08</v>
          </cell>
          <cell r="BC102">
            <v>0.08</v>
          </cell>
          <cell r="BD102">
            <v>0.08</v>
          </cell>
          <cell r="BE102">
            <v>0.08</v>
          </cell>
          <cell r="BF102">
            <v>0.08</v>
          </cell>
          <cell r="BG102">
            <v>6.9538171012802352E-2</v>
          </cell>
          <cell r="BH102">
            <v>6.9322916078626187E-2</v>
          </cell>
          <cell r="BI102">
            <v>6.9487840186910663E-2</v>
          </cell>
          <cell r="BJ102">
            <v>7.0991187224253474E-2</v>
          </cell>
          <cell r="BK102">
            <v>7.5223382045929016E-2</v>
          </cell>
          <cell r="BL102">
            <v>7.223516559465816E-2</v>
          </cell>
          <cell r="BM102">
            <v>6.690835511339685E-2</v>
          </cell>
          <cell r="BN102">
            <v>6.7449014469636553E-2</v>
          </cell>
          <cell r="BO102">
            <v>6.5190800241192184E-2</v>
          </cell>
          <cell r="BP102">
            <v>6.554775498939161E-2</v>
          </cell>
          <cell r="BQ102">
            <v>6.6133616192128764E-2</v>
          </cell>
          <cell r="BR102">
            <v>6.6879147290872035E-2</v>
          </cell>
          <cell r="BS102">
            <v>6.1479700424513652E-2</v>
          </cell>
          <cell r="BT102">
            <v>6.3715052127983188E-2</v>
          </cell>
          <cell r="BU102">
            <v>6.925796299071682E-2</v>
          </cell>
          <cell r="BV102">
            <v>6.9918489760621177E-2</v>
          </cell>
          <cell r="BW102">
            <v>6.8955772219867179E-2</v>
          </cell>
          <cell r="BX102">
            <v>7.0353830298866368E-2</v>
          </cell>
          <cell r="BY102">
            <v>7.4592074592074592E-2</v>
          </cell>
          <cell r="BZ102">
            <v>6.5942423712961343E-2</v>
          </cell>
          <cell r="CA102">
            <v>6.6442998443346515E-2</v>
          </cell>
          <cell r="CB102">
            <v>6.2143367425372797E-2</v>
          </cell>
          <cell r="CC102">
            <v>6.2143367425372797E-2</v>
          </cell>
          <cell r="CD102">
            <v>6.2143367425372797E-2</v>
          </cell>
        </row>
        <row r="103">
          <cell r="A103" t="str">
            <v>Interest expense (Term Loans)</v>
          </cell>
        </row>
        <row r="104">
          <cell r="A104" t="str">
            <v>Other income (expense)</v>
          </cell>
          <cell r="H104">
            <v>-1898</v>
          </cell>
          <cell r="I104">
            <v>9076</v>
          </cell>
          <cell r="J104">
            <v>11100</v>
          </cell>
          <cell r="K104">
            <v>2100</v>
          </cell>
          <cell r="L104">
            <v>1158</v>
          </cell>
          <cell r="M104">
            <v>-3056</v>
          </cell>
          <cell r="N104">
            <v>-100</v>
          </cell>
          <cell r="O104">
            <v>4400</v>
          </cell>
          <cell r="P104">
            <v>-12500</v>
          </cell>
          <cell r="Q104">
            <v>100</v>
          </cell>
          <cell r="R104">
            <v>383600</v>
          </cell>
          <cell r="S104">
            <v>28800</v>
          </cell>
          <cell r="T104">
            <v>13100</v>
          </cell>
          <cell r="U104">
            <v>0</v>
          </cell>
          <cell r="V104">
            <v>0</v>
          </cell>
          <cell r="W104">
            <v>0</v>
          </cell>
          <cell r="X104">
            <v>0</v>
          </cell>
          <cell r="Y104">
            <v>0</v>
          </cell>
          <cell r="AA104">
            <v>-70</v>
          </cell>
          <cell r="AB104">
            <v>-18287</v>
          </cell>
          <cell r="AC104">
            <v>-6703</v>
          </cell>
          <cell r="AD104">
            <v>-56</v>
          </cell>
          <cell r="AE104">
            <v>83</v>
          </cell>
          <cell r="AF104">
            <v>518</v>
          </cell>
          <cell r="AG104">
            <v>300</v>
          </cell>
          <cell r="AH104">
            <v>-2799</v>
          </cell>
          <cell r="AI104">
            <v>713</v>
          </cell>
          <cell r="AJ104">
            <v>889</v>
          </cell>
          <cell r="AK104">
            <v>2545</v>
          </cell>
          <cell r="AL104">
            <v>4929</v>
          </cell>
          <cell r="AM104">
            <v>5200</v>
          </cell>
          <cell r="AN104">
            <v>6300</v>
          </cell>
          <cell r="AO104">
            <v>200</v>
          </cell>
          <cell r="AP104">
            <v>-600</v>
          </cell>
          <cell r="AQ104">
            <v>5600</v>
          </cell>
          <cell r="AR104">
            <v>3000</v>
          </cell>
          <cell r="AS104">
            <v>500</v>
          </cell>
          <cell r="AT104">
            <v>-7000</v>
          </cell>
          <cell r="AU104">
            <v>1514</v>
          </cell>
          <cell r="AV104">
            <v>879</v>
          </cell>
          <cell r="AW104">
            <v>-875</v>
          </cell>
          <cell r="AX104">
            <v>-360</v>
          </cell>
          <cell r="AY104">
            <v>144</v>
          </cell>
          <cell r="AZ104">
            <v>-900</v>
          </cell>
          <cell r="BA104">
            <v>-3000</v>
          </cell>
          <cell r="BB104">
            <v>700</v>
          </cell>
          <cell r="BC104">
            <v>2600</v>
          </cell>
          <cell r="BD104">
            <v>-3200</v>
          </cell>
          <cell r="BE104">
            <v>-1500</v>
          </cell>
          <cell r="BF104">
            <v>2000</v>
          </cell>
          <cell r="BG104">
            <v>6600</v>
          </cell>
          <cell r="BH104">
            <v>3200</v>
          </cell>
          <cell r="BI104">
            <v>-5300</v>
          </cell>
          <cell r="BJ104">
            <v>-100</v>
          </cell>
          <cell r="BK104">
            <v>2300</v>
          </cell>
          <cell r="BL104">
            <v>-1700</v>
          </cell>
          <cell r="BM104">
            <v>-5600</v>
          </cell>
          <cell r="BN104">
            <v>-7500</v>
          </cell>
          <cell r="BO104">
            <v>900</v>
          </cell>
          <cell r="BP104">
            <v>-700</v>
          </cell>
          <cell r="BQ104">
            <v>-100</v>
          </cell>
          <cell r="BR104">
            <v>0</v>
          </cell>
          <cell r="BS104">
            <v>-1200</v>
          </cell>
          <cell r="BT104">
            <v>22300</v>
          </cell>
          <cell r="BU104">
            <v>17400</v>
          </cell>
          <cell r="BV104">
            <v>345100</v>
          </cell>
          <cell r="BW104">
            <v>16400</v>
          </cell>
          <cell r="BX104">
            <v>15400</v>
          </cell>
          <cell r="BY104">
            <v>-1500</v>
          </cell>
          <cell r="BZ104">
            <v>-1500</v>
          </cell>
          <cell r="CA104">
            <v>700</v>
          </cell>
          <cell r="CB104">
            <v>700</v>
          </cell>
          <cell r="CC104">
            <v>700</v>
          </cell>
          <cell r="CD104">
            <v>700</v>
          </cell>
        </row>
        <row r="105">
          <cell r="A105" t="str">
            <v>Other income (expense)</v>
          </cell>
          <cell r="H105">
            <v>-1898</v>
          </cell>
          <cell r="I105">
            <v>9076</v>
          </cell>
          <cell r="J105">
            <v>11100</v>
          </cell>
          <cell r="K105">
            <v>2100</v>
          </cell>
          <cell r="L105">
            <v>1158</v>
          </cell>
          <cell r="M105">
            <v>-3056</v>
          </cell>
          <cell r="N105">
            <v>-100</v>
          </cell>
          <cell r="O105">
            <v>4400</v>
          </cell>
          <cell r="P105">
            <v>-12500</v>
          </cell>
          <cell r="Q105">
            <v>100</v>
          </cell>
          <cell r="R105">
            <v>383600</v>
          </cell>
          <cell r="S105">
            <v>28800</v>
          </cell>
          <cell r="T105">
            <v>13100</v>
          </cell>
          <cell r="U105">
            <v>0</v>
          </cell>
          <cell r="V105">
            <v>0</v>
          </cell>
          <cell r="W105">
            <v>0</v>
          </cell>
          <cell r="X105">
            <v>0</v>
          </cell>
          <cell r="Y105">
            <v>0</v>
          </cell>
          <cell r="AA105">
            <v>-70</v>
          </cell>
          <cell r="AB105">
            <v>-18287</v>
          </cell>
          <cell r="AC105">
            <v>-6703</v>
          </cell>
          <cell r="AD105">
            <v>-56</v>
          </cell>
          <cell r="AE105">
            <v>83</v>
          </cell>
          <cell r="AF105">
            <v>518</v>
          </cell>
          <cell r="AG105">
            <v>300</v>
          </cell>
          <cell r="AH105">
            <v>-2799</v>
          </cell>
          <cell r="AI105">
            <v>713</v>
          </cell>
          <cell r="AJ105">
            <v>889</v>
          </cell>
          <cell r="AK105">
            <v>2545</v>
          </cell>
          <cell r="AL105">
            <v>4929</v>
          </cell>
          <cell r="AM105">
            <v>5200</v>
          </cell>
          <cell r="AN105">
            <v>6300</v>
          </cell>
          <cell r="AO105">
            <v>200</v>
          </cell>
          <cell r="AP105">
            <v>-600</v>
          </cell>
          <cell r="AQ105">
            <v>5600</v>
          </cell>
          <cell r="AR105">
            <v>3000</v>
          </cell>
          <cell r="AS105">
            <v>500</v>
          </cell>
          <cell r="AT105">
            <v>-7000</v>
          </cell>
          <cell r="AU105">
            <v>1514</v>
          </cell>
          <cell r="AV105">
            <v>879</v>
          </cell>
          <cell r="AW105">
            <v>-875</v>
          </cell>
          <cell r="AX105">
            <v>-360</v>
          </cell>
          <cell r="AY105">
            <v>144</v>
          </cell>
          <cell r="AZ105">
            <v>-900</v>
          </cell>
          <cell r="BA105">
            <v>-3000</v>
          </cell>
          <cell r="BB105">
            <v>700</v>
          </cell>
          <cell r="BC105">
            <v>2600</v>
          </cell>
          <cell r="BD105">
            <v>-3200</v>
          </cell>
          <cell r="BE105">
            <v>-1500</v>
          </cell>
          <cell r="BF105">
            <v>2000</v>
          </cell>
          <cell r="BG105">
            <v>6600</v>
          </cell>
          <cell r="BH105">
            <v>3200</v>
          </cell>
          <cell r="BI105">
            <v>-5300</v>
          </cell>
          <cell r="BJ105">
            <v>-100</v>
          </cell>
          <cell r="BK105">
            <v>2300</v>
          </cell>
          <cell r="BL105">
            <v>-1700</v>
          </cell>
          <cell r="BM105">
            <v>-5600</v>
          </cell>
          <cell r="BN105">
            <v>-7500</v>
          </cell>
          <cell r="BO105">
            <v>900</v>
          </cell>
          <cell r="BP105">
            <v>-700</v>
          </cell>
          <cell r="BQ105">
            <v>-100</v>
          </cell>
          <cell r="BR105">
            <v>0</v>
          </cell>
          <cell r="BS105">
            <v>-1200</v>
          </cell>
          <cell r="BT105">
            <v>22300</v>
          </cell>
          <cell r="BU105">
            <v>17400</v>
          </cell>
          <cell r="BV105">
            <v>345100</v>
          </cell>
          <cell r="BW105">
            <v>16400</v>
          </cell>
          <cell r="BX105">
            <v>15400</v>
          </cell>
          <cell r="BY105">
            <v>-1500</v>
          </cell>
          <cell r="BZ105">
            <v>-1500</v>
          </cell>
          <cell r="CA105">
            <v>700</v>
          </cell>
          <cell r="CB105">
            <v>-100</v>
          </cell>
          <cell r="CC105">
            <v>-100</v>
          </cell>
          <cell r="CD105">
            <v>-100</v>
          </cell>
        </row>
        <row r="106">
          <cell r="A106" t="str">
            <v>Interest Expense (income statement)</v>
          </cell>
          <cell r="H106">
            <v>0</v>
          </cell>
          <cell r="I106">
            <v>0</v>
          </cell>
          <cell r="J106">
            <v>0</v>
          </cell>
          <cell r="K106">
            <v>0</v>
          </cell>
          <cell r="L106">
            <v>0</v>
          </cell>
          <cell r="M106">
            <v>0</v>
          </cell>
          <cell r="N106">
            <v>0</v>
          </cell>
          <cell r="O106">
            <v>0</v>
          </cell>
          <cell r="P106">
            <v>0</v>
          </cell>
          <cell r="R106">
            <v>813200</v>
          </cell>
          <cell r="S106">
            <v>869900</v>
          </cell>
          <cell r="T106">
            <v>862000</v>
          </cell>
          <cell r="U106">
            <v>863858.78614627104</v>
          </cell>
          <cell r="V106">
            <v>846714.41245459125</v>
          </cell>
          <cell r="W106">
            <v>825107.84382390173</v>
          </cell>
          <cell r="X106">
            <v>806337.42576518294</v>
          </cell>
          <cell r="Y106">
            <v>786908.48654778267</v>
          </cell>
          <cell r="BO106">
            <v>141900</v>
          </cell>
          <cell r="BP106">
            <v>142500</v>
          </cell>
          <cell r="BQ106">
            <v>143400</v>
          </cell>
          <cell r="BR106">
            <v>144000</v>
          </cell>
          <cell r="BS106">
            <v>141100</v>
          </cell>
          <cell r="BT106">
            <v>217500</v>
          </cell>
          <cell r="BU106">
            <v>230200</v>
          </cell>
          <cell r="BV106">
            <v>224400</v>
          </cell>
          <cell r="BW106">
            <v>219700</v>
          </cell>
          <cell r="BX106">
            <v>217400</v>
          </cell>
          <cell r="BY106">
            <v>216400</v>
          </cell>
          <cell r="BZ106">
            <v>216400</v>
          </cell>
          <cell r="CA106">
            <v>211800</v>
          </cell>
          <cell r="CB106">
            <v>215492.33173024241</v>
          </cell>
          <cell r="CC106">
            <v>213470.04704559274</v>
          </cell>
          <cell r="CD106">
            <v>211329.77398843391</v>
          </cell>
        </row>
        <row r="107">
          <cell r="A107" t="str">
            <v>from LT debt</v>
          </cell>
          <cell r="H107">
            <v>0</v>
          </cell>
          <cell r="I107">
            <v>0</v>
          </cell>
          <cell r="J107">
            <v>0</v>
          </cell>
          <cell r="K107">
            <v>0</v>
          </cell>
          <cell r="L107">
            <v>0</v>
          </cell>
          <cell r="M107">
            <v>0</v>
          </cell>
          <cell r="N107">
            <v>0</v>
          </cell>
          <cell r="O107">
            <v>0</v>
          </cell>
          <cell r="P107">
            <v>0</v>
          </cell>
          <cell r="R107">
            <v>442000</v>
          </cell>
          <cell r="S107">
            <v>350900</v>
          </cell>
          <cell r="T107">
            <v>345300</v>
          </cell>
          <cell r="U107">
            <v>353642.2861462711</v>
          </cell>
          <cell r="V107">
            <v>342168.99495459127</v>
          </cell>
          <cell r="W107">
            <v>325581.15341140173</v>
          </cell>
          <cell r="X107">
            <v>311305.16880474542</v>
          </cell>
          <cell r="Y107">
            <v>295948.83087214729</v>
          </cell>
          <cell r="BO107">
            <v>141900</v>
          </cell>
          <cell r="BP107">
            <v>142500</v>
          </cell>
          <cell r="BQ107">
            <v>134900</v>
          </cell>
          <cell r="BR107">
            <v>144000</v>
          </cell>
          <cell r="BS107">
            <v>133600</v>
          </cell>
          <cell r="BT107">
            <v>115200</v>
          </cell>
          <cell r="BU107">
            <v>98200</v>
          </cell>
          <cell r="BV107">
            <v>95000</v>
          </cell>
          <cell r="BW107">
            <v>91500</v>
          </cell>
          <cell r="BX107">
            <v>89600</v>
          </cell>
          <cell r="BY107">
            <v>89600</v>
          </cell>
          <cell r="BZ107">
            <v>80200</v>
          </cell>
          <cell r="CA107">
            <v>85900</v>
          </cell>
          <cell r="CB107">
            <v>90485.783629999903</v>
          </cell>
          <cell r="CC107">
            <v>89350.450386661614</v>
          </cell>
          <cell r="CD107">
            <v>88090.675607538637</v>
          </cell>
        </row>
        <row r="108">
          <cell r="A108" t="str">
            <v>from network lease</v>
          </cell>
          <cell r="G108">
            <v>184.48</v>
          </cell>
          <cell r="H108">
            <v>0</v>
          </cell>
          <cell r="I108">
            <v>0</v>
          </cell>
          <cell r="J108">
            <v>0</v>
          </cell>
          <cell r="K108">
            <v>0</v>
          </cell>
          <cell r="L108">
            <v>0</v>
          </cell>
          <cell r="M108">
            <v>0</v>
          </cell>
          <cell r="N108">
            <v>0</v>
          </cell>
          <cell r="O108">
            <v>0</v>
          </cell>
          <cell r="P108">
            <v>0</v>
          </cell>
          <cell r="R108">
            <v>351600</v>
          </cell>
          <cell r="S108">
            <v>500800</v>
          </cell>
          <cell r="T108">
            <v>496700</v>
          </cell>
          <cell r="U108">
            <v>494216.5</v>
          </cell>
          <cell r="V108">
            <v>491745.41749999998</v>
          </cell>
          <cell r="W108">
            <v>489286.6904125</v>
          </cell>
          <cell r="X108">
            <v>486840.25696043752</v>
          </cell>
          <cell r="Y108">
            <v>484406.05567563535</v>
          </cell>
          <cell r="BO108">
            <v>0</v>
          </cell>
          <cell r="BP108">
            <v>0</v>
          </cell>
          <cell r="BQ108">
            <v>134900</v>
          </cell>
          <cell r="BR108">
            <v>0</v>
          </cell>
          <cell r="BS108">
            <v>133600</v>
          </cell>
          <cell r="BT108">
            <v>115200</v>
          </cell>
          <cell r="BU108">
            <v>98200</v>
          </cell>
          <cell r="BV108">
            <v>95000</v>
          </cell>
          <cell r="BW108">
            <v>91500</v>
          </cell>
          <cell r="BX108">
            <v>89600</v>
          </cell>
          <cell r="BY108">
            <v>89600</v>
          </cell>
          <cell r="BZ108">
            <v>80200</v>
          </cell>
          <cell r="CA108">
            <v>85900</v>
          </cell>
          <cell r="CB108">
            <v>85900</v>
          </cell>
          <cell r="CC108">
            <v>88267.312742464943</v>
          </cell>
          <cell r="CD108">
            <v>89248.543794141064</v>
          </cell>
        </row>
        <row r="109">
          <cell r="A109" t="str">
            <v>other</v>
          </cell>
          <cell r="F109">
            <v>0.02</v>
          </cell>
          <cell r="G109">
            <v>184.48</v>
          </cell>
          <cell r="H109">
            <v>0</v>
          </cell>
          <cell r="I109">
            <v>0</v>
          </cell>
          <cell r="J109">
            <v>0</v>
          </cell>
          <cell r="K109">
            <v>0</v>
          </cell>
          <cell r="L109">
            <v>0</v>
          </cell>
          <cell r="M109">
            <v>0</v>
          </cell>
          <cell r="N109">
            <v>0</v>
          </cell>
          <cell r="O109">
            <v>0</v>
          </cell>
          <cell r="P109">
            <v>0</v>
          </cell>
          <cell r="R109">
            <v>19600</v>
          </cell>
          <cell r="S109">
            <v>18200</v>
          </cell>
          <cell r="T109">
            <v>20000</v>
          </cell>
          <cell r="U109">
            <v>16000</v>
          </cell>
          <cell r="V109">
            <v>12800</v>
          </cell>
          <cell r="W109">
            <v>10240</v>
          </cell>
          <cell r="X109">
            <v>8192</v>
          </cell>
          <cell r="Y109">
            <v>6553.6</v>
          </cell>
          <cell r="BO109">
            <v>141900</v>
          </cell>
          <cell r="BP109">
            <v>142500</v>
          </cell>
          <cell r="BQ109">
            <v>8500</v>
          </cell>
          <cell r="BR109">
            <v>144000</v>
          </cell>
          <cell r="BS109">
            <v>7500</v>
          </cell>
          <cell r="BT109">
            <v>6300</v>
          </cell>
          <cell r="BU109">
            <v>3800</v>
          </cell>
          <cell r="BV109">
            <v>2000</v>
          </cell>
          <cell r="BW109">
            <v>1300</v>
          </cell>
          <cell r="BX109">
            <v>2400</v>
          </cell>
          <cell r="BY109">
            <v>2000</v>
          </cell>
          <cell r="BZ109">
            <v>12500</v>
          </cell>
          <cell r="CA109">
            <v>3100</v>
          </cell>
          <cell r="CB109">
            <v>3100</v>
          </cell>
          <cell r="CC109">
            <v>3100</v>
          </cell>
          <cell r="CD109">
            <v>3100</v>
          </cell>
        </row>
        <row r="110">
          <cell r="A110" t="str">
            <v>other</v>
          </cell>
          <cell r="F110">
            <v>1414</v>
          </cell>
          <cell r="G110">
            <v>17034</v>
          </cell>
          <cell r="H110">
            <v>64178</v>
          </cell>
          <cell r="I110">
            <v>386852</v>
          </cell>
          <cell r="J110">
            <v>72000</v>
          </cell>
          <cell r="K110">
            <v>296600</v>
          </cell>
          <cell r="L110">
            <v>1062900</v>
          </cell>
          <cell r="M110">
            <v>42300</v>
          </cell>
          <cell r="N110">
            <v>227000</v>
          </cell>
          <cell r="O110">
            <v>132000</v>
          </cell>
          <cell r="P110">
            <v>48200</v>
          </cell>
          <cell r="R110">
            <v>19600</v>
          </cell>
          <cell r="S110">
            <v>18200</v>
          </cell>
          <cell r="T110">
            <v>20000</v>
          </cell>
          <cell r="U110">
            <v>16000</v>
          </cell>
          <cell r="V110">
            <v>12800</v>
          </cell>
          <cell r="W110">
            <v>10240</v>
          </cell>
          <cell r="X110">
            <v>8192</v>
          </cell>
          <cell r="Y110">
            <v>6553.6</v>
          </cell>
          <cell r="BO110">
            <v>141900</v>
          </cell>
          <cell r="BP110">
            <v>142500</v>
          </cell>
          <cell r="BQ110">
            <v>8500</v>
          </cell>
          <cell r="BR110">
            <v>144000</v>
          </cell>
          <cell r="BS110">
            <v>7500</v>
          </cell>
          <cell r="BT110">
            <v>6300</v>
          </cell>
          <cell r="BU110">
            <v>1.3354166666666667</v>
          </cell>
          <cell r="BV110">
            <v>0.99375975039001563</v>
          </cell>
          <cell r="BW110">
            <v>0.99607535321821039</v>
          </cell>
          <cell r="BX110">
            <v>0.98817966903073284</v>
          </cell>
          <cell r="BY110">
            <v>0.99521531100478466</v>
          </cell>
          <cell r="BZ110">
            <v>0.99118589743589747</v>
          </cell>
          <cell r="CA110">
            <v>0.99272433306386421</v>
          </cell>
          <cell r="CB110">
            <v>0.99272433306386421</v>
          </cell>
          <cell r="CC110">
            <v>0.99272433306386421</v>
          </cell>
          <cell r="CD110">
            <v>0.99272433306386421</v>
          </cell>
        </row>
        <row r="111">
          <cell r="F111">
            <v>1414</v>
          </cell>
          <cell r="G111">
            <v>9224</v>
          </cell>
          <cell r="H111">
            <v>40606</v>
          </cell>
          <cell r="I111">
            <v>225515</v>
          </cell>
          <cell r="J111">
            <v>229426</v>
          </cell>
          <cell r="K111">
            <v>184300</v>
          </cell>
          <cell r="L111">
            <v>679750</v>
          </cell>
          <cell r="M111">
            <v>552600</v>
          </cell>
          <cell r="N111">
            <v>134650</v>
          </cell>
          <cell r="O111">
            <v>179500</v>
          </cell>
          <cell r="P111">
            <v>90100</v>
          </cell>
          <cell r="BU111">
            <v>1.3354166666666667</v>
          </cell>
          <cell r="BV111">
            <v>0.99375975039001563</v>
          </cell>
          <cell r="BW111">
            <v>0.99607535321821039</v>
          </cell>
          <cell r="BX111">
            <v>0.98817966903073284</v>
          </cell>
          <cell r="BY111">
            <v>0.99521531100478466</v>
          </cell>
          <cell r="BZ111">
            <v>0.99118589743589747</v>
          </cell>
          <cell r="CA111">
            <v>0.99272433306386421</v>
          </cell>
          <cell r="CB111">
            <v>1</v>
          </cell>
          <cell r="CC111">
            <v>1</v>
          </cell>
          <cell r="CD111">
            <v>1</v>
          </cell>
        </row>
        <row r="112">
          <cell r="G112">
            <v>9224</v>
          </cell>
          <cell r="H112">
            <v>40606</v>
          </cell>
          <cell r="I112">
            <v>225515</v>
          </cell>
          <cell r="J112">
            <v>229426</v>
          </cell>
          <cell r="K112">
            <v>184300</v>
          </cell>
          <cell r="L112">
            <v>679750</v>
          </cell>
          <cell r="M112">
            <v>552600</v>
          </cell>
          <cell r="N112">
            <v>134650</v>
          </cell>
          <cell r="O112">
            <v>179500</v>
          </cell>
          <cell r="P112">
            <v>90100</v>
          </cell>
        </row>
        <row r="113">
          <cell r="A113" t="str">
            <v>Property, Plant &amp; Equipment</v>
          </cell>
          <cell r="M113" t="str">
            <v>NOT Pf</v>
          </cell>
          <cell r="N113" t="str">
            <v>NOT Pf</v>
          </cell>
          <cell r="AY113" t="str">
            <v>NOT PROFORMA FOR PAETEC</v>
          </cell>
          <cell r="BC113" t="str">
            <v>NOT PROFORMA FOR PAETEC</v>
          </cell>
        </row>
        <row r="114">
          <cell r="A114" t="str">
            <v>Gross PP&amp;E</v>
          </cell>
          <cell r="F114">
            <v>990188</v>
          </cell>
          <cell r="G114">
            <v>1048527</v>
          </cell>
          <cell r="H114">
            <v>1089937</v>
          </cell>
          <cell r="I114">
            <v>8724326</v>
          </cell>
          <cell r="J114">
            <v>9220700</v>
          </cell>
          <cell r="K114">
            <v>9470900</v>
          </cell>
          <cell r="L114">
            <v>9985700</v>
          </cell>
          <cell r="M114" t="str">
            <v>NOT Pf</v>
          </cell>
          <cell r="N114" t="str">
            <v>NOT Pf</v>
          </cell>
          <cell r="O114">
            <v>13827900</v>
          </cell>
          <cell r="P114">
            <v>14627400</v>
          </cell>
          <cell r="Q114">
            <v>15723500</v>
          </cell>
          <cell r="R114">
            <v>16957500</v>
          </cell>
          <cell r="S114">
            <v>18224700</v>
          </cell>
          <cell r="T114">
            <v>19454490.931956653</v>
          </cell>
          <cell r="U114">
            <v>20676377.708129663</v>
          </cell>
          <cell r="V114">
            <v>21899893.679648407</v>
          </cell>
          <cell r="W114">
            <v>23127719.21130991</v>
          </cell>
          <cell r="X114">
            <v>24346045.149949551</v>
          </cell>
          <cell r="Y114">
            <v>25557291.069525626</v>
          </cell>
          <cell r="AD114">
            <v>1048527</v>
          </cell>
          <cell r="AE114">
            <v>1065730</v>
          </cell>
          <cell r="AF114">
            <v>1079230</v>
          </cell>
          <cell r="AG114">
            <v>1093750</v>
          </cell>
          <cell r="AH114">
            <v>1089937</v>
          </cell>
          <cell r="AI114">
            <v>1101800</v>
          </cell>
          <cell r="AJ114">
            <v>1113731</v>
          </cell>
          <cell r="AK114">
            <v>8590033</v>
          </cell>
          <cell r="AL114">
            <v>8724326</v>
          </cell>
          <cell r="AM114">
            <v>8808600</v>
          </cell>
          <cell r="AN114">
            <v>8934500</v>
          </cell>
          <cell r="AO114">
            <v>9264400</v>
          </cell>
          <cell r="AP114">
            <v>9220700</v>
          </cell>
          <cell r="AQ114">
            <v>9324200</v>
          </cell>
          <cell r="AR114">
            <v>9431100</v>
          </cell>
          <cell r="AS114">
            <v>9562800</v>
          </cell>
          <cell r="AT114">
            <v>9470900</v>
          </cell>
          <cell r="AU114">
            <v>9621300</v>
          </cell>
          <cell r="AV114">
            <v>9798100</v>
          </cell>
          <cell r="AW114">
            <v>9962700</v>
          </cell>
          <cell r="AX114">
            <v>9985700</v>
          </cell>
          <cell r="AY114" t="str">
            <v>NOT PROFORMA FOR PAETEC</v>
          </cell>
          <cell r="AZ114">
            <v>11074800</v>
          </cell>
          <cell r="BA114">
            <v>11340400</v>
          </cell>
          <cell r="BB114">
            <v>11254500</v>
          </cell>
          <cell r="BC114" t="str">
            <v>NOT PROFORMA FOR PAETEC</v>
          </cell>
          <cell r="BD114">
            <v>11854000</v>
          </cell>
          <cell r="BE114">
            <v>12159900</v>
          </cell>
          <cell r="BF114">
            <v>12764600</v>
          </cell>
          <cell r="BG114">
            <v>13085700</v>
          </cell>
          <cell r="BH114">
            <v>13447000</v>
          </cell>
          <cell r="BI114">
            <v>13838500</v>
          </cell>
          <cell r="BJ114">
            <v>13827900</v>
          </cell>
          <cell r="BK114">
            <v>14152700</v>
          </cell>
          <cell r="BL114">
            <v>14462100</v>
          </cell>
          <cell r="BM114">
            <v>14745900</v>
          </cell>
          <cell r="BN114">
            <v>14627400</v>
          </cell>
          <cell r="BO114">
            <v>14873800</v>
          </cell>
          <cell r="BP114">
            <v>15148400</v>
          </cell>
          <cell r="BQ114">
            <v>15412500</v>
          </cell>
          <cell r="BR114">
            <v>15723500</v>
          </cell>
          <cell r="BS114">
            <v>15966900</v>
          </cell>
          <cell r="BT114">
            <v>16285400</v>
          </cell>
          <cell r="BU114">
            <v>16673900</v>
          </cell>
          <cell r="BV114">
            <v>16957500</v>
          </cell>
          <cell r="BW114">
            <v>17238200</v>
          </cell>
          <cell r="BX114">
            <v>17530000</v>
          </cell>
          <cell r="BY114">
            <v>17850500</v>
          </cell>
          <cell r="BZ114">
            <v>18224700</v>
          </cell>
          <cell r="CA114">
            <v>18855300</v>
          </cell>
          <cell r="CB114">
            <v>19057249.261929471</v>
          </cell>
          <cell r="CC114">
            <v>19264257.02842582</v>
          </cell>
          <cell r="CD114">
            <v>19454490.931956653</v>
          </cell>
        </row>
        <row r="115">
          <cell r="A115" t="str">
            <v>Accumulated Depreciation</v>
          </cell>
          <cell r="F115">
            <v>220618</v>
          </cell>
          <cell r="G115">
            <v>298543</v>
          </cell>
          <cell r="H115">
            <v>372408</v>
          </cell>
          <cell r="I115">
            <v>4784585</v>
          </cell>
          <cell r="J115">
            <v>5178400</v>
          </cell>
          <cell r="K115">
            <v>5573800</v>
          </cell>
          <cell r="L115">
            <v>5993100</v>
          </cell>
          <cell r="M115">
            <v>6481800</v>
          </cell>
          <cell r="N115">
            <v>7055400</v>
          </cell>
          <cell r="O115">
            <v>7965200</v>
          </cell>
          <cell r="P115">
            <v>8924800</v>
          </cell>
          <cell r="Q115">
            <v>10311200</v>
          </cell>
          <cell r="R115">
            <v>11677700</v>
          </cell>
          <cell r="S115">
            <v>12941200</v>
          </cell>
          <cell r="T115">
            <v>14306596.671243159</v>
          </cell>
          <cell r="U115">
            <v>15974014.321033513</v>
          </cell>
          <cell r="V115">
            <v>17595976.604988195</v>
          </cell>
          <cell r="W115">
            <v>19186949.693659399</v>
          </cell>
          <cell r="X115">
            <v>20757267.89819137</v>
          </cell>
          <cell r="Y115">
            <v>22408688.065738373</v>
          </cell>
          <cell r="AD115">
            <v>298543</v>
          </cell>
          <cell r="AE115">
            <v>320574</v>
          </cell>
          <cell r="AF115">
            <v>344084</v>
          </cell>
          <cell r="AG115">
            <v>366435</v>
          </cell>
          <cell r="AH115">
            <v>372408</v>
          </cell>
          <cell r="AI115">
            <v>394222</v>
          </cell>
          <cell r="AJ115">
            <v>415559</v>
          </cell>
          <cell r="AK115">
            <v>4699665</v>
          </cell>
          <cell r="AL115">
            <v>4784585</v>
          </cell>
          <cell r="AM115">
            <v>4891300</v>
          </cell>
          <cell r="AN115">
            <v>5040800</v>
          </cell>
          <cell r="AO115">
            <v>5190500</v>
          </cell>
          <cell r="AP115">
            <v>5178400</v>
          </cell>
          <cell r="AQ115">
            <v>5337700</v>
          </cell>
          <cell r="AR115">
            <v>5495900</v>
          </cell>
          <cell r="AS115">
            <v>5651400</v>
          </cell>
          <cell r="AT115">
            <v>5573800</v>
          </cell>
          <cell r="AU115">
            <v>5786000</v>
          </cell>
          <cell r="AV115">
            <v>5999300</v>
          </cell>
          <cell r="AW115">
            <v>6210900</v>
          </cell>
          <cell r="AX115">
            <v>5993100</v>
          </cell>
          <cell r="AY115">
            <v>6304000</v>
          </cell>
          <cell r="AZ115">
            <v>6606400</v>
          </cell>
          <cell r="BA115">
            <v>6901700</v>
          </cell>
          <cell r="BB115">
            <v>6481800</v>
          </cell>
          <cell r="BC115">
            <v>6769300</v>
          </cell>
          <cell r="BD115">
            <v>7049800</v>
          </cell>
          <cell r="BE115">
            <v>7334300</v>
          </cell>
          <cell r="BF115">
            <v>7055400</v>
          </cell>
          <cell r="BG115">
            <v>7367500</v>
          </cell>
          <cell r="BH115">
            <v>7687500</v>
          </cell>
          <cell r="BI115">
            <v>8013600</v>
          </cell>
          <cell r="BJ115">
            <v>7965200</v>
          </cell>
          <cell r="BK115">
            <v>8294500</v>
          </cell>
          <cell r="BL115">
            <v>8626700</v>
          </cell>
          <cell r="BM115">
            <v>8964900</v>
          </cell>
          <cell r="BN115">
            <v>8924800</v>
          </cell>
          <cell r="BO115">
            <v>9263700</v>
          </cell>
          <cell r="BP115">
            <v>9607700</v>
          </cell>
          <cell r="BQ115">
            <v>9956200</v>
          </cell>
          <cell r="BR115">
            <v>10311200</v>
          </cell>
          <cell r="BS115">
            <v>10651900</v>
          </cell>
          <cell r="BT115">
            <v>10993700</v>
          </cell>
          <cell r="BU115">
            <v>11344200</v>
          </cell>
          <cell r="BV115">
            <v>11677700</v>
          </cell>
          <cell r="BW115">
            <v>11982500</v>
          </cell>
          <cell r="BX115">
            <v>12290700</v>
          </cell>
          <cell r="BY115">
            <v>12611700</v>
          </cell>
          <cell r="BZ115">
            <v>12941200</v>
          </cell>
          <cell r="CA115">
            <v>13279700</v>
          </cell>
          <cell r="CB115">
            <v>13622049.929445053</v>
          </cell>
          <cell r="CC115">
            <v>13964383.217367835</v>
          </cell>
          <cell r="CD115">
            <v>14306596.671243159</v>
          </cell>
        </row>
        <row r="116">
          <cell r="A116" t="str">
            <v xml:space="preserve">Net Prop., Plant, &amp; Equip. </v>
          </cell>
          <cell r="F116">
            <v>769570</v>
          </cell>
          <cell r="G116">
            <v>749984</v>
          </cell>
          <cell r="H116">
            <v>717529</v>
          </cell>
          <cell r="I116">
            <v>3939741</v>
          </cell>
          <cell r="J116">
            <v>4042300</v>
          </cell>
          <cell r="K116">
            <v>3897100</v>
          </cell>
          <cell r="L116">
            <v>3992600</v>
          </cell>
          <cell r="M116">
            <v>4772700</v>
          </cell>
          <cell r="N116">
            <v>5709200</v>
          </cell>
          <cell r="O116">
            <v>5862700</v>
          </cell>
          <cell r="P116">
            <v>5702600</v>
          </cell>
          <cell r="Q116">
            <v>5412300</v>
          </cell>
          <cell r="R116">
            <v>5279800</v>
          </cell>
          <cell r="S116">
            <v>5283500</v>
          </cell>
          <cell r="T116">
            <v>5147894.2607134935</v>
          </cell>
          <cell r="U116">
            <v>4702363.3870961498</v>
          </cell>
          <cell r="V116">
            <v>4303917.0746602118</v>
          </cell>
          <cell r="W116">
            <v>3940769.5176505111</v>
          </cell>
          <cell r="X116">
            <v>3588777.2517581806</v>
          </cell>
          <cell r="Y116">
            <v>3148603.0037872531</v>
          </cell>
          <cell r="AD116">
            <v>749984</v>
          </cell>
          <cell r="AE116">
            <v>745156</v>
          </cell>
          <cell r="AF116">
            <v>735146</v>
          </cell>
          <cell r="AG116">
            <v>727315</v>
          </cell>
          <cell r="AH116">
            <v>717529</v>
          </cell>
          <cell r="AI116">
            <v>707578</v>
          </cell>
          <cell r="AJ116">
            <v>698172</v>
          </cell>
          <cell r="AK116">
            <v>3890368</v>
          </cell>
          <cell r="AL116">
            <v>3939741</v>
          </cell>
          <cell r="AM116">
            <v>3917300</v>
          </cell>
          <cell r="AN116">
            <v>3893700</v>
          </cell>
          <cell r="AO116">
            <v>4073900</v>
          </cell>
          <cell r="AP116">
            <v>4042300</v>
          </cell>
          <cell r="AQ116">
            <v>3986500</v>
          </cell>
          <cell r="AR116">
            <v>3935200</v>
          </cell>
          <cell r="AS116">
            <v>3911400</v>
          </cell>
          <cell r="AT116">
            <v>3897100</v>
          </cell>
          <cell r="AU116">
            <v>3835300</v>
          </cell>
          <cell r="AV116">
            <v>3798800</v>
          </cell>
          <cell r="AW116">
            <v>3751800</v>
          </cell>
          <cell r="AX116">
            <v>3992600</v>
          </cell>
          <cell r="AY116">
            <v>4167200</v>
          </cell>
          <cell r="AZ116">
            <v>4468400</v>
          </cell>
          <cell r="BA116">
            <v>4438700</v>
          </cell>
          <cell r="BB116">
            <v>4772700</v>
          </cell>
          <cell r="BC116">
            <v>4782800</v>
          </cell>
          <cell r="BD116">
            <v>4804200</v>
          </cell>
          <cell r="BE116">
            <v>4825600</v>
          </cell>
          <cell r="BF116">
            <v>5709200</v>
          </cell>
          <cell r="BG116">
            <v>5718200</v>
          </cell>
          <cell r="BH116">
            <v>5759500</v>
          </cell>
          <cell r="BI116">
            <v>5824900</v>
          </cell>
          <cell r="BJ116">
            <v>5862700</v>
          </cell>
          <cell r="BK116">
            <v>5858200</v>
          </cell>
          <cell r="BL116">
            <v>5835400</v>
          </cell>
          <cell r="BM116">
            <v>5781000</v>
          </cell>
          <cell r="BN116">
            <v>5702600</v>
          </cell>
          <cell r="BO116">
            <v>5610100</v>
          </cell>
          <cell r="BP116">
            <v>5540700</v>
          </cell>
          <cell r="BQ116">
            <v>5456300</v>
          </cell>
          <cell r="BR116">
            <v>5412300</v>
          </cell>
          <cell r="BS116">
            <v>5315000</v>
          </cell>
          <cell r="BT116">
            <v>5291700</v>
          </cell>
          <cell r="BU116">
            <v>5329700</v>
          </cell>
          <cell r="BV116">
            <v>5279800</v>
          </cell>
          <cell r="BW116">
            <v>5255700</v>
          </cell>
          <cell r="BX116">
            <v>5239300</v>
          </cell>
          <cell r="BY116">
            <v>5238800</v>
          </cell>
          <cell r="BZ116">
            <v>5283500</v>
          </cell>
          <cell r="CA116">
            <v>5575600</v>
          </cell>
          <cell r="CB116">
            <v>5435199.3324844185</v>
          </cell>
          <cell r="CC116">
            <v>5299873.8110579848</v>
          </cell>
          <cell r="CD116">
            <v>5147894.2607134935</v>
          </cell>
        </row>
        <row r="117">
          <cell r="A117" t="str">
            <v xml:space="preserve">Net Prop., Plant, &amp; Equip. </v>
          </cell>
          <cell r="F117">
            <v>769570</v>
          </cell>
          <cell r="G117">
            <v>749984</v>
          </cell>
          <cell r="H117">
            <v>717529</v>
          </cell>
          <cell r="I117">
            <v>3939741</v>
          </cell>
          <cell r="J117">
            <v>4042300</v>
          </cell>
          <cell r="K117">
            <v>3897100</v>
          </cell>
          <cell r="L117">
            <v>3992600</v>
          </cell>
          <cell r="M117">
            <v>4772700</v>
          </cell>
          <cell r="N117">
            <v>5709200</v>
          </cell>
          <cell r="O117">
            <v>5862700</v>
          </cell>
          <cell r="P117">
            <v>5702600</v>
          </cell>
          <cell r="Q117">
            <v>5412300</v>
          </cell>
          <cell r="R117">
            <v>5279800</v>
          </cell>
          <cell r="S117">
            <v>5283500</v>
          </cell>
          <cell r="T117">
            <v>5462276.97117397</v>
          </cell>
          <cell r="U117">
            <v>5007781.4941326417</v>
          </cell>
          <cell r="V117">
            <v>4586200.7491967268</v>
          </cell>
          <cell r="W117">
            <v>4186532.2804805897</v>
          </cell>
          <cell r="X117">
            <v>3800118.1939605959</v>
          </cell>
          <cell r="Y117">
            <v>3317064.4166123606</v>
          </cell>
          <cell r="AD117">
            <v>749984</v>
          </cell>
          <cell r="AE117">
            <v>745156</v>
          </cell>
          <cell r="AF117">
            <v>735146</v>
          </cell>
          <cell r="AG117">
            <v>727315</v>
          </cell>
          <cell r="AH117">
            <v>717529</v>
          </cell>
          <cell r="AI117">
            <v>707578</v>
          </cell>
          <cell r="AJ117">
            <v>698172</v>
          </cell>
          <cell r="AK117">
            <v>3890368</v>
          </cell>
          <cell r="AL117">
            <v>3939741</v>
          </cell>
          <cell r="AM117">
            <v>3917300</v>
          </cell>
          <cell r="AN117">
            <v>3893700</v>
          </cell>
          <cell r="AO117">
            <v>4073900</v>
          </cell>
          <cell r="AP117">
            <v>4042300</v>
          </cell>
          <cell r="AQ117">
            <v>3986500</v>
          </cell>
          <cell r="AR117">
            <v>3935200</v>
          </cell>
          <cell r="AS117">
            <v>3911400</v>
          </cell>
          <cell r="AT117">
            <v>3897100</v>
          </cell>
          <cell r="AU117">
            <v>3835300</v>
          </cell>
          <cell r="AV117">
            <v>3798800</v>
          </cell>
          <cell r="AW117">
            <v>3751800</v>
          </cell>
          <cell r="AX117">
            <v>3992600</v>
          </cell>
          <cell r="AY117">
            <v>4167200</v>
          </cell>
          <cell r="AZ117">
            <v>4468400</v>
          </cell>
          <cell r="BA117">
            <v>4438700</v>
          </cell>
          <cell r="BB117">
            <v>4772700</v>
          </cell>
          <cell r="BC117">
            <v>4782800</v>
          </cell>
          <cell r="BD117">
            <v>4804200</v>
          </cell>
          <cell r="BE117">
            <v>4825600</v>
          </cell>
          <cell r="BF117">
            <v>5709200</v>
          </cell>
          <cell r="BG117">
            <v>5718200</v>
          </cell>
          <cell r="BH117">
            <v>5759500</v>
          </cell>
          <cell r="BI117">
            <v>5824900</v>
          </cell>
          <cell r="BJ117">
            <v>5862700</v>
          </cell>
          <cell r="BK117">
            <v>5858200</v>
          </cell>
          <cell r="BL117">
            <v>5835400</v>
          </cell>
          <cell r="BM117">
            <v>5781000</v>
          </cell>
          <cell r="BN117">
            <v>5702600</v>
          </cell>
          <cell r="BO117">
            <v>5610100</v>
          </cell>
          <cell r="BP117">
            <v>5540700</v>
          </cell>
          <cell r="BQ117">
            <v>5456300</v>
          </cell>
          <cell r="BR117">
            <v>5412300</v>
          </cell>
          <cell r="BS117">
            <v>5315000</v>
          </cell>
          <cell r="BT117">
            <v>5291700</v>
          </cell>
          <cell r="BU117">
            <v>5329700</v>
          </cell>
          <cell r="BV117">
            <v>5279800</v>
          </cell>
          <cell r="BW117">
            <v>5255700</v>
          </cell>
          <cell r="BX117">
            <v>5239300</v>
          </cell>
          <cell r="BY117">
            <v>5238800</v>
          </cell>
          <cell r="BZ117">
            <v>5283500</v>
          </cell>
          <cell r="CA117">
            <v>5575600</v>
          </cell>
          <cell r="CB117">
            <v>5558200</v>
          </cell>
          <cell r="CC117">
            <v>5631923.6479959916</v>
          </cell>
          <cell r="CD117">
            <v>5462276.97117397</v>
          </cell>
        </row>
        <row r="118">
          <cell r="A118" t="str">
            <v>Beginning Gross PP&amp;E</v>
          </cell>
          <cell r="G118">
            <v>990188</v>
          </cell>
          <cell r="H118">
            <v>1048527</v>
          </cell>
          <cell r="I118">
            <v>1089937</v>
          </cell>
          <cell r="J118">
            <v>8724326</v>
          </cell>
          <cell r="K118">
            <v>9220700</v>
          </cell>
          <cell r="L118">
            <v>9470900</v>
          </cell>
          <cell r="M118">
            <v>9985700</v>
          </cell>
          <cell r="N118">
            <v>11254500</v>
          </cell>
          <cell r="O118">
            <v>12764600</v>
          </cell>
          <cell r="P118">
            <v>13827900</v>
          </cell>
          <cell r="Q118">
            <v>14627400</v>
          </cell>
          <cell r="R118">
            <v>15723500</v>
          </cell>
          <cell r="S118">
            <v>16957500</v>
          </cell>
          <cell r="T118">
            <v>18224700</v>
          </cell>
          <cell r="U118">
            <v>19454490.931956653</v>
          </cell>
          <cell r="V118">
            <v>20676377.708129663</v>
          </cell>
          <cell r="W118">
            <v>21899893.679648407</v>
          </cell>
          <cell r="X118">
            <v>23127719.21130991</v>
          </cell>
          <cell r="Y118">
            <v>24346045.149949551</v>
          </cell>
          <cell r="AE118">
            <v>1048527</v>
          </cell>
          <cell r="AF118">
            <v>1065730</v>
          </cell>
          <cell r="AG118">
            <v>1079230</v>
          </cell>
          <cell r="AH118">
            <v>1093750</v>
          </cell>
          <cell r="AI118">
            <v>1089937</v>
          </cell>
          <cell r="AJ118">
            <v>1101800</v>
          </cell>
          <cell r="AK118">
            <v>1113731</v>
          </cell>
          <cell r="AL118">
            <v>8590033</v>
          </cell>
          <cell r="AM118">
            <v>8724326</v>
          </cell>
          <cell r="AN118">
            <v>8808600</v>
          </cell>
          <cell r="AO118">
            <v>8934500</v>
          </cell>
          <cell r="AP118">
            <v>9264400</v>
          </cell>
          <cell r="AQ118">
            <v>9220700</v>
          </cell>
          <cell r="AR118">
            <v>9324200</v>
          </cell>
          <cell r="AS118">
            <v>9431100</v>
          </cell>
          <cell r="AT118">
            <v>9562800</v>
          </cell>
          <cell r="AU118">
            <v>9470900</v>
          </cell>
          <cell r="AV118">
            <v>9621300</v>
          </cell>
          <cell r="AW118">
            <v>9798100</v>
          </cell>
          <cell r="AX118">
            <v>9962700</v>
          </cell>
          <cell r="AY118">
            <v>9985700</v>
          </cell>
          <cell r="AZ118">
            <v>10471200</v>
          </cell>
          <cell r="BA118">
            <v>11074800</v>
          </cell>
          <cell r="BB118">
            <v>11340400</v>
          </cell>
          <cell r="BC118">
            <v>11254500</v>
          </cell>
          <cell r="BD118">
            <v>11552100</v>
          </cell>
          <cell r="BE118">
            <v>11854000</v>
          </cell>
          <cell r="BF118">
            <v>12159900</v>
          </cell>
          <cell r="BG118">
            <v>12764600</v>
          </cell>
          <cell r="BH118">
            <v>13085700</v>
          </cell>
          <cell r="BI118">
            <v>13447000</v>
          </cell>
          <cell r="BJ118">
            <v>13838500</v>
          </cell>
          <cell r="BK118">
            <v>13827900</v>
          </cell>
          <cell r="BL118">
            <v>14152700</v>
          </cell>
          <cell r="BM118">
            <v>14462100</v>
          </cell>
          <cell r="BN118">
            <v>14745900</v>
          </cell>
          <cell r="BO118">
            <v>14627400</v>
          </cell>
          <cell r="BP118">
            <v>14873800</v>
          </cell>
          <cell r="BQ118">
            <v>15148400</v>
          </cell>
          <cell r="BR118">
            <v>15412500</v>
          </cell>
          <cell r="BS118">
            <v>15723500</v>
          </cell>
          <cell r="BT118">
            <v>15966900</v>
          </cell>
          <cell r="BU118">
            <v>16285400</v>
          </cell>
          <cell r="BV118">
            <v>16673900</v>
          </cell>
          <cell r="BW118">
            <v>16957500</v>
          </cell>
          <cell r="BX118">
            <v>17238200</v>
          </cell>
          <cell r="BY118">
            <v>17530000</v>
          </cell>
          <cell r="BZ118">
            <v>17850500</v>
          </cell>
          <cell r="CA118">
            <v>18224700</v>
          </cell>
          <cell r="CB118">
            <v>18855300</v>
          </cell>
          <cell r="CC118">
            <v>19057249.261929471</v>
          </cell>
          <cell r="CD118">
            <v>19264257.02842582</v>
          </cell>
        </row>
        <row r="119">
          <cell r="A119" t="str">
            <v>Additions (capex)</v>
          </cell>
          <cell r="G119">
            <v>65525</v>
          </cell>
          <cell r="H119">
            <v>57385</v>
          </cell>
          <cell r="I119">
            <v>373840</v>
          </cell>
          <cell r="J119">
            <v>365700</v>
          </cell>
          <cell r="K119">
            <v>317500</v>
          </cell>
          <cell r="L119">
            <v>298100</v>
          </cell>
          <cell r="M119">
            <v>415200</v>
          </cell>
          <cell r="N119">
            <v>701900</v>
          </cell>
          <cell r="O119">
            <v>1101200</v>
          </cell>
          <cell r="P119">
            <v>841000</v>
          </cell>
          <cell r="Q119">
            <v>786500</v>
          </cell>
          <cell r="R119">
            <v>1055300</v>
          </cell>
          <cell r="S119">
            <v>989800</v>
          </cell>
          <cell r="T119">
            <v>842590.93195665313</v>
          </cell>
          <cell r="U119">
            <v>808558.77138535271</v>
          </cell>
          <cell r="V119">
            <v>784227.89278012188</v>
          </cell>
          <cell r="W119">
            <v>762542.76526425593</v>
          </cell>
          <cell r="X119">
            <v>726956.92413629347</v>
          </cell>
          <cell r="Y119">
            <v>693992.48428987374</v>
          </cell>
          <cell r="AE119">
            <v>17379</v>
          </cell>
          <cell r="AF119">
            <v>12510</v>
          </cell>
          <cell r="AG119">
            <v>15155</v>
          </cell>
          <cell r="AH119">
            <v>12341</v>
          </cell>
          <cell r="AI119">
            <v>10234</v>
          </cell>
          <cell r="AJ119">
            <v>13758</v>
          </cell>
          <cell r="AK119">
            <v>220164</v>
          </cell>
          <cell r="AL119">
            <v>129684</v>
          </cell>
          <cell r="AM119">
            <v>80000</v>
          </cell>
          <cell r="AN119">
            <v>98000</v>
          </cell>
          <cell r="AO119">
            <v>90300</v>
          </cell>
          <cell r="AP119">
            <v>97400</v>
          </cell>
          <cell r="AQ119">
            <v>55800</v>
          </cell>
          <cell r="AR119">
            <v>77500</v>
          </cell>
          <cell r="AS119">
            <v>86200</v>
          </cell>
          <cell r="AT119">
            <v>98000</v>
          </cell>
          <cell r="AU119">
            <v>62800</v>
          </cell>
          <cell r="AV119">
            <v>76700</v>
          </cell>
          <cell r="AW119">
            <v>67300</v>
          </cell>
          <cell r="AX119">
            <v>91300</v>
          </cell>
          <cell r="AY119">
            <v>60500</v>
          </cell>
          <cell r="AZ119">
            <v>98900</v>
          </cell>
          <cell r="BA119">
            <v>113300</v>
          </cell>
          <cell r="BB119">
            <v>142500</v>
          </cell>
          <cell r="BC119">
            <v>158500</v>
          </cell>
          <cell r="BD119">
            <v>171000</v>
          </cell>
          <cell r="BE119">
            <v>177000</v>
          </cell>
          <cell r="BF119">
            <v>195400</v>
          </cell>
          <cell r="BG119">
            <v>226100</v>
          </cell>
          <cell r="BH119">
            <v>276000</v>
          </cell>
          <cell r="BI119">
            <v>307300</v>
          </cell>
          <cell r="BJ119">
            <v>291800</v>
          </cell>
          <cell r="BK119">
            <v>243500</v>
          </cell>
          <cell r="BL119">
            <v>228700</v>
          </cell>
          <cell r="BM119">
            <v>193800</v>
          </cell>
          <cell r="BN119">
            <v>175000</v>
          </cell>
          <cell r="BO119">
            <v>153000</v>
          </cell>
          <cell r="BP119">
            <v>205800</v>
          </cell>
          <cell r="BQ119">
            <v>193900</v>
          </cell>
          <cell r="BR119">
            <v>233800</v>
          </cell>
          <cell r="BS119">
            <v>189300</v>
          </cell>
          <cell r="BT119">
            <v>255000</v>
          </cell>
          <cell r="BU119">
            <v>300100</v>
          </cell>
          <cell r="BV119">
            <v>310900</v>
          </cell>
          <cell r="BW119">
            <v>263800</v>
          </cell>
          <cell r="BX119">
            <v>246500</v>
          </cell>
          <cell r="BY119">
            <v>243100</v>
          </cell>
          <cell r="BZ119">
            <v>236400</v>
          </cell>
          <cell r="CA119">
            <v>243400</v>
          </cell>
          <cell r="CB119">
            <v>201949.26192947078</v>
          </cell>
          <cell r="CC119">
            <v>207007.76649635038</v>
          </cell>
          <cell r="CD119">
            <v>190233.90353083194</v>
          </cell>
        </row>
        <row r="120">
          <cell r="A120" t="str">
            <v>Retirements</v>
          </cell>
          <cell r="G120">
            <v>-7186</v>
          </cell>
          <cell r="H120">
            <v>-15975</v>
          </cell>
          <cell r="I120">
            <v>7260549</v>
          </cell>
          <cell r="J120">
            <v>-76826</v>
          </cell>
          <cell r="K120">
            <v>-67300</v>
          </cell>
          <cell r="L120">
            <v>216700</v>
          </cell>
          <cell r="M120">
            <v>853600</v>
          </cell>
          <cell r="N120">
            <v>808200</v>
          </cell>
          <cell r="O120">
            <v>-37900</v>
          </cell>
          <cell r="P120">
            <v>-41500</v>
          </cell>
          <cell r="Q120">
            <v>309600</v>
          </cell>
          <cell r="R120">
            <v>178700</v>
          </cell>
          <cell r="S120">
            <v>277400</v>
          </cell>
          <cell r="T120">
            <v>387200</v>
          </cell>
          <cell r="U120">
            <v>413328.00478765718</v>
          </cell>
          <cell r="V120">
            <v>439288.07873862423</v>
          </cell>
          <cell r="W120">
            <v>465282.76639724453</v>
          </cell>
          <cell r="X120">
            <v>491369.01450334967</v>
          </cell>
          <cell r="Y120">
            <v>517253.43528620311</v>
          </cell>
          <cell r="AE120">
            <v>-176</v>
          </cell>
          <cell r="AF120">
            <v>990</v>
          </cell>
          <cell r="AG120">
            <v>-635</v>
          </cell>
          <cell r="AH120">
            <v>-16154</v>
          </cell>
          <cell r="AI120">
            <v>1629</v>
          </cell>
          <cell r="AJ120">
            <v>-1827</v>
          </cell>
          <cell r="AK120">
            <v>-68862</v>
          </cell>
          <cell r="AL120">
            <v>4609</v>
          </cell>
          <cell r="AM120">
            <v>4274</v>
          </cell>
          <cell r="AN120">
            <v>27900</v>
          </cell>
          <cell r="AO120">
            <v>32100</v>
          </cell>
          <cell r="AP120">
            <v>-141100</v>
          </cell>
          <cell r="AQ120">
            <v>47700</v>
          </cell>
          <cell r="AR120">
            <v>29400</v>
          </cell>
          <cell r="AS120">
            <v>45500</v>
          </cell>
          <cell r="AT120">
            <v>-189900</v>
          </cell>
          <cell r="AU120">
            <v>87600</v>
          </cell>
          <cell r="AV120">
            <v>100100</v>
          </cell>
          <cell r="AW120">
            <v>97300</v>
          </cell>
          <cell r="AX120">
            <v>-68300</v>
          </cell>
          <cell r="AY120">
            <v>425000</v>
          </cell>
          <cell r="AZ120">
            <v>504700</v>
          </cell>
          <cell r="BA120">
            <v>152300</v>
          </cell>
          <cell r="BB120">
            <v>-228400</v>
          </cell>
          <cell r="BC120">
            <v>139100</v>
          </cell>
          <cell r="BD120">
            <v>130900</v>
          </cell>
          <cell r="BE120">
            <v>128900</v>
          </cell>
          <cell r="BF120">
            <v>409300</v>
          </cell>
          <cell r="BG120">
            <v>95000</v>
          </cell>
          <cell r="BH120">
            <v>85300</v>
          </cell>
          <cell r="BI120">
            <v>84200</v>
          </cell>
          <cell r="BJ120">
            <v>-302400</v>
          </cell>
          <cell r="BK120">
            <v>81300</v>
          </cell>
          <cell r="BL120">
            <v>80700</v>
          </cell>
          <cell r="BM120">
            <v>90000</v>
          </cell>
          <cell r="BN120">
            <v>-293500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row>
        <row r="121">
          <cell r="A121" t="str">
            <v>Acquisitions and Other (Sales)</v>
          </cell>
          <cell r="G121">
            <v>0</v>
          </cell>
          <cell r="H121">
            <v>0</v>
          </cell>
          <cell r="I121">
            <v>0</v>
          </cell>
          <cell r="J121">
            <v>207500</v>
          </cell>
          <cell r="K121">
            <v>0</v>
          </cell>
          <cell r="L121">
            <v>0</v>
          </cell>
          <cell r="M121">
            <v>0</v>
          </cell>
          <cell r="N121">
            <v>0</v>
          </cell>
          <cell r="O121">
            <v>0</v>
          </cell>
          <cell r="P121">
            <v>0</v>
          </cell>
          <cell r="Q121">
            <v>0</v>
          </cell>
          <cell r="R121">
            <v>178700</v>
          </cell>
          <cell r="S121">
            <v>277400</v>
          </cell>
          <cell r="T121">
            <v>694799.99999999627</v>
          </cell>
          <cell r="U121">
            <v>756290.59412467282</v>
          </cell>
          <cell r="V121">
            <v>816960.34858352237</v>
          </cell>
          <cell r="W121">
            <v>879147.9534428257</v>
          </cell>
          <cell r="X121">
            <v>942980.89086903085</v>
          </cell>
          <cell r="Y121">
            <v>1008552.5227914588</v>
          </cell>
          <cell r="AE121">
            <v>0</v>
          </cell>
          <cell r="AF121">
            <v>0</v>
          </cell>
          <cell r="AG121">
            <v>0</v>
          </cell>
          <cell r="AH121">
            <v>0</v>
          </cell>
          <cell r="AI121">
            <v>0</v>
          </cell>
          <cell r="AJ121">
            <v>0</v>
          </cell>
          <cell r="AK121">
            <v>7325000</v>
          </cell>
          <cell r="AL121">
            <v>0</v>
          </cell>
          <cell r="AM121">
            <v>0</v>
          </cell>
          <cell r="AN121">
            <v>0</v>
          </cell>
          <cell r="AO121">
            <v>207500</v>
          </cell>
          <cell r="AP121">
            <v>0</v>
          </cell>
          <cell r="AQ121">
            <v>0</v>
          </cell>
          <cell r="AR121">
            <v>29400</v>
          </cell>
          <cell r="AS121">
            <v>45500</v>
          </cell>
          <cell r="AT121">
            <v>-189900</v>
          </cell>
          <cell r="AU121">
            <v>87600</v>
          </cell>
          <cell r="AV121">
            <v>100100</v>
          </cell>
          <cell r="AW121">
            <v>97300</v>
          </cell>
          <cell r="AX121">
            <v>-68300</v>
          </cell>
          <cell r="AY121">
            <v>425000</v>
          </cell>
          <cell r="AZ121">
            <v>504700</v>
          </cell>
          <cell r="BA121">
            <v>152300</v>
          </cell>
          <cell r="BB121">
            <v>-228400</v>
          </cell>
          <cell r="BC121">
            <v>139100</v>
          </cell>
          <cell r="BD121">
            <v>130900</v>
          </cell>
          <cell r="BE121">
            <v>128900</v>
          </cell>
          <cell r="BF121">
            <v>409300</v>
          </cell>
          <cell r="BG121">
            <v>95000</v>
          </cell>
          <cell r="BH121">
            <v>85300</v>
          </cell>
          <cell r="BI121">
            <v>84200</v>
          </cell>
          <cell r="BJ121">
            <v>-302400</v>
          </cell>
          <cell r="BK121">
            <v>81300</v>
          </cell>
          <cell r="BL121">
            <v>80700</v>
          </cell>
          <cell r="BM121">
            <v>90000</v>
          </cell>
          <cell r="BN121">
            <v>-293500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row>
        <row r="122">
          <cell r="A122" t="str">
            <v>Ending Gross PP&amp;E</v>
          </cell>
          <cell r="F122">
            <v>990188</v>
          </cell>
          <cell r="G122">
            <v>0</v>
          </cell>
          <cell r="H122">
            <v>0</v>
          </cell>
          <cell r="I122">
            <v>0</v>
          </cell>
          <cell r="J122">
            <v>207500</v>
          </cell>
          <cell r="K122">
            <v>0</v>
          </cell>
          <cell r="L122">
            <v>0</v>
          </cell>
          <cell r="M122">
            <v>0</v>
          </cell>
          <cell r="N122">
            <v>0</v>
          </cell>
          <cell r="O122">
            <v>0</v>
          </cell>
          <cell r="P122">
            <v>0</v>
          </cell>
          <cell r="Q122">
            <v>0</v>
          </cell>
          <cell r="R122">
            <v>16957500</v>
          </cell>
          <cell r="S122">
            <v>18224700</v>
          </cell>
          <cell r="T122">
            <v>19454490.931956653</v>
          </cell>
          <cell r="U122">
            <v>20676377.708129663</v>
          </cell>
          <cell r="V122">
            <v>21899893.679648407</v>
          </cell>
          <cell r="W122">
            <v>23127719.21130991</v>
          </cell>
          <cell r="X122">
            <v>24346045.149949551</v>
          </cell>
          <cell r="Y122">
            <v>25557291.069525626</v>
          </cell>
          <cell r="AD122">
            <v>1048527</v>
          </cell>
          <cell r="AE122">
            <v>0</v>
          </cell>
          <cell r="AF122">
            <v>0</v>
          </cell>
          <cell r="AG122">
            <v>0</v>
          </cell>
          <cell r="AH122">
            <v>0</v>
          </cell>
          <cell r="AI122">
            <v>0</v>
          </cell>
          <cell r="AJ122">
            <v>0</v>
          </cell>
          <cell r="AK122">
            <v>7325000</v>
          </cell>
          <cell r="AL122">
            <v>0</v>
          </cell>
          <cell r="AM122">
            <v>0</v>
          </cell>
          <cell r="AN122">
            <v>0</v>
          </cell>
          <cell r="AO122">
            <v>207500</v>
          </cell>
          <cell r="AP122">
            <v>0</v>
          </cell>
          <cell r="AQ122">
            <v>0</v>
          </cell>
          <cell r="AR122">
            <v>9431100</v>
          </cell>
          <cell r="AS122">
            <v>9562800</v>
          </cell>
          <cell r="AT122">
            <v>9470900</v>
          </cell>
          <cell r="AU122">
            <v>9621300</v>
          </cell>
          <cell r="AV122">
            <v>9798100</v>
          </cell>
          <cell r="AW122">
            <v>9962700</v>
          </cell>
          <cell r="AX122">
            <v>9985700</v>
          </cell>
          <cell r="AY122">
            <v>10471200</v>
          </cell>
          <cell r="AZ122">
            <v>11074800</v>
          </cell>
          <cell r="BA122">
            <v>11340400</v>
          </cell>
          <cell r="BB122">
            <v>11254500</v>
          </cell>
          <cell r="BC122">
            <v>11552100</v>
          </cell>
          <cell r="BD122">
            <v>11854000</v>
          </cell>
          <cell r="BE122">
            <v>12159900</v>
          </cell>
          <cell r="BF122">
            <v>12764600</v>
          </cell>
          <cell r="BG122">
            <v>13085700</v>
          </cell>
          <cell r="BH122">
            <v>13447000</v>
          </cell>
          <cell r="BI122">
            <v>13838500</v>
          </cell>
          <cell r="BJ122">
            <v>13827900</v>
          </cell>
          <cell r="BK122">
            <v>14152700</v>
          </cell>
          <cell r="BL122">
            <v>14462100</v>
          </cell>
          <cell r="BM122">
            <v>14745900</v>
          </cell>
          <cell r="BN122">
            <v>14627400</v>
          </cell>
          <cell r="BO122">
            <v>14873800</v>
          </cell>
          <cell r="BP122">
            <v>15148400</v>
          </cell>
          <cell r="BQ122">
            <v>15412500</v>
          </cell>
          <cell r="BR122">
            <v>15723500</v>
          </cell>
          <cell r="BS122">
            <v>15966900</v>
          </cell>
          <cell r="BT122">
            <v>16285400</v>
          </cell>
          <cell r="BU122">
            <v>16673900</v>
          </cell>
          <cell r="BV122">
            <v>16957500</v>
          </cell>
          <cell r="BW122">
            <v>17238200</v>
          </cell>
          <cell r="BX122">
            <v>17530000</v>
          </cell>
          <cell r="BY122">
            <v>17850500</v>
          </cell>
          <cell r="BZ122">
            <v>18224700</v>
          </cell>
          <cell r="CA122">
            <v>18855300</v>
          </cell>
          <cell r="CB122">
            <v>19057249.261929471</v>
          </cell>
          <cell r="CC122">
            <v>227000</v>
          </cell>
          <cell r="CD122">
            <v>19454490.931956653</v>
          </cell>
        </row>
        <row r="123">
          <cell r="A123" t="str">
            <v>Average Gross PP&amp;E</v>
          </cell>
          <cell r="F123">
            <v>990188</v>
          </cell>
          <cell r="G123">
            <v>1019357.5</v>
          </cell>
          <cell r="H123">
            <v>1069232</v>
          </cell>
          <cell r="I123">
            <v>4907131.5</v>
          </cell>
          <cell r="J123">
            <v>8972513</v>
          </cell>
          <cell r="K123">
            <v>9345800</v>
          </cell>
          <cell r="L123">
            <v>9728300</v>
          </cell>
          <cell r="M123">
            <v>10620100</v>
          </cell>
          <cell r="N123">
            <v>12009550</v>
          </cell>
          <cell r="O123">
            <v>13296250</v>
          </cell>
          <cell r="P123">
            <v>14227650</v>
          </cell>
          <cell r="Q123">
            <v>15175450</v>
          </cell>
          <cell r="R123">
            <v>16340500</v>
          </cell>
          <cell r="S123">
            <v>17591100</v>
          </cell>
          <cell r="T123">
            <v>18839595.465978324</v>
          </cell>
          <cell r="U123">
            <v>20065434.320043158</v>
          </cell>
          <cell r="V123">
            <v>21288135.693889037</v>
          </cell>
          <cell r="W123">
            <v>22513806.445479158</v>
          </cell>
          <cell r="X123">
            <v>23736882.18062973</v>
          </cell>
          <cell r="Y123">
            <v>24951668.10973759</v>
          </cell>
          <cell r="AD123">
            <v>1048527</v>
          </cell>
          <cell r="AE123">
            <v>1057128.5</v>
          </cell>
          <cell r="AF123">
            <v>1072480</v>
          </cell>
          <cell r="AG123">
            <v>1086490</v>
          </cell>
          <cell r="AH123">
            <v>1091843.5</v>
          </cell>
          <cell r="AI123">
            <v>1095868.5</v>
          </cell>
          <cell r="AJ123">
            <v>1107765.5</v>
          </cell>
          <cell r="AK123">
            <v>8590033</v>
          </cell>
          <cell r="AL123">
            <v>8657179.5</v>
          </cell>
          <cell r="AM123">
            <v>8766463</v>
          </cell>
          <cell r="AN123">
            <v>8871550</v>
          </cell>
          <cell r="AO123">
            <v>9099450</v>
          </cell>
          <cell r="AP123">
            <v>9242550</v>
          </cell>
          <cell r="AQ123">
            <v>9272450</v>
          </cell>
          <cell r="AR123">
            <v>9377650</v>
          </cell>
          <cell r="AS123">
            <v>9496950</v>
          </cell>
          <cell r="AT123">
            <v>9516850</v>
          </cell>
          <cell r="AU123">
            <v>9546100</v>
          </cell>
          <cell r="AV123">
            <v>9709700</v>
          </cell>
          <cell r="AW123">
            <v>9880400</v>
          </cell>
          <cell r="AX123">
            <v>9974200</v>
          </cell>
          <cell r="AY123">
            <v>10228450</v>
          </cell>
          <cell r="AZ123">
            <v>10773000</v>
          </cell>
          <cell r="BA123">
            <v>11207600</v>
          </cell>
          <cell r="BB123">
            <v>11297450</v>
          </cell>
          <cell r="BC123">
            <v>11403300</v>
          </cell>
          <cell r="BD123">
            <v>11703050</v>
          </cell>
          <cell r="BE123">
            <v>12006950</v>
          </cell>
          <cell r="BF123">
            <v>12462250</v>
          </cell>
          <cell r="BG123">
            <v>12925150</v>
          </cell>
          <cell r="BH123">
            <v>13266350</v>
          </cell>
          <cell r="BI123">
            <v>13642750</v>
          </cell>
          <cell r="BJ123">
            <v>13833200</v>
          </cell>
          <cell r="BK123">
            <v>13990300</v>
          </cell>
          <cell r="BL123">
            <v>14307400</v>
          </cell>
          <cell r="BM123">
            <v>14604000</v>
          </cell>
          <cell r="BN123">
            <v>14686650</v>
          </cell>
          <cell r="BO123">
            <v>14750600</v>
          </cell>
          <cell r="BP123">
            <v>15011100</v>
          </cell>
          <cell r="BQ123">
            <v>15280450</v>
          </cell>
          <cell r="BR123">
            <v>15568000</v>
          </cell>
          <cell r="BS123">
            <v>15845200</v>
          </cell>
          <cell r="BT123">
            <v>16126150</v>
          </cell>
          <cell r="BU123">
            <v>16479650</v>
          </cell>
          <cell r="BV123">
            <v>16815700</v>
          </cell>
          <cell r="BW123">
            <v>17097850</v>
          </cell>
          <cell r="BX123">
            <v>17384100</v>
          </cell>
          <cell r="BY123">
            <v>17690250</v>
          </cell>
          <cell r="BZ123">
            <v>18037600</v>
          </cell>
          <cell r="CA123">
            <v>18540000</v>
          </cell>
          <cell r="CB123">
            <v>18956274.630964734</v>
          </cell>
          <cell r="CC123">
            <v>19160753.145177647</v>
          </cell>
          <cell r="CD123">
            <v>19359373.980191238</v>
          </cell>
        </row>
        <row r="124">
          <cell r="A124" t="str">
            <v>Average Gross PP&amp;E</v>
          </cell>
          <cell r="G124">
            <v>1019357.5</v>
          </cell>
          <cell r="H124">
            <v>1069232</v>
          </cell>
          <cell r="I124">
            <v>4907131.5</v>
          </cell>
          <cell r="J124">
            <v>8972513</v>
          </cell>
          <cell r="K124">
            <v>9345800</v>
          </cell>
          <cell r="L124">
            <v>9728300</v>
          </cell>
          <cell r="M124">
            <v>10620100</v>
          </cell>
          <cell r="N124">
            <v>12009550</v>
          </cell>
          <cell r="O124">
            <v>13296250</v>
          </cell>
          <cell r="P124">
            <v>14227650</v>
          </cell>
          <cell r="Q124">
            <v>15175450</v>
          </cell>
          <cell r="R124">
            <v>16340500</v>
          </cell>
          <cell r="S124">
            <v>17591100</v>
          </cell>
          <cell r="T124">
            <v>19031153.390000001</v>
          </cell>
          <cell r="U124">
            <v>20633294.801075272</v>
          </cell>
          <cell r="V124">
            <v>22244577.556087904</v>
          </cell>
          <cell r="W124">
            <v>23897345.674244724</v>
          </cell>
          <cell r="X124">
            <v>25594495.541118678</v>
          </cell>
          <cell r="Y124">
            <v>27338552.126645818</v>
          </cell>
          <cell r="AE124">
            <v>1057128.5</v>
          </cell>
          <cell r="AF124">
            <v>1072480</v>
          </cell>
          <cell r="AG124">
            <v>1086490</v>
          </cell>
          <cell r="AH124">
            <v>1091843.5</v>
          </cell>
          <cell r="AI124">
            <v>1095868.5</v>
          </cell>
          <cell r="AJ124">
            <v>1107765.5</v>
          </cell>
          <cell r="AK124">
            <v>8590033</v>
          </cell>
          <cell r="AL124">
            <v>8657179.5</v>
          </cell>
          <cell r="AM124">
            <v>8766463</v>
          </cell>
          <cell r="AN124">
            <v>8871550</v>
          </cell>
          <cell r="AO124">
            <v>9099450</v>
          </cell>
          <cell r="AP124">
            <v>9242550</v>
          </cell>
          <cell r="AQ124">
            <v>9272450</v>
          </cell>
          <cell r="AR124">
            <v>9377650</v>
          </cell>
          <cell r="AS124">
            <v>9496950</v>
          </cell>
          <cell r="AT124">
            <v>9516850</v>
          </cell>
          <cell r="AU124">
            <v>9546100</v>
          </cell>
          <cell r="AV124">
            <v>9709700</v>
          </cell>
          <cell r="AW124">
            <v>9880400</v>
          </cell>
          <cell r="AX124">
            <v>9974200</v>
          </cell>
          <cell r="AY124">
            <v>10228450</v>
          </cell>
          <cell r="AZ124">
            <v>10773000</v>
          </cell>
          <cell r="BA124">
            <v>11207600</v>
          </cell>
          <cell r="BB124">
            <v>11297450</v>
          </cell>
          <cell r="BC124">
            <v>11403300</v>
          </cell>
          <cell r="BD124">
            <v>11703050</v>
          </cell>
          <cell r="BE124">
            <v>12006950</v>
          </cell>
          <cell r="BF124">
            <v>12462250</v>
          </cell>
          <cell r="BG124">
            <v>12925150</v>
          </cell>
          <cell r="BH124">
            <v>13266350</v>
          </cell>
          <cell r="BI124">
            <v>13642750</v>
          </cell>
          <cell r="BJ124">
            <v>13833200</v>
          </cell>
          <cell r="BK124">
            <v>13990300</v>
          </cell>
          <cell r="BL124">
            <v>14307400</v>
          </cell>
          <cell r="BM124">
            <v>14604000</v>
          </cell>
          <cell r="BN124">
            <v>14686650</v>
          </cell>
          <cell r="BO124">
            <v>14750600</v>
          </cell>
          <cell r="BP124">
            <v>15011100</v>
          </cell>
          <cell r="BQ124">
            <v>15280450</v>
          </cell>
          <cell r="BR124">
            <v>15568000</v>
          </cell>
          <cell r="BS124">
            <v>15845200</v>
          </cell>
          <cell r="BT124">
            <v>16126150</v>
          </cell>
          <cell r="BU124">
            <v>16479650</v>
          </cell>
          <cell r="BV124">
            <v>16815700</v>
          </cell>
          <cell r="BW124">
            <v>17097850</v>
          </cell>
          <cell r="BX124">
            <v>17384100</v>
          </cell>
          <cell r="BY124">
            <v>17690250</v>
          </cell>
          <cell r="BZ124">
            <v>18037600</v>
          </cell>
          <cell r="CA124">
            <v>18540000</v>
          </cell>
          <cell r="CB124">
            <v>19027800</v>
          </cell>
          <cell r="CC124">
            <v>19420007.313333333</v>
          </cell>
          <cell r="CD124">
            <v>19738660.703333333</v>
          </cell>
        </row>
        <row r="125">
          <cell r="A125" t="str">
            <v>Additions as % Average Gross PP&amp;E</v>
          </cell>
          <cell r="G125">
            <v>6.4280686608966922E-2</v>
          </cell>
          <cell r="H125">
            <v>5.3669362682747988E-2</v>
          </cell>
          <cell r="I125">
            <v>7.6183000190640907E-2</v>
          </cell>
          <cell r="J125">
            <v>4.0757812220500546E-2</v>
          </cell>
          <cell r="K125">
            <v>3.397247961651223E-2</v>
          </cell>
          <cell r="L125">
            <v>3.0642558309262668E-2</v>
          </cell>
          <cell r="M125">
            <v>3.9095677065187712E-2</v>
          </cell>
          <cell r="N125">
            <v>5.8445154064890023E-2</v>
          </cell>
          <cell r="O125">
            <v>8.2820344081977998E-2</v>
          </cell>
          <cell r="P125">
            <v>5.9110253625862315E-2</v>
          </cell>
          <cell r="Q125">
            <v>5.1827128684816592E-2</v>
          </cell>
          <cell r="R125">
            <v>6.4581867139928403E-2</v>
          </cell>
          <cell r="S125">
            <v>5.6267089607813042E-2</v>
          </cell>
          <cell r="T125">
            <v>4.4724470516272735E-2</v>
          </cell>
          <cell r="U125">
            <v>4.0296101170244375E-2</v>
          </cell>
          <cell r="V125">
            <v>3.6838730457981909E-2</v>
          </cell>
          <cell r="W125">
            <v>3.3870006260863846E-2</v>
          </cell>
          <cell r="X125">
            <v>3.0625628024961094E-2</v>
          </cell>
          <cell r="Y125">
            <v>2.7813470475708899E-2</v>
          </cell>
          <cell r="AE125">
            <v>1.6439817865093978E-2</v>
          </cell>
          <cell r="AF125">
            <v>1.1664553185140982E-2</v>
          </cell>
          <cell r="AG125">
            <v>1.3948586733425987E-2</v>
          </cell>
          <cell r="AH125">
            <v>1.1302901926878715E-2</v>
          </cell>
          <cell r="AI125">
            <v>9.3387117158673684E-3</v>
          </cell>
          <cell r="AJ125">
            <v>1.2419596024609902E-2</v>
          </cell>
          <cell r="AK125">
            <v>2.5630169290385731E-2</v>
          </cell>
          <cell r="AL125">
            <v>1.4979936594822829E-2</v>
          </cell>
          <cell r="AM125">
            <v>9.1256872925831092E-3</v>
          </cell>
          <cell r="AN125">
            <v>1.1046547672052797E-2</v>
          </cell>
          <cell r="AO125">
            <v>9.9236767057349629E-3</v>
          </cell>
          <cell r="AP125">
            <v>1.0538217266879811E-2</v>
          </cell>
          <cell r="AQ125">
            <v>6.0178270036505997E-3</v>
          </cell>
          <cell r="AR125">
            <v>8.2643306158792455E-3</v>
          </cell>
          <cell r="AS125">
            <v>9.0765982762887037E-3</v>
          </cell>
          <cell r="AT125">
            <v>1.0297524916332609E-2</v>
          </cell>
          <cell r="AU125">
            <v>6.5786027801929582E-3</v>
          </cell>
          <cell r="AV125">
            <v>7.8993171776676925E-3</v>
          </cell>
          <cell r="AW125">
            <v>6.8114651228695193E-3</v>
          </cell>
          <cell r="AX125">
            <v>9.1536163301317395E-3</v>
          </cell>
          <cell r="AY125">
            <v>5.9148746877581643E-3</v>
          </cell>
          <cell r="AZ125">
            <v>9.1803583031653205E-3</v>
          </cell>
          <cell r="BA125">
            <v>1.0109211606409936E-2</v>
          </cell>
          <cell r="BB125">
            <v>1.2613465870616821E-2</v>
          </cell>
          <cell r="BC125">
            <v>1.3899485236729719E-2</v>
          </cell>
          <cell r="BD125">
            <v>1.4611575614903807E-2</v>
          </cell>
          <cell r="BE125">
            <v>1.4741462236454721E-2</v>
          </cell>
          <cell r="BF125">
            <v>1.5679351641958716E-2</v>
          </cell>
          <cell r="BG125">
            <v>1.7493027160226382E-2</v>
          </cell>
          <cell r="BH125">
            <v>2.0804516690725031E-2</v>
          </cell>
          <cell r="BI125">
            <v>2.2524784226054133E-2</v>
          </cell>
          <cell r="BJ125">
            <v>2.1094179221004539E-2</v>
          </cell>
          <cell r="BK125">
            <v>1.7404916263411077E-2</v>
          </cell>
          <cell r="BL125">
            <v>1.598473517200889E-2</v>
          </cell>
          <cell r="BM125">
            <v>1.3270336894001644E-2</v>
          </cell>
          <cell r="BN125">
            <v>1.1915583199708578E-2</v>
          </cell>
          <cell r="BO125">
            <v>1.0372459425379307E-2</v>
          </cell>
          <cell r="BP125">
            <v>1.3709854707516438E-2</v>
          </cell>
          <cell r="BQ125">
            <v>1.2689416869267594E-2</v>
          </cell>
          <cell r="BR125">
            <v>1.5017985611510791E-2</v>
          </cell>
          <cell r="BS125">
            <v>1.1946835634766364E-2</v>
          </cell>
          <cell r="BT125">
            <v>1.5812825751961877E-2</v>
          </cell>
          <cell r="BU125">
            <v>1.8210338204998285E-2</v>
          </cell>
          <cell r="BV125">
            <v>1.8488674274636203E-2</v>
          </cell>
          <cell r="BW125">
            <v>1.5428840468246007E-2</v>
          </cell>
          <cell r="BX125">
            <v>1.4179623909204388E-2</v>
          </cell>
          <cell r="BY125">
            <v>1.3742033040799311E-2</v>
          </cell>
          <cell r="BZ125">
            <v>1.3105956446533907E-2</v>
          </cell>
          <cell r="CA125">
            <v>1.3128371089536139E-2</v>
          </cell>
          <cell r="CB125">
            <v>1.0653425626129635E-2</v>
          </cell>
          <cell r="CC125">
            <v>1.0803738502755556E-2</v>
          </cell>
          <cell r="CD125">
            <v>9.826449126169149E-3</v>
          </cell>
        </row>
        <row r="126">
          <cell r="A126" t="str">
            <v>Retirements as % Beg. Gross PP&amp;E</v>
          </cell>
          <cell r="G126">
            <v>-7.2572077221699314E-3</v>
          </cell>
          <cell r="H126">
            <v>-1.5235659167575084E-2</v>
          </cell>
          <cell r="I126">
            <v>6.6614391474002623</v>
          </cell>
          <cell r="J126">
            <v>-8.8059524598232582E-3</v>
          </cell>
          <cell r="K126">
            <v>-7.2987951023241182E-3</v>
          </cell>
          <cell r="L126">
            <v>2.2880613246893115E-2</v>
          </cell>
          <cell r="M126">
            <v>8.5482239602631765E-2</v>
          </cell>
          <cell r="N126">
            <v>7.181127548980408E-2</v>
          </cell>
          <cell r="O126">
            <v>-2.9691490528492865E-3</v>
          </cell>
          <cell r="P126">
            <v>-3.0011787762422347E-3</v>
          </cell>
          <cell r="Q126">
            <v>2.1165757414167933E-2</v>
          </cell>
          <cell r="R126">
            <v>1.1365154068750596E-2</v>
          </cell>
          <cell r="S126">
            <v>1.6358543417366946E-2</v>
          </cell>
          <cell r="T126">
            <v>2.1245891564744549E-2</v>
          </cell>
          <cell r="U126">
            <v>2.1245891564744549E-2</v>
          </cell>
          <cell r="V126">
            <v>2.1245891564744549E-2</v>
          </cell>
          <cell r="W126">
            <v>2.1245891564744549E-2</v>
          </cell>
          <cell r="X126">
            <v>2.1245891564744549E-2</v>
          </cell>
          <cell r="Y126">
            <v>2.1245891564744549E-2</v>
          </cell>
          <cell r="AE126">
            <v>-1.6785452353635147E-4</v>
          </cell>
          <cell r="AF126">
            <v>9.2894072607508467E-4</v>
          </cell>
          <cell r="AG126">
            <v>-5.8838245786347677E-4</v>
          </cell>
          <cell r="AH126">
            <v>-1.4769371428571428E-2</v>
          </cell>
          <cell r="AI126">
            <v>1.4945817969295473E-3</v>
          </cell>
          <cell r="AJ126">
            <v>-1.6581956797966963E-3</v>
          </cell>
          <cell r="AK126">
            <v>-6.1830011017022964E-2</v>
          </cell>
          <cell r="AL126">
            <v>5.3655207145304328E-4</v>
          </cell>
          <cell r="AM126">
            <v>4.8989457752954214E-4</v>
          </cell>
          <cell r="AN126">
            <v>3.1673591717185476E-3</v>
          </cell>
          <cell r="AO126">
            <v>3.592814371257485E-3</v>
          </cell>
          <cell r="AP126">
            <v>-1.5230344112948491E-2</v>
          </cell>
          <cell r="AQ126">
            <v>5.1731430368627115E-3</v>
          </cell>
          <cell r="AR126">
            <v>3.1530855194011284E-3</v>
          </cell>
          <cell r="AS126">
            <v>4.824463742299414E-3</v>
          </cell>
          <cell r="AT126">
            <v>-1.9858200527042288E-2</v>
          </cell>
          <cell r="AU126">
            <v>9.249384958134918E-3</v>
          </cell>
          <cell r="AV126">
            <v>1.0403999459532496E-2</v>
          </cell>
          <cell r="AW126">
            <v>9.9304967289576551E-3</v>
          </cell>
          <cell r="AX126">
            <v>-6.855571280877674E-3</v>
          </cell>
          <cell r="AY126">
            <v>4.2560862032706773E-2</v>
          </cell>
          <cell r="AZ126">
            <v>4.819886927954771E-2</v>
          </cell>
          <cell r="BA126">
            <v>1.3751941344313215E-2</v>
          </cell>
          <cell r="BB126">
            <v>-2.0140383055271421E-2</v>
          </cell>
          <cell r="BC126">
            <v>1.2359500644186771E-2</v>
          </cell>
          <cell r="BD126">
            <v>1.1331273101860268E-2</v>
          </cell>
          <cell r="BE126">
            <v>1.0873966593554918E-2</v>
          </cell>
          <cell r="BF126">
            <v>3.3659816281383891E-2</v>
          </cell>
          <cell r="BG126">
            <v>7.4424580480391082E-3</v>
          </cell>
          <cell r="BH126">
            <v>6.5185660683035676E-3</v>
          </cell>
          <cell r="BI126">
            <v>6.2616196921246375E-3</v>
          </cell>
          <cell r="BJ126">
            <v>-2.1852079343859521E-2</v>
          </cell>
          <cell r="BK126">
            <v>5.8794176989998481E-3</v>
          </cell>
          <cell r="BL126">
            <v>5.7020921802906866E-3</v>
          </cell>
          <cell r="BM126">
            <v>6.2231626112390316E-3</v>
          </cell>
          <cell r="BN126">
            <v>-1.9903837676913581E-2</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row>
        <row r="127">
          <cell r="A127" t="str">
            <v>Retirements as % Beg. Gross PP&amp;E</v>
          </cell>
          <cell r="G127">
            <v>-7.2572077221699314E-3</v>
          </cell>
          <cell r="H127">
            <v>-1.5235659167575084E-2</v>
          </cell>
          <cell r="I127">
            <v>6.6614391474002623</v>
          </cell>
          <cell r="J127">
            <v>-8.8059524598232582E-3</v>
          </cell>
          <cell r="K127">
            <v>-7.2987951023241182E-3</v>
          </cell>
          <cell r="L127">
            <v>2.2880613246893115E-2</v>
          </cell>
          <cell r="M127">
            <v>8.5482239602631765E-2</v>
          </cell>
          <cell r="N127">
            <v>7.181127548980408E-2</v>
          </cell>
          <cell r="O127">
            <v>-2.9691490528492865E-3</v>
          </cell>
          <cell r="P127">
            <v>-3.0011787762422347E-3</v>
          </cell>
          <cell r="Q127">
            <v>2.1165757414167933E-2</v>
          </cell>
          <cell r="R127">
            <v>1.1365154068750596E-2</v>
          </cell>
          <cell r="S127">
            <v>1.6358543417366946E-2</v>
          </cell>
          <cell r="T127">
            <v>3.8124084347067239E-2</v>
          </cell>
          <cell r="U127">
            <v>3.8124084347067239E-2</v>
          </cell>
          <cell r="V127">
            <v>3.8124084347067239E-2</v>
          </cell>
          <cell r="W127">
            <v>3.8124084347067239E-2</v>
          </cell>
          <cell r="X127">
            <v>3.8124084347067239E-2</v>
          </cell>
          <cell r="Y127">
            <v>3.8124084347067239E-2</v>
          </cell>
          <cell r="AE127">
            <v>-1.6785452353635147E-4</v>
          </cell>
          <cell r="AF127">
            <v>9.2894072607508467E-4</v>
          </cell>
          <cell r="AG127">
            <v>-5.8838245786347677E-4</v>
          </cell>
          <cell r="AH127">
            <v>-1.4769371428571428E-2</v>
          </cell>
          <cell r="AI127">
            <v>1.4945817969295473E-3</v>
          </cell>
          <cell r="AJ127">
            <v>-1.6581956797966963E-3</v>
          </cell>
          <cell r="AK127">
            <v>-6.1830011017022964E-2</v>
          </cell>
          <cell r="AL127">
            <v>5.3655207145304328E-4</v>
          </cell>
          <cell r="AM127">
            <v>4.8989457752954214E-4</v>
          </cell>
          <cell r="AN127">
            <v>3.1673591717185476E-3</v>
          </cell>
          <cell r="AO127">
            <v>3.592814371257485E-3</v>
          </cell>
          <cell r="AP127">
            <v>-1.5230344112948491E-2</v>
          </cell>
          <cell r="AQ127">
            <v>5.1731430368627115E-3</v>
          </cell>
          <cell r="AR127">
            <v>3.1530855194011284E-3</v>
          </cell>
          <cell r="AS127">
            <v>4.824463742299414E-3</v>
          </cell>
          <cell r="AT127">
            <v>-1.9858200527042288E-2</v>
          </cell>
          <cell r="AU127">
            <v>9.249384958134918E-3</v>
          </cell>
          <cell r="AV127">
            <v>1.0403999459532496E-2</v>
          </cell>
          <cell r="AW127">
            <v>9.9304967289576551E-3</v>
          </cell>
          <cell r="AX127">
            <v>-6.855571280877674E-3</v>
          </cell>
          <cell r="AY127">
            <v>4.2560862032706773E-2</v>
          </cell>
          <cell r="AZ127">
            <v>4.819886927954771E-2</v>
          </cell>
          <cell r="BA127">
            <v>1.3751941344313215E-2</v>
          </cell>
          <cell r="BB127">
            <v>-2.0140383055271421E-2</v>
          </cell>
          <cell r="BC127">
            <v>1.2359500644186771E-2</v>
          </cell>
          <cell r="BD127">
            <v>1.1331273101860268E-2</v>
          </cell>
          <cell r="BE127">
            <v>1.0873966593554918E-2</v>
          </cell>
          <cell r="BF127">
            <v>3.3659816281383891E-2</v>
          </cell>
          <cell r="BG127">
            <v>7.4424580480391082E-3</v>
          </cell>
          <cell r="BH127">
            <v>6.5185660683035676E-3</v>
          </cell>
          <cell r="BI127">
            <v>6.2616196921246375E-3</v>
          </cell>
          <cell r="BJ127">
            <v>-2.1852079343859521E-2</v>
          </cell>
          <cell r="BK127">
            <v>5.8794176989998481E-3</v>
          </cell>
          <cell r="BL127">
            <v>5.7020921802906866E-3</v>
          </cell>
          <cell r="BM127">
            <v>6.2231626112390316E-3</v>
          </cell>
          <cell r="BN127">
            <v>-1.9903837676913581E-2</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row>
        <row r="128">
          <cell r="A128" t="str">
            <v>Beginning Acc. Depreciation</v>
          </cell>
          <cell r="G128">
            <v>220618</v>
          </cell>
          <cell r="H128">
            <v>298543</v>
          </cell>
          <cell r="I128">
            <v>372408</v>
          </cell>
          <cell r="J128">
            <v>4784585</v>
          </cell>
          <cell r="K128">
            <v>5178400</v>
          </cell>
          <cell r="L128">
            <v>5573800</v>
          </cell>
          <cell r="M128">
            <v>5993100</v>
          </cell>
          <cell r="N128">
            <v>6481800</v>
          </cell>
          <cell r="O128">
            <v>7055400</v>
          </cell>
          <cell r="P128">
            <v>7965200</v>
          </cell>
          <cell r="Q128">
            <v>8924800</v>
          </cell>
          <cell r="R128">
            <v>10311200</v>
          </cell>
          <cell r="S128">
            <v>11677700</v>
          </cell>
          <cell r="T128">
            <v>12941200</v>
          </cell>
          <cell r="U128">
            <v>14306596.671243159</v>
          </cell>
          <cell r="V128">
            <v>15974014.321033513</v>
          </cell>
          <cell r="W128">
            <v>17595976.604988195</v>
          </cell>
          <cell r="X128">
            <v>19186949.693659399</v>
          </cell>
          <cell r="Y128">
            <v>20757267.89819137</v>
          </cell>
          <cell r="AE128">
            <v>298543</v>
          </cell>
          <cell r="AF128">
            <v>320574</v>
          </cell>
          <cell r="AG128">
            <v>344084</v>
          </cell>
          <cell r="AH128">
            <v>366435</v>
          </cell>
          <cell r="AI128">
            <v>372408</v>
          </cell>
          <cell r="AJ128">
            <v>394222</v>
          </cell>
          <cell r="AK128">
            <v>415559</v>
          </cell>
          <cell r="AL128">
            <v>4699665</v>
          </cell>
          <cell r="AM128">
            <v>4784585</v>
          </cell>
          <cell r="AN128">
            <v>4891300</v>
          </cell>
          <cell r="AO128">
            <v>5040800</v>
          </cell>
          <cell r="AP128">
            <v>5190500</v>
          </cell>
          <cell r="AQ128">
            <v>5178400</v>
          </cell>
          <cell r="AR128">
            <v>5337700</v>
          </cell>
          <cell r="AS128">
            <v>5495900</v>
          </cell>
          <cell r="AT128">
            <v>5651400</v>
          </cell>
          <cell r="AU128">
            <v>5573800</v>
          </cell>
          <cell r="AV128">
            <v>5786000</v>
          </cell>
          <cell r="AW128">
            <v>5999300</v>
          </cell>
          <cell r="AX128">
            <v>6210900</v>
          </cell>
          <cell r="AY128">
            <v>5993100</v>
          </cell>
          <cell r="AZ128">
            <v>6304000</v>
          </cell>
          <cell r="BA128">
            <v>6606400</v>
          </cell>
          <cell r="BB128">
            <v>6901700</v>
          </cell>
          <cell r="BC128">
            <v>6481800</v>
          </cell>
          <cell r="BD128">
            <v>6769300</v>
          </cell>
          <cell r="BE128">
            <v>7049800</v>
          </cell>
          <cell r="BF128">
            <v>7334300</v>
          </cell>
          <cell r="BG128">
            <v>7055400</v>
          </cell>
          <cell r="BH128">
            <v>7367500</v>
          </cell>
          <cell r="BI128">
            <v>7687500</v>
          </cell>
          <cell r="BJ128">
            <v>8013600</v>
          </cell>
          <cell r="BK128">
            <v>7965200</v>
          </cell>
          <cell r="BL128">
            <v>8294500</v>
          </cell>
          <cell r="BM128">
            <v>8626700</v>
          </cell>
          <cell r="BN128">
            <v>8964900</v>
          </cell>
          <cell r="BO128">
            <v>8924800</v>
          </cell>
          <cell r="BP128">
            <v>9263700</v>
          </cell>
          <cell r="BQ128">
            <v>9607700</v>
          </cell>
          <cell r="BR128">
            <v>9956200</v>
          </cell>
          <cell r="BS128">
            <v>10311200</v>
          </cell>
          <cell r="BT128">
            <v>10651900</v>
          </cell>
          <cell r="BU128">
            <v>10993700</v>
          </cell>
          <cell r="BV128">
            <v>11344200</v>
          </cell>
          <cell r="BW128">
            <v>11677700</v>
          </cell>
          <cell r="BX128">
            <v>11982500</v>
          </cell>
          <cell r="BY128">
            <v>12290700</v>
          </cell>
          <cell r="BZ128">
            <v>12611700</v>
          </cell>
          <cell r="CA128">
            <v>12941200</v>
          </cell>
          <cell r="CB128">
            <v>13279700</v>
          </cell>
          <cell r="CC128">
            <v>13622049.929445053</v>
          </cell>
          <cell r="CD128">
            <v>13964383.217367835</v>
          </cell>
        </row>
        <row r="129">
          <cell r="A129" t="str">
            <v>Additions - Depreciation Expense</v>
          </cell>
          <cell r="G129">
            <v>86451</v>
          </cell>
          <cell r="H129">
            <v>89928</v>
          </cell>
          <cell r="I129">
            <v>89354</v>
          </cell>
          <cell r="J129">
            <v>507500</v>
          </cell>
          <cell r="K129">
            <v>494500</v>
          </cell>
          <cell r="L129">
            <v>537800</v>
          </cell>
          <cell r="M129">
            <v>693600</v>
          </cell>
          <cell r="N129">
            <v>847500</v>
          </cell>
          <cell r="O129">
            <v>1297600</v>
          </cell>
          <cell r="P129">
            <v>1341500</v>
          </cell>
          <cell r="Q129">
            <v>1386400</v>
          </cell>
          <cell r="R129">
            <v>1366500</v>
          </cell>
          <cell r="S129">
            <v>1263500</v>
          </cell>
          <cell r="T129">
            <v>1297200</v>
          </cell>
          <cell r="U129">
            <v>1254089.6450026974</v>
          </cell>
          <cell r="V129">
            <v>1182674.2052160576</v>
          </cell>
          <cell r="W129">
            <v>1125690.322273958</v>
          </cell>
          <cell r="X129">
            <v>1078949.1900286241</v>
          </cell>
          <cell r="Y129">
            <v>1134166.7322607995</v>
          </cell>
          <cell r="AE129">
            <v>22235</v>
          </cell>
          <cell r="AF129">
            <v>22489</v>
          </cell>
          <cell r="AG129">
            <v>22460</v>
          </cell>
          <cell r="AH129">
            <v>22744</v>
          </cell>
          <cell r="AI129">
            <v>22010</v>
          </cell>
          <cell r="AJ129">
            <v>22448</v>
          </cell>
          <cell r="AK129">
            <v>281200</v>
          </cell>
          <cell r="AL129">
            <v>123924</v>
          </cell>
          <cell r="AM129">
            <v>125100</v>
          </cell>
          <cell r="AN129">
            <v>126900</v>
          </cell>
          <cell r="AO129">
            <v>132700</v>
          </cell>
          <cell r="AP129">
            <v>122800</v>
          </cell>
          <cell r="AQ129">
            <v>122800</v>
          </cell>
          <cell r="AR129">
            <v>124300</v>
          </cell>
          <cell r="AS129">
            <v>123800</v>
          </cell>
          <cell r="AT129">
            <v>123600</v>
          </cell>
          <cell r="AU129">
            <v>132000</v>
          </cell>
          <cell r="AV129">
            <v>133300</v>
          </cell>
          <cell r="AW129">
            <v>133800</v>
          </cell>
          <cell r="AX129">
            <v>138700</v>
          </cell>
          <cell r="AY129">
            <v>155400</v>
          </cell>
          <cell r="AZ129">
            <v>167700</v>
          </cell>
          <cell r="BA129">
            <v>179900</v>
          </cell>
          <cell r="BB129">
            <v>190600</v>
          </cell>
          <cell r="BC129">
            <v>205200</v>
          </cell>
          <cell r="BD129">
            <v>196800</v>
          </cell>
          <cell r="BE129">
            <v>203800</v>
          </cell>
          <cell r="BF129">
            <v>241700</v>
          </cell>
          <cell r="BG129">
            <v>312100</v>
          </cell>
          <cell r="BH129">
            <v>320000</v>
          </cell>
          <cell r="BI129">
            <v>326400</v>
          </cell>
          <cell r="BJ129">
            <v>339100</v>
          </cell>
          <cell r="BK129">
            <v>329500</v>
          </cell>
          <cell r="BL129">
            <v>332400</v>
          </cell>
          <cell r="BM129">
            <v>338400</v>
          </cell>
          <cell r="BN129">
            <v>341200</v>
          </cell>
          <cell r="BO129">
            <v>338900</v>
          </cell>
          <cell r="BP129">
            <v>344000</v>
          </cell>
          <cell r="BQ129">
            <v>348500</v>
          </cell>
          <cell r="BR129">
            <v>355000</v>
          </cell>
          <cell r="BS129">
            <v>340700</v>
          </cell>
          <cell r="BT129">
            <v>341800</v>
          </cell>
          <cell r="BU129">
            <v>350500</v>
          </cell>
          <cell r="BV129">
            <v>333500</v>
          </cell>
          <cell r="BW129">
            <v>304800</v>
          </cell>
          <cell r="BX129">
            <v>308200</v>
          </cell>
          <cell r="BY129">
            <v>321000</v>
          </cell>
          <cell r="BZ129">
            <v>329500</v>
          </cell>
          <cell r="CA129">
            <v>338500</v>
          </cell>
          <cell r="CB129">
            <v>342349.92944505246</v>
          </cell>
          <cell r="CC129">
            <v>342333.28792278311</v>
          </cell>
          <cell r="CD129">
            <v>342213.45387532358</v>
          </cell>
        </row>
        <row r="130">
          <cell r="A130" t="str">
            <v>Retirements</v>
          </cell>
          <cell r="G130">
            <v>-8526</v>
          </cell>
          <cell r="H130">
            <v>-16063</v>
          </cell>
          <cell r="I130">
            <v>4322823</v>
          </cell>
          <cell r="J130">
            <v>-113685</v>
          </cell>
          <cell r="K130">
            <v>-99100</v>
          </cell>
          <cell r="L130">
            <v>-118500</v>
          </cell>
          <cell r="M130">
            <v>-204900</v>
          </cell>
          <cell r="N130">
            <v>-273900</v>
          </cell>
          <cell r="O130">
            <v>-387800</v>
          </cell>
          <cell r="P130">
            <v>-381900</v>
          </cell>
          <cell r="Q130">
            <v>0</v>
          </cell>
          <cell r="R130">
            <v>0</v>
          </cell>
          <cell r="S130">
            <v>0</v>
          </cell>
          <cell r="T130">
            <v>68196.6712431591</v>
          </cell>
          <cell r="U130">
            <v>413328.00478765718</v>
          </cell>
          <cell r="V130">
            <v>439288.07873862423</v>
          </cell>
          <cell r="W130">
            <v>465282.76639724453</v>
          </cell>
          <cell r="X130">
            <v>491369.01450334967</v>
          </cell>
          <cell r="Y130">
            <v>517253.43528620311</v>
          </cell>
          <cell r="AE130">
            <v>-204</v>
          </cell>
          <cell r="AF130">
            <v>1021</v>
          </cell>
          <cell r="AG130">
            <v>-109</v>
          </cell>
          <cell r="AH130">
            <v>-16771</v>
          </cell>
          <cell r="AI130">
            <v>-196</v>
          </cell>
          <cell r="AJ130">
            <v>-1111</v>
          </cell>
          <cell r="AK130">
            <v>4000906</v>
          </cell>
          <cell r="AL130">
            <v>-39004</v>
          </cell>
          <cell r="AM130">
            <v>-18385</v>
          </cell>
          <cell r="AN130">
            <v>22600</v>
          </cell>
          <cell r="AO130">
            <v>17000</v>
          </cell>
          <cell r="AP130">
            <v>-134900</v>
          </cell>
          <cell r="AQ130">
            <v>36500</v>
          </cell>
          <cell r="AR130">
            <v>33900</v>
          </cell>
          <cell r="AS130">
            <v>31700</v>
          </cell>
          <cell r="AT130">
            <v>-201200</v>
          </cell>
          <cell r="AU130">
            <v>80200</v>
          </cell>
          <cell r="AV130">
            <v>80000</v>
          </cell>
          <cell r="AW130">
            <v>77800</v>
          </cell>
          <cell r="AX130">
            <v>-356500</v>
          </cell>
          <cell r="AY130">
            <v>155500</v>
          </cell>
          <cell r="AZ130">
            <v>134700</v>
          </cell>
          <cell r="BA130">
            <v>115400</v>
          </cell>
          <cell r="BB130">
            <v>-610500</v>
          </cell>
          <cell r="BC130">
            <v>82300</v>
          </cell>
          <cell r="BD130">
            <v>83700</v>
          </cell>
          <cell r="BE130">
            <v>80700</v>
          </cell>
          <cell r="BF130">
            <v>-520600</v>
          </cell>
          <cell r="BG130">
            <v>0</v>
          </cell>
          <cell r="BH130">
            <v>0</v>
          </cell>
          <cell r="BI130">
            <v>-300</v>
          </cell>
          <cell r="BJ130">
            <v>-387500</v>
          </cell>
          <cell r="BK130">
            <v>-200</v>
          </cell>
          <cell r="BL130">
            <v>-200</v>
          </cell>
          <cell r="BM130">
            <v>-200</v>
          </cell>
          <cell r="BN130">
            <v>-381300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row>
        <row r="131">
          <cell r="A131" t="str">
            <v>Acquisitions and Other</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AE131">
            <v>0</v>
          </cell>
          <cell r="AF131">
            <v>0</v>
          </cell>
          <cell r="AG131">
            <v>0</v>
          </cell>
          <cell r="AH131">
            <v>0</v>
          </cell>
          <cell r="AI131">
            <v>0</v>
          </cell>
          <cell r="AJ131">
            <v>0</v>
          </cell>
          <cell r="AK131">
            <v>2000</v>
          </cell>
          <cell r="AL131">
            <v>0</v>
          </cell>
          <cell r="AM131">
            <v>0</v>
          </cell>
          <cell r="AN131">
            <v>0</v>
          </cell>
          <cell r="AO131">
            <v>0</v>
          </cell>
          <cell r="AP131">
            <v>0</v>
          </cell>
          <cell r="AQ131">
            <v>36500</v>
          </cell>
          <cell r="AR131">
            <v>33900</v>
          </cell>
          <cell r="AS131">
            <v>31700</v>
          </cell>
          <cell r="AT131">
            <v>-201200</v>
          </cell>
          <cell r="AU131">
            <v>80200</v>
          </cell>
          <cell r="AV131">
            <v>80000</v>
          </cell>
          <cell r="AW131">
            <v>77800</v>
          </cell>
          <cell r="AX131">
            <v>-356500</v>
          </cell>
          <cell r="AY131">
            <v>155500</v>
          </cell>
          <cell r="AZ131">
            <v>134700</v>
          </cell>
          <cell r="BA131">
            <v>115400</v>
          </cell>
          <cell r="BB131">
            <v>-610500</v>
          </cell>
          <cell r="BC131">
            <v>82300</v>
          </cell>
          <cell r="BD131">
            <v>83700</v>
          </cell>
          <cell r="BE131">
            <v>80700</v>
          </cell>
          <cell r="BF131">
            <v>-520600</v>
          </cell>
          <cell r="BG131">
            <v>0</v>
          </cell>
          <cell r="BH131">
            <v>0</v>
          </cell>
          <cell r="BI131">
            <v>-300</v>
          </cell>
          <cell r="BJ131">
            <v>-387500</v>
          </cell>
          <cell r="BK131">
            <v>-200</v>
          </cell>
          <cell r="BL131">
            <v>-200</v>
          </cell>
          <cell r="BM131">
            <v>-200</v>
          </cell>
          <cell r="BN131">
            <v>-381300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row>
        <row r="132">
          <cell r="A132" t="str">
            <v>Ending Acc. Depreciation</v>
          </cell>
          <cell r="F132">
            <v>220618</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AD132">
            <v>298543</v>
          </cell>
          <cell r="AE132">
            <v>0</v>
          </cell>
          <cell r="AF132">
            <v>0</v>
          </cell>
          <cell r="AG132">
            <v>0</v>
          </cell>
          <cell r="AH132">
            <v>0</v>
          </cell>
          <cell r="AI132">
            <v>0</v>
          </cell>
          <cell r="AJ132">
            <v>0</v>
          </cell>
          <cell r="AK132">
            <v>2000</v>
          </cell>
          <cell r="AL132">
            <v>0</v>
          </cell>
          <cell r="AM132">
            <v>0</v>
          </cell>
          <cell r="AN132">
            <v>0</v>
          </cell>
          <cell r="AO132">
            <v>0</v>
          </cell>
          <cell r="AP132">
            <v>0</v>
          </cell>
          <cell r="AQ132">
            <v>5337700</v>
          </cell>
          <cell r="AR132">
            <v>5495900</v>
          </cell>
          <cell r="AS132">
            <v>5651400</v>
          </cell>
          <cell r="AT132">
            <v>5573800</v>
          </cell>
          <cell r="AU132">
            <v>5786000</v>
          </cell>
          <cell r="AV132">
            <v>5999300</v>
          </cell>
          <cell r="AW132">
            <v>6210900</v>
          </cell>
          <cell r="AX132">
            <v>5993100</v>
          </cell>
          <cell r="AY132">
            <v>6304000</v>
          </cell>
          <cell r="AZ132">
            <v>6606400</v>
          </cell>
          <cell r="BA132">
            <v>6901700</v>
          </cell>
          <cell r="BB132">
            <v>6481800</v>
          </cell>
          <cell r="BC132">
            <v>6769300</v>
          </cell>
          <cell r="BD132">
            <v>7049800</v>
          </cell>
          <cell r="BE132">
            <v>7334300</v>
          </cell>
          <cell r="BF132">
            <v>7055400</v>
          </cell>
          <cell r="BG132">
            <v>7367500</v>
          </cell>
          <cell r="BH132">
            <v>7687500</v>
          </cell>
          <cell r="BI132">
            <v>8013600</v>
          </cell>
          <cell r="BJ132">
            <v>7965200</v>
          </cell>
          <cell r="BK132">
            <v>8294500</v>
          </cell>
          <cell r="BL132">
            <v>8626700</v>
          </cell>
          <cell r="BM132">
            <v>8964900</v>
          </cell>
          <cell r="BN132">
            <v>8924800</v>
          </cell>
          <cell r="BO132">
            <v>9263700</v>
          </cell>
          <cell r="BP132">
            <v>9607700</v>
          </cell>
          <cell r="BQ132">
            <v>9956200</v>
          </cell>
          <cell r="BR132">
            <v>10311200</v>
          </cell>
          <cell r="BS132">
            <v>10651900</v>
          </cell>
          <cell r="BT132">
            <v>10993700</v>
          </cell>
          <cell r="BU132">
            <v>11344200</v>
          </cell>
          <cell r="BV132">
            <v>11677700</v>
          </cell>
          <cell r="BW132">
            <v>11982500</v>
          </cell>
          <cell r="BX132">
            <v>12290700</v>
          </cell>
          <cell r="BY132">
            <v>12611700</v>
          </cell>
          <cell r="BZ132">
            <v>12941200</v>
          </cell>
          <cell r="CA132">
            <v>13279700</v>
          </cell>
          <cell r="CB132">
            <v>13622049.929445053</v>
          </cell>
          <cell r="CC132">
            <v>0</v>
          </cell>
          <cell r="CD132">
            <v>0</v>
          </cell>
        </row>
        <row r="133">
          <cell r="A133" t="str">
            <v>Average Acc. Depreciation</v>
          </cell>
          <cell r="F133">
            <v>220618</v>
          </cell>
          <cell r="G133">
            <v>259580.5</v>
          </cell>
          <cell r="H133">
            <v>335475.5</v>
          </cell>
          <cell r="I133">
            <v>2578496.5</v>
          </cell>
          <cell r="J133">
            <v>4981492.5</v>
          </cell>
          <cell r="K133">
            <v>5376100</v>
          </cell>
          <cell r="L133">
            <v>5783450</v>
          </cell>
          <cell r="M133">
            <v>6237450</v>
          </cell>
          <cell r="N133">
            <v>6768600</v>
          </cell>
          <cell r="O133">
            <v>7510300</v>
          </cell>
          <cell r="P133">
            <v>8445000</v>
          </cell>
          <cell r="Q133">
            <v>9618000</v>
          </cell>
          <cell r="R133">
            <v>10994450</v>
          </cell>
          <cell r="S133">
            <v>12309450</v>
          </cell>
          <cell r="T133">
            <v>13623898.33562158</v>
          </cell>
          <cell r="U133">
            <v>15140305.496138336</v>
          </cell>
          <cell r="V133">
            <v>16784995.463010855</v>
          </cell>
          <cell r="W133">
            <v>18391463.149323799</v>
          </cell>
          <cell r="X133">
            <v>19972108.795925386</v>
          </cell>
          <cell r="Y133">
            <v>21582977.981964871</v>
          </cell>
          <cell r="AD133">
            <v>298543</v>
          </cell>
          <cell r="AE133">
            <v>309558.5</v>
          </cell>
          <cell r="AF133">
            <v>332329</v>
          </cell>
          <cell r="AG133">
            <v>355259.5</v>
          </cell>
          <cell r="AH133">
            <v>369421.5</v>
          </cell>
          <cell r="AI133">
            <v>383315</v>
          </cell>
          <cell r="AJ133">
            <v>404890.5</v>
          </cell>
          <cell r="AK133">
            <v>2557612</v>
          </cell>
          <cell r="AL133">
            <v>4742125</v>
          </cell>
          <cell r="AM133">
            <v>4837942.5</v>
          </cell>
          <cell r="AN133">
            <v>4966050</v>
          </cell>
          <cell r="AO133">
            <v>5115650</v>
          </cell>
          <cell r="AP133">
            <v>5184450</v>
          </cell>
          <cell r="AQ133">
            <v>5258050</v>
          </cell>
          <cell r="AR133">
            <v>5416800</v>
          </cell>
          <cell r="AS133">
            <v>5573650</v>
          </cell>
          <cell r="AT133">
            <v>5612600</v>
          </cell>
          <cell r="AU133">
            <v>5679900</v>
          </cell>
          <cell r="AV133">
            <v>5892650</v>
          </cell>
          <cell r="AW133">
            <v>6105100</v>
          </cell>
          <cell r="AX133">
            <v>6102000</v>
          </cell>
          <cell r="AY133">
            <v>6148550</v>
          </cell>
          <cell r="AZ133">
            <v>6455200</v>
          </cell>
          <cell r="BA133">
            <v>6754050</v>
          </cell>
          <cell r="BB133">
            <v>6691750</v>
          </cell>
          <cell r="BC133">
            <v>6625550</v>
          </cell>
          <cell r="BD133">
            <v>6909550</v>
          </cell>
          <cell r="BE133">
            <v>7192050</v>
          </cell>
          <cell r="BF133">
            <v>7194850</v>
          </cell>
          <cell r="BG133">
            <v>7211450</v>
          </cell>
          <cell r="BH133">
            <v>7527500</v>
          </cell>
          <cell r="BI133">
            <v>7850550</v>
          </cell>
          <cell r="BJ133">
            <v>7989400</v>
          </cell>
          <cell r="BK133">
            <v>8129850</v>
          </cell>
          <cell r="BL133">
            <v>8460600</v>
          </cell>
          <cell r="BM133">
            <v>8795800</v>
          </cell>
          <cell r="BN133">
            <v>8944850</v>
          </cell>
          <cell r="BO133">
            <v>9094250</v>
          </cell>
          <cell r="BP133">
            <v>9435700</v>
          </cell>
          <cell r="BQ133">
            <v>9781950</v>
          </cell>
          <cell r="BR133">
            <v>10133700</v>
          </cell>
          <cell r="BS133">
            <v>10481550</v>
          </cell>
          <cell r="BT133">
            <v>10822800</v>
          </cell>
          <cell r="BU133">
            <v>11168950</v>
          </cell>
          <cell r="BV133">
            <v>11510950</v>
          </cell>
          <cell r="BW133">
            <v>11830100</v>
          </cell>
          <cell r="BX133">
            <v>12136600</v>
          </cell>
          <cell r="BY133">
            <v>12451200</v>
          </cell>
          <cell r="BZ133">
            <v>12776450</v>
          </cell>
          <cell r="CA133">
            <v>13110450</v>
          </cell>
          <cell r="CB133">
            <v>13450874.964722525</v>
          </cell>
          <cell r="CC133">
            <v>13793216.573406443</v>
          </cell>
          <cell r="CD133">
            <v>14135489.944305498</v>
          </cell>
        </row>
        <row r="134">
          <cell r="A134" t="str">
            <v>Average Acc. Depreciation</v>
          </cell>
          <cell r="G134">
            <v>259580.5</v>
          </cell>
          <cell r="H134">
            <v>335475.5</v>
          </cell>
          <cell r="I134">
            <v>2578496.5</v>
          </cell>
          <cell r="J134">
            <v>4981492.5</v>
          </cell>
          <cell r="K134">
            <v>5376100</v>
          </cell>
          <cell r="L134">
            <v>5783450</v>
          </cell>
          <cell r="M134">
            <v>6237450</v>
          </cell>
          <cell r="N134">
            <v>6768600</v>
          </cell>
          <cell r="O134">
            <v>7510300</v>
          </cell>
          <cell r="P134">
            <v>8445000</v>
          </cell>
          <cell r="Q134">
            <v>9618000</v>
          </cell>
          <cell r="R134">
            <v>10994450</v>
          </cell>
          <cell r="S134">
            <v>12309450</v>
          </cell>
          <cell r="T134">
            <v>13658264.904413015</v>
          </cell>
          <cell r="U134">
            <v>15398265.568421967</v>
          </cell>
          <cell r="V134">
            <v>17447586.434423219</v>
          </cell>
          <cell r="W134">
            <v>19510979.159406066</v>
          </cell>
          <cell r="X134">
            <v>21601170.303898085</v>
          </cell>
          <cell r="Y134">
            <v>23779960.821359344</v>
          </cell>
          <cell r="AE134">
            <v>309558.5</v>
          </cell>
          <cell r="AF134">
            <v>332329</v>
          </cell>
          <cell r="AG134">
            <v>355259.5</v>
          </cell>
          <cell r="AH134">
            <v>369421.5</v>
          </cell>
          <cell r="AI134">
            <v>383315</v>
          </cell>
          <cell r="AJ134">
            <v>404890.5</v>
          </cell>
          <cell r="AK134">
            <v>2557612</v>
          </cell>
          <cell r="AL134">
            <v>4742125</v>
          </cell>
          <cell r="AM134">
            <v>4837942.5</v>
          </cell>
          <cell r="AN134">
            <v>4966050</v>
          </cell>
          <cell r="AO134">
            <v>5115650</v>
          </cell>
          <cell r="AP134">
            <v>5184450</v>
          </cell>
          <cell r="AQ134">
            <v>5258050</v>
          </cell>
          <cell r="AR134">
            <v>5416800</v>
          </cell>
          <cell r="AS134">
            <v>5573650</v>
          </cell>
          <cell r="AT134">
            <v>5612600</v>
          </cell>
          <cell r="AU134">
            <v>5679900</v>
          </cell>
          <cell r="AV134">
            <v>5892650</v>
          </cell>
          <cell r="AW134">
            <v>6105100</v>
          </cell>
          <cell r="AX134">
            <v>6102000</v>
          </cell>
          <cell r="AY134">
            <v>6148550</v>
          </cell>
          <cell r="AZ134">
            <v>6455200</v>
          </cell>
          <cell r="BA134">
            <v>6754050</v>
          </cell>
          <cell r="BB134">
            <v>6691750</v>
          </cell>
          <cell r="BC134">
            <v>6625550</v>
          </cell>
          <cell r="BD134">
            <v>6909550</v>
          </cell>
          <cell r="BE134">
            <v>7192050</v>
          </cell>
          <cell r="BF134">
            <v>7194850</v>
          </cell>
          <cell r="BG134">
            <v>7211450</v>
          </cell>
          <cell r="BH134">
            <v>7527500</v>
          </cell>
          <cell r="BI134">
            <v>7850550</v>
          </cell>
          <cell r="BJ134">
            <v>7989400</v>
          </cell>
          <cell r="BK134">
            <v>8129850</v>
          </cell>
          <cell r="BL134">
            <v>8460600</v>
          </cell>
          <cell r="BM134">
            <v>8795800</v>
          </cell>
          <cell r="BN134">
            <v>8944850</v>
          </cell>
          <cell r="BO134">
            <v>9094250</v>
          </cell>
          <cell r="BP134">
            <v>9435700</v>
          </cell>
          <cell r="BQ134">
            <v>9781950</v>
          </cell>
          <cell r="BR134">
            <v>10133700</v>
          </cell>
          <cell r="BS134">
            <v>10481550</v>
          </cell>
          <cell r="BT134">
            <v>10822800</v>
          </cell>
          <cell r="BU134">
            <v>11168950</v>
          </cell>
          <cell r="BV134">
            <v>11510950</v>
          </cell>
          <cell r="BW134">
            <v>11830100</v>
          </cell>
          <cell r="BX134">
            <v>12136600</v>
          </cell>
          <cell r="BY134">
            <v>12451200</v>
          </cell>
          <cell r="BZ134">
            <v>12776450</v>
          </cell>
          <cell r="CA134">
            <v>13110450</v>
          </cell>
          <cell r="CB134">
            <v>13460900</v>
          </cell>
          <cell r="CC134">
            <v>13824945.489335336</v>
          </cell>
          <cell r="CD134">
            <v>14191560.39374835</v>
          </cell>
        </row>
        <row r="135">
          <cell r="A135" t="str">
            <v>Additions as % Avg. Gross PP&amp;E</v>
          </cell>
          <cell r="G135">
            <v>6.4280686608966922E-2</v>
          </cell>
          <cell r="H135">
            <v>5.3669362682747988E-2</v>
          </cell>
          <cell r="I135">
            <v>7.6183000190640907E-2</v>
          </cell>
          <cell r="J135">
            <v>4.0757812220500546E-2</v>
          </cell>
          <cell r="K135">
            <v>3.397247961651223E-2</v>
          </cell>
          <cell r="L135">
            <v>3.0642558309262668E-2</v>
          </cell>
          <cell r="M135">
            <v>3.9095677065187712E-2</v>
          </cell>
          <cell r="N135">
            <v>5.8445154064890023E-2</v>
          </cell>
          <cell r="O135">
            <v>8.2820344081977998E-2</v>
          </cell>
          <cell r="P135">
            <v>5.9110253625862315E-2</v>
          </cell>
          <cell r="Q135">
            <v>5.1827128684816592E-2</v>
          </cell>
          <cell r="R135">
            <v>6.4581867139928403E-2</v>
          </cell>
          <cell r="S135">
            <v>5.6267089607813042E-2</v>
          </cell>
          <cell r="T135">
            <v>4.4724470516272735E-2</v>
          </cell>
          <cell r="U135">
            <v>4.0296101170244375E-2</v>
          </cell>
          <cell r="V135">
            <v>3.6838730457981909E-2</v>
          </cell>
          <cell r="W135">
            <v>3.3870006260863846E-2</v>
          </cell>
          <cell r="X135">
            <v>3.0625628024961094E-2</v>
          </cell>
          <cell r="Y135">
            <v>2.7813470475708899E-2</v>
          </cell>
          <cell r="AE135">
            <v>1.6439817865093978E-2</v>
          </cell>
          <cell r="AF135">
            <v>1.1664553185140982E-2</v>
          </cell>
          <cell r="AG135">
            <v>1.3948586733425987E-2</v>
          </cell>
          <cell r="AH135">
            <v>1.1302901926878715E-2</v>
          </cell>
          <cell r="AI135">
            <v>9.3387117158673684E-3</v>
          </cell>
          <cell r="AJ135">
            <v>1.2419596024609902E-2</v>
          </cell>
          <cell r="AK135">
            <v>2.5630169290385731E-2</v>
          </cell>
          <cell r="AL135">
            <v>1.4979936594822829E-2</v>
          </cell>
          <cell r="AM135">
            <v>9.1256872925831092E-3</v>
          </cell>
          <cell r="AN135">
            <v>1.1046547672052797E-2</v>
          </cell>
          <cell r="AO135">
            <v>9.9236767057349629E-3</v>
          </cell>
          <cell r="AP135">
            <v>1.0538217266879811E-2</v>
          </cell>
          <cell r="AQ135">
            <v>6.0178270036505997E-3</v>
          </cell>
          <cell r="AR135">
            <v>8.2643306158792455E-3</v>
          </cell>
          <cell r="AS135">
            <v>9.0765982762887037E-3</v>
          </cell>
          <cell r="AT135">
            <v>1.0297524916332609E-2</v>
          </cell>
          <cell r="AU135">
            <v>6.5786027801929582E-3</v>
          </cell>
          <cell r="AV135">
            <v>7.8993171776676925E-3</v>
          </cell>
          <cell r="AW135">
            <v>6.8114651228695193E-3</v>
          </cell>
          <cell r="AX135">
            <v>9.1536163301317395E-3</v>
          </cell>
          <cell r="AY135">
            <v>5.9148746877581643E-3</v>
          </cell>
          <cell r="AZ135">
            <v>9.1803583031653205E-3</v>
          </cell>
          <cell r="BA135">
            <v>1.0109211606409936E-2</v>
          </cell>
          <cell r="BB135">
            <v>1.2613465870616821E-2</v>
          </cell>
          <cell r="BC135">
            <v>1.3899485236729719E-2</v>
          </cell>
          <cell r="BD135">
            <v>1.4611575614903807E-2</v>
          </cell>
          <cell r="BE135">
            <v>1.4741462236454721E-2</v>
          </cell>
          <cell r="BF135">
            <v>1.5679351641958716E-2</v>
          </cell>
          <cell r="BG135">
            <v>1.7493027160226382E-2</v>
          </cell>
          <cell r="BH135">
            <v>2.0804516690725031E-2</v>
          </cell>
          <cell r="BI135">
            <v>2.2524784226054133E-2</v>
          </cell>
          <cell r="BJ135">
            <v>2.1094179221004539E-2</v>
          </cell>
          <cell r="BK135">
            <v>1.7404916263411077E-2</v>
          </cell>
          <cell r="BL135">
            <v>1.598473517200889E-2</v>
          </cell>
          <cell r="BM135">
            <v>1.3270336894001644E-2</v>
          </cell>
          <cell r="BN135">
            <v>1.1915583199708578E-2</v>
          </cell>
          <cell r="BO135">
            <v>1.0372459425379307E-2</v>
          </cell>
          <cell r="BP135">
            <v>1.3709854707516438E-2</v>
          </cell>
          <cell r="BQ135">
            <v>1.2689416869267594E-2</v>
          </cell>
          <cell r="BR135">
            <v>1.5017985611510791E-2</v>
          </cell>
          <cell r="BS135">
            <v>1.1946835634766364E-2</v>
          </cell>
          <cell r="BT135">
            <v>1.5812825751961877E-2</v>
          </cell>
          <cell r="BU135">
            <v>1.8210338204998285E-2</v>
          </cell>
          <cell r="BV135">
            <v>1.8488674274636203E-2</v>
          </cell>
          <cell r="BW135">
            <v>1.5428840468246007E-2</v>
          </cell>
          <cell r="BX135">
            <v>1.4179623909204388E-2</v>
          </cell>
          <cell r="BY135">
            <v>1.3742033040799311E-2</v>
          </cell>
          <cell r="BZ135">
            <v>1.3105956446533907E-2</v>
          </cell>
          <cell r="CA135">
            <v>1.3128371089536139E-2</v>
          </cell>
          <cell r="CB135">
            <v>1.0653425626129635E-2</v>
          </cell>
          <cell r="CC135">
            <v>1.0803738502755556E-2</v>
          </cell>
          <cell r="CD135">
            <v>9.826449126169149E-3</v>
          </cell>
        </row>
        <row r="136">
          <cell r="A136" t="str">
            <v>Retire. as % Avg. Gross PP&amp;E</v>
          </cell>
          <cell r="G136">
            <v>-7.0495385573756016E-3</v>
          </cell>
          <cell r="H136">
            <v>-1.4940630284166579E-2</v>
          </cell>
          <cell r="I136">
            <v>1.4795912846435846</v>
          </cell>
          <cell r="J136">
            <v>-8.5623726596996859E-3</v>
          </cell>
          <cell r="K136">
            <v>-7.201095679342592E-3</v>
          </cell>
          <cell r="L136">
            <v>2.227521766392895E-2</v>
          </cell>
          <cell r="M136">
            <v>8.0375890999143135E-2</v>
          </cell>
          <cell r="N136">
            <v>6.7296443247249066E-2</v>
          </cell>
          <cell r="O136">
            <v>-2.8504277521857668E-3</v>
          </cell>
          <cell r="P136">
            <v>-2.9168555594212679E-3</v>
          </cell>
          <cell r="Q136">
            <v>2.0401371952726278E-2</v>
          </cell>
          <cell r="R136">
            <v>1.0936017869710228E-2</v>
          </cell>
          <cell r="S136">
            <v>1.5769337903826366E-2</v>
          </cell>
          <cell r="T136">
            <v>2.0552458289204194E-2</v>
          </cell>
          <cell r="U136">
            <v>2.0599006141361616E-2</v>
          </cell>
          <cell r="V136">
            <v>2.0635347550172094E-2</v>
          </cell>
          <cell r="W136">
            <v>2.0666552656211305E-2</v>
          </cell>
          <cell r="X136">
            <v>2.0700655240405874E-2</v>
          </cell>
          <cell r="Y136">
            <v>2.0730214629792257E-2</v>
          </cell>
          <cell r="AE136">
            <v>-1.664887475836665E-4</v>
          </cell>
          <cell r="AF136">
            <v>9.2309413695360282E-4</v>
          </cell>
          <cell r="AG136">
            <v>-5.8445084630323336E-4</v>
          </cell>
          <cell r="AH136">
            <v>-1.4795160661761507E-2</v>
          </cell>
          <cell r="AI136">
            <v>1.4864922205538346E-3</v>
          </cell>
          <cell r="AJ136">
            <v>-1.6492660224569188E-3</v>
          </cell>
          <cell r="AK136">
            <v>-8.016500053026572E-3</v>
          </cell>
          <cell r="AL136">
            <v>5.3239048583895022E-4</v>
          </cell>
          <cell r="AM136">
            <v>4.8753984360625261E-4</v>
          </cell>
          <cell r="AN136">
            <v>3.1448844903089086E-3</v>
          </cell>
          <cell r="AO136">
            <v>3.5276857392479767E-3</v>
          </cell>
          <cell r="AP136">
            <v>-1.5266349654586666E-2</v>
          </cell>
          <cell r="AQ136">
            <v>5.1442714708626091E-3</v>
          </cell>
          <cell r="AR136">
            <v>3.1351138078303201E-3</v>
          </cell>
          <cell r="AS136">
            <v>4.7910118511732712E-3</v>
          </cell>
          <cell r="AT136">
            <v>-1.9954081445015946E-2</v>
          </cell>
          <cell r="AU136">
            <v>9.1765223494411335E-3</v>
          </cell>
          <cell r="AV136">
            <v>1.0309278350515464E-2</v>
          </cell>
          <cell r="AW136">
            <v>9.8477794421278492E-3</v>
          </cell>
          <cell r="AX136">
            <v>-6.8476669808104906E-3</v>
          </cell>
          <cell r="AY136">
            <v>4.1550772599954051E-2</v>
          </cell>
          <cell r="AZ136">
            <v>4.6848602988953866E-2</v>
          </cell>
          <cell r="BA136">
            <v>1.3588993183197116E-2</v>
          </cell>
          <cell r="BB136">
            <v>-2.0216951612974609E-2</v>
          </cell>
          <cell r="BC136">
            <v>1.2198223321319267E-2</v>
          </cell>
          <cell r="BD136">
            <v>1.1185118409303557E-2</v>
          </cell>
          <cell r="BE136">
            <v>1.0735449052423804E-2</v>
          </cell>
          <cell r="BF136">
            <v>3.2843186422997453E-2</v>
          </cell>
          <cell r="BG136">
            <v>7.3500114118598241E-3</v>
          </cell>
          <cell r="BH136">
            <v>6.4298017163726268E-3</v>
          </cell>
          <cell r="BI136">
            <v>6.1717762181378389E-3</v>
          </cell>
          <cell r="BJ136">
            <v>-2.1860451667004021E-2</v>
          </cell>
          <cell r="BK136">
            <v>5.8111691672087093E-3</v>
          </cell>
          <cell r="BL136">
            <v>5.6404378153962287E-3</v>
          </cell>
          <cell r="BM136">
            <v>6.162695152013147E-3</v>
          </cell>
          <cell r="BN136">
            <v>-1.9984135252082674E-2</v>
          </cell>
          <cell r="BO136">
            <v>0</v>
          </cell>
          <cell r="BP136">
            <v>0</v>
          </cell>
          <cell r="BQ136">
            <v>0</v>
          </cell>
          <cell r="BR136">
            <v>0</v>
          </cell>
          <cell r="BS136">
            <v>0</v>
          </cell>
          <cell r="BT136">
            <v>0</v>
          </cell>
          <cell r="BU136">
            <v>0</v>
          </cell>
          <cell r="BV136">
            <v>0</v>
          </cell>
          <cell r="BW136">
            <v>0</v>
          </cell>
          <cell r="BX136">
            <v>0</v>
          </cell>
          <cell r="BY136">
            <v>0</v>
          </cell>
          <cell r="BZ136">
            <v>0</v>
          </cell>
          <cell r="CA136">
            <v>0</v>
          </cell>
          <cell r="CB136">
            <v>0</v>
          </cell>
          <cell r="CC136">
            <v>0</v>
          </cell>
          <cell r="CD136">
            <v>0</v>
          </cell>
        </row>
        <row r="137">
          <cell r="A137" t="str">
            <v>Depreciation. as % Cap Ex.</v>
          </cell>
          <cell r="G137">
            <v>1.3193590232735597</v>
          </cell>
          <cell r="H137">
            <v>1.5670994162237519</v>
          </cell>
          <cell r="I137">
            <v>0.23901669163278408</v>
          </cell>
          <cell r="J137">
            <v>1.3877495214656823</v>
          </cell>
          <cell r="K137">
            <v>1.55748031496063</v>
          </cell>
          <cell r="L137">
            <v>1.8040925863804094</v>
          </cell>
          <cell r="M137">
            <v>1.6705202312138729</v>
          </cell>
          <cell r="N137">
            <v>1.2074369568314576</v>
          </cell>
          <cell r="O137">
            <v>1.1783508899382491</v>
          </cell>
          <cell r="P137">
            <v>1.5951248513674197</v>
          </cell>
          <cell r="Q137">
            <v>1.7627463445645264</v>
          </cell>
          <cell r="R137">
            <v>1.2948924476452193</v>
          </cell>
          <cell r="S137">
            <v>1.2765205091937766</v>
          </cell>
          <cell r="T137">
            <v>1.5395371001532854</v>
          </cell>
          <cell r="U137">
            <v>1.5510185398817573</v>
          </cell>
          <cell r="V137">
            <v>1.5080746503716238</v>
          </cell>
          <cell r="W137">
            <v>1.4762323813850031</v>
          </cell>
          <cell r="X137">
            <v>1.4841996192697897</v>
          </cell>
          <cell r="Y137">
            <v>1.6342637102494462</v>
          </cell>
          <cell r="AE137">
            <v>1.27941768801427</v>
          </cell>
          <cell r="AF137">
            <v>1.7976818545163868</v>
          </cell>
          <cell r="AG137">
            <v>1.4820191355988124</v>
          </cell>
          <cell r="AH137">
            <v>1.8429624827809741</v>
          </cell>
          <cell r="AI137">
            <v>2.150674223177643</v>
          </cell>
          <cell r="AJ137">
            <v>1.6316325047245239</v>
          </cell>
          <cell r="AK137">
            <v>1.2772297014952489</v>
          </cell>
          <cell r="AL137">
            <v>0.95558434348107713</v>
          </cell>
          <cell r="AM137">
            <v>1.56375</v>
          </cell>
          <cell r="AN137">
            <v>1.2948979591836736</v>
          </cell>
          <cell r="AO137">
            <v>1.469545957918051</v>
          </cell>
          <cell r="AP137">
            <v>1.2607802874743326</v>
          </cell>
          <cell r="AQ137">
            <v>2.2007168458781363</v>
          </cell>
          <cell r="AR137">
            <v>1.6038709677419354</v>
          </cell>
          <cell r="AS137">
            <v>1.4361948955916473</v>
          </cell>
          <cell r="AT137">
            <v>1.2612244897959184</v>
          </cell>
          <cell r="AU137">
            <v>2.1019108280254777</v>
          </cell>
          <cell r="AV137">
            <v>1.7379400260756193</v>
          </cell>
          <cell r="AW137">
            <v>1.9881129271916791</v>
          </cell>
          <cell r="AX137">
            <v>1.5191675794085433</v>
          </cell>
          <cell r="AY137">
            <v>2.5685950413223142</v>
          </cell>
          <cell r="AZ137">
            <v>1.6956521739130435</v>
          </cell>
          <cell r="BA137">
            <v>1.5878199470432479</v>
          </cell>
          <cell r="BB137">
            <v>1.3375438596491227</v>
          </cell>
          <cell r="BC137">
            <v>1.2946372239747634</v>
          </cell>
          <cell r="BD137">
            <v>1.1508771929824562</v>
          </cell>
          <cell r="BE137">
            <v>1.1514124293785311</v>
          </cell>
          <cell r="BF137">
            <v>1.236949846468782</v>
          </cell>
          <cell r="BG137">
            <v>1.3803626713843433</v>
          </cell>
          <cell r="BH137">
            <v>1.1594202898550725</v>
          </cell>
          <cell r="BI137">
            <v>1.0621542466644973</v>
          </cell>
          <cell r="BJ137">
            <v>1.1620973269362578</v>
          </cell>
          <cell r="BK137">
            <v>1.353182751540041</v>
          </cell>
          <cell r="BL137">
            <v>1.4534324442501094</v>
          </cell>
          <cell r="BM137">
            <v>1.7461300309597523</v>
          </cell>
          <cell r="BN137">
            <v>1.9497142857142857</v>
          </cell>
          <cell r="BO137">
            <v>2.2150326797385622</v>
          </cell>
          <cell r="BP137">
            <v>1.6715257531584062</v>
          </cell>
          <cell r="BQ137">
            <v>1.7973182052604435</v>
          </cell>
          <cell r="BR137">
            <v>1.5183917878528657</v>
          </cell>
          <cell r="BS137">
            <v>1.7997886951928157</v>
          </cell>
          <cell r="BT137">
            <v>1.340392156862745</v>
          </cell>
          <cell r="BU137">
            <v>1.1679440186604466</v>
          </cell>
          <cell r="BV137">
            <v>1.0726921839819878</v>
          </cell>
          <cell r="BW137">
            <v>1.1554207733131161</v>
          </cell>
          <cell r="BX137">
            <v>1.2503042596348883</v>
          </cell>
          <cell r="BY137">
            <v>1.3204442616207321</v>
          </cell>
          <cell r="BZ137">
            <v>1.393824027072758</v>
          </cell>
          <cell r="CA137">
            <v>1.3907148726376335</v>
          </cell>
          <cell r="CB137">
            <v>1.6952274357141028</v>
          </cell>
          <cell r="CC137">
            <v>1.6537219531269063</v>
          </cell>
          <cell r="CD137">
            <v>1.7989088565375504</v>
          </cell>
        </row>
        <row r="138">
          <cell r="A138" t="str">
            <v>Depreciation. as % Cap Ex.</v>
          </cell>
          <cell r="G138">
            <v>1.3193590232735597</v>
          </cell>
          <cell r="H138">
            <v>1.5670994162237519</v>
          </cell>
          <cell r="I138">
            <v>0.23901669163278408</v>
          </cell>
          <cell r="J138">
            <v>1.3877495214656823</v>
          </cell>
          <cell r="K138">
            <v>1.55748031496063</v>
          </cell>
          <cell r="L138">
            <v>1.8040925863804094</v>
          </cell>
          <cell r="M138">
            <v>1.6705202312138729</v>
          </cell>
          <cell r="N138">
            <v>1.2074369568314576</v>
          </cell>
          <cell r="O138">
            <v>1.1783508899382491</v>
          </cell>
          <cell r="P138">
            <v>1.5951248513674197</v>
          </cell>
          <cell r="Q138">
            <v>1.7627463445645264</v>
          </cell>
          <cell r="R138">
            <v>1.2948924476452193</v>
          </cell>
          <cell r="S138">
            <v>1.2765205091937766</v>
          </cell>
          <cell r="T138">
            <v>1.4129075487276108</v>
          </cell>
          <cell r="U138">
            <v>1.544250265785065</v>
          </cell>
          <cell r="V138">
            <v>1.5177667255414751</v>
          </cell>
          <cell r="W138">
            <v>1.5026019420289181</v>
          </cell>
          <cell r="X138">
            <v>1.497333300940737</v>
          </cell>
          <cell r="Y138">
            <v>1.6359253443432951</v>
          </cell>
          <cell r="AE138">
            <v>1.27941768801427</v>
          </cell>
          <cell r="AF138">
            <v>1.7976818545163868</v>
          </cell>
          <cell r="AG138">
            <v>1.4820191355988124</v>
          </cell>
          <cell r="AH138">
            <v>1.8429624827809741</v>
          </cell>
          <cell r="AI138">
            <v>2.150674223177643</v>
          </cell>
          <cell r="AJ138">
            <v>1.6316325047245239</v>
          </cell>
          <cell r="AK138">
            <v>1.2772297014952489</v>
          </cell>
          <cell r="AL138">
            <v>0.95558434348107713</v>
          </cell>
          <cell r="AM138">
            <v>1.56375</v>
          </cell>
          <cell r="AN138">
            <v>1.2948979591836736</v>
          </cell>
          <cell r="AO138">
            <v>1.469545957918051</v>
          </cell>
          <cell r="AP138">
            <v>1.2607802874743326</v>
          </cell>
          <cell r="AQ138">
            <v>2.2007168458781363</v>
          </cell>
          <cell r="AR138">
            <v>1.6038709677419354</v>
          </cell>
          <cell r="AS138">
            <v>1.4361948955916473</v>
          </cell>
          <cell r="AT138">
            <v>1.2612244897959184</v>
          </cell>
          <cell r="AU138">
            <v>2.1019108280254777</v>
          </cell>
          <cell r="AV138">
            <v>1.7379400260756193</v>
          </cell>
          <cell r="AW138">
            <v>1.9881129271916791</v>
          </cell>
          <cell r="AX138">
            <v>1.5191675794085433</v>
          </cell>
          <cell r="AY138">
            <v>2.5685950413223142</v>
          </cell>
          <cell r="AZ138">
            <v>1.6956521739130435</v>
          </cell>
          <cell r="BA138">
            <v>1.5878199470432479</v>
          </cell>
          <cell r="BB138">
            <v>1.3375438596491227</v>
          </cell>
          <cell r="BC138">
            <v>1.2946372239747634</v>
          </cell>
          <cell r="BD138">
            <v>1.1508771929824562</v>
          </cell>
          <cell r="BE138">
            <v>1.1514124293785311</v>
          </cell>
          <cell r="BF138">
            <v>1.236949846468782</v>
          </cell>
          <cell r="BG138">
            <v>1.3803626713843433</v>
          </cell>
          <cell r="BH138">
            <v>1.1594202898550725</v>
          </cell>
          <cell r="BI138">
            <v>1.0621542466644973</v>
          </cell>
          <cell r="BJ138">
            <v>1.1620973269362578</v>
          </cell>
          <cell r="BK138">
            <v>1.353182751540041</v>
          </cell>
          <cell r="BL138">
            <v>1.4534324442501094</v>
          </cell>
          <cell r="BM138">
            <v>1.7461300309597523</v>
          </cell>
          <cell r="BN138">
            <v>1.9497142857142857</v>
          </cell>
          <cell r="BO138">
            <v>2.2150326797385622</v>
          </cell>
          <cell r="BP138">
            <v>1.6715257531584062</v>
          </cell>
          <cell r="BQ138">
            <v>1.7973182052604435</v>
          </cell>
          <cell r="BR138">
            <v>1.5183917878528657</v>
          </cell>
          <cell r="BS138">
            <v>1.7997886951928157</v>
          </cell>
          <cell r="BT138">
            <v>1.340392156862745</v>
          </cell>
          <cell r="BU138">
            <v>1.1679440186604466</v>
          </cell>
          <cell r="BV138">
            <v>1.0726921839819878</v>
          </cell>
          <cell r="BW138">
            <v>1.1554207733131161</v>
          </cell>
          <cell r="BX138">
            <v>1.2503042596348883</v>
          </cell>
          <cell r="BY138">
            <v>1.3204442616207321</v>
          </cell>
          <cell r="BZ138">
            <v>1.393824027072758</v>
          </cell>
          <cell r="CA138">
            <v>1.3907148726376335</v>
          </cell>
          <cell r="CB138">
            <v>1.3706505295007565</v>
          </cell>
          <cell r="CC138">
            <v>1.7215903839076829</v>
          </cell>
          <cell r="CD138">
            <v>1.857268335123244</v>
          </cell>
        </row>
        <row r="139">
          <cell r="A139" t="str">
            <v>Average Life of Gross PP&amp;E</v>
          </cell>
          <cell r="G139">
            <v>11.791159153740269</v>
          </cell>
          <cell r="H139">
            <v>11.889867449515167</v>
          </cell>
          <cell r="I139">
            <v>54.917871611791305</v>
          </cell>
          <cell r="J139">
            <v>17.679828571428573</v>
          </cell>
          <cell r="K139">
            <v>18.899494438827098</v>
          </cell>
          <cell r="L139">
            <v>18.089066567497209</v>
          </cell>
          <cell r="M139">
            <v>15.311562860438293</v>
          </cell>
          <cell r="N139">
            <v>14.170560471976401</v>
          </cell>
          <cell r="O139">
            <v>10.246801787916153</v>
          </cell>
          <cell r="P139">
            <v>10.605777115169586</v>
          </cell>
          <cell r="Q139">
            <v>10.945939122908252</v>
          </cell>
          <cell r="R139">
            <v>11.95792169776802</v>
          </cell>
          <cell r="S139">
            <v>13.922516818361693</v>
          </cell>
          <cell r="T139">
            <v>14.523277417497937</v>
          </cell>
          <cell r="U139">
            <v>16</v>
          </cell>
          <cell r="V139">
            <v>18</v>
          </cell>
          <cell r="W139">
            <v>20</v>
          </cell>
          <cell r="X139">
            <v>22</v>
          </cell>
          <cell r="Y139">
            <v>22</v>
          </cell>
          <cell r="AE139">
            <v>11.885861254778503</v>
          </cell>
          <cell r="AF139">
            <v>11.922273111298857</v>
          </cell>
          <cell r="AG139">
            <v>12.093610863757792</v>
          </cell>
          <cell r="AH139">
            <v>12.001445436158987</v>
          </cell>
          <cell r="AI139">
            <v>12.44739323034984</v>
          </cell>
          <cell r="AJ139">
            <v>12.337017774411974</v>
          </cell>
          <cell r="AK139">
            <v>7.6369425675675675</v>
          </cell>
          <cell r="AL139">
            <v>17.464695095381039</v>
          </cell>
          <cell r="AM139">
            <v>17.518910871302957</v>
          </cell>
          <cell r="AN139">
            <v>17.477442868400317</v>
          </cell>
          <cell r="AO139">
            <v>17.142897513187641</v>
          </cell>
          <cell r="AP139">
            <v>18.81626628664495</v>
          </cell>
          <cell r="AQ139">
            <v>18.877137622149839</v>
          </cell>
          <cell r="AR139">
            <v>18.860921158487532</v>
          </cell>
          <cell r="AS139">
            <v>19.178008885298869</v>
          </cell>
          <cell r="AT139">
            <v>19.249292071197409</v>
          </cell>
          <cell r="AU139">
            <v>18.079734848484847</v>
          </cell>
          <cell r="AV139">
            <v>18.210240060015003</v>
          </cell>
          <cell r="AW139">
            <v>18.461136023916293</v>
          </cell>
          <cell r="AX139">
            <v>17.97801009372747</v>
          </cell>
          <cell r="AY139">
            <v>16.455035392535393</v>
          </cell>
          <cell r="AZ139">
            <v>16.059928443649373</v>
          </cell>
          <cell r="BA139">
            <v>15.574763757643135</v>
          </cell>
          <cell r="BB139">
            <v>14.818271248688353</v>
          </cell>
          <cell r="BC139">
            <v>13.892909356725147</v>
          </cell>
          <cell r="BD139">
            <v>14.8666793699187</v>
          </cell>
          <cell r="BE139">
            <v>14.728839548577037</v>
          </cell>
          <cell r="BF139">
            <v>12.890204799338022</v>
          </cell>
          <cell r="BG139">
            <v>10.353372316565203</v>
          </cell>
          <cell r="BH139">
            <v>10.3643359375</v>
          </cell>
          <cell r="BI139">
            <v>10.449410232843137</v>
          </cell>
          <cell r="BJ139">
            <v>10.198466529047479</v>
          </cell>
          <cell r="BK139">
            <v>10.614795144157815</v>
          </cell>
          <cell r="BL139">
            <v>10.760679903730445</v>
          </cell>
          <cell r="BM139">
            <v>10.789007092198581</v>
          </cell>
          <cell r="BN139">
            <v>10.761027256740915</v>
          </cell>
          <cell r="BO139">
            <v>10.881233402183534</v>
          </cell>
          <cell r="BP139">
            <v>10.909229651162791</v>
          </cell>
          <cell r="BQ139">
            <v>10.961585365853658</v>
          </cell>
          <cell r="BR139">
            <v>10.96338028169014</v>
          </cell>
          <cell r="BS139">
            <v>11.626944525975931</v>
          </cell>
          <cell r="BT139">
            <v>11.795019016968988</v>
          </cell>
          <cell r="BU139">
            <v>11.754386590584879</v>
          </cell>
          <cell r="BV139">
            <v>12.605472263868066</v>
          </cell>
          <cell r="BW139">
            <v>14.023827099737533</v>
          </cell>
          <cell r="BX139">
            <v>14.101314081765087</v>
          </cell>
          <cell r="BY139">
            <v>13.777453271028037</v>
          </cell>
          <cell r="BZ139">
            <v>13.685584218512899</v>
          </cell>
          <cell r="CA139">
            <v>13.692762186115214</v>
          </cell>
          <cell r="CB139">
            <v>13.842762186115214</v>
          </cell>
          <cell r="CC139">
            <v>13.992762186115215</v>
          </cell>
          <cell r="CD139">
            <v>14.142762186115215</v>
          </cell>
        </row>
        <row r="140">
          <cell r="A140" t="str">
            <v>Average Life of Gross PP&amp;E</v>
          </cell>
          <cell r="G140">
            <v>11.791159153740269</v>
          </cell>
          <cell r="H140">
            <v>11.889867449515167</v>
          </cell>
          <cell r="I140">
            <v>54.917871611791305</v>
          </cell>
          <cell r="J140">
            <v>17.679828571428573</v>
          </cell>
          <cell r="K140">
            <v>18.899494438827098</v>
          </cell>
          <cell r="L140">
            <v>18.089066567497209</v>
          </cell>
          <cell r="M140">
            <v>15.311562860438293</v>
          </cell>
          <cell r="N140">
            <v>14.170560471976401</v>
          </cell>
          <cell r="O140">
            <v>10.246801787916153</v>
          </cell>
          <cell r="P140">
            <v>10.605777115169586</v>
          </cell>
          <cell r="Q140">
            <v>10.945939122908252</v>
          </cell>
          <cell r="R140">
            <v>11.95792169776802</v>
          </cell>
          <cell r="S140">
            <v>13.922516818361693</v>
          </cell>
          <cell r="T140">
            <v>14.670947725871107</v>
          </cell>
          <cell r="U140">
            <v>16</v>
          </cell>
          <cell r="V140">
            <v>18</v>
          </cell>
          <cell r="W140">
            <v>20</v>
          </cell>
          <cell r="X140">
            <v>22</v>
          </cell>
          <cell r="Y140">
            <v>22</v>
          </cell>
          <cell r="AE140">
            <v>11.885861254778503</v>
          </cell>
          <cell r="AF140">
            <v>11.922273111298857</v>
          </cell>
          <cell r="AG140">
            <v>12.093610863757792</v>
          </cell>
          <cell r="AH140">
            <v>12.001445436158987</v>
          </cell>
          <cell r="AI140">
            <v>12.44739323034984</v>
          </cell>
          <cell r="AJ140">
            <v>12.337017774411974</v>
          </cell>
          <cell r="AK140">
            <v>7.6369425675675675</v>
          </cell>
          <cell r="AL140">
            <v>17.464695095381039</v>
          </cell>
          <cell r="AM140">
            <v>17.518910871302957</v>
          </cell>
          <cell r="AN140">
            <v>17.477442868400317</v>
          </cell>
          <cell r="AO140">
            <v>17.142897513187641</v>
          </cell>
          <cell r="AP140">
            <v>18.81626628664495</v>
          </cell>
          <cell r="AQ140">
            <v>18.877137622149839</v>
          </cell>
          <cell r="AR140">
            <v>18.860921158487532</v>
          </cell>
          <cell r="AS140">
            <v>19.178008885298869</v>
          </cell>
          <cell r="AT140">
            <v>19.249292071197409</v>
          </cell>
          <cell r="AU140">
            <v>18.079734848484847</v>
          </cell>
          <cell r="AV140">
            <v>18.210240060015003</v>
          </cell>
          <cell r="AW140">
            <v>18.461136023916293</v>
          </cell>
          <cell r="AX140">
            <v>17.97801009372747</v>
          </cell>
          <cell r="AY140">
            <v>16.455035392535393</v>
          </cell>
          <cell r="AZ140">
            <v>16.059928443649373</v>
          </cell>
          <cell r="BA140">
            <v>15.574763757643135</v>
          </cell>
          <cell r="BB140">
            <v>14.818271248688353</v>
          </cell>
          <cell r="BC140">
            <v>13.892909356725147</v>
          </cell>
          <cell r="BD140">
            <v>14.8666793699187</v>
          </cell>
          <cell r="BE140">
            <v>14.728839548577037</v>
          </cell>
          <cell r="BF140">
            <v>12.890204799338022</v>
          </cell>
          <cell r="BG140">
            <v>10.353372316565203</v>
          </cell>
          <cell r="BH140">
            <v>10.3643359375</v>
          </cell>
          <cell r="BI140">
            <v>10.449410232843137</v>
          </cell>
          <cell r="BJ140">
            <v>10.198466529047479</v>
          </cell>
          <cell r="BK140">
            <v>10.614795144157815</v>
          </cell>
          <cell r="BL140">
            <v>10.760679903730445</v>
          </cell>
          <cell r="BM140">
            <v>10.789007092198581</v>
          </cell>
          <cell r="BN140">
            <v>10.761027256740915</v>
          </cell>
          <cell r="BO140">
            <v>10.881233402183534</v>
          </cell>
          <cell r="BP140">
            <v>10.909229651162791</v>
          </cell>
          <cell r="BQ140">
            <v>10.961585365853658</v>
          </cell>
          <cell r="BR140">
            <v>10.96338028169014</v>
          </cell>
          <cell r="BS140">
            <v>11.626944525975931</v>
          </cell>
          <cell r="BT140">
            <v>11.795019016968988</v>
          </cell>
          <cell r="BU140">
            <v>11.754386590584879</v>
          </cell>
          <cell r="BV140">
            <v>12.605472263868066</v>
          </cell>
          <cell r="BW140">
            <v>14.023827099737533</v>
          </cell>
          <cell r="BX140">
            <v>14.101314081765087</v>
          </cell>
          <cell r="BY140">
            <v>13.777453271028037</v>
          </cell>
          <cell r="BZ140">
            <v>13.685584218512899</v>
          </cell>
          <cell r="CA140">
            <v>13.692762186115214</v>
          </cell>
          <cell r="CB140">
            <v>13.126241721854305</v>
          </cell>
          <cell r="CC140">
            <v>13.276241721854305</v>
          </cell>
          <cell r="CD140">
            <v>13.426241721854305</v>
          </cell>
        </row>
        <row r="141">
          <cell r="A141" t="str">
            <v>Unrecorded Goodwill</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cell r="BM141">
            <v>0</v>
          </cell>
          <cell r="BN141">
            <v>0</v>
          </cell>
          <cell r="BO141">
            <v>0</v>
          </cell>
          <cell r="BP141">
            <v>0</v>
          </cell>
          <cell r="BQ141">
            <v>0</v>
          </cell>
          <cell r="BR141">
            <v>0</v>
          </cell>
          <cell r="BS141">
            <v>0</v>
          </cell>
          <cell r="BT141">
            <v>0</v>
          </cell>
          <cell r="BU141">
            <v>0</v>
          </cell>
          <cell r="BV141">
            <v>0</v>
          </cell>
          <cell r="BW141">
            <v>0</v>
          </cell>
          <cell r="BX141">
            <v>0</v>
          </cell>
          <cell r="BY141">
            <v>0</v>
          </cell>
          <cell r="BZ141">
            <v>0</v>
          </cell>
          <cell r="CA141">
            <v>0</v>
          </cell>
          <cell r="CB141">
            <v>0</v>
          </cell>
          <cell r="CC141">
            <v>0</v>
          </cell>
          <cell r="CD141">
            <v>0</v>
          </cell>
        </row>
        <row r="142">
          <cell r="A142" t="str">
            <v>Unrecorded Goodwill</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cell r="BR142">
            <v>0</v>
          </cell>
          <cell r="BS142">
            <v>0</v>
          </cell>
          <cell r="BT142">
            <v>0</v>
          </cell>
          <cell r="BU142">
            <v>0</v>
          </cell>
          <cell r="BV142">
            <v>0</v>
          </cell>
          <cell r="BW142">
            <v>0</v>
          </cell>
          <cell r="BX142">
            <v>0</v>
          </cell>
          <cell r="BY142">
            <v>0</v>
          </cell>
          <cell r="BZ142">
            <v>0</v>
          </cell>
          <cell r="CA142">
            <v>0</v>
          </cell>
          <cell r="CB142">
            <v>0</v>
          </cell>
          <cell r="CC142">
            <v>0</v>
          </cell>
          <cell r="CD142">
            <v>0</v>
          </cell>
        </row>
        <row r="143">
          <cell r="A143" t="str">
            <v>Debt Schedule</v>
          </cell>
        </row>
        <row r="144">
          <cell r="A144" t="str">
            <v>Debt Schedule</v>
          </cell>
        </row>
        <row r="145">
          <cell r="A145" t="str">
            <v>Senior Secured Credit Facility due 2011</v>
          </cell>
          <cell r="I145">
            <v>500</v>
          </cell>
          <cell r="J145">
            <v>283.3</v>
          </cell>
          <cell r="K145">
            <v>283.3</v>
          </cell>
          <cell r="L145">
            <v>114.4</v>
          </cell>
          <cell r="M145">
            <v>100.9</v>
          </cell>
          <cell r="N145">
            <v>0</v>
          </cell>
          <cell r="O145">
            <v>0</v>
          </cell>
          <cell r="AK145">
            <v>500</v>
          </cell>
          <cell r="AL145">
            <v>500</v>
          </cell>
          <cell r="AM145">
            <v>500</v>
          </cell>
          <cell r="AN145">
            <v>500</v>
          </cell>
          <cell r="AO145">
            <v>500</v>
          </cell>
          <cell r="AP145">
            <v>283.3</v>
          </cell>
          <cell r="AQ145">
            <v>283.3</v>
          </cell>
          <cell r="AR145">
            <v>283.3</v>
          </cell>
          <cell r="AS145">
            <v>283.3</v>
          </cell>
          <cell r="AT145">
            <v>283.3</v>
          </cell>
          <cell r="AU145">
            <v>283.3</v>
          </cell>
          <cell r="AV145">
            <v>283.3</v>
          </cell>
          <cell r="AW145">
            <v>283.3</v>
          </cell>
          <cell r="AX145">
            <v>114.4</v>
          </cell>
          <cell r="AY145">
            <v>114.4</v>
          </cell>
          <cell r="AZ145">
            <v>114.4</v>
          </cell>
          <cell r="BA145">
            <v>100.9</v>
          </cell>
          <cell r="BB145">
            <v>100.9</v>
          </cell>
          <cell r="BC145">
            <v>98</v>
          </cell>
          <cell r="BD145">
            <v>98</v>
          </cell>
        </row>
        <row r="146">
          <cell r="A146" t="str">
            <v>Revolving Line of Credit due April 24, 2020</v>
          </cell>
          <cell r="B146">
            <v>3.5000000000000003E-2</v>
          </cell>
          <cell r="I146">
            <v>800</v>
          </cell>
          <cell r="J146">
            <v>800</v>
          </cell>
          <cell r="K146">
            <v>800</v>
          </cell>
          <cell r="L146">
            <v>800</v>
          </cell>
          <cell r="M146">
            <v>800</v>
          </cell>
          <cell r="N146">
            <v>800</v>
          </cell>
          <cell r="O146">
            <v>800</v>
          </cell>
          <cell r="P146">
            <v>590</v>
          </cell>
          <cell r="Q146">
            <v>625</v>
          </cell>
          <cell r="R146">
            <v>300</v>
          </cell>
          <cell r="S146">
            <v>475</v>
          </cell>
          <cell r="T146">
            <v>558</v>
          </cell>
          <cell r="U146">
            <v>308</v>
          </cell>
          <cell r="V146">
            <v>158</v>
          </cell>
          <cell r="W146">
            <v>0</v>
          </cell>
          <cell r="X146">
            <v>0</v>
          </cell>
          <cell r="Y146">
            <v>0</v>
          </cell>
          <cell r="AK146">
            <v>800</v>
          </cell>
          <cell r="AL146">
            <v>800</v>
          </cell>
          <cell r="AM146">
            <v>800</v>
          </cell>
          <cell r="AN146">
            <v>800</v>
          </cell>
          <cell r="AO146">
            <v>800</v>
          </cell>
          <cell r="AP146">
            <v>800</v>
          </cell>
          <cell r="AQ146">
            <v>800</v>
          </cell>
          <cell r="AR146">
            <v>800</v>
          </cell>
          <cell r="AS146">
            <v>800</v>
          </cell>
          <cell r="AT146">
            <v>800</v>
          </cell>
          <cell r="AU146">
            <v>800</v>
          </cell>
          <cell r="AV146">
            <v>800</v>
          </cell>
          <cell r="AW146">
            <v>800</v>
          </cell>
          <cell r="AX146">
            <v>800</v>
          </cell>
          <cell r="AY146">
            <v>800</v>
          </cell>
          <cell r="AZ146">
            <v>800</v>
          </cell>
          <cell r="BA146">
            <v>800</v>
          </cell>
          <cell r="BB146">
            <v>800</v>
          </cell>
          <cell r="BC146">
            <v>800</v>
          </cell>
          <cell r="BD146">
            <v>800</v>
          </cell>
          <cell r="BE146">
            <v>800</v>
          </cell>
          <cell r="BF146">
            <v>800</v>
          </cell>
          <cell r="BG146">
            <v>800</v>
          </cell>
          <cell r="BH146">
            <v>800</v>
          </cell>
          <cell r="BI146">
            <v>800</v>
          </cell>
          <cell r="BJ146">
            <v>800</v>
          </cell>
          <cell r="BK146">
            <v>800</v>
          </cell>
          <cell r="BL146">
            <v>800</v>
          </cell>
          <cell r="BM146">
            <v>700</v>
          </cell>
          <cell r="BN146">
            <v>590</v>
          </cell>
          <cell r="BO146">
            <v>610</v>
          </cell>
          <cell r="BP146">
            <v>610</v>
          </cell>
          <cell r="BQ146">
            <v>610</v>
          </cell>
          <cell r="BR146">
            <v>625</v>
          </cell>
          <cell r="BS146">
            <v>820</v>
          </cell>
          <cell r="BT146">
            <v>0</v>
          </cell>
          <cell r="BU146">
            <v>785</v>
          </cell>
          <cell r="BV146">
            <v>300</v>
          </cell>
          <cell r="BW146">
            <v>588</v>
          </cell>
          <cell r="BX146">
            <v>125</v>
          </cell>
          <cell r="BY146">
            <v>625</v>
          </cell>
          <cell r="BZ146">
            <v>475</v>
          </cell>
          <cell r="CA146">
            <v>648</v>
          </cell>
          <cell r="CB146">
            <v>608</v>
          </cell>
          <cell r="CC146">
            <v>558</v>
          </cell>
          <cell r="CD146">
            <v>558</v>
          </cell>
        </row>
        <row r="147">
          <cell r="A147" t="str">
            <v>Senior Secured Credit Facility due July 2013</v>
          </cell>
          <cell r="B147">
            <v>0</v>
          </cell>
          <cell r="I147">
            <v>1900</v>
          </cell>
          <cell r="J147">
            <v>1393</v>
          </cell>
          <cell r="K147">
            <v>1379</v>
          </cell>
          <cell r="L147">
            <v>458.70000000000005</v>
          </cell>
          <cell r="M147">
            <v>469.1</v>
          </cell>
          <cell r="N147">
            <v>456.1</v>
          </cell>
          <cell r="O147">
            <v>300.39999999999998</v>
          </cell>
          <cell r="P147">
            <v>590</v>
          </cell>
          <cell r="Q147">
            <v>625</v>
          </cell>
          <cell r="R147">
            <v>300</v>
          </cell>
          <cell r="S147">
            <v>0</v>
          </cell>
          <cell r="T147">
            <v>0</v>
          </cell>
          <cell r="U147">
            <v>528</v>
          </cell>
          <cell r="V147">
            <v>403</v>
          </cell>
          <cell r="W147">
            <v>0</v>
          </cell>
          <cell r="X147">
            <v>0</v>
          </cell>
          <cell r="Y147">
            <v>0</v>
          </cell>
          <cell r="AK147">
            <v>1900</v>
          </cell>
          <cell r="AL147">
            <v>1900</v>
          </cell>
          <cell r="AM147">
            <v>1400</v>
          </cell>
          <cell r="AN147">
            <v>1400</v>
          </cell>
          <cell r="AO147">
            <v>1400</v>
          </cell>
          <cell r="AP147">
            <v>1393</v>
          </cell>
          <cell r="AQ147">
            <v>1389.5</v>
          </cell>
          <cell r="AR147">
            <v>1386</v>
          </cell>
          <cell r="AS147">
            <v>1382.5</v>
          </cell>
          <cell r="AT147">
            <v>1379</v>
          </cell>
          <cell r="AU147">
            <v>1375.5</v>
          </cell>
          <cell r="AV147">
            <v>1372</v>
          </cell>
          <cell r="AW147">
            <v>1368.5</v>
          </cell>
          <cell r="AX147">
            <v>458.70000000000005</v>
          </cell>
          <cell r="AY147">
            <v>457.9</v>
          </cell>
          <cell r="AZ147">
            <v>457.20000000000005</v>
          </cell>
          <cell r="BA147">
            <v>470</v>
          </cell>
          <cell r="BB147">
            <v>469.1</v>
          </cell>
          <cell r="BC147">
            <v>468.40000000000003</v>
          </cell>
          <cell r="BD147">
            <v>467.6</v>
          </cell>
          <cell r="BE147">
            <v>461.90000000000003</v>
          </cell>
          <cell r="BF147">
            <v>456.1</v>
          </cell>
          <cell r="BG147">
            <v>304.5</v>
          </cell>
          <cell r="BH147">
            <v>303.2</v>
          </cell>
          <cell r="BI147">
            <v>301.70000000000005</v>
          </cell>
          <cell r="BJ147">
            <v>300.39999999999998</v>
          </cell>
          <cell r="BK147">
            <v>800</v>
          </cell>
          <cell r="BL147">
            <v>800</v>
          </cell>
          <cell r="BM147">
            <v>700</v>
          </cell>
          <cell r="BN147">
            <v>590</v>
          </cell>
          <cell r="BO147">
            <v>610</v>
          </cell>
          <cell r="BP147">
            <v>610</v>
          </cell>
          <cell r="BQ147">
            <v>610</v>
          </cell>
          <cell r="BR147">
            <v>625</v>
          </cell>
          <cell r="BS147">
            <v>820</v>
          </cell>
          <cell r="BT147">
            <v>0</v>
          </cell>
          <cell r="BU147">
            <v>785</v>
          </cell>
          <cell r="BV147">
            <v>300</v>
          </cell>
          <cell r="BW147">
            <v>588</v>
          </cell>
          <cell r="BX147">
            <v>125</v>
          </cell>
          <cell r="BY147">
            <v>625</v>
          </cell>
          <cell r="BZ147">
            <v>475</v>
          </cell>
          <cell r="CA147">
            <v>648</v>
          </cell>
          <cell r="CB147">
            <v>750</v>
          </cell>
          <cell r="CC147">
            <v>978</v>
          </cell>
          <cell r="CD147">
            <v>978</v>
          </cell>
        </row>
        <row r="148">
          <cell r="A148" t="str">
            <v>6.500% Windstream Georgia Communications due 2013</v>
          </cell>
          <cell r="B148">
            <v>6.5000000000000002E-2</v>
          </cell>
          <cell r="I148">
            <v>70</v>
          </cell>
          <cell r="J148">
            <v>60</v>
          </cell>
          <cell r="K148">
            <v>50</v>
          </cell>
          <cell r="L148">
            <v>40</v>
          </cell>
          <cell r="M148">
            <v>30</v>
          </cell>
          <cell r="N148">
            <v>20</v>
          </cell>
          <cell r="O148">
            <v>10</v>
          </cell>
          <cell r="P148">
            <v>0</v>
          </cell>
          <cell r="S148">
            <v>0</v>
          </cell>
          <cell r="T148">
            <v>0</v>
          </cell>
          <cell r="AK148">
            <v>80</v>
          </cell>
          <cell r="AL148">
            <v>70</v>
          </cell>
          <cell r="AM148">
            <v>70</v>
          </cell>
          <cell r="AN148">
            <v>70</v>
          </cell>
          <cell r="AO148">
            <v>70</v>
          </cell>
          <cell r="AP148">
            <v>60</v>
          </cell>
          <cell r="AQ148">
            <v>60</v>
          </cell>
          <cell r="AR148">
            <v>60</v>
          </cell>
          <cell r="AS148">
            <v>60</v>
          </cell>
          <cell r="AT148">
            <v>50</v>
          </cell>
          <cell r="AU148">
            <v>50</v>
          </cell>
          <cell r="AV148">
            <v>50</v>
          </cell>
          <cell r="AW148">
            <v>50</v>
          </cell>
          <cell r="AX148">
            <v>40</v>
          </cell>
          <cell r="AY148">
            <v>40</v>
          </cell>
          <cell r="AZ148">
            <v>40</v>
          </cell>
          <cell r="BA148">
            <v>40</v>
          </cell>
          <cell r="BB148">
            <v>30</v>
          </cell>
          <cell r="BC148">
            <v>30</v>
          </cell>
          <cell r="BD148">
            <v>30</v>
          </cell>
          <cell r="BE148">
            <v>30</v>
          </cell>
          <cell r="BF148">
            <v>20</v>
          </cell>
          <cell r="BG148">
            <v>20</v>
          </cell>
          <cell r="BH148">
            <v>20</v>
          </cell>
          <cell r="BI148">
            <v>20</v>
          </cell>
          <cell r="BJ148">
            <v>10</v>
          </cell>
          <cell r="BK148">
            <v>10</v>
          </cell>
          <cell r="BL148">
            <v>10</v>
          </cell>
          <cell r="BM148">
            <v>10</v>
          </cell>
          <cell r="BN148">
            <v>0</v>
          </cell>
          <cell r="BO148">
            <v>0</v>
          </cell>
          <cell r="BP148">
            <v>0</v>
          </cell>
        </row>
        <row r="149">
          <cell r="A149" t="str">
            <v>7.750% Senior Notes due 2015</v>
          </cell>
          <cell r="B149">
            <v>7.7499999999999999E-2</v>
          </cell>
          <cell r="I149">
            <v>0</v>
          </cell>
          <cell r="J149">
            <v>60</v>
          </cell>
          <cell r="K149">
            <v>50</v>
          </cell>
          <cell r="L149">
            <v>40</v>
          </cell>
          <cell r="M149">
            <v>30</v>
          </cell>
          <cell r="N149">
            <v>20</v>
          </cell>
          <cell r="O149">
            <v>10</v>
          </cell>
          <cell r="P149">
            <v>0</v>
          </cell>
          <cell r="S149">
            <v>0</v>
          </cell>
          <cell r="T149">
            <v>0</v>
          </cell>
          <cell r="AK149">
            <v>400</v>
          </cell>
          <cell r="AL149">
            <v>70</v>
          </cell>
          <cell r="AM149">
            <v>70</v>
          </cell>
          <cell r="AN149">
            <v>70</v>
          </cell>
          <cell r="AO149">
            <v>70</v>
          </cell>
          <cell r="AP149">
            <v>60</v>
          </cell>
          <cell r="AQ149">
            <v>60</v>
          </cell>
          <cell r="AR149">
            <v>60</v>
          </cell>
          <cell r="AS149">
            <v>60</v>
          </cell>
          <cell r="AT149">
            <v>50</v>
          </cell>
          <cell r="AU149">
            <v>50</v>
          </cell>
          <cell r="AV149">
            <v>50</v>
          </cell>
          <cell r="AW149">
            <v>50</v>
          </cell>
          <cell r="AX149">
            <v>40</v>
          </cell>
          <cell r="AY149">
            <v>40</v>
          </cell>
          <cell r="AZ149">
            <v>40</v>
          </cell>
          <cell r="BA149">
            <v>40</v>
          </cell>
          <cell r="BB149">
            <v>30</v>
          </cell>
          <cell r="BC149">
            <v>30</v>
          </cell>
          <cell r="BD149">
            <v>30</v>
          </cell>
          <cell r="BE149">
            <v>30</v>
          </cell>
          <cell r="BF149">
            <v>20</v>
          </cell>
          <cell r="BG149">
            <v>20</v>
          </cell>
          <cell r="BH149">
            <v>20</v>
          </cell>
          <cell r="BI149">
            <v>20</v>
          </cell>
          <cell r="BJ149">
            <v>10</v>
          </cell>
          <cell r="BK149">
            <v>10</v>
          </cell>
          <cell r="BL149">
            <v>10</v>
          </cell>
          <cell r="BM149">
            <v>10</v>
          </cell>
          <cell r="BN149">
            <v>0</v>
          </cell>
          <cell r="BO149">
            <v>0</v>
          </cell>
          <cell r="BP149">
            <v>0</v>
          </cell>
        </row>
        <row r="150">
          <cell r="A150" t="str">
            <v>Senior Secured Credit Facility due December 2015</v>
          </cell>
          <cell r="B150">
            <v>0</v>
          </cell>
          <cell r="I150">
            <v>0</v>
          </cell>
          <cell r="J150">
            <v>0</v>
          </cell>
          <cell r="K150">
            <v>0</v>
          </cell>
          <cell r="L150">
            <v>1075.3</v>
          </cell>
          <cell r="M150">
            <v>1064.5</v>
          </cell>
          <cell r="N150">
            <v>1053.7</v>
          </cell>
          <cell r="O150">
            <v>1042.9000000000001</v>
          </cell>
          <cell r="S150">
            <v>0</v>
          </cell>
          <cell r="T150">
            <v>0</v>
          </cell>
          <cell r="AK150">
            <v>400</v>
          </cell>
          <cell r="AX150">
            <v>1075.3</v>
          </cell>
          <cell r="AY150">
            <v>1072.5999999999999</v>
          </cell>
          <cell r="AZ150">
            <v>1069.9000000000001</v>
          </cell>
          <cell r="BA150">
            <v>1067.2</v>
          </cell>
          <cell r="BB150">
            <v>1064.5</v>
          </cell>
          <cell r="BC150">
            <v>1061.8</v>
          </cell>
          <cell r="BD150">
            <v>1059.0999999999999</v>
          </cell>
          <cell r="BE150">
            <v>1056.4000000000001</v>
          </cell>
          <cell r="BF150">
            <v>1053.7</v>
          </cell>
          <cell r="BG150">
            <v>1051</v>
          </cell>
          <cell r="BH150">
            <v>1048.3</v>
          </cell>
          <cell r="BI150">
            <v>1045.5999999999999</v>
          </cell>
          <cell r="BJ150">
            <v>1042.9000000000001</v>
          </cell>
        </row>
        <row r="151">
          <cell r="A151" t="str">
            <v>9.500% PAETEC Notes due 2015</v>
          </cell>
          <cell r="B151">
            <v>9.5000000000000001E-2</v>
          </cell>
          <cell r="I151">
            <v>0</v>
          </cell>
          <cell r="J151">
            <v>0</v>
          </cell>
          <cell r="K151">
            <v>0</v>
          </cell>
          <cell r="L151">
            <v>0</v>
          </cell>
          <cell r="M151">
            <v>0</v>
          </cell>
          <cell r="N151">
            <v>300</v>
          </cell>
          <cell r="O151">
            <v>1042.9000000000001</v>
          </cell>
          <cell r="S151">
            <v>0</v>
          </cell>
          <cell r="T151">
            <v>0</v>
          </cell>
          <cell r="AX151">
            <v>1075.3</v>
          </cell>
          <cell r="AY151">
            <v>1072.5999999999999</v>
          </cell>
          <cell r="AZ151">
            <v>1069.9000000000001</v>
          </cell>
          <cell r="BA151">
            <v>1067.2</v>
          </cell>
          <cell r="BB151">
            <v>1064.5</v>
          </cell>
          <cell r="BC151">
            <v>1061.8</v>
          </cell>
          <cell r="BD151">
            <v>1059.0999999999999</v>
          </cell>
          <cell r="BE151">
            <v>1056.4000000000001</v>
          </cell>
          <cell r="BF151">
            <v>300</v>
          </cell>
          <cell r="BG151">
            <v>1051</v>
          </cell>
          <cell r="BH151">
            <v>1048.3</v>
          </cell>
          <cell r="BI151">
            <v>1045.5999999999999</v>
          </cell>
          <cell r="BJ151">
            <v>1042.9000000000001</v>
          </cell>
        </row>
        <row r="152">
          <cell r="A152" t="str">
            <v>8.625% Senior Notes due 2016</v>
          </cell>
          <cell r="B152">
            <v>8.6249999999999993E-2</v>
          </cell>
          <cell r="I152">
            <v>1746</v>
          </cell>
          <cell r="J152">
            <v>1746</v>
          </cell>
          <cell r="K152">
            <v>1746</v>
          </cell>
          <cell r="L152">
            <v>1746</v>
          </cell>
          <cell r="M152">
            <v>1746</v>
          </cell>
          <cell r="N152">
            <v>300</v>
          </cell>
          <cell r="S152">
            <v>0</v>
          </cell>
          <cell r="T152">
            <v>0</v>
          </cell>
          <cell r="AK152">
            <v>1746</v>
          </cell>
          <cell r="AL152">
            <v>1746</v>
          </cell>
          <cell r="AM152">
            <v>1746</v>
          </cell>
          <cell r="AN152">
            <v>1746</v>
          </cell>
          <cell r="AO152">
            <v>1746</v>
          </cell>
          <cell r="AP152">
            <v>1746</v>
          </cell>
          <cell r="AQ152">
            <v>1746</v>
          </cell>
          <cell r="AR152">
            <v>1746</v>
          </cell>
          <cell r="AS152">
            <v>1746</v>
          </cell>
          <cell r="AT152">
            <v>1746</v>
          </cell>
          <cell r="AU152">
            <v>1746</v>
          </cell>
          <cell r="AV152">
            <v>1746</v>
          </cell>
          <cell r="AW152">
            <v>1746</v>
          </cell>
          <cell r="AX152">
            <v>1746</v>
          </cell>
          <cell r="AY152">
            <v>1746</v>
          </cell>
          <cell r="AZ152">
            <v>1746</v>
          </cell>
          <cell r="BA152">
            <v>1746</v>
          </cell>
          <cell r="BB152">
            <v>1746</v>
          </cell>
          <cell r="BC152">
            <v>584.70000000000005</v>
          </cell>
          <cell r="BD152">
            <v>551.5</v>
          </cell>
          <cell r="BE152">
            <v>201.5</v>
          </cell>
          <cell r="BF152">
            <v>300</v>
          </cell>
        </row>
        <row r="153">
          <cell r="A153" t="str">
            <v>Senior Secured Credit Facility due December 2016</v>
          </cell>
          <cell r="B153">
            <v>0</v>
          </cell>
          <cell r="I153">
            <v>0</v>
          </cell>
          <cell r="J153">
            <v>0</v>
          </cell>
          <cell r="K153">
            <v>0</v>
          </cell>
          <cell r="L153">
            <v>0</v>
          </cell>
          <cell r="M153">
            <v>0</v>
          </cell>
          <cell r="N153">
            <v>0</v>
          </cell>
          <cell r="O153">
            <v>408.8</v>
          </cell>
          <cell r="P153">
            <v>387.3</v>
          </cell>
          <cell r="Q153">
            <v>344.3</v>
          </cell>
          <cell r="R153">
            <v>0</v>
          </cell>
          <cell r="S153">
            <v>0</v>
          </cell>
          <cell r="T153">
            <v>0</v>
          </cell>
          <cell r="U153">
            <v>0</v>
          </cell>
          <cell r="V153">
            <v>0</v>
          </cell>
          <cell r="W153">
            <v>0</v>
          </cell>
          <cell r="X153">
            <v>0</v>
          </cell>
          <cell r="Y153">
            <v>0</v>
          </cell>
          <cell r="AK153">
            <v>1746</v>
          </cell>
          <cell r="AL153">
            <v>1746</v>
          </cell>
          <cell r="AM153">
            <v>1746</v>
          </cell>
          <cell r="AN153">
            <v>1746</v>
          </cell>
          <cell r="AO153">
            <v>1746</v>
          </cell>
          <cell r="AP153">
            <v>1746</v>
          </cell>
          <cell r="AQ153">
            <v>1746</v>
          </cell>
          <cell r="AR153">
            <v>1746</v>
          </cell>
          <cell r="AS153">
            <v>1746</v>
          </cell>
          <cell r="AT153">
            <v>1746</v>
          </cell>
          <cell r="AU153">
            <v>1746</v>
          </cell>
          <cell r="AV153">
            <v>1746</v>
          </cell>
          <cell r="AW153">
            <v>1746</v>
          </cell>
          <cell r="AX153">
            <v>1746</v>
          </cell>
          <cell r="AY153">
            <v>1746</v>
          </cell>
          <cell r="AZ153">
            <v>1746</v>
          </cell>
          <cell r="BA153">
            <v>1746</v>
          </cell>
          <cell r="BB153">
            <v>1746</v>
          </cell>
          <cell r="BC153">
            <v>584.70000000000005</v>
          </cell>
          <cell r="BD153">
            <v>551.5</v>
          </cell>
          <cell r="BE153">
            <v>201.5</v>
          </cell>
          <cell r="BG153">
            <v>424.9</v>
          </cell>
          <cell r="BH153">
            <v>419.6</v>
          </cell>
          <cell r="BI153">
            <v>414.2</v>
          </cell>
          <cell r="BJ153">
            <v>408.8</v>
          </cell>
          <cell r="BK153">
            <v>403.5</v>
          </cell>
          <cell r="BL153">
            <v>398.1</v>
          </cell>
          <cell r="BM153">
            <v>392.7</v>
          </cell>
          <cell r="BN153">
            <v>387.3</v>
          </cell>
          <cell r="BO153">
            <v>376.6</v>
          </cell>
          <cell r="BP153">
            <v>365.8</v>
          </cell>
          <cell r="BQ153">
            <v>355</v>
          </cell>
          <cell r="BR153">
            <v>344.3</v>
          </cell>
          <cell r="BS153">
            <v>333.5</v>
          </cell>
          <cell r="BT153">
            <v>0</v>
          </cell>
          <cell r="BU153">
            <v>0</v>
          </cell>
          <cell r="BV153">
            <v>0</v>
          </cell>
          <cell r="BW153">
            <v>0</v>
          </cell>
          <cell r="BX153">
            <v>0</v>
          </cell>
          <cell r="BY153">
            <v>0</v>
          </cell>
          <cell r="CA153">
            <v>0</v>
          </cell>
          <cell r="CB153">
            <v>0</v>
          </cell>
          <cell r="CC153">
            <v>0</v>
          </cell>
          <cell r="CD153">
            <v>0</v>
          </cell>
        </row>
        <row r="154">
          <cell r="A154" t="str">
            <v>7.875% Senior Notes due November 1, 2017</v>
          </cell>
          <cell r="B154">
            <v>7.8750000000000001E-2</v>
          </cell>
          <cell r="I154">
            <v>0</v>
          </cell>
          <cell r="J154">
            <v>0</v>
          </cell>
          <cell r="K154">
            <v>0</v>
          </cell>
          <cell r="L154">
            <v>1100</v>
          </cell>
          <cell r="M154">
            <v>1100</v>
          </cell>
          <cell r="N154">
            <v>1100</v>
          </cell>
          <cell r="O154">
            <v>1100</v>
          </cell>
          <cell r="P154">
            <v>1100</v>
          </cell>
          <cell r="Q154">
            <v>1100</v>
          </cell>
          <cell r="R154">
            <v>904.1</v>
          </cell>
          <cell r="S154">
            <v>0</v>
          </cell>
          <cell r="T154">
            <v>0</v>
          </cell>
          <cell r="U154">
            <v>0</v>
          </cell>
          <cell r="V154">
            <v>0</v>
          </cell>
          <cell r="W154">
            <v>0</v>
          </cell>
          <cell r="X154">
            <v>0</v>
          </cell>
          <cell r="Y154">
            <v>0</v>
          </cell>
          <cell r="AX154">
            <v>1100</v>
          </cell>
          <cell r="AY154">
            <v>1100</v>
          </cell>
          <cell r="AZ154">
            <v>1100</v>
          </cell>
          <cell r="BA154">
            <v>1100</v>
          </cell>
          <cell r="BB154">
            <v>1100</v>
          </cell>
          <cell r="BC154">
            <v>1100</v>
          </cell>
          <cell r="BD154">
            <v>1100</v>
          </cell>
          <cell r="BE154">
            <v>1100</v>
          </cell>
          <cell r="BF154">
            <v>1100</v>
          </cell>
          <cell r="BG154">
            <v>424.9</v>
          </cell>
          <cell r="BH154">
            <v>419.6</v>
          </cell>
          <cell r="BI154">
            <v>414.2</v>
          </cell>
          <cell r="BJ154">
            <v>408.8</v>
          </cell>
          <cell r="BK154">
            <v>403.5</v>
          </cell>
          <cell r="BL154">
            <v>398.1</v>
          </cell>
          <cell r="BM154">
            <v>392.7</v>
          </cell>
          <cell r="BN154">
            <v>387.3</v>
          </cell>
          <cell r="BO154">
            <v>376.6</v>
          </cell>
          <cell r="BP154">
            <v>365.8</v>
          </cell>
          <cell r="BQ154">
            <v>355</v>
          </cell>
          <cell r="BR154">
            <v>344.3</v>
          </cell>
          <cell r="BS154">
            <v>333.5</v>
          </cell>
          <cell r="BT154">
            <v>0</v>
          </cell>
          <cell r="BU154">
            <v>0</v>
          </cell>
          <cell r="BV154">
            <v>0</v>
          </cell>
          <cell r="BW154">
            <v>0</v>
          </cell>
          <cell r="BX154">
            <v>0</v>
          </cell>
          <cell r="BY154">
            <v>0</v>
          </cell>
          <cell r="BZ154">
            <v>0</v>
          </cell>
          <cell r="CA154">
            <v>0</v>
          </cell>
          <cell r="CB154">
            <v>0</v>
          </cell>
          <cell r="CC154">
            <v>0</v>
          </cell>
          <cell r="CD154">
            <v>0</v>
          </cell>
        </row>
        <row r="155">
          <cell r="A155" t="str">
            <v>Senior Secured Credit Facility due August 2017</v>
          </cell>
          <cell r="B155">
            <v>0</v>
          </cell>
          <cell r="I155">
            <v>0</v>
          </cell>
          <cell r="J155">
            <v>0</v>
          </cell>
          <cell r="K155">
            <v>0</v>
          </cell>
          <cell r="L155">
            <v>0</v>
          </cell>
          <cell r="M155">
            <v>0</v>
          </cell>
          <cell r="N155">
            <v>0</v>
          </cell>
          <cell r="O155">
            <v>292.5</v>
          </cell>
          <cell r="P155">
            <v>277.5</v>
          </cell>
          <cell r="Q155">
            <v>255</v>
          </cell>
          <cell r="R155">
            <v>0</v>
          </cell>
          <cell r="S155">
            <v>0</v>
          </cell>
          <cell r="T155">
            <v>0</v>
          </cell>
          <cell r="U155">
            <v>0</v>
          </cell>
          <cell r="V155">
            <v>0</v>
          </cell>
          <cell r="W155">
            <v>0</v>
          </cell>
          <cell r="X155">
            <v>0</v>
          </cell>
          <cell r="Y155">
            <v>0</v>
          </cell>
          <cell r="AX155">
            <v>1100</v>
          </cell>
          <cell r="AY155">
            <v>1100</v>
          </cell>
          <cell r="AZ155">
            <v>1100</v>
          </cell>
          <cell r="BA155">
            <v>1100</v>
          </cell>
          <cell r="BB155">
            <v>1100</v>
          </cell>
          <cell r="BC155">
            <v>1100</v>
          </cell>
          <cell r="BD155">
            <v>1100</v>
          </cell>
          <cell r="BE155">
            <v>1100</v>
          </cell>
          <cell r="BF155">
            <v>1100</v>
          </cell>
          <cell r="BG155">
            <v>1100</v>
          </cell>
          <cell r="BH155">
            <v>1100</v>
          </cell>
          <cell r="BI155">
            <v>296.3</v>
          </cell>
          <cell r="BJ155">
            <v>292.5</v>
          </cell>
          <cell r="BK155">
            <v>288.7</v>
          </cell>
          <cell r="BL155">
            <v>285</v>
          </cell>
          <cell r="BM155">
            <v>281.2</v>
          </cell>
          <cell r="BN155">
            <v>277.5</v>
          </cell>
          <cell r="BO155">
            <v>273.7</v>
          </cell>
          <cell r="BP155">
            <v>270</v>
          </cell>
          <cell r="BQ155">
            <v>262.5</v>
          </cell>
          <cell r="BR155">
            <v>255</v>
          </cell>
          <cell r="BS155">
            <v>247.5</v>
          </cell>
          <cell r="BT155">
            <v>0</v>
          </cell>
          <cell r="BU155">
            <v>0</v>
          </cell>
          <cell r="BV155">
            <v>0</v>
          </cell>
          <cell r="BW155">
            <v>0</v>
          </cell>
          <cell r="BX155">
            <v>0</v>
          </cell>
          <cell r="BY155">
            <v>0</v>
          </cell>
          <cell r="BZ155">
            <v>0</v>
          </cell>
          <cell r="CA155">
            <v>0</v>
          </cell>
          <cell r="CB155">
            <v>0</v>
          </cell>
          <cell r="CC155">
            <v>0</v>
          </cell>
          <cell r="CD155">
            <v>0</v>
          </cell>
        </row>
        <row r="156">
          <cell r="A156" t="str">
            <v>8.875% PAETEC Notes due 2017</v>
          </cell>
          <cell r="B156">
            <v>8.8749999999999996E-2</v>
          </cell>
          <cell r="I156">
            <v>0</v>
          </cell>
          <cell r="J156">
            <v>0</v>
          </cell>
          <cell r="K156">
            <v>0</v>
          </cell>
          <cell r="L156">
            <v>0</v>
          </cell>
          <cell r="M156">
            <v>0</v>
          </cell>
          <cell r="N156">
            <v>650</v>
          </cell>
          <cell r="O156">
            <v>650</v>
          </cell>
          <cell r="P156">
            <v>277.5</v>
          </cell>
          <cell r="Q156">
            <v>255</v>
          </cell>
          <cell r="R156">
            <v>0</v>
          </cell>
          <cell r="S156">
            <v>0</v>
          </cell>
          <cell r="T156">
            <v>0</v>
          </cell>
          <cell r="U156">
            <v>0</v>
          </cell>
          <cell r="V156">
            <v>0</v>
          </cell>
          <cell r="W156">
            <v>0</v>
          </cell>
          <cell r="X156">
            <v>0</v>
          </cell>
          <cell r="Y156">
            <v>0</v>
          </cell>
          <cell r="BF156">
            <v>650</v>
          </cell>
          <cell r="BG156">
            <v>650</v>
          </cell>
          <cell r="BH156">
            <v>650</v>
          </cell>
          <cell r="BI156">
            <v>296.3</v>
          </cell>
          <cell r="BJ156">
            <v>292.5</v>
          </cell>
          <cell r="BK156">
            <v>288.7</v>
          </cell>
          <cell r="BL156">
            <v>285</v>
          </cell>
          <cell r="BM156">
            <v>281.2</v>
          </cell>
          <cell r="BN156">
            <v>277.5</v>
          </cell>
          <cell r="BO156">
            <v>273.7</v>
          </cell>
          <cell r="BP156">
            <v>270</v>
          </cell>
          <cell r="BQ156">
            <v>262.5</v>
          </cell>
          <cell r="BR156">
            <v>255</v>
          </cell>
          <cell r="BS156">
            <v>247.5</v>
          </cell>
          <cell r="BT156">
            <v>0</v>
          </cell>
          <cell r="BU156">
            <v>0</v>
          </cell>
          <cell r="BV156">
            <v>0</v>
          </cell>
          <cell r="BW156">
            <v>0</v>
          </cell>
          <cell r="BX156">
            <v>0</v>
          </cell>
          <cell r="BY156">
            <v>0</v>
          </cell>
          <cell r="CA156">
            <v>0</v>
          </cell>
          <cell r="CB156">
            <v>0</v>
          </cell>
          <cell r="CC156">
            <v>0</v>
          </cell>
          <cell r="CD156">
            <v>0</v>
          </cell>
        </row>
        <row r="157">
          <cell r="A157" t="str">
            <v>8.125% Senior Notes due September 1, 2018</v>
          </cell>
          <cell r="B157">
            <v>8.1250000000000003E-2</v>
          </cell>
          <cell r="I157">
            <v>0</v>
          </cell>
          <cell r="J157">
            <v>0</v>
          </cell>
          <cell r="K157">
            <v>0</v>
          </cell>
          <cell r="L157">
            <v>0</v>
          </cell>
          <cell r="M157">
            <v>400</v>
          </cell>
          <cell r="N157">
            <v>400</v>
          </cell>
          <cell r="O157">
            <v>400</v>
          </cell>
          <cell r="P157">
            <v>400</v>
          </cell>
          <cell r="Q157">
            <v>400</v>
          </cell>
          <cell r="R157">
            <v>0</v>
          </cell>
          <cell r="S157">
            <v>0</v>
          </cell>
          <cell r="T157">
            <v>0</v>
          </cell>
          <cell r="U157">
            <v>0</v>
          </cell>
          <cell r="V157">
            <v>0</v>
          </cell>
          <cell r="W157">
            <v>0</v>
          </cell>
          <cell r="X157">
            <v>0</v>
          </cell>
          <cell r="Y157">
            <v>0</v>
          </cell>
          <cell r="BA157">
            <v>400</v>
          </cell>
          <cell r="BB157">
            <v>400</v>
          </cell>
          <cell r="BC157">
            <v>400</v>
          </cell>
          <cell r="BD157">
            <v>400</v>
          </cell>
          <cell r="BE157">
            <v>400</v>
          </cell>
          <cell r="BF157">
            <v>650</v>
          </cell>
          <cell r="BG157">
            <v>650</v>
          </cell>
          <cell r="BH157">
            <v>650</v>
          </cell>
          <cell r="BI157">
            <v>650</v>
          </cell>
          <cell r="BJ157">
            <v>650</v>
          </cell>
          <cell r="BK157">
            <v>400</v>
          </cell>
          <cell r="BL157">
            <v>400</v>
          </cell>
          <cell r="BM157">
            <v>400</v>
          </cell>
          <cell r="BN157">
            <v>400</v>
          </cell>
          <cell r="BO157">
            <v>400</v>
          </cell>
          <cell r="BP157">
            <v>400</v>
          </cell>
          <cell r="BQ157">
            <v>400</v>
          </cell>
          <cell r="BR157">
            <v>400</v>
          </cell>
          <cell r="BS157">
            <v>400</v>
          </cell>
          <cell r="BT157">
            <v>0</v>
          </cell>
          <cell r="BU157">
            <v>0</v>
          </cell>
          <cell r="BV157">
            <v>0</v>
          </cell>
          <cell r="BW157">
            <v>0</v>
          </cell>
          <cell r="BX157">
            <v>0</v>
          </cell>
          <cell r="BY157">
            <v>0</v>
          </cell>
          <cell r="CA157">
            <v>0</v>
          </cell>
          <cell r="CB157">
            <v>0</v>
          </cell>
          <cell r="CC157">
            <v>0</v>
          </cell>
          <cell r="CD157">
            <v>0</v>
          </cell>
        </row>
        <row r="158">
          <cell r="A158" t="str">
            <v>9.875% PAETEC Notes due December 1, 2018</v>
          </cell>
          <cell r="B158">
            <v>9.8750000000000004E-2</v>
          </cell>
          <cell r="I158">
            <v>0</v>
          </cell>
          <cell r="J158">
            <v>0</v>
          </cell>
          <cell r="K158">
            <v>0</v>
          </cell>
          <cell r="L158">
            <v>0</v>
          </cell>
          <cell r="M158">
            <v>0</v>
          </cell>
          <cell r="N158">
            <v>450</v>
          </cell>
          <cell r="O158">
            <v>450</v>
          </cell>
          <cell r="P158">
            <v>450</v>
          </cell>
          <cell r="Q158">
            <v>450</v>
          </cell>
          <cell r="R158">
            <v>0</v>
          </cell>
          <cell r="S158">
            <v>0</v>
          </cell>
          <cell r="T158">
            <v>0</v>
          </cell>
          <cell r="U158">
            <v>0</v>
          </cell>
          <cell r="V158">
            <v>0</v>
          </cell>
          <cell r="W158">
            <v>0</v>
          </cell>
          <cell r="X158">
            <v>0</v>
          </cell>
          <cell r="Y158">
            <v>0</v>
          </cell>
          <cell r="BA158">
            <v>400</v>
          </cell>
          <cell r="BB158">
            <v>400</v>
          </cell>
          <cell r="BC158">
            <v>400</v>
          </cell>
          <cell r="BD158">
            <v>400</v>
          </cell>
          <cell r="BE158">
            <v>400</v>
          </cell>
          <cell r="BF158">
            <v>450</v>
          </cell>
          <cell r="BG158">
            <v>450</v>
          </cell>
          <cell r="BH158">
            <v>450</v>
          </cell>
          <cell r="BI158">
            <v>450</v>
          </cell>
          <cell r="BJ158">
            <v>450</v>
          </cell>
          <cell r="BK158">
            <v>450</v>
          </cell>
          <cell r="BL158">
            <v>450</v>
          </cell>
          <cell r="BM158">
            <v>450</v>
          </cell>
          <cell r="BN158">
            <v>450</v>
          </cell>
          <cell r="BO158">
            <v>450</v>
          </cell>
          <cell r="BP158">
            <v>450</v>
          </cell>
          <cell r="BQ158">
            <v>450</v>
          </cell>
          <cell r="BR158">
            <v>450</v>
          </cell>
          <cell r="BS158">
            <v>450</v>
          </cell>
          <cell r="BT158">
            <v>0</v>
          </cell>
          <cell r="BU158">
            <v>0</v>
          </cell>
          <cell r="BV158">
            <v>0</v>
          </cell>
          <cell r="BW158">
            <v>0</v>
          </cell>
          <cell r="BX158">
            <v>0</v>
          </cell>
          <cell r="BY158">
            <v>0</v>
          </cell>
          <cell r="CA158">
            <v>0</v>
          </cell>
          <cell r="CB158">
            <v>0</v>
          </cell>
          <cell r="CC158">
            <v>0</v>
          </cell>
          <cell r="CD158">
            <v>0</v>
          </cell>
        </row>
        <row r="159">
          <cell r="A159" t="str">
            <v>7.000% Senior Notes due March 15, 2019</v>
          </cell>
          <cell r="B159">
            <v>7.0000000000000007E-2</v>
          </cell>
          <cell r="I159">
            <v>0</v>
          </cell>
          <cell r="J159">
            <v>500</v>
          </cell>
          <cell r="K159">
            <v>500</v>
          </cell>
          <cell r="L159">
            <v>500</v>
          </cell>
          <cell r="M159">
            <v>500</v>
          </cell>
          <cell r="N159">
            <v>500</v>
          </cell>
          <cell r="O159">
            <v>500</v>
          </cell>
          <cell r="P159">
            <v>0</v>
          </cell>
          <cell r="Q159">
            <v>0</v>
          </cell>
          <cell r="R159">
            <v>0</v>
          </cell>
          <cell r="S159">
            <v>0</v>
          </cell>
          <cell r="T159">
            <v>0</v>
          </cell>
          <cell r="U159">
            <v>0</v>
          </cell>
          <cell r="V159">
            <v>0</v>
          </cell>
          <cell r="W159">
            <v>0</v>
          </cell>
          <cell r="X159">
            <v>0</v>
          </cell>
          <cell r="Y159">
            <v>0</v>
          </cell>
          <cell r="AM159">
            <v>500</v>
          </cell>
          <cell r="AN159">
            <v>500</v>
          </cell>
          <cell r="AO159">
            <v>500</v>
          </cell>
          <cell r="AP159">
            <v>500</v>
          </cell>
          <cell r="AQ159">
            <v>500</v>
          </cell>
          <cell r="AR159">
            <v>500</v>
          </cell>
          <cell r="AS159">
            <v>500</v>
          </cell>
          <cell r="AT159">
            <v>500</v>
          </cell>
          <cell r="AU159">
            <v>500</v>
          </cell>
          <cell r="AV159">
            <v>500</v>
          </cell>
          <cell r="AW159">
            <v>500</v>
          </cell>
          <cell r="AX159">
            <v>500</v>
          </cell>
          <cell r="AY159">
            <v>500</v>
          </cell>
          <cell r="AZ159">
            <v>500</v>
          </cell>
          <cell r="BA159">
            <v>500</v>
          </cell>
          <cell r="BB159">
            <v>500</v>
          </cell>
          <cell r="BC159">
            <v>500</v>
          </cell>
          <cell r="BD159">
            <v>500</v>
          </cell>
          <cell r="BE159">
            <v>500</v>
          </cell>
          <cell r="BF159">
            <v>450</v>
          </cell>
          <cell r="BG159">
            <v>450</v>
          </cell>
          <cell r="BH159">
            <v>450</v>
          </cell>
          <cell r="BI159">
            <v>450</v>
          </cell>
          <cell r="BJ159">
            <v>450</v>
          </cell>
          <cell r="BK159">
            <v>450</v>
          </cell>
          <cell r="BL159">
            <v>450</v>
          </cell>
          <cell r="BM159">
            <v>450</v>
          </cell>
          <cell r="BN159">
            <v>450</v>
          </cell>
          <cell r="BO159">
            <v>450</v>
          </cell>
          <cell r="BP159">
            <v>450</v>
          </cell>
          <cell r="BQ159">
            <v>450</v>
          </cell>
          <cell r="BR159">
            <v>450</v>
          </cell>
          <cell r="BS159">
            <v>450</v>
          </cell>
          <cell r="BT159">
            <v>0</v>
          </cell>
          <cell r="BU159">
            <v>0</v>
          </cell>
          <cell r="BV159">
            <v>0</v>
          </cell>
          <cell r="BW159">
            <v>0</v>
          </cell>
          <cell r="BX159">
            <v>0</v>
          </cell>
          <cell r="BY159">
            <v>0</v>
          </cell>
          <cell r="CA159">
            <v>0</v>
          </cell>
          <cell r="CB159">
            <v>0</v>
          </cell>
          <cell r="CC159">
            <v>0</v>
          </cell>
          <cell r="CD159">
            <v>0</v>
          </cell>
        </row>
        <row r="160">
          <cell r="A160" t="str">
            <v>Senior Secured Credit Facility due August 2019</v>
          </cell>
          <cell r="B160">
            <v>6.5000000000000002E-2</v>
          </cell>
          <cell r="I160">
            <v>0</v>
          </cell>
          <cell r="J160">
            <v>0</v>
          </cell>
          <cell r="K160">
            <v>0</v>
          </cell>
          <cell r="L160">
            <v>0</v>
          </cell>
          <cell r="M160">
            <v>0</v>
          </cell>
          <cell r="N160">
            <v>0</v>
          </cell>
          <cell r="O160">
            <v>597</v>
          </cell>
          <cell r="P160">
            <v>590</v>
          </cell>
          <cell r="Q160">
            <v>584.1</v>
          </cell>
          <cell r="R160">
            <v>578.20000000000005</v>
          </cell>
          <cell r="S160">
            <v>572.29999999999995</v>
          </cell>
          <cell r="T160">
            <v>0</v>
          </cell>
          <cell r="U160">
            <v>0</v>
          </cell>
          <cell r="V160">
            <v>0</v>
          </cell>
          <cell r="W160">
            <v>0</v>
          </cell>
          <cell r="X160">
            <v>0</v>
          </cell>
          <cell r="Y160">
            <v>0</v>
          </cell>
          <cell r="AM160">
            <v>500</v>
          </cell>
          <cell r="AN160">
            <v>500</v>
          </cell>
          <cell r="AO160">
            <v>500</v>
          </cell>
          <cell r="AP160">
            <v>500</v>
          </cell>
          <cell r="AQ160">
            <v>500</v>
          </cell>
          <cell r="AR160">
            <v>500</v>
          </cell>
          <cell r="AS160">
            <v>500</v>
          </cell>
          <cell r="AT160">
            <v>500</v>
          </cell>
          <cell r="AU160">
            <v>500</v>
          </cell>
          <cell r="AV160">
            <v>500</v>
          </cell>
          <cell r="AW160">
            <v>500</v>
          </cell>
          <cell r="AX160">
            <v>500</v>
          </cell>
          <cell r="AY160">
            <v>500</v>
          </cell>
          <cell r="AZ160">
            <v>500</v>
          </cell>
          <cell r="BA160">
            <v>500</v>
          </cell>
          <cell r="BB160">
            <v>500</v>
          </cell>
          <cell r="BC160">
            <v>500</v>
          </cell>
          <cell r="BD160">
            <v>500</v>
          </cell>
          <cell r="BE160">
            <v>500</v>
          </cell>
          <cell r="BF160">
            <v>500</v>
          </cell>
          <cell r="BG160">
            <v>500</v>
          </cell>
          <cell r="BH160">
            <v>500</v>
          </cell>
          <cell r="BI160">
            <v>598.5</v>
          </cell>
          <cell r="BJ160">
            <v>597</v>
          </cell>
          <cell r="BK160">
            <v>595.5</v>
          </cell>
          <cell r="BL160">
            <v>594</v>
          </cell>
          <cell r="BM160">
            <v>592.5</v>
          </cell>
          <cell r="BN160">
            <v>590</v>
          </cell>
          <cell r="BO160">
            <v>588.5</v>
          </cell>
          <cell r="BP160">
            <v>587.1</v>
          </cell>
          <cell r="BQ160">
            <v>585.6</v>
          </cell>
          <cell r="BR160">
            <v>584.1</v>
          </cell>
          <cell r="BS160">
            <v>582.6</v>
          </cell>
          <cell r="BT160">
            <v>581.20000000000005</v>
          </cell>
          <cell r="BU160">
            <v>579.70000000000005</v>
          </cell>
          <cell r="BV160">
            <v>578.20000000000005</v>
          </cell>
          <cell r="BW160">
            <v>576.70000000000005</v>
          </cell>
          <cell r="BX160">
            <v>575.20000000000005</v>
          </cell>
          <cell r="BY160">
            <v>573.79999999999995</v>
          </cell>
          <cell r="BZ160">
            <v>572.29999999999995</v>
          </cell>
          <cell r="CA160">
            <v>0</v>
          </cell>
          <cell r="CB160">
            <v>0</v>
          </cell>
          <cell r="CC160">
            <v>0</v>
          </cell>
          <cell r="CD160">
            <v>0</v>
          </cell>
        </row>
        <row r="161">
          <cell r="A161" t="str">
            <v>Senior Secured Credit B7 (2024)</v>
          </cell>
          <cell r="B161">
            <v>4.2500000000000003E-2</v>
          </cell>
          <cell r="I161">
            <v>0</v>
          </cell>
          <cell r="J161">
            <v>0</v>
          </cell>
          <cell r="K161">
            <v>0</v>
          </cell>
          <cell r="L161">
            <v>0</v>
          </cell>
          <cell r="M161">
            <v>0</v>
          </cell>
          <cell r="N161">
            <v>0</v>
          </cell>
          <cell r="O161">
            <v>0</v>
          </cell>
          <cell r="P161">
            <v>0</v>
          </cell>
          <cell r="Q161">
            <v>0</v>
          </cell>
          <cell r="R161">
            <v>0</v>
          </cell>
          <cell r="S161">
            <v>0</v>
          </cell>
          <cell r="T161">
            <v>578.5</v>
          </cell>
          <cell r="U161">
            <v>572.71500000000003</v>
          </cell>
          <cell r="V161">
            <v>566.98784999999998</v>
          </cell>
          <cell r="W161">
            <v>561.3179715</v>
          </cell>
          <cell r="X161">
            <v>555.704791785</v>
          </cell>
          <cell r="Y161">
            <v>550.14774386714998</v>
          </cell>
          <cell r="BI161">
            <v>598.5</v>
          </cell>
          <cell r="BJ161">
            <v>597</v>
          </cell>
          <cell r="BK161">
            <v>595.5</v>
          </cell>
          <cell r="BL161">
            <v>594</v>
          </cell>
          <cell r="BM161">
            <v>592.5</v>
          </cell>
          <cell r="BN161">
            <v>590</v>
          </cell>
          <cell r="BO161">
            <v>588.5</v>
          </cell>
          <cell r="BP161">
            <v>587.1</v>
          </cell>
          <cell r="BQ161">
            <v>585.6</v>
          </cell>
          <cell r="BR161">
            <v>584.1</v>
          </cell>
          <cell r="BS161">
            <v>582.6</v>
          </cell>
          <cell r="BT161">
            <v>581.20000000000005</v>
          </cell>
          <cell r="BU161">
            <v>579.70000000000005</v>
          </cell>
          <cell r="BV161">
            <v>578.20000000000005</v>
          </cell>
          <cell r="BW161">
            <v>600</v>
          </cell>
          <cell r="BX161">
            <v>598.5</v>
          </cell>
          <cell r="BY161">
            <v>747</v>
          </cell>
          <cell r="BZ161">
            <v>894.8</v>
          </cell>
          <cell r="CA161">
            <v>578.5</v>
          </cell>
          <cell r="CB161">
            <v>578.5</v>
          </cell>
          <cell r="CC161">
            <v>578.5</v>
          </cell>
          <cell r="CD161">
            <v>578.5</v>
          </cell>
        </row>
        <row r="162">
          <cell r="A162" t="str">
            <v>Incremental Term Loan Due 2021</v>
          </cell>
          <cell r="B162">
            <v>5.7500000000000002E-2</v>
          </cell>
          <cell r="I162">
            <v>0</v>
          </cell>
          <cell r="J162">
            <v>0</v>
          </cell>
          <cell r="K162">
            <v>0</v>
          </cell>
          <cell r="L162">
            <v>0</v>
          </cell>
          <cell r="M162">
            <v>0</v>
          </cell>
          <cell r="N162">
            <v>0</v>
          </cell>
          <cell r="O162">
            <v>0</v>
          </cell>
          <cell r="P162">
            <v>0</v>
          </cell>
          <cell r="Q162">
            <v>700</v>
          </cell>
          <cell r="R162">
            <v>700</v>
          </cell>
          <cell r="S162">
            <v>894.8</v>
          </cell>
          <cell r="T162">
            <v>1331.3646302906254</v>
          </cell>
          <cell r="U162">
            <v>1331.3646302906254</v>
          </cell>
          <cell r="V162">
            <v>1331.3646302906254</v>
          </cell>
          <cell r="W162">
            <v>1331.3646302906254</v>
          </cell>
          <cell r="X162">
            <v>0</v>
          </cell>
          <cell r="Y162">
            <v>0</v>
          </cell>
          <cell r="BB162">
            <v>500</v>
          </cell>
          <cell r="BC162">
            <v>700</v>
          </cell>
          <cell r="BD162">
            <v>700</v>
          </cell>
          <cell r="BE162">
            <v>700</v>
          </cell>
          <cell r="BF162">
            <v>700</v>
          </cell>
          <cell r="BG162">
            <v>700</v>
          </cell>
          <cell r="BH162">
            <v>700</v>
          </cell>
          <cell r="BI162">
            <v>700</v>
          </cell>
          <cell r="BJ162">
            <v>700</v>
          </cell>
          <cell r="BK162">
            <v>700</v>
          </cell>
          <cell r="BL162">
            <v>700</v>
          </cell>
          <cell r="BM162">
            <v>700</v>
          </cell>
          <cell r="BN162">
            <v>700</v>
          </cell>
          <cell r="BO162">
            <v>700</v>
          </cell>
          <cell r="BP162">
            <v>700</v>
          </cell>
          <cell r="BQ162">
            <v>700</v>
          </cell>
          <cell r="BR162">
            <v>700</v>
          </cell>
          <cell r="BS162">
            <v>700</v>
          </cell>
          <cell r="BT162">
            <v>700</v>
          </cell>
          <cell r="BU162">
            <v>700</v>
          </cell>
          <cell r="BV162">
            <v>700</v>
          </cell>
          <cell r="BW162">
            <v>600</v>
          </cell>
          <cell r="BX162">
            <v>598.5</v>
          </cell>
          <cell r="BY162">
            <v>747</v>
          </cell>
          <cell r="BZ162">
            <v>894.8</v>
          </cell>
          <cell r="CA162">
            <v>578.5</v>
          </cell>
          <cell r="CB162">
            <v>577.1</v>
          </cell>
          <cell r="CC162">
            <v>577.1</v>
          </cell>
          <cell r="CD162">
            <v>577.1</v>
          </cell>
        </row>
        <row r="163">
          <cell r="A163" t="str">
            <v>7.750% Senior Notes due October 15, 2020</v>
          </cell>
          <cell r="B163">
            <v>7.7499999999999999E-2</v>
          </cell>
          <cell r="I163">
            <v>0</v>
          </cell>
          <cell r="J163">
            <v>0</v>
          </cell>
          <cell r="K163">
            <v>0</v>
          </cell>
          <cell r="L163">
            <v>0</v>
          </cell>
          <cell r="M163">
            <v>500</v>
          </cell>
          <cell r="N163">
            <v>700</v>
          </cell>
          <cell r="O163">
            <v>700</v>
          </cell>
          <cell r="P163">
            <v>700</v>
          </cell>
          <cell r="Q163">
            <v>700</v>
          </cell>
          <cell r="R163">
            <v>700</v>
          </cell>
          <cell r="S163">
            <v>894.8</v>
          </cell>
          <cell r="T163">
            <v>1331.3183625000001</v>
          </cell>
          <cell r="U163">
            <v>1331.3183625000001</v>
          </cell>
          <cell r="V163">
            <v>1331.3183625000001</v>
          </cell>
          <cell r="W163">
            <v>1331.3183625000001</v>
          </cell>
          <cell r="X163">
            <v>0</v>
          </cell>
          <cell r="Y163">
            <v>0</v>
          </cell>
          <cell r="BB163">
            <v>500</v>
          </cell>
          <cell r="BC163">
            <v>700</v>
          </cell>
          <cell r="BD163">
            <v>700</v>
          </cell>
          <cell r="BE163">
            <v>700</v>
          </cell>
          <cell r="BF163">
            <v>700</v>
          </cell>
          <cell r="BG163">
            <v>700</v>
          </cell>
          <cell r="BH163">
            <v>700</v>
          </cell>
          <cell r="BI163">
            <v>700</v>
          </cell>
          <cell r="BJ163">
            <v>700</v>
          </cell>
          <cell r="BK163">
            <v>700</v>
          </cell>
          <cell r="BL163">
            <v>700</v>
          </cell>
          <cell r="BM163">
            <v>700</v>
          </cell>
          <cell r="BN163">
            <v>700</v>
          </cell>
          <cell r="BO163">
            <v>700</v>
          </cell>
          <cell r="BP163">
            <v>700</v>
          </cell>
          <cell r="BQ163">
            <v>700</v>
          </cell>
          <cell r="BR163">
            <v>700</v>
          </cell>
          <cell r="BS163">
            <v>700</v>
          </cell>
          <cell r="BT163">
            <v>700</v>
          </cell>
          <cell r="BU163">
            <v>700</v>
          </cell>
          <cell r="BV163">
            <v>700</v>
          </cell>
          <cell r="BW163">
            <v>600</v>
          </cell>
          <cell r="BX163">
            <v>598.5</v>
          </cell>
          <cell r="BY163">
            <v>747</v>
          </cell>
          <cell r="BZ163">
            <v>894.8</v>
          </cell>
          <cell r="CA163">
            <v>1341.4</v>
          </cell>
          <cell r="CB163">
            <v>1338</v>
          </cell>
          <cell r="CC163">
            <v>1334.655</v>
          </cell>
          <cell r="CD163">
            <v>1331.3183625000001</v>
          </cell>
        </row>
        <row r="164">
          <cell r="A164" t="str">
            <v>Senior Secured Credit Facility due January 2020</v>
          </cell>
          <cell r="B164">
            <v>0</v>
          </cell>
          <cell r="I164">
            <v>0</v>
          </cell>
          <cell r="J164">
            <v>0</v>
          </cell>
          <cell r="K164">
            <v>0</v>
          </cell>
          <cell r="L164">
            <v>0</v>
          </cell>
          <cell r="M164">
            <v>0</v>
          </cell>
          <cell r="N164">
            <v>0</v>
          </cell>
          <cell r="O164">
            <v>0</v>
          </cell>
          <cell r="P164">
            <v>1331.6</v>
          </cell>
          <cell r="Q164">
            <v>1318.1</v>
          </cell>
          <cell r="R164">
            <v>0</v>
          </cell>
          <cell r="S164">
            <v>0</v>
          </cell>
          <cell r="T164">
            <v>0</v>
          </cell>
          <cell r="U164">
            <v>0</v>
          </cell>
          <cell r="V164">
            <v>0</v>
          </cell>
          <cell r="W164">
            <v>0</v>
          </cell>
          <cell r="X164">
            <v>0</v>
          </cell>
          <cell r="Y164">
            <v>0</v>
          </cell>
          <cell r="BB164">
            <v>500</v>
          </cell>
          <cell r="BC164">
            <v>450</v>
          </cell>
          <cell r="BD164">
            <v>450</v>
          </cell>
          <cell r="BE164">
            <v>450</v>
          </cell>
          <cell r="BF164">
            <v>450</v>
          </cell>
          <cell r="BG164">
            <v>450</v>
          </cell>
          <cell r="BH164">
            <v>450</v>
          </cell>
          <cell r="BI164">
            <v>450</v>
          </cell>
          <cell r="BJ164">
            <v>450</v>
          </cell>
          <cell r="BK164">
            <v>1341.6</v>
          </cell>
          <cell r="BL164">
            <v>1338.3</v>
          </cell>
          <cell r="BM164">
            <v>1334.9</v>
          </cell>
          <cell r="BN164">
            <v>1331.6</v>
          </cell>
          <cell r="BO164">
            <v>1328.2</v>
          </cell>
          <cell r="BP164">
            <v>1324.8</v>
          </cell>
          <cell r="BQ164">
            <v>1321.5</v>
          </cell>
          <cell r="BR164">
            <v>1318.1</v>
          </cell>
          <cell r="BS164">
            <v>1314.7</v>
          </cell>
          <cell r="BT164">
            <v>480</v>
          </cell>
          <cell r="BU164">
            <v>0</v>
          </cell>
          <cell r="BV164">
            <v>0</v>
          </cell>
          <cell r="BW164">
            <v>0</v>
          </cell>
          <cell r="BX164">
            <v>0</v>
          </cell>
          <cell r="BY164">
            <v>0</v>
          </cell>
          <cell r="BZ164">
            <v>809.3</v>
          </cell>
          <cell r="CA164">
            <v>0</v>
          </cell>
          <cell r="CB164">
            <v>0</v>
          </cell>
          <cell r="CC164">
            <v>0</v>
          </cell>
          <cell r="CD164">
            <v>0</v>
          </cell>
        </row>
        <row r="165">
          <cell r="A165" t="str">
            <v>7.750% Senior Notes due October 1,2021</v>
          </cell>
          <cell r="B165">
            <v>7.7499999999999999E-2</v>
          </cell>
          <cell r="I165">
            <v>0</v>
          </cell>
          <cell r="J165">
            <v>0</v>
          </cell>
          <cell r="K165">
            <v>0</v>
          </cell>
          <cell r="L165">
            <v>0</v>
          </cell>
          <cell r="M165">
            <v>0</v>
          </cell>
          <cell r="N165">
            <v>450</v>
          </cell>
          <cell r="O165">
            <v>450</v>
          </cell>
          <cell r="P165">
            <v>950</v>
          </cell>
          <cell r="Q165">
            <v>950</v>
          </cell>
          <cell r="R165">
            <v>920.4</v>
          </cell>
          <cell r="S165">
            <v>809.3</v>
          </cell>
          <cell r="T165">
            <v>809.3</v>
          </cell>
          <cell r="U165">
            <v>809.3</v>
          </cell>
          <cell r="V165">
            <v>809.3</v>
          </cell>
          <cell r="W165">
            <v>684.3</v>
          </cell>
          <cell r="X165">
            <v>0</v>
          </cell>
          <cell r="Y165">
            <v>0</v>
          </cell>
          <cell r="BC165">
            <v>450</v>
          </cell>
          <cell r="BD165">
            <v>450</v>
          </cell>
          <cell r="BE165">
            <v>450</v>
          </cell>
          <cell r="BF165">
            <v>450</v>
          </cell>
          <cell r="BG165">
            <v>450</v>
          </cell>
          <cell r="BH165">
            <v>450</v>
          </cell>
          <cell r="BI165">
            <v>450</v>
          </cell>
          <cell r="BJ165">
            <v>450</v>
          </cell>
          <cell r="BK165">
            <v>1341.6</v>
          </cell>
          <cell r="BL165">
            <v>1338.3</v>
          </cell>
          <cell r="BM165">
            <v>1334.9</v>
          </cell>
          <cell r="BN165">
            <v>1331.6</v>
          </cell>
          <cell r="BO165">
            <v>1328.2</v>
          </cell>
          <cell r="BP165">
            <v>1324.8</v>
          </cell>
          <cell r="BQ165">
            <v>1321.5</v>
          </cell>
          <cell r="BR165">
            <v>1318.1</v>
          </cell>
          <cell r="BS165">
            <v>1314.7</v>
          </cell>
          <cell r="BT165">
            <v>480</v>
          </cell>
          <cell r="BU165">
            <v>0</v>
          </cell>
          <cell r="BV165">
            <v>0</v>
          </cell>
          <cell r="BW165">
            <v>0</v>
          </cell>
          <cell r="BX165">
            <v>0</v>
          </cell>
          <cell r="BY165">
            <v>0</v>
          </cell>
          <cell r="BZ165">
            <v>809.3</v>
          </cell>
          <cell r="CA165">
            <v>0</v>
          </cell>
          <cell r="CB165">
            <v>0</v>
          </cell>
          <cell r="CC165">
            <v>0</v>
          </cell>
          <cell r="CD165">
            <v>0</v>
          </cell>
        </row>
        <row r="166">
          <cell r="A166" t="str">
            <v>7.500% Senior Notes due June 1,2022</v>
          </cell>
          <cell r="B166">
            <v>7.4999999999999997E-2</v>
          </cell>
          <cell r="I166">
            <v>0</v>
          </cell>
          <cell r="J166">
            <v>0</v>
          </cell>
          <cell r="K166">
            <v>0</v>
          </cell>
          <cell r="L166">
            <v>0</v>
          </cell>
          <cell r="M166">
            <v>0</v>
          </cell>
          <cell r="N166">
            <v>500</v>
          </cell>
          <cell r="O166">
            <v>500</v>
          </cell>
          <cell r="P166">
            <v>500</v>
          </cell>
          <cell r="Q166">
            <v>500</v>
          </cell>
          <cell r="R166">
            <v>485.9</v>
          </cell>
          <cell r="S166">
            <v>441.2</v>
          </cell>
          <cell r="T166">
            <v>326.2</v>
          </cell>
          <cell r="U166">
            <v>326.2</v>
          </cell>
          <cell r="V166">
            <v>326.2</v>
          </cell>
          <cell r="W166">
            <v>226.2</v>
          </cell>
          <cell r="X166">
            <v>226.2</v>
          </cell>
          <cell r="Y166">
            <v>226.2</v>
          </cell>
          <cell r="BB166">
            <v>2.2999999999999998</v>
          </cell>
          <cell r="BC166">
            <v>450</v>
          </cell>
          <cell r="BD166">
            <v>450</v>
          </cell>
          <cell r="BE166">
            <v>450</v>
          </cell>
          <cell r="BF166">
            <v>450</v>
          </cell>
          <cell r="BG166">
            <v>450</v>
          </cell>
          <cell r="BH166">
            <v>450</v>
          </cell>
          <cell r="BI166">
            <v>450</v>
          </cell>
          <cell r="BJ166">
            <v>450</v>
          </cell>
          <cell r="BK166">
            <v>450</v>
          </cell>
          <cell r="BL166">
            <v>450</v>
          </cell>
          <cell r="BM166">
            <v>950</v>
          </cell>
          <cell r="BN166">
            <v>950</v>
          </cell>
          <cell r="BO166">
            <v>950</v>
          </cell>
          <cell r="BP166">
            <v>950</v>
          </cell>
          <cell r="BQ166">
            <v>950</v>
          </cell>
          <cell r="BR166">
            <v>950</v>
          </cell>
          <cell r="BS166">
            <v>950</v>
          </cell>
          <cell r="BT166">
            <v>950</v>
          </cell>
          <cell r="BU166">
            <v>920.4</v>
          </cell>
          <cell r="BV166">
            <v>920.4</v>
          </cell>
          <cell r="BW166">
            <v>887.3</v>
          </cell>
          <cell r="BX166">
            <v>822.4</v>
          </cell>
          <cell r="BY166">
            <v>809.3</v>
          </cell>
          <cell r="BZ166">
            <v>809.3</v>
          </cell>
          <cell r="CA166">
            <v>809.3</v>
          </cell>
          <cell r="CB166">
            <v>809.3</v>
          </cell>
          <cell r="CC166">
            <v>809.3</v>
          </cell>
          <cell r="CD166">
            <v>809.3</v>
          </cell>
        </row>
        <row r="167">
          <cell r="A167" t="str">
            <v>6.580% Cinergy Communications Company due 2022</v>
          </cell>
          <cell r="B167">
            <v>6.5799999999999997E-2</v>
          </cell>
          <cell r="I167">
            <v>0</v>
          </cell>
          <cell r="J167">
            <v>0</v>
          </cell>
          <cell r="K167">
            <v>0</v>
          </cell>
          <cell r="L167">
            <v>0</v>
          </cell>
          <cell r="M167">
            <v>2.2999999999999998</v>
          </cell>
          <cell r="N167">
            <v>2.2000000000000002</v>
          </cell>
          <cell r="O167">
            <v>2.1</v>
          </cell>
          <cell r="P167">
            <v>2</v>
          </cell>
          <cell r="Q167">
            <v>1.9</v>
          </cell>
          <cell r="R167">
            <v>0</v>
          </cell>
          <cell r="S167">
            <v>0</v>
          </cell>
          <cell r="T167">
            <v>0</v>
          </cell>
          <cell r="U167">
            <v>0</v>
          </cell>
          <cell r="V167">
            <v>0</v>
          </cell>
          <cell r="W167">
            <v>0</v>
          </cell>
          <cell r="X167">
            <v>0</v>
          </cell>
          <cell r="Y167">
            <v>0</v>
          </cell>
          <cell r="BB167">
            <v>2.2999999999999998</v>
          </cell>
          <cell r="BC167">
            <v>2.2000000000000002</v>
          </cell>
          <cell r="BD167">
            <v>2.2000000000000002</v>
          </cell>
          <cell r="BE167">
            <v>2.2000000000000002</v>
          </cell>
          <cell r="BF167">
            <v>500</v>
          </cell>
          <cell r="BG167">
            <v>500</v>
          </cell>
          <cell r="BH167">
            <v>500</v>
          </cell>
          <cell r="BI167">
            <v>500</v>
          </cell>
          <cell r="BJ167">
            <v>500</v>
          </cell>
          <cell r="BK167">
            <v>500</v>
          </cell>
          <cell r="BL167">
            <v>500</v>
          </cell>
          <cell r="BM167">
            <v>500</v>
          </cell>
          <cell r="BN167">
            <v>500</v>
          </cell>
          <cell r="BO167">
            <v>500</v>
          </cell>
          <cell r="BP167">
            <v>500</v>
          </cell>
          <cell r="BQ167">
            <v>500</v>
          </cell>
          <cell r="BR167">
            <v>500</v>
          </cell>
          <cell r="BS167">
            <v>500</v>
          </cell>
          <cell r="BT167">
            <v>500</v>
          </cell>
          <cell r="BU167">
            <v>493.5</v>
          </cell>
          <cell r="BV167">
            <v>485.9</v>
          </cell>
          <cell r="BW167">
            <v>468.9</v>
          </cell>
          <cell r="BX167">
            <v>447.2</v>
          </cell>
          <cell r="BY167">
            <v>441.2</v>
          </cell>
          <cell r="BZ167">
            <v>441.2</v>
          </cell>
          <cell r="CA167">
            <v>441.2</v>
          </cell>
          <cell r="CB167">
            <v>441.2</v>
          </cell>
          <cell r="CC167">
            <v>421.2</v>
          </cell>
          <cell r="CD167">
            <v>346.2</v>
          </cell>
        </row>
        <row r="168">
          <cell r="A168" t="str">
            <v>6.375% Senior Notes due August 1,2023</v>
          </cell>
          <cell r="B168">
            <v>6.3750000000000001E-2</v>
          </cell>
          <cell r="I168">
            <v>0</v>
          </cell>
          <cell r="J168">
            <v>0</v>
          </cell>
          <cell r="K168">
            <v>0</v>
          </cell>
          <cell r="L168">
            <v>0</v>
          </cell>
          <cell r="M168">
            <v>0</v>
          </cell>
          <cell r="N168">
            <v>600</v>
          </cell>
          <cell r="O168">
            <v>600</v>
          </cell>
          <cell r="P168">
            <v>700</v>
          </cell>
          <cell r="Q168">
            <v>700</v>
          </cell>
          <cell r="R168">
            <v>700</v>
          </cell>
          <cell r="S168">
            <v>585.70000000000005</v>
          </cell>
          <cell r="T168">
            <v>585.70000000000005</v>
          </cell>
          <cell r="U168">
            <v>585.70000000000005</v>
          </cell>
          <cell r="V168">
            <v>585.70000000000005</v>
          </cell>
          <cell r="W168">
            <v>585.70000000000005</v>
          </cell>
          <cell r="X168">
            <v>585.70000000000005</v>
          </cell>
          <cell r="Y168">
            <v>585.70000000000005</v>
          </cell>
          <cell r="BB168">
            <v>2.2999999999999998</v>
          </cell>
          <cell r="BC168">
            <v>600</v>
          </cell>
          <cell r="BD168">
            <v>600</v>
          </cell>
          <cell r="BE168">
            <v>600</v>
          </cell>
          <cell r="BF168">
            <v>600</v>
          </cell>
          <cell r="BG168">
            <v>600</v>
          </cell>
          <cell r="BH168">
            <v>600</v>
          </cell>
          <cell r="BI168">
            <v>600</v>
          </cell>
          <cell r="BJ168">
            <v>600</v>
          </cell>
          <cell r="BK168">
            <v>600</v>
          </cell>
          <cell r="BL168">
            <v>700</v>
          </cell>
          <cell r="BM168">
            <v>700</v>
          </cell>
          <cell r="BN168">
            <v>700</v>
          </cell>
          <cell r="BO168">
            <v>700</v>
          </cell>
          <cell r="BP168">
            <v>700</v>
          </cell>
          <cell r="BQ168">
            <v>700</v>
          </cell>
          <cell r="BR168">
            <v>700</v>
          </cell>
          <cell r="BS168">
            <v>700</v>
          </cell>
          <cell r="BT168">
            <v>700</v>
          </cell>
          <cell r="BU168">
            <v>700</v>
          </cell>
          <cell r="BV168">
            <v>700</v>
          </cell>
          <cell r="BW168">
            <v>700</v>
          </cell>
          <cell r="BX168">
            <v>655.5</v>
          </cell>
          <cell r="BY168">
            <v>585.70000000000005</v>
          </cell>
          <cell r="BZ168">
            <v>585.70000000000005</v>
          </cell>
          <cell r="CA168">
            <v>0</v>
          </cell>
          <cell r="CB168">
            <v>0</v>
          </cell>
          <cell r="CC168">
            <v>0</v>
          </cell>
          <cell r="CD168">
            <v>0</v>
          </cell>
        </row>
        <row r="169">
          <cell r="A169" t="str">
            <v>7.500% Senior Notes due April 1,2023</v>
          </cell>
          <cell r="B169">
            <v>7.4999999999999997E-2</v>
          </cell>
          <cell r="I169">
            <v>0</v>
          </cell>
          <cell r="J169">
            <v>0</v>
          </cell>
          <cell r="K169">
            <v>0</v>
          </cell>
          <cell r="L169">
            <v>0</v>
          </cell>
          <cell r="M169">
            <v>0</v>
          </cell>
          <cell r="N169">
            <v>0</v>
          </cell>
          <cell r="O169">
            <v>0</v>
          </cell>
          <cell r="P169">
            <v>600</v>
          </cell>
          <cell r="Q169">
            <v>600</v>
          </cell>
          <cell r="R169">
            <v>540.1</v>
          </cell>
          <cell r="S169">
            <v>343.5</v>
          </cell>
          <cell r="T169">
            <v>343.5</v>
          </cell>
          <cell r="U169">
            <v>343.5</v>
          </cell>
          <cell r="V169">
            <v>343.5</v>
          </cell>
          <cell r="W169">
            <v>343.5</v>
          </cell>
          <cell r="X169">
            <v>343.5</v>
          </cell>
          <cell r="Y169">
            <v>343.5</v>
          </cell>
          <cell r="AK169">
            <v>0.9</v>
          </cell>
          <cell r="AL169">
            <v>0.8</v>
          </cell>
          <cell r="AM169">
            <v>0.7</v>
          </cell>
          <cell r="AN169">
            <v>0.7</v>
          </cell>
          <cell r="AO169">
            <v>0.6</v>
          </cell>
          <cell r="AP169">
            <v>0.6</v>
          </cell>
          <cell r="AQ169">
            <v>0.5</v>
          </cell>
          <cell r="AR169">
            <v>0.4</v>
          </cell>
          <cell r="AS169">
            <v>0.4</v>
          </cell>
          <cell r="AT169">
            <v>0.3</v>
          </cell>
          <cell r="AU169">
            <v>0.2</v>
          </cell>
          <cell r="AV169">
            <v>0.2</v>
          </cell>
          <cell r="AW169">
            <v>0.1</v>
          </cell>
          <cell r="BC169">
            <v>600</v>
          </cell>
          <cell r="BD169">
            <v>600</v>
          </cell>
          <cell r="BE169">
            <v>600</v>
          </cell>
          <cell r="BF169">
            <v>600</v>
          </cell>
          <cell r="BG169">
            <v>600</v>
          </cell>
          <cell r="BH169">
            <v>600</v>
          </cell>
          <cell r="BI169">
            <v>600</v>
          </cell>
          <cell r="BJ169">
            <v>600</v>
          </cell>
          <cell r="BK169">
            <v>700</v>
          </cell>
          <cell r="BL169">
            <v>600</v>
          </cell>
          <cell r="BM169">
            <v>600</v>
          </cell>
          <cell r="BN169">
            <v>600</v>
          </cell>
          <cell r="BO169">
            <v>600</v>
          </cell>
          <cell r="BP169">
            <v>600</v>
          </cell>
          <cell r="BQ169">
            <v>600</v>
          </cell>
          <cell r="BR169">
            <v>600</v>
          </cell>
          <cell r="BS169">
            <v>600</v>
          </cell>
          <cell r="BT169">
            <v>600</v>
          </cell>
          <cell r="BU169">
            <v>540.1</v>
          </cell>
          <cell r="BV169">
            <v>540.1</v>
          </cell>
          <cell r="BW169">
            <v>529.5</v>
          </cell>
          <cell r="BX169">
            <v>420.2</v>
          </cell>
          <cell r="BY169">
            <v>343.5</v>
          </cell>
          <cell r="BZ169">
            <v>343.5</v>
          </cell>
          <cell r="CA169">
            <v>343.5</v>
          </cell>
          <cell r="CB169">
            <v>343.5</v>
          </cell>
          <cell r="CC169">
            <v>343.5</v>
          </cell>
          <cell r="CD169">
            <v>343.5</v>
          </cell>
        </row>
        <row r="170">
          <cell r="A170" t="str">
            <v>7.000% Teleview LLC due 2010</v>
          </cell>
          <cell r="B170">
            <v>7.0000000000000007E-2</v>
          </cell>
          <cell r="I170">
            <v>0.8</v>
          </cell>
          <cell r="J170">
            <v>0.6</v>
          </cell>
          <cell r="K170">
            <v>0.3</v>
          </cell>
          <cell r="L170">
            <v>0</v>
          </cell>
          <cell r="M170">
            <v>0</v>
          </cell>
          <cell r="N170">
            <v>0</v>
          </cell>
          <cell r="O170">
            <v>0</v>
          </cell>
          <cell r="P170">
            <v>600</v>
          </cell>
          <cell r="Q170">
            <v>600</v>
          </cell>
          <cell r="R170">
            <v>0</v>
          </cell>
          <cell r="S170">
            <v>0</v>
          </cell>
          <cell r="T170">
            <v>0</v>
          </cell>
          <cell r="U170">
            <v>343.5</v>
          </cell>
          <cell r="V170">
            <v>343.5</v>
          </cell>
          <cell r="W170">
            <v>343.5</v>
          </cell>
          <cell r="X170">
            <v>343.5</v>
          </cell>
          <cell r="Y170">
            <v>343.5</v>
          </cell>
          <cell r="AK170">
            <v>0.9</v>
          </cell>
          <cell r="AL170">
            <v>0.8</v>
          </cell>
          <cell r="AM170">
            <v>0.7</v>
          </cell>
          <cell r="AN170">
            <v>0.7</v>
          </cell>
          <cell r="AO170">
            <v>0.6</v>
          </cell>
          <cell r="AP170">
            <v>0.6</v>
          </cell>
          <cell r="AQ170">
            <v>0.5</v>
          </cell>
          <cell r="AR170">
            <v>0.4</v>
          </cell>
          <cell r="AS170">
            <v>0.4</v>
          </cell>
          <cell r="AT170">
            <v>0.3</v>
          </cell>
          <cell r="AU170">
            <v>0.2</v>
          </cell>
          <cell r="AV170">
            <v>0.2</v>
          </cell>
          <cell r="AW170">
            <v>0.1</v>
          </cell>
          <cell r="AX170">
            <v>400</v>
          </cell>
          <cell r="AY170">
            <v>400</v>
          </cell>
          <cell r="AZ170">
            <v>400</v>
          </cell>
          <cell r="BA170">
            <v>400</v>
          </cell>
          <cell r="BB170">
            <v>400</v>
          </cell>
          <cell r="BK170">
            <v>700</v>
          </cell>
          <cell r="BL170">
            <v>600</v>
          </cell>
          <cell r="BM170">
            <v>600</v>
          </cell>
          <cell r="BN170">
            <v>600</v>
          </cell>
          <cell r="BO170">
            <v>600</v>
          </cell>
          <cell r="BP170">
            <v>600</v>
          </cell>
          <cell r="BQ170">
            <v>600</v>
          </cell>
          <cell r="BR170">
            <v>600</v>
          </cell>
          <cell r="BS170">
            <v>600</v>
          </cell>
          <cell r="BT170">
            <v>600</v>
          </cell>
          <cell r="BU170">
            <v>540.1</v>
          </cell>
          <cell r="BV170">
            <v>540.1</v>
          </cell>
          <cell r="BW170">
            <v>529.5</v>
          </cell>
          <cell r="BX170">
            <v>420.2</v>
          </cell>
          <cell r="BY170">
            <v>343.5</v>
          </cell>
          <cell r="BZ170">
            <v>343.5</v>
          </cell>
          <cell r="CA170">
            <v>343.5</v>
          </cell>
          <cell r="CB170">
            <v>343.5</v>
          </cell>
          <cell r="CC170">
            <v>343.5</v>
          </cell>
          <cell r="CD170">
            <v>343.5</v>
          </cell>
        </row>
        <row r="171">
          <cell r="A171" t="str">
            <v>7.750% Valor Telecommunications due 2015</v>
          </cell>
          <cell r="B171">
            <v>7.7499999999999999E-2</v>
          </cell>
          <cell r="I171">
            <v>400</v>
          </cell>
          <cell r="J171">
            <v>400</v>
          </cell>
          <cell r="K171">
            <v>400</v>
          </cell>
          <cell r="L171">
            <v>400</v>
          </cell>
          <cell r="M171">
            <v>400</v>
          </cell>
          <cell r="N171">
            <v>0</v>
          </cell>
          <cell r="O171">
            <v>0</v>
          </cell>
          <cell r="P171">
            <v>100</v>
          </cell>
          <cell r="Q171">
            <v>100</v>
          </cell>
          <cell r="R171">
            <v>0</v>
          </cell>
          <cell r="S171">
            <v>0</v>
          </cell>
          <cell r="T171">
            <v>0</v>
          </cell>
          <cell r="U171">
            <v>100</v>
          </cell>
          <cell r="V171">
            <v>100</v>
          </cell>
          <cell r="W171">
            <v>100</v>
          </cell>
          <cell r="X171">
            <v>100</v>
          </cell>
          <cell r="Y171">
            <v>100</v>
          </cell>
          <cell r="AK171">
            <v>100</v>
          </cell>
          <cell r="AL171">
            <v>400</v>
          </cell>
          <cell r="AM171">
            <v>400</v>
          </cell>
          <cell r="AN171">
            <v>400</v>
          </cell>
          <cell r="AO171">
            <v>400</v>
          </cell>
          <cell r="AP171">
            <v>400</v>
          </cell>
          <cell r="AQ171">
            <v>400</v>
          </cell>
          <cell r="AR171">
            <v>400</v>
          </cell>
          <cell r="AS171">
            <v>400</v>
          </cell>
          <cell r="AT171">
            <v>400</v>
          </cell>
          <cell r="AU171">
            <v>400</v>
          </cell>
          <cell r="AV171">
            <v>400</v>
          </cell>
          <cell r="AW171">
            <v>400</v>
          </cell>
          <cell r="AX171">
            <v>400</v>
          </cell>
          <cell r="AY171">
            <v>400</v>
          </cell>
          <cell r="AZ171">
            <v>400</v>
          </cell>
          <cell r="BA171">
            <v>400</v>
          </cell>
          <cell r="BB171">
            <v>400</v>
          </cell>
          <cell r="BC171">
            <v>100</v>
          </cell>
          <cell r="BD171">
            <v>100</v>
          </cell>
          <cell r="BE171">
            <v>100</v>
          </cell>
          <cell r="BF171">
            <v>100</v>
          </cell>
          <cell r="BG171">
            <v>100</v>
          </cell>
          <cell r="BH171">
            <v>100</v>
          </cell>
          <cell r="BI171">
            <v>100</v>
          </cell>
          <cell r="BJ171">
            <v>100</v>
          </cell>
          <cell r="BK171">
            <v>100</v>
          </cell>
          <cell r="BL171">
            <v>100</v>
          </cell>
          <cell r="BM171">
            <v>100</v>
          </cell>
          <cell r="BN171">
            <v>100</v>
          </cell>
          <cell r="BO171">
            <v>100</v>
          </cell>
          <cell r="BP171">
            <v>100</v>
          </cell>
          <cell r="BQ171">
            <v>100</v>
          </cell>
          <cell r="BR171">
            <v>100</v>
          </cell>
          <cell r="BS171">
            <v>100</v>
          </cell>
          <cell r="BT171">
            <v>100</v>
          </cell>
          <cell r="BU171">
            <v>100</v>
          </cell>
          <cell r="BV171">
            <v>100</v>
          </cell>
          <cell r="BW171">
            <v>100</v>
          </cell>
          <cell r="BX171">
            <v>100</v>
          </cell>
          <cell r="BY171">
            <v>100</v>
          </cell>
          <cell r="BZ171">
            <v>100</v>
          </cell>
          <cell r="CA171">
            <v>100</v>
          </cell>
          <cell r="CB171">
            <v>100</v>
          </cell>
          <cell r="CC171">
            <v>100</v>
          </cell>
          <cell r="CD171">
            <v>100</v>
          </cell>
        </row>
        <row r="172">
          <cell r="A172" t="str">
            <v>6.750% Windstream Holdings on Midwest Inc due 2028</v>
          </cell>
          <cell r="B172">
            <v>6.7500000000000004E-2</v>
          </cell>
          <cell r="I172">
            <v>100</v>
          </cell>
          <cell r="J172">
            <v>100</v>
          </cell>
          <cell r="K172">
            <v>100</v>
          </cell>
          <cell r="L172">
            <v>100</v>
          </cell>
          <cell r="M172">
            <v>100</v>
          </cell>
          <cell r="N172">
            <v>100</v>
          </cell>
          <cell r="O172">
            <v>100</v>
          </cell>
          <cell r="P172">
            <v>100</v>
          </cell>
          <cell r="Q172">
            <v>100</v>
          </cell>
          <cell r="R172">
            <v>0</v>
          </cell>
          <cell r="S172">
            <v>0</v>
          </cell>
          <cell r="T172">
            <v>0</v>
          </cell>
          <cell r="U172">
            <v>100</v>
          </cell>
          <cell r="V172">
            <v>100</v>
          </cell>
          <cell r="W172">
            <v>100</v>
          </cell>
          <cell r="X172">
            <v>100</v>
          </cell>
          <cell r="Y172">
            <v>100</v>
          </cell>
          <cell r="AK172">
            <v>100</v>
          </cell>
          <cell r="AL172">
            <v>400</v>
          </cell>
          <cell r="AM172">
            <v>400</v>
          </cell>
          <cell r="AN172">
            <v>400</v>
          </cell>
          <cell r="AO172">
            <v>400</v>
          </cell>
          <cell r="AP172">
            <v>400</v>
          </cell>
          <cell r="AQ172">
            <v>400</v>
          </cell>
          <cell r="AR172">
            <v>400</v>
          </cell>
          <cell r="AS172">
            <v>400</v>
          </cell>
          <cell r="AT172">
            <v>400</v>
          </cell>
          <cell r="AU172">
            <v>400</v>
          </cell>
          <cell r="AV172">
            <v>400</v>
          </cell>
          <cell r="AW172">
            <v>400</v>
          </cell>
          <cell r="AX172">
            <v>400</v>
          </cell>
          <cell r="AY172">
            <v>400</v>
          </cell>
          <cell r="AZ172">
            <v>400</v>
          </cell>
          <cell r="BA172">
            <v>400</v>
          </cell>
          <cell r="BB172">
            <v>400</v>
          </cell>
          <cell r="BC172">
            <v>100</v>
          </cell>
          <cell r="BD172">
            <v>100</v>
          </cell>
          <cell r="BE172">
            <v>100</v>
          </cell>
          <cell r="BF172">
            <v>100</v>
          </cell>
          <cell r="BG172">
            <v>100</v>
          </cell>
          <cell r="BH172">
            <v>100</v>
          </cell>
          <cell r="BI172">
            <v>100</v>
          </cell>
          <cell r="BJ172">
            <v>100</v>
          </cell>
          <cell r="BK172">
            <v>100</v>
          </cell>
          <cell r="BL172">
            <v>100</v>
          </cell>
          <cell r="BM172">
            <v>100</v>
          </cell>
          <cell r="BN172">
            <v>100</v>
          </cell>
          <cell r="BO172">
            <v>100</v>
          </cell>
          <cell r="BP172">
            <v>100</v>
          </cell>
          <cell r="BQ172">
            <v>100</v>
          </cell>
          <cell r="BR172">
            <v>100</v>
          </cell>
          <cell r="BS172">
            <v>100</v>
          </cell>
          <cell r="BT172">
            <v>100</v>
          </cell>
          <cell r="BU172">
            <v>100</v>
          </cell>
          <cell r="BV172">
            <v>100</v>
          </cell>
          <cell r="BW172">
            <v>100</v>
          </cell>
          <cell r="BX172">
            <v>100</v>
          </cell>
          <cell r="BY172">
            <v>100</v>
          </cell>
          <cell r="BZ172">
            <v>100</v>
          </cell>
          <cell r="CA172">
            <v>100</v>
          </cell>
          <cell r="CB172">
            <v>100</v>
          </cell>
          <cell r="CC172">
            <v>100</v>
          </cell>
          <cell r="CD172">
            <v>100</v>
          </cell>
        </row>
        <row r="173">
          <cell r="A173" t="str">
            <v>Debt Discount / Premium</v>
          </cell>
          <cell r="B173">
            <v>6.7500000000000004E-2</v>
          </cell>
          <cell r="I173">
            <v>-28.4</v>
          </cell>
          <cell r="J173">
            <v>72.599999999999994</v>
          </cell>
          <cell r="K173">
            <v>123.9</v>
          </cell>
          <cell r="L173">
            <v>-39.200000000000003</v>
          </cell>
          <cell r="M173">
            <v>113</v>
          </cell>
          <cell r="N173">
            <v>1068.4000000000001</v>
          </cell>
          <cell r="O173">
            <v>62.1</v>
          </cell>
          <cell r="P173">
            <v>28.8</v>
          </cell>
          <cell r="Q173">
            <v>23.3</v>
          </cell>
          <cell r="R173">
            <v>4.5999999999999996</v>
          </cell>
          <cell r="S173">
            <v>-7.2</v>
          </cell>
          <cell r="T173">
            <v>-13.9</v>
          </cell>
          <cell r="U173">
            <v>-13.9</v>
          </cell>
          <cell r="V173">
            <v>-13.9</v>
          </cell>
          <cell r="W173">
            <v>-13.9</v>
          </cell>
          <cell r="X173">
            <v>-13.9</v>
          </cell>
          <cell r="Y173">
            <v>-13.9</v>
          </cell>
          <cell r="AK173">
            <v>-28.3</v>
          </cell>
          <cell r="AL173">
            <v>-28.4</v>
          </cell>
          <cell r="AM173">
            <v>-28.1</v>
          </cell>
          <cell r="AN173">
            <v>-27.9</v>
          </cell>
          <cell r="AO173">
            <v>182.3</v>
          </cell>
          <cell r="AP173">
            <v>72.599999999999994</v>
          </cell>
          <cell r="AQ173">
            <v>87.9</v>
          </cell>
          <cell r="AR173">
            <v>93.3</v>
          </cell>
          <cell r="AS173">
            <v>123.5</v>
          </cell>
          <cell r="AT173">
            <v>123.9</v>
          </cell>
          <cell r="AU173">
            <v>124.3</v>
          </cell>
          <cell r="AV173">
            <v>-25.3</v>
          </cell>
          <cell r="AW173">
            <v>-24.8</v>
          </cell>
          <cell r="AX173">
            <v>-39.200000000000003</v>
          </cell>
          <cell r="AY173">
            <v>-35.9</v>
          </cell>
          <cell r="AZ173">
            <v>264.60000000000002</v>
          </cell>
          <cell r="BA173">
            <v>-37.799999999999997</v>
          </cell>
          <cell r="BB173">
            <v>113</v>
          </cell>
          <cell r="BC173">
            <v>527.9</v>
          </cell>
          <cell r="BD173">
            <v>508.8</v>
          </cell>
          <cell r="BE173">
            <v>939.4</v>
          </cell>
          <cell r="BF173">
            <v>1068.4000000000001</v>
          </cell>
          <cell r="BG173">
            <v>801.5</v>
          </cell>
          <cell r="BH173">
            <v>816.9</v>
          </cell>
          <cell r="BI173">
            <v>102.4</v>
          </cell>
          <cell r="BJ173">
            <v>62.1</v>
          </cell>
          <cell r="BK173">
            <v>55.300000000000004</v>
          </cell>
          <cell r="BL173">
            <v>17.3</v>
          </cell>
          <cell r="BM173">
            <v>33.4</v>
          </cell>
          <cell r="BN173">
            <v>28.8</v>
          </cell>
          <cell r="BO173">
            <v>27.3</v>
          </cell>
          <cell r="BP173">
            <v>25.9</v>
          </cell>
          <cell r="BQ173">
            <v>24.6</v>
          </cell>
          <cell r="BR173">
            <v>23.3</v>
          </cell>
          <cell r="BS173">
            <v>20.399999999999999</v>
          </cell>
          <cell r="BT173">
            <v>3.9</v>
          </cell>
          <cell r="BU173">
            <v>4.4000000000000004</v>
          </cell>
          <cell r="BV173">
            <v>4.5999999999999996</v>
          </cell>
          <cell r="BW173">
            <v>-8.6999999999999993</v>
          </cell>
          <cell r="BX173">
            <v>-8.9</v>
          </cell>
          <cell r="BY173">
            <v>-5.9</v>
          </cell>
          <cell r="BZ173">
            <v>-7.2</v>
          </cell>
          <cell r="CA173">
            <v>-13.9</v>
          </cell>
          <cell r="CB173">
            <v>-13.9</v>
          </cell>
          <cell r="CC173">
            <v>-13.9</v>
          </cell>
          <cell r="CD173">
            <v>-13.9</v>
          </cell>
        </row>
        <row r="174">
          <cell r="A174" t="str">
            <v>Unamortized Debt Issuance Costs</v>
          </cell>
          <cell r="I174">
            <v>-28.4</v>
          </cell>
          <cell r="J174">
            <v>72.599999999999994</v>
          </cell>
          <cell r="K174">
            <v>123.9</v>
          </cell>
          <cell r="L174">
            <v>-39.200000000000003</v>
          </cell>
          <cell r="M174">
            <v>113</v>
          </cell>
          <cell r="N174">
            <v>1068.4000000000001</v>
          </cell>
          <cell r="O174">
            <v>62.1</v>
          </cell>
          <cell r="P174">
            <v>28.8</v>
          </cell>
          <cell r="Q174">
            <v>-87.7</v>
          </cell>
          <cell r="R174">
            <v>-62.8</v>
          </cell>
          <cell r="S174">
            <v>-51</v>
          </cell>
          <cell r="T174">
            <v>-54.6</v>
          </cell>
          <cell r="U174">
            <v>-54.6</v>
          </cell>
          <cell r="V174">
            <v>-54.6</v>
          </cell>
          <cell r="W174">
            <v>-54.6</v>
          </cell>
          <cell r="X174">
            <v>-54.6</v>
          </cell>
          <cell r="Y174">
            <v>-54.6</v>
          </cell>
          <cell r="AK174">
            <v>-28.3</v>
          </cell>
          <cell r="AL174">
            <v>-28.4</v>
          </cell>
          <cell r="AM174">
            <v>-28.1</v>
          </cell>
          <cell r="AN174">
            <v>-27.9</v>
          </cell>
          <cell r="AO174">
            <v>182.3</v>
          </cell>
          <cell r="AP174">
            <v>72.599999999999994</v>
          </cell>
          <cell r="AQ174">
            <v>87.9</v>
          </cell>
          <cell r="AR174">
            <v>93.3</v>
          </cell>
          <cell r="AS174">
            <v>123.5</v>
          </cell>
          <cell r="AT174">
            <v>123.9</v>
          </cell>
          <cell r="AU174">
            <v>124.3</v>
          </cell>
          <cell r="AV174">
            <v>-25.3</v>
          </cell>
          <cell r="AW174">
            <v>-24.8</v>
          </cell>
          <cell r="AX174">
            <v>-39.200000000000003</v>
          </cell>
          <cell r="AY174">
            <v>-35.9</v>
          </cell>
          <cell r="AZ174">
            <v>264.60000000000002</v>
          </cell>
          <cell r="BA174">
            <v>-37.799999999999997</v>
          </cell>
          <cell r="BB174">
            <v>113</v>
          </cell>
          <cell r="BC174">
            <v>527.9</v>
          </cell>
          <cell r="BD174">
            <v>508.8</v>
          </cell>
          <cell r="BE174">
            <v>939.4</v>
          </cell>
          <cell r="BF174">
            <v>1068.4000000000001</v>
          </cell>
          <cell r="BG174">
            <v>801.5</v>
          </cell>
          <cell r="BH174">
            <v>816.9</v>
          </cell>
          <cell r="BI174">
            <v>102.4</v>
          </cell>
          <cell r="BJ174">
            <v>62.1</v>
          </cell>
          <cell r="BK174">
            <v>55.300000000000004</v>
          </cell>
          <cell r="BL174">
            <v>17.3</v>
          </cell>
          <cell r="BM174">
            <v>33.4</v>
          </cell>
          <cell r="BN174">
            <v>28.8</v>
          </cell>
          <cell r="BO174">
            <v>27.3</v>
          </cell>
          <cell r="BP174">
            <v>25.9</v>
          </cell>
          <cell r="BQ174">
            <v>24.6</v>
          </cell>
          <cell r="BR174">
            <v>-87.7</v>
          </cell>
          <cell r="BS174">
            <v>20.399999999999999</v>
          </cell>
          <cell r="BT174">
            <v>-71.3</v>
          </cell>
          <cell r="BU174">
            <v>-66.099999999999994</v>
          </cell>
          <cell r="BV174">
            <v>-62.8</v>
          </cell>
          <cell r="BW174">
            <v>-66.2</v>
          </cell>
          <cell r="BX174">
            <v>-61.1</v>
          </cell>
          <cell r="BY174">
            <v>-53.5</v>
          </cell>
          <cell r="BZ174">
            <v>-51</v>
          </cell>
          <cell r="CA174">
            <v>-54.6</v>
          </cell>
          <cell r="CB174">
            <v>-54.6</v>
          </cell>
          <cell r="CC174">
            <v>-54.6</v>
          </cell>
          <cell r="CD174">
            <v>-54.6</v>
          </cell>
        </row>
        <row r="175">
          <cell r="A175" t="str">
            <v>Incremental Term Loan</v>
          </cell>
          <cell r="I175">
            <v>5488.4000000000005</v>
          </cell>
          <cell r="J175">
            <v>5355.5000000000009</v>
          </cell>
          <cell r="K175">
            <v>5382.5</v>
          </cell>
          <cell r="L175">
            <v>6295.2</v>
          </cell>
          <cell r="M175">
            <v>7325.8</v>
          </cell>
          <cell r="N175">
            <v>9150.4</v>
          </cell>
          <cell r="O175">
            <v>8965.8000000000011</v>
          </cell>
          <cell r="P175">
            <v>8707.1999999999989</v>
          </cell>
          <cell r="Q175">
            <v>-87.7</v>
          </cell>
          <cell r="R175">
            <v>-62.8</v>
          </cell>
          <cell r="S175">
            <v>-51</v>
          </cell>
          <cell r="T175">
            <v>-52.2</v>
          </cell>
          <cell r="U175">
            <v>-52.2</v>
          </cell>
          <cell r="V175">
            <v>-52.2</v>
          </cell>
          <cell r="W175">
            <v>-52.2</v>
          </cell>
          <cell r="X175">
            <v>-52.2</v>
          </cell>
          <cell r="Y175">
            <v>-52.2</v>
          </cell>
          <cell r="AK175">
            <v>5498.5999999999995</v>
          </cell>
          <cell r="AL175">
            <v>5488.4000000000005</v>
          </cell>
          <cell r="AM175">
            <v>5488.5999999999995</v>
          </cell>
          <cell r="AN175">
            <v>5488.8</v>
          </cell>
          <cell r="AO175">
            <v>5698.9000000000005</v>
          </cell>
          <cell r="AP175">
            <v>5355.5000000000009</v>
          </cell>
          <cell r="AQ175">
            <v>5367.2</v>
          </cell>
          <cell r="AR175">
            <v>5369</v>
          </cell>
          <cell r="AS175">
            <v>5395.7</v>
          </cell>
          <cell r="AT175">
            <v>5382.5</v>
          </cell>
          <cell r="AU175">
            <v>5379.3</v>
          </cell>
          <cell r="AV175">
            <v>5226.2</v>
          </cell>
          <cell r="AW175">
            <v>5223.1000000000004</v>
          </cell>
          <cell r="AX175">
            <v>6295.2</v>
          </cell>
          <cell r="AY175">
            <v>6295</v>
          </cell>
          <cell r="AZ175">
            <v>6592.1</v>
          </cell>
          <cell r="BA175">
            <v>6686.3</v>
          </cell>
          <cell r="BB175">
            <v>7325.8</v>
          </cell>
          <cell r="BC175">
            <v>7422.9999999999991</v>
          </cell>
          <cell r="BD175">
            <v>7367.2</v>
          </cell>
          <cell r="BE175">
            <v>7341.4</v>
          </cell>
          <cell r="BF175">
            <v>9150.4</v>
          </cell>
          <cell r="BG175">
            <v>8854.0999999999985</v>
          </cell>
          <cell r="BH175">
            <v>8860.1</v>
          </cell>
          <cell r="BI175">
            <v>9030.7999999999993</v>
          </cell>
          <cell r="BJ175">
            <v>8965.8000000000011</v>
          </cell>
          <cell r="BK175">
            <v>8996.6999999999989</v>
          </cell>
          <cell r="BL175">
            <v>8944.7000000000007</v>
          </cell>
          <cell r="BM175">
            <v>8846.7999999999993</v>
          </cell>
          <cell r="BN175">
            <v>8707.1999999999989</v>
          </cell>
          <cell r="BO175">
            <v>8706.2999999999993</v>
          </cell>
          <cell r="BP175">
            <v>8685.6</v>
          </cell>
          <cell r="BQ175">
            <v>8661.1</v>
          </cell>
          <cell r="BR175">
            <v>-87.7</v>
          </cell>
          <cell r="BS175">
            <v>8820.6</v>
          </cell>
          <cell r="BT175">
            <v>-71.3</v>
          </cell>
          <cell r="BU175">
            <v>-66.099999999999994</v>
          </cell>
          <cell r="BV175">
            <v>-62.8</v>
          </cell>
          <cell r="BW175">
            <v>-66.2</v>
          </cell>
          <cell r="BX175">
            <v>-61.1</v>
          </cell>
          <cell r="BY175">
            <v>-53.5</v>
          </cell>
          <cell r="BZ175">
            <v>-51</v>
          </cell>
          <cell r="CA175">
            <v>-54.6</v>
          </cell>
          <cell r="CB175">
            <v>-52.2</v>
          </cell>
          <cell r="CC175">
            <v>-52.2</v>
          </cell>
          <cell r="CD175">
            <v>-52.2</v>
          </cell>
        </row>
        <row r="176">
          <cell r="A176" t="str">
            <v>Total Debt</v>
          </cell>
          <cell r="I176">
            <v>5488.4000000000005</v>
          </cell>
          <cell r="J176">
            <v>5355.5000000000009</v>
          </cell>
          <cell r="K176">
            <v>5382.5</v>
          </cell>
          <cell r="L176">
            <v>6295.2</v>
          </cell>
          <cell r="M176">
            <v>7325.8</v>
          </cell>
          <cell r="N176">
            <v>9150.4</v>
          </cell>
          <cell r="O176">
            <v>8965.8000000000011</v>
          </cell>
          <cell r="P176">
            <v>8707.1999999999989</v>
          </cell>
          <cell r="Q176">
            <v>8563.9999999999982</v>
          </cell>
          <cell r="R176">
            <v>5170.5000000000009</v>
          </cell>
          <cell r="S176">
            <v>4863.5999999999995</v>
          </cell>
          <cell r="T176">
            <v>0</v>
          </cell>
          <cell r="U176">
            <v>200</v>
          </cell>
          <cell r="V176">
            <v>225</v>
          </cell>
          <cell r="W176">
            <v>1350</v>
          </cell>
          <cell r="X176">
            <v>3200</v>
          </cell>
          <cell r="Y176">
            <v>3025</v>
          </cell>
          <cell r="AK176">
            <v>5498.5999999999995</v>
          </cell>
          <cell r="AL176">
            <v>5488.4000000000005</v>
          </cell>
          <cell r="AM176">
            <v>5488.5999999999995</v>
          </cell>
          <cell r="AN176">
            <v>5488.8</v>
          </cell>
          <cell r="AO176">
            <v>5698.9000000000005</v>
          </cell>
          <cell r="AP176">
            <v>5355.5000000000009</v>
          </cell>
          <cell r="AQ176">
            <v>5367.2</v>
          </cell>
          <cell r="AR176">
            <v>5369</v>
          </cell>
          <cell r="AS176">
            <v>5395.7</v>
          </cell>
          <cell r="AT176">
            <v>5382.5</v>
          </cell>
          <cell r="AU176">
            <v>5379.3</v>
          </cell>
          <cell r="AV176">
            <v>5226.2</v>
          </cell>
          <cell r="AW176">
            <v>5223.1000000000004</v>
          </cell>
          <cell r="AX176">
            <v>6295.2</v>
          </cell>
          <cell r="AY176">
            <v>6295</v>
          </cell>
          <cell r="AZ176">
            <v>6592.1</v>
          </cell>
          <cell r="BA176">
            <v>6686.3</v>
          </cell>
          <cell r="BB176">
            <v>7325.8</v>
          </cell>
          <cell r="BC176">
            <v>7422.9999999999991</v>
          </cell>
          <cell r="BD176">
            <v>7367.2</v>
          </cell>
          <cell r="BE176">
            <v>7341.4</v>
          </cell>
          <cell r="BF176">
            <v>9150.4</v>
          </cell>
          <cell r="BG176">
            <v>8854.0999999999985</v>
          </cell>
          <cell r="BH176">
            <v>8860.1</v>
          </cell>
          <cell r="BI176">
            <v>9030.7999999999993</v>
          </cell>
          <cell r="BJ176">
            <v>8965.8000000000011</v>
          </cell>
          <cell r="BK176">
            <v>8996.6999999999989</v>
          </cell>
          <cell r="BL176">
            <v>8944.7000000000007</v>
          </cell>
          <cell r="BM176">
            <v>8846.7999999999993</v>
          </cell>
          <cell r="BN176">
            <v>8707.1999999999989</v>
          </cell>
          <cell r="BO176">
            <v>8706.2999999999993</v>
          </cell>
          <cell r="BP176">
            <v>8685.6</v>
          </cell>
          <cell r="BQ176">
            <v>8661.1</v>
          </cell>
          <cell r="BR176">
            <v>8563.9999999999982</v>
          </cell>
          <cell r="BS176">
            <v>8820.6</v>
          </cell>
          <cell r="BT176">
            <v>5643.7999999999993</v>
          </cell>
          <cell r="BU176">
            <v>5699.2999999999993</v>
          </cell>
          <cell r="BV176">
            <v>5170.5000000000009</v>
          </cell>
          <cell r="BW176">
            <v>5445</v>
          </cell>
          <cell r="BX176">
            <v>4743.4999999999991</v>
          </cell>
          <cell r="BY176">
            <v>4866.1000000000004</v>
          </cell>
          <cell r="BZ176">
            <v>4863.5999999999995</v>
          </cell>
          <cell r="CA176">
            <v>5479.0999999999995</v>
          </cell>
          <cell r="CB176">
            <v>5415.7465000000002</v>
          </cell>
          <cell r="CC176">
            <v>5342.4013837499997</v>
          </cell>
          <cell r="CD176">
            <v>5264.0646302906252</v>
          </cell>
        </row>
        <row r="177">
          <cell r="A177" t="str">
            <v>Check</v>
          </cell>
          <cell r="I177">
            <v>5488.4000000000005</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AK177">
            <v>5498.5999999999995</v>
          </cell>
          <cell r="AL177">
            <v>5488.4000000000005</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row>
        <row r="178">
          <cell r="A178" t="str">
            <v>Check</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row>
        <row r="179">
          <cell r="A179" t="str">
            <v>Senior Secured Credit Facility due 2011</v>
          </cell>
          <cell r="AK179">
            <v>500</v>
          </cell>
          <cell r="AL179">
            <v>500</v>
          </cell>
          <cell r="AM179">
            <v>500</v>
          </cell>
          <cell r="AN179">
            <v>500</v>
          </cell>
          <cell r="AO179">
            <v>500</v>
          </cell>
          <cell r="AP179">
            <v>283.3</v>
          </cell>
          <cell r="AQ179">
            <v>283.3</v>
          </cell>
          <cell r="AR179">
            <v>283.3</v>
          </cell>
          <cell r="AS179">
            <v>283.3</v>
          </cell>
          <cell r="AT179">
            <v>283.3</v>
          </cell>
          <cell r="AU179">
            <v>283.3</v>
          </cell>
          <cell r="AV179">
            <v>283.3</v>
          </cell>
          <cell r="AW179">
            <v>283.3</v>
          </cell>
          <cell r="AX179">
            <v>114.4</v>
          </cell>
          <cell r="AY179">
            <v>114.4</v>
          </cell>
          <cell r="AZ179">
            <v>114.4</v>
          </cell>
          <cell r="BA179">
            <v>100.9</v>
          </cell>
          <cell r="BB179">
            <v>100.9</v>
          </cell>
          <cell r="BC179">
            <v>98</v>
          </cell>
          <cell r="BD179">
            <v>98</v>
          </cell>
        </row>
        <row r="180">
          <cell r="A180" t="str">
            <v>Senior Secured Credit Facility due 2011</v>
          </cell>
          <cell r="B180">
            <v>4.7500000000000001E-2</v>
          </cell>
          <cell r="P180">
            <v>41.206250000000004</v>
          </cell>
          <cell r="Q180">
            <v>29.153125000000003</v>
          </cell>
          <cell r="R180">
            <v>24.551562499999999</v>
          </cell>
          <cell r="S180">
            <v>23.459062500000002</v>
          </cell>
          <cell r="T180">
            <v>19.4453125</v>
          </cell>
          <cell r="U180">
            <v>12.94375</v>
          </cell>
          <cell r="V180">
            <v>8.3125</v>
          </cell>
          <cell r="W180">
            <v>3.9187500000000002</v>
          </cell>
          <cell r="X180">
            <v>0</v>
          </cell>
          <cell r="Y180">
            <v>0</v>
          </cell>
          <cell r="AK180">
            <v>500</v>
          </cell>
          <cell r="AL180">
            <v>500</v>
          </cell>
          <cell r="AM180">
            <v>500</v>
          </cell>
          <cell r="AN180">
            <v>500</v>
          </cell>
          <cell r="AO180">
            <v>500</v>
          </cell>
          <cell r="AP180">
            <v>283.3</v>
          </cell>
          <cell r="AQ180">
            <v>283.3</v>
          </cell>
          <cell r="AR180">
            <v>283.3</v>
          </cell>
          <cell r="AS180">
            <v>283.3</v>
          </cell>
          <cell r="AT180">
            <v>283.3</v>
          </cell>
          <cell r="AU180">
            <v>283.3</v>
          </cell>
          <cell r="AV180">
            <v>283.3</v>
          </cell>
          <cell r="AW180">
            <v>283.3</v>
          </cell>
          <cell r="AX180">
            <v>114.4</v>
          </cell>
          <cell r="AY180">
            <v>114.4</v>
          </cell>
          <cell r="AZ180">
            <v>114.4</v>
          </cell>
          <cell r="BA180">
            <v>100.9</v>
          </cell>
          <cell r="BB180">
            <v>100.9</v>
          </cell>
          <cell r="BC180">
            <v>98</v>
          </cell>
          <cell r="BD180">
            <v>98</v>
          </cell>
          <cell r="BK180">
            <v>11.4</v>
          </cell>
          <cell r="BL180">
            <v>11.4</v>
          </cell>
          <cell r="BM180">
            <v>11.4</v>
          </cell>
          <cell r="BN180">
            <v>7.0062499999999996</v>
          </cell>
          <cell r="BO180">
            <v>7.2437500000000004</v>
          </cell>
          <cell r="BP180">
            <v>7.2437500000000004</v>
          </cell>
          <cell r="BQ180">
            <v>7.2437500000000004</v>
          </cell>
          <cell r="BR180">
            <v>7.421875</v>
          </cell>
          <cell r="BS180">
            <v>8.5796875000000004</v>
          </cell>
          <cell r="BT180">
            <v>4.8687500000000004</v>
          </cell>
          <cell r="BU180">
            <v>4.6609375000000002</v>
          </cell>
          <cell r="BV180">
            <v>6.4421875000000002</v>
          </cell>
          <cell r="BW180">
            <v>5.2725</v>
          </cell>
          <cell r="BX180">
            <v>4.2334375</v>
          </cell>
          <cell r="BY180">
            <v>7.421875</v>
          </cell>
          <cell r="BZ180">
            <v>6.53125</v>
          </cell>
          <cell r="CA180">
            <v>5.4921875</v>
          </cell>
          <cell r="CB180">
            <v>5.1062500000000002</v>
          </cell>
          <cell r="CC180">
            <v>4.5718750000000004</v>
          </cell>
          <cell r="CD180">
            <v>4.2750000000000004</v>
          </cell>
        </row>
        <row r="181">
          <cell r="A181" t="str">
            <v>Revolving Line of Credit due April 24, 2020</v>
          </cell>
          <cell r="B181">
            <v>4.7500000000000001E-2</v>
          </cell>
          <cell r="P181">
            <v>41.206250000000004</v>
          </cell>
          <cell r="Q181">
            <v>29.153125000000003</v>
          </cell>
          <cell r="R181">
            <v>24.551562499999999</v>
          </cell>
          <cell r="S181">
            <v>23.459062500000002</v>
          </cell>
          <cell r="T181">
            <v>27.674687499999997</v>
          </cell>
          <cell r="U181">
            <v>20.567499999999999</v>
          </cell>
          <cell r="V181">
            <v>11.067500000000001</v>
          </cell>
          <cell r="W181">
            <v>3.7524999999999999</v>
          </cell>
          <cell r="X181">
            <v>0</v>
          </cell>
          <cell r="Y181">
            <v>0</v>
          </cell>
          <cell r="AK181">
            <v>500</v>
          </cell>
          <cell r="AL181">
            <v>500</v>
          </cell>
          <cell r="AM181">
            <v>500</v>
          </cell>
          <cell r="AN181">
            <v>500</v>
          </cell>
          <cell r="AO181">
            <v>500</v>
          </cell>
          <cell r="AP181">
            <v>283.3</v>
          </cell>
          <cell r="AQ181">
            <v>283.3</v>
          </cell>
          <cell r="AR181">
            <v>283.3</v>
          </cell>
          <cell r="AS181">
            <v>283.3</v>
          </cell>
          <cell r="AT181">
            <v>283.3</v>
          </cell>
          <cell r="AU181">
            <v>283.3</v>
          </cell>
          <cell r="AV181">
            <v>283.3</v>
          </cell>
          <cell r="AW181">
            <v>283.3</v>
          </cell>
          <cell r="AX181">
            <v>114.4</v>
          </cell>
          <cell r="AY181">
            <v>114.4</v>
          </cell>
          <cell r="AZ181">
            <v>114.4</v>
          </cell>
          <cell r="BA181">
            <v>100.9</v>
          </cell>
          <cell r="BB181">
            <v>100.9</v>
          </cell>
          <cell r="BC181">
            <v>98</v>
          </cell>
          <cell r="BD181">
            <v>98</v>
          </cell>
          <cell r="BK181">
            <v>11.4</v>
          </cell>
          <cell r="BL181">
            <v>11.4</v>
          </cell>
          <cell r="BM181">
            <v>11.4</v>
          </cell>
          <cell r="BN181">
            <v>7.0062499999999996</v>
          </cell>
          <cell r="BO181">
            <v>7.2437500000000004</v>
          </cell>
          <cell r="BP181">
            <v>7.2437500000000004</v>
          </cell>
          <cell r="BQ181">
            <v>7.2437500000000004</v>
          </cell>
          <cell r="BR181">
            <v>7.421875</v>
          </cell>
          <cell r="BS181">
            <v>8.5796875000000004</v>
          </cell>
          <cell r="BT181">
            <v>4.8687500000000004</v>
          </cell>
          <cell r="BU181">
            <v>4.6609375000000002</v>
          </cell>
          <cell r="BV181">
            <v>6.4421875000000002</v>
          </cell>
          <cell r="BW181">
            <v>5.2725</v>
          </cell>
          <cell r="BX181">
            <v>4.2334375</v>
          </cell>
          <cell r="BY181">
            <v>7.421875</v>
          </cell>
          <cell r="BZ181">
            <v>6.53125</v>
          </cell>
          <cell r="CA181">
            <v>6.6678125000000001</v>
          </cell>
          <cell r="CB181">
            <v>7.4575000000000005</v>
          </cell>
          <cell r="CC181">
            <v>6.9231249999999998</v>
          </cell>
          <cell r="CD181">
            <v>6.6262499999999998</v>
          </cell>
        </row>
        <row r="182">
          <cell r="A182" t="str">
            <v>Senior Secured Credit Facility due July 2013</v>
          </cell>
          <cell r="B182">
            <v>0.06</v>
          </cell>
          <cell r="P182">
            <v>0.48750000000000004</v>
          </cell>
          <cell r="Q182">
            <v>29.153125000000003</v>
          </cell>
          <cell r="R182">
            <v>0</v>
          </cell>
          <cell r="S182">
            <v>0</v>
          </cell>
          <cell r="T182">
            <v>0</v>
          </cell>
          <cell r="U182">
            <v>35.767499999999998</v>
          </cell>
          <cell r="V182">
            <v>22.111250000000002</v>
          </cell>
          <cell r="W182">
            <v>9.5712500000000009</v>
          </cell>
          <cell r="X182">
            <v>0</v>
          </cell>
          <cell r="Y182">
            <v>0</v>
          </cell>
          <cell r="BK182">
            <v>0.16250000000000001</v>
          </cell>
          <cell r="BL182">
            <v>0.16250000000000001</v>
          </cell>
          <cell r="BM182">
            <v>0.16250000000000001</v>
          </cell>
          <cell r="BN182">
            <v>0</v>
          </cell>
          <cell r="BO182">
            <v>7.2437500000000004</v>
          </cell>
          <cell r="BP182">
            <v>7.2437500000000004</v>
          </cell>
          <cell r="BQ182">
            <v>7.2437500000000004</v>
          </cell>
          <cell r="BR182">
            <v>7.421875</v>
          </cell>
          <cell r="BS182">
            <v>8.5796875000000004</v>
          </cell>
          <cell r="BT182">
            <v>4.8687500000000004</v>
          </cell>
          <cell r="BU182">
            <v>4.6609375000000002</v>
          </cell>
          <cell r="BV182">
            <v>6.4421875000000002</v>
          </cell>
          <cell r="BW182">
            <v>5.2725</v>
          </cell>
          <cell r="BX182">
            <v>4.2334375</v>
          </cell>
          <cell r="BY182">
            <v>7.421875</v>
          </cell>
          <cell r="BZ182">
            <v>6.53125</v>
          </cell>
          <cell r="CA182">
            <v>6.6678125000000001</v>
          </cell>
          <cell r="CB182">
            <v>8.3006250000000001</v>
          </cell>
          <cell r="CC182">
            <v>10.26</v>
          </cell>
          <cell r="CD182">
            <v>11.61375</v>
          </cell>
        </row>
        <row r="183">
          <cell r="A183" t="str">
            <v>6.500% Windstream Georgia Communications due 2013</v>
          </cell>
          <cell r="B183">
            <v>6.5000000000000002E-2</v>
          </cell>
          <cell r="P183">
            <v>0.48750000000000004</v>
          </cell>
          <cell r="R183">
            <v>0</v>
          </cell>
          <cell r="S183">
            <v>0</v>
          </cell>
          <cell r="T183">
            <v>0</v>
          </cell>
          <cell r="BK183">
            <v>0.16250000000000001</v>
          </cell>
          <cell r="BL183">
            <v>0.16250000000000001</v>
          </cell>
          <cell r="BM183">
            <v>0.16250000000000001</v>
          </cell>
          <cell r="BN183">
            <v>0</v>
          </cell>
        </row>
        <row r="184">
          <cell r="A184" t="str">
            <v>7.750% Senior Notes due 2015</v>
          </cell>
          <cell r="B184">
            <v>7.7499999999999999E-2</v>
          </cell>
          <cell r="P184">
            <v>0.48750000000000004</v>
          </cell>
          <cell r="R184">
            <v>0</v>
          </cell>
          <cell r="S184">
            <v>0</v>
          </cell>
          <cell r="T184">
            <v>0</v>
          </cell>
          <cell r="BK184">
            <v>0.16250000000000001</v>
          </cell>
          <cell r="BL184">
            <v>0.16250000000000001</v>
          </cell>
          <cell r="BM184">
            <v>0.16250000000000001</v>
          </cell>
          <cell r="BN184">
            <v>0</v>
          </cell>
        </row>
        <row r="185">
          <cell r="A185" t="str">
            <v>Senior Secured Credit Facility due December 2015</v>
          </cell>
          <cell r="B185">
            <v>0</v>
          </cell>
          <cell r="R185">
            <v>0</v>
          </cell>
          <cell r="S185">
            <v>0</v>
          </cell>
          <cell r="T185">
            <v>0</v>
          </cell>
        </row>
        <row r="186">
          <cell r="A186" t="str">
            <v>9.500% PAETEC Notes due 2015</v>
          </cell>
          <cell r="B186">
            <v>9.5000000000000001E-2</v>
          </cell>
          <cell r="R186">
            <v>0</v>
          </cell>
          <cell r="S186">
            <v>0</v>
          </cell>
          <cell r="T186">
            <v>0</v>
          </cell>
        </row>
        <row r="187">
          <cell r="A187" t="str">
            <v>8.625% Senior Notes due 2016</v>
          </cell>
          <cell r="B187">
            <v>8.6249999999999993E-2</v>
          </cell>
          <cell r="P187">
            <v>23.724</v>
          </cell>
          <cell r="Q187">
            <v>21.625499999999999</v>
          </cell>
          <cell r="R187">
            <v>0</v>
          </cell>
          <cell r="S187">
            <v>0</v>
          </cell>
          <cell r="T187">
            <v>0</v>
          </cell>
          <cell r="U187">
            <v>0</v>
          </cell>
          <cell r="V187">
            <v>0</v>
          </cell>
          <cell r="W187">
            <v>0</v>
          </cell>
          <cell r="X187">
            <v>0</v>
          </cell>
          <cell r="Y187">
            <v>0</v>
          </cell>
          <cell r="BK187">
            <v>6.0525000000000002</v>
          </cell>
          <cell r="BL187">
            <v>5.9714999999999998</v>
          </cell>
          <cell r="BM187">
            <v>5.8904999999999994</v>
          </cell>
          <cell r="BN187">
            <v>5.8094999999999999</v>
          </cell>
          <cell r="BO187">
            <v>5.649</v>
          </cell>
          <cell r="BP187">
            <v>5.4870000000000001</v>
          </cell>
          <cell r="BQ187">
            <v>5.3250000000000002</v>
          </cell>
          <cell r="BR187">
            <v>5.1645000000000003</v>
          </cell>
          <cell r="BS187">
            <v>5.0024999999999995</v>
          </cell>
          <cell r="BT187">
            <v>0</v>
          </cell>
          <cell r="BU187">
            <v>0</v>
          </cell>
          <cell r="BV187">
            <v>0</v>
          </cell>
          <cell r="BW187">
            <v>0</v>
          </cell>
          <cell r="BX187">
            <v>0</v>
          </cell>
          <cell r="BY187">
            <v>0</v>
          </cell>
          <cell r="BZ187">
            <v>0</v>
          </cell>
          <cell r="CA187">
            <v>0</v>
          </cell>
          <cell r="CB187">
            <v>0</v>
          </cell>
          <cell r="CC187">
            <v>0</v>
          </cell>
          <cell r="CD187">
            <v>0</v>
          </cell>
        </row>
        <row r="188">
          <cell r="A188" t="str">
            <v>Senior Secured Credit Facility due December 2016</v>
          </cell>
          <cell r="B188">
            <v>0.06</v>
          </cell>
          <cell r="P188">
            <v>23.724</v>
          </cell>
          <cell r="Q188">
            <v>21.625499999999999</v>
          </cell>
          <cell r="R188">
            <v>0</v>
          </cell>
          <cell r="S188">
            <v>0</v>
          </cell>
          <cell r="T188">
            <v>0</v>
          </cell>
          <cell r="U188">
            <v>0</v>
          </cell>
          <cell r="V188">
            <v>0</v>
          </cell>
          <cell r="W188">
            <v>0</v>
          </cell>
          <cell r="X188">
            <v>0</v>
          </cell>
          <cell r="Y188">
            <v>0</v>
          </cell>
          <cell r="BK188">
            <v>6.0525000000000002</v>
          </cell>
          <cell r="BL188">
            <v>5.9714999999999998</v>
          </cell>
          <cell r="BM188">
            <v>5.8904999999999994</v>
          </cell>
          <cell r="BN188">
            <v>5.8094999999999999</v>
          </cell>
          <cell r="BO188">
            <v>5.649</v>
          </cell>
          <cell r="BP188">
            <v>5.4870000000000001</v>
          </cell>
          <cell r="BQ188">
            <v>5.3250000000000002</v>
          </cell>
          <cell r="BR188">
            <v>5.1645000000000003</v>
          </cell>
          <cell r="BS188">
            <v>5.0024999999999995</v>
          </cell>
          <cell r="BT188">
            <v>0</v>
          </cell>
          <cell r="BU188">
            <v>0</v>
          </cell>
          <cell r="BV188">
            <v>0</v>
          </cell>
          <cell r="BW188">
            <v>0</v>
          </cell>
          <cell r="BX188">
            <v>0</v>
          </cell>
          <cell r="BY188">
            <v>0</v>
          </cell>
          <cell r="BZ188">
            <v>0</v>
          </cell>
          <cell r="CA188">
            <v>0</v>
          </cell>
          <cell r="CB188">
            <v>0</v>
          </cell>
          <cell r="CC188">
            <v>0</v>
          </cell>
          <cell r="CD188">
            <v>0</v>
          </cell>
        </row>
        <row r="189">
          <cell r="A189" t="str">
            <v>7.875% Senior Notes due November 1, 2017</v>
          </cell>
          <cell r="B189">
            <v>7.8750000000000001E-2</v>
          </cell>
          <cell r="P189">
            <v>86.625</v>
          </cell>
          <cell r="Q189">
            <v>86.625</v>
          </cell>
          <cell r="R189">
            <v>78.911437500000005</v>
          </cell>
          <cell r="S189">
            <v>21.823593750000001</v>
          </cell>
          <cell r="T189">
            <v>0</v>
          </cell>
          <cell r="U189">
            <v>0</v>
          </cell>
          <cell r="V189">
            <v>0</v>
          </cell>
          <cell r="W189">
            <v>0</v>
          </cell>
          <cell r="X189">
            <v>0</v>
          </cell>
          <cell r="Y189">
            <v>0</v>
          </cell>
          <cell r="BK189">
            <v>2.5760569772727275</v>
          </cell>
          <cell r="BL189">
            <v>43.3125</v>
          </cell>
          <cell r="BM189">
            <v>2.5091348181818183</v>
          </cell>
          <cell r="BN189">
            <v>43.3125</v>
          </cell>
          <cell r="BO189">
            <v>2.4422126590909095</v>
          </cell>
          <cell r="BP189">
            <v>43.3125</v>
          </cell>
          <cell r="BQ189">
            <v>2.3422755681818184</v>
          </cell>
          <cell r="BR189">
            <v>43.3125</v>
          </cell>
          <cell r="BS189">
            <v>2.2084312500000003</v>
          </cell>
          <cell r="BT189">
            <v>43.3125</v>
          </cell>
          <cell r="BU189">
            <v>0</v>
          </cell>
          <cell r="BV189">
            <v>35.598937499999998</v>
          </cell>
          <cell r="BW189">
            <v>0</v>
          </cell>
          <cell r="BX189">
            <v>14.5490625</v>
          </cell>
          <cell r="BY189">
            <v>7.2745312499999999</v>
          </cell>
          <cell r="BZ189">
            <v>0</v>
          </cell>
          <cell r="CA189">
            <v>0</v>
          </cell>
          <cell r="CB189">
            <v>0</v>
          </cell>
          <cell r="CC189">
            <v>0</v>
          </cell>
          <cell r="CD189">
            <v>0</v>
          </cell>
        </row>
        <row r="190">
          <cell r="A190" t="str">
            <v>Senior Secured Credit Facility due August 2017</v>
          </cell>
          <cell r="B190">
            <v>3.5691818181818186E-2</v>
          </cell>
          <cell r="P190">
            <v>10.104353727272727</v>
          </cell>
          <cell r="Q190">
            <v>9.4690393636363659</v>
          </cell>
          <cell r="R190">
            <v>2.2084312500000003</v>
          </cell>
          <cell r="S190">
            <v>0</v>
          </cell>
          <cell r="T190">
            <v>0</v>
          </cell>
          <cell r="U190">
            <v>0</v>
          </cell>
          <cell r="V190">
            <v>0</v>
          </cell>
          <cell r="W190">
            <v>0</v>
          </cell>
          <cell r="X190">
            <v>0</v>
          </cell>
          <cell r="Y190">
            <v>0</v>
          </cell>
          <cell r="BK190">
            <v>2.5760569772727275</v>
          </cell>
          <cell r="BL190">
            <v>43.3125</v>
          </cell>
          <cell r="BM190">
            <v>2.5091348181818183</v>
          </cell>
          <cell r="BN190">
            <v>43.3125</v>
          </cell>
          <cell r="BO190">
            <v>2.4422126590909095</v>
          </cell>
          <cell r="BP190">
            <v>43.3125</v>
          </cell>
          <cell r="BQ190">
            <v>2.3422755681818184</v>
          </cell>
          <cell r="BR190">
            <v>43.3125</v>
          </cell>
          <cell r="BS190">
            <v>2.2084312500000003</v>
          </cell>
          <cell r="BT190">
            <v>43.3125</v>
          </cell>
          <cell r="BU190">
            <v>0</v>
          </cell>
          <cell r="BV190">
            <v>35.598937499999998</v>
          </cell>
          <cell r="BW190">
            <v>0</v>
          </cell>
          <cell r="BX190">
            <v>14.5490625</v>
          </cell>
          <cell r="BY190">
            <v>7.2745312499999999</v>
          </cell>
          <cell r="BZ190">
            <v>0</v>
          </cell>
          <cell r="CA190">
            <v>0</v>
          </cell>
          <cell r="CB190">
            <v>0</v>
          </cell>
          <cell r="CC190">
            <v>0</v>
          </cell>
          <cell r="CD190">
            <v>0</v>
          </cell>
        </row>
        <row r="191">
          <cell r="A191" t="str">
            <v>8.875% PAETEC Notes due 2017</v>
          </cell>
          <cell r="B191">
            <v>8.8749999999999996E-2</v>
          </cell>
          <cell r="P191">
            <v>32.5</v>
          </cell>
          <cell r="Q191">
            <v>31.375</v>
          </cell>
          <cell r="R191">
            <v>0</v>
          </cell>
          <cell r="S191">
            <v>0</v>
          </cell>
          <cell r="T191">
            <v>0</v>
          </cell>
          <cell r="U191">
            <v>0</v>
          </cell>
          <cell r="V191">
            <v>0</v>
          </cell>
          <cell r="W191">
            <v>0</v>
          </cell>
          <cell r="X191">
            <v>0</v>
          </cell>
          <cell r="Y191">
            <v>0</v>
          </cell>
          <cell r="BK191">
            <v>8.125</v>
          </cell>
          <cell r="BL191">
            <v>8.125</v>
          </cell>
          <cell r="BM191">
            <v>8.125</v>
          </cell>
          <cell r="BN191">
            <v>8.125</v>
          </cell>
          <cell r="BO191">
            <v>8.125</v>
          </cell>
          <cell r="BP191">
            <v>8.125</v>
          </cell>
          <cell r="BQ191">
            <v>8.125</v>
          </cell>
          <cell r="BR191">
            <v>7.0000000000000009</v>
          </cell>
          <cell r="BS191">
            <v>8.125</v>
          </cell>
          <cell r="BT191">
            <v>0</v>
          </cell>
          <cell r="BU191">
            <v>0</v>
          </cell>
          <cell r="BV191">
            <v>0</v>
          </cell>
          <cell r="BW191">
            <v>0</v>
          </cell>
          <cell r="BX191">
            <v>0</v>
          </cell>
          <cell r="BY191">
            <v>0</v>
          </cell>
          <cell r="BZ191">
            <v>0</v>
          </cell>
          <cell r="CA191">
            <v>0</v>
          </cell>
          <cell r="CB191">
            <v>0</v>
          </cell>
          <cell r="CC191">
            <v>0</v>
          </cell>
          <cell r="CD191">
            <v>0</v>
          </cell>
        </row>
        <row r="192">
          <cell r="A192" t="str">
            <v>8.125% Senior Notes due September 1, 2018</v>
          </cell>
          <cell r="B192">
            <v>8.1250000000000003E-2</v>
          </cell>
          <cell r="P192">
            <v>32.5</v>
          </cell>
          <cell r="Q192">
            <v>31.375</v>
          </cell>
          <cell r="R192">
            <v>0</v>
          </cell>
          <cell r="S192">
            <v>0</v>
          </cell>
          <cell r="T192">
            <v>0</v>
          </cell>
          <cell r="U192">
            <v>0</v>
          </cell>
          <cell r="V192">
            <v>0</v>
          </cell>
          <cell r="W192">
            <v>0</v>
          </cell>
          <cell r="X192">
            <v>0</v>
          </cell>
          <cell r="Y192">
            <v>0</v>
          </cell>
          <cell r="BK192">
            <v>8.125</v>
          </cell>
          <cell r="BL192">
            <v>8.125</v>
          </cell>
          <cell r="BM192">
            <v>8.125</v>
          </cell>
          <cell r="BN192">
            <v>8.125</v>
          </cell>
          <cell r="BO192">
            <v>8.125</v>
          </cell>
          <cell r="BP192">
            <v>8.125</v>
          </cell>
          <cell r="BQ192">
            <v>8.125</v>
          </cell>
          <cell r="BR192">
            <v>7.0000000000000009</v>
          </cell>
          <cell r="BS192">
            <v>8.125</v>
          </cell>
          <cell r="BT192">
            <v>0</v>
          </cell>
          <cell r="BU192">
            <v>0</v>
          </cell>
          <cell r="BV192">
            <v>0</v>
          </cell>
          <cell r="BW192">
            <v>0</v>
          </cell>
          <cell r="BX192">
            <v>0</v>
          </cell>
          <cell r="BY192">
            <v>0</v>
          </cell>
          <cell r="BZ192">
            <v>0</v>
          </cell>
          <cell r="CA192">
            <v>0</v>
          </cell>
          <cell r="CB192">
            <v>0</v>
          </cell>
          <cell r="CC192">
            <v>0</v>
          </cell>
          <cell r="CD192">
            <v>0</v>
          </cell>
        </row>
        <row r="193">
          <cell r="A193" t="str">
            <v>9.875% PAETEC Notes due December 1, 2018</v>
          </cell>
          <cell r="B193">
            <v>9.8750000000000004E-2</v>
          </cell>
          <cell r="P193">
            <v>44.4375</v>
          </cell>
          <cell r="Q193">
            <v>44.4375</v>
          </cell>
          <cell r="R193">
            <v>0</v>
          </cell>
          <cell r="S193">
            <v>0</v>
          </cell>
          <cell r="T193">
            <v>0</v>
          </cell>
          <cell r="U193">
            <v>0</v>
          </cell>
          <cell r="V193">
            <v>0</v>
          </cell>
          <cell r="W193">
            <v>0</v>
          </cell>
          <cell r="X193">
            <v>0</v>
          </cell>
          <cell r="Y193">
            <v>0</v>
          </cell>
          <cell r="BK193">
            <v>17.5</v>
          </cell>
          <cell r="BL193">
            <v>22.21875</v>
          </cell>
          <cell r="BM193">
            <v>17.5</v>
          </cell>
          <cell r="BN193">
            <v>22.21875</v>
          </cell>
          <cell r="BO193">
            <v>8.125</v>
          </cell>
          <cell r="BP193">
            <v>22.21875</v>
          </cell>
          <cell r="BQ193">
            <v>8.125</v>
          </cell>
          <cell r="BR193">
            <v>22.21875</v>
          </cell>
          <cell r="BS193">
            <v>8.125</v>
          </cell>
          <cell r="BT193">
            <v>0</v>
          </cell>
          <cell r="BU193">
            <v>0</v>
          </cell>
          <cell r="BV193">
            <v>0</v>
          </cell>
          <cell r="BW193">
            <v>0</v>
          </cell>
          <cell r="BX193">
            <v>0</v>
          </cell>
          <cell r="BY193">
            <v>0</v>
          </cell>
          <cell r="BZ193">
            <v>0</v>
          </cell>
          <cell r="CA193">
            <v>0</v>
          </cell>
          <cell r="CB193">
            <v>0</v>
          </cell>
          <cell r="CC193">
            <v>0</v>
          </cell>
          <cell r="CD193">
            <v>0</v>
          </cell>
        </row>
        <row r="194">
          <cell r="A194" t="str">
            <v>7.000% Senior Notes due March 15, 2019</v>
          </cell>
          <cell r="B194">
            <v>7.0000000000000007E-2</v>
          </cell>
          <cell r="P194">
            <v>35</v>
          </cell>
          <cell r="Q194">
            <v>38.111125000000001</v>
          </cell>
          <cell r="R194">
            <v>0</v>
          </cell>
          <cell r="S194">
            <v>0</v>
          </cell>
          <cell r="T194">
            <v>0</v>
          </cell>
          <cell r="U194">
            <v>0</v>
          </cell>
          <cell r="V194">
            <v>0</v>
          </cell>
          <cell r="W194">
            <v>0</v>
          </cell>
          <cell r="X194">
            <v>0</v>
          </cell>
          <cell r="Y194">
            <v>0</v>
          </cell>
          <cell r="BK194">
            <v>17.5</v>
          </cell>
          <cell r="BL194">
            <v>22.21875</v>
          </cell>
          <cell r="BM194">
            <v>17.5</v>
          </cell>
          <cell r="BN194">
            <v>22.21875</v>
          </cell>
          <cell r="BO194">
            <v>9.5631250000000012</v>
          </cell>
          <cell r="BP194">
            <v>22.21875</v>
          </cell>
          <cell r="BQ194">
            <v>9.516</v>
          </cell>
          <cell r="BR194">
            <v>22.21875</v>
          </cell>
          <cell r="BS194">
            <v>9.4672499999999999</v>
          </cell>
          <cell r="BT194">
            <v>0</v>
          </cell>
          <cell r="BU194">
            <v>9.4201250000000005</v>
          </cell>
          <cell r="BV194">
            <v>0</v>
          </cell>
          <cell r="BW194">
            <v>0</v>
          </cell>
          <cell r="BX194">
            <v>0</v>
          </cell>
          <cell r="BY194">
            <v>0</v>
          </cell>
          <cell r="BZ194">
            <v>0</v>
          </cell>
          <cell r="CA194">
            <v>0</v>
          </cell>
          <cell r="CB194">
            <v>0</v>
          </cell>
          <cell r="CC194">
            <v>0</v>
          </cell>
          <cell r="CD194">
            <v>0</v>
          </cell>
        </row>
        <row r="195">
          <cell r="A195" t="str">
            <v>Senior Secured Credit Facility due August 2019</v>
          </cell>
          <cell r="B195">
            <v>6.5000000000000002E-2</v>
          </cell>
          <cell r="P195">
            <v>38.545000000000002</v>
          </cell>
          <cell r="Q195">
            <v>38.111125000000001</v>
          </cell>
          <cell r="R195">
            <v>0</v>
          </cell>
          <cell r="S195">
            <v>0</v>
          </cell>
          <cell r="T195">
            <v>0</v>
          </cell>
          <cell r="U195">
            <v>0</v>
          </cell>
          <cell r="V195">
            <v>0</v>
          </cell>
          <cell r="W195">
            <v>0</v>
          </cell>
          <cell r="X195">
            <v>0</v>
          </cell>
          <cell r="Y195">
            <v>0</v>
          </cell>
          <cell r="BK195">
            <v>9.6768750000000008</v>
          </cell>
          <cell r="BL195">
            <v>9.6524999999999999</v>
          </cell>
          <cell r="BM195">
            <v>17.5</v>
          </cell>
          <cell r="BN195">
            <v>9.5875000000000004</v>
          </cell>
          <cell r="BO195">
            <v>9.5631250000000012</v>
          </cell>
          <cell r="BP195">
            <v>9.5403750000000009</v>
          </cell>
          <cell r="BQ195">
            <v>9.516</v>
          </cell>
          <cell r="BR195">
            <v>9.4916250000000009</v>
          </cell>
          <cell r="BS195">
            <v>9.4672499999999999</v>
          </cell>
          <cell r="BT195">
            <v>9.4445000000000014</v>
          </cell>
          <cell r="BU195">
            <v>9.4201250000000005</v>
          </cell>
          <cell r="BV195">
            <v>9.3957500000000014</v>
          </cell>
          <cell r="BW195">
            <v>9.3835625000000018</v>
          </cell>
          <cell r="BX195">
            <v>9.3591875000000009</v>
          </cell>
          <cell r="BY195">
            <v>9.3356250000000003</v>
          </cell>
          <cell r="BZ195">
            <v>9.3120624999999997</v>
          </cell>
          <cell r="CA195">
            <v>4.6499375000000001</v>
          </cell>
          <cell r="CB195">
            <v>0</v>
          </cell>
          <cell r="CC195">
            <v>0</v>
          </cell>
          <cell r="CD195">
            <v>0</v>
          </cell>
        </row>
        <row r="196">
          <cell r="A196" t="str">
            <v>Senior Secured Credit B7 (2024)</v>
          </cell>
          <cell r="B196">
            <v>4.2500000000000003E-2</v>
          </cell>
          <cell r="P196">
            <v>0</v>
          </cell>
          <cell r="Q196">
            <v>0</v>
          </cell>
          <cell r="R196">
            <v>0</v>
          </cell>
          <cell r="S196">
            <v>0</v>
          </cell>
          <cell r="T196">
            <v>14.586250000000003</v>
          </cell>
          <cell r="U196">
            <v>24.463318750000006</v>
          </cell>
          <cell r="V196">
            <v>24.218685562500003</v>
          </cell>
          <cell r="W196">
            <v>23.976498706875002</v>
          </cell>
          <cell r="X196">
            <v>23.736733719806253</v>
          </cell>
          <cell r="Y196">
            <v>23.499366382608187</v>
          </cell>
          <cell r="BK196">
            <v>0</v>
          </cell>
          <cell r="BL196">
            <v>0</v>
          </cell>
          <cell r="BM196">
            <v>0</v>
          </cell>
          <cell r="BN196">
            <v>0</v>
          </cell>
          <cell r="BO196">
            <v>0</v>
          </cell>
          <cell r="BP196">
            <v>0</v>
          </cell>
          <cell r="BQ196">
            <v>0</v>
          </cell>
          <cell r="BR196">
            <v>0</v>
          </cell>
          <cell r="BS196">
            <v>0</v>
          </cell>
          <cell r="BT196">
            <v>0</v>
          </cell>
          <cell r="BU196">
            <v>0</v>
          </cell>
          <cell r="BV196">
            <v>0</v>
          </cell>
          <cell r="BW196">
            <v>9.3835625000000018</v>
          </cell>
          <cell r="BX196">
            <v>27.125</v>
          </cell>
          <cell r="BY196">
            <v>9.3356250000000003</v>
          </cell>
          <cell r="BZ196">
            <v>27.125</v>
          </cell>
          <cell r="CA196">
            <v>6.1465625000000008</v>
          </cell>
          <cell r="CB196">
            <v>6.1465625000000008</v>
          </cell>
          <cell r="CC196">
            <v>6.1465625000000008</v>
          </cell>
          <cell r="CD196">
            <v>6.1465625000000008</v>
          </cell>
        </row>
        <row r="197">
          <cell r="A197" t="str">
            <v>Incremental Term Loan Due 2021</v>
          </cell>
          <cell r="B197">
            <v>5.7500000000000002E-2</v>
          </cell>
          <cell r="P197">
            <v>47.705684181818185</v>
          </cell>
          <cell r="Q197">
            <v>47.225629227272734</v>
          </cell>
          <cell r="R197">
            <v>0</v>
          </cell>
          <cell r="S197">
            <v>38.710437499999998</v>
          </cell>
          <cell r="T197">
            <v>73.67995119363087</v>
          </cell>
          <cell r="U197">
            <v>76.553466241710964</v>
          </cell>
          <cell r="V197">
            <v>76.553466241710964</v>
          </cell>
          <cell r="W197">
            <v>76.553466241710964</v>
          </cell>
          <cell r="X197">
            <v>38.276733120855482</v>
          </cell>
          <cell r="Y197">
            <v>0</v>
          </cell>
          <cell r="BK197">
            <v>11.971035818181818</v>
          </cell>
          <cell r="BL197">
            <v>11.941590068181819</v>
          </cell>
          <cell r="BM197">
            <v>11.911252022727275</v>
          </cell>
          <cell r="BN197">
            <v>11.881806272727273</v>
          </cell>
          <cell r="BO197">
            <v>11.851468227272729</v>
          </cell>
          <cell r="BP197">
            <v>11.821130181818182</v>
          </cell>
          <cell r="BQ197">
            <v>11.791684431818183</v>
          </cell>
          <cell r="BR197">
            <v>11.761346386363638</v>
          </cell>
          <cell r="BS197">
            <v>11.731008340909092</v>
          </cell>
          <cell r="BT197">
            <v>4.2830181818181821</v>
          </cell>
          <cell r="BU197">
            <v>0</v>
          </cell>
          <cell r="BV197">
            <v>0</v>
          </cell>
          <cell r="BW197">
            <v>8.625</v>
          </cell>
          <cell r="BX197">
            <v>8.6142187500000009</v>
          </cell>
          <cell r="BY197">
            <v>9.670781250000001</v>
          </cell>
          <cell r="BZ197">
            <v>11.800437500000001</v>
          </cell>
          <cell r="CA197">
            <v>6.1465625000000008</v>
          </cell>
          <cell r="CB197">
            <v>6.1391249999999999</v>
          </cell>
          <cell r="CC197">
            <v>6.1316875000000008</v>
          </cell>
          <cell r="CD197">
            <v>6.1316875000000008</v>
          </cell>
        </row>
        <row r="198">
          <cell r="A198" t="str">
            <v>7.750% Senior Notes due October 15, 2020</v>
          </cell>
          <cell r="B198">
            <v>7.7499999999999999E-2</v>
          </cell>
          <cell r="P198">
            <v>54.25</v>
          </cell>
          <cell r="Q198">
            <v>54.25</v>
          </cell>
          <cell r="R198">
            <v>0</v>
          </cell>
          <cell r="S198">
            <v>38.710437499999998</v>
          </cell>
          <cell r="T198">
            <v>73.678284273437512</v>
          </cell>
          <cell r="U198">
            <v>76.550805843750013</v>
          </cell>
          <cell r="V198">
            <v>76.550805843750013</v>
          </cell>
          <cell r="W198">
            <v>76.550805843750013</v>
          </cell>
          <cell r="X198">
            <v>38.275402921875006</v>
          </cell>
          <cell r="Y198">
            <v>0</v>
          </cell>
          <cell r="BK198">
            <v>13.5625</v>
          </cell>
          <cell r="BL198">
            <v>13.5625</v>
          </cell>
          <cell r="BM198">
            <v>13.5625</v>
          </cell>
          <cell r="BN198">
            <v>13.5625</v>
          </cell>
          <cell r="BO198">
            <v>13.5625</v>
          </cell>
          <cell r="BP198">
            <v>13.5625</v>
          </cell>
          <cell r="BQ198">
            <v>13.5625</v>
          </cell>
          <cell r="BR198">
            <v>13.5625</v>
          </cell>
          <cell r="BT198">
            <v>13.5625</v>
          </cell>
          <cell r="BV198">
            <v>13.5625</v>
          </cell>
          <cell r="BW198">
            <v>8.625</v>
          </cell>
          <cell r="BX198">
            <v>27.125</v>
          </cell>
          <cell r="BY198">
            <v>9.670781250000001</v>
          </cell>
          <cell r="BZ198">
            <v>27.125</v>
          </cell>
          <cell r="CA198">
            <v>16.072687500000001</v>
          </cell>
          <cell r="CB198">
            <v>27.125</v>
          </cell>
          <cell r="CC198">
            <v>19.2097078125</v>
          </cell>
          <cell r="CD198">
            <v>13.5625</v>
          </cell>
        </row>
        <row r="199">
          <cell r="A199" t="str">
            <v>Senior Secured Credit Facility due January 2020</v>
          </cell>
          <cell r="B199">
            <v>3.5691818181818186E-2</v>
          </cell>
          <cell r="P199">
            <v>47.705684181818185</v>
          </cell>
          <cell r="Q199">
            <v>47.225629227272734</v>
          </cell>
          <cell r="R199">
            <v>16.014026522727274</v>
          </cell>
          <cell r="S199">
            <v>0</v>
          </cell>
          <cell r="T199">
            <v>0</v>
          </cell>
          <cell r="U199">
            <v>0</v>
          </cell>
          <cell r="V199">
            <v>0</v>
          </cell>
          <cell r="W199">
            <v>0</v>
          </cell>
          <cell r="X199">
            <v>0</v>
          </cell>
          <cell r="Y199">
            <v>0</v>
          </cell>
          <cell r="BK199">
            <v>11.971035818181818</v>
          </cell>
          <cell r="BL199">
            <v>11.941590068181819</v>
          </cell>
          <cell r="BM199">
            <v>11.911252022727275</v>
          </cell>
          <cell r="BN199">
            <v>11.881806272727273</v>
          </cell>
          <cell r="BO199">
            <v>11.851468227272729</v>
          </cell>
          <cell r="BP199">
            <v>11.821130181818182</v>
          </cell>
          <cell r="BQ199">
            <v>11.791684431818183</v>
          </cell>
          <cell r="BR199">
            <v>11.761346386363638</v>
          </cell>
          <cell r="BS199">
            <v>11.731008340909092</v>
          </cell>
          <cell r="BT199">
            <v>13.5625</v>
          </cell>
          <cell r="BV199">
            <v>0</v>
          </cell>
          <cell r="BW199">
            <v>0</v>
          </cell>
          <cell r="BX199">
            <v>27.125</v>
          </cell>
          <cell r="BZ199">
            <v>0</v>
          </cell>
          <cell r="CA199">
            <v>0</v>
          </cell>
          <cell r="CB199">
            <v>0</v>
          </cell>
          <cell r="CD199">
            <v>0</v>
          </cell>
        </row>
        <row r="200">
          <cell r="A200" t="str">
            <v>7.750% Senior Notes due October 1,2021</v>
          </cell>
          <cell r="B200">
            <v>7.7499999999999999E-2</v>
          </cell>
          <cell r="P200">
            <v>54.25</v>
          </cell>
          <cell r="Q200">
            <v>73.625</v>
          </cell>
          <cell r="R200">
            <v>72.478000000000009</v>
          </cell>
          <cell r="S200">
            <v>64.485812499999994</v>
          </cell>
          <cell r="T200">
            <v>62.720749999999995</v>
          </cell>
          <cell r="U200">
            <v>62.720749999999995</v>
          </cell>
          <cell r="V200">
            <v>62.720749999999995</v>
          </cell>
          <cell r="W200">
            <v>57.876999999999995</v>
          </cell>
          <cell r="X200">
            <v>26.516624999999998</v>
          </cell>
          <cell r="Y200">
            <v>0</v>
          </cell>
          <cell r="BK200">
            <v>3.4544999999999999E-2</v>
          </cell>
          <cell r="BL200">
            <v>17.4375</v>
          </cell>
          <cell r="BM200">
            <v>3.4544999999999999E-2</v>
          </cell>
          <cell r="BN200">
            <v>36.8125</v>
          </cell>
          <cell r="BO200">
            <v>3.2899999999999999E-2</v>
          </cell>
          <cell r="BP200">
            <v>36.8125</v>
          </cell>
          <cell r="BQ200">
            <v>3.1254999999999998E-2</v>
          </cell>
          <cell r="BR200">
            <v>36.8125</v>
          </cell>
          <cell r="BS200">
            <v>3.1254999999999998E-2</v>
          </cell>
          <cell r="BT200">
            <v>36.8125</v>
          </cell>
          <cell r="BU200">
            <v>0</v>
          </cell>
          <cell r="BV200">
            <v>0</v>
          </cell>
          <cell r="BW200">
            <v>0</v>
          </cell>
          <cell r="BX200">
            <v>0</v>
          </cell>
          <cell r="BY200">
            <v>0</v>
          </cell>
          <cell r="BZ200">
            <v>0</v>
          </cell>
          <cell r="CA200">
            <v>0</v>
          </cell>
          <cell r="CB200">
            <v>0</v>
          </cell>
          <cell r="CC200">
            <v>0</v>
          </cell>
          <cell r="CD200">
            <v>0</v>
          </cell>
        </row>
        <row r="201">
          <cell r="A201" t="str">
            <v>7.500% Senior Notes due June 1,2022</v>
          </cell>
          <cell r="B201">
            <v>7.4999999999999997E-2</v>
          </cell>
          <cell r="P201">
            <v>37.5</v>
          </cell>
          <cell r="Q201">
            <v>37.5</v>
          </cell>
          <cell r="R201">
            <v>36.971249999999998</v>
          </cell>
          <cell r="S201">
            <v>33.721874999999997</v>
          </cell>
          <cell r="T201">
            <v>28.402499999999996</v>
          </cell>
          <cell r="U201">
            <v>24.465</v>
          </cell>
          <cell r="V201">
            <v>24.465</v>
          </cell>
          <cell r="W201">
            <v>20.715</v>
          </cell>
          <cell r="X201">
            <v>16.965</v>
          </cell>
          <cell r="Y201">
            <v>16.965</v>
          </cell>
          <cell r="BK201">
            <v>19.125</v>
          </cell>
          <cell r="BL201">
            <v>17.4375</v>
          </cell>
          <cell r="BM201">
            <v>22.3125</v>
          </cell>
          <cell r="BN201">
            <v>36.8125</v>
          </cell>
          <cell r="BO201">
            <v>22.3125</v>
          </cell>
          <cell r="BP201">
            <v>36.8125</v>
          </cell>
          <cell r="BQ201">
            <v>22.3125</v>
          </cell>
          <cell r="BR201">
            <v>36.8125</v>
          </cell>
          <cell r="BS201">
            <v>22.3125</v>
          </cell>
          <cell r="BT201">
            <v>36.8125</v>
          </cell>
          <cell r="BU201">
            <v>22.3125</v>
          </cell>
          <cell r="BV201">
            <v>35.665500000000002</v>
          </cell>
          <cell r="BW201">
            <v>22.3125</v>
          </cell>
          <cell r="BX201">
            <v>33.125437499999997</v>
          </cell>
          <cell r="BY201">
            <v>18.669187500000003</v>
          </cell>
          <cell r="BZ201">
            <v>31.360374999999998</v>
          </cell>
          <cell r="CA201">
            <v>18.669187500000003</v>
          </cell>
          <cell r="CB201">
            <v>16.169999999999998</v>
          </cell>
          <cell r="CC201">
            <v>18.669187500000003</v>
          </cell>
          <cell r="CD201">
            <v>31.360374999999998</v>
          </cell>
        </row>
        <row r="202">
          <cell r="A202" t="str">
            <v>6.580% Cinergy Communications Company due 2022</v>
          </cell>
          <cell r="B202">
            <v>6.5799999999999997E-2</v>
          </cell>
          <cell r="P202">
            <v>0.13489000000000001</v>
          </cell>
          <cell r="Q202">
            <v>0.12831000000000001</v>
          </cell>
          <cell r="R202">
            <v>3.1254999999999998E-2</v>
          </cell>
          <cell r="S202">
            <v>0</v>
          </cell>
          <cell r="T202">
            <v>0</v>
          </cell>
          <cell r="U202">
            <v>0</v>
          </cell>
          <cell r="V202">
            <v>0</v>
          </cell>
          <cell r="W202">
            <v>0</v>
          </cell>
          <cell r="X202">
            <v>0</v>
          </cell>
          <cell r="Y202">
            <v>0</v>
          </cell>
          <cell r="BK202">
            <v>3.4544999999999999E-2</v>
          </cell>
          <cell r="BL202">
            <v>18.75</v>
          </cell>
          <cell r="BM202">
            <v>3.4544999999999999E-2</v>
          </cell>
          <cell r="BN202">
            <v>18.75</v>
          </cell>
          <cell r="BO202">
            <v>3.2899999999999999E-2</v>
          </cell>
          <cell r="BP202">
            <v>18.75</v>
          </cell>
          <cell r="BQ202">
            <v>3.1254999999999998E-2</v>
          </cell>
          <cell r="BR202">
            <v>18.75</v>
          </cell>
          <cell r="BS202">
            <v>3.1254999999999998E-2</v>
          </cell>
          <cell r="BT202">
            <v>18.75</v>
          </cell>
          <cell r="BU202">
            <v>0</v>
          </cell>
          <cell r="BV202">
            <v>18.221249999999998</v>
          </cell>
          <cell r="BW202">
            <v>0</v>
          </cell>
          <cell r="BX202">
            <v>17.176874999999999</v>
          </cell>
          <cell r="BY202">
            <v>0</v>
          </cell>
          <cell r="BZ202">
            <v>16.544999999999998</v>
          </cell>
          <cell r="CA202">
            <v>0</v>
          </cell>
          <cell r="CB202">
            <v>0</v>
          </cell>
          <cell r="CC202">
            <v>0</v>
          </cell>
          <cell r="CD202">
            <v>12.9825</v>
          </cell>
        </row>
        <row r="203">
          <cell r="A203" t="str">
            <v>6.375% Senior Notes due August 1,2023</v>
          </cell>
          <cell r="B203">
            <v>6.3750000000000001E-2</v>
          </cell>
          <cell r="P203">
            <v>41.4375</v>
          </cell>
          <cell r="Q203">
            <v>44.625</v>
          </cell>
          <cell r="R203">
            <v>44.625</v>
          </cell>
          <cell r="S203">
            <v>40.981687500000007</v>
          </cell>
          <cell r="T203">
            <v>37.338375000000006</v>
          </cell>
          <cell r="U203">
            <v>37.338375000000006</v>
          </cell>
          <cell r="V203">
            <v>37.338375000000006</v>
          </cell>
          <cell r="W203">
            <v>37.338375000000006</v>
          </cell>
          <cell r="X203">
            <v>37.338375000000006</v>
          </cell>
          <cell r="Y203">
            <v>37.338375000000006</v>
          </cell>
          <cell r="BK203">
            <v>19.125</v>
          </cell>
          <cell r="BL203">
            <v>3.2899999999999999E-2</v>
          </cell>
          <cell r="BM203">
            <v>22.3125</v>
          </cell>
          <cell r="BN203">
            <v>3.2899999999999999E-2</v>
          </cell>
          <cell r="BO203">
            <v>22.3125</v>
          </cell>
          <cell r="BP203">
            <v>3.2899999999999999E-2</v>
          </cell>
          <cell r="BQ203">
            <v>22.3125</v>
          </cell>
          <cell r="BR203">
            <v>3.1254999999999998E-2</v>
          </cell>
          <cell r="BS203">
            <v>22.3125</v>
          </cell>
          <cell r="BT203">
            <v>0</v>
          </cell>
          <cell r="BU203">
            <v>22.3125</v>
          </cell>
          <cell r="BV203">
            <v>0</v>
          </cell>
          <cell r="BW203">
            <v>22.3125</v>
          </cell>
          <cell r="BX203">
            <v>0</v>
          </cell>
          <cell r="BY203">
            <v>18.669187500000003</v>
          </cell>
          <cell r="BZ203">
            <v>0</v>
          </cell>
          <cell r="CA203">
            <v>18.669187500000003</v>
          </cell>
          <cell r="CB203">
            <v>0</v>
          </cell>
          <cell r="CC203">
            <v>18.669187500000003</v>
          </cell>
          <cell r="CD203">
            <v>0</v>
          </cell>
        </row>
        <row r="204">
          <cell r="A204" t="str">
            <v>7.500% Senior Notes due April 1,2023</v>
          </cell>
          <cell r="B204">
            <v>7.4999999999999997E-2</v>
          </cell>
          <cell r="P204">
            <v>45</v>
          </cell>
          <cell r="Q204">
            <v>45</v>
          </cell>
          <cell r="R204">
            <v>42.753749999999997</v>
          </cell>
          <cell r="S204">
            <v>30.688124999999999</v>
          </cell>
          <cell r="T204">
            <v>25.762499999999999</v>
          </cell>
          <cell r="U204">
            <v>25.762499999999999</v>
          </cell>
          <cell r="V204">
            <v>25.762499999999999</v>
          </cell>
          <cell r="W204">
            <v>25.762499999999999</v>
          </cell>
          <cell r="X204">
            <v>25.762499999999999</v>
          </cell>
          <cell r="Y204">
            <v>25.762499999999999</v>
          </cell>
          <cell r="BK204">
            <v>19.125</v>
          </cell>
          <cell r="BL204">
            <v>22.5</v>
          </cell>
          <cell r="BM204">
            <v>22.3125</v>
          </cell>
          <cell r="BN204">
            <v>22.5</v>
          </cell>
          <cell r="BO204">
            <v>22.3125</v>
          </cell>
          <cell r="BP204">
            <v>22.5</v>
          </cell>
          <cell r="BQ204">
            <v>22.3125</v>
          </cell>
          <cell r="BR204">
            <v>22.5</v>
          </cell>
          <cell r="BS204">
            <v>22.3125</v>
          </cell>
          <cell r="BT204">
            <v>22.5</v>
          </cell>
          <cell r="BU204">
            <v>22.3125</v>
          </cell>
          <cell r="BV204">
            <v>20.25375</v>
          </cell>
          <cell r="BW204">
            <v>22.3125</v>
          </cell>
          <cell r="BX204">
            <v>17.806875000000002</v>
          </cell>
          <cell r="BY204">
            <v>18.669187500000003</v>
          </cell>
          <cell r="BZ204">
            <v>12.88125</v>
          </cell>
          <cell r="CA204">
            <v>18.669187500000003</v>
          </cell>
          <cell r="CB204">
            <v>12.88125</v>
          </cell>
          <cell r="CC204">
            <v>18.669187500000003</v>
          </cell>
          <cell r="CD204">
            <v>12.88125</v>
          </cell>
        </row>
        <row r="205">
          <cell r="A205" t="str">
            <v>7.000% Teleview LLC due 2010</v>
          </cell>
          <cell r="B205">
            <v>7.0000000000000007E-2</v>
          </cell>
          <cell r="P205">
            <v>6.75</v>
          </cell>
          <cell r="Q205">
            <v>6.75</v>
          </cell>
          <cell r="R205">
            <v>0</v>
          </cell>
          <cell r="S205">
            <v>0</v>
          </cell>
          <cell r="T205">
            <v>0</v>
          </cell>
          <cell r="U205">
            <v>6.75</v>
          </cell>
          <cell r="V205">
            <v>6.75</v>
          </cell>
          <cell r="W205">
            <v>6.75</v>
          </cell>
          <cell r="X205">
            <v>6.75</v>
          </cell>
          <cell r="Y205">
            <v>6.75</v>
          </cell>
          <cell r="BK205">
            <v>1.6875</v>
          </cell>
          <cell r="BL205">
            <v>22.5</v>
          </cell>
          <cell r="BM205">
            <v>1.6875</v>
          </cell>
          <cell r="BN205">
            <v>22.5</v>
          </cell>
          <cell r="BO205">
            <v>1.6875</v>
          </cell>
          <cell r="BP205">
            <v>22.5</v>
          </cell>
          <cell r="BQ205">
            <v>1.6875</v>
          </cell>
          <cell r="BR205">
            <v>22.5</v>
          </cell>
          <cell r="BS205">
            <v>1.6875</v>
          </cell>
          <cell r="BT205">
            <v>22.5</v>
          </cell>
          <cell r="BU205">
            <v>1.6875</v>
          </cell>
          <cell r="BV205">
            <v>20.25375</v>
          </cell>
          <cell r="BW205">
            <v>3.375</v>
          </cell>
          <cell r="BX205">
            <v>17.806875000000002</v>
          </cell>
          <cell r="BY205">
            <v>3.375</v>
          </cell>
          <cell r="BZ205">
            <v>12.88125</v>
          </cell>
          <cell r="CA205">
            <v>3.375</v>
          </cell>
          <cell r="CB205">
            <v>3.375</v>
          </cell>
          <cell r="CC205">
            <v>3.375</v>
          </cell>
          <cell r="CD205">
            <v>12.88125</v>
          </cell>
        </row>
        <row r="206">
          <cell r="A206" t="str">
            <v>7.750% Valor Telecommunications due 2015</v>
          </cell>
          <cell r="B206">
            <v>7.7499999999999999E-2</v>
          </cell>
          <cell r="P206">
            <v>2.0219999999999998</v>
          </cell>
          <cell r="Q206">
            <v>1.5164999999999997</v>
          </cell>
          <cell r="R206">
            <v>0</v>
          </cell>
          <cell r="S206">
            <v>0</v>
          </cell>
          <cell r="T206">
            <v>0</v>
          </cell>
          <cell r="U206">
            <v>-0.432</v>
          </cell>
          <cell r="V206">
            <v>-0.432</v>
          </cell>
          <cell r="W206">
            <v>-0.432</v>
          </cell>
          <cell r="X206">
            <v>-0.432</v>
          </cell>
          <cell r="Y206">
            <v>-0.432</v>
          </cell>
          <cell r="BK206">
            <v>0.82950000000000002</v>
          </cell>
          <cell r="BL206">
            <v>0.25950000000000001</v>
          </cell>
          <cell r="BM206">
            <v>0.501</v>
          </cell>
          <cell r="BN206">
            <v>0.432</v>
          </cell>
          <cell r="BO206">
            <v>0.40949999999999998</v>
          </cell>
          <cell r="BP206">
            <v>0.38849999999999996</v>
          </cell>
          <cell r="BQ206">
            <v>0.36899999999999999</v>
          </cell>
          <cell r="BR206">
            <v>0.34949999999999998</v>
          </cell>
          <cell r="BS206">
            <v>0.30599999999999999</v>
          </cell>
          <cell r="BT206">
            <v>5.8499999999999996E-2</v>
          </cell>
          <cell r="BU206">
            <v>6.6000000000000003E-2</v>
          </cell>
          <cell r="BV206">
            <v>6.8999999999999992E-2</v>
          </cell>
          <cell r="BW206">
            <v>-0.13049999999999998</v>
          </cell>
          <cell r="BX206">
            <v>-0.13350000000000001</v>
          </cell>
          <cell r="BY206">
            <v>-8.8499999999999995E-2</v>
          </cell>
          <cell r="BZ206">
            <v>-0.108</v>
          </cell>
          <cell r="CA206">
            <v>-0.108</v>
          </cell>
          <cell r="CB206">
            <v>-0.108</v>
          </cell>
          <cell r="CC206">
            <v>-0.108</v>
          </cell>
          <cell r="CD206">
            <v>-0.108</v>
          </cell>
        </row>
        <row r="207">
          <cell r="A207" t="str">
            <v>6.750% Windstream Holdings on Midwest Inc due 2028</v>
          </cell>
          <cell r="B207">
            <v>6.7500000000000004E-2</v>
          </cell>
          <cell r="P207">
            <v>6.75</v>
          </cell>
          <cell r="Q207">
            <v>6.75</v>
          </cell>
          <cell r="R207">
            <v>0</v>
          </cell>
          <cell r="S207">
            <v>0</v>
          </cell>
          <cell r="T207">
            <v>0</v>
          </cell>
          <cell r="U207">
            <v>6.75</v>
          </cell>
          <cell r="V207">
            <v>6.75</v>
          </cell>
          <cell r="W207">
            <v>6.75</v>
          </cell>
          <cell r="X207">
            <v>6.75</v>
          </cell>
          <cell r="Y207">
            <v>6.75</v>
          </cell>
          <cell r="BK207">
            <v>1.6875</v>
          </cell>
          <cell r="BL207">
            <v>1.6875</v>
          </cell>
          <cell r="BM207">
            <v>1.6875</v>
          </cell>
          <cell r="BN207">
            <v>1.6875</v>
          </cell>
          <cell r="BO207">
            <v>1.6875</v>
          </cell>
          <cell r="BP207">
            <v>1.6875</v>
          </cell>
          <cell r="BQ207">
            <v>1.6875</v>
          </cell>
          <cell r="BR207">
            <v>1.6875</v>
          </cell>
          <cell r="BS207">
            <v>1.6875</v>
          </cell>
          <cell r="BT207">
            <v>1.6875</v>
          </cell>
          <cell r="BU207">
            <v>1.6875</v>
          </cell>
          <cell r="BV207">
            <v>1.6875</v>
          </cell>
          <cell r="BW207">
            <v>3.375</v>
          </cell>
          <cell r="BX207">
            <v>3.375</v>
          </cell>
          <cell r="BY207">
            <v>3.375</v>
          </cell>
          <cell r="BZ207">
            <v>3.375</v>
          </cell>
          <cell r="CA207">
            <v>3.375</v>
          </cell>
          <cell r="CB207">
            <v>3.375</v>
          </cell>
          <cell r="CC207">
            <v>3.375</v>
          </cell>
          <cell r="CD207">
            <v>1.6875</v>
          </cell>
        </row>
        <row r="208">
          <cell r="A208" t="str">
            <v>Debt Discount / Premium</v>
          </cell>
          <cell r="B208">
            <v>6.7500000000000004E-2</v>
          </cell>
          <cell r="P208">
            <v>2.0219999999999998</v>
          </cell>
          <cell r="Q208">
            <v>1.5164999999999997</v>
          </cell>
          <cell r="R208">
            <v>0.4995</v>
          </cell>
          <cell r="S208">
            <v>-0.46050000000000002</v>
          </cell>
          <cell r="T208">
            <v>-0.83399999999999996</v>
          </cell>
          <cell r="U208">
            <v>-0.83399999999999996</v>
          </cell>
          <cell r="V208">
            <v>-0.83399999999999996</v>
          </cell>
          <cell r="W208">
            <v>-0.83399999999999996</v>
          </cell>
          <cell r="X208">
            <v>-0.83399999999999996</v>
          </cell>
          <cell r="Y208">
            <v>-0.83399999999999996</v>
          </cell>
          <cell r="BK208">
            <v>0.82950000000000002</v>
          </cell>
          <cell r="BL208">
            <v>0.25950000000000001</v>
          </cell>
          <cell r="BM208">
            <v>0.501</v>
          </cell>
          <cell r="BN208">
            <v>0.432</v>
          </cell>
          <cell r="BO208">
            <v>0.40949999999999998</v>
          </cell>
          <cell r="BP208">
            <v>0.38849999999999996</v>
          </cell>
          <cell r="BQ208">
            <v>0.36899999999999999</v>
          </cell>
          <cell r="BR208">
            <v>0.34949999999999998</v>
          </cell>
          <cell r="BS208">
            <v>0.30599999999999999</v>
          </cell>
          <cell r="BT208">
            <v>5.8499999999999996E-2</v>
          </cell>
          <cell r="BU208">
            <v>6.6000000000000003E-2</v>
          </cell>
          <cell r="BV208">
            <v>6.8999999999999992E-2</v>
          </cell>
          <cell r="BW208">
            <v>-0.13049999999999998</v>
          </cell>
          <cell r="BX208">
            <v>-0.13350000000000001</v>
          </cell>
          <cell r="BY208">
            <v>-8.8499999999999995E-2</v>
          </cell>
          <cell r="BZ208">
            <v>-0.108</v>
          </cell>
          <cell r="CA208">
            <v>-0.20849999999999999</v>
          </cell>
          <cell r="CB208">
            <v>-0.20849999999999999</v>
          </cell>
          <cell r="CC208">
            <v>-0.20849999999999999</v>
          </cell>
          <cell r="CD208">
            <v>-0.20849999999999999</v>
          </cell>
        </row>
        <row r="209">
          <cell r="A209" t="str">
            <v>Swaps</v>
          </cell>
          <cell r="B209">
            <v>3.6040000000000003E-2</v>
          </cell>
          <cell r="P209">
            <v>2.0219999999999998</v>
          </cell>
          <cell r="Q209">
            <v>1.5164999999999997</v>
          </cell>
          <cell r="R209">
            <v>0.4995</v>
          </cell>
          <cell r="S209">
            <v>11.1</v>
          </cell>
          <cell r="T209">
            <v>9.6</v>
          </cell>
          <cell r="U209">
            <v>9.6</v>
          </cell>
          <cell r="V209">
            <v>9.6</v>
          </cell>
          <cell r="W209">
            <v>9.6</v>
          </cell>
          <cell r="X209">
            <v>9.6</v>
          </cell>
          <cell r="Y209">
            <v>9.6</v>
          </cell>
          <cell r="BK209">
            <v>0.82950000000000002</v>
          </cell>
          <cell r="BL209">
            <v>0.25950000000000001</v>
          </cell>
          <cell r="BM209">
            <v>0.501</v>
          </cell>
          <cell r="BN209">
            <v>0.432</v>
          </cell>
          <cell r="BO209">
            <v>0.40949999999999998</v>
          </cell>
          <cell r="BP209">
            <v>0.38849999999999996</v>
          </cell>
          <cell r="BQ209">
            <v>0.36899999999999999</v>
          </cell>
          <cell r="BR209">
            <v>0.34949999999999998</v>
          </cell>
          <cell r="BS209">
            <v>0.30599999999999999</v>
          </cell>
          <cell r="BT209">
            <v>5.8499999999999996E-2</v>
          </cell>
          <cell r="BU209">
            <v>6.6000000000000003E-2</v>
          </cell>
          <cell r="BV209">
            <v>6.8999999999999992E-2</v>
          </cell>
          <cell r="BW209">
            <v>2.4</v>
          </cell>
          <cell r="BX209">
            <v>2.9</v>
          </cell>
          <cell r="BY209">
            <v>2.9</v>
          </cell>
          <cell r="BZ209">
            <v>2.9</v>
          </cell>
          <cell r="CA209">
            <v>2.4</v>
          </cell>
          <cell r="CB209">
            <v>2.4</v>
          </cell>
          <cell r="CC209">
            <v>2.4</v>
          </cell>
          <cell r="CD209">
            <v>2.4</v>
          </cell>
        </row>
        <row r="210">
          <cell r="A210" t="str">
            <v>Unamortized Debt Issuance Costs</v>
          </cell>
          <cell r="B210">
            <v>3.6040000000000003E-2</v>
          </cell>
          <cell r="S210">
            <v>11.1</v>
          </cell>
          <cell r="T210">
            <v>9.6</v>
          </cell>
          <cell r="U210">
            <v>9.6</v>
          </cell>
          <cell r="V210">
            <v>9.6</v>
          </cell>
          <cell r="W210">
            <v>9.6</v>
          </cell>
          <cell r="X210">
            <v>9.6</v>
          </cell>
          <cell r="Y210">
            <v>9.6</v>
          </cell>
          <cell r="BW210">
            <v>2.4</v>
          </cell>
          <cell r="BX210">
            <v>2.9</v>
          </cell>
          <cell r="BY210">
            <v>2.9</v>
          </cell>
          <cell r="BZ210">
            <v>2.9</v>
          </cell>
          <cell r="CA210">
            <v>2.4</v>
          </cell>
          <cell r="CB210">
            <v>2.4</v>
          </cell>
          <cell r="CC210">
            <v>2.4</v>
          </cell>
          <cell r="CD210">
            <v>2.4</v>
          </cell>
        </row>
        <row r="211">
          <cell r="A211" t="str">
            <v>Incremental Term Loan</v>
          </cell>
          <cell r="B211">
            <v>0.06</v>
          </cell>
          <cell r="P211">
            <v>601.67967790909097</v>
          </cell>
          <cell r="Q211">
            <v>571.41672859090909</v>
          </cell>
          <cell r="R211">
            <v>403.77433777272734</v>
          </cell>
          <cell r="S211">
            <v>369.65053125000003</v>
          </cell>
          <cell r="T211">
            <v>320.20043749999996</v>
          </cell>
          <cell r="U211">
            <v>3</v>
          </cell>
          <cell r="V211">
            <v>5.25</v>
          </cell>
          <cell r="W211">
            <v>32.25</v>
          </cell>
          <cell r="X211">
            <v>117</v>
          </cell>
          <cell r="Y211">
            <v>168</v>
          </cell>
          <cell r="AK211">
            <v>500</v>
          </cell>
          <cell r="AL211">
            <v>500</v>
          </cell>
          <cell r="AM211">
            <v>500</v>
          </cell>
          <cell r="AN211">
            <v>500</v>
          </cell>
          <cell r="AO211">
            <v>500</v>
          </cell>
          <cell r="AP211">
            <v>283.3</v>
          </cell>
          <cell r="AQ211">
            <v>283.3</v>
          </cell>
          <cell r="AR211">
            <v>283.3</v>
          </cell>
          <cell r="AS211">
            <v>283.3</v>
          </cell>
          <cell r="AT211">
            <v>283.3</v>
          </cell>
          <cell r="AU211">
            <v>283.3</v>
          </cell>
          <cell r="AV211">
            <v>283.3</v>
          </cell>
          <cell r="AW211">
            <v>283.3</v>
          </cell>
          <cell r="AX211">
            <v>114.4</v>
          </cell>
          <cell r="AY211">
            <v>114.4</v>
          </cell>
          <cell r="AZ211">
            <v>114.4</v>
          </cell>
          <cell r="BA211">
            <v>100.9</v>
          </cell>
          <cell r="BB211">
            <v>100.9</v>
          </cell>
          <cell r="BC211">
            <v>98</v>
          </cell>
          <cell r="BD211">
            <v>98</v>
          </cell>
          <cell r="BE211">
            <v>0</v>
          </cell>
          <cell r="BF211">
            <v>0</v>
          </cell>
          <cell r="BG211">
            <v>0</v>
          </cell>
          <cell r="BH211">
            <v>0</v>
          </cell>
          <cell r="BI211">
            <v>0</v>
          </cell>
          <cell r="BJ211">
            <v>0</v>
          </cell>
          <cell r="BK211">
            <v>102.70301279545454</v>
          </cell>
          <cell r="BL211">
            <v>189.55728211363638</v>
          </cell>
          <cell r="BM211">
            <v>105.2245568409091</v>
          </cell>
          <cell r="BN211">
            <v>204.19482615909089</v>
          </cell>
          <cell r="BO211">
            <v>82.87945588636363</v>
          </cell>
          <cell r="BP211">
            <v>203.89160290909092</v>
          </cell>
          <cell r="BQ211">
            <v>82.306465000000003</v>
          </cell>
          <cell r="BR211">
            <v>202.33920479545455</v>
          </cell>
          <cell r="BS211">
            <v>69.451132090909098</v>
          </cell>
          <cell r="BT211">
            <v>155.27976818181818</v>
          </cell>
          <cell r="BU211">
            <v>38.147062500000004</v>
          </cell>
          <cell r="BV211">
            <v>140.89637499999998</v>
          </cell>
          <cell r="BW211">
            <v>51.238062500000005</v>
          </cell>
          <cell r="BX211">
            <v>138.13159375000001</v>
          </cell>
          <cell r="BY211">
            <v>58.558499999999995</v>
          </cell>
          <cell r="BZ211">
            <v>121.72237499999999</v>
          </cell>
          <cell r="CA211">
            <v>50.684750000000001</v>
          </cell>
          <cell r="CB211">
            <v>119.13499999999999</v>
          </cell>
          <cell r="CC211">
            <v>48.951937500000007</v>
          </cell>
          <cell r="CD211">
            <v>101.42874999999999</v>
          </cell>
        </row>
        <row r="212">
          <cell r="A212" t="str">
            <v>Check</v>
          </cell>
          <cell r="B212">
            <v>0.06</v>
          </cell>
          <cell r="P212">
            <v>609.4</v>
          </cell>
          <cell r="Q212">
            <v>568.1</v>
          </cell>
          <cell r="R212">
            <v>487.8</v>
          </cell>
          <cell r="S212">
            <v>366.2</v>
          </cell>
          <cell r="T212">
            <v>320.20043750000002</v>
          </cell>
          <cell r="U212">
            <v>6</v>
          </cell>
          <cell r="V212">
            <v>12.75</v>
          </cell>
          <cell r="W212">
            <v>47.25</v>
          </cell>
          <cell r="X212">
            <v>136.5</v>
          </cell>
          <cell r="Y212">
            <v>186.75</v>
          </cell>
          <cell r="AM212">
            <v>499987.50937734434</v>
          </cell>
          <cell r="AN212">
            <v>499985.78609625669</v>
          </cell>
          <cell r="AO212">
            <v>499988.47258005152</v>
          </cell>
          <cell r="AP212">
            <v>283289.95922905859</v>
          </cell>
          <cell r="AQ212">
            <v>283291.93482688389</v>
          </cell>
          <cell r="AR212">
            <v>283292.20596840256</v>
          </cell>
          <cell r="AS212">
            <v>283291.9573364082</v>
          </cell>
          <cell r="AT212">
            <v>283291.75735950045</v>
          </cell>
          <cell r="AU212">
            <v>283294.51302807993</v>
          </cell>
          <cell r="AV212">
            <v>283293.02151075535</v>
          </cell>
          <cell r="AW212">
            <v>283294.68192104599</v>
          </cell>
          <cell r="AX212">
            <v>114393.93493415957</v>
          </cell>
          <cell r="AY212">
            <v>114395.63346007605</v>
          </cell>
          <cell r="AZ212">
            <v>114395.19178082192</v>
          </cell>
          <cell r="BA212">
            <v>100895.41192535276</v>
          </cell>
          <cell r="BB212">
            <v>100892.92876384316</v>
          </cell>
          <cell r="BC212">
            <v>97993.57345077068</v>
          </cell>
          <cell r="BD212">
            <v>97992.14606220022</v>
          </cell>
          <cell r="BE212">
            <v>-8.5500000000000007</v>
          </cell>
          <cell r="BF212">
            <v>-8.8873112172453848</v>
          </cell>
          <cell r="BG212">
            <v>-9.2971826719176001</v>
          </cell>
          <cell r="BH212">
            <v>-9.7041329876467906</v>
          </cell>
          <cell r="BI212">
            <v>-9.9761620977353989</v>
          </cell>
          <cell r="BJ212">
            <v>-9.5731101971351578</v>
          </cell>
          <cell r="BK212">
            <v>105.2</v>
          </cell>
          <cell r="BL212">
            <v>188.9</v>
          </cell>
          <cell r="BM212">
            <v>123.3</v>
          </cell>
          <cell r="BN212">
            <v>192</v>
          </cell>
          <cell r="BO212">
            <v>74.7</v>
          </cell>
          <cell r="BP212">
            <v>208.9</v>
          </cell>
          <cell r="BQ212">
            <v>74.7</v>
          </cell>
          <cell r="BR212">
            <v>209.8</v>
          </cell>
          <cell r="BS212">
            <v>74.7</v>
          </cell>
          <cell r="BT212">
            <v>206.3</v>
          </cell>
          <cell r="BU212">
            <v>46.5</v>
          </cell>
          <cell r="BV212">
            <v>160.30000000000001</v>
          </cell>
          <cell r="BW212">
            <v>55.5</v>
          </cell>
          <cell r="BX212">
            <v>138.80000000000001</v>
          </cell>
          <cell r="BY212">
            <v>58</v>
          </cell>
          <cell r="BZ212">
            <v>113.9</v>
          </cell>
          <cell r="CA212">
            <v>50.684750000000001</v>
          </cell>
          <cell r="CB212">
            <v>119.13499999999999</v>
          </cell>
          <cell r="CC212">
            <v>48.951937500000007</v>
          </cell>
          <cell r="CD212">
            <v>101.42874999999999</v>
          </cell>
        </row>
        <row r="213">
          <cell r="A213" t="str">
            <v>Cash Interest</v>
          </cell>
          <cell r="P213">
            <v>601.67967790909097</v>
          </cell>
          <cell r="Q213">
            <v>571.41672859090909</v>
          </cell>
          <cell r="R213">
            <v>403.77433777272734</v>
          </cell>
          <cell r="S213">
            <v>369.65053125000003</v>
          </cell>
          <cell r="T213">
            <v>336.08095119363088</v>
          </cell>
          <cell r="U213">
            <v>344.63690999171092</v>
          </cell>
          <cell r="V213">
            <v>337.14227680421101</v>
          </cell>
          <cell r="W213">
            <v>320.86633994858602</v>
          </cell>
          <cell r="X213">
            <v>301.11196684066169</v>
          </cell>
          <cell r="Y213">
            <v>287.0812413826082</v>
          </cell>
          <cell r="AK213">
            <v>500</v>
          </cell>
          <cell r="AL213">
            <v>500</v>
          </cell>
          <cell r="AM213">
            <v>500</v>
          </cell>
          <cell r="AN213">
            <v>500</v>
          </cell>
          <cell r="AO213">
            <v>500</v>
          </cell>
          <cell r="AP213">
            <v>283.3</v>
          </cell>
          <cell r="AQ213">
            <v>283.3</v>
          </cell>
          <cell r="AR213">
            <v>283.3</v>
          </cell>
          <cell r="AS213">
            <v>283.3</v>
          </cell>
          <cell r="AT213">
            <v>283.3</v>
          </cell>
          <cell r="AU213">
            <v>283.3</v>
          </cell>
          <cell r="AV213">
            <v>283.3</v>
          </cell>
          <cell r="AW213">
            <v>283.3</v>
          </cell>
          <cell r="AX213">
            <v>114.4</v>
          </cell>
          <cell r="AY213">
            <v>114.4</v>
          </cell>
          <cell r="AZ213">
            <v>114.4</v>
          </cell>
          <cell r="BA213">
            <v>100.9</v>
          </cell>
          <cell r="BB213">
            <v>100.9</v>
          </cell>
          <cell r="BC213">
            <v>98</v>
          </cell>
          <cell r="BD213">
            <v>98</v>
          </cell>
          <cell r="BE213">
            <v>0</v>
          </cell>
          <cell r="BF213">
            <v>0</v>
          </cell>
          <cell r="BG213">
            <v>0</v>
          </cell>
          <cell r="BH213">
            <v>0</v>
          </cell>
          <cell r="BI213">
            <v>0</v>
          </cell>
          <cell r="BJ213">
            <v>0</v>
          </cell>
          <cell r="BK213">
            <v>102.70301279545454</v>
          </cell>
          <cell r="BL213">
            <v>189.55728211363638</v>
          </cell>
          <cell r="BM213">
            <v>105.2245568409091</v>
          </cell>
          <cell r="BN213">
            <v>204.19482615909089</v>
          </cell>
          <cell r="BO213">
            <v>82.87945588636363</v>
          </cell>
          <cell r="BP213">
            <v>203.89160290909092</v>
          </cell>
          <cell r="BQ213">
            <v>82.306465000000003</v>
          </cell>
          <cell r="BR213">
            <v>202.33920479545455</v>
          </cell>
          <cell r="BS213">
            <v>69.451132090909098</v>
          </cell>
          <cell r="BT213">
            <v>155.27976818181818</v>
          </cell>
          <cell r="BU213">
            <v>38.147062500000004</v>
          </cell>
          <cell r="BV213">
            <v>140.89637499999998</v>
          </cell>
          <cell r="BW213">
            <v>51.238062500000005</v>
          </cell>
          <cell r="BX213">
            <v>138.13159375000001</v>
          </cell>
          <cell r="BY213">
            <v>58.558499999999995</v>
          </cell>
          <cell r="BZ213">
            <v>121.72237499999999</v>
          </cell>
          <cell r="CA213">
            <v>57.772687500000011</v>
          </cell>
          <cell r="CB213">
            <v>125.96570921874999</v>
          </cell>
          <cell r="CC213">
            <v>56.51575041445313</v>
          </cell>
          <cell r="CD213">
            <v>105.82680406042775</v>
          </cell>
        </row>
        <row r="214">
          <cell r="A214" t="str">
            <v>Check</v>
          </cell>
          <cell r="P214">
            <v>609.4</v>
          </cell>
          <cell r="Q214">
            <v>568.1</v>
          </cell>
          <cell r="R214">
            <v>487.8</v>
          </cell>
          <cell r="S214">
            <v>366.2</v>
          </cell>
          <cell r="T214">
            <v>335.90826369363089</v>
          </cell>
          <cell r="U214">
            <v>353.64228614627109</v>
          </cell>
          <cell r="V214">
            <v>342.16899495459126</v>
          </cell>
          <cell r="W214">
            <v>325.58115341140171</v>
          </cell>
          <cell r="X214">
            <v>311.30516880474545</v>
          </cell>
          <cell r="Y214">
            <v>295.94883087214731</v>
          </cell>
          <cell r="AK214">
            <v>500</v>
          </cell>
          <cell r="AL214">
            <v>500</v>
          </cell>
          <cell r="AM214">
            <v>499987.50937734434</v>
          </cell>
          <cell r="AN214">
            <v>499985.78609625669</v>
          </cell>
          <cell r="AO214">
            <v>499988.47258005152</v>
          </cell>
          <cell r="AP214">
            <v>283289.95922905859</v>
          </cell>
          <cell r="AQ214">
            <v>283291.93482688389</v>
          </cell>
          <cell r="AR214">
            <v>283292.20596840256</v>
          </cell>
          <cell r="AS214">
            <v>283291.9573364082</v>
          </cell>
          <cell r="AT214">
            <v>283291.75735950045</v>
          </cell>
          <cell r="AU214">
            <v>283294.51302807993</v>
          </cell>
          <cell r="AV214">
            <v>283293.02151075535</v>
          </cell>
          <cell r="AW214">
            <v>283294.68192104599</v>
          </cell>
          <cell r="AX214">
            <v>114393.93493415957</v>
          </cell>
          <cell r="AY214">
            <v>114395.63346007605</v>
          </cell>
          <cell r="AZ214">
            <v>114395.19178082192</v>
          </cell>
          <cell r="BA214">
            <v>100895.41192535276</v>
          </cell>
          <cell r="BB214">
            <v>100892.92876384316</v>
          </cell>
          <cell r="BC214">
            <v>97993.57345077068</v>
          </cell>
          <cell r="BD214">
            <v>97992.14606220022</v>
          </cell>
          <cell r="BE214">
            <v>-8.5500000000000007</v>
          </cell>
          <cell r="BF214">
            <v>-8.8873112172453848</v>
          </cell>
          <cell r="BG214">
            <v>-9.2971826719176001</v>
          </cell>
          <cell r="BH214">
            <v>-9.7041329876467906</v>
          </cell>
          <cell r="BI214">
            <v>-9.9761620977353989</v>
          </cell>
          <cell r="BJ214">
            <v>-9.5731101971351578</v>
          </cell>
          <cell r="BK214">
            <v>105.2</v>
          </cell>
          <cell r="BL214">
            <v>188.9</v>
          </cell>
          <cell r="BM214">
            <v>123.3</v>
          </cell>
          <cell r="BN214">
            <v>192</v>
          </cell>
          <cell r="BO214">
            <v>74.7</v>
          </cell>
          <cell r="BP214">
            <v>208.9</v>
          </cell>
          <cell r="BQ214">
            <v>74.7</v>
          </cell>
          <cell r="BR214">
            <v>209.8</v>
          </cell>
          <cell r="BS214">
            <v>74.7</v>
          </cell>
          <cell r="BT214">
            <v>206.3</v>
          </cell>
          <cell r="BU214">
            <v>46.5</v>
          </cell>
          <cell r="BV214">
            <v>160.30000000000001</v>
          </cell>
          <cell r="BW214">
            <v>55.5</v>
          </cell>
          <cell r="BX214">
            <v>138.80000000000001</v>
          </cell>
          <cell r="BY214">
            <v>58</v>
          </cell>
          <cell r="BZ214">
            <v>113.9</v>
          </cell>
          <cell r="CA214">
            <v>47.6</v>
          </cell>
          <cell r="CB214">
            <v>125.96570921874999</v>
          </cell>
          <cell r="CC214">
            <v>56.51575041445313</v>
          </cell>
          <cell r="CD214">
            <v>105.82680406042775</v>
          </cell>
        </row>
        <row r="215">
          <cell r="A215" t="str">
            <v>Check</v>
          </cell>
          <cell r="P215">
            <v>609.4</v>
          </cell>
          <cell r="Q215">
            <v>568.1</v>
          </cell>
          <cell r="R215">
            <v>487.8</v>
          </cell>
          <cell r="S215">
            <v>366.2</v>
          </cell>
          <cell r="T215">
            <v>266.60084677343752</v>
          </cell>
          <cell r="U215">
            <v>364.44981716822934</v>
          </cell>
          <cell r="V215">
            <v>348.16012333379723</v>
          </cell>
          <cell r="W215">
            <v>328.4890774236319</v>
          </cell>
          <cell r="X215">
            <v>311.57357029254513</v>
          </cell>
          <cell r="Y215">
            <v>295.77151519603848</v>
          </cell>
          <cell r="AM215">
            <v>499987.50937734434</v>
          </cell>
          <cell r="AN215">
            <v>499985.78609625669</v>
          </cell>
          <cell r="AO215">
            <v>499988.47258005152</v>
          </cell>
          <cell r="AP215">
            <v>283289.95922905859</v>
          </cell>
          <cell r="AQ215">
            <v>283291.93482688389</v>
          </cell>
          <cell r="AR215">
            <v>283292.20596840256</v>
          </cell>
          <cell r="AS215">
            <v>283291.9573364082</v>
          </cell>
          <cell r="AT215">
            <v>283291.75735950045</v>
          </cell>
          <cell r="AU215">
            <v>283294.51302807993</v>
          </cell>
          <cell r="AV215">
            <v>283293.02151075535</v>
          </cell>
          <cell r="AW215">
            <v>283294.68192104599</v>
          </cell>
          <cell r="AX215">
            <v>114393.93493415957</v>
          </cell>
          <cell r="AY215">
            <v>114395.63346007605</v>
          </cell>
          <cell r="AZ215">
            <v>114395.19178082192</v>
          </cell>
          <cell r="BA215">
            <v>100895.41192535276</v>
          </cell>
          <cell r="BB215">
            <v>100892.92876384316</v>
          </cell>
          <cell r="BC215">
            <v>97993.57345077068</v>
          </cell>
          <cell r="BD215">
            <v>97992.14606220022</v>
          </cell>
          <cell r="BE215">
            <v>-8.5500000000000007</v>
          </cell>
          <cell r="BF215">
            <v>-8.8873112172453848</v>
          </cell>
          <cell r="BG215">
            <v>-9.2971826719176001</v>
          </cell>
          <cell r="BH215">
            <v>-9.7041329876467906</v>
          </cell>
          <cell r="BI215">
            <v>-9.9761620977353989</v>
          </cell>
          <cell r="BJ215">
            <v>-9.5731101971351578</v>
          </cell>
          <cell r="BK215">
            <v>105.2</v>
          </cell>
          <cell r="BL215">
            <v>188.9</v>
          </cell>
          <cell r="BM215">
            <v>123.3</v>
          </cell>
          <cell r="BN215">
            <v>192</v>
          </cell>
          <cell r="BO215">
            <v>74.7</v>
          </cell>
          <cell r="BP215">
            <v>208.9</v>
          </cell>
          <cell r="BQ215">
            <v>74.7</v>
          </cell>
          <cell r="BR215">
            <v>209.8</v>
          </cell>
          <cell r="BS215">
            <v>74.7</v>
          </cell>
          <cell r="BT215">
            <v>206.3</v>
          </cell>
          <cell r="BU215">
            <v>46.5</v>
          </cell>
          <cell r="BV215">
            <v>160.30000000000001</v>
          </cell>
          <cell r="BW215">
            <v>55.5</v>
          </cell>
          <cell r="BX215">
            <v>138.80000000000001</v>
          </cell>
          <cell r="BY215">
            <v>58</v>
          </cell>
          <cell r="BZ215">
            <v>113.9</v>
          </cell>
          <cell r="CA215">
            <v>47.6</v>
          </cell>
          <cell r="CB215">
            <v>47.6</v>
          </cell>
          <cell r="CC215">
            <v>59.844582812500008</v>
          </cell>
          <cell r="CD215">
            <v>111.5562639609375</v>
          </cell>
        </row>
        <row r="219">
          <cell r="CA219">
            <v>50278.977853870485</v>
          </cell>
          <cell r="CB219">
            <v>43179.039408315148</v>
          </cell>
          <cell r="CC219">
            <v>34585.058816371398</v>
          </cell>
          <cell r="CD219">
            <v>38561.501117022912</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row r="1">
          <cell r="A1" t="str">
            <v>Morgan Stanley Valuation for Windstream Communications</v>
          </cell>
        </row>
        <row r="4">
          <cell r="A4" t="str">
            <v>Valuation Summary</v>
          </cell>
        </row>
        <row r="6">
          <cell r="A6" t="str">
            <v>Methodology</v>
          </cell>
          <cell r="E6" t="str">
            <v>Metric</v>
          </cell>
          <cell r="H6" t="str">
            <v>Equity Value per share</v>
          </cell>
        </row>
        <row r="9">
          <cell r="H9" t="str">
            <v>Implied</v>
          </cell>
        </row>
        <row r="10">
          <cell r="E10" t="str">
            <v>Yield</v>
          </cell>
          <cell r="H10" t="str">
            <v>Price</v>
          </cell>
        </row>
        <row r="11">
          <cell r="A11" t="str">
            <v xml:space="preserve">  Target Yield </v>
          </cell>
          <cell r="E11">
            <v>7.6999999999999999E-2</v>
          </cell>
          <cell r="H11">
            <v>79.847888847217263</v>
          </cell>
        </row>
        <row r="14">
          <cell r="A14" t="str">
            <v>12-18 Month Price target</v>
          </cell>
          <cell r="H14">
            <v>13</v>
          </cell>
        </row>
        <row r="15">
          <cell r="A15" t="str">
            <v>% upside potential from current price</v>
          </cell>
          <cell r="H15">
            <v>0.52046783625730986</v>
          </cell>
        </row>
        <row r="16">
          <cell r="A16" t="str">
            <v>% total return from current price (based on current dividend yield)</v>
          </cell>
          <cell r="H16">
            <v>0.63742690058479523</v>
          </cell>
        </row>
        <row r="19">
          <cell r="A19" t="str">
            <v>WIN current trading price</v>
          </cell>
          <cell r="H19">
            <v>8.5500000000000007</v>
          </cell>
        </row>
        <row r="21">
          <cell r="A21" t="str">
            <v>WIN Dividend yield - 2008E</v>
          </cell>
          <cell r="H21">
            <v>0.11695906432748537</v>
          </cell>
        </row>
        <row r="22">
          <cell r="A22" t="str">
            <v>Dividend per share - 2008E</v>
          </cell>
          <cell r="H22">
            <v>1</v>
          </cell>
        </row>
        <row r="24">
          <cell r="A24" t="str">
            <v>WIN FCF yield - 2008E</v>
          </cell>
          <cell r="H24">
            <v>1.1356988142822051</v>
          </cell>
        </row>
        <row r="25">
          <cell r="A25" t="str">
            <v>FCF (CFO-capex) per share - 2008E</v>
          </cell>
          <cell r="H25">
            <v>9.7102248621128542</v>
          </cell>
        </row>
        <row r="29">
          <cell r="A29" t="str">
            <v>Trading Multiples</v>
          </cell>
        </row>
        <row r="31">
          <cell r="C31" t="str">
            <v>2007E</v>
          </cell>
          <cell r="D31" t="str">
            <v>2008E</v>
          </cell>
          <cell r="E31" t="str">
            <v>'07-'11 CAGR</v>
          </cell>
          <cell r="F31" t="str">
            <v>2007E multiple</v>
          </cell>
          <cell r="G31" t="str">
            <v>2007E shares</v>
          </cell>
          <cell r="H31" t="str">
            <v xml:space="preserve">        2007E net debt</v>
          </cell>
          <cell r="I31" t="str">
            <v xml:space="preserve">      Implied firm value</v>
          </cell>
          <cell r="J31" t="str">
            <v>Equity per share value</v>
          </cell>
          <cell r="L31" t="str">
            <v>2011E values</v>
          </cell>
        </row>
        <row r="33">
          <cell r="A33" t="str">
            <v>EPS from current businesses</v>
          </cell>
          <cell r="C33">
            <v>1.0072356964787699</v>
          </cell>
          <cell r="D33">
            <v>6.6793466270683064</v>
          </cell>
          <cell r="E33">
            <v>0.2695371711745369</v>
          </cell>
          <cell r="F33">
            <v>12</v>
          </cell>
          <cell r="J33">
            <v>12.086828357745238</v>
          </cell>
          <cell r="L33">
            <v>3.3216832383016821</v>
          </cell>
        </row>
        <row r="35">
          <cell r="A35" t="str">
            <v>EBITDA</v>
          </cell>
          <cell r="C35" t="e">
            <v>#REF!</v>
          </cell>
          <cell r="D35" t="e">
            <v>#REF!</v>
          </cell>
          <cell r="E35" t="e">
            <v>#REF!</v>
          </cell>
          <cell r="F35">
            <v>6</v>
          </cell>
          <cell r="G35" t="e">
            <v>#REF!</v>
          </cell>
          <cell r="H35" t="e">
            <v>#REF!</v>
          </cell>
          <cell r="I35" t="e">
            <v>#REF!</v>
          </cell>
          <cell r="J35" t="e">
            <v>#REF!</v>
          </cell>
          <cell r="L35" t="e">
            <v>#REF!</v>
          </cell>
        </row>
        <row r="36">
          <cell r="A36" t="str">
            <v>EBITDA</v>
          </cell>
          <cell r="C36" t="e">
            <v>#REF!</v>
          </cell>
          <cell r="D36" t="e">
            <v>#REF!</v>
          </cell>
          <cell r="E36" t="e">
            <v>#REF!</v>
          </cell>
          <cell r="F36">
            <v>7</v>
          </cell>
          <cell r="G36" t="e">
            <v>#REF!</v>
          </cell>
          <cell r="H36" t="e">
            <v>#REF!</v>
          </cell>
          <cell r="I36" t="e">
            <v>#REF!</v>
          </cell>
          <cell r="J36" t="e">
            <v>#REF!</v>
          </cell>
          <cell r="L36" t="e">
            <v>#REF!</v>
          </cell>
        </row>
        <row r="38">
          <cell r="A38" t="str">
            <v>Apples-to-Apples Dividend Discount Model (Based on single period)</v>
          </cell>
        </row>
        <row r="40">
          <cell r="F40" t="str">
            <v>CFO-capex</v>
          </cell>
          <cell r="J40">
            <v>0.85</v>
          </cell>
        </row>
        <row r="41">
          <cell r="C41" t="str">
            <v>Current per</v>
          </cell>
          <cell r="D41" t="str">
            <v>Shares</v>
          </cell>
          <cell r="E41" t="str">
            <v>Current</v>
          </cell>
          <cell r="F41" t="str">
            <v>Pretax '07</v>
          </cell>
          <cell r="G41" t="str">
            <v>Incremental</v>
          </cell>
          <cell r="H41" t="str">
            <v xml:space="preserve">Post-tax </v>
          </cell>
          <cell r="I41" t="str">
            <v>Payout %</v>
          </cell>
          <cell r="J41" t="str">
            <v>Taxed</v>
          </cell>
          <cell r="K41" t="str">
            <v>Equity</v>
          </cell>
          <cell r="L41" t="str">
            <v>Per</v>
          </cell>
          <cell r="M41" t="str">
            <v>Current</v>
          </cell>
          <cell r="N41" t="str">
            <v>Upside/</v>
          </cell>
        </row>
        <row r="42">
          <cell r="C42" t="str">
            <v>Shr Dividend</v>
          </cell>
          <cell r="D42">
            <v>2006</v>
          </cell>
          <cell r="E42" t="str">
            <v>Dividend</v>
          </cell>
          <cell r="F42" t="str">
            <v>Avail. FCF</v>
          </cell>
          <cell r="G42" t="str">
            <v>Tax Rate</v>
          </cell>
          <cell r="H42" t="str">
            <v>FCF</v>
          </cell>
          <cell r="I42" t="str">
            <v>of FCF</v>
          </cell>
          <cell r="J42" t="str">
            <v>FCF</v>
          </cell>
          <cell r="K42" t="str">
            <v xml:space="preserve">Value </v>
          </cell>
          <cell r="L42" t="str">
            <v>Share</v>
          </cell>
          <cell r="M42" t="str">
            <v>Value</v>
          </cell>
          <cell r="N42" t="str">
            <v>(Downside)</v>
          </cell>
        </row>
        <row r="43">
          <cell r="B43" t="str">
            <v>WIN</v>
          </cell>
          <cell r="C43">
            <v>1</v>
          </cell>
          <cell r="D43">
            <v>78.566666666666677</v>
          </cell>
          <cell r="E43">
            <v>78.566666666666677</v>
          </cell>
          <cell r="F43">
            <v>762.9</v>
          </cell>
          <cell r="G43">
            <v>3.7999999999999999E-2</v>
          </cell>
          <cell r="H43">
            <v>733.9097999999999</v>
          </cell>
          <cell r="I43">
            <v>0.10705221086660334</v>
          </cell>
          <cell r="J43">
            <v>623.82332999999994</v>
          </cell>
          <cell r="K43">
            <v>6566.5613684210521</v>
          </cell>
          <cell r="L43">
            <v>83.579482839470316</v>
          </cell>
          <cell r="M43" t="e">
            <v>#NAME?</v>
          </cell>
          <cell r="N43" t="e">
            <v>#NAME?</v>
          </cell>
        </row>
        <row r="44">
          <cell r="B44" t="str">
            <v>IWA</v>
          </cell>
          <cell r="C44">
            <v>1.62</v>
          </cell>
          <cell r="D44">
            <v>31.695250000000001</v>
          </cell>
          <cell r="E44">
            <v>51.346305000000008</v>
          </cell>
          <cell r="F44">
            <v>70.31072394341308</v>
          </cell>
          <cell r="G44">
            <v>0.35</v>
          </cell>
          <cell r="H44">
            <v>45.701970563218502</v>
          </cell>
          <cell r="I44">
            <v>1.1235030867864619</v>
          </cell>
          <cell r="J44">
            <v>38.846674978735727</v>
          </cell>
          <cell r="K44">
            <v>408.9123681972182</v>
          </cell>
          <cell r="L44">
            <v>12.901376963337352</v>
          </cell>
          <cell r="M44" t="e">
            <v>#NAME?</v>
          </cell>
          <cell r="N44" t="e">
            <v>#NAME?</v>
          </cell>
        </row>
        <row r="45">
          <cell r="B45" t="str">
            <v>FRP</v>
          </cell>
          <cell r="C45">
            <v>1.5912500000000001</v>
          </cell>
          <cell r="D45">
            <v>34.645865176640228</v>
          </cell>
          <cell r="E45">
            <v>55.130232962328762</v>
          </cell>
          <cell r="F45">
            <v>64.523736289532366</v>
          </cell>
          <cell r="G45">
            <v>0.35</v>
          </cell>
          <cell r="H45">
            <v>41.940428588196042</v>
          </cell>
          <cell r="I45">
            <v>1.3144890221232726</v>
          </cell>
          <cell r="J45">
            <v>35.649364299966635</v>
          </cell>
          <cell r="K45">
            <v>375.25646631543827</v>
          </cell>
          <cell r="L45">
            <v>10.831204947609528</v>
          </cell>
          <cell r="M45" t="e">
            <v>#NAME?</v>
          </cell>
          <cell r="N45" t="e">
            <v>#NAME?</v>
          </cell>
        </row>
        <row r="46">
          <cell r="B46" t="str">
            <v>CZN</v>
          </cell>
          <cell r="C46">
            <v>0.66596610553171876</v>
          </cell>
          <cell r="D46">
            <v>321.806825</v>
          </cell>
          <cell r="E46">
            <v>214.31243797877735</v>
          </cell>
          <cell r="F46">
            <v>501.27737187794344</v>
          </cell>
          <cell r="G46">
            <v>0.38</v>
          </cell>
          <cell r="H46">
            <v>310.79197056432491</v>
          </cell>
          <cell r="I46">
            <v>0.6895687735742867</v>
          </cell>
          <cell r="J46">
            <v>264.17317497967616</v>
          </cell>
          <cell r="K46">
            <v>2780.7702629439596</v>
          </cell>
          <cell r="L46">
            <v>8.641116492616213</v>
          </cell>
          <cell r="M46" t="e">
            <v>#NAME?</v>
          </cell>
          <cell r="N46" t="e">
            <v>#NAME?</v>
          </cell>
        </row>
        <row r="49">
          <cell r="D49" t="str">
            <v>Value w/</v>
          </cell>
          <cell r="E49" t="str">
            <v>Per</v>
          </cell>
          <cell r="F49" t="str">
            <v>Upside/</v>
          </cell>
          <cell r="I49" t="str">
            <v>NOL</v>
          </cell>
        </row>
        <row r="50">
          <cell r="C50" t="str">
            <v>DTA*</v>
          </cell>
          <cell r="D50" t="str">
            <v>DTA*</v>
          </cell>
          <cell r="E50" t="str">
            <v>Share</v>
          </cell>
          <cell r="F50" t="str">
            <v>(Downside)</v>
          </cell>
          <cell r="H50" t="str">
            <v>Company</v>
          </cell>
          <cell r="I50" t="str">
            <v>Amount</v>
          </cell>
          <cell r="J50" t="str">
            <v>Expiration</v>
          </cell>
          <cell r="L50" t="str">
            <v>Assumptions:</v>
          </cell>
        </row>
        <row r="51">
          <cell r="B51" t="str">
            <v>WIN</v>
          </cell>
          <cell r="C51">
            <v>99.2</v>
          </cell>
          <cell r="D51">
            <v>6665.7613684210519</v>
          </cell>
          <cell r="E51">
            <v>84.842104816559839</v>
          </cell>
          <cell r="F51" t="e">
            <v>#NAME?</v>
          </cell>
          <cell r="H51" t="str">
            <v>WIN</v>
          </cell>
          <cell r="I51">
            <v>320</v>
          </cell>
          <cell r="J51" t="str">
            <v>2020-2025</v>
          </cell>
          <cell r="L51" t="str">
            <v>Cost of Equity</v>
          </cell>
          <cell r="M51">
            <v>9.5000000000000001E-2</v>
          </cell>
        </row>
        <row r="52">
          <cell r="B52" t="str">
            <v>IWA</v>
          </cell>
          <cell r="C52">
            <v>65.41</v>
          </cell>
          <cell r="D52">
            <v>474.32236819721822</v>
          </cell>
          <cell r="E52">
            <v>14.965093135318957</v>
          </cell>
          <cell r="F52" t="e">
            <v>#NAME?</v>
          </cell>
          <cell r="H52" t="str">
            <v>IWA</v>
          </cell>
          <cell r="I52">
            <v>211</v>
          </cell>
          <cell r="J52" t="str">
            <v>2021-2024</v>
          </cell>
          <cell r="L52" t="str">
            <v>Payout</v>
          </cell>
          <cell r="M52">
            <v>0.85</v>
          </cell>
        </row>
        <row r="53">
          <cell r="B53" t="str">
            <v>FRP</v>
          </cell>
          <cell r="C53">
            <v>90.48899999999999</v>
          </cell>
          <cell r="D53">
            <v>465.74546631543825</v>
          </cell>
          <cell r="E53">
            <v>13.443031771348704</v>
          </cell>
          <cell r="F53" t="e">
            <v>#NAME?</v>
          </cell>
          <cell r="H53" t="str">
            <v>FRP</v>
          </cell>
          <cell r="I53">
            <v>291.89999999999998</v>
          </cell>
          <cell r="J53" t="str">
            <v>2019-2025</v>
          </cell>
          <cell r="L53" t="str">
            <v>Definition of FCF</v>
          </cell>
          <cell r="M53" t="str">
            <v>CFO less Capex</v>
          </cell>
        </row>
        <row r="54">
          <cell r="B54" t="str">
            <v>CZN</v>
          </cell>
          <cell r="C54">
            <v>222.11</v>
          </cell>
          <cell r="D54">
            <v>3002.8802629439597</v>
          </cell>
          <cell r="E54">
            <v>9.3313131657290356</v>
          </cell>
          <cell r="F54" t="e">
            <v>#NAME?</v>
          </cell>
          <cell r="H54" t="str">
            <v>CZN</v>
          </cell>
          <cell r="I54">
            <v>584.5</v>
          </cell>
          <cell r="J54" t="str">
            <v>Fed 2021+</v>
          </cell>
        </row>
        <row r="55">
          <cell r="C55" t="str">
            <v>*this is an estimate of the non-temporary differences portion of the deferred taxes</v>
          </cell>
        </row>
        <row r="58">
          <cell r="A58" t="str">
            <v>Target Yield</v>
          </cell>
        </row>
        <row r="60">
          <cell r="G60" t="str">
            <v>Assuming the companies will continue paying current per share dividend amounts…</v>
          </cell>
        </row>
        <row r="61">
          <cell r="B61" t="str">
            <v>2008E</v>
          </cell>
          <cell r="C61" t="str">
            <v>Bear</v>
          </cell>
          <cell r="D61" t="str">
            <v>Base</v>
          </cell>
          <cell r="E61" t="str">
            <v>Bull</v>
          </cell>
          <cell r="H61" t="str">
            <v>Target</v>
          </cell>
          <cell r="I61" t="str">
            <v>Price</v>
          </cell>
          <cell r="K61" t="str">
            <v>Dividend Yields</v>
          </cell>
        </row>
        <row r="62">
          <cell r="B62" t="str">
            <v>Payout of FCF</v>
          </cell>
          <cell r="C62">
            <v>0.6</v>
          </cell>
          <cell r="D62">
            <v>0.6</v>
          </cell>
          <cell r="E62">
            <v>0.6</v>
          </cell>
          <cell r="G62" t="str">
            <v>2007E</v>
          </cell>
          <cell r="H62" t="str">
            <v>Yield</v>
          </cell>
          <cell r="I62" t="str">
            <v>Implied</v>
          </cell>
          <cell r="K62" t="str">
            <v>FRP</v>
          </cell>
          <cell r="L62" t="e">
            <v>#NAME?</v>
          </cell>
        </row>
        <row r="63">
          <cell r="B63" t="str">
            <v>Target yield</v>
          </cell>
          <cell r="C63">
            <v>0.13500000000000001</v>
          </cell>
          <cell r="D63">
            <v>7.6999999999999999E-2</v>
          </cell>
          <cell r="E63">
            <v>6.25E-2</v>
          </cell>
          <cell r="G63" t="str">
            <v>WIN</v>
          </cell>
          <cell r="H63">
            <v>7.6999999999999999E-2</v>
          </cell>
          <cell r="I63">
            <v>12.987012987012987</v>
          </cell>
          <cell r="K63" t="str">
            <v>CNSL</v>
          </cell>
          <cell r="L63" t="e">
            <v>#NAME?</v>
          </cell>
        </row>
        <row r="64">
          <cell r="B64" t="str">
            <v>Implied value</v>
          </cell>
          <cell r="C64">
            <v>45.542869935079466</v>
          </cell>
          <cell r="D64">
            <v>79.847888847217263</v>
          </cell>
          <cell r="E64">
            <v>98.372599059771659</v>
          </cell>
          <cell r="G64" t="str">
            <v>IWA</v>
          </cell>
          <cell r="H64">
            <v>0.08</v>
          </cell>
          <cell r="I64">
            <v>20.25</v>
          </cell>
          <cell r="K64" t="str">
            <v>IWA</v>
          </cell>
          <cell r="L64" t="e">
            <v>#NAME?</v>
          </cell>
        </row>
        <row r="65">
          <cell r="G65" t="str">
            <v>FRP</v>
          </cell>
          <cell r="H65">
            <v>0.1</v>
          </cell>
          <cell r="I65">
            <v>15.9125</v>
          </cell>
          <cell r="K65" t="str">
            <v>WIN</v>
          </cell>
          <cell r="L65" t="e">
            <v>#NAME?</v>
          </cell>
        </row>
        <row r="66">
          <cell r="K66" t="str">
            <v>CZN</v>
          </cell>
          <cell r="L66" t="e">
            <v>#NAME?</v>
          </cell>
        </row>
        <row r="67">
          <cell r="K67" t="str">
            <v>ALSK</v>
          </cell>
          <cell r="L67" t="e">
            <v>#NAME?</v>
          </cell>
        </row>
        <row r="68">
          <cell r="K68" t="str">
            <v>CTCO</v>
          </cell>
        </row>
        <row r="69">
          <cell r="K69" t="str">
            <v>CTL</v>
          </cell>
          <cell r="L69" t="e">
            <v>#NAME?</v>
          </cell>
        </row>
        <row r="70">
          <cell r="K70" t="str">
            <v>Refresh chart with FactSet</v>
          </cell>
        </row>
        <row r="71">
          <cell r="A71" t="str">
            <v>Discounted Cash Flow Valuation</v>
          </cell>
        </row>
        <row r="73">
          <cell r="C73" t="e">
            <v>#REF!</v>
          </cell>
          <cell r="D73" t="e">
            <v>#REF!</v>
          </cell>
          <cell r="E73" t="e">
            <v>#REF!</v>
          </cell>
          <cell r="G73" t="str">
            <v>For more DCF detail, click here</v>
          </cell>
        </row>
        <row r="74">
          <cell r="A74" t="str">
            <v>DCF per share equity value</v>
          </cell>
          <cell r="C74" t="e">
            <v>#REF!</v>
          </cell>
          <cell r="D74" t="e">
            <v>#REF!</v>
          </cell>
          <cell r="E74" t="e">
            <v>#REF!</v>
          </cell>
        </row>
        <row r="76">
          <cell r="A76" t="str">
            <v>Assumptions:</v>
          </cell>
          <cell r="C76" t="str">
            <v>WACC</v>
          </cell>
          <cell r="D76" t="e">
            <v>#REF!</v>
          </cell>
        </row>
        <row r="77">
          <cell r="C77" t="str">
            <v>Terminal Multiple</v>
          </cell>
          <cell r="D77" t="e">
            <v>#REF!</v>
          </cell>
          <cell r="E77" t="str">
            <v>= 1/(r-g)</v>
          </cell>
        </row>
        <row r="79">
          <cell r="A79" t="str">
            <v>Dividend Discount Model</v>
          </cell>
        </row>
        <row r="81">
          <cell r="C81" t="e">
            <v>#REF!</v>
          </cell>
          <cell r="D81" t="e">
            <v>#REF!</v>
          </cell>
        </row>
        <row r="83">
          <cell r="A83" t="str">
            <v>Equity Value Assuming Perpetuity, per share</v>
          </cell>
          <cell r="C83" t="e">
            <v>#REF!</v>
          </cell>
          <cell r="D83" t="e">
            <v>#REF!</v>
          </cell>
          <cell r="G83" t="str">
            <v>For more DDM detail, click here</v>
          </cell>
        </row>
        <row r="85">
          <cell r="A85" t="str">
            <v>Assumptions:</v>
          </cell>
          <cell r="C85" t="str">
            <v>Cost of Equity</v>
          </cell>
          <cell r="D85" t="e">
            <v>#REF!</v>
          </cell>
          <cell r="E85" t="str">
            <v>CAPM</v>
          </cell>
        </row>
        <row r="89">
          <cell r="A89" t="str">
            <v>Residual Income Model</v>
          </cell>
        </row>
        <row r="91">
          <cell r="C91" t="e">
            <v>#REF!</v>
          </cell>
          <cell r="D91" t="e">
            <v>#REF!</v>
          </cell>
        </row>
        <row r="93">
          <cell r="A93" t="str">
            <v>Equity Value Assuming Perpetuity, per share</v>
          </cell>
          <cell r="C93">
            <v>0</v>
          </cell>
          <cell r="D93">
            <v>0</v>
          </cell>
          <cell r="G93" t="str">
            <v>For more Residual Income detail, click here</v>
          </cell>
        </row>
        <row r="95">
          <cell r="A95" t="str">
            <v>Assumptions:</v>
          </cell>
          <cell r="C95" t="str">
            <v>Cost of Equity</v>
          </cell>
          <cell r="D95" t="e">
            <v>#REF!</v>
          </cell>
          <cell r="E95" t="str">
            <v>CAPM</v>
          </cell>
        </row>
      </sheetData>
      <sheetData sheetId="30" refreshError="1"/>
      <sheetData sheetId="31" refreshError="1"/>
      <sheetData sheetId="32" refreshError="1"/>
      <sheetData sheetId="33" refreshError="1">
        <row r="1">
          <cell r="AB1">
            <v>0.2586414778893506</v>
          </cell>
          <cell r="AC1">
            <v>0.22965697429414242</v>
          </cell>
          <cell r="AD1">
            <v>0.23967586352148273</v>
          </cell>
          <cell r="AE1">
            <v>0.24871551905664349</v>
          </cell>
          <cell r="AF1">
            <v>0.28918733960650128</v>
          </cell>
        </row>
        <row r="2">
          <cell r="E2">
            <v>2002</v>
          </cell>
          <cell r="F2">
            <v>2003</v>
          </cell>
          <cell r="G2">
            <v>2004</v>
          </cell>
          <cell r="H2">
            <v>2005</v>
          </cell>
          <cell r="I2">
            <v>2006</v>
          </cell>
          <cell r="J2">
            <v>2007</v>
          </cell>
          <cell r="K2">
            <v>2008</v>
          </cell>
          <cell r="L2">
            <v>2009</v>
          </cell>
          <cell r="M2">
            <v>2010</v>
          </cell>
          <cell r="N2">
            <v>2011</v>
          </cell>
          <cell r="O2">
            <v>2012</v>
          </cell>
          <cell r="Q2" t="str">
            <v>1Q04</v>
          </cell>
          <cell r="R2" t="str">
            <v>2Q04</v>
          </cell>
          <cell r="S2" t="str">
            <v>3Q04</v>
          </cell>
          <cell r="T2" t="str">
            <v>4Q04</v>
          </cell>
          <cell r="U2" t="str">
            <v>1Q05</v>
          </cell>
          <cell r="V2" t="str">
            <v>2Q05</v>
          </cell>
          <cell r="W2" t="str">
            <v>3Q05</v>
          </cell>
          <cell r="X2" t="str">
            <v>4Q05</v>
          </cell>
          <cell r="Y2" t="str">
            <v>1Q06</v>
          </cell>
          <cell r="Z2" t="str">
            <v>2Q06</v>
          </cell>
          <cell r="AA2" t="str">
            <v>3Q06</v>
          </cell>
          <cell r="AB2" t="str">
            <v>4Q06</v>
          </cell>
          <cell r="AC2" t="str">
            <v>1Q07</v>
          </cell>
          <cell r="AD2" t="str">
            <v>2Q07</v>
          </cell>
          <cell r="AE2" t="str">
            <v>3Q07</v>
          </cell>
          <cell r="AF2" t="str">
            <v>4Q07</v>
          </cell>
          <cell r="AH2" t="str">
            <v>3Q06</v>
          </cell>
          <cell r="AI2" t="str">
            <v>4Q06</v>
          </cell>
          <cell r="AJ2" t="str">
            <v>1Q07</v>
          </cell>
          <cell r="AK2" t="str">
            <v>2Q07</v>
          </cell>
        </row>
        <row r="4">
          <cell r="A4" t="str">
            <v>Wireline Segment</v>
          </cell>
        </row>
        <row r="6">
          <cell r="B6" t="str">
            <v>Wireline Revenue</v>
          </cell>
          <cell r="AC6" t="str">
            <v>Sub-segment breakouts changed in 1Q07, see Segments tab and row 146 here…</v>
          </cell>
        </row>
        <row r="7">
          <cell r="C7" t="str">
            <v>Local service</v>
          </cell>
          <cell r="H7">
            <v>1232448.851639475</v>
          </cell>
          <cell r="I7">
            <v>1172801</v>
          </cell>
          <cell r="J7">
            <v>1141496.2453494775</v>
          </cell>
          <cell r="K7">
            <v>1117774.3069656156</v>
          </cell>
          <cell r="L7">
            <v>1088300.6466836443</v>
          </cell>
          <cell r="M7">
            <v>1061824.4350359896</v>
          </cell>
          <cell r="N7">
            <v>1038158.6022916468</v>
          </cell>
          <cell r="O7">
            <v>1017138.2122397522</v>
          </cell>
          <cell r="U7">
            <v>311734</v>
          </cell>
          <cell r="V7">
            <v>310943</v>
          </cell>
          <cell r="W7">
            <v>306950.40494803718</v>
          </cell>
          <cell r="X7">
            <v>302821.4466914378</v>
          </cell>
          <cell r="Y7">
            <v>300019</v>
          </cell>
          <cell r="Z7">
            <v>294307</v>
          </cell>
          <cell r="AA7">
            <v>291821</v>
          </cell>
          <cell r="AB7">
            <v>286654</v>
          </cell>
          <cell r="AC7">
            <v>314200</v>
          </cell>
          <cell r="AD7">
            <v>280905.0418943534</v>
          </cell>
          <cell r="AE7">
            <v>275723.30501343979</v>
          </cell>
          <cell r="AF7">
            <v>270667.89844168408</v>
          </cell>
          <cell r="AH7">
            <v>-4.9289411918509773E-2</v>
          </cell>
          <cell r="AI7">
            <v>-5.3389371420286991E-2</v>
          </cell>
          <cell r="AJ7">
            <v>4.7267006422926583E-2</v>
          </cell>
          <cell r="AK7">
            <v>-4.5537340619307698E-2</v>
          </cell>
        </row>
        <row r="8">
          <cell r="C8" t="str">
            <v>Network access and interconnection</v>
          </cell>
          <cell r="H8">
            <v>1291231.5431093606</v>
          </cell>
          <cell r="I8">
            <v>1281978</v>
          </cell>
          <cell r="J8">
            <v>1259421.4924650593</v>
          </cell>
          <cell r="K8">
            <v>1246693.729925982</v>
          </cell>
          <cell r="L8">
            <v>1234203.8403200107</v>
          </cell>
          <cell r="M8">
            <v>1229668.6374304406</v>
          </cell>
          <cell r="N8">
            <v>1230197.4562397709</v>
          </cell>
          <cell r="O8">
            <v>1239726.7879662905</v>
          </cell>
          <cell r="U8">
            <v>325754</v>
          </cell>
          <cell r="V8">
            <v>322531</v>
          </cell>
          <cell r="W8">
            <v>321967.32592626294</v>
          </cell>
          <cell r="X8">
            <v>320979.21718309767</v>
          </cell>
          <cell r="Y8">
            <v>317735</v>
          </cell>
          <cell r="Z8">
            <v>318852</v>
          </cell>
          <cell r="AA8">
            <v>317487</v>
          </cell>
          <cell r="AB8">
            <v>327904</v>
          </cell>
          <cell r="AC8">
            <v>307900</v>
          </cell>
          <cell r="AD8">
            <v>311124.05223043525</v>
          </cell>
          <cell r="AE8">
            <v>314770.59929720743</v>
          </cell>
          <cell r="AF8">
            <v>325626.84093741677</v>
          </cell>
          <cell r="AH8">
            <v>-1.3915467705841178E-2</v>
          </cell>
          <cell r="AI8">
            <v>2.157392892185972E-2</v>
          </cell>
          <cell r="AJ8">
            <v>-3.0953467512235044E-2</v>
          </cell>
          <cell r="AK8">
            <v>-2.4236786250563691E-2</v>
          </cell>
        </row>
        <row r="9">
          <cell r="C9" t="str">
            <v>Long distance</v>
          </cell>
          <cell r="H9">
            <v>215594.72231105439</v>
          </cell>
          <cell r="I9">
            <v>240999</v>
          </cell>
          <cell r="J9">
            <v>250279.53133899614</v>
          </cell>
          <cell r="K9">
            <v>256540.35987162162</v>
          </cell>
          <cell r="L9">
            <v>261186.64285236638</v>
          </cell>
          <cell r="M9">
            <v>265998.24454102037</v>
          </cell>
          <cell r="N9">
            <v>271018.42189005209</v>
          </cell>
          <cell r="O9">
            <v>276289.08396080596</v>
          </cell>
          <cell r="U9">
            <v>53769</v>
          </cell>
          <cell r="V9">
            <v>52986</v>
          </cell>
          <cell r="W9">
            <v>53914.515048048721</v>
          </cell>
          <cell r="X9">
            <v>54925.207263005672</v>
          </cell>
          <cell r="Y9">
            <v>56481</v>
          </cell>
          <cell r="Z9">
            <v>58225</v>
          </cell>
          <cell r="AA9">
            <v>59454</v>
          </cell>
          <cell r="AB9">
            <v>66839</v>
          </cell>
          <cell r="AC9">
            <v>62000</v>
          </cell>
          <cell r="AD9">
            <v>67930.75743278912</v>
          </cell>
          <cell r="AE9">
            <v>59921.481000479122</v>
          </cell>
          <cell r="AF9">
            <v>60427.292905727896</v>
          </cell>
          <cell r="AH9">
            <v>0.10274570673620054</v>
          </cell>
          <cell r="AI9">
            <v>0.21690938151486505</v>
          </cell>
          <cell r="AJ9">
            <v>9.7714275597103439E-2</v>
          </cell>
          <cell r="AK9">
            <v>0.1666939876820801</v>
          </cell>
        </row>
        <row r="10">
          <cell r="C10" t="str">
            <v>Miscellaneous</v>
          </cell>
          <cell r="H10">
            <v>317364.88294011005</v>
          </cell>
          <cell r="I10">
            <v>333700</v>
          </cell>
          <cell r="J10">
            <v>335749.61000000004</v>
          </cell>
          <cell r="K10">
            <v>337476.05924571515</v>
          </cell>
          <cell r="L10">
            <v>338873.90996147791</v>
          </cell>
          <cell r="M10">
            <v>339938.67676799191</v>
          </cell>
          <cell r="N10">
            <v>340666.8504735374</v>
          </cell>
          <cell r="O10">
            <v>341055.91713036684</v>
          </cell>
          <cell r="U10">
            <v>66235</v>
          </cell>
          <cell r="V10">
            <v>77759</v>
          </cell>
          <cell r="W10">
            <v>83225.754077651189</v>
          </cell>
          <cell r="X10">
            <v>90145.128862458863</v>
          </cell>
          <cell r="Y10">
            <v>69606</v>
          </cell>
          <cell r="Z10">
            <v>81379</v>
          </cell>
          <cell r="AA10">
            <v>83398</v>
          </cell>
          <cell r="AB10">
            <v>99317</v>
          </cell>
          <cell r="AC10">
            <v>66300</v>
          </cell>
          <cell r="AD10">
            <v>89516.900000000009</v>
          </cell>
          <cell r="AE10">
            <v>87567.900000000009</v>
          </cell>
          <cell r="AF10">
            <v>92364.81</v>
          </cell>
          <cell r="AH10">
            <v>2.069622850014774E-3</v>
          </cell>
          <cell r="AI10">
            <v>0.10174561014312089</v>
          </cell>
          <cell r="AJ10">
            <v>-4.749590552538574E-2</v>
          </cell>
          <cell r="AK10">
            <v>0.10000000000000009</v>
          </cell>
        </row>
        <row r="11">
          <cell r="C11" t="str">
            <v>Total Wireline</v>
          </cell>
          <cell r="H11">
            <v>3056640</v>
          </cell>
          <cell r="I11">
            <v>3029478</v>
          </cell>
          <cell r="J11">
            <v>2986946.8791535329</v>
          </cell>
          <cell r="K11">
            <v>2958484.4560089344</v>
          </cell>
          <cell r="L11">
            <v>2922565.0398174995</v>
          </cell>
          <cell r="M11">
            <v>2897429.9937754422</v>
          </cell>
          <cell r="N11">
            <v>2880041.3308950071</v>
          </cell>
          <cell r="O11">
            <v>2874210.0012972155</v>
          </cell>
          <cell r="U11">
            <v>757492</v>
          </cell>
          <cell r="V11">
            <v>764219</v>
          </cell>
          <cell r="W11">
            <v>766058</v>
          </cell>
          <cell r="X11">
            <v>768871</v>
          </cell>
          <cell r="Y11">
            <v>743841</v>
          </cell>
          <cell r="Z11">
            <v>752763</v>
          </cell>
          <cell r="AA11">
            <v>752160</v>
          </cell>
          <cell r="AB11">
            <v>780714</v>
          </cell>
          <cell r="AC11">
            <v>750400</v>
          </cell>
          <cell r="AD11">
            <v>749476.75155757775</v>
          </cell>
          <cell r="AE11">
            <v>737983.28531112627</v>
          </cell>
          <cell r="AF11">
            <v>749086.84228482866</v>
          </cell>
        </row>
        <row r="12">
          <cell r="C12" t="str">
            <v xml:space="preserve">  % y/y growth</v>
          </cell>
          <cell r="I12">
            <v>-8.8862280150753259E-3</v>
          </cell>
          <cell r="J12">
            <v>-1.4039092162566269E-2</v>
          </cell>
          <cell r="K12">
            <v>-9.5289351622699359E-3</v>
          </cell>
          <cell r="L12">
            <v>-1.2141154271904209E-2</v>
          </cell>
          <cell r="M12">
            <v>-8.6003376142578247E-3</v>
          </cell>
          <cell r="N12">
            <v>-6.0014091514863921E-3</v>
          </cell>
          <cell r="O12">
            <v>-2.0247381644274975E-3</v>
          </cell>
          <cell r="Y12">
            <v>-1.8021312436303005E-2</v>
          </cell>
          <cell r="Z12">
            <v>-1.4990467392200446E-2</v>
          </cell>
          <cell r="AA12">
            <v>-1.8142229439546353E-2</v>
          </cell>
          <cell r="AB12">
            <v>1.540310403175571E-2</v>
          </cell>
          <cell r="AC12">
            <v>8.8177446524189129E-3</v>
          </cell>
          <cell r="AD12">
            <v>-4.365581786594519E-3</v>
          </cell>
          <cell r="AE12">
            <v>-1.8848004000310725E-2</v>
          </cell>
          <cell r="AF12">
            <v>-4.0510555357238798E-2</v>
          </cell>
        </row>
        <row r="14">
          <cell r="C14" t="str">
            <v>Service revenue</v>
          </cell>
          <cell r="U14">
            <v>747675</v>
          </cell>
          <cell r="V14">
            <v>753164</v>
          </cell>
          <cell r="W14">
            <v>754336</v>
          </cell>
          <cell r="X14">
            <v>759070</v>
          </cell>
          <cell r="Y14">
            <v>734851</v>
          </cell>
          <cell r="Z14">
            <v>742657</v>
          </cell>
          <cell r="AA14">
            <v>740432</v>
          </cell>
          <cell r="AB14">
            <v>731894</v>
          </cell>
        </row>
        <row r="15">
          <cell r="C15" t="str">
            <v>Product sales</v>
          </cell>
          <cell r="U15">
            <v>9817</v>
          </cell>
          <cell r="V15">
            <v>11055</v>
          </cell>
          <cell r="W15">
            <v>11722</v>
          </cell>
          <cell r="X15">
            <v>9801</v>
          </cell>
          <cell r="Y15">
            <v>9590</v>
          </cell>
          <cell r="Z15">
            <v>10106</v>
          </cell>
          <cell r="AA15">
            <v>11728</v>
          </cell>
          <cell r="AB15">
            <v>95714</v>
          </cell>
        </row>
        <row r="16">
          <cell r="C16" t="str">
            <v>Total Wireline</v>
          </cell>
          <cell r="U16">
            <v>757492</v>
          </cell>
          <cell r="V16">
            <v>764219</v>
          </cell>
          <cell r="W16">
            <v>766058</v>
          </cell>
          <cell r="X16">
            <v>768871</v>
          </cell>
          <cell r="Y16">
            <v>744441</v>
          </cell>
          <cell r="Z16">
            <v>752763</v>
          </cell>
          <cell r="AA16">
            <v>752160</v>
          </cell>
          <cell r="AB16">
            <v>827608</v>
          </cell>
        </row>
        <row r="18">
          <cell r="B18" t="str">
            <v>Wireline Costs</v>
          </cell>
        </row>
        <row r="19">
          <cell r="C19" t="str">
            <v>Cost of services</v>
          </cell>
          <cell r="I19">
            <v>955050</v>
          </cell>
          <cell r="J19">
            <v>947724.30005317088</v>
          </cell>
          <cell r="K19">
            <v>938693.49664625665</v>
          </cell>
          <cell r="L19">
            <v>927296.67408944131</v>
          </cell>
          <cell r="M19">
            <v>919321.60962369374</v>
          </cell>
          <cell r="N19">
            <v>913804.38450253883</v>
          </cell>
          <cell r="O19">
            <v>911954.16989041539</v>
          </cell>
          <cell r="U19">
            <v>237363</v>
          </cell>
          <cell r="V19">
            <v>242628</v>
          </cell>
          <cell r="W19">
            <v>234591</v>
          </cell>
          <cell r="X19">
            <v>220656</v>
          </cell>
          <cell r="Y19">
            <v>229156</v>
          </cell>
          <cell r="Z19">
            <v>228309</v>
          </cell>
          <cell r="AA19">
            <v>253021</v>
          </cell>
          <cell r="AB19">
            <v>244564</v>
          </cell>
          <cell r="AC19">
            <v>246900</v>
          </cell>
          <cell r="AD19">
            <v>239832.56049842489</v>
          </cell>
          <cell r="AE19">
            <v>228774.81844644915</v>
          </cell>
          <cell r="AF19">
            <v>232216.92110829687</v>
          </cell>
        </row>
        <row r="20">
          <cell r="C20" t="str">
            <v xml:space="preserve">  % of revenue</v>
          </cell>
          <cell r="I20">
            <v>0.31525233059952901</v>
          </cell>
          <cell r="J20">
            <v>0.31728863565251797</v>
          </cell>
          <cell r="K20">
            <v>0.31728863565251797</v>
          </cell>
          <cell r="L20">
            <v>0.31728863565251797</v>
          </cell>
          <cell r="M20">
            <v>0.31728863565251797</v>
          </cell>
          <cell r="N20">
            <v>0.31728863565251797</v>
          </cell>
          <cell r="O20">
            <v>0.31728863565251797</v>
          </cell>
          <cell r="U20">
            <v>0.31335380439661409</v>
          </cell>
          <cell r="V20">
            <v>0.31748490943041197</v>
          </cell>
          <cell r="W20">
            <v>0.30623138195802407</v>
          </cell>
          <cell r="X20">
            <v>0.2869870238310458</v>
          </cell>
          <cell r="Y20">
            <v>0.30807121414388289</v>
          </cell>
          <cell r="Z20">
            <v>0.30329466246348452</v>
          </cell>
          <cell r="AA20">
            <v>0.33639252286747501</v>
          </cell>
          <cell r="AB20">
            <v>0.31325683925227421</v>
          </cell>
          <cell r="AC20">
            <v>0.32902452025586354</v>
          </cell>
          <cell r="AD20">
            <v>0.32</v>
          </cell>
          <cell r="AE20">
            <v>0.31</v>
          </cell>
          <cell r="AF20">
            <v>0.31</v>
          </cell>
        </row>
        <row r="21">
          <cell r="C21" t="str">
            <v>Cost of products sold</v>
          </cell>
          <cell r="I21">
            <v>37773</v>
          </cell>
          <cell r="J21">
            <v>41048.263577700229</v>
          </cell>
          <cell r="K21">
            <v>40657.117335544557</v>
          </cell>
          <cell r="L21">
            <v>40163.493001722803</v>
          </cell>
          <cell r="M21">
            <v>39818.073402140108</v>
          </cell>
          <cell r="N21">
            <v>39579.108852029945</v>
          </cell>
          <cell r="O21">
            <v>39498.971519823208</v>
          </cell>
          <cell r="U21">
            <v>6290</v>
          </cell>
          <cell r="V21">
            <v>9000</v>
          </cell>
          <cell r="W21">
            <v>9516</v>
          </cell>
          <cell r="X21">
            <v>6899</v>
          </cell>
          <cell r="Y21">
            <v>8111</v>
          </cell>
          <cell r="Z21">
            <v>8338</v>
          </cell>
          <cell r="AA21">
            <v>8589</v>
          </cell>
          <cell r="AB21">
            <v>12735</v>
          </cell>
          <cell r="AC21">
            <v>12200</v>
          </cell>
          <cell r="AD21">
            <v>12184.989830760192</v>
          </cell>
          <cell r="AE21">
            <v>8269.4267577585797</v>
          </cell>
          <cell r="AF21">
            <v>8393.8469891814639</v>
          </cell>
        </row>
        <row r="22">
          <cell r="C22" t="str">
            <v xml:space="preserve">  % of revenue</v>
          </cell>
          <cell r="I22">
            <v>1.2468484669636156E-2</v>
          </cell>
          <cell r="J22">
            <v>1.3742548909786051E-2</v>
          </cell>
          <cell r="K22">
            <v>1.3742548909786051E-2</v>
          </cell>
          <cell r="L22">
            <v>1.3742548909786051E-2</v>
          </cell>
          <cell r="M22">
            <v>1.3742548909786051E-2</v>
          </cell>
          <cell r="N22">
            <v>1.3742548909786051E-2</v>
          </cell>
          <cell r="O22">
            <v>1.3742548909786051E-2</v>
          </cell>
          <cell r="U22">
            <v>8.303718059068611E-3</v>
          </cell>
          <cell r="V22">
            <v>1.1776728921945149E-2</v>
          </cell>
          <cell r="W22">
            <v>1.2422035929394381E-2</v>
          </cell>
          <cell r="X22">
            <v>8.9728966237509287E-3</v>
          </cell>
          <cell r="Y22">
            <v>1.0904212056071123E-2</v>
          </cell>
          <cell r="Z22">
            <v>1.1076527406368273E-2</v>
          </cell>
          <cell r="AA22">
            <v>1.1419112954690492E-2</v>
          </cell>
          <cell r="AB22">
            <v>1.6311991331012382E-2</v>
          </cell>
          <cell r="AC22">
            <v>1.6257995735607676E-2</v>
          </cell>
          <cell r="AD22">
            <v>1.6257995735607676E-2</v>
          </cell>
          <cell r="AE22">
            <v>1.1205439096459038E-2</v>
          </cell>
          <cell r="AF22">
            <v>1.1205439096459038E-2</v>
          </cell>
        </row>
        <row r="23">
          <cell r="C23" t="str">
            <v>SG&amp;A</v>
          </cell>
          <cell r="I23">
            <v>389696</v>
          </cell>
          <cell r="J23">
            <v>359143.60192379117</v>
          </cell>
          <cell r="K23">
            <v>355721.34582711529</v>
          </cell>
          <cell r="L23">
            <v>351402.4780896189</v>
          </cell>
          <cell r="M23">
            <v>348380.29813956138</v>
          </cell>
          <cell r="N23">
            <v>346289.52543010906</v>
          </cell>
          <cell r="O23">
            <v>345588.37981202919</v>
          </cell>
          <cell r="U23">
            <v>116694</v>
          </cell>
          <cell r="V23">
            <v>107304</v>
          </cell>
          <cell r="W23">
            <v>108859</v>
          </cell>
          <cell r="X23">
            <v>108928</v>
          </cell>
          <cell r="Y23">
            <v>101155</v>
          </cell>
          <cell r="Z23">
            <v>107864</v>
          </cell>
          <cell r="AA23">
            <v>85936</v>
          </cell>
          <cell r="AB23">
            <v>94741</v>
          </cell>
          <cell r="AC23">
            <v>89600</v>
          </cell>
          <cell r="AD23">
            <v>97431.977702485106</v>
          </cell>
          <cell r="AE23">
            <v>87082.027666712893</v>
          </cell>
          <cell r="AF23">
            <v>85029.596554593183</v>
          </cell>
        </row>
        <row r="24">
          <cell r="C24" t="str">
            <v xml:space="preserve">  % of revenue</v>
          </cell>
          <cell r="I24">
            <v>0.12863470208398939</v>
          </cell>
          <cell r="J24">
            <v>0.12023769302036212</v>
          </cell>
          <cell r="K24">
            <v>0.12023769302036212</v>
          </cell>
          <cell r="L24">
            <v>0.12023769302036212</v>
          </cell>
          <cell r="M24">
            <v>0.12023769302036212</v>
          </cell>
          <cell r="N24">
            <v>0.12023769302036212</v>
          </cell>
          <cell r="O24">
            <v>0.12023769302036212</v>
          </cell>
          <cell r="U24">
            <v>0.15405311211207512</v>
          </cell>
          <cell r="V24">
            <v>0.14041001336004469</v>
          </cell>
          <cell r="W24">
            <v>0.14210281728015373</v>
          </cell>
          <cell r="X24">
            <v>0.14167266030322381</v>
          </cell>
          <cell r="Y24">
            <v>0.13599008390233935</v>
          </cell>
          <cell r="Z24">
            <v>0.14329078342054538</v>
          </cell>
          <cell r="AA24">
            <v>0.11425228674750053</v>
          </cell>
          <cell r="AB24">
            <v>0.12135173699972077</v>
          </cell>
          <cell r="AC24">
            <v>0.11940298507462686</v>
          </cell>
          <cell r="AD24">
            <v>0.13</v>
          </cell>
          <cell r="AE24">
            <v>0.11799999999999999</v>
          </cell>
          <cell r="AF24">
            <v>0.113511</v>
          </cell>
        </row>
        <row r="25">
          <cell r="C25" t="str">
            <v>Total cash expenses</v>
          </cell>
          <cell r="I25">
            <v>1382519</v>
          </cell>
          <cell r="J25">
            <v>1347916.1655546622</v>
          </cell>
          <cell r="K25">
            <v>1335071.9598089166</v>
          </cell>
          <cell r="L25">
            <v>1318862.645180783</v>
          </cell>
          <cell r="M25">
            <v>1307519.9811653951</v>
          </cell>
          <cell r="N25">
            <v>1299673.0187846778</v>
          </cell>
          <cell r="O25">
            <v>1297041.5212222678</v>
          </cell>
          <cell r="U25">
            <v>360347</v>
          </cell>
          <cell r="V25">
            <v>358932</v>
          </cell>
          <cell r="W25">
            <v>352966</v>
          </cell>
          <cell r="X25">
            <v>336483</v>
          </cell>
          <cell r="Y25">
            <v>338422</v>
          </cell>
          <cell r="Z25">
            <v>344511</v>
          </cell>
          <cell r="AA25">
            <v>347546</v>
          </cell>
          <cell r="AB25">
            <v>352040</v>
          </cell>
          <cell r="AC25">
            <v>348700</v>
          </cell>
          <cell r="AD25">
            <v>349449.5280316702</v>
          </cell>
          <cell r="AE25">
            <v>324126.2728709206</v>
          </cell>
          <cell r="AF25">
            <v>325640.3646520715</v>
          </cell>
        </row>
        <row r="26">
          <cell r="C26" t="str">
            <v>EBITDA</v>
          </cell>
          <cell r="I26">
            <v>1646959</v>
          </cell>
          <cell r="J26">
            <v>1639030.7135988707</v>
          </cell>
          <cell r="K26">
            <v>1623412.4962000179</v>
          </cell>
          <cell r="L26">
            <v>1603702.3946367165</v>
          </cell>
          <cell r="M26">
            <v>1589910.0126100471</v>
          </cell>
          <cell r="N26">
            <v>1580368.3121103293</v>
          </cell>
          <cell r="O26">
            <v>1577168.4800749477</v>
          </cell>
          <cell r="U26">
            <v>397145</v>
          </cell>
          <cell r="V26">
            <v>405287</v>
          </cell>
          <cell r="W26">
            <v>413092</v>
          </cell>
          <cell r="X26">
            <v>432388</v>
          </cell>
          <cell r="Y26">
            <v>405419</v>
          </cell>
          <cell r="Z26">
            <v>408252</v>
          </cell>
          <cell r="AA26">
            <v>404614</v>
          </cell>
          <cell r="AB26">
            <v>428674</v>
          </cell>
          <cell r="AC26">
            <v>401700</v>
          </cell>
          <cell r="AD26">
            <v>400027.22352590755</v>
          </cell>
          <cell r="AE26">
            <v>413857.01244020567</v>
          </cell>
          <cell r="AF26">
            <v>423446.47763275716</v>
          </cell>
        </row>
        <row r="27">
          <cell r="C27" t="str">
            <v xml:space="preserve"> % margin</v>
          </cell>
          <cell r="I27">
            <v>0.5436444826468454</v>
          </cell>
          <cell r="J27">
            <v>0.54873112241733391</v>
          </cell>
          <cell r="K27">
            <v>0.54873112241733379</v>
          </cell>
          <cell r="L27">
            <v>0.54873112241733379</v>
          </cell>
          <cell r="M27">
            <v>0.54873112241733391</v>
          </cell>
          <cell r="N27">
            <v>0.54873112241733391</v>
          </cell>
          <cell r="O27">
            <v>0.54873112241733391</v>
          </cell>
          <cell r="U27">
            <v>0.52428936543224214</v>
          </cell>
          <cell r="V27">
            <v>0.53032834828759823</v>
          </cell>
          <cell r="W27">
            <v>0.53924376483242786</v>
          </cell>
          <cell r="X27">
            <v>0.56236741924197953</v>
          </cell>
          <cell r="Y27">
            <v>0.54503448989770664</v>
          </cell>
          <cell r="Z27">
            <v>0.54233802670960185</v>
          </cell>
          <cell r="AA27">
            <v>0.537936077430334</v>
          </cell>
          <cell r="AB27">
            <v>0.54907943241699264</v>
          </cell>
          <cell r="AC27">
            <v>0.53531449893390193</v>
          </cell>
          <cell r="AD27">
            <v>0.53374200426439233</v>
          </cell>
          <cell r="AE27">
            <v>0.56079456090354096</v>
          </cell>
          <cell r="AF27">
            <v>0.56528356090354104</v>
          </cell>
        </row>
        <row r="28">
          <cell r="C28" t="str">
            <v>D&amp;A</v>
          </cell>
          <cell r="I28">
            <v>506834</v>
          </cell>
          <cell r="J28">
            <v>506286.68805132317</v>
          </cell>
          <cell r="K28">
            <v>227470</v>
          </cell>
          <cell r="L28">
            <v>247388</v>
          </cell>
          <cell r="M28">
            <v>319056</v>
          </cell>
          <cell r="N28">
            <v>389850</v>
          </cell>
          <cell r="O28">
            <v>596896</v>
          </cell>
          <cell r="U28">
            <v>149808</v>
          </cell>
          <cell r="V28">
            <v>148881</v>
          </cell>
          <cell r="W28">
            <v>144781</v>
          </cell>
          <cell r="X28">
            <v>133917</v>
          </cell>
          <cell r="Y28">
            <v>128469</v>
          </cell>
          <cell r="Z28">
            <v>125761</v>
          </cell>
          <cell r="AA28">
            <v>129733</v>
          </cell>
          <cell r="AB28">
            <v>122871</v>
          </cell>
          <cell r="AC28">
            <v>124500</v>
          </cell>
          <cell r="AD28">
            <v>126696.47153167603</v>
          </cell>
          <cell r="AE28">
            <v>132487.16920609464</v>
          </cell>
          <cell r="AF28">
            <v>122603.04731355252</v>
          </cell>
        </row>
        <row r="29">
          <cell r="C29" t="str">
            <v>EBIT</v>
          </cell>
          <cell r="I29">
            <v>1140125</v>
          </cell>
          <cell r="J29">
            <v>1132744.0255475475</v>
          </cell>
          <cell r="K29">
            <v>1395942.4962000179</v>
          </cell>
          <cell r="L29">
            <v>1356314.3946367165</v>
          </cell>
          <cell r="M29">
            <v>1270854.0126100471</v>
          </cell>
          <cell r="N29">
            <v>1190518.3121103293</v>
          </cell>
          <cell r="O29">
            <v>980272.4800749477</v>
          </cell>
          <cell r="U29">
            <v>247337</v>
          </cell>
          <cell r="V29">
            <v>256406</v>
          </cell>
          <cell r="W29">
            <v>268311</v>
          </cell>
          <cell r="X29">
            <v>298471</v>
          </cell>
          <cell r="Y29">
            <v>276950</v>
          </cell>
          <cell r="Z29">
            <v>282491</v>
          </cell>
          <cell r="AA29">
            <v>274881</v>
          </cell>
          <cell r="AB29">
            <v>305803</v>
          </cell>
          <cell r="AC29">
            <v>277200</v>
          </cell>
          <cell r="AD29">
            <v>273330.75199423154</v>
          </cell>
          <cell r="AE29">
            <v>281369.84323411103</v>
          </cell>
          <cell r="AF29">
            <v>300843.43031920464</v>
          </cell>
        </row>
        <row r="30">
          <cell r="C30" t="str">
            <v xml:space="preserve"> % margin</v>
          </cell>
          <cell r="I30">
            <v>0.37634371333939376</v>
          </cell>
          <cell r="J30">
            <v>0.3792313929160181</v>
          </cell>
          <cell r="K30">
            <v>0.47184378250314601</v>
          </cell>
          <cell r="L30">
            <v>0.46408356226741559</v>
          </cell>
          <cell r="M30">
            <v>0.4386142254826611</v>
          </cell>
          <cell r="N30">
            <v>0.41336848167396317</v>
          </cell>
          <cell r="O30">
            <v>0.34105805756452101</v>
          </cell>
        </row>
        <row r="32">
          <cell r="A32" t="str">
            <v>Other Segment</v>
          </cell>
        </row>
        <row r="34">
          <cell r="B34" t="str">
            <v>Other Revenue</v>
          </cell>
        </row>
        <row r="35">
          <cell r="C35" t="str">
            <v>Product distribution</v>
          </cell>
          <cell r="H35">
            <v>302646</v>
          </cell>
          <cell r="I35">
            <v>334081</v>
          </cell>
          <cell r="J35">
            <v>348560.07399999996</v>
          </cell>
          <cell r="K35">
            <v>364712.35143911629</v>
          </cell>
          <cell r="L35">
            <v>380883.70087916852</v>
          </cell>
          <cell r="M35">
            <v>398914.73922351311</v>
          </cell>
          <cell r="N35">
            <v>418996.11132749275</v>
          </cell>
          <cell r="O35">
            <v>441345.3682451474</v>
          </cell>
          <cell r="U35">
            <v>70090</v>
          </cell>
          <cell r="V35">
            <v>81233</v>
          </cell>
          <cell r="W35">
            <v>70090</v>
          </cell>
          <cell r="X35">
            <v>81233</v>
          </cell>
          <cell r="Y35">
            <v>69063</v>
          </cell>
          <cell r="Z35">
            <v>83004</v>
          </cell>
          <cell r="AA35">
            <v>81040</v>
          </cell>
          <cell r="AB35">
            <v>100974</v>
          </cell>
          <cell r="AC35">
            <v>83200</v>
          </cell>
          <cell r="AD35">
            <v>81343.92</v>
          </cell>
          <cell r="AE35">
            <v>81931.439999999988</v>
          </cell>
          <cell r="AF35">
            <v>102084.71399999999</v>
          </cell>
          <cell r="AG35">
            <v>348560.07399999996</v>
          </cell>
        </row>
        <row r="36">
          <cell r="C36" t="str">
            <v xml:space="preserve">  % y/y growth</v>
          </cell>
          <cell r="I36">
            <v>0.10386722441400176</v>
          </cell>
          <cell r="J36">
            <v>4.3340010356769598E-2</v>
          </cell>
          <cell r="K36">
            <v>4.6340010356769601E-2</v>
          </cell>
          <cell r="L36">
            <v>4.4340010356769599E-2</v>
          </cell>
          <cell r="M36">
            <v>4.7340010356769602E-2</v>
          </cell>
          <cell r="N36">
            <v>5.0340010356769604E-2</v>
          </cell>
          <cell r="O36">
            <v>5.3340010356769607E-2</v>
          </cell>
          <cell r="Y36">
            <v>-1.465258952775006E-2</v>
          </cell>
          <cell r="Z36">
            <v>2.1801484618320099E-2</v>
          </cell>
          <cell r="AA36">
            <v>0.15622770723355694</v>
          </cell>
          <cell r="AB36">
            <v>0.24301700048010044</v>
          </cell>
          <cell r="AC36">
            <v>0.20469716056354348</v>
          </cell>
          <cell r="AD36">
            <v>-0.02</v>
          </cell>
          <cell r="AE36">
            <v>1.0999999999999999E-2</v>
          </cell>
          <cell r="AF36">
            <v>1.0999999999999999E-2</v>
          </cell>
        </row>
        <row r="37">
          <cell r="C37" t="str">
            <v>Directory publishing</v>
          </cell>
          <cell r="H37">
            <v>161287</v>
          </cell>
          <cell r="I37">
            <v>154278</v>
          </cell>
          <cell r="J37">
            <v>147039.17972223426</v>
          </cell>
          <cell r="K37">
            <v>140581.12695974193</v>
          </cell>
          <cell r="L37">
            <v>134125.55366087725</v>
          </cell>
          <cell r="M37">
            <v>128368.80098754635</v>
          </cell>
          <cell r="N37">
            <v>123244.23814339598</v>
          </cell>
          <cell r="O37">
            <v>118693.98376838893</v>
          </cell>
          <cell r="U37">
            <v>26326</v>
          </cell>
          <cell r="V37">
            <v>47296</v>
          </cell>
          <cell r="W37">
            <v>38443</v>
          </cell>
          <cell r="X37">
            <v>49222</v>
          </cell>
          <cell r="Y37">
            <v>26478</v>
          </cell>
          <cell r="Z37">
            <v>48677</v>
          </cell>
          <cell r="AA37">
            <v>32299</v>
          </cell>
          <cell r="AB37">
            <v>46824</v>
          </cell>
          <cell r="AC37">
            <v>22100</v>
          </cell>
          <cell r="AD37">
            <v>47587.358774172128</v>
          </cell>
          <cell r="AE37">
            <v>31575.982518375939</v>
          </cell>
          <cell r="AF37">
            <v>45775.838429686206</v>
          </cell>
          <cell r="AG37">
            <v>147039.17972223426</v>
          </cell>
        </row>
        <row r="38">
          <cell r="C38" t="str">
            <v xml:space="preserve">  % y/y growth</v>
          </cell>
          <cell r="I38">
            <v>-4.3456695207921281E-2</v>
          </cell>
          <cell r="J38">
            <v>-4.6920625609391808E-2</v>
          </cell>
          <cell r="K38">
            <v>-4.3920625609391806E-2</v>
          </cell>
          <cell r="L38">
            <v>-4.5920625609391807E-2</v>
          </cell>
          <cell r="M38">
            <v>-4.2920625609391805E-2</v>
          </cell>
          <cell r="N38">
            <v>-3.9920625609391802E-2</v>
          </cell>
          <cell r="O38">
            <v>-3.6920625609391799E-2</v>
          </cell>
          <cell r="Y38">
            <v>5.773759781204868E-3</v>
          </cell>
          <cell r="Z38">
            <v>2.9199086603518332E-2</v>
          </cell>
          <cell r="AA38">
            <v>-0.15982103373826184</v>
          </cell>
          <cell r="AB38">
            <v>-4.8718052903173326E-2</v>
          </cell>
          <cell r="AC38">
            <v>-0.16534481456303352</v>
          </cell>
          <cell r="AD38">
            <v>-2.2385135193785034E-2</v>
          </cell>
          <cell r="AE38">
            <v>-2.2385135193785034E-2</v>
          </cell>
          <cell r="AF38">
            <v>-2.2385135193785034E-2</v>
          </cell>
          <cell r="AG38">
            <v>154131</v>
          </cell>
        </row>
        <row r="39">
          <cell r="C39" t="str">
            <v>Total Other</v>
          </cell>
          <cell r="H39">
            <v>463933</v>
          </cell>
          <cell r="I39">
            <v>488359</v>
          </cell>
          <cell r="J39">
            <v>495599.25372223422</v>
          </cell>
          <cell r="K39">
            <v>505293.47839885822</v>
          </cell>
          <cell r="L39">
            <v>515009.25454004575</v>
          </cell>
          <cell r="M39">
            <v>527283.5402110595</v>
          </cell>
          <cell r="N39">
            <v>542240.34947088873</v>
          </cell>
          <cell r="O39">
            <v>560039.35201353638</v>
          </cell>
          <cell r="U39">
            <v>96416</v>
          </cell>
          <cell r="V39">
            <v>128529</v>
          </cell>
          <cell r="W39">
            <v>108533</v>
          </cell>
          <cell r="X39">
            <v>130455</v>
          </cell>
          <cell r="Y39">
            <v>95541</v>
          </cell>
          <cell r="Z39">
            <v>131681</v>
          </cell>
          <cell r="AA39">
            <v>113339</v>
          </cell>
          <cell r="AB39">
            <v>147798</v>
          </cell>
          <cell r="AC39">
            <v>105300</v>
          </cell>
          <cell r="AD39">
            <v>128931.27877417213</v>
          </cell>
          <cell r="AE39">
            <v>113507.42251837593</v>
          </cell>
          <cell r="AF39">
            <v>147860.55242968618</v>
          </cell>
        </row>
        <row r="40">
          <cell r="C40" t="str">
            <v xml:space="preserve">  % y/y growth</v>
          </cell>
          <cell r="I40">
            <v>5.2649843835208987E-2</v>
          </cell>
          <cell r="J40">
            <v>1.482567890063291E-2</v>
          </cell>
          <cell r="K40">
            <v>1.9560611933562955E-2</v>
          </cell>
          <cell r="L40">
            <v>1.9227986420830678E-2</v>
          </cell>
          <cell r="M40">
            <v>2.3833136128739829E-2</v>
          </cell>
          <cell r="N40">
            <v>2.8365780683846875E-2</v>
          </cell>
          <cell r="O40">
            <v>3.282493189600455E-2</v>
          </cell>
          <cell r="Y40">
            <v>-9.0752572187189351E-3</v>
          </cell>
          <cell r="Z40">
            <v>2.452364835951415E-2</v>
          </cell>
          <cell r="AA40">
            <v>4.428146278090539E-2</v>
          </cell>
          <cell r="AB40">
            <v>0.13294239392894092</v>
          </cell>
          <cell r="AC40">
            <v>0.10214462900744192</v>
          </cell>
          <cell r="AD40">
            <v>-2.0881685481032752E-2</v>
          </cell>
          <cell r="AE40">
            <v>1.4860067441562208E-3</v>
          </cell>
          <cell r="AF40">
            <v>4.232292026020712E-4</v>
          </cell>
        </row>
        <row r="42">
          <cell r="C42" t="str">
            <v>Service revenue</v>
          </cell>
          <cell r="U42">
            <v>0</v>
          </cell>
          <cell r="V42">
            <v>0</v>
          </cell>
          <cell r="W42">
            <v>0</v>
          </cell>
          <cell r="X42">
            <v>0</v>
          </cell>
          <cell r="Y42">
            <v>0</v>
          </cell>
          <cell r="Z42">
            <v>0</v>
          </cell>
          <cell r="AA42">
            <v>0</v>
          </cell>
          <cell r="AB42">
            <v>0</v>
          </cell>
          <cell r="AC42">
            <v>0</v>
          </cell>
          <cell r="AD42">
            <v>0</v>
          </cell>
          <cell r="AE42">
            <v>0</v>
          </cell>
          <cell r="AF42">
            <v>0</v>
          </cell>
        </row>
        <row r="43">
          <cell r="C43" t="str">
            <v>Product sales</v>
          </cell>
          <cell r="U43">
            <v>96416</v>
          </cell>
          <cell r="V43">
            <v>128529</v>
          </cell>
          <cell r="W43">
            <v>108533</v>
          </cell>
          <cell r="X43">
            <v>130455</v>
          </cell>
          <cell r="Y43">
            <v>95541</v>
          </cell>
          <cell r="Z43">
            <v>131681</v>
          </cell>
          <cell r="AA43">
            <v>113339</v>
          </cell>
          <cell r="AB43">
            <v>147798</v>
          </cell>
          <cell r="AC43">
            <v>105300</v>
          </cell>
          <cell r="AD43">
            <v>128931.27877417213</v>
          </cell>
          <cell r="AE43">
            <v>113507.42251837593</v>
          </cell>
          <cell r="AF43">
            <v>147860.55242968618</v>
          </cell>
        </row>
        <row r="44">
          <cell r="C44" t="str">
            <v>Total Other</v>
          </cell>
          <cell r="U44">
            <v>96416</v>
          </cell>
          <cell r="V44">
            <v>128529</v>
          </cell>
          <cell r="W44">
            <v>108533</v>
          </cell>
          <cell r="X44">
            <v>130455</v>
          </cell>
          <cell r="Y44">
            <v>95541</v>
          </cell>
          <cell r="Z44">
            <v>131681</v>
          </cell>
          <cell r="AA44">
            <v>113339</v>
          </cell>
          <cell r="AB44">
            <v>147798</v>
          </cell>
          <cell r="AC44">
            <v>105300</v>
          </cell>
          <cell r="AD44">
            <v>128931.27877417213</v>
          </cell>
          <cell r="AE44">
            <v>113507.42251837593</v>
          </cell>
          <cell r="AF44">
            <v>147860.55242968618</v>
          </cell>
        </row>
        <row r="46">
          <cell r="B46" t="str">
            <v>Other Costs</v>
          </cell>
        </row>
        <row r="47">
          <cell r="C47" t="str">
            <v>Cost of services</v>
          </cell>
          <cell r="U47">
            <v>0</v>
          </cell>
          <cell r="V47">
            <v>0</v>
          </cell>
          <cell r="W47">
            <v>0</v>
          </cell>
          <cell r="X47">
            <v>0</v>
          </cell>
          <cell r="Y47">
            <v>0</v>
          </cell>
          <cell r="Z47">
            <v>0</v>
          </cell>
          <cell r="AA47">
            <v>812</v>
          </cell>
          <cell r="AB47">
            <v>178</v>
          </cell>
          <cell r="AC47">
            <v>0</v>
          </cell>
          <cell r="AD47">
            <v>0</v>
          </cell>
          <cell r="AE47">
            <v>0</v>
          </cell>
          <cell r="AF47">
            <v>0</v>
          </cell>
        </row>
        <row r="48">
          <cell r="C48" t="str">
            <v>Cost of products sold</v>
          </cell>
          <cell r="I48">
            <v>422731</v>
          </cell>
          <cell r="J48">
            <v>431662.06865388469</v>
          </cell>
          <cell r="K48">
            <v>439448.76134334382</v>
          </cell>
          <cell r="L48">
            <v>447228.96412820247</v>
          </cell>
          <cell r="M48">
            <v>457202.36430871085</v>
          </cell>
          <cell r="N48">
            <v>469466.35384851584</v>
          </cell>
          <cell r="O48">
            <v>484148.50378344138</v>
          </cell>
          <cell r="U48">
            <v>85762</v>
          </cell>
          <cell r="V48">
            <v>111531</v>
          </cell>
          <cell r="W48">
            <v>95278</v>
          </cell>
          <cell r="X48">
            <v>111492</v>
          </cell>
          <cell r="Y48">
            <v>83398</v>
          </cell>
          <cell r="Z48">
            <v>112949</v>
          </cell>
          <cell r="AA48">
            <v>98112</v>
          </cell>
          <cell r="AB48">
            <v>128272</v>
          </cell>
          <cell r="AC48">
            <v>94000</v>
          </cell>
          <cell r="AD48">
            <v>112170.21253352975</v>
          </cell>
          <cell r="AE48">
            <v>98183.920478395172</v>
          </cell>
          <cell r="AF48">
            <v>127307.9356419598</v>
          </cell>
          <cell r="AG48">
            <v>431662.06865388469</v>
          </cell>
        </row>
        <row r="49">
          <cell r="C49" t="str">
            <v xml:space="preserve">  % of revenue</v>
          </cell>
          <cell r="I49">
            <v>0.86561525435181907</v>
          </cell>
          <cell r="J49">
            <v>0.87099015063452045</v>
          </cell>
          <cell r="K49">
            <v>0.86969015063452049</v>
          </cell>
          <cell r="L49">
            <v>0.86839015063452052</v>
          </cell>
          <cell r="M49">
            <v>0.86709015063452055</v>
          </cell>
          <cell r="N49">
            <v>0.86579015063452058</v>
          </cell>
          <cell r="O49">
            <v>0.86449015063452062</v>
          </cell>
          <cell r="U49">
            <v>0.8894996681048789</v>
          </cell>
          <cell r="V49">
            <v>0.86774969073127461</v>
          </cell>
          <cell r="W49">
            <v>0.8778712465333125</v>
          </cell>
          <cell r="X49">
            <v>0.85463953087271471</v>
          </cell>
          <cell r="Y49">
            <v>0.87290273285814468</v>
          </cell>
          <cell r="Z49">
            <v>0.8577471313249444</v>
          </cell>
          <cell r="AA49">
            <v>0.86565083510530361</v>
          </cell>
          <cell r="AB49">
            <v>0.86788725151896506</v>
          </cell>
          <cell r="AC49">
            <v>0.89268755935422606</v>
          </cell>
          <cell r="AD49">
            <v>0.87</v>
          </cell>
          <cell r="AE49">
            <v>0.86499999999999999</v>
          </cell>
          <cell r="AF49">
            <v>0.86099999999999999</v>
          </cell>
        </row>
        <row r="50">
          <cell r="C50" t="str">
            <v>SG&amp;A</v>
          </cell>
          <cell r="I50">
            <v>43682</v>
          </cell>
          <cell r="J50">
            <v>48551.602247770323</v>
          </cell>
          <cell r="K50">
            <v>50006.594776490514</v>
          </cell>
          <cell r="L50">
            <v>51483.130156344901</v>
          </cell>
          <cell r="M50">
            <v>53237.418145905765</v>
          </cell>
          <cell r="N50">
            <v>55289.77942267766</v>
          </cell>
          <cell r="O50">
            <v>57664.702018785705</v>
          </cell>
          <cell r="U50">
            <v>8732</v>
          </cell>
          <cell r="V50">
            <v>11371</v>
          </cell>
          <cell r="W50">
            <v>9772</v>
          </cell>
          <cell r="X50">
            <v>10160</v>
          </cell>
          <cell r="Y50">
            <v>10208</v>
          </cell>
          <cell r="Z50">
            <v>8999</v>
          </cell>
          <cell r="AA50">
            <v>12620</v>
          </cell>
          <cell r="AB50">
            <v>11855</v>
          </cell>
          <cell r="AC50">
            <v>13600</v>
          </cell>
          <cell r="AD50">
            <v>11545.896462867211</v>
          </cell>
          <cell r="AE50">
            <v>10164.678118639917</v>
          </cell>
          <cell r="AF50">
            <v>13241.027666263193</v>
          </cell>
          <cell r="AG50">
            <v>48551.602247770323</v>
          </cell>
        </row>
        <row r="51">
          <cell r="C51" t="str">
            <v xml:space="preserve">  % of revenue</v>
          </cell>
          <cell r="I51">
            <v>8.9446493255985859E-2</v>
          </cell>
          <cell r="J51">
            <v>9.7965446644884921E-2</v>
          </cell>
          <cell r="K51">
            <v>9.8965446644884922E-2</v>
          </cell>
          <cell r="L51">
            <v>9.9965446644884923E-2</v>
          </cell>
          <cell r="M51">
            <v>0.10096544664488492</v>
          </cell>
          <cell r="N51">
            <v>0.10196544664488492</v>
          </cell>
          <cell r="O51">
            <v>0.10296544664488493</v>
          </cell>
          <cell r="U51">
            <v>9.0565881181546626E-2</v>
          </cell>
          <cell r="V51">
            <v>8.847030631219413E-2</v>
          </cell>
          <cell r="W51">
            <v>9.0037131563671879E-2</v>
          </cell>
          <cell r="X51">
            <v>7.7881261737763982E-2</v>
          </cell>
          <cell r="Y51">
            <v>0.10684418207889806</v>
          </cell>
          <cell r="Z51">
            <v>6.8339395964489943E-2</v>
          </cell>
          <cell r="AA51">
            <v>0.1113473738077802</v>
          </cell>
          <cell r="AB51">
            <v>8.021082829266972E-2</v>
          </cell>
          <cell r="AC51">
            <v>0.1291547958214625</v>
          </cell>
          <cell r="AD51">
            <v>8.9550779086665797E-2</v>
          </cell>
          <cell r="AE51">
            <v>8.9550779086665797E-2</v>
          </cell>
          <cell r="AF51">
            <v>8.9550779086665797E-2</v>
          </cell>
        </row>
        <row r="52">
          <cell r="C52" t="str">
            <v>Total cash expenses</v>
          </cell>
          <cell r="I52">
            <v>466413</v>
          </cell>
          <cell r="J52">
            <v>480213.67090165499</v>
          </cell>
          <cell r="K52">
            <v>489455.35611983435</v>
          </cell>
          <cell r="L52">
            <v>498712.09428454738</v>
          </cell>
          <cell r="M52">
            <v>510439.78245461662</v>
          </cell>
          <cell r="N52">
            <v>524756.13327119348</v>
          </cell>
          <cell r="O52">
            <v>541813.20580222714</v>
          </cell>
          <cell r="U52">
            <v>94494</v>
          </cell>
          <cell r="V52">
            <v>122902</v>
          </cell>
          <cell r="W52">
            <v>105050</v>
          </cell>
          <cell r="X52">
            <v>121652</v>
          </cell>
          <cell r="Y52">
            <v>93606</v>
          </cell>
          <cell r="Z52">
            <v>121948</v>
          </cell>
          <cell r="AA52">
            <v>111544</v>
          </cell>
          <cell r="AB52">
            <v>140127</v>
          </cell>
          <cell r="AC52">
            <v>107600</v>
          </cell>
          <cell r="AD52">
            <v>123716.10899639696</v>
          </cell>
          <cell r="AE52">
            <v>108348.59859703509</v>
          </cell>
          <cell r="AF52">
            <v>140548.963308223</v>
          </cell>
        </row>
        <row r="53">
          <cell r="C53" t="str">
            <v>EBITDA</v>
          </cell>
          <cell r="I53">
            <v>21946</v>
          </cell>
          <cell r="J53">
            <v>15385.582820579235</v>
          </cell>
          <cell r="K53">
            <v>15838.122279023868</v>
          </cell>
          <cell r="L53">
            <v>16297.160255498369</v>
          </cell>
          <cell r="M53">
            <v>16843.757756442879</v>
          </cell>
          <cell r="N53">
            <v>17484.216199695249</v>
          </cell>
          <cell r="O53">
            <v>18226.146211309242</v>
          </cell>
          <cell r="U53">
            <v>1922</v>
          </cell>
          <cell r="V53">
            <v>5627</v>
          </cell>
          <cell r="W53">
            <v>3483</v>
          </cell>
          <cell r="X53">
            <v>8803</v>
          </cell>
          <cell r="Y53">
            <v>1935</v>
          </cell>
          <cell r="Z53">
            <v>9733</v>
          </cell>
          <cell r="AA53">
            <v>1795</v>
          </cell>
          <cell r="AB53">
            <v>7671</v>
          </cell>
          <cell r="AC53">
            <v>-2300</v>
          </cell>
          <cell r="AD53">
            <v>5215.1697777751688</v>
          </cell>
          <cell r="AE53">
            <v>5158.8239213408378</v>
          </cell>
          <cell r="AF53">
            <v>7311.5891214631847</v>
          </cell>
        </row>
        <row r="54">
          <cell r="C54" t="str">
            <v>% margin</v>
          </cell>
          <cell r="I54">
            <v>4.4938252392195087E-2</v>
          </cell>
          <cell r="J54">
            <v>3.1044402720594708E-2</v>
          </cell>
          <cell r="K54">
            <v>3.1344402720594577E-2</v>
          </cell>
          <cell r="L54">
            <v>3.1644402720594503E-2</v>
          </cell>
          <cell r="M54">
            <v>3.1944402720594518E-2</v>
          </cell>
          <cell r="N54">
            <v>3.224440272059452E-2</v>
          </cell>
          <cell r="O54">
            <v>3.2544402720594369E-2</v>
          </cell>
          <cell r="U54">
            <v>1.9934450713574511E-2</v>
          </cell>
          <cell r="V54">
            <v>4.3780002956531214E-2</v>
          </cell>
          <cell r="W54">
            <v>3.209162190301567E-2</v>
          </cell>
          <cell r="X54">
            <v>6.747920738952129E-2</v>
          </cell>
          <cell r="Y54">
            <v>2.0253085062957265E-2</v>
          </cell>
          <cell r="Z54">
            <v>7.3913472710565684E-2</v>
          </cell>
          <cell r="AA54">
            <v>1.583744342194655E-2</v>
          </cell>
          <cell r="AB54">
            <v>5.1901920188365203E-2</v>
          </cell>
          <cell r="AC54">
            <v>-2.184235517568851E-2</v>
          </cell>
          <cell r="AD54">
            <v>4.0449220913334229E-2</v>
          </cell>
          <cell r="AE54">
            <v>4.5449220913334247E-2</v>
          </cell>
          <cell r="AF54">
            <v>4.9449220913334188E-2</v>
          </cell>
        </row>
        <row r="55">
          <cell r="C55" t="str">
            <v>D&amp;A</v>
          </cell>
          <cell r="I55">
            <v>3557</v>
          </cell>
          <cell r="J55">
            <v>1113.3119486768137</v>
          </cell>
          <cell r="K55">
            <v>267030</v>
          </cell>
          <cell r="L55">
            <v>290412</v>
          </cell>
          <cell r="M55">
            <v>374544</v>
          </cell>
          <cell r="N55">
            <v>457650.00000000006</v>
          </cell>
          <cell r="O55">
            <v>700704</v>
          </cell>
          <cell r="U55">
            <v>1054</v>
          </cell>
          <cell r="V55">
            <v>1053</v>
          </cell>
          <cell r="W55">
            <v>923</v>
          </cell>
          <cell r="X55">
            <v>922</v>
          </cell>
          <cell r="Y55">
            <v>971</v>
          </cell>
          <cell r="Z55">
            <v>948</v>
          </cell>
          <cell r="AA55">
            <v>586</v>
          </cell>
          <cell r="AB55">
            <v>1052</v>
          </cell>
          <cell r="AC55">
            <v>500</v>
          </cell>
          <cell r="AD55">
            <v>203.52846832397401</v>
          </cell>
          <cell r="AE55">
            <v>212.83079390536921</v>
          </cell>
          <cell r="AF55">
            <v>196.95268644747051</v>
          </cell>
        </row>
        <row r="56">
          <cell r="C56" t="str">
            <v>EBIT</v>
          </cell>
          <cell r="I56">
            <v>18389</v>
          </cell>
          <cell r="J56">
            <v>14272.270871902421</v>
          </cell>
          <cell r="K56">
            <v>-251191.87772097613</v>
          </cell>
          <cell r="L56">
            <v>-274114.83974450163</v>
          </cell>
          <cell r="M56">
            <v>-357700.24224355712</v>
          </cell>
          <cell r="N56">
            <v>-440165.78380030481</v>
          </cell>
          <cell r="O56">
            <v>-682477.85378869076</v>
          </cell>
          <cell r="U56">
            <v>868</v>
          </cell>
          <cell r="V56">
            <v>4574</v>
          </cell>
          <cell r="W56">
            <v>2560</v>
          </cell>
          <cell r="X56">
            <v>7881</v>
          </cell>
          <cell r="Y56">
            <v>964</v>
          </cell>
          <cell r="Z56">
            <v>8785</v>
          </cell>
          <cell r="AA56">
            <v>1209</v>
          </cell>
          <cell r="AB56">
            <v>6619</v>
          </cell>
          <cell r="AC56">
            <v>-2800</v>
          </cell>
          <cell r="AD56">
            <v>5011.6413094511945</v>
          </cell>
          <cell r="AE56">
            <v>4945.9931274354685</v>
          </cell>
          <cell r="AF56">
            <v>7114.6364350157146</v>
          </cell>
        </row>
        <row r="58">
          <cell r="A58" t="str">
            <v>Inter-company Eliminations</v>
          </cell>
        </row>
        <row r="60">
          <cell r="B60" t="str">
            <v>Revenue</v>
          </cell>
          <cell r="I60">
            <v>325510</v>
          </cell>
          <cell r="J60">
            <v>292213.17323884548</v>
          </cell>
          <cell r="K60">
            <v>311740.01409670134</v>
          </cell>
          <cell r="L60">
            <v>309381.68649217905</v>
          </cell>
          <cell r="M60">
            <v>308224.21805878513</v>
          </cell>
          <cell r="N60">
            <v>308005.35123293061</v>
          </cell>
          <cell r="O60">
            <v>309082.44179796765</v>
          </cell>
          <cell r="U60">
            <v>69691</v>
          </cell>
          <cell r="V60">
            <v>86156</v>
          </cell>
          <cell r="W60">
            <v>77628</v>
          </cell>
          <cell r="X60">
            <v>96496</v>
          </cell>
          <cell r="Y60">
            <v>65847</v>
          </cell>
          <cell r="Z60">
            <v>88026</v>
          </cell>
          <cell r="AA60">
            <v>70733</v>
          </cell>
          <cell r="AB60">
            <v>100904</v>
          </cell>
          <cell r="AC60">
            <v>71800</v>
          </cell>
          <cell r="AD60">
            <v>73705.383402851061</v>
          </cell>
          <cell r="AE60">
            <v>71446.807084443455</v>
          </cell>
          <cell r="AF60">
            <v>75260.982751550968</v>
          </cell>
        </row>
        <row r="61">
          <cell r="C61" t="str">
            <v>% total revenue</v>
          </cell>
          <cell r="I61">
            <v>9.2531291245160019E-2</v>
          </cell>
          <cell r="J61">
            <v>8.3907911651279657E-2</v>
          </cell>
          <cell r="K61">
            <v>0.09</v>
          </cell>
          <cell r="L61">
            <v>0.09</v>
          </cell>
          <cell r="M61">
            <v>0.09</v>
          </cell>
          <cell r="N61">
            <v>0.09</v>
          </cell>
          <cell r="O61">
            <v>0.09</v>
          </cell>
          <cell r="U61">
            <v>8.1614178576614807E-2</v>
          </cell>
          <cell r="V61">
            <v>9.6506516956632774E-2</v>
          </cell>
          <cell r="W61">
            <v>8.8759202873114409E-2</v>
          </cell>
          <cell r="X61">
            <v>0.10729813215674849</v>
          </cell>
          <cell r="Y61">
            <v>7.8447000293072763E-2</v>
          </cell>
          <cell r="Z61">
            <v>9.9526934435645448E-2</v>
          </cell>
          <cell r="AA61">
            <v>8.1725108867832311E-2</v>
          </cell>
          <cell r="AB61">
            <v>0.1086728012131238</v>
          </cell>
          <cell r="AC61">
            <v>8.3907911651279657E-2</v>
          </cell>
          <cell r="AD61">
            <v>8.3907911651279657E-2</v>
          </cell>
          <cell r="AE61">
            <v>8.3907911651279657E-2</v>
          </cell>
          <cell r="AF61">
            <v>8.3907911651279657E-2</v>
          </cell>
        </row>
        <row r="62">
          <cell r="B62" t="str">
            <v>Cost of services</v>
          </cell>
          <cell r="I62">
            <v>68182</v>
          </cell>
          <cell r="J62">
            <v>45375.017032746306</v>
          </cell>
          <cell r="K62">
            <v>48193.790480130701</v>
          </cell>
          <cell r="L62">
            <v>47829.202229292307</v>
          </cell>
          <cell r="M62">
            <v>47650.262123294087</v>
          </cell>
          <cell r="N62">
            <v>47616.426165536628</v>
          </cell>
          <cell r="O62">
            <v>47782.940166538174</v>
          </cell>
          <cell r="U62">
            <v>20798</v>
          </cell>
          <cell r="V62">
            <v>28173</v>
          </cell>
          <cell r="W62">
            <v>24234</v>
          </cell>
          <cell r="X62">
            <v>30441</v>
          </cell>
          <cell r="Y62">
            <v>21537</v>
          </cell>
          <cell r="Z62">
            <v>27006</v>
          </cell>
          <cell r="AA62">
            <v>12683</v>
          </cell>
          <cell r="AB62">
            <v>6956</v>
          </cell>
          <cell r="AC62">
            <v>11300</v>
          </cell>
          <cell r="AD62">
            <v>11394.564843616252</v>
          </cell>
          <cell r="AE62">
            <v>11045.397752608944</v>
          </cell>
          <cell r="AF62">
            <v>11635.05443652111</v>
          </cell>
        </row>
        <row r="63">
          <cell r="C63" t="str">
            <v xml:space="preserve">  % of revenue</v>
          </cell>
          <cell r="I63">
            <v>0.2094620748978526</v>
          </cell>
          <cell r="J63">
            <v>0.1552805321191261</v>
          </cell>
          <cell r="K63">
            <v>0.1545961002785515</v>
          </cell>
          <cell r="L63">
            <v>0.15459610027855153</v>
          </cell>
          <cell r="M63">
            <v>0.15459610027855156</v>
          </cell>
          <cell r="N63">
            <v>0.15459610027855153</v>
          </cell>
          <cell r="O63">
            <v>0.15459610027855153</v>
          </cell>
          <cell r="U63">
            <v>0.29843164827596103</v>
          </cell>
          <cell r="V63">
            <v>0.32699986071776777</v>
          </cell>
          <cell r="W63">
            <v>0.31218117174215487</v>
          </cell>
          <cell r="X63">
            <v>0.31546385342397615</v>
          </cell>
          <cell r="Y63">
            <v>0.32707640439199964</v>
          </cell>
          <cell r="Z63">
            <v>0.30679571944652717</v>
          </cell>
          <cell r="AA63">
            <v>0.17930810230019933</v>
          </cell>
          <cell r="AB63">
            <v>6.8936811226512323E-2</v>
          </cell>
          <cell r="AC63">
            <v>0.1573816155988858</v>
          </cell>
          <cell r="AD63">
            <v>0.15459610027855156</v>
          </cell>
          <cell r="AE63">
            <v>0.1545961002785515</v>
          </cell>
          <cell r="AF63">
            <v>0.15459610027855153</v>
          </cell>
        </row>
        <row r="64">
          <cell r="B64" t="str">
            <v>Cost of products sold</v>
          </cell>
          <cell r="I64">
            <v>257328</v>
          </cell>
          <cell r="J64">
            <v>247038.15620609917</v>
          </cell>
          <cell r="K64">
            <v>263546.22361657064</v>
          </cell>
          <cell r="L64">
            <v>261552.48426288675</v>
          </cell>
          <cell r="M64">
            <v>260573.95593549105</v>
          </cell>
          <cell r="N64">
            <v>260388.92506739398</v>
          </cell>
          <cell r="O64">
            <v>261299.50163142948</v>
          </cell>
          <cell r="U64">
            <v>48893</v>
          </cell>
          <cell r="V64">
            <v>57983</v>
          </cell>
          <cell r="W64">
            <v>53394</v>
          </cell>
          <cell r="X64">
            <v>66055</v>
          </cell>
          <cell r="Y64">
            <v>44310</v>
          </cell>
          <cell r="Z64">
            <v>61020</v>
          </cell>
          <cell r="AA64">
            <v>58050</v>
          </cell>
          <cell r="AB64">
            <v>93948</v>
          </cell>
          <cell r="AC64">
            <v>60700</v>
          </cell>
          <cell r="AD64">
            <v>62310.818559234809</v>
          </cell>
          <cell r="AE64">
            <v>60401.409331834511</v>
          </cell>
          <cell r="AF64">
            <v>63625.928315029858</v>
          </cell>
        </row>
        <row r="65">
          <cell r="C65" t="str">
            <v xml:space="preserve">  % of revenue</v>
          </cell>
          <cell r="I65">
            <v>0.79053792510214738</v>
          </cell>
          <cell r="J65">
            <v>0.84540389972144847</v>
          </cell>
          <cell r="K65">
            <v>0.84540389972144847</v>
          </cell>
          <cell r="L65">
            <v>0.84540389972144847</v>
          </cell>
          <cell r="M65">
            <v>0.84540389972144847</v>
          </cell>
          <cell r="N65">
            <v>0.84540389972144847</v>
          </cell>
          <cell r="O65">
            <v>0.84540389972144847</v>
          </cell>
          <cell r="U65">
            <v>0.70156835172403897</v>
          </cell>
          <cell r="V65">
            <v>0.67300013928223223</v>
          </cell>
          <cell r="W65">
            <v>0.68781882825784513</v>
          </cell>
          <cell r="X65">
            <v>0.68453614657602391</v>
          </cell>
          <cell r="Y65">
            <v>0.67292359560800041</v>
          </cell>
          <cell r="Z65">
            <v>0.69320428055347283</v>
          </cell>
          <cell r="AA65">
            <v>0.82069189769980067</v>
          </cell>
          <cell r="AB65">
            <v>0.9310631887734877</v>
          </cell>
          <cell r="AC65">
            <v>0.84540389972144847</v>
          </cell>
          <cell r="AD65">
            <v>0.84540389972144847</v>
          </cell>
          <cell r="AE65">
            <v>0.84540389972144847</v>
          </cell>
          <cell r="AF65">
            <v>0.84540389972144847</v>
          </cell>
        </row>
        <row r="66">
          <cell r="B66" t="str">
            <v>SG&amp;A</v>
          </cell>
          <cell r="I66">
            <v>0</v>
          </cell>
          <cell r="J66">
            <v>100</v>
          </cell>
          <cell r="K66">
            <v>0</v>
          </cell>
          <cell r="L66">
            <v>0</v>
          </cell>
          <cell r="M66">
            <v>0</v>
          </cell>
          <cell r="N66">
            <v>0</v>
          </cell>
          <cell r="O66">
            <v>0</v>
          </cell>
          <cell r="U66">
            <v>0</v>
          </cell>
          <cell r="V66">
            <v>0</v>
          </cell>
          <cell r="W66">
            <v>0</v>
          </cell>
          <cell r="X66">
            <v>0</v>
          </cell>
          <cell r="Y66">
            <v>0</v>
          </cell>
          <cell r="Z66">
            <v>0</v>
          </cell>
          <cell r="AA66">
            <v>0</v>
          </cell>
          <cell r="AB66">
            <v>0</v>
          </cell>
          <cell r="AC66">
            <v>100</v>
          </cell>
          <cell r="AD66">
            <v>0</v>
          </cell>
          <cell r="AE66">
            <v>0</v>
          </cell>
          <cell r="AF66">
            <v>0</v>
          </cell>
        </row>
        <row r="67">
          <cell r="B67" t="str">
            <v>Total cash expenses</v>
          </cell>
          <cell r="I67">
            <v>325510</v>
          </cell>
          <cell r="J67">
            <v>292513.17323884548</v>
          </cell>
          <cell r="K67">
            <v>311740.01409670134</v>
          </cell>
          <cell r="L67">
            <v>309381.68649217905</v>
          </cell>
          <cell r="M67">
            <v>308224.21805878513</v>
          </cell>
          <cell r="N67">
            <v>308005.35123293061</v>
          </cell>
          <cell r="O67">
            <v>309082.44179796765</v>
          </cell>
          <cell r="U67">
            <v>69691</v>
          </cell>
          <cell r="V67">
            <v>86156</v>
          </cell>
          <cell r="W67">
            <v>77628</v>
          </cell>
          <cell r="X67">
            <v>96496</v>
          </cell>
          <cell r="Y67">
            <v>65847</v>
          </cell>
          <cell r="Z67">
            <v>88026</v>
          </cell>
          <cell r="AA67">
            <v>70733</v>
          </cell>
          <cell r="AB67">
            <v>100904</v>
          </cell>
          <cell r="AC67">
            <v>72100</v>
          </cell>
          <cell r="AD67">
            <v>73705.383402851061</v>
          </cell>
          <cell r="AE67">
            <v>71446.807084443455</v>
          </cell>
          <cell r="AF67">
            <v>75260.982751550968</v>
          </cell>
        </row>
        <row r="68">
          <cell r="C68" t="str">
            <v xml:space="preserve">  % of revenue</v>
          </cell>
          <cell r="I68">
            <v>1</v>
          </cell>
          <cell r="J68">
            <v>1.0010266477608618</v>
          </cell>
          <cell r="K68">
            <v>1</v>
          </cell>
          <cell r="L68">
            <v>1</v>
          </cell>
          <cell r="M68">
            <v>1</v>
          </cell>
          <cell r="N68">
            <v>1</v>
          </cell>
          <cell r="O68">
            <v>1</v>
          </cell>
          <cell r="U68">
            <v>1</v>
          </cell>
          <cell r="V68">
            <v>1</v>
          </cell>
          <cell r="W68">
            <v>1</v>
          </cell>
          <cell r="X68">
            <v>1</v>
          </cell>
          <cell r="Y68">
            <v>1</v>
          </cell>
          <cell r="Z68">
            <v>1</v>
          </cell>
          <cell r="AA68">
            <v>1</v>
          </cell>
          <cell r="AB68">
            <v>1</v>
          </cell>
          <cell r="AC68">
            <v>1.0041782729805013</v>
          </cell>
          <cell r="AD68">
            <v>1</v>
          </cell>
          <cell r="AE68">
            <v>1</v>
          </cell>
          <cell r="AF68">
            <v>1</v>
          </cell>
        </row>
        <row r="69">
          <cell r="B69" t="str">
            <v>D&amp;A</v>
          </cell>
          <cell r="I69">
            <v>0</v>
          </cell>
          <cell r="J69">
            <v>0</v>
          </cell>
          <cell r="K69">
            <v>0</v>
          </cell>
          <cell r="L69">
            <v>0</v>
          </cell>
          <cell r="M69">
            <v>0</v>
          </cell>
          <cell r="N69">
            <v>0</v>
          </cell>
          <cell r="O69">
            <v>0</v>
          </cell>
          <cell r="U69">
            <v>0</v>
          </cell>
          <cell r="V69">
            <v>0</v>
          </cell>
          <cell r="W69">
            <v>0</v>
          </cell>
          <cell r="X69">
            <v>0</v>
          </cell>
          <cell r="Y69">
            <v>0</v>
          </cell>
          <cell r="Z69">
            <v>0</v>
          </cell>
          <cell r="AA69">
            <v>0</v>
          </cell>
          <cell r="AB69">
            <v>0</v>
          </cell>
          <cell r="AC69">
            <v>0</v>
          </cell>
          <cell r="AD69">
            <v>0</v>
          </cell>
          <cell r="AE69">
            <v>0</v>
          </cell>
          <cell r="AF69">
            <v>0</v>
          </cell>
        </row>
        <row r="72">
          <cell r="A72" t="str">
            <v>Wireline Revenue Breakdown</v>
          </cell>
        </row>
        <row r="74">
          <cell r="A74" t="str">
            <v xml:space="preserve">  Wireline: Local Service Revenue</v>
          </cell>
        </row>
        <row r="76">
          <cell r="C76" t="str">
            <v>Local service revenue</v>
          </cell>
          <cell r="H76">
            <v>1232448.851639475</v>
          </cell>
          <cell r="I76">
            <v>1172801</v>
          </cell>
          <cell r="J76">
            <v>1141496.2453494775</v>
          </cell>
          <cell r="K76">
            <v>1117774.3069656156</v>
          </cell>
          <cell r="L76">
            <v>1088300.6466836443</v>
          </cell>
          <cell r="M76">
            <v>1061824.4350359896</v>
          </cell>
          <cell r="N76">
            <v>1038158.6022916468</v>
          </cell>
          <cell r="O76">
            <v>1017138.2122397522</v>
          </cell>
          <cell r="U76">
            <v>311734</v>
          </cell>
          <cell r="V76">
            <v>310943</v>
          </cell>
          <cell r="W76">
            <v>306950.40494803718</v>
          </cell>
          <cell r="X76">
            <v>302821.4466914378</v>
          </cell>
          <cell r="Y76">
            <v>300019</v>
          </cell>
          <cell r="Z76">
            <v>294307</v>
          </cell>
          <cell r="AA76">
            <v>291821</v>
          </cell>
          <cell r="AB76">
            <v>286654</v>
          </cell>
          <cell r="AC76">
            <v>314200</v>
          </cell>
          <cell r="AD76">
            <v>280905.0418943534</v>
          </cell>
          <cell r="AE76">
            <v>275723.30501343979</v>
          </cell>
          <cell r="AF76">
            <v>270667.89844168408</v>
          </cell>
        </row>
        <row r="77">
          <cell r="C77" t="str">
            <v xml:space="preserve">  % y/y growth</v>
          </cell>
          <cell r="I77">
            <v>-4.8397831325923124E-2</v>
          </cell>
          <cell r="J77">
            <v>-2.6692298736548214E-2</v>
          </cell>
          <cell r="K77">
            <v>-2.0781442322308497E-2</v>
          </cell>
          <cell r="L77">
            <v>-2.6368167615144489E-2</v>
          </cell>
          <cell r="M77">
            <v>-2.4328030795842226E-2</v>
          </cell>
          <cell r="N77">
            <v>-2.2287896156336529E-2</v>
          </cell>
          <cell r="O77">
            <v>-2.0247763689954401E-2</v>
          </cell>
          <cell r="Y77">
            <v>-3.7580116381273787E-2</v>
          </cell>
          <cell r="Z77">
            <v>-5.3501767204921835E-2</v>
          </cell>
          <cell r="AA77">
            <v>-4.9289411918509773E-2</v>
          </cell>
          <cell r="AB77">
            <v>-5.3389371420286991E-2</v>
          </cell>
          <cell r="AC77">
            <v>4.7267006422926583E-2</v>
          </cell>
          <cell r="AD77">
            <v>-4.5537340619307698E-2</v>
          </cell>
          <cell r="AE77">
            <v>-5.5162908038010272E-2</v>
          </cell>
          <cell r="AF77">
            <v>-5.5767934716822065E-2</v>
          </cell>
        </row>
        <row r="78">
          <cell r="C78" t="str">
            <v>Average revenue per line/mth</v>
          </cell>
          <cell r="H78">
            <v>29.769507339966978</v>
          </cell>
          <cell r="I78">
            <v>29.560514566253758</v>
          </cell>
          <cell r="J78">
            <v>30.13797639282571</v>
          </cell>
          <cell r="K78">
            <v>30.817132810162736</v>
          </cell>
          <cell r="L78">
            <v>31.419142554018226</v>
          </cell>
          <cell r="M78">
            <v>32.032912500678094</v>
          </cell>
          <cell r="N78">
            <v>32.658672384580051</v>
          </cell>
          <cell r="O78">
            <v>33.29665642800208</v>
          </cell>
          <cell r="U78">
            <v>29.502116463445606</v>
          </cell>
          <cell r="V78">
            <v>29.709359580965824</v>
          </cell>
          <cell r="W78">
            <v>29.649940861803891</v>
          </cell>
          <cell r="X78">
            <v>29.590640980080284</v>
          </cell>
          <cell r="Y78">
            <v>29.600147557256996</v>
          </cell>
          <cell r="Z78">
            <v>29.308880568803822</v>
          </cell>
          <cell r="AA78">
            <v>29.40653805003236</v>
          </cell>
          <cell r="AB78">
            <v>29.263170488843805</v>
          </cell>
          <cell r="AC78">
            <v>32.43908521573205</v>
          </cell>
          <cell r="AD78">
            <v>29.290690221251104</v>
          </cell>
          <cell r="AE78">
            <v>29.097769400507023</v>
          </cell>
          <cell r="AF78">
            <v>28.955907198710946</v>
          </cell>
        </row>
        <row r="79">
          <cell r="C79" t="str">
            <v xml:space="preserve">  % y/y growth</v>
          </cell>
          <cell r="I79">
            <v>-7.0203638685225611E-3</v>
          </cell>
          <cell r="J79">
            <v>1.9534904417096266E-2</v>
          </cell>
          <cell r="K79">
            <v>2.2534904417096265E-2</v>
          </cell>
          <cell r="L79">
            <v>1.9534904417096266E-2</v>
          </cell>
          <cell r="M79">
            <v>1.9534904417096266E-2</v>
          </cell>
          <cell r="N79">
            <v>1.9534904417096266E-2</v>
          </cell>
          <cell r="O79">
            <v>1.9534904417096266E-2</v>
          </cell>
          <cell r="Y79">
            <v>3.3228495295534177E-3</v>
          </cell>
          <cell r="Z79">
            <v>-1.3479893804866139E-2</v>
          </cell>
          <cell r="AA79">
            <v>-8.2092174451886546E-3</v>
          </cell>
          <cell r="AB79">
            <v>-1.1066691372347282E-2</v>
          </cell>
          <cell r="AC79">
            <v>9.5909577916243771E-2</v>
          </cell>
          <cell r="AD79">
            <v>-6.2064286317642381E-4</v>
          </cell>
          <cell r="AE79">
            <v>-1.0500000000000001E-2</v>
          </cell>
          <cell r="AF79">
            <v>-1.0500000000000001E-2</v>
          </cell>
        </row>
        <row r="80">
          <cell r="C80" t="str">
            <v xml:space="preserve">  % q/q growth</v>
          </cell>
          <cell r="V80">
            <v>7.024686441632122E-3</v>
          </cell>
          <cell r="W80">
            <v>-2E-3</v>
          </cell>
          <cell r="X80">
            <v>-2E-3</v>
          </cell>
          <cell r="Z80">
            <v>-9.8400519081792703E-3</v>
          </cell>
          <cell r="AA80">
            <v>3.3320099346436649E-3</v>
          </cell>
          <cell r="AB80">
            <v>-4.8753634632077159E-3</v>
          </cell>
          <cell r="AC80">
            <v>0.10852941338324973</v>
          </cell>
          <cell r="AD80">
            <v>-9.7055603557959169E-2</v>
          </cell>
          <cell r="AE80">
            <v>-6.5864211217567803E-3</v>
          </cell>
          <cell r="AF80">
            <v>-4.8753634632077159E-3</v>
          </cell>
        </row>
        <row r="82">
          <cell r="C82" t="str">
            <v>Average total access lines</v>
          </cell>
          <cell r="G82">
            <v>3589152.7624487402</v>
          </cell>
          <cell r="H82">
            <v>3449975.5</v>
          </cell>
          <cell r="I82">
            <v>3306215</v>
          </cell>
          <cell r="J82">
            <v>3156306.3781249998</v>
          </cell>
          <cell r="K82">
            <v>3022599.7819979996</v>
          </cell>
          <cell r="L82">
            <v>2886511.6354160877</v>
          </cell>
          <cell r="M82">
            <v>2762326.7033386161</v>
          </cell>
          <cell r="N82">
            <v>2649012.055324235</v>
          </cell>
          <cell r="O82">
            <v>2545646.5236960733</v>
          </cell>
          <cell r="R82">
            <v>3621614.7114462927</v>
          </cell>
          <cell r="S82">
            <v>3591972.191946188</v>
          </cell>
          <cell r="T82">
            <v>3556690.8134511877</v>
          </cell>
          <cell r="U82">
            <v>3522165.3830186711</v>
          </cell>
          <cell r="V82">
            <v>3488721</v>
          </cell>
          <cell r="W82">
            <v>3450826.5</v>
          </cell>
          <cell r="X82">
            <v>3411230</v>
          </cell>
          <cell r="Y82">
            <v>3378575.5</v>
          </cell>
          <cell r="Z82">
            <v>3347188</v>
          </cell>
          <cell r="AA82">
            <v>3307892.5</v>
          </cell>
          <cell r="AB82">
            <v>3265242</v>
          </cell>
          <cell r="AC82">
            <v>3228615.5</v>
          </cell>
          <cell r="AD82">
            <v>3196750</v>
          </cell>
          <cell r="AE82">
            <v>3158584.6692500003</v>
          </cell>
          <cell r="AF82">
            <v>3115862.7562499996</v>
          </cell>
        </row>
        <row r="83">
          <cell r="C83" t="str">
            <v xml:space="preserve">  % y/y growth</v>
          </cell>
          <cell r="H83">
            <v>-3.8777191069957362E-2</v>
          </cell>
          <cell r="I83">
            <v>-4.1670006062361931E-2</v>
          </cell>
          <cell r="J83">
            <v>-4.5341462026819213E-2</v>
          </cell>
          <cell r="K83">
            <v>-4.2361729220478428E-2</v>
          </cell>
          <cell r="L83">
            <v>-4.5023541453428906E-2</v>
          </cell>
          <cell r="M83">
            <v>-4.302249488752552E-2</v>
          </cell>
          <cell r="N83">
            <v>-4.1021450459652775E-2</v>
          </cell>
          <cell r="O83">
            <v>-3.9020408163265241E-2</v>
          </cell>
          <cell r="V83">
            <v>-3.6694602279551014E-2</v>
          </cell>
          <cell r="W83">
            <v>-3.9294761875568129E-2</v>
          </cell>
          <cell r="X83">
            <v>-4.0897795473551879E-2</v>
          </cell>
          <cell r="Y83">
            <v>-4.0767501637191006E-2</v>
          </cell>
          <cell r="Z83">
            <v>-4.0568735648393806E-2</v>
          </cell>
          <cell r="AA83">
            <v>-4.1420222083028535E-2</v>
          </cell>
          <cell r="AB83">
            <v>-4.2796293419089304E-2</v>
          </cell>
          <cell r="AC83">
            <v>-4.4385570190750512E-2</v>
          </cell>
          <cell r="AD83">
            <v>-4.4944592296578545E-2</v>
          </cell>
          <cell r="AE83">
            <v>-4.5136844909560936E-2</v>
          </cell>
          <cell r="AF83">
            <v>-4.5748291780517425E-2</v>
          </cell>
        </row>
        <row r="85">
          <cell r="A85" t="str">
            <v xml:space="preserve">  Wireline: Long Distance Revenue</v>
          </cell>
        </row>
        <row r="87">
          <cell r="C87" t="str">
            <v>Long Distance Revenue</v>
          </cell>
          <cell r="H87">
            <v>215594.72231105439</v>
          </cell>
          <cell r="I87">
            <v>240999</v>
          </cell>
          <cell r="J87">
            <v>250279.53133899614</v>
          </cell>
          <cell r="K87">
            <v>256540.35987162162</v>
          </cell>
          <cell r="L87">
            <v>261186.64285236638</v>
          </cell>
          <cell r="M87">
            <v>265998.24454102037</v>
          </cell>
          <cell r="N87">
            <v>271018.42189005209</v>
          </cell>
          <cell r="O87">
            <v>276289.08396080596</v>
          </cell>
          <cell r="U87">
            <v>53769</v>
          </cell>
          <cell r="V87">
            <v>52986</v>
          </cell>
          <cell r="W87">
            <v>53914.515048048721</v>
          </cell>
          <cell r="X87">
            <v>54925.207263005672</v>
          </cell>
          <cell r="Y87">
            <v>56481</v>
          </cell>
          <cell r="Z87">
            <v>58225</v>
          </cell>
          <cell r="AA87">
            <v>59454</v>
          </cell>
          <cell r="AB87">
            <v>66839</v>
          </cell>
          <cell r="AC87">
            <v>62000</v>
          </cell>
          <cell r="AD87">
            <v>67930.75743278912</v>
          </cell>
          <cell r="AE87">
            <v>59921.481000479122</v>
          </cell>
          <cell r="AF87">
            <v>60427.292905727896</v>
          </cell>
        </row>
        <row r="88">
          <cell r="C88" t="str">
            <v>% growth</v>
          </cell>
          <cell r="I88">
            <v>0.11783348598066778</v>
          </cell>
          <cell r="J88">
            <v>3.8508588579189595E-2</v>
          </cell>
          <cell r="K88">
            <v>2.501534384026538E-2</v>
          </cell>
          <cell r="L88">
            <v>1.8111313880863955E-2</v>
          </cell>
          <cell r="M88">
            <v>1.8422081757732522E-2</v>
          </cell>
          <cell r="N88">
            <v>1.8872971728418841E-2</v>
          </cell>
          <cell r="O88">
            <v>1.9447615531065665E-2</v>
          </cell>
        </row>
        <row r="90">
          <cell r="C90" t="str">
            <v>LD subscribers</v>
          </cell>
          <cell r="H90">
            <v>1982793</v>
          </cell>
          <cell r="I90">
            <v>1990950</v>
          </cell>
          <cell r="J90">
            <v>2012345.2511605178</v>
          </cell>
          <cell r="K90">
            <v>2008320.6713070141</v>
          </cell>
          <cell r="L90">
            <v>2004601.9581945909</v>
          </cell>
          <cell r="M90">
            <v>2001500.8817256498</v>
          </cell>
          <cell r="N90">
            <v>1999289.3640008464</v>
          </cell>
          <cell r="O90">
            <v>1998206.6420463561</v>
          </cell>
          <cell r="U90">
            <v>2015943</v>
          </cell>
          <cell r="V90">
            <v>2007160</v>
          </cell>
          <cell r="W90">
            <v>1986599</v>
          </cell>
          <cell r="X90">
            <v>1982793</v>
          </cell>
          <cell r="Y90">
            <v>1987596</v>
          </cell>
          <cell r="Z90">
            <v>2001714</v>
          </cell>
          <cell r="AA90">
            <v>2006899</v>
          </cell>
          <cell r="AB90">
            <v>1990950</v>
          </cell>
          <cell r="AC90">
            <v>1981500</v>
          </cell>
          <cell r="AD90">
            <v>1996537.6</v>
          </cell>
          <cell r="AE90">
            <v>2003593.42263225</v>
          </cell>
          <cell r="AF90">
            <v>2012345.2511605178</v>
          </cell>
        </row>
        <row r="91">
          <cell r="C91" t="str">
            <v xml:space="preserve">  % y/y growth</v>
          </cell>
          <cell r="I91">
            <v>4.1138938860485474E-3</v>
          </cell>
          <cell r="J91">
            <v>1.0746252372243248E-2</v>
          </cell>
          <cell r="K91">
            <v>-1.9999450149932319E-3</v>
          </cell>
          <cell r="L91">
            <v>-1.8516530579765211E-3</v>
          </cell>
          <cell r="M91">
            <v>-1.5469786688894205E-3</v>
          </cell>
          <cell r="N91">
            <v>-1.1049296780207829E-3</v>
          </cell>
          <cell r="O91">
            <v>-5.4155340091621706E-4</v>
          </cell>
          <cell r="Y91">
            <v>-1.4061409474375064E-2</v>
          </cell>
          <cell r="Z91">
            <v>-2.7132864345642549E-3</v>
          </cell>
          <cell r="AA91">
            <v>1.0218468850532902E-2</v>
          </cell>
          <cell r="AB91">
            <v>4.1138938860485474E-3</v>
          </cell>
          <cell r="AC91">
            <v>-3.0670216683873486E-3</v>
          </cell>
          <cell r="AD91">
            <v>-2.5859838118731382E-3</v>
          </cell>
          <cell r="AE91">
            <v>-1.647106988318825E-3</v>
          </cell>
          <cell r="AF91">
            <v>1.0746252372243248E-2</v>
          </cell>
        </row>
        <row r="92">
          <cell r="C92" t="str">
            <v xml:space="preserve">  % Penetration of total lines</v>
          </cell>
          <cell r="H92">
            <v>0.58472099880654915</v>
          </cell>
          <cell r="I92">
            <v>0.61393535662645926</v>
          </cell>
          <cell r="J92">
            <v>0.65045373260902561</v>
          </cell>
          <cell r="K92">
            <v>0.68045373260902564</v>
          </cell>
          <cell r="L92">
            <v>0.71045373260902567</v>
          </cell>
          <cell r="M92">
            <v>0.74045373260902569</v>
          </cell>
          <cell r="N92">
            <v>0.77045373260902572</v>
          </cell>
          <cell r="O92">
            <v>0.80045373260902575</v>
          </cell>
          <cell r="V92">
            <v>0.57839893954238952</v>
          </cell>
          <cell r="W92">
            <v>0.57893813495332735</v>
          </cell>
          <cell r="X92">
            <v>0.58472099880654915</v>
          </cell>
          <cell r="Y92">
            <v>0.59046671800136896</v>
          </cell>
          <cell r="Z92">
            <v>0.60143463556627064</v>
          </cell>
          <cell r="AA92">
            <v>0.61045373260902558</v>
          </cell>
          <cell r="AB92">
            <v>0.61393535662645926</v>
          </cell>
          <cell r="AC92">
            <v>0.61646392682699191</v>
          </cell>
          <cell r="AD92">
            <v>0.628</v>
          </cell>
          <cell r="AE92">
            <v>0.63849999999999996</v>
          </cell>
          <cell r="AF92">
            <v>0.65045373260902561</v>
          </cell>
        </row>
        <row r="93">
          <cell r="C93" t="str">
            <v xml:space="preserve">  LD sub net adds</v>
          </cell>
          <cell r="I93">
            <v>8157</v>
          </cell>
          <cell r="J93">
            <v>21395.251160517801</v>
          </cell>
          <cell r="K93">
            <v>-4024.579853503732</v>
          </cell>
          <cell r="L93">
            <v>-3718.7131124231964</v>
          </cell>
          <cell r="M93">
            <v>-3101.0764689410571</v>
          </cell>
          <cell r="N93">
            <v>-2211.5177248034161</v>
          </cell>
          <cell r="O93">
            <v>-1082.721954490291</v>
          </cell>
          <cell r="V93">
            <v>-8783</v>
          </cell>
          <cell r="W93">
            <v>-20561</v>
          </cell>
          <cell r="X93">
            <v>-3806</v>
          </cell>
          <cell r="Y93">
            <v>4803</v>
          </cell>
          <cell r="Z93">
            <v>14118</v>
          </cell>
          <cell r="AA93">
            <v>5185</v>
          </cell>
          <cell r="AB93">
            <v>-15949</v>
          </cell>
          <cell r="AC93">
            <v>-9450</v>
          </cell>
          <cell r="AD93">
            <v>15037.600000000093</v>
          </cell>
          <cell r="AE93">
            <v>7055.8226322499104</v>
          </cell>
          <cell r="AF93">
            <v>8751.8285282677971</v>
          </cell>
        </row>
        <row r="94">
          <cell r="C94" t="str">
            <v xml:space="preserve">  % y/y growth</v>
          </cell>
          <cell r="K94">
            <v>-1.188106221483886</v>
          </cell>
          <cell r="L94">
            <v>-7.5999670080903803E-2</v>
          </cell>
          <cell r="M94">
            <v>-0.16608881212664284</v>
          </cell>
          <cell r="N94">
            <v>-0.28685482381587446</v>
          </cell>
          <cell r="O94">
            <v>-0.51041678646887845</v>
          </cell>
          <cell r="Z94">
            <v>-2.6074234316292841</v>
          </cell>
          <cell r="AA94">
            <v>-1.252176450561743</v>
          </cell>
          <cell r="AB94">
            <v>3.1904887020493957</v>
          </cell>
          <cell r="AC94">
            <v>-2.9675202998126169</v>
          </cell>
          <cell r="AD94">
            <v>6.5136704915716992E-2</v>
          </cell>
          <cell r="AE94">
            <v>0.36081439387654979</v>
          </cell>
          <cell r="AF94">
            <v>-1.5487383866241018</v>
          </cell>
        </row>
        <row r="95">
          <cell r="C95" t="str">
            <v xml:space="preserve">  Average LD subs</v>
          </cell>
          <cell r="H95">
            <v>1998123.75</v>
          </cell>
          <cell r="I95">
            <v>1996789.75</v>
          </cell>
          <cell r="J95">
            <v>1998494.068448192</v>
          </cell>
          <cell r="K95">
            <v>2010332.9612337658</v>
          </cell>
          <cell r="L95">
            <v>2006461.3147508025</v>
          </cell>
          <cell r="M95">
            <v>2003051.4199601202</v>
          </cell>
          <cell r="N95">
            <v>2000395.122863248</v>
          </cell>
          <cell r="O95">
            <v>1998748.0030236011</v>
          </cell>
          <cell r="V95">
            <v>2011551.5</v>
          </cell>
          <cell r="W95">
            <v>1996879.5</v>
          </cell>
          <cell r="X95">
            <v>1984696</v>
          </cell>
          <cell r="Y95">
            <v>1985194.5</v>
          </cell>
          <cell r="Z95">
            <v>1994655</v>
          </cell>
          <cell r="AA95">
            <v>2004306.5</v>
          </cell>
          <cell r="AB95">
            <v>1998924.5</v>
          </cell>
          <cell r="AC95">
            <v>1986225</v>
          </cell>
          <cell r="AD95">
            <v>1989018.8</v>
          </cell>
          <cell r="AE95">
            <v>2000065.511316125</v>
          </cell>
          <cell r="AF95">
            <v>2007969.3368963839</v>
          </cell>
        </row>
        <row r="96">
          <cell r="C96" t="str">
            <v xml:space="preserve">  LD ARPU</v>
          </cell>
          <cell r="H96">
            <v>8.9915486261822046</v>
          </cell>
          <cell r="I96">
            <v>10.05776897642829</v>
          </cell>
          <cell r="J96">
            <v>10.436171886053156</v>
          </cell>
          <cell r="K96">
            <v>10.64489532377422</v>
          </cell>
          <cell r="L96">
            <v>10.857793230249705</v>
          </cell>
          <cell r="M96">
            <v>11.074949094854698</v>
          </cell>
          <cell r="N96">
            <v>11.296448076751792</v>
          </cell>
          <cell r="O96">
            <v>11.522377038286828</v>
          </cell>
          <cell r="V96">
            <v>8.7802872558818397</v>
          </cell>
          <cell r="W96">
            <v>8.9997944372788847</v>
          </cell>
          <cell r="X96">
            <v>9.2247892982108564</v>
          </cell>
          <cell r="Y96">
            <v>9.4837055008967628</v>
          </cell>
          <cell r="Z96">
            <v>9.7301705474547386</v>
          </cell>
          <cell r="AA96">
            <v>9.8877092899713688</v>
          </cell>
          <cell r="AB96">
            <v>11.145827001803553</v>
          </cell>
          <cell r="AC96">
            <v>10.404997755373468</v>
          </cell>
          <cell r="AD96">
            <v>11.384299540522044</v>
          </cell>
          <cell r="AE96">
            <v>9.9865863828710832</v>
          </cell>
          <cell r="AF96">
            <v>10.031244301623198</v>
          </cell>
        </row>
        <row r="97">
          <cell r="C97" t="str">
            <v xml:space="preserve">  % y/y growth</v>
          </cell>
          <cell r="I97">
            <v>0.11858027961294604</v>
          </cell>
          <cell r="J97">
            <v>3.7622947048366662E-2</v>
          </cell>
          <cell r="K97">
            <v>0.02</v>
          </cell>
          <cell r="L97">
            <v>0.02</v>
          </cell>
          <cell r="M97">
            <v>0.02</v>
          </cell>
          <cell r="N97">
            <v>0.02</v>
          </cell>
          <cell r="O97">
            <v>0.02</v>
          </cell>
          <cell r="Z97">
            <v>0.1081836235980298</v>
          </cell>
          <cell r="AA97">
            <v>9.865945926659947E-2</v>
          </cell>
          <cell r="AB97">
            <v>0.20824732592703032</v>
          </cell>
          <cell r="AC97">
            <v>9.7144755748646006E-2</v>
          </cell>
          <cell r="AD97">
            <v>0.17</v>
          </cell>
          <cell r="AE97">
            <v>0.01</v>
          </cell>
          <cell r="AF97">
            <v>-0.1</v>
          </cell>
        </row>
        <row r="100">
          <cell r="A100" t="str">
            <v xml:space="preserve">  Wireline: Network Access Revenue</v>
          </cell>
        </row>
        <row r="102">
          <cell r="C102" t="str">
            <v>Network access revenue (reported)</v>
          </cell>
          <cell r="H102">
            <v>1291231.5431093606</v>
          </cell>
          <cell r="I102">
            <v>1281978</v>
          </cell>
          <cell r="J102">
            <v>1259421.4924650593</v>
          </cell>
          <cell r="K102">
            <v>1246693.729925982</v>
          </cell>
          <cell r="L102">
            <v>1234203.8403200107</v>
          </cell>
          <cell r="M102">
            <v>1229668.6374304406</v>
          </cell>
          <cell r="N102">
            <v>1230197.4562397709</v>
          </cell>
          <cell r="O102">
            <v>1239726.7879662905</v>
          </cell>
          <cell r="U102">
            <v>325754</v>
          </cell>
          <cell r="V102">
            <v>322531</v>
          </cell>
          <cell r="W102">
            <v>321967.32592626294</v>
          </cell>
          <cell r="X102">
            <v>320979.21718309767</v>
          </cell>
          <cell r="Y102">
            <v>317735</v>
          </cell>
          <cell r="Z102">
            <v>318852</v>
          </cell>
          <cell r="AA102">
            <v>317487</v>
          </cell>
          <cell r="AB102">
            <v>327904</v>
          </cell>
          <cell r="AC102">
            <v>307900</v>
          </cell>
          <cell r="AD102">
            <v>311124.05223043525</v>
          </cell>
          <cell r="AE102">
            <v>314770.59929720743</v>
          </cell>
          <cell r="AF102">
            <v>325626.84093741677</v>
          </cell>
        </row>
        <row r="103">
          <cell r="AD103">
            <v>-2.4236786250563691E-2</v>
          </cell>
          <cell r="AE103">
            <v>-8.5559430867800934E-3</v>
          </cell>
          <cell r="AF103">
            <v>-6.9445906807579227E-3</v>
          </cell>
        </row>
        <row r="104">
          <cell r="C104" t="str">
            <v>DSL revenue (calculated)</v>
          </cell>
          <cell r="H104">
            <v>208222.26898008632</v>
          </cell>
          <cell r="I104">
            <v>298146.45484233828</v>
          </cell>
          <cell r="J104">
            <v>409877.65430940001</v>
          </cell>
          <cell r="K104">
            <v>504612.61165794521</v>
          </cell>
          <cell r="L104">
            <v>578571.17548482993</v>
          </cell>
          <cell r="M104">
            <v>643857.32016579481</v>
          </cell>
          <cell r="N104">
            <v>700913.77591419732</v>
          </cell>
          <cell r="O104">
            <v>756223.29526949639</v>
          </cell>
          <cell r="Q104">
            <v>25155.721287575343</v>
          </cell>
          <cell r="R104">
            <v>28130.890548208834</v>
          </cell>
          <cell r="S104">
            <v>31895.305689871999</v>
          </cell>
          <cell r="T104">
            <v>36398.16153547859</v>
          </cell>
          <cell r="U104">
            <v>42964.180520342154</v>
          </cell>
          <cell r="V104">
            <v>49010.143892461783</v>
          </cell>
          <cell r="W104">
            <v>55284.491221413169</v>
          </cell>
          <cell r="X104">
            <v>60963.453345869195</v>
          </cell>
          <cell r="Y104">
            <v>66589.037835502735</v>
          </cell>
          <cell r="Z104">
            <v>72372.152659350511</v>
          </cell>
          <cell r="AA104">
            <v>76018.617987664751</v>
          </cell>
          <cell r="AB104">
            <v>83166.646359820268</v>
          </cell>
          <cell r="AC104">
            <v>91034.108999999997</v>
          </cell>
          <cell r="AD104">
            <v>98287.376512500006</v>
          </cell>
          <cell r="AE104">
            <v>106261.35088199997</v>
          </cell>
          <cell r="AF104">
            <v>114294.81791489999</v>
          </cell>
        </row>
        <row r="105">
          <cell r="C105" t="str">
            <v xml:space="preserve">    % y/y growth</v>
          </cell>
        </row>
        <row r="106">
          <cell r="C106" t="str">
            <v>DSL subscribers</v>
          </cell>
          <cell r="H106">
            <v>450455</v>
          </cell>
          <cell r="I106">
            <v>656132</v>
          </cell>
          <cell r="J106">
            <v>874721.4</v>
          </cell>
          <cell r="K106">
            <v>1032528.1750315157</v>
          </cell>
          <cell r="L106">
            <v>1176346.2400988697</v>
          </cell>
          <cell r="M106">
            <v>1306607.7654851137</v>
          </cell>
          <cell r="N106">
            <v>1423680.0959308411</v>
          </cell>
          <cell r="O106">
            <v>1551811.3045646169</v>
          </cell>
          <cell r="Q106">
            <v>184511.6224465837</v>
          </cell>
          <cell r="R106">
            <v>206561.88943799565</v>
          </cell>
          <cell r="S106">
            <v>233400.57306590257</v>
          </cell>
          <cell r="T106">
            <v>266210.6258495361</v>
          </cell>
          <cell r="U106">
            <v>314334</v>
          </cell>
          <cell r="V106">
            <v>359459</v>
          </cell>
          <cell r="W106">
            <v>407284</v>
          </cell>
          <cell r="X106">
            <v>450455</v>
          </cell>
          <cell r="Y106">
            <v>502421</v>
          </cell>
          <cell r="Z106">
            <v>547902</v>
          </cell>
          <cell r="AA106">
            <v>603114</v>
          </cell>
          <cell r="AB106">
            <v>656132</v>
          </cell>
          <cell r="AC106">
            <v>715380</v>
          </cell>
          <cell r="AD106">
            <v>765409.1</v>
          </cell>
          <cell r="AE106">
            <v>821173.22</v>
          </cell>
          <cell r="AF106">
            <v>874721.4</v>
          </cell>
        </row>
        <row r="107">
          <cell r="C107" t="str">
            <v xml:space="preserve">    % y/y growth</v>
          </cell>
          <cell r="I107">
            <v>0.45659832835688352</v>
          </cell>
          <cell r="J107">
            <v>0.33314851279925395</v>
          </cell>
          <cell r="K107">
            <v>0.18040804195657678</v>
          </cell>
          <cell r="L107">
            <v>0.13928730328638661</v>
          </cell>
          <cell r="M107">
            <v>0.11073400070994044</v>
          </cell>
          <cell r="N107">
            <v>8.9600210207124498E-2</v>
          </cell>
          <cell r="O107">
            <v>0.09</v>
          </cell>
          <cell r="U107">
            <v>0.7036</v>
          </cell>
          <cell r="V107">
            <v>0.74019999999999997</v>
          </cell>
          <cell r="W107">
            <v>0.745</v>
          </cell>
          <cell r="X107">
            <v>0.69210000000000005</v>
          </cell>
          <cell r="Y107">
            <v>0.59836670547888549</v>
          </cell>
          <cell r="Z107">
            <v>0.52424059489399344</v>
          </cell>
          <cell r="AA107">
            <v>0.48081928089490389</v>
          </cell>
          <cell r="AB107">
            <v>0.45659832835688352</v>
          </cell>
          <cell r="AC107">
            <v>0.4238656425587306</v>
          </cell>
          <cell r="AD107">
            <v>2.5242</v>
          </cell>
          <cell r="AE107">
            <v>3.5242</v>
          </cell>
          <cell r="AF107">
            <v>4.5242000000000004</v>
          </cell>
        </row>
        <row r="108">
          <cell r="C108" t="str">
            <v>DSL net adds</v>
          </cell>
          <cell r="H108">
            <v>184244.3741504639</v>
          </cell>
          <cell r="I108">
            <v>205677</v>
          </cell>
          <cell r="J108">
            <v>218589.4</v>
          </cell>
          <cell r="K108">
            <v>157806.77503151563</v>
          </cell>
          <cell r="L108">
            <v>143818.06506735401</v>
          </cell>
          <cell r="M108">
            <v>130261.52538624406</v>
          </cell>
          <cell r="N108">
            <v>117072.33044572733</v>
          </cell>
          <cell r="O108">
            <v>128131.20863377582</v>
          </cell>
          <cell r="R108">
            <v>22050.266991411947</v>
          </cell>
          <cell r="S108">
            <v>26838.683627906925</v>
          </cell>
          <cell r="T108">
            <v>32810.052783633524</v>
          </cell>
          <cell r="U108">
            <v>48123.374150463904</v>
          </cell>
          <cell r="V108">
            <v>45125</v>
          </cell>
          <cell r="W108">
            <v>47825</v>
          </cell>
          <cell r="X108">
            <v>43171</v>
          </cell>
          <cell r="Y108">
            <v>51966</v>
          </cell>
          <cell r="Z108">
            <v>45481</v>
          </cell>
          <cell r="AA108">
            <v>55212</v>
          </cell>
          <cell r="AB108">
            <v>53018</v>
          </cell>
          <cell r="AC108">
            <v>59248</v>
          </cell>
          <cell r="AD108">
            <v>50029.100000000006</v>
          </cell>
          <cell r="AE108">
            <v>55764.12</v>
          </cell>
          <cell r="AF108">
            <v>53548.18</v>
          </cell>
        </row>
        <row r="109">
          <cell r="C109" t="str">
            <v xml:space="preserve">    % y/y growth</v>
          </cell>
          <cell r="I109">
            <v>0.11632716574582114</v>
          </cell>
          <cell r="J109">
            <v>6.2779989984295792E-2</v>
          </cell>
          <cell r="K109">
            <v>-0.27806757769811508</v>
          </cell>
          <cell r="L109">
            <v>-8.8644546226661847E-2</v>
          </cell>
          <cell r="M109">
            <v>-9.4261730435331925E-2</v>
          </cell>
          <cell r="N109">
            <v>-0.10125165432700778</v>
          </cell>
          <cell r="O109">
            <v>9.4461929184669113E-2</v>
          </cell>
          <cell r="V109">
            <v>1.0464604812982587</v>
          </cell>
          <cell r="W109">
            <v>0.78194283531370568</v>
          </cell>
          <cell r="X109">
            <v>0.31578575275973875</v>
          </cell>
          <cell r="Y109">
            <v>7.9849468524830325E-2</v>
          </cell>
          <cell r="Z109">
            <v>7.8891966759002674E-3</v>
          </cell>
          <cell r="AA109">
            <v>0.15445896497647671</v>
          </cell>
          <cell r="AB109">
            <v>0.22809293275578524</v>
          </cell>
          <cell r="AC109">
            <v>0.14013008505561331</v>
          </cell>
          <cell r="AD109">
            <v>0.1</v>
          </cell>
          <cell r="AE109">
            <v>0.01</v>
          </cell>
          <cell r="AF109">
            <v>0.01</v>
          </cell>
        </row>
        <row r="110">
          <cell r="C110" t="str">
            <v>Average DSL subscribers</v>
          </cell>
          <cell r="H110">
            <v>359852.45323119202</v>
          </cell>
          <cell r="I110">
            <v>551682.625</v>
          </cell>
          <cell r="J110">
            <v>766847.255</v>
          </cell>
          <cell r="K110">
            <v>953624.78751575784</v>
          </cell>
          <cell r="L110">
            <v>1104437.2075651926</v>
          </cell>
          <cell r="M110">
            <v>1241477.0027919917</v>
          </cell>
          <cell r="N110">
            <v>1365143.9307079774</v>
          </cell>
          <cell r="O110">
            <v>1487745.700247729</v>
          </cell>
          <cell r="R110">
            <v>195536.75594228966</v>
          </cell>
          <cell r="S110">
            <v>219981.2312519491</v>
          </cell>
          <cell r="T110">
            <v>249805.59945771933</v>
          </cell>
          <cell r="U110">
            <v>290272.31292476808</v>
          </cell>
          <cell r="V110">
            <v>336896.5</v>
          </cell>
          <cell r="W110">
            <v>383371.5</v>
          </cell>
          <cell r="X110">
            <v>428869.5</v>
          </cell>
          <cell r="Y110">
            <v>476438</v>
          </cell>
          <cell r="Z110">
            <v>525161.5</v>
          </cell>
          <cell r="AA110">
            <v>575508</v>
          </cell>
          <cell r="AB110">
            <v>629623</v>
          </cell>
          <cell r="AC110">
            <v>685756</v>
          </cell>
          <cell r="AD110">
            <v>740394.55</v>
          </cell>
          <cell r="AE110">
            <v>793291.15999999992</v>
          </cell>
          <cell r="AF110">
            <v>847947.31</v>
          </cell>
        </row>
        <row r="111">
          <cell r="C111" t="str">
            <v>Blended ARPU (assumed)</v>
          </cell>
          <cell r="H111">
            <v>48.219362109482674</v>
          </cell>
          <cell r="I111">
            <v>45.035926051737064</v>
          </cell>
          <cell r="J111">
            <v>44.541427213493776</v>
          </cell>
          <cell r="K111">
            <v>44.096012941358836</v>
          </cell>
          <cell r="L111">
            <v>43.655052811945247</v>
          </cell>
          <cell r="M111">
            <v>43.218502283825792</v>
          </cell>
          <cell r="N111">
            <v>42.786317260987531</v>
          </cell>
          <cell r="O111">
            <v>42.358454088377655</v>
          </cell>
          <cell r="Q111">
            <v>45.445594797798265</v>
          </cell>
          <cell r="R111">
            <v>45.395418978699475</v>
          </cell>
          <cell r="S111">
            <v>45.55159579787621</v>
          </cell>
          <cell r="T111">
            <v>45.575643245298878</v>
          </cell>
          <cell r="U111">
            <v>45.561070411666314</v>
          </cell>
          <cell r="V111">
            <v>45.448061199804691</v>
          </cell>
          <cell r="W111">
            <v>45.246471112224043</v>
          </cell>
          <cell r="X111">
            <v>45.112499839694827</v>
          </cell>
          <cell r="Y111">
            <v>44.178778246067694</v>
          </cell>
          <cell r="Z111">
            <v>44.029864622597046</v>
          </cell>
          <cell r="AA111">
            <v>44.029864622597046</v>
          </cell>
          <cell r="AB111">
            <v>44.029864622597046</v>
          </cell>
          <cell r="AC111">
            <v>44.25</v>
          </cell>
          <cell r="AD111">
            <v>44.25</v>
          </cell>
          <cell r="AE111">
            <v>44.65</v>
          </cell>
          <cell r="AF111">
            <v>44.93</v>
          </cell>
        </row>
        <row r="113">
          <cell r="C113" t="str">
            <v xml:space="preserve">  DSL penetration (as % of total access lines)</v>
          </cell>
          <cell r="H113">
            <v>0.13283812153734864</v>
          </cell>
          <cell r="I113">
            <v>0.20232684568373488</v>
          </cell>
          <cell r="J113">
            <v>0.28273766606146256</v>
          </cell>
          <cell r="K113">
            <v>0.34983838027566411</v>
          </cell>
          <cell r="L113">
            <v>0.41691048624512422</v>
          </cell>
          <cell r="M113">
            <v>0.48337855148744618</v>
          </cell>
          <cell r="N113">
            <v>0.54863476178160064</v>
          </cell>
          <cell r="O113">
            <v>0.62163398164443329</v>
          </cell>
          <cell r="Q113">
            <v>5.0751662467038001E-2</v>
          </cell>
          <cell r="R113">
            <v>5.7256608106278604E-2</v>
          </cell>
          <cell r="S113">
            <v>6.5263271814223756E-2</v>
          </cell>
          <cell r="T113">
            <v>7.5262636438659741E-2</v>
          </cell>
          <cell r="U113">
            <v>8.9624268869955365E-2</v>
          </cell>
          <cell r="V113">
            <v>0.10358451962422915</v>
          </cell>
          <cell r="W113">
            <v>0.11869141148079254</v>
          </cell>
          <cell r="X113">
            <v>0.13283812153734864</v>
          </cell>
          <cell r="Y113">
            <v>0.14925713219636474</v>
          </cell>
          <cell r="Z113">
            <v>0.1646225383326643</v>
          </cell>
          <cell r="AA113">
            <v>0.18345377245629196</v>
          </cell>
          <cell r="AB113">
            <v>0.20232684568373488</v>
          </cell>
          <cell r="AC113">
            <v>0.22256167750365555</v>
          </cell>
          <cell r="AD113">
            <v>0.24075525289380975</v>
          </cell>
          <cell r="AE113">
            <v>0.26168937023219419</v>
          </cell>
          <cell r="AF113">
            <v>0.28273766606146256</v>
          </cell>
        </row>
        <row r="115">
          <cell r="C115" t="str">
            <v>Other network access revenue</v>
          </cell>
          <cell r="H115">
            <v>1083009.2741292743</v>
          </cell>
          <cell r="I115">
            <v>983831.54515766178</v>
          </cell>
          <cell r="J115">
            <v>849543.83815565961</v>
          </cell>
          <cell r="K115">
            <v>742081.11826803675</v>
          </cell>
          <cell r="L115">
            <v>655632.66483518085</v>
          </cell>
          <cell r="M115">
            <v>585811.31726464583</v>
          </cell>
          <cell r="N115">
            <v>529283.68032557354</v>
          </cell>
          <cell r="O115">
            <v>483503.49269679404</v>
          </cell>
          <cell r="U115">
            <v>282789.81947965786</v>
          </cell>
          <cell r="V115">
            <v>273520.85610753822</v>
          </cell>
          <cell r="W115">
            <v>266682.83470484975</v>
          </cell>
          <cell r="X115">
            <v>260015.7638372285</v>
          </cell>
          <cell r="Y115">
            <v>251145.96216449726</v>
          </cell>
          <cell r="Z115">
            <v>246479.84734064949</v>
          </cell>
          <cell r="AA115">
            <v>241468.38201233523</v>
          </cell>
          <cell r="AB115">
            <v>244737.35364017973</v>
          </cell>
          <cell r="AC115">
            <v>216865.891</v>
          </cell>
          <cell r="AD115">
            <v>212836.67571793523</v>
          </cell>
          <cell r="AE115">
            <v>208509.24841520746</v>
          </cell>
          <cell r="AF115">
            <v>211332.02302251681</v>
          </cell>
        </row>
        <row r="116">
          <cell r="C116" t="str">
            <v xml:space="preserve">   % growth</v>
          </cell>
          <cell r="I116">
            <v>-9.1576066189599459E-2</v>
          </cell>
          <cell r="J116">
            <v>-0.13649461400476048</v>
          </cell>
          <cell r="K116">
            <v>-0.12649461400476048</v>
          </cell>
          <cell r="L116">
            <v>-0.11649461400476048</v>
          </cell>
          <cell r="M116">
            <v>-0.10649461400476049</v>
          </cell>
          <cell r="N116">
            <v>-9.649461400476049E-2</v>
          </cell>
          <cell r="O116">
            <v>-8.6494614004760495E-2</v>
          </cell>
          <cell r="Y116">
            <v>-0.1118988560952664</v>
          </cell>
          <cell r="Z116">
            <v>-9.8862694244629012E-2</v>
          </cell>
          <cell r="AA116">
            <v>-9.454846510995174E-2</v>
          </cell>
          <cell r="AB116">
            <v>-5.8759553542350407E-2</v>
          </cell>
          <cell r="AC116">
            <v>-0.13649461400476059</v>
          </cell>
          <cell r="AD116">
            <v>-0.13649461400476059</v>
          </cell>
          <cell r="AE116">
            <v>-0.13649461400476059</v>
          </cell>
          <cell r="AF116">
            <v>-0.13649461400476059</v>
          </cell>
        </row>
        <row r="118">
          <cell r="A118" t="str">
            <v xml:space="preserve">  Wireline: Switched Access &amp; USF Revenue</v>
          </cell>
        </row>
        <row r="120">
          <cell r="C120" t="str">
            <v>Switched Access &amp; USF Revenue</v>
          </cell>
          <cell r="H120">
            <v>0</v>
          </cell>
          <cell r="I120">
            <v>0</v>
          </cell>
          <cell r="J120">
            <v>0</v>
          </cell>
          <cell r="K120">
            <v>0</v>
          </cell>
          <cell r="L120">
            <v>0</v>
          </cell>
          <cell r="M120">
            <v>0</v>
          </cell>
          <cell r="N120">
            <v>0</v>
          </cell>
          <cell r="O120">
            <v>0</v>
          </cell>
        </row>
        <row r="121">
          <cell r="C121" t="str">
            <v xml:space="preserve">    % y/y growth</v>
          </cell>
        </row>
        <row r="122">
          <cell r="C122" t="str">
            <v xml:space="preserve">   per avg access line per month</v>
          </cell>
          <cell r="H122">
            <v>0</v>
          </cell>
          <cell r="I122">
            <v>0</v>
          </cell>
          <cell r="J122">
            <v>0</v>
          </cell>
          <cell r="K122">
            <v>0</v>
          </cell>
          <cell r="L122">
            <v>0</v>
          </cell>
          <cell r="M122">
            <v>0</v>
          </cell>
          <cell r="N122">
            <v>0</v>
          </cell>
          <cell r="O122">
            <v>0</v>
          </cell>
        </row>
        <row r="123">
          <cell r="C123" t="str">
            <v xml:space="preserve">    % y/y growth</v>
          </cell>
          <cell r="K123">
            <v>-0.03</v>
          </cell>
          <cell r="L123">
            <v>-2.9099999999999997E-2</v>
          </cell>
          <cell r="M123">
            <v>-2.8226999999999995E-2</v>
          </cell>
          <cell r="N123">
            <v>-2.7380189999999995E-2</v>
          </cell>
          <cell r="O123">
            <v>-2.6558784299999996E-2</v>
          </cell>
        </row>
        <row r="125">
          <cell r="A125" t="str">
            <v xml:space="preserve">  Wireline: Miscellaneous Revenue</v>
          </cell>
        </row>
        <row r="126">
          <cell r="C126" t="str">
            <v>Miscellaneous revenue</v>
          </cell>
          <cell r="H126">
            <v>317364.88294011005</v>
          </cell>
          <cell r="I126">
            <v>333700</v>
          </cell>
          <cell r="J126">
            <v>335749.61000000004</v>
          </cell>
          <cell r="K126">
            <v>337476.05924571515</v>
          </cell>
          <cell r="L126">
            <v>338873.90996147791</v>
          </cell>
          <cell r="M126">
            <v>339938.67676799191</v>
          </cell>
          <cell r="N126">
            <v>340666.8504735374</v>
          </cell>
          <cell r="O126">
            <v>341055.91713036684</v>
          </cell>
          <cell r="U126">
            <v>66235</v>
          </cell>
          <cell r="V126">
            <v>77759</v>
          </cell>
          <cell r="W126">
            <v>83225.754077651189</v>
          </cell>
          <cell r="X126">
            <v>90145.128862458863</v>
          </cell>
          <cell r="Y126">
            <v>69606</v>
          </cell>
          <cell r="Z126">
            <v>81379</v>
          </cell>
          <cell r="AA126">
            <v>83398</v>
          </cell>
          <cell r="AB126">
            <v>99317</v>
          </cell>
          <cell r="AC126">
            <v>66300</v>
          </cell>
          <cell r="AD126">
            <v>89516.900000000009</v>
          </cell>
          <cell r="AE126">
            <v>87567.900000000009</v>
          </cell>
          <cell r="AF126">
            <v>92364.81</v>
          </cell>
        </row>
        <row r="127">
          <cell r="C127" t="str">
            <v xml:space="preserve">  % y/y growth</v>
          </cell>
          <cell r="I127">
            <v>5.1471091913381395E-2</v>
          </cell>
          <cell r="J127">
            <v>6.1420737189092911E-3</v>
          </cell>
          <cell r="K127">
            <v>5.1420737189092911E-3</v>
          </cell>
          <cell r="L127">
            <v>4.1420737189092911E-3</v>
          </cell>
          <cell r="M127">
            <v>3.142073718909291E-3</v>
          </cell>
          <cell r="N127">
            <v>2.142073718909291E-3</v>
          </cell>
          <cell r="O127">
            <v>1.142073718909291E-3</v>
          </cell>
          <cell r="Y127">
            <v>5.0894542160489165E-2</v>
          </cell>
          <cell r="Z127">
            <v>4.6554096631901132E-2</v>
          </cell>
          <cell r="AA127">
            <v>2.069622850014774E-3</v>
          </cell>
          <cell r="AB127">
            <v>0.10174561014312089</v>
          </cell>
          <cell r="AC127">
            <v>-4.749590552538574E-2</v>
          </cell>
          <cell r="AD127">
            <v>0.1</v>
          </cell>
          <cell r="AE127">
            <v>0.05</v>
          </cell>
          <cell r="AF127">
            <v>-7.0000000000000007E-2</v>
          </cell>
        </row>
        <row r="130">
          <cell r="A130" t="str">
            <v>Access Lines</v>
          </cell>
        </row>
        <row r="132">
          <cell r="C132" t="str">
            <v>Total access lines</v>
          </cell>
          <cell r="G132">
            <v>3537088.7660373421</v>
          </cell>
          <cell r="H132">
            <v>3391007</v>
          </cell>
          <cell r="I132">
            <v>3242931</v>
          </cell>
          <cell r="J132">
            <v>3093756.1739999996</v>
          </cell>
          <cell r="K132">
            <v>2951443.3899959996</v>
          </cell>
          <cell r="L132">
            <v>2821579.8808361758</v>
          </cell>
          <cell r="M132">
            <v>2703073.5258410564</v>
          </cell>
          <cell r="N132">
            <v>2594950.5848074141</v>
          </cell>
          <cell r="O132">
            <v>2496342.4625847321</v>
          </cell>
          <cell r="Q132">
            <v>3635577.8998652431</v>
          </cell>
          <cell r="R132">
            <v>3607651.5230273418</v>
          </cell>
          <cell r="S132">
            <v>3576292.8608650337</v>
          </cell>
          <cell r="T132">
            <v>3537088.7660373421</v>
          </cell>
          <cell r="U132">
            <v>3507242</v>
          </cell>
          <cell r="V132">
            <v>3470200</v>
          </cell>
          <cell r="W132">
            <v>3431453</v>
          </cell>
          <cell r="X132">
            <v>3391007</v>
          </cell>
          <cell r="Y132">
            <v>3366144</v>
          </cell>
          <cell r="Z132">
            <v>3328232</v>
          </cell>
          <cell r="AA132">
            <v>3287553</v>
          </cell>
          <cell r="AB132">
            <v>3242931</v>
          </cell>
          <cell r="AC132">
            <v>3214300</v>
          </cell>
          <cell r="AD132">
            <v>3179200</v>
          </cell>
          <cell r="AE132">
            <v>3137969.3385000001</v>
          </cell>
          <cell r="AF132">
            <v>3093756.1739999996</v>
          </cell>
        </row>
        <row r="133">
          <cell r="C133" t="str">
            <v xml:space="preserve">  % y/y growth</v>
          </cell>
          <cell r="H133">
            <v>-4.1300000000000003E-2</v>
          </cell>
          <cell r="I133">
            <v>-4.3667264620804391E-2</v>
          </cell>
          <cell r="J133">
            <v>-4.6000000000000152E-2</v>
          </cell>
          <cell r="K133">
            <v>-4.6000000000000041E-2</v>
          </cell>
          <cell r="L133">
            <v>-4.4000000000000039E-2</v>
          </cell>
          <cell r="M133">
            <v>-4.2000000000000037E-2</v>
          </cell>
          <cell r="N133">
            <v>-4.0000000000000036E-2</v>
          </cell>
          <cell r="O133">
            <v>-3.8000000000000034E-2</v>
          </cell>
          <cell r="U133">
            <v>-3.5299999999999998E-2</v>
          </cell>
          <cell r="V133">
            <v>-3.8100000000000002E-2</v>
          </cell>
          <cell r="W133">
            <v>-4.0500000000000001E-2</v>
          </cell>
          <cell r="X133">
            <v>-4.1300000000000003E-2</v>
          </cell>
          <cell r="Y133">
            <v>-4.0230471692572101E-2</v>
          </cell>
          <cell r="Z133">
            <v>-4.091061033946175E-2</v>
          </cell>
          <cell r="AA133">
            <v>-4.1935588218751652E-2</v>
          </cell>
          <cell r="AB133">
            <v>-4.3667264620804391E-2</v>
          </cell>
          <cell r="AC133">
            <v>-4.5109181306563273E-2</v>
          </cell>
          <cell r="AD133">
            <v>-4.4778128447776511E-2</v>
          </cell>
          <cell r="AE133">
            <v>-4.5499999999999999E-2</v>
          </cell>
          <cell r="AF133">
            <v>-4.5999999999999999E-2</v>
          </cell>
        </row>
        <row r="134">
          <cell r="C134" t="str">
            <v xml:space="preserve">  incremental access lines</v>
          </cell>
          <cell r="H134">
            <v>-146081.76603734214</v>
          </cell>
          <cell r="I134">
            <v>-148076</v>
          </cell>
          <cell r="J134">
            <v>-149174.82600000035</v>
          </cell>
          <cell r="K134">
            <v>-142312.78400400002</v>
          </cell>
          <cell r="L134">
            <v>-129863.50915982388</v>
          </cell>
          <cell r="M134">
            <v>-118506.35499511939</v>
          </cell>
          <cell r="N134">
            <v>-108122.94103364227</v>
          </cell>
          <cell r="O134">
            <v>-98608.122222681995</v>
          </cell>
          <cell r="R134">
            <v>-27926.376837901305</v>
          </cell>
          <cell r="S134">
            <v>-31358.662162308116</v>
          </cell>
          <cell r="T134">
            <v>-39204.094827691559</v>
          </cell>
          <cell r="U134">
            <v>-29846.766037342139</v>
          </cell>
          <cell r="V134">
            <v>-37042</v>
          </cell>
          <cell r="W134">
            <v>-38747</v>
          </cell>
          <cell r="X134">
            <v>-40446</v>
          </cell>
          <cell r="Y134">
            <v>-24863</v>
          </cell>
          <cell r="Z134">
            <v>-37912</v>
          </cell>
          <cell r="AA134">
            <v>-40679</v>
          </cell>
          <cell r="AB134">
            <v>-44622</v>
          </cell>
          <cell r="AC134">
            <v>-28631</v>
          </cell>
          <cell r="AD134">
            <v>-35100</v>
          </cell>
          <cell r="AE134">
            <v>-41230.661499999929</v>
          </cell>
          <cell r="AF134">
            <v>-44213.164500000421</v>
          </cell>
        </row>
        <row r="135">
          <cell r="C135" t="str">
            <v xml:space="preserve">  Average total access lines</v>
          </cell>
          <cell r="G135">
            <v>3589152.7624487402</v>
          </cell>
          <cell r="H135">
            <v>3449975.5</v>
          </cell>
          <cell r="I135">
            <v>3306215</v>
          </cell>
          <cell r="J135">
            <v>3156306.3781249998</v>
          </cell>
          <cell r="K135">
            <v>3022599.7819979996</v>
          </cell>
          <cell r="L135">
            <v>2886511.6354160877</v>
          </cell>
          <cell r="M135">
            <v>2762326.7033386161</v>
          </cell>
          <cell r="N135">
            <v>2649012.055324235</v>
          </cell>
          <cell r="O135">
            <v>2545646.5236960733</v>
          </cell>
          <cell r="R135">
            <v>3621614.7114462927</v>
          </cell>
          <cell r="S135">
            <v>3591972.191946188</v>
          </cell>
          <cell r="T135">
            <v>3556690.8134511877</v>
          </cell>
          <cell r="U135">
            <v>3522165.3830186711</v>
          </cell>
          <cell r="V135">
            <v>3488721</v>
          </cell>
          <cell r="W135">
            <v>3450826.5</v>
          </cell>
          <cell r="X135">
            <v>3411230</v>
          </cell>
          <cell r="Y135">
            <v>3378575.5</v>
          </cell>
          <cell r="Z135">
            <v>3347188</v>
          </cell>
          <cell r="AA135">
            <v>3307892.5</v>
          </cell>
          <cell r="AB135">
            <v>3265242</v>
          </cell>
          <cell r="AC135">
            <v>3228615.5</v>
          </cell>
          <cell r="AD135">
            <v>3196750</v>
          </cell>
          <cell r="AE135">
            <v>3158584.6692500003</v>
          </cell>
          <cell r="AF135">
            <v>3115862.7562499996</v>
          </cell>
        </row>
        <row r="137">
          <cell r="A137" t="str">
            <v>Depreciation by Segment</v>
          </cell>
        </row>
        <row r="139">
          <cell r="B139" t="str">
            <v>Depreciation forecast</v>
          </cell>
          <cell r="J139">
            <v>507500</v>
          </cell>
          <cell r="K139">
            <v>494500</v>
          </cell>
          <cell r="L139">
            <v>537800</v>
          </cell>
          <cell r="M139">
            <v>693600</v>
          </cell>
          <cell r="N139">
            <v>847500</v>
          </cell>
          <cell r="O139">
            <v>1297600</v>
          </cell>
          <cell r="AA139">
            <v>281200</v>
          </cell>
          <cell r="AB139">
            <v>123924</v>
          </cell>
          <cell r="AC139">
            <v>125100</v>
          </cell>
          <cell r="AD139">
            <v>126900</v>
          </cell>
          <cell r="AE139">
            <v>132700</v>
          </cell>
          <cell r="AF139">
            <v>122800</v>
          </cell>
        </row>
        <row r="141">
          <cell r="B141" t="str">
            <v>Pro forma depreciation</v>
          </cell>
          <cell r="I141">
            <v>510391</v>
          </cell>
          <cell r="J141">
            <v>507100</v>
          </cell>
          <cell r="K141">
            <v>494500</v>
          </cell>
          <cell r="L141">
            <v>537800</v>
          </cell>
          <cell r="M141">
            <v>693600</v>
          </cell>
          <cell r="N141">
            <v>847500</v>
          </cell>
          <cell r="O141">
            <v>1297600</v>
          </cell>
          <cell r="U141">
            <v>150862</v>
          </cell>
          <cell r="V141">
            <v>149934</v>
          </cell>
          <cell r="W141">
            <v>145704</v>
          </cell>
          <cell r="X141">
            <v>134839</v>
          </cell>
          <cell r="Y141">
            <v>129440</v>
          </cell>
          <cell r="Z141">
            <v>126709</v>
          </cell>
          <cell r="AA141">
            <v>130319</v>
          </cell>
          <cell r="AB141">
            <v>123923</v>
          </cell>
          <cell r="AC141">
            <v>124700</v>
          </cell>
          <cell r="AD141">
            <v>126900</v>
          </cell>
          <cell r="AE141">
            <v>132700</v>
          </cell>
          <cell r="AF141">
            <v>122800</v>
          </cell>
        </row>
        <row r="142">
          <cell r="C142" t="str">
            <v>Wireline</v>
          </cell>
          <cell r="K142">
            <v>0.46</v>
          </cell>
          <cell r="L142">
            <v>0.46</v>
          </cell>
          <cell r="M142">
            <v>0.46</v>
          </cell>
          <cell r="N142">
            <v>0.46</v>
          </cell>
          <cell r="O142">
            <v>0.46</v>
          </cell>
          <cell r="U142">
            <v>0.99301348252044919</v>
          </cell>
          <cell r="V142">
            <v>0.99297690984032971</v>
          </cell>
          <cell r="W142">
            <v>0.99366523911491789</v>
          </cell>
          <cell r="X142">
            <v>0.99316221567943996</v>
          </cell>
          <cell r="Y142">
            <v>0.99249845488257105</v>
          </cell>
          <cell r="Z142">
            <v>0.99251828993994118</v>
          </cell>
          <cell r="AA142">
            <v>0.99550334179973754</v>
          </cell>
          <cell r="AB142">
            <v>0.9915108575486391</v>
          </cell>
          <cell r="AC142">
            <v>0.99839615076182842</v>
          </cell>
          <cell r="AD142">
            <v>0.99839615076182842</v>
          </cell>
          <cell r="AE142">
            <v>0.99839615076182842</v>
          </cell>
          <cell r="AF142">
            <v>0.99839615076182842</v>
          </cell>
        </row>
        <row r="143">
          <cell r="C143" t="str">
            <v>Other</v>
          </cell>
          <cell r="K143">
            <v>0.54</v>
          </cell>
          <cell r="L143">
            <v>0.54</v>
          </cell>
          <cell r="M143">
            <v>0.54</v>
          </cell>
          <cell r="N143">
            <v>0.54</v>
          </cell>
          <cell r="O143">
            <v>0.54</v>
          </cell>
          <cell r="U143">
            <v>6.9865174795508134E-3</v>
          </cell>
          <cell r="V143">
            <v>7.0230901596702866E-3</v>
          </cell>
          <cell r="W143">
            <v>6.3347608850821135E-3</v>
          </cell>
          <cell r="X143">
            <v>6.8377843205600364E-3</v>
          </cell>
          <cell r="Y143">
            <v>7.5015451174289538E-3</v>
          </cell>
          <cell r="Z143">
            <v>7.4817100600588216E-3</v>
          </cell>
          <cell r="AA143">
            <v>4.49665820026246E-3</v>
          </cell>
          <cell r="AB143">
            <v>8.4891424513608982E-3</v>
          </cell>
          <cell r="AC143">
            <v>1.6038492381715841E-3</v>
          </cell>
          <cell r="AD143">
            <v>1.6038492381715841E-3</v>
          </cell>
          <cell r="AE143">
            <v>1.6038492381715841E-3</v>
          </cell>
          <cell r="AF143">
            <v>1.6038492381715841E-3</v>
          </cell>
        </row>
        <row r="146">
          <cell r="A146" t="str">
            <v>Impact of Split-off of Directory Publishing Business</v>
          </cell>
        </row>
        <row r="148">
          <cell r="B148" t="str">
            <v>Revenue</v>
          </cell>
        </row>
        <row r="149">
          <cell r="C149" t="str">
            <v>Pro-forma</v>
          </cell>
          <cell r="U149">
            <v>755400</v>
          </cell>
          <cell r="V149">
            <v>760200</v>
          </cell>
          <cell r="W149">
            <v>764000</v>
          </cell>
          <cell r="X149">
            <v>754600</v>
          </cell>
          <cell r="Y149">
            <v>746600</v>
          </cell>
          <cell r="Z149">
            <v>749500</v>
          </cell>
          <cell r="AA149">
            <v>762800</v>
          </cell>
          <cell r="AB149">
            <v>781500</v>
          </cell>
          <cell r="AC149">
            <v>760800</v>
          </cell>
          <cell r="AD149">
            <v>769600</v>
          </cell>
          <cell r="AE149">
            <v>768547.07438691845</v>
          </cell>
          <cell r="AF149">
            <v>814702.25770268601</v>
          </cell>
        </row>
        <row r="150">
          <cell r="C150" t="str">
            <v>With directory</v>
          </cell>
          <cell r="U150">
            <v>784217</v>
          </cell>
          <cell r="V150">
            <v>806592</v>
          </cell>
          <cell r="W150">
            <v>796963</v>
          </cell>
          <cell r="X150">
            <v>802830</v>
          </cell>
          <cell r="Y150">
            <v>773535</v>
          </cell>
          <cell r="Z150">
            <v>796418</v>
          </cell>
          <cell r="AA150">
            <v>794766</v>
          </cell>
          <cell r="AB150">
            <v>827608</v>
          </cell>
          <cell r="AC150">
            <v>783700</v>
          </cell>
          <cell r="AD150">
            <v>813233.74</v>
          </cell>
          <cell r="AE150">
            <v>798275.45438691846</v>
          </cell>
          <cell r="AF150">
            <v>857582.69770268595</v>
          </cell>
        </row>
        <row r="151">
          <cell r="C151" t="str">
            <v>Difference</v>
          </cell>
          <cell r="U151">
            <v>-28817</v>
          </cell>
          <cell r="V151">
            <v>-46392</v>
          </cell>
          <cell r="W151">
            <v>-32963</v>
          </cell>
          <cell r="X151">
            <v>-48230</v>
          </cell>
          <cell r="Y151">
            <v>-26935</v>
          </cell>
          <cell r="Z151">
            <v>-46918</v>
          </cell>
          <cell r="AA151">
            <v>-31966</v>
          </cell>
          <cell r="AB151">
            <v>-46108</v>
          </cell>
          <cell r="AC151">
            <v>-22900</v>
          </cell>
          <cell r="AD151">
            <v>-43633.74</v>
          </cell>
          <cell r="AE151">
            <v>-29728.379999999997</v>
          </cell>
          <cell r="AF151">
            <v>-42880.439999999995</v>
          </cell>
        </row>
        <row r="152">
          <cell r="C152" t="str">
            <v xml:space="preserve"> % y/y growth</v>
          </cell>
          <cell r="Y152">
            <v>-6.5308671964465437E-2</v>
          </cell>
          <cell r="Z152">
            <v>1.1338161752026288E-2</v>
          </cell>
          <cell r="AA152">
            <v>-3.0246033431423069E-2</v>
          </cell>
          <cell r="AB152">
            <v>-4.3997511922040267E-2</v>
          </cell>
          <cell r="AC152">
            <v>-0.14980508631891587</v>
          </cell>
          <cell r="AD152">
            <v>-7.0000000000000007E-2</v>
          </cell>
          <cell r="AE152">
            <v>-7.0000000000000007E-2</v>
          </cell>
          <cell r="AF152">
            <v>-7.0000000000000007E-2</v>
          </cell>
        </row>
        <row r="153">
          <cell r="B153" t="str">
            <v>Cash opex</v>
          </cell>
          <cell r="U153">
            <v>6300</v>
          </cell>
          <cell r="V153">
            <v>20300</v>
          </cell>
          <cell r="W153">
            <v>12300</v>
          </cell>
          <cell r="X153">
            <v>26100</v>
          </cell>
          <cell r="Y153">
            <v>5900</v>
          </cell>
          <cell r="Z153">
            <v>19000</v>
          </cell>
          <cell r="AA153">
            <v>12700</v>
          </cell>
          <cell r="AB153">
            <v>27000</v>
          </cell>
          <cell r="AC153">
            <v>4900</v>
          </cell>
          <cell r="AD153">
            <v>17670</v>
          </cell>
          <cell r="AE153">
            <v>11811</v>
          </cell>
          <cell r="AF153">
            <v>25109.999999999996</v>
          </cell>
        </row>
        <row r="154">
          <cell r="C154" t="str">
            <v xml:space="preserve"> % Directory revenue</v>
          </cell>
          <cell r="U154">
            <v>0.21862095290974079</v>
          </cell>
          <cell r="V154">
            <v>0.43757544404207621</v>
          </cell>
          <cell r="W154">
            <v>0.37314564815095713</v>
          </cell>
          <cell r="X154">
            <v>0.5411569562512959</v>
          </cell>
          <cell r="Y154">
            <v>0.21904585112307406</v>
          </cell>
          <cell r="Z154">
            <v>0.40496184833113091</v>
          </cell>
          <cell r="AA154">
            <v>0.39729712819871116</v>
          </cell>
          <cell r="AB154">
            <v>0.58558167779994796</v>
          </cell>
          <cell r="AC154">
            <v>0.21397379912663755</v>
          </cell>
          <cell r="AD154">
            <v>0.40496184833113091</v>
          </cell>
          <cell r="AE154">
            <v>0.39729712819871116</v>
          </cell>
          <cell r="AF154">
            <v>0.58558167779994796</v>
          </cell>
        </row>
        <row r="155">
          <cell r="C155" t="str">
            <v>COS % total cash opex</v>
          </cell>
          <cell r="U155" t="e">
            <v>#REF!</v>
          </cell>
          <cell r="V155" t="e">
            <v>#REF!</v>
          </cell>
          <cell r="W155" t="e">
            <v>#REF!</v>
          </cell>
          <cell r="X155" t="e">
            <v>#REF!</v>
          </cell>
          <cell r="Y155" t="e">
            <v>#REF!</v>
          </cell>
          <cell r="Z155" t="e">
            <v>#REF!</v>
          </cell>
          <cell r="AA155" t="e">
            <v>#REF!</v>
          </cell>
          <cell r="AB155" t="e">
            <v>#REF!</v>
          </cell>
          <cell r="AC155" t="e">
            <v>#REF!</v>
          </cell>
          <cell r="AD155" t="e">
            <v>#REF!</v>
          </cell>
          <cell r="AE155" t="e">
            <v>#REF!</v>
          </cell>
          <cell r="AF155" t="e">
            <v>#REF!</v>
          </cell>
        </row>
        <row r="156">
          <cell r="C156" t="str">
            <v>SG&amp;A % total cash opex</v>
          </cell>
          <cell r="U156" t="e">
            <v>#REF!</v>
          </cell>
          <cell r="V156" t="e">
            <v>#REF!</v>
          </cell>
          <cell r="W156" t="e">
            <v>#REF!</v>
          </cell>
          <cell r="X156" t="e">
            <v>#REF!</v>
          </cell>
          <cell r="Y156" t="e">
            <v>#REF!</v>
          </cell>
          <cell r="Z156" t="e">
            <v>#REF!</v>
          </cell>
          <cell r="AA156" t="e">
            <v>#REF!</v>
          </cell>
          <cell r="AB156" t="e">
            <v>#REF!</v>
          </cell>
          <cell r="AC156" t="e">
            <v>#REF!</v>
          </cell>
          <cell r="AD156" t="e">
            <v>#REF!</v>
          </cell>
          <cell r="AE156" t="e">
            <v>#REF!</v>
          </cell>
          <cell r="AF156" t="e">
            <v>#REF!</v>
          </cell>
        </row>
        <row r="157">
          <cell r="C157" t="str">
            <v>COS</v>
          </cell>
          <cell r="U157" t="e">
            <v>#REF!</v>
          </cell>
          <cell r="V157" t="e">
            <v>#REF!</v>
          </cell>
          <cell r="W157" t="e">
            <v>#REF!</v>
          </cell>
          <cell r="X157" t="e">
            <v>#REF!</v>
          </cell>
          <cell r="Y157" t="e">
            <v>#REF!</v>
          </cell>
          <cell r="Z157" t="e">
            <v>#REF!</v>
          </cell>
          <cell r="AA157" t="e">
            <v>#REF!</v>
          </cell>
          <cell r="AB157" t="e">
            <v>#REF!</v>
          </cell>
          <cell r="AC157" t="e">
            <v>#REF!</v>
          </cell>
          <cell r="AD157" t="e">
            <v>#REF!</v>
          </cell>
          <cell r="AE157" t="e">
            <v>#REF!</v>
          </cell>
          <cell r="AF157" t="e">
            <v>#REF!</v>
          </cell>
        </row>
        <row r="158">
          <cell r="C158" t="str">
            <v>SG&amp;A</v>
          </cell>
          <cell r="U158" t="e">
            <v>#REF!</v>
          </cell>
          <cell r="V158" t="e">
            <v>#REF!</v>
          </cell>
          <cell r="W158" t="e">
            <v>#REF!</v>
          </cell>
          <cell r="X158" t="e">
            <v>#REF!</v>
          </cell>
          <cell r="Y158" t="e">
            <v>#REF!</v>
          </cell>
          <cell r="Z158" t="e">
            <v>#REF!</v>
          </cell>
          <cell r="AA158" t="e">
            <v>#REF!</v>
          </cell>
          <cell r="AB158" t="e">
            <v>#REF!</v>
          </cell>
          <cell r="AC158" t="e">
            <v>#REF!</v>
          </cell>
          <cell r="AD158" t="e">
            <v>#REF!</v>
          </cell>
          <cell r="AE158" t="e">
            <v>#REF!</v>
          </cell>
          <cell r="AF158" t="e">
            <v>#REF!</v>
          </cell>
        </row>
        <row r="160">
          <cell r="B160" t="str">
            <v>D&amp;A</v>
          </cell>
          <cell r="U160">
            <v>400</v>
          </cell>
          <cell r="V160">
            <v>400</v>
          </cell>
          <cell r="W160">
            <v>400</v>
          </cell>
          <cell r="X160">
            <v>400</v>
          </cell>
          <cell r="Y160">
            <v>400</v>
          </cell>
          <cell r="Z160">
            <v>400</v>
          </cell>
          <cell r="AA160">
            <v>400</v>
          </cell>
          <cell r="AB160">
            <v>400</v>
          </cell>
          <cell r="AC160">
            <v>400</v>
          </cell>
        </row>
      </sheetData>
      <sheetData sheetId="34" refreshError="1"/>
      <sheetData sheetId="35" refreshError="1"/>
      <sheetData sheetId="36" refreshError="1"/>
      <sheetData sheetId="3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__FDSCACHE__"/>
      <sheetName val="IS"/>
      <sheetName val="BS"/>
      <sheetName val="CF"/>
      <sheetName val="DCFOld"/>
      <sheetName val="Lease"/>
      <sheetName val="Valuation"/>
      <sheetName val="Markets"/>
      <sheetName val="Estimates"/>
      <sheetName val="Core Growth Analysis"/>
      <sheetName val="Exhibits"/>
      <sheetName val="Links"/>
      <sheetName val="mwareSettings"/>
      <sheetName val="mwareDates"/>
      <sheetName val="MWA RR"/>
      <sheetName val="__APW_ACTIVE_FIELD_RESTORE__"/>
      <sheetName val="MW-Cache"/>
      <sheetName val="NY UPLOAD shadow"/>
      <sheetName val="mStartup"/>
    </sheetNames>
    <sheetDataSet>
      <sheetData sheetId="0"/>
      <sheetData sheetId="1"/>
      <sheetData sheetId="2" refreshError="1">
        <row r="1">
          <cell r="A1" t="str">
            <v>Simon Flannery / simon.flannery@morganstanley.com / 212-761-6432</v>
          </cell>
          <cell r="D1" t="str">
            <v>AMT</v>
          </cell>
          <cell r="E1">
            <v>37987</v>
          </cell>
          <cell r="F1">
            <v>38353</v>
          </cell>
          <cell r="G1">
            <v>38718</v>
          </cell>
          <cell r="H1">
            <v>39083</v>
          </cell>
          <cell r="I1">
            <v>39448</v>
          </cell>
          <cell r="J1">
            <v>39814</v>
          </cell>
          <cell r="K1">
            <v>40179</v>
          </cell>
          <cell r="L1">
            <v>40544</v>
          </cell>
          <cell r="Y1">
            <v>37257</v>
          </cell>
          <cell r="Z1">
            <v>37347</v>
          </cell>
          <cell r="AA1">
            <v>37438</v>
          </cell>
          <cell r="AB1">
            <v>37530</v>
          </cell>
          <cell r="AC1">
            <v>37622</v>
          </cell>
          <cell r="AD1">
            <v>37712</v>
          </cell>
          <cell r="AE1">
            <v>37803</v>
          </cell>
          <cell r="AF1">
            <v>37895</v>
          </cell>
          <cell r="AG1">
            <v>37987</v>
          </cell>
          <cell r="AH1">
            <v>38078</v>
          </cell>
          <cell r="AI1">
            <v>38169</v>
          </cell>
          <cell r="AJ1">
            <v>38261</v>
          </cell>
          <cell r="AK1">
            <v>38353</v>
          </cell>
          <cell r="AL1">
            <v>38443</v>
          </cell>
          <cell r="AM1">
            <v>38534</v>
          </cell>
          <cell r="AN1">
            <v>38626</v>
          </cell>
          <cell r="AO1">
            <v>38718</v>
          </cell>
          <cell r="AP1">
            <v>38808</v>
          </cell>
          <cell r="AQ1">
            <v>38899</v>
          </cell>
          <cell r="AR1">
            <v>38991</v>
          </cell>
          <cell r="AS1">
            <v>39083</v>
          </cell>
          <cell r="AT1">
            <v>39173</v>
          </cell>
          <cell r="AU1">
            <v>39264</v>
          </cell>
          <cell r="AV1">
            <v>39356</v>
          </cell>
          <cell r="AW1">
            <v>39448</v>
          </cell>
          <cell r="AX1">
            <v>39539</v>
          </cell>
          <cell r="AY1">
            <v>39630</v>
          </cell>
          <cell r="AZ1">
            <v>39722</v>
          </cell>
          <cell r="BA1">
            <v>39814</v>
          </cell>
          <cell r="BB1">
            <v>39904</v>
          </cell>
          <cell r="BC1">
            <v>39995</v>
          </cell>
          <cell r="BD1">
            <v>40087</v>
          </cell>
          <cell r="BE1">
            <v>40179</v>
          </cell>
          <cell r="BF1">
            <v>40269</v>
          </cell>
          <cell r="BG1">
            <v>40360</v>
          </cell>
          <cell r="BH1">
            <v>40452</v>
          </cell>
          <cell r="BI1">
            <v>40544</v>
          </cell>
          <cell r="BJ1">
            <v>40634</v>
          </cell>
          <cell r="BK1">
            <v>40725</v>
          </cell>
          <cell r="BL1">
            <v>40817</v>
          </cell>
          <cell r="BV1" t="str">
            <v>ElementName</v>
          </cell>
          <cell r="BW1" t="str">
            <v>ScaleOverride</v>
          </cell>
          <cell r="BX1" t="str">
            <v>UnitOverride</v>
          </cell>
          <cell r="BY1" t="str">
            <v>ReverseSign</v>
          </cell>
          <cell r="BZ1" t="str">
            <v>IsDrivingAssumption</v>
          </cell>
          <cell r="CA1" t="str">
            <v>SegmentID</v>
          </cell>
        </row>
        <row r="2">
          <cell r="A2" t="str">
            <v>American Tower</v>
          </cell>
          <cell r="E2">
            <v>38352</v>
          </cell>
          <cell r="F2">
            <v>38717</v>
          </cell>
          <cell r="G2">
            <v>39082</v>
          </cell>
          <cell r="H2">
            <v>39447</v>
          </cell>
          <cell r="I2">
            <v>39813</v>
          </cell>
          <cell r="J2">
            <v>40178</v>
          </cell>
          <cell r="K2">
            <v>40543</v>
          </cell>
          <cell r="L2">
            <v>40908</v>
          </cell>
          <cell r="Y2">
            <v>37346</v>
          </cell>
          <cell r="Z2">
            <v>37437</v>
          </cell>
          <cell r="AA2">
            <v>37529</v>
          </cell>
          <cell r="AB2">
            <v>37621</v>
          </cell>
          <cell r="AC2">
            <v>37711</v>
          </cell>
          <cell r="AD2">
            <v>37802</v>
          </cell>
          <cell r="AE2">
            <v>37894</v>
          </cell>
          <cell r="AF2">
            <v>37986</v>
          </cell>
          <cell r="AG2">
            <v>38077</v>
          </cell>
          <cell r="AH2">
            <v>38168</v>
          </cell>
          <cell r="AI2">
            <v>38260</v>
          </cell>
          <cell r="AJ2">
            <v>38352</v>
          </cell>
          <cell r="AK2">
            <v>38442</v>
          </cell>
          <cell r="AL2">
            <v>38533</v>
          </cell>
          <cell r="AM2">
            <v>38625</v>
          </cell>
          <cell r="AN2">
            <v>38717</v>
          </cell>
          <cell r="AO2">
            <v>38807</v>
          </cell>
          <cell r="AP2">
            <v>38898</v>
          </cell>
          <cell r="AQ2">
            <v>38990</v>
          </cell>
          <cell r="AR2">
            <v>39082</v>
          </cell>
          <cell r="AS2">
            <v>39172</v>
          </cell>
          <cell r="AT2">
            <v>39263</v>
          </cell>
          <cell r="AU2">
            <v>39355</v>
          </cell>
          <cell r="AV2">
            <v>39447</v>
          </cell>
          <cell r="AW2">
            <v>39538</v>
          </cell>
          <cell r="AX2">
            <v>39629</v>
          </cell>
          <cell r="AY2">
            <v>39721</v>
          </cell>
          <cell r="AZ2">
            <v>39813</v>
          </cell>
          <cell r="BA2">
            <v>39903</v>
          </cell>
          <cell r="BB2">
            <v>39994</v>
          </cell>
          <cell r="BC2">
            <v>40086</v>
          </cell>
          <cell r="BD2">
            <v>40178</v>
          </cell>
          <cell r="BE2">
            <v>40268</v>
          </cell>
          <cell r="BF2">
            <v>40359</v>
          </cell>
          <cell r="BG2">
            <v>40451</v>
          </cell>
          <cell r="BH2">
            <v>40543</v>
          </cell>
          <cell r="BI2">
            <v>40633</v>
          </cell>
          <cell r="BJ2">
            <v>40724</v>
          </cell>
          <cell r="BK2">
            <v>40816</v>
          </cell>
          <cell r="BL2">
            <v>40908</v>
          </cell>
        </row>
        <row r="3">
          <cell r="A3" t="str">
            <v>Income Statement</v>
          </cell>
        </row>
        <row r="8">
          <cell r="A8" t="str">
            <v>Calendar Year Ending Dec. 31</v>
          </cell>
          <cell r="G8" t="str">
            <v>Calendar Year</v>
          </cell>
          <cell r="W8" t="str">
            <v>CAGR</v>
          </cell>
          <cell r="Y8" t="str">
            <v>2002A</v>
          </cell>
          <cell r="AC8" t="str">
            <v>2003A</v>
          </cell>
          <cell r="AG8" t="str">
            <v>2004A</v>
          </cell>
          <cell r="AK8" t="str">
            <v>2005A</v>
          </cell>
          <cell r="AO8" t="str">
            <v>2006A</v>
          </cell>
          <cell r="AS8" t="str">
            <v>2007A</v>
          </cell>
          <cell r="AW8" t="str">
            <v>2008A</v>
          </cell>
          <cell r="BA8" t="str">
            <v>2009A</v>
          </cell>
          <cell r="BE8" t="str">
            <v>2010A</v>
          </cell>
          <cell r="BI8" t="str">
            <v>2011E</v>
          </cell>
          <cell r="BM8" t="str">
            <v>2012E</v>
          </cell>
          <cell r="BQ8" t="str">
            <v>2013E</v>
          </cell>
        </row>
        <row r="9">
          <cell r="C9" t="str">
            <v>2002A</v>
          </cell>
          <cell r="D9" t="str">
            <v>2003A</v>
          </cell>
          <cell r="E9" t="str">
            <v>2004A</v>
          </cell>
          <cell r="F9" t="str">
            <v>2005A</v>
          </cell>
          <cell r="G9" t="str">
            <v>2006A</v>
          </cell>
          <cell r="H9" t="str">
            <v>2007A</v>
          </cell>
          <cell r="I9" t="str">
            <v>2008A</v>
          </cell>
          <cell r="J9" t="str">
            <v>2009A</v>
          </cell>
          <cell r="K9" t="str">
            <v>2010A</v>
          </cell>
          <cell r="L9" t="str">
            <v>2011E</v>
          </cell>
          <cell r="M9" t="str">
            <v>2012E</v>
          </cell>
          <cell r="N9" t="str">
            <v>2013E</v>
          </cell>
          <cell r="O9" t="str">
            <v>2014E</v>
          </cell>
          <cell r="P9" t="str">
            <v>2015E</v>
          </cell>
          <cell r="Q9" t="str">
            <v>2016E</v>
          </cell>
          <cell r="R9" t="str">
            <v>2017E</v>
          </cell>
          <cell r="S9" t="str">
            <v>2018E</v>
          </cell>
          <cell r="T9" t="str">
            <v>2019E</v>
          </cell>
          <cell r="U9" t="str">
            <v>2020E</v>
          </cell>
          <cell r="V9" t="str">
            <v>2021E</v>
          </cell>
          <cell r="W9" t="str">
            <v>'10-'13</v>
          </cell>
          <cell r="Y9" t="str">
            <v>Mar</v>
          </cell>
          <cell r="Z9" t="str">
            <v>Jun</v>
          </cell>
          <cell r="AA9" t="str">
            <v>Sep</v>
          </cell>
          <cell r="AB9" t="str">
            <v>Dec</v>
          </cell>
          <cell r="AC9" t="str">
            <v>Mar</v>
          </cell>
          <cell r="AD9" t="str">
            <v>Jun</v>
          </cell>
          <cell r="AE9" t="str">
            <v>Sep</v>
          </cell>
          <cell r="AF9" t="str">
            <v>Dec</v>
          </cell>
          <cell r="AG9" t="str">
            <v>Mar</v>
          </cell>
          <cell r="AH9" t="str">
            <v>Jun</v>
          </cell>
          <cell r="AI9" t="str">
            <v>Sep</v>
          </cell>
          <cell r="AJ9" t="str">
            <v>Dec</v>
          </cell>
          <cell r="AK9" t="str">
            <v>Mar</v>
          </cell>
          <cell r="AL9" t="str">
            <v>Jun</v>
          </cell>
          <cell r="AM9" t="str">
            <v>Sep</v>
          </cell>
          <cell r="AN9" t="str">
            <v>Dec</v>
          </cell>
          <cell r="AO9" t="str">
            <v>Mar</v>
          </cell>
          <cell r="AP9" t="str">
            <v>Jun</v>
          </cell>
          <cell r="AQ9" t="str">
            <v>Sep</v>
          </cell>
          <cell r="AR9" t="str">
            <v>Dec</v>
          </cell>
          <cell r="AS9" t="str">
            <v>Mar</v>
          </cell>
          <cell r="AT9" t="str">
            <v>Jun</v>
          </cell>
          <cell r="AU9" t="str">
            <v>Sep</v>
          </cell>
          <cell r="AV9" t="str">
            <v>Dec</v>
          </cell>
          <cell r="AW9" t="str">
            <v>Mar</v>
          </cell>
          <cell r="AX9" t="str">
            <v>Jun</v>
          </cell>
          <cell r="AY9" t="str">
            <v>Sep</v>
          </cell>
          <cell r="AZ9" t="str">
            <v>Dec</v>
          </cell>
          <cell r="BA9" t="str">
            <v>Mar</v>
          </cell>
          <cell r="BB9" t="str">
            <v>Jun</v>
          </cell>
          <cell r="BC9" t="str">
            <v>Sep</v>
          </cell>
          <cell r="BD9" t="str">
            <v>Dec</v>
          </cell>
          <cell r="BE9" t="str">
            <v>Mar</v>
          </cell>
          <cell r="BF9" t="str">
            <v>Jun</v>
          </cell>
          <cell r="BG9" t="str">
            <v>Sep</v>
          </cell>
          <cell r="BH9" t="str">
            <v>Dec</v>
          </cell>
          <cell r="BI9" t="str">
            <v>Mar (A)</v>
          </cell>
          <cell r="BJ9" t="str">
            <v>Jun (A)</v>
          </cell>
          <cell r="BK9" t="str">
            <v>Sep (A)</v>
          </cell>
          <cell r="BL9" t="str">
            <v>Dec</v>
          </cell>
          <cell r="BM9" t="str">
            <v>Mar</v>
          </cell>
          <cell r="BN9" t="str">
            <v>Jun</v>
          </cell>
          <cell r="BO9" t="str">
            <v>Sep</v>
          </cell>
          <cell r="BP9" t="str">
            <v>Dec</v>
          </cell>
          <cell r="BQ9" t="str">
            <v>Mar</v>
          </cell>
          <cell r="BR9" t="str">
            <v>Jun</v>
          </cell>
          <cell r="BS9" t="str">
            <v>Sep</v>
          </cell>
          <cell r="BT9" t="str">
            <v>Dec</v>
          </cell>
        </row>
        <row r="11">
          <cell r="A11" t="str">
            <v>Rental &amp; Management</v>
          </cell>
          <cell r="C11">
            <v>544.90599999999995</v>
          </cell>
          <cell r="D11">
            <v>619.697</v>
          </cell>
          <cell r="E11">
            <v>684.42200000000003</v>
          </cell>
          <cell r="F11">
            <v>929.76199999999994</v>
          </cell>
          <cell r="G11">
            <v>1294.068</v>
          </cell>
          <cell r="H11">
            <v>1425.9749999999999</v>
          </cell>
          <cell r="I11">
            <v>1547.0349999999999</v>
          </cell>
          <cell r="J11">
            <v>1668.42</v>
          </cell>
          <cell r="K11">
            <v>1936.373</v>
          </cell>
          <cell r="L11">
            <v>2381.7024906660486</v>
          </cell>
          <cell r="M11">
            <v>2846.8693051028599</v>
          </cell>
          <cell r="N11">
            <v>3160.4611101080582</v>
          </cell>
          <cell r="O11">
            <v>3319.9787698670475</v>
          </cell>
          <cell r="P11">
            <v>3456.7758156046893</v>
          </cell>
          <cell r="Q11">
            <v>3588.3447707572486</v>
          </cell>
          <cell r="R11">
            <v>3705.4709632038562</v>
          </cell>
          <cell r="S11">
            <v>3807.7157590556089</v>
          </cell>
          <cell r="T11">
            <v>3894.1110757692722</v>
          </cell>
          <cell r="U11">
            <v>3962.283171550358</v>
          </cell>
          <cell r="V11">
            <v>4014.1831371612539</v>
          </cell>
          <cell r="W11">
            <v>0.17739036476750236</v>
          </cell>
          <cell r="Y11">
            <v>126.601</v>
          </cell>
          <cell r="Z11">
            <v>132.017</v>
          </cell>
          <cell r="AA11">
            <v>138.16</v>
          </cell>
          <cell r="AB11">
            <v>148.12799999999999</v>
          </cell>
          <cell r="AC11">
            <v>146.46199999999999</v>
          </cell>
          <cell r="AD11">
            <v>151.916</v>
          </cell>
          <cell r="AE11">
            <v>158.19300000000001</v>
          </cell>
          <cell r="AF11">
            <v>163.126</v>
          </cell>
          <cell r="AG11">
            <v>164.57599999999999</v>
          </cell>
          <cell r="AH11">
            <v>167.58699999999999</v>
          </cell>
          <cell r="AI11">
            <v>174.946</v>
          </cell>
          <cell r="AJ11">
            <v>177.31299999999999</v>
          </cell>
          <cell r="AK11">
            <v>181.57</v>
          </cell>
          <cell r="AL11">
            <v>184.60900000000001</v>
          </cell>
          <cell r="AM11">
            <v>260.791</v>
          </cell>
          <cell r="AN11">
            <v>302.79199999999997</v>
          </cell>
          <cell r="AO11">
            <v>316.25900000000001</v>
          </cell>
          <cell r="AP11">
            <v>320.16899999999998</v>
          </cell>
          <cell r="AQ11">
            <v>326.40300000000002</v>
          </cell>
          <cell r="AR11">
            <v>331.23700000000002</v>
          </cell>
          <cell r="AS11">
            <v>346.029</v>
          </cell>
          <cell r="AT11">
            <v>350.77499999999998</v>
          </cell>
          <cell r="AU11">
            <v>358.62299999999999</v>
          </cell>
          <cell r="AV11">
            <v>370.548</v>
          </cell>
          <cell r="AW11">
            <v>373.983</v>
          </cell>
          <cell r="AX11">
            <v>384.34300000000002</v>
          </cell>
          <cell r="AY11">
            <v>394.39600000000002</v>
          </cell>
          <cell r="AZ11">
            <v>394.31299999999999</v>
          </cell>
          <cell r="BA11">
            <v>395.947</v>
          </cell>
          <cell r="BB11">
            <v>406.75099999999998</v>
          </cell>
          <cell r="BC11">
            <v>430.52499999999998</v>
          </cell>
          <cell r="BD11">
            <v>435.197</v>
          </cell>
          <cell r="BE11">
            <v>443.81799999999998</v>
          </cell>
          <cell r="BF11">
            <v>456.48099999999999</v>
          </cell>
          <cell r="BG11">
            <v>499.82100000000003</v>
          </cell>
          <cell r="BH11">
            <v>536.25300000000004</v>
          </cell>
          <cell r="BI11">
            <v>546.65499999999997</v>
          </cell>
          <cell r="BJ11">
            <v>583.83900000000006</v>
          </cell>
          <cell r="BK11">
            <v>614.80799999999999</v>
          </cell>
          <cell r="BL11">
            <v>636.40049066604831</v>
          </cell>
          <cell r="BM11">
            <v>648.54285104564417</v>
          </cell>
          <cell r="BN11">
            <v>702.43901897870387</v>
          </cell>
          <cell r="BO11">
            <v>735.46846086461073</v>
          </cell>
          <cell r="BP11">
            <v>760.41897421390115</v>
          </cell>
          <cell r="BQ11">
            <v>756.27633786162153</v>
          </cell>
          <cell r="BR11">
            <v>782.43884832962499</v>
          </cell>
          <cell r="BS11">
            <v>803.8051447729531</v>
          </cell>
          <cell r="BT11">
            <v>817.94077914385855</v>
          </cell>
        </row>
        <row r="12">
          <cell r="A12" t="str">
            <v>Seq. revenue growth</v>
          </cell>
          <cell r="BA12">
            <v>4.14391612754339E-3</v>
          </cell>
          <cell r="BB12">
            <v>2.7286480261246915E-2</v>
          </cell>
          <cell r="BC12">
            <v>5.8448534853018153E-2</v>
          </cell>
          <cell r="BD12">
            <v>1.0851866906683716E-2</v>
          </cell>
          <cell r="BE12">
            <v>1.9809419642139003E-2</v>
          </cell>
          <cell r="BF12">
            <v>2.8531965805803194E-2</v>
          </cell>
          <cell r="BG12">
            <v>9.4943710691135053E-2</v>
          </cell>
          <cell r="BH12">
            <v>7.2890094653886184E-2</v>
          </cell>
          <cell r="BI12">
            <v>1.9397560479847975E-2</v>
          </cell>
          <cell r="BJ12">
            <v>6.8020963862033712E-2</v>
          </cell>
          <cell r="BK12">
            <v>5.3043732946925326E-2</v>
          </cell>
          <cell r="BL12">
            <v>3.5120705433319577E-2</v>
          </cell>
          <cell r="BM12">
            <v>1.9079747042444639E-2</v>
          </cell>
          <cell r="BN12">
            <v>8.3103480126506701E-2</v>
          </cell>
          <cell r="BO12">
            <v>4.7021080824822814E-2</v>
          </cell>
          <cell r="BP12">
            <v>3.392465438961012E-2</v>
          </cell>
          <cell r="BQ12">
            <v>-5.4478340135609704E-3</v>
          </cell>
          <cell r="BR12">
            <v>3.4593850366888557E-2</v>
          </cell>
          <cell r="BS12">
            <v>2.7307305214895106E-2</v>
          </cell>
          <cell r="BT12">
            <v>1.7585896859242167E-2</v>
          </cell>
        </row>
        <row r="13">
          <cell r="A13" t="str">
            <v>Y/Y revenue growth</v>
          </cell>
          <cell r="D13">
            <v>0.13725486597688419</v>
          </cell>
          <cell r="E13">
            <v>0.10444620516155489</v>
          </cell>
          <cell r="F13">
            <v>0.35846305349623475</v>
          </cell>
          <cell r="G13">
            <v>0.39182715576674476</v>
          </cell>
          <cell r="H13">
            <v>0.10193204684761548</v>
          </cell>
          <cell r="I13">
            <v>8.4896299023475175E-2</v>
          </cell>
          <cell r="J13">
            <v>7.8462995342704067E-2</v>
          </cell>
          <cell r="K13">
            <v>0.16060284580621187</v>
          </cell>
          <cell r="L13">
            <v>0.22998125395574531</v>
          </cell>
          <cell r="M13">
            <v>0.19530853087646838</v>
          </cell>
          <cell r="N13">
            <v>0.11015321442508852</v>
          </cell>
          <cell r="O13">
            <v>5.0472907022587998E-2</v>
          </cell>
          <cell r="P13">
            <v>4.1204192924137351E-2</v>
          </cell>
          <cell r="Q13">
            <v>3.8061176706521316E-2</v>
          </cell>
          <cell r="R13">
            <v>3.2640729898952836E-2</v>
          </cell>
          <cell r="S13">
            <v>2.7592928636350544E-2</v>
          </cell>
          <cell r="T13">
            <v>2.2689539393321523E-2</v>
          </cell>
          <cell r="U13">
            <v>1.7506458972184946E-2</v>
          </cell>
          <cell r="V13">
            <v>1.3098499870868308E-2</v>
          </cell>
          <cell r="BA13">
            <v>5.8729942270103086E-2</v>
          </cell>
          <cell r="BB13">
            <v>5.8302089539812085E-2</v>
          </cell>
          <cell r="BC13">
            <v>9.1605898639945504E-2</v>
          </cell>
          <cell r="BD13">
            <v>0.10368412910555835</v>
          </cell>
          <cell r="BE13">
            <v>0.12090254503759335</v>
          </cell>
          <cell r="BF13">
            <v>0.12226153101037252</v>
          </cell>
          <cell r="BG13">
            <v>0.16095697113988749</v>
          </cell>
          <cell r="BH13">
            <v>0.23220748304790706</v>
          </cell>
          <cell r="BI13">
            <v>0.23170984502656489</v>
          </cell>
          <cell r="BJ13">
            <v>0.27899956405633541</v>
          </cell>
          <cell r="BK13">
            <v>0.2300563601769432</v>
          </cell>
          <cell r="BL13">
            <v>0.18675418257063048</v>
          </cell>
          <cell r="BM13">
            <v>0.1863841930388348</v>
          </cell>
          <cell r="BN13">
            <v>0.20313822642664126</v>
          </cell>
          <cell r="BO13">
            <v>0.19625714184690302</v>
          </cell>
          <cell r="BP13">
            <v>0.19487490246598771</v>
          </cell>
          <cell r="BQ13">
            <v>0.16611621983386127</v>
          </cell>
          <cell r="BR13">
            <v>0.11388864682835398</v>
          </cell>
          <cell r="BS13">
            <v>9.2915859135558776E-2</v>
          </cell>
          <cell r="BT13">
            <v>7.5644883781893713E-2</v>
          </cell>
        </row>
        <row r="14">
          <cell r="A14" t="str">
            <v>Network Development Svcs.</v>
          </cell>
          <cell r="C14">
            <v>159.91800000000001</v>
          </cell>
          <cell r="D14">
            <v>70.073000000000008</v>
          </cell>
          <cell r="E14">
            <v>22.238</v>
          </cell>
          <cell r="F14">
            <v>15.024000000000001</v>
          </cell>
          <cell r="G14">
            <v>23.317</v>
          </cell>
          <cell r="H14">
            <v>30.619</v>
          </cell>
          <cell r="I14">
            <v>46.468999999999994</v>
          </cell>
          <cell r="J14">
            <v>55.694000000000003</v>
          </cell>
          <cell r="K14">
            <v>48.962000000000003</v>
          </cell>
          <cell r="L14">
            <v>60.781950000000002</v>
          </cell>
          <cell r="M14">
            <v>64.594724862259511</v>
          </cell>
          <cell r="N14">
            <v>67.217529716513937</v>
          </cell>
          <cell r="O14">
            <v>68.561880310844217</v>
          </cell>
          <cell r="P14">
            <v>69.933117917061097</v>
          </cell>
          <cell r="Q14">
            <v>71.331780275402323</v>
          </cell>
          <cell r="R14">
            <v>72.758415880910377</v>
          </cell>
          <cell r="S14">
            <v>73.486000039719485</v>
          </cell>
          <cell r="T14">
            <v>74.220860040116676</v>
          </cell>
          <cell r="U14">
            <v>74.963068640517847</v>
          </cell>
          <cell r="V14">
            <v>75.71269932692303</v>
          </cell>
          <cell r="W14">
            <v>0.11141042488977182</v>
          </cell>
          <cell r="Y14">
            <v>60.015000000000001</v>
          </cell>
          <cell r="Z14">
            <v>33.82</v>
          </cell>
          <cell r="AA14">
            <v>36.786000000000001</v>
          </cell>
          <cell r="AB14">
            <v>29.297000000000001</v>
          </cell>
          <cell r="AC14">
            <v>15.005000000000001</v>
          </cell>
          <cell r="AD14">
            <v>23.366</v>
          </cell>
          <cell r="AE14">
            <v>28.681000000000001</v>
          </cell>
          <cell r="AF14">
            <v>3.0209999999999999</v>
          </cell>
          <cell r="AG14">
            <v>4.2149999999999999</v>
          </cell>
          <cell r="AH14">
            <v>4.7050000000000001</v>
          </cell>
          <cell r="AI14">
            <v>5.9349999999999996</v>
          </cell>
          <cell r="AJ14">
            <v>7.383</v>
          </cell>
          <cell r="AK14">
            <v>2.7850000000000001</v>
          </cell>
          <cell r="AL14">
            <v>3.4510000000000001</v>
          </cell>
          <cell r="AM14">
            <v>3.9550000000000001</v>
          </cell>
          <cell r="AN14">
            <v>4.8330000000000002</v>
          </cell>
          <cell r="AO14">
            <v>4.1500000000000004</v>
          </cell>
          <cell r="AP14">
            <v>5.694</v>
          </cell>
          <cell r="AQ14">
            <v>7.0640000000000001</v>
          </cell>
          <cell r="AR14">
            <v>6.4089999999999998</v>
          </cell>
          <cell r="AS14">
            <v>6.4450000000000003</v>
          </cell>
          <cell r="AT14">
            <v>7.6479999999999997</v>
          </cell>
          <cell r="AU14">
            <v>8.9619999999999997</v>
          </cell>
          <cell r="AV14">
            <v>7.5640000000000001</v>
          </cell>
          <cell r="AW14">
            <v>8.2010000000000005</v>
          </cell>
          <cell r="AX14">
            <v>9.3849999999999998</v>
          </cell>
          <cell r="AY14">
            <v>14.872</v>
          </cell>
          <cell r="AZ14">
            <v>14.010999999999999</v>
          </cell>
          <cell r="BA14">
            <v>12.731</v>
          </cell>
          <cell r="BB14">
            <v>16.606999999999999</v>
          </cell>
          <cell r="BC14">
            <v>13.58</v>
          </cell>
          <cell r="BD14">
            <v>12.776</v>
          </cell>
          <cell r="BE14">
            <v>10.616</v>
          </cell>
          <cell r="BF14">
            <v>13.456</v>
          </cell>
          <cell r="BG14">
            <v>13.500999999999999</v>
          </cell>
          <cell r="BH14">
            <v>11.388999999999999</v>
          </cell>
          <cell r="BI14">
            <v>16.04</v>
          </cell>
          <cell r="BJ14">
            <v>13.396000000000001</v>
          </cell>
          <cell r="BK14">
            <v>15.595000000000001</v>
          </cell>
          <cell r="BL14">
            <v>15.750950000000001</v>
          </cell>
          <cell r="BM14">
            <v>15.908459500000001</v>
          </cell>
          <cell r="BN14">
            <v>16.067544095000002</v>
          </cell>
          <cell r="BO14">
            <v>16.228219535950004</v>
          </cell>
          <cell r="BP14">
            <v>16.390501731309502</v>
          </cell>
          <cell r="BQ14">
            <v>16.554406748622597</v>
          </cell>
          <cell r="BR14">
            <v>16.719950816108824</v>
          </cell>
          <cell r="BS14">
            <v>16.887150324269911</v>
          </cell>
          <cell r="BT14">
            <v>17.056021827512609</v>
          </cell>
        </row>
        <row r="15">
          <cell r="A15" t="str">
            <v>Total Revenues</v>
          </cell>
          <cell r="C15">
            <v>704.82399999999996</v>
          </cell>
          <cell r="D15">
            <v>689.77</v>
          </cell>
          <cell r="E15">
            <v>706.66000000000008</v>
          </cell>
          <cell r="F15">
            <v>944.78599999999994</v>
          </cell>
          <cell r="G15">
            <v>1317.385</v>
          </cell>
          <cell r="H15">
            <v>1456.5939999999998</v>
          </cell>
          <cell r="I15">
            <v>1593.5039999999999</v>
          </cell>
          <cell r="J15">
            <v>1724.114</v>
          </cell>
          <cell r="K15">
            <v>1985.335</v>
          </cell>
          <cell r="L15">
            <v>2442.4844406660486</v>
          </cell>
          <cell r="M15">
            <v>2911.4640299651196</v>
          </cell>
          <cell r="N15">
            <v>3227.6786398245722</v>
          </cell>
          <cell r="O15">
            <v>3388.5406501778916</v>
          </cell>
          <cell r="P15">
            <v>3526.7089335217506</v>
          </cell>
          <cell r="Q15">
            <v>3659.6765510326509</v>
          </cell>
          <cell r="R15">
            <v>3778.2293790847666</v>
          </cell>
          <cell r="S15">
            <v>3881.2017590953283</v>
          </cell>
          <cell r="T15">
            <v>3968.3319358093891</v>
          </cell>
          <cell r="U15">
            <v>4037.2462401908761</v>
          </cell>
          <cell r="V15">
            <v>4089.8958364881769</v>
          </cell>
          <cell r="W15">
            <v>0.1758506486339948</v>
          </cell>
          <cell r="Y15">
            <v>186.61599999999999</v>
          </cell>
          <cell r="Z15">
            <v>165.83699999999999</v>
          </cell>
          <cell r="AA15">
            <v>174.946</v>
          </cell>
          <cell r="AB15">
            <v>177.42499999999998</v>
          </cell>
          <cell r="AC15">
            <v>161.46699999999998</v>
          </cell>
          <cell r="AD15">
            <v>175.28199999999998</v>
          </cell>
          <cell r="AE15">
            <v>186.87400000000002</v>
          </cell>
          <cell r="AF15">
            <v>166.14699999999999</v>
          </cell>
          <cell r="AG15">
            <v>168.791</v>
          </cell>
          <cell r="AH15">
            <v>172.292</v>
          </cell>
          <cell r="AI15">
            <v>180.881</v>
          </cell>
          <cell r="AJ15">
            <v>184.696</v>
          </cell>
          <cell r="AK15">
            <v>184.35499999999999</v>
          </cell>
          <cell r="AL15">
            <v>188.06</v>
          </cell>
          <cell r="AM15">
            <v>264.74599999999998</v>
          </cell>
          <cell r="AN15">
            <v>307.625</v>
          </cell>
          <cell r="AO15">
            <v>320.40899999999999</v>
          </cell>
          <cell r="AP15">
            <v>325.863</v>
          </cell>
          <cell r="AQ15">
            <v>333.46700000000004</v>
          </cell>
          <cell r="AR15">
            <v>337.64600000000002</v>
          </cell>
          <cell r="AS15">
            <v>352.47399999999999</v>
          </cell>
          <cell r="AT15">
            <v>358.423</v>
          </cell>
          <cell r="AU15">
            <v>367.58499999999998</v>
          </cell>
          <cell r="AV15">
            <v>378.11200000000002</v>
          </cell>
          <cell r="AW15">
            <v>382.18400000000003</v>
          </cell>
          <cell r="AX15">
            <v>393.72800000000001</v>
          </cell>
          <cell r="AY15">
            <v>409.26800000000003</v>
          </cell>
          <cell r="AZ15">
            <v>408.32400000000001</v>
          </cell>
          <cell r="BA15">
            <v>408.678</v>
          </cell>
          <cell r="BB15">
            <v>423.35799999999995</v>
          </cell>
          <cell r="BC15">
            <v>444.10499999999996</v>
          </cell>
          <cell r="BD15">
            <v>447.97300000000001</v>
          </cell>
          <cell r="BE15">
            <v>454.43399999999997</v>
          </cell>
          <cell r="BF15">
            <v>469.93700000000001</v>
          </cell>
          <cell r="BG15">
            <v>513.322</v>
          </cell>
          <cell r="BH15">
            <v>547.64200000000005</v>
          </cell>
          <cell r="BI15">
            <v>562.69499999999994</v>
          </cell>
          <cell r="BJ15">
            <v>597.23500000000001</v>
          </cell>
          <cell r="BK15">
            <v>630.40300000000002</v>
          </cell>
          <cell r="BL15">
            <v>652.1514406660483</v>
          </cell>
          <cell r="BM15">
            <v>664.45131054564422</v>
          </cell>
          <cell r="BN15">
            <v>718.50656307370389</v>
          </cell>
          <cell r="BO15">
            <v>751.69668040056069</v>
          </cell>
          <cell r="BP15">
            <v>776.80947594521069</v>
          </cell>
          <cell r="BQ15">
            <v>772.8307446102441</v>
          </cell>
          <cell r="BR15">
            <v>799.15879914573384</v>
          </cell>
          <cell r="BS15">
            <v>820.692295097223</v>
          </cell>
          <cell r="BT15">
            <v>834.99680097137116</v>
          </cell>
          <cell r="BV15" t="str">
            <v>mstag:revenueNet</v>
          </cell>
          <cell r="BW15">
            <v>6</v>
          </cell>
          <cell r="BX15" t="str">
            <v>ISO4217:USD</v>
          </cell>
          <cell r="BY15" t="b">
            <v>0</v>
          </cell>
          <cell r="BZ15" t="b">
            <v>0</v>
          </cell>
        </row>
        <row r="16">
          <cell r="A16" t="str">
            <v>Seq. revenue growth</v>
          </cell>
          <cell r="BA16">
            <v>8.6695859170649037E-4</v>
          </cell>
          <cell r="BB16">
            <v>3.5920700404719508E-2</v>
          </cell>
          <cell r="BC16">
            <v>4.9005805960912641E-2</v>
          </cell>
          <cell r="BD16">
            <v>8.7096519967126973E-3</v>
          </cell>
          <cell r="BE16">
            <v>1.4422744227888584E-2</v>
          </cell>
          <cell r="BF16">
            <v>3.4114964989415464E-2</v>
          </cell>
          <cell r="BG16">
            <v>9.232088556551199E-2</v>
          </cell>
          <cell r="BH16">
            <v>6.6858618956522564E-2</v>
          </cell>
          <cell r="BI16">
            <v>2.7486934895424087E-2</v>
          </cell>
          <cell r="BJ16">
            <v>6.1383164947262925E-2</v>
          </cell>
          <cell r="BK16">
            <v>5.5535928068515705E-2</v>
          </cell>
          <cell r="BL16">
            <v>3.4499265812580671E-2</v>
          </cell>
          <cell r="BM16">
            <v>1.886045036875772E-2</v>
          </cell>
          <cell r="BN16">
            <v>8.1353218317335774E-2</v>
          </cell>
          <cell r="BO16">
            <v>4.6193199940822494E-2</v>
          </cell>
          <cell r="BP16">
            <v>3.3408150121493119E-2</v>
          </cell>
          <cell r="BQ16">
            <v>-5.1218882598276227E-3</v>
          </cell>
          <cell r="BR16">
            <v>3.4067038247511228E-2</v>
          </cell>
          <cell r="BS16">
            <v>2.6945202848930094E-2</v>
          </cell>
          <cell r="BT16">
            <v>1.7429804032037977E-2</v>
          </cell>
        </row>
        <row r="17">
          <cell r="A17" t="str">
            <v>Y/Y revenue growth</v>
          </cell>
          <cell r="D17">
            <v>-2.1358523546303743E-2</v>
          </cell>
          <cell r="E17">
            <v>2.4486423010568803E-2</v>
          </cell>
          <cell r="F17">
            <v>0.33697393371635553</v>
          </cell>
          <cell r="G17">
            <v>0.39437396405111858</v>
          </cell>
          <cell r="H17">
            <v>0.10567070370468756</v>
          </cell>
          <cell r="I17">
            <v>9.3993247260389712E-2</v>
          </cell>
          <cell r="J17">
            <v>8.1964023937185049E-2</v>
          </cell>
          <cell r="K17">
            <v>0.1515102829627275</v>
          </cell>
          <cell r="L17">
            <v>0.23026312469484922</v>
          </cell>
          <cell r="M17">
            <v>0.19200924333060798</v>
          </cell>
          <cell r="N17">
            <v>0.10861017227241554</v>
          </cell>
          <cell r="O17">
            <v>4.9838298140505888E-2</v>
          </cell>
          <cell r="P17">
            <v>4.0775158868643135E-2</v>
          </cell>
          <cell r="Q17">
            <v>3.7703031357940731E-2</v>
          </cell>
          <cell r="R17">
            <v>3.2394345893399734E-2</v>
          </cell>
          <cell r="S17">
            <v>2.7254136707683285E-2</v>
          </cell>
          <cell r="T17">
            <v>2.2449277858301864E-2</v>
          </cell>
          <cell r="U17">
            <v>1.7366063498776008E-2</v>
          </cell>
          <cell r="V17">
            <v>1.304096732400728E-2</v>
          </cell>
          <cell r="BA17">
            <v>6.9322629937412339E-2</v>
          </cell>
          <cell r="BB17">
            <v>7.5254998374512105E-2</v>
          </cell>
          <cell r="BC17">
            <v>8.5120263494824711E-2</v>
          </cell>
          <cell r="BD17">
            <v>9.7101811306707475E-2</v>
          </cell>
          <cell r="BE17">
            <v>0.1119610059753644</v>
          </cell>
          <cell r="BF17">
            <v>0.11002272308542671</v>
          </cell>
          <cell r="BG17">
            <v>0.15585728600218429</v>
          </cell>
          <cell r="BH17">
            <v>0.22248885535512186</v>
          </cell>
          <cell r="BI17">
            <v>0.23823261463710899</v>
          </cell>
          <cell r="BJ17">
            <v>0.27088311837544188</v>
          </cell>
          <cell r="BK17">
            <v>0.22808490577064688</v>
          </cell>
          <cell r="BL17">
            <v>0.19083532794425606</v>
          </cell>
          <cell r="BM17">
            <v>0.18083741733202596</v>
          </cell>
          <cell r="BN17">
            <v>0.20305501699281492</v>
          </cell>
          <cell r="BO17">
            <v>0.19240657230463798</v>
          </cell>
          <cell r="BP17">
            <v>0.19114890730264733</v>
          </cell>
          <cell r="BQ17">
            <v>0.16311117510717099</v>
          </cell>
          <cell r="BR17">
            <v>0.11224982514704829</v>
          </cell>
          <cell r="BS17">
            <v>9.1786509766008662E-2</v>
          </cell>
          <cell r="BT17">
            <v>7.4905529383970215E-2</v>
          </cell>
        </row>
        <row r="19">
          <cell r="A19" t="str">
            <v xml:space="preserve">   Rental &amp; Management</v>
          </cell>
          <cell r="C19">
            <v>226.786</v>
          </cell>
          <cell r="D19">
            <v>236.68</v>
          </cell>
          <cell r="E19">
            <v>237.31199999999998</v>
          </cell>
          <cell r="F19">
            <v>247.78100000000001</v>
          </cell>
          <cell r="G19">
            <v>332.24599999999998</v>
          </cell>
          <cell r="H19">
            <v>343.45</v>
          </cell>
          <cell r="I19">
            <v>363.02399999999994</v>
          </cell>
          <cell r="J19">
            <v>383.99</v>
          </cell>
          <cell r="K19">
            <v>447.62900000000002</v>
          </cell>
          <cell r="L19">
            <v>597.91812757317257</v>
          </cell>
          <cell r="M19">
            <v>711.71732627571498</v>
          </cell>
          <cell r="N19">
            <v>790.11527752701454</v>
          </cell>
          <cell r="O19">
            <v>829.99469246676188</v>
          </cell>
          <cell r="P19">
            <v>860.73717808556808</v>
          </cell>
          <cell r="Q19">
            <v>889.90950314779809</v>
          </cell>
          <cell r="R19">
            <v>915.25132791135331</v>
          </cell>
          <cell r="S19">
            <v>936.69807672768059</v>
          </cell>
          <cell r="T19">
            <v>954.05721356347294</v>
          </cell>
          <cell r="U19">
            <v>966.79709385828869</v>
          </cell>
          <cell r="V19">
            <v>975.44650233018649</v>
          </cell>
          <cell r="W19">
            <v>0.20852994213536413</v>
          </cell>
          <cell r="Y19">
            <v>56.951000000000001</v>
          </cell>
          <cell r="Z19">
            <v>57.061999999999998</v>
          </cell>
          <cell r="AA19">
            <v>56.604999999999997</v>
          </cell>
          <cell r="AB19">
            <v>56.167999999999999</v>
          </cell>
          <cell r="AC19">
            <v>58.475999999999999</v>
          </cell>
          <cell r="AD19">
            <v>57.884999999999998</v>
          </cell>
          <cell r="AE19">
            <v>60.066000000000003</v>
          </cell>
          <cell r="AF19">
            <v>60.253</v>
          </cell>
          <cell r="AG19">
            <v>58.875999999999998</v>
          </cell>
          <cell r="AH19">
            <v>58.32</v>
          </cell>
          <cell r="AI19">
            <v>59.838000000000001</v>
          </cell>
          <cell r="AJ19">
            <v>60.277999999999999</v>
          </cell>
          <cell r="AK19">
            <v>48.225000000000001</v>
          </cell>
          <cell r="AL19">
            <v>46.598999999999997</v>
          </cell>
          <cell r="AM19">
            <v>69.775999999999996</v>
          </cell>
          <cell r="AN19">
            <v>83.180999999999997</v>
          </cell>
          <cell r="AO19">
            <v>79.540999999999997</v>
          </cell>
          <cell r="AP19">
            <v>83.128</v>
          </cell>
          <cell r="AQ19">
            <v>84.600999999999999</v>
          </cell>
          <cell r="AR19">
            <v>84.975999999999999</v>
          </cell>
          <cell r="AS19">
            <v>83.760999999999996</v>
          </cell>
          <cell r="AT19">
            <v>85.91</v>
          </cell>
          <cell r="AU19">
            <v>83.936000000000007</v>
          </cell>
          <cell r="AV19">
            <v>89.843000000000004</v>
          </cell>
          <cell r="AW19">
            <v>86.930999999999997</v>
          </cell>
          <cell r="AX19">
            <v>91.951999999999998</v>
          </cell>
          <cell r="AY19">
            <v>93.695999999999998</v>
          </cell>
          <cell r="AZ19">
            <v>90.444999999999993</v>
          </cell>
          <cell r="BA19">
            <v>90.09</v>
          </cell>
          <cell r="BB19">
            <v>92.33</v>
          </cell>
          <cell r="BC19">
            <v>101.128</v>
          </cell>
          <cell r="BD19">
            <v>100.44199999999999</v>
          </cell>
          <cell r="BE19">
            <v>100.42400000000001</v>
          </cell>
          <cell r="BF19">
            <v>105.773</v>
          </cell>
          <cell r="BG19">
            <v>115.39</v>
          </cell>
          <cell r="BH19">
            <v>126.042</v>
          </cell>
          <cell r="BI19">
            <v>127.85899999999999</v>
          </cell>
          <cell r="BJ19">
            <v>144.33000000000001</v>
          </cell>
          <cell r="BK19">
            <v>160.26499999999999</v>
          </cell>
          <cell r="BL19">
            <v>165.46412757317256</v>
          </cell>
          <cell r="BM19">
            <v>162.13571276141104</v>
          </cell>
          <cell r="BN19">
            <v>175.60975474467597</v>
          </cell>
          <cell r="BO19">
            <v>183.86711521615268</v>
          </cell>
          <cell r="BP19">
            <v>190.10474355347529</v>
          </cell>
          <cell r="BQ19">
            <v>189.06908446540538</v>
          </cell>
          <cell r="BR19">
            <v>195.60971208240625</v>
          </cell>
          <cell r="BS19">
            <v>200.95128619323827</v>
          </cell>
          <cell r="BT19">
            <v>204.48519478596464</v>
          </cell>
        </row>
        <row r="20">
          <cell r="A20" t="str">
            <v xml:space="preserve">   Network Development Svcs.</v>
          </cell>
          <cell r="C20">
            <v>146.828</v>
          </cell>
          <cell r="D20">
            <v>64.445000000000007</v>
          </cell>
          <cell r="E20">
            <v>18.801000000000002</v>
          </cell>
          <cell r="F20">
            <v>8.3460000000000001</v>
          </cell>
          <cell r="G20">
            <v>11.291</v>
          </cell>
          <cell r="H20">
            <v>16.172000000000001</v>
          </cell>
          <cell r="I20">
            <v>26.831000000000003</v>
          </cell>
          <cell r="J20">
            <v>32.385000000000005</v>
          </cell>
          <cell r="K20">
            <v>26.957000000000001</v>
          </cell>
          <cell r="L20">
            <v>32.019551</v>
          </cell>
          <cell r="M20">
            <v>37.464940420110523</v>
          </cell>
          <cell r="N20">
            <v>38.986167235578087</v>
          </cell>
          <cell r="O20">
            <v>39.76589058028965</v>
          </cell>
          <cell r="P20">
            <v>40.561208391895441</v>
          </cell>
          <cell r="Q20">
            <v>41.372432559733355</v>
          </cell>
          <cell r="R20">
            <v>42.199881210928027</v>
          </cell>
          <cell r="S20">
            <v>42.621880023037306</v>
          </cell>
          <cell r="T20">
            <v>43.048098823267679</v>
          </cell>
          <cell r="U20">
            <v>43.478579811500353</v>
          </cell>
          <cell r="V20">
            <v>43.913365609615362</v>
          </cell>
          <cell r="W20">
            <v>0.13087081010343793</v>
          </cell>
          <cell r="Y20">
            <v>54.567999999999998</v>
          </cell>
          <cell r="Z20">
            <v>28.920999999999999</v>
          </cell>
          <cell r="AA20">
            <v>35.06</v>
          </cell>
          <cell r="AB20">
            <v>28.279</v>
          </cell>
          <cell r="AC20">
            <v>14.712</v>
          </cell>
          <cell r="AD20">
            <v>21.5</v>
          </cell>
          <cell r="AE20">
            <v>26.274000000000001</v>
          </cell>
          <cell r="AF20">
            <v>1.9590000000000001</v>
          </cell>
          <cell r="AG20">
            <v>3.5609999999999999</v>
          </cell>
          <cell r="AH20">
            <v>3.3450000000000002</v>
          </cell>
          <cell r="AI20">
            <v>5.1340000000000003</v>
          </cell>
          <cell r="AJ20">
            <v>6.7610000000000001</v>
          </cell>
          <cell r="AK20">
            <v>1.4319999999999999</v>
          </cell>
          <cell r="AL20">
            <v>2.09</v>
          </cell>
          <cell r="AM20">
            <v>2.3639999999999999</v>
          </cell>
          <cell r="AN20">
            <v>2.46</v>
          </cell>
          <cell r="AO20">
            <v>2.0710000000000002</v>
          </cell>
          <cell r="AP20">
            <v>2.609</v>
          </cell>
          <cell r="AQ20">
            <v>2.9609999999999999</v>
          </cell>
          <cell r="AR20">
            <v>3.65</v>
          </cell>
          <cell r="AS20">
            <v>3.5219999999999998</v>
          </cell>
          <cell r="AT20">
            <v>4.1319999999999997</v>
          </cell>
          <cell r="AU20">
            <v>4.8410000000000002</v>
          </cell>
          <cell r="AV20">
            <v>3.677</v>
          </cell>
          <cell r="AW20">
            <v>3.6269999999999998</v>
          </cell>
          <cell r="AX20">
            <v>4.9219999999999997</v>
          </cell>
          <cell r="AY20">
            <v>10.161</v>
          </cell>
          <cell r="AZ20">
            <v>8.1210000000000004</v>
          </cell>
          <cell r="BA20">
            <v>7.6150000000000002</v>
          </cell>
          <cell r="BB20">
            <v>10.243</v>
          </cell>
          <cell r="BC20">
            <v>7.4660000000000002</v>
          </cell>
          <cell r="BD20">
            <v>7.0609999999999999</v>
          </cell>
          <cell r="BE20">
            <v>6.0449999999999999</v>
          </cell>
          <cell r="BF20">
            <v>6.4260000000000002</v>
          </cell>
          <cell r="BG20">
            <v>7.5830000000000002</v>
          </cell>
          <cell r="BH20">
            <v>6.9029999999999996</v>
          </cell>
          <cell r="BI20">
            <v>7.4690000000000003</v>
          </cell>
          <cell r="BJ20">
            <v>6.7469999999999999</v>
          </cell>
          <cell r="BK20">
            <v>8.6679999999999993</v>
          </cell>
          <cell r="BL20">
            <v>9.1355510000000013</v>
          </cell>
          <cell r="BM20">
            <v>9.2269065100000009</v>
          </cell>
          <cell r="BN20">
            <v>9.3191755751000027</v>
          </cell>
          <cell r="BO20">
            <v>9.4123673308510032</v>
          </cell>
          <cell r="BP20">
            <v>9.5064910041595123</v>
          </cell>
          <cell r="BQ20">
            <v>9.6015559142011071</v>
          </cell>
          <cell r="BR20">
            <v>9.6975714733431193</v>
          </cell>
          <cell r="BS20">
            <v>9.7945471880765496</v>
          </cell>
          <cell r="BT20">
            <v>9.8924926599573144</v>
          </cell>
        </row>
        <row r="21">
          <cell r="A21" t="str">
            <v>Cost of Operations</v>
          </cell>
          <cell r="C21">
            <v>373.61400000000003</v>
          </cell>
          <cell r="D21">
            <v>301.125</v>
          </cell>
          <cell r="E21">
            <v>256.113</v>
          </cell>
          <cell r="F21">
            <v>256.12700000000001</v>
          </cell>
          <cell r="G21">
            <v>343.53699999999998</v>
          </cell>
          <cell r="H21">
            <v>359.62200000000001</v>
          </cell>
          <cell r="I21">
            <v>389.85499999999996</v>
          </cell>
          <cell r="J21">
            <v>416.375</v>
          </cell>
          <cell r="K21">
            <v>474.58600000000001</v>
          </cell>
          <cell r="L21">
            <v>629.93767857317255</v>
          </cell>
          <cell r="M21">
            <v>749.18226669582555</v>
          </cell>
          <cell r="N21">
            <v>829.10144476259268</v>
          </cell>
          <cell r="O21">
            <v>869.76058304705157</v>
          </cell>
          <cell r="P21">
            <v>901.29838647746351</v>
          </cell>
          <cell r="Q21">
            <v>931.28193570753149</v>
          </cell>
          <cell r="R21">
            <v>957.4512091222814</v>
          </cell>
          <cell r="S21">
            <v>979.31995675071789</v>
          </cell>
          <cell r="T21">
            <v>997.10531238674059</v>
          </cell>
          <cell r="U21">
            <v>1010.2756736697891</v>
          </cell>
          <cell r="V21">
            <v>1019.3598679398018</v>
          </cell>
          <cell r="W21">
            <v>0.20438198221851045</v>
          </cell>
          <cell r="Y21">
            <v>111.51900000000001</v>
          </cell>
          <cell r="Z21">
            <v>85.983000000000004</v>
          </cell>
          <cell r="AA21">
            <v>91.664999999999992</v>
          </cell>
          <cell r="AB21">
            <v>84.447000000000003</v>
          </cell>
          <cell r="AC21">
            <v>73.188000000000002</v>
          </cell>
          <cell r="AD21">
            <v>79.384999999999991</v>
          </cell>
          <cell r="AE21">
            <v>86.34</v>
          </cell>
          <cell r="AF21">
            <v>62.212000000000003</v>
          </cell>
          <cell r="AG21">
            <v>62.436999999999998</v>
          </cell>
          <cell r="AH21">
            <v>61.664999999999999</v>
          </cell>
          <cell r="AI21">
            <v>64.972000000000008</v>
          </cell>
          <cell r="AJ21">
            <v>67.039000000000001</v>
          </cell>
          <cell r="AK21">
            <v>49.657000000000004</v>
          </cell>
          <cell r="AL21">
            <v>48.688999999999993</v>
          </cell>
          <cell r="AM21">
            <v>72.14</v>
          </cell>
          <cell r="AN21">
            <v>85.640999999999991</v>
          </cell>
          <cell r="AO21">
            <v>81.611999999999995</v>
          </cell>
          <cell r="AP21">
            <v>85.736999999999995</v>
          </cell>
          <cell r="AQ21">
            <v>87.561999999999998</v>
          </cell>
          <cell r="AR21">
            <v>88.626000000000005</v>
          </cell>
          <cell r="AS21">
            <v>87.283000000000001</v>
          </cell>
          <cell r="AT21">
            <v>90.042000000000002</v>
          </cell>
          <cell r="AU21">
            <v>88.777000000000001</v>
          </cell>
          <cell r="AV21">
            <v>93.52000000000001</v>
          </cell>
          <cell r="AW21">
            <v>90.557999999999993</v>
          </cell>
          <cell r="AX21">
            <v>96.873999999999995</v>
          </cell>
          <cell r="AY21">
            <v>103.857</v>
          </cell>
          <cell r="AZ21">
            <v>98.565999999999988</v>
          </cell>
          <cell r="BA21">
            <v>97.704999999999998</v>
          </cell>
          <cell r="BB21">
            <v>102.57299999999999</v>
          </cell>
          <cell r="BC21">
            <v>108.59399999999999</v>
          </cell>
          <cell r="BD21">
            <v>107.50299999999999</v>
          </cell>
          <cell r="BE21">
            <v>106.46900000000001</v>
          </cell>
          <cell r="BF21">
            <v>112.199</v>
          </cell>
          <cell r="BG21">
            <v>122.973</v>
          </cell>
          <cell r="BH21">
            <v>132.94499999999999</v>
          </cell>
          <cell r="BI21">
            <v>135.328</v>
          </cell>
          <cell r="BJ21">
            <v>151.077</v>
          </cell>
          <cell r="BK21">
            <v>168.93299999999999</v>
          </cell>
          <cell r="BL21">
            <v>174.59967857317255</v>
          </cell>
          <cell r="BM21">
            <v>171.36261927141103</v>
          </cell>
          <cell r="BN21">
            <v>184.92893031977596</v>
          </cell>
          <cell r="BO21">
            <v>193.27948254700368</v>
          </cell>
          <cell r="BP21">
            <v>199.61123455763479</v>
          </cell>
          <cell r="BQ21">
            <v>198.67064037960648</v>
          </cell>
          <cell r="BR21">
            <v>205.30728355574936</v>
          </cell>
          <cell r="BS21">
            <v>210.74583338131481</v>
          </cell>
          <cell r="BT21">
            <v>214.37768744592196</v>
          </cell>
          <cell r="BV21" t="str">
            <v>mstag:costOfServicesSold</v>
          </cell>
          <cell r="BW21">
            <v>6</v>
          </cell>
          <cell r="BX21" t="str">
            <v>ISO4217:USD</v>
          </cell>
          <cell r="BY21" t="b">
            <v>0</v>
          </cell>
          <cell r="BZ21" t="b">
            <v>0</v>
          </cell>
        </row>
        <row r="23">
          <cell r="A23" t="str">
            <v>Rental Gross Profit</v>
          </cell>
          <cell r="C23">
            <v>318.11999999999995</v>
          </cell>
          <cell r="D23">
            <v>383.017</v>
          </cell>
          <cell r="E23">
            <v>447.11</v>
          </cell>
          <cell r="F23">
            <v>681.98099999999999</v>
          </cell>
          <cell r="G23">
            <v>961.822</v>
          </cell>
          <cell r="H23">
            <v>1082.5249999999999</v>
          </cell>
          <cell r="I23">
            <v>1184.011</v>
          </cell>
          <cell r="J23">
            <v>1284.43</v>
          </cell>
          <cell r="K23">
            <v>1488.7440000000001</v>
          </cell>
          <cell r="L23">
            <v>1783.784363092876</v>
          </cell>
          <cell r="M23">
            <v>2135.1519788271448</v>
          </cell>
          <cell r="N23">
            <v>2370.3458325810434</v>
          </cell>
          <cell r="O23">
            <v>2489.9840774002855</v>
          </cell>
          <cell r="P23">
            <v>2596.038637519121</v>
          </cell>
          <cell r="Q23">
            <v>2698.4352676094504</v>
          </cell>
          <cell r="R23">
            <v>2790.219635292503</v>
          </cell>
          <cell r="S23">
            <v>2871.0176823279285</v>
          </cell>
          <cell r="T23">
            <v>2940.0538622057993</v>
          </cell>
          <cell r="U23">
            <v>2995.4860776920696</v>
          </cell>
          <cell r="V23">
            <v>3038.7366348310675</v>
          </cell>
          <cell r="W23">
            <v>0.16769807238996615</v>
          </cell>
          <cell r="Y23">
            <v>69.650000000000006</v>
          </cell>
          <cell r="Z23">
            <v>74.954999999999998</v>
          </cell>
          <cell r="AA23">
            <v>81.555000000000007</v>
          </cell>
          <cell r="AB23">
            <v>91.95999999999998</v>
          </cell>
          <cell r="AC23">
            <v>87.98599999999999</v>
          </cell>
          <cell r="AD23">
            <v>94.031000000000006</v>
          </cell>
          <cell r="AE23">
            <v>98.12700000000001</v>
          </cell>
          <cell r="AF23">
            <v>102.873</v>
          </cell>
          <cell r="AG23">
            <v>105.69999999999999</v>
          </cell>
          <cell r="AH23">
            <v>109.267</v>
          </cell>
          <cell r="AI23">
            <v>115.108</v>
          </cell>
          <cell r="AJ23">
            <v>117.035</v>
          </cell>
          <cell r="AK23">
            <v>133.345</v>
          </cell>
          <cell r="AL23">
            <v>138.01000000000002</v>
          </cell>
          <cell r="AM23">
            <v>191.01499999999999</v>
          </cell>
          <cell r="AN23">
            <v>219.61099999999999</v>
          </cell>
          <cell r="AO23">
            <v>236.71800000000002</v>
          </cell>
          <cell r="AP23">
            <v>237.041</v>
          </cell>
          <cell r="AQ23">
            <v>241.80200000000002</v>
          </cell>
          <cell r="AR23">
            <v>246.26100000000002</v>
          </cell>
          <cell r="AS23">
            <v>262.26800000000003</v>
          </cell>
          <cell r="AT23">
            <v>264.86500000000001</v>
          </cell>
          <cell r="AU23">
            <v>274.68700000000001</v>
          </cell>
          <cell r="AV23">
            <v>280.70499999999998</v>
          </cell>
          <cell r="AW23">
            <v>287.05200000000002</v>
          </cell>
          <cell r="AX23">
            <v>292.39100000000002</v>
          </cell>
          <cell r="AY23">
            <v>300.70000000000005</v>
          </cell>
          <cell r="AZ23">
            <v>303.86799999999999</v>
          </cell>
          <cell r="BA23">
            <v>305.85699999999997</v>
          </cell>
          <cell r="BB23">
            <v>314.42099999999999</v>
          </cell>
          <cell r="BC23">
            <v>329.39699999999999</v>
          </cell>
          <cell r="BD23">
            <v>334.755</v>
          </cell>
          <cell r="BE23">
            <v>343.39400000000001</v>
          </cell>
          <cell r="BF23">
            <v>350.70799999999997</v>
          </cell>
          <cell r="BG23">
            <v>384.43100000000004</v>
          </cell>
          <cell r="BH23">
            <v>410.21100000000001</v>
          </cell>
          <cell r="BI23">
            <v>418.79599999999999</v>
          </cell>
          <cell r="BJ23">
            <v>439.50900000000001</v>
          </cell>
          <cell r="BK23">
            <v>454.54300000000001</v>
          </cell>
          <cell r="BL23">
            <v>470.93636309287575</v>
          </cell>
          <cell r="BM23">
            <v>486.40713828423316</v>
          </cell>
          <cell r="BN23">
            <v>526.82926423402796</v>
          </cell>
          <cell r="BO23">
            <v>551.60134564845805</v>
          </cell>
          <cell r="BP23">
            <v>570.31423066042589</v>
          </cell>
          <cell r="BQ23">
            <v>567.20725339621617</v>
          </cell>
          <cell r="BR23">
            <v>586.82913624721868</v>
          </cell>
          <cell r="BS23">
            <v>602.85385857971482</v>
          </cell>
          <cell r="BT23">
            <v>613.45558435789394</v>
          </cell>
        </row>
        <row r="24">
          <cell r="A24" t="str">
            <v>Rental Gross Margin</v>
          </cell>
          <cell r="C24">
            <v>0.58380711535567598</v>
          </cell>
          <cell r="D24">
            <v>0.61807141231924634</v>
          </cell>
          <cell r="E24">
            <v>0.65326655192264427</v>
          </cell>
          <cell r="F24">
            <v>0.73350061628674867</v>
          </cell>
          <cell r="G24">
            <v>0.74325460485847727</v>
          </cell>
          <cell r="H24">
            <v>0.75914725012710593</v>
          </cell>
          <cell r="I24">
            <v>0.76534208986868435</v>
          </cell>
          <cell r="J24">
            <v>0.7698481197779935</v>
          </cell>
          <cell r="K24">
            <v>0.76883121175517322</v>
          </cell>
          <cell r="L24">
            <v>0.74895347764196885</v>
          </cell>
          <cell r="M24">
            <v>0.75</v>
          </cell>
          <cell r="N24">
            <v>0.74999999999999989</v>
          </cell>
          <cell r="O24">
            <v>0.75</v>
          </cell>
          <cell r="P24">
            <v>0.75099999999999978</v>
          </cell>
          <cell r="Q24">
            <v>0.75199999999999989</v>
          </cell>
          <cell r="R24">
            <v>0.75299999999999978</v>
          </cell>
          <cell r="S24">
            <v>0.75399999999999978</v>
          </cell>
          <cell r="T24">
            <v>0.75499999999999967</v>
          </cell>
          <cell r="U24">
            <v>0.75599999999999967</v>
          </cell>
          <cell r="V24">
            <v>0.75699999999999956</v>
          </cell>
          <cell r="Y24">
            <v>0.55015363227778613</v>
          </cell>
          <cell r="Z24">
            <v>0.56776778748191525</v>
          </cell>
          <cell r="AA24">
            <v>0.59029386218876667</v>
          </cell>
          <cell r="AB24">
            <v>0.62081443076258358</v>
          </cell>
          <cell r="AC24">
            <v>0.60074285480192813</v>
          </cell>
          <cell r="AD24">
            <v>0.61896706074409547</v>
          </cell>
          <cell r="AE24">
            <v>0.62029925470785685</v>
          </cell>
          <cell r="AF24">
            <v>0.6306352144967694</v>
          </cell>
          <cell r="AG24">
            <v>0.64225646509819168</v>
          </cell>
          <cell r="AH24">
            <v>0.65200164690578621</v>
          </cell>
          <cell r="AI24">
            <v>0.65796302859167977</v>
          </cell>
          <cell r="AJ24">
            <v>0.66004748664790514</v>
          </cell>
          <cell r="AK24">
            <v>0.73439995593985796</v>
          </cell>
          <cell r="AL24">
            <v>0.74758002047570815</v>
          </cell>
          <cell r="AM24">
            <v>0.73244475461193059</v>
          </cell>
          <cell r="AN24">
            <v>0.72528666543369713</v>
          </cell>
          <cell r="AO24">
            <v>0.74849411400149879</v>
          </cell>
          <cell r="AP24">
            <v>0.74036212125471235</v>
          </cell>
          <cell r="AQ24">
            <v>0.7408081420820275</v>
          </cell>
          <cell r="AR24">
            <v>0.74345861120587375</v>
          </cell>
          <cell r="AS24">
            <v>0.75793647353256532</v>
          </cell>
          <cell r="AT24">
            <v>0.7550851685553418</v>
          </cell>
          <cell r="AU24">
            <v>0.76594920013496071</v>
          </cell>
          <cell r="AV24">
            <v>0.75754018372788401</v>
          </cell>
          <cell r="AW24">
            <v>0.76755360537778461</v>
          </cell>
          <cell r="AX24">
            <v>0.76075536695087465</v>
          </cell>
          <cell r="AY24">
            <v>0.7624316676639723</v>
          </cell>
          <cell r="AZ24">
            <v>0.77062638056569277</v>
          </cell>
          <cell r="BA24">
            <v>0.77246954769198906</v>
          </cell>
          <cell r="BB24">
            <v>0.77300608972073825</v>
          </cell>
          <cell r="BC24">
            <v>0.76510539457638926</v>
          </cell>
          <cell r="BD24">
            <v>0.76920337226589341</v>
          </cell>
          <cell r="BE24">
            <v>0.77372706830277282</v>
          </cell>
          <cell r="BF24">
            <v>0.76828608419627531</v>
          </cell>
          <cell r="BG24">
            <v>0.76913735117171955</v>
          </cell>
          <cell r="BH24">
            <v>0.7649579582771564</v>
          </cell>
          <cell r="BI24">
            <v>0.76610659373828105</v>
          </cell>
          <cell r="BJ24">
            <v>0.75279143736543808</v>
          </cell>
          <cell r="BK24">
            <v>0.73932512263991357</v>
          </cell>
          <cell r="BL24">
            <v>0.74</v>
          </cell>
          <cell r="BM24">
            <v>0.75</v>
          </cell>
          <cell r="BN24">
            <v>0.75000000000000011</v>
          </cell>
          <cell r="BO24">
            <v>0.75</v>
          </cell>
          <cell r="BP24">
            <v>0.75</v>
          </cell>
          <cell r="BQ24">
            <v>0.75</v>
          </cell>
          <cell r="BR24">
            <v>0.74999999999999989</v>
          </cell>
          <cell r="BS24">
            <v>0.75</v>
          </cell>
          <cell r="BT24">
            <v>0.75</v>
          </cell>
        </row>
        <row r="25">
          <cell r="A25" t="str">
            <v>Network Dev Gross Profit</v>
          </cell>
          <cell r="C25">
            <v>16.097999999999999</v>
          </cell>
          <cell r="D25">
            <v>17.045000000000002</v>
          </cell>
          <cell r="E25">
            <v>17.634999999999998</v>
          </cell>
          <cell r="F25">
            <v>19.637999999999998</v>
          </cell>
          <cell r="G25">
            <v>20.18</v>
          </cell>
          <cell r="H25">
            <v>22.080999999999996</v>
          </cell>
          <cell r="I25">
            <v>23.483999999999998</v>
          </cell>
          <cell r="J25">
            <v>23.308999999999997</v>
          </cell>
          <cell r="K25">
            <v>22.004999999999999</v>
          </cell>
          <cell r="L25">
            <v>28.762398999999998</v>
          </cell>
          <cell r="M25">
            <v>27.129784442148988</v>
          </cell>
          <cell r="N25">
            <v>28.23136248093585</v>
          </cell>
          <cell r="O25">
            <v>28.795989730554567</v>
          </cell>
          <cell r="P25">
            <v>29.371909525165655</v>
          </cell>
          <cell r="Q25">
            <v>29.959347715668969</v>
          </cell>
          <cell r="R25">
            <v>30.55853466998235</v>
          </cell>
          <cell r="S25">
            <v>30.864120016682179</v>
          </cell>
          <cell r="T25">
            <v>31.172761216848997</v>
          </cell>
          <cell r="U25">
            <v>31.484488829017494</v>
          </cell>
          <cell r="V25">
            <v>31.799333717307668</v>
          </cell>
          <cell r="W25">
            <v>8.6601136951611757E-2</v>
          </cell>
          <cell r="Y25">
            <v>5.4470000000000027</v>
          </cell>
          <cell r="Z25">
            <v>4.8990000000000009</v>
          </cell>
          <cell r="AA25">
            <v>1.7259999999999991</v>
          </cell>
          <cell r="AB25">
            <v>1.0180000000000007</v>
          </cell>
          <cell r="AC25">
            <v>0.29300000000000104</v>
          </cell>
          <cell r="AD25">
            <v>1.8659999999999997</v>
          </cell>
          <cell r="AE25">
            <v>2.407</v>
          </cell>
          <cell r="AF25">
            <v>1.0619999999999998</v>
          </cell>
          <cell r="AG25">
            <v>0.65399999999999991</v>
          </cell>
          <cell r="AH25">
            <v>1.3599999999999999</v>
          </cell>
          <cell r="AI25">
            <v>0.80099999999999927</v>
          </cell>
          <cell r="AJ25">
            <v>0.62199999999999989</v>
          </cell>
          <cell r="AK25">
            <v>1.3530000000000002</v>
          </cell>
          <cell r="AL25">
            <v>1.3610000000000002</v>
          </cell>
          <cell r="AM25">
            <v>1.5910000000000002</v>
          </cell>
          <cell r="AN25">
            <v>2.3730000000000002</v>
          </cell>
          <cell r="AO25">
            <v>2.0790000000000002</v>
          </cell>
          <cell r="AP25">
            <v>3.085</v>
          </cell>
          <cell r="AQ25">
            <v>4.1029999999999998</v>
          </cell>
          <cell r="AR25">
            <v>2.7589999999999999</v>
          </cell>
          <cell r="AS25">
            <v>2.9230000000000005</v>
          </cell>
          <cell r="AT25">
            <v>3.516</v>
          </cell>
          <cell r="AU25">
            <v>4.1209999999999996</v>
          </cell>
          <cell r="AV25">
            <v>3.887</v>
          </cell>
          <cell r="AW25">
            <v>4.5740000000000007</v>
          </cell>
          <cell r="AX25">
            <v>4.4630000000000001</v>
          </cell>
          <cell r="AY25">
            <v>4.7110000000000003</v>
          </cell>
          <cell r="AZ25">
            <v>5.8899999999999988</v>
          </cell>
          <cell r="BA25">
            <v>5.1159999999999997</v>
          </cell>
          <cell r="BB25">
            <v>6.363999999999999</v>
          </cell>
          <cell r="BC25">
            <v>6.1139999999999999</v>
          </cell>
          <cell r="BD25">
            <v>5.7149999999999999</v>
          </cell>
          <cell r="BE25">
            <v>4.5709999999999997</v>
          </cell>
          <cell r="BF25">
            <v>7.0299999999999994</v>
          </cell>
          <cell r="BG25">
            <v>5.9179999999999993</v>
          </cell>
          <cell r="BH25">
            <v>4.4859999999999998</v>
          </cell>
          <cell r="BI25">
            <v>8.570999999999998</v>
          </cell>
          <cell r="BJ25">
            <v>6.6490000000000009</v>
          </cell>
          <cell r="BK25">
            <v>6.9270000000000014</v>
          </cell>
          <cell r="BL25">
            <v>6.615399</v>
          </cell>
          <cell r="BM25">
            <v>6.6815529900000001</v>
          </cell>
          <cell r="BN25">
            <v>6.7483685198999996</v>
          </cell>
          <cell r="BO25">
            <v>6.8158522050990005</v>
          </cell>
          <cell r="BP25">
            <v>6.88401072714999</v>
          </cell>
          <cell r="BQ25">
            <v>6.9528508344214899</v>
          </cell>
          <cell r="BR25">
            <v>7.0223793427657046</v>
          </cell>
          <cell r="BS25">
            <v>7.092603136193361</v>
          </cell>
          <cell r="BT25">
            <v>7.1635291675552946</v>
          </cell>
        </row>
        <row r="26">
          <cell r="A26" t="str">
            <v>Network Dev Gross Margin</v>
          </cell>
          <cell r="C26">
            <v>0.10066409034630247</v>
          </cell>
          <cell r="D26">
            <v>0.24324632882850741</v>
          </cell>
          <cell r="E26">
            <v>0.79301196150732978</v>
          </cell>
          <cell r="F26">
            <v>1.3071086261980829</v>
          </cell>
          <cell r="G26">
            <v>0.8654629669339966</v>
          </cell>
          <cell r="H26">
            <v>0.72115353212057864</v>
          </cell>
          <cell r="I26">
            <v>0.5053691708450796</v>
          </cell>
          <cell r="J26">
            <v>0.4185190505260889</v>
          </cell>
          <cell r="K26">
            <v>0.44943017033617905</v>
          </cell>
          <cell r="L26">
            <v>0.4732062561336054</v>
          </cell>
          <cell r="M26">
            <v>0.41999999999999993</v>
          </cell>
          <cell r="N26">
            <v>0.41999999999999993</v>
          </cell>
          <cell r="O26">
            <v>0.41999999999999993</v>
          </cell>
          <cell r="P26">
            <v>0.41999999999999993</v>
          </cell>
          <cell r="Q26">
            <v>0.41999999999999987</v>
          </cell>
          <cell r="R26">
            <v>0.41999999999999987</v>
          </cell>
          <cell r="S26">
            <v>0.41999999999999993</v>
          </cell>
          <cell r="T26">
            <v>0.41999999999999993</v>
          </cell>
          <cell r="U26">
            <v>0.42</v>
          </cell>
          <cell r="V26">
            <v>0.41999999999999993</v>
          </cell>
          <cell r="Y26">
            <v>9.0760643172540248E-2</v>
          </cell>
          <cell r="Z26">
            <v>0.14485511531638087</v>
          </cell>
          <cell r="AA26">
            <v>4.6920023922144269E-2</v>
          </cell>
          <cell r="AB26">
            <v>3.4747585076970358E-2</v>
          </cell>
          <cell r="AC26">
            <v>1.9526824391869445E-2</v>
          </cell>
          <cell r="AD26">
            <v>7.985962509629374E-2</v>
          </cell>
          <cell r="AE26">
            <v>8.3923154701718905E-2</v>
          </cell>
          <cell r="AF26">
            <v>0.35153922542204563</v>
          </cell>
          <cell r="AG26">
            <v>0.15516014234875444</v>
          </cell>
          <cell r="AH26">
            <v>0.28905419766206158</v>
          </cell>
          <cell r="AI26">
            <v>0.13496208930075809</v>
          </cell>
          <cell r="AJ26">
            <v>8.4247595828254085E-2</v>
          </cell>
          <cell r="AK26">
            <v>0.48581687612208263</v>
          </cell>
          <cell r="AL26">
            <v>0.39437844103158509</v>
          </cell>
          <cell r="AM26">
            <v>0.40227560050568906</v>
          </cell>
          <cell r="AN26">
            <v>0.49099937926753573</v>
          </cell>
          <cell r="AO26">
            <v>0.50096385542168675</v>
          </cell>
          <cell r="AP26">
            <v>0.54179838426413773</v>
          </cell>
          <cell r="AQ26">
            <v>0.58083238958097394</v>
          </cell>
          <cell r="AR26">
            <v>0.43048837572164145</v>
          </cell>
          <cell r="AS26">
            <v>0.45352986811481777</v>
          </cell>
          <cell r="AT26">
            <v>0.45972803347280339</v>
          </cell>
          <cell r="AU26">
            <v>0.45983039500111578</v>
          </cell>
          <cell r="AV26">
            <v>0.51388154415653098</v>
          </cell>
          <cell r="AW26">
            <v>0.55773686135837097</v>
          </cell>
          <cell r="AX26">
            <v>0.47554608417687799</v>
          </cell>
          <cell r="AY26">
            <v>0.31676976869284562</v>
          </cell>
          <cell r="AZ26">
            <v>0.4203839840125615</v>
          </cell>
          <cell r="BA26">
            <v>0.40185374283245617</v>
          </cell>
          <cell r="BB26">
            <v>0.38321189859697713</v>
          </cell>
          <cell r="BC26">
            <v>0.45022091310751106</v>
          </cell>
          <cell r="BD26">
            <v>0.44732310582341889</v>
          </cell>
          <cell r="BE26">
            <v>0.43057648831951773</v>
          </cell>
          <cell r="BF26">
            <v>0.52244351961950053</v>
          </cell>
          <cell r="BG26">
            <v>0.43833790089622987</v>
          </cell>
          <cell r="BH26">
            <v>0.39388884010887698</v>
          </cell>
          <cell r="BI26">
            <v>0.53435162094763078</v>
          </cell>
          <cell r="BJ26">
            <v>0.49634219169901467</v>
          </cell>
          <cell r="BK26">
            <v>0.4441808271882014</v>
          </cell>
          <cell r="BL26">
            <v>0.42</v>
          </cell>
          <cell r="BM26">
            <v>0.42</v>
          </cell>
          <cell r="BN26">
            <v>0.41999999999999993</v>
          </cell>
          <cell r="BO26">
            <v>0.41999999999999993</v>
          </cell>
          <cell r="BP26">
            <v>0.41999999999999993</v>
          </cell>
          <cell r="BQ26">
            <v>0.41999999999999993</v>
          </cell>
          <cell r="BR26">
            <v>0.41999999999999993</v>
          </cell>
          <cell r="BS26">
            <v>0.41999999999999993</v>
          </cell>
          <cell r="BT26">
            <v>0.41999999999999993</v>
          </cell>
        </row>
        <row r="27">
          <cell r="A27" t="str">
            <v>Gross Profit</v>
          </cell>
          <cell r="C27">
            <v>331.20999999999992</v>
          </cell>
          <cell r="D27">
            <v>388.64499999999998</v>
          </cell>
          <cell r="E27">
            <v>450.54700000000008</v>
          </cell>
          <cell r="F27">
            <v>688.65899999999988</v>
          </cell>
          <cell r="G27">
            <v>973.84799999999996</v>
          </cell>
          <cell r="H27">
            <v>1096.9719999999998</v>
          </cell>
          <cell r="I27">
            <v>1203.6489999999999</v>
          </cell>
          <cell r="J27">
            <v>1307.739</v>
          </cell>
          <cell r="K27">
            <v>1510.749</v>
          </cell>
          <cell r="L27">
            <v>1812.5467620928762</v>
          </cell>
          <cell r="M27">
            <v>2162.2817632692941</v>
          </cell>
          <cell r="N27">
            <v>2398.5771950619796</v>
          </cell>
          <cell r="O27">
            <v>2518.7800671308401</v>
          </cell>
          <cell r="P27">
            <v>2625.4105470442873</v>
          </cell>
          <cell r="Q27">
            <v>2728.3946153251195</v>
          </cell>
          <cell r="R27">
            <v>2820.7781699624852</v>
          </cell>
          <cell r="S27">
            <v>2901.8818023446102</v>
          </cell>
          <cell r="T27">
            <v>2971.2266234226486</v>
          </cell>
          <cell r="U27">
            <v>3026.9705665210868</v>
          </cell>
          <cell r="V27">
            <v>3070.535968548375</v>
          </cell>
          <cell r="W27">
            <v>0.16659594250150134</v>
          </cell>
          <cell r="Y27">
            <v>75.09699999999998</v>
          </cell>
          <cell r="Z27">
            <v>79.853999999999985</v>
          </cell>
          <cell r="AA27">
            <v>83.281000000000006</v>
          </cell>
          <cell r="AB27">
            <v>92.97799999999998</v>
          </cell>
          <cell r="AC27">
            <v>88.278999999999982</v>
          </cell>
          <cell r="AD27">
            <v>95.896999999999991</v>
          </cell>
          <cell r="AE27">
            <v>100.53400000000002</v>
          </cell>
          <cell r="AF27">
            <v>103.93499999999999</v>
          </cell>
          <cell r="AG27">
            <v>106.354</v>
          </cell>
          <cell r="AH27">
            <v>110.62700000000001</v>
          </cell>
          <cell r="AI27">
            <v>115.90899999999999</v>
          </cell>
          <cell r="AJ27">
            <v>117.657</v>
          </cell>
          <cell r="AK27">
            <v>134.69799999999998</v>
          </cell>
          <cell r="AL27">
            <v>139.37100000000001</v>
          </cell>
          <cell r="AM27">
            <v>192.60599999999999</v>
          </cell>
          <cell r="AN27">
            <v>221.98400000000001</v>
          </cell>
          <cell r="AO27">
            <v>238.797</v>
          </cell>
          <cell r="AP27">
            <v>240.126</v>
          </cell>
          <cell r="AQ27">
            <v>245.90500000000003</v>
          </cell>
          <cell r="AR27">
            <v>249.02</v>
          </cell>
          <cell r="AS27">
            <v>265.19099999999997</v>
          </cell>
          <cell r="AT27">
            <v>268.38099999999997</v>
          </cell>
          <cell r="AU27">
            <v>278.80799999999999</v>
          </cell>
          <cell r="AV27">
            <v>284.59199999999998</v>
          </cell>
          <cell r="AW27">
            <v>291.62600000000003</v>
          </cell>
          <cell r="AX27">
            <v>296.85400000000004</v>
          </cell>
          <cell r="AY27">
            <v>305.41100000000006</v>
          </cell>
          <cell r="AZ27">
            <v>309.75800000000004</v>
          </cell>
          <cell r="BA27">
            <v>310.97300000000001</v>
          </cell>
          <cell r="BB27">
            <v>320.78499999999997</v>
          </cell>
          <cell r="BC27">
            <v>335.51099999999997</v>
          </cell>
          <cell r="BD27">
            <v>340.47</v>
          </cell>
          <cell r="BE27">
            <v>347.96499999999997</v>
          </cell>
          <cell r="BF27">
            <v>357.738</v>
          </cell>
          <cell r="BG27">
            <v>390.34899999999999</v>
          </cell>
          <cell r="BH27">
            <v>414.69700000000006</v>
          </cell>
          <cell r="BI27">
            <v>427.36699999999996</v>
          </cell>
          <cell r="BJ27">
            <v>446.15800000000002</v>
          </cell>
          <cell r="BK27">
            <v>461.47</v>
          </cell>
          <cell r="BL27">
            <v>477.55176209287572</v>
          </cell>
          <cell r="BM27">
            <v>493.08869127423316</v>
          </cell>
          <cell r="BN27">
            <v>533.5776327539279</v>
          </cell>
          <cell r="BO27">
            <v>558.41719785355701</v>
          </cell>
          <cell r="BP27">
            <v>577.19824138757588</v>
          </cell>
          <cell r="BQ27">
            <v>574.16010423063767</v>
          </cell>
          <cell r="BR27">
            <v>593.8515155899845</v>
          </cell>
          <cell r="BS27">
            <v>609.94646171590819</v>
          </cell>
          <cell r="BT27">
            <v>620.61911352544917</v>
          </cell>
        </row>
        <row r="28">
          <cell r="A28" t="str">
            <v>Gross Margin</v>
          </cell>
          <cell r="C28">
            <v>0.46991873148473939</v>
          </cell>
          <cell r="D28">
            <v>0.56344143700073934</v>
          </cell>
          <cell r="E28">
            <v>0.63757252426909694</v>
          </cell>
          <cell r="F28">
            <v>0.72890474668337579</v>
          </cell>
          <cell r="G28">
            <v>0.73922809201562178</v>
          </cell>
          <cell r="H28">
            <v>0.75310759209498312</v>
          </cell>
          <cell r="I28">
            <v>0.75534733518083419</v>
          </cell>
          <cell r="J28">
            <v>0.75849914796817375</v>
          </cell>
          <cell r="K28">
            <v>0.76095419664691344</v>
          </cell>
          <cell r="L28">
            <v>0.74209142621952884</v>
          </cell>
          <cell r="M28">
            <v>0.7426785084805595</v>
          </cell>
          <cell r="N28">
            <v>0.74312763528166637</v>
          </cell>
          <cell r="O28">
            <v>0.74332296028339195</v>
          </cell>
          <cell r="P28">
            <v>0.74443641268194138</v>
          </cell>
          <cell r="Q28">
            <v>0.74552889504818354</v>
          </cell>
          <cell r="R28">
            <v>0.74658732621622537</v>
          </cell>
          <cell r="S28">
            <v>0.74767610200738743</v>
          </cell>
          <cell r="T28">
            <v>0.74873439810085618</v>
          </cell>
          <cell r="U28">
            <v>0.74976119523935092</v>
          </cell>
          <cell r="V28">
            <v>0.75076141087859982</v>
          </cell>
          <cell r="Y28">
            <v>0.40241458395850294</v>
          </cell>
          <cell r="Z28">
            <v>0.48152101159572347</v>
          </cell>
          <cell r="AA28">
            <v>0.47603832039600796</v>
          </cell>
          <cell r="AB28">
            <v>0.52404114414541347</v>
          </cell>
          <cell r="AC28">
            <v>0.54673091096013426</v>
          </cell>
          <cell r="AD28">
            <v>0.54710124256911719</v>
          </cell>
          <cell r="AE28">
            <v>0.53797746074895392</v>
          </cell>
          <cell r="AF28">
            <v>0.62556049763161536</v>
          </cell>
          <cell r="AG28">
            <v>0.63009283670337879</v>
          </cell>
          <cell r="AH28">
            <v>0.6420901724978525</v>
          </cell>
          <cell r="AI28">
            <v>0.64080251657166865</v>
          </cell>
          <cell r="AJ28">
            <v>0.6370305799800754</v>
          </cell>
          <cell r="AK28">
            <v>0.73064468010089223</v>
          </cell>
          <cell r="AL28">
            <v>0.74109858555780073</v>
          </cell>
          <cell r="AM28">
            <v>0.72751240811948059</v>
          </cell>
          <cell r="AN28">
            <v>0.72160585127996757</v>
          </cell>
          <cell r="AO28">
            <v>0.74528805370635653</v>
          </cell>
          <cell r="AP28">
            <v>0.73689249776746668</v>
          </cell>
          <cell r="AQ28">
            <v>0.73741929486276003</v>
          </cell>
          <cell r="AR28">
            <v>0.73751799221670034</v>
          </cell>
          <cell r="AS28">
            <v>0.75237038760305719</v>
          </cell>
          <cell r="AT28">
            <v>0.7487828627069133</v>
          </cell>
          <cell r="AU28">
            <v>0.7584857924017574</v>
          </cell>
          <cell r="AV28">
            <v>0.75266587677725105</v>
          </cell>
          <cell r="AW28">
            <v>0.76305130513051311</v>
          </cell>
          <cell r="AX28">
            <v>0.75395704648894679</v>
          </cell>
          <cell r="AY28">
            <v>0.74623718443660403</v>
          </cell>
          <cell r="AZ28">
            <v>0.75860836002782106</v>
          </cell>
          <cell r="BA28">
            <v>0.7609242484303046</v>
          </cell>
          <cell r="BB28">
            <v>0.75771569215652002</v>
          </cell>
          <cell r="BC28">
            <v>0.75547674536427201</v>
          </cell>
          <cell r="BD28">
            <v>0.76002348355816096</v>
          </cell>
          <cell r="BE28">
            <v>0.76571075227645824</v>
          </cell>
          <cell r="BF28">
            <v>0.76124672030506213</v>
          </cell>
          <cell r="BG28">
            <v>0.7604369187371669</v>
          </cell>
          <cell r="BH28">
            <v>0.75724104433188111</v>
          </cell>
          <cell r="BI28">
            <v>0.75950026213135002</v>
          </cell>
          <cell r="BJ28">
            <v>0.74703927264812009</v>
          </cell>
          <cell r="BK28">
            <v>0.73202380064815686</v>
          </cell>
          <cell r="BL28">
            <v>0.73227126755274463</v>
          </cell>
          <cell r="BM28">
            <v>0.74209905744532445</v>
          </cell>
          <cell r="BN28">
            <v>0.74262040206192781</v>
          </cell>
          <cell r="BO28">
            <v>0.74287570028377692</v>
          </cell>
          <cell r="BP28">
            <v>0.7430370757066902</v>
          </cell>
          <cell r="BQ28">
            <v>0.74293124107038411</v>
          </cell>
          <cell r="BR28">
            <v>0.74309576047312009</v>
          </cell>
          <cell r="BS28">
            <v>0.74320968450623881</v>
          </cell>
          <cell r="BT28">
            <v>0.74325927093788691</v>
          </cell>
        </row>
        <row r="30">
          <cell r="A30" t="str">
            <v>Corp. General, Admin. &amp; Development</v>
          </cell>
          <cell r="C30">
            <v>37.201999999999998</v>
          </cell>
          <cell r="D30">
            <v>26.867000000000001</v>
          </cell>
          <cell r="E30">
            <v>27.467999999999996</v>
          </cell>
          <cell r="F30">
            <v>102.223</v>
          </cell>
          <cell r="G30">
            <v>119.822</v>
          </cell>
          <cell r="H30">
            <v>132.28400000000002</v>
          </cell>
          <cell r="I30">
            <v>125.568</v>
          </cell>
          <cell r="J30">
            <v>141.024</v>
          </cell>
          <cell r="K30">
            <v>177.21300000000002</v>
          </cell>
          <cell r="L30">
            <v>242.46138686327458</v>
          </cell>
          <cell r="M30">
            <v>276.58908284668632</v>
          </cell>
          <cell r="N30">
            <v>290.49107758421144</v>
          </cell>
          <cell r="O30">
            <v>288.02595526512079</v>
          </cell>
          <cell r="P30">
            <v>303.29696828287052</v>
          </cell>
          <cell r="Q30">
            <v>318.39185993984063</v>
          </cell>
          <cell r="R30">
            <v>332.48418535945945</v>
          </cell>
          <cell r="S30">
            <v>345.42695655948415</v>
          </cell>
          <cell r="T30">
            <v>357.14987422284497</v>
          </cell>
          <cell r="U30">
            <v>367.38940785736963</v>
          </cell>
          <cell r="V30">
            <v>376.27041695691213</v>
          </cell>
          <cell r="W30">
            <v>0.17908669829884327</v>
          </cell>
          <cell r="Y30">
            <v>12.099999999999998</v>
          </cell>
          <cell r="Z30">
            <v>10.452999999999999</v>
          </cell>
          <cell r="AA30">
            <v>8.0120000000000005</v>
          </cell>
          <cell r="AB30">
            <v>6.6369999999999996</v>
          </cell>
          <cell r="AC30">
            <v>6.6479999999999997</v>
          </cell>
          <cell r="AD30">
            <v>6.9649999999999999</v>
          </cell>
          <cell r="AE30">
            <v>6.4930000000000003</v>
          </cell>
          <cell r="AF30">
            <v>6.7610000000000001</v>
          </cell>
          <cell r="AG30">
            <v>6.8789999999999996</v>
          </cell>
          <cell r="AH30">
            <v>6.6509999999999998</v>
          </cell>
          <cell r="AI30">
            <v>6.8609999999999998</v>
          </cell>
          <cell r="AJ30">
            <v>7.077</v>
          </cell>
          <cell r="AK30">
            <v>20.904</v>
          </cell>
          <cell r="AL30">
            <v>20.599</v>
          </cell>
          <cell r="AM30">
            <v>30.506</v>
          </cell>
          <cell r="AN30">
            <v>30.214000000000002</v>
          </cell>
          <cell r="AO30">
            <v>26.802000000000003</v>
          </cell>
          <cell r="AP30">
            <v>27.262999999999998</v>
          </cell>
          <cell r="AQ30">
            <v>31.701000000000001</v>
          </cell>
          <cell r="AR30">
            <v>34.056000000000004</v>
          </cell>
          <cell r="AS30">
            <v>32.379000000000005</v>
          </cell>
          <cell r="AT30">
            <v>30.517000000000003</v>
          </cell>
          <cell r="AU30">
            <v>33.764000000000003</v>
          </cell>
          <cell r="AV30">
            <v>35.624000000000002</v>
          </cell>
          <cell r="AW30">
            <v>32.644999999999996</v>
          </cell>
          <cell r="AX30">
            <v>28.186999999999998</v>
          </cell>
          <cell r="AY30">
            <v>31.47</v>
          </cell>
          <cell r="AZ30">
            <v>33.266000000000005</v>
          </cell>
          <cell r="BA30">
            <v>33.292999999999999</v>
          </cell>
          <cell r="BB30">
            <v>37.024999999999999</v>
          </cell>
          <cell r="BC30">
            <v>34.914999999999999</v>
          </cell>
          <cell r="BD30">
            <v>35.791000000000004</v>
          </cell>
          <cell r="BE30">
            <v>39.962000000000003</v>
          </cell>
          <cell r="BF30">
            <v>40.353999999999999</v>
          </cell>
          <cell r="BG30">
            <v>43.942</v>
          </cell>
          <cell r="BH30">
            <v>52.954999999999998</v>
          </cell>
          <cell r="BI30">
            <v>53.774000000000001</v>
          </cell>
          <cell r="BJ30">
            <v>60.634</v>
          </cell>
          <cell r="BK30">
            <v>66.099000000000004</v>
          </cell>
          <cell r="BL30">
            <v>61.954386863274593</v>
          </cell>
          <cell r="BM30">
            <v>63.122874501836201</v>
          </cell>
          <cell r="BN30">
            <v>68.258123492001872</v>
          </cell>
          <cell r="BO30">
            <v>71.411184638053271</v>
          </cell>
          <cell r="BP30">
            <v>73.796900214795016</v>
          </cell>
          <cell r="BQ30">
            <v>69.554767014921964</v>
          </cell>
          <cell r="BR30">
            <v>71.924291923116044</v>
          </cell>
          <cell r="BS30">
            <v>73.862306558750063</v>
          </cell>
          <cell r="BT30">
            <v>75.149712087423396</v>
          </cell>
          <cell r="BV30" t="str">
            <v>mstag:generalAndAdministrativeExpenses</v>
          </cell>
          <cell r="BW30">
            <v>6</v>
          </cell>
          <cell r="BX30" t="str">
            <v>ISO4217:USD</v>
          </cell>
          <cell r="BY30" t="b">
            <v>0</v>
          </cell>
          <cell r="BZ30" t="b">
            <v>0</v>
          </cell>
        </row>
        <row r="31">
          <cell r="A31" t="str">
            <v>TV Azteca</v>
          </cell>
          <cell r="C31">
            <v>13.937999999999999</v>
          </cell>
          <cell r="D31">
            <v>14.222</v>
          </cell>
          <cell r="E31">
            <v>14.315999999999999</v>
          </cell>
          <cell r="F31">
            <v>14.232000000000001</v>
          </cell>
          <cell r="G31">
            <v>14.208</v>
          </cell>
          <cell r="H31">
            <v>14.207000000000001</v>
          </cell>
          <cell r="I31">
            <v>14.253</v>
          </cell>
          <cell r="J31">
            <v>14.21</v>
          </cell>
          <cell r="K31">
            <v>14.212</v>
          </cell>
          <cell r="L31">
            <v>14.085000000000001</v>
          </cell>
          <cell r="M31">
            <v>13.992000000000001</v>
          </cell>
          <cell r="N31">
            <v>13.992000000000001</v>
          </cell>
          <cell r="O31">
            <v>13.992000000000001</v>
          </cell>
          <cell r="P31">
            <v>13.992000000000001</v>
          </cell>
          <cell r="Q31">
            <v>13.992000000000001</v>
          </cell>
          <cell r="R31">
            <v>13.992000000000001</v>
          </cell>
          <cell r="S31">
            <v>13.992000000000001</v>
          </cell>
          <cell r="T31">
            <v>13.992000000000001</v>
          </cell>
          <cell r="U31">
            <v>13.992000000000001</v>
          </cell>
          <cell r="V31">
            <v>13.992000000000001</v>
          </cell>
          <cell r="Y31">
            <v>3.4289999999999998</v>
          </cell>
          <cell r="Z31">
            <v>3.4710000000000001</v>
          </cell>
          <cell r="AA31">
            <v>3.5139999999999998</v>
          </cell>
          <cell r="AB31">
            <v>3.524</v>
          </cell>
          <cell r="AC31">
            <v>3.5019999999999998</v>
          </cell>
          <cell r="AD31">
            <v>3.528</v>
          </cell>
          <cell r="AE31">
            <v>3.5230000000000001</v>
          </cell>
          <cell r="AF31">
            <v>3.669</v>
          </cell>
          <cell r="AG31">
            <v>3.54</v>
          </cell>
          <cell r="AH31">
            <v>3.6520000000000001</v>
          </cell>
          <cell r="AI31">
            <v>3.5840000000000001</v>
          </cell>
          <cell r="AJ31">
            <v>3.54</v>
          </cell>
          <cell r="AK31">
            <v>3.4980000000000002</v>
          </cell>
          <cell r="AL31">
            <v>3.5840000000000001</v>
          </cell>
          <cell r="AM31">
            <v>3.609</v>
          </cell>
          <cell r="AN31">
            <v>3.5409999999999999</v>
          </cell>
          <cell r="AO31">
            <v>3.4980000000000002</v>
          </cell>
          <cell r="AP31">
            <v>3.5840000000000001</v>
          </cell>
          <cell r="AQ31">
            <v>3.5840000000000001</v>
          </cell>
          <cell r="AR31">
            <v>3.5419999999999998</v>
          </cell>
          <cell r="AS31">
            <v>3.4980000000000002</v>
          </cell>
          <cell r="AT31">
            <v>3.5840000000000001</v>
          </cell>
          <cell r="AU31">
            <v>3.5840000000000001</v>
          </cell>
          <cell r="AV31">
            <v>3.5410000000000013</v>
          </cell>
          <cell r="AW31">
            <v>3.5409999999999999</v>
          </cell>
          <cell r="AX31">
            <v>3.5840000000000001</v>
          </cell>
          <cell r="AY31">
            <v>3.5859999999999999</v>
          </cell>
          <cell r="AZ31">
            <v>3.5419999999999998</v>
          </cell>
          <cell r="BA31">
            <v>3.4990000000000001</v>
          </cell>
          <cell r="BB31">
            <v>3.585</v>
          </cell>
          <cell r="BC31">
            <v>3.585</v>
          </cell>
          <cell r="BD31">
            <v>3.5409999999999999</v>
          </cell>
          <cell r="BE31">
            <v>3.4990000000000001</v>
          </cell>
          <cell r="BF31">
            <v>3.585</v>
          </cell>
          <cell r="BG31">
            <v>3.585</v>
          </cell>
          <cell r="BH31">
            <v>3.5430000000000001</v>
          </cell>
          <cell r="BI31">
            <v>3.4990000000000001</v>
          </cell>
          <cell r="BJ31">
            <v>3.59</v>
          </cell>
          <cell r="BK31">
            <v>3.4980000000000002</v>
          </cell>
          <cell r="BL31">
            <v>3.4980000000000002</v>
          </cell>
          <cell r="BM31">
            <v>3.4980000000000002</v>
          </cell>
          <cell r="BN31">
            <v>3.4980000000000002</v>
          </cell>
          <cell r="BO31">
            <v>3.4980000000000002</v>
          </cell>
          <cell r="BP31">
            <v>3.4980000000000002</v>
          </cell>
          <cell r="BQ31">
            <v>3.4980000000000002</v>
          </cell>
          <cell r="BR31">
            <v>3.4980000000000002</v>
          </cell>
          <cell r="BS31">
            <v>3.4980000000000002</v>
          </cell>
          <cell r="BT31">
            <v>3.4980000000000002</v>
          </cell>
          <cell r="BV31" t="str">
            <v>mstag:otherOperatingExpense</v>
          </cell>
          <cell r="BW31">
            <v>6</v>
          </cell>
          <cell r="BX31" t="str">
            <v>ISO4217:USD</v>
          </cell>
          <cell r="BY31" t="b">
            <v>1</v>
          </cell>
        </row>
        <row r="32">
          <cell r="A32" t="str">
            <v>Stock compensation</v>
          </cell>
          <cell r="C32">
            <v>0</v>
          </cell>
          <cell r="D32">
            <v>0</v>
          </cell>
          <cell r="E32">
            <v>0</v>
          </cell>
          <cell r="F32">
            <v>5.8360000000000003</v>
          </cell>
          <cell r="G32">
            <v>39.501999999999995</v>
          </cell>
          <cell r="H32">
            <v>54.198999999999998</v>
          </cell>
          <cell r="I32">
            <v>54.805999999999997</v>
          </cell>
          <cell r="J32">
            <v>60.67</v>
          </cell>
          <cell r="K32">
            <v>52.555999999999997</v>
          </cell>
          <cell r="L32">
            <v>47.832000000000008</v>
          </cell>
          <cell r="M32">
            <v>51.832000000000008</v>
          </cell>
          <cell r="N32">
            <v>55.832000000000008</v>
          </cell>
          <cell r="O32">
            <v>55.832000000000008</v>
          </cell>
          <cell r="P32">
            <v>55.832000000000008</v>
          </cell>
          <cell r="Q32">
            <v>55.832000000000008</v>
          </cell>
          <cell r="R32">
            <v>55.832000000000008</v>
          </cell>
          <cell r="S32">
            <v>55.832000000000008</v>
          </cell>
          <cell r="T32">
            <v>55.832000000000008</v>
          </cell>
          <cell r="U32">
            <v>55.832000000000008</v>
          </cell>
          <cell r="V32">
            <v>55.832000000000008</v>
          </cell>
          <cell r="Y32">
            <v>0</v>
          </cell>
          <cell r="Z32">
            <v>0</v>
          </cell>
          <cell r="AA32">
            <v>0</v>
          </cell>
          <cell r="AB32">
            <v>0</v>
          </cell>
          <cell r="AC32">
            <v>0</v>
          </cell>
          <cell r="AD32">
            <v>0</v>
          </cell>
          <cell r="AE32">
            <v>0</v>
          </cell>
          <cell r="AF32">
            <v>0</v>
          </cell>
          <cell r="AG32">
            <v>0</v>
          </cell>
          <cell r="AH32">
            <v>0</v>
          </cell>
          <cell r="AI32">
            <v>0</v>
          </cell>
          <cell r="AJ32">
            <v>0</v>
          </cell>
          <cell r="AK32">
            <v>0</v>
          </cell>
          <cell r="AL32">
            <v>1.7649999999999999</v>
          </cell>
          <cell r="AM32">
            <v>2.0880000000000001</v>
          </cell>
          <cell r="AN32">
            <v>1.9830000000000001</v>
          </cell>
          <cell r="AO32">
            <v>9.5109999999999992</v>
          </cell>
          <cell r="AP32">
            <v>9.3469999999999995</v>
          </cell>
          <cell r="AQ32">
            <v>10.683</v>
          </cell>
          <cell r="AR32">
            <v>9.9610000000000003</v>
          </cell>
          <cell r="AS32">
            <v>16.263999999999999</v>
          </cell>
          <cell r="AT32">
            <v>11.545999999999999</v>
          </cell>
          <cell r="AU32">
            <v>15.266</v>
          </cell>
          <cell r="AV32">
            <v>11.122999999999999</v>
          </cell>
          <cell r="AW32">
            <v>16.263999999999999</v>
          </cell>
          <cell r="AX32">
            <v>13.597</v>
          </cell>
          <cell r="AY32">
            <v>13.249000000000001</v>
          </cell>
          <cell r="AZ32">
            <v>11.696</v>
          </cell>
          <cell r="BA32">
            <v>24.338000000000001</v>
          </cell>
          <cell r="BB32">
            <v>12.835999999999999</v>
          </cell>
          <cell r="BC32">
            <v>12.950000000000003</v>
          </cell>
          <cell r="BD32">
            <v>10.545999999999999</v>
          </cell>
          <cell r="BE32">
            <v>13.565</v>
          </cell>
          <cell r="BF32">
            <v>13.228</v>
          </cell>
          <cell r="BG32">
            <v>13.353</v>
          </cell>
          <cell r="BH32">
            <v>12.41</v>
          </cell>
          <cell r="BI32">
            <v>12.358000000000001</v>
          </cell>
          <cell r="BJ32">
            <v>11.686999999999999</v>
          </cell>
          <cell r="BK32">
            <v>10.377000000000001</v>
          </cell>
          <cell r="BL32">
            <v>13.41</v>
          </cell>
          <cell r="BM32">
            <v>13.358000000000001</v>
          </cell>
          <cell r="BN32">
            <v>12.686999999999999</v>
          </cell>
          <cell r="BO32">
            <v>11.377000000000001</v>
          </cell>
          <cell r="BP32">
            <v>14.41</v>
          </cell>
          <cell r="BQ32">
            <v>14.358000000000001</v>
          </cell>
          <cell r="BR32">
            <v>13.686999999999999</v>
          </cell>
          <cell r="BS32">
            <v>12.377000000000001</v>
          </cell>
          <cell r="BT32">
            <v>15.41</v>
          </cell>
          <cell r="BV32" t="str">
            <v>mstag:otherNonOperatingIncomeExpense</v>
          </cell>
          <cell r="BW32">
            <v>6</v>
          </cell>
          <cell r="BX32" t="str">
            <v>ISO4217:USD</v>
          </cell>
          <cell r="BY32" t="b">
            <v>1</v>
          </cell>
        </row>
        <row r="33">
          <cell r="A33" t="str">
            <v>Asset write-down charges</v>
          </cell>
          <cell r="C33">
            <v>0</v>
          </cell>
          <cell r="D33">
            <v>0</v>
          </cell>
          <cell r="E33">
            <v>0</v>
          </cell>
          <cell r="F33">
            <v>0</v>
          </cell>
          <cell r="G33">
            <v>2.5720000000000001</v>
          </cell>
          <cell r="H33">
            <v>7.8129999999999997</v>
          </cell>
          <cell r="I33">
            <v>0</v>
          </cell>
          <cell r="J33">
            <v>0</v>
          </cell>
          <cell r="K33">
            <v>0</v>
          </cell>
          <cell r="L33">
            <v>0</v>
          </cell>
          <cell r="M33">
            <v>0</v>
          </cell>
          <cell r="N33">
            <v>0</v>
          </cell>
          <cell r="O33">
            <v>0</v>
          </cell>
          <cell r="P33">
            <v>0</v>
          </cell>
          <cell r="Q33">
            <v>0</v>
          </cell>
          <cell r="R33">
            <v>0</v>
          </cell>
          <cell r="S33">
            <v>0</v>
          </cell>
          <cell r="T33">
            <v>0</v>
          </cell>
          <cell r="U33">
            <v>0</v>
          </cell>
          <cell r="V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1.514</v>
          </cell>
          <cell r="AP33">
            <v>-6.7000000000000004E-2</v>
          </cell>
          <cell r="AQ33">
            <v>0.157</v>
          </cell>
          <cell r="AR33">
            <v>0.96799999999999997</v>
          </cell>
          <cell r="AS33">
            <v>0.24399999999999999</v>
          </cell>
          <cell r="AT33">
            <v>0</v>
          </cell>
          <cell r="AU33">
            <v>-0.19700000000000001</v>
          </cell>
          <cell r="AV33">
            <v>7.766</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row>
        <row r="34">
          <cell r="A34" t="str">
            <v>Other Operating Expenses</v>
          </cell>
          <cell r="C34">
            <v>94.408000000000001</v>
          </cell>
          <cell r="D34">
            <v>31.655999999999999</v>
          </cell>
          <cell r="E34">
            <v>23.876000000000005</v>
          </cell>
          <cell r="F34">
            <v>34.231999999999999</v>
          </cell>
          <cell r="G34">
            <v>0</v>
          </cell>
          <cell r="H34">
            <v>1.385</v>
          </cell>
          <cell r="I34">
            <v>11.189</v>
          </cell>
          <cell r="J34">
            <v>19.167999999999999</v>
          </cell>
          <cell r="K34">
            <v>35.876000000000005</v>
          </cell>
          <cell r="L34">
            <v>35.770000000000003</v>
          </cell>
          <cell r="M34">
            <v>0</v>
          </cell>
          <cell r="N34">
            <v>0</v>
          </cell>
          <cell r="O34">
            <v>0</v>
          </cell>
          <cell r="P34">
            <v>0</v>
          </cell>
          <cell r="Q34">
            <v>0</v>
          </cell>
          <cell r="R34">
            <v>0</v>
          </cell>
          <cell r="S34">
            <v>0</v>
          </cell>
          <cell r="T34">
            <v>0</v>
          </cell>
          <cell r="U34">
            <v>0</v>
          </cell>
          <cell r="V34">
            <v>0</v>
          </cell>
          <cell r="Y34">
            <v>-3.706</v>
          </cell>
          <cell r="Z34">
            <v>5.0170000000000003</v>
          </cell>
          <cell r="AA34">
            <v>83.201999999999998</v>
          </cell>
          <cell r="AB34">
            <v>9.8949999999999996</v>
          </cell>
          <cell r="AC34">
            <v>3.6960000000000002</v>
          </cell>
          <cell r="AD34">
            <v>8.0020000000000007</v>
          </cell>
          <cell r="AE34">
            <v>7.6459999999999999</v>
          </cell>
          <cell r="AF34">
            <v>12.311999999999996</v>
          </cell>
          <cell r="AG34">
            <v>3.9140000000000001</v>
          </cell>
          <cell r="AH34">
            <v>5.3730000000000002</v>
          </cell>
          <cell r="AI34">
            <v>6.5170000000000003</v>
          </cell>
          <cell r="AJ34">
            <v>8.072000000000001</v>
          </cell>
          <cell r="AK34">
            <v>2.7770000000000001</v>
          </cell>
          <cell r="AL34">
            <v>1.4730000000000001</v>
          </cell>
          <cell r="AM34">
            <v>6.0869999999999997</v>
          </cell>
          <cell r="AN34">
            <v>23.895</v>
          </cell>
          <cell r="AO34">
            <v>0</v>
          </cell>
          <cell r="AP34">
            <v>0</v>
          </cell>
          <cell r="AQ34">
            <v>0</v>
          </cell>
          <cell r="AR34">
            <v>0</v>
          </cell>
          <cell r="AS34">
            <v>0</v>
          </cell>
          <cell r="AT34">
            <v>1.385</v>
          </cell>
          <cell r="AU34">
            <v>0</v>
          </cell>
          <cell r="AV34">
            <v>0</v>
          </cell>
          <cell r="AW34">
            <v>0.78900000000000003</v>
          </cell>
          <cell r="AX34">
            <v>0.58299999999999996</v>
          </cell>
          <cell r="AY34">
            <v>1.9359999999999999</v>
          </cell>
          <cell r="AZ34">
            <v>7.8810000000000002</v>
          </cell>
          <cell r="BA34">
            <v>3.1890000000000001</v>
          </cell>
          <cell r="BB34">
            <v>2.0139999999999998</v>
          </cell>
          <cell r="BC34">
            <v>3.0259999999999998</v>
          </cell>
          <cell r="BD34">
            <v>10.939</v>
          </cell>
          <cell r="BE34">
            <v>4.7539999999999996</v>
          </cell>
          <cell r="BF34">
            <v>5.0369999999999999</v>
          </cell>
          <cell r="BG34">
            <v>4.2990000000000004</v>
          </cell>
          <cell r="BH34">
            <v>21.786000000000001</v>
          </cell>
          <cell r="BI34">
            <v>11.704000000000001</v>
          </cell>
          <cell r="BJ34">
            <v>9.49</v>
          </cell>
          <cell r="BK34">
            <v>14.576000000000001</v>
          </cell>
          <cell r="BL34">
            <v>0</v>
          </cell>
          <cell r="BM34">
            <v>0</v>
          </cell>
          <cell r="BN34">
            <v>0</v>
          </cell>
          <cell r="BO34">
            <v>0</v>
          </cell>
          <cell r="BP34">
            <v>0</v>
          </cell>
          <cell r="BQ34">
            <v>0</v>
          </cell>
          <cell r="BR34">
            <v>0</v>
          </cell>
          <cell r="BS34">
            <v>0</v>
          </cell>
          <cell r="BT34">
            <v>0</v>
          </cell>
          <cell r="BV34" t="str">
            <v>mstag:otherOperatingExpense</v>
          </cell>
          <cell r="BW34">
            <v>6</v>
          </cell>
          <cell r="BX34" t="str">
            <v>ISO4217:USD</v>
          </cell>
          <cell r="BY34" t="b">
            <v>0</v>
          </cell>
        </row>
        <row r="35">
          <cell r="A35" t="str">
            <v>Total Reconciling Items for EBIT</v>
          </cell>
          <cell r="C35">
            <v>108.346</v>
          </cell>
          <cell r="D35">
            <v>45.878</v>
          </cell>
          <cell r="E35">
            <v>38.192000000000007</v>
          </cell>
          <cell r="F35">
            <v>54.3</v>
          </cell>
          <cell r="G35">
            <v>56.281999999999996</v>
          </cell>
          <cell r="H35">
            <v>77.603999999999999</v>
          </cell>
          <cell r="I35">
            <v>80.248000000000005</v>
          </cell>
          <cell r="J35">
            <v>94.048000000000002</v>
          </cell>
          <cell r="K35">
            <v>102.64400000000001</v>
          </cell>
          <cell r="L35">
            <v>97.687000000000012</v>
          </cell>
          <cell r="M35">
            <v>65.824000000000012</v>
          </cell>
          <cell r="N35">
            <v>69.824000000000012</v>
          </cell>
          <cell r="O35">
            <v>69.824000000000012</v>
          </cell>
          <cell r="P35">
            <v>69.824000000000012</v>
          </cell>
          <cell r="Q35">
            <v>69.824000000000012</v>
          </cell>
          <cell r="R35">
            <v>69.824000000000012</v>
          </cell>
          <cell r="S35">
            <v>69.824000000000012</v>
          </cell>
          <cell r="T35">
            <v>69.824000000000012</v>
          </cell>
          <cell r="U35">
            <v>69.824000000000012</v>
          </cell>
          <cell r="V35">
            <v>69.824000000000012</v>
          </cell>
          <cell r="Y35">
            <v>-0.27700000000000014</v>
          </cell>
          <cell r="Z35">
            <v>8.4879999999999995</v>
          </cell>
          <cell r="AA35">
            <v>86.715999999999994</v>
          </cell>
          <cell r="AB35">
            <v>13.419</v>
          </cell>
          <cell r="AC35">
            <v>7.1980000000000004</v>
          </cell>
          <cell r="AD35">
            <v>11.530000000000001</v>
          </cell>
          <cell r="AE35">
            <v>11.169</v>
          </cell>
          <cell r="AF35">
            <v>15.980999999999996</v>
          </cell>
          <cell r="AG35">
            <v>7.4540000000000006</v>
          </cell>
          <cell r="AH35">
            <v>9.0250000000000004</v>
          </cell>
          <cell r="AI35">
            <v>10.101000000000001</v>
          </cell>
          <cell r="AJ35">
            <v>11.612000000000002</v>
          </cell>
          <cell r="AK35">
            <v>6.2750000000000004</v>
          </cell>
          <cell r="AL35">
            <v>6.8220000000000001</v>
          </cell>
          <cell r="AM35">
            <v>11.784000000000001</v>
          </cell>
          <cell r="AN35">
            <v>29.419</v>
          </cell>
          <cell r="AO35">
            <v>14.523</v>
          </cell>
          <cell r="AP35">
            <v>12.863999999999999</v>
          </cell>
          <cell r="AQ35">
            <v>14.423999999999999</v>
          </cell>
          <cell r="AR35">
            <v>14.471</v>
          </cell>
          <cell r="AS35">
            <v>20.006</v>
          </cell>
          <cell r="AT35">
            <v>16.515000000000001</v>
          </cell>
          <cell r="AU35">
            <v>18.653000000000002</v>
          </cell>
          <cell r="AV35">
            <v>22.43</v>
          </cell>
          <cell r="AW35">
            <v>20.594000000000001</v>
          </cell>
          <cell r="AX35">
            <v>17.763999999999999</v>
          </cell>
          <cell r="AY35">
            <v>18.771000000000001</v>
          </cell>
          <cell r="AZ35">
            <v>23.119</v>
          </cell>
          <cell r="BA35">
            <v>31.026</v>
          </cell>
          <cell r="BB35">
            <v>18.434999999999999</v>
          </cell>
          <cell r="BC35">
            <v>19.561000000000003</v>
          </cell>
          <cell r="BD35">
            <v>25.026</v>
          </cell>
          <cell r="BE35">
            <v>21.817999999999998</v>
          </cell>
          <cell r="BF35">
            <v>21.85</v>
          </cell>
          <cell r="BG35">
            <v>21.237000000000002</v>
          </cell>
          <cell r="BH35">
            <v>37.738999999999997</v>
          </cell>
          <cell r="BI35">
            <v>27.561</v>
          </cell>
          <cell r="BJ35">
            <v>24.766999999999999</v>
          </cell>
          <cell r="BK35">
            <v>28.451000000000004</v>
          </cell>
          <cell r="BL35">
            <v>16.908000000000001</v>
          </cell>
          <cell r="BM35">
            <v>16.856000000000002</v>
          </cell>
          <cell r="BN35">
            <v>16.184999999999999</v>
          </cell>
          <cell r="BO35">
            <v>14.875</v>
          </cell>
          <cell r="BP35">
            <v>17.908000000000001</v>
          </cell>
          <cell r="BQ35">
            <v>17.856000000000002</v>
          </cell>
          <cell r="BR35">
            <v>17.184999999999999</v>
          </cell>
          <cell r="BS35">
            <v>15.875</v>
          </cell>
          <cell r="BT35">
            <v>18.908000000000001</v>
          </cell>
        </row>
        <row r="37">
          <cell r="A37" t="str">
            <v>Total Reconciling Items for Normalization</v>
          </cell>
          <cell r="C37">
            <v>-34.414999999999999</v>
          </cell>
          <cell r="D37">
            <v>-54.795000000000002</v>
          </cell>
          <cell r="E37">
            <v>-140.81399999999999</v>
          </cell>
          <cell r="F37">
            <v>-66.88300000000001</v>
          </cell>
          <cell r="G37">
            <v>-20.604000000000003</v>
          </cell>
          <cell r="H37">
            <v>-14.754000000000001</v>
          </cell>
          <cell r="I37">
            <v>1.0840000000000001</v>
          </cell>
          <cell r="J37">
            <v>-16.899999999999999</v>
          </cell>
          <cell r="K37">
            <v>-1.5709999999999997</v>
          </cell>
          <cell r="L37">
            <v>-115.7097</v>
          </cell>
          <cell r="M37">
            <v>0</v>
          </cell>
          <cell r="N37">
            <v>0</v>
          </cell>
          <cell r="O37">
            <v>0</v>
          </cell>
          <cell r="P37">
            <v>0</v>
          </cell>
          <cell r="Q37">
            <v>0</v>
          </cell>
          <cell r="R37">
            <v>0</v>
          </cell>
          <cell r="S37">
            <v>0</v>
          </cell>
          <cell r="T37">
            <v>0</v>
          </cell>
          <cell r="U37">
            <v>0</v>
          </cell>
          <cell r="V37">
            <v>0</v>
          </cell>
          <cell r="Y37">
            <v>-10.416</v>
          </cell>
          <cell r="Z37">
            <v>-17.808</v>
          </cell>
          <cell r="AA37">
            <v>-5.3019999999999996</v>
          </cell>
          <cell r="AB37">
            <v>-0.88900000000000001</v>
          </cell>
          <cell r="AC37">
            <v>-14.376999999999999</v>
          </cell>
          <cell r="AD37">
            <v>-36.234000000000002</v>
          </cell>
          <cell r="AE37">
            <v>2.327</v>
          </cell>
          <cell r="AF37">
            <v>-6.5109999999999992</v>
          </cell>
          <cell r="AG37">
            <v>-8.2570000000000014</v>
          </cell>
          <cell r="AH37">
            <v>-32.042999999999999</v>
          </cell>
          <cell r="AI37">
            <v>-49.127000000000002</v>
          </cell>
          <cell r="AJ37">
            <v>-51.387</v>
          </cell>
          <cell r="AK37">
            <v>-14.372</v>
          </cell>
          <cell r="AL37">
            <v>-17.548000000000002</v>
          </cell>
          <cell r="AM37">
            <v>-13.308</v>
          </cell>
          <cell r="AN37">
            <v>-21.655000000000001</v>
          </cell>
          <cell r="AO37">
            <v>-17.848000000000003</v>
          </cell>
          <cell r="AP37">
            <v>-0.83599999999999985</v>
          </cell>
          <cell r="AQ37">
            <v>-6.3090000000000002</v>
          </cell>
          <cell r="AR37">
            <v>4.3889999999999993</v>
          </cell>
          <cell r="AS37">
            <v>-1.1539999999999999</v>
          </cell>
          <cell r="AT37">
            <v>-15.034000000000001</v>
          </cell>
          <cell r="AU37">
            <v>1.2329999999999999</v>
          </cell>
          <cell r="AV37">
            <v>0.20100000000000007</v>
          </cell>
          <cell r="AW37">
            <v>-0.80300000000000005</v>
          </cell>
          <cell r="AX37">
            <v>-1.5370000000000001</v>
          </cell>
          <cell r="AY37">
            <v>9.9999999999999978E-2</v>
          </cell>
          <cell r="AZ37">
            <v>3.3240000000000003</v>
          </cell>
          <cell r="BA37">
            <v>7.0999999999999994E-2</v>
          </cell>
          <cell r="BB37">
            <v>-5.0110000000000001</v>
          </cell>
          <cell r="BC37">
            <v>-0.34900000000000003</v>
          </cell>
          <cell r="BD37">
            <v>-11.610999999999999</v>
          </cell>
          <cell r="BE37">
            <v>0.39600000000000002</v>
          </cell>
          <cell r="BF37">
            <v>-6.7540000000000004</v>
          </cell>
          <cell r="BG37">
            <v>8.2360000000000007</v>
          </cell>
          <cell r="BH37">
            <v>-3.4489999999999998</v>
          </cell>
          <cell r="BI37">
            <v>13.7073</v>
          </cell>
          <cell r="BJ37">
            <v>21.459</v>
          </cell>
          <cell r="BK37">
            <v>-150.876</v>
          </cell>
          <cell r="BL37">
            <v>0</v>
          </cell>
          <cell r="BM37">
            <v>0</v>
          </cell>
          <cell r="BN37">
            <v>0</v>
          </cell>
          <cell r="BO37">
            <v>0</v>
          </cell>
          <cell r="BP37">
            <v>0</v>
          </cell>
          <cell r="BQ37">
            <v>0</v>
          </cell>
          <cell r="BR37">
            <v>0</v>
          </cell>
          <cell r="BS37">
            <v>0</v>
          </cell>
          <cell r="BT37">
            <v>0</v>
          </cell>
        </row>
        <row r="39">
          <cell r="A39" t="str">
            <v>EBITDA</v>
          </cell>
          <cell r="C39">
            <v>307.94599999999991</v>
          </cell>
          <cell r="D39">
            <v>375.99999999999994</v>
          </cell>
          <cell r="E39">
            <v>437.39500000000004</v>
          </cell>
          <cell r="F39">
            <v>600.66799999999989</v>
          </cell>
          <cell r="G39">
            <v>868.23399999999992</v>
          </cell>
          <cell r="H39">
            <v>978.89499999999975</v>
          </cell>
          <cell r="I39">
            <v>1092.3339999999998</v>
          </cell>
          <cell r="J39">
            <v>1180.9250000000002</v>
          </cell>
          <cell r="K39">
            <v>1347.748</v>
          </cell>
          <cell r="L39">
            <v>1584.1703752296016</v>
          </cell>
          <cell r="M39">
            <v>1899.6846804226077</v>
          </cell>
          <cell r="N39">
            <v>2122.0781174777685</v>
          </cell>
          <cell r="O39">
            <v>2244.7461118657193</v>
          </cell>
          <cell r="P39">
            <v>2336.1055787614168</v>
          </cell>
          <cell r="Q39">
            <v>2423.9947553852789</v>
          </cell>
          <cell r="R39">
            <v>2502.285984603026</v>
          </cell>
          <cell r="S39">
            <v>2570.4468457851262</v>
          </cell>
          <cell r="T39">
            <v>2628.0687491998037</v>
          </cell>
          <cell r="U39">
            <v>2673.5731586637175</v>
          </cell>
          <cell r="V39">
            <v>2708.2575515914632</v>
          </cell>
          <cell r="W39">
            <v>0.16336918728373018</v>
          </cell>
          <cell r="Y39">
            <v>66.425999999999988</v>
          </cell>
          <cell r="Z39">
            <v>72.871999999999986</v>
          </cell>
          <cell r="AA39">
            <v>78.783000000000001</v>
          </cell>
          <cell r="AB39">
            <v>89.864999999999981</v>
          </cell>
          <cell r="AC39">
            <v>85.132999999999981</v>
          </cell>
          <cell r="AD39">
            <v>92.46</v>
          </cell>
          <cell r="AE39">
            <v>97.564000000000021</v>
          </cell>
          <cell r="AF39">
            <v>100.84299999999999</v>
          </cell>
          <cell r="AG39">
            <v>103.015</v>
          </cell>
          <cell r="AH39">
            <v>107.62800000000001</v>
          </cell>
          <cell r="AI39">
            <v>112.63199999999999</v>
          </cell>
          <cell r="AJ39">
            <v>114.12</v>
          </cell>
          <cell r="AK39">
            <v>117.29199999999999</v>
          </cell>
          <cell r="AL39">
            <v>122.35600000000001</v>
          </cell>
          <cell r="AM39">
            <v>165.709</v>
          </cell>
          <cell r="AN39">
            <v>195.31100000000001</v>
          </cell>
          <cell r="AO39">
            <v>215.49299999999999</v>
          </cell>
          <cell r="AP39">
            <v>216.447</v>
          </cell>
          <cell r="AQ39">
            <v>217.78800000000004</v>
          </cell>
          <cell r="AR39">
            <v>218.506</v>
          </cell>
          <cell r="AS39">
            <v>236.30999999999995</v>
          </cell>
          <cell r="AT39">
            <v>241.44799999999998</v>
          </cell>
          <cell r="AU39">
            <v>248.62799999999999</v>
          </cell>
          <cell r="AV39">
            <v>252.50899999999999</v>
          </cell>
          <cell r="AW39">
            <v>262.52200000000005</v>
          </cell>
          <cell r="AX39">
            <v>272.25100000000003</v>
          </cell>
          <cell r="AY39">
            <v>277.52700000000004</v>
          </cell>
          <cell r="AZ39">
            <v>280.03399999999999</v>
          </cell>
          <cell r="BA39">
            <v>281.17900000000003</v>
          </cell>
          <cell r="BB39">
            <v>287.34499999999997</v>
          </cell>
          <cell r="BC39">
            <v>304.18099999999993</v>
          </cell>
          <cell r="BD39">
            <v>308.22000000000003</v>
          </cell>
          <cell r="BE39">
            <v>311.50200000000001</v>
          </cell>
          <cell r="BF39">
            <v>320.96899999999999</v>
          </cell>
          <cell r="BG39">
            <v>349.99199999999996</v>
          </cell>
          <cell r="BH39">
            <v>365.28500000000008</v>
          </cell>
          <cell r="BI39">
            <v>377.09199999999998</v>
          </cell>
          <cell r="BJ39">
            <v>389.11399999999998</v>
          </cell>
          <cell r="BK39">
            <v>398.86900000000003</v>
          </cell>
          <cell r="BL39">
            <v>419.09537522960113</v>
          </cell>
          <cell r="BM39">
            <v>433.46381677239697</v>
          </cell>
          <cell r="BN39">
            <v>468.81750926192603</v>
          </cell>
          <cell r="BO39">
            <v>490.50401321550373</v>
          </cell>
          <cell r="BP39">
            <v>506.89934117278085</v>
          </cell>
          <cell r="BQ39">
            <v>508.10333721571573</v>
          </cell>
          <cell r="BR39">
            <v>525.42522366686853</v>
          </cell>
          <cell r="BS39">
            <v>539.58215515715813</v>
          </cell>
          <cell r="BT39">
            <v>548.96740143802583</v>
          </cell>
        </row>
        <row r="40">
          <cell r="A40" t="str">
            <v>Seq. EBITDA growth</v>
          </cell>
          <cell r="Z40">
            <v>9.70403155390962E-2</v>
          </cell>
          <cell r="AA40">
            <v>8.1114831485344485E-2</v>
          </cell>
          <cell r="AB40">
            <v>0.14066486424736269</v>
          </cell>
          <cell r="AC40">
            <v>-5.2656762922161038E-2</v>
          </cell>
          <cell r="AD40">
            <v>8.6065333067083527E-2</v>
          </cell>
          <cell r="AE40">
            <v>5.5202249621458144E-2</v>
          </cell>
          <cell r="AF40">
            <v>3.3608708130047571E-2</v>
          </cell>
          <cell r="AG40">
            <v>2.1538431026447258E-2</v>
          </cell>
          <cell r="AH40">
            <v>4.4779886424307191E-2</v>
          </cell>
          <cell r="AI40">
            <v>4.6493477533727123E-2</v>
          </cell>
          <cell r="AJ40">
            <v>1.3211165565736316E-2</v>
          </cell>
          <cell r="AK40">
            <v>2.7795303189624754E-2</v>
          </cell>
          <cell r="AL40">
            <v>4.3174300037513325E-2</v>
          </cell>
          <cell r="AM40">
            <v>0.35431854588250666</v>
          </cell>
          <cell r="AN40">
            <v>0.1786384565714596</v>
          </cell>
          <cell r="AO40">
            <v>0.10333263359462586</v>
          </cell>
          <cell r="AP40">
            <v>4.4270579554788192E-3</v>
          </cell>
          <cell r="AQ40">
            <v>6.1955120653094387E-3</v>
          </cell>
          <cell r="AR40">
            <v>3.2967840285045291E-3</v>
          </cell>
          <cell r="AS40">
            <v>8.1480600075054976E-2</v>
          </cell>
          <cell r="AT40">
            <v>2.1742626211332716E-2</v>
          </cell>
          <cell r="AU40">
            <v>2.9737251913455554E-2</v>
          </cell>
          <cell r="AV40">
            <v>1.5609665846163745E-2</v>
          </cell>
          <cell r="AW40">
            <v>3.9654032133508377E-2</v>
          </cell>
          <cell r="AX40">
            <v>3.705975118275795E-2</v>
          </cell>
          <cell r="AY40">
            <v>1.9379175834064899E-2</v>
          </cell>
          <cell r="AZ40">
            <v>9.0333553131765054E-3</v>
          </cell>
          <cell r="BA40">
            <v>4.0887892184522379E-3</v>
          </cell>
          <cell r="BB40">
            <v>2.1929091432859371E-2</v>
          </cell>
          <cell r="BC40">
            <v>5.8591588508587034E-2</v>
          </cell>
          <cell r="BD40">
            <v>1.3278278393456855E-2</v>
          </cell>
          <cell r="BE40">
            <v>1.064823827136463E-2</v>
          </cell>
          <cell r="BF40">
            <v>3.0391458160782259E-2</v>
          </cell>
          <cell r="BG40">
            <v>9.0423062663372411E-2</v>
          </cell>
          <cell r="BH40">
            <v>4.3695284463645123E-2</v>
          </cell>
          <cell r="BI40">
            <v>3.2322706927467415E-2</v>
          </cell>
          <cell r="BJ40">
            <v>3.1880814231009857E-2</v>
          </cell>
          <cell r="BK40">
            <v>2.5069773896595926E-2</v>
          </cell>
          <cell r="BL40">
            <v>5.0709318672549353E-2</v>
          </cell>
          <cell r="BM40">
            <v>3.4284419232553098E-2</v>
          </cell>
          <cell r="BN40">
            <v>8.156088494946423E-2</v>
          </cell>
          <cell r="BO40">
            <v>4.6257879718953898E-2</v>
          </cell>
          <cell r="BP40">
            <v>3.3425471587474664E-2</v>
          </cell>
          <cell r="BQ40">
            <v>2.3752172179771769E-3</v>
          </cell>
          <cell r="BR40">
            <v>3.4091266839679779E-2</v>
          </cell>
          <cell r="BS40">
            <v>2.694376069631832E-2</v>
          </cell>
          <cell r="BT40">
            <v>1.739354459958764E-2</v>
          </cell>
        </row>
        <row r="41">
          <cell r="A41" t="str">
            <v>Y/Y EBITDA growth</v>
          </cell>
          <cell r="D41">
            <v>0.22099329103154464</v>
          </cell>
          <cell r="E41">
            <v>0.16328457446808531</v>
          </cell>
          <cell r="F41">
            <v>0.37328501697550243</v>
          </cell>
          <cell r="G41">
            <v>0.44544740189255982</v>
          </cell>
          <cell r="H41">
            <v>0.1274552712747945</v>
          </cell>
          <cell r="I41">
            <v>0.11588474759805711</v>
          </cell>
          <cell r="J41">
            <v>8.1102483306388251E-2</v>
          </cell>
          <cell r="K41">
            <v>0.14126468658043478</v>
          </cell>
          <cell r="L41">
            <v>0.17542031242457901</v>
          </cell>
          <cell r="M41">
            <v>0.19916690156971084</v>
          </cell>
          <cell r="N41">
            <v>0.11706860583077749</v>
          </cell>
          <cell r="O41">
            <v>5.7805597907842232E-2</v>
          </cell>
          <cell r="P41">
            <v>4.0699242739645092E-2</v>
          </cell>
          <cell r="Q41">
            <v>3.7622090980348633E-2</v>
          </cell>
          <cell r="R41">
            <v>3.2298431770040326E-2</v>
          </cell>
          <cell r="S41">
            <v>2.7239436899501257E-2</v>
          </cell>
          <cell r="T41">
            <v>2.2417076435236494E-2</v>
          </cell>
          <cell r="U41">
            <v>1.7314771342176183E-2</v>
          </cell>
          <cell r="V41">
            <v>1.2973048003324994E-2</v>
          </cell>
          <cell r="Y41">
            <v>-0.97415780057505508</v>
          </cell>
          <cell r="Z41">
            <v>-0.97227165384383951</v>
          </cell>
          <cell r="AA41">
            <v>-0.97053269339396842</v>
          </cell>
          <cell r="AC41">
            <v>0.28162165417155927</v>
          </cell>
          <cell r="AD41">
            <v>0.26880008782522791</v>
          </cell>
          <cell r="AE41">
            <v>0.23838899254915424</v>
          </cell>
          <cell r="AF41">
            <v>0.12216101930673795</v>
          </cell>
          <cell r="AG41">
            <v>0.21004780754818952</v>
          </cell>
          <cell r="AH41">
            <v>0.16404931862427019</v>
          </cell>
          <cell r="AI41">
            <v>0.15444221229141863</v>
          </cell>
          <cell r="AJ41">
            <v>0.13166010531221817</v>
          </cell>
          <cell r="AK41">
            <v>0.13859146726204918</v>
          </cell>
          <cell r="AL41">
            <v>0.13684171405210543</v>
          </cell>
          <cell r="AM41">
            <v>0.47124263086866969</v>
          </cell>
          <cell r="AN41">
            <v>0.71145285664213098</v>
          </cell>
          <cell r="AO41">
            <v>0.83723527606315873</v>
          </cell>
          <cell r="AP41">
            <v>0.76899375592533259</v>
          </cell>
          <cell r="AQ41">
            <v>0.31427985202976316</v>
          </cell>
          <cell r="AR41">
            <v>0.11875931207151669</v>
          </cell>
          <cell r="AS41">
            <v>9.6601745764363312E-2</v>
          </cell>
          <cell r="AT41">
            <v>0.11550633642415908</v>
          </cell>
          <cell r="AU41">
            <v>0.14160559810457851</v>
          </cell>
          <cell r="AV41">
            <v>0.15561586409526496</v>
          </cell>
          <cell r="AW41">
            <v>0.11092209385976104</v>
          </cell>
          <cell r="AX41">
            <v>0.12757612405155583</v>
          </cell>
          <cell r="AY41">
            <v>0.11623389159708508</v>
          </cell>
          <cell r="AZ41">
            <v>0.10900601562716572</v>
          </cell>
          <cell r="BA41">
            <v>7.1068329511431383E-2</v>
          </cell>
          <cell r="BB41">
            <v>5.5441485981685856E-2</v>
          </cell>
          <cell r="BC41">
            <v>9.6041105910415592E-2</v>
          </cell>
          <cell r="BD41">
            <v>0.10065206367798218</v>
          </cell>
          <cell r="BE41">
            <v>0.10784233530953591</v>
          </cell>
          <cell r="BF41">
            <v>0.11701613043553927</v>
          </cell>
          <cell r="BG41">
            <v>0.15060440987438417</v>
          </cell>
          <cell r="BH41">
            <v>0.185143728505613</v>
          </cell>
          <cell r="BI41">
            <v>0.21056044583983402</v>
          </cell>
          <cell r="BJ41">
            <v>0.21231022310565817</v>
          </cell>
          <cell r="BK41">
            <v>0.13965176346887942</v>
          </cell>
          <cell r="BL41">
            <v>0.14731066216680411</v>
          </cell>
          <cell r="BM41">
            <v>0.14949088490977536</v>
          </cell>
          <cell r="BN41">
            <v>0.20483331173364627</v>
          </cell>
          <cell r="BO41">
            <v>0.22973711473066016</v>
          </cell>
          <cell r="BP41">
            <v>0.20950831513012136</v>
          </cell>
          <cell r="BQ41">
            <v>0.17219319711409842</v>
          </cell>
          <cell r="BR41">
            <v>0.12074573429235147</v>
          </cell>
          <cell r="BS41">
            <v>0.10005655533768665</v>
          </cell>
          <cell r="BT41">
            <v>8.2990954708906939E-2</v>
          </cell>
        </row>
        <row r="42">
          <cell r="A42" t="str">
            <v>EBITDA Margins (%)</v>
          </cell>
          <cell r="C42">
            <v>0.43691190992361206</v>
          </cell>
          <cell r="D42">
            <v>0.54510923931165456</v>
          </cell>
          <cell r="E42">
            <v>0.6189610279342258</v>
          </cell>
          <cell r="F42">
            <v>0.63577148687639307</v>
          </cell>
          <cell r="G42">
            <v>0.65905866546226044</v>
          </cell>
          <cell r="H42">
            <v>0.67204382278109065</v>
          </cell>
          <cell r="I42">
            <v>0.68549184689840748</v>
          </cell>
          <cell r="J42">
            <v>0.68494600705057795</v>
          </cell>
          <cell r="K42">
            <v>0.67885167994318341</v>
          </cell>
          <cell r="L42">
            <v>0.64858975101499905</v>
          </cell>
          <cell r="M42">
            <v>0.65248433807556494</v>
          </cell>
          <cell r="N42">
            <v>0.65746263933918336</v>
          </cell>
          <cell r="O42">
            <v>0.66245217148210234</v>
          </cell>
          <cell r="P42">
            <v>0.6624038509547755</v>
          </cell>
          <cell r="Q42">
            <v>0.6623521837473042</v>
          </cell>
          <cell r="R42">
            <v>0.66229064822135719</v>
          </cell>
          <cell r="S42">
            <v>0.66228117097016703</v>
          </cell>
          <cell r="T42">
            <v>0.66226031282430442</v>
          </cell>
          <cell r="U42">
            <v>0.6622269238988292</v>
          </cell>
          <cell r="V42">
            <v>0.66218252490188867</v>
          </cell>
          <cell r="Y42">
            <v>0.35595018647918719</v>
          </cell>
          <cell r="Z42">
            <v>0.43941942992215244</v>
          </cell>
          <cell r="AA42">
            <v>0.45032752963771677</v>
          </cell>
          <cell r="AB42">
            <v>0.50649570240946873</v>
          </cell>
          <cell r="AC42">
            <v>0.52724705357751112</v>
          </cell>
          <cell r="AD42">
            <v>0.52749284010908137</v>
          </cell>
          <cell r="AE42">
            <v>0.52208439911384141</v>
          </cell>
          <cell r="AF42">
            <v>0.60695047157035631</v>
          </cell>
          <cell r="AG42">
            <v>0.61031097629612951</v>
          </cell>
          <cell r="AH42">
            <v>0.62468367654911439</v>
          </cell>
          <cell r="AI42">
            <v>0.62268563309579217</v>
          </cell>
          <cell r="AJ42">
            <v>0.61788019231602198</v>
          </cell>
          <cell r="AK42">
            <v>0.63622901467277804</v>
          </cell>
          <cell r="AL42">
            <v>0.65062214186961609</v>
          </cell>
          <cell r="AM42">
            <v>0.62591691659175219</v>
          </cell>
          <cell r="AN42">
            <v>0.63489963429500207</v>
          </cell>
          <cell r="AO42">
            <v>0.67255601434416634</v>
          </cell>
          <cell r="AP42">
            <v>0.66422699109748573</v>
          </cell>
          <cell r="AQ42">
            <v>0.65310210605547181</v>
          </cell>
          <cell r="AR42">
            <v>0.64714523495021414</v>
          </cell>
          <cell r="AS42">
            <v>0.67043242905859712</v>
          </cell>
          <cell r="AT42">
            <v>0.67363980548123303</v>
          </cell>
          <cell r="AU42">
            <v>0.67638233333786746</v>
          </cell>
          <cell r="AV42">
            <v>0.66781535629654698</v>
          </cell>
          <cell r="AW42">
            <v>0.68689950390387888</v>
          </cell>
          <cell r="AX42">
            <v>0.69146974561118346</v>
          </cell>
          <cell r="AY42">
            <v>0.67810578887183959</v>
          </cell>
          <cell r="AZ42">
            <v>0.68581322675130529</v>
          </cell>
          <cell r="BA42">
            <v>0.68802088685958152</v>
          </cell>
          <cell r="BB42">
            <v>0.67872816859490082</v>
          </cell>
          <cell r="BC42">
            <v>0.6849303655667015</v>
          </cell>
          <cell r="BD42">
            <v>0.68803253767526174</v>
          </cell>
          <cell r="BE42">
            <v>0.68547247785156928</v>
          </cell>
          <cell r="BF42">
            <v>0.68300431760001867</v>
          </cell>
          <cell r="BG42">
            <v>0.68181765051955689</v>
          </cell>
          <cell r="BH42">
            <v>0.66701421731715249</v>
          </cell>
          <cell r="BI42">
            <v>0.67015345791236824</v>
          </cell>
          <cell r="BJ42">
            <v>0.65152578130886496</v>
          </cell>
          <cell r="BK42">
            <v>0.63272065646895714</v>
          </cell>
          <cell r="BL42">
            <v>0.64263505237614005</v>
          </cell>
          <cell r="BM42">
            <v>0.65236355153914671</v>
          </cell>
          <cell r="BN42">
            <v>0.65248883358332677</v>
          </cell>
          <cell r="BO42">
            <v>0.65252917300915336</v>
          </cell>
          <cell r="BP42">
            <v>0.65254011037390214</v>
          </cell>
          <cell r="BQ42">
            <v>0.65745745851760029</v>
          </cell>
          <cell r="BR42">
            <v>0.6574728630011023</v>
          </cell>
          <cell r="BS42">
            <v>0.65747193970334128</v>
          </cell>
          <cell r="BT42">
            <v>0.65744850854446302</v>
          </cell>
        </row>
        <row r="44">
          <cell r="A44" t="str">
            <v>Depreciation, Amortization &amp; Accretion</v>
          </cell>
          <cell r="C44">
            <v>314.11</v>
          </cell>
          <cell r="D44">
            <v>332.286</v>
          </cell>
          <cell r="E44">
            <v>329.44899999999996</v>
          </cell>
          <cell r="F44">
            <v>411.25400000000002</v>
          </cell>
          <cell r="G44">
            <v>528.05099999999993</v>
          </cell>
          <cell r="H44">
            <v>522.928</v>
          </cell>
          <cell r="I44">
            <v>405.33199999999999</v>
          </cell>
          <cell r="J44">
            <v>414.61900000000003</v>
          </cell>
          <cell r="K44">
            <v>460.726</v>
          </cell>
          <cell r="L44">
            <v>547.75882625000008</v>
          </cell>
          <cell r="M44">
            <v>594.75337906825234</v>
          </cell>
          <cell r="N44">
            <v>606.8734629797018</v>
          </cell>
          <cell r="O44">
            <v>578.48581668173165</v>
          </cell>
          <cell r="P44">
            <v>577.67173501355853</v>
          </cell>
          <cell r="Q44">
            <v>583.85939484553603</v>
          </cell>
          <cell r="R44">
            <v>593.05830258320475</v>
          </cell>
          <cell r="S44">
            <v>604.98233227858793</v>
          </cell>
          <cell r="T44">
            <v>619.37272067495758</v>
          </cell>
          <cell r="U44">
            <v>635.99543509633793</v>
          </cell>
          <cell r="V44">
            <v>654.63879586817382</v>
          </cell>
          <cell r="W44">
            <v>9.6188248530288067E-2</v>
          </cell>
          <cell r="Y44">
            <v>75.082999999999998</v>
          </cell>
          <cell r="Z44">
            <v>79.804000000000002</v>
          </cell>
          <cell r="AA44">
            <v>78.698999999999998</v>
          </cell>
          <cell r="AB44">
            <v>80.524000000000001</v>
          </cell>
          <cell r="AC44">
            <v>84.063000000000002</v>
          </cell>
          <cell r="AD44">
            <v>84.180999999999997</v>
          </cell>
          <cell r="AE44">
            <v>82.619</v>
          </cell>
          <cell r="AF44">
            <v>81.423000000000002</v>
          </cell>
          <cell r="AG44">
            <v>81.344999999999999</v>
          </cell>
          <cell r="AH44">
            <v>85.463999999999999</v>
          </cell>
          <cell r="AI44">
            <v>81.569000000000003</v>
          </cell>
          <cell r="AJ44">
            <v>81.070999999999998</v>
          </cell>
          <cell r="AK44">
            <v>81.971000000000004</v>
          </cell>
          <cell r="AL44">
            <v>84.784000000000006</v>
          </cell>
          <cell r="AM44">
            <v>116.752</v>
          </cell>
          <cell r="AN44">
            <v>127.747</v>
          </cell>
          <cell r="AO44">
            <v>133.261</v>
          </cell>
          <cell r="AP44">
            <v>132.81100000000001</v>
          </cell>
          <cell r="AQ44">
            <v>131.357</v>
          </cell>
          <cell r="AR44">
            <v>130.62200000000001</v>
          </cell>
          <cell r="AS44">
            <v>130.19399999999999</v>
          </cell>
          <cell r="AT44">
            <v>131.637</v>
          </cell>
          <cell r="AU44">
            <v>131.48400000000001</v>
          </cell>
          <cell r="AV44">
            <v>129.61299999999997</v>
          </cell>
          <cell r="AW44">
            <v>97.072000000000003</v>
          </cell>
          <cell r="AX44">
            <v>99.697000000000003</v>
          </cell>
          <cell r="AY44">
            <v>104.389</v>
          </cell>
          <cell r="AZ44">
            <v>104.17400000000001</v>
          </cell>
          <cell r="BA44">
            <v>99.867999999999995</v>
          </cell>
          <cell r="BB44">
            <v>102.46299999999999</v>
          </cell>
          <cell r="BC44">
            <v>105.54300000000001</v>
          </cell>
          <cell r="BD44">
            <v>106.745</v>
          </cell>
          <cell r="BE44">
            <v>110.83499999999999</v>
          </cell>
          <cell r="BF44">
            <v>110.40300000000001</v>
          </cell>
          <cell r="BG44">
            <v>115.383</v>
          </cell>
          <cell r="BH44">
            <v>124.105</v>
          </cell>
          <cell r="BI44">
            <v>131.23099999999999</v>
          </cell>
          <cell r="BJ44">
            <v>138.55799999999999</v>
          </cell>
          <cell r="BK44">
            <v>142.113</v>
          </cell>
          <cell r="BL44">
            <v>135.85682625000004</v>
          </cell>
          <cell r="BM44">
            <v>147.71822684374999</v>
          </cell>
          <cell r="BN44">
            <v>148.33397117265625</v>
          </cell>
          <cell r="BO44">
            <v>148.99650939333984</v>
          </cell>
          <cell r="BP44">
            <v>149.70467165850633</v>
          </cell>
          <cell r="BQ44">
            <v>150.46356736704365</v>
          </cell>
          <cell r="BR44">
            <v>151.27208443286756</v>
          </cell>
          <cell r="BS44">
            <v>152.12288857204587</v>
          </cell>
          <cell r="BT44">
            <v>153.01492260774472</v>
          </cell>
          <cell r="BV44" t="str">
            <v>mstag:depreciationInIncomeStatement</v>
          </cell>
          <cell r="BW44">
            <v>6</v>
          </cell>
          <cell r="BX44" t="str">
            <v>ISO4217:USD</v>
          </cell>
          <cell r="BY44" t="b">
            <v>0</v>
          </cell>
          <cell r="BZ44" t="b">
            <v>0</v>
          </cell>
        </row>
        <row r="46">
          <cell r="A46" t="str">
            <v>Operating Income</v>
          </cell>
          <cell r="C46">
            <v>-114.5100000000001</v>
          </cell>
          <cell r="D46">
            <v>-2.1640000000000583</v>
          </cell>
          <cell r="E46">
            <v>69.754000000000076</v>
          </cell>
          <cell r="F46">
            <v>135.11399999999986</v>
          </cell>
          <cell r="G46">
            <v>283.90100000000001</v>
          </cell>
          <cell r="H46">
            <v>378.36299999999977</v>
          </cell>
          <cell r="I46">
            <v>606.75399999999979</v>
          </cell>
          <cell r="J46">
            <v>672.25800000000015</v>
          </cell>
          <cell r="K46">
            <v>784.37800000000004</v>
          </cell>
          <cell r="L46">
            <v>938.72454897960154</v>
          </cell>
          <cell r="M46">
            <v>1239.1073013543553</v>
          </cell>
          <cell r="N46">
            <v>1445.3806544980666</v>
          </cell>
          <cell r="O46">
            <v>1596.4362951839876</v>
          </cell>
          <cell r="P46">
            <v>1688.6098437478581</v>
          </cell>
          <cell r="Q46">
            <v>1770.311360539743</v>
          </cell>
          <cell r="R46">
            <v>1839.4036820198212</v>
          </cell>
          <cell r="S46">
            <v>1895.6405135065384</v>
          </cell>
          <cell r="T46">
            <v>1938.872028524846</v>
          </cell>
          <cell r="U46">
            <v>1967.7537235673794</v>
          </cell>
          <cell r="V46">
            <v>1983.7947557232892</v>
          </cell>
          <cell r="W46">
            <v>0.22598628318725034</v>
          </cell>
          <cell r="Y46">
            <v>-8.3800000000000114</v>
          </cell>
          <cell r="Z46">
            <v>-15.420000000000016</v>
          </cell>
          <cell r="AA46">
            <v>-86.631999999999991</v>
          </cell>
          <cell r="AB46">
            <v>-4.0780000000000198</v>
          </cell>
          <cell r="AC46">
            <v>-6.1280000000000214</v>
          </cell>
          <cell r="AD46">
            <v>-3.2510000000000048</v>
          </cell>
          <cell r="AE46">
            <v>3.776000000000022</v>
          </cell>
          <cell r="AF46">
            <v>3.4389999999999912</v>
          </cell>
          <cell r="AG46">
            <v>14.216000000000003</v>
          </cell>
          <cell r="AH46">
            <v>13.139000000000014</v>
          </cell>
          <cell r="AI46">
            <v>20.961999999999989</v>
          </cell>
          <cell r="AJ46">
            <v>21.437000000000005</v>
          </cell>
          <cell r="AK46">
            <v>29.045999999999982</v>
          </cell>
          <cell r="AL46">
            <v>30.750000000000004</v>
          </cell>
          <cell r="AM46">
            <v>37.173000000000009</v>
          </cell>
          <cell r="AN46">
            <v>38.14500000000001</v>
          </cell>
          <cell r="AO46">
            <v>67.709000000000003</v>
          </cell>
          <cell r="AP46">
            <v>70.771999999999991</v>
          </cell>
          <cell r="AQ46">
            <v>72.007000000000033</v>
          </cell>
          <cell r="AR46">
            <v>73.412999999999982</v>
          </cell>
          <cell r="AS46">
            <v>86.109999999999957</v>
          </cell>
          <cell r="AT46">
            <v>93.295999999999978</v>
          </cell>
          <cell r="AU46">
            <v>98.490999999999971</v>
          </cell>
          <cell r="AV46">
            <v>100.46600000000001</v>
          </cell>
          <cell r="AW46">
            <v>144.85600000000005</v>
          </cell>
          <cell r="AX46">
            <v>154.79000000000002</v>
          </cell>
          <cell r="AY46">
            <v>154.36700000000002</v>
          </cell>
          <cell r="AZ46">
            <v>152.74099999999999</v>
          </cell>
          <cell r="BA46">
            <v>150.28500000000003</v>
          </cell>
          <cell r="BB46">
            <v>166.44699999999997</v>
          </cell>
          <cell r="BC46">
            <v>179.07699999999991</v>
          </cell>
          <cell r="BD46">
            <v>176.44900000000001</v>
          </cell>
          <cell r="BE46">
            <v>178.84900000000005</v>
          </cell>
          <cell r="BF46">
            <v>188.71599999999998</v>
          </cell>
          <cell r="BG46">
            <v>213.37199999999999</v>
          </cell>
          <cell r="BH46">
            <v>203.44100000000006</v>
          </cell>
          <cell r="BI46">
            <v>218.29999999999998</v>
          </cell>
          <cell r="BJ46">
            <v>225.78899999999999</v>
          </cell>
          <cell r="BK46">
            <v>228.30500000000004</v>
          </cell>
          <cell r="BL46">
            <v>266.33054897960108</v>
          </cell>
          <cell r="BM46">
            <v>268.88958992864696</v>
          </cell>
          <cell r="BN46">
            <v>304.29853808926981</v>
          </cell>
          <cell r="BO46">
            <v>326.63250382216393</v>
          </cell>
          <cell r="BP46">
            <v>339.28666951427454</v>
          </cell>
          <cell r="BQ46">
            <v>339.78376984867208</v>
          </cell>
          <cell r="BR46">
            <v>356.96813923400094</v>
          </cell>
          <cell r="BS46">
            <v>371.58426658511223</v>
          </cell>
          <cell r="BT46">
            <v>377.04447883028109</v>
          </cell>
        </row>
        <row r="48">
          <cell r="A48" t="str">
            <v>Interest Expense</v>
          </cell>
          <cell r="C48">
            <v>-254.44600000000003</v>
          </cell>
          <cell r="D48">
            <v>-279.85500000000002</v>
          </cell>
          <cell r="E48">
            <v>-262.23699999999997</v>
          </cell>
          <cell r="F48">
            <v>-222.41899999999998</v>
          </cell>
          <cell r="G48">
            <v>-215.643</v>
          </cell>
          <cell r="H48">
            <v>-235.82400000000001</v>
          </cell>
          <cell r="I48">
            <v>-253.58399999999997</v>
          </cell>
          <cell r="J48">
            <v>-249.803</v>
          </cell>
          <cell r="K48">
            <v>-246.01800000000003</v>
          </cell>
          <cell r="L48">
            <v>-311.9070007775</v>
          </cell>
          <cell r="M48">
            <v>-338.58348642933311</v>
          </cell>
          <cell r="N48">
            <v>-334.65094911307483</v>
          </cell>
          <cell r="O48">
            <v>-368.85308049656709</v>
          </cell>
          <cell r="P48">
            <v>-368.92621639314132</v>
          </cell>
          <cell r="Q48">
            <v>-369.00406623693948</v>
          </cell>
          <cell r="R48">
            <v>-369.08694239511107</v>
          </cell>
          <cell r="S48">
            <v>-369.17517842579002</v>
          </cell>
          <cell r="T48">
            <v>-369.26913054392242</v>
          </cell>
          <cell r="U48">
            <v>-369.36371021668259</v>
          </cell>
          <cell r="V48">
            <v>-369.46454600284403</v>
          </cell>
          <cell r="Y48">
            <v>-63.77</v>
          </cell>
          <cell r="Z48">
            <v>-65.537000000000006</v>
          </cell>
          <cell r="AA48">
            <v>-62.718000000000004</v>
          </cell>
          <cell r="AB48">
            <v>-62.420999999999999</v>
          </cell>
          <cell r="AC48">
            <v>-71.742000000000004</v>
          </cell>
          <cell r="AD48">
            <v>-71.200999999999993</v>
          </cell>
          <cell r="AE48">
            <v>-68.906000000000006</v>
          </cell>
          <cell r="AF48">
            <v>-68.006</v>
          </cell>
          <cell r="AG48">
            <v>-69.156999999999996</v>
          </cell>
          <cell r="AH48">
            <v>-68.021000000000001</v>
          </cell>
          <cell r="AI48">
            <v>-65.631</v>
          </cell>
          <cell r="AJ48">
            <v>-59.427999999999997</v>
          </cell>
          <cell r="AK48">
            <v>-54.716000000000001</v>
          </cell>
          <cell r="AL48">
            <v>-53.042999999999999</v>
          </cell>
          <cell r="AM48">
            <v>-57.651000000000003</v>
          </cell>
          <cell r="AN48">
            <v>-57.009</v>
          </cell>
          <cell r="AO48">
            <v>-54.256999999999998</v>
          </cell>
          <cell r="AP48">
            <v>-53.69</v>
          </cell>
          <cell r="AQ48">
            <v>-54.448</v>
          </cell>
          <cell r="AR48">
            <v>-53.247999999999998</v>
          </cell>
          <cell r="AS48">
            <v>-53.274000000000001</v>
          </cell>
          <cell r="AT48">
            <v>-58.384</v>
          </cell>
          <cell r="AU48">
            <v>-59.918999999999997</v>
          </cell>
          <cell r="AV48">
            <v>-64.247</v>
          </cell>
          <cell r="AW48">
            <v>-65.513999999999996</v>
          </cell>
          <cell r="AX48">
            <v>-62.508000000000003</v>
          </cell>
          <cell r="AY48">
            <v>-63.545999999999999</v>
          </cell>
          <cell r="AZ48">
            <v>-62.015999999999998</v>
          </cell>
          <cell r="BA48">
            <v>-61.567999999999998</v>
          </cell>
          <cell r="BB48">
            <v>-62.654000000000003</v>
          </cell>
          <cell r="BC48">
            <v>-64.122</v>
          </cell>
          <cell r="BD48">
            <v>-61.459000000000003</v>
          </cell>
          <cell r="BE48">
            <v>-58.417000000000002</v>
          </cell>
          <cell r="BF48">
            <v>-56.073999999999998</v>
          </cell>
          <cell r="BG48">
            <v>-62.904000000000003</v>
          </cell>
          <cell r="BH48">
            <v>-68.623000000000005</v>
          </cell>
          <cell r="BI48">
            <v>-74.427000000000007</v>
          </cell>
          <cell r="BJ48">
            <v>-74.512</v>
          </cell>
          <cell r="BK48">
            <v>-77.796000000000006</v>
          </cell>
          <cell r="BL48">
            <v>-85.172000777500003</v>
          </cell>
          <cell r="BM48">
            <v>-84.639779543341248</v>
          </cell>
          <cell r="BN48">
            <v>-84.643797597850025</v>
          </cell>
          <cell r="BO48">
            <v>-84.647880440615921</v>
          </cell>
          <cell r="BP48">
            <v>-84.652028847525941</v>
          </cell>
          <cell r="BQ48">
            <v>-83.656243905395741</v>
          </cell>
          <cell r="BR48">
            <v>-83.660526715708301</v>
          </cell>
          <cell r="BS48">
            <v>-83.664878398639033</v>
          </cell>
          <cell r="BT48">
            <v>-83.669300093331742</v>
          </cell>
          <cell r="BV48" t="str">
            <v>mstag:interestExpense</v>
          </cell>
          <cell r="BW48">
            <v>6</v>
          </cell>
          <cell r="BX48" t="str">
            <v>ISO4217:USD</v>
          </cell>
          <cell r="BY48" t="b">
            <v>1</v>
          </cell>
          <cell r="BZ48" t="b">
            <v>0</v>
          </cell>
        </row>
        <row r="49">
          <cell r="A49" t="str">
            <v>Interest Income</v>
          </cell>
          <cell r="C49">
            <v>3.51</v>
          </cell>
          <cell r="D49">
            <v>5.254999999999999</v>
          </cell>
          <cell r="E49">
            <v>4.8440000000000003</v>
          </cell>
          <cell r="F49">
            <v>4.4020000000000001</v>
          </cell>
          <cell r="G49">
            <v>9.0019999999999989</v>
          </cell>
          <cell r="H49">
            <v>10.847999999999999</v>
          </cell>
          <cell r="I49">
            <v>3.4129999999999998</v>
          </cell>
          <cell r="J49">
            <v>1.722</v>
          </cell>
          <cell r="K49">
            <v>5.024</v>
          </cell>
          <cell r="L49">
            <v>7.4063182499999991</v>
          </cell>
          <cell r="M49">
            <v>2.0646868612005589</v>
          </cell>
          <cell r="N49">
            <v>8.6782063211867033</v>
          </cell>
          <cell r="O49">
            <v>14.914440041238672</v>
          </cell>
          <cell r="P49">
            <v>21.989721497629759</v>
          </cell>
          <cell r="Q49">
            <v>26.138901058852699</v>
          </cell>
          <cell r="R49">
            <v>30.522933766987666</v>
          </cell>
          <cell r="S49">
            <v>35.016114741795526</v>
          </cell>
          <cell r="T49">
            <v>39.729199413739686</v>
          </cell>
          <cell r="U49">
            <v>44.488801129152982</v>
          </cell>
          <cell r="V49">
            <v>49.537550247649506</v>
          </cell>
          <cell r="Y49">
            <v>1.0369999999999999</v>
          </cell>
          <cell r="Z49">
            <v>0.77400000000000002</v>
          </cell>
          <cell r="AA49">
            <v>0.755</v>
          </cell>
          <cell r="AB49">
            <v>0.94399999999999995</v>
          </cell>
          <cell r="AC49">
            <v>0.92600000000000005</v>
          </cell>
          <cell r="AD49">
            <v>1.93</v>
          </cell>
          <cell r="AE49">
            <v>1.177</v>
          </cell>
          <cell r="AF49">
            <v>1.222</v>
          </cell>
          <cell r="AG49">
            <v>1.1140000000000001</v>
          </cell>
          <cell r="AH49">
            <v>1.1220000000000001</v>
          </cell>
          <cell r="AI49">
            <v>1.1659999999999999</v>
          </cell>
          <cell r="AJ49">
            <v>1.4419999999999999</v>
          </cell>
          <cell r="AK49">
            <v>0.69899999999999995</v>
          </cell>
          <cell r="AL49">
            <v>0.80800000000000005</v>
          </cell>
          <cell r="AM49">
            <v>1.351</v>
          </cell>
          <cell r="AN49">
            <v>1.544</v>
          </cell>
          <cell r="AO49">
            <v>1.3580000000000001</v>
          </cell>
          <cell r="AP49">
            <v>1.371</v>
          </cell>
          <cell r="AQ49">
            <v>2.2919999999999998</v>
          </cell>
          <cell r="AR49">
            <v>3.9809999999999999</v>
          </cell>
          <cell r="AS49">
            <v>3.617</v>
          </cell>
          <cell r="AT49">
            <v>3.2240000000000002</v>
          </cell>
          <cell r="AU49">
            <v>2.3450000000000002</v>
          </cell>
          <cell r="AV49">
            <v>1.6619999999999999</v>
          </cell>
          <cell r="AW49">
            <v>0.96299999999999997</v>
          </cell>
          <cell r="AX49">
            <v>0.97899999999999998</v>
          </cell>
          <cell r="AY49">
            <v>1.0169999999999999</v>
          </cell>
          <cell r="AZ49">
            <v>0.45400000000000001</v>
          </cell>
          <cell r="BA49">
            <v>0.499</v>
          </cell>
          <cell r="BB49">
            <v>0.48199999999999998</v>
          </cell>
          <cell r="BC49">
            <v>0.73599999999999999</v>
          </cell>
          <cell r="BD49">
            <v>5.0000000000000001E-3</v>
          </cell>
          <cell r="BE49">
            <v>0.502</v>
          </cell>
          <cell r="BF49">
            <v>0.69399999999999995</v>
          </cell>
          <cell r="BG49">
            <v>1.954</v>
          </cell>
          <cell r="BH49">
            <v>1.8740000000000001</v>
          </cell>
          <cell r="BI49">
            <v>2.3039999999999998</v>
          </cell>
          <cell r="BJ49">
            <v>2.7109999999999999</v>
          </cell>
          <cell r="BK49">
            <v>1.8220000000000001</v>
          </cell>
          <cell r="BL49">
            <v>0.56931824999999925</v>
          </cell>
          <cell r="BM49">
            <v>0.24913952226416855</v>
          </cell>
          <cell r="BN49">
            <v>0.3162049567354796</v>
          </cell>
          <cell r="BO49">
            <v>0.56864159223176214</v>
          </cell>
          <cell r="BP49">
            <v>0.93070078996914851</v>
          </cell>
          <cell r="BQ49">
            <v>1.3153541499138859</v>
          </cell>
          <cell r="BR49">
            <v>1.8349692164032303</v>
          </cell>
          <cell r="BS49">
            <v>2.4477241255251476</v>
          </cell>
          <cell r="BT49">
            <v>3.0801588293444384</v>
          </cell>
          <cell r="BV49" t="str">
            <v>mstag:interestAndDividendIncome</v>
          </cell>
          <cell r="BW49">
            <v>6</v>
          </cell>
          <cell r="BX49" t="str">
            <v>ISO4217:USD</v>
          </cell>
          <cell r="BY49" t="b">
            <v>0</v>
          </cell>
          <cell r="BZ49" t="b">
            <v>0</v>
          </cell>
        </row>
        <row r="50">
          <cell r="A50" t="str">
            <v>Other Expense</v>
          </cell>
          <cell r="C50">
            <v>-34.414999999999999</v>
          </cell>
          <cell r="D50">
            <v>-54.795000000000002</v>
          </cell>
          <cell r="E50">
            <v>-140.81399999999999</v>
          </cell>
          <cell r="F50">
            <v>-66.88300000000001</v>
          </cell>
          <cell r="G50">
            <v>-20.604000000000003</v>
          </cell>
          <cell r="H50">
            <v>-14.754000000000001</v>
          </cell>
          <cell r="I50">
            <v>1.0840000000000001</v>
          </cell>
          <cell r="J50">
            <v>-16.899999999999999</v>
          </cell>
          <cell r="K50">
            <v>-1.5709999999999997</v>
          </cell>
          <cell r="L50">
            <v>-115.7097</v>
          </cell>
          <cell r="M50">
            <v>0</v>
          </cell>
          <cell r="N50">
            <v>0</v>
          </cell>
          <cell r="O50">
            <v>0</v>
          </cell>
          <cell r="P50">
            <v>0</v>
          </cell>
          <cell r="Q50">
            <v>0</v>
          </cell>
          <cell r="R50">
            <v>0</v>
          </cell>
          <cell r="S50">
            <v>0</v>
          </cell>
          <cell r="T50">
            <v>0</v>
          </cell>
          <cell r="U50">
            <v>0</v>
          </cell>
          <cell r="V50">
            <v>0</v>
          </cell>
          <cell r="Y50">
            <v>-10.416</v>
          </cell>
          <cell r="Z50">
            <v>-17.808</v>
          </cell>
          <cell r="AA50">
            <v>-5.3019999999999996</v>
          </cell>
          <cell r="AB50">
            <v>-0.88900000000000001</v>
          </cell>
          <cell r="AC50">
            <v>-14.376999999999999</v>
          </cell>
          <cell r="AD50">
            <v>-36.234000000000002</v>
          </cell>
          <cell r="AE50">
            <v>2.327</v>
          </cell>
          <cell r="AF50">
            <v>-6.5109999999999992</v>
          </cell>
          <cell r="AG50">
            <v>-8.2570000000000014</v>
          </cell>
          <cell r="AH50">
            <v>-32.042999999999999</v>
          </cell>
          <cell r="AI50">
            <v>-49.127000000000002</v>
          </cell>
          <cell r="AJ50">
            <v>-51.387</v>
          </cell>
          <cell r="AK50">
            <v>-14.372</v>
          </cell>
          <cell r="AL50">
            <v>-17.548000000000002</v>
          </cell>
          <cell r="AM50">
            <v>-13.308</v>
          </cell>
          <cell r="AN50">
            <v>-21.655000000000001</v>
          </cell>
          <cell r="AO50">
            <v>-17.848000000000003</v>
          </cell>
          <cell r="AP50">
            <v>-0.83599999999999985</v>
          </cell>
          <cell r="AQ50">
            <v>-6.3090000000000002</v>
          </cell>
          <cell r="AR50">
            <v>4.3889999999999993</v>
          </cell>
          <cell r="AS50">
            <v>-1.1539999999999999</v>
          </cell>
          <cell r="AT50">
            <v>-15.034000000000001</v>
          </cell>
          <cell r="AU50">
            <v>1.2329999999999999</v>
          </cell>
          <cell r="AV50">
            <v>0.20100000000000007</v>
          </cell>
          <cell r="AW50">
            <v>-0.80300000000000005</v>
          </cell>
          <cell r="AX50">
            <v>-1.5370000000000001</v>
          </cell>
          <cell r="AY50">
            <v>9.9999999999999978E-2</v>
          </cell>
          <cell r="AZ50">
            <v>3.3240000000000003</v>
          </cell>
          <cell r="BA50">
            <v>7.0999999999999994E-2</v>
          </cell>
          <cell r="BB50">
            <v>-5.0110000000000001</v>
          </cell>
          <cell r="BC50">
            <v>-0.34900000000000003</v>
          </cell>
          <cell r="BD50">
            <v>-11.610999999999999</v>
          </cell>
          <cell r="BE50">
            <v>0.39600000000000002</v>
          </cell>
          <cell r="BF50">
            <v>-6.7540000000000004</v>
          </cell>
          <cell r="BG50">
            <v>8.2360000000000007</v>
          </cell>
          <cell r="BH50">
            <v>-3.4489999999999998</v>
          </cell>
          <cell r="BI50">
            <v>13.7073</v>
          </cell>
          <cell r="BJ50">
            <v>21.459</v>
          </cell>
          <cell r="BK50">
            <v>-150.876</v>
          </cell>
          <cell r="BL50">
            <v>0</v>
          </cell>
          <cell r="BM50">
            <v>0</v>
          </cell>
          <cell r="BN50">
            <v>0</v>
          </cell>
          <cell r="BO50">
            <v>0</v>
          </cell>
          <cell r="BP50">
            <v>0</v>
          </cell>
          <cell r="BQ50">
            <v>0</v>
          </cell>
          <cell r="BR50">
            <v>0</v>
          </cell>
          <cell r="BS50">
            <v>0</v>
          </cell>
          <cell r="BT50">
            <v>0</v>
          </cell>
          <cell r="BV50" t="str">
            <v>mstag:otherNonOperatingIncomeExpense</v>
          </cell>
          <cell r="BW50">
            <v>6</v>
          </cell>
          <cell r="BX50" t="str">
            <v>ISO4217:USD</v>
          </cell>
          <cell r="BY50" t="b">
            <v>0</v>
          </cell>
          <cell r="BZ50" t="b">
            <v>0</v>
          </cell>
        </row>
        <row r="52">
          <cell r="A52" t="str">
            <v>PreTax Income</v>
          </cell>
          <cell r="C52">
            <v>-385.92300000000017</v>
          </cell>
          <cell r="D52">
            <v>-317.3370000000001</v>
          </cell>
          <cell r="E52">
            <v>-314.13699999999989</v>
          </cell>
          <cell r="F52">
            <v>-135.55400000000012</v>
          </cell>
          <cell r="G52">
            <v>70.864000000000004</v>
          </cell>
          <cell r="H52">
            <v>152.83999999999978</v>
          </cell>
          <cell r="I52">
            <v>371.91999999999985</v>
          </cell>
          <cell r="J52">
            <v>421.48700000000014</v>
          </cell>
          <cell r="K52">
            <v>556.02499999999998</v>
          </cell>
          <cell r="L52">
            <v>532.5991664521016</v>
          </cell>
          <cell r="M52">
            <v>916.58050178622273</v>
          </cell>
          <cell r="N52">
            <v>1133.3999117061785</v>
          </cell>
          <cell r="O52">
            <v>1256.4896547286592</v>
          </cell>
          <cell r="P52">
            <v>1355.6653488523466</v>
          </cell>
          <cell r="Q52">
            <v>1441.4381953616562</v>
          </cell>
          <cell r="R52">
            <v>1514.8316733916979</v>
          </cell>
          <cell r="S52">
            <v>1575.4734498225439</v>
          </cell>
          <cell r="T52">
            <v>1623.3240973946631</v>
          </cell>
          <cell r="U52">
            <v>1656.8708144798497</v>
          </cell>
          <cell r="V52">
            <v>1677.8597599680945</v>
          </cell>
          <cell r="W52">
            <v>0.26793294169978199</v>
          </cell>
          <cell r="Y52">
            <v>-78.100000000000009</v>
          </cell>
          <cell r="Z52">
            <v>-94.52000000000001</v>
          </cell>
          <cell r="AA52">
            <v>-150.38299999999998</v>
          </cell>
          <cell r="AB52">
            <v>-62.920000000000016</v>
          </cell>
          <cell r="AC52">
            <v>-87.819000000000031</v>
          </cell>
          <cell r="AD52">
            <v>-105.22799999999999</v>
          </cell>
          <cell r="AE52">
            <v>-58.10299999999998</v>
          </cell>
          <cell r="AF52">
            <v>-66.187000000000012</v>
          </cell>
          <cell r="AG52">
            <v>-58.544000000000004</v>
          </cell>
          <cell r="AH52">
            <v>-82.150999999999996</v>
          </cell>
          <cell r="AI52">
            <v>-89.046000000000021</v>
          </cell>
          <cell r="AJ52">
            <v>-84.395999999999987</v>
          </cell>
          <cell r="AK52">
            <v>-35.84500000000002</v>
          </cell>
          <cell r="AL52">
            <v>-35.448999999999998</v>
          </cell>
          <cell r="AM52">
            <v>-28.825999999999993</v>
          </cell>
          <cell r="AN52">
            <v>-35.433999999999997</v>
          </cell>
          <cell r="AO52">
            <v>0.46000000000000352</v>
          </cell>
          <cell r="AP52">
            <v>21.200999999999993</v>
          </cell>
          <cell r="AQ52">
            <v>17.126000000000033</v>
          </cell>
          <cell r="AR52">
            <v>32.076999999999984</v>
          </cell>
          <cell r="AS52">
            <v>38.796999999999947</v>
          </cell>
          <cell r="AT52">
            <v>26.685999999999982</v>
          </cell>
          <cell r="AU52">
            <v>45.733999999999973</v>
          </cell>
          <cell r="AV52">
            <v>41.623000000000012</v>
          </cell>
          <cell r="AW52">
            <v>83.043000000000049</v>
          </cell>
          <cell r="AX52">
            <v>95.308000000000007</v>
          </cell>
          <cell r="AY52">
            <v>95.524000000000015</v>
          </cell>
          <cell r="AZ52">
            <v>98.044999999999987</v>
          </cell>
          <cell r="BA52">
            <v>92.786000000000016</v>
          </cell>
          <cell r="BB52">
            <v>102.84899999999998</v>
          </cell>
          <cell r="BC52">
            <v>118.92699999999991</v>
          </cell>
          <cell r="BD52">
            <v>106.925</v>
          </cell>
          <cell r="BE52">
            <v>124.82900000000004</v>
          </cell>
          <cell r="BF52">
            <v>130.16699999999997</v>
          </cell>
          <cell r="BG52">
            <v>164.24299999999999</v>
          </cell>
          <cell r="BH52">
            <v>136.78600000000003</v>
          </cell>
          <cell r="BI52">
            <v>163.38329999999999</v>
          </cell>
          <cell r="BJ52">
            <v>179.03700000000001</v>
          </cell>
          <cell r="BK52">
            <v>4.9530000000000127</v>
          </cell>
          <cell r="BL52">
            <v>185.22586645210109</v>
          </cell>
          <cell r="BM52">
            <v>187.99694990756984</v>
          </cell>
          <cell r="BN52">
            <v>223.46894544815524</v>
          </cell>
          <cell r="BO52">
            <v>246.05126497377975</v>
          </cell>
          <cell r="BP52">
            <v>259.06334145671775</v>
          </cell>
          <cell r="BQ52">
            <v>260.94088009319023</v>
          </cell>
          <cell r="BR52">
            <v>278.6405817346959</v>
          </cell>
          <cell r="BS52">
            <v>293.86511231199836</v>
          </cell>
          <cell r="BT52">
            <v>299.95333756629378</v>
          </cell>
        </row>
        <row r="53">
          <cell r="A53" t="str">
            <v>Income Tax Benefit (Expense)</v>
          </cell>
          <cell r="C53">
            <v>67.585999999999999</v>
          </cell>
          <cell r="D53">
            <v>77.647999999999996</v>
          </cell>
          <cell r="E53">
            <v>80.174999999999997</v>
          </cell>
          <cell r="F53">
            <v>-5.7140000000000004</v>
          </cell>
          <cell r="G53">
            <v>-41.768000000000001</v>
          </cell>
          <cell r="H53">
            <v>-59.808999999999997</v>
          </cell>
          <cell r="I53">
            <v>-135.50899999999999</v>
          </cell>
          <cell r="J53">
            <v>-182.565</v>
          </cell>
          <cell r="K53">
            <v>-182.48899999999998</v>
          </cell>
          <cell r="L53">
            <v>-236.07134658084044</v>
          </cell>
          <cell r="M53">
            <v>-109.98966021434671</v>
          </cell>
          <cell r="N53">
            <v>-136.00798940474138</v>
          </cell>
          <cell r="O53">
            <v>-150.77875856743907</v>
          </cell>
          <cell r="P53">
            <v>-162.67984186228153</v>
          </cell>
          <cell r="Q53">
            <v>-172.97258344339869</v>
          </cell>
          <cell r="R53">
            <v>-181.77980080700371</v>
          </cell>
          <cell r="S53">
            <v>-189.05681397870521</v>
          </cell>
          <cell r="T53">
            <v>-194.79889168735951</v>
          </cell>
          <cell r="U53">
            <v>-198.82449773758191</v>
          </cell>
          <cell r="V53">
            <v>-201.34317119617128</v>
          </cell>
          <cell r="Y53">
            <v>22.213999999999999</v>
          </cell>
          <cell r="Z53">
            <v>27.312000000000001</v>
          </cell>
          <cell r="AA53">
            <v>3.1680000000000001</v>
          </cell>
          <cell r="AB53">
            <v>14.891999999999999</v>
          </cell>
          <cell r="AC53">
            <v>22.08</v>
          </cell>
          <cell r="AD53">
            <v>20.405999999999999</v>
          </cell>
          <cell r="AE53">
            <v>16.404</v>
          </cell>
          <cell r="AF53">
            <v>18.757999999999999</v>
          </cell>
          <cell r="AG53">
            <v>13.018000000000001</v>
          </cell>
          <cell r="AH53">
            <v>19.268999999999998</v>
          </cell>
          <cell r="AI53">
            <v>30.396000000000001</v>
          </cell>
          <cell r="AJ53">
            <v>17.492000000000001</v>
          </cell>
          <cell r="AK53">
            <v>4.702</v>
          </cell>
          <cell r="AL53">
            <v>1.4039999999999999</v>
          </cell>
          <cell r="AM53">
            <v>7.6660000000000004</v>
          </cell>
          <cell r="AN53">
            <v>-19.486000000000001</v>
          </cell>
          <cell r="AO53">
            <v>-1.8260000000000001</v>
          </cell>
          <cell r="AP53">
            <v>-12.936</v>
          </cell>
          <cell r="AQ53">
            <v>-13.35</v>
          </cell>
          <cell r="AR53">
            <v>-13.656000000000001</v>
          </cell>
          <cell r="AS53">
            <v>-17.631</v>
          </cell>
          <cell r="AT53">
            <v>-14.566000000000001</v>
          </cell>
          <cell r="AU53">
            <v>14.483000000000001</v>
          </cell>
          <cell r="AV53">
            <v>-42.094999999999999</v>
          </cell>
          <cell r="AW53">
            <v>-40.801000000000002</v>
          </cell>
          <cell r="AX53">
            <v>-44.534999999999997</v>
          </cell>
          <cell r="AY53">
            <v>-34.917999999999999</v>
          </cell>
          <cell r="AZ53">
            <v>-15.255000000000001</v>
          </cell>
          <cell r="BA53">
            <v>-37.106999999999999</v>
          </cell>
          <cell r="BB53">
            <v>-51.427999999999997</v>
          </cell>
          <cell r="BC53">
            <v>-51.347999999999999</v>
          </cell>
          <cell r="BD53">
            <v>-42.682000000000002</v>
          </cell>
          <cell r="BE53">
            <v>-28.388999999999999</v>
          </cell>
          <cell r="BF53">
            <v>-30.352</v>
          </cell>
          <cell r="BG53">
            <v>-70.649000000000001</v>
          </cell>
          <cell r="BH53">
            <v>-53.098999999999997</v>
          </cell>
          <cell r="BI53">
            <v>-71.423000000000002</v>
          </cell>
          <cell r="BJ53">
            <v>-65.876999999999995</v>
          </cell>
          <cell r="BK53">
            <v>-24.681000000000001</v>
          </cell>
          <cell r="BL53">
            <v>-74.090346580840432</v>
          </cell>
          <cell r="BM53">
            <v>-22.559633988908381</v>
          </cell>
          <cell r="BN53">
            <v>-26.816273453778628</v>
          </cell>
          <cell r="BO53">
            <v>-29.526151796853568</v>
          </cell>
          <cell r="BP53">
            <v>-31.087600974806129</v>
          </cell>
          <cell r="BQ53">
            <v>-31.312905611182828</v>
          </cell>
          <cell r="BR53">
            <v>-33.436869808163507</v>
          </cell>
          <cell r="BS53">
            <v>-35.263813477439804</v>
          </cell>
          <cell r="BT53">
            <v>-35.994400507955255</v>
          </cell>
          <cell r="BV53" t="str">
            <v>mstag:taxExpenseIncome</v>
          </cell>
          <cell r="BW53">
            <v>6</v>
          </cell>
          <cell r="BX53" t="str">
            <v>ISO4217:USD</v>
          </cell>
          <cell r="BY53" t="b">
            <v>1</v>
          </cell>
          <cell r="BZ53" t="b">
            <v>0</v>
          </cell>
        </row>
        <row r="54">
          <cell r="A54" t="str">
            <v>Effective Tax Rate</v>
          </cell>
          <cell r="C54">
            <v>0.17512819914853472</v>
          </cell>
          <cell r="D54">
            <v>0.24468624837318048</v>
          </cell>
          <cell r="E54">
            <v>0.25522303962920645</v>
          </cell>
          <cell r="F54">
            <v>-4.2152942738687131E-2</v>
          </cell>
          <cell r="G54">
            <v>0.5894107021901106</v>
          </cell>
          <cell r="H54">
            <v>0.39131771787490244</v>
          </cell>
          <cell r="I54">
            <v>0.36434986018498611</v>
          </cell>
          <cell r="J54">
            <v>0.43314503175661395</v>
          </cell>
          <cell r="K54">
            <v>0.32820286857605319</v>
          </cell>
          <cell r="L54">
            <v>0.44324392798701667</v>
          </cell>
          <cell r="M54">
            <v>0.11999999999999998</v>
          </cell>
          <cell r="N54">
            <v>0.11999999999999997</v>
          </cell>
          <cell r="O54">
            <v>0.11999999999999997</v>
          </cell>
          <cell r="P54">
            <v>0.11999999999999997</v>
          </cell>
          <cell r="Q54">
            <v>0.11999999999999997</v>
          </cell>
          <cell r="R54">
            <v>0.11999999999999997</v>
          </cell>
          <cell r="S54">
            <v>0.11999999999999997</v>
          </cell>
          <cell r="T54">
            <v>0.11999999999999997</v>
          </cell>
          <cell r="U54">
            <v>0.11999999999999997</v>
          </cell>
          <cell r="V54">
            <v>0.11999999999999997</v>
          </cell>
          <cell r="Y54">
            <v>0.28443021766965426</v>
          </cell>
          <cell r="Z54">
            <v>0.2889547185780787</v>
          </cell>
          <cell r="AA54">
            <v>2.1066210941396307E-2</v>
          </cell>
          <cell r="AB54">
            <v>0.23668150031786389</v>
          </cell>
          <cell r="AC54">
            <v>0.2514262289481774</v>
          </cell>
          <cell r="AD54">
            <v>0.19392176987113696</v>
          </cell>
          <cell r="AE54">
            <v>0.28232621379274747</v>
          </cell>
          <cell r="AF54">
            <v>0.28340912868085871</v>
          </cell>
          <cell r="AG54">
            <v>0.22236266739546323</v>
          </cell>
          <cell r="AH54">
            <v>0.23455587880853548</v>
          </cell>
          <cell r="AI54">
            <v>0.34135166093928976</v>
          </cell>
          <cell r="AJ54">
            <v>0.20726100763069344</v>
          </cell>
          <cell r="AK54">
            <v>0.13117589621983533</v>
          </cell>
          <cell r="AL54">
            <v>3.9606194815086461E-2</v>
          </cell>
          <cell r="AM54">
            <v>0.26594047040865892</v>
          </cell>
          <cell r="AN54">
            <v>-0.549923801998081</v>
          </cell>
          <cell r="AO54">
            <v>3.9695652173912741</v>
          </cell>
          <cell r="AP54">
            <v>0.61015989811801352</v>
          </cell>
          <cell r="AQ54">
            <v>0.77951652458250464</v>
          </cell>
          <cell r="AR54">
            <v>0.4257255977803413</v>
          </cell>
          <cell r="AS54">
            <v>0.45444235379024212</v>
          </cell>
          <cell r="AT54">
            <v>0.54582927377651247</v>
          </cell>
          <cell r="AU54">
            <v>-0.31667905715660138</v>
          </cell>
          <cell r="AV54">
            <v>1.0113398841986398</v>
          </cell>
          <cell r="AW54">
            <v>0.49132377202172339</v>
          </cell>
          <cell r="AX54">
            <v>0.46727452050195151</v>
          </cell>
          <cell r="AY54">
            <v>0.36554164398475769</v>
          </cell>
          <cell r="AZ54">
            <v>0.15559182008261516</v>
          </cell>
          <cell r="BA54">
            <v>0.399920246588925</v>
          </cell>
          <cell r="BB54">
            <v>0.50003403047185691</v>
          </cell>
          <cell r="BC54">
            <v>0.43176065990061163</v>
          </cell>
          <cell r="BD54">
            <v>0.39917699321954642</v>
          </cell>
          <cell r="BE54">
            <v>0.22742311482107516</v>
          </cell>
          <cell r="BF54">
            <v>0.23317737982745249</v>
          </cell>
          <cell r="BG54">
            <v>0.43014923010417494</v>
          </cell>
          <cell r="BH54">
            <v>0.38819031187402209</v>
          </cell>
          <cell r="BI54">
            <v>0.43714994127306772</v>
          </cell>
          <cell r="BJ54">
            <v>0.36795187586923367</v>
          </cell>
          <cell r="BK54">
            <v>4.9830405814657661</v>
          </cell>
          <cell r="BL54">
            <v>0.4</v>
          </cell>
          <cell r="BM54">
            <v>0.12</v>
          </cell>
          <cell r="BN54">
            <v>0.12</v>
          </cell>
          <cell r="BO54">
            <v>0.12</v>
          </cell>
          <cell r="BP54">
            <v>0.12</v>
          </cell>
          <cell r="BQ54">
            <v>0.12</v>
          </cell>
          <cell r="BR54">
            <v>0.12</v>
          </cell>
          <cell r="BS54">
            <v>0.12</v>
          </cell>
          <cell r="BT54">
            <v>0.12</v>
          </cell>
        </row>
        <row r="55">
          <cell r="A55" t="str">
            <v>Statutory Tax Rate</v>
          </cell>
          <cell r="C55">
            <v>0.35</v>
          </cell>
          <cell r="D55">
            <v>0.35</v>
          </cell>
          <cell r="E55">
            <v>0.35</v>
          </cell>
          <cell r="F55">
            <v>0.35</v>
          </cell>
          <cell r="G55">
            <v>0.35</v>
          </cell>
          <cell r="H55">
            <v>0.35</v>
          </cell>
          <cell r="I55">
            <v>0.35</v>
          </cell>
          <cell r="J55">
            <v>0.35</v>
          </cell>
          <cell r="K55">
            <v>0.35</v>
          </cell>
          <cell r="L55">
            <v>0.35</v>
          </cell>
          <cell r="M55">
            <v>0.35</v>
          </cell>
          <cell r="N55">
            <v>0.35</v>
          </cell>
          <cell r="O55">
            <v>0.35</v>
          </cell>
          <cell r="P55">
            <v>0.35</v>
          </cell>
          <cell r="Q55">
            <v>0.35</v>
          </cell>
          <cell r="R55">
            <v>0.35</v>
          </cell>
          <cell r="S55">
            <v>0.35</v>
          </cell>
          <cell r="T55">
            <v>0.35</v>
          </cell>
          <cell r="U55">
            <v>0.35</v>
          </cell>
          <cell r="V55">
            <v>0.35</v>
          </cell>
          <cell r="Y55">
            <v>0.35</v>
          </cell>
          <cell r="Z55">
            <v>0.35</v>
          </cell>
          <cell r="AA55">
            <v>0.35</v>
          </cell>
          <cell r="AB55">
            <v>0.35</v>
          </cell>
          <cell r="AC55">
            <v>0.35</v>
          </cell>
          <cell r="AD55">
            <v>0.35</v>
          </cell>
          <cell r="AE55">
            <v>0.35</v>
          </cell>
          <cell r="AF55">
            <v>0.35</v>
          </cell>
          <cell r="AG55">
            <v>0.35</v>
          </cell>
          <cell r="AH55">
            <v>0.35</v>
          </cell>
          <cell r="AI55">
            <v>0.35</v>
          </cell>
          <cell r="AJ55">
            <v>0.35</v>
          </cell>
          <cell r="AK55">
            <v>0.35</v>
          </cell>
          <cell r="AL55">
            <v>0.35</v>
          </cell>
          <cell r="AM55">
            <v>0.35</v>
          </cell>
          <cell r="AN55">
            <v>0.35</v>
          </cell>
          <cell r="AO55">
            <v>0.35</v>
          </cell>
          <cell r="AP55">
            <v>0.35</v>
          </cell>
          <cell r="AQ55">
            <v>0.35</v>
          </cell>
          <cell r="AR55">
            <v>0.35</v>
          </cell>
          <cell r="AS55">
            <v>0.35</v>
          </cell>
          <cell r="AT55">
            <v>0.35</v>
          </cell>
          <cell r="AU55">
            <v>0.35</v>
          </cell>
          <cell r="AV55">
            <v>0.35</v>
          </cell>
          <cell r="AW55">
            <v>0.35</v>
          </cell>
          <cell r="AX55">
            <v>0.35</v>
          </cell>
          <cell r="AY55">
            <v>0.35</v>
          </cell>
          <cell r="AZ55">
            <v>0.35</v>
          </cell>
          <cell r="BA55">
            <v>0.35</v>
          </cell>
          <cell r="BB55">
            <v>0.35</v>
          </cell>
          <cell r="BC55">
            <v>0.35</v>
          </cell>
          <cell r="BD55">
            <v>0.35</v>
          </cell>
          <cell r="BE55">
            <v>0.35</v>
          </cell>
          <cell r="BF55">
            <v>0.35</v>
          </cell>
          <cell r="BG55">
            <v>0.35</v>
          </cell>
          <cell r="BH55">
            <v>0.35</v>
          </cell>
          <cell r="BI55">
            <v>0.35</v>
          </cell>
          <cell r="BJ55">
            <v>0.35</v>
          </cell>
          <cell r="BK55">
            <v>0.35</v>
          </cell>
          <cell r="BL55">
            <v>0.35</v>
          </cell>
          <cell r="BM55">
            <v>0.35</v>
          </cell>
          <cell r="BN55">
            <v>0.35</v>
          </cell>
          <cell r="BO55">
            <v>0.35</v>
          </cell>
          <cell r="BP55">
            <v>0.35</v>
          </cell>
          <cell r="BQ55">
            <v>0.35</v>
          </cell>
          <cell r="BR55">
            <v>0.35</v>
          </cell>
          <cell r="BS55">
            <v>0.35</v>
          </cell>
          <cell r="BT55">
            <v>0.35</v>
          </cell>
          <cell r="BV55" t="str">
            <v>mstag:statutoryTaxRate</v>
          </cell>
          <cell r="BW55">
            <v>0</v>
          </cell>
          <cell r="BX55" t="str">
            <v>ms_eqr_gcim_Decimal:ms_eqr_gcim_decimal</v>
          </cell>
          <cell r="BY55" t="b">
            <v>0</v>
          </cell>
          <cell r="BZ55" t="b">
            <v>0</v>
          </cell>
        </row>
        <row r="56">
          <cell r="A56" t="str">
            <v>Income on Equity Method Investments</v>
          </cell>
          <cell r="C56">
            <v>0</v>
          </cell>
          <cell r="D56">
            <v>-21.221</v>
          </cell>
          <cell r="E56">
            <v>-2.968</v>
          </cell>
          <cell r="F56">
            <v>-2.0779999999999998</v>
          </cell>
          <cell r="G56">
            <v>2.6000000000000002E-2</v>
          </cell>
          <cell r="H56">
            <v>1.9E-2</v>
          </cell>
          <cell r="I56">
            <v>2.2000000000000002E-2</v>
          </cell>
          <cell r="J56">
            <v>2.6000000000000002E-2</v>
          </cell>
          <cell r="K56">
            <v>0.04</v>
          </cell>
          <cell r="L56">
            <v>1.4E-2</v>
          </cell>
          <cell r="M56">
            <v>0</v>
          </cell>
          <cell r="N56">
            <v>0</v>
          </cell>
          <cell r="O56">
            <v>0</v>
          </cell>
          <cell r="P56">
            <v>0</v>
          </cell>
          <cell r="Q56">
            <v>0</v>
          </cell>
          <cell r="R56">
            <v>0</v>
          </cell>
          <cell r="S56">
            <v>0</v>
          </cell>
          <cell r="T56">
            <v>0</v>
          </cell>
          <cell r="U56">
            <v>0</v>
          </cell>
          <cell r="V56">
            <v>0</v>
          </cell>
          <cell r="AC56">
            <v>-19.312999999999999</v>
          </cell>
          <cell r="AD56">
            <v>0</v>
          </cell>
          <cell r="AE56">
            <v>-0.52100000000000002</v>
          </cell>
          <cell r="AF56">
            <v>-1.387</v>
          </cell>
          <cell r="AG56">
            <v>-0.67100000000000004</v>
          </cell>
          <cell r="AH56">
            <v>-0.622</v>
          </cell>
          <cell r="AI56">
            <v>-0.61099999999999999</v>
          </cell>
          <cell r="AJ56">
            <v>-1.0640000000000001</v>
          </cell>
          <cell r="AK56">
            <v>-1.0980000000000001</v>
          </cell>
          <cell r="AL56">
            <v>-0.95199999999999996</v>
          </cell>
          <cell r="AM56">
            <v>-7.0000000000000007E-2</v>
          </cell>
          <cell r="AN56">
            <v>4.2000000000000003E-2</v>
          </cell>
          <cell r="AO56">
            <v>4.0000000000000001E-3</v>
          </cell>
          <cell r="AP56">
            <v>6.0000000000000001E-3</v>
          </cell>
          <cell r="AQ56">
            <v>6.0000000000000001E-3</v>
          </cell>
          <cell r="AR56">
            <v>0.01</v>
          </cell>
          <cell r="AS56">
            <v>2E-3</v>
          </cell>
          <cell r="AT56">
            <v>6.0000000000000001E-3</v>
          </cell>
          <cell r="AU56">
            <v>2E-3</v>
          </cell>
          <cell r="AV56">
            <v>8.9999999999999993E-3</v>
          </cell>
          <cell r="AW56">
            <v>5.0000000000000001E-3</v>
          </cell>
          <cell r="AX56">
            <v>8.0000000000000002E-3</v>
          </cell>
          <cell r="AY56">
            <v>5.0000000000000001E-3</v>
          </cell>
          <cell r="AZ56">
            <v>4.0000000000000001E-3</v>
          </cell>
          <cell r="BA56">
            <v>0.01</v>
          </cell>
          <cell r="BB56">
            <v>7.0000000000000001E-3</v>
          </cell>
          <cell r="BC56">
            <v>3.0000000000000001E-3</v>
          </cell>
          <cell r="BD56">
            <v>6.0000000000000001E-3</v>
          </cell>
          <cell r="BE56">
            <v>8.0000000000000002E-3</v>
          </cell>
          <cell r="BF56">
            <v>0.01</v>
          </cell>
          <cell r="BG56">
            <v>6.0000000000000001E-3</v>
          </cell>
          <cell r="BH56">
            <v>1.6E-2</v>
          </cell>
          <cell r="BI56">
            <v>1E-3</v>
          </cell>
          <cell r="BJ56">
            <v>1.0999999999999999E-2</v>
          </cell>
          <cell r="BK56">
            <v>2E-3</v>
          </cell>
          <cell r="BL56">
            <v>0</v>
          </cell>
          <cell r="BM56">
            <v>0</v>
          </cell>
          <cell r="BN56">
            <v>0</v>
          </cell>
          <cell r="BO56">
            <v>0</v>
          </cell>
          <cell r="BP56">
            <v>0</v>
          </cell>
          <cell r="BQ56">
            <v>0</v>
          </cell>
          <cell r="BR56">
            <v>0</v>
          </cell>
          <cell r="BS56">
            <v>0</v>
          </cell>
          <cell r="BT56">
            <v>0</v>
          </cell>
          <cell r="BV56" t="str">
            <v>mstag:incomeLossFromInvestmentsAccountedForUnderTheEquityMethodNonOperatingIncomeStatement</v>
          </cell>
          <cell r="BW56">
            <v>6</v>
          </cell>
          <cell r="BX56" t="str">
            <v>ISO4217:USD</v>
          </cell>
          <cell r="BY56" t="b">
            <v>0</v>
          </cell>
        </row>
        <row r="57">
          <cell r="A57" t="str">
            <v>Net Income (Loss) from Contin. Ops.</v>
          </cell>
          <cell r="C57">
            <v>-318.33700000000016</v>
          </cell>
          <cell r="D57">
            <v>-260.91000000000008</v>
          </cell>
          <cell r="E57">
            <v>-236.92999999999986</v>
          </cell>
          <cell r="F57">
            <v>-143.34600000000012</v>
          </cell>
          <cell r="G57">
            <v>29.122000000000003</v>
          </cell>
          <cell r="H57">
            <v>93.049999999999784</v>
          </cell>
          <cell r="I57">
            <v>236.43299999999985</v>
          </cell>
          <cell r="J57">
            <v>238.94800000000015</v>
          </cell>
          <cell r="K57">
            <v>373.57600000000002</v>
          </cell>
          <cell r="L57">
            <v>296.54181987126117</v>
          </cell>
          <cell r="M57">
            <v>806.59084157187601</v>
          </cell>
          <cell r="N57">
            <v>997.39192230143715</v>
          </cell>
          <cell r="O57">
            <v>1105.71089616122</v>
          </cell>
          <cell r="P57">
            <v>1192.985506990065</v>
          </cell>
          <cell r="Q57">
            <v>1268.4656119182575</v>
          </cell>
          <cell r="R57">
            <v>1333.0518725846941</v>
          </cell>
          <cell r="S57">
            <v>1386.4166358438388</v>
          </cell>
          <cell r="T57">
            <v>1428.5252057073035</v>
          </cell>
          <cell r="U57">
            <v>1458.0463167422679</v>
          </cell>
          <cell r="V57">
            <v>1476.5165887719231</v>
          </cell>
          <cell r="Y57">
            <v>-55.88600000000001</v>
          </cell>
          <cell r="Z57">
            <v>-67.208000000000013</v>
          </cell>
          <cell r="AA57">
            <v>-147.21499999999997</v>
          </cell>
          <cell r="AB57">
            <v>-48.02800000000002</v>
          </cell>
          <cell r="AC57">
            <v>-85.052000000000035</v>
          </cell>
          <cell r="AD57">
            <v>-84.822000000000003</v>
          </cell>
          <cell r="AE57">
            <v>-42.219999999999985</v>
          </cell>
          <cell r="AF57">
            <v>-48.816000000000017</v>
          </cell>
          <cell r="AG57">
            <v>-46.197000000000003</v>
          </cell>
          <cell r="AH57">
            <v>-63.503999999999998</v>
          </cell>
          <cell r="AI57">
            <v>-59.261000000000017</v>
          </cell>
          <cell r="AJ57">
            <v>-67.967999999999989</v>
          </cell>
          <cell r="AK57">
            <v>-32.241000000000021</v>
          </cell>
          <cell r="AL57">
            <v>-34.997</v>
          </cell>
          <cell r="AM57">
            <v>-21.229999999999993</v>
          </cell>
          <cell r="AN57">
            <v>-54.878</v>
          </cell>
          <cell r="AO57">
            <v>-1.3619999999999965</v>
          </cell>
          <cell r="AP57">
            <v>8.2709999999999937</v>
          </cell>
          <cell r="AQ57">
            <v>3.7820000000000333</v>
          </cell>
          <cell r="AR57">
            <v>18.430999999999987</v>
          </cell>
          <cell r="AS57">
            <v>21.167999999999946</v>
          </cell>
          <cell r="AT57">
            <v>12.125999999999982</v>
          </cell>
          <cell r="AU57">
            <v>60.218999999999973</v>
          </cell>
          <cell r="AV57">
            <v>-0.46299999999998709</v>
          </cell>
          <cell r="AW57">
            <v>42.24700000000005</v>
          </cell>
          <cell r="AX57">
            <v>50.781000000000013</v>
          </cell>
          <cell r="AY57">
            <v>60.611000000000018</v>
          </cell>
          <cell r="AZ57">
            <v>82.793999999999997</v>
          </cell>
          <cell r="BA57">
            <v>55.689000000000014</v>
          </cell>
          <cell r="BB57">
            <v>51.427999999999976</v>
          </cell>
          <cell r="BC57">
            <v>67.581999999999908</v>
          </cell>
          <cell r="BD57">
            <v>64.248999999999995</v>
          </cell>
          <cell r="BE57">
            <v>96.448000000000036</v>
          </cell>
          <cell r="BF57">
            <v>99.824999999999974</v>
          </cell>
          <cell r="BG57">
            <v>93.6</v>
          </cell>
          <cell r="BH57">
            <v>83.703000000000046</v>
          </cell>
          <cell r="BI57">
            <v>91.961299999999994</v>
          </cell>
          <cell r="BJ57">
            <v>113.17100000000001</v>
          </cell>
          <cell r="BK57">
            <v>-19.725999999999988</v>
          </cell>
          <cell r="BL57">
            <v>111.13551987126066</v>
          </cell>
          <cell r="BM57">
            <v>165.43731591866145</v>
          </cell>
          <cell r="BN57">
            <v>196.65267199437662</v>
          </cell>
          <cell r="BO57">
            <v>216.5251131769262</v>
          </cell>
          <cell r="BP57">
            <v>227.97574048191163</v>
          </cell>
          <cell r="BQ57">
            <v>229.6279744820074</v>
          </cell>
          <cell r="BR57">
            <v>245.20371192653238</v>
          </cell>
          <cell r="BS57">
            <v>258.60129883455858</v>
          </cell>
          <cell r="BT57">
            <v>263.95893705833851</v>
          </cell>
        </row>
        <row r="58">
          <cell r="A58" t="str">
            <v>Minority Interest</v>
          </cell>
          <cell r="C58">
            <v>-2.1179999999999999</v>
          </cell>
          <cell r="D58">
            <v>-3.7030000000000003</v>
          </cell>
          <cell r="E58">
            <v>-2.3660000000000001</v>
          </cell>
          <cell r="F58">
            <v>-0.57499999999999996</v>
          </cell>
          <cell r="G58">
            <v>-0.78400000000000003</v>
          </cell>
          <cell r="H58">
            <v>-0.33800000000000002</v>
          </cell>
          <cell r="I58">
            <v>-0.16900000000000001</v>
          </cell>
          <cell r="J58">
            <v>-0.53199999999999992</v>
          </cell>
          <cell r="K58">
            <v>-0.66999999999999993</v>
          </cell>
          <cell r="L58">
            <v>5.7470000000000008</v>
          </cell>
          <cell r="M58">
            <v>-0.79600000000000004</v>
          </cell>
          <cell r="N58">
            <v>-0.79600000000000004</v>
          </cell>
          <cell r="O58">
            <v>-0.79600000000000004</v>
          </cell>
          <cell r="P58">
            <v>-0.79600000000000004</v>
          </cell>
          <cell r="Q58">
            <v>-0.79600000000000004</v>
          </cell>
          <cell r="R58">
            <v>-0.79600000000000004</v>
          </cell>
          <cell r="S58">
            <v>-0.79600000000000004</v>
          </cell>
          <cell r="T58">
            <v>-0.79600000000000004</v>
          </cell>
          <cell r="U58">
            <v>-0.79600000000000004</v>
          </cell>
          <cell r="V58">
            <v>-0.79600000000000004</v>
          </cell>
          <cell r="Y58">
            <v>-0.24299999999999999</v>
          </cell>
          <cell r="Z58">
            <v>-0.49099999999999999</v>
          </cell>
          <cell r="AA58">
            <v>-0.63900000000000001</v>
          </cell>
          <cell r="AB58">
            <v>-0.745</v>
          </cell>
          <cell r="AC58">
            <v>-0.56999999999999995</v>
          </cell>
          <cell r="AD58">
            <v>-0.79300000000000004</v>
          </cell>
          <cell r="AE58">
            <v>-0.90700000000000003</v>
          </cell>
          <cell r="AF58">
            <v>-1.4330000000000001</v>
          </cell>
          <cell r="AG58">
            <v>-1.423</v>
          </cell>
          <cell r="AH58">
            <v>-0.49</v>
          </cell>
          <cell r="AI58">
            <v>-0.27100000000000002</v>
          </cell>
          <cell r="AJ58">
            <v>-0.182</v>
          </cell>
          <cell r="AK58">
            <v>-5.5E-2</v>
          </cell>
          <cell r="AL58">
            <v>-5.6000000000000001E-2</v>
          </cell>
          <cell r="AM58">
            <v>-0.128</v>
          </cell>
          <cell r="AN58">
            <v>-0.33600000000000002</v>
          </cell>
          <cell r="AO58">
            <v>-0.25700000000000001</v>
          </cell>
          <cell r="AP58">
            <v>-0.28000000000000003</v>
          </cell>
          <cell r="AQ58">
            <v>-0.06</v>
          </cell>
          <cell r="AR58">
            <v>-0.187</v>
          </cell>
          <cell r="AS58">
            <v>-8.7999999999999995E-2</v>
          </cell>
          <cell r="AT58">
            <v>-9.6000000000000002E-2</v>
          </cell>
          <cell r="AU58">
            <v>-0.08</v>
          </cell>
          <cell r="AV58">
            <v>-7.3999999999999996E-2</v>
          </cell>
          <cell r="AW58">
            <v>-7.2999999999999995E-2</v>
          </cell>
          <cell r="AX58">
            <v>-9.8000000000000004E-2</v>
          </cell>
          <cell r="AY58">
            <v>-9.5000000000000001E-2</v>
          </cell>
          <cell r="AZ58">
            <v>9.7000000000000003E-2</v>
          </cell>
          <cell r="BA58">
            <v>-0.158</v>
          </cell>
          <cell r="BB58">
            <v>-0.19900000000000001</v>
          </cell>
          <cell r="BC58">
            <v>-0.223</v>
          </cell>
          <cell r="BD58">
            <v>4.8000000000000001E-2</v>
          </cell>
          <cell r="BE58">
            <v>-0.16500000000000001</v>
          </cell>
          <cell r="BF58">
            <v>-0.154</v>
          </cell>
          <cell r="BG58">
            <v>-0.16200000000000001</v>
          </cell>
          <cell r="BH58">
            <v>-0.189</v>
          </cell>
          <cell r="BI58">
            <v>-0.11899999999999999</v>
          </cell>
          <cell r="BJ58">
            <v>2.04</v>
          </cell>
          <cell r="BK58">
            <v>4.0250000000000004</v>
          </cell>
          <cell r="BL58">
            <v>-0.19900000000000001</v>
          </cell>
          <cell r="BM58">
            <v>-0.19900000000000001</v>
          </cell>
          <cell r="BN58">
            <v>-0.19900000000000001</v>
          </cell>
          <cell r="BO58">
            <v>-0.19900000000000001</v>
          </cell>
          <cell r="BP58">
            <v>-0.19900000000000001</v>
          </cell>
          <cell r="BQ58">
            <v>-0.19900000000000001</v>
          </cell>
          <cell r="BR58">
            <v>-0.19900000000000001</v>
          </cell>
          <cell r="BS58">
            <v>-0.19900000000000001</v>
          </cell>
          <cell r="BT58">
            <v>-0.19900000000000001</v>
          </cell>
          <cell r="BV58" t="str">
            <v>mstag:minorityInterestsInNetIncome</v>
          </cell>
          <cell r="BW58">
            <v>6</v>
          </cell>
          <cell r="BX58" t="str">
            <v>ISO4217:USD</v>
          </cell>
          <cell r="BY58" t="b">
            <v>1</v>
          </cell>
          <cell r="BZ58" t="b">
            <v>0</v>
          </cell>
        </row>
        <row r="59">
          <cell r="A59" t="str">
            <v>Discontinued Ops.</v>
          </cell>
          <cell r="C59">
            <v>-821.42300000000023</v>
          </cell>
          <cell r="D59">
            <v>-60.707999999999998</v>
          </cell>
          <cell r="E59">
            <v>-8.2910000000000004</v>
          </cell>
          <cell r="F59">
            <v>-37.437999999999995</v>
          </cell>
          <cell r="G59">
            <v>-0.85399999999999998</v>
          </cell>
          <cell r="H59">
            <v>-36.396000000000001</v>
          </cell>
          <cell r="I59">
            <v>110.98199999999999</v>
          </cell>
          <cell r="J59">
            <v>8.1790000000000003</v>
          </cell>
          <cell r="K59">
            <v>3.0000000000000006E-2</v>
          </cell>
          <cell r="L59">
            <v>0</v>
          </cell>
          <cell r="M59">
            <v>0</v>
          </cell>
          <cell r="N59">
            <v>0</v>
          </cell>
          <cell r="O59">
            <v>0</v>
          </cell>
          <cell r="P59">
            <v>0</v>
          </cell>
          <cell r="Q59">
            <v>0</v>
          </cell>
          <cell r="R59">
            <v>0</v>
          </cell>
          <cell r="S59">
            <v>0</v>
          </cell>
          <cell r="T59">
            <v>0</v>
          </cell>
          <cell r="U59">
            <v>0</v>
          </cell>
          <cell r="V59">
            <v>0</v>
          </cell>
          <cell r="Y59">
            <v>-578.2600000000001</v>
          </cell>
          <cell r="Z59">
            <v>-33.469000000000001</v>
          </cell>
          <cell r="AA59">
            <v>-206.023</v>
          </cell>
          <cell r="AB59">
            <v>-3.6709999999999998</v>
          </cell>
          <cell r="AC59">
            <v>-11.385</v>
          </cell>
          <cell r="AD59">
            <v>-27.515999999999998</v>
          </cell>
          <cell r="AE59">
            <v>-15.164</v>
          </cell>
          <cell r="AF59">
            <v>-6.6429999999999998</v>
          </cell>
          <cell r="AG59">
            <v>-0.61799999999999999</v>
          </cell>
          <cell r="AH59">
            <v>-1.2030000000000001</v>
          </cell>
          <cell r="AI59">
            <v>-0.59</v>
          </cell>
          <cell r="AJ59">
            <v>-5.88</v>
          </cell>
          <cell r="AK59">
            <v>-8.3000000000000004E-2</v>
          </cell>
          <cell r="AL59">
            <v>-1.0980000000000001</v>
          </cell>
          <cell r="AM59">
            <v>-0.72199999999999998</v>
          </cell>
          <cell r="AN59">
            <v>-35.534999999999997</v>
          </cell>
          <cell r="AO59">
            <v>-0.318</v>
          </cell>
          <cell r="AP59">
            <v>-0.32700000000000001</v>
          </cell>
          <cell r="AQ59">
            <v>-0.25</v>
          </cell>
          <cell r="AR59">
            <v>4.1000000000000002E-2</v>
          </cell>
          <cell r="AS59">
            <v>1.1479999999999999</v>
          </cell>
          <cell r="AT59">
            <v>-32.021000000000001</v>
          </cell>
          <cell r="AU59">
            <v>-0.51100000000000001</v>
          </cell>
          <cell r="AV59">
            <v>-5.0119999999999996</v>
          </cell>
          <cell r="AW59">
            <v>-1.9E-2</v>
          </cell>
          <cell r="AX59">
            <v>108.10299999999999</v>
          </cell>
          <cell r="AY59">
            <v>-0.05</v>
          </cell>
          <cell r="AZ59">
            <v>2.948</v>
          </cell>
          <cell r="BA59">
            <v>3.07</v>
          </cell>
          <cell r="BB59">
            <v>5.0599999999999996</v>
          </cell>
          <cell r="BC59">
            <v>-4.0000000000000001E-3</v>
          </cell>
          <cell r="BD59">
            <v>5.2999999999999999E-2</v>
          </cell>
          <cell r="BE59">
            <v>3.5000000000000003E-2</v>
          </cell>
          <cell r="BF59">
            <v>-6.0000000000000001E-3</v>
          </cell>
          <cell r="BG59">
            <v>1E-3</v>
          </cell>
          <cell r="BH59">
            <v>0</v>
          </cell>
          <cell r="BI59">
            <v>0</v>
          </cell>
          <cell r="BJ59">
            <v>0</v>
          </cell>
          <cell r="BK59">
            <v>0</v>
          </cell>
          <cell r="BL59">
            <v>0</v>
          </cell>
          <cell r="BM59">
            <v>0</v>
          </cell>
          <cell r="BN59">
            <v>0</v>
          </cell>
          <cell r="BO59">
            <v>0</v>
          </cell>
          <cell r="BP59">
            <v>0</v>
          </cell>
          <cell r="BQ59">
            <v>0</v>
          </cell>
          <cell r="BR59">
            <v>0</v>
          </cell>
          <cell r="BS59">
            <v>0</v>
          </cell>
          <cell r="BT59">
            <v>0</v>
          </cell>
          <cell r="BV59" t="str">
            <v>mstag:otherProvisionsOneTime</v>
          </cell>
          <cell r="BW59">
            <v>6</v>
          </cell>
          <cell r="BX59" t="str">
            <v>ISO4217:USD</v>
          </cell>
          <cell r="BY59" t="b">
            <v>1</v>
          </cell>
          <cell r="BZ59" t="b">
            <v>0</v>
          </cell>
        </row>
        <row r="60">
          <cell r="A60" t="str">
            <v>Net Income (Loss) to Common</v>
          </cell>
          <cell r="C60">
            <v>-1139.7600000000004</v>
          </cell>
          <cell r="D60">
            <v>-321.61800000000005</v>
          </cell>
          <cell r="E60">
            <v>-245.22099999999986</v>
          </cell>
          <cell r="F60">
            <v>-180.78400000000011</v>
          </cell>
          <cell r="G60">
            <v>28.268000000000004</v>
          </cell>
          <cell r="H60">
            <v>56.653999999999783</v>
          </cell>
          <cell r="I60">
            <v>347.41499999999985</v>
          </cell>
          <cell r="J60">
            <v>247.12700000000015</v>
          </cell>
          <cell r="K60">
            <v>373.60599999999999</v>
          </cell>
          <cell r="L60">
            <v>296.54181987126117</v>
          </cell>
          <cell r="M60">
            <v>806.59084157187601</v>
          </cell>
          <cell r="N60">
            <v>997.39192230143715</v>
          </cell>
          <cell r="O60">
            <v>1105.71089616122</v>
          </cell>
          <cell r="P60">
            <v>1192.985506990065</v>
          </cell>
          <cell r="Q60">
            <v>1268.4656119182575</v>
          </cell>
          <cell r="R60">
            <v>1333.0518725846941</v>
          </cell>
          <cell r="S60">
            <v>1386.4166358438388</v>
          </cell>
          <cell r="T60">
            <v>1428.5252057073035</v>
          </cell>
          <cell r="U60">
            <v>1458.0463167422679</v>
          </cell>
          <cell r="V60">
            <v>1476.5165887719231</v>
          </cell>
          <cell r="Y60">
            <v>-634.14600000000007</v>
          </cell>
          <cell r="Z60">
            <v>-100.67700000000002</v>
          </cell>
          <cell r="AA60">
            <v>-353.23799999999994</v>
          </cell>
          <cell r="AB60">
            <v>-51.699000000000019</v>
          </cell>
          <cell r="AC60">
            <v>-96.43700000000004</v>
          </cell>
          <cell r="AD60">
            <v>-112.33799999999999</v>
          </cell>
          <cell r="AE60">
            <v>-57.383999999999986</v>
          </cell>
          <cell r="AF60">
            <v>-55.459000000000017</v>
          </cell>
          <cell r="AG60">
            <v>-46.815000000000005</v>
          </cell>
          <cell r="AH60">
            <v>-64.706999999999994</v>
          </cell>
          <cell r="AI60">
            <v>-59.85100000000002</v>
          </cell>
          <cell r="AJ60">
            <v>-73.847999999999985</v>
          </cell>
          <cell r="AK60">
            <v>-32.324000000000019</v>
          </cell>
          <cell r="AL60">
            <v>-36.094999999999999</v>
          </cell>
          <cell r="AM60">
            <v>-21.951999999999995</v>
          </cell>
          <cell r="AN60">
            <v>-90.412999999999997</v>
          </cell>
          <cell r="AO60">
            <v>-1.6799999999999966</v>
          </cell>
          <cell r="AP60">
            <v>7.9439999999999937</v>
          </cell>
          <cell r="AQ60">
            <v>3.5320000000000333</v>
          </cell>
          <cell r="AR60">
            <v>18.471999999999987</v>
          </cell>
          <cell r="AS60">
            <v>22.315999999999946</v>
          </cell>
          <cell r="AT60">
            <v>-19.895000000000017</v>
          </cell>
          <cell r="AU60">
            <v>59.70799999999997</v>
          </cell>
          <cell r="AV60">
            <v>-5.4749999999999863</v>
          </cell>
          <cell r="AW60">
            <v>42.228000000000051</v>
          </cell>
          <cell r="AX60">
            <v>158.88400000000001</v>
          </cell>
          <cell r="AY60">
            <v>60.561000000000021</v>
          </cell>
          <cell r="AZ60">
            <v>85.74199999999999</v>
          </cell>
          <cell r="BA60">
            <v>58.759000000000015</v>
          </cell>
          <cell r="BB60">
            <v>56.487999999999978</v>
          </cell>
          <cell r="BC60">
            <v>67.577999999999903</v>
          </cell>
          <cell r="BD60">
            <v>64.301999999999992</v>
          </cell>
          <cell r="BE60">
            <v>96.483000000000033</v>
          </cell>
          <cell r="BF60">
            <v>99.818999999999974</v>
          </cell>
          <cell r="BG60">
            <v>93.600999999999999</v>
          </cell>
          <cell r="BH60">
            <v>83.703000000000046</v>
          </cell>
          <cell r="BI60">
            <v>91.961299999999994</v>
          </cell>
          <cell r="BJ60">
            <v>113.17100000000001</v>
          </cell>
          <cell r="BK60">
            <v>-19.725999999999988</v>
          </cell>
          <cell r="BL60">
            <v>111.13551987126066</v>
          </cell>
          <cell r="BM60">
            <v>165.43731591866145</v>
          </cell>
          <cell r="BN60">
            <v>196.65267199437662</v>
          </cell>
          <cell r="BO60">
            <v>216.5251131769262</v>
          </cell>
          <cell r="BP60">
            <v>227.97574048191163</v>
          </cell>
          <cell r="BQ60">
            <v>229.6279744820074</v>
          </cell>
          <cell r="BR60">
            <v>245.20371192653238</v>
          </cell>
          <cell r="BS60">
            <v>258.60129883455858</v>
          </cell>
          <cell r="BT60">
            <v>263.95893705833851</v>
          </cell>
        </row>
        <row r="61">
          <cell r="A61" t="str">
            <v>Net Income Attributable to AMT Corp.</v>
          </cell>
          <cell r="C61">
            <v>-1141.8780000000004</v>
          </cell>
          <cell r="D61">
            <v>-325.32100000000003</v>
          </cell>
          <cell r="E61">
            <v>-247.58699999999988</v>
          </cell>
          <cell r="F61">
            <v>-181.35900000000009</v>
          </cell>
          <cell r="G61">
            <v>27.484000000000005</v>
          </cell>
          <cell r="H61">
            <v>56.315999999999782</v>
          </cell>
          <cell r="I61">
            <v>347.24599999999987</v>
          </cell>
          <cell r="J61">
            <v>246.59500000000014</v>
          </cell>
          <cell r="K61">
            <v>372.93599999999998</v>
          </cell>
          <cell r="L61">
            <v>302.28881987126118</v>
          </cell>
          <cell r="M61">
            <v>805.79484157187596</v>
          </cell>
          <cell r="N61">
            <v>996.5959223014371</v>
          </cell>
          <cell r="O61">
            <v>1104.91489616122</v>
          </cell>
          <cell r="P61">
            <v>1192.189506990065</v>
          </cell>
          <cell r="Q61">
            <v>1267.6696119182575</v>
          </cell>
          <cell r="R61">
            <v>1332.2558725846941</v>
          </cell>
          <cell r="S61">
            <v>1385.6206358438387</v>
          </cell>
          <cell r="T61">
            <v>1427.7292057073034</v>
          </cell>
          <cell r="U61">
            <v>1457.2503167422678</v>
          </cell>
          <cell r="V61">
            <v>1475.7205887719231</v>
          </cell>
          <cell r="W61">
            <v>0.38769790452456498</v>
          </cell>
          <cell r="Y61">
            <v>-634.38900000000012</v>
          </cell>
          <cell r="Z61">
            <v>-101.16800000000002</v>
          </cell>
          <cell r="AA61">
            <v>-353.87699999999995</v>
          </cell>
          <cell r="AB61">
            <v>-52.444000000000017</v>
          </cell>
          <cell r="AC61">
            <v>-97.007000000000033</v>
          </cell>
          <cell r="AD61">
            <v>-113.131</v>
          </cell>
          <cell r="AE61">
            <v>-58.290999999999983</v>
          </cell>
          <cell r="AF61">
            <v>-56.892000000000017</v>
          </cell>
          <cell r="AG61">
            <v>-48.238000000000007</v>
          </cell>
          <cell r="AH61">
            <v>-65.196999999999989</v>
          </cell>
          <cell r="AI61">
            <v>-60.122000000000021</v>
          </cell>
          <cell r="AJ61">
            <v>-74.029999999999987</v>
          </cell>
          <cell r="AK61">
            <v>-32.379000000000019</v>
          </cell>
          <cell r="AL61">
            <v>-36.150999999999996</v>
          </cell>
          <cell r="AM61">
            <v>-22.079999999999995</v>
          </cell>
          <cell r="AN61">
            <v>-90.748999999999995</v>
          </cell>
          <cell r="AO61">
            <v>-1.9369999999999967</v>
          </cell>
          <cell r="AP61">
            <v>7.6639999999999935</v>
          </cell>
          <cell r="AQ61">
            <v>3.4720000000000333</v>
          </cell>
          <cell r="AR61">
            <v>18.284999999999986</v>
          </cell>
          <cell r="AS61">
            <v>22.227999999999945</v>
          </cell>
          <cell r="AT61">
            <v>-19.991000000000017</v>
          </cell>
          <cell r="AU61">
            <v>59.627999999999972</v>
          </cell>
          <cell r="AV61">
            <v>-5.5489999999999862</v>
          </cell>
          <cell r="AW61">
            <v>42.155000000000051</v>
          </cell>
          <cell r="AX61">
            <v>158.786</v>
          </cell>
          <cell r="AY61">
            <v>60.466000000000022</v>
          </cell>
          <cell r="AZ61">
            <v>85.838999999999984</v>
          </cell>
          <cell r="BA61">
            <v>58.601000000000013</v>
          </cell>
          <cell r="BB61">
            <v>56.28899999999998</v>
          </cell>
          <cell r="BC61">
            <v>67.354999999999905</v>
          </cell>
          <cell r="BD61">
            <v>64.349999999999994</v>
          </cell>
          <cell r="BE61">
            <v>96.318000000000026</v>
          </cell>
          <cell r="BF61">
            <v>99.664999999999978</v>
          </cell>
          <cell r="BG61">
            <v>93.438999999999993</v>
          </cell>
          <cell r="BH61">
            <v>83.514000000000053</v>
          </cell>
          <cell r="BI61">
            <v>91.842299999999994</v>
          </cell>
          <cell r="BJ61">
            <v>115.21100000000001</v>
          </cell>
          <cell r="BK61">
            <v>-15.700999999999988</v>
          </cell>
          <cell r="BL61">
            <v>110.93651987126066</v>
          </cell>
          <cell r="BM61">
            <v>165.23831591866144</v>
          </cell>
          <cell r="BN61">
            <v>196.45367199437661</v>
          </cell>
          <cell r="BO61">
            <v>216.32611317692619</v>
          </cell>
          <cell r="BP61">
            <v>227.77674048191162</v>
          </cell>
          <cell r="BQ61">
            <v>229.42897448200739</v>
          </cell>
          <cell r="BR61">
            <v>245.00471192653237</v>
          </cell>
          <cell r="BS61">
            <v>258.40229883455856</v>
          </cell>
          <cell r="BT61">
            <v>263.75993705833849</v>
          </cell>
        </row>
        <row r="63">
          <cell r="A63" t="str">
            <v>Basic Shares (Avg)</v>
          </cell>
          <cell r="C63">
            <v>195.45374999999999</v>
          </cell>
          <cell r="D63">
            <v>201.73512499999998</v>
          </cell>
          <cell r="E63">
            <v>218.80824999999999</v>
          </cell>
          <cell r="F63">
            <v>300.92175000000003</v>
          </cell>
          <cell r="G63">
            <v>419.3245</v>
          </cell>
          <cell r="H63">
            <v>413.16699999999997</v>
          </cell>
          <cell r="I63">
            <v>398.24771900000002</v>
          </cell>
          <cell r="J63">
            <v>399.28694000000002</v>
          </cell>
          <cell r="K63">
            <v>400.13710900000001</v>
          </cell>
          <cell r="L63">
            <v>395.79431447842239</v>
          </cell>
          <cell r="M63">
            <v>393.14866627768043</v>
          </cell>
          <cell r="N63">
            <v>393.57838490412138</v>
          </cell>
          <cell r="O63">
            <v>393.84868670351023</v>
          </cell>
          <cell r="P63">
            <v>393.96372348798826</v>
          </cell>
          <cell r="Q63">
            <v>394.01634318169715</v>
          </cell>
          <cell r="R63">
            <v>394.04044944419434</v>
          </cell>
          <cell r="S63">
            <v>394.01286873567392</v>
          </cell>
          <cell r="T63">
            <v>393.90482764276237</v>
          </cell>
          <cell r="U63">
            <v>393.73312182081418</v>
          </cell>
          <cell r="V63">
            <v>393.51104092604015</v>
          </cell>
          <cell r="Y63">
            <v>195.28800000000001</v>
          </cell>
          <cell r="Z63">
            <v>195.36099999999999</v>
          </cell>
          <cell r="AA63">
            <v>195.565</v>
          </cell>
          <cell r="AB63">
            <v>195.601</v>
          </cell>
          <cell r="AC63">
            <v>195.703</v>
          </cell>
          <cell r="AD63">
            <v>202.91300000000001</v>
          </cell>
          <cell r="AE63">
            <v>212.05</v>
          </cell>
          <cell r="AF63">
            <v>219.66200000000001</v>
          </cell>
          <cell r="AG63">
            <v>220.40799999999999</v>
          </cell>
          <cell r="AH63">
            <v>223.578</v>
          </cell>
          <cell r="AI63">
            <v>224.839</v>
          </cell>
          <cell r="AJ63">
            <v>228.46899999999999</v>
          </cell>
          <cell r="AK63">
            <v>230.15799999999999</v>
          </cell>
          <cell r="AL63">
            <v>230.79300000000001</v>
          </cell>
          <cell r="AM63">
            <v>334.14100000000002</v>
          </cell>
          <cell r="AN63">
            <v>412.59500000000003</v>
          </cell>
          <cell r="AO63">
            <v>417.37900000000002</v>
          </cell>
          <cell r="AP63">
            <v>423.25200000000001</v>
          </cell>
          <cell r="AQ63">
            <v>425.94200000000001</v>
          </cell>
          <cell r="AR63">
            <v>426.05399999999997</v>
          </cell>
          <cell r="AS63">
            <v>421.62700000000001</v>
          </cell>
          <cell r="AT63">
            <v>417.68200000000002</v>
          </cell>
          <cell r="AU63">
            <v>410.07100000000003</v>
          </cell>
          <cell r="AV63">
            <v>402.80927100000002</v>
          </cell>
          <cell r="AW63">
            <v>397.77205249999997</v>
          </cell>
          <cell r="AX63">
            <v>396.1116725</v>
          </cell>
          <cell r="AY63">
            <v>394.09108450000002</v>
          </cell>
          <cell r="AZ63">
            <v>394.48064150000005</v>
          </cell>
          <cell r="BA63">
            <v>397.65871199999998</v>
          </cell>
          <cell r="BB63">
            <v>395.81000299999999</v>
          </cell>
          <cell r="BC63">
            <v>401.05979300000001</v>
          </cell>
          <cell r="BD63">
            <v>401.59698400000002</v>
          </cell>
          <cell r="BE63">
            <v>402.346</v>
          </cell>
          <cell r="BF63">
            <v>402.733</v>
          </cell>
          <cell r="BG63">
            <v>400.60199999999998</v>
          </cell>
          <cell r="BH63">
            <v>398.97</v>
          </cell>
          <cell r="BI63">
            <v>397.76799999999997</v>
          </cell>
          <cell r="BJ63">
            <v>396.59899999999999</v>
          </cell>
          <cell r="BK63">
            <v>395.18299999999999</v>
          </cell>
          <cell r="BL63">
            <v>393.18930297842235</v>
          </cell>
          <cell r="BM63">
            <v>392.97535388384756</v>
          </cell>
          <cell r="BN63">
            <v>393.11427127814528</v>
          </cell>
          <cell r="BO63">
            <v>393.23231352694035</v>
          </cell>
          <cell r="BP63">
            <v>393.33066745347833</v>
          </cell>
          <cell r="BQ63">
            <v>393.43545240605403</v>
          </cell>
          <cell r="BR63">
            <v>393.54772409419263</v>
          </cell>
          <cell r="BS63">
            <v>393.64347820673072</v>
          </cell>
          <cell r="BT63">
            <v>393.72365382419741</v>
          </cell>
          <cell r="BV63" t="str">
            <v>mstag:averageBasicSharesOutstanding</v>
          </cell>
          <cell r="BW63">
            <v>6</v>
          </cell>
          <cell r="BX63" t="str">
            <v>ms_eqr_gcim_Decimal:ms_eqr_gcim_decimal</v>
          </cell>
          <cell r="BY63" t="b">
            <v>0</v>
          </cell>
          <cell r="BZ63" t="b">
            <v>0</v>
          </cell>
        </row>
        <row r="64">
          <cell r="A64" t="str">
            <v>Diluted Shares Outstanding</v>
          </cell>
        </row>
        <row r="65">
          <cell r="A65" t="str">
            <v>% Dilution</v>
          </cell>
          <cell r="C65">
            <v>0</v>
          </cell>
          <cell r="D65">
            <v>3.1136744282880935E-2</v>
          </cell>
          <cell r="E65">
            <v>2.5205859468278913E-2</v>
          </cell>
          <cell r="F65">
            <v>3.3231230377996912E-3</v>
          </cell>
          <cell r="G65">
            <v>2.8181634986746529E-2</v>
          </cell>
          <cell r="H65">
            <v>3.1250680717482382E-2</v>
          </cell>
          <cell r="I65">
            <v>4.754021202567138E-2</v>
          </cell>
          <cell r="J65">
            <v>1.9646422695417831E-2</v>
          </cell>
          <cell r="K65">
            <v>1.0647952674641692E-2</v>
          </cell>
          <cell r="L65">
            <v>4.6388015163953966E-3</v>
          </cell>
          <cell r="M65">
            <v>6.0000000000000001E-3</v>
          </cell>
          <cell r="N65">
            <v>6.0000000000000001E-3</v>
          </cell>
          <cell r="O65">
            <v>6.0000000000000001E-3</v>
          </cell>
          <cell r="P65">
            <v>6.0000000000000001E-3</v>
          </cell>
          <cell r="Q65">
            <v>6.0000000000000001E-3</v>
          </cell>
          <cell r="R65">
            <v>6.0000000000000001E-3</v>
          </cell>
          <cell r="S65">
            <v>6.0000000000000001E-3</v>
          </cell>
          <cell r="T65">
            <v>6.0000000000000001E-3</v>
          </cell>
          <cell r="U65">
            <v>6.0000000000000001E-3</v>
          </cell>
          <cell r="V65">
            <v>6.0000000000000001E-3</v>
          </cell>
          <cell r="BA65">
            <v>2.6634115336570341E-2</v>
          </cell>
          <cell r="BB65">
            <v>3.2899615728003706E-2</v>
          </cell>
          <cell r="BC65">
            <v>1.1639678375837681E-2</v>
          </cell>
          <cell r="BD65">
            <v>1.0256590970812551E-2</v>
          </cell>
          <cell r="BE65">
            <v>9.2805694601163502E-3</v>
          </cell>
          <cell r="BF65">
            <v>5.688632418997086E-3</v>
          </cell>
          <cell r="BG65">
            <v>7.1217817185136312E-3</v>
          </cell>
          <cell r="BH65">
            <v>1.0181216632829448E-2</v>
          </cell>
          <cell r="BI65">
            <v>1.0385450815550756E-2</v>
          </cell>
          <cell r="BJ65">
            <v>9.2057720770855056E-3</v>
          </cell>
          <cell r="BK65">
            <v>0</v>
          </cell>
          <cell r="BL65">
            <v>0</v>
          </cell>
          <cell r="BM65">
            <v>0</v>
          </cell>
          <cell r="BN65">
            <v>0</v>
          </cell>
          <cell r="BO65">
            <v>0</v>
          </cell>
          <cell r="BP65">
            <v>0</v>
          </cell>
          <cell r="BQ65">
            <v>0</v>
          </cell>
          <cell r="BR65">
            <v>0</v>
          </cell>
          <cell r="BS65">
            <v>0</v>
          </cell>
          <cell r="BT65">
            <v>0</v>
          </cell>
        </row>
        <row r="66">
          <cell r="A66" t="str">
            <v>Average Diluted Shares Outstanding</v>
          </cell>
          <cell r="C66">
            <v>195.45374999999999</v>
          </cell>
          <cell r="D66">
            <v>208.01650000000001</v>
          </cell>
          <cell r="E66">
            <v>224.32350000000002</v>
          </cell>
          <cell r="F66">
            <v>301.92175000000003</v>
          </cell>
          <cell r="G66">
            <v>431.14175</v>
          </cell>
          <cell r="H66">
            <v>426.07875000000001</v>
          </cell>
          <cell r="I66">
            <v>417.18049999999999</v>
          </cell>
          <cell r="J66">
            <v>407.13149999999996</v>
          </cell>
          <cell r="K66">
            <v>404.39774999999997</v>
          </cell>
          <cell r="L66">
            <v>397.63032574460556</v>
          </cell>
          <cell r="M66">
            <v>393.16315153560288</v>
          </cell>
          <cell r="N66">
            <v>393.58757713279363</v>
          </cell>
          <cell r="O66">
            <v>396.21177882373127</v>
          </cell>
          <cell r="P66">
            <v>396.32750582891617</v>
          </cell>
          <cell r="Q66">
            <v>396.38044124078732</v>
          </cell>
          <cell r="R66">
            <v>396.40469214085948</v>
          </cell>
          <cell r="S66">
            <v>396.37694594808795</v>
          </cell>
          <cell r="T66">
            <v>396.26825660861897</v>
          </cell>
          <cell r="U66">
            <v>396.09552055173907</v>
          </cell>
          <cell r="V66">
            <v>395.87210717159638</v>
          </cell>
          <cell r="Y66">
            <v>195.28800000000001</v>
          </cell>
          <cell r="Z66">
            <v>195.36099999999999</v>
          </cell>
          <cell r="AA66">
            <v>195.565</v>
          </cell>
          <cell r="AB66">
            <v>195.601</v>
          </cell>
          <cell r="AC66">
            <v>195.703</v>
          </cell>
          <cell r="AD66">
            <v>202.91300000000001</v>
          </cell>
          <cell r="AE66">
            <v>213.78800000000001</v>
          </cell>
          <cell r="AF66">
            <v>219.66200000000001</v>
          </cell>
          <cell r="AG66">
            <v>220.40799999999999</v>
          </cell>
          <cell r="AH66">
            <v>223.578</v>
          </cell>
          <cell r="AI66">
            <v>224.839</v>
          </cell>
          <cell r="AJ66">
            <v>228.46899999999999</v>
          </cell>
          <cell r="AK66">
            <v>230.15799999999999</v>
          </cell>
          <cell r="AL66">
            <v>230.79300000000001</v>
          </cell>
          <cell r="AM66">
            <v>334.14100000000002</v>
          </cell>
          <cell r="AN66">
            <v>412.59500000000003</v>
          </cell>
          <cell r="AO66">
            <v>417.37900000000002</v>
          </cell>
          <cell r="AP66">
            <v>435.601</v>
          </cell>
          <cell r="AQ66">
            <v>435.13799999999998</v>
          </cell>
          <cell r="AR66">
            <v>436.44900000000001</v>
          </cell>
          <cell r="AS66">
            <v>439.55700000000002</v>
          </cell>
          <cell r="AT66">
            <v>429.846</v>
          </cell>
          <cell r="AU66">
            <v>418.012</v>
          </cell>
          <cell r="AV66">
            <v>416.9</v>
          </cell>
          <cell r="AW66">
            <v>421.62200000000001</v>
          </cell>
          <cell r="AX66">
            <v>421.61700000000002</v>
          </cell>
          <cell r="AY66">
            <v>416.541</v>
          </cell>
          <cell r="AZ66">
            <v>408.94200000000001</v>
          </cell>
          <cell r="BA66">
            <v>408.25</v>
          </cell>
          <cell r="BB66">
            <v>408.83199999999999</v>
          </cell>
          <cell r="BC66">
            <v>405.72800000000001</v>
          </cell>
          <cell r="BD66">
            <v>405.71600000000001</v>
          </cell>
          <cell r="BE66">
            <v>406.08</v>
          </cell>
          <cell r="BF66">
            <v>405.024</v>
          </cell>
          <cell r="BG66">
            <v>403.45499999999998</v>
          </cell>
          <cell r="BH66">
            <v>403.03199999999998</v>
          </cell>
          <cell r="BI66">
            <v>401.899</v>
          </cell>
          <cell r="BJ66">
            <v>400.25</v>
          </cell>
          <cell r="BK66">
            <v>395.18299999999999</v>
          </cell>
          <cell r="BL66">
            <v>393.18930297842235</v>
          </cell>
          <cell r="BM66">
            <v>392.97535388384756</v>
          </cell>
          <cell r="BN66">
            <v>393.11427127814528</v>
          </cell>
          <cell r="BO66">
            <v>393.23231352694035</v>
          </cell>
          <cell r="BP66">
            <v>393.33066745347833</v>
          </cell>
          <cell r="BQ66">
            <v>393.43545240605403</v>
          </cell>
          <cell r="BR66">
            <v>393.54772409419263</v>
          </cell>
          <cell r="BS66">
            <v>393.64347820673072</v>
          </cell>
          <cell r="BT66">
            <v>393.72365382419741</v>
          </cell>
          <cell r="BV66" t="str">
            <v>mstag:averageDilutedSharesOutstanding</v>
          </cell>
          <cell r="BW66">
            <v>6</v>
          </cell>
          <cell r="BX66" t="str">
            <v>ms_eqr_gcim_Decimal:ms_eqr_gcim_decimal</v>
          </cell>
          <cell r="BY66" t="b">
            <v>0</v>
          </cell>
          <cell r="BZ66" t="b">
            <v>0</v>
          </cell>
        </row>
        <row r="67">
          <cell r="A67" t="str">
            <v>Basic Shares (EOP)</v>
          </cell>
          <cell r="C67">
            <v>195.45374999999999</v>
          </cell>
          <cell r="D67">
            <v>208.01650000000001</v>
          </cell>
          <cell r="E67">
            <v>229.6</v>
          </cell>
          <cell r="F67">
            <v>412.59500000000003</v>
          </cell>
          <cell r="G67">
            <v>426.05399999999997</v>
          </cell>
          <cell r="H67">
            <v>399.51854200000002</v>
          </cell>
          <cell r="I67">
            <v>396.97689600000001</v>
          </cell>
          <cell r="J67">
            <v>401.59698400000002</v>
          </cell>
          <cell r="K67">
            <v>398.677234</v>
          </cell>
          <cell r="L67">
            <v>392.91139495684473</v>
          </cell>
          <cell r="M67">
            <v>393.38593759851614</v>
          </cell>
          <cell r="N67">
            <v>393.77083220972662</v>
          </cell>
          <cell r="O67">
            <v>393.92654119729389</v>
          </cell>
          <cell r="P67">
            <v>394.00090577868264</v>
          </cell>
          <cell r="Q67">
            <v>394.03178058471161</v>
          </cell>
          <cell r="R67">
            <v>394.04911830367701</v>
          </cell>
          <cell r="S67">
            <v>393.97661916767089</v>
          </cell>
          <cell r="T67">
            <v>393.83303611785379</v>
          </cell>
          <cell r="U67">
            <v>393.6332075237745</v>
          </cell>
          <cell r="V67">
            <v>393.3888743283058</v>
          </cell>
          <cell r="Y67">
            <v>195.28800000000001</v>
          </cell>
          <cell r="Z67">
            <v>195.36099999999999</v>
          </cell>
          <cell r="AA67">
            <v>195.565</v>
          </cell>
          <cell r="AB67">
            <v>195.601</v>
          </cell>
          <cell r="AC67">
            <v>196.3</v>
          </cell>
          <cell r="AD67">
            <v>204.7</v>
          </cell>
          <cell r="AE67">
            <v>219.4</v>
          </cell>
          <cell r="AF67">
            <v>219.9</v>
          </cell>
          <cell r="AG67">
            <v>221.1</v>
          </cell>
          <cell r="AH67">
            <v>224.1</v>
          </cell>
          <cell r="AI67">
            <v>226.6</v>
          </cell>
          <cell r="AJ67">
            <v>229.6</v>
          </cell>
          <cell r="AK67">
            <v>230.6</v>
          </cell>
          <cell r="AL67">
            <v>230.6</v>
          </cell>
          <cell r="AM67">
            <v>334.14100000000002</v>
          </cell>
          <cell r="AN67">
            <v>412.59500000000003</v>
          </cell>
          <cell r="AO67">
            <v>417.37900000000002</v>
          </cell>
          <cell r="AP67">
            <v>435.601</v>
          </cell>
          <cell r="AQ67">
            <v>425.5</v>
          </cell>
          <cell r="AR67">
            <v>426.05399999999997</v>
          </cell>
          <cell r="AS67">
            <v>419.7</v>
          </cell>
          <cell r="AT67">
            <v>413.5</v>
          </cell>
          <cell r="AU67">
            <v>406.1</v>
          </cell>
          <cell r="AV67">
            <v>399.51854200000002</v>
          </cell>
          <cell r="AW67">
            <v>396.02556299999998</v>
          </cell>
          <cell r="AX67">
            <v>396.19778200000002</v>
          </cell>
          <cell r="AY67">
            <v>391.98438700000003</v>
          </cell>
          <cell r="AZ67">
            <v>396.97689600000001</v>
          </cell>
          <cell r="BA67">
            <v>397.65871199999998</v>
          </cell>
          <cell r="BB67">
            <v>395.81000299999999</v>
          </cell>
          <cell r="BC67">
            <v>401.05979300000001</v>
          </cell>
          <cell r="BD67">
            <v>401.59698400000002</v>
          </cell>
          <cell r="BE67">
            <v>403.69167900000002</v>
          </cell>
          <cell r="BF67">
            <v>401.74510299999997</v>
          </cell>
          <cell r="BG67">
            <v>399.610995</v>
          </cell>
          <cell r="BH67">
            <v>398.677234</v>
          </cell>
          <cell r="BI67">
            <v>397.06609800000001</v>
          </cell>
          <cell r="BJ67">
            <v>395.99612300000001</v>
          </cell>
          <cell r="BK67">
            <v>393.46721100000002</v>
          </cell>
          <cell r="BL67">
            <v>392.91139495684473</v>
          </cell>
          <cell r="BM67">
            <v>393.03931281085039</v>
          </cell>
          <cell r="BN67">
            <v>393.18922974544017</v>
          </cell>
          <cell r="BO67">
            <v>393.27539730844052</v>
          </cell>
          <cell r="BP67">
            <v>393.38593759851614</v>
          </cell>
          <cell r="BQ67">
            <v>393.48496721359191</v>
          </cell>
          <cell r="BR67">
            <v>393.61048097479329</v>
          </cell>
          <cell r="BS67">
            <v>393.67647543866809</v>
          </cell>
          <cell r="BT67">
            <v>393.77083220972668</v>
          </cell>
          <cell r="BV67" t="str">
            <v>mstag:periodEndBasicSharesOutstanding</v>
          </cell>
          <cell r="BW67">
            <v>6</v>
          </cell>
          <cell r="BX67" t="str">
            <v>ms_eqr_gcim_Decimal:ms_eqr_gcim_decimal</v>
          </cell>
          <cell r="BY67" t="b">
            <v>0</v>
          </cell>
          <cell r="BZ67" t="b">
            <v>0</v>
          </cell>
        </row>
        <row r="69">
          <cell r="A69" t="str">
            <v>Net Income from Cont. Ops. per Share</v>
          </cell>
          <cell r="C69">
            <v>-1.6287075586935538</v>
          </cell>
          <cell r="D69">
            <v>-1.2542755021837213</v>
          </cell>
          <cell r="E69">
            <v>-1.0561978571126067</v>
          </cell>
          <cell r="F69">
            <v>-0.47477864711634754</v>
          </cell>
          <cell r="G69">
            <v>6.7546230445091449E-2</v>
          </cell>
          <cell r="H69">
            <v>0.21838685923670162</v>
          </cell>
          <cell r="I69">
            <v>0.56674029586713626</v>
          </cell>
          <cell r="J69">
            <v>0.58690619615529671</v>
          </cell>
          <cell r="K69">
            <v>0.92378357693632085</v>
          </cell>
          <cell r="L69">
            <v>0.74577264527285414</v>
          </cell>
          <cell r="M69">
            <v>2.0515423137227429</v>
          </cell>
          <cell r="N69">
            <v>2.5341041746470681</v>
          </cell>
          <cell r="O69">
            <v>2.7907067766734275</v>
          </cell>
          <cell r="P69">
            <v>3.0101002061286266</v>
          </cell>
          <cell r="Q69">
            <v>3.2001216002171731</v>
          </cell>
          <cell r="R69">
            <v>3.3628559374140909</v>
          </cell>
          <cell r="S69">
            <v>3.497722685479828</v>
          </cell>
          <cell r="T69">
            <v>3.6049448369471859</v>
          </cell>
          <cell r="U69">
            <v>3.6810472249504116</v>
          </cell>
          <cell r="V69">
            <v>3.729781821005909</v>
          </cell>
          <cell r="Y69">
            <v>-0.28617221744295585</v>
          </cell>
          <cell r="Z69">
            <v>-0.3440195330695483</v>
          </cell>
          <cell r="AA69">
            <v>-0.75276762201825453</v>
          </cell>
          <cell r="AB69">
            <v>-0.24554066697000537</v>
          </cell>
          <cell r="AC69">
            <v>-0.43459732349529662</v>
          </cell>
          <cell r="AD69">
            <v>-0.41802151661056708</v>
          </cell>
          <cell r="AE69">
            <v>-0.19748535932793226</v>
          </cell>
          <cell r="AF69">
            <v>-0.22223233877502716</v>
          </cell>
          <cell r="AG69">
            <v>-0.20959765525752244</v>
          </cell>
          <cell r="AH69">
            <v>-0.28403510184365183</v>
          </cell>
          <cell r="AI69">
            <v>-0.26357082178803509</v>
          </cell>
          <cell r="AJ69">
            <v>-0.297493314191422</v>
          </cell>
          <cell r="AK69">
            <v>-0.14008203060506272</v>
          </cell>
          <cell r="AL69">
            <v>-0.15163804794772803</v>
          </cell>
          <cell r="AM69">
            <v>-6.353605214565107E-2</v>
          </cell>
          <cell r="AN69">
            <v>-0.13300694385535453</v>
          </cell>
          <cell r="AO69">
            <v>-3.2632211970415295E-3</v>
          </cell>
          <cell r="AP69">
            <v>1.8987559716345907E-2</v>
          </cell>
          <cell r="AQ69">
            <v>8.6914955715199169E-3</v>
          </cell>
          <cell r="AR69">
            <v>4.2229447197725249E-2</v>
          </cell>
          <cell r="AS69">
            <v>4.8157576833038597E-2</v>
          </cell>
          <cell r="AT69">
            <v>2.8210103153222275E-2</v>
          </cell>
          <cell r="AU69">
            <v>0.14406045759451874</v>
          </cell>
          <cell r="AV69">
            <v>-1.1105780762772539E-3</v>
          </cell>
          <cell r="AW69">
            <v>0.10020112802462881</v>
          </cell>
          <cell r="AX69">
            <v>0.12044343562996751</v>
          </cell>
          <cell r="AY69">
            <v>0.14551028590222817</v>
          </cell>
          <cell r="AZ69">
            <v>0.20245902841967808</v>
          </cell>
          <cell r="BA69">
            <v>0.13640906307409678</v>
          </cell>
          <cell r="BB69">
            <v>0.12579250156543514</v>
          </cell>
          <cell r="BC69">
            <v>0.16656972158687572</v>
          </cell>
          <cell r="BD69">
            <v>0.15835954214277967</v>
          </cell>
          <cell r="BE69">
            <v>0.23750985027580782</v>
          </cell>
          <cell r="BF69">
            <v>0.24646687603697554</v>
          </cell>
          <cell r="BG69">
            <v>0.23199613339777669</v>
          </cell>
          <cell r="BH69">
            <v>0.20768326088251068</v>
          </cell>
          <cell r="BI69">
            <v>0.2288169415698969</v>
          </cell>
          <cell r="BJ69">
            <v>0.28275078076202376</v>
          </cell>
          <cell r="BK69">
            <v>-4.9916114812631085E-2</v>
          </cell>
          <cell r="BL69">
            <v>0.28265143285792699</v>
          </cell>
          <cell r="BM69">
            <v>0.42098649262253751</v>
          </cell>
          <cell r="BN69">
            <v>0.50024302438828627</v>
          </cell>
          <cell r="BO69">
            <v>0.55062899392700104</v>
          </cell>
          <cell r="BP69">
            <v>0.57960326856251487</v>
          </cell>
          <cell r="BQ69">
            <v>0.58364840554585973</v>
          </cell>
          <cell r="BR69">
            <v>0.62305966192767193</v>
          </cell>
          <cell r="BS69">
            <v>0.65694292717012392</v>
          </cell>
          <cell r="BT69">
            <v>0.67041676184433541</v>
          </cell>
        </row>
        <row r="70">
          <cell r="A70" t="str">
            <v>Net Income Attribut. To AMT Corp. per Share</v>
          </cell>
          <cell r="C70">
            <v>-5.8421902879837324</v>
          </cell>
          <cell r="D70">
            <v>-1.5639192083320315</v>
          </cell>
          <cell r="E70">
            <v>-1.1037051401212974</v>
          </cell>
          <cell r="F70">
            <v>-0.60068213038643314</v>
          </cell>
          <cell r="G70">
            <v>6.3747015917618749E-2</v>
          </cell>
          <cell r="H70">
            <v>0.13217274975576646</v>
          </cell>
          <cell r="I70">
            <v>0.83236392880299981</v>
          </cell>
          <cell r="J70">
            <v>0.60568882535495328</v>
          </cell>
          <cell r="K70">
            <v>0.92220097663748135</v>
          </cell>
          <cell r="L70">
            <v>0.76022576825646493</v>
          </cell>
          <cell r="M70">
            <v>2.0495177089323624</v>
          </cell>
          <cell r="N70">
            <v>2.5320817530914925</v>
          </cell>
          <cell r="O70">
            <v>2.788697750080722</v>
          </cell>
          <cell r="P70">
            <v>3.0080917661685103</v>
          </cell>
          <cell r="Q70">
            <v>3.1981134284781532</v>
          </cell>
          <cell r="R70">
            <v>3.3608478885292477</v>
          </cell>
          <cell r="S70">
            <v>3.4957144960325426</v>
          </cell>
          <cell r="T70">
            <v>3.6029360966892292</v>
          </cell>
          <cell r="U70">
            <v>3.6790376086869121</v>
          </cell>
          <cell r="V70">
            <v>3.727771070600463</v>
          </cell>
          <cell r="W70">
            <v>0.40028804790835881</v>
          </cell>
          <cell r="Y70">
            <v>-3.247234853139978</v>
          </cell>
          <cell r="Z70">
            <v>-0.51533827120049558</v>
          </cell>
          <cell r="AA70">
            <v>-1.806243448469818</v>
          </cell>
          <cell r="AB70">
            <v>-0.264308464680651</v>
          </cell>
          <cell r="AC70">
            <v>-0.49277221095231061</v>
          </cell>
          <cell r="AD70">
            <v>-0.55362643103201858</v>
          </cell>
          <cell r="AE70">
            <v>-0.26841543959436442</v>
          </cell>
          <cell r="AF70">
            <v>-0.25247425590224987</v>
          </cell>
          <cell r="AG70">
            <v>-0.2124015462233676</v>
          </cell>
          <cell r="AH70">
            <v>-0.28941577436062577</v>
          </cell>
          <cell r="AI70">
            <v>-0.2661949216995273</v>
          </cell>
          <cell r="AJ70">
            <v>-0.32322984737535504</v>
          </cell>
          <cell r="AK70">
            <v>-0.14068161871410084</v>
          </cell>
          <cell r="AL70">
            <v>-0.15663819959877465</v>
          </cell>
          <cell r="AM70">
            <v>-6.6079888430333286E-2</v>
          </cell>
          <cell r="AN70">
            <v>-0.21994692131509105</v>
          </cell>
          <cell r="AO70">
            <v>-4.6408659755282286E-3</v>
          </cell>
          <cell r="AP70">
            <v>1.7594082658212433E-2</v>
          </cell>
          <cell r="AQ70">
            <v>7.9790779017232076E-3</v>
          </cell>
          <cell r="AR70">
            <v>4.1894929304454785E-2</v>
          </cell>
          <cell r="AS70">
            <v>5.056909570317375E-2</v>
          </cell>
          <cell r="AT70">
            <v>-4.6507353796475991E-2</v>
          </cell>
          <cell r="AU70">
            <v>0.1426466225849975</v>
          </cell>
          <cell r="AV70">
            <v>-1.3310146318061853E-2</v>
          </cell>
          <cell r="AW70">
            <v>9.9982923092248627E-2</v>
          </cell>
          <cell r="AX70">
            <v>0.37661194875918191</v>
          </cell>
          <cell r="AY70">
            <v>0.14516218091376365</v>
          </cell>
          <cell r="AZ70">
            <v>0.20990507211291573</v>
          </cell>
          <cell r="BA70">
            <v>0.14354194733619111</v>
          </cell>
          <cell r="BB70">
            <v>0.13768247103944892</v>
          </cell>
          <cell r="BC70">
            <v>0.166010233456897</v>
          </cell>
          <cell r="BD70">
            <v>0.15860848475288131</v>
          </cell>
          <cell r="BE70">
            <v>0.23718971631205682</v>
          </cell>
          <cell r="BF70">
            <v>0.24607183771825861</v>
          </cell>
          <cell r="BG70">
            <v>0.23159708021960318</v>
          </cell>
          <cell r="BH70">
            <v>0.20721431548859659</v>
          </cell>
          <cell r="BI70">
            <v>0.22852084727754982</v>
          </cell>
          <cell r="BJ70">
            <v>0.28784759525296694</v>
          </cell>
          <cell r="BK70">
            <v>-3.9730960086845811E-2</v>
          </cell>
          <cell r="BL70">
            <v>0.28214531532499165</v>
          </cell>
          <cell r="BM70">
            <v>0.42048009954207266</v>
          </cell>
          <cell r="BN70">
            <v>0.49973681025529892</v>
          </cell>
          <cell r="BO70">
            <v>0.55012293175165439</v>
          </cell>
          <cell r="BP70">
            <v>0.57909733293006505</v>
          </cell>
          <cell r="BQ70">
            <v>0.58314260466090384</v>
          </cell>
          <cell r="BR70">
            <v>0.62255400533809813</v>
          </cell>
          <cell r="BS70">
            <v>0.65643739358194775</v>
          </cell>
          <cell r="BT70">
            <v>0.66991133120010782</v>
          </cell>
        </row>
        <row r="72">
          <cell r="A72" t="str">
            <v>ModelWare Calculations</v>
          </cell>
          <cell r="O72" t="str">
            <v>NA</v>
          </cell>
          <cell r="P72" t="str">
            <v>NA</v>
          </cell>
          <cell r="Q72" t="str">
            <v>NA</v>
          </cell>
          <cell r="R72" t="str">
            <v>NA</v>
          </cell>
          <cell r="S72" t="str">
            <v>NA</v>
          </cell>
          <cell r="T72" t="str">
            <v>NA</v>
          </cell>
          <cell r="U72" t="str">
            <v>NA</v>
          </cell>
          <cell r="V72" t="str">
            <v>NA</v>
          </cell>
        </row>
        <row r="73">
          <cell r="A73" t="str">
            <v>Operating Revenue</v>
          </cell>
          <cell r="J73">
            <v>1724.114</v>
          </cell>
          <cell r="K73">
            <v>1985.335</v>
          </cell>
          <cell r="L73">
            <v>2442.4844406660486</v>
          </cell>
          <cell r="M73">
            <v>2911.4640299651196</v>
          </cell>
          <cell r="N73">
            <v>3227.6786398245722</v>
          </cell>
          <cell r="O73">
            <v>3388.5406501778916</v>
          </cell>
          <cell r="P73">
            <v>3526.7089335217506</v>
          </cell>
          <cell r="Q73">
            <v>3659.6765510326509</v>
          </cell>
          <cell r="R73">
            <v>3778.2293790847666</v>
          </cell>
          <cell r="S73">
            <v>3881.2017590953283</v>
          </cell>
          <cell r="T73">
            <v>3968.3319358093891</v>
          </cell>
          <cell r="U73">
            <v>4037.2462401908761</v>
          </cell>
          <cell r="V73">
            <v>4089.8958364881769</v>
          </cell>
          <cell r="BA73">
            <v>408.678</v>
          </cell>
          <cell r="BB73">
            <v>423.35799999999995</v>
          </cell>
          <cell r="BC73">
            <v>444.10499999999996</v>
          </cell>
          <cell r="BD73">
            <v>447.97300000000001</v>
          </cell>
          <cell r="BE73">
            <v>454.43399999999997</v>
          </cell>
          <cell r="BF73">
            <v>469.93700000000001</v>
          </cell>
          <cell r="BG73">
            <v>513.322</v>
          </cell>
          <cell r="BH73">
            <v>547.64200000000005</v>
          </cell>
          <cell r="BI73">
            <v>562.69499999999994</v>
          </cell>
          <cell r="BJ73">
            <v>597.23500000000001</v>
          </cell>
          <cell r="BK73">
            <v>630.40300000000002</v>
          </cell>
          <cell r="BL73">
            <v>652.1514406660483</v>
          </cell>
          <cell r="BM73">
            <v>664.45131054564422</v>
          </cell>
          <cell r="BN73">
            <v>718.50656307370389</v>
          </cell>
          <cell r="BO73">
            <v>751.69668040056069</v>
          </cell>
          <cell r="BP73">
            <v>776.80947594521069</v>
          </cell>
          <cell r="BQ73">
            <v>772.8307446102441</v>
          </cell>
          <cell r="BR73">
            <v>799.15879914573384</v>
          </cell>
          <cell r="BS73">
            <v>820.692295097223</v>
          </cell>
          <cell r="BT73">
            <v>834.99680097137116</v>
          </cell>
        </row>
        <row r="74">
          <cell r="A74" t="str">
            <v>Operating Exp. (Ex Share Based Comp)</v>
          </cell>
          <cell r="J74">
            <v>972.01800000000003</v>
          </cell>
          <cell r="K74">
            <v>1112.5250000000001</v>
          </cell>
          <cell r="L74">
            <v>1420.1578916864473</v>
          </cell>
          <cell r="M74">
            <v>1620.5247286107642</v>
          </cell>
          <cell r="N74">
            <v>1726.4659853265059</v>
          </cell>
          <cell r="O74">
            <v>1736.2723549939039</v>
          </cell>
          <cell r="P74">
            <v>1782.2670897738926</v>
          </cell>
          <cell r="Q74">
            <v>1833.533190492908</v>
          </cell>
          <cell r="R74">
            <v>1882.9936970649455</v>
          </cell>
          <cell r="S74">
            <v>1929.72924558879</v>
          </cell>
          <cell r="T74">
            <v>1973.6279072845432</v>
          </cell>
          <cell r="U74">
            <v>2013.6605166234967</v>
          </cell>
          <cell r="V74">
            <v>2050.2690807648878</v>
          </cell>
          <cell r="BA74">
            <v>230.86599999999999</v>
          </cell>
          <cell r="BB74">
            <v>242.06099999999998</v>
          </cell>
          <cell r="BC74">
            <v>249.05199999999999</v>
          </cell>
          <cell r="BD74">
            <v>250.03899999999999</v>
          </cell>
          <cell r="BE74">
            <v>257.26600000000002</v>
          </cell>
          <cell r="BF74">
            <v>262.95600000000002</v>
          </cell>
          <cell r="BG74">
            <v>282.298</v>
          </cell>
          <cell r="BH74">
            <v>310.005</v>
          </cell>
          <cell r="BI74">
            <v>320.33299999999997</v>
          </cell>
          <cell r="BJ74">
            <v>350.26900000000001</v>
          </cell>
          <cell r="BK74">
            <v>377.14499999999998</v>
          </cell>
          <cell r="BL74">
            <v>372.41089168644714</v>
          </cell>
          <cell r="BM74">
            <v>382.2037206169972</v>
          </cell>
          <cell r="BN74">
            <v>401.52102498443412</v>
          </cell>
          <cell r="BO74">
            <v>413.68717657839682</v>
          </cell>
          <cell r="BP74">
            <v>423.11280643093613</v>
          </cell>
          <cell r="BQ74">
            <v>418.68897476157213</v>
          </cell>
          <cell r="BR74">
            <v>428.50365991173294</v>
          </cell>
          <cell r="BS74">
            <v>436.73102851211075</v>
          </cell>
          <cell r="BT74">
            <v>442.54232214109004</v>
          </cell>
        </row>
        <row r="75">
          <cell r="A75" t="str">
            <v>EBITDA</v>
          </cell>
          <cell r="J75">
            <v>1180.9250000000002</v>
          </cell>
          <cell r="K75">
            <v>1347.748</v>
          </cell>
          <cell r="L75">
            <v>1584.1703752296014</v>
          </cell>
          <cell r="M75">
            <v>1899.6846804226077</v>
          </cell>
          <cell r="N75">
            <v>2122.0781174777685</v>
          </cell>
          <cell r="O75">
            <v>2244.7461118657193</v>
          </cell>
          <cell r="P75">
            <v>2336.1055787614168</v>
          </cell>
          <cell r="Q75">
            <v>2423.9947553852789</v>
          </cell>
          <cell r="R75">
            <v>2502.285984603026</v>
          </cell>
          <cell r="S75">
            <v>2570.4468457851262</v>
          </cell>
          <cell r="T75">
            <v>2628.0687491998037</v>
          </cell>
          <cell r="U75">
            <v>2673.5731586637175</v>
          </cell>
          <cell r="V75">
            <v>2708.2575515914632</v>
          </cell>
          <cell r="BA75">
            <v>281.17900000000003</v>
          </cell>
          <cell r="BB75">
            <v>287.34499999999997</v>
          </cell>
          <cell r="BC75">
            <v>304.18099999999998</v>
          </cell>
          <cell r="BD75">
            <v>308.22000000000003</v>
          </cell>
          <cell r="BE75">
            <v>311.50199999999995</v>
          </cell>
          <cell r="BF75">
            <v>320.96899999999999</v>
          </cell>
          <cell r="BG75">
            <v>349.99199999999996</v>
          </cell>
          <cell r="BH75">
            <v>365.28500000000008</v>
          </cell>
          <cell r="BI75">
            <v>377.09199999999998</v>
          </cell>
          <cell r="BJ75">
            <v>389.11399999999998</v>
          </cell>
          <cell r="BK75">
            <v>398.86900000000003</v>
          </cell>
          <cell r="BL75">
            <v>419.09537522960119</v>
          </cell>
          <cell r="BM75">
            <v>433.46381677239702</v>
          </cell>
          <cell r="BN75">
            <v>468.81750926192598</v>
          </cell>
          <cell r="BO75">
            <v>490.50401321550368</v>
          </cell>
          <cell r="BP75">
            <v>506.89934117278091</v>
          </cell>
          <cell r="BQ75">
            <v>508.10333721571561</v>
          </cell>
          <cell r="BR75">
            <v>525.42522366686853</v>
          </cell>
          <cell r="BS75">
            <v>539.58215515715813</v>
          </cell>
          <cell r="BT75">
            <v>548.96740143802595</v>
          </cell>
        </row>
        <row r="76">
          <cell r="A76" t="str">
            <v>PTOP (Pre-tax Operating Profit)</v>
          </cell>
          <cell r="J76">
            <v>766.30600000000015</v>
          </cell>
          <cell r="K76">
            <v>887.02200000000005</v>
          </cell>
          <cell r="L76">
            <v>1036.4115489796013</v>
          </cell>
          <cell r="M76">
            <v>1304.9313013543554</v>
          </cell>
          <cell r="N76">
            <v>1515.2046544980667</v>
          </cell>
          <cell r="O76">
            <v>1666.2602951839876</v>
          </cell>
          <cell r="P76">
            <v>1758.4338437478582</v>
          </cell>
          <cell r="Q76">
            <v>1840.135360539743</v>
          </cell>
          <cell r="R76">
            <v>1909.2276820198213</v>
          </cell>
          <cell r="S76">
            <v>1965.4645135065384</v>
          </cell>
          <cell r="T76">
            <v>2008.696028524846</v>
          </cell>
          <cell r="U76">
            <v>2037.5777235673795</v>
          </cell>
          <cell r="V76">
            <v>2053.6187557232893</v>
          </cell>
          <cell r="BA76">
            <v>181.31100000000004</v>
          </cell>
          <cell r="BB76">
            <v>184.88199999999998</v>
          </cell>
          <cell r="BC76">
            <v>198.63799999999998</v>
          </cell>
          <cell r="BD76">
            <v>201.47500000000002</v>
          </cell>
          <cell r="BE76">
            <v>200.66699999999997</v>
          </cell>
          <cell r="BF76">
            <v>210.56599999999997</v>
          </cell>
          <cell r="BG76">
            <v>234.60899999999998</v>
          </cell>
          <cell r="BH76">
            <v>241.18000000000006</v>
          </cell>
          <cell r="BI76">
            <v>245.86099999999999</v>
          </cell>
          <cell r="BJ76">
            <v>250.55599999999998</v>
          </cell>
          <cell r="BK76">
            <v>256.75600000000003</v>
          </cell>
          <cell r="BL76">
            <v>283.23854897960115</v>
          </cell>
          <cell r="BM76">
            <v>285.74558992864706</v>
          </cell>
          <cell r="BN76">
            <v>320.4835380892697</v>
          </cell>
          <cell r="BO76">
            <v>341.50750382216381</v>
          </cell>
          <cell r="BP76">
            <v>357.19466951427455</v>
          </cell>
          <cell r="BQ76">
            <v>357.63976984867196</v>
          </cell>
          <cell r="BR76">
            <v>374.15313923400095</v>
          </cell>
          <cell r="BS76">
            <v>387.45926658511223</v>
          </cell>
          <cell r="BT76">
            <v>395.95247883028122</v>
          </cell>
        </row>
        <row r="77">
          <cell r="A77" t="str">
            <v>NOPAT (Net Operating Profit After Tax)</v>
          </cell>
          <cell r="J77">
            <v>498.09890000000013</v>
          </cell>
          <cell r="K77">
            <v>576.5643</v>
          </cell>
          <cell r="L77">
            <v>673.66750683674093</v>
          </cell>
          <cell r="M77">
            <v>848.20534588033104</v>
          </cell>
          <cell r="N77">
            <v>984.88302542374333</v>
          </cell>
          <cell r="O77">
            <v>1083.069191869592</v>
          </cell>
          <cell r="P77">
            <v>1142.9819984361079</v>
          </cell>
          <cell r="Q77">
            <v>1196.087984350833</v>
          </cell>
          <cell r="R77">
            <v>1240.9979933128839</v>
          </cell>
          <cell r="S77">
            <v>1277.55193377925</v>
          </cell>
          <cell r="T77">
            <v>1305.6524185411499</v>
          </cell>
          <cell r="U77">
            <v>1324.4255203187968</v>
          </cell>
          <cell r="V77">
            <v>1334.8521912201381</v>
          </cell>
          <cell r="BA77">
            <v>117.85215000000002</v>
          </cell>
          <cell r="BB77">
            <v>120.17329999999998</v>
          </cell>
          <cell r="BC77">
            <v>129.1147</v>
          </cell>
          <cell r="BD77">
            <v>130.95875000000001</v>
          </cell>
          <cell r="BE77">
            <v>130.43355</v>
          </cell>
          <cell r="BF77">
            <v>136.86789999999999</v>
          </cell>
          <cell r="BG77">
            <v>152.49584999999999</v>
          </cell>
          <cell r="BH77">
            <v>156.76700000000005</v>
          </cell>
          <cell r="BI77">
            <v>159.80965</v>
          </cell>
          <cell r="BJ77">
            <v>162.8614</v>
          </cell>
          <cell r="BK77">
            <v>166.89140000000003</v>
          </cell>
          <cell r="BL77">
            <v>184.10505683674074</v>
          </cell>
          <cell r="BM77">
            <v>185.7346334536206</v>
          </cell>
          <cell r="BN77">
            <v>208.3142997580253</v>
          </cell>
          <cell r="BO77">
            <v>221.97987748440647</v>
          </cell>
          <cell r="BP77">
            <v>232.17653518427846</v>
          </cell>
          <cell r="BQ77">
            <v>232.46585040163677</v>
          </cell>
          <cell r="BR77">
            <v>243.19954050210063</v>
          </cell>
          <cell r="BS77">
            <v>251.84852328032295</v>
          </cell>
          <cell r="BT77">
            <v>257.36911123968281</v>
          </cell>
        </row>
        <row r="78">
          <cell r="A78" t="str">
            <v>NOPAT Margin</v>
          </cell>
          <cell r="J78">
            <v>0.28890137195104276</v>
          </cell>
          <cell r="K78">
            <v>0.2904115930057144</v>
          </cell>
          <cell r="L78">
            <v>0.27581240462397233</v>
          </cell>
          <cell r="M78">
            <v>0.29133292980799519</v>
          </cell>
          <cell r="N78">
            <v>0.3051366431812037</v>
          </cell>
          <cell r="O78">
            <v>0.31962703230747225</v>
          </cell>
          <cell r="P78">
            <v>0.3240930907486978</v>
          </cell>
          <cell r="Q78">
            <v>0.32682887891098816</v>
          </cell>
          <cell r="R78">
            <v>0.32846020418524763</v>
          </cell>
          <cell r="S78">
            <v>0.32916400977748589</v>
          </cell>
          <cell r="T78">
            <v>0.32901794498570502</v>
          </cell>
          <cell r="U78">
            <v>0.32805170691203112</v>
          </cell>
          <cell r="V78">
            <v>0.32637804105209683</v>
          </cell>
          <cell r="BA78">
            <v>0.28837409892384719</v>
          </cell>
          <cell r="BB78">
            <v>0.28385739728551251</v>
          </cell>
          <cell r="BC78">
            <v>0.29073012012924876</v>
          </cell>
          <cell r="BD78">
            <v>0.29233625687262405</v>
          </cell>
          <cell r="BE78">
            <v>0.28702418833097876</v>
          </cell>
          <cell r="BF78">
            <v>0.29124733740905695</v>
          </cell>
          <cell r="BG78">
            <v>0.29707639649187056</v>
          </cell>
          <cell r="BH78">
            <v>0.28625817596166847</v>
          </cell>
          <cell r="BI78">
            <v>0.28400758848043794</v>
          </cell>
          <cell r="BJ78">
            <v>0.27269232379214214</v>
          </cell>
          <cell r="BK78">
            <v>0.26473763608358469</v>
          </cell>
          <cell r="BL78">
            <v>0.28230414801922776</v>
          </cell>
          <cell r="BM78">
            <v>0.27953084071893275</v>
          </cell>
          <cell r="BN78">
            <v>0.28992678767870428</v>
          </cell>
          <cell r="BO78">
            <v>0.29530511876960647</v>
          </cell>
          <cell r="BP78">
            <v>0.29888478754944303</v>
          </cell>
          <cell r="BQ78">
            <v>0.30079788106627992</v>
          </cell>
          <cell r="BR78">
            <v>0.30431941782042621</v>
          </cell>
          <cell r="BS78">
            <v>0.30687326393199271</v>
          </cell>
          <cell r="BT78">
            <v>0.30822766139975549</v>
          </cell>
        </row>
        <row r="79">
          <cell r="A79" t="str">
            <v>NOPAT (Before Amortization of Intangibles)</v>
          </cell>
        </row>
        <row r="80">
          <cell r="A80" t="str">
            <v>NOPAT (Before Amortization of Intangibles) Margin</v>
          </cell>
        </row>
        <row r="81">
          <cell r="A81" t="str">
            <v>Net Financing Income</v>
          </cell>
          <cell r="J81">
            <v>161.25264999999999</v>
          </cell>
          <cell r="K81">
            <v>156.64610000000002</v>
          </cell>
          <cell r="L81">
            <v>197.925443642875</v>
          </cell>
          <cell r="M81">
            <v>218.73721971928614</v>
          </cell>
          <cell r="N81">
            <v>211.88228281472732</v>
          </cell>
          <cell r="O81">
            <v>230.0601162959635</v>
          </cell>
          <cell r="P81">
            <v>225.50872168208252</v>
          </cell>
          <cell r="Q81">
            <v>222.86235736575642</v>
          </cell>
          <cell r="R81">
            <v>220.06660560828024</v>
          </cell>
          <cell r="S81">
            <v>217.20339139459642</v>
          </cell>
          <cell r="T81">
            <v>214.20095523461876</v>
          </cell>
          <cell r="U81">
            <v>211.16869090689426</v>
          </cell>
          <cell r="V81">
            <v>207.95254724087644</v>
          </cell>
          <cell r="BA81">
            <v>39.694849999999995</v>
          </cell>
          <cell r="BB81">
            <v>40.411800000000007</v>
          </cell>
          <cell r="BC81">
            <v>41.200900000000004</v>
          </cell>
          <cell r="BD81">
            <v>39.945100000000004</v>
          </cell>
          <cell r="BE81">
            <v>37.644750000000002</v>
          </cell>
          <cell r="BF81">
            <v>35.997</v>
          </cell>
          <cell r="BG81">
            <v>39.6175</v>
          </cell>
          <cell r="BH81">
            <v>43.38685000000001</v>
          </cell>
          <cell r="BI81">
            <v>46.879950000000008</v>
          </cell>
          <cell r="BJ81">
            <v>46.670650000000002</v>
          </cell>
          <cell r="BK81">
            <v>49.383100000000006</v>
          </cell>
          <cell r="BL81">
            <v>54.991743642875008</v>
          </cell>
          <cell r="BM81">
            <v>54.853916013700101</v>
          </cell>
          <cell r="BN81">
            <v>54.812935216724462</v>
          </cell>
          <cell r="BO81">
            <v>54.651505251449706</v>
          </cell>
          <cell r="BP81">
            <v>54.418863237411912</v>
          </cell>
          <cell r="BQ81">
            <v>53.521578341063204</v>
          </cell>
          <cell r="BR81">
            <v>53.186612374548304</v>
          </cell>
          <cell r="BS81">
            <v>52.791150277524032</v>
          </cell>
          <cell r="BT81">
            <v>52.38294182159175</v>
          </cell>
        </row>
        <row r="82">
          <cell r="A82" t="str">
            <v>Other Income and Expenses</v>
          </cell>
          <cell r="J82">
            <v>-62.388249999999971</v>
          </cell>
          <cell r="K82">
            <v>-9.6051999999999964</v>
          </cell>
          <cell r="L82">
            <v>-21.987543322604978</v>
          </cell>
          <cell r="M82">
            <v>176.32671541083124</v>
          </cell>
          <cell r="N82">
            <v>223.59517969242114</v>
          </cell>
          <cell r="O82">
            <v>251.90582058759162</v>
          </cell>
          <cell r="P82">
            <v>274.71623023603973</v>
          </cell>
          <cell r="Q82">
            <v>294.44398493318096</v>
          </cell>
          <cell r="R82">
            <v>311.32448488009049</v>
          </cell>
          <cell r="S82">
            <v>325.2720934591851</v>
          </cell>
          <cell r="T82">
            <v>336.27774240077264</v>
          </cell>
          <cell r="U82">
            <v>343.9934873303655</v>
          </cell>
          <cell r="V82">
            <v>348.82094479266192</v>
          </cell>
          <cell r="BA82">
            <v>-19.518299999999989</v>
          </cell>
          <cell r="BB82">
            <v>-21.514499999999998</v>
          </cell>
          <cell r="BC82">
            <v>-17.182800000000007</v>
          </cell>
          <cell r="BD82">
            <v>-4.1726499999999991</v>
          </cell>
          <cell r="BE82">
            <v>7.8441999999999954</v>
          </cell>
          <cell r="BF82">
            <v>10.581099999999987</v>
          </cell>
          <cell r="BG82">
            <v>-23.383350000000007</v>
          </cell>
          <cell r="BH82">
            <v>-4.6471499999999857</v>
          </cell>
          <cell r="BI82">
            <v>-23.091700000000014</v>
          </cell>
          <cell r="BJ82">
            <v>-12.95975</v>
          </cell>
          <cell r="BK82">
            <v>32.240700000000004</v>
          </cell>
          <cell r="BL82">
            <v>-18.176793322605043</v>
          </cell>
          <cell r="BM82">
            <v>34.35759847874111</v>
          </cell>
          <cell r="BN82">
            <v>42.952307453075669</v>
          </cell>
          <cell r="BO82">
            <v>48.997740943969298</v>
          </cell>
          <cell r="BP82">
            <v>50.019068535045093</v>
          </cell>
          <cell r="BQ82">
            <v>50.484702421433695</v>
          </cell>
          <cell r="BR82">
            <v>54.991783798980038</v>
          </cell>
          <cell r="BS82">
            <v>59.344925831759603</v>
          </cell>
          <cell r="BT82">
            <v>58.773767640247613</v>
          </cell>
        </row>
        <row r="83">
          <cell r="A83" t="str">
            <v>PBT</v>
          </cell>
          <cell r="J83">
            <v>421.48700000000014</v>
          </cell>
          <cell r="K83">
            <v>556.02499999999998</v>
          </cell>
          <cell r="L83">
            <v>532.5991664521016</v>
          </cell>
          <cell r="M83">
            <v>916.58050178622273</v>
          </cell>
          <cell r="N83">
            <v>1133.3999117061785</v>
          </cell>
          <cell r="O83">
            <v>1256.4896547286592</v>
          </cell>
          <cell r="P83">
            <v>1355.6653488523466</v>
          </cell>
          <cell r="Q83">
            <v>1441.4381953616562</v>
          </cell>
          <cell r="R83">
            <v>1514.8316733916979</v>
          </cell>
          <cell r="S83">
            <v>1575.4734498225439</v>
          </cell>
          <cell r="T83">
            <v>1623.3240973946631</v>
          </cell>
          <cell r="U83">
            <v>1656.8708144798497</v>
          </cell>
          <cell r="V83">
            <v>1677.8597599680945</v>
          </cell>
          <cell r="BA83">
            <v>92.786000000000016</v>
          </cell>
          <cell r="BB83">
            <v>102.84899999999998</v>
          </cell>
          <cell r="BC83">
            <v>118.92699999999991</v>
          </cell>
          <cell r="BD83">
            <v>106.925</v>
          </cell>
          <cell r="BE83">
            <v>124.82900000000004</v>
          </cell>
          <cell r="BF83">
            <v>130.16699999999997</v>
          </cell>
          <cell r="BG83">
            <v>164.24299999999999</v>
          </cell>
          <cell r="BH83">
            <v>136.78600000000003</v>
          </cell>
          <cell r="BI83">
            <v>163.38329999999999</v>
          </cell>
          <cell r="BJ83">
            <v>179.03700000000001</v>
          </cell>
          <cell r="BK83">
            <v>4.9530000000000127</v>
          </cell>
          <cell r="BL83">
            <v>185.22586645210109</v>
          </cell>
          <cell r="BM83">
            <v>187.99694990756984</v>
          </cell>
          <cell r="BN83">
            <v>223.46894544815524</v>
          </cell>
          <cell r="BO83">
            <v>246.05126497377975</v>
          </cell>
          <cell r="BP83">
            <v>259.06334145671775</v>
          </cell>
          <cell r="BQ83">
            <v>260.94088009319023</v>
          </cell>
          <cell r="BR83">
            <v>278.6405817346959</v>
          </cell>
          <cell r="BS83">
            <v>293.86511231199836</v>
          </cell>
          <cell r="BT83">
            <v>299.95333756629378</v>
          </cell>
        </row>
        <row r="84">
          <cell r="A84" t="str">
            <v>Net Income</v>
          </cell>
          <cell r="J84">
            <v>273.43455000000012</v>
          </cell>
          <cell r="K84">
            <v>360.74624999999997</v>
          </cell>
          <cell r="L84">
            <v>351.93645819386609</v>
          </cell>
          <cell r="M84">
            <v>594.98132616104476</v>
          </cell>
          <cell r="N84">
            <v>735.91394260901598</v>
          </cell>
          <cell r="O84">
            <v>815.92227557362844</v>
          </cell>
          <cell r="P84">
            <v>880.38647675402524</v>
          </cell>
          <cell r="Q84">
            <v>936.13882698507655</v>
          </cell>
          <cell r="R84">
            <v>983.84458770460367</v>
          </cell>
          <cell r="S84">
            <v>1023.2617423846534</v>
          </cell>
          <cell r="T84">
            <v>1054.3646633065309</v>
          </cell>
          <cell r="U84">
            <v>1076.1700294119023</v>
          </cell>
          <cell r="V84">
            <v>1089.8128439792615</v>
          </cell>
          <cell r="BA84">
            <v>60.15290000000001</v>
          </cell>
          <cell r="BB84">
            <v>66.652849999999987</v>
          </cell>
          <cell r="BC84">
            <v>77.079549999999941</v>
          </cell>
          <cell r="BD84">
            <v>69.549250000000001</v>
          </cell>
          <cell r="BE84">
            <v>80.973850000000013</v>
          </cell>
          <cell r="BF84">
            <v>84.454549999999983</v>
          </cell>
          <cell r="BG84">
            <v>106.59594999999999</v>
          </cell>
          <cell r="BH84">
            <v>88.721900000000034</v>
          </cell>
          <cell r="BI84">
            <v>106.080145</v>
          </cell>
          <cell r="BJ84">
            <v>118.41405000000002</v>
          </cell>
          <cell r="BK84">
            <v>7.2444500000000094</v>
          </cell>
          <cell r="BL84">
            <v>120.19781319386571</v>
          </cell>
          <cell r="BM84">
            <v>121.99901743992041</v>
          </cell>
          <cell r="BN84">
            <v>145.05581454130089</v>
          </cell>
          <cell r="BO84">
            <v>159.73432223295683</v>
          </cell>
          <cell r="BP84">
            <v>168.19217194686652</v>
          </cell>
          <cell r="BQ84">
            <v>169.41257206057364</v>
          </cell>
          <cell r="BR84">
            <v>180.91737812755233</v>
          </cell>
          <cell r="BS84">
            <v>190.81332300279894</v>
          </cell>
          <cell r="BT84">
            <v>194.77066941809096</v>
          </cell>
        </row>
        <row r="85">
          <cell r="A85" t="str">
            <v>ModelWare EPS (Diluted)</v>
          </cell>
          <cell r="J85">
            <v>0.67161236602915797</v>
          </cell>
          <cell r="K85">
            <v>0.8920580047737654</v>
          </cell>
          <cell r="L85">
            <v>0.88508455066858194</v>
          </cell>
          <cell r="M85">
            <v>1.5133191496639182</v>
          </cell>
          <cell r="N85">
            <v>1.8697590710814633</v>
          </cell>
          <cell r="O85">
            <v>2.0593084789047125</v>
          </cell>
          <cell r="P85">
            <v>2.2213610304758009</v>
          </cell>
          <cell r="Q85">
            <v>2.3617180102395738</v>
          </cell>
          <cell r="R85">
            <v>2.4819196321596562</v>
          </cell>
          <cell r="S85">
            <v>2.5815369759639508</v>
          </cell>
          <cell r="T85">
            <v>2.6607346052143965</v>
          </cell>
          <cell r="U85">
            <v>2.7169457203476002</v>
          </cell>
          <cell r="V85">
            <v>2.7529417310193738</v>
          </cell>
          <cell r="BA85">
            <v>0.14734329454990816</v>
          </cell>
          <cell r="BB85">
            <v>0.16303237026455852</v>
          </cell>
          <cell r="BC85">
            <v>0.1899783845334804</v>
          </cell>
          <cell r="BD85">
            <v>0.17142348342190103</v>
          </cell>
          <cell r="BE85">
            <v>0.19940368892829002</v>
          </cell>
          <cell r="BF85">
            <v>0.20851739649996046</v>
          </cell>
          <cell r="BG85">
            <v>0.26420778029767877</v>
          </cell>
          <cell r="BH85">
            <v>0.2201361182238632</v>
          </cell>
          <cell r="BI85">
            <v>0.26394727282227626</v>
          </cell>
          <cell r="BJ85">
            <v>0.29585021861336669</v>
          </cell>
          <cell r="BK85">
            <v>1.8331886746140419E-2</v>
          </cell>
          <cell r="BL85">
            <v>0.30569960139648561</v>
          </cell>
          <cell r="BM85">
            <v>0.31044953897027311</v>
          </cell>
          <cell r="BN85">
            <v>0.36899147433563317</v>
          </cell>
          <cell r="BO85">
            <v>0.40620853561164277</v>
          </cell>
          <cell r="BP85">
            <v>0.42761011501031676</v>
          </cell>
          <cell r="BQ85">
            <v>0.43059813502959954</v>
          </cell>
          <cell r="BR85">
            <v>0.45970886642518388</v>
          </cell>
          <cell r="BS85">
            <v>0.48473640125339262</v>
          </cell>
          <cell r="BT85">
            <v>0.49468876844533838</v>
          </cell>
        </row>
        <row r="87">
          <cell r="A87" t="str">
            <v>Growth and Margins</v>
          </cell>
        </row>
        <row r="89">
          <cell r="A89" t="str">
            <v>As a % of Revenue</v>
          </cell>
        </row>
        <row r="90">
          <cell r="A90" t="str">
            <v>Gross Margin</v>
          </cell>
          <cell r="C90">
            <v>46.991873148473942</v>
          </cell>
          <cell r="D90">
            <v>56.344143700073936</v>
          </cell>
          <cell r="E90">
            <v>63.757252426909695</v>
          </cell>
          <cell r="F90">
            <v>72.890474668337575</v>
          </cell>
          <cell r="G90">
            <v>73.922809201562174</v>
          </cell>
          <cell r="H90">
            <v>75.310759209498315</v>
          </cell>
          <cell r="I90">
            <v>75.534733518083414</v>
          </cell>
          <cell r="J90">
            <v>75.849914796817373</v>
          </cell>
          <cell r="K90">
            <v>76.095419664691349</v>
          </cell>
          <cell r="L90">
            <v>74.209142621952878</v>
          </cell>
          <cell r="M90">
            <v>74.267850848055943</v>
          </cell>
          <cell r="N90">
            <v>74.312763528166641</v>
          </cell>
          <cell r="O90">
            <v>74.332296028339201</v>
          </cell>
          <cell r="P90">
            <v>74.443641268194142</v>
          </cell>
          <cell r="Q90">
            <v>74.552889504818353</v>
          </cell>
          <cell r="R90">
            <v>74.658732621622534</v>
          </cell>
          <cell r="S90">
            <v>74.767610200738744</v>
          </cell>
          <cell r="T90">
            <v>74.873439810085614</v>
          </cell>
          <cell r="U90">
            <v>74.976119523935097</v>
          </cell>
          <cell r="V90">
            <v>75.07614108785998</v>
          </cell>
          <cell r="Y90">
            <v>40.241458395850294</v>
          </cell>
          <cell r="Z90">
            <v>48.152101159572346</v>
          </cell>
          <cell r="AA90">
            <v>47.603832039600796</v>
          </cell>
          <cell r="AB90">
            <v>52.404114414541347</v>
          </cell>
          <cell r="AC90">
            <v>54.67309109601343</v>
          </cell>
          <cell r="AD90">
            <v>54.710124256911719</v>
          </cell>
          <cell r="AE90">
            <v>53.797746074895393</v>
          </cell>
          <cell r="AF90">
            <v>62.556049763161539</v>
          </cell>
          <cell r="AG90">
            <v>63.009283670337879</v>
          </cell>
          <cell r="AH90">
            <v>64.209017249785248</v>
          </cell>
          <cell r="AI90">
            <v>64.080251657166869</v>
          </cell>
          <cell r="AJ90">
            <v>63.703057998007537</v>
          </cell>
          <cell r="AK90">
            <v>73.064468010089229</v>
          </cell>
          <cell r="AL90">
            <v>74.109858555780079</v>
          </cell>
          <cell r="AM90">
            <v>72.751240811948065</v>
          </cell>
          <cell r="AN90">
            <v>72.160585127996754</v>
          </cell>
          <cell r="AO90">
            <v>74.528805370635652</v>
          </cell>
          <cell r="AP90">
            <v>73.689249776746664</v>
          </cell>
          <cell r="AQ90">
            <v>73.741929486276007</v>
          </cell>
          <cell r="AR90">
            <v>73.751799221670041</v>
          </cell>
          <cell r="AS90">
            <v>75.237038760305722</v>
          </cell>
          <cell r="AT90">
            <v>74.878286270691333</v>
          </cell>
          <cell r="AU90">
            <v>75.848579240175738</v>
          </cell>
          <cell r="AV90">
            <v>75.266587677725099</v>
          </cell>
          <cell r="AW90">
            <v>76.30513051305131</v>
          </cell>
          <cell r="AX90">
            <v>75.395704648894679</v>
          </cell>
          <cell r="AY90">
            <v>74.623718443660408</v>
          </cell>
          <cell r="AZ90">
            <v>75.860836002782108</v>
          </cell>
          <cell r="BA90">
            <v>76.092424843030457</v>
          </cell>
          <cell r="BB90">
            <v>75.771569215652008</v>
          </cell>
          <cell r="BC90">
            <v>75.547674536427195</v>
          </cell>
          <cell r="BD90">
            <v>76.002348355816096</v>
          </cell>
          <cell r="BE90">
            <v>76.571075227645821</v>
          </cell>
          <cell r="BF90">
            <v>76.124672030506218</v>
          </cell>
          <cell r="BG90">
            <v>76.043691873716696</v>
          </cell>
          <cell r="BH90">
            <v>75.724104433188117</v>
          </cell>
          <cell r="BI90">
            <v>75.950026213135004</v>
          </cell>
          <cell r="BJ90">
            <v>74.703927264812009</v>
          </cell>
          <cell r="BK90">
            <v>73.202380064815685</v>
          </cell>
          <cell r="BL90">
            <v>73.227126755274469</v>
          </cell>
          <cell r="BM90">
            <v>74.209905744532449</v>
          </cell>
          <cell r="BN90">
            <v>74.262040206192779</v>
          </cell>
          <cell r="BO90">
            <v>74.287570028377687</v>
          </cell>
          <cell r="BP90">
            <v>74.303707570669019</v>
          </cell>
          <cell r="BQ90">
            <v>74.293124107038409</v>
          </cell>
          <cell r="BR90">
            <v>74.309576047312007</v>
          </cell>
          <cell r="BS90">
            <v>74.32096845062388</v>
          </cell>
          <cell r="BT90">
            <v>74.325927093788692</v>
          </cell>
        </row>
        <row r="91">
          <cell r="A91" t="str">
            <v>Rental &amp; Management</v>
          </cell>
          <cell r="C91">
            <v>58.380711535567599</v>
          </cell>
          <cell r="D91">
            <v>61.807141231924632</v>
          </cell>
          <cell r="E91">
            <v>65.326655192264425</v>
          </cell>
          <cell r="F91">
            <v>73.350061628674865</v>
          </cell>
          <cell r="G91">
            <v>74.325460485847728</v>
          </cell>
          <cell r="H91">
            <v>75.914725012710591</v>
          </cell>
          <cell r="I91">
            <v>76.534208986868435</v>
          </cell>
          <cell r="J91">
            <v>76.984811977799353</v>
          </cell>
          <cell r="K91">
            <v>76.883121175517317</v>
          </cell>
          <cell r="L91">
            <v>74.895347764196885</v>
          </cell>
          <cell r="M91">
            <v>75</v>
          </cell>
          <cell r="N91">
            <v>74.999999999999986</v>
          </cell>
          <cell r="O91">
            <v>75</v>
          </cell>
          <cell r="P91">
            <v>75.099999999999994</v>
          </cell>
          <cell r="Q91">
            <v>75.199999999999989</v>
          </cell>
          <cell r="R91">
            <v>75.299999999999983</v>
          </cell>
          <cell r="S91">
            <v>75.399999999999977</v>
          </cell>
          <cell r="T91">
            <v>75.499999999999972</v>
          </cell>
          <cell r="U91">
            <v>75.599999999999966</v>
          </cell>
          <cell r="V91">
            <v>75.69999999999996</v>
          </cell>
          <cell r="Y91">
            <v>55.015363227778614</v>
          </cell>
          <cell r="Z91">
            <v>56.776778748191525</v>
          </cell>
          <cell r="AA91">
            <v>59.029386218876667</v>
          </cell>
          <cell r="AB91">
            <v>62.08144307625836</v>
          </cell>
          <cell r="AC91">
            <v>60.074285480192813</v>
          </cell>
          <cell r="AD91">
            <v>61.896706074409543</v>
          </cell>
          <cell r="AE91">
            <v>62.029925470785685</v>
          </cell>
          <cell r="AF91">
            <v>63.063521449676941</v>
          </cell>
          <cell r="AG91">
            <v>64.225646509819171</v>
          </cell>
          <cell r="AH91">
            <v>65.200164690578617</v>
          </cell>
          <cell r="AI91">
            <v>65.79630285916798</v>
          </cell>
          <cell r="AJ91">
            <v>66.004748664790512</v>
          </cell>
          <cell r="AK91">
            <v>73.439995593985799</v>
          </cell>
          <cell r="AL91">
            <v>74.758002047570812</v>
          </cell>
          <cell r="AM91">
            <v>73.244475461193062</v>
          </cell>
          <cell r="AN91">
            <v>72.52866654336971</v>
          </cell>
          <cell r="AO91">
            <v>74.849411400149876</v>
          </cell>
          <cell r="AP91">
            <v>74.036212125471238</v>
          </cell>
          <cell r="AQ91">
            <v>74.080814208202753</v>
          </cell>
          <cell r="AR91">
            <v>74.345861120587372</v>
          </cell>
          <cell r="AS91">
            <v>75.793647353256532</v>
          </cell>
          <cell r="AT91">
            <v>75.508516855534182</v>
          </cell>
          <cell r="AU91">
            <v>76.594920013496065</v>
          </cell>
          <cell r="AV91">
            <v>75.754018372788394</v>
          </cell>
          <cell r="AW91">
            <v>76.755360537778458</v>
          </cell>
          <cell r="AX91">
            <v>76.075536695087465</v>
          </cell>
          <cell r="AY91">
            <v>76.243166766397223</v>
          </cell>
          <cell r="AZ91">
            <v>77.062638056569284</v>
          </cell>
          <cell r="BA91">
            <v>77.246954769198908</v>
          </cell>
          <cell r="BB91">
            <v>77.300608972073832</v>
          </cell>
          <cell r="BC91">
            <v>76.510539457638927</v>
          </cell>
          <cell r="BD91">
            <v>76.920337226589339</v>
          </cell>
          <cell r="BE91">
            <v>77.372706830277281</v>
          </cell>
          <cell r="BF91">
            <v>76.828608419627528</v>
          </cell>
          <cell r="BG91">
            <v>76.913735117171953</v>
          </cell>
          <cell r="BH91">
            <v>76.495795827715639</v>
          </cell>
          <cell r="BI91">
            <v>76.610659373828099</v>
          </cell>
          <cell r="BJ91">
            <v>75.279143736543801</v>
          </cell>
          <cell r="BK91">
            <v>73.932512263991356</v>
          </cell>
          <cell r="BL91">
            <v>74</v>
          </cell>
          <cell r="BM91">
            <v>75</v>
          </cell>
          <cell r="BN91">
            <v>75</v>
          </cell>
          <cell r="BO91">
            <v>75</v>
          </cell>
          <cell r="BP91">
            <v>75</v>
          </cell>
          <cell r="BQ91">
            <v>75</v>
          </cell>
          <cell r="BR91">
            <v>75</v>
          </cell>
          <cell r="BS91">
            <v>75</v>
          </cell>
          <cell r="BT91">
            <v>75</v>
          </cell>
        </row>
        <row r="92">
          <cell r="A92" t="str">
            <v>Network Development Svcs.</v>
          </cell>
          <cell r="C92">
            <v>8.1854450405832999</v>
          </cell>
          <cell r="D92">
            <v>8.0316241633724825</v>
          </cell>
          <cell r="E92">
            <v>15.455526576130937</v>
          </cell>
          <cell r="F92">
            <v>44.448881789137381</v>
          </cell>
          <cell r="G92">
            <v>51.576103272290609</v>
          </cell>
          <cell r="H92">
            <v>47.183121591168877</v>
          </cell>
          <cell r="I92">
            <v>42.26043168563988</v>
          </cell>
          <cell r="J92">
            <v>41.851905052608892</v>
          </cell>
          <cell r="K92">
            <v>44.943017033617913</v>
          </cell>
          <cell r="L92">
            <v>47.320625613360548</v>
          </cell>
          <cell r="M92">
            <v>41.999999999999993</v>
          </cell>
          <cell r="N92">
            <v>41.999999999999993</v>
          </cell>
          <cell r="O92">
            <v>42</v>
          </cell>
          <cell r="P92">
            <v>42</v>
          </cell>
          <cell r="Q92">
            <v>42</v>
          </cell>
          <cell r="R92">
            <v>42</v>
          </cell>
          <cell r="S92">
            <v>42</v>
          </cell>
          <cell r="T92">
            <v>42</v>
          </cell>
          <cell r="U92">
            <v>42</v>
          </cell>
          <cell r="V92">
            <v>42</v>
          </cell>
          <cell r="Y92">
            <v>9.0760643172540245</v>
          </cell>
          <cell r="Z92">
            <v>14.485511531638087</v>
          </cell>
          <cell r="AA92">
            <v>4.6920023922144267</v>
          </cell>
          <cell r="AB92">
            <v>3.474758507697036</v>
          </cell>
          <cell r="AC92">
            <v>1.9526824391869444</v>
          </cell>
          <cell r="AD92">
            <v>7.985962509629374</v>
          </cell>
          <cell r="AE92">
            <v>8.3923154701718907</v>
          </cell>
          <cell r="AF92">
            <v>35.153922542204562</v>
          </cell>
          <cell r="AG92">
            <v>15.516014234875444</v>
          </cell>
          <cell r="AH92">
            <v>28.905419766206158</v>
          </cell>
          <cell r="AI92">
            <v>13.496208930075809</v>
          </cell>
          <cell r="AJ92">
            <v>8.4247595828254092</v>
          </cell>
          <cell r="AK92">
            <v>48.581687612208263</v>
          </cell>
          <cell r="AL92">
            <v>39.437844103158511</v>
          </cell>
          <cell r="AM92">
            <v>40.227560050568904</v>
          </cell>
          <cell r="AN92">
            <v>49.099937926753576</v>
          </cell>
          <cell r="AO92">
            <v>50.096385542168676</v>
          </cell>
          <cell r="AP92">
            <v>54.179838426413774</v>
          </cell>
          <cell r="AQ92">
            <v>58.083238958097397</v>
          </cell>
          <cell r="AR92">
            <v>43.048837572164146</v>
          </cell>
          <cell r="AS92">
            <v>45.352986811481777</v>
          </cell>
          <cell r="AT92">
            <v>45.97280334728034</v>
          </cell>
          <cell r="AU92">
            <v>45.98303950011158</v>
          </cell>
          <cell r="AV92">
            <v>51.388154415653098</v>
          </cell>
          <cell r="AW92">
            <v>55.773686135837096</v>
          </cell>
          <cell r="AX92">
            <v>47.554608417687803</v>
          </cell>
          <cell r="AY92">
            <v>31.676976869284562</v>
          </cell>
          <cell r="AZ92">
            <v>42.038398401256153</v>
          </cell>
          <cell r="BA92">
            <v>40.185374283245615</v>
          </cell>
          <cell r="BB92">
            <v>38.321189859697711</v>
          </cell>
          <cell r="BC92">
            <v>45.022091310751108</v>
          </cell>
          <cell r="BD92">
            <v>44.732310582341889</v>
          </cell>
          <cell r="BE92">
            <v>43.057648831951774</v>
          </cell>
          <cell r="BF92">
            <v>52.244351961950052</v>
          </cell>
          <cell r="BG92">
            <v>43.833790089622987</v>
          </cell>
          <cell r="BH92">
            <v>39.388884010887701</v>
          </cell>
          <cell r="BI92">
            <v>53.435162094763079</v>
          </cell>
          <cell r="BJ92">
            <v>49.634219169901463</v>
          </cell>
          <cell r="BK92">
            <v>44.418082718820138</v>
          </cell>
          <cell r="BL92">
            <v>42</v>
          </cell>
          <cell r="BM92">
            <v>42</v>
          </cell>
          <cell r="BN92">
            <v>42</v>
          </cell>
          <cell r="BO92">
            <v>42</v>
          </cell>
          <cell r="BP92">
            <v>42</v>
          </cell>
          <cell r="BQ92">
            <v>42</v>
          </cell>
          <cell r="BR92">
            <v>42</v>
          </cell>
          <cell r="BS92">
            <v>42</v>
          </cell>
          <cell r="BT92">
            <v>42</v>
          </cell>
        </row>
        <row r="93">
          <cell r="A93" t="str">
            <v xml:space="preserve">Corporate, General &amp; Administrative </v>
          </cell>
          <cell r="C93">
            <v>5.2781971102005611</v>
          </cell>
          <cell r="D93">
            <v>3.8950664714325067</v>
          </cell>
          <cell r="E93">
            <v>3.8870178020547352</v>
          </cell>
          <cell r="F93">
            <v>10.819698852438542</v>
          </cell>
          <cell r="G93">
            <v>9.0954428659807114</v>
          </cell>
          <cell r="H93">
            <v>9.0817345121564443</v>
          </cell>
          <cell r="I93">
            <v>7.8799927706488342</v>
          </cell>
          <cell r="J93">
            <v>8.179505531536778</v>
          </cell>
          <cell r="K93">
            <v>8.9261006328906713</v>
          </cell>
          <cell r="L93">
            <v>9.9268344488269094</v>
          </cell>
          <cell r="M93">
            <v>9.4999999999999982</v>
          </cell>
          <cell r="N93">
            <v>8.9999999999999982</v>
          </cell>
          <cell r="O93">
            <v>8.5</v>
          </cell>
          <cell r="P93">
            <v>8.6</v>
          </cell>
          <cell r="Q93">
            <v>8.6999999999999993</v>
          </cell>
          <cell r="R93">
            <v>8.7999999999999989</v>
          </cell>
          <cell r="S93">
            <v>8.8999999999999986</v>
          </cell>
          <cell r="T93">
            <v>8.9999999999999982</v>
          </cell>
          <cell r="U93">
            <v>9.0999999999999979</v>
          </cell>
          <cell r="V93">
            <v>9.1999999999999975</v>
          </cell>
          <cell r="Y93">
            <v>6.4839027736099784</v>
          </cell>
          <cell r="Z93">
            <v>6.3031772161821547</v>
          </cell>
          <cell r="AA93">
            <v>4.579698878511083</v>
          </cell>
          <cell r="AB93">
            <v>3.7407355220515712</v>
          </cell>
          <cell r="AC93">
            <v>4.1172499643890079</v>
          </cell>
          <cell r="AD93">
            <v>3.9735968325327193</v>
          </cell>
          <cell r="AE93">
            <v>3.4745336429893934</v>
          </cell>
          <cell r="AF93">
            <v>4.0692880401090603</v>
          </cell>
          <cell r="AG93">
            <v>4.0754542600020143</v>
          </cell>
          <cell r="AH93">
            <v>3.860306920808859</v>
          </cell>
          <cell r="AI93">
            <v>3.7931015418977116</v>
          </cell>
          <cell r="AJ93">
            <v>3.8317018235370557</v>
          </cell>
          <cell r="AK93">
            <v>11.338992704293348</v>
          </cell>
          <cell r="AL93">
            <v>10.95341912155695</v>
          </cell>
          <cell r="AM93">
            <v>11.522742553239709</v>
          </cell>
          <cell r="AN93">
            <v>9.8216984965461211</v>
          </cell>
          <cell r="AO93">
            <v>8.3649335692817637</v>
          </cell>
          <cell r="AP93">
            <v>8.3663993764250613</v>
          </cell>
          <cell r="AQ93">
            <v>9.5064878983527592</v>
          </cell>
          <cell r="AR93">
            <v>10.086303406526364</v>
          </cell>
          <cell r="AS93">
            <v>9.1862094792807429</v>
          </cell>
          <cell r="AT93">
            <v>8.5142415525789374</v>
          </cell>
          <cell r="AU93">
            <v>9.185358488512863</v>
          </cell>
          <cell r="AV93">
            <v>9.4215470548408931</v>
          </cell>
          <cell r="AW93">
            <v>8.5416971929751107</v>
          </cell>
          <cell r="AX93">
            <v>7.1590031697009104</v>
          </cell>
          <cell r="AY93">
            <v>7.68933803766725</v>
          </cell>
          <cell r="AZ93">
            <v>8.1469617264721172</v>
          </cell>
          <cell r="BA93">
            <v>8.1465114344300407</v>
          </cell>
          <cell r="BB93">
            <v>8.7455534086990205</v>
          </cell>
          <cell r="BC93">
            <v>7.8618795104761263</v>
          </cell>
          <cell r="BD93">
            <v>7.9895440126971948</v>
          </cell>
          <cell r="BE93">
            <v>8.7937962388377642</v>
          </cell>
          <cell r="BF93">
            <v>8.5871084847543404</v>
          </cell>
          <cell r="BG93">
            <v>8.5603188641827153</v>
          </cell>
          <cell r="BH93">
            <v>9.6696381942948122</v>
          </cell>
          <cell r="BI93">
            <v>9.55650929899857</v>
          </cell>
          <cell r="BJ93">
            <v>10.152452552177953</v>
          </cell>
          <cell r="BK93">
            <v>10.485197564097886</v>
          </cell>
          <cell r="BL93">
            <v>9.5</v>
          </cell>
          <cell r="BM93">
            <v>9.5</v>
          </cell>
          <cell r="BN93">
            <v>9.5</v>
          </cell>
          <cell r="BO93">
            <v>9.5</v>
          </cell>
          <cell r="BP93">
            <v>9.5</v>
          </cell>
          <cell r="BQ93">
            <v>9</v>
          </cell>
          <cell r="BR93">
            <v>9</v>
          </cell>
          <cell r="BS93">
            <v>9</v>
          </cell>
          <cell r="BT93">
            <v>9</v>
          </cell>
        </row>
        <row r="94">
          <cell r="A94" t="str">
            <v>TV Azteca</v>
          </cell>
          <cell r="C94">
            <v>1.977514954087829</v>
          </cell>
          <cell r="D94">
            <v>2.0618467025240297</v>
          </cell>
          <cell r="E94">
            <v>2.0258681685676279</v>
          </cell>
          <cell r="F94">
            <v>1.5063728717402673</v>
          </cell>
          <cell r="G94">
            <v>1.0785002106445725</v>
          </cell>
          <cell r="H94">
            <v>0.97535758076718726</v>
          </cell>
          <cell r="I94">
            <v>0.89444394240616909</v>
          </cell>
          <cell r="J94">
            <v>0.82419143977718412</v>
          </cell>
          <cell r="K94">
            <v>0.71584896251766073</v>
          </cell>
          <cell r="L94">
            <v>0.5766669283739273</v>
          </cell>
          <cell r="M94">
            <v>0.48058295950053792</v>
          </cell>
          <cell r="N94">
            <v>0.43350040575168541</v>
          </cell>
          <cell r="O94">
            <v>0.41292111987104091</v>
          </cell>
          <cell r="P94">
            <v>0.39674382728340646</v>
          </cell>
          <cell r="Q94">
            <v>0.38232886991206583</v>
          </cell>
          <cell r="R94">
            <v>0.37033220051317806</v>
          </cell>
          <cell r="S94">
            <v>0.36050689627795607</v>
          </cell>
          <cell r="T94">
            <v>0.35259147234481947</v>
          </cell>
          <cell r="U94">
            <v>0.34657286594781689</v>
          </cell>
          <cell r="V94">
            <v>0.34211140232887566</v>
          </cell>
          <cell r="Y94">
            <v>1.8374630256783986</v>
          </cell>
          <cell r="Z94">
            <v>2.0930190488250515</v>
          </cell>
          <cell r="AA94">
            <v>2.0086198026819702</v>
          </cell>
          <cell r="AB94">
            <v>1.9861913484570948</v>
          </cell>
          <cell r="AC94">
            <v>2.168864226126701</v>
          </cell>
          <cell r="AD94">
            <v>2.0127565865291364</v>
          </cell>
          <cell r="AE94">
            <v>1.8852274794781509</v>
          </cell>
          <cell r="AF94">
            <v>2.2082854339831597</v>
          </cell>
          <cell r="AG94">
            <v>2.0972682192770939</v>
          </cell>
          <cell r="AH94">
            <v>2.1196573259350404</v>
          </cell>
          <cell r="AI94">
            <v>1.9814131943100715</v>
          </cell>
          <cell r="AJ94">
            <v>1.9166630571317191</v>
          </cell>
          <cell r="AK94">
            <v>1.8974261614819237</v>
          </cell>
          <cell r="AL94">
            <v>1.9057747527384878</v>
          </cell>
          <cell r="AM94">
            <v>1.3631934004668627</v>
          </cell>
          <cell r="AN94">
            <v>1.1510767980495733</v>
          </cell>
          <cell r="AO94">
            <v>1.0917296330627417</v>
          </cell>
          <cell r="AP94">
            <v>1.0998487094269678</v>
          </cell>
          <cell r="AQ94">
            <v>1.0747690176239328</v>
          </cell>
          <cell r="AR94">
            <v>1.0490276798777418</v>
          </cell>
          <cell r="AS94">
            <v>0.9924136248347396</v>
          </cell>
          <cell r="AT94">
            <v>0.9999358300109088</v>
          </cell>
          <cell r="AU94">
            <v>0.97501258212386255</v>
          </cell>
          <cell r="AV94">
            <v>0.93649500677048092</v>
          </cell>
          <cell r="AW94">
            <v>0.92651707031168229</v>
          </cell>
          <cell r="AX94">
            <v>0.91027308192457734</v>
          </cell>
          <cell r="AY94">
            <v>0.87619848119080879</v>
          </cell>
          <cell r="AZ94">
            <v>0.86744839882054448</v>
          </cell>
          <cell r="BA94">
            <v>0.85617527735772425</v>
          </cell>
          <cell r="BB94">
            <v>0.84680105253709637</v>
          </cell>
          <cell r="BC94">
            <v>0.80724153071908678</v>
          </cell>
          <cell r="BD94">
            <v>0.79044942440727439</v>
          </cell>
          <cell r="BE94">
            <v>0.76996879634886484</v>
          </cell>
          <cell r="BF94">
            <v>0.76286821424999518</v>
          </cell>
          <cell r="BG94">
            <v>0.69839204242171582</v>
          </cell>
          <cell r="BH94">
            <v>0.64695549282195297</v>
          </cell>
          <cell r="BI94">
            <v>0.62182887710038304</v>
          </cell>
          <cell r="BJ94">
            <v>0.60110341825244662</v>
          </cell>
          <cell r="BK94">
            <v>0.55488314617792112</v>
          </cell>
          <cell r="BL94">
            <v>0.53637848233954077</v>
          </cell>
          <cell r="BM94">
            <v>0.5264494093822254</v>
          </cell>
          <cell r="BN94">
            <v>0.48684315213988905</v>
          </cell>
          <cell r="BO94">
            <v>0.46534727253764141</v>
          </cell>
          <cell r="BP94">
            <v>0.45030346672119104</v>
          </cell>
          <cell r="BQ94">
            <v>0.45262174472162336</v>
          </cell>
          <cell r="BR94">
            <v>0.43771025279821862</v>
          </cell>
          <cell r="BS94">
            <v>0.42622551971023576</v>
          </cell>
          <cell r="BT94">
            <v>0.41892376065760917</v>
          </cell>
        </row>
        <row r="95">
          <cell r="A95" t="str">
            <v>EBITDA</v>
          </cell>
          <cell r="C95">
            <v>43.691190992361207</v>
          </cell>
          <cell r="D95">
            <v>54.510923931165458</v>
          </cell>
          <cell r="E95">
            <v>61.896102793422578</v>
          </cell>
          <cell r="F95">
            <v>63.577148687639308</v>
          </cell>
          <cell r="G95">
            <v>65.905866546226051</v>
          </cell>
          <cell r="H95">
            <v>67.204382278109065</v>
          </cell>
          <cell r="I95">
            <v>68.549184689840743</v>
          </cell>
          <cell r="J95">
            <v>68.494600705057792</v>
          </cell>
          <cell r="K95">
            <v>67.885167994318337</v>
          </cell>
          <cell r="L95">
            <v>64.858975101499908</v>
          </cell>
          <cell r="M95">
            <v>65.248433807556495</v>
          </cell>
          <cell r="N95">
            <v>65.746263933918343</v>
          </cell>
          <cell r="O95">
            <v>66.24521714821023</v>
          </cell>
          <cell r="P95">
            <v>66.240385095477549</v>
          </cell>
          <cell r="Q95">
            <v>66.235218374730422</v>
          </cell>
          <cell r="R95">
            <v>66.229064822135726</v>
          </cell>
          <cell r="S95">
            <v>66.228117097016707</v>
          </cell>
          <cell r="T95">
            <v>66.226031282430441</v>
          </cell>
          <cell r="U95">
            <v>66.222692389882923</v>
          </cell>
          <cell r="V95">
            <v>66.21825249018886</v>
          </cell>
          <cell r="Y95">
            <v>35.595018647918721</v>
          </cell>
          <cell r="Z95">
            <v>43.941942992215246</v>
          </cell>
          <cell r="AA95">
            <v>45.032752963771678</v>
          </cell>
          <cell r="AB95">
            <v>50.649570240946872</v>
          </cell>
          <cell r="AC95">
            <v>52.724705357751112</v>
          </cell>
          <cell r="AD95">
            <v>52.749284010908134</v>
          </cell>
          <cell r="AE95">
            <v>52.20843991138414</v>
          </cell>
          <cell r="AF95">
            <v>60.695047157035631</v>
          </cell>
          <cell r="AG95">
            <v>61.031097629612951</v>
          </cell>
          <cell r="AH95">
            <v>62.46836765491144</v>
          </cell>
          <cell r="AI95">
            <v>62.268563309579214</v>
          </cell>
          <cell r="AJ95">
            <v>61.788019231602199</v>
          </cell>
          <cell r="AK95">
            <v>63.622901467277806</v>
          </cell>
          <cell r="AL95">
            <v>65.062214186961612</v>
          </cell>
          <cell r="AM95">
            <v>62.591691659175218</v>
          </cell>
          <cell r="AN95">
            <v>63.489963429500207</v>
          </cell>
          <cell r="AO95">
            <v>67.255601434416633</v>
          </cell>
          <cell r="AP95">
            <v>66.422699109748578</v>
          </cell>
          <cell r="AQ95">
            <v>65.310210605547184</v>
          </cell>
          <cell r="AR95">
            <v>64.71452349502141</v>
          </cell>
          <cell r="AS95">
            <v>67.043242905859714</v>
          </cell>
          <cell r="AT95">
            <v>67.363980548123308</v>
          </cell>
          <cell r="AU95">
            <v>67.638233333786744</v>
          </cell>
          <cell r="AV95">
            <v>66.781535629654698</v>
          </cell>
          <cell r="AW95">
            <v>68.689950390387892</v>
          </cell>
          <cell r="AX95">
            <v>69.146974561118341</v>
          </cell>
          <cell r="AY95">
            <v>67.810578887183965</v>
          </cell>
          <cell r="AZ95">
            <v>68.581322675130536</v>
          </cell>
          <cell r="BA95">
            <v>68.802088685958154</v>
          </cell>
          <cell r="BB95">
            <v>67.872816859490086</v>
          </cell>
          <cell r="BC95">
            <v>68.493036556670148</v>
          </cell>
          <cell r="BD95">
            <v>68.803253767526172</v>
          </cell>
          <cell r="BE95">
            <v>68.547247785156927</v>
          </cell>
          <cell r="BF95">
            <v>68.300431760001871</v>
          </cell>
          <cell r="BG95">
            <v>68.181765051955693</v>
          </cell>
          <cell r="BH95">
            <v>66.701421731715243</v>
          </cell>
          <cell r="BI95">
            <v>67.015345791236825</v>
          </cell>
          <cell r="BJ95">
            <v>65.152578130886496</v>
          </cell>
          <cell r="BK95">
            <v>63.272065646895712</v>
          </cell>
          <cell r="BL95">
            <v>64.263505237613998</v>
          </cell>
          <cell r="BM95">
            <v>65.236355153914673</v>
          </cell>
          <cell r="BN95">
            <v>65.248883358332677</v>
          </cell>
          <cell r="BO95">
            <v>65.252917300915342</v>
          </cell>
          <cell r="BP95">
            <v>65.254011037390214</v>
          </cell>
          <cell r="BQ95">
            <v>65.745745851760034</v>
          </cell>
          <cell r="BR95">
            <v>65.747286300110233</v>
          </cell>
          <cell r="BS95">
            <v>65.747193970334123</v>
          </cell>
          <cell r="BT95">
            <v>65.744850854446298</v>
          </cell>
        </row>
        <row r="96">
          <cell r="A96" t="str">
            <v>Depreciation</v>
          </cell>
          <cell r="C96">
            <v>44.565735559515574</v>
          </cell>
          <cell r="D96">
            <v>48.173449120721401</v>
          </cell>
          <cell r="E96">
            <v>46.620581326238913</v>
          </cell>
          <cell r="F96">
            <v>43.528799114296781</v>
          </cell>
          <cell r="G96">
            <v>40.08327102555441</v>
          </cell>
          <cell r="H96">
            <v>35.900738297699981</v>
          </cell>
          <cell r="I96">
            <v>25.436522280458661</v>
          </cell>
          <cell r="J96">
            <v>24.048235789512759</v>
          </cell>
          <cell r="K96">
            <v>23.206461378054584</v>
          </cell>
          <cell r="L96">
            <v>22.426297467042616</v>
          </cell>
          <cell r="M96">
            <v>20.427983067864922</v>
          </cell>
          <cell r="N96">
            <v>18.802164982963916</v>
          </cell>
          <cell r="O96">
            <v>17.071827562445279</v>
          </cell>
          <cell r="P96">
            <v>16.379909595677887</v>
          </cell>
          <cell r="Q96">
            <v>15.953852388424558</v>
          </cell>
          <cell r="R96">
            <v>15.696725716713008</v>
          </cell>
          <cell r="S96">
            <v>15.587500208172731</v>
          </cell>
          <cell r="T96">
            <v>15.607885900014285</v>
          </cell>
          <cell r="U96">
            <v>15.753199018801212</v>
          </cell>
          <cell r="V96">
            <v>16.006246174481667</v>
          </cell>
          <cell r="Y96">
            <v>40.233956359583317</v>
          </cell>
          <cell r="Z96">
            <v>48.121951072438598</v>
          </cell>
          <cell r="AA96">
            <v>44.984738147771317</v>
          </cell>
          <cell r="AB96">
            <v>45.384810483302807</v>
          </cell>
          <cell r="AC96">
            <v>52.062031250967699</v>
          </cell>
          <cell r="AD96">
            <v>48.026038041555893</v>
          </cell>
          <cell r="AE96">
            <v>44.211072701392382</v>
          </cell>
          <cell r="AF96">
            <v>49.006602586865853</v>
          </cell>
          <cell r="AG96">
            <v>48.192735394659671</v>
          </cell>
          <cell r="AH96">
            <v>49.604160378891649</v>
          </cell>
          <cell r="AI96">
            <v>45.095394209452628</v>
          </cell>
          <cell r="AJ96">
            <v>43.894291159527008</v>
          </cell>
          <cell r="AK96">
            <v>44.463670635458769</v>
          </cell>
          <cell r="AL96">
            <v>45.083483994469852</v>
          </cell>
          <cell r="AM96">
            <v>44.099627567555316</v>
          </cell>
          <cell r="AN96">
            <v>41.52685900040634</v>
          </cell>
          <cell r="AO96">
            <v>41.590904125664387</v>
          </cell>
          <cell r="AP96">
            <v>40.756698367105201</v>
          </cell>
          <cell r="AQ96">
            <v>39.391304087061087</v>
          </cell>
          <cell r="AR96">
            <v>38.686079503385209</v>
          </cell>
          <cell r="AS96">
            <v>36.937192530512888</v>
          </cell>
          <cell r="AT96">
            <v>36.726716756458153</v>
          </cell>
          <cell r="AU96">
            <v>35.769685922983804</v>
          </cell>
          <cell r="AV96">
            <v>34.278996699390646</v>
          </cell>
          <cell r="AW96">
            <v>25.399284114457956</v>
          </cell>
          <cell r="AX96">
            <v>25.321287792587775</v>
          </cell>
          <cell r="AY96">
            <v>25.506269730347835</v>
          </cell>
          <cell r="AZ96">
            <v>25.512583144757595</v>
          </cell>
          <cell r="BA96">
            <v>24.436842697673963</v>
          </cell>
          <cell r="BB96">
            <v>24.202448046334311</v>
          </cell>
          <cell r="BC96">
            <v>23.765325767554973</v>
          </cell>
          <cell r="BD96">
            <v>23.828445017891703</v>
          </cell>
          <cell r="BE96">
            <v>24.389680349621727</v>
          </cell>
          <cell r="BF96">
            <v>23.49314908168542</v>
          </cell>
          <cell r="BG96">
            <v>22.477704053206367</v>
          </cell>
          <cell r="BH96">
            <v>22.661702352997029</v>
          </cell>
          <cell r="BI96">
            <v>23.321870640400221</v>
          </cell>
          <cell r="BJ96">
            <v>23.199912932095405</v>
          </cell>
          <cell r="BK96">
            <v>22.543198557113463</v>
          </cell>
          <cell r="BL96">
            <v>20.832097850040508</v>
          </cell>
          <cell r="BM96">
            <v>22.231610427925034</v>
          </cell>
          <cell r="BN96">
            <v>20.644762176993538</v>
          </cell>
          <cell r="BO96">
            <v>19.821360567129716</v>
          </cell>
          <cell r="BP96">
            <v>19.271736029783597</v>
          </cell>
          <cell r="BQ96">
            <v>19.469148764640025</v>
          </cell>
          <cell r="BR96">
            <v>18.928914327736972</v>
          </cell>
          <cell r="BS96">
            <v>18.535922596181397</v>
          </cell>
          <cell r="BT96">
            <v>18.325210639099325</v>
          </cell>
        </row>
        <row r="97">
          <cell r="A97" t="str">
            <v>Operating Margin</v>
          </cell>
          <cell r="C97">
            <v>-16.246609082551121</v>
          </cell>
          <cell r="D97">
            <v>-0.31372776432724797</v>
          </cell>
          <cell r="E97">
            <v>9.8709421786998082</v>
          </cell>
          <cell r="F97">
            <v>14.301016314805667</v>
          </cell>
          <cell r="G97">
            <v>21.550344052801574</v>
          </cell>
          <cell r="H97">
            <v>25.975872480595129</v>
          </cell>
          <cell r="I97">
            <v>38.076716468863573</v>
          </cell>
          <cell r="J97">
            <v>38.991505202092213</v>
          </cell>
          <cell r="K97">
            <v>39.508596785932852</v>
          </cell>
          <cell r="L97">
            <v>38.433184398244016</v>
          </cell>
          <cell r="M97">
            <v>42.559595056003502</v>
          </cell>
          <cell r="N97">
            <v>44.780810476740172</v>
          </cell>
          <cell r="O97">
            <v>47.112797513589747</v>
          </cell>
          <cell r="P97">
            <v>47.88061264986851</v>
          </cell>
          <cell r="Q97">
            <v>48.373437812153483</v>
          </cell>
          <cell r="R97">
            <v>48.684277672558778</v>
          </cell>
          <cell r="S97">
            <v>48.841586476771937</v>
          </cell>
          <cell r="T97">
            <v>48.858615153356361</v>
          </cell>
          <cell r="U97">
            <v>48.739997674116267</v>
          </cell>
          <cell r="V97">
            <v>48.50477457212434</v>
          </cell>
          <cell r="Y97">
            <v>-4.4905045655249349</v>
          </cell>
          <cell r="Z97">
            <v>-9.2982868720490703</v>
          </cell>
          <cell r="AA97">
            <v>-49.519280235043951</v>
          </cell>
          <cell r="AB97">
            <v>-2.2984359588558658</v>
          </cell>
          <cell r="AC97">
            <v>-3.7952027349241773</v>
          </cell>
          <cell r="AD97">
            <v>-1.8547255280063013</v>
          </cell>
          <cell r="AE97">
            <v>2.0206128193328241</v>
          </cell>
          <cell r="AF97">
            <v>2.0698538041613701</v>
          </cell>
          <cell r="AG97">
            <v>8.4222500014811246</v>
          </cell>
          <cell r="AH97">
            <v>7.6260070113528267</v>
          </cell>
          <cell r="AI97">
            <v>11.58883464819411</v>
          </cell>
          <cell r="AJ97">
            <v>11.606640100489455</v>
          </cell>
          <cell r="AK97">
            <v>15.755471779989685</v>
          </cell>
          <cell r="AL97">
            <v>16.351164521961078</v>
          </cell>
          <cell r="AM97">
            <v>14.041005340968329</v>
          </cell>
          <cell r="AN97">
            <v>12.399837464445351</v>
          </cell>
          <cell r="AO97">
            <v>21.132053094638419</v>
          </cell>
          <cell r="AP97">
            <v>21.718329482021584</v>
          </cell>
          <cell r="AQ97">
            <v>21.593441030146916</v>
          </cell>
          <cell r="AR97">
            <v>21.742594314755685</v>
          </cell>
          <cell r="AS97">
            <v>24.430170735997535</v>
          </cell>
          <cell r="AT97">
            <v>26.029579574971468</v>
          </cell>
          <cell r="AU97">
            <v>26.794074839832959</v>
          </cell>
          <cell r="AV97">
            <v>26.570434157075152</v>
          </cell>
          <cell r="AW97">
            <v>37.902162309254194</v>
          </cell>
          <cell r="AX97">
            <v>39.313942620286092</v>
          </cell>
          <cell r="AY97">
            <v>37.717827926932969</v>
          </cell>
          <cell r="AZ97">
            <v>37.406814196569385</v>
          </cell>
          <cell r="BA97">
            <v>36.773450002202232</v>
          </cell>
          <cell r="BB97">
            <v>39.315898128770449</v>
          </cell>
          <cell r="BC97">
            <v>40.323121784262717</v>
          </cell>
          <cell r="BD97">
            <v>39.388311349121494</v>
          </cell>
          <cell r="BE97">
            <v>39.356430196684236</v>
          </cell>
          <cell r="BF97">
            <v>40.157723269289278</v>
          </cell>
          <cell r="BG97">
            <v>41.566891736570803</v>
          </cell>
          <cell r="BH97">
            <v>37.148538643858586</v>
          </cell>
          <cell r="BI97">
            <v>38.795439803090488</v>
          </cell>
          <cell r="BJ97">
            <v>37.805721365961467</v>
          </cell>
          <cell r="BK97">
            <v>36.215722323656458</v>
          </cell>
          <cell r="BL97">
            <v>40.83875805098203</v>
          </cell>
          <cell r="BM97">
            <v>40.467914753277576</v>
          </cell>
          <cell r="BN97">
            <v>42.351532154070952</v>
          </cell>
          <cell r="BO97">
            <v>43.452700050252915</v>
          </cell>
          <cell r="BP97">
            <v>43.676947825776111</v>
          </cell>
          <cell r="BQ97">
            <v>43.966129999141366</v>
          </cell>
          <cell r="BR97">
            <v>44.66798583905782</v>
          </cell>
          <cell r="BS97">
            <v>45.276928856885718</v>
          </cell>
          <cell r="BT97">
            <v>45.155200402163999</v>
          </cell>
        </row>
        <row r="98">
          <cell r="A98" t="str">
            <v>Net Income, Continuing</v>
          </cell>
          <cell r="C98">
            <v>-45.165459745979163</v>
          </cell>
          <cell r="D98">
            <v>-37.825652028937199</v>
          </cell>
          <cell r="E98">
            <v>-33.528146491948014</v>
          </cell>
          <cell r="F98">
            <v>-15.17232473808885</v>
          </cell>
          <cell r="G98">
            <v>2.2105914368237078</v>
          </cell>
          <cell r="H98">
            <v>6.388190532159256</v>
          </cell>
          <cell r="I98">
            <v>14.837301945900347</v>
          </cell>
          <cell r="J98">
            <v>13.85917636536796</v>
          </cell>
          <cell r="K98">
            <v>18.816773995320691</v>
          </cell>
          <cell r="L98">
            <v>12.140991153679417</v>
          </cell>
          <cell r="M98">
            <v>27.703960387981823</v>
          </cell>
          <cell r="N98">
            <v>30.901215195192002</v>
          </cell>
          <cell r="O98">
            <v>32.630887757039964</v>
          </cell>
          <cell r="P98">
            <v>33.827160944602156</v>
          </cell>
          <cell r="Q98">
            <v>34.660593476774189</v>
          </cell>
          <cell r="R98">
            <v>35.282449497748885</v>
          </cell>
          <cell r="S98">
            <v>35.721323494581725</v>
          </cell>
          <cell r="T98">
            <v>35.998127898943984</v>
          </cell>
          <cell r="U98">
            <v>36.114872118212269</v>
          </cell>
          <cell r="V98">
            <v>36.101569521627383</v>
          </cell>
          <cell r="Y98">
            <v>-29.947057058344416</v>
          </cell>
          <cell r="Z98">
            <v>-40.52654112170385</v>
          </cell>
          <cell r="AA98">
            <v>-84.148823065403022</v>
          </cell>
          <cell r="AB98">
            <v>-27.069465971537284</v>
          </cell>
          <cell r="AC98">
            <v>-52.67454030854605</v>
          </cell>
          <cell r="AD98">
            <v>-48.391734462180949</v>
          </cell>
          <cell r="AE98">
            <v>-22.592763038196846</v>
          </cell>
          <cell r="AF98">
            <v>-29.381210614696634</v>
          </cell>
          <cell r="AG98">
            <v>-27.369350261566083</v>
          </cell>
          <cell r="AH98">
            <v>-36.858356743203395</v>
          </cell>
          <cell r="AI98">
            <v>-32.76242391406506</v>
          </cell>
          <cell r="AJ98">
            <v>-36.799930696929003</v>
          </cell>
          <cell r="AK98">
            <v>-17.488541129885288</v>
          </cell>
          <cell r="AL98">
            <v>-18.609486334148677</v>
          </cell>
          <cell r="AM98">
            <v>-8.0190068971769151</v>
          </cell>
          <cell r="AN98">
            <v>-17.839252336448599</v>
          </cell>
          <cell r="AO98">
            <v>-0.4250816924618212</v>
          </cell>
          <cell r="AP98">
            <v>2.5381832242384048</v>
          </cell>
          <cell r="AQ98">
            <v>1.1341452077716934</v>
          </cell>
          <cell r="AR98">
            <v>5.4586756543835806</v>
          </cell>
          <cell r="AS98">
            <v>6.0055493454836233</v>
          </cell>
          <cell r="AT98">
            <v>3.3831534248639126</v>
          </cell>
          <cell r="AU98">
            <v>16.382333337867426</v>
          </cell>
          <cell r="AV98">
            <v>-0.12245049085984763</v>
          </cell>
          <cell r="AW98">
            <v>11.054099596006123</v>
          </cell>
          <cell r="AX98">
            <v>12.897482526007806</v>
          </cell>
          <cell r="AY98">
            <v>14.809611306039077</v>
          </cell>
          <cell r="AZ98">
            <v>20.276545096540982</v>
          </cell>
          <cell r="BA98">
            <v>13.626620468926639</v>
          </cell>
          <cell r="BB98">
            <v>12.147638641527969</v>
          </cell>
          <cell r="BC98">
            <v>15.21757242093647</v>
          </cell>
          <cell r="BD98">
            <v>14.34215901404772</v>
          </cell>
          <cell r="BE98">
            <v>21.223764066949226</v>
          </cell>
          <cell r="BF98">
            <v>21.242209062065761</v>
          </cell>
          <cell r="BG98">
            <v>18.234168806324295</v>
          </cell>
          <cell r="BH98">
            <v>15.284255042527789</v>
          </cell>
          <cell r="BI98">
            <v>16.343009978762918</v>
          </cell>
          <cell r="BJ98">
            <v>18.949157366865641</v>
          </cell>
          <cell r="BK98">
            <v>-3.1291094744155701</v>
          </cell>
          <cell r="BL98">
            <v>17.041366918971597</v>
          </cell>
          <cell r="BM98">
            <v>24.898335407421367</v>
          </cell>
          <cell r="BN98">
            <v>27.369641712542592</v>
          </cell>
          <cell r="BO98">
            <v>28.804851587417584</v>
          </cell>
          <cell r="BP98">
            <v>29.347703335430353</v>
          </cell>
          <cell r="BQ98">
            <v>29.712582746408977</v>
          </cell>
          <cell r="BR98">
            <v>30.682726910927403</v>
          </cell>
          <cell r="BS98">
            <v>31.510140935820957</v>
          </cell>
          <cell r="BT98">
            <v>31.611969860395746</v>
          </cell>
        </row>
        <row r="99">
          <cell r="A99" t="str">
            <v>Net Income</v>
          </cell>
          <cell r="C99">
            <v>-161.7084548766785</v>
          </cell>
          <cell r="D99">
            <v>-46.626846630036106</v>
          </cell>
          <cell r="E99">
            <v>-34.70141227747429</v>
          </cell>
          <cell r="F99">
            <v>-19.134915208311735</v>
          </cell>
          <cell r="G99">
            <v>2.1457660440949309</v>
          </cell>
          <cell r="H99">
            <v>3.8894846470601827</v>
          </cell>
          <cell r="I99">
            <v>21.801953430929565</v>
          </cell>
          <cell r="J99">
            <v>14.333564949881513</v>
          </cell>
          <cell r="K99">
            <v>18.818285075314744</v>
          </cell>
          <cell r="L99">
            <v>12.140991153679417</v>
          </cell>
          <cell r="M99">
            <v>27.703960387981823</v>
          </cell>
          <cell r="N99">
            <v>30.901215195192002</v>
          </cell>
          <cell r="O99">
            <v>32.630887757039964</v>
          </cell>
          <cell r="P99">
            <v>33.827160944602156</v>
          </cell>
          <cell r="Q99">
            <v>34.660593476774189</v>
          </cell>
          <cell r="R99">
            <v>35.282449497748885</v>
          </cell>
          <cell r="S99">
            <v>35.721323494581725</v>
          </cell>
          <cell r="T99">
            <v>35.998127898943984</v>
          </cell>
          <cell r="U99">
            <v>36.114872118212269</v>
          </cell>
          <cell r="V99">
            <v>36.101569521627383</v>
          </cell>
          <cell r="Y99">
            <v>-339.81330646889876</v>
          </cell>
          <cell r="Z99">
            <v>-60.708406447294649</v>
          </cell>
          <cell r="AA99">
            <v>-201.91259017068123</v>
          </cell>
          <cell r="AB99">
            <v>-29.13850922925181</v>
          </cell>
          <cell r="AC99">
            <v>-59.725516669040765</v>
          </cell>
          <cell r="AD99">
            <v>-64.08986661494049</v>
          </cell>
          <cell r="AE99">
            <v>-30.707321510750546</v>
          </cell>
          <cell r="AF99">
            <v>-33.379477209940603</v>
          </cell>
          <cell r="AG99">
            <v>-27.735483526965304</v>
          </cell>
          <cell r="AH99">
            <v>-37.556589975158452</v>
          </cell>
          <cell r="AI99">
            <v>-33.08860521558374</v>
          </cell>
          <cell r="AJ99">
            <v>-39.983540520639316</v>
          </cell>
          <cell r="AK99">
            <v>-17.533562962762073</v>
          </cell>
          <cell r="AL99">
            <v>-19.19334255024992</v>
          </cell>
          <cell r="AM99">
            <v>-8.2917211213767139</v>
          </cell>
          <cell r="AN99">
            <v>-29.390654205607476</v>
          </cell>
          <cell r="AO99">
            <v>-0.52432984092207047</v>
          </cell>
          <cell r="AP99">
            <v>2.4378343046003974</v>
          </cell>
          <cell r="AQ99">
            <v>1.0591752707164526</v>
          </cell>
          <cell r="AR99">
            <v>5.4708185496052035</v>
          </cell>
          <cell r="AS99">
            <v>6.3312471274476829</v>
          </cell>
          <cell r="AT99">
            <v>-5.5507040563803152</v>
          </cell>
          <cell r="AU99">
            <v>16.243317872056796</v>
          </cell>
          <cell r="AV99">
            <v>-1.4479836662152976</v>
          </cell>
          <cell r="AW99">
            <v>11.04912816863083</v>
          </cell>
          <cell r="AX99">
            <v>40.353746749024708</v>
          </cell>
          <cell r="AY99">
            <v>14.79739437239169</v>
          </cell>
          <cell r="AZ99">
            <v>20.998520782515843</v>
          </cell>
          <cell r="BA99">
            <v>14.377823127254224</v>
          </cell>
          <cell r="BB99">
            <v>13.342844590157735</v>
          </cell>
          <cell r="BC99">
            <v>15.216671733036085</v>
          </cell>
          <cell r="BD99">
            <v>14.353990084223826</v>
          </cell>
          <cell r="BE99">
            <v>21.231465955452286</v>
          </cell>
          <cell r="BF99">
            <v>21.240932295179988</v>
          </cell>
          <cell r="BG99">
            <v>18.23436361582009</v>
          </cell>
          <cell r="BH99">
            <v>15.284255042527789</v>
          </cell>
          <cell r="BI99">
            <v>16.343009978762918</v>
          </cell>
          <cell r="BJ99">
            <v>18.949157366865641</v>
          </cell>
          <cell r="BK99">
            <v>-3.1291094744155701</v>
          </cell>
          <cell r="BL99">
            <v>17.041366918971597</v>
          </cell>
          <cell r="BM99">
            <v>24.898335407421367</v>
          </cell>
          <cell r="BN99">
            <v>27.369641712542592</v>
          </cell>
          <cell r="BO99">
            <v>28.804851587417584</v>
          </cell>
          <cell r="BP99">
            <v>29.347703335430353</v>
          </cell>
          <cell r="BQ99">
            <v>29.712582746408977</v>
          </cell>
          <cell r="BR99">
            <v>30.682726910927403</v>
          </cell>
          <cell r="BS99">
            <v>31.510140935820957</v>
          </cell>
          <cell r="BT99">
            <v>31.611969860395746</v>
          </cell>
        </row>
        <row r="101">
          <cell r="A101" t="str">
            <v>YoY Growth</v>
          </cell>
        </row>
        <row r="102">
          <cell r="A102" t="str">
            <v>Revenue</v>
          </cell>
          <cell r="D102">
            <v>-2.1358523546303743</v>
          </cell>
          <cell r="E102">
            <v>2.4486423010568803</v>
          </cell>
          <cell r="F102">
            <v>33.697393371635556</v>
          </cell>
          <cell r="G102">
            <v>39.437396405111855</v>
          </cell>
          <cell r="H102">
            <v>10.567070370468755</v>
          </cell>
          <cell r="I102">
            <v>9.3993247260389712</v>
          </cell>
          <cell r="J102">
            <v>8.196402393718504</v>
          </cell>
          <cell r="K102">
            <v>15.15102829627275</v>
          </cell>
          <cell r="L102">
            <v>23.026312469484921</v>
          </cell>
          <cell r="M102">
            <v>19.200924333060797</v>
          </cell>
          <cell r="N102">
            <v>10.861017227241554</v>
          </cell>
          <cell r="O102">
            <v>4.9838298140505888</v>
          </cell>
          <cell r="P102">
            <v>4.0775158868643135</v>
          </cell>
          <cell r="Q102">
            <v>3.7703031357940731</v>
          </cell>
          <cell r="R102">
            <v>3.2394345893399734</v>
          </cell>
          <cell r="S102">
            <v>2.7254136707683285</v>
          </cell>
          <cell r="T102">
            <v>2.2449277858301864</v>
          </cell>
          <cell r="U102">
            <v>1.7366063498776008</v>
          </cell>
          <cell r="V102">
            <v>1.304096732400728</v>
          </cell>
          <cell r="AC102">
            <v>-13.476336434174996</v>
          </cell>
          <cell r="AD102">
            <v>5.6953514595657229</v>
          </cell>
          <cell r="AE102">
            <v>6.8181038720519727</v>
          </cell>
          <cell r="AF102">
            <v>-6.3564886571790824</v>
          </cell>
          <cell r="AG102">
            <v>4.5359113626933123</v>
          </cell>
          <cell r="AH102">
            <v>-1.7058226172681601</v>
          </cell>
          <cell r="AI102">
            <v>-3.2069736828023276</v>
          </cell>
          <cell r="AJ102">
            <v>11.164210006801213</v>
          </cell>
          <cell r="AK102">
            <v>9.2208707810250488</v>
          </cell>
          <cell r="AL102">
            <v>9.1519049056253401</v>
          </cell>
          <cell r="AM102">
            <v>46.364737037057502</v>
          </cell>
          <cell r="AN102">
            <v>66.557478234504259</v>
          </cell>
          <cell r="AO102">
            <v>73.80000542431722</v>
          </cell>
          <cell r="AP102">
            <v>73.276082101456979</v>
          </cell>
          <cell r="AQ102">
            <v>25.957332688690315</v>
          </cell>
          <cell r="AR102">
            <v>9.7589597724502255</v>
          </cell>
          <cell r="AS102">
            <v>10.007521636408455</v>
          </cell>
          <cell r="AT102">
            <v>9.9919291235887506</v>
          </cell>
          <cell r="AU102">
            <v>10.231297249802807</v>
          </cell>
          <cell r="AV102">
            <v>11.984741415565425</v>
          </cell>
          <cell r="AW102">
            <v>8.4289905071012416</v>
          </cell>
          <cell r="AX102">
            <v>9.8500933254841438</v>
          </cell>
          <cell r="AY102">
            <v>11.339690139695602</v>
          </cell>
          <cell r="AZ102">
            <v>7.9902251184834183</v>
          </cell>
          <cell r="BA102">
            <v>6.9322629937412339</v>
          </cell>
          <cell r="BB102">
            <v>7.5254998374512105</v>
          </cell>
          <cell r="BC102">
            <v>8.5120263494824719</v>
          </cell>
          <cell r="BD102">
            <v>9.7101811306707475</v>
          </cell>
          <cell r="BE102">
            <v>11.196100597536439</v>
          </cell>
          <cell r="BF102">
            <v>11.002272308542672</v>
          </cell>
          <cell r="BG102">
            <v>15.585728600218429</v>
          </cell>
          <cell r="BH102">
            <v>22.248885535512187</v>
          </cell>
          <cell r="BI102">
            <v>23.823261463710899</v>
          </cell>
          <cell r="BJ102">
            <v>27.08831183754419</v>
          </cell>
          <cell r="BK102">
            <v>22.808490577064688</v>
          </cell>
          <cell r="BL102">
            <v>19.083532794425608</v>
          </cell>
          <cell r="BM102">
            <v>18.083741733202597</v>
          </cell>
          <cell r="BN102">
            <v>20.305501699281493</v>
          </cell>
          <cell r="BO102">
            <v>19.240657230463796</v>
          </cell>
          <cell r="BP102">
            <v>19.114890730264733</v>
          </cell>
          <cell r="BQ102">
            <v>16.3111175107171</v>
          </cell>
          <cell r="BR102">
            <v>11.224982514704829</v>
          </cell>
          <cell r="BS102">
            <v>9.178650976600867</v>
          </cell>
          <cell r="BT102">
            <v>7.4905529383970215</v>
          </cell>
        </row>
        <row r="103">
          <cell r="A103" t="str">
            <v>Rental &amp; Management</v>
          </cell>
          <cell r="D103">
            <v>13.72548659768842</v>
          </cell>
          <cell r="E103">
            <v>10.444620516155489</v>
          </cell>
          <cell r="F103">
            <v>35.846305349623478</v>
          </cell>
          <cell r="G103">
            <v>39.182715576674475</v>
          </cell>
          <cell r="H103">
            <v>10.193204684761547</v>
          </cell>
          <cell r="I103">
            <v>8.4896299023475166</v>
          </cell>
          <cell r="J103">
            <v>7.8462995342704067</v>
          </cell>
          <cell r="K103">
            <v>16.060284580621186</v>
          </cell>
          <cell r="L103">
            <v>22.998125395574533</v>
          </cell>
          <cell r="M103">
            <v>19.53085308764684</v>
          </cell>
          <cell r="N103">
            <v>11.015321442508853</v>
          </cell>
          <cell r="O103">
            <v>5.0472907022587998</v>
          </cell>
          <cell r="P103">
            <v>4.1204192924137351</v>
          </cell>
          <cell r="Q103">
            <v>3.8061176706521316</v>
          </cell>
          <cell r="R103">
            <v>3.2640729898952836</v>
          </cell>
          <cell r="S103">
            <v>2.7592928636350544</v>
          </cell>
          <cell r="T103">
            <v>2.2689539393321523</v>
          </cell>
          <cell r="U103">
            <v>1.7506458972184946</v>
          </cell>
          <cell r="V103">
            <v>1.3098499870868308</v>
          </cell>
          <cell r="AC103">
            <v>15.68786976406189</v>
          </cell>
          <cell r="AD103">
            <v>15.073058772733816</v>
          </cell>
          <cell r="AE103">
            <v>14.499855240301107</v>
          </cell>
          <cell r="AF103">
            <v>10.125027003672503</v>
          </cell>
          <cell r="AG103">
            <v>12.367713126954438</v>
          </cell>
          <cell r="AH103">
            <v>10.315569130308845</v>
          </cell>
          <cell r="AI103">
            <v>10.590228391901025</v>
          </cell>
          <cell r="AJ103">
            <v>8.696958179566705</v>
          </cell>
          <cell r="AK103">
            <v>10.325928446432053</v>
          </cell>
          <cell r="AL103">
            <v>10.157112425188132</v>
          </cell>
          <cell r="AM103">
            <v>49.069427137516719</v>
          </cell>
          <cell r="AN103">
            <v>70.766948841878488</v>
          </cell>
          <cell r="AO103">
            <v>74.180205981164306</v>
          </cell>
          <cell r="AP103">
            <v>73.430872817684929</v>
          </cell>
          <cell r="AQ103">
            <v>25.158843671752496</v>
          </cell>
          <cell r="AR103">
            <v>9.3942376284710463</v>
          </cell>
          <cell r="AS103">
            <v>9.4131708504738185</v>
          </cell>
          <cell r="AT103">
            <v>9.5593264807023672</v>
          </cell>
          <cell r="AU103">
            <v>9.8712328011691053</v>
          </cell>
          <cell r="AV103">
            <v>11.867937458677623</v>
          </cell>
          <cell r="AW103">
            <v>8.0785136505899793</v>
          </cell>
          <cell r="AX103">
            <v>9.5696671655619792</v>
          </cell>
          <cell r="AY103">
            <v>9.9750991988801765</v>
          </cell>
          <cell r="AZ103">
            <v>6.4134740978226912</v>
          </cell>
          <cell r="BA103">
            <v>5.8729942270103086</v>
          </cell>
          <cell r="BB103">
            <v>5.8302089539812085</v>
          </cell>
          <cell r="BC103">
            <v>9.1605898639945504</v>
          </cell>
          <cell r="BD103">
            <v>10.368412910555836</v>
          </cell>
          <cell r="BE103">
            <v>12.090254503759335</v>
          </cell>
          <cell r="BF103">
            <v>12.226153101037252</v>
          </cell>
          <cell r="BG103">
            <v>16.095697113988749</v>
          </cell>
          <cell r="BH103">
            <v>23.220748304790707</v>
          </cell>
          <cell r="BI103">
            <v>23.170984502656488</v>
          </cell>
          <cell r="BJ103">
            <v>27.899956405633542</v>
          </cell>
          <cell r="BK103">
            <v>23.005636017694322</v>
          </cell>
          <cell r="BL103">
            <v>18.675418257063047</v>
          </cell>
          <cell r="BM103">
            <v>18.638419303883481</v>
          </cell>
          <cell r="BN103">
            <v>20.313822642664125</v>
          </cell>
          <cell r="BO103">
            <v>19.625714184690302</v>
          </cell>
          <cell r="BP103">
            <v>19.487490246598771</v>
          </cell>
          <cell r="BQ103">
            <v>16.611621983386126</v>
          </cell>
          <cell r="BR103">
            <v>11.388864682835397</v>
          </cell>
          <cell r="BS103">
            <v>9.2915859135558776</v>
          </cell>
          <cell r="BT103">
            <v>7.5644883781893713</v>
          </cell>
        </row>
        <row r="104">
          <cell r="A104" t="str">
            <v>Network Development Svcs.</v>
          </cell>
          <cell r="D104">
            <v>-56.181918233094464</v>
          </cell>
          <cell r="E104">
            <v>-68.264524139112069</v>
          </cell>
          <cell r="F104">
            <v>-32.439967622987673</v>
          </cell>
          <cell r="G104">
            <v>55.19834930777423</v>
          </cell>
          <cell r="H104">
            <v>31.316207059227175</v>
          </cell>
          <cell r="I104">
            <v>51.765243802867488</v>
          </cell>
          <cell r="J104">
            <v>19.851944306957336</v>
          </cell>
          <cell r="K104">
            <v>-12.087478004812002</v>
          </cell>
          <cell r="L104">
            <v>24.141068583799672</v>
          </cell>
          <cell r="M104">
            <v>6.2728735459449902</v>
          </cell>
          <cell r="N104">
            <v>4.0604009999999802</v>
          </cell>
          <cell r="O104">
            <v>2.0000000000000018</v>
          </cell>
          <cell r="P104">
            <v>2.0000000000000018</v>
          </cell>
          <cell r="Q104">
            <v>2.0000000000000018</v>
          </cell>
          <cell r="R104">
            <v>2.0000000000000018</v>
          </cell>
          <cell r="S104">
            <v>1.0000000000000009</v>
          </cell>
          <cell r="T104">
            <v>1.0000000000000009</v>
          </cell>
          <cell r="U104">
            <v>1.0000000000000009</v>
          </cell>
          <cell r="V104">
            <v>1.0000000000000009</v>
          </cell>
          <cell r="AC104">
            <v>-74.997917187369822</v>
          </cell>
          <cell r="AD104">
            <v>-30.910703725606147</v>
          </cell>
          <cell r="AE104">
            <v>-22.03283857989452</v>
          </cell>
          <cell r="AF104">
            <v>-89.688363996313612</v>
          </cell>
          <cell r="AG104">
            <v>-71.909363545484837</v>
          </cell>
          <cell r="AH104">
            <v>-79.863904818967725</v>
          </cell>
          <cell r="AI104">
            <v>-79.306858198807575</v>
          </cell>
          <cell r="AJ104">
            <v>144.38927507447866</v>
          </cell>
          <cell r="AK104">
            <v>-33.926453143534985</v>
          </cell>
          <cell r="AL104">
            <v>-26.652497343251859</v>
          </cell>
          <cell r="AM104">
            <v>-33.361415332771685</v>
          </cell>
          <cell r="AN104">
            <v>-34.538805363673298</v>
          </cell>
          <cell r="AO104">
            <v>49.012567324955114</v>
          </cell>
          <cell r="AP104">
            <v>64.995653433787311</v>
          </cell>
          <cell r="AQ104">
            <v>78.609355246523393</v>
          </cell>
          <cell r="AR104">
            <v>32.609145458307466</v>
          </cell>
          <cell r="AS104">
            <v>55.301204819277096</v>
          </cell>
          <cell r="AT104">
            <v>34.316824727783633</v>
          </cell>
          <cell r="AU104">
            <v>26.868629671574173</v>
          </cell>
          <cell r="AV104">
            <v>18.021532220315194</v>
          </cell>
          <cell r="AW104">
            <v>27.24592707525213</v>
          </cell>
          <cell r="AX104">
            <v>22.711820083682021</v>
          </cell>
          <cell r="AY104">
            <v>65.945101539834866</v>
          </cell>
          <cell r="AZ104">
            <v>85.232681121099944</v>
          </cell>
          <cell r="BA104">
            <v>55.237166199243994</v>
          </cell>
          <cell r="BB104">
            <v>76.952583910495463</v>
          </cell>
          <cell r="BC104">
            <v>-8.687466379774067</v>
          </cell>
          <cell r="BD104">
            <v>-8.8145028905859633</v>
          </cell>
          <cell r="BE104">
            <v>-16.612991909512221</v>
          </cell>
          <cell r="BF104">
            <v>-18.973926657433616</v>
          </cell>
          <cell r="BG104">
            <v>-0.58173784977909593</v>
          </cell>
          <cell r="BH104">
            <v>-10.856293049467759</v>
          </cell>
          <cell r="BI104">
            <v>51.092690278824413</v>
          </cell>
          <cell r="BJ104">
            <v>-0.44589774078477307</v>
          </cell>
          <cell r="BK104">
            <v>15.509962225020368</v>
          </cell>
          <cell r="BL104">
            <v>38.299675125120757</v>
          </cell>
          <cell r="BM104">
            <v>-0.82007793017455644</v>
          </cell>
          <cell r="BN104">
            <v>19.942849320692744</v>
          </cell>
          <cell r="BO104">
            <v>4.0604010000000246</v>
          </cell>
          <cell r="BP104">
            <v>4.0604010000000024</v>
          </cell>
          <cell r="BQ104">
            <v>4.0604010000000024</v>
          </cell>
          <cell r="BR104">
            <v>4.0604010000000024</v>
          </cell>
          <cell r="BS104">
            <v>4.0604009999999802</v>
          </cell>
          <cell r="BT104">
            <v>4.0604009999999802</v>
          </cell>
        </row>
        <row r="105">
          <cell r="A105" t="str">
            <v>Gross Margin</v>
          </cell>
          <cell r="D105">
            <v>17.340961927478059</v>
          </cell>
          <cell r="E105">
            <v>15.927646052309976</v>
          </cell>
          <cell r="F105">
            <v>52.849536230404311</v>
          </cell>
          <cell r="G105">
            <v>41.412222885346758</v>
          </cell>
          <cell r="H105">
            <v>12.643040803082187</v>
          </cell>
          <cell r="I105">
            <v>9.7246784785755835</v>
          </cell>
          <cell r="J105">
            <v>8.6478699355044668</v>
          </cell>
          <cell r="K105">
            <v>15.523739828819053</v>
          </cell>
          <cell r="L105">
            <v>19.976697789829821</v>
          </cell>
          <cell r="M105">
            <v>19.295226390330072</v>
          </cell>
          <cell r="N105">
            <v>10.928059229219746</v>
          </cell>
          <cell r="O105">
            <v>5.0114239523466475</v>
          </cell>
          <cell r="P105">
            <v>4.233417649477861</v>
          </cell>
          <cell r="Q105">
            <v>3.9225891126541192</v>
          </cell>
          <cell r="R105">
            <v>3.3860041402536325</v>
          </cell>
          <cell r="S105">
            <v>2.8752219244239106</v>
          </cell>
          <cell r="T105">
            <v>2.3896500891942063</v>
          </cell>
          <cell r="U105">
            <v>1.8761255926760985</v>
          </cell>
          <cell r="V105">
            <v>1.4392410190284124</v>
          </cell>
          <cell r="AC105">
            <v>-5.0538837144270676</v>
          </cell>
          <cell r="AD105">
            <v>8.6294588747040759</v>
          </cell>
          <cell r="AE105">
            <v>4.8353963106249713</v>
          </cell>
          <cell r="AF105">
            <v>3.3829351264248584</v>
          </cell>
          <cell r="AG105">
            <v>2.3274161735700307</v>
          </cell>
          <cell r="AH105">
            <v>4.0177144254094905</v>
          </cell>
          <cell r="AI105">
            <v>4.7746029450314857</v>
          </cell>
          <cell r="AJ105">
            <v>1.5080796141800936</v>
          </cell>
          <cell r="AK105">
            <v>14.483626133591699</v>
          </cell>
          <cell r="AL105">
            <v>3.4692423050082639</v>
          </cell>
          <cell r="AM105">
            <v>38.196611920700853</v>
          </cell>
          <cell r="AN105">
            <v>15.252899701982292</v>
          </cell>
          <cell r="AO105">
            <v>7.5739692950843249</v>
          </cell>
          <cell r="AP105">
            <v>0.55653965502079494</v>
          </cell>
          <cell r="AQ105">
            <v>2.406653173750458</v>
          </cell>
          <cell r="AR105">
            <v>1.2667493544254815</v>
          </cell>
          <cell r="AS105">
            <v>6.4938559151875204</v>
          </cell>
          <cell r="AT105">
            <v>1.2029065843109299</v>
          </cell>
          <cell r="AU105">
            <v>3.8851483525286898</v>
          </cell>
          <cell r="AV105">
            <v>2.0745459240767814</v>
          </cell>
          <cell r="AW105">
            <v>2.4716084781020018</v>
          </cell>
          <cell r="AX105">
            <v>1.7927070974467325</v>
          </cell>
          <cell r="AY105">
            <v>2.8825617980556149</v>
          </cell>
          <cell r="AZ105">
            <v>1.4233279089489177</v>
          </cell>
          <cell r="BA105">
            <v>0.39224168544475846</v>
          </cell>
          <cell r="BB105">
            <v>3.1552578519678409</v>
          </cell>
          <cell r="BC105">
            <v>4.5906136508876667</v>
          </cell>
          <cell r="BD105">
            <v>1.478043938946878</v>
          </cell>
          <cell r="BE105">
            <v>2.2013686962140415</v>
          </cell>
          <cell r="BF105">
            <v>2.8086158090612634</v>
          </cell>
          <cell r="BG105">
            <v>9.115889282100305</v>
          </cell>
          <cell r="BH105">
            <v>6.2374951645835068</v>
          </cell>
          <cell r="BI105">
            <v>3.0552427434970353</v>
          </cell>
          <cell r="BJ105">
            <v>4.3969234873071752</v>
          </cell>
          <cell r="BK105">
            <v>3.4319680471940459</v>
          </cell>
          <cell r="BL105">
            <v>3.4848987134322251</v>
          </cell>
          <cell r="BM105">
            <v>3.2534544764878848</v>
          </cell>
          <cell r="BN105">
            <v>8.2112898138190449</v>
          </cell>
          <cell r="BO105">
            <v>4.6552860492719477</v>
          </cell>
          <cell r="BP105">
            <v>3.3632638117539004</v>
          </cell>
          <cell r="BQ105">
            <v>-0.52635939250864128</v>
          </cell>
          <cell r="BR105">
            <v>3.4296028606398736</v>
          </cell>
          <cell r="BS105">
            <v>2.7102643848493919</v>
          </cell>
          <cell r="BT105">
            <v>1.7497686238750458</v>
          </cell>
        </row>
        <row r="106">
          <cell r="A106" t="str">
            <v>Rental &amp; Management</v>
          </cell>
          <cell r="D106">
            <v>20.400163460329455</v>
          </cell>
          <cell r="E106">
            <v>16.733722001895483</v>
          </cell>
          <cell r="F106">
            <v>52.530920802487081</v>
          </cell>
          <cell r="G106">
            <v>41.03354785543879</v>
          </cell>
          <cell r="H106">
            <v>12.549411429557638</v>
          </cell>
          <cell r="I106">
            <v>9.3749336043047613</v>
          </cell>
          <cell r="J106">
            <v>8.4812556640098862</v>
          </cell>
          <cell r="K106">
            <v>15.906978192661342</v>
          </cell>
          <cell r="L106">
            <v>19.818072354473021</v>
          </cell>
          <cell r="M106">
            <v>19.697875090968843</v>
          </cell>
          <cell r="N106">
            <v>11.015321442508853</v>
          </cell>
          <cell r="O106">
            <v>5.0472907022588078</v>
          </cell>
          <cell r="P106">
            <v>4.2592465181369263</v>
          </cell>
          <cell r="Q106">
            <v>3.9443415290684474</v>
          </cell>
          <cell r="R106">
            <v>3.4013922358924891</v>
          </cell>
          <cell r="S106">
            <v>2.8957593880223453</v>
          </cell>
          <cell r="T106">
            <v>2.4045891567583006</v>
          </cell>
          <cell r="U106">
            <v>1.8854149646320353</v>
          </cell>
          <cell r="V106">
            <v>1.443857725164964</v>
          </cell>
          <cell r="AC106">
            <v>-4.3214441061330913</v>
          </cell>
          <cell r="AD106">
            <v>6.8704112017821197</v>
          </cell>
          <cell r="AE106">
            <v>4.3560102519381942</v>
          </cell>
          <cell r="AF106">
            <v>4.8365893179247248</v>
          </cell>
          <cell r="AG106">
            <v>2.7480485647351434</v>
          </cell>
          <cell r="AH106">
            <v>3.3746452223273486</v>
          </cell>
          <cell r="AI106">
            <v>5.3456212763231425</v>
          </cell>
          <cell r="AJ106">
            <v>1.6740799944399976</v>
          </cell>
          <cell r="AK106">
            <v>13.936002050668606</v>
          </cell>
          <cell r="AL106">
            <v>3.4984438861599765</v>
          </cell>
          <cell r="AM106">
            <v>38.406637200202852</v>
          </cell>
          <cell r="AN106">
            <v>14.970552050886059</v>
          </cell>
          <cell r="AO106">
            <v>7.7896826661688294</v>
          </cell>
          <cell r="AP106">
            <v>0.13644927719902122</v>
          </cell>
          <cell r="AQ106">
            <v>2.0085132951683566</v>
          </cell>
          <cell r="AR106">
            <v>1.8440707686454216</v>
          </cell>
          <cell r="AS106">
            <v>6.5000142125630944</v>
          </cell>
          <cell r="AT106">
            <v>0.99020848902648428</v>
          </cell>
          <cell r="AU106">
            <v>3.708304230457026</v>
          </cell>
          <cell r="AV106">
            <v>2.1908572302293052</v>
          </cell>
          <cell r="AW106">
            <v>2.2610926061167551</v>
          </cell>
          <cell r="AX106">
            <v>1.8599417527137934</v>
          </cell>
          <cell r="AY106">
            <v>2.8417427348995097</v>
          </cell>
          <cell r="AZ106">
            <v>1.0535417359494343</v>
          </cell>
          <cell r="BA106">
            <v>0.65456053286294569</v>
          </cell>
          <cell r="BB106">
            <v>2.8000013078007115</v>
          </cell>
          <cell r="BC106">
            <v>4.7630406365987001</v>
          </cell>
          <cell r="BD106">
            <v>1.6266086212078448</v>
          </cell>
          <cell r="BE106">
            <v>2.5806933428925665</v>
          </cell>
          <cell r="BF106">
            <v>2.1299149082395044</v>
          </cell>
          <cell r="BG106">
            <v>9.6156916865312656</v>
          </cell>
          <cell r="BH106">
            <v>6.7060148635255672</v>
          </cell>
          <cell r="BI106">
            <v>2.0928253996114146</v>
          </cell>
          <cell r="BJ106">
            <v>4.9458447549642361</v>
          </cell>
          <cell r="BK106">
            <v>3.4206352998459622</v>
          </cell>
          <cell r="BL106">
            <v>3.6065593558531854</v>
          </cell>
          <cell r="BM106">
            <v>3.2851094975450716</v>
          </cell>
          <cell r="BN106">
            <v>8.3103480126506764</v>
          </cell>
          <cell r="BO106">
            <v>4.7021080824822672</v>
          </cell>
          <cell r="BP106">
            <v>3.3924654389610174</v>
          </cell>
          <cell r="BQ106">
            <v>-0.54478340135609571</v>
          </cell>
          <cell r="BR106">
            <v>3.4593850366888503</v>
          </cell>
          <cell r="BS106">
            <v>2.7307305214895234</v>
          </cell>
          <cell r="BT106">
            <v>1.7585896859242314</v>
          </cell>
        </row>
        <row r="107">
          <cell r="A107" t="str">
            <v>Network Development Svcs.</v>
          </cell>
          <cell r="D107">
            <v>-57.005347593582897</v>
          </cell>
          <cell r="E107">
            <v>-38.930348258706509</v>
          </cell>
          <cell r="F107">
            <v>94.297352342159016</v>
          </cell>
          <cell r="G107">
            <v>80.083857442347977</v>
          </cell>
          <cell r="H107">
            <v>20.131382005654412</v>
          </cell>
          <cell r="I107">
            <v>35.931335225306235</v>
          </cell>
          <cell r="J107">
            <v>18.693349628271761</v>
          </cell>
          <cell r="K107">
            <v>-5.5944055944055737</v>
          </cell>
          <cell r="L107">
            <v>30.708470802090424</v>
          </cell>
          <cell r="M107">
            <v>-5.6762113544527821</v>
          </cell>
          <cell r="N107">
            <v>4.0604009999999988</v>
          </cell>
          <cell r="O107">
            <v>1.9999999999999987</v>
          </cell>
          <cell r="P107">
            <v>1.9999999999999911</v>
          </cell>
          <cell r="Q107">
            <v>2.0000000000000004</v>
          </cell>
          <cell r="R107">
            <v>2.0000000000000075</v>
          </cell>
          <cell r="S107">
            <v>1.0000000000000167</v>
          </cell>
          <cell r="T107">
            <v>0.99999999999998757</v>
          </cell>
          <cell r="U107">
            <v>1.0000000000000213</v>
          </cell>
          <cell r="V107">
            <v>0.99999999999999911</v>
          </cell>
          <cell r="AC107">
            <v>-71.21807465618852</v>
          </cell>
          <cell r="AD107">
            <v>536.8600682593833</v>
          </cell>
          <cell r="AE107">
            <v>28.992497320471621</v>
          </cell>
          <cell r="AF107">
            <v>-55.878687162442887</v>
          </cell>
          <cell r="AG107">
            <v>-38.41807909604519</v>
          </cell>
          <cell r="AH107">
            <v>107.95107033639144</v>
          </cell>
          <cell r="AI107">
            <v>-41.102941176470637</v>
          </cell>
          <cell r="AJ107">
            <v>-22.34706616729083</v>
          </cell>
          <cell r="AK107">
            <v>117.52411575562709</v>
          </cell>
          <cell r="AL107">
            <v>0.59127864005912834</v>
          </cell>
          <cell r="AM107">
            <v>16.899338721528284</v>
          </cell>
          <cell r="AN107">
            <v>49.151477058453793</v>
          </cell>
          <cell r="AO107">
            <v>-12.389380530973451</v>
          </cell>
          <cell r="AP107">
            <v>48.388648388648377</v>
          </cell>
          <cell r="AQ107">
            <v>32.998379254457042</v>
          </cell>
          <cell r="AR107">
            <v>-32.756519619790396</v>
          </cell>
          <cell r="AS107">
            <v>5.9441826748822253</v>
          </cell>
          <cell r="AT107">
            <v>20.287375983578496</v>
          </cell>
          <cell r="AU107">
            <v>17.207053469852092</v>
          </cell>
          <cell r="AV107">
            <v>-5.678233438485794</v>
          </cell>
          <cell r="AW107">
            <v>17.674298945201976</v>
          </cell>
          <cell r="AX107">
            <v>-2.4267599475295287</v>
          </cell>
          <cell r="AY107">
            <v>5.5568003585032537</v>
          </cell>
          <cell r="AZ107">
            <v>25.026533644661399</v>
          </cell>
          <cell r="BA107">
            <v>-13.140916808149395</v>
          </cell>
          <cell r="BB107">
            <v>24.394057857701316</v>
          </cell>
          <cell r="BC107">
            <v>-3.928346951602752</v>
          </cell>
          <cell r="BD107">
            <v>-6.5260058881256136</v>
          </cell>
          <cell r="BE107">
            <v>-20.017497812773406</v>
          </cell>
          <cell r="BF107">
            <v>53.795668343907231</v>
          </cell>
          <cell r="BG107">
            <v>-15.817923186344244</v>
          </cell>
          <cell r="BH107">
            <v>-24.197363974315643</v>
          </cell>
          <cell r="BI107">
            <v>91.061078912171169</v>
          </cell>
          <cell r="BJ107">
            <v>-22.424454556061107</v>
          </cell>
          <cell r="BK107">
            <v>4.1810798616333349</v>
          </cell>
          <cell r="BL107">
            <v>-4.4983542659159994</v>
          </cell>
          <cell r="BM107">
            <v>1.0000000000000016</v>
          </cell>
          <cell r="BN107">
            <v>0.99999999999999256</v>
          </cell>
          <cell r="BO107">
            <v>1.0000000000000124</v>
          </cell>
          <cell r="BP107">
            <v>0.99999999999999234</v>
          </cell>
          <cell r="BQ107">
            <v>1.0000000000000002</v>
          </cell>
          <cell r="BR107">
            <v>0.99999999999999789</v>
          </cell>
          <cell r="BS107">
            <v>0.99999999999999067</v>
          </cell>
          <cell r="BT107">
            <v>0.999999999999999</v>
          </cell>
        </row>
        <row r="108">
          <cell r="A108" t="str">
            <v xml:space="preserve">Corporate, General &amp; Administrative </v>
          </cell>
          <cell r="D108">
            <v>-27.780764475028221</v>
          </cell>
          <cell r="E108">
            <v>2.2369449510551753</v>
          </cell>
          <cell r="F108">
            <v>272.15305082277564</v>
          </cell>
          <cell r="G108">
            <v>17.216282050027875</v>
          </cell>
          <cell r="H108">
            <v>10.400427300495751</v>
          </cell>
          <cell r="I108">
            <v>-5.0769556408938543</v>
          </cell>
          <cell r="J108">
            <v>12.308868501529059</v>
          </cell>
          <cell r="K108">
            <v>25.661589516678028</v>
          </cell>
          <cell r="L108">
            <v>36.819187567094147</v>
          </cell>
          <cell r="M108">
            <v>14.075517930884619</v>
          </cell>
          <cell r="N108">
            <v>5.0262268468604043</v>
          </cell>
          <cell r="O108">
            <v>-0.84860517561887727</v>
          </cell>
          <cell r="P108">
            <v>5.3019572502391865</v>
          </cell>
          <cell r="Q108">
            <v>4.9769345676056398</v>
          </cell>
          <cell r="R108">
            <v>4.4260947570335274</v>
          </cell>
          <cell r="S108">
            <v>3.8927479170270507</v>
          </cell>
          <cell r="T108">
            <v>3.393747199154129</v>
          </cell>
          <cell r="U108">
            <v>2.8670130870984689</v>
          </cell>
          <cell r="V108">
            <v>2.4173285646249099</v>
          </cell>
          <cell r="AC108">
            <v>-45.057851239669411</v>
          </cell>
          <cell r="AD108">
            <v>-33.36841098249306</v>
          </cell>
          <cell r="AE108">
            <v>-18.959061407888168</v>
          </cell>
          <cell r="AF108">
            <v>1.8683139972879292</v>
          </cell>
          <cell r="AG108">
            <v>3.4747292418772613</v>
          </cell>
          <cell r="AH108">
            <v>-4.5082555635319483</v>
          </cell>
          <cell r="AI108">
            <v>5.6676420760819246</v>
          </cell>
          <cell r="AJ108">
            <v>4.673864812897488</v>
          </cell>
          <cell r="AK108">
            <v>203.88137810728307</v>
          </cell>
          <cell r="AL108">
            <v>209.71282513907684</v>
          </cell>
          <cell r="AM108">
            <v>344.62906281883107</v>
          </cell>
          <cell r="AN108">
            <v>326.93231595308748</v>
          </cell>
          <cell r="AO108">
            <v>28.214695752009213</v>
          </cell>
          <cell r="AP108">
            <v>32.351085004126404</v>
          </cell>
          <cell r="AQ108">
            <v>3.9172621779322014</v>
          </cell>
          <cell r="AR108">
            <v>12.715959488978633</v>
          </cell>
          <cell r="AS108">
            <v>20.808148645623458</v>
          </cell>
          <cell r="AT108">
            <v>11.935590360561953</v>
          </cell>
          <cell r="AU108">
            <v>6.5076811457051909</v>
          </cell>
          <cell r="AV108">
            <v>4.6041813483673977</v>
          </cell>
          <cell r="AW108">
            <v>0.82152012106608829</v>
          </cell>
          <cell r="AX108">
            <v>-7.6350886391191919</v>
          </cell>
          <cell r="AY108">
            <v>-6.7942186944674905</v>
          </cell>
          <cell r="AZ108">
            <v>-6.6191331686503379</v>
          </cell>
          <cell r="BA108">
            <v>1.9849900444172341</v>
          </cell>
          <cell r="BB108">
            <v>31.354879909178003</v>
          </cell>
          <cell r="BC108">
            <v>10.946933587543683</v>
          </cell>
          <cell r="BD108">
            <v>7.5903324715926201</v>
          </cell>
          <cell r="BE108">
            <v>20.03123779773528</v>
          </cell>
          <cell r="BF108">
            <v>8.9912221471978313</v>
          </cell>
          <cell r="BG108">
            <v>25.854217385078048</v>
          </cell>
          <cell r="BH108">
            <v>47.956190103657327</v>
          </cell>
          <cell r="BI108">
            <v>34.562834692958312</v>
          </cell>
          <cell r="BJ108">
            <v>50.25524111612232</v>
          </cell>
          <cell r="BK108">
            <v>50.423285239634062</v>
          </cell>
          <cell r="BL108">
            <v>16.994404425029931</v>
          </cell>
          <cell r="BM108">
            <v>17.385492062774198</v>
          </cell>
          <cell r="BN108">
            <v>12.574007144509469</v>
          </cell>
          <cell r="BO108">
            <v>8.0367095388027998</v>
          </cell>
          <cell r="BP108">
            <v>19.114890730264733</v>
          </cell>
          <cell r="BQ108">
            <v>10.189479746995156</v>
          </cell>
          <cell r="BR108">
            <v>5.3710360665624624</v>
          </cell>
          <cell r="BS108">
            <v>3.4324061883586943</v>
          </cell>
          <cell r="BT108">
            <v>1.833155415323473</v>
          </cell>
        </row>
        <row r="109">
          <cell r="A109" t="str">
            <v>TV Azteca</v>
          </cell>
          <cell r="D109">
            <v>2.037595063854214</v>
          </cell>
          <cell r="E109">
            <v>0.66094782730978796</v>
          </cell>
          <cell r="F109">
            <v>-0.58675607711650146</v>
          </cell>
          <cell r="G109">
            <v>-0.16863406408095249</v>
          </cell>
          <cell r="H109">
            <v>-7.0382882882857878E-3</v>
          </cell>
          <cell r="I109">
            <v>0.3237840501161271</v>
          </cell>
          <cell r="J109">
            <v>-0.30169087209709344</v>
          </cell>
          <cell r="K109">
            <v>1.4074595355384467E-2</v>
          </cell>
          <cell r="L109">
            <v>-0.89361103292990851</v>
          </cell>
          <cell r="M109">
            <v>-0.66027689030884185</v>
          </cell>
          <cell r="N109">
            <v>0</v>
          </cell>
          <cell r="O109">
            <v>0</v>
          </cell>
          <cell r="P109">
            <v>0</v>
          </cell>
          <cell r="Q109">
            <v>0</v>
          </cell>
          <cell r="R109">
            <v>0</v>
          </cell>
          <cell r="S109">
            <v>0</v>
          </cell>
          <cell r="T109">
            <v>0</v>
          </cell>
          <cell r="U109">
            <v>0</v>
          </cell>
          <cell r="V109">
            <v>0</v>
          </cell>
          <cell r="AC109">
            <v>2.1289005540974015</v>
          </cell>
          <cell r="AD109">
            <v>1.6421780466724378</v>
          </cell>
          <cell r="AE109">
            <v>0.25611838360843908</v>
          </cell>
          <cell r="AF109">
            <v>4.1146424517593649</v>
          </cell>
          <cell r="AG109">
            <v>1.0850942318675116</v>
          </cell>
          <cell r="AH109">
            <v>3.5147392290249435</v>
          </cell>
          <cell r="AI109">
            <v>1.731478853250068</v>
          </cell>
          <cell r="AJ109">
            <v>-3.5159443990188111</v>
          </cell>
          <cell r="AK109">
            <v>-1.1864406779660941</v>
          </cell>
          <cell r="AL109">
            <v>-1.8619934282584905</v>
          </cell>
          <cell r="AM109">
            <v>0.69754464285713969</v>
          </cell>
          <cell r="AN109">
            <v>2.8248587570622874E-2</v>
          </cell>
          <cell r="AO109">
            <v>0</v>
          </cell>
          <cell r="AP109">
            <v>0</v>
          </cell>
          <cell r="AQ109">
            <v>-0.69271266278747579</v>
          </cell>
          <cell r="AR109">
            <v>2.8240609997176591E-2</v>
          </cell>
          <cell r="AS109">
            <v>0</v>
          </cell>
          <cell r="AT109">
            <v>0</v>
          </cell>
          <cell r="AU109">
            <v>0</v>
          </cell>
          <cell r="AV109">
            <v>-2.8232636928249288E-2</v>
          </cell>
          <cell r="AW109">
            <v>1.2292738707832873</v>
          </cell>
          <cell r="AX109">
            <v>0</v>
          </cell>
          <cell r="AY109">
            <v>5.580357142855874E-2</v>
          </cell>
          <cell r="AZ109">
            <v>2.8240609997132182E-2</v>
          </cell>
          <cell r="BA109">
            <v>-1.1861056198813835</v>
          </cell>
          <cell r="BB109">
            <v>2.790178571427937E-2</v>
          </cell>
          <cell r="BC109">
            <v>-2.7886224205242449E-2</v>
          </cell>
          <cell r="BD109">
            <v>-2.8232636928282595E-2</v>
          </cell>
          <cell r="BE109">
            <v>0</v>
          </cell>
          <cell r="BF109">
            <v>0</v>
          </cell>
          <cell r="BG109">
            <v>0</v>
          </cell>
          <cell r="BH109">
            <v>5.6481219994353182E-2</v>
          </cell>
          <cell r="BI109">
            <v>0</v>
          </cell>
          <cell r="BJ109">
            <v>0.13947001394700731</v>
          </cell>
          <cell r="BK109">
            <v>-2.4267782426778184</v>
          </cell>
          <cell r="BL109">
            <v>-1.2701100762065987</v>
          </cell>
          <cell r="BM109">
            <v>-2.8579594169764189E-2</v>
          </cell>
          <cell r="BN109">
            <v>-2.5626740947075066</v>
          </cell>
          <cell r="BO109">
            <v>0</v>
          </cell>
          <cell r="BP109">
            <v>0</v>
          </cell>
          <cell r="BQ109">
            <v>0</v>
          </cell>
          <cell r="BR109">
            <v>0</v>
          </cell>
          <cell r="BS109">
            <v>0</v>
          </cell>
          <cell r="BT109">
            <v>0</v>
          </cell>
        </row>
        <row r="110">
          <cell r="A110" t="str">
            <v>EBITDA</v>
          </cell>
          <cell r="D110">
            <v>22.099329103154464</v>
          </cell>
          <cell r="E110">
            <v>16.328457446808532</v>
          </cell>
          <cell r="F110">
            <v>37.328501697550244</v>
          </cell>
          <cell r="G110">
            <v>44.544740189255982</v>
          </cell>
          <cell r="H110">
            <v>12.74552712747945</v>
          </cell>
          <cell r="I110">
            <v>11.588474759805711</v>
          </cell>
          <cell r="J110">
            <v>8.1102483306388251</v>
          </cell>
          <cell r="K110">
            <v>14.126468658043478</v>
          </cell>
          <cell r="L110">
            <v>17.542031242457902</v>
          </cell>
          <cell r="M110">
            <v>19.916690156971086</v>
          </cell>
          <cell r="N110">
            <v>11.706860583077749</v>
          </cell>
          <cell r="O110">
            <v>5.7805597907842232</v>
          </cell>
          <cell r="P110">
            <v>4.0699242739645092</v>
          </cell>
          <cell r="Q110">
            <v>3.7622090980348633</v>
          </cell>
          <cell r="R110">
            <v>3.2298431770040326</v>
          </cell>
          <cell r="S110">
            <v>2.7239436899501257</v>
          </cell>
          <cell r="T110">
            <v>2.2417076435236494</v>
          </cell>
          <cell r="U110">
            <v>1.7314771342176183</v>
          </cell>
          <cell r="V110">
            <v>1.2973048003324994</v>
          </cell>
          <cell r="AC110">
            <v>28.162165417155926</v>
          </cell>
          <cell r="AD110">
            <v>26.88000878252279</v>
          </cell>
          <cell r="AE110">
            <v>23.838899254915425</v>
          </cell>
          <cell r="AF110">
            <v>12.216101930673794</v>
          </cell>
          <cell r="AG110">
            <v>21.004780754818952</v>
          </cell>
          <cell r="AH110">
            <v>16.40493186242702</v>
          </cell>
          <cell r="AI110">
            <v>15.444221229141863</v>
          </cell>
          <cell r="AJ110">
            <v>13.166010531221817</v>
          </cell>
          <cell r="AK110">
            <v>13.859146726204919</v>
          </cell>
          <cell r="AL110">
            <v>13.684171405210543</v>
          </cell>
          <cell r="AM110">
            <v>47.124263086866968</v>
          </cell>
          <cell r="AN110">
            <v>71.145285664213105</v>
          </cell>
          <cell r="AO110">
            <v>83.723527606315869</v>
          </cell>
          <cell r="AP110">
            <v>76.899375592533261</v>
          </cell>
          <cell r="AQ110">
            <v>31.427985202976316</v>
          </cell>
          <cell r="AR110">
            <v>11.87593120715167</v>
          </cell>
          <cell r="AS110">
            <v>9.6601745764363312</v>
          </cell>
          <cell r="AT110">
            <v>11.550633642415908</v>
          </cell>
          <cell r="AU110">
            <v>14.160559810457851</v>
          </cell>
          <cell r="AV110">
            <v>15.561586409526495</v>
          </cell>
          <cell r="AW110">
            <v>11.092209385976105</v>
          </cell>
          <cell r="AX110">
            <v>12.757612405155584</v>
          </cell>
          <cell r="AY110">
            <v>11.623389159708509</v>
          </cell>
          <cell r="AZ110">
            <v>10.900601562716572</v>
          </cell>
          <cell r="BA110">
            <v>7.1068329511431383</v>
          </cell>
          <cell r="BB110">
            <v>5.5441485981685856</v>
          </cell>
          <cell r="BC110">
            <v>9.6041105910415592</v>
          </cell>
          <cell r="BD110">
            <v>10.065206367798218</v>
          </cell>
          <cell r="BE110">
            <v>10.784233530953591</v>
          </cell>
          <cell r="BF110">
            <v>11.701613043553927</v>
          </cell>
          <cell r="BG110">
            <v>15.060440987438417</v>
          </cell>
          <cell r="BH110">
            <v>18.514372850561301</v>
          </cell>
          <cell r="BI110">
            <v>21.0560445839834</v>
          </cell>
          <cell r="BJ110">
            <v>21.231022310565816</v>
          </cell>
          <cell r="BK110">
            <v>13.965176346887942</v>
          </cell>
          <cell r="BL110">
            <v>14.731066216680411</v>
          </cell>
          <cell r="BM110">
            <v>14.949088490977536</v>
          </cell>
          <cell r="BN110">
            <v>20.483331173364625</v>
          </cell>
          <cell r="BO110">
            <v>22.973711473066018</v>
          </cell>
          <cell r="BP110">
            <v>20.950831513012137</v>
          </cell>
          <cell r="BQ110">
            <v>17.219319711409842</v>
          </cell>
          <cell r="BR110">
            <v>12.074573429235148</v>
          </cell>
          <cell r="BS110">
            <v>10.005655533768664</v>
          </cell>
          <cell r="BT110">
            <v>8.2990954708906948</v>
          </cell>
        </row>
        <row r="111">
          <cell r="A111" t="str">
            <v>Depreciation</v>
          </cell>
          <cell r="D111">
            <v>5.7865079112412898</v>
          </cell>
          <cell r="E111">
            <v>-0.85378258488171266</v>
          </cell>
          <cell r="F111">
            <v>24.830853940974194</v>
          </cell>
          <cell r="G111">
            <v>28.400210089141975</v>
          </cell>
          <cell r="H111">
            <v>-0.97017144177360404</v>
          </cell>
          <cell r="I111">
            <v>-22.487990698528293</v>
          </cell>
          <cell r="J111">
            <v>2.2912081947638052E-2</v>
          </cell>
          <cell r="K111">
            <v>0.11120329748516089</v>
          </cell>
          <cell r="L111">
            <v>0.18890365694577715</v>
          </cell>
          <cell r="M111">
            <v>8.5794241126118775E-2</v>
          </cell>
          <cell r="N111">
            <v>2.0378335521921587E-2</v>
          </cell>
          <cell r="O111">
            <v>-4.6776878591113569E-2</v>
          </cell>
          <cell r="P111">
            <v>-1.4072629694584782E-3</v>
          </cell>
          <cell r="Q111">
            <v>1.0711377166189751E-2</v>
          </cell>
          <cell r="R111">
            <v>1.5755347638282569E-2</v>
          </cell>
          <cell r="S111">
            <v>2.0105999095612059E-2</v>
          </cell>
          <cell r="T111">
            <v>2.3786460576741275E-2</v>
          </cell>
          <cell r="U111">
            <v>2.6837982795344661E-2</v>
          </cell>
          <cell r="V111">
            <v>2.9313670732576735E-2</v>
          </cell>
          <cell r="AC111">
            <v>11.960097492108734</v>
          </cell>
          <cell r="AD111">
            <v>5.4846874843366145</v>
          </cell>
          <cell r="AE111">
            <v>4.9810035705663447</v>
          </cell>
          <cell r="AF111">
            <v>1.1164373354527912</v>
          </cell>
          <cell r="AG111">
            <v>-3.2332893187252409</v>
          </cell>
          <cell r="AH111">
            <v>1.524096886470816</v>
          </cell>
          <cell r="AI111">
            <v>-1.2708941042617328</v>
          </cell>
          <cell r="AJ111">
            <v>-0.43231028087886703</v>
          </cell>
          <cell r="AK111">
            <v>0.76956174319258164</v>
          </cell>
          <cell r="AL111">
            <v>-0.79565665075352898</v>
          </cell>
          <cell r="AM111">
            <v>43.132807806887421</v>
          </cell>
          <cell r="AN111">
            <v>57.574225061982709</v>
          </cell>
          <cell r="AO111">
            <v>62.570909223993844</v>
          </cell>
          <cell r="AP111">
            <v>56.646301188903571</v>
          </cell>
          <cell r="AQ111">
            <v>12.50942168014253</v>
          </cell>
          <cell r="AR111">
            <v>2.2505420870940318</v>
          </cell>
          <cell r="AS111">
            <v>-2.3014985629704166</v>
          </cell>
          <cell r="AT111">
            <v>-0.88396292475774185</v>
          </cell>
          <cell r="AU111">
            <v>9.6683085027837734E-2</v>
          </cell>
          <cell r="AV111">
            <v>-0.77245793204823165</v>
          </cell>
          <cell r="AW111">
            <v>-25.440496489853594</v>
          </cell>
          <cell r="AX111">
            <v>-24.263694857828721</v>
          </cell>
          <cell r="AY111">
            <v>-20.607070061756573</v>
          </cell>
          <cell r="AZ111">
            <v>-19.626889278081649</v>
          </cell>
          <cell r="BA111">
            <v>2.8803362452612502</v>
          </cell>
          <cell r="BB111">
            <v>2.7744064515481837</v>
          </cell>
          <cell r="BC111">
            <v>1.1054804625008519</v>
          </cell>
          <cell r="BD111">
            <v>2.4679862537677399</v>
          </cell>
          <cell r="BE111">
            <v>10.981495574157885</v>
          </cell>
          <cell r="BF111">
            <v>7.7491387134868361</v>
          </cell>
          <cell r="BG111">
            <v>9.3232142349563674</v>
          </cell>
          <cell r="BH111">
            <v>16.263056817649545</v>
          </cell>
          <cell r="BI111">
            <v>18.402129291288858</v>
          </cell>
          <cell r="BJ111">
            <v>25.502024401510816</v>
          </cell>
          <cell r="BK111">
            <v>23.1663243285406</v>
          </cell>
          <cell r="BL111">
            <v>9.4692609081020294</v>
          </cell>
          <cell r="BM111">
            <v>12.563515361271339</v>
          </cell>
          <cell r="BN111">
            <v>7.0555082872560737</v>
          </cell>
          <cell r="BO111">
            <v>4.8436873427060378</v>
          </cell>
          <cell r="BP111">
            <v>10.192969901286997</v>
          </cell>
          <cell r="BQ111">
            <v>1.858498156898114</v>
          </cell>
          <cell r="BR111">
            <v>1.9807419952314387</v>
          </cell>
          <cell r="BS111">
            <v>2.098290215949028</v>
          </cell>
          <cell r="BT111">
            <v>2.2111874750238014</v>
          </cell>
        </row>
        <row r="112">
          <cell r="A112" t="str">
            <v>Operating Income</v>
          </cell>
          <cell r="D112">
            <v>-98.110208715395984</v>
          </cell>
          <cell r="E112">
            <v>-3323.3826247688635</v>
          </cell>
          <cell r="F112">
            <v>93.700719671989717</v>
          </cell>
          <cell r="G112">
            <v>110.11960270586343</v>
          </cell>
          <cell r="H112">
            <v>33.272866245627796</v>
          </cell>
          <cell r="I112">
            <v>60.36293189344628</v>
          </cell>
          <cell r="J112">
            <v>10.7958085154775</v>
          </cell>
          <cell r="K112">
            <v>16.678120602506752</v>
          </cell>
          <cell r="L112">
            <v>19.677572417839539</v>
          </cell>
          <cell r="M112">
            <v>31.999030248145878</v>
          </cell>
          <cell r="N112">
            <v>16.646932264724178</v>
          </cell>
          <cell r="O112">
            <v>10.450924482476731</v>
          </cell>
          <cell r="P112">
            <v>5.7737066516172941</v>
          </cell>
          <cell r="Q112">
            <v>4.8383892285354113</v>
          </cell>
          <cell r="R112">
            <v>3.9028344403220006</v>
          </cell>
          <cell r="S112">
            <v>3.0573403781036346</v>
          </cell>
          <cell r="T112">
            <v>2.2805756001879507</v>
          </cell>
          <cell r="U112">
            <v>1.4896132708927423</v>
          </cell>
          <cell r="V112">
            <v>0.81519511124739097</v>
          </cell>
          <cell r="AC112" t="str">
            <v>NM</v>
          </cell>
          <cell r="AD112" t="str">
            <v>NM</v>
          </cell>
          <cell r="AE112" t="str">
            <v>NM</v>
          </cell>
          <cell r="AF112" t="str">
            <v>NM</v>
          </cell>
          <cell r="AG112" t="str">
            <v>NM</v>
          </cell>
          <cell r="AH112" t="str">
            <v>NM</v>
          </cell>
          <cell r="AI112">
            <v>455.13771186440329</v>
          </cell>
          <cell r="AJ112">
            <v>523.34981099156903</v>
          </cell>
          <cell r="AK112">
            <v>104.31907709622945</v>
          </cell>
          <cell r="AL112">
            <v>134.03607580485556</v>
          </cell>
          <cell r="AM112">
            <v>77.335177941036306</v>
          </cell>
          <cell r="AN112">
            <v>77.94001026263004</v>
          </cell>
          <cell r="AO112">
            <v>133.10955036838138</v>
          </cell>
          <cell r="AP112">
            <v>130.1528455284552</v>
          </cell>
          <cell r="AQ112">
            <v>93.707798671078521</v>
          </cell>
          <cell r="AR112">
            <v>92.457727093983394</v>
          </cell>
          <cell r="AS112">
            <v>27.176593953536397</v>
          </cell>
          <cell r="AT112">
            <v>31.826145933419991</v>
          </cell>
          <cell r="AU112">
            <v>36.779757523573984</v>
          </cell>
          <cell r="AV112">
            <v>36.850421587457305</v>
          </cell>
          <cell r="AW112">
            <v>68.222041574730127</v>
          </cell>
          <cell r="AX112">
            <v>65.912793688904188</v>
          </cell>
          <cell r="AY112">
            <v>56.732087195784445</v>
          </cell>
          <cell r="AZ112">
            <v>52.032528417574085</v>
          </cell>
          <cell r="BA112">
            <v>3.7478599436681748</v>
          </cell>
          <cell r="BB112">
            <v>7.5308482460106907</v>
          </cell>
          <cell r="BC112">
            <v>16.007307261266913</v>
          </cell>
          <cell r="BD112">
            <v>15.521700132904748</v>
          </cell>
          <cell r="BE112">
            <v>19.006554213660731</v>
          </cell>
          <cell r="BF112">
            <v>13.379033566240306</v>
          </cell>
          <cell r="BG112">
            <v>19.15097974614277</v>
          </cell>
          <cell r="BH112">
            <v>15.297338041020382</v>
          </cell>
          <cell r="BI112">
            <v>22.058272621037812</v>
          </cell>
          <cell r="BJ112">
            <v>19.644863180652415</v>
          </cell>
          <cell r="BK112">
            <v>6.9985752582344629</v>
          </cell>
          <cell r="BL112">
            <v>30.912917740082378</v>
          </cell>
          <cell r="BM112">
            <v>23.174342615046719</v>
          </cell>
          <cell r="BN112">
            <v>34.77119704204803</v>
          </cell>
          <cell r="BO112">
            <v>43.068484624587235</v>
          </cell>
          <cell r="BP112">
            <v>27.39307256121841</v>
          </cell>
          <cell r="BQ112">
            <v>26.36553536298587</v>
          </cell>
          <cell r="BR112">
            <v>17.308529142285867</v>
          </cell>
          <cell r="BS112">
            <v>13.762182953911539</v>
          </cell>
          <cell r="BT112">
            <v>11.128586151074238</v>
          </cell>
        </row>
        <row r="113">
          <cell r="A113" t="str">
            <v>Net Income, Continuing</v>
          </cell>
          <cell r="D113" t="str">
            <v>NM</v>
          </cell>
          <cell r="E113" t="str">
            <v>NM</v>
          </cell>
          <cell r="F113" t="str">
            <v>NM</v>
          </cell>
          <cell r="G113" t="str">
            <v>NM</v>
          </cell>
          <cell r="H113">
            <v>219.51789025478939</v>
          </cell>
          <cell r="I113">
            <v>154.09242342826479</v>
          </cell>
          <cell r="J113">
            <v>1.0637262987824414</v>
          </cell>
          <cell r="K113">
            <v>56.341965615949817</v>
          </cell>
          <cell r="L113">
            <v>-20.620751902889602</v>
          </cell>
          <cell r="M113">
            <v>171.99901920142136</v>
          </cell>
          <cell r="N113">
            <v>23.655250084135581</v>
          </cell>
          <cell r="O113">
            <v>10.860221687964122</v>
          </cell>
          <cell r="P113">
            <v>7.8930768550660835</v>
          </cell>
          <cell r="Q113">
            <v>6.326992615243987</v>
          </cell>
          <cell r="R113">
            <v>5.0916840046428158</v>
          </cell>
          <cell r="S113">
            <v>4.0032023026736363</v>
          </cell>
          <cell r="T113">
            <v>3.0372233551450023</v>
          </cell>
          <cell r="U113">
            <v>2.0665446375758956</v>
          </cell>
          <cell r="V113">
            <v>1.2667822563362519</v>
          </cell>
          <cell r="AC113" t="str">
            <v>NM</v>
          </cell>
          <cell r="AD113" t="str">
            <v>NM</v>
          </cell>
          <cell r="AE113" t="str">
            <v>NM</v>
          </cell>
          <cell r="AF113" t="str">
            <v>NM</v>
          </cell>
          <cell r="AG113" t="str">
            <v>NM</v>
          </cell>
          <cell r="AH113" t="str">
            <v>NM</v>
          </cell>
          <cell r="AI113" t="str">
            <v>NM</v>
          </cell>
          <cell r="AJ113" t="str">
            <v>NM</v>
          </cell>
          <cell r="AK113" t="str">
            <v>NM</v>
          </cell>
          <cell r="AL113" t="str">
            <v>NM</v>
          </cell>
          <cell r="AM113" t="str">
            <v>NM</v>
          </cell>
          <cell r="AN113" t="str">
            <v>NM</v>
          </cell>
          <cell r="AO113" t="str">
            <v>NM</v>
          </cell>
          <cell r="AP113" t="str">
            <v>NM</v>
          </cell>
          <cell r="AQ113" t="str">
            <v>NM</v>
          </cell>
          <cell r="AR113" t="str">
            <v>NM</v>
          </cell>
          <cell r="AS113" t="str">
            <v>NM</v>
          </cell>
          <cell r="AT113">
            <v>46.608632571635724</v>
          </cell>
          <cell r="AU113">
            <v>1492.2527763088165</v>
          </cell>
          <cell r="AV113">
            <v>-102.51207205252015</v>
          </cell>
          <cell r="AW113">
            <v>99.579554043840517</v>
          </cell>
          <cell r="AX113">
            <v>318.77783275606208</v>
          </cell>
          <cell r="AY113">
            <v>0.65095733904589892</v>
          </cell>
          <cell r="AZ113" t="str">
            <v>NM</v>
          </cell>
          <cell r="BA113">
            <v>31.817643856368385</v>
          </cell>
          <cell r="BB113">
            <v>1.2740985801775517</v>
          </cell>
          <cell r="BC113">
            <v>11.501212651168746</v>
          </cell>
          <cell r="BD113">
            <v>-22.398966108655216</v>
          </cell>
          <cell r="BE113">
            <v>73.190396667205391</v>
          </cell>
          <cell r="BF113">
            <v>94.106323403593422</v>
          </cell>
          <cell r="BG113">
            <v>38.498416738184901</v>
          </cell>
          <cell r="BH113">
            <v>30.279070491369598</v>
          </cell>
          <cell r="BI113">
            <v>-4.6519367949569119</v>
          </cell>
          <cell r="BJ113">
            <v>13.369396443776637</v>
          </cell>
          <cell r="BK113">
            <v>-121.07478632478632</v>
          </cell>
          <cell r="BL113">
            <v>32.773639978567793</v>
          </cell>
          <cell r="BM113">
            <v>79.898844316752232</v>
          </cell>
          <cell r="BN113">
            <v>73.765957705045111</v>
          </cell>
          <cell r="BO113" t="str">
            <v>NM</v>
          </cell>
          <cell r="BP113">
            <v>105.13310303132486</v>
          </cell>
          <cell r="BQ113">
            <v>38.800592361463224</v>
          </cell>
          <cell r="BR113">
            <v>24.688726290759021</v>
          </cell>
          <cell r="BS113">
            <v>19.432473693363804</v>
          </cell>
          <cell r="BT113">
            <v>15.783783178141242</v>
          </cell>
        </row>
        <row r="114">
          <cell r="A114" t="str">
            <v>Net Income</v>
          </cell>
          <cell r="D114" t="str">
            <v>NM</v>
          </cell>
          <cell r="E114" t="str">
            <v>NM</v>
          </cell>
          <cell r="F114" t="str">
            <v>NM</v>
          </cell>
          <cell r="G114" t="str">
            <v>NM</v>
          </cell>
          <cell r="H114">
            <v>100.41743313994544</v>
          </cell>
          <cell r="I114">
            <v>513.22236735270451</v>
          </cell>
          <cell r="J114">
            <v>-28.866917087632871</v>
          </cell>
          <cell r="K114">
            <v>51.179757776365896</v>
          </cell>
          <cell r="L114">
            <v>-20.627125937147373</v>
          </cell>
          <cell r="M114">
            <v>171.99901920142136</v>
          </cell>
          <cell r="N114">
            <v>23.655250084135581</v>
          </cell>
          <cell r="O114">
            <v>10.860221687964122</v>
          </cell>
          <cell r="P114">
            <v>7.8930768550660835</v>
          </cell>
          <cell r="Q114">
            <v>6.326992615243987</v>
          </cell>
          <cell r="R114">
            <v>5.0916840046428158</v>
          </cell>
          <cell r="S114">
            <v>4.0032023026736363</v>
          </cell>
          <cell r="T114">
            <v>3.0372233551450023</v>
          </cell>
          <cell r="U114">
            <v>2.0665446375758956</v>
          </cell>
          <cell r="V114">
            <v>1.2667822563362519</v>
          </cell>
          <cell r="AC114" t="str">
            <v>NM</v>
          </cell>
          <cell r="AD114" t="str">
            <v>NM</v>
          </cell>
          <cell r="AE114" t="str">
            <v>NM</v>
          </cell>
          <cell r="AF114" t="str">
            <v>NM</v>
          </cell>
          <cell r="AG114" t="str">
            <v>NM</v>
          </cell>
          <cell r="AH114" t="str">
            <v>NM</v>
          </cell>
          <cell r="AI114" t="str">
            <v>NM</v>
          </cell>
          <cell r="AJ114" t="str">
            <v>NM</v>
          </cell>
          <cell r="AK114" t="str">
            <v>NM</v>
          </cell>
          <cell r="AL114" t="str">
            <v>NM</v>
          </cell>
          <cell r="AM114" t="str">
            <v>NM</v>
          </cell>
          <cell r="AN114" t="str">
            <v>NM</v>
          </cell>
          <cell r="AO114" t="str">
            <v>NM</v>
          </cell>
          <cell r="AP114" t="str">
            <v>NM</v>
          </cell>
          <cell r="AQ114" t="str">
            <v>NM</v>
          </cell>
          <cell r="AR114" t="str">
            <v>NM</v>
          </cell>
          <cell r="AS114" t="str">
            <v>NM</v>
          </cell>
          <cell r="AT114">
            <v>-350.44058408862077</v>
          </cell>
          <cell r="AU114">
            <v>1590.4869762174237</v>
          </cell>
          <cell r="AV114">
            <v>-129.63945430922473</v>
          </cell>
          <cell r="AW114">
            <v>89.227460118301465</v>
          </cell>
          <cell r="AX114" t="str">
            <v>NM</v>
          </cell>
          <cell r="AY114">
            <v>1.4286192804985109</v>
          </cell>
          <cell r="AZ114" t="str">
            <v>NM</v>
          </cell>
          <cell r="BA114">
            <v>39.147011461589344</v>
          </cell>
          <cell r="BB114">
            <v>-64.447017950202678</v>
          </cell>
          <cell r="BC114">
            <v>11.586664685193249</v>
          </cell>
          <cell r="BD114">
            <v>-25.005248303048678</v>
          </cell>
          <cell r="BE114">
            <v>64.201228747936497</v>
          </cell>
          <cell r="BF114">
            <v>76.708327432375029</v>
          </cell>
          <cell r="BG114">
            <v>38.508094350232525</v>
          </cell>
          <cell r="BH114">
            <v>30.171689838574324</v>
          </cell>
          <cell r="BI114">
            <v>-4.686525087321125</v>
          </cell>
          <cell r="BJ114">
            <v>13.3762109418047</v>
          </cell>
          <cell r="BK114">
            <v>-121.07456116921827</v>
          </cell>
          <cell r="BL114">
            <v>32.773639978567793</v>
          </cell>
          <cell r="BM114">
            <v>79.898844316752232</v>
          </cell>
          <cell r="BN114">
            <v>73.765957705045111</v>
          </cell>
          <cell r="BO114" t="str">
            <v>NM</v>
          </cell>
          <cell r="BP114">
            <v>105.13310303132486</v>
          </cell>
          <cell r="BQ114">
            <v>38.800592361463224</v>
          </cell>
          <cell r="BR114">
            <v>24.688726290759021</v>
          </cell>
          <cell r="BS114">
            <v>19.432473693363804</v>
          </cell>
          <cell r="BT114">
            <v>15.783783178141242</v>
          </cell>
        </row>
        <row r="116">
          <cell r="A116" t="str">
            <v>QoQ Growth</v>
          </cell>
        </row>
        <row r="117">
          <cell r="A117" t="str">
            <v>Revenue</v>
          </cell>
          <cell r="Z117">
            <v>-11.134629399408414</v>
          </cell>
          <cell r="AA117">
            <v>5.4927428740269013</v>
          </cell>
          <cell r="AB117">
            <v>1.4170086769631718</v>
          </cell>
          <cell r="AC117">
            <v>-8.9942229110891887</v>
          </cell>
          <cell r="AD117">
            <v>8.5559278366477365</v>
          </cell>
          <cell r="AE117">
            <v>6.6133430700243245</v>
          </cell>
          <cell r="AF117">
            <v>-11.091430589595141</v>
          </cell>
          <cell r="AG117">
            <v>1.5913618662991347</v>
          </cell>
          <cell r="AH117">
            <v>2.0741627219460712</v>
          </cell>
          <cell r="AI117">
            <v>4.9851415039583902</v>
          </cell>
          <cell r="AJ117">
            <v>2.1091214665995839</v>
          </cell>
          <cell r="AK117">
            <v>-0.18462771256552157</v>
          </cell>
          <cell r="AL117">
            <v>2.009709527813186</v>
          </cell>
          <cell r="AM117">
            <v>40.777411464426237</v>
          </cell>
          <cell r="AN117">
            <v>16.196278697317435</v>
          </cell>
          <cell r="AO117">
            <v>4.1557090613571601</v>
          </cell>
          <cell r="AP117">
            <v>1.70219937642202</v>
          </cell>
          <cell r="AQ117">
            <v>2.3334959783712916</v>
          </cell>
          <cell r="AR117">
            <v>1.2531974678154034</v>
          </cell>
          <cell r="AS117">
            <v>4.3915817157614612</v>
          </cell>
          <cell r="AT117">
            <v>1.6877840635054042</v>
          </cell>
          <cell r="AU117">
            <v>2.5561975654464053</v>
          </cell>
          <cell r="AV117">
            <v>2.8638274140674991</v>
          </cell>
          <cell r="AW117">
            <v>1.0769295870006745</v>
          </cell>
          <cell r="AX117">
            <v>3.0205346116007004</v>
          </cell>
          <cell r="AY117">
            <v>3.9468871911573444</v>
          </cell>
          <cell r="AZ117">
            <v>-0.23065570726272799</v>
          </cell>
          <cell r="BA117">
            <v>8.6695859170649037E-2</v>
          </cell>
          <cell r="BB117">
            <v>3.5920700404719508</v>
          </cell>
          <cell r="BC117">
            <v>4.9005805960912641</v>
          </cell>
          <cell r="BD117">
            <v>0.87096519967126973</v>
          </cell>
          <cell r="BE117">
            <v>1.4422744227888584</v>
          </cell>
          <cell r="BF117">
            <v>3.4114964989415464</v>
          </cell>
          <cell r="BG117">
            <v>9.232088556551199</v>
          </cell>
          <cell r="BH117">
            <v>6.6858618956522564</v>
          </cell>
          <cell r="BI117">
            <v>2.7486934895424087</v>
          </cell>
          <cell r="BJ117">
            <v>6.1383164947262925</v>
          </cell>
          <cell r="BK117">
            <v>5.5535928068515705</v>
          </cell>
          <cell r="BL117">
            <v>3.4499265812580671</v>
          </cell>
          <cell r="BM117">
            <v>1.886045036875772</v>
          </cell>
          <cell r="BN117">
            <v>8.1353218317335774</v>
          </cell>
          <cell r="BO117">
            <v>4.6193199940822494</v>
          </cell>
          <cell r="BP117">
            <v>3.3408150121493119</v>
          </cell>
          <cell r="BQ117">
            <v>-0.51218882598276227</v>
          </cell>
          <cell r="BR117">
            <v>3.4067038247511228</v>
          </cell>
          <cell r="BS117">
            <v>2.6945202848930094</v>
          </cell>
          <cell r="BT117">
            <v>1.7429804032037977</v>
          </cell>
        </row>
        <row r="118">
          <cell r="A118" t="str">
            <v>Rental &amp; Management</v>
          </cell>
          <cell r="Z118">
            <v>4.2780072827228732</v>
          </cell>
          <cell r="AA118">
            <v>4.6531886044979043</v>
          </cell>
          <cell r="AB118">
            <v>7.2148233931673245</v>
          </cell>
          <cell r="AC118">
            <v>-1.1247029596025082</v>
          </cell>
          <cell r="AD118">
            <v>3.7238328030478884</v>
          </cell>
          <cell r="AE118">
            <v>4.1318886753205719</v>
          </cell>
          <cell r="AF118">
            <v>3.1183427838147093</v>
          </cell>
          <cell r="AG118">
            <v>0.88888343979500739</v>
          </cell>
          <cell r="AH118">
            <v>1.829549873614611</v>
          </cell>
          <cell r="AI118">
            <v>4.3911520583338914</v>
          </cell>
          <cell r="AJ118">
            <v>1.3529889222960279</v>
          </cell>
          <cell r="AK118">
            <v>2.4008391939677409</v>
          </cell>
          <cell r="AL118">
            <v>1.6737346477942561</v>
          </cell>
          <cell r="AM118">
            <v>41.266677139251051</v>
          </cell>
          <cell r="AN118">
            <v>16.105233692880503</v>
          </cell>
          <cell r="AO118">
            <v>4.447607598615555</v>
          </cell>
          <cell r="AP118">
            <v>1.2363284523128071</v>
          </cell>
          <cell r="AQ118">
            <v>1.9470966895608344</v>
          </cell>
          <cell r="AR118">
            <v>1.4809912899084843</v>
          </cell>
          <cell r="AS118">
            <v>4.4656846910218206</v>
          </cell>
          <cell r="AT118">
            <v>1.3715613431244167</v>
          </cell>
          <cell r="AU118">
            <v>2.2373316228351481</v>
          </cell>
          <cell r="AV118">
            <v>3.3252189625316841</v>
          </cell>
          <cell r="AW118">
            <v>0.92700540820622734</v>
          </cell>
          <cell r="AX118">
            <v>2.7701793931809826</v>
          </cell>
          <cell r="AY118">
            <v>2.6156323908592016</v>
          </cell>
          <cell r="AZ118">
            <v>-2.1044838182948666E-2</v>
          </cell>
          <cell r="BA118">
            <v>0.414391612754339</v>
          </cell>
          <cell r="BB118">
            <v>2.7286480261246915</v>
          </cell>
          <cell r="BC118">
            <v>5.8448534853018153</v>
          </cell>
          <cell r="BD118">
            <v>1.0851866906683716</v>
          </cell>
          <cell r="BE118">
            <v>1.9809419642139003</v>
          </cell>
          <cell r="BF118">
            <v>2.8531965805803194</v>
          </cell>
          <cell r="BG118">
            <v>9.4943710691135053</v>
          </cell>
          <cell r="BH118">
            <v>7.2890094653886184</v>
          </cell>
          <cell r="BI118">
            <v>1.9397560479847975</v>
          </cell>
          <cell r="BJ118">
            <v>6.8020963862033712</v>
          </cell>
          <cell r="BK118">
            <v>5.3043732946925326</v>
          </cell>
          <cell r="BL118">
            <v>3.5120705433319577</v>
          </cell>
          <cell r="BM118">
            <v>1.9079747042444639</v>
          </cell>
          <cell r="BN118">
            <v>8.310348012650671</v>
          </cell>
          <cell r="BO118">
            <v>4.7021080824822814</v>
          </cell>
          <cell r="BP118">
            <v>3.392465438961012</v>
          </cell>
          <cell r="BQ118">
            <v>-0.54478340135609704</v>
          </cell>
          <cell r="BR118">
            <v>3.4593850366888557</v>
          </cell>
          <cell r="BS118">
            <v>2.7307305214895106</v>
          </cell>
          <cell r="BT118">
            <v>1.7585896859242167</v>
          </cell>
        </row>
        <row r="119">
          <cell r="A119" t="str">
            <v>Network Development Svcs.</v>
          </cell>
          <cell r="Z119">
            <v>-43.647421477963846</v>
          </cell>
          <cell r="AA119">
            <v>8.7699586043761038</v>
          </cell>
          <cell r="AB119">
            <v>-20.35828847931278</v>
          </cell>
          <cell r="AC119">
            <v>-48.783151858552067</v>
          </cell>
          <cell r="AD119">
            <v>55.721426191269565</v>
          </cell>
          <cell r="AE119">
            <v>22.746726012154419</v>
          </cell>
          <cell r="AF119">
            <v>-89.466894459746868</v>
          </cell>
          <cell r="AG119">
            <v>39.523336643495519</v>
          </cell>
          <cell r="AH119">
            <v>11.625148279952558</v>
          </cell>
          <cell r="AI119">
            <v>26.142401700318807</v>
          </cell>
          <cell r="AJ119">
            <v>24.397641112047186</v>
          </cell>
          <cell r="AK119">
            <v>-62.278206691047004</v>
          </cell>
          <cell r="AL119">
            <v>23.913824057450618</v>
          </cell>
          <cell r="AM119">
            <v>14.604462474645041</v>
          </cell>
          <cell r="AN119">
            <v>22.199747155499374</v>
          </cell>
          <cell r="AO119">
            <v>-14.132009104076138</v>
          </cell>
          <cell r="AP119">
            <v>37.204819277108413</v>
          </cell>
          <cell r="AQ119">
            <v>24.06041447137337</v>
          </cell>
          <cell r="AR119">
            <v>-9.2723669309173307</v>
          </cell>
          <cell r="AS119">
            <v>0.5617100951786691</v>
          </cell>
          <cell r="AT119">
            <v>18.66563227307989</v>
          </cell>
          <cell r="AU119">
            <v>17.18096234309623</v>
          </cell>
          <cell r="AV119">
            <v>-15.599196607900023</v>
          </cell>
          <cell r="AW119">
            <v>8.4214701216287722</v>
          </cell>
          <cell r="AX119">
            <v>14.437263748323371</v>
          </cell>
          <cell r="AY119">
            <v>58.465636654235475</v>
          </cell>
          <cell r="AZ119">
            <v>-5.7894029047875222</v>
          </cell>
          <cell r="BA119">
            <v>-9.1356791092712779</v>
          </cell>
          <cell r="BB119">
            <v>30.445369570340119</v>
          </cell>
          <cell r="BC119">
            <v>-18.227253567772628</v>
          </cell>
          <cell r="BD119">
            <v>-5.9204712812960247</v>
          </cell>
          <cell r="BE119">
            <v>-16.906700062617407</v>
          </cell>
          <cell r="BF119">
            <v>26.75207234363226</v>
          </cell>
          <cell r="BG119">
            <v>0.33442330558859368</v>
          </cell>
          <cell r="BH119">
            <v>-15.643285682542041</v>
          </cell>
          <cell r="BI119">
            <v>40.83765036438669</v>
          </cell>
          <cell r="BJ119">
            <v>-16.483790523690768</v>
          </cell>
          <cell r="BK119">
            <v>16.415347865034335</v>
          </cell>
          <cell r="BL119">
            <v>1.0000000000000009</v>
          </cell>
          <cell r="BM119">
            <v>1.0000000000000009</v>
          </cell>
          <cell r="BN119">
            <v>1.0000000000000009</v>
          </cell>
          <cell r="BO119">
            <v>1.0000000000000009</v>
          </cell>
          <cell r="BP119">
            <v>1.0000000000000009</v>
          </cell>
          <cell r="BQ119">
            <v>1.0000000000000009</v>
          </cell>
          <cell r="BR119">
            <v>1.0000000000000009</v>
          </cell>
          <cell r="BS119">
            <v>1.0000000000000009</v>
          </cell>
          <cell r="BT119">
            <v>1.0000000000000009</v>
          </cell>
        </row>
        <row r="120">
          <cell r="A120" t="str">
            <v>Gross Margin</v>
          </cell>
          <cell r="Z120">
            <v>6.3344740801896293</v>
          </cell>
          <cell r="AA120">
            <v>4.2915821374007832</v>
          </cell>
          <cell r="AB120">
            <v>11.643712251293781</v>
          </cell>
          <cell r="AC120">
            <v>-5.0538837144270676</v>
          </cell>
          <cell r="AD120">
            <v>8.6294588747040759</v>
          </cell>
          <cell r="AE120">
            <v>4.8353963106249713</v>
          </cell>
          <cell r="AF120">
            <v>3.3829351264248584</v>
          </cell>
          <cell r="AG120">
            <v>2.3274161735700307</v>
          </cell>
          <cell r="AH120">
            <v>4.0177144254094905</v>
          </cell>
          <cell r="AI120">
            <v>4.7746029450314857</v>
          </cell>
          <cell r="AJ120">
            <v>1.5080796141800936</v>
          </cell>
          <cell r="AK120">
            <v>14.483626133591699</v>
          </cell>
          <cell r="AL120">
            <v>3.4692423050082639</v>
          </cell>
          <cell r="AM120">
            <v>38.196611920700853</v>
          </cell>
          <cell r="AN120">
            <v>15.252899701982292</v>
          </cell>
          <cell r="AO120">
            <v>7.5739692950843249</v>
          </cell>
          <cell r="AP120">
            <v>0.55653965502079494</v>
          </cell>
          <cell r="AQ120">
            <v>2.406653173750458</v>
          </cell>
          <cell r="AR120">
            <v>1.2667493544254815</v>
          </cell>
          <cell r="AS120">
            <v>6.4938559151875204</v>
          </cell>
          <cell r="AT120">
            <v>1.2029065843109299</v>
          </cell>
          <cell r="AU120">
            <v>3.8851483525286898</v>
          </cell>
          <cell r="AV120">
            <v>2.0745459240767814</v>
          </cell>
          <cell r="AW120">
            <v>2.4716084781020018</v>
          </cell>
          <cell r="AX120">
            <v>1.7927070974467325</v>
          </cell>
          <cell r="AY120">
            <v>2.8825617980556149</v>
          </cell>
          <cell r="AZ120">
            <v>1.4233279089489177</v>
          </cell>
          <cell r="BA120">
            <v>0.39224168544475846</v>
          </cell>
          <cell r="BB120">
            <v>3.1552578519678409</v>
          </cell>
          <cell r="BC120">
            <v>4.5906136508876667</v>
          </cell>
          <cell r="BD120">
            <v>1.478043938946878</v>
          </cell>
          <cell r="BE120">
            <v>2.2013686962140415</v>
          </cell>
          <cell r="BF120">
            <v>2.8086158090612634</v>
          </cell>
          <cell r="BG120">
            <v>9.115889282100305</v>
          </cell>
          <cell r="BH120">
            <v>6.2374951645835068</v>
          </cell>
          <cell r="BI120">
            <v>3.0552427434970353</v>
          </cell>
          <cell r="BJ120">
            <v>4.3969234873071752</v>
          </cell>
          <cell r="BK120">
            <v>3.4319680471940459</v>
          </cell>
          <cell r="BL120">
            <v>3.4848987134322251</v>
          </cell>
          <cell r="BM120">
            <v>3.2534544764878848</v>
          </cell>
          <cell r="BN120">
            <v>8.2112898138190449</v>
          </cell>
          <cell r="BO120">
            <v>4.6552860492719477</v>
          </cell>
          <cell r="BP120">
            <v>3.3632638117539004</v>
          </cell>
          <cell r="BQ120">
            <v>-0.52635939250864128</v>
          </cell>
          <cell r="BR120">
            <v>3.4296028606398736</v>
          </cell>
          <cell r="BS120">
            <v>2.7102643848493919</v>
          </cell>
          <cell r="BT120">
            <v>1.7497686238750458</v>
          </cell>
        </row>
        <row r="121">
          <cell r="A121" t="str">
            <v>Rental &amp; Management</v>
          </cell>
          <cell r="Z121">
            <v>7.616654702081826</v>
          </cell>
          <cell r="AA121">
            <v>8.8052831699019514</v>
          </cell>
          <cell r="AB121">
            <v>12.758261296057841</v>
          </cell>
          <cell r="AC121">
            <v>-4.3214441061330913</v>
          </cell>
          <cell r="AD121">
            <v>6.8704112017821197</v>
          </cell>
          <cell r="AE121">
            <v>4.3560102519381942</v>
          </cell>
          <cell r="AF121">
            <v>4.8365893179247248</v>
          </cell>
          <cell r="AG121">
            <v>2.7480485647351434</v>
          </cell>
          <cell r="AH121">
            <v>3.3746452223273486</v>
          </cell>
          <cell r="AI121">
            <v>5.3456212763231425</v>
          </cell>
          <cell r="AJ121">
            <v>1.6740799944399976</v>
          </cell>
          <cell r="AK121">
            <v>13.936002050668606</v>
          </cell>
          <cell r="AL121">
            <v>3.4984438861599765</v>
          </cell>
          <cell r="AM121">
            <v>38.406637200202852</v>
          </cell>
          <cell r="AN121">
            <v>14.970552050886059</v>
          </cell>
          <cell r="AO121">
            <v>7.7896826661688294</v>
          </cell>
          <cell r="AP121">
            <v>0.13644927719902122</v>
          </cell>
          <cell r="AQ121">
            <v>2.0085132951683566</v>
          </cell>
          <cell r="AR121">
            <v>1.8440707686454216</v>
          </cell>
          <cell r="AS121">
            <v>6.5000142125630944</v>
          </cell>
          <cell r="AT121">
            <v>0.99020848902648428</v>
          </cell>
          <cell r="AU121">
            <v>3.708304230457026</v>
          </cell>
          <cell r="AV121">
            <v>2.1908572302293052</v>
          </cell>
          <cell r="AW121">
            <v>2.2610926061167551</v>
          </cell>
          <cell r="AX121">
            <v>1.8599417527137934</v>
          </cell>
          <cell r="AY121">
            <v>2.8417427348995097</v>
          </cell>
          <cell r="AZ121">
            <v>1.0535417359494343</v>
          </cell>
          <cell r="BA121">
            <v>0.65456053286294569</v>
          </cell>
          <cell r="BB121">
            <v>2.8000013078007115</v>
          </cell>
          <cell r="BC121">
            <v>4.7630406365987001</v>
          </cell>
          <cell r="BD121">
            <v>1.6266086212078448</v>
          </cell>
          <cell r="BE121">
            <v>2.5806933428925665</v>
          </cell>
          <cell r="BF121">
            <v>2.1299149082395044</v>
          </cell>
          <cell r="BG121">
            <v>9.6156916865312656</v>
          </cell>
          <cell r="BH121">
            <v>6.7060148635255672</v>
          </cell>
          <cell r="BI121">
            <v>2.0928253996114146</v>
          </cell>
          <cell r="BJ121">
            <v>4.9458447549642361</v>
          </cell>
          <cell r="BK121">
            <v>3.4206352998459622</v>
          </cell>
          <cell r="BL121">
            <v>3.6065593558531854</v>
          </cell>
          <cell r="BM121">
            <v>3.2851094975450716</v>
          </cell>
          <cell r="BN121">
            <v>8.3103480126506764</v>
          </cell>
          <cell r="BO121">
            <v>4.7021080824822672</v>
          </cell>
          <cell r="BP121">
            <v>3.3924654389610174</v>
          </cell>
          <cell r="BQ121">
            <v>-0.54478340135609571</v>
          </cell>
          <cell r="BR121">
            <v>3.4593850366888503</v>
          </cell>
          <cell r="BS121">
            <v>2.7307305214895234</v>
          </cell>
          <cell r="BT121">
            <v>1.7585896859242314</v>
          </cell>
        </row>
        <row r="122">
          <cell r="A122" t="str">
            <v>Network Development Svcs.</v>
          </cell>
          <cell r="Z122">
            <v>-10.060583807600542</v>
          </cell>
          <cell r="AA122">
            <v>-64.768320065319472</v>
          </cell>
          <cell r="AB122">
            <v>-41.019698725376522</v>
          </cell>
          <cell r="AC122">
            <v>-71.21807465618852</v>
          </cell>
          <cell r="AD122">
            <v>536.8600682593833</v>
          </cell>
          <cell r="AE122">
            <v>28.992497320471621</v>
          </cell>
          <cell r="AF122">
            <v>-55.878687162442887</v>
          </cell>
          <cell r="AG122">
            <v>-38.41807909604519</v>
          </cell>
          <cell r="AH122">
            <v>107.95107033639144</v>
          </cell>
          <cell r="AI122">
            <v>-41.102941176470637</v>
          </cell>
          <cell r="AJ122">
            <v>-22.34706616729083</v>
          </cell>
          <cell r="AK122">
            <v>117.52411575562709</v>
          </cell>
          <cell r="AL122">
            <v>0.59127864005912834</v>
          </cell>
          <cell r="AM122">
            <v>16.899338721528284</v>
          </cell>
          <cell r="AN122">
            <v>49.151477058453793</v>
          </cell>
          <cell r="AO122">
            <v>-12.389380530973451</v>
          </cell>
          <cell r="AP122">
            <v>48.388648388648377</v>
          </cell>
          <cell r="AQ122">
            <v>32.998379254457042</v>
          </cell>
          <cell r="AR122">
            <v>-32.756519619790396</v>
          </cell>
          <cell r="AS122">
            <v>5.9441826748822253</v>
          </cell>
          <cell r="AT122">
            <v>20.287375983578496</v>
          </cell>
          <cell r="AU122">
            <v>17.207053469852092</v>
          </cell>
          <cell r="AV122">
            <v>-5.678233438485794</v>
          </cell>
          <cell r="AW122">
            <v>17.674298945201976</v>
          </cell>
          <cell r="AX122">
            <v>-2.4267599475295287</v>
          </cell>
          <cell r="AY122">
            <v>5.5568003585032537</v>
          </cell>
          <cell r="AZ122">
            <v>25.026533644661399</v>
          </cell>
          <cell r="BA122">
            <v>-13.140916808149395</v>
          </cell>
          <cell r="BB122">
            <v>24.394057857701316</v>
          </cell>
          <cell r="BC122">
            <v>-3.928346951602752</v>
          </cell>
          <cell r="BD122">
            <v>-6.5260058881256136</v>
          </cell>
          <cell r="BE122">
            <v>-20.017497812773406</v>
          </cell>
          <cell r="BF122">
            <v>53.795668343907231</v>
          </cell>
          <cell r="BG122">
            <v>-15.817923186344244</v>
          </cell>
          <cell r="BH122">
            <v>-24.197363974315643</v>
          </cell>
          <cell r="BI122">
            <v>91.061078912171169</v>
          </cell>
          <cell r="BJ122">
            <v>-22.424454556061107</v>
          </cell>
          <cell r="BK122">
            <v>4.1810798616333349</v>
          </cell>
          <cell r="BL122">
            <v>-4.4983542659159994</v>
          </cell>
          <cell r="BM122">
            <v>1.0000000000000016</v>
          </cell>
          <cell r="BN122">
            <v>0.99999999999999256</v>
          </cell>
          <cell r="BO122">
            <v>1.0000000000000124</v>
          </cell>
          <cell r="BP122">
            <v>0.99999999999999234</v>
          </cell>
          <cell r="BQ122">
            <v>1.0000000000000002</v>
          </cell>
          <cell r="BR122">
            <v>0.99999999999999789</v>
          </cell>
          <cell r="BS122">
            <v>0.99999999999999067</v>
          </cell>
          <cell r="BT122">
            <v>0.999999999999999</v>
          </cell>
        </row>
        <row r="123">
          <cell r="A123" t="str">
            <v xml:space="preserve">Corporate, General &amp; Administrative </v>
          </cell>
          <cell r="Z123">
            <v>-13.611570247933869</v>
          </cell>
          <cell r="AA123">
            <v>-23.352147708791726</v>
          </cell>
          <cell r="AB123">
            <v>-17.161757363954077</v>
          </cell>
          <cell r="AC123">
            <v>0.16573753201747365</v>
          </cell>
          <cell r="AD123">
            <v>4.7683513838748581</v>
          </cell>
          <cell r="AE123">
            <v>-6.7767408470925989</v>
          </cell>
          <cell r="AF123">
            <v>4.1275219467118429</v>
          </cell>
          <cell r="AG123">
            <v>1.7453039491199362</v>
          </cell>
          <cell r="AH123">
            <v>-3.3144352376798913</v>
          </cell>
          <cell r="AI123">
            <v>3.1574199368515909</v>
          </cell>
          <cell r="AJ123">
            <v>3.1482291211193836</v>
          </cell>
          <cell r="AK123">
            <v>195.37939805002117</v>
          </cell>
          <cell r="AL123">
            <v>-1.4590508993494011</v>
          </cell>
          <cell r="AM123">
            <v>48.094567697461031</v>
          </cell>
          <cell r="AN123">
            <v>-0.95718874975414536</v>
          </cell>
          <cell r="AO123">
            <v>-11.292778182299589</v>
          </cell>
          <cell r="AP123">
            <v>1.7200208939631256</v>
          </cell>
          <cell r="AQ123">
            <v>16.278472655247043</v>
          </cell>
          <cell r="AR123">
            <v>7.4287877354026755</v>
          </cell>
          <cell r="AS123">
            <v>-4.9242424242424203</v>
          </cell>
          <cell r="AT123">
            <v>-5.7506408474628623</v>
          </cell>
          <cell r="AU123">
            <v>10.639971163613726</v>
          </cell>
          <cell r="AV123">
            <v>5.508825968487141</v>
          </cell>
          <cell r="AW123">
            <v>-8.3623399955086608</v>
          </cell>
          <cell r="AX123">
            <v>-13.655996324092513</v>
          </cell>
          <cell r="AY123">
            <v>11.647213254337107</v>
          </cell>
          <cell r="AZ123">
            <v>5.7070225611693948</v>
          </cell>
          <cell r="BA123">
            <v>8.1163951181362215E-2</v>
          </cell>
          <cell r="BB123">
            <v>11.209563571922022</v>
          </cell>
          <cell r="BC123">
            <v>-5.6988521269412562</v>
          </cell>
          <cell r="BD123">
            <v>2.5089503078906006</v>
          </cell>
          <cell r="BE123">
            <v>11.653767706965446</v>
          </cell>
          <cell r="BF123">
            <v>0.98093188529102537</v>
          </cell>
          <cell r="BG123">
            <v>8.8913118897754995</v>
          </cell>
          <cell r="BH123">
            <v>20.5111283054936</v>
          </cell>
          <cell r="BI123">
            <v>1.5465961665565242</v>
          </cell>
          <cell r="BJ123">
            <v>12.757094506638889</v>
          </cell>
          <cell r="BK123">
            <v>9.0130949632219561</v>
          </cell>
          <cell r="BL123">
            <v>-6.2703114067163002</v>
          </cell>
          <cell r="BM123">
            <v>1.886045036875772</v>
          </cell>
          <cell r="BN123">
            <v>8.1353218317335774</v>
          </cell>
          <cell r="BO123">
            <v>4.6193199940822494</v>
          </cell>
          <cell r="BP123">
            <v>3.3408150121493119</v>
          </cell>
          <cell r="BQ123">
            <v>-5.7483894140889387</v>
          </cell>
          <cell r="BR123">
            <v>3.4067038247511228</v>
          </cell>
          <cell r="BS123">
            <v>2.6945202848930094</v>
          </cell>
          <cell r="BT123">
            <v>1.7429804032037977</v>
          </cell>
        </row>
        <row r="124">
          <cell r="A124" t="str">
            <v>TV Azteca</v>
          </cell>
          <cell r="Z124">
            <v>1.2248468941382429</v>
          </cell>
          <cell r="AA124">
            <v>1.2388360702967338</v>
          </cell>
          <cell r="AB124">
            <v>0.2845759817871496</v>
          </cell>
          <cell r="AC124">
            <v>-0.62429057888763184</v>
          </cell>
          <cell r="AD124">
            <v>0.74243289548829861</v>
          </cell>
          <cell r="AE124">
            <v>-0.14172335600907138</v>
          </cell>
          <cell r="AF124">
            <v>4.1441952881067223</v>
          </cell>
          <cell r="AG124">
            <v>-3.5159443990188111</v>
          </cell>
          <cell r="AH124">
            <v>3.1638418079096065</v>
          </cell>
          <cell r="AI124">
            <v>-1.8619934282584905</v>
          </cell>
          <cell r="AJ124">
            <v>-1.2276785714285698</v>
          </cell>
          <cell r="AK124">
            <v>-1.1864406779660941</v>
          </cell>
          <cell r="AL124">
            <v>2.4585477415665968</v>
          </cell>
          <cell r="AM124">
            <v>0.69754464285713969</v>
          </cell>
          <cell r="AN124">
            <v>-1.8841784427819364</v>
          </cell>
          <cell r="AO124">
            <v>-1.2143462298785601</v>
          </cell>
          <cell r="AP124">
            <v>2.4585477415665968</v>
          </cell>
          <cell r="AQ124">
            <v>0</v>
          </cell>
          <cell r="AR124">
            <v>-1.1718750000000111</v>
          </cell>
          <cell r="AS124">
            <v>-1.2422360248447117</v>
          </cell>
          <cell r="AT124">
            <v>2.4585477415665968</v>
          </cell>
          <cell r="AU124">
            <v>0</v>
          </cell>
          <cell r="AV124">
            <v>-1.1997767857142572</v>
          </cell>
          <cell r="AW124">
            <v>-3.3306690738754696E-14</v>
          </cell>
          <cell r="AX124">
            <v>1.2143462298785712</v>
          </cell>
          <cell r="AY124">
            <v>5.580357142855874E-2</v>
          </cell>
          <cell r="AZ124">
            <v>-1.2269938650306789</v>
          </cell>
          <cell r="BA124">
            <v>-1.214003387916418</v>
          </cell>
          <cell r="BB124">
            <v>2.457845098599587</v>
          </cell>
          <cell r="BC124">
            <v>0</v>
          </cell>
          <cell r="BD124">
            <v>-1.2273361227336133</v>
          </cell>
          <cell r="BE124">
            <v>-1.1861056198813835</v>
          </cell>
          <cell r="BF124">
            <v>2.457845098599587</v>
          </cell>
          <cell r="BG124">
            <v>0</v>
          </cell>
          <cell r="BH124">
            <v>-1.1715481171548081</v>
          </cell>
          <cell r="BI124">
            <v>-1.2418854078464547</v>
          </cell>
          <cell r="BJ124">
            <v>2.6007430694483968</v>
          </cell>
          <cell r="BK124">
            <v>-2.5626740947075066</v>
          </cell>
          <cell r="BL124">
            <v>0</v>
          </cell>
          <cell r="BM124">
            <v>0</v>
          </cell>
          <cell r="BN124">
            <v>0</v>
          </cell>
          <cell r="BO124">
            <v>0</v>
          </cell>
          <cell r="BP124">
            <v>0</v>
          </cell>
          <cell r="BQ124">
            <v>0</v>
          </cell>
          <cell r="BR124">
            <v>0</v>
          </cell>
          <cell r="BS124">
            <v>0</v>
          </cell>
          <cell r="BT124">
            <v>0</v>
          </cell>
        </row>
        <row r="125">
          <cell r="A125" t="str">
            <v>EBITDA</v>
          </cell>
          <cell r="Z125">
            <v>9.7040315539096191</v>
          </cell>
          <cell r="AA125">
            <v>8.1114831485344485</v>
          </cell>
          <cell r="AB125">
            <v>14.066486424736269</v>
          </cell>
          <cell r="AC125">
            <v>-5.2656762922161038</v>
          </cell>
          <cell r="AD125">
            <v>8.6065333067083536</v>
          </cell>
          <cell r="AE125">
            <v>5.5202249621458144</v>
          </cell>
          <cell r="AF125">
            <v>3.3608708130047571</v>
          </cell>
          <cell r="AG125">
            <v>2.1538431026447258</v>
          </cell>
          <cell r="AH125">
            <v>4.4779886424307191</v>
          </cell>
          <cell r="AI125">
            <v>4.6493477533727123</v>
          </cell>
          <cell r="AJ125">
            <v>1.3211165565736316</v>
          </cell>
          <cell r="AK125">
            <v>2.7795303189624754</v>
          </cell>
          <cell r="AL125">
            <v>4.3174300037513325</v>
          </cell>
          <cell r="AM125">
            <v>35.431854588250665</v>
          </cell>
          <cell r="AN125">
            <v>17.863845657145959</v>
          </cell>
          <cell r="AO125">
            <v>10.333263359462585</v>
          </cell>
          <cell r="AP125">
            <v>0.44270579554788192</v>
          </cell>
          <cell r="AQ125">
            <v>0.61955120653094387</v>
          </cell>
          <cell r="AR125">
            <v>0.32967840285045291</v>
          </cell>
          <cell r="AS125">
            <v>8.1480600075054976</v>
          </cell>
          <cell r="AT125">
            <v>2.1742626211332716</v>
          </cell>
          <cell r="AU125">
            <v>2.9737251913455554</v>
          </cell>
          <cell r="AV125">
            <v>1.5609665846163745</v>
          </cell>
          <cell r="AW125">
            <v>3.9654032133508377</v>
          </cell>
          <cell r="AX125">
            <v>3.705975118275795</v>
          </cell>
          <cell r="AY125">
            <v>1.9379175834064899</v>
          </cell>
          <cell r="AZ125">
            <v>0.90333553131765054</v>
          </cell>
          <cell r="BA125">
            <v>0.40887892184522379</v>
          </cell>
          <cell r="BB125">
            <v>2.1929091432859371</v>
          </cell>
          <cell r="BC125">
            <v>5.8591588508587034</v>
          </cell>
          <cell r="BD125">
            <v>1.3278278393456855</v>
          </cell>
          <cell r="BE125">
            <v>1.064823827136463</v>
          </cell>
          <cell r="BF125">
            <v>3.0391458160782259</v>
          </cell>
          <cell r="BG125">
            <v>9.042306266337242</v>
          </cell>
          <cell r="BH125">
            <v>4.3695284463645123</v>
          </cell>
          <cell r="BI125">
            <v>3.2322706927467415</v>
          </cell>
          <cell r="BJ125">
            <v>3.1880814231009857</v>
          </cell>
          <cell r="BK125">
            <v>2.5069773896595926</v>
          </cell>
          <cell r="BL125">
            <v>5.0709318672549353</v>
          </cell>
          <cell r="BM125">
            <v>3.4284419232553098</v>
          </cell>
          <cell r="BN125">
            <v>8.1560884949464239</v>
          </cell>
          <cell r="BO125">
            <v>4.6257879718953898</v>
          </cell>
          <cell r="BP125">
            <v>3.3425471587474664</v>
          </cell>
          <cell r="BQ125">
            <v>0.23752172179771769</v>
          </cell>
          <cell r="BR125">
            <v>3.4091266839679779</v>
          </cell>
          <cell r="BS125">
            <v>2.694376069631832</v>
          </cell>
          <cell r="BT125">
            <v>1.739354459958764</v>
          </cell>
        </row>
        <row r="126">
          <cell r="A126" t="str">
            <v>Depreciation</v>
          </cell>
          <cell r="Z126">
            <v>6.2877082695150799</v>
          </cell>
          <cell r="AA126">
            <v>-1.3846423738158586</v>
          </cell>
          <cell r="AB126">
            <v>2.3189621215009115</v>
          </cell>
          <cell r="AC126">
            <v>4.3949629923997868</v>
          </cell>
          <cell r="AD126">
            <v>0.14037091229197607</v>
          </cell>
          <cell r="AE126">
            <v>-1.855525593661278</v>
          </cell>
          <cell r="AF126">
            <v>-1.4476089035209805</v>
          </cell>
          <cell r="AG126">
            <v>-9.5796028149297552E-2</v>
          </cell>
          <cell r="AH126">
            <v>5.0636179236584811</v>
          </cell>
          <cell r="AI126">
            <v>-4.5574744921838439</v>
          </cell>
          <cell r="AJ126">
            <v>-0.61052605769349455</v>
          </cell>
          <cell r="AK126">
            <v>1.1101380271613781</v>
          </cell>
          <cell r="AL126">
            <v>3.431701455392755</v>
          </cell>
          <cell r="AM126">
            <v>37.705227401396478</v>
          </cell>
          <cell r="AN126">
            <v>9.4173975606413727</v>
          </cell>
          <cell r="AO126">
            <v>4.3163440237344197</v>
          </cell>
          <cell r="AP126">
            <v>-0.33768319313226547</v>
          </cell>
          <cell r="AQ126">
            <v>-1.0947888352621504</v>
          </cell>
          <cell r="AR126">
            <v>-0.55954383854684986</v>
          </cell>
          <cell r="AS126">
            <v>-0.32766302766764621</v>
          </cell>
          <cell r="AT126">
            <v>1.1083460067284223</v>
          </cell>
          <cell r="AU126">
            <v>-0.11622871988877792</v>
          </cell>
          <cell r="AV126">
            <v>-1.4229868272946034</v>
          </cell>
          <cell r="AW126">
            <v>-25.106277919653095</v>
          </cell>
          <cell r="AX126">
            <v>2.7041783418493504</v>
          </cell>
          <cell r="AY126">
            <v>4.7062599677021311</v>
          </cell>
          <cell r="AZ126">
            <v>-0.20596039812622591</v>
          </cell>
          <cell r="BA126">
            <v>-4.1334690037821424</v>
          </cell>
          <cell r="BB126">
            <v>2.5984299275042977</v>
          </cell>
          <cell r="BC126">
            <v>3.0059631281535992</v>
          </cell>
          <cell r="BD126">
            <v>1.138872307969252</v>
          </cell>
          <cell r="BE126">
            <v>3.8315611972457697</v>
          </cell>
          <cell r="BF126">
            <v>-0.38976857490863326</v>
          </cell>
          <cell r="BG126">
            <v>4.5107469905709019</v>
          </cell>
          <cell r="BH126">
            <v>7.5591724950816008</v>
          </cell>
          <cell r="BI126">
            <v>5.7419120905684684</v>
          </cell>
          <cell r="BJ126">
            <v>5.5832844373661761</v>
          </cell>
          <cell r="BK126">
            <v>2.5657125535876624</v>
          </cell>
          <cell r="BL126">
            <v>-4.402252960672115</v>
          </cell>
          <cell r="BM126">
            <v>8.7308094272148917</v>
          </cell>
          <cell r="BN126">
            <v>0.4168370701860491</v>
          </cell>
          <cell r="BO126">
            <v>0.44665305960993607</v>
          </cell>
          <cell r="BP126">
            <v>0.47528782254691038</v>
          </cell>
          <cell r="BQ126">
            <v>0.50692854146092703</v>
          </cell>
          <cell r="BR126">
            <v>0.53735072215295165</v>
          </cell>
          <cell r="BS126">
            <v>0.56243301093394926</v>
          </cell>
          <cell r="BT126">
            <v>0.58639041374526357</v>
          </cell>
        </row>
        <row r="127">
          <cell r="A127" t="str">
            <v>Operating Income</v>
          </cell>
          <cell r="Z127" t="str">
            <v>NM</v>
          </cell>
          <cell r="AA127" t="str">
            <v>NM</v>
          </cell>
          <cell r="AB127" t="str">
            <v>NM</v>
          </cell>
          <cell r="AC127" t="str">
            <v>NM</v>
          </cell>
          <cell r="AD127" t="str">
            <v>NM</v>
          </cell>
          <cell r="AE127" t="str">
            <v>NM</v>
          </cell>
          <cell r="AF127">
            <v>-8.9247881355939853</v>
          </cell>
          <cell r="AG127">
            <v>313.37598138994008</v>
          </cell>
          <cell r="AH127">
            <v>-7.5759707371974461</v>
          </cell>
          <cell r="AI127">
            <v>59.540299870613957</v>
          </cell>
          <cell r="AJ127">
            <v>2.266005152180206</v>
          </cell>
          <cell r="AK127">
            <v>35.494705415869632</v>
          </cell>
          <cell r="AL127">
            <v>5.8665564965916905</v>
          </cell>
          <cell r="AM127">
            <v>20.887804878048797</v>
          </cell>
          <cell r="AN127">
            <v>2.6148010652893294</v>
          </cell>
          <cell r="AO127">
            <v>77.504260060296204</v>
          </cell>
          <cell r="AP127">
            <v>4.5237708428716772</v>
          </cell>
          <cell r="AQ127">
            <v>1.7450404114622176</v>
          </cell>
          <cell r="AR127">
            <v>1.9525879428388127</v>
          </cell>
          <cell r="AS127">
            <v>17.295301922002881</v>
          </cell>
          <cell r="AT127">
            <v>8.3451399372895363</v>
          </cell>
          <cell r="AU127">
            <v>5.5682987480706547</v>
          </cell>
          <cell r="AV127">
            <v>2.0052593637997829</v>
          </cell>
          <cell r="AW127">
            <v>44.184102084287268</v>
          </cell>
          <cell r="AX127">
            <v>6.8578450323079299</v>
          </cell>
          <cell r="AY127">
            <v>-0.27327346727824553</v>
          </cell>
          <cell r="AZ127">
            <v>-1.0533339379530826</v>
          </cell>
          <cell r="BA127">
            <v>-1.6079507139536653</v>
          </cell>
          <cell r="BB127">
            <v>10.754233622783339</v>
          </cell>
          <cell r="BC127">
            <v>7.588000985298593</v>
          </cell>
          <cell r="BD127">
            <v>-1.4675251428156066</v>
          </cell>
          <cell r="BE127">
            <v>1.3601663936888553</v>
          </cell>
          <cell r="BF127">
            <v>5.5169444615289498</v>
          </cell>
          <cell r="BG127">
            <v>13.065134911719213</v>
          </cell>
          <cell r="BH127">
            <v>-4.6543126558310943</v>
          </cell>
          <cell r="BI127">
            <v>7.3038374762215641</v>
          </cell>
          <cell r="BJ127">
            <v>3.430600091617042</v>
          </cell>
          <cell r="BK127">
            <v>1.1143146920355118</v>
          </cell>
          <cell r="BL127">
            <v>16.655591852828898</v>
          </cell>
          <cell r="BM127">
            <v>0.96085145277189365</v>
          </cell>
          <cell r="BN127">
            <v>13.168582751760315</v>
          </cell>
          <cell r="BO127">
            <v>7.3394916298750612</v>
          </cell>
          <cell r="BP127">
            <v>3.8741293484374717</v>
          </cell>
          <cell r="BQ127">
            <v>0.14651337027451472</v>
          </cell>
          <cell r="BR127">
            <v>5.0574426768477565</v>
          </cell>
          <cell r="BS127">
            <v>4.0945187384160642</v>
          </cell>
          <cell r="BT127">
            <v>1.4694411836509103</v>
          </cell>
        </row>
        <row r="128">
          <cell r="A128" t="str">
            <v>Net Income, Continuing</v>
          </cell>
          <cell r="Z128" t="str">
            <v>NM</v>
          </cell>
          <cell r="AA128" t="str">
            <v>NM</v>
          </cell>
          <cell r="AB128" t="str">
            <v>NM</v>
          </cell>
          <cell r="AC128" t="str">
            <v>NM</v>
          </cell>
          <cell r="AD128" t="str">
            <v>NM</v>
          </cell>
          <cell r="AE128" t="str">
            <v>NM</v>
          </cell>
          <cell r="AF128" t="str">
            <v>NM</v>
          </cell>
          <cell r="AG128" t="str">
            <v>NM</v>
          </cell>
          <cell r="AH128" t="str">
            <v>NM</v>
          </cell>
          <cell r="AI128" t="str">
            <v>NM</v>
          </cell>
          <cell r="AJ128" t="str">
            <v>NM</v>
          </cell>
          <cell r="AK128" t="str">
            <v>NM</v>
          </cell>
          <cell r="AL128" t="str">
            <v>NM</v>
          </cell>
          <cell r="AM128" t="str">
            <v>NM</v>
          </cell>
          <cell r="AN128" t="str">
            <v>NM</v>
          </cell>
          <cell r="AO128" t="str">
            <v>NM</v>
          </cell>
          <cell r="AP128" t="str">
            <v>NM</v>
          </cell>
          <cell r="AQ128">
            <v>-54.273969290290935</v>
          </cell>
          <cell r="AR128">
            <v>387.33474352194139</v>
          </cell>
          <cell r="AS128">
            <v>14.849981010254254</v>
          </cell>
          <cell r="AT128">
            <v>-42.715419501133724</v>
          </cell>
          <cell r="AU128">
            <v>396.61058881741769</v>
          </cell>
          <cell r="AV128">
            <v>-100.76886032647501</v>
          </cell>
          <cell r="AW128" t="str">
            <v>NM</v>
          </cell>
          <cell r="AX128">
            <v>20.200250905389616</v>
          </cell>
          <cell r="AY128">
            <v>19.357633760658508</v>
          </cell>
          <cell r="AZ128">
            <v>36.598967184174434</v>
          </cell>
          <cell r="BA128">
            <v>-32.737879556489581</v>
          </cell>
          <cell r="BB128">
            <v>-7.6514212860709252</v>
          </cell>
          <cell r="BC128">
            <v>31.410904565606156</v>
          </cell>
          <cell r="BD128">
            <v>-4.9317865703884411</v>
          </cell>
          <cell r="BE128">
            <v>50.115955112141883</v>
          </cell>
          <cell r="BF128">
            <v>3.5013686131386113</v>
          </cell>
          <cell r="BG128">
            <v>-6.2359128474830712</v>
          </cell>
          <cell r="BH128">
            <v>-10.573717948717897</v>
          </cell>
          <cell r="BI128">
            <v>9.8661935653440622</v>
          </cell>
          <cell r="BJ128">
            <v>23.063723544577996</v>
          </cell>
          <cell r="BK128">
            <v>-117.4302604023999</v>
          </cell>
          <cell r="BL128" t="str">
            <v>NM</v>
          </cell>
          <cell r="BM128">
            <v>48.860882740553137</v>
          </cell>
          <cell r="BN128">
            <v>18.868388853130604</v>
          </cell>
          <cell r="BO128">
            <v>10.105350199929063</v>
          </cell>
          <cell r="BP128">
            <v>5.2883599213865429</v>
          </cell>
          <cell r="BQ128">
            <v>0.7247411485990396</v>
          </cell>
          <cell r="BR128">
            <v>6.7830313269367837</v>
          </cell>
          <cell r="BS128">
            <v>5.463859744521482</v>
          </cell>
          <cell r="BT128">
            <v>2.0717754504425479</v>
          </cell>
        </row>
        <row r="129">
          <cell r="A129" t="str">
            <v>Net Income</v>
          </cell>
          <cell r="Z129" t="str">
            <v>NM</v>
          </cell>
          <cell r="AA129" t="str">
            <v>NM</v>
          </cell>
          <cell r="AB129" t="str">
            <v>NM</v>
          </cell>
          <cell r="AC129" t="str">
            <v>NM</v>
          </cell>
          <cell r="AD129" t="str">
            <v>NM</v>
          </cell>
          <cell r="AE129" t="str">
            <v>NM</v>
          </cell>
          <cell r="AF129" t="str">
            <v>NM</v>
          </cell>
          <cell r="AG129" t="str">
            <v>NM</v>
          </cell>
          <cell r="AH129" t="str">
            <v>NM</v>
          </cell>
          <cell r="AI129" t="str">
            <v>NM</v>
          </cell>
          <cell r="AJ129" t="str">
            <v>NM</v>
          </cell>
          <cell r="AK129" t="str">
            <v>NM</v>
          </cell>
          <cell r="AL129" t="str">
            <v>NM</v>
          </cell>
          <cell r="AM129" t="str">
            <v>NM</v>
          </cell>
          <cell r="AN129" t="str">
            <v>NM</v>
          </cell>
          <cell r="AO129" t="str">
            <v>NM</v>
          </cell>
          <cell r="AP129" t="str">
            <v>NM</v>
          </cell>
          <cell r="AQ129">
            <v>-55.538771399798136</v>
          </cell>
          <cell r="AR129">
            <v>422.98980747451338</v>
          </cell>
          <cell r="AS129">
            <v>20.809874404503901</v>
          </cell>
          <cell r="AT129">
            <v>-189.15128159168339</v>
          </cell>
          <cell r="AU129" t="str">
            <v>NM</v>
          </cell>
          <cell r="AV129">
            <v>-109.1696255108193</v>
          </cell>
          <cell r="AW129" t="str">
            <v>NM</v>
          </cell>
          <cell r="AX129">
            <v>276.25272331154645</v>
          </cell>
          <cell r="AY129">
            <v>-61.883512499685288</v>
          </cell>
          <cell r="AZ129">
            <v>41.579564406135901</v>
          </cell>
          <cell r="BA129">
            <v>-31.469991369457183</v>
          </cell>
          <cell r="BB129">
            <v>-3.8649398390034451</v>
          </cell>
          <cell r="BC129">
            <v>19.632488316102403</v>
          </cell>
          <cell r="BD129">
            <v>-4.8477315102546932</v>
          </cell>
          <cell r="BE129">
            <v>50.04665484743871</v>
          </cell>
          <cell r="BF129">
            <v>3.4576039302259831</v>
          </cell>
          <cell r="BG129">
            <v>-6.229274987727762</v>
          </cell>
          <cell r="BH129">
            <v>-10.574673347506923</v>
          </cell>
          <cell r="BI129">
            <v>9.8661935653440622</v>
          </cell>
          <cell r="BJ129">
            <v>23.063723544577996</v>
          </cell>
          <cell r="BK129">
            <v>-117.4302604023999</v>
          </cell>
          <cell r="BL129" t="str">
            <v>NM</v>
          </cell>
          <cell r="BM129">
            <v>48.860882740553137</v>
          </cell>
          <cell r="BN129">
            <v>18.868388853130604</v>
          </cell>
          <cell r="BO129">
            <v>10.105350199929063</v>
          </cell>
          <cell r="BP129">
            <v>5.2883599213865429</v>
          </cell>
          <cell r="BQ129">
            <v>0.7247411485990396</v>
          </cell>
          <cell r="BR129">
            <v>6.7830313269367837</v>
          </cell>
          <cell r="BS129">
            <v>5.463859744521482</v>
          </cell>
          <cell r="BT129">
            <v>2.0717754504425479</v>
          </cell>
        </row>
        <row r="132">
          <cell r="A132" t="str">
            <v>Share Count Schedule</v>
          </cell>
        </row>
        <row r="133">
          <cell r="A133" t="str">
            <v>Share Repurchases</v>
          </cell>
        </row>
        <row r="134">
          <cell r="A134" t="str">
            <v># of Shares Repurchased</v>
          </cell>
          <cell r="F134">
            <v>2.8</v>
          </cell>
          <cell r="G134">
            <v>10.100000000000001</v>
          </cell>
          <cell r="H134">
            <v>39.895569999999999</v>
          </cell>
          <cell r="I134">
            <v>18.29552</v>
          </cell>
          <cell r="J134">
            <v>6.5697020000000004</v>
          </cell>
          <cell r="K134">
            <v>9.2730689999999996</v>
          </cell>
          <cell r="L134">
            <v>8.5869600000000013</v>
          </cell>
          <cell r="M134">
            <v>1</v>
          </cell>
          <cell r="N134">
            <v>0.8</v>
          </cell>
          <cell r="O134">
            <v>0.8</v>
          </cell>
          <cell r="P134">
            <v>0.7</v>
          </cell>
          <cell r="Q134">
            <v>0.6</v>
          </cell>
          <cell r="R134">
            <v>0.5</v>
          </cell>
          <cell r="S134">
            <v>0.5</v>
          </cell>
          <cell r="T134">
            <v>0.5</v>
          </cell>
          <cell r="U134">
            <v>0.5</v>
          </cell>
          <cell r="V134">
            <v>0.5</v>
          </cell>
          <cell r="AS134">
            <v>12.600000000000001</v>
          </cell>
          <cell r="AT134">
            <v>10.199999999999999</v>
          </cell>
          <cell r="AU134">
            <v>8.1999999999999993</v>
          </cell>
          <cell r="AV134">
            <v>8.8955699999999993</v>
          </cell>
          <cell r="AW134">
            <v>4.4950559999999999</v>
          </cell>
          <cell r="AX134">
            <v>2.7084000000000001</v>
          </cell>
          <cell r="AY134">
            <v>8.3078430000000001</v>
          </cell>
          <cell r="AZ134">
            <v>2.7842209999999996</v>
          </cell>
          <cell r="BA134">
            <v>6.7437999999999998E-2</v>
          </cell>
          <cell r="BB134">
            <v>2.2315320000000001</v>
          </cell>
          <cell r="BC134">
            <v>3.6101309999999995</v>
          </cell>
          <cell r="BD134">
            <v>0.66060100000000077</v>
          </cell>
          <cell r="BE134">
            <v>1.1834309999999999</v>
          </cell>
          <cell r="BF134">
            <v>3.4550559999999999</v>
          </cell>
          <cell r="BG134">
            <v>3.1739000000000006</v>
          </cell>
          <cell r="BH134">
            <v>1.4606819999999991</v>
          </cell>
          <cell r="BI134">
            <v>2.3897469999999998</v>
          </cell>
          <cell r="BJ134">
            <v>1.974437</v>
          </cell>
          <cell r="BK134">
            <v>3.2227760000000005</v>
          </cell>
          <cell r="BL134">
            <v>1</v>
          </cell>
          <cell r="BM134">
            <v>0.25</v>
          </cell>
          <cell r="BN134">
            <v>0.25</v>
          </cell>
          <cell r="BO134">
            <v>0.25</v>
          </cell>
          <cell r="BP134">
            <v>0.25</v>
          </cell>
          <cell r="BQ134">
            <v>0.2</v>
          </cell>
          <cell r="BR134">
            <v>0.2</v>
          </cell>
          <cell r="BS134">
            <v>0.2</v>
          </cell>
          <cell r="BT134">
            <v>0.2</v>
          </cell>
        </row>
        <row r="135">
          <cell r="A135" t="str">
            <v>Total Repurchase ($MM)</v>
          </cell>
          <cell r="F135">
            <v>76.599999999999994</v>
          </cell>
          <cell r="G135">
            <v>321.79999999999995</v>
          </cell>
          <cell r="H135">
            <v>1600</v>
          </cell>
          <cell r="I135">
            <v>697.10000000000014</v>
          </cell>
          <cell r="J135">
            <v>214.79999999999998</v>
          </cell>
          <cell r="K135">
            <v>420.70000000000005</v>
          </cell>
          <cell r="L135">
            <v>450.34992910476194</v>
          </cell>
          <cell r="M135">
            <v>61.677747725439616</v>
          </cell>
          <cell r="N135">
            <v>55.535078756751808</v>
          </cell>
          <cell r="O135">
            <v>59.13303988893329</v>
          </cell>
          <cell r="P135">
            <v>57.69167204164053</v>
          </cell>
          <cell r="Q135">
            <v>55.136755136939307</v>
          </cell>
          <cell r="R135">
            <v>51.231234981406111</v>
          </cell>
          <cell r="S135">
            <v>57.122827004267812</v>
          </cell>
          <cell r="T135">
            <v>63.69195210975861</v>
          </cell>
          <cell r="U135">
            <v>71.01652660238085</v>
          </cell>
          <cell r="V135">
            <v>79.183427161654649</v>
          </cell>
          <cell r="AS135">
            <v>496.2</v>
          </cell>
          <cell r="AT135">
            <v>414.2</v>
          </cell>
          <cell r="AU135">
            <v>289.59999999999997</v>
          </cell>
          <cell r="AV135">
            <v>400.00000000000006</v>
          </cell>
          <cell r="AW135">
            <v>170.6</v>
          </cell>
          <cell r="AX135">
            <v>115.29999999999998</v>
          </cell>
          <cell r="AY135">
            <v>331.8</v>
          </cell>
          <cell r="AZ135">
            <v>79.400000000000034</v>
          </cell>
          <cell r="BA135">
            <v>1.8</v>
          </cell>
          <cell r="BB135">
            <v>67.8</v>
          </cell>
          <cell r="BC135">
            <v>117.6</v>
          </cell>
          <cell r="BD135">
            <v>27.6</v>
          </cell>
          <cell r="BE135">
            <v>51.5</v>
          </cell>
          <cell r="BF135">
            <v>144.80000000000001</v>
          </cell>
          <cell r="BG135">
            <v>149.80000000000001</v>
          </cell>
          <cell r="BH135">
            <v>74.599999999999994</v>
          </cell>
          <cell r="BI135">
            <v>122.69692019999999</v>
          </cell>
          <cell r="BJ135">
            <v>102</v>
          </cell>
          <cell r="BK135">
            <v>168.4</v>
          </cell>
          <cell r="BL135">
            <v>57.253008904761913</v>
          </cell>
          <cell r="BM135">
            <v>14.742649792976193</v>
          </cell>
          <cell r="BN135">
            <v>15.184929286765479</v>
          </cell>
          <cell r="BO135">
            <v>15.640477165368445</v>
          </cell>
          <cell r="BP135">
            <v>16.109691480329499</v>
          </cell>
          <cell r="BQ135">
            <v>13.274385779791508</v>
          </cell>
          <cell r="BR135">
            <v>13.672617353185254</v>
          </cell>
          <cell r="BS135">
            <v>14.082795873780814</v>
          </cell>
          <cell r="BT135">
            <v>14.505279749994239</v>
          </cell>
        </row>
        <row r="136">
          <cell r="A136" t="str">
            <v>Total Treasury Stock Repurchase ($MM)</v>
          </cell>
          <cell r="I136">
            <v>698.61099999999999</v>
          </cell>
          <cell r="J136">
            <v>214.74799999999999</v>
          </cell>
          <cell r="K136">
            <v>420.78899999999999</v>
          </cell>
          <cell r="L136">
            <v>450.37400890476192</v>
          </cell>
          <cell r="M136">
            <v>61.677747725439616</v>
          </cell>
          <cell r="N136">
            <v>55.535078756751808</v>
          </cell>
          <cell r="O136">
            <v>59.13303988893329</v>
          </cell>
          <cell r="P136">
            <v>57.69167204164053</v>
          </cell>
          <cell r="Q136">
            <v>55.136755136939307</v>
          </cell>
          <cell r="R136">
            <v>51.231234981406111</v>
          </cell>
          <cell r="S136">
            <v>57.122827004267812</v>
          </cell>
          <cell r="T136">
            <v>63.69195210975861</v>
          </cell>
          <cell r="U136">
            <v>71.01652660238085</v>
          </cell>
          <cell r="V136">
            <v>79.183427161654649</v>
          </cell>
          <cell r="AW136">
            <v>172.09899999999999</v>
          </cell>
          <cell r="AX136">
            <v>115.30599999999998</v>
          </cell>
          <cell r="AY136">
            <v>331.76</v>
          </cell>
          <cell r="AZ136">
            <v>79.446000000000026</v>
          </cell>
          <cell r="BA136">
            <v>1.8360000000000001</v>
          </cell>
          <cell r="BB136">
            <v>67.795000000000002</v>
          </cell>
          <cell r="BC136">
            <v>117.55199999999999</v>
          </cell>
          <cell r="BD136">
            <v>27.564999999999998</v>
          </cell>
          <cell r="BE136">
            <v>51.515999999999998</v>
          </cell>
          <cell r="BF136">
            <v>144.827</v>
          </cell>
          <cell r="BG136">
            <v>149.81000000000003</v>
          </cell>
          <cell r="BH136">
            <v>74.635999999999939</v>
          </cell>
          <cell r="BI136">
            <v>122.739</v>
          </cell>
          <cell r="BJ136">
            <v>102.00999999999999</v>
          </cell>
          <cell r="BK136">
            <v>168.37199999999999</v>
          </cell>
          <cell r="BL136">
            <v>57.253008904761913</v>
          </cell>
          <cell r="BM136">
            <v>14.742649792976193</v>
          </cell>
          <cell r="BN136">
            <v>15.184929286765479</v>
          </cell>
          <cell r="BO136">
            <v>15.640477165368445</v>
          </cell>
          <cell r="BP136">
            <v>16.109691480329499</v>
          </cell>
          <cell r="BQ136">
            <v>13.274385779791508</v>
          </cell>
          <cell r="BR136">
            <v>13.672617353185254</v>
          </cell>
          <cell r="BS136">
            <v>14.082795873780814</v>
          </cell>
          <cell r="BT136">
            <v>14.505279749994239</v>
          </cell>
        </row>
        <row r="137">
          <cell r="A137" t="str">
            <v>Average Repo price per share</v>
          </cell>
          <cell r="F137">
            <v>27.357142857142858</v>
          </cell>
          <cell r="G137">
            <v>31.861386138613852</v>
          </cell>
          <cell r="H137">
            <v>40.104703354282194</v>
          </cell>
          <cell r="I137">
            <v>38.102223932416251</v>
          </cell>
          <cell r="J137">
            <v>32.695546921306317</v>
          </cell>
          <cell r="K137">
            <v>45.983683404761919</v>
          </cell>
          <cell r="L137">
            <v>53.323127845238034</v>
          </cell>
          <cell r="M137">
            <v>59.455287547440406</v>
          </cell>
          <cell r="N137">
            <v>66.292645615396054</v>
          </cell>
          <cell r="O137">
            <v>73.916299861166607</v>
          </cell>
          <cell r="P137">
            <v>82.416674345200761</v>
          </cell>
          <cell r="Q137">
            <v>91.894591894898852</v>
          </cell>
          <cell r="R137">
            <v>102.46246996281222</v>
          </cell>
          <cell r="S137">
            <v>114.24565400853562</v>
          </cell>
          <cell r="T137">
            <v>127.38390421951722</v>
          </cell>
          <cell r="U137">
            <v>142.0330532047617</v>
          </cell>
          <cell r="V137">
            <v>158.3668543233093</v>
          </cell>
          <cell r="AS137">
            <v>39.380952380952372</v>
          </cell>
          <cell r="AT137">
            <v>40.607843137254903</v>
          </cell>
          <cell r="AU137">
            <v>35.317073170731703</v>
          </cell>
          <cell r="AV137">
            <v>44.966202278212648</v>
          </cell>
          <cell r="AW137">
            <v>37.95280859682282</v>
          </cell>
          <cell r="AX137">
            <v>42.571259784374533</v>
          </cell>
          <cell r="AY137">
            <v>39.938164454961417</v>
          </cell>
          <cell r="AZ137">
            <v>28.517851133225431</v>
          </cell>
          <cell r="BA137">
            <v>26.691183012544858</v>
          </cell>
          <cell r="BB137">
            <v>30.382714655223406</v>
          </cell>
          <cell r="BC137">
            <v>32.574995201005173</v>
          </cell>
          <cell r="BD137">
            <v>41.780136572605805</v>
          </cell>
          <cell r="BE137">
            <v>43.517535031615701</v>
          </cell>
          <cell r="BF137">
            <v>41.909595676596851</v>
          </cell>
          <cell r="BG137">
            <v>47.197454236113295</v>
          </cell>
          <cell r="BH137">
            <v>51.157023984375009</v>
          </cell>
          <cell r="BI137">
            <v>51.797412483870964</v>
          </cell>
          <cell r="BJ137">
            <v>51.887452619047622</v>
          </cell>
          <cell r="BK137">
            <v>52.34593073437501</v>
          </cell>
          <cell r="BL137">
            <v>57.253008904761913</v>
          </cell>
          <cell r="BM137">
            <v>58.970599171904773</v>
          </cell>
          <cell r="BN137">
            <v>60.739717147061917</v>
          </cell>
          <cell r="BO137">
            <v>62.56190866147378</v>
          </cell>
          <cell r="BP137">
            <v>64.438765921317994</v>
          </cell>
          <cell r="BQ137">
            <v>66.371928898957535</v>
          </cell>
          <cell r="BR137">
            <v>68.363086765926269</v>
          </cell>
          <cell r="BS137">
            <v>70.413979368904066</v>
          </cell>
          <cell r="BT137">
            <v>72.526398749971193</v>
          </cell>
        </row>
        <row r="138">
          <cell r="A138" t="str">
            <v>Seq. Growth</v>
          </cell>
          <cell r="I138">
            <v>-4.9931286217882676E-2</v>
          </cell>
          <cell r="J138">
            <v>-0.14189925030885386</v>
          </cell>
          <cell r="K138">
            <v>0.40642037631113248</v>
          </cell>
          <cell r="L138">
            <v>0.15960975496182339</v>
          </cell>
          <cell r="M138">
            <v>0.11499999999999999</v>
          </cell>
          <cell r="N138">
            <v>0.11499999999999999</v>
          </cell>
          <cell r="O138">
            <v>0.11499999999999999</v>
          </cell>
          <cell r="P138">
            <v>0.11499999999999999</v>
          </cell>
          <cell r="Q138">
            <v>0.11499999999999999</v>
          </cell>
          <cell r="R138">
            <v>0.11499999999999999</v>
          </cell>
          <cell r="S138">
            <v>0.11499999999999999</v>
          </cell>
          <cell r="T138">
            <v>0.11499999999999999</v>
          </cell>
          <cell r="U138">
            <v>0.11499999999999999</v>
          </cell>
          <cell r="V138">
            <v>0.11499999999999999</v>
          </cell>
          <cell r="AT138">
            <v>3.1154420655807868E-2</v>
          </cell>
          <cell r="AU138">
            <v>-0.13028936180235795</v>
          </cell>
          <cell r="AV138">
            <v>0.27321429102673944</v>
          </cell>
          <cell r="AW138">
            <v>-0.15597033607590227</v>
          </cell>
          <cell r="AX138">
            <v>0.12168931255164983</v>
          </cell>
          <cell r="AY138">
            <v>-6.1851477798633869E-2</v>
          </cell>
          <cell r="AZ138">
            <v>-0.28594987971003938</v>
          </cell>
          <cell r="BA138">
            <v>-6.4053498005407827E-2</v>
          </cell>
          <cell r="BB138">
            <v>0.13830528384386431</v>
          </cell>
          <cell r="BC138">
            <v>7.2155519039667881E-2</v>
          </cell>
          <cell r="BD138">
            <v>0.2825830461309351</v>
          </cell>
          <cell r="BE138">
            <v>4.1584317370304325E-2</v>
          </cell>
          <cell r="BF138">
            <v>-3.6949228715520643E-2</v>
          </cell>
          <cell r="BG138">
            <v>0.12617297958017026</v>
          </cell>
          <cell r="BH138">
            <v>8.3893714445980372E-2</v>
          </cell>
          <cell r="BI138">
            <v>1.2518095260810158E-2</v>
          </cell>
          <cell r="BJ138">
            <v>1.7383133801267547E-3</v>
          </cell>
          <cell r="BK138">
            <v>8.8360112548497849E-3</v>
          </cell>
          <cell r="BL138">
            <v>9.3743259534107004E-2</v>
          </cell>
          <cell r="BM138">
            <v>3.0000000000000027E-2</v>
          </cell>
          <cell r="BN138">
            <v>3.0000000000000027E-2</v>
          </cell>
          <cell r="BO138">
            <v>3.0000000000000027E-2</v>
          </cell>
          <cell r="BP138">
            <v>3.0000000000000027E-2</v>
          </cell>
          <cell r="BQ138">
            <v>3.0000000000000027E-2</v>
          </cell>
          <cell r="BR138">
            <v>3.0000000000000027E-2</v>
          </cell>
          <cell r="BS138">
            <v>3.0000000000000027E-2</v>
          </cell>
          <cell r="BT138">
            <v>3.0000000000000027E-2</v>
          </cell>
        </row>
        <row r="139">
          <cell r="A139" t="str">
            <v>Average Share price</v>
          </cell>
          <cell r="F139">
            <v>21.244953646825422</v>
          </cell>
          <cell r="G139">
            <v>33.355211980079709</v>
          </cell>
          <cell r="H139">
            <v>41.064216808764911</v>
          </cell>
          <cell r="I139">
            <v>37.527543185770725</v>
          </cell>
          <cell r="J139">
            <v>33.430430031746063</v>
          </cell>
          <cell r="K139">
            <v>45.983683404761919</v>
          </cell>
          <cell r="L139">
            <v>53.323127845238034</v>
          </cell>
          <cell r="M139">
            <v>59.455287547440406</v>
          </cell>
          <cell r="N139">
            <v>66.292645615396054</v>
          </cell>
          <cell r="O139">
            <v>73.916299861166607</v>
          </cell>
          <cell r="P139">
            <v>82.416674345200761</v>
          </cell>
          <cell r="Q139">
            <v>91.894591894898852</v>
          </cell>
          <cell r="R139">
            <v>102.46246996281222</v>
          </cell>
          <cell r="S139">
            <v>114.24565400853562</v>
          </cell>
          <cell r="T139">
            <v>127.38390421951722</v>
          </cell>
          <cell r="U139">
            <v>142.0330532047617</v>
          </cell>
          <cell r="V139">
            <v>158.3668543233093</v>
          </cell>
          <cell r="AS139">
            <v>39.176878442622964</v>
          </cell>
          <cell r="AT139">
            <v>40.589517666666673</v>
          </cell>
          <cell r="AU139">
            <v>41.133327682539701</v>
          </cell>
          <cell r="AV139">
            <v>43.262337140625</v>
          </cell>
          <cell r="AW139">
            <v>38.522290524590176</v>
          </cell>
          <cell r="AX139">
            <v>42.827961890625005</v>
          </cell>
          <cell r="AY139">
            <v>39.949055468750018</v>
          </cell>
          <cell r="AZ139">
            <v>28.857493640624995</v>
          </cell>
          <cell r="BA139">
            <v>29.288190196721313</v>
          </cell>
          <cell r="BB139">
            <v>31.023644793650803</v>
          </cell>
          <cell r="BC139">
            <v>33.386868015624991</v>
          </cell>
          <cell r="BD139">
            <v>39.791243609375023</v>
          </cell>
          <cell r="BE139">
            <v>43.163599967213102</v>
          </cell>
          <cell r="BF139">
            <v>42.079993301587301</v>
          </cell>
          <cell r="BG139">
            <v>47.340929796875002</v>
          </cell>
          <cell r="BH139">
            <v>51.157023984375009</v>
          </cell>
          <cell r="BI139">
            <v>51.797412483870964</v>
          </cell>
          <cell r="BJ139">
            <v>51.887452619047622</v>
          </cell>
          <cell r="BK139">
            <v>52.34593073437501</v>
          </cell>
          <cell r="BL139">
            <v>57.253008904761913</v>
          </cell>
          <cell r="BM139">
            <v>58.970599171904773</v>
          </cell>
          <cell r="BN139">
            <v>60.739717147061917</v>
          </cell>
          <cell r="BO139">
            <v>62.56190866147378</v>
          </cell>
          <cell r="BP139">
            <v>64.438765921317994</v>
          </cell>
          <cell r="BQ139">
            <v>66.371928898957535</v>
          </cell>
          <cell r="BR139">
            <v>68.363086765926269</v>
          </cell>
          <cell r="BS139">
            <v>70.413979368904066</v>
          </cell>
          <cell r="BT139">
            <v>72.526398749971193</v>
          </cell>
        </row>
        <row r="141">
          <cell r="A141" t="str">
            <v>Authorization (BOP)</v>
          </cell>
          <cell r="F141">
            <v>750</v>
          </cell>
          <cell r="G141">
            <v>673.4</v>
          </cell>
          <cell r="H141">
            <v>351.6</v>
          </cell>
          <cell r="I141">
            <v>251.59999999999991</v>
          </cell>
          <cell r="J141">
            <v>1054.4999999999998</v>
          </cell>
          <cell r="K141">
            <v>1339.6999999999998</v>
          </cell>
          <cell r="L141">
            <v>918.99999999999977</v>
          </cell>
          <cell r="M141">
            <v>468.65007089523783</v>
          </cell>
          <cell r="N141">
            <v>906.97232316979819</v>
          </cell>
          <cell r="O141">
            <v>1051.4372444130463</v>
          </cell>
          <cell r="P141">
            <v>992.30420452411306</v>
          </cell>
          <cell r="Q141">
            <v>934.61253248247249</v>
          </cell>
          <cell r="R141">
            <v>879.47577734553317</v>
          </cell>
          <cell r="S141">
            <v>828.24454236412703</v>
          </cell>
          <cell r="T141">
            <v>771.12171535985919</v>
          </cell>
          <cell r="U141">
            <v>707.42976325010056</v>
          </cell>
          <cell r="V141">
            <v>636.41323664771971</v>
          </cell>
          <cell r="AS141">
            <v>351.6</v>
          </cell>
          <cell r="AT141">
            <v>1355.3999999999999</v>
          </cell>
          <cell r="AU141">
            <v>941.19999999999982</v>
          </cell>
          <cell r="AV141">
            <v>651.59999999999991</v>
          </cell>
          <cell r="AW141">
            <v>251.59999999999985</v>
          </cell>
          <cell r="AX141">
            <v>1581</v>
          </cell>
          <cell r="AY141">
            <v>1465.7</v>
          </cell>
          <cell r="AZ141">
            <v>1133.9000000000001</v>
          </cell>
          <cell r="BA141">
            <v>1054.5</v>
          </cell>
          <cell r="BB141">
            <v>1552.7</v>
          </cell>
          <cell r="BC141">
            <v>1484.9</v>
          </cell>
          <cell r="BD141">
            <v>1367.3000000000002</v>
          </cell>
          <cell r="BE141">
            <v>1339.7000000000003</v>
          </cell>
          <cell r="BF141">
            <v>1288.2000000000003</v>
          </cell>
          <cell r="BG141">
            <v>1143.4000000000003</v>
          </cell>
          <cell r="BH141">
            <v>993.60000000000036</v>
          </cell>
          <cell r="BI141">
            <v>919.00000000000034</v>
          </cell>
          <cell r="BJ141">
            <v>796.30307980000032</v>
          </cell>
          <cell r="BK141">
            <v>694.30307980000032</v>
          </cell>
          <cell r="BL141">
            <v>525.90307980000034</v>
          </cell>
          <cell r="BM141">
            <v>468.6500708952384</v>
          </cell>
          <cell r="BN141">
            <v>578.90742110226222</v>
          </cell>
          <cell r="BO141">
            <v>688.72249181549671</v>
          </cell>
          <cell r="BP141">
            <v>798.08201465012826</v>
          </cell>
          <cell r="BQ141">
            <v>906.97232316979876</v>
          </cell>
          <cell r="BR141">
            <v>943.69793739000727</v>
          </cell>
          <cell r="BS141">
            <v>980.025320036822</v>
          </cell>
          <cell r="BT141">
            <v>1015.9425241630412</v>
          </cell>
        </row>
        <row r="142">
          <cell r="A142" t="str">
            <v>Additional authorization</v>
          </cell>
          <cell r="F142">
            <v>0</v>
          </cell>
          <cell r="G142">
            <v>0</v>
          </cell>
          <cell r="H142">
            <v>1500</v>
          </cell>
          <cell r="I142">
            <v>1500</v>
          </cell>
          <cell r="J142">
            <v>500</v>
          </cell>
          <cell r="K142">
            <v>0</v>
          </cell>
          <cell r="L142">
            <v>0</v>
          </cell>
          <cell r="M142">
            <v>500</v>
          </cell>
          <cell r="N142">
            <v>200</v>
          </cell>
          <cell r="O142">
            <v>0</v>
          </cell>
          <cell r="P142">
            <v>0</v>
          </cell>
          <cell r="Q142">
            <v>0</v>
          </cell>
          <cell r="R142">
            <v>0</v>
          </cell>
          <cell r="S142">
            <v>0</v>
          </cell>
          <cell r="T142">
            <v>0</v>
          </cell>
          <cell r="U142">
            <v>0</v>
          </cell>
          <cell r="V142">
            <v>0</v>
          </cell>
          <cell r="AS142">
            <v>1500</v>
          </cell>
          <cell r="AT142">
            <v>0</v>
          </cell>
          <cell r="AU142">
            <v>0</v>
          </cell>
          <cell r="AV142">
            <v>0</v>
          </cell>
          <cell r="AW142">
            <v>1500</v>
          </cell>
          <cell r="AX142">
            <v>0</v>
          </cell>
          <cell r="AY142">
            <v>0</v>
          </cell>
          <cell r="AZ142">
            <v>0</v>
          </cell>
          <cell r="BA142">
            <v>500</v>
          </cell>
          <cell r="BB142">
            <v>0</v>
          </cell>
          <cell r="BC142">
            <v>0</v>
          </cell>
          <cell r="BD142">
            <v>0</v>
          </cell>
          <cell r="BE142">
            <v>0</v>
          </cell>
          <cell r="BF142">
            <v>0</v>
          </cell>
          <cell r="BG142">
            <v>0</v>
          </cell>
          <cell r="BH142">
            <v>0</v>
          </cell>
          <cell r="BI142">
            <v>0</v>
          </cell>
          <cell r="BJ142">
            <v>0</v>
          </cell>
          <cell r="BK142">
            <v>0</v>
          </cell>
          <cell r="BL142">
            <v>0</v>
          </cell>
          <cell r="BM142">
            <v>125</v>
          </cell>
          <cell r="BN142">
            <v>125</v>
          </cell>
          <cell r="BO142">
            <v>125</v>
          </cell>
          <cell r="BP142">
            <v>125</v>
          </cell>
          <cell r="BQ142">
            <v>50</v>
          </cell>
          <cell r="BR142">
            <v>50</v>
          </cell>
          <cell r="BS142">
            <v>50</v>
          </cell>
          <cell r="BT142">
            <v>50</v>
          </cell>
        </row>
        <row r="143">
          <cell r="A143" t="str">
            <v>Cost of repo</v>
          </cell>
          <cell r="F143">
            <v>76.599999999999994</v>
          </cell>
          <cell r="G143">
            <v>321.79999999999995</v>
          </cell>
          <cell r="H143">
            <v>1600</v>
          </cell>
          <cell r="I143">
            <v>697.10000000000014</v>
          </cell>
          <cell r="J143">
            <v>214.79999999999998</v>
          </cell>
          <cell r="K143">
            <v>420.70000000000005</v>
          </cell>
          <cell r="L143">
            <v>450.34992910476194</v>
          </cell>
          <cell r="M143">
            <v>61.677747725439616</v>
          </cell>
          <cell r="N143">
            <v>55.535078756751808</v>
          </cell>
          <cell r="O143">
            <v>59.13303988893329</v>
          </cell>
          <cell r="P143">
            <v>57.69167204164053</v>
          </cell>
          <cell r="Q143">
            <v>55.136755136939307</v>
          </cell>
          <cell r="R143">
            <v>51.231234981406111</v>
          </cell>
          <cell r="S143">
            <v>57.122827004267812</v>
          </cell>
          <cell r="T143">
            <v>63.69195210975861</v>
          </cell>
          <cell r="U143">
            <v>71.01652660238085</v>
          </cell>
          <cell r="V143">
            <v>79.183427161654649</v>
          </cell>
          <cell r="AS143">
            <v>496.2</v>
          </cell>
          <cell r="AT143">
            <v>414.2</v>
          </cell>
          <cell r="AU143">
            <v>289.59999999999997</v>
          </cell>
          <cell r="AV143">
            <v>400.00000000000006</v>
          </cell>
          <cell r="AW143">
            <v>170.6</v>
          </cell>
          <cell r="AX143">
            <v>115.29999999999998</v>
          </cell>
          <cell r="AY143">
            <v>331.8</v>
          </cell>
          <cell r="AZ143">
            <v>79.400000000000034</v>
          </cell>
          <cell r="BA143">
            <v>1.8</v>
          </cell>
          <cell r="BB143">
            <v>67.8</v>
          </cell>
          <cell r="BC143">
            <v>117.6</v>
          </cell>
          <cell r="BD143">
            <v>27.6</v>
          </cell>
          <cell r="BE143">
            <v>51.5</v>
          </cell>
          <cell r="BF143">
            <v>144.80000000000001</v>
          </cell>
          <cell r="BG143">
            <v>149.80000000000001</v>
          </cell>
          <cell r="BH143">
            <v>74.599999999999994</v>
          </cell>
          <cell r="BI143">
            <v>122.69692019999999</v>
          </cell>
          <cell r="BJ143">
            <v>102</v>
          </cell>
          <cell r="BK143">
            <v>168.4</v>
          </cell>
          <cell r="BL143">
            <v>57.253008904761913</v>
          </cell>
          <cell r="BM143">
            <v>14.742649792976193</v>
          </cell>
          <cell r="BN143">
            <v>15.184929286765479</v>
          </cell>
          <cell r="BO143">
            <v>15.640477165368445</v>
          </cell>
          <cell r="BP143">
            <v>16.109691480329499</v>
          </cell>
          <cell r="BQ143">
            <v>13.274385779791508</v>
          </cell>
          <cell r="BR143">
            <v>13.672617353185254</v>
          </cell>
          <cell r="BS143">
            <v>14.082795873780814</v>
          </cell>
          <cell r="BT143">
            <v>14.505279749994239</v>
          </cell>
        </row>
        <row r="144">
          <cell r="A144" t="str">
            <v>Authorization (EOP)</v>
          </cell>
          <cell r="F144">
            <v>673.4</v>
          </cell>
          <cell r="G144">
            <v>351.6</v>
          </cell>
          <cell r="H144">
            <v>251.59999999999991</v>
          </cell>
          <cell r="I144">
            <v>1054.4999999999998</v>
          </cell>
          <cell r="J144">
            <v>1339.6999999999998</v>
          </cell>
          <cell r="K144">
            <v>918.99999999999977</v>
          </cell>
          <cell r="L144">
            <v>468.65007089523783</v>
          </cell>
          <cell r="M144">
            <v>906.97232316979819</v>
          </cell>
          <cell r="N144">
            <v>1051.4372444130463</v>
          </cell>
          <cell r="O144">
            <v>992.30420452411306</v>
          </cell>
          <cell r="P144">
            <v>934.61253248247249</v>
          </cell>
          <cell r="Q144">
            <v>879.47577734553317</v>
          </cell>
          <cell r="R144">
            <v>828.24454236412703</v>
          </cell>
          <cell r="S144">
            <v>771.12171535985919</v>
          </cell>
          <cell r="T144">
            <v>707.42976325010056</v>
          </cell>
          <cell r="U144">
            <v>636.41323664771971</v>
          </cell>
          <cell r="V144">
            <v>557.22980948606505</v>
          </cell>
          <cell r="AS144">
            <v>1355.3999999999999</v>
          </cell>
          <cell r="AT144">
            <v>941.19999999999982</v>
          </cell>
          <cell r="AU144">
            <v>651.59999999999991</v>
          </cell>
          <cell r="AV144">
            <v>251.59999999999985</v>
          </cell>
          <cell r="AW144">
            <v>1581</v>
          </cell>
          <cell r="AX144">
            <v>1465.7</v>
          </cell>
          <cell r="AY144">
            <v>1133.9000000000001</v>
          </cell>
          <cell r="AZ144">
            <v>1054.5</v>
          </cell>
          <cell r="BA144">
            <v>1552.7</v>
          </cell>
          <cell r="BB144">
            <v>1484.9</v>
          </cell>
          <cell r="BC144">
            <v>1367.3000000000002</v>
          </cell>
          <cell r="BD144">
            <v>1339.7000000000003</v>
          </cell>
          <cell r="BE144">
            <v>1288.2000000000003</v>
          </cell>
          <cell r="BF144">
            <v>1143.4000000000003</v>
          </cell>
          <cell r="BG144">
            <v>993.60000000000036</v>
          </cell>
          <cell r="BH144">
            <v>919.00000000000034</v>
          </cell>
          <cell r="BI144">
            <v>796.30307980000032</v>
          </cell>
          <cell r="BJ144">
            <v>694.30307980000032</v>
          </cell>
          <cell r="BK144">
            <v>525.90307980000034</v>
          </cell>
          <cell r="BL144">
            <v>468.6500708952384</v>
          </cell>
          <cell r="BM144">
            <v>578.90742110226222</v>
          </cell>
          <cell r="BN144">
            <v>688.72249181549671</v>
          </cell>
          <cell r="BO144">
            <v>798.08201465012826</v>
          </cell>
          <cell r="BP144">
            <v>906.97232316979876</v>
          </cell>
          <cell r="BQ144">
            <v>943.69793739000727</v>
          </cell>
          <cell r="BR144">
            <v>980.025320036822</v>
          </cell>
          <cell r="BS144">
            <v>1015.9425241630412</v>
          </cell>
          <cell r="BT144">
            <v>1051.4372444130468</v>
          </cell>
        </row>
        <row r="146">
          <cell r="A146" t="str">
            <v>Share Issuances</v>
          </cell>
        </row>
        <row r="147">
          <cell r="A147" t="str">
            <v>Shares Issued (in mm)</v>
          </cell>
          <cell r="E147">
            <v>6.2493239999999997</v>
          </cell>
          <cell r="F147">
            <v>11.106693</v>
          </cell>
          <cell r="G147">
            <v>3.8848120000000002</v>
          </cell>
          <cell r="H147">
            <v>7.4006670000000003</v>
          </cell>
          <cell r="I147">
            <v>-4.5561429999999996</v>
          </cell>
          <cell r="J147">
            <v>-3.1305160000000001</v>
          </cell>
          <cell r="K147">
            <v>-4.6469040000000001</v>
          </cell>
          <cell r="L147">
            <v>-2.7341509568446938</v>
          </cell>
          <cell r="M147">
            <v>-1.3875726416714107</v>
          </cell>
          <cell r="N147">
            <v>-1.0979246112104786</v>
          </cell>
          <cell r="O147">
            <v>-0.86873898756728274</v>
          </cell>
          <cell r="P147">
            <v>-0.68739458138874499</v>
          </cell>
          <cell r="Q147">
            <v>-0.54390480602899449</v>
          </cell>
          <cell r="R147">
            <v>-0.43036771896538228</v>
          </cell>
          <cell r="S147">
            <v>-0.34053086399385996</v>
          </cell>
          <cell r="T147">
            <v>-0.26944695018292575</v>
          </cell>
          <cell r="U147">
            <v>-0.21320140592069542</v>
          </cell>
          <cell r="V147">
            <v>-0.16869680453128957</v>
          </cell>
          <cell r="AS147">
            <v>3.1352229999999999</v>
          </cell>
          <cell r="AT147">
            <v>2.6759380000000004</v>
          </cell>
          <cell r="AU147">
            <v>0.65281599999999962</v>
          </cell>
          <cell r="AV147">
            <v>0.93669000000000047</v>
          </cell>
          <cell r="AW147">
            <v>-0.73769700000000005</v>
          </cell>
          <cell r="AX147">
            <v>-1.56864</v>
          </cell>
          <cell r="AY147">
            <v>-1.7309569999999999</v>
          </cell>
          <cell r="AZ147">
            <v>-0.51884899999999945</v>
          </cell>
          <cell r="BA147">
            <v>-0.56350800000000001</v>
          </cell>
          <cell r="BB147">
            <v>-0.49922199999999994</v>
          </cell>
          <cell r="BC147">
            <v>-0.94161700000000004</v>
          </cell>
          <cell r="BD147">
            <v>-1.126169</v>
          </cell>
          <cell r="BE147">
            <v>-1.647065</v>
          </cell>
          <cell r="BF147">
            <v>-1.0823230000000001</v>
          </cell>
          <cell r="BG147">
            <v>-1.4274069999999996</v>
          </cell>
          <cell r="BH147">
            <v>-0.49010900000000035</v>
          </cell>
          <cell r="BI147">
            <v>-0.77861100000000005</v>
          </cell>
          <cell r="BJ147">
            <v>-0.86097699999999999</v>
          </cell>
          <cell r="BK147">
            <v>-0.6938639999999997</v>
          </cell>
          <cell r="BL147">
            <v>-0.40069895684469398</v>
          </cell>
          <cell r="BM147">
            <v>-0.37791785400567496</v>
          </cell>
          <cell r="BN147">
            <v>-0.35643193458976408</v>
          </cell>
          <cell r="BO147">
            <v>-0.33616756300032891</v>
          </cell>
          <cell r="BP147">
            <v>-0.31705529007564265</v>
          </cell>
          <cell r="BQ147">
            <v>-0.29902961507577558</v>
          </cell>
          <cell r="BR147">
            <v>-0.28202876120134479</v>
          </cell>
          <cell r="BS147">
            <v>-0.26599446387478803</v>
          </cell>
          <cell r="BT147">
            <v>-0.25087177105857011</v>
          </cell>
        </row>
        <row r="148">
          <cell r="A148" t="str">
            <v>Weighted Average Price</v>
          </cell>
          <cell r="E148">
            <v>6.41</v>
          </cell>
          <cell r="F148">
            <v>5.7</v>
          </cell>
          <cell r="G148">
            <v>10.26</v>
          </cell>
          <cell r="H148">
            <v>17.25</v>
          </cell>
          <cell r="I148">
            <v>29.908192082645343</v>
          </cell>
          <cell r="J148">
            <v>38.97983591203495</v>
          </cell>
          <cell r="K148">
            <v>37.460855657874575</v>
          </cell>
          <cell r="L148">
            <v>53.323127845238034</v>
          </cell>
          <cell r="M148">
            <v>59.455287547440406</v>
          </cell>
          <cell r="N148">
            <v>66.292645615396054</v>
          </cell>
          <cell r="O148">
            <v>73.916299861166607</v>
          </cell>
          <cell r="P148">
            <v>82.416674345200761</v>
          </cell>
          <cell r="Q148">
            <v>91.894591894898852</v>
          </cell>
          <cell r="R148">
            <v>102.46246996281222</v>
          </cell>
          <cell r="S148">
            <v>114.24565400853562</v>
          </cell>
          <cell r="T148">
            <v>127.38390421951722</v>
          </cell>
          <cell r="U148">
            <v>142.0330532047617</v>
          </cell>
          <cell r="V148">
            <v>158.3668543233093</v>
          </cell>
          <cell r="AS148">
            <v>16.36</v>
          </cell>
          <cell r="AT148">
            <v>18.260000000000002</v>
          </cell>
          <cell r="AU148">
            <v>17.87</v>
          </cell>
          <cell r="AV148">
            <v>17.25</v>
          </cell>
          <cell r="AW148">
            <v>38.721860059075745</v>
          </cell>
          <cell r="AX148">
            <v>26.336826805385559</v>
          </cell>
          <cell r="AY148">
            <v>28.045179631845276</v>
          </cell>
          <cell r="AZ148">
            <v>34.389581554556344</v>
          </cell>
          <cell r="BA148">
            <v>58.911319803800481</v>
          </cell>
          <cell r="BB148">
            <v>32.841100752771311</v>
          </cell>
          <cell r="BC148">
            <v>34.809269586254281</v>
          </cell>
          <cell r="BD148">
            <v>35.2149632959174</v>
          </cell>
          <cell r="BE148">
            <v>28.6558211120994</v>
          </cell>
          <cell r="BF148">
            <v>56.600478784983771</v>
          </cell>
          <cell r="BG148">
            <v>27.007713987671355</v>
          </cell>
          <cell r="BH148">
            <v>51.157023984375009</v>
          </cell>
          <cell r="BI148">
            <v>51.797412483870964</v>
          </cell>
          <cell r="BJ148">
            <v>51.887452619047622</v>
          </cell>
          <cell r="BK148">
            <v>52.34593073437501</v>
          </cell>
          <cell r="BL148">
            <v>57.253008904761913</v>
          </cell>
          <cell r="BM148">
            <v>58.970599171904773</v>
          </cell>
          <cell r="BN148">
            <v>60.739717147061917</v>
          </cell>
          <cell r="BO148">
            <v>62.56190866147378</v>
          </cell>
          <cell r="BP148">
            <v>64.438765921317994</v>
          </cell>
          <cell r="BQ148">
            <v>66.371928898957535</v>
          </cell>
          <cell r="BR148">
            <v>68.363086765926269</v>
          </cell>
          <cell r="BS148">
            <v>70.413979368904066</v>
          </cell>
          <cell r="BT148">
            <v>72.526398749971193</v>
          </cell>
        </row>
        <row r="149">
          <cell r="A149" t="str">
            <v>Net Proceeds from Exercises</v>
          </cell>
          <cell r="E149">
            <v>40.058166839999998</v>
          </cell>
          <cell r="F149">
            <v>63.308150099999999</v>
          </cell>
          <cell r="G149">
            <v>39.858171120000002</v>
          </cell>
          <cell r="H149">
            <v>127.66150575</v>
          </cell>
          <cell r="I149">
            <v>-136.26599999999999</v>
          </cell>
          <cell r="J149">
            <v>-122.027</v>
          </cell>
          <cell r="K149">
            <v>-174.077</v>
          </cell>
          <cell r="L149">
            <v>-109.79222094435806</v>
          </cell>
          <cell r="M149">
            <v>-85.397553170314154</v>
          </cell>
          <cell r="N149">
            <v>-76.052083817413617</v>
          </cell>
          <cell r="O149">
            <v>-64.213971506109559</v>
          </cell>
          <cell r="P149">
            <v>-56.652775360971795</v>
          </cell>
          <cell r="Q149">
            <v>-49.981910179708571</v>
          </cell>
          <cell r="R149">
            <v>-44.096539477454492</v>
          </cell>
          <cell r="S149">
            <v>-38.904171267070225</v>
          </cell>
          <cell r="T149">
            <v>-34.323204494342839</v>
          </cell>
          <cell r="U149">
            <v>-30.281646630464127</v>
          </cell>
          <cell r="V149">
            <v>-26.715982268014521</v>
          </cell>
          <cell r="AS149">
            <v>51.292248279999995</v>
          </cell>
          <cell r="AT149">
            <v>48.862627880000012</v>
          </cell>
          <cell r="AU149">
            <v>11.665821919999994</v>
          </cell>
          <cell r="AV149">
            <v>16.157902500000009</v>
          </cell>
          <cell r="AW149">
            <v>-28.565000000000001</v>
          </cell>
          <cell r="AX149">
            <v>-41.313000000000002</v>
          </cell>
          <cell r="AY149">
            <v>-48.545000000000002</v>
          </cell>
          <cell r="AZ149">
            <v>-17.842999999999986</v>
          </cell>
          <cell r="BA149">
            <v>-33.197000000000003</v>
          </cell>
          <cell r="BB149">
            <v>-16.394999999999996</v>
          </cell>
          <cell r="BC149">
            <v>-32.777000000000001</v>
          </cell>
          <cell r="BD149">
            <v>-39.658000000000001</v>
          </cell>
          <cell r="BE149">
            <v>-47.198</v>
          </cell>
          <cell r="BF149">
            <v>-61.26</v>
          </cell>
          <cell r="BG149">
            <v>-38.550999999999995</v>
          </cell>
          <cell r="BH149">
            <v>-27.068000000000019</v>
          </cell>
          <cell r="BI149">
            <v>-12.284000000000001</v>
          </cell>
          <cell r="BJ149">
            <v>-39.527000000000001</v>
          </cell>
          <cell r="BK149">
            <v>-35.04</v>
          </cell>
          <cell r="BL149">
            <v>-22.941220944358072</v>
          </cell>
          <cell r="BM149">
            <v>-22.286042288475084</v>
          </cell>
          <cell r="BN149">
            <v>-21.649574889162345</v>
          </cell>
          <cell r="BO149">
            <v>-21.03128437137681</v>
          </cell>
          <cell r="BP149">
            <v>-20.430651621299912</v>
          </cell>
          <cell r="BQ149">
            <v>-19.847172350492016</v>
          </cell>
          <cell r="BR149">
            <v>-19.280356672494236</v>
          </cell>
          <cell r="BS149">
            <v>-18.729728691522023</v>
          </cell>
          <cell r="BT149">
            <v>-18.194826102905338</v>
          </cell>
        </row>
        <row r="150">
          <cell r="A150" t="str">
            <v>Tax benefit from ESOP</v>
          </cell>
          <cell r="F150">
            <v>84.188732939999994</v>
          </cell>
          <cell r="G150">
            <v>29.371063430772264</v>
          </cell>
          <cell r="H150">
            <v>59.199017118088939</v>
          </cell>
          <cell r="I150">
            <v>-0.34214971742544631</v>
          </cell>
          <cell r="J150">
            <v>-6.8985002103039008</v>
          </cell>
          <cell r="K150">
            <v>-0.463858010502328</v>
          </cell>
          <cell r="L150">
            <v>-26.991847376492412</v>
          </cell>
          <cell r="M150">
            <v>0</v>
          </cell>
          <cell r="N150">
            <v>0</v>
          </cell>
          <cell r="O150">
            <v>0</v>
          </cell>
          <cell r="P150">
            <v>0</v>
          </cell>
          <cell r="Q150">
            <v>0</v>
          </cell>
          <cell r="R150">
            <v>0</v>
          </cell>
          <cell r="S150">
            <v>0</v>
          </cell>
          <cell r="T150">
            <v>0</v>
          </cell>
          <cell r="U150">
            <v>0</v>
          </cell>
          <cell r="V150">
            <v>0</v>
          </cell>
          <cell r="AS150">
            <v>25.261536785333323</v>
          </cell>
          <cell r="AT150">
            <v>20.930504934156865</v>
          </cell>
          <cell r="AU150">
            <v>3.986404981658533</v>
          </cell>
          <cell r="AV150">
            <v>9.0865213291926548</v>
          </cell>
          <cell r="AW150">
            <v>1.5297845253539037</v>
          </cell>
          <cell r="AX150">
            <v>-0.37432531938495162</v>
          </cell>
          <cell r="AY150">
            <v>-1.1079809117152852</v>
          </cell>
          <cell r="AZ150">
            <v>1.0662895100819918</v>
          </cell>
          <cell r="BA150">
            <v>0</v>
          </cell>
          <cell r="BB150">
            <v>-6.3988914350729704</v>
          </cell>
          <cell r="BC150">
            <v>-0.2163396104785732</v>
          </cell>
          <cell r="BD150">
            <v>-0.28326916475235747</v>
          </cell>
          <cell r="BE150">
            <v>-10.49118266735071</v>
          </cell>
          <cell r="BF150">
            <v>20.722001287970404</v>
          </cell>
          <cell r="BG150">
            <v>-10.694676631122022</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row>
        <row r="151">
          <cell r="A151" t="str">
            <v>Gross Proceeds for Share Issuances</v>
          </cell>
          <cell r="E151">
            <v>40.058166839999998</v>
          </cell>
          <cell r="F151">
            <v>147.49688304</v>
          </cell>
          <cell r="G151">
            <v>69.229234550772262</v>
          </cell>
          <cell r="H151">
            <v>186.86052286808894</v>
          </cell>
          <cell r="I151">
            <v>-135.92385028257453</v>
          </cell>
          <cell r="J151">
            <v>-115.12849978969609</v>
          </cell>
          <cell r="K151">
            <v>-173.61314198949768</v>
          </cell>
          <cell r="L151">
            <v>-136.78406832085048</v>
          </cell>
          <cell r="M151">
            <v>-85.397553170314154</v>
          </cell>
          <cell r="N151">
            <v>-76.052083817413617</v>
          </cell>
          <cell r="O151">
            <v>-64.213971506109559</v>
          </cell>
          <cell r="P151">
            <v>-56.652775360971795</v>
          </cell>
          <cell r="Q151">
            <v>-49.981910179708571</v>
          </cell>
          <cell r="R151">
            <v>-44.096539477454492</v>
          </cell>
          <cell r="S151">
            <v>-38.904171267070225</v>
          </cell>
          <cell r="T151">
            <v>-34.323204494342839</v>
          </cell>
          <cell r="U151">
            <v>-30.281646630464127</v>
          </cell>
          <cell r="V151">
            <v>-26.715982268014521</v>
          </cell>
          <cell r="AS151">
            <v>76.553785065333315</v>
          </cell>
          <cell r="AT151">
            <v>69.793132814156877</v>
          </cell>
          <cell r="AU151">
            <v>15.652226901658526</v>
          </cell>
          <cell r="AV151">
            <v>25.244423829192662</v>
          </cell>
          <cell r="AW151">
            <v>-30.094784525353905</v>
          </cell>
          <cell r="AX151">
            <v>-40.938674680615051</v>
          </cell>
          <cell r="AY151">
            <v>-47.437019088284714</v>
          </cell>
          <cell r="AZ151">
            <v>-18.909289510081976</v>
          </cell>
          <cell r="BA151">
            <v>-33.197000000000003</v>
          </cell>
          <cell r="BB151">
            <v>-9.9961085649270256</v>
          </cell>
          <cell r="BC151">
            <v>-32.560660389521431</v>
          </cell>
          <cell r="BD151">
            <v>-39.374730835247647</v>
          </cell>
          <cell r="BE151">
            <v>-36.706817332649294</v>
          </cell>
          <cell r="BF151">
            <v>-81.982001287970405</v>
          </cell>
          <cell r="BG151">
            <v>-27.856323368877973</v>
          </cell>
          <cell r="BH151">
            <v>-27.068000000000019</v>
          </cell>
          <cell r="BI151">
            <v>-12.284000000000001</v>
          </cell>
          <cell r="BJ151">
            <v>-39.527000000000001</v>
          </cell>
          <cell r="BK151">
            <v>-35.04</v>
          </cell>
          <cell r="BL151">
            <v>-22.941220944358072</v>
          </cell>
          <cell r="BM151">
            <v>-22.286042288475084</v>
          </cell>
          <cell r="BN151">
            <v>-21.649574889162345</v>
          </cell>
          <cell r="BO151">
            <v>-21.03128437137681</v>
          </cell>
          <cell r="BP151">
            <v>-20.430651621299912</v>
          </cell>
          <cell r="BQ151">
            <v>-19.847172350492016</v>
          </cell>
          <cell r="BR151">
            <v>-19.280356672494236</v>
          </cell>
          <cell r="BS151">
            <v>-18.729728691522023</v>
          </cell>
          <cell r="BT151">
            <v>-18.194826102905338</v>
          </cell>
        </row>
        <row r="153">
          <cell r="A153" t="str">
            <v>Options Analysis</v>
          </cell>
        </row>
        <row r="154">
          <cell r="A154" t="str">
            <v>Options outstanding (BOP)</v>
          </cell>
          <cell r="E154">
            <v>18.534607999999999</v>
          </cell>
          <cell r="F154">
            <v>15.290319</v>
          </cell>
          <cell r="G154">
            <v>20.403502000000003</v>
          </cell>
          <cell r="H154">
            <v>20.435594000000002</v>
          </cell>
          <cell r="I154">
            <v>17.392583000000005</v>
          </cell>
          <cell r="J154">
            <v>13.185866000000004</v>
          </cell>
          <cell r="K154">
            <v>11.434178000000006</v>
          </cell>
          <cell r="L154">
            <v>7.9625660000000051</v>
          </cell>
          <cell r="M154">
            <v>6.6667193706594059</v>
          </cell>
          <cell r="N154">
            <v>5.2750789783976826</v>
          </cell>
          <cell r="O154">
            <v>4.173935736788156</v>
          </cell>
          <cell r="P154">
            <v>3.3026499899209441</v>
          </cell>
          <cell r="Q154">
            <v>2.6132402709961537</v>
          </cell>
          <cell r="R154">
            <v>2.067740976124302</v>
          </cell>
          <cell r="S154">
            <v>1.6361116089465677</v>
          </cell>
          <cell r="T154">
            <v>1.2945824587502914</v>
          </cell>
          <cell r="U154">
            <v>1.024345609027876</v>
          </cell>
          <cell r="V154">
            <v>0.81051919067990685</v>
          </cell>
          <cell r="AS154">
            <v>20.435593999999998</v>
          </cell>
          <cell r="AT154">
            <v>21.214959999999998</v>
          </cell>
          <cell r="AU154">
            <v>18.369038999999997</v>
          </cell>
          <cell r="AV154">
            <v>17.897247999999998</v>
          </cell>
          <cell r="AW154">
            <v>17.392582999999998</v>
          </cell>
          <cell r="AX154">
            <v>18.021866999999997</v>
          </cell>
          <cell r="AY154">
            <v>15.711402999999995</v>
          </cell>
          <cell r="AZ154">
            <v>13.848452999999994</v>
          </cell>
          <cell r="BA154">
            <v>13.185865999999995</v>
          </cell>
          <cell r="BB154">
            <v>13.998897999999995</v>
          </cell>
          <cell r="BC154">
            <v>13.677446999999995</v>
          </cell>
          <cell r="BD154">
            <v>12.693024999999995</v>
          </cell>
          <cell r="BE154">
            <v>11.434177999999996</v>
          </cell>
          <cell r="BF154">
            <v>11.132432999999995</v>
          </cell>
          <cell r="BG154">
            <v>9.6175359999999959</v>
          </cell>
          <cell r="BH154">
            <v>8.4425539999999959</v>
          </cell>
          <cell r="BI154">
            <v>7.9625659999999963</v>
          </cell>
          <cell r="BJ154">
            <v>8.6121879999999962</v>
          </cell>
          <cell r="BK154">
            <v>7.6973849999999961</v>
          </cell>
          <cell r="BL154">
            <v>7.0685929999999955</v>
          </cell>
          <cell r="BM154">
            <v>6.6667193706593952</v>
          </cell>
          <cell r="BN154">
            <v>6.2876936282970641</v>
          </cell>
          <cell r="BO154">
            <v>5.9302167925837175</v>
          </cell>
          <cell r="BP154">
            <v>5.5930637346537742</v>
          </cell>
          <cell r="BQ154">
            <v>5.2750789783976701</v>
          </cell>
          <cell r="BR154">
            <v>4.975172740465033</v>
          </cell>
          <cell r="BS154">
            <v>4.692317195407183</v>
          </cell>
          <cell r="BT154">
            <v>4.4255429531590309</v>
          </cell>
        </row>
        <row r="155">
          <cell r="A155" t="str">
            <v>Options granted &amp; assumed</v>
          </cell>
          <cell r="E155">
            <v>5.2880989999999999</v>
          </cell>
          <cell r="F155">
            <v>16.983944999999999</v>
          </cell>
          <cell r="G155">
            <v>4.8062310000000004</v>
          </cell>
          <cell r="H155">
            <v>5.6671100000000001</v>
          </cell>
          <cell r="I155">
            <v>1.7472000000000001</v>
          </cell>
          <cell r="J155">
            <v>1.698669</v>
          </cell>
          <cell r="K155">
            <v>1.111683</v>
          </cell>
          <cell r="L155">
            <v>1.1367755142580078</v>
          </cell>
          <cell r="M155">
            <v>7.6846564074303944E-2</v>
          </cell>
          <cell r="N155">
            <v>6.0805273504463672E-2</v>
          </cell>
          <cell r="O155">
            <v>4.8112512647640104E-2</v>
          </cell>
          <cell r="P155">
            <v>3.806929464924453E-2</v>
          </cell>
          <cell r="Q155">
            <v>3.0122542252261363E-2</v>
          </cell>
          <cell r="R155">
            <v>2.3834629984595134E-2</v>
          </cell>
          <cell r="S155">
            <v>1.8859284244506749E-2</v>
          </cell>
          <cell r="T155">
            <v>1.4922514108462341E-2</v>
          </cell>
          <cell r="U155">
            <v>1.1807522726220075E-2</v>
          </cell>
          <cell r="V155">
            <v>9.3427683778259489E-3</v>
          </cell>
          <cell r="AS155">
            <v>4.6245099999999999</v>
          </cell>
          <cell r="AT155">
            <v>0.25860000000000039</v>
          </cell>
          <cell r="AU155">
            <v>0.26859999999999928</v>
          </cell>
          <cell r="AV155">
            <v>0.51540000000000052</v>
          </cell>
          <cell r="AW155">
            <v>1.5886</v>
          </cell>
          <cell r="AX155">
            <v>1.1099999999999888E-2</v>
          </cell>
          <cell r="AY155">
            <v>3.0000000000000027E-2</v>
          </cell>
          <cell r="AZ155">
            <v>0.11750000000000016</v>
          </cell>
          <cell r="BA155">
            <v>1.4798389999999999</v>
          </cell>
          <cell r="BB155">
            <v>0.13786300000000007</v>
          </cell>
          <cell r="BC155">
            <v>5.4348000000000063E-2</v>
          </cell>
          <cell r="BD155">
            <v>2.6618999999999948E-2</v>
          </cell>
          <cell r="BE155">
            <v>1.043337</v>
          </cell>
          <cell r="BF155">
            <v>2.3508000000000084E-2</v>
          </cell>
          <cell r="BG155">
            <v>1.8332999999999933E-2</v>
          </cell>
          <cell r="BH155">
            <v>2.6505000000000001E-2</v>
          </cell>
          <cell r="BI155">
            <v>1.023002</v>
          </cell>
          <cell r="BJ155">
            <v>3.4212000000000131E-2</v>
          </cell>
          <cell r="BK155">
            <v>5.7369999999999921E-2</v>
          </cell>
          <cell r="BL155">
            <v>2.2191514258007704E-2</v>
          </cell>
          <cell r="BM155">
            <v>2.0929850957343878E-2</v>
          </cell>
          <cell r="BN155">
            <v>1.9739917519984329E-2</v>
          </cell>
          <cell r="BO155">
            <v>1.8617635858465521E-2</v>
          </cell>
          <cell r="BP155">
            <v>1.7559159738510216E-2</v>
          </cell>
          <cell r="BQ155">
            <v>1.6560861597382775E-2</v>
          </cell>
          <cell r="BR155">
            <v>1.5619320111665946E-2</v>
          </cell>
          <cell r="BS155">
            <v>1.4731308471851936E-2</v>
          </cell>
          <cell r="BT155">
            <v>1.389378332356301E-2</v>
          </cell>
        </row>
        <row r="156">
          <cell r="A156" t="str">
            <v>% of outstanding</v>
          </cell>
          <cell r="E156">
            <v>0.28530946001123952</v>
          </cell>
          <cell r="F156">
            <v>1.1107645955587975</v>
          </cell>
          <cell r="G156">
            <v>0.23555912117439445</v>
          </cell>
          <cell r="H156">
            <v>0.27731564837312778</v>
          </cell>
          <cell r="I156">
            <v>0.10045661417858402</v>
          </cell>
          <cell r="J156">
            <v>0.12882498578402052</v>
          </cell>
          <cell r="K156">
            <v>9.7224566558260631E-2</v>
          </cell>
          <cell r="L156">
            <v>0.1427649722787864</v>
          </cell>
          <cell r="M156">
            <v>1.1526893484149018E-2</v>
          </cell>
          <cell r="N156">
            <v>1.1526893484149012E-2</v>
          </cell>
          <cell r="O156">
            <v>1.1526893484149012E-2</v>
          </cell>
          <cell r="P156">
            <v>1.1526893484149012E-2</v>
          </cell>
          <cell r="Q156">
            <v>1.1526893484149012E-2</v>
          </cell>
          <cell r="R156">
            <v>1.1526893484149012E-2</v>
          </cell>
          <cell r="S156">
            <v>1.1526893484149012E-2</v>
          </cell>
          <cell r="T156">
            <v>1.1526893484149012E-2</v>
          </cell>
          <cell r="U156">
            <v>1.1526893484149012E-2</v>
          </cell>
          <cell r="V156">
            <v>1.1526893484149012E-2</v>
          </cell>
          <cell r="AS156">
            <v>0.22629682308231414</v>
          </cell>
          <cell r="AT156">
            <v>1.218951155222543E-2</v>
          </cell>
          <cell r="AU156">
            <v>1.4622430710719234E-2</v>
          </cell>
          <cell r="AV156">
            <v>2.8797723538278096E-2</v>
          </cell>
          <cell r="AW156">
            <v>9.1337784617730455E-2</v>
          </cell>
          <cell r="AX156">
            <v>6.1591842842919047E-4</v>
          </cell>
          <cell r="AY156">
            <v>1.9094411873974613E-3</v>
          </cell>
          <cell r="AZ156">
            <v>8.4847022263064478E-3</v>
          </cell>
          <cell r="BA156">
            <v>0.11222918540200548</v>
          </cell>
          <cell r="BB156">
            <v>9.8481323315592496E-3</v>
          </cell>
          <cell r="BC156">
            <v>3.9735485723322549E-3</v>
          </cell>
          <cell r="BD156">
            <v>2.0971360254943136E-3</v>
          </cell>
          <cell r="BE156">
            <v>9.1247223893138649E-2</v>
          </cell>
          <cell r="BF156">
            <v>2.1116677728938585E-3</v>
          </cell>
          <cell r="BG156">
            <v>1.9062054979570588E-3</v>
          </cell>
          <cell r="BH156">
            <v>3.1394528243467576E-3</v>
          </cell>
          <cell r="BI156">
            <v>3.1394528243467576E-3</v>
          </cell>
          <cell r="BJ156">
            <v>3.1394528243467576E-3</v>
          </cell>
          <cell r="BK156">
            <v>3.1394528243467576E-3</v>
          </cell>
          <cell r="BL156">
            <v>3.1394528243467576E-3</v>
          </cell>
          <cell r="BM156">
            <v>3.1394528243467576E-3</v>
          </cell>
          <cell r="BN156">
            <v>3.1394528243467576E-3</v>
          </cell>
          <cell r="BO156">
            <v>3.1394528243467576E-3</v>
          </cell>
          <cell r="BP156">
            <v>3.1394528243467576E-3</v>
          </cell>
          <cell r="BQ156">
            <v>3.1394528243467576E-3</v>
          </cell>
          <cell r="BR156">
            <v>3.1394528243467576E-3</v>
          </cell>
          <cell r="BS156">
            <v>3.1394528243467576E-3</v>
          </cell>
          <cell r="BT156">
            <v>3.1394528243467576E-3</v>
          </cell>
        </row>
        <row r="157">
          <cell r="A157" t="str">
            <v>Options exercised</v>
          </cell>
          <cell r="E157">
            <v>-6.2493239999999997</v>
          </cell>
          <cell r="F157">
            <v>-11.106693</v>
          </cell>
          <cell r="G157">
            <v>-3.8848120000000002</v>
          </cell>
          <cell r="H157">
            <v>-7.4006670000000003</v>
          </cell>
          <cell r="I157">
            <v>-4.5447030000000002</v>
          </cell>
          <cell r="J157">
            <v>-2.9214130000000003</v>
          </cell>
          <cell r="K157">
            <v>-4.2393939999999999</v>
          </cell>
          <cell r="L157">
            <v>-2.227956956844694</v>
          </cell>
          <cell r="M157">
            <v>-1.3875726416714107</v>
          </cell>
          <cell r="N157">
            <v>-1.0979246112104786</v>
          </cell>
          <cell r="O157">
            <v>-0.86873898756728274</v>
          </cell>
          <cell r="P157">
            <v>-0.68739458138874499</v>
          </cell>
          <cell r="Q157">
            <v>-0.54390480602899449</v>
          </cell>
          <cell r="R157">
            <v>-0.43036771896538228</v>
          </cell>
          <cell r="S157">
            <v>-0.34053086399385996</v>
          </cell>
          <cell r="T157">
            <v>-0.26944695018292575</v>
          </cell>
          <cell r="U157">
            <v>-0.21320140592069542</v>
          </cell>
          <cell r="V157">
            <v>-0.16869680453128957</v>
          </cell>
          <cell r="AS157">
            <v>-3.1352229999999999</v>
          </cell>
          <cell r="AT157">
            <v>-2.6759380000000004</v>
          </cell>
          <cell r="AU157">
            <v>-0.65281599999999962</v>
          </cell>
          <cell r="AV157">
            <v>-0.93669000000000047</v>
          </cell>
          <cell r="AW157">
            <v>-0.77720400000000001</v>
          </cell>
          <cell r="AX157">
            <v>-1.5544269999999998</v>
          </cell>
          <cell r="AY157">
            <v>-1.6914500000000008</v>
          </cell>
          <cell r="AZ157">
            <v>-0.52162199999999981</v>
          </cell>
          <cell r="BA157">
            <v>-0.56350800000000001</v>
          </cell>
          <cell r="BB157">
            <v>-0.30437800000000004</v>
          </cell>
          <cell r="BC157">
            <v>-0.93540199999999996</v>
          </cell>
          <cell r="BD157">
            <v>-1.118125</v>
          </cell>
          <cell r="BE157">
            <v>-1.2809550000000001</v>
          </cell>
          <cell r="BF157">
            <v>-1.4484330000000001</v>
          </cell>
          <cell r="BG157">
            <v>-1.0314209999999999</v>
          </cell>
          <cell r="BH157">
            <v>-0.47858499999999982</v>
          </cell>
          <cell r="BI157">
            <v>-0.303568</v>
          </cell>
          <cell r="BJ157">
            <v>-0.83902799999999989</v>
          </cell>
          <cell r="BK157">
            <v>-0.6846620000000001</v>
          </cell>
          <cell r="BL157">
            <v>-0.40069895684469398</v>
          </cell>
          <cell r="BM157">
            <v>-0.37791785400567496</v>
          </cell>
          <cell r="BN157">
            <v>-0.35643193458976408</v>
          </cell>
          <cell r="BO157">
            <v>-0.33616756300032891</v>
          </cell>
          <cell r="BP157">
            <v>-0.31705529007564265</v>
          </cell>
          <cell r="BQ157">
            <v>-0.29902961507577558</v>
          </cell>
          <cell r="BR157">
            <v>-0.28202876120134479</v>
          </cell>
          <cell r="BS157">
            <v>-0.26599446387478803</v>
          </cell>
          <cell r="BT157">
            <v>-0.25087177105857011</v>
          </cell>
        </row>
        <row r="158">
          <cell r="A158" t="str">
            <v>% of outstanding</v>
          </cell>
          <cell r="E158">
            <v>-0.33717055143545521</v>
          </cell>
          <cell r="F158">
            <v>-0.72638726504005569</v>
          </cell>
          <cell r="G158">
            <v>-0.19039927557533995</v>
          </cell>
          <cell r="H158">
            <v>-0.36214592049538663</v>
          </cell>
          <cell r="I158">
            <v>-0.26130121098171555</v>
          </cell>
          <cell r="J158">
            <v>-0.22155639986027459</v>
          </cell>
          <cell r="K158">
            <v>-0.37076508691748522</v>
          </cell>
          <cell r="L158">
            <v>-0.2798038919670735</v>
          </cell>
          <cell r="M158">
            <v>-0.20813425082480497</v>
          </cell>
          <cell r="N158">
            <v>-0.20813425082480486</v>
          </cell>
          <cell r="O158">
            <v>-0.20813425082480486</v>
          </cell>
          <cell r="P158">
            <v>-0.20813425082480486</v>
          </cell>
          <cell r="Q158">
            <v>-0.20813425082480486</v>
          </cell>
          <cell r="R158">
            <v>-0.20813425082480486</v>
          </cell>
          <cell r="S158">
            <v>-0.20813425082480486</v>
          </cell>
          <cell r="T158">
            <v>-0.20813425082480486</v>
          </cell>
          <cell r="U158">
            <v>-0.20813425082480486</v>
          </cell>
          <cell r="V158">
            <v>-0.20813425082480486</v>
          </cell>
          <cell r="AS158">
            <v>-0.15341971464103271</v>
          </cell>
          <cell r="AT158">
            <v>-0.12613448245954745</v>
          </cell>
          <cell r="AU158">
            <v>-3.5538930479705536E-2</v>
          </cell>
          <cell r="AV158">
            <v>-5.2337096742471279E-2</v>
          </cell>
          <cell r="AW158">
            <v>-4.4685944577639795E-2</v>
          </cell>
          <cell r="AX158">
            <v>-8.6252273418730707E-2</v>
          </cell>
          <cell r="AY158">
            <v>-0.10765747654744781</v>
          </cell>
          <cell r="AZ158">
            <v>-3.7666445486726929E-2</v>
          </cell>
          <cell r="BA158">
            <v>-4.2735759638388576E-2</v>
          </cell>
          <cell r="BB158">
            <v>-2.1742997198779514E-2</v>
          </cell>
          <cell r="BC158">
            <v>-6.8390102334156391E-2</v>
          </cell>
          <cell r="BD158">
            <v>-8.8089718565905334E-2</v>
          </cell>
          <cell r="BE158">
            <v>-0.1120286040675596</v>
          </cell>
          <cell r="BF158">
            <v>-0.13010929416777092</v>
          </cell>
          <cell r="BG158">
            <v>-0.10724378884570854</v>
          </cell>
          <cell r="BH158">
            <v>-5.6687229954347947E-2</v>
          </cell>
          <cell r="BI158">
            <v>-5.6687229954347947E-2</v>
          </cell>
          <cell r="BJ158">
            <v>-5.6687229954347947E-2</v>
          </cell>
          <cell r="BK158">
            <v>-5.6687229954347947E-2</v>
          </cell>
          <cell r="BL158">
            <v>-5.6687229954347947E-2</v>
          </cell>
          <cell r="BM158">
            <v>-5.6687229954347947E-2</v>
          </cell>
          <cell r="BN158">
            <v>-5.6687229954347947E-2</v>
          </cell>
          <cell r="BO158">
            <v>-5.6687229954347947E-2</v>
          </cell>
          <cell r="BP158">
            <v>-5.6687229954347947E-2</v>
          </cell>
          <cell r="BQ158">
            <v>-5.6687229954347947E-2</v>
          </cell>
          <cell r="BR158">
            <v>-5.6687229954347947E-2</v>
          </cell>
          <cell r="BS158">
            <v>-5.6687229954347947E-2</v>
          </cell>
          <cell r="BT158">
            <v>-5.6687229954347947E-2</v>
          </cell>
        </row>
        <row r="159">
          <cell r="A159" t="str">
            <v>Options cancelled / forfeited</v>
          </cell>
          <cell r="E159">
            <v>-2.283064</v>
          </cell>
          <cell r="F159">
            <v>-0.764069</v>
          </cell>
          <cell r="G159">
            <v>-0.88932699999999998</v>
          </cell>
          <cell r="H159">
            <v>-1.3094539999999999</v>
          </cell>
          <cell r="I159">
            <v>-1.409214</v>
          </cell>
          <cell r="J159">
            <v>-0.52894399999999997</v>
          </cell>
          <cell r="K159">
            <v>-0.34390099999999996</v>
          </cell>
          <cell r="L159">
            <v>-0.20466518675391354</v>
          </cell>
          <cell r="M159">
            <v>-8.0914314664616988E-2</v>
          </cell>
          <cell r="N159">
            <v>-6.4023903903511453E-2</v>
          </cell>
          <cell r="O159">
            <v>-5.0659271947569862E-2</v>
          </cell>
          <cell r="P159">
            <v>-4.0084432185290161E-2</v>
          </cell>
          <cell r="Q159">
            <v>-3.1717031095118267E-2</v>
          </cell>
          <cell r="R159">
            <v>-2.5096278196947014E-2</v>
          </cell>
          <cell r="S159">
            <v>-1.9857570446922997E-2</v>
          </cell>
          <cell r="T159">
            <v>-1.5712413647951961E-2</v>
          </cell>
          <cell r="U159">
            <v>-1.2432535153493667E-2</v>
          </cell>
          <cell r="V159">
            <v>-9.8373129556071082E-3</v>
          </cell>
          <cell r="AS159">
            <v>-0.70992100000000002</v>
          </cell>
          <cell r="AT159">
            <v>-0.42858299999999994</v>
          </cell>
          <cell r="AU159">
            <v>-8.7574999999999958E-2</v>
          </cell>
          <cell r="AV159">
            <v>-8.3374999999999977E-2</v>
          </cell>
          <cell r="AW159">
            <v>-0.182112</v>
          </cell>
          <cell r="AX159">
            <v>-0.76713699999999996</v>
          </cell>
          <cell r="AY159">
            <v>-0.20150000000000007</v>
          </cell>
          <cell r="AZ159">
            <v>-0.258465</v>
          </cell>
          <cell r="BA159">
            <v>-0.103299</v>
          </cell>
          <cell r="BB159">
            <v>-0.15493599999999999</v>
          </cell>
          <cell r="BC159">
            <v>-0.10336800000000002</v>
          </cell>
          <cell r="BD159">
            <v>-0.16734099999999999</v>
          </cell>
          <cell r="BE159">
            <v>-6.4127000000000003E-2</v>
          </cell>
          <cell r="BF159">
            <v>-8.9971999999999983E-2</v>
          </cell>
          <cell r="BG159">
            <v>-0.16189399999999998</v>
          </cell>
          <cell r="BH159">
            <v>-2.7907999999999988E-2</v>
          </cell>
          <cell r="BI159">
            <v>-6.9812000000000013E-2</v>
          </cell>
          <cell r="BJ159">
            <v>-0.10998699999999997</v>
          </cell>
          <cell r="BK159">
            <v>-1.5000000000000013E-3</v>
          </cell>
          <cell r="BL159">
            <v>-2.3366186753913554E-2</v>
          </cell>
          <cell r="BM159">
            <v>-2.2037739313999345E-2</v>
          </cell>
          <cell r="BN159">
            <v>-2.0784818643566211E-2</v>
          </cell>
          <cell r="BO159">
            <v>-1.9603130788079817E-2</v>
          </cell>
          <cell r="BP159">
            <v>-1.8488625918971623E-2</v>
          </cell>
          <cell r="BQ159">
            <v>-1.7437484454244791E-2</v>
          </cell>
          <cell r="BR159">
            <v>-1.6446103968171023E-2</v>
          </cell>
          <cell r="BS159">
            <v>-1.5511086845215757E-2</v>
          </cell>
          <cell r="BT159">
            <v>-1.4629228635879883E-2</v>
          </cell>
        </row>
        <row r="160">
          <cell r="A160" t="str">
            <v>% of outstanding</v>
          </cell>
          <cell r="E160">
            <v>-0.12317843463427984</v>
          </cell>
          <cell r="F160">
            <v>-4.9970769085981789E-2</v>
          </cell>
          <cell r="G160">
            <v>-4.3586978353029784E-2</v>
          </cell>
          <cell r="H160">
            <v>-6.4077119559137835E-2</v>
          </cell>
          <cell r="I160">
            <v>-8.1023847924140968E-2</v>
          </cell>
          <cell r="J160">
            <v>-4.0114468022047226E-2</v>
          </cell>
          <cell r="K160">
            <v>-3.0076582680451516E-2</v>
          </cell>
          <cell r="L160">
            <v>-2.5703421077315203E-2</v>
          </cell>
          <cell r="M160">
            <v>-1.2137051249033413E-2</v>
          </cell>
          <cell r="N160">
            <v>-1.2137051249033406E-2</v>
          </cell>
          <cell r="O160">
            <v>-1.2137051249033406E-2</v>
          </cell>
          <cell r="P160">
            <v>-1.2137051249033406E-2</v>
          </cell>
          <cell r="Q160">
            <v>-1.2137051249033406E-2</v>
          </cell>
          <cell r="R160">
            <v>-1.2137051249033406E-2</v>
          </cell>
          <cell r="S160">
            <v>-1.2137051249033406E-2</v>
          </cell>
          <cell r="T160">
            <v>-1.2137051249033406E-2</v>
          </cell>
          <cell r="U160">
            <v>-1.2137051249033406E-2</v>
          </cell>
          <cell r="V160">
            <v>-1.2137051249033406E-2</v>
          </cell>
          <cell r="AS160">
            <v>-3.4739435516285951E-2</v>
          </cell>
          <cell r="AT160">
            <v>-2.0201923548288564E-2</v>
          </cell>
          <cell r="AU160">
            <v>-4.7675330211885318E-3</v>
          </cell>
          <cell r="AV160">
            <v>-4.6585374466510156E-3</v>
          </cell>
          <cell r="AW160">
            <v>-1.0470670170152416E-2</v>
          </cell>
          <cell r="AX160">
            <v>-4.256701039908907E-2</v>
          </cell>
          <cell r="AY160">
            <v>-1.282507997535294E-2</v>
          </cell>
          <cell r="AZ160">
            <v>-1.8663817539764198E-2</v>
          </cell>
          <cell r="BA160">
            <v>-7.8340702082062754E-3</v>
          </cell>
          <cell r="BB160">
            <v>-1.1067728331187215E-2</v>
          </cell>
          <cell r="BC160">
            <v>-7.5575507622146184E-3</v>
          </cell>
          <cell r="BD160">
            <v>-1.3183697345589412E-2</v>
          </cell>
          <cell r="BE160">
            <v>-5.6083611782149993E-3</v>
          </cell>
          <cell r="BF160">
            <v>-8.081970940224838E-3</v>
          </cell>
          <cell r="BG160">
            <v>-1.6833209670335525E-2</v>
          </cell>
          <cell r="BH160">
            <v>-3.3056347640773162E-3</v>
          </cell>
          <cell r="BI160">
            <v>-3.3056347640773162E-3</v>
          </cell>
          <cell r="BJ160">
            <v>-3.3056347640773162E-3</v>
          </cell>
          <cell r="BK160">
            <v>-3.3056347640773162E-3</v>
          </cell>
          <cell r="BL160">
            <v>-3.3056347640773162E-3</v>
          </cell>
          <cell r="BM160">
            <v>-3.3056347640773162E-3</v>
          </cell>
          <cell r="BN160">
            <v>-3.3056347640773162E-3</v>
          </cell>
          <cell r="BO160">
            <v>-3.3056347640773162E-3</v>
          </cell>
          <cell r="BP160">
            <v>-3.3056347640773162E-3</v>
          </cell>
          <cell r="BQ160">
            <v>-3.3056347640773162E-3</v>
          </cell>
          <cell r="BR160">
            <v>-3.3056347640773162E-3</v>
          </cell>
          <cell r="BS160">
            <v>-3.3056347640773162E-3</v>
          </cell>
          <cell r="BT160">
            <v>-3.3056347640773162E-3</v>
          </cell>
        </row>
        <row r="161">
          <cell r="A161" t="str">
            <v>Options outstanding (EOP)</v>
          </cell>
          <cell r="E161">
            <v>15.290319</v>
          </cell>
          <cell r="F161">
            <v>20.403502000000003</v>
          </cell>
          <cell r="G161">
            <v>20.435594000000002</v>
          </cell>
          <cell r="H161">
            <v>17.392583000000005</v>
          </cell>
          <cell r="I161">
            <v>13.185866000000004</v>
          </cell>
          <cell r="J161">
            <v>11.434178000000006</v>
          </cell>
          <cell r="K161">
            <v>7.9625660000000051</v>
          </cell>
          <cell r="L161">
            <v>6.6667193706594059</v>
          </cell>
          <cell r="M161">
            <v>5.2750789783976826</v>
          </cell>
          <cell r="N161">
            <v>4.173935736788156</v>
          </cell>
          <cell r="O161">
            <v>3.3026499899209441</v>
          </cell>
          <cell r="P161">
            <v>2.6132402709961537</v>
          </cell>
          <cell r="Q161">
            <v>2.067740976124302</v>
          </cell>
          <cell r="R161">
            <v>1.6361116089465677</v>
          </cell>
          <cell r="S161">
            <v>1.2945824587502914</v>
          </cell>
          <cell r="T161">
            <v>1.024345609027876</v>
          </cell>
          <cell r="U161">
            <v>0.81051919067990685</v>
          </cell>
          <cell r="V161">
            <v>0.64132784157083622</v>
          </cell>
          <cell r="AS161">
            <v>21.214959999999998</v>
          </cell>
          <cell r="AT161">
            <v>18.369038999999997</v>
          </cell>
          <cell r="AU161">
            <v>17.897247999999998</v>
          </cell>
          <cell r="AV161">
            <v>17.392582999999998</v>
          </cell>
          <cell r="AW161">
            <v>18.021866999999997</v>
          </cell>
          <cell r="AX161">
            <v>15.711402999999995</v>
          </cell>
          <cell r="AY161">
            <v>13.848452999999994</v>
          </cell>
          <cell r="AZ161">
            <v>13.185865999999995</v>
          </cell>
          <cell r="BA161">
            <v>13.998897999999995</v>
          </cell>
          <cell r="BB161">
            <v>13.677446999999995</v>
          </cell>
          <cell r="BC161">
            <v>12.693024999999995</v>
          </cell>
          <cell r="BD161">
            <v>11.434177999999996</v>
          </cell>
          <cell r="BE161">
            <v>11.132432999999995</v>
          </cell>
          <cell r="BF161">
            <v>9.6175359999999959</v>
          </cell>
          <cell r="BG161">
            <v>8.4425539999999959</v>
          </cell>
          <cell r="BH161">
            <v>7.9625659999999963</v>
          </cell>
          <cell r="BI161">
            <v>8.6121879999999962</v>
          </cell>
          <cell r="BJ161">
            <v>7.6973849999999961</v>
          </cell>
          <cell r="BK161">
            <v>7.0685929999999955</v>
          </cell>
          <cell r="BL161">
            <v>6.6667193706593952</v>
          </cell>
          <cell r="BM161">
            <v>6.2876936282970641</v>
          </cell>
          <cell r="BN161">
            <v>5.9302167925837175</v>
          </cell>
          <cell r="BO161">
            <v>5.5930637346537742</v>
          </cell>
          <cell r="BP161">
            <v>5.2750789783976701</v>
          </cell>
          <cell r="BQ161">
            <v>4.975172740465033</v>
          </cell>
          <cell r="BR161">
            <v>4.692317195407183</v>
          </cell>
          <cell r="BS161">
            <v>4.4255429531590309</v>
          </cell>
          <cell r="BT161">
            <v>4.1739357367881436</v>
          </cell>
        </row>
        <row r="162">
          <cell r="A162" t="str">
            <v>Weighted Average Price</v>
          </cell>
          <cell r="E162">
            <v>11.55</v>
          </cell>
          <cell r="F162">
            <v>14.48</v>
          </cell>
          <cell r="G162">
            <v>19.670000000000002</v>
          </cell>
          <cell r="H162">
            <v>26.42</v>
          </cell>
          <cell r="I162">
            <v>30.287500000000001</v>
          </cell>
          <cell r="J162">
            <v>40.444163359685874</v>
          </cell>
          <cell r="K162">
            <v>40.85525946728238</v>
          </cell>
          <cell r="L162">
            <v>53.323127845238034</v>
          </cell>
          <cell r="M162">
            <v>59.455287547440406</v>
          </cell>
          <cell r="N162">
            <v>66.292645615396054</v>
          </cell>
          <cell r="O162">
            <v>73.916299861166607</v>
          </cell>
          <cell r="P162">
            <v>82.416674345200761</v>
          </cell>
          <cell r="Q162">
            <v>91.894591894898852</v>
          </cell>
          <cell r="R162">
            <v>102.46246996281222</v>
          </cell>
          <cell r="S162">
            <v>114.24565400853562</v>
          </cell>
          <cell r="T162">
            <v>127.38390421951722</v>
          </cell>
          <cell r="U162">
            <v>142.0330532047617</v>
          </cell>
          <cell r="V162">
            <v>158.3668543233093</v>
          </cell>
          <cell r="AS162">
            <v>23.91</v>
          </cell>
          <cell r="AT162">
            <v>24.65</v>
          </cell>
          <cell r="AU162">
            <v>25.21</v>
          </cell>
          <cell r="AV162">
            <v>26.42</v>
          </cell>
          <cell r="AW162">
            <v>27.91</v>
          </cell>
          <cell r="AX162">
            <v>28.69</v>
          </cell>
          <cell r="AY162">
            <v>34.43</v>
          </cell>
          <cell r="AZ162">
            <v>30.12</v>
          </cell>
          <cell r="BA162">
            <v>58.911319803800481</v>
          </cell>
          <cell r="BB162">
            <v>32.841100752771311</v>
          </cell>
          <cell r="BC162">
            <v>34.809269586254281</v>
          </cell>
          <cell r="BD162">
            <v>35.2149632959174</v>
          </cell>
          <cell r="BE162">
            <v>28.6558211120994</v>
          </cell>
          <cell r="BF162">
            <v>56.600478784983771</v>
          </cell>
          <cell r="BG162">
            <v>27.007713987671355</v>
          </cell>
          <cell r="BH162">
            <v>51.157023984375009</v>
          </cell>
          <cell r="BI162">
            <v>51.797412483870964</v>
          </cell>
          <cell r="BJ162">
            <v>51.887452619047622</v>
          </cell>
          <cell r="BK162">
            <v>52.34593073437501</v>
          </cell>
          <cell r="BL162">
            <v>57.253008904761913</v>
          </cell>
          <cell r="BM162">
            <v>58.970599171904773</v>
          </cell>
          <cell r="BN162">
            <v>60.739717147061917</v>
          </cell>
          <cell r="BO162">
            <v>62.56190866147378</v>
          </cell>
          <cell r="BP162">
            <v>64.438765921317994</v>
          </cell>
          <cell r="BQ162">
            <v>66.371928898957535</v>
          </cell>
          <cell r="BR162">
            <v>68.363086765926269</v>
          </cell>
          <cell r="BS162">
            <v>70.413979368904066</v>
          </cell>
          <cell r="BT162">
            <v>72.526398749971193</v>
          </cell>
        </row>
        <row r="164">
          <cell r="A164" t="str">
            <v>Employee Stock Purchase Plan</v>
          </cell>
        </row>
        <row r="165">
          <cell r="A165" t="str">
            <v>Shares Issued (in mm)</v>
          </cell>
          <cell r="I165">
            <v>-5.5764000000000001E-2</v>
          </cell>
          <cell r="J165">
            <v>-7.7508999999999995E-2</v>
          </cell>
          <cell r="K165">
            <v>-7.5354000000000004E-2</v>
          </cell>
          <cell r="L165">
            <v>-8.6970000000000006E-2</v>
          </cell>
          <cell r="M165">
            <v>-8.6970000000000006E-2</v>
          </cell>
          <cell r="N165">
            <v>-8.6970000000000006E-2</v>
          </cell>
          <cell r="O165">
            <v>-8.6970000000000006E-2</v>
          </cell>
          <cell r="P165">
            <v>-8.6970000000000006E-2</v>
          </cell>
          <cell r="Q165">
            <v>-8.6970000000000006E-2</v>
          </cell>
          <cell r="R165">
            <v>-8.6970000000000006E-2</v>
          </cell>
          <cell r="S165">
            <v>-8.6970000000000006E-2</v>
          </cell>
          <cell r="T165">
            <v>-8.6970000000000006E-2</v>
          </cell>
          <cell r="U165">
            <v>-8.6970000000000006E-2</v>
          </cell>
          <cell r="V165">
            <v>-8.6970000000000006E-2</v>
          </cell>
          <cell r="AW165">
            <v>0</v>
          </cell>
          <cell r="AX165">
            <v>-2.5729999999999999E-2</v>
          </cell>
          <cell r="AY165">
            <v>7.0000000000000617E-6</v>
          </cell>
          <cell r="AZ165">
            <v>-3.0041000000000002E-2</v>
          </cell>
          <cell r="BA165">
            <v>0</v>
          </cell>
          <cell r="BB165">
            <v>-4.6639E-2</v>
          </cell>
          <cell r="BC165">
            <v>0</v>
          </cell>
          <cell r="BD165">
            <v>-3.0869999999999995E-2</v>
          </cell>
          <cell r="BE165">
            <v>0</v>
          </cell>
          <cell r="BF165">
            <v>-3.8542E-2</v>
          </cell>
          <cell r="BG165">
            <v>0</v>
          </cell>
          <cell r="BH165">
            <v>-3.6812000000000004E-2</v>
          </cell>
          <cell r="BI165">
            <v>0</v>
          </cell>
          <cell r="BJ165">
            <v>-4.3485000000000003E-2</v>
          </cell>
          <cell r="BK165">
            <v>0</v>
          </cell>
          <cell r="BL165">
            <v>-4.3485000000000003E-2</v>
          </cell>
          <cell r="BM165">
            <v>0</v>
          </cell>
          <cell r="BN165">
            <v>-4.3485000000000003E-2</v>
          </cell>
          <cell r="BO165">
            <v>0</v>
          </cell>
          <cell r="BP165">
            <v>-4.3485000000000003E-2</v>
          </cell>
          <cell r="BQ165">
            <v>0</v>
          </cell>
          <cell r="BR165">
            <v>-4.3485000000000003E-2</v>
          </cell>
          <cell r="BS165">
            <v>0</v>
          </cell>
          <cell r="BT165">
            <v>-4.3485000000000003E-2</v>
          </cell>
        </row>
        <row r="166">
          <cell r="A166" t="str">
            <v>Weighted Average Price</v>
          </cell>
          <cell r="I166">
            <v>30.109030916003157</v>
          </cell>
          <cell r="J166">
            <v>23.906901134061851</v>
          </cell>
          <cell r="K166">
            <v>34.198582689704594</v>
          </cell>
          <cell r="L166">
            <v>38.912123192541294</v>
          </cell>
          <cell r="M166">
            <v>34.429972497535154</v>
          </cell>
          <cell r="N166">
            <v>34.429972497535154</v>
          </cell>
          <cell r="O166">
            <v>38.389419334751693</v>
          </cell>
          <cell r="P166">
            <v>42.804202558248136</v>
          </cell>
          <cell r="Q166">
            <v>47.726685852446671</v>
          </cell>
          <cell r="R166">
            <v>53.21525472547804</v>
          </cell>
          <cell r="S166">
            <v>59.335009018908018</v>
          </cell>
          <cell r="T166">
            <v>66.158535056082442</v>
          </cell>
          <cell r="U166">
            <v>73.766766587531919</v>
          </cell>
          <cell r="V166">
            <v>82.249944745098091</v>
          </cell>
          <cell r="AW166" t="str">
            <v>NA</v>
          </cell>
          <cell r="AX166">
            <v>9.98</v>
          </cell>
          <cell r="AY166">
            <v>0</v>
          </cell>
          <cell r="AZ166">
            <v>30.08</v>
          </cell>
          <cell r="BA166" t="str">
            <v>NA</v>
          </cell>
          <cell r="BB166">
            <v>21.612813310748514</v>
          </cell>
          <cell r="BC166" t="str">
            <v>NA</v>
          </cell>
          <cell r="BD166">
            <v>27.405247813411087</v>
          </cell>
          <cell r="BE166" t="str">
            <v>NA</v>
          </cell>
          <cell r="BF166">
            <v>34.429972497535154</v>
          </cell>
          <cell r="BG166" t="str">
            <v>NA</v>
          </cell>
          <cell r="BH166">
            <v>34.429972497535154</v>
          </cell>
          <cell r="BI166" t="str">
            <v>NA</v>
          </cell>
          <cell r="BJ166">
            <v>34.429972497535154</v>
          </cell>
          <cell r="BK166" t="str">
            <v>NA</v>
          </cell>
          <cell r="BL166">
            <v>34.429972497535154</v>
          </cell>
          <cell r="BM166" t="str">
            <v>NA</v>
          </cell>
          <cell r="BN166">
            <v>34.429972497535154</v>
          </cell>
          <cell r="BO166" t="str">
            <v>NA</v>
          </cell>
          <cell r="BP166">
            <v>34.429972497535154</v>
          </cell>
          <cell r="BQ166" t="str">
            <v>NA</v>
          </cell>
          <cell r="BR166">
            <v>34.429972497535154</v>
          </cell>
          <cell r="BS166" t="str">
            <v>NA</v>
          </cell>
          <cell r="BT166">
            <v>34.429972497535154</v>
          </cell>
        </row>
        <row r="167">
          <cell r="A167" t="str">
            <v>Net Proceeds for Share Issuances</v>
          </cell>
          <cell r="I167">
            <v>-1.679</v>
          </cell>
          <cell r="J167">
            <v>-1.853</v>
          </cell>
          <cell r="K167">
            <v>-2.577</v>
          </cell>
          <cell r="L167">
            <v>-3.3841873540553165</v>
          </cell>
          <cell r="M167">
            <v>-2.9943747081106324</v>
          </cell>
          <cell r="N167">
            <v>-2.9943747081106324</v>
          </cell>
          <cell r="O167">
            <v>-3.3387277995433551</v>
          </cell>
          <cell r="P167">
            <v>-3.7226814964908406</v>
          </cell>
          <cell r="Q167">
            <v>-4.150789868587287</v>
          </cell>
          <cell r="R167">
            <v>-4.6281307034748256</v>
          </cell>
          <cell r="S167">
            <v>-5.1603657343744302</v>
          </cell>
          <cell r="T167">
            <v>-5.7538077938274901</v>
          </cell>
          <cell r="U167">
            <v>-6.415495690117651</v>
          </cell>
          <cell r="V167">
            <v>-7.1532776944811811</v>
          </cell>
          <cell r="AW167">
            <v>0</v>
          </cell>
          <cell r="AX167">
            <v>-0.98199999999999998</v>
          </cell>
          <cell r="AY167">
            <v>0</v>
          </cell>
          <cell r="AZ167">
            <v>-0.69700000000000006</v>
          </cell>
          <cell r="BA167">
            <v>0</v>
          </cell>
          <cell r="BB167">
            <v>-1.008</v>
          </cell>
          <cell r="BC167">
            <v>1.0000000000001119E-3</v>
          </cell>
          <cell r="BD167">
            <v>-0.84600000000000009</v>
          </cell>
          <cell r="BE167">
            <v>0</v>
          </cell>
          <cell r="BF167">
            <v>-1.327</v>
          </cell>
          <cell r="BG167">
            <v>0</v>
          </cell>
          <cell r="BH167">
            <v>-1.25</v>
          </cell>
          <cell r="BI167">
            <v>0</v>
          </cell>
          <cell r="BJ167">
            <v>-1.887</v>
          </cell>
          <cell r="BK167">
            <v>0</v>
          </cell>
          <cell r="BL167">
            <v>-1.4971873540553162</v>
          </cell>
          <cell r="BM167">
            <v>0</v>
          </cell>
          <cell r="BN167">
            <v>-1.4971873540553162</v>
          </cell>
          <cell r="BO167">
            <v>0</v>
          </cell>
          <cell r="BP167">
            <v>-1.4971873540553162</v>
          </cell>
          <cell r="BQ167">
            <v>0</v>
          </cell>
          <cell r="BR167">
            <v>-1.4971873540553162</v>
          </cell>
          <cell r="BS167">
            <v>0</v>
          </cell>
          <cell r="BT167">
            <v>-1.4971873540553162</v>
          </cell>
        </row>
        <row r="169">
          <cell r="A169" t="str">
            <v>Convertible Notes Exchanged for Stock</v>
          </cell>
        </row>
        <row r="170">
          <cell r="A170" t="str">
            <v>Shares Issued (in mm)</v>
          </cell>
          <cell r="I170">
            <v>-10.415043000000001</v>
          </cell>
          <cell r="J170">
            <v>-7.9097330000000001</v>
          </cell>
          <cell r="K170">
            <v>0</v>
          </cell>
          <cell r="L170">
            <v>0</v>
          </cell>
          <cell r="M170">
            <v>0</v>
          </cell>
          <cell r="N170">
            <v>0</v>
          </cell>
          <cell r="O170">
            <v>0</v>
          </cell>
          <cell r="P170">
            <v>0</v>
          </cell>
          <cell r="Q170">
            <v>0</v>
          </cell>
          <cell r="R170">
            <v>0</v>
          </cell>
          <cell r="S170">
            <v>0</v>
          </cell>
          <cell r="T170">
            <v>0</v>
          </cell>
          <cell r="U170">
            <v>0</v>
          </cell>
          <cell r="V170">
            <v>0</v>
          </cell>
          <cell r="AW170">
            <v>-2.42E-4</v>
          </cell>
          <cell r="AX170">
            <v>-1.1154999999999999</v>
          </cell>
          <cell r="AY170">
            <v>-2.125845</v>
          </cell>
          <cell r="AZ170">
            <v>-7.1734560000000007</v>
          </cell>
          <cell r="BA170">
            <v>0</v>
          </cell>
          <cell r="BB170">
            <v>-9.6000000000000002E-5</v>
          </cell>
          <cell r="BC170">
            <v>-7.9089029999999996</v>
          </cell>
          <cell r="BD170">
            <v>-7.3400000000055257E-4</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row>
        <row r="171">
          <cell r="A171" t="str">
            <v>Weighted Average Price</v>
          </cell>
          <cell r="I171">
            <v>19.063387448328342</v>
          </cell>
          <cell r="J171">
            <v>20.270090027059066</v>
          </cell>
          <cell r="K171" t="str">
            <v>NA</v>
          </cell>
          <cell r="L171" t="str">
            <v>NA</v>
          </cell>
          <cell r="M171" t="str">
            <v>NA</v>
          </cell>
          <cell r="N171" t="str">
            <v>NA</v>
          </cell>
          <cell r="O171" t="str">
            <v>NA</v>
          </cell>
          <cell r="P171" t="str">
            <v>NA</v>
          </cell>
          <cell r="Q171" t="str">
            <v>NA</v>
          </cell>
          <cell r="R171" t="str">
            <v>NA</v>
          </cell>
          <cell r="S171" t="str">
            <v>NA</v>
          </cell>
          <cell r="T171" t="str">
            <v>NA</v>
          </cell>
          <cell r="U171" t="str">
            <v>NA</v>
          </cell>
          <cell r="V171" t="str">
            <v>NA</v>
          </cell>
          <cell r="AW171">
            <v>20.66115702479339</v>
          </cell>
          <cell r="AX171">
            <v>12.086060062752129</v>
          </cell>
          <cell r="AY171">
            <v>18.759128722931351</v>
          </cell>
          <cell r="AZ171">
            <v>20.238501497743904</v>
          </cell>
          <cell r="BA171" t="str">
            <v>NA</v>
          </cell>
          <cell r="BB171">
            <v>20.833333333333332</v>
          </cell>
          <cell r="BC171">
            <v>20.268803397892224</v>
          </cell>
          <cell r="BD171">
            <v>34.059945504043583</v>
          </cell>
          <cell r="BE171" t="str">
            <v>NA</v>
          </cell>
          <cell r="BF171" t="str">
            <v>NA</v>
          </cell>
          <cell r="BG171" t="str">
            <v>NA</v>
          </cell>
          <cell r="BH171" t="str">
            <v>NA</v>
          </cell>
          <cell r="BI171" t="str">
            <v>NA</v>
          </cell>
          <cell r="BJ171" t="str">
            <v>NA</v>
          </cell>
          <cell r="BK171" t="str">
            <v>NA</v>
          </cell>
          <cell r="BL171" t="str">
            <v>NA</v>
          </cell>
          <cell r="BM171" t="str">
            <v>NA</v>
          </cell>
          <cell r="BN171" t="str">
            <v>NA</v>
          </cell>
          <cell r="BO171" t="str">
            <v>NA</v>
          </cell>
          <cell r="BP171" t="str">
            <v>NA</v>
          </cell>
          <cell r="BQ171" t="str">
            <v>NA</v>
          </cell>
          <cell r="BR171" t="str">
            <v>NA</v>
          </cell>
          <cell r="BS171" t="str">
            <v>NA</v>
          </cell>
          <cell r="BT171" t="str">
            <v>NA</v>
          </cell>
        </row>
        <row r="172">
          <cell r="A172" t="str">
            <v>Net Proceeds for Share Issuances</v>
          </cell>
          <cell r="I172">
            <v>-198.54599999999999</v>
          </cell>
          <cell r="J172">
            <v>-160.33099999999999</v>
          </cell>
          <cell r="K172">
            <v>0</v>
          </cell>
          <cell r="L172">
            <v>0</v>
          </cell>
          <cell r="M172">
            <v>0</v>
          </cell>
          <cell r="N172">
            <v>0</v>
          </cell>
          <cell r="O172">
            <v>0</v>
          </cell>
          <cell r="P172">
            <v>0</v>
          </cell>
          <cell r="Q172">
            <v>0</v>
          </cell>
          <cell r="R172">
            <v>0</v>
          </cell>
          <cell r="S172">
            <v>0</v>
          </cell>
          <cell r="T172">
            <v>0</v>
          </cell>
          <cell r="U172">
            <v>0</v>
          </cell>
          <cell r="V172">
            <v>0</v>
          </cell>
          <cell r="AW172">
            <v>-5.0000000000000001E-3</v>
          </cell>
          <cell r="AX172">
            <v>-13.481999999999999</v>
          </cell>
          <cell r="AY172">
            <v>-39.878999999999998</v>
          </cell>
          <cell r="AZ172">
            <v>-145.18</v>
          </cell>
          <cell r="BA172">
            <v>0</v>
          </cell>
          <cell r="BB172">
            <v>-2E-3</v>
          </cell>
          <cell r="BC172">
            <v>-160.304</v>
          </cell>
          <cell r="BD172">
            <v>-2.4999999999986811E-2</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row>
        <row r="174">
          <cell r="A174" t="str">
            <v>Restricted Stock Units</v>
          </cell>
        </row>
        <row r="175">
          <cell r="A175" t="str">
            <v>Net Shares Issued (in mm)</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AW175">
            <v>0</v>
          </cell>
          <cell r="AX175">
            <v>0</v>
          </cell>
          <cell r="AY175">
            <v>0</v>
          </cell>
          <cell r="AZ175">
            <v>0</v>
          </cell>
          <cell r="BA175">
            <v>-0.177173</v>
          </cell>
          <cell r="BB175">
            <v>0.177173</v>
          </cell>
          <cell r="BC175">
            <v>0</v>
          </cell>
          <cell r="BD175">
            <v>0</v>
          </cell>
          <cell r="BE175">
            <v>0</v>
          </cell>
          <cell r="BF175">
            <v>-0.38761499999999999</v>
          </cell>
          <cell r="BG175">
            <v>0.38761499999999999</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row>
        <row r="176">
          <cell r="A176" t="str">
            <v>Weighted Average Price</v>
          </cell>
          <cell r="I176" t="str">
            <v>NA</v>
          </cell>
          <cell r="J176" t="str">
            <v>NA</v>
          </cell>
          <cell r="K176" t="str">
            <v>NA</v>
          </cell>
          <cell r="L176" t="str">
            <v>NA</v>
          </cell>
          <cell r="M176" t="str">
            <v>NA</v>
          </cell>
          <cell r="N176" t="str">
            <v>NA</v>
          </cell>
          <cell r="O176" t="str">
            <v>NA</v>
          </cell>
          <cell r="P176" t="str">
            <v>NA</v>
          </cell>
          <cell r="Q176" t="str">
            <v>NA</v>
          </cell>
          <cell r="R176" t="str">
            <v>NA</v>
          </cell>
          <cell r="S176" t="str">
            <v>NA</v>
          </cell>
          <cell r="T176" t="str">
            <v>NA</v>
          </cell>
          <cell r="U176" t="str">
            <v>NA</v>
          </cell>
          <cell r="V176" t="str">
            <v>NA</v>
          </cell>
          <cell r="AW176" t="str">
            <v>NA</v>
          </cell>
          <cell r="AX176" t="str">
            <v>NA</v>
          </cell>
          <cell r="AY176" t="str">
            <v>NA</v>
          </cell>
          <cell r="AZ176" t="str">
            <v>NA</v>
          </cell>
          <cell r="BA176">
            <v>14.319337596586386</v>
          </cell>
          <cell r="BB176">
            <v>14.319337596586386</v>
          </cell>
          <cell r="BC176" t="str">
            <v>NA</v>
          </cell>
          <cell r="BD176" t="str">
            <v>NA</v>
          </cell>
          <cell r="BE176" t="str">
            <v>NA</v>
          </cell>
          <cell r="BF176">
            <v>-18.541594107555177</v>
          </cell>
          <cell r="BG176">
            <v>-18.541594107555177</v>
          </cell>
          <cell r="BH176" t="str">
            <v>NA</v>
          </cell>
          <cell r="BI176" t="str">
            <v>NA</v>
          </cell>
          <cell r="BJ176" t="str">
            <v>NA</v>
          </cell>
          <cell r="BK176" t="str">
            <v>NA</v>
          </cell>
          <cell r="BL176" t="str">
            <v>NA</v>
          </cell>
          <cell r="BM176" t="str">
            <v>NA</v>
          </cell>
          <cell r="BN176" t="str">
            <v>NA</v>
          </cell>
          <cell r="BO176" t="str">
            <v>NA</v>
          </cell>
          <cell r="BP176" t="str">
            <v>NA</v>
          </cell>
          <cell r="BQ176" t="str">
            <v>NA</v>
          </cell>
          <cell r="BR176" t="str">
            <v>NA</v>
          </cell>
          <cell r="BS176" t="str">
            <v>NA</v>
          </cell>
          <cell r="BT176" t="str">
            <v>NA</v>
          </cell>
        </row>
        <row r="177">
          <cell r="A177" t="str">
            <v>Net Proceeds for Share Issuances</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AW177">
            <v>0</v>
          </cell>
          <cell r="AX177">
            <v>0</v>
          </cell>
          <cell r="AY177">
            <v>0</v>
          </cell>
          <cell r="AZ177">
            <v>0</v>
          </cell>
          <cell r="BA177">
            <v>2.5369999999999999</v>
          </cell>
          <cell r="BB177">
            <v>-2.5369999999999999</v>
          </cell>
          <cell r="BC177">
            <v>0</v>
          </cell>
          <cell r="BD177">
            <v>0</v>
          </cell>
          <cell r="BE177">
            <v>0</v>
          </cell>
          <cell r="BF177">
            <v>7.1870000000000003</v>
          </cell>
          <cell r="BG177">
            <v>-7.1870000000000003</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row>
        <row r="179">
          <cell r="A179" t="str">
            <v>Exercise of Warrants/Other</v>
          </cell>
        </row>
        <row r="180">
          <cell r="A180" t="str">
            <v>Shares Issued (in mm)</v>
          </cell>
          <cell r="I180">
            <v>-0.72691099999999997</v>
          </cell>
          <cell r="J180">
            <v>-7.2031999999999999E-2</v>
          </cell>
          <cell r="K180">
            <v>-1.6310610000000001</v>
          </cell>
          <cell r="L180">
            <v>0</v>
          </cell>
          <cell r="M180">
            <v>0</v>
          </cell>
          <cell r="N180">
            <v>0</v>
          </cell>
          <cell r="O180">
            <v>0</v>
          </cell>
          <cell r="P180">
            <v>0</v>
          </cell>
          <cell r="Q180">
            <v>0</v>
          </cell>
          <cell r="R180">
            <v>0</v>
          </cell>
          <cell r="S180">
            <v>0</v>
          </cell>
          <cell r="T180">
            <v>0</v>
          </cell>
          <cell r="U180">
            <v>0</v>
          </cell>
          <cell r="V180">
            <v>0</v>
          </cell>
          <cell r="AW180">
            <v>-0.26413799999999998</v>
          </cell>
          <cell r="AX180">
            <v>-0.17075600000000002</v>
          </cell>
          <cell r="AY180">
            <v>-0.23764600000000002</v>
          </cell>
          <cell r="AZ180">
            <v>-5.4370999999999947E-2</v>
          </cell>
          <cell r="BA180">
            <v>-8.5730000000000008E-3</v>
          </cell>
          <cell r="BB180">
            <v>-1.4038999999999999E-2</v>
          </cell>
          <cell r="BC180">
            <v>-9.4009999999999996E-3</v>
          </cell>
          <cell r="BD180">
            <v>-4.0018999999999999E-2</v>
          </cell>
          <cell r="BE180">
            <v>-1.6310610000000001</v>
          </cell>
          <cell r="BF180">
            <v>0</v>
          </cell>
          <cell r="BG180">
            <v>0</v>
          </cell>
          <cell r="BH180">
            <v>0</v>
          </cell>
          <cell r="BI180">
            <v>0</v>
          </cell>
          <cell r="BJ180">
            <v>0</v>
          </cell>
          <cell r="BK180">
            <v>0</v>
          </cell>
          <cell r="BL180">
            <v>0</v>
          </cell>
          <cell r="BM180">
            <v>0</v>
          </cell>
          <cell r="BN180">
            <v>0</v>
          </cell>
          <cell r="BO180">
            <v>0</v>
          </cell>
          <cell r="BP180">
            <v>0</v>
          </cell>
          <cell r="BQ180">
            <v>0</v>
          </cell>
          <cell r="BR180">
            <v>0</v>
          </cell>
          <cell r="BS180">
            <v>0</v>
          </cell>
          <cell r="BT180">
            <v>0</v>
          </cell>
        </row>
        <row r="181">
          <cell r="A181" t="str">
            <v>Weighted Average Price</v>
          </cell>
          <cell r="I181">
            <v>0.70022327355068226</v>
          </cell>
          <cell r="J181">
            <v>4.4424700133274095</v>
          </cell>
          <cell r="K181">
            <v>4.2052381854510648</v>
          </cell>
          <cell r="L181" t="str">
            <v>NA</v>
          </cell>
          <cell r="M181" t="str">
            <v>NA</v>
          </cell>
          <cell r="N181" t="str">
            <v>NA</v>
          </cell>
          <cell r="O181" t="str">
            <v>NA</v>
          </cell>
          <cell r="P181" t="str">
            <v>NA</v>
          </cell>
          <cell r="Q181" t="str">
            <v>NA</v>
          </cell>
          <cell r="R181" t="str">
            <v>NA</v>
          </cell>
          <cell r="S181" t="str">
            <v>NA</v>
          </cell>
          <cell r="T181" t="str">
            <v>NA</v>
          </cell>
          <cell r="U181" t="str">
            <v>NA</v>
          </cell>
          <cell r="V181" t="str">
            <v>NA</v>
          </cell>
          <cell r="AW181">
            <v>-0.22715398768825387</v>
          </cell>
          <cell r="AX181">
            <v>0.19911452599030194</v>
          </cell>
          <cell r="AY181">
            <v>1.0267372478392232</v>
          </cell>
          <cell r="AZ181">
            <v>3.1450589468650589</v>
          </cell>
          <cell r="BA181">
            <v>4.4325207045375006</v>
          </cell>
          <cell r="BB181">
            <v>4.3450388204288064</v>
          </cell>
          <cell r="BC181">
            <v>4.148494840974366</v>
          </cell>
          <cell r="BD181">
            <v>4.5478397761063487</v>
          </cell>
          <cell r="BE181">
            <v>4.2052381854510648</v>
          </cell>
          <cell r="BF181" t="str">
            <v>NA</v>
          </cell>
          <cell r="BG181" t="str">
            <v>NA</v>
          </cell>
          <cell r="BH181" t="str">
            <v>NA</v>
          </cell>
          <cell r="BI181" t="str">
            <v>NA</v>
          </cell>
          <cell r="BJ181" t="str">
            <v>NA</v>
          </cell>
          <cell r="BK181" t="str">
            <v>NA</v>
          </cell>
          <cell r="BL181" t="str">
            <v>NA</v>
          </cell>
          <cell r="BM181" t="str">
            <v>NA</v>
          </cell>
          <cell r="BN181" t="str">
            <v>NA</v>
          </cell>
          <cell r="BO181" t="str">
            <v>NA</v>
          </cell>
          <cell r="BP181" t="str">
            <v>NA</v>
          </cell>
          <cell r="BQ181" t="str">
            <v>NA</v>
          </cell>
          <cell r="BR181" t="str">
            <v>NA</v>
          </cell>
          <cell r="BS181" t="str">
            <v>NA</v>
          </cell>
          <cell r="BT181" t="str">
            <v>NA</v>
          </cell>
        </row>
        <row r="182">
          <cell r="A182" t="str">
            <v>Net Proceeds for Share Issuances</v>
          </cell>
          <cell r="I182">
            <v>-0.50900000000000001</v>
          </cell>
          <cell r="J182">
            <v>-0.31999999999999995</v>
          </cell>
          <cell r="K182">
            <v>-6.859</v>
          </cell>
          <cell r="L182">
            <v>0</v>
          </cell>
          <cell r="M182">
            <v>0</v>
          </cell>
          <cell r="N182">
            <v>0</v>
          </cell>
          <cell r="O182">
            <v>0</v>
          </cell>
          <cell r="P182">
            <v>0</v>
          </cell>
          <cell r="Q182">
            <v>0</v>
          </cell>
          <cell r="R182">
            <v>0</v>
          </cell>
          <cell r="S182">
            <v>0</v>
          </cell>
          <cell r="T182">
            <v>0</v>
          </cell>
          <cell r="U182">
            <v>0</v>
          </cell>
          <cell r="V182">
            <v>0</v>
          </cell>
          <cell r="AW182">
            <v>-0.06</v>
          </cell>
          <cell r="AX182">
            <v>-3.4000000000000002E-2</v>
          </cell>
          <cell r="AY182">
            <v>-0.24400000000000005</v>
          </cell>
          <cell r="AZ182">
            <v>-0.17099999999999996</v>
          </cell>
          <cell r="BA182">
            <v>-3.7999999999999999E-2</v>
          </cell>
          <cell r="BB182">
            <v>-6.1000000000000006E-2</v>
          </cell>
          <cell r="BC182">
            <v>-3.9000000000000014E-2</v>
          </cell>
          <cell r="BD182">
            <v>-0.18199999999999997</v>
          </cell>
          <cell r="BE182">
            <v>-6.859</v>
          </cell>
          <cell r="BF182">
            <v>0</v>
          </cell>
          <cell r="BG182">
            <v>0</v>
          </cell>
          <cell r="BH182">
            <v>0</v>
          </cell>
          <cell r="BI182">
            <v>0</v>
          </cell>
          <cell r="BJ182">
            <v>0</v>
          </cell>
          <cell r="BK182">
            <v>0</v>
          </cell>
          <cell r="BL182">
            <v>0</v>
          </cell>
          <cell r="BM182">
            <v>0</v>
          </cell>
          <cell r="BN182">
            <v>0</v>
          </cell>
          <cell r="BO182">
            <v>0</v>
          </cell>
          <cell r="BP182">
            <v>0</v>
          </cell>
          <cell r="BQ182">
            <v>0</v>
          </cell>
          <cell r="BR182">
            <v>0</v>
          </cell>
          <cell r="BS182">
            <v>0</v>
          </cell>
          <cell r="BT182">
            <v>0</v>
          </cell>
        </row>
        <row r="184">
          <cell r="A184" t="str">
            <v>Net Issuance/Repurchases (mm)</v>
          </cell>
          <cell r="I184">
            <v>-2.5416460000000143</v>
          </cell>
          <cell r="J184">
            <v>4.6200880000000097</v>
          </cell>
          <cell r="K184">
            <v>-2.9197500000000218</v>
          </cell>
          <cell r="L184">
            <v>-5.7658390431552675</v>
          </cell>
          <cell r="M184">
            <v>0.47454264167140536</v>
          </cell>
          <cell r="N184">
            <v>0.38489461121048407</v>
          </cell>
          <cell r="O184">
            <v>0.15570898756726592</v>
          </cell>
          <cell r="P184">
            <v>7.4364581388749684E-2</v>
          </cell>
          <cell r="Q184">
            <v>3.0874806028975854E-2</v>
          </cell>
          <cell r="R184">
            <v>1.7337718965393378E-2</v>
          </cell>
          <cell r="S184">
            <v>-7.249913600611535E-2</v>
          </cell>
          <cell r="T184">
            <v>-0.1435830498170958</v>
          </cell>
          <cell r="U184">
            <v>-0.19982859407929254</v>
          </cell>
          <cell r="V184">
            <v>-0.24433319546869825</v>
          </cell>
          <cell r="AW184">
            <v>-3.492979000000048</v>
          </cell>
          <cell r="AX184">
            <v>0.17221900000004098</v>
          </cell>
          <cell r="AY184">
            <v>-4.2133949999999913</v>
          </cell>
          <cell r="AZ184">
            <v>4.9925089999999841</v>
          </cell>
          <cell r="BA184">
            <v>0.68181599999996934</v>
          </cell>
          <cell r="BB184">
            <v>-1.8487089999999853</v>
          </cell>
          <cell r="BC184">
            <v>5.2497900000000186</v>
          </cell>
          <cell r="BD184">
            <v>0.53719100000000708</v>
          </cell>
          <cell r="BE184">
            <v>2.0946950000000015</v>
          </cell>
          <cell r="BF184">
            <v>-1.94657600000005</v>
          </cell>
          <cell r="BG184">
            <v>-2.1341079999999693</v>
          </cell>
          <cell r="BH184">
            <v>-0.93376100000000406</v>
          </cell>
          <cell r="BI184">
            <v>-1.6111359999999877</v>
          </cell>
          <cell r="BJ184">
            <v>-1.0699749999999995</v>
          </cell>
          <cell r="BK184">
            <v>-2.5289119999999912</v>
          </cell>
          <cell r="BL184">
            <v>-0.55581604315528921</v>
          </cell>
          <cell r="BM184">
            <v>0.12791785400565914</v>
          </cell>
          <cell r="BN184">
            <v>0.14991693458978261</v>
          </cell>
          <cell r="BO184">
            <v>8.6167563000344671E-2</v>
          </cell>
          <cell r="BP184">
            <v>0.11054029007561894</v>
          </cell>
          <cell r="BQ184">
            <v>9.9029615075778565E-2</v>
          </cell>
          <cell r="BR184">
            <v>0.12551376120137547</v>
          </cell>
          <cell r="BS184">
            <v>6.5994463874801568E-2</v>
          </cell>
          <cell r="BT184">
            <v>9.4356771058585309E-2</v>
          </cell>
        </row>
        <row r="185">
          <cell r="A185" t="str">
            <v>CHECK</v>
          </cell>
          <cell r="I185">
            <v>1.2999999984941724E-5</v>
          </cell>
          <cell r="J185">
            <v>9.7699626167013776E-15</v>
          </cell>
          <cell r="K185">
            <v>-2.1316282072803006E-14</v>
          </cell>
          <cell r="L185">
            <v>3.907985046680551E-14</v>
          </cell>
          <cell r="M185">
            <v>-5.3290705182007514E-15</v>
          </cell>
          <cell r="N185">
            <v>5.5511151231257827E-15</v>
          </cell>
          <cell r="O185">
            <v>-1.6764367671839864E-14</v>
          </cell>
          <cell r="P185">
            <v>4.6629367034256575E-15</v>
          </cell>
          <cell r="Q185">
            <v>-1.865174681370263E-14</v>
          </cell>
          <cell r="R185">
            <v>1.1102230246251565E-14</v>
          </cell>
          <cell r="S185">
            <v>2.4702462297909733E-14</v>
          </cell>
          <cell r="T185">
            <v>-2.1538326677728037E-14</v>
          </cell>
          <cell r="U185">
            <v>1.2045919817182948E-14</v>
          </cell>
          <cell r="V185">
            <v>1.2212453270876722E-14</v>
          </cell>
          <cell r="AW185">
            <v>-4.7961634663806763E-14</v>
          </cell>
          <cell r="AX185">
            <v>-6.9999999587899708E-6</v>
          </cell>
          <cell r="AY185">
            <v>7.0000000089720515E-6</v>
          </cell>
          <cell r="AZ185">
            <v>1.2999999983609456E-5</v>
          </cell>
          <cell r="BA185">
            <v>-3.0753177782116836E-14</v>
          </cell>
          <cell r="BB185">
            <v>1.4654943925052066E-14</v>
          </cell>
          <cell r="BC185">
            <v>1.8207657603852567E-14</v>
          </cell>
          <cell r="BD185">
            <v>7.2164496600635175E-15</v>
          </cell>
          <cell r="BE185">
            <v>0</v>
          </cell>
          <cell r="BF185">
            <v>-5.0182080713057076E-14</v>
          </cell>
          <cell r="BG185">
            <v>3.1974423109204508E-14</v>
          </cell>
          <cell r="BH185">
            <v>-5.1070259132757201E-15</v>
          </cell>
          <cell r="BI185">
            <v>1.1990408665951691E-14</v>
          </cell>
          <cell r="BJ185">
            <v>0</v>
          </cell>
          <cell r="BK185">
            <v>9.7699626167013776E-15</v>
          </cell>
          <cell r="BL185">
            <v>1.6875389974302379E-14</v>
          </cell>
          <cell r="BM185">
            <v>-1.5820678100908481E-14</v>
          </cell>
          <cell r="BN185">
            <v>1.8540724511240114E-14</v>
          </cell>
          <cell r="BO185">
            <v>1.5765166949677223E-14</v>
          </cell>
          <cell r="BP185">
            <v>-2.3703261575747092E-14</v>
          </cell>
          <cell r="BQ185">
            <v>2.9976021664879227E-15</v>
          </cell>
          <cell r="BR185">
            <v>3.0697666630885578E-14</v>
          </cell>
          <cell r="BS185">
            <v>1.354472090042691E-14</v>
          </cell>
          <cell r="BT185">
            <v>1.5210055437364645E-14</v>
          </cell>
        </row>
        <row r="186">
          <cell r="A186" t="str">
            <v>Net Issuance/Repurchases ($MM)</v>
          </cell>
          <cell r="I186">
            <v>-361.61099999999897</v>
          </cell>
          <cell r="J186">
            <v>69.783000000000357</v>
          </cell>
          <cell r="K186">
            <v>-237.27599999999984</v>
          </cell>
          <cell r="L186">
            <v>-337.19760060634781</v>
          </cell>
          <cell r="M186">
            <v>26.714180152987865</v>
          </cell>
          <cell r="N186">
            <v>23.511379768772713</v>
          </cell>
          <cell r="O186">
            <v>8.4196594167187868</v>
          </cell>
          <cell r="P186">
            <v>2.6837848158220368</v>
          </cell>
          <cell r="Q186">
            <v>-1.0040550886433266</v>
          </cell>
          <cell r="R186">
            <v>-2.506564800477463</v>
          </cell>
          <cell r="S186">
            <v>-13.058290002823014</v>
          </cell>
          <cell r="T186">
            <v>-23.614939821587541</v>
          </cell>
          <cell r="U186">
            <v>-34.319384281797284</v>
          </cell>
          <cell r="V186">
            <v>-45.314167199158874</v>
          </cell>
          <cell r="AW186">
            <v>-143.46899999999823</v>
          </cell>
          <cell r="AX186">
            <v>-59.49500000000171</v>
          </cell>
          <cell r="AY186">
            <v>-243.09199999999964</v>
          </cell>
          <cell r="AZ186">
            <v>84.445000000000618</v>
          </cell>
          <cell r="BA186">
            <v>28.86200000000008</v>
          </cell>
          <cell r="BB186">
            <v>-47.792000000001281</v>
          </cell>
          <cell r="BC186">
            <v>75.567000000000007</v>
          </cell>
          <cell r="BD186">
            <v>13.14600000000155</v>
          </cell>
          <cell r="BE186">
            <v>2.5409999999983484</v>
          </cell>
          <cell r="BF186">
            <v>-89.427000000000589</v>
          </cell>
          <cell r="BG186">
            <v>-104.0719999999983</v>
          </cell>
          <cell r="BH186">
            <v>-46.317999999999302</v>
          </cell>
          <cell r="BI186">
            <v>-110.45499999999993</v>
          </cell>
          <cell r="BJ186">
            <v>-60.596000000001368</v>
          </cell>
          <cell r="BK186">
            <v>-133.33199999999852</v>
          </cell>
          <cell r="BL186">
            <v>-32.814600606347994</v>
          </cell>
          <cell r="BM186">
            <v>7.5433924954986651</v>
          </cell>
          <cell r="BN186">
            <v>7.9618329564536907</v>
          </cell>
          <cell r="BO186">
            <v>5.3908072060085033</v>
          </cell>
          <cell r="BP186">
            <v>5.8181474950270058</v>
          </cell>
          <cell r="BQ186">
            <v>6.5727865706994635</v>
          </cell>
          <cell r="BR186">
            <v>7.104926673366208</v>
          </cell>
          <cell r="BS186">
            <v>4.6469328177408897</v>
          </cell>
          <cell r="BT186">
            <v>5.1867337069661517</v>
          </cell>
        </row>
        <row r="187">
          <cell r="A187" t="str">
            <v>CHECK</v>
          </cell>
          <cell r="I187">
            <v>1.0516032489249483E-12</v>
          </cell>
          <cell r="J187">
            <v>3.694822225952521E-13</v>
          </cell>
          <cell r="K187">
            <v>1.4921397450962104E-13</v>
          </cell>
          <cell r="L187">
            <v>7.3629990993140382E-13</v>
          </cell>
          <cell r="M187">
            <v>2.6942892361603299E-12</v>
          </cell>
          <cell r="N187">
            <v>2.6423307986078726E-13</v>
          </cell>
          <cell r="O187">
            <v>-8.3000273320976703E-13</v>
          </cell>
          <cell r="P187">
            <v>-6.8833827526759706E-14</v>
          </cell>
          <cell r="Q187">
            <v>1.2256862191861728E-13</v>
          </cell>
          <cell r="R187">
            <v>-6.6968652845389443E-13</v>
          </cell>
          <cell r="S187">
            <v>1.4210854715202004E-13</v>
          </cell>
          <cell r="T187">
            <v>7.3985262361020432E-13</v>
          </cell>
          <cell r="U187">
            <v>1.7879031588563521E-12</v>
          </cell>
          <cell r="V187">
            <v>7.2830630415410269E-14</v>
          </cell>
          <cell r="AW187">
            <v>1.7563216506144563E-12</v>
          </cell>
          <cell r="AX187">
            <v>-1.7283952047364437E-12</v>
          </cell>
          <cell r="AY187">
            <v>3.4816594052244909E-13</v>
          </cell>
          <cell r="AZ187">
            <v>6.5369931689929217E-13</v>
          </cell>
          <cell r="BA187">
            <v>7.5751904748955212E-14</v>
          </cell>
          <cell r="BB187">
            <v>-1.2748187921962639E-12</v>
          </cell>
          <cell r="BC187">
            <v>0</v>
          </cell>
          <cell r="BD187">
            <v>1.5593915048128792E-12</v>
          </cell>
          <cell r="BE187">
            <v>-1.6537882174816332E-12</v>
          </cell>
          <cell r="BF187">
            <v>-5.8886229226118303E-13</v>
          </cell>
          <cell r="BG187">
            <v>1.7381651673531451E-12</v>
          </cell>
          <cell r="BH187">
            <v>6.1817218011128716E-13</v>
          </cell>
          <cell r="BI187">
            <v>7.638334409421077E-14</v>
          </cell>
          <cell r="BJ187">
            <v>-1.3780088181647443E-12</v>
          </cell>
          <cell r="BK187">
            <v>1.4708234630234074E-12</v>
          </cell>
          <cell r="BL187">
            <v>5.3002047195604973E-13</v>
          </cell>
          <cell r="BM187">
            <v>-2.2382096176443156E-13</v>
          </cell>
          <cell r="BN187">
            <v>1.510569447304988E-12</v>
          </cell>
          <cell r="BO187">
            <v>1.3855583347321954E-13</v>
          </cell>
          <cell r="BP187">
            <v>1.2760903445041549E-12</v>
          </cell>
          <cell r="BQ187">
            <v>-1.0444978215673473E-12</v>
          </cell>
          <cell r="BR187">
            <v>1.9084733793306441E-12</v>
          </cell>
          <cell r="BS187">
            <v>-3.1974423109204508E-13</v>
          </cell>
          <cell r="BT187">
            <v>-2.6578739209526248E-13</v>
          </cell>
        </row>
        <row r="191">
          <cell r="A191" t="str">
            <v>NOL</v>
          </cell>
        </row>
        <row r="192">
          <cell r="A192" t="str">
            <v>Beginning Balance</v>
          </cell>
          <cell r="G192">
            <v>2163.6550000000002</v>
          </cell>
          <cell r="H192">
            <v>2093.683</v>
          </cell>
          <cell r="I192">
            <v>1600.807</v>
          </cell>
          <cell r="J192">
            <v>1620.04</v>
          </cell>
          <cell r="K192">
            <v>1311.7149999999999</v>
          </cell>
          <cell r="L192">
            <v>1197.607</v>
          </cell>
          <cell r="M192">
            <v>1000</v>
          </cell>
          <cell r="N192">
            <v>690</v>
          </cell>
          <cell r="O192">
            <v>257</v>
          </cell>
          <cell r="P192">
            <v>0</v>
          </cell>
          <cell r="Q192">
            <v>0</v>
          </cell>
          <cell r="R192">
            <v>0</v>
          </cell>
          <cell r="S192">
            <v>0</v>
          </cell>
          <cell r="T192">
            <v>0</v>
          </cell>
          <cell r="U192">
            <v>0</v>
          </cell>
          <cell r="V192">
            <v>0</v>
          </cell>
          <cell r="BI192">
            <v>1197.607</v>
          </cell>
          <cell r="BJ192">
            <v>1148.20525</v>
          </cell>
          <cell r="BK192">
            <v>1098.8035</v>
          </cell>
          <cell r="BL192">
            <v>1049.40175</v>
          </cell>
          <cell r="BM192">
            <v>1000</v>
          </cell>
          <cell r="BN192">
            <v>950</v>
          </cell>
          <cell r="BO192">
            <v>877</v>
          </cell>
          <cell r="BP192">
            <v>787</v>
          </cell>
          <cell r="BQ192">
            <v>690</v>
          </cell>
          <cell r="BR192">
            <v>597</v>
          </cell>
          <cell r="BS192">
            <v>492</v>
          </cell>
          <cell r="BT192">
            <v>377</v>
          </cell>
        </row>
        <row r="193">
          <cell r="A193" t="str">
            <v xml:space="preserve">  Additions</v>
          </cell>
          <cell r="G193">
            <v>0</v>
          </cell>
          <cell r="H193">
            <v>0</v>
          </cell>
          <cell r="I193">
            <v>300</v>
          </cell>
          <cell r="J193">
            <v>0</v>
          </cell>
          <cell r="K193">
            <v>0</v>
          </cell>
          <cell r="L193">
            <v>0</v>
          </cell>
          <cell r="M193">
            <v>0</v>
          </cell>
          <cell r="N193">
            <v>0</v>
          </cell>
          <cell r="O193">
            <v>0</v>
          </cell>
          <cell r="P193">
            <v>0</v>
          </cell>
          <cell r="Q193">
            <v>0</v>
          </cell>
          <cell r="R193">
            <v>0</v>
          </cell>
          <cell r="S193">
            <v>0</v>
          </cell>
          <cell r="T193">
            <v>0</v>
          </cell>
          <cell r="U193">
            <v>0</v>
          </cell>
          <cell r="V193">
            <v>0</v>
          </cell>
          <cell r="BI193">
            <v>0</v>
          </cell>
          <cell r="BJ193">
            <v>0</v>
          </cell>
          <cell r="BK193">
            <v>0</v>
          </cell>
          <cell r="BL193">
            <v>0</v>
          </cell>
          <cell r="BM193">
            <v>0</v>
          </cell>
          <cell r="BN193">
            <v>0</v>
          </cell>
          <cell r="BO193">
            <v>0</v>
          </cell>
          <cell r="BP193">
            <v>0</v>
          </cell>
          <cell r="BQ193">
            <v>0</v>
          </cell>
          <cell r="BR193">
            <v>0</v>
          </cell>
          <cell r="BS193">
            <v>0</v>
          </cell>
          <cell r="BT193">
            <v>0</v>
          </cell>
        </row>
        <row r="194">
          <cell r="A194" t="str">
            <v xml:space="preserve">  Uses</v>
          </cell>
          <cell r="G194">
            <v>-69.972000000000207</v>
          </cell>
          <cell r="H194">
            <v>-492.87599999999998</v>
          </cell>
          <cell r="I194">
            <v>-280.76700000000005</v>
          </cell>
          <cell r="J194">
            <v>-308.32500000000005</v>
          </cell>
          <cell r="K194">
            <v>-114.10799999999995</v>
          </cell>
          <cell r="L194">
            <v>-197.60699999999997</v>
          </cell>
          <cell r="M194">
            <v>-310</v>
          </cell>
          <cell r="N194">
            <v>-433</v>
          </cell>
          <cell r="O194">
            <v>-257</v>
          </cell>
          <cell r="P194">
            <v>0</v>
          </cell>
          <cell r="Q194">
            <v>0</v>
          </cell>
          <cell r="R194">
            <v>0</v>
          </cell>
          <cell r="S194">
            <v>0</v>
          </cell>
          <cell r="T194">
            <v>0</v>
          </cell>
          <cell r="U194">
            <v>0</v>
          </cell>
          <cell r="V194">
            <v>0</v>
          </cell>
          <cell r="BI194">
            <v>-49.401749999999993</v>
          </cell>
          <cell r="BJ194">
            <v>-49.401749999999993</v>
          </cell>
          <cell r="BK194">
            <v>-49.401749999999993</v>
          </cell>
          <cell r="BL194">
            <v>-49.401749999999993</v>
          </cell>
          <cell r="BM194">
            <v>-50</v>
          </cell>
          <cell r="BN194">
            <v>-73</v>
          </cell>
          <cell r="BO194">
            <v>-90</v>
          </cell>
          <cell r="BP194">
            <v>-97</v>
          </cell>
          <cell r="BQ194">
            <v>-93</v>
          </cell>
          <cell r="BR194">
            <v>-105</v>
          </cell>
          <cell r="BS194">
            <v>-115</v>
          </cell>
          <cell r="BT194">
            <v>-120</v>
          </cell>
        </row>
        <row r="195">
          <cell r="A195" t="str">
            <v>Ending Balance</v>
          </cell>
          <cell r="F195">
            <v>2163.6550000000002</v>
          </cell>
          <cell r="G195">
            <v>2093.683</v>
          </cell>
          <cell r="H195">
            <v>1600.807</v>
          </cell>
          <cell r="I195">
            <v>1620.04</v>
          </cell>
          <cell r="J195">
            <v>1311.7149999999999</v>
          </cell>
          <cell r="K195">
            <v>1197.607</v>
          </cell>
          <cell r="L195">
            <v>1000</v>
          </cell>
          <cell r="M195">
            <v>690</v>
          </cell>
          <cell r="N195">
            <v>257</v>
          </cell>
          <cell r="O195">
            <v>0</v>
          </cell>
          <cell r="P195">
            <v>0</v>
          </cell>
          <cell r="Q195">
            <v>0</v>
          </cell>
          <cell r="R195">
            <v>0</v>
          </cell>
          <cell r="S195">
            <v>0</v>
          </cell>
          <cell r="T195">
            <v>0</v>
          </cell>
          <cell r="U195">
            <v>0</v>
          </cell>
          <cell r="V195">
            <v>0</v>
          </cell>
          <cell r="AN195">
            <v>2163.6550000000002</v>
          </cell>
          <cell r="AR195">
            <v>2093.683</v>
          </cell>
          <cell r="AV195">
            <v>1600.807</v>
          </cell>
          <cell r="AZ195">
            <v>1620.04</v>
          </cell>
          <cell r="BD195">
            <v>1311.7149999999999</v>
          </cell>
          <cell r="BH195">
            <v>1197.607</v>
          </cell>
          <cell r="BI195">
            <v>1148.20525</v>
          </cell>
          <cell r="BJ195">
            <v>1098.8035</v>
          </cell>
          <cell r="BK195">
            <v>1049.40175</v>
          </cell>
          <cell r="BL195">
            <v>1000</v>
          </cell>
          <cell r="BM195">
            <v>950</v>
          </cell>
          <cell r="BN195">
            <v>877</v>
          </cell>
          <cell r="BO195">
            <v>787</v>
          </cell>
          <cell r="BP195">
            <v>690</v>
          </cell>
          <cell r="BQ195">
            <v>597</v>
          </cell>
          <cell r="BR195">
            <v>492</v>
          </cell>
          <cell r="BS195">
            <v>377</v>
          </cell>
          <cell r="BT195">
            <v>257</v>
          </cell>
        </row>
        <row r="197">
          <cell r="A197" t="str">
            <v>Customer Concentrations</v>
          </cell>
        </row>
        <row r="198">
          <cell r="A198" t="str">
            <v>AT&amp;T</v>
          </cell>
          <cell r="F198">
            <v>0.17</v>
          </cell>
          <cell r="G198">
            <v>0.2</v>
          </cell>
          <cell r="H198">
            <v>0.2</v>
          </cell>
          <cell r="I198">
            <v>0.2</v>
          </cell>
          <cell r="J198">
            <v>0.19</v>
          </cell>
          <cell r="K198">
            <v>0.2</v>
          </cell>
          <cell r="AS198">
            <v>0.19</v>
          </cell>
          <cell r="AT198">
            <v>0.2</v>
          </cell>
          <cell r="AU198">
            <v>0.2</v>
          </cell>
          <cell r="AV198">
            <v>0.2</v>
          </cell>
          <cell r="AW198">
            <v>0.2</v>
          </cell>
          <cell r="AZ198">
            <v>0.2</v>
          </cell>
          <cell r="BA198">
            <v>0.21</v>
          </cell>
          <cell r="BB198">
            <v>0.2</v>
          </cell>
          <cell r="BC198">
            <v>0.19</v>
          </cell>
          <cell r="BD198">
            <v>0.19</v>
          </cell>
          <cell r="BE198">
            <v>0.18</v>
          </cell>
          <cell r="BF198">
            <v>0.18</v>
          </cell>
          <cell r="BG198">
            <v>0.19</v>
          </cell>
          <cell r="BH198">
            <v>0.2</v>
          </cell>
          <cell r="BI198">
            <v>0.2</v>
          </cell>
          <cell r="BJ198">
            <v>0.19</v>
          </cell>
          <cell r="BK198">
            <v>0.2</v>
          </cell>
        </row>
        <row r="199">
          <cell r="A199" t="str">
            <v>Sprint Nextel</v>
          </cell>
          <cell r="F199">
            <v>0.14000000000000001</v>
          </cell>
          <cell r="G199">
            <v>0.21</v>
          </cell>
          <cell r="H199">
            <v>0.21</v>
          </cell>
          <cell r="I199">
            <v>0.19</v>
          </cell>
          <cell r="J199">
            <v>0.17</v>
          </cell>
          <cell r="K199">
            <v>0.16</v>
          </cell>
          <cell r="AS199">
            <v>0.2</v>
          </cell>
          <cell r="AT199">
            <v>0.2</v>
          </cell>
          <cell r="AU199">
            <v>0.2</v>
          </cell>
          <cell r="AV199">
            <v>0.21</v>
          </cell>
          <cell r="AW199">
            <v>0.2</v>
          </cell>
          <cell r="AZ199">
            <v>0.19</v>
          </cell>
          <cell r="BA199">
            <v>0.19</v>
          </cell>
          <cell r="BB199">
            <v>0.18</v>
          </cell>
          <cell r="BC199">
            <v>0.17</v>
          </cell>
          <cell r="BD199">
            <v>0.17</v>
          </cell>
          <cell r="BE199">
            <v>0.17</v>
          </cell>
          <cell r="BF199">
            <v>0.17</v>
          </cell>
          <cell r="BG199">
            <v>0.16</v>
          </cell>
          <cell r="BH199">
            <v>0.16</v>
          </cell>
          <cell r="BI199">
            <v>0.15</v>
          </cell>
          <cell r="BJ199">
            <v>0.14000000000000001</v>
          </cell>
          <cell r="BK199">
            <v>0.13</v>
          </cell>
        </row>
        <row r="200">
          <cell r="A200" t="str">
            <v>Verizon Wireless</v>
          </cell>
          <cell r="F200">
            <v>0.11</v>
          </cell>
          <cell r="G200">
            <v>0.1</v>
          </cell>
          <cell r="H200">
            <v>0.11</v>
          </cell>
          <cell r="I200">
            <v>0.16</v>
          </cell>
          <cell r="J200">
            <v>0.15</v>
          </cell>
          <cell r="K200">
            <v>0.15</v>
          </cell>
          <cell r="AS200">
            <v>0.11</v>
          </cell>
          <cell r="AT200">
            <v>0.11</v>
          </cell>
          <cell r="AU200">
            <v>0.11</v>
          </cell>
          <cell r="AV200">
            <v>0.11</v>
          </cell>
          <cell r="AW200">
            <v>0.11</v>
          </cell>
          <cell r="AZ200">
            <v>0.16</v>
          </cell>
          <cell r="BA200">
            <v>0.16</v>
          </cell>
          <cell r="BB200">
            <v>0.16</v>
          </cell>
          <cell r="BC200">
            <v>0.15</v>
          </cell>
          <cell r="BD200">
            <v>0.15</v>
          </cell>
          <cell r="BE200">
            <v>0.17</v>
          </cell>
          <cell r="BF200">
            <v>0.16</v>
          </cell>
          <cell r="BG200">
            <v>0.16</v>
          </cell>
          <cell r="BH200">
            <v>0.15</v>
          </cell>
          <cell r="BI200">
            <v>0.13</v>
          </cell>
          <cell r="BJ200">
            <v>0.13</v>
          </cell>
          <cell r="BK200">
            <v>0.12</v>
          </cell>
        </row>
        <row r="201">
          <cell r="A201" t="str">
            <v>T-Mobile (estimate)</v>
          </cell>
          <cell r="F201">
            <v>7.0000000000000007E-2</v>
          </cell>
          <cell r="G201">
            <v>0.08</v>
          </cell>
          <cell r="H201">
            <v>0.08</v>
          </cell>
          <cell r="I201">
            <v>0.09</v>
          </cell>
          <cell r="J201">
            <v>0.09</v>
          </cell>
          <cell r="K201">
            <v>0.08</v>
          </cell>
          <cell r="AS201">
            <v>0.08</v>
          </cell>
          <cell r="AT201">
            <v>0.08</v>
          </cell>
          <cell r="AU201">
            <v>0.08</v>
          </cell>
          <cell r="AV201">
            <v>0.08</v>
          </cell>
          <cell r="AW201">
            <v>0.09</v>
          </cell>
          <cell r="AZ201">
            <v>0.09</v>
          </cell>
          <cell r="BA201">
            <v>0.09</v>
          </cell>
          <cell r="BB201">
            <v>0.09</v>
          </cell>
          <cell r="BC201">
            <v>0.09</v>
          </cell>
          <cell r="BD201">
            <v>0.09</v>
          </cell>
          <cell r="BE201">
            <v>0.09</v>
          </cell>
          <cell r="BF201">
            <v>0.09</v>
          </cell>
          <cell r="BG201">
            <v>0.09</v>
          </cell>
          <cell r="BH201">
            <v>0.08</v>
          </cell>
          <cell r="BI201">
            <v>0.08</v>
          </cell>
          <cell r="BJ201">
            <v>7.0000000000000007E-2</v>
          </cell>
          <cell r="BK201">
            <v>7.0000000000000007E-2</v>
          </cell>
        </row>
        <row r="202">
          <cell r="A202" t="str">
            <v>TOTAL</v>
          </cell>
          <cell r="F202">
            <v>0.49000000000000005</v>
          </cell>
          <cell r="G202">
            <v>0.59</v>
          </cell>
          <cell r="H202">
            <v>0.6</v>
          </cell>
          <cell r="I202">
            <v>0.64</v>
          </cell>
          <cell r="J202">
            <v>0.6</v>
          </cell>
          <cell r="K202">
            <v>0.59</v>
          </cell>
          <cell r="AS202">
            <v>0.57999999999999996</v>
          </cell>
          <cell r="AT202">
            <v>0.59</v>
          </cell>
          <cell r="AU202">
            <v>0.59</v>
          </cell>
          <cell r="AV202">
            <v>0.6</v>
          </cell>
          <cell r="AW202">
            <v>0.6</v>
          </cell>
          <cell r="AZ202">
            <v>0.64</v>
          </cell>
          <cell r="BA202">
            <v>0.65</v>
          </cell>
          <cell r="BB202">
            <v>0.63</v>
          </cell>
          <cell r="BC202">
            <v>0.6</v>
          </cell>
          <cell r="BD202">
            <v>0.6</v>
          </cell>
          <cell r="BE202">
            <v>0.61</v>
          </cell>
          <cell r="BF202">
            <v>0.6</v>
          </cell>
          <cell r="BG202">
            <v>0.6</v>
          </cell>
          <cell r="BH202">
            <v>0.59</v>
          </cell>
          <cell r="BI202">
            <v>0.55999999999999994</v>
          </cell>
          <cell r="BJ202">
            <v>0.53</v>
          </cell>
          <cell r="BK202">
            <v>0.52</v>
          </cell>
        </row>
        <row r="204">
          <cell r="A204" t="str">
            <v>Employees</v>
          </cell>
        </row>
        <row r="205">
          <cell r="D205">
            <v>1400</v>
          </cell>
          <cell r="E205">
            <v>726</v>
          </cell>
          <cell r="F205">
            <v>904</v>
          </cell>
          <cell r="G205">
            <v>995</v>
          </cell>
          <cell r="H205">
            <v>1124</v>
          </cell>
          <cell r="I205">
            <v>1198</v>
          </cell>
          <cell r="J205">
            <v>1420</v>
          </cell>
          <cell r="K205">
            <v>1729</v>
          </cell>
        </row>
        <row r="207">
          <cell r="D207" t="str">
            <v>2003-FY</v>
          </cell>
          <cell r="E207" t="str">
            <v>2004-FY</v>
          </cell>
          <cell r="F207" t="str">
            <v>2005-FY</v>
          </cell>
          <cell r="G207" t="str">
            <v>2006-FY</v>
          </cell>
          <cell r="H207" t="str">
            <v>2007-FY</v>
          </cell>
          <cell r="I207" t="str">
            <v>2008-FY</v>
          </cell>
          <cell r="J207" t="str">
            <v>2009-FY</v>
          </cell>
          <cell r="K207" t="str">
            <v>2010-FY</v>
          </cell>
          <cell r="L207" t="str">
            <v>2011-FY</v>
          </cell>
          <cell r="M207" t="str">
            <v>2012-FY</v>
          </cell>
          <cell r="N207" t="str">
            <v>2013-FY</v>
          </cell>
          <cell r="O207" t="str">
            <v>2014-FY</v>
          </cell>
          <cell r="P207" t="str">
            <v>2015-FY</v>
          </cell>
          <cell r="Q207" t="str">
            <v>2016-FY</v>
          </cell>
          <cell r="R207" t="str">
            <v>2017-FY</v>
          </cell>
          <cell r="S207" t="str">
            <v>2018-FY</v>
          </cell>
          <cell r="T207" t="str">
            <v>2019-FY</v>
          </cell>
          <cell r="U207" t="str">
            <v>2020-FY</v>
          </cell>
          <cell r="V207" t="str">
            <v>2021-FY</v>
          </cell>
          <cell r="AC207" t="str">
            <v>2003-Q1</v>
          </cell>
          <cell r="AD207" t="str">
            <v>2003-Q2</v>
          </cell>
          <cell r="AE207" t="str">
            <v>2003-Q3</v>
          </cell>
          <cell r="AF207" t="str">
            <v>2003-Q4</v>
          </cell>
          <cell r="AG207" t="str">
            <v>2004-Q1</v>
          </cell>
          <cell r="AH207" t="str">
            <v>2004-Q2</v>
          </cell>
          <cell r="AI207" t="str">
            <v>2004-Q3</v>
          </cell>
          <cell r="AJ207" t="str">
            <v>2004-Q4</v>
          </cell>
          <cell r="AK207" t="str">
            <v>2005-Q1</v>
          </cell>
          <cell r="AL207" t="str">
            <v>2005-Q2</v>
          </cell>
          <cell r="AM207" t="str">
            <v>2005-Q3</v>
          </cell>
          <cell r="AN207" t="str">
            <v>2005-Q4</v>
          </cell>
          <cell r="AO207" t="str">
            <v>2006-Q1</v>
          </cell>
          <cell r="AP207" t="str">
            <v>2006-Q2</v>
          </cell>
          <cell r="AQ207" t="str">
            <v>2006-Q3</v>
          </cell>
          <cell r="AR207" t="str">
            <v>2006-Q4</v>
          </cell>
          <cell r="AS207" t="str">
            <v>2007-Q1</v>
          </cell>
          <cell r="AT207" t="str">
            <v>2007-Q2</v>
          </cell>
          <cell r="AU207" t="str">
            <v>2007-Q3</v>
          </cell>
          <cell r="AV207" t="str">
            <v>2007-Q4</v>
          </cell>
          <cell r="AW207" t="str">
            <v>2008-Q1</v>
          </cell>
          <cell r="AX207" t="str">
            <v>2008-Q2</v>
          </cell>
          <cell r="AY207" t="str">
            <v>2008-Q3</v>
          </cell>
          <cell r="AZ207" t="str">
            <v>2008-Q4</v>
          </cell>
          <cell r="BA207" t="str">
            <v>2009-Q1</v>
          </cell>
          <cell r="BB207" t="str">
            <v>2009-Q2</v>
          </cell>
          <cell r="BC207" t="str">
            <v>2009-Q3</v>
          </cell>
          <cell r="BD207" t="str">
            <v>2009-Q4</v>
          </cell>
          <cell r="BE207" t="str">
            <v>2010-Q1</v>
          </cell>
          <cell r="BF207" t="str">
            <v>2010-Q2</v>
          </cell>
          <cell r="BG207" t="str">
            <v>2010-Q3</v>
          </cell>
          <cell r="BH207" t="str">
            <v>2010-Q4</v>
          </cell>
          <cell r="BI207" t="str">
            <v>2011-Q1</v>
          </cell>
          <cell r="BJ207" t="str">
            <v>2011-Q2</v>
          </cell>
          <cell r="BK207" t="str">
            <v>2011-Q3</v>
          </cell>
          <cell r="BL207" t="str">
            <v>2011-Q4</v>
          </cell>
          <cell r="BM207" t="str">
            <v>2012-Q1</v>
          </cell>
          <cell r="BN207" t="str">
            <v>2012-Q2</v>
          </cell>
          <cell r="BO207" t="str">
            <v>2012-Q3</v>
          </cell>
          <cell r="BP207" t="str">
            <v>2012-Q4</v>
          </cell>
          <cell r="BQ207" t="str">
            <v>2013-Q1</v>
          </cell>
          <cell r="BR207" t="str">
            <v>2013-Q2</v>
          </cell>
          <cell r="BS207" t="str">
            <v>2013-Q3</v>
          </cell>
          <cell r="BT207" t="str">
            <v>2013-Q4</v>
          </cell>
        </row>
      </sheetData>
      <sheetData sheetId="3" refreshError="1">
        <row r="1">
          <cell r="A1" t="str">
            <v>Simon Flannery / simon.flannery@morganstanley.com / 212-761-6432</v>
          </cell>
          <cell r="BW1" t="str">
            <v>ElementName</v>
          </cell>
          <cell r="BX1" t="str">
            <v>ScaleOverride</v>
          </cell>
          <cell r="BY1" t="str">
            <v>UnitOverride</v>
          </cell>
          <cell r="BZ1" t="str">
            <v>ReverseSign</v>
          </cell>
          <cell r="CA1" t="str">
            <v>IsDrivingAssumption</v>
          </cell>
          <cell r="CB1" t="str">
            <v>SegmentID</v>
          </cell>
        </row>
        <row r="2">
          <cell r="A2" t="str">
            <v>American Tower</v>
          </cell>
        </row>
        <row r="3">
          <cell r="A3" t="str">
            <v>Balance Sheet</v>
          </cell>
        </row>
        <row r="8">
          <cell r="A8" t="str">
            <v>Fiscal Year Ending December 31</v>
          </cell>
          <cell r="G8" t="str">
            <v>Calendar Year</v>
          </cell>
          <cell r="X8" t="str">
            <v>2002A</v>
          </cell>
          <cell r="AB8" t="str">
            <v>2003A</v>
          </cell>
          <cell r="AF8" t="str">
            <v>2004A</v>
          </cell>
          <cell r="AJ8" t="str">
            <v>2005A</v>
          </cell>
          <cell r="AN8" t="str">
            <v>2006A</v>
          </cell>
          <cell r="AR8" t="str">
            <v>2007A</v>
          </cell>
          <cell r="AV8" t="str">
            <v>2008A</v>
          </cell>
          <cell r="AZ8" t="str">
            <v>2009A</v>
          </cell>
          <cell r="BD8" t="str">
            <v>2010A</v>
          </cell>
          <cell r="BH8" t="str">
            <v>2011E</v>
          </cell>
          <cell r="BL8" t="str">
            <v>2012E</v>
          </cell>
          <cell r="BP8" t="str">
            <v>2013E</v>
          </cell>
          <cell r="BU8" t="str">
            <v>CHECKS</v>
          </cell>
        </row>
        <row r="9">
          <cell r="C9" t="str">
            <v>2002A</v>
          </cell>
          <cell r="D9" t="str">
            <v>2003A</v>
          </cell>
          <cell r="E9" t="str">
            <v>2004A</v>
          </cell>
          <cell r="F9" t="str">
            <v>2005A</v>
          </cell>
          <cell r="G9" t="str">
            <v>2006A</v>
          </cell>
          <cell r="H9" t="str">
            <v>2007A</v>
          </cell>
          <cell r="I9" t="str">
            <v>2008A</v>
          </cell>
          <cell r="J9" t="str">
            <v>2009A</v>
          </cell>
          <cell r="K9" t="str">
            <v>2010A</v>
          </cell>
          <cell r="L9" t="str">
            <v>2011E</v>
          </cell>
          <cell r="M9" t="str">
            <v>2012E</v>
          </cell>
          <cell r="N9" t="str">
            <v>2013E</v>
          </cell>
          <cell r="O9" t="str">
            <v>2014E</v>
          </cell>
          <cell r="P9" t="str">
            <v>2015E</v>
          </cell>
          <cell r="Q9" t="str">
            <v>2016E</v>
          </cell>
          <cell r="R9" t="str">
            <v>2017E</v>
          </cell>
          <cell r="S9" t="str">
            <v>2018E</v>
          </cell>
          <cell r="T9" t="str">
            <v>2019E</v>
          </cell>
          <cell r="U9" t="str">
            <v>2020E</v>
          </cell>
          <cell r="V9" t="str">
            <v>2021E</v>
          </cell>
          <cell r="X9" t="str">
            <v>Mar</v>
          </cell>
          <cell r="Y9" t="str">
            <v>Jun</v>
          </cell>
          <cell r="Z9" t="str">
            <v>Sep</v>
          </cell>
          <cell r="AA9" t="str">
            <v>Dec</v>
          </cell>
          <cell r="AB9" t="str">
            <v>Mar</v>
          </cell>
          <cell r="AC9" t="str">
            <v>Jun</v>
          </cell>
          <cell r="AD9" t="str">
            <v>Sep</v>
          </cell>
          <cell r="AE9" t="str">
            <v>Dec</v>
          </cell>
          <cell r="AF9" t="str">
            <v>Mar</v>
          </cell>
          <cell r="AG9" t="str">
            <v>Jun</v>
          </cell>
          <cell r="AH9" t="str">
            <v>Sep</v>
          </cell>
          <cell r="AI9" t="str">
            <v>Dec</v>
          </cell>
          <cell r="AJ9" t="str">
            <v>Mar</v>
          </cell>
          <cell r="AK9" t="str">
            <v>Jun</v>
          </cell>
          <cell r="AL9" t="str">
            <v>Sep</v>
          </cell>
          <cell r="AM9" t="str">
            <v>Dec</v>
          </cell>
          <cell r="AN9" t="str">
            <v>Mar</v>
          </cell>
          <cell r="AO9" t="str">
            <v>Jun</v>
          </cell>
          <cell r="AP9" t="str">
            <v>Sep</v>
          </cell>
          <cell r="AQ9" t="str">
            <v>Dec</v>
          </cell>
          <cell r="AR9" t="str">
            <v>Mar</v>
          </cell>
          <cell r="AS9" t="str">
            <v>Jun</v>
          </cell>
          <cell r="AT9" t="str">
            <v>Sep</v>
          </cell>
          <cell r="AU9" t="str">
            <v>Dec</v>
          </cell>
          <cell r="AV9" t="str">
            <v>Mar</v>
          </cell>
          <cell r="AW9" t="str">
            <v>Jun</v>
          </cell>
          <cell r="AX9" t="str">
            <v>Sep</v>
          </cell>
          <cell r="AY9" t="str">
            <v>Dec</v>
          </cell>
          <cell r="AZ9" t="str">
            <v>Mar</v>
          </cell>
          <cell r="BA9" t="str">
            <v>Jun</v>
          </cell>
          <cell r="BB9" t="str">
            <v>Sep</v>
          </cell>
          <cell r="BC9" t="str">
            <v>Dec</v>
          </cell>
          <cell r="BD9" t="str">
            <v>Mar</v>
          </cell>
          <cell r="BE9" t="str">
            <v>Jun</v>
          </cell>
          <cell r="BF9" t="str">
            <v>Sep</v>
          </cell>
          <cell r="BG9" t="str">
            <v>Dec</v>
          </cell>
          <cell r="BH9" t="str">
            <v>Mar (A)</v>
          </cell>
          <cell r="BI9" t="str">
            <v>Jun (A)</v>
          </cell>
          <cell r="BJ9" t="str">
            <v>Sep (A)</v>
          </cell>
          <cell r="BK9" t="str">
            <v>Dec</v>
          </cell>
          <cell r="BL9" t="str">
            <v>Mar</v>
          </cell>
          <cell r="BM9" t="str">
            <v>Jun</v>
          </cell>
          <cell r="BN9" t="str">
            <v>Sep</v>
          </cell>
          <cell r="BO9" t="str">
            <v>Dec</v>
          </cell>
          <cell r="BP9" t="str">
            <v>Mar</v>
          </cell>
          <cell r="BQ9" t="str">
            <v>Jun</v>
          </cell>
          <cell r="BR9" t="str">
            <v>Sep</v>
          </cell>
          <cell r="BS9" t="str">
            <v>Dec</v>
          </cell>
          <cell r="BU9" t="str">
            <v>X</v>
          </cell>
        </row>
        <row r="10">
          <cell r="A10" t="str">
            <v>ASSETS</v>
          </cell>
        </row>
        <row r="11">
          <cell r="A11" t="str">
            <v xml:space="preserve">  Cash and Equivalents</v>
          </cell>
          <cell r="C11">
            <v>127.29200000000003</v>
          </cell>
          <cell r="D11">
            <v>105.46499999999982</v>
          </cell>
          <cell r="E11">
            <v>215.55699999999979</v>
          </cell>
          <cell r="F11">
            <v>112.70099999999985</v>
          </cell>
          <cell r="G11">
            <v>281.2639999999999</v>
          </cell>
          <cell r="H11">
            <v>33.122999999999934</v>
          </cell>
          <cell r="I11">
            <v>143.07700000000006</v>
          </cell>
          <cell r="J11">
            <v>247.29299999999995</v>
          </cell>
          <cell r="K11">
            <v>883.96299999999974</v>
          </cell>
          <cell r="L11">
            <v>49.43480890566741</v>
          </cell>
          <cell r="M11">
            <v>475.92065996555436</v>
          </cell>
          <cell r="N11">
            <v>1441.2230041238672</v>
          </cell>
          <cell r="O11">
            <v>2148.7511497629757</v>
          </cell>
          <cell r="P11">
            <v>2563.6691058852698</v>
          </cell>
          <cell r="Q11">
            <v>3002.0723766987667</v>
          </cell>
          <cell r="R11">
            <v>3451.3904741795523</v>
          </cell>
          <cell r="S11">
            <v>3922.6989413739684</v>
          </cell>
          <cell r="T11">
            <v>4398.6591129152985</v>
          </cell>
          <cell r="U11">
            <v>4903.534024764951</v>
          </cell>
          <cell r="V11">
            <v>5414.6556283865457</v>
          </cell>
          <cell r="AB11">
            <v>101.41099999999982</v>
          </cell>
          <cell r="AC11">
            <v>107.59699999999987</v>
          </cell>
          <cell r="AD11">
            <v>66.130999999999872</v>
          </cell>
          <cell r="AE11">
            <v>105.46499999999982</v>
          </cell>
          <cell r="AF11">
            <v>98.697999999999809</v>
          </cell>
          <cell r="AG11">
            <v>197.85599999999971</v>
          </cell>
          <cell r="AH11">
            <v>126.8329999999998</v>
          </cell>
          <cell r="AI11">
            <v>215.55699999999979</v>
          </cell>
          <cell r="AJ11">
            <v>122.79699999999974</v>
          </cell>
          <cell r="AK11">
            <v>85.621999999999787</v>
          </cell>
          <cell r="AL11">
            <v>109.15899999999979</v>
          </cell>
          <cell r="AM11">
            <v>112.70099999999985</v>
          </cell>
          <cell r="AN11">
            <v>85.572999999999837</v>
          </cell>
          <cell r="AO11">
            <v>90.453999999999866</v>
          </cell>
          <cell r="AP11">
            <v>207.20199999999986</v>
          </cell>
          <cell r="AQ11">
            <v>281.2639999999999</v>
          </cell>
          <cell r="AR11">
            <v>47.150999999999897</v>
          </cell>
          <cell r="AS11">
            <v>213.0209999999999</v>
          </cell>
          <cell r="AT11">
            <v>82.734999999999729</v>
          </cell>
          <cell r="AU11">
            <v>33.122999999999934</v>
          </cell>
          <cell r="AV11">
            <v>121.63300000000001</v>
          </cell>
          <cell r="AW11">
            <v>152.13000000000005</v>
          </cell>
          <cell r="AX11">
            <v>66.23500000000007</v>
          </cell>
          <cell r="AY11">
            <v>143.07700000000006</v>
          </cell>
          <cell r="AZ11">
            <v>303.03800000000001</v>
          </cell>
          <cell r="BA11">
            <v>323.637</v>
          </cell>
          <cell r="BB11">
            <v>229.67399999999992</v>
          </cell>
          <cell r="BC11">
            <v>247.29299999999995</v>
          </cell>
          <cell r="BD11">
            <v>352.88699999999994</v>
          </cell>
          <cell r="BE11">
            <v>302.89299999999986</v>
          </cell>
          <cell r="BF11">
            <v>371.87799999999982</v>
          </cell>
          <cell r="BG11">
            <v>883.96299999999974</v>
          </cell>
          <cell r="BH11">
            <v>362.82329999999968</v>
          </cell>
          <cell r="BI11">
            <v>332.54229999999961</v>
          </cell>
          <cell r="BJ11">
            <v>177.50629999999967</v>
          </cell>
          <cell r="BK11">
            <v>49.43480890566741</v>
          </cell>
          <cell r="BL11">
            <v>76.260982694191824</v>
          </cell>
          <cell r="BM11">
            <v>177.23563689270486</v>
          </cell>
          <cell r="BN11">
            <v>322.05931598765937</v>
          </cell>
          <cell r="BO11">
            <v>475.92065996555436</v>
          </cell>
          <cell r="BP11">
            <v>683.76668656129209</v>
          </cell>
          <cell r="BQ11">
            <v>928.86865021005906</v>
          </cell>
          <cell r="BR11">
            <v>1181.8425317377753</v>
          </cell>
          <cell r="BS11">
            <v>1441.2230041238672</v>
          </cell>
          <cell r="BW11" t="str">
            <v>mstag:cashAndCashEquivalents</v>
          </cell>
          <cell r="BX11">
            <v>6</v>
          </cell>
          <cell r="BY11" t="str">
            <v>ISO4217:USD</v>
          </cell>
          <cell r="BZ11" t="b">
            <v>0</v>
          </cell>
          <cell r="CA11" t="b">
            <v>0</v>
          </cell>
        </row>
        <row r="12">
          <cell r="A12" t="str">
            <v xml:space="preserve">  Restricted Cash and Investments</v>
          </cell>
          <cell r="D12">
            <v>170.036</v>
          </cell>
          <cell r="E12">
            <v>0</v>
          </cell>
          <cell r="F12">
            <v>0</v>
          </cell>
          <cell r="G12">
            <v>0</v>
          </cell>
          <cell r="H12">
            <v>53.683999999999997</v>
          </cell>
          <cell r="I12">
            <v>51.866</v>
          </cell>
          <cell r="J12">
            <v>47.835999999999999</v>
          </cell>
          <cell r="K12">
            <v>75.971999999999994</v>
          </cell>
          <cell r="L12">
            <v>50.220999999999997</v>
          </cell>
          <cell r="M12">
            <v>50.220999999999997</v>
          </cell>
          <cell r="N12">
            <v>50.220999999999997</v>
          </cell>
          <cell r="O12">
            <v>50.220999999999997</v>
          </cell>
          <cell r="P12">
            <v>50.220999999999997</v>
          </cell>
          <cell r="Q12">
            <v>50.220999999999997</v>
          </cell>
          <cell r="R12">
            <v>50.220999999999997</v>
          </cell>
          <cell r="S12">
            <v>50.220999999999997</v>
          </cell>
          <cell r="T12">
            <v>50.220999999999997</v>
          </cell>
          <cell r="U12">
            <v>50.220999999999997</v>
          </cell>
          <cell r="V12">
            <v>50.220999999999997</v>
          </cell>
          <cell r="AB12">
            <v>217.18799999999999</v>
          </cell>
          <cell r="AC12">
            <v>192.88499999999999</v>
          </cell>
          <cell r="AD12">
            <v>283.72199999999998</v>
          </cell>
          <cell r="AE12">
            <v>170.036</v>
          </cell>
          <cell r="AF12">
            <v>119.137</v>
          </cell>
          <cell r="AS12">
            <v>35.927999999999997</v>
          </cell>
          <cell r="AT12">
            <v>41.154000000000003</v>
          </cell>
          <cell r="AU12">
            <v>53.683999999999997</v>
          </cell>
          <cell r="AV12">
            <v>50.127000000000002</v>
          </cell>
          <cell r="AW12">
            <v>51.16</v>
          </cell>
          <cell r="AX12">
            <v>50.826999999999998</v>
          </cell>
          <cell r="AY12">
            <v>51.866</v>
          </cell>
          <cell r="AZ12">
            <v>61.475000000000001</v>
          </cell>
          <cell r="BA12">
            <v>50.774000000000001</v>
          </cell>
          <cell r="BB12">
            <v>50.795000000000002</v>
          </cell>
          <cell r="BC12">
            <v>47.835999999999999</v>
          </cell>
          <cell r="BD12">
            <v>49.793999999999997</v>
          </cell>
          <cell r="BE12">
            <v>52.566000000000003</v>
          </cell>
          <cell r="BF12">
            <v>69.159000000000006</v>
          </cell>
          <cell r="BG12">
            <v>75.971999999999994</v>
          </cell>
          <cell r="BH12">
            <v>79.427000000000007</v>
          </cell>
          <cell r="BI12">
            <v>50.206000000000003</v>
          </cell>
          <cell r="BJ12">
            <v>50.220999999999997</v>
          </cell>
          <cell r="BK12">
            <v>50.220999999999997</v>
          </cell>
          <cell r="BL12">
            <v>50.220999999999997</v>
          </cell>
          <cell r="BM12">
            <v>50.220999999999997</v>
          </cell>
          <cell r="BN12">
            <v>50.220999999999997</v>
          </cell>
          <cell r="BO12">
            <v>50.220999999999997</v>
          </cell>
          <cell r="BP12">
            <v>50.220999999999997</v>
          </cell>
          <cell r="BQ12">
            <v>50.220999999999997</v>
          </cell>
          <cell r="BR12">
            <v>50.220999999999997</v>
          </cell>
          <cell r="BS12">
            <v>50.220999999999997</v>
          </cell>
          <cell r="BW12" t="str">
            <v>mstag:shortTermInvestments</v>
          </cell>
          <cell r="BX12">
            <v>6</v>
          </cell>
          <cell r="BY12" t="str">
            <v>ISO4217:USD</v>
          </cell>
          <cell r="BZ12" t="b">
            <v>0</v>
          </cell>
          <cell r="CA12" t="b">
            <v>0</v>
          </cell>
        </row>
        <row r="13">
          <cell r="A13" t="str">
            <v xml:space="preserve">  Accounts Receivable</v>
          </cell>
          <cell r="C13">
            <v>83.177000000000007</v>
          </cell>
          <cell r="D13">
            <v>57.734999999999999</v>
          </cell>
          <cell r="E13">
            <v>38.634</v>
          </cell>
          <cell r="F13">
            <v>36.994999999999997</v>
          </cell>
          <cell r="G13">
            <v>29.367999999999999</v>
          </cell>
          <cell r="H13">
            <v>40.316000000000003</v>
          </cell>
          <cell r="I13">
            <v>51.313000000000002</v>
          </cell>
          <cell r="J13">
            <v>67.948999999999998</v>
          </cell>
          <cell r="K13">
            <v>80.960999999999999</v>
          </cell>
          <cell r="L13">
            <v>115.93803389618637</v>
          </cell>
          <cell r="M13">
            <v>138.09946239025967</v>
          </cell>
          <cell r="N13">
            <v>148.44387572824377</v>
          </cell>
          <cell r="O13">
            <v>155.84206586392017</v>
          </cell>
          <cell r="P13">
            <v>162.19655085793906</v>
          </cell>
          <cell r="Q13">
            <v>168.31185250108578</v>
          </cell>
          <cell r="R13">
            <v>173.76420486896484</v>
          </cell>
          <cell r="S13">
            <v>178.49999826336548</v>
          </cell>
          <cell r="T13">
            <v>182.50719432208615</v>
          </cell>
          <cell r="U13">
            <v>185.676625847667</v>
          </cell>
          <cell r="V13">
            <v>188.09802865817832</v>
          </cell>
          <cell r="AB13">
            <v>78.778000000000006</v>
          </cell>
          <cell r="AC13">
            <v>57.904000000000003</v>
          </cell>
          <cell r="AD13">
            <v>52.622999999999998</v>
          </cell>
          <cell r="AE13">
            <v>57.734999999999999</v>
          </cell>
          <cell r="AF13">
            <v>46.31</v>
          </cell>
          <cell r="AG13">
            <v>44.192999999999998</v>
          </cell>
          <cell r="AH13">
            <v>41.704000000000001</v>
          </cell>
          <cell r="AI13">
            <v>38.634</v>
          </cell>
          <cell r="AJ13">
            <v>30.423999999999999</v>
          </cell>
          <cell r="AK13">
            <v>23.117999999999999</v>
          </cell>
          <cell r="AL13">
            <v>37.552999999999997</v>
          </cell>
          <cell r="AM13">
            <v>36.994999999999997</v>
          </cell>
          <cell r="AN13">
            <v>33.216000000000001</v>
          </cell>
          <cell r="AO13">
            <v>30.782</v>
          </cell>
          <cell r="AP13">
            <v>33.505000000000003</v>
          </cell>
          <cell r="AQ13">
            <v>29.367999999999999</v>
          </cell>
          <cell r="AR13">
            <v>33.734000000000002</v>
          </cell>
          <cell r="AS13">
            <v>45.414999999999999</v>
          </cell>
          <cell r="AT13">
            <v>46.426000000000002</v>
          </cell>
          <cell r="AU13">
            <v>40.316000000000003</v>
          </cell>
          <cell r="AV13">
            <v>37.119999999999997</v>
          </cell>
          <cell r="AW13">
            <v>40.774000000000001</v>
          </cell>
          <cell r="AX13">
            <v>46.146000000000001</v>
          </cell>
          <cell r="AY13">
            <v>51.313000000000002</v>
          </cell>
          <cell r="AZ13">
            <v>60.057000000000002</v>
          </cell>
          <cell r="BA13">
            <v>72.525999999999996</v>
          </cell>
          <cell r="BB13">
            <v>71.271000000000001</v>
          </cell>
          <cell r="BC13">
            <v>67.948999999999998</v>
          </cell>
          <cell r="BD13">
            <v>73.540999999999997</v>
          </cell>
          <cell r="BE13">
            <v>48.872</v>
          </cell>
          <cell r="BF13">
            <v>92.869</v>
          </cell>
          <cell r="BG13">
            <v>80.960999999999999</v>
          </cell>
          <cell r="BH13">
            <v>97.828999999999994</v>
          </cell>
          <cell r="BI13">
            <v>99.822999999999993</v>
          </cell>
          <cell r="BJ13">
            <v>100.063</v>
          </cell>
          <cell r="BK13">
            <v>115.93803389618637</v>
          </cell>
          <cell r="BL13">
            <v>118.12467743033675</v>
          </cell>
          <cell r="BM13">
            <v>127.7345001019918</v>
          </cell>
          <cell r="BN13">
            <v>133.63496540454412</v>
          </cell>
          <cell r="BO13">
            <v>138.09946239025967</v>
          </cell>
          <cell r="BP13">
            <v>137.39213237515452</v>
          </cell>
          <cell r="BQ13">
            <v>142.07267540368602</v>
          </cell>
          <cell r="BR13">
            <v>145.90085246172853</v>
          </cell>
          <cell r="BS13">
            <v>148.44387572824377</v>
          </cell>
          <cell r="BW13" t="str">
            <v>mstag:tradeReceivables</v>
          </cell>
          <cell r="BX13">
            <v>6</v>
          </cell>
          <cell r="BY13" t="str">
            <v>ISO4217:USD</v>
          </cell>
          <cell r="BZ13" t="b">
            <v>0</v>
          </cell>
          <cell r="CA13" t="b">
            <v>0</v>
          </cell>
        </row>
        <row r="14">
          <cell r="A14" t="str">
            <v xml:space="preserve">  Inventories</v>
          </cell>
          <cell r="L14">
            <v>0</v>
          </cell>
          <cell r="M14">
            <v>0</v>
          </cell>
          <cell r="N14">
            <v>0</v>
          </cell>
        </row>
        <row r="15">
          <cell r="A15" t="str">
            <v xml:space="preserve">  Short-term Investments</v>
          </cell>
          <cell r="L15">
            <v>0</v>
          </cell>
          <cell r="M15">
            <v>0</v>
          </cell>
          <cell r="N15">
            <v>0</v>
          </cell>
        </row>
        <row r="16">
          <cell r="A16" t="str">
            <v xml:space="preserve">  Assets of Discontinued Operations</v>
          </cell>
          <cell r="L16">
            <v>0</v>
          </cell>
          <cell r="M16">
            <v>0</v>
          </cell>
          <cell r="N16">
            <v>0</v>
          </cell>
        </row>
        <row r="17">
          <cell r="A17" t="str">
            <v xml:space="preserve">  Prepaid Expenses and Other Current Assets</v>
          </cell>
          <cell r="C17">
            <v>44.768999999999998</v>
          </cell>
          <cell r="D17">
            <v>34.104999999999997</v>
          </cell>
          <cell r="E17">
            <v>45.366999999999997</v>
          </cell>
          <cell r="F17">
            <v>44.823</v>
          </cell>
          <cell r="G17">
            <v>63.918999999999997</v>
          </cell>
          <cell r="H17">
            <v>71.263999999999996</v>
          </cell>
          <cell r="I17">
            <v>61.414999999999999</v>
          </cell>
          <cell r="J17">
            <v>89.051000000000002</v>
          </cell>
          <cell r="K17">
            <v>147.84299999999999</v>
          </cell>
          <cell r="L17">
            <v>236.47618717209781</v>
          </cell>
          <cell r="M17">
            <v>281.67835195314058</v>
          </cell>
          <cell r="N17">
            <v>302.77761802219482</v>
          </cell>
          <cell r="O17">
            <v>317.86753921945717</v>
          </cell>
          <cell r="P17">
            <v>330.8286386303152</v>
          </cell>
          <cell r="Q17">
            <v>343.30188116669882</v>
          </cell>
          <cell r="R17">
            <v>354.42292105106765</v>
          </cell>
          <cell r="S17">
            <v>364.08241179372988</v>
          </cell>
          <cell r="T17">
            <v>372.25579901940802</v>
          </cell>
          <cell r="U17">
            <v>378.72041686296666</v>
          </cell>
          <cell r="V17">
            <v>383.65929744421101</v>
          </cell>
          <cell r="AB17">
            <v>40.677999999999997</v>
          </cell>
          <cell r="AC17">
            <v>42.154000000000003</v>
          </cell>
          <cell r="AD17">
            <v>34.551000000000002</v>
          </cell>
          <cell r="AE17">
            <v>34.104999999999997</v>
          </cell>
          <cell r="AF17">
            <v>37.286999999999999</v>
          </cell>
          <cell r="AG17">
            <v>38.045000000000002</v>
          </cell>
          <cell r="AH17">
            <v>42.529000000000003</v>
          </cell>
          <cell r="AI17">
            <v>45.366999999999997</v>
          </cell>
          <cell r="AJ17">
            <v>35.82</v>
          </cell>
          <cell r="AK17">
            <v>38.277000000000001</v>
          </cell>
          <cell r="AL17">
            <v>53.866</v>
          </cell>
          <cell r="AM17">
            <v>44.823</v>
          </cell>
          <cell r="AN17">
            <v>77.266000000000005</v>
          </cell>
          <cell r="AO17">
            <v>73.242999999999995</v>
          </cell>
          <cell r="AP17">
            <v>65.849999999999994</v>
          </cell>
          <cell r="AQ17">
            <v>63.918999999999997</v>
          </cell>
          <cell r="AR17">
            <v>75.929000000000002</v>
          </cell>
          <cell r="AS17">
            <v>79.403999999999996</v>
          </cell>
          <cell r="AT17">
            <v>86.63</v>
          </cell>
          <cell r="AU17">
            <v>71.263999999999996</v>
          </cell>
          <cell r="AV17">
            <v>76.075999999999993</v>
          </cell>
          <cell r="AW17">
            <v>63.177</v>
          </cell>
          <cell r="AX17">
            <v>62.406999999999996</v>
          </cell>
          <cell r="AY17">
            <v>61.414999999999999</v>
          </cell>
          <cell r="AZ17">
            <v>70.180000000000007</v>
          </cell>
          <cell r="BA17">
            <v>70.974000000000004</v>
          </cell>
          <cell r="BB17">
            <v>78.722999999999999</v>
          </cell>
          <cell r="BC17">
            <v>89.051000000000002</v>
          </cell>
          <cell r="BD17">
            <v>107.208</v>
          </cell>
          <cell r="BE17">
            <v>113.84399999999999</v>
          </cell>
          <cell r="BF17">
            <v>157.43799999999999</v>
          </cell>
          <cell r="BG17">
            <v>147.84299999999999</v>
          </cell>
          <cell r="BH17">
            <v>150.393</v>
          </cell>
          <cell r="BI17">
            <v>172.011</v>
          </cell>
          <cell r="BJ17">
            <v>228.59</v>
          </cell>
          <cell r="BK17">
            <v>236.47618717209781</v>
          </cell>
          <cell r="BL17">
            <v>240.93623456365023</v>
          </cell>
          <cell r="BM17">
            <v>260.53717265466366</v>
          </cell>
          <cell r="BN17">
            <v>272.57221836311714</v>
          </cell>
          <cell r="BO17">
            <v>281.67835195314058</v>
          </cell>
          <cell r="BP17">
            <v>280.23562690922421</v>
          </cell>
          <cell r="BQ17">
            <v>289.78242472945601</v>
          </cell>
          <cell r="BR17">
            <v>297.590670945846</v>
          </cell>
          <cell r="BS17">
            <v>302.77761802219482</v>
          </cell>
          <cell r="BW17" t="str">
            <v>mstag:prepaidExpenses</v>
          </cell>
          <cell r="BX17">
            <v>6</v>
          </cell>
          <cell r="BY17" t="str">
            <v>ISO4217:USD</v>
          </cell>
          <cell r="BZ17" t="b">
            <v>0</v>
          </cell>
          <cell r="CA17" t="b">
            <v>0</v>
          </cell>
        </row>
        <row r="18">
          <cell r="A18" t="str">
            <v xml:space="preserve">  Deferred Income Taxes and Other</v>
          </cell>
          <cell r="C18">
            <v>37.198999999999998</v>
          </cell>
          <cell r="D18">
            <v>34.055</v>
          </cell>
          <cell r="E18">
            <v>6.09</v>
          </cell>
          <cell r="F18">
            <v>31.359000000000002</v>
          </cell>
          <cell r="G18">
            <v>88.484999999999999</v>
          </cell>
          <cell r="H18">
            <v>40.063000000000002</v>
          </cell>
          <cell r="I18">
            <v>163.98099999999999</v>
          </cell>
          <cell r="J18">
            <v>189.45099999999999</v>
          </cell>
          <cell r="K18">
            <v>166.31399999999999</v>
          </cell>
          <cell r="L18">
            <v>252.69900000000001</v>
          </cell>
          <cell r="M18">
            <v>252.69900000000001</v>
          </cell>
          <cell r="N18">
            <v>252.69900000000001</v>
          </cell>
          <cell r="O18">
            <v>252.69900000000001</v>
          </cell>
          <cell r="P18">
            <v>252.69900000000001</v>
          </cell>
          <cell r="Q18">
            <v>252.69900000000001</v>
          </cell>
          <cell r="R18">
            <v>252.69900000000001</v>
          </cell>
          <cell r="S18">
            <v>252.69900000000001</v>
          </cell>
          <cell r="T18">
            <v>252.69900000000001</v>
          </cell>
          <cell r="U18">
            <v>252.69900000000001</v>
          </cell>
          <cell r="V18">
            <v>252.69900000000001</v>
          </cell>
          <cell r="AB18">
            <v>27.89</v>
          </cell>
          <cell r="AC18">
            <v>31.083000000000002</v>
          </cell>
          <cell r="AD18">
            <v>32.863</v>
          </cell>
          <cell r="AE18">
            <v>34.055</v>
          </cell>
          <cell r="AF18">
            <v>29.503</v>
          </cell>
          <cell r="AG18">
            <v>30.187000000000001</v>
          </cell>
          <cell r="AH18">
            <v>30.673999999999999</v>
          </cell>
          <cell r="AI18">
            <v>6.09</v>
          </cell>
          <cell r="AJ18">
            <v>6.09</v>
          </cell>
          <cell r="AK18">
            <v>6.09</v>
          </cell>
          <cell r="AL18">
            <v>39.610999999999997</v>
          </cell>
          <cell r="AM18">
            <v>31.359000000000002</v>
          </cell>
          <cell r="AN18">
            <v>31.359000000000002</v>
          </cell>
          <cell r="AO18">
            <v>94.236000000000004</v>
          </cell>
          <cell r="AP18">
            <v>94.236000000000004</v>
          </cell>
          <cell r="AQ18">
            <v>88.484999999999999</v>
          </cell>
          <cell r="AR18">
            <v>88.480999999999995</v>
          </cell>
          <cell r="AS18">
            <v>23.494</v>
          </cell>
          <cell r="AT18">
            <v>23.494</v>
          </cell>
          <cell r="AU18">
            <v>40.063000000000002</v>
          </cell>
          <cell r="AV18">
            <v>40.08</v>
          </cell>
          <cell r="AW18">
            <v>40.124000000000002</v>
          </cell>
          <cell r="AX18">
            <v>40.055</v>
          </cell>
          <cell r="AY18">
            <v>163.98099999999999</v>
          </cell>
          <cell r="AZ18">
            <v>163.98099999999999</v>
          </cell>
          <cell r="BA18">
            <v>191.15700000000001</v>
          </cell>
          <cell r="BB18">
            <v>191.62299999999999</v>
          </cell>
          <cell r="BC18">
            <v>189.45099999999999</v>
          </cell>
          <cell r="BD18">
            <v>216.822</v>
          </cell>
          <cell r="BE18">
            <v>224.47200000000001</v>
          </cell>
          <cell r="BF18">
            <v>210.244</v>
          </cell>
          <cell r="BG18">
            <v>166.31399999999999</v>
          </cell>
          <cell r="BH18">
            <v>250.25</v>
          </cell>
          <cell r="BI18">
            <v>256.14600000000002</v>
          </cell>
          <cell r="BJ18">
            <v>252.69900000000001</v>
          </cell>
          <cell r="BK18">
            <v>252.69900000000001</v>
          </cell>
          <cell r="BL18">
            <v>252.69900000000001</v>
          </cell>
          <cell r="BM18">
            <v>252.69900000000001</v>
          </cell>
          <cell r="BN18">
            <v>252.69900000000001</v>
          </cell>
          <cell r="BO18">
            <v>252.69900000000001</v>
          </cell>
          <cell r="BP18">
            <v>252.69900000000001</v>
          </cell>
          <cell r="BQ18">
            <v>252.69900000000001</v>
          </cell>
          <cell r="BR18">
            <v>252.69900000000001</v>
          </cell>
          <cell r="BS18">
            <v>252.69900000000001</v>
          </cell>
          <cell r="BW18" t="str">
            <v>mstag:otherAssetsOperatingCurrent</v>
          </cell>
          <cell r="BX18">
            <v>6</v>
          </cell>
          <cell r="BY18" t="str">
            <v>ISO4217:USD</v>
          </cell>
          <cell r="BZ18" t="b">
            <v>0</v>
          </cell>
          <cell r="CA18" t="b">
            <v>0</v>
          </cell>
        </row>
        <row r="19">
          <cell r="A19" t="str">
            <v xml:space="preserve">  Assets Held for Sale</v>
          </cell>
          <cell r="C19">
            <v>234.72399999999999</v>
          </cell>
          <cell r="D19">
            <v>10.119</v>
          </cell>
          <cell r="E19">
            <v>3.3889999999999998</v>
          </cell>
          <cell r="F19">
            <v>0</v>
          </cell>
          <cell r="G19">
            <v>22.986000000000001</v>
          </cell>
          <cell r="H19">
            <v>7.2240000000000002</v>
          </cell>
          <cell r="I19">
            <v>2.028</v>
          </cell>
          <cell r="J19">
            <v>9.7759999999999998</v>
          </cell>
          <cell r="K19">
            <v>46.427999999999997</v>
          </cell>
          <cell r="L19">
            <v>4.726</v>
          </cell>
          <cell r="M19">
            <v>4.726</v>
          </cell>
          <cell r="N19">
            <v>4.726</v>
          </cell>
          <cell r="O19">
            <v>4.726</v>
          </cell>
          <cell r="P19">
            <v>4.726</v>
          </cell>
          <cell r="Q19">
            <v>4.726</v>
          </cell>
          <cell r="R19">
            <v>4.726</v>
          </cell>
          <cell r="S19">
            <v>4.726</v>
          </cell>
          <cell r="T19">
            <v>4.726</v>
          </cell>
          <cell r="U19">
            <v>4.726</v>
          </cell>
          <cell r="V19">
            <v>4.726</v>
          </cell>
          <cell r="AB19">
            <v>185.15799999999999</v>
          </cell>
          <cell r="AC19">
            <v>153.52099999999999</v>
          </cell>
          <cell r="AD19">
            <v>138.26400000000001</v>
          </cell>
          <cell r="AE19">
            <v>10.119</v>
          </cell>
          <cell r="AF19">
            <v>3.4390000000000001</v>
          </cell>
          <cell r="AG19">
            <v>3.3889999999999998</v>
          </cell>
          <cell r="AH19">
            <v>3.3889999999999998</v>
          </cell>
          <cell r="AI19">
            <v>3.3889999999999998</v>
          </cell>
          <cell r="AJ19">
            <v>3.3889999999999998</v>
          </cell>
          <cell r="AK19">
            <v>3.3889999999999998</v>
          </cell>
          <cell r="AL19">
            <v>3.3889999999999998</v>
          </cell>
          <cell r="AQ19">
            <v>22.986000000000001</v>
          </cell>
          <cell r="AR19">
            <v>14.329000000000001</v>
          </cell>
          <cell r="AS19">
            <v>15.634</v>
          </cell>
          <cell r="AT19">
            <v>5.2190000000000003</v>
          </cell>
          <cell r="AU19">
            <v>7.2240000000000002</v>
          </cell>
          <cell r="AV19">
            <v>6.8019999999999996</v>
          </cell>
          <cell r="AW19">
            <v>11.786</v>
          </cell>
          <cell r="AX19">
            <v>8.0129999999999999</v>
          </cell>
          <cell r="AY19">
            <v>2.028</v>
          </cell>
          <cell r="AZ19">
            <v>0.96199999999999997</v>
          </cell>
          <cell r="BA19">
            <v>8.99</v>
          </cell>
          <cell r="BB19">
            <v>3.8439999999999999</v>
          </cell>
          <cell r="BC19">
            <v>9.7759999999999998</v>
          </cell>
          <cell r="BD19">
            <v>18.945</v>
          </cell>
          <cell r="BE19">
            <v>27.890999999999998</v>
          </cell>
          <cell r="BF19">
            <v>42.72</v>
          </cell>
          <cell r="BG19">
            <v>46.427999999999997</v>
          </cell>
          <cell r="BH19">
            <v>10.695</v>
          </cell>
          <cell r="BI19">
            <v>1.357</v>
          </cell>
          <cell r="BJ19">
            <v>4.726</v>
          </cell>
          <cell r="BK19">
            <v>4.726</v>
          </cell>
          <cell r="BL19">
            <v>4.726</v>
          </cell>
          <cell r="BM19">
            <v>4.726</v>
          </cell>
          <cell r="BN19">
            <v>4.726</v>
          </cell>
          <cell r="BO19">
            <v>4.726</v>
          </cell>
          <cell r="BP19">
            <v>4.726</v>
          </cell>
          <cell r="BQ19">
            <v>4.726</v>
          </cell>
          <cell r="BR19">
            <v>4.726</v>
          </cell>
          <cell r="BS19">
            <v>4.726</v>
          </cell>
          <cell r="BW19" t="str">
            <v>mstag:assetsOfDiscontinuedOperations</v>
          </cell>
          <cell r="BX19">
            <v>6</v>
          </cell>
          <cell r="BY19" t="str">
            <v>ISO4217:USD</v>
          </cell>
          <cell r="BZ19" t="b">
            <v>0</v>
          </cell>
          <cell r="CA19" t="b">
            <v>0</v>
          </cell>
        </row>
        <row r="20">
          <cell r="A20" t="str">
            <v xml:space="preserve">  Total Current Assets</v>
          </cell>
          <cell r="C20">
            <v>527.16100000000006</v>
          </cell>
          <cell r="D20">
            <v>411.51499999999987</v>
          </cell>
          <cell r="E20">
            <v>309.03699999999981</v>
          </cell>
          <cell r="F20">
            <v>225.87799999999987</v>
          </cell>
          <cell r="G20">
            <v>486.02199999999988</v>
          </cell>
          <cell r="H20">
            <v>245.67399999999992</v>
          </cell>
          <cell r="I20">
            <v>473.68000000000006</v>
          </cell>
          <cell r="J20">
            <v>651.35599999999988</v>
          </cell>
          <cell r="K20">
            <v>1401.4809999999998</v>
          </cell>
          <cell r="L20">
            <v>709.49502997395155</v>
          </cell>
          <cell r="M20">
            <v>1203.3444743089547</v>
          </cell>
          <cell r="N20">
            <v>2200.090497874306</v>
          </cell>
          <cell r="O20">
            <v>2930.1067548463534</v>
          </cell>
          <cell r="P20">
            <v>3364.3402953735244</v>
          </cell>
          <cell r="Q20">
            <v>3821.3321103665517</v>
          </cell>
          <cell r="R20">
            <v>4287.2236000995845</v>
          </cell>
          <cell r="S20">
            <v>4772.9273514310635</v>
          </cell>
          <cell r="T20">
            <v>5261.0681062567919</v>
          </cell>
          <cell r="U20">
            <v>5775.577067475584</v>
          </cell>
          <cell r="V20">
            <v>6294.0589544889335</v>
          </cell>
          <cell r="AB20">
            <v>651.10299999999984</v>
          </cell>
          <cell r="AC20">
            <v>585.14399999999989</v>
          </cell>
          <cell r="AD20">
            <v>608.15399999999977</v>
          </cell>
          <cell r="AE20">
            <v>411.51499999999987</v>
          </cell>
          <cell r="AF20">
            <v>334.3739999999998</v>
          </cell>
          <cell r="AG20">
            <v>313.66999999999973</v>
          </cell>
          <cell r="AH20">
            <v>245.12899999999982</v>
          </cell>
          <cell r="AI20">
            <v>309.03699999999981</v>
          </cell>
          <cell r="AJ20">
            <v>198.51999999999975</v>
          </cell>
          <cell r="AK20">
            <v>156.49599999999978</v>
          </cell>
          <cell r="AL20">
            <v>243.5779999999998</v>
          </cell>
          <cell r="AM20">
            <v>225.87799999999987</v>
          </cell>
          <cell r="AN20">
            <v>227.41399999999985</v>
          </cell>
          <cell r="AO20">
            <v>288.71499999999986</v>
          </cell>
          <cell r="AP20">
            <v>400.79299999999984</v>
          </cell>
          <cell r="AQ20">
            <v>486.02199999999988</v>
          </cell>
          <cell r="AR20">
            <v>259.62399999999991</v>
          </cell>
          <cell r="AS20">
            <v>412.89599999999996</v>
          </cell>
          <cell r="AT20">
            <v>285.65799999999973</v>
          </cell>
          <cell r="AU20">
            <v>245.67399999999992</v>
          </cell>
          <cell r="AV20">
            <v>331.83800000000002</v>
          </cell>
          <cell r="AW20">
            <v>359.15100000000007</v>
          </cell>
          <cell r="AX20">
            <v>273.68300000000005</v>
          </cell>
          <cell r="AY20">
            <v>473.68000000000006</v>
          </cell>
          <cell r="AZ20">
            <v>659.69299999999998</v>
          </cell>
          <cell r="BA20">
            <v>718.05800000000011</v>
          </cell>
          <cell r="BB20">
            <v>625.93000000000006</v>
          </cell>
          <cell r="BC20">
            <v>651.35599999999988</v>
          </cell>
          <cell r="BD20">
            <v>819.197</v>
          </cell>
          <cell r="BE20">
            <v>770.53799999999978</v>
          </cell>
          <cell r="BF20">
            <v>944.30799999999988</v>
          </cell>
          <cell r="BG20">
            <v>1401.4809999999998</v>
          </cell>
          <cell r="BH20">
            <v>951.41729999999973</v>
          </cell>
          <cell r="BI20">
            <v>912.08529999999951</v>
          </cell>
          <cell r="BJ20">
            <v>813.80529999999965</v>
          </cell>
          <cell r="BK20">
            <v>709.49502997395155</v>
          </cell>
          <cell r="BL20">
            <v>742.96789468817872</v>
          </cell>
          <cell r="BM20">
            <v>873.15330964936027</v>
          </cell>
          <cell r="BN20">
            <v>1035.9124997553208</v>
          </cell>
          <cell r="BO20">
            <v>1203.3444743089547</v>
          </cell>
          <cell r="BP20">
            <v>1409.040445845671</v>
          </cell>
          <cell r="BQ20">
            <v>1668.3697503432013</v>
          </cell>
          <cell r="BR20">
            <v>1932.98005514535</v>
          </cell>
          <cell r="BS20">
            <v>2200.090497874306</v>
          </cell>
        </row>
        <row r="22">
          <cell r="A22" t="str">
            <v xml:space="preserve">  Gross PP&amp;E</v>
          </cell>
          <cell r="C22">
            <v>3284.0630000000001</v>
          </cell>
          <cell r="D22">
            <v>3284.7139999999999</v>
          </cell>
          <cell r="E22">
            <v>3400.74</v>
          </cell>
          <cell r="F22">
            <v>4999.1639999999998</v>
          </cell>
          <cell r="G22">
            <v>4828.2070000000003</v>
          </cell>
          <cell r="H22">
            <v>4992.0290000000005</v>
          </cell>
          <cell r="I22">
            <v>5213.0469999999996</v>
          </cell>
          <cell r="J22">
            <v>5626.97</v>
          </cell>
          <cell r="K22">
            <v>6873.2343000000001</v>
          </cell>
          <cell r="L22">
            <v>9590.0679528140772</v>
          </cell>
          <cell r="M22">
            <v>10418.529801066097</v>
          </cell>
          <cell r="N22">
            <v>10868.342468799534</v>
          </cell>
          <cell r="O22">
            <v>11290.542468799535</v>
          </cell>
          <cell r="P22">
            <v>11723.042468799535</v>
          </cell>
          <cell r="Q22">
            <v>12149.042468799535</v>
          </cell>
          <cell r="R22">
            <v>12582.542468799535</v>
          </cell>
          <cell r="S22">
            <v>13003.542468799535</v>
          </cell>
          <cell r="T22">
            <v>13429.542468799535</v>
          </cell>
          <cell r="U22">
            <v>13835.542468799535</v>
          </cell>
          <cell r="V22">
            <v>14244.042468799535</v>
          </cell>
          <cell r="AB22">
            <v>3328.681</v>
          </cell>
          <cell r="AC22">
            <v>3351.9969999999998</v>
          </cell>
          <cell r="AD22">
            <v>3417.4490000000001</v>
          </cell>
          <cell r="AE22">
            <v>3284.7139999999999</v>
          </cell>
          <cell r="AF22">
            <v>3299.71</v>
          </cell>
          <cell r="AG22">
            <v>3350.3910000000001</v>
          </cell>
          <cell r="AH22">
            <v>3370.6559999999999</v>
          </cell>
          <cell r="AI22">
            <v>3400.74</v>
          </cell>
          <cell r="AJ22">
            <v>3440.6329999999998</v>
          </cell>
          <cell r="AK22">
            <v>3486.5920000000001</v>
          </cell>
          <cell r="AL22">
            <v>4815.28</v>
          </cell>
          <cell r="AM22">
            <v>4999.1639999999998</v>
          </cell>
          <cell r="AN22">
            <v>5058.1610000000001</v>
          </cell>
          <cell r="AO22">
            <v>5125.5320000000002</v>
          </cell>
          <cell r="AP22">
            <v>5204.3989999999994</v>
          </cell>
          <cell r="AQ22">
            <v>4828.2070000000003</v>
          </cell>
          <cell r="AR22">
            <v>4860.6149999999998</v>
          </cell>
          <cell r="AS22">
            <v>4893.5079999999998</v>
          </cell>
          <cell r="AT22">
            <v>4935.799</v>
          </cell>
          <cell r="AU22">
            <v>4992.0290000000005</v>
          </cell>
          <cell r="AV22">
            <v>5064.9660000000003</v>
          </cell>
          <cell r="AW22">
            <v>5121.4820000000009</v>
          </cell>
          <cell r="AX22">
            <v>5189.8560000000007</v>
          </cell>
          <cell r="AY22">
            <v>5213.0469999999996</v>
          </cell>
          <cell r="AZ22">
            <v>5263.8190000000004</v>
          </cell>
          <cell r="BA22">
            <v>5420.1670000000004</v>
          </cell>
          <cell r="BB22">
            <v>5556.6490000000003</v>
          </cell>
          <cell r="BC22">
            <v>5626.97</v>
          </cell>
          <cell r="BD22">
            <v>5770.5140000000001</v>
          </cell>
          <cell r="BE22">
            <v>5891.9732999999997</v>
          </cell>
          <cell r="BF22">
            <v>6439.7412999999997</v>
          </cell>
          <cell r="BG22">
            <v>6873.2343000000001</v>
          </cell>
          <cell r="BH22">
            <v>7588.4242999999997</v>
          </cell>
          <cell r="BI22">
            <v>8002.3092999999999</v>
          </cell>
          <cell r="BJ22">
            <v>8490.8352999999988</v>
          </cell>
          <cell r="BK22">
            <v>9590.0679528140772</v>
          </cell>
          <cell r="BL22">
            <v>9816.0312364904403</v>
          </cell>
          <cell r="BM22">
            <v>10041.994520166803</v>
          </cell>
          <cell r="BN22">
            <v>10230.26216061645</v>
          </cell>
          <cell r="BO22">
            <v>10418.529801066097</v>
          </cell>
          <cell r="BP22">
            <v>10530.982967999456</v>
          </cell>
          <cell r="BQ22">
            <v>10643.436134932816</v>
          </cell>
          <cell r="BR22">
            <v>10755.889301866175</v>
          </cell>
          <cell r="BS22">
            <v>10868.342468799534</v>
          </cell>
          <cell r="BW22" t="str">
            <v>mstag:propertyPlantAndEquipmentGross</v>
          </cell>
          <cell r="BX22">
            <v>6</v>
          </cell>
          <cell r="BY22" t="str">
            <v>ISO4217:USD</v>
          </cell>
          <cell r="BZ22" t="b">
            <v>0</v>
          </cell>
          <cell r="CA22" t="b">
            <v>0</v>
          </cell>
        </row>
        <row r="23">
          <cell r="A23" t="str">
            <v xml:space="preserve">  Accumulated Depreciation</v>
          </cell>
          <cell r="C23">
            <v>-549.178</v>
          </cell>
          <cell r="D23">
            <v>-796.36400000000003</v>
          </cell>
          <cell r="E23">
            <v>-1127.384</v>
          </cell>
          <cell r="F23">
            <v>-1538.6380000000001</v>
          </cell>
          <cell r="G23">
            <v>-1610.0830000000001</v>
          </cell>
          <cell r="H23">
            <v>-1946.8430000000001</v>
          </cell>
          <cell r="I23">
            <v>-2190.4110000000001</v>
          </cell>
          <cell r="J23">
            <v>-2451.4589999999998</v>
          </cell>
          <cell r="K23">
            <v>-3249.3993</v>
          </cell>
          <cell r="L23">
            <v>-4467.0132762499989</v>
          </cell>
          <cell r="M23">
            <v>-4897.5496553182511</v>
          </cell>
          <cell r="N23">
            <v>-5340.2061182979523</v>
          </cell>
          <cell r="O23">
            <v>-5773.6469349796844</v>
          </cell>
          <cell r="P23">
            <v>-6221.7286699932429</v>
          </cell>
          <cell r="Q23">
            <v>-6686.7972315054458</v>
          </cell>
          <cell r="R23">
            <v>-7170.9639368664284</v>
          </cell>
          <cell r="S23">
            <v>-7676.1289716913125</v>
          </cell>
          <cell r="T23">
            <v>-8204.0025030337092</v>
          </cell>
          <cell r="U23">
            <v>-8756.1236812418647</v>
          </cell>
          <cell r="V23">
            <v>-9333.877741629205</v>
          </cell>
          <cell r="AB23">
            <v>-633.24099999999999</v>
          </cell>
          <cell r="AC23">
            <v>-717.42200000000003</v>
          </cell>
          <cell r="AD23">
            <v>-800.04100000000005</v>
          </cell>
          <cell r="AE23">
            <v>-796.36400000000003</v>
          </cell>
          <cell r="AF23">
            <v>-877.70900000000006</v>
          </cell>
          <cell r="AG23">
            <v>-963.93100000000004</v>
          </cell>
          <cell r="AH23">
            <v>-1046.3130000000001</v>
          </cell>
          <cell r="AI23">
            <v>-1127.384</v>
          </cell>
          <cell r="AJ23">
            <v>-1209.355</v>
          </cell>
          <cell r="AK23">
            <v>-1294.1390000000001</v>
          </cell>
          <cell r="AL23">
            <v>-1410.8910000000001</v>
          </cell>
          <cell r="AM23">
            <v>-1538.6380000000001</v>
          </cell>
          <cell r="AN23">
            <v>-1671.8990000000001</v>
          </cell>
          <cell r="AO23">
            <v>-1804.71</v>
          </cell>
          <cell r="AP23">
            <v>-1936.067</v>
          </cell>
          <cell r="AQ23">
            <v>-1610.0830000000001</v>
          </cell>
          <cell r="AR23">
            <v>-1695.4590000000001</v>
          </cell>
          <cell r="AS23">
            <v>-1777.62</v>
          </cell>
          <cell r="AT23">
            <v>-1864.674</v>
          </cell>
          <cell r="AU23">
            <v>-1946.8430000000001</v>
          </cell>
          <cell r="AV23">
            <v>-2034.5780000000004</v>
          </cell>
          <cell r="AW23">
            <v>-2110.563000000001</v>
          </cell>
          <cell r="AX23">
            <v>-2175.7770000000005</v>
          </cell>
          <cell r="AY23">
            <v>-2190.4110000000001</v>
          </cell>
          <cell r="AZ23">
            <v>-2260.6040000000003</v>
          </cell>
          <cell r="BA23">
            <v>-2332.3680000000004</v>
          </cell>
          <cell r="BB23">
            <v>-2428.5290000000005</v>
          </cell>
          <cell r="BC23">
            <v>-2451.4589999999998</v>
          </cell>
          <cell r="BD23">
            <v>-2591.3180000000002</v>
          </cell>
          <cell r="BE23">
            <v>-2703.5122999999999</v>
          </cell>
          <cell r="BF23">
            <v>-2945.3392999999996</v>
          </cell>
          <cell r="BG23">
            <v>-3249.3993</v>
          </cell>
          <cell r="BH23">
            <v>-3817.7532999999999</v>
          </cell>
          <cell r="BI23">
            <v>-4092.6742999999997</v>
          </cell>
          <cell r="BJ23">
            <v>-4364.9482999999991</v>
          </cell>
          <cell r="BK23">
            <v>-4467.0132762499989</v>
          </cell>
          <cell r="BL23">
            <v>-4573.6772530937487</v>
          </cell>
          <cell r="BM23">
            <v>-4680.9569742664053</v>
          </cell>
          <cell r="BN23">
            <v>-4788.8992336597448</v>
          </cell>
          <cell r="BO23">
            <v>-4897.5496553182511</v>
          </cell>
          <cell r="BP23">
            <v>-5006.9589726852946</v>
          </cell>
          <cell r="BQ23">
            <v>-5117.1768071181623</v>
          </cell>
          <cell r="BR23">
            <v>-5228.2454456902078</v>
          </cell>
          <cell r="BS23">
            <v>-5340.2061182979523</v>
          </cell>
          <cell r="BW23" t="str">
            <v>mstag:accumulatedDepreciation</v>
          </cell>
          <cell r="BX23">
            <v>6</v>
          </cell>
          <cell r="BY23" t="str">
            <v>ISO4217:USD</v>
          </cell>
          <cell r="BZ23" t="b">
            <v>1</v>
          </cell>
          <cell r="CA23" t="b">
            <v>0</v>
          </cell>
        </row>
        <row r="24">
          <cell r="A24" t="str">
            <v xml:space="preserve">  Net PP&amp;E</v>
          </cell>
          <cell r="C24">
            <v>2734.8850000000002</v>
          </cell>
          <cell r="D24">
            <v>2488.35</v>
          </cell>
          <cell r="E24">
            <v>2273.3559999999998</v>
          </cell>
          <cell r="F24">
            <v>3460.5259999999998</v>
          </cell>
          <cell r="G24">
            <v>3218.1240000000003</v>
          </cell>
          <cell r="H24">
            <v>3045.1860000000006</v>
          </cell>
          <cell r="I24">
            <v>3022.6359999999995</v>
          </cell>
          <cell r="J24">
            <v>3175.5110000000004</v>
          </cell>
          <cell r="K24">
            <v>3623.835</v>
          </cell>
          <cell r="L24">
            <v>5123.0546765640784</v>
          </cell>
          <cell r="M24">
            <v>5520.9801457478461</v>
          </cell>
          <cell r="N24">
            <v>5528.1363505015815</v>
          </cell>
          <cell r="O24">
            <v>5516.8955338198502</v>
          </cell>
          <cell r="P24">
            <v>5501.3137988062917</v>
          </cell>
          <cell r="Q24">
            <v>5462.2452372940888</v>
          </cell>
          <cell r="R24">
            <v>5411.5785319331062</v>
          </cell>
          <cell r="S24">
            <v>5327.4134971082221</v>
          </cell>
          <cell r="T24">
            <v>5225.5399657658254</v>
          </cell>
          <cell r="U24">
            <v>5079.4187875576699</v>
          </cell>
          <cell r="V24">
            <v>4910.1647271703296</v>
          </cell>
          <cell r="AB24">
            <v>2695.44</v>
          </cell>
          <cell r="AC24">
            <v>2634.5749999999998</v>
          </cell>
          <cell r="AD24">
            <v>2617.4079999999999</v>
          </cell>
          <cell r="AE24">
            <v>2488.35</v>
          </cell>
          <cell r="AF24">
            <v>2422.0010000000002</v>
          </cell>
          <cell r="AG24">
            <v>2386.46</v>
          </cell>
          <cell r="AH24">
            <v>2324.3429999999998</v>
          </cell>
          <cell r="AI24">
            <v>2273.3559999999998</v>
          </cell>
          <cell r="AJ24">
            <v>2231.2779999999998</v>
          </cell>
          <cell r="AK24">
            <v>2192.453</v>
          </cell>
          <cell r="AL24">
            <v>3404.3889999999997</v>
          </cell>
          <cell r="AM24">
            <v>3460.5259999999998</v>
          </cell>
          <cell r="AN24">
            <v>3386.2619999999997</v>
          </cell>
          <cell r="AO24">
            <v>3320.8220000000001</v>
          </cell>
          <cell r="AP24">
            <v>3268.3319999999994</v>
          </cell>
          <cell r="AQ24">
            <v>3218.1240000000003</v>
          </cell>
          <cell r="AR24">
            <v>3165.1559999999999</v>
          </cell>
          <cell r="AS24">
            <v>3115.8879999999999</v>
          </cell>
          <cell r="AT24">
            <v>3071.125</v>
          </cell>
          <cell r="AU24">
            <v>3045.1860000000006</v>
          </cell>
          <cell r="AV24">
            <v>3030.3879999999999</v>
          </cell>
          <cell r="AW24">
            <v>3010.9189999999999</v>
          </cell>
          <cell r="AX24">
            <v>3014.0790000000002</v>
          </cell>
          <cell r="AY24">
            <v>3022.6359999999995</v>
          </cell>
          <cell r="AZ24">
            <v>3003.2150000000001</v>
          </cell>
          <cell r="BA24">
            <v>3087.799</v>
          </cell>
          <cell r="BB24">
            <v>3128.12</v>
          </cell>
          <cell r="BC24">
            <v>3175.5110000000004</v>
          </cell>
          <cell r="BD24">
            <v>3179.1959999999999</v>
          </cell>
          <cell r="BE24">
            <v>3188.4609999999998</v>
          </cell>
          <cell r="BF24">
            <v>3494.402</v>
          </cell>
          <cell r="BG24">
            <v>3623.835</v>
          </cell>
          <cell r="BH24">
            <v>3770.6709999999998</v>
          </cell>
          <cell r="BI24">
            <v>3909.6350000000002</v>
          </cell>
          <cell r="BJ24">
            <v>4125.8869999999997</v>
          </cell>
          <cell r="BK24">
            <v>5123.0546765640784</v>
          </cell>
          <cell r="BL24">
            <v>5242.3539833966915</v>
          </cell>
          <cell r="BM24">
            <v>5361.0375459003981</v>
          </cell>
          <cell r="BN24">
            <v>5441.3629269567055</v>
          </cell>
          <cell r="BO24">
            <v>5520.9801457478461</v>
          </cell>
          <cell r="BP24">
            <v>5524.0239953141618</v>
          </cell>
          <cell r="BQ24">
            <v>5526.2593278146533</v>
          </cell>
          <cell r="BR24">
            <v>5527.6438561759669</v>
          </cell>
          <cell r="BS24">
            <v>5528.1363505015815</v>
          </cell>
        </row>
        <row r="25">
          <cell r="A25" t="str">
            <v xml:space="preserve">  Goodwill and Other Intangibles</v>
          </cell>
          <cell r="C25">
            <v>1745.5039999999999</v>
          </cell>
          <cell r="D25">
            <v>1612.5439999999999</v>
          </cell>
          <cell r="E25">
            <v>1577.9860000000001</v>
          </cell>
          <cell r="F25">
            <v>4219.8629999999994</v>
          </cell>
          <cell r="G25">
            <v>4010.643</v>
          </cell>
          <cell r="H25">
            <v>3874.7460000000001</v>
          </cell>
          <cell r="I25">
            <v>3752.3879999999999</v>
          </cell>
          <cell r="J25">
            <v>3836.4830000000002</v>
          </cell>
          <cell r="K25">
            <v>4475.6469999999999</v>
          </cell>
          <cell r="L25">
            <v>4848.2261500000004</v>
          </cell>
          <cell r="M25">
            <v>4684.0091499999999</v>
          </cell>
          <cell r="N25">
            <v>4519.7921499999993</v>
          </cell>
          <cell r="O25">
            <v>4374.7471499999992</v>
          </cell>
          <cell r="P25">
            <v>4245.1571499999991</v>
          </cell>
          <cell r="Q25">
            <v>4126.3663166666656</v>
          </cell>
          <cell r="R25">
            <v>4017.4747194444435</v>
          </cell>
          <cell r="S25">
            <v>3917.6574219907397</v>
          </cell>
          <cell r="T25">
            <v>3826.1582326581779</v>
          </cell>
          <cell r="U25">
            <v>3742.2839757699962</v>
          </cell>
          <cell r="V25">
            <v>3665.3992402891631</v>
          </cell>
          <cell r="AB25">
            <v>1724.509</v>
          </cell>
          <cell r="AC25">
            <v>1688.912</v>
          </cell>
          <cell r="AD25">
            <v>1662.595</v>
          </cell>
          <cell r="AE25">
            <v>1612.5439999999999</v>
          </cell>
          <cell r="AF25">
            <v>1597.837</v>
          </cell>
          <cell r="AG25">
            <v>1596.2379999999998</v>
          </cell>
          <cell r="AH25">
            <v>1586.067</v>
          </cell>
          <cell r="AI25">
            <v>1577.9860000000001</v>
          </cell>
          <cell r="AJ25">
            <v>1559.912</v>
          </cell>
          <cell r="AK25">
            <v>1530.8109999999999</v>
          </cell>
          <cell r="AL25">
            <v>4290.2629999999999</v>
          </cell>
          <cell r="AM25">
            <v>4219.8629999999994</v>
          </cell>
          <cell r="AN25">
            <v>4168.7359999999999</v>
          </cell>
          <cell r="AO25">
            <v>4113.3649999999998</v>
          </cell>
          <cell r="AP25">
            <v>4062.7240000000002</v>
          </cell>
          <cell r="AQ25">
            <v>4010.643</v>
          </cell>
          <cell r="AR25">
            <v>3970.4560000000001</v>
          </cell>
          <cell r="AS25">
            <v>3949.884</v>
          </cell>
          <cell r="AT25">
            <v>3902.7289999999998</v>
          </cell>
          <cell r="AU25">
            <v>3874.7460000000001</v>
          </cell>
          <cell r="AV25">
            <v>3858.701</v>
          </cell>
          <cell r="AW25">
            <v>3825.6459999999997</v>
          </cell>
          <cell r="AX25">
            <v>3787.134</v>
          </cell>
          <cell r="AY25">
            <v>3752.3879999999999</v>
          </cell>
          <cell r="AZ25">
            <v>3719.1019999999999</v>
          </cell>
          <cell r="BA25">
            <v>3780.7269999999999</v>
          </cell>
          <cell r="BB25">
            <v>3771.82</v>
          </cell>
          <cell r="BC25">
            <v>3836.4830000000002</v>
          </cell>
          <cell r="BD25">
            <v>3901.7780000000002</v>
          </cell>
          <cell r="BE25">
            <v>3852.4350000000004</v>
          </cell>
          <cell r="BF25">
            <v>4236.817</v>
          </cell>
          <cell r="BG25">
            <v>4475.6469999999999</v>
          </cell>
          <cell r="BH25">
            <v>5110.2999999999993</v>
          </cell>
          <cell r="BI25">
            <v>5125.826</v>
          </cell>
          <cell r="BJ25">
            <v>4882.018</v>
          </cell>
          <cell r="BK25">
            <v>4848.2261500000004</v>
          </cell>
          <cell r="BL25">
            <v>4807.1719000000003</v>
          </cell>
          <cell r="BM25">
            <v>4766.1176500000001</v>
          </cell>
          <cell r="BN25">
            <v>4725.0634</v>
          </cell>
          <cell r="BO25">
            <v>4684.0091499999999</v>
          </cell>
          <cell r="BP25">
            <v>4642.9548999999997</v>
          </cell>
          <cell r="BQ25">
            <v>4601.9006499999996</v>
          </cell>
          <cell r="BR25">
            <v>4560.8463999999994</v>
          </cell>
          <cell r="BS25">
            <v>4519.7921499999993</v>
          </cell>
          <cell r="BW25" t="str">
            <v>mstag:otherIntangibleAssets</v>
          </cell>
          <cell r="BX25">
            <v>6</v>
          </cell>
          <cell r="BY25" t="str">
            <v>ISO4217:USD</v>
          </cell>
          <cell r="BZ25" t="b">
            <v>0</v>
          </cell>
          <cell r="CA25" t="b">
            <v>0</v>
          </cell>
        </row>
        <row r="26">
          <cell r="A26" t="str">
            <v xml:space="preserve">  Deferred Income Taxes and Other Assets</v>
          </cell>
          <cell r="C26">
            <v>383.43099999999998</v>
          </cell>
          <cell r="D26">
            <v>502.73700000000002</v>
          </cell>
          <cell r="E26">
            <v>633.81399999999996</v>
          </cell>
          <cell r="F26">
            <v>523.29300000000001</v>
          </cell>
          <cell r="G26">
            <v>482.71</v>
          </cell>
          <cell r="H26">
            <v>479.85399999999998</v>
          </cell>
          <cell r="I26">
            <v>381.428</v>
          </cell>
          <cell r="J26">
            <v>198.185</v>
          </cell>
          <cell r="K26">
            <v>78.483999999999995</v>
          </cell>
          <cell r="L26">
            <v>177.423</v>
          </cell>
          <cell r="M26">
            <v>177.423</v>
          </cell>
          <cell r="N26">
            <v>177.423</v>
          </cell>
          <cell r="O26">
            <v>177.423</v>
          </cell>
          <cell r="P26">
            <v>177.423</v>
          </cell>
          <cell r="Q26">
            <v>177.423</v>
          </cell>
          <cell r="R26">
            <v>177.423</v>
          </cell>
          <cell r="S26">
            <v>177.423</v>
          </cell>
          <cell r="T26">
            <v>177.423</v>
          </cell>
          <cell r="U26">
            <v>177.423</v>
          </cell>
          <cell r="V26">
            <v>177.423</v>
          </cell>
          <cell r="AB26">
            <v>393.88</v>
          </cell>
          <cell r="AC26">
            <v>411.92</v>
          </cell>
          <cell r="AD26">
            <v>428.15100000000001</v>
          </cell>
          <cell r="AE26">
            <v>502.73700000000002</v>
          </cell>
          <cell r="AF26">
            <v>517.16399999999999</v>
          </cell>
          <cell r="AG26">
            <v>538.20600000000002</v>
          </cell>
          <cell r="AH26">
            <v>577.13499999999999</v>
          </cell>
          <cell r="AI26">
            <v>633.81399999999996</v>
          </cell>
          <cell r="AJ26">
            <v>642.14499999999998</v>
          </cell>
          <cell r="AK26">
            <v>649.25599999999997</v>
          </cell>
          <cell r="AL26">
            <v>476.661</v>
          </cell>
          <cell r="AM26">
            <v>523.29300000000001</v>
          </cell>
          <cell r="AN26">
            <v>520.649</v>
          </cell>
          <cell r="AO26">
            <v>475.65899999999999</v>
          </cell>
          <cell r="AP26">
            <v>468.07100000000003</v>
          </cell>
          <cell r="AQ26">
            <v>482.71</v>
          </cell>
          <cell r="AR26">
            <v>488.38499999999999</v>
          </cell>
          <cell r="AS26">
            <v>473.65100000000001</v>
          </cell>
          <cell r="AT26">
            <v>497.19</v>
          </cell>
          <cell r="AU26">
            <v>479.85399999999998</v>
          </cell>
          <cell r="AV26">
            <v>455.57799999999997</v>
          </cell>
          <cell r="AW26">
            <v>519.404</v>
          </cell>
          <cell r="AX26">
            <v>487.916</v>
          </cell>
          <cell r="AY26">
            <v>381.428</v>
          </cell>
          <cell r="AZ26">
            <v>349.44600000000003</v>
          </cell>
          <cell r="BA26">
            <v>267.35000000000002</v>
          </cell>
          <cell r="BB26">
            <v>225.72800000000001</v>
          </cell>
          <cell r="BC26">
            <v>198.185</v>
          </cell>
          <cell r="BD26">
            <v>105.976</v>
          </cell>
          <cell r="BE26">
            <v>96.369</v>
          </cell>
          <cell r="BF26">
            <v>52.545999999999999</v>
          </cell>
          <cell r="BG26">
            <v>78.483999999999995</v>
          </cell>
          <cell r="BH26">
            <v>77.022000000000006</v>
          </cell>
          <cell r="BI26">
            <v>143.95699999999999</v>
          </cell>
          <cell r="BJ26">
            <v>177.423</v>
          </cell>
          <cell r="BK26">
            <v>177.423</v>
          </cell>
          <cell r="BL26">
            <v>177.423</v>
          </cell>
          <cell r="BM26">
            <v>177.423</v>
          </cell>
          <cell r="BN26">
            <v>177.423</v>
          </cell>
          <cell r="BO26">
            <v>177.423</v>
          </cell>
          <cell r="BP26">
            <v>177.423</v>
          </cell>
          <cell r="BQ26">
            <v>177.423</v>
          </cell>
          <cell r="BR26">
            <v>177.423</v>
          </cell>
          <cell r="BS26">
            <v>177.423</v>
          </cell>
          <cell r="BW26" t="str">
            <v>mstag:otherAssetsOperatingNonCurrent</v>
          </cell>
          <cell r="BX26">
            <v>6</v>
          </cell>
          <cell r="BY26" t="str">
            <v>ISO4217:USD</v>
          </cell>
          <cell r="BZ26" t="b">
            <v>0</v>
          </cell>
          <cell r="CA26" t="b">
            <v>0</v>
          </cell>
        </row>
        <row r="27">
          <cell r="A27" t="str">
            <v xml:space="preserve">  Other Assets</v>
          </cell>
          <cell r="C27">
            <v>271.22199999999998</v>
          </cell>
          <cell r="D27">
            <v>275.50799999999998</v>
          </cell>
          <cell r="E27">
            <v>291.779</v>
          </cell>
          <cell r="F27">
            <v>357.29399999999998</v>
          </cell>
          <cell r="G27">
            <v>415.72</v>
          </cell>
          <cell r="H27">
            <v>484.99700000000001</v>
          </cell>
          <cell r="I27">
            <v>581.53300000000002</v>
          </cell>
          <cell r="J27">
            <v>651.13300000000004</v>
          </cell>
          <cell r="K27">
            <v>785.87400000000002</v>
          </cell>
          <cell r="L27">
            <v>927.12134551903216</v>
          </cell>
          <cell r="M27">
            <v>1104.3395776519553</v>
          </cell>
          <cell r="N27">
            <v>1187.0607183356451</v>
          </cell>
          <cell r="O27">
            <v>1246.2218043269402</v>
          </cell>
          <cell r="P27">
            <v>1297.0366963839383</v>
          </cell>
          <cell r="Q27">
            <v>1345.9389116201019</v>
          </cell>
          <cell r="R27">
            <v>1389.5397222745094</v>
          </cell>
          <cell r="S27">
            <v>1427.410427826135</v>
          </cell>
          <cell r="T27">
            <v>1459.4547611382413</v>
          </cell>
          <cell r="U27">
            <v>1484.799745193759</v>
          </cell>
          <cell r="V27">
            <v>1504.1629701535251</v>
          </cell>
          <cell r="AB27">
            <v>257.96499999999997</v>
          </cell>
          <cell r="AC27">
            <v>255.70099999999999</v>
          </cell>
          <cell r="AD27">
            <v>273.99900000000002</v>
          </cell>
          <cell r="AE27">
            <v>275.50799999999998</v>
          </cell>
          <cell r="AF27">
            <v>282.55200000000002</v>
          </cell>
          <cell r="AG27">
            <v>285.82100000000003</v>
          </cell>
          <cell r="AH27">
            <v>288.536</v>
          </cell>
          <cell r="AI27">
            <v>291.779</v>
          </cell>
          <cell r="AJ27">
            <v>293.04500000000002</v>
          </cell>
          <cell r="AK27">
            <v>296.64699999999999</v>
          </cell>
          <cell r="AL27">
            <v>370.76799999999997</v>
          </cell>
          <cell r="AM27">
            <v>357.29399999999998</v>
          </cell>
          <cell r="AN27">
            <v>384.99099999999999</v>
          </cell>
          <cell r="AO27">
            <v>409.113</v>
          </cell>
          <cell r="AP27">
            <v>405.81</v>
          </cell>
          <cell r="AQ27">
            <v>415.72</v>
          </cell>
          <cell r="AR27">
            <v>436.291</v>
          </cell>
          <cell r="AS27">
            <v>431.77199999999999</v>
          </cell>
          <cell r="AT27">
            <v>446.73599999999999</v>
          </cell>
          <cell r="AU27">
            <v>484.99700000000001</v>
          </cell>
          <cell r="AV27">
            <v>515.72199999999998</v>
          </cell>
          <cell r="AW27">
            <v>550.41999999999996</v>
          </cell>
          <cell r="AX27">
            <v>567.12400000000002</v>
          </cell>
          <cell r="AY27">
            <v>581.53300000000002</v>
          </cell>
          <cell r="AZ27">
            <v>594.41399999999999</v>
          </cell>
          <cell r="BA27">
            <v>632.553</v>
          </cell>
          <cell r="BB27">
            <v>643.226</v>
          </cell>
          <cell r="BC27">
            <v>651.13300000000004</v>
          </cell>
          <cell r="BD27">
            <v>668.10400000000004</v>
          </cell>
          <cell r="BE27">
            <v>678.12</v>
          </cell>
          <cell r="BF27">
            <v>720.90499999999997</v>
          </cell>
          <cell r="BG27">
            <v>785.87400000000002</v>
          </cell>
          <cell r="BH27">
            <v>849.33900000000006</v>
          </cell>
          <cell r="BI27">
            <v>882.28099999999995</v>
          </cell>
          <cell r="BJ27">
            <v>896.20299999999997</v>
          </cell>
          <cell r="BK27">
            <v>927.12134551903216</v>
          </cell>
          <cell r="BL27">
            <v>944.60727164200978</v>
          </cell>
          <cell r="BM27">
            <v>1021.4541132360451</v>
          </cell>
          <cell r="BN27">
            <v>1068.6383473191333</v>
          </cell>
          <cell r="BO27">
            <v>1104.3395776519553</v>
          </cell>
          <cell r="BP27">
            <v>1098.6832737343168</v>
          </cell>
          <cell r="BQ27">
            <v>1136.1121588425247</v>
          </cell>
          <cell r="BR27">
            <v>1166.7249314216724</v>
          </cell>
          <cell r="BS27">
            <v>1187.0607183356451</v>
          </cell>
          <cell r="BW27" t="str">
            <v>mstag:otherAssetsOperatingNonCurrent</v>
          </cell>
          <cell r="BX27">
            <v>6</v>
          </cell>
          <cell r="BY27" t="str">
            <v>ISO4217:USD</v>
          </cell>
          <cell r="BZ27" t="b">
            <v>0</v>
          </cell>
          <cell r="CA27" t="b">
            <v>0</v>
          </cell>
        </row>
        <row r="28">
          <cell r="A28" t="str">
            <v>Total Assets</v>
          </cell>
          <cell r="C28">
            <v>5662.2029999999995</v>
          </cell>
          <cell r="D28">
            <v>5290.6540000000005</v>
          </cell>
          <cell r="E28">
            <v>5085.9719999999998</v>
          </cell>
          <cell r="F28">
            <v>8786.8539999999994</v>
          </cell>
          <cell r="G28">
            <v>8613.2189999999991</v>
          </cell>
          <cell r="H28">
            <v>8130.4570000000012</v>
          </cell>
          <cell r="I28">
            <v>8211.6649999999991</v>
          </cell>
          <cell r="J28">
            <v>8512.6680000000015</v>
          </cell>
          <cell r="K28">
            <v>10365.321</v>
          </cell>
          <cell r="L28">
            <v>11785.320202057062</v>
          </cell>
          <cell r="M28">
            <v>12690.096347708757</v>
          </cell>
          <cell r="N28">
            <v>13612.502716711533</v>
          </cell>
          <cell r="O28">
            <v>14245.394242993145</v>
          </cell>
          <cell r="P28">
            <v>14585.270940563754</v>
          </cell>
          <cell r="Q28">
            <v>14933.305575947408</v>
          </cell>
          <cell r="R28">
            <v>15283.239573751645</v>
          </cell>
          <cell r="S28">
            <v>15622.83169835616</v>
          </cell>
          <cell r="T28">
            <v>15949.644065819037</v>
          </cell>
          <cell r="U28">
            <v>16259.50257599701</v>
          </cell>
          <cell r="V28">
            <v>16551.208892101953</v>
          </cell>
          <cell r="AB28">
            <v>5722.8970000000008</v>
          </cell>
          <cell r="AC28">
            <v>5576.2520000000004</v>
          </cell>
          <cell r="AD28">
            <v>5590.3069999999989</v>
          </cell>
          <cell r="AE28">
            <v>5290.6540000000005</v>
          </cell>
          <cell r="AF28">
            <v>5153.9279999999999</v>
          </cell>
          <cell r="AG28">
            <v>5120.3949999999995</v>
          </cell>
          <cell r="AH28">
            <v>5021.21</v>
          </cell>
          <cell r="AI28">
            <v>5085.9719999999998</v>
          </cell>
          <cell r="AJ28">
            <v>4924.8999999999987</v>
          </cell>
          <cell r="AK28">
            <v>4825.6630000000005</v>
          </cell>
          <cell r="AL28">
            <v>8785.6589999999997</v>
          </cell>
          <cell r="AM28">
            <v>8786.8539999999994</v>
          </cell>
          <cell r="AN28">
            <v>8688.0519999999997</v>
          </cell>
          <cell r="AO28">
            <v>8607.6739999999991</v>
          </cell>
          <cell r="AP28">
            <v>8605.73</v>
          </cell>
          <cell r="AQ28">
            <v>8613.2189999999991</v>
          </cell>
          <cell r="AR28">
            <v>8319.9120000000003</v>
          </cell>
          <cell r="AS28">
            <v>8384.0910000000003</v>
          </cell>
          <cell r="AT28">
            <v>8203.4379999999983</v>
          </cell>
          <cell r="AU28">
            <v>8130.4570000000012</v>
          </cell>
          <cell r="AV28">
            <v>8192.226999999999</v>
          </cell>
          <cell r="AW28">
            <v>8265.5399999999991</v>
          </cell>
          <cell r="AX28">
            <v>8129.9359999999997</v>
          </cell>
          <cell r="AY28">
            <v>8211.6649999999991</v>
          </cell>
          <cell r="AZ28">
            <v>8325.869999999999</v>
          </cell>
          <cell r="BA28">
            <v>8486.487000000001</v>
          </cell>
          <cell r="BB28">
            <v>8394.8240000000005</v>
          </cell>
          <cell r="BC28">
            <v>8512.6680000000015</v>
          </cell>
          <cell r="BD28">
            <v>8674.2510000000002</v>
          </cell>
          <cell r="BE28">
            <v>8585.9230000000007</v>
          </cell>
          <cell r="BF28">
            <v>9448.9779999999992</v>
          </cell>
          <cell r="BG28">
            <v>10365.321</v>
          </cell>
          <cell r="BH28">
            <v>10758.749299999999</v>
          </cell>
          <cell r="BI28">
            <v>10973.784299999999</v>
          </cell>
          <cell r="BJ28">
            <v>10895.336299999999</v>
          </cell>
          <cell r="BK28">
            <v>11785.320202057062</v>
          </cell>
          <cell r="BL28">
            <v>11914.524049726881</v>
          </cell>
          <cell r="BM28">
            <v>12199.185618785805</v>
          </cell>
          <cell r="BN28">
            <v>12448.40017403116</v>
          </cell>
          <cell r="BO28">
            <v>12690.096347708757</v>
          </cell>
          <cell r="BP28">
            <v>12852.12561489415</v>
          </cell>
          <cell r="BQ28">
            <v>13110.064887000379</v>
          </cell>
          <cell r="BR28">
            <v>13365.61824274299</v>
          </cell>
          <cell r="BS28">
            <v>13612.502716711533</v>
          </cell>
        </row>
        <row r="30">
          <cell r="A30" t="str">
            <v>LIABILITIES &amp; SHRLDRS. EQUITY</v>
          </cell>
        </row>
        <row r="31">
          <cell r="A31" t="str">
            <v xml:space="preserve">  Accounts Payable</v>
          </cell>
          <cell r="C31">
            <v>124.41200000000001</v>
          </cell>
          <cell r="D31">
            <v>107.557</v>
          </cell>
          <cell r="E31">
            <v>121.672</v>
          </cell>
          <cell r="F31">
            <v>178.95099999999999</v>
          </cell>
          <cell r="G31">
            <v>187.63399999999999</v>
          </cell>
          <cell r="H31">
            <v>175.464</v>
          </cell>
          <cell r="I31">
            <v>151.98500000000001</v>
          </cell>
          <cell r="J31">
            <v>185.13800000000001</v>
          </cell>
          <cell r="K31">
            <v>292.54300000000001</v>
          </cell>
          <cell r="L31">
            <v>387.99928571816122</v>
          </cell>
          <cell r="M31">
            <v>443.58052123918839</v>
          </cell>
          <cell r="N31">
            <v>476.39486099093773</v>
          </cell>
          <cell r="O31">
            <v>499.75726694667998</v>
          </cell>
          <cell r="P31">
            <v>517.87862902619338</v>
          </cell>
          <cell r="Q31">
            <v>535.10692944432049</v>
          </cell>
          <cell r="R31">
            <v>550.14357839651643</v>
          </cell>
          <cell r="S31">
            <v>562.70918065460694</v>
          </cell>
          <cell r="T31">
            <v>572.92849950807192</v>
          </cell>
          <cell r="U31">
            <v>580.49608061925301</v>
          </cell>
          <cell r="V31">
            <v>585.71578382181667</v>
          </cell>
          <cell r="AB31">
            <v>112.866</v>
          </cell>
          <cell r="AC31">
            <v>92.421999999999997</v>
          </cell>
          <cell r="AD31">
            <v>92.034000000000006</v>
          </cell>
          <cell r="AE31">
            <v>107.557</v>
          </cell>
          <cell r="AF31">
            <v>100.877</v>
          </cell>
          <cell r="AG31">
            <v>104.285</v>
          </cell>
          <cell r="AH31">
            <v>104.833</v>
          </cell>
          <cell r="AI31">
            <v>121.672</v>
          </cell>
          <cell r="AJ31">
            <v>120.666</v>
          </cell>
          <cell r="AK31">
            <v>119.623</v>
          </cell>
          <cell r="AL31">
            <v>194.16</v>
          </cell>
          <cell r="AM31">
            <v>178.95099999999999</v>
          </cell>
          <cell r="AN31">
            <v>179.184</v>
          </cell>
          <cell r="AO31">
            <v>166.66</v>
          </cell>
          <cell r="AP31">
            <v>169.58199999999999</v>
          </cell>
          <cell r="AQ31">
            <v>187.63399999999999</v>
          </cell>
          <cell r="AR31">
            <v>173.58699999999999</v>
          </cell>
          <cell r="AS31">
            <v>205.87799999999999</v>
          </cell>
          <cell r="AT31">
            <v>203.864</v>
          </cell>
          <cell r="AU31">
            <v>175.464</v>
          </cell>
          <cell r="AV31">
            <v>149.53299999999999</v>
          </cell>
          <cell r="AW31">
            <v>138.017</v>
          </cell>
          <cell r="AX31">
            <v>149.029</v>
          </cell>
          <cell r="AY31">
            <v>151.98500000000001</v>
          </cell>
          <cell r="AZ31">
            <v>144.268</v>
          </cell>
          <cell r="BA31">
            <v>172.66300000000001</v>
          </cell>
          <cell r="BB31">
            <v>165.95699999999999</v>
          </cell>
          <cell r="BC31">
            <v>185.13800000000001</v>
          </cell>
          <cell r="BD31">
            <v>183.85400000000001</v>
          </cell>
          <cell r="BE31">
            <v>205.04</v>
          </cell>
          <cell r="BF31">
            <v>245.952</v>
          </cell>
          <cell r="BG31">
            <v>292.54300000000001</v>
          </cell>
          <cell r="BH31">
            <v>431.40800000000002</v>
          </cell>
          <cell r="BI31">
            <v>339.93099999999998</v>
          </cell>
          <cell r="BJ31">
            <v>352.78100000000001</v>
          </cell>
          <cell r="BK31">
            <v>387.99928571816122</v>
          </cell>
          <cell r="BL31">
            <v>380.80582060313566</v>
          </cell>
          <cell r="BM31">
            <v>410.95317848839102</v>
          </cell>
          <cell r="BN31">
            <v>429.50996121556375</v>
          </cell>
          <cell r="BO31">
            <v>443.58052123918839</v>
          </cell>
          <cell r="BP31">
            <v>441.49031195468103</v>
          </cell>
          <cell r="BQ31">
            <v>456.23840790166525</v>
          </cell>
          <cell r="BR31">
            <v>468.3240741806996</v>
          </cell>
          <cell r="BS31">
            <v>476.39486099093773</v>
          </cell>
          <cell r="BW31" t="str">
            <v>mstag:tradePayablesCurrent</v>
          </cell>
          <cell r="BX31">
            <v>6</v>
          </cell>
          <cell r="BY31" t="str">
            <v>ISO4217:USD</v>
          </cell>
          <cell r="BZ31" t="b">
            <v>0</v>
          </cell>
          <cell r="CA31" t="b">
            <v>0</v>
          </cell>
        </row>
        <row r="32">
          <cell r="A32" t="str">
            <v xml:space="preserve">  Accrued Interest</v>
          </cell>
          <cell r="C32">
            <v>63.610999999999997</v>
          </cell>
          <cell r="D32">
            <v>59.734000000000002</v>
          </cell>
          <cell r="E32">
            <v>39.466000000000001</v>
          </cell>
          <cell r="F32">
            <v>37.85</v>
          </cell>
          <cell r="G32">
            <v>41.319000000000003</v>
          </cell>
          <cell r="H32">
            <v>33.701999999999998</v>
          </cell>
          <cell r="I32">
            <v>28.635000000000002</v>
          </cell>
          <cell r="J32">
            <v>23.538</v>
          </cell>
          <cell r="K32">
            <v>40.621000000000002</v>
          </cell>
          <cell r="L32">
            <v>61.536000000000001</v>
          </cell>
          <cell r="M32">
            <v>61.536000000000001</v>
          </cell>
          <cell r="N32">
            <v>61.536000000000001</v>
          </cell>
          <cell r="O32">
            <v>61.536000000000001</v>
          </cell>
          <cell r="P32">
            <v>61.536000000000001</v>
          </cell>
          <cell r="Q32">
            <v>61.536000000000001</v>
          </cell>
          <cell r="R32">
            <v>61.536000000000001</v>
          </cell>
          <cell r="S32">
            <v>61.536000000000001</v>
          </cell>
          <cell r="T32">
            <v>61.536000000000001</v>
          </cell>
          <cell r="U32">
            <v>61.536000000000001</v>
          </cell>
          <cell r="V32">
            <v>61.536000000000001</v>
          </cell>
          <cell r="AB32">
            <v>36.048000000000002</v>
          </cell>
          <cell r="AC32">
            <v>59.478999999999999</v>
          </cell>
          <cell r="AD32">
            <v>34.165999999999997</v>
          </cell>
          <cell r="AE32">
            <v>59.734000000000002</v>
          </cell>
          <cell r="AF32">
            <v>33.524999999999999</v>
          </cell>
          <cell r="AG32">
            <v>52.639000000000003</v>
          </cell>
          <cell r="AH32">
            <v>31.161999999999999</v>
          </cell>
          <cell r="AI32">
            <v>39.466000000000001</v>
          </cell>
          <cell r="AJ32">
            <v>43.585999999999999</v>
          </cell>
          <cell r="AK32">
            <v>32.338999999999999</v>
          </cell>
          <cell r="AL32">
            <v>41.993000000000002</v>
          </cell>
          <cell r="AM32">
            <v>37.85</v>
          </cell>
          <cell r="AN32">
            <v>52.652000000000001</v>
          </cell>
          <cell r="AO32">
            <v>40.155000000000001</v>
          </cell>
          <cell r="AP32">
            <v>54.503999999999998</v>
          </cell>
          <cell r="AQ32">
            <v>41.319000000000003</v>
          </cell>
          <cell r="AR32">
            <v>53.079000000000001</v>
          </cell>
          <cell r="AS32">
            <v>23.888999999999999</v>
          </cell>
          <cell r="AT32">
            <v>36.938000000000002</v>
          </cell>
          <cell r="AU32">
            <v>33.701999999999998</v>
          </cell>
          <cell r="AV32">
            <v>50.82</v>
          </cell>
          <cell r="AW32">
            <v>30.591000000000001</v>
          </cell>
          <cell r="AX32">
            <v>49.054000000000002</v>
          </cell>
          <cell r="AY32">
            <v>28.635000000000002</v>
          </cell>
          <cell r="AZ32">
            <v>47.994</v>
          </cell>
          <cell r="BA32">
            <v>26.812999999999999</v>
          </cell>
          <cell r="BB32">
            <v>47.27</v>
          </cell>
          <cell r="BC32">
            <v>23.538</v>
          </cell>
          <cell r="BD32">
            <v>44.024000000000001</v>
          </cell>
          <cell r="BE32">
            <v>23.661999999999999</v>
          </cell>
          <cell r="BF32">
            <v>49.779000000000003</v>
          </cell>
          <cell r="BG32">
            <v>40.621000000000002</v>
          </cell>
          <cell r="BH32">
            <v>61.286000000000001</v>
          </cell>
          <cell r="BI32">
            <v>61.703000000000003</v>
          </cell>
          <cell r="BJ32">
            <v>61.536000000000001</v>
          </cell>
          <cell r="BK32">
            <v>61.536000000000001</v>
          </cell>
          <cell r="BL32">
            <v>61.536000000000001</v>
          </cell>
          <cell r="BM32">
            <v>61.536000000000001</v>
          </cell>
          <cell r="BN32">
            <v>61.536000000000001</v>
          </cell>
          <cell r="BO32">
            <v>61.536000000000001</v>
          </cell>
          <cell r="BP32">
            <v>61.536000000000001</v>
          </cell>
          <cell r="BQ32">
            <v>61.536000000000001</v>
          </cell>
          <cell r="BR32">
            <v>61.536000000000001</v>
          </cell>
          <cell r="BS32">
            <v>61.536000000000001</v>
          </cell>
          <cell r="BW32" t="str">
            <v>mstag:accruedExpenses</v>
          </cell>
          <cell r="BX32">
            <v>6</v>
          </cell>
          <cell r="BY32" t="str">
            <v>ISO4217:USD</v>
          </cell>
          <cell r="BZ32" t="b">
            <v>0</v>
          </cell>
          <cell r="CA32" t="b">
            <v>0</v>
          </cell>
        </row>
        <row r="33">
          <cell r="A33" t="str">
            <v xml:space="preserve">  Current Portion of LT Debt</v>
          </cell>
          <cell r="C33">
            <v>59.243000000000002</v>
          </cell>
          <cell r="D33">
            <v>77.622</v>
          </cell>
          <cell r="E33">
            <v>138.386</v>
          </cell>
          <cell r="F33">
            <v>162.15299999999999</v>
          </cell>
          <cell r="G33">
            <v>253.90700000000001</v>
          </cell>
          <cell r="H33">
            <v>1.8169999999999999</v>
          </cell>
          <cell r="I33">
            <v>1.837</v>
          </cell>
          <cell r="J33">
            <v>70.521000000000001</v>
          </cell>
          <cell r="K33">
            <v>74.896000000000001</v>
          </cell>
          <cell r="L33">
            <v>861.16</v>
          </cell>
          <cell r="M33">
            <v>861.16</v>
          </cell>
          <cell r="N33">
            <v>861.16</v>
          </cell>
          <cell r="O33">
            <v>861.16</v>
          </cell>
          <cell r="P33">
            <v>861.16</v>
          </cell>
          <cell r="Q33">
            <v>861.16</v>
          </cell>
          <cell r="R33">
            <v>861.16</v>
          </cell>
          <cell r="S33">
            <v>861.16</v>
          </cell>
          <cell r="T33">
            <v>861.16</v>
          </cell>
          <cell r="U33">
            <v>861.16</v>
          </cell>
          <cell r="V33">
            <v>861.16</v>
          </cell>
          <cell r="AB33">
            <v>75.774000000000001</v>
          </cell>
          <cell r="AC33">
            <v>94.123000000000005</v>
          </cell>
          <cell r="AD33">
            <v>101.643</v>
          </cell>
          <cell r="AE33">
            <v>77.622</v>
          </cell>
          <cell r="AF33">
            <v>82.619</v>
          </cell>
          <cell r="AG33">
            <v>6.4950000000000001</v>
          </cell>
          <cell r="AH33">
            <v>6.7220000000000004</v>
          </cell>
          <cell r="AI33">
            <v>138.386</v>
          </cell>
          <cell r="AJ33">
            <v>5.35</v>
          </cell>
          <cell r="AK33">
            <v>87.954999999999998</v>
          </cell>
          <cell r="AL33">
            <v>2.2410000000000001</v>
          </cell>
          <cell r="AM33">
            <v>162.15299999999999</v>
          </cell>
          <cell r="AN33">
            <v>277.471</v>
          </cell>
          <cell r="AO33">
            <v>277.42599999999999</v>
          </cell>
          <cell r="AP33">
            <v>253.876</v>
          </cell>
          <cell r="AQ33">
            <v>253.90700000000001</v>
          </cell>
          <cell r="AR33">
            <v>1.643</v>
          </cell>
          <cell r="AS33">
            <v>1.6659999999999999</v>
          </cell>
          <cell r="AT33">
            <v>1.77</v>
          </cell>
          <cell r="AU33">
            <v>1.8169999999999999</v>
          </cell>
          <cell r="AV33">
            <v>1.6879999999999999</v>
          </cell>
          <cell r="AW33">
            <v>1.6990000000000001</v>
          </cell>
          <cell r="AX33">
            <v>1.7889999999999999</v>
          </cell>
          <cell r="AY33">
            <v>1.837</v>
          </cell>
          <cell r="AZ33">
            <v>1.5269999999999999</v>
          </cell>
          <cell r="BA33">
            <v>22.577000000000002</v>
          </cell>
          <cell r="BB33">
            <v>7.7169999999999996</v>
          </cell>
          <cell r="BC33">
            <v>70.521000000000001</v>
          </cell>
          <cell r="BD33">
            <v>77.905000000000001</v>
          </cell>
          <cell r="BE33">
            <v>1.61</v>
          </cell>
          <cell r="BF33">
            <v>178.655</v>
          </cell>
          <cell r="BG33">
            <v>74.896000000000001</v>
          </cell>
          <cell r="BH33">
            <v>178.10499999999999</v>
          </cell>
          <cell r="BI33">
            <v>782.77499999999998</v>
          </cell>
          <cell r="BJ33">
            <v>861.16</v>
          </cell>
          <cell r="BK33">
            <v>861.16</v>
          </cell>
          <cell r="BL33">
            <v>861.16</v>
          </cell>
          <cell r="BM33">
            <v>861.16</v>
          </cell>
          <cell r="BN33">
            <v>861.16</v>
          </cell>
          <cell r="BO33">
            <v>861.16</v>
          </cell>
          <cell r="BP33">
            <v>861.16</v>
          </cell>
          <cell r="BQ33">
            <v>861.16</v>
          </cell>
          <cell r="BR33">
            <v>861.16</v>
          </cell>
          <cell r="BS33">
            <v>861.16</v>
          </cell>
          <cell r="BW33" t="str">
            <v>mstag:shortTermBorrowings</v>
          </cell>
          <cell r="BX33">
            <v>6</v>
          </cell>
          <cell r="BY33" t="str">
            <v>ISO4217:USD</v>
          </cell>
          <cell r="BZ33" t="b">
            <v>0</v>
          </cell>
          <cell r="CA33" t="b">
            <v>0</v>
          </cell>
        </row>
        <row r="34">
          <cell r="A34" t="str">
            <v xml:space="preserve">  Convertible notes, net–2.25%</v>
          </cell>
          <cell r="C34">
            <v>210.899</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AB34">
            <v>209.501</v>
          </cell>
          <cell r="AC34">
            <v>140.12299999999999</v>
          </cell>
          <cell r="AD34">
            <v>84.088999999999999</v>
          </cell>
          <cell r="BW34" t="str">
            <v>mstag:shortTermBorrowings</v>
          </cell>
          <cell r="BX34">
            <v>6</v>
          </cell>
          <cell r="BY34" t="str">
            <v>ISO4217:USD</v>
          </cell>
          <cell r="BZ34" t="b">
            <v>0</v>
          </cell>
          <cell r="CA34" t="b">
            <v>0</v>
          </cell>
        </row>
        <row r="35">
          <cell r="A35" t="str">
            <v xml:space="preserve">  Liabilities held for sale</v>
          </cell>
          <cell r="C35">
            <v>165.006</v>
          </cell>
          <cell r="D35">
            <v>8.4160000000000004</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AB35">
            <v>183.08699999999999</v>
          </cell>
          <cell r="AC35">
            <v>138.50800000000001</v>
          </cell>
          <cell r="AD35">
            <v>130.977</v>
          </cell>
          <cell r="AE35">
            <v>8.4160000000000004</v>
          </cell>
          <cell r="BW35" t="str">
            <v>mstag:liabilitiesOfDiscontinuedOperations</v>
          </cell>
          <cell r="BX35">
            <v>6</v>
          </cell>
          <cell r="BY35" t="str">
            <v>ISO4217:USD</v>
          </cell>
          <cell r="BZ35" t="b">
            <v>0</v>
          </cell>
          <cell r="CA35" t="b">
            <v>0</v>
          </cell>
        </row>
        <row r="36">
          <cell r="A36" t="str">
            <v>Unearned Revenue</v>
          </cell>
          <cell r="C36">
            <v>47.122999999999998</v>
          </cell>
          <cell r="D36">
            <v>41.448999999999998</v>
          </cell>
          <cell r="E36">
            <v>32.680999999999997</v>
          </cell>
          <cell r="F36">
            <v>77.655000000000001</v>
          </cell>
          <cell r="G36">
            <v>86.769000000000005</v>
          </cell>
          <cell r="H36">
            <v>106.395</v>
          </cell>
          <cell r="I36">
            <v>120.188</v>
          </cell>
          <cell r="J36">
            <v>112.047</v>
          </cell>
          <cell r="K36">
            <v>134.13499999999999</v>
          </cell>
          <cell r="L36">
            <v>99.157789127401671</v>
          </cell>
          <cell r="M36">
            <v>118.11169216965081</v>
          </cell>
          <cell r="N36">
            <v>126.95891099805502</v>
          </cell>
          <cell r="O36">
            <v>133.28632705597005</v>
          </cell>
          <cell r="P36">
            <v>138.72109821669517</v>
          </cell>
          <cell r="Q36">
            <v>143.95130413276721</v>
          </cell>
          <cell r="R36">
            <v>148.61451247065006</v>
          </cell>
          <cell r="S36">
            <v>152.66487271027086</v>
          </cell>
          <cell r="T36">
            <v>156.09208885694602</v>
          </cell>
          <cell r="U36">
            <v>158.80279398369234</v>
          </cell>
          <cell r="V36">
            <v>160.87373603099473</v>
          </cell>
          <cell r="AB36">
            <v>45.347000000000001</v>
          </cell>
          <cell r="AC36">
            <v>36.662999999999997</v>
          </cell>
          <cell r="AD36">
            <v>39.359000000000002</v>
          </cell>
          <cell r="AE36">
            <v>41.448999999999998</v>
          </cell>
          <cell r="AF36">
            <v>37.371000000000002</v>
          </cell>
          <cell r="AG36">
            <v>34.445</v>
          </cell>
          <cell r="AH36">
            <v>33.154000000000003</v>
          </cell>
          <cell r="AI36">
            <v>32.680999999999997</v>
          </cell>
          <cell r="AJ36">
            <v>28.422000000000001</v>
          </cell>
          <cell r="AK36">
            <v>32.280999999999999</v>
          </cell>
          <cell r="AL36">
            <v>74.846999999999994</v>
          </cell>
          <cell r="AM36">
            <v>77.655000000000001</v>
          </cell>
          <cell r="AN36">
            <v>71.09</v>
          </cell>
          <cell r="AO36">
            <v>75.162999999999997</v>
          </cell>
          <cell r="AP36">
            <v>76.471000000000004</v>
          </cell>
          <cell r="AQ36">
            <v>86.769000000000005</v>
          </cell>
          <cell r="AR36">
            <v>78.009</v>
          </cell>
          <cell r="AS36">
            <v>83.626000000000005</v>
          </cell>
          <cell r="AT36">
            <v>95.99</v>
          </cell>
          <cell r="AU36">
            <v>106.395</v>
          </cell>
          <cell r="AV36">
            <v>104.482</v>
          </cell>
          <cell r="AW36">
            <v>108.863</v>
          </cell>
          <cell r="AX36">
            <v>109.631</v>
          </cell>
          <cell r="AY36">
            <v>120.188</v>
          </cell>
          <cell r="AZ36">
            <v>125.51900000000001</v>
          </cell>
          <cell r="BA36">
            <v>125.967</v>
          </cell>
          <cell r="BB36">
            <v>120.057</v>
          </cell>
          <cell r="BC36">
            <v>112.047</v>
          </cell>
          <cell r="BD36">
            <v>117.02800000000001</v>
          </cell>
          <cell r="BE36">
            <v>128.50800000000001</v>
          </cell>
          <cell r="BF36">
            <v>140.48099999999999</v>
          </cell>
          <cell r="BG36">
            <v>134.13499999999999</v>
          </cell>
          <cell r="BH36">
            <v>155.608</v>
          </cell>
          <cell r="BI36">
            <v>125.474</v>
          </cell>
          <cell r="BJ36">
            <v>95.850999999999999</v>
          </cell>
          <cell r="BK36">
            <v>99.157789127401671</v>
          </cell>
          <cell r="BL36">
            <v>101.02794968791477</v>
          </cell>
          <cell r="BM36">
            <v>109.24689853502852</v>
          </cell>
          <cell r="BN36">
            <v>114.29336236197184</v>
          </cell>
          <cell r="BO36">
            <v>118.11169216965081</v>
          </cell>
          <cell r="BP36">
            <v>117.5067372801787</v>
          </cell>
          <cell r="BQ36">
            <v>121.5098437934428</v>
          </cell>
          <cell r="BR36">
            <v>124.78395118259893</v>
          </cell>
          <cell r="BS36">
            <v>126.95891099805502</v>
          </cell>
          <cell r="BW36" t="str">
            <v>mstag:billingsInExcessOfCost</v>
          </cell>
          <cell r="BX36">
            <v>6</v>
          </cell>
          <cell r="BY36" t="str">
            <v>ISO4217:USD</v>
          </cell>
          <cell r="BZ36" t="b">
            <v>0</v>
          </cell>
          <cell r="CA36" t="b">
            <v>0</v>
          </cell>
        </row>
        <row r="37">
          <cell r="A37" t="str">
            <v xml:space="preserve">  Total Current Liabilities</v>
          </cell>
          <cell r="C37">
            <v>670.29399999999998</v>
          </cell>
          <cell r="D37">
            <v>294.77800000000002</v>
          </cell>
          <cell r="E37">
            <v>332.20499999999998</v>
          </cell>
          <cell r="F37">
            <v>456.60899999999992</v>
          </cell>
          <cell r="G37">
            <v>569.62900000000002</v>
          </cell>
          <cell r="H37">
            <v>317.37799999999999</v>
          </cell>
          <cell r="I37">
            <v>302.64499999999998</v>
          </cell>
          <cell r="J37">
            <v>391.24400000000003</v>
          </cell>
          <cell r="K37">
            <v>542.19499999999994</v>
          </cell>
          <cell r="L37">
            <v>1409.8530748455628</v>
          </cell>
          <cell r="M37">
            <v>1484.388213408839</v>
          </cell>
          <cell r="N37">
            <v>1526.0497719889927</v>
          </cell>
          <cell r="O37">
            <v>1555.7395940026499</v>
          </cell>
          <cell r="P37">
            <v>1579.2957272428885</v>
          </cell>
          <cell r="Q37">
            <v>1601.7542335770877</v>
          </cell>
          <cell r="R37">
            <v>1621.4540908671665</v>
          </cell>
          <cell r="S37">
            <v>1638.0700533648776</v>
          </cell>
          <cell r="T37">
            <v>1651.716588365018</v>
          </cell>
          <cell r="U37">
            <v>1661.9948746029452</v>
          </cell>
          <cell r="V37">
            <v>1669.2855198528114</v>
          </cell>
          <cell r="AB37">
            <v>662.62299999999993</v>
          </cell>
          <cell r="AC37">
            <v>561.31799999999998</v>
          </cell>
          <cell r="AD37">
            <v>482.26799999999997</v>
          </cell>
          <cell r="AE37">
            <v>294.77800000000002</v>
          </cell>
          <cell r="AF37">
            <v>254.392</v>
          </cell>
          <cell r="AG37">
            <v>197.864</v>
          </cell>
          <cell r="AH37">
            <v>175.87100000000001</v>
          </cell>
          <cell r="AI37">
            <v>332.20499999999998</v>
          </cell>
          <cell r="AJ37">
            <v>198.024</v>
          </cell>
          <cell r="AK37">
            <v>272.19799999999998</v>
          </cell>
          <cell r="AL37">
            <v>313.24099999999999</v>
          </cell>
          <cell r="AM37">
            <v>456.60899999999992</v>
          </cell>
          <cell r="AN37">
            <v>580.39700000000005</v>
          </cell>
          <cell r="AO37">
            <v>559.404</v>
          </cell>
          <cell r="AP37">
            <v>554.43299999999999</v>
          </cell>
          <cell r="AQ37">
            <v>569.62900000000002</v>
          </cell>
          <cell r="AR37">
            <v>306.31799999999998</v>
          </cell>
          <cell r="AS37">
            <v>315.05899999999997</v>
          </cell>
          <cell r="AT37">
            <v>338.56200000000001</v>
          </cell>
          <cell r="AU37">
            <v>317.37799999999999</v>
          </cell>
          <cell r="AV37">
            <v>306.52299999999997</v>
          </cell>
          <cell r="AW37">
            <v>279.17</v>
          </cell>
          <cell r="AX37">
            <v>309.50299999999999</v>
          </cell>
          <cell r="AY37">
            <v>302.64499999999998</v>
          </cell>
          <cell r="AZ37">
            <v>319.30799999999999</v>
          </cell>
          <cell r="BA37">
            <v>348.02</v>
          </cell>
          <cell r="BB37">
            <v>341.00100000000003</v>
          </cell>
          <cell r="BC37">
            <v>391.24400000000003</v>
          </cell>
          <cell r="BD37">
            <v>422.81100000000004</v>
          </cell>
          <cell r="BE37">
            <v>358.82000000000005</v>
          </cell>
          <cell r="BF37">
            <v>614.86699999999996</v>
          </cell>
          <cell r="BG37">
            <v>542.19499999999994</v>
          </cell>
          <cell r="BH37">
            <v>826.40699999999993</v>
          </cell>
          <cell r="BI37">
            <v>1309.883</v>
          </cell>
          <cell r="BJ37">
            <v>1371.328</v>
          </cell>
          <cell r="BK37">
            <v>1409.8530748455628</v>
          </cell>
          <cell r="BL37">
            <v>1404.5297702910505</v>
          </cell>
          <cell r="BM37">
            <v>1442.8960770234196</v>
          </cell>
          <cell r="BN37">
            <v>1466.4993235775355</v>
          </cell>
          <cell r="BO37">
            <v>1484.388213408839</v>
          </cell>
          <cell r="BP37">
            <v>1481.6930492348597</v>
          </cell>
          <cell r="BQ37">
            <v>1500.4442516951078</v>
          </cell>
          <cell r="BR37">
            <v>1515.8040253632985</v>
          </cell>
          <cell r="BS37">
            <v>1526.0497719889927</v>
          </cell>
        </row>
        <row r="39">
          <cell r="A39" t="str">
            <v>Long-Term Debt, less Current Portion</v>
          </cell>
          <cell r="C39">
            <v>3194.5369999999998</v>
          </cell>
          <cell r="D39">
            <v>3283.6030000000001</v>
          </cell>
          <cell r="E39">
            <v>3155.2280000000001</v>
          </cell>
          <cell r="F39">
            <v>3451.2759999999998</v>
          </cell>
          <cell r="G39">
            <v>3289.1089999999999</v>
          </cell>
          <cell r="H39">
            <v>4283.4669999999996</v>
          </cell>
          <cell r="I39">
            <v>4331.3090000000002</v>
          </cell>
          <cell r="J39">
            <v>4141.0600000000004</v>
          </cell>
          <cell r="K39">
            <v>5512.4920000000002</v>
          </cell>
          <cell r="L39">
            <v>5806.8677507774992</v>
          </cell>
          <cell r="M39">
            <v>5807.9262372068333</v>
          </cell>
          <cell r="N39">
            <v>5809.0521863199083</v>
          </cell>
          <cell r="O39">
            <v>5810.2232768164749</v>
          </cell>
          <cell r="P39">
            <v>5811.4675032096166</v>
          </cell>
          <cell r="Q39">
            <v>5812.7895794465558</v>
          </cell>
          <cell r="R39">
            <v>5814.1945318416665</v>
          </cell>
          <cell r="S39">
            <v>5815.6877202674559</v>
          </cell>
          <cell r="T39">
            <v>5817.1536512940147</v>
          </cell>
          <cell r="U39">
            <v>5818.7141619933336</v>
          </cell>
          <cell r="V39">
            <v>5820.3755084788145</v>
          </cell>
          <cell r="AB39">
            <v>3300.6370000000002</v>
          </cell>
          <cell r="AC39">
            <v>3282.5889999999999</v>
          </cell>
          <cell r="AD39">
            <v>3304.866</v>
          </cell>
          <cell r="AE39">
            <v>3283.6030000000001</v>
          </cell>
          <cell r="AF39">
            <v>3216.627</v>
          </cell>
          <cell r="AG39">
            <v>3260.3220000000001</v>
          </cell>
          <cell r="AH39">
            <v>3211.6350000000002</v>
          </cell>
          <cell r="AI39">
            <v>3155.2280000000001</v>
          </cell>
          <cell r="AJ39">
            <v>3141.835</v>
          </cell>
          <cell r="AK39">
            <v>2991.9250000000002</v>
          </cell>
          <cell r="AL39">
            <v>3637.9160000000002</v>
          </cell>
          <cell r="AM39">
            <v>3451.2759999999998</v>
          </cell>
          <cell r="AN39">
            <v>3332.08</v>
          </cell>
          <cell r="AO39">
            <v>3325.3020000000001</v>
          </cell>
          <cell r="AP39">
            <v>3309.5639999999999</v>
          </cell>
          <cell r="AQ39">
            <v>3289.1089999999999</v>
          </cell>
          <cell r="AR39">
            <v>3570.2930000000001</v>
          </cell>
          <cell r="AS39">
            <v>3975.299</v>
          </cell>
          <cell r="AT39">
            <v>4025.145</v>
          </cell>
          <cell r="AU39">
            <v>4283.4669999999996</v>
          </cell>
          <cell r="AV39">
            <v>4433.1620000000003</v>
          </cell>
          <cell r="AW39">
            <v>4419.0169999999998</v>
          </cell>
          <cell r="AX39">
            <v>4428.5739999999996</v>
          </cell>
          <cell r="AY39">
            <v>4331.3090000000002</v>
          </cell>
          <cell r="AZ39">
            <v>4330.9989999999998</v>
          </cell>
          <cell r="BA39">
            <v>4421.6940000000004</v>
          </cell>
          <cell r="BB39">
            <v>4179.0379999999996</v>
          </cell>
          <cell r="BC39">
            <v>4141.0600000000004</v>
          </cell>
          <cell r="BD39">
            <v>4152.03</v>
          </cell>
          <cell r="BE39">
            <v>4152.0410000000002</v>
          </cell>
          <cell r="BF39">
            <v>4626.3050000000003</v>
          </cell>
          <cell r="BG39">
            <v>5512.4920000000002</v>
          </cell>
          <cell r="BH39">
            <v>5387.7280000000001</v>
          </cell>
          <cell r="BI39">
            <v>4919.0680000000002</v>
          </cell>
          <cell r="BJ39">
            <v>4970.5020000000004</v>
          </cell>
          <cell r="BK39">
            <v>5806.8677507774992</v>
          </cell>
          <cell r="BL39">
            <v>5807.126280320841</v>
          </cell>
          <cell r="BM39">
            <v>5807.3888279186913</v>
          </cell>
          <cell r="BN39">
            <v>5807.6554583593079</v>
          </cell>
          <cell r="BO39">
            <v>5807.9262372068333</v>
          </cell>
          <cell r="BP39">
            <v>5808.2012311122289</v>
          </cell>
          <cell r="BQ39">
            <v>5808.4805078279378</v>
          </cell>
          <cell r="BR39">
            <v>5808.7641362265767</v>
          </cell>
          <cell r="BS39">
            <v>5809.0521863199083</v>
          </cell>
          <cell r="BW39" t="str">
            <v>mstag:longTermDebt</v>
          </cell>
          <cell r="BX39">
            <v>6</v>
          </cell>
          <cell r="BY39" t="str">
            <v>ISO4217:USD</v>
          </cell>
          <cell r="BZ39" t="b">
            <v>0</v>
          </cell>
          <cell r="CA39" t="b">
            <v>0</v>
          </cell>
        </row>
        <row r="40">
          <cell r="A40" t="str">
            <v>Other Long-Term Liabilities</v>
          </cell>
          <cell r="C40">
            <v>41.481999999999999</v>
          </cell>
          <cell r="D40">
            <v>83.495999999999995</v>
          </cell>
          <cell r="E40">
            <v>121.505</v>
          </cell>
          <cell r="F40">
            <v>327.35399999999998</v>
          </cell>
          <cell r="G40">
            <v>365.97399999999999</v>
          </cell>
          <cell r="H40">
            <v>504.178</v>
          </cell>
          <cell r="I40">
            <v>583.23199999999997</v>
          </cell>
          <cell r="J40">
            <v>662.23900000000003</v>
          </cell>
          <cell r="K40">
            <v>806.07600000000002</v>
          </cell>
          <cell r="L40">
            <v>1247.4664571690876</v>
          </cell>
          <cell r="M40">
            <v>1485.9183073536633</v>
          </cell>
          <cell r="N40">
            <v>1597.2218047873223</v>
          </cell>
          <cell r="O40">
            <v>1676.8246212908298</v>
          </cell>
          <cell r="P40">
            <v>1745.1974116188157</v>
          </cell>
          <cell r="Q40">
            <v>1810.9966443548769</v>
          </cell>
          <cell r="R40">
            <v>1869.6626960638951</v>
          </cell>
          <cell r="S40">
            <v>1920.6187387796761</v>
          </cell>
          <cell r="T40">
            <v>1963.7352425064023</v>
          </cell>
          <cell r="U40">
            <v>1997.8375934225528</v>
          </cell>
          <cell r="V40">
            <v>2023.8913281970497</v>
          </cell>
          <cell r="AB40">
            <v>33.478000000000002</v>
          </cell>
          <cell r="AC40">
            <v>29.821999999999999</v>
          </cell>
          <cell r="AD40">
            <v>28.471</v>
          </cell>
          <cell r="AE40">
            <v>83.495999999999995</v>
          </cell>
          <cell r="AF40">
            <v>91.778999999999996</v>
          </cell>
          <cell r="AG40">
            <v>111.742</v>
          </cell>
          <cell r="AH40">
            <v>115.42</v>
          </cell>
          <cell r="AI40">
            <v>121.505</v>
          </cell>
          <cell r="AJ40">
            <v>126.74</v>
          </cell>
          <cell r="AK40">
            <v>129.446</v>
          </cell>
          <cell r="AL40">
            <v>190.172</v>
          </cell>
          <cell r="AM40">
            <v>327.35399999999998</v>
          </cell>
          <cell r="AN40">
            <v>337.57799999999997</v>
          </cell>
          <cell r="AO40">
            <v>344.72</v>
          </cell>
          <cell r="AP40">
            <v>354.09100000000001</v>
          </cell>
          <cell r="AQ40">
            <v>365.97399999999999</v>
          </cell>
          <cell r="AR40">
            <v>446.28100000000001</v>
          </cell>
          <cell r="AS40">
            <v>453.50799999999998</v>
          </cell>
          <cell r="AT40">
            <v>460.62099999999998</v>
          </cell>
          <cell r="AU40">
            <v>504.178</v>
          </cell>
          <cell r="AV40">
            <v>535.99800000000005</v>
          </cell>
          <cell r="AW40">
            <v>539.62099999999998</v>
          </cell>
          <cell r="AX40">
            <v>548.63</v>
          </cell>
          <cell r="AY40">
            <v>583.23199999999997</v>
          </cell>
          <cell r="AZ40">
            <v>593.49300000000005</v>
          </cell>
          <cell r="BA40">
            <v>625.73800000000006</v>
          </cell>
          <cell r="BB40">
            <v>639.63400000000001</v>
          </cell>
          <cell r="BC40">
            <v>662.23900000000003</v>
          </cell>
          <cell r="BD40">
            <v>641.56399999999996</v>
          </cell>
          <cell r="BE40">
            <v>645.05200000000002</v>
          </cell>
          <cell r="BF40">
            <v>754.15599999999995</v>
          </cell>
          <cell r="BG40">
            <v>806.07600000000002</v>
          </cell>
          <cell r="BH40">
            <v>1035.598</v>
          </cell>
          <cell r="BI40">
            <v>1145.0450000000001</v>
          </cell>
          <cell r="BJ40">
            <v>1205.865</v>
          </cell>
          <cell r="BK40">
            <v>1247.4664571690876</v>
          </cell>
          <cell r="BL40">
            <v>1270.9942363712153</v>
          </cell>
          <cell r="BM40">
            <v>1374.3937079627983</v>
          </cell>
          <cell r="BN40">
            <v>1437.8813513121322</v>
          </cell>
          <cell r="BO40">
            <v>1485.9183073536633</v>
          </cell>
          <cell r="BP40">
            <v>1478.3075998201657</v>
          </cell>
          <cell r="BQ40">
            <v>1528.6691613648259</v>
          </cell>
          <cell r="BR40">
            <v>1569.8594620067049</v>
          </cell>
          <cell r="BS40">
            <v>1597.2218047873223</v>
          </cell>
          <cell r="BW40" t="str">
            <v>mstag:otherLiabilitiesOperatingNonCurrent</v>
          </cell>
          <cell r="BX40">
            <v>6</v>
          </cell>
          <cell r="BY40" t="str">
            <v>ISO4217:USD</v>
          </cell>
          <cell r="BZ40" t="b">
            <v>0</v>
          </cell>
          <cell r="CA40" t="b">
            <v>0</v>
          </cell>
        </row>
        <row r="41">
          <cell r="A41" t="str">
            <v xml:space="preserve">  Total Liabilities</v>
          </cell>
          <cell r="C41">
            <v>3906.3129999999996</v>
          </cell>
          <cell r="D41">
            <v>3661.8770000000004</v>
          </cell>
          <cell r="E41">
            <v>3608.9380000000001</v>
          </cell>
          <cell r="F41">
            <v>4235.2389999999996</v>
          </cell>
          <cell r="G41">
            <v>4224.7119999999995</v>
          </cell>
          <cell r="H41">
            <v>5105.0229999999992</v>
          </cell>
          <cell r="I41">
            <v>5217.1859999999997</v>
          </cell>
          <cell r="J41">
            <v>5194.5429999999997</v>
          </cell>
          <cell r="K41">
            <v>6860.7629999999999</v>
          </cell>
          <cell r="L41">
            <v>8464.1872827921507</v>
          </cell>
          <cell r="M41">
            <v>8778.2327579693356</v>
          </cell>
          <cell r="N41">
            <v>8932.323763096223</v>
          </cell>
          <cell r="O41">
            <v>9042.7874921099537</v>
          </cell>
          <cell r="P41">
            <v>9135.9606420713208</v>
          </cell>
          <cell r="Q41">
            <v>9225.5404573785199</v>
          </cell>
          <cell r="R41">
            <v>9305.3113187727286</v>
          </cell>
          <cell r="S41">
            <v>9374.3765124120091</v>
          </cell>
          <cell r="T41">
            <v>9432.6054821654343</v>
          </cell>
          <cell r="U41">
            <v>9478.5466300188309</v>
          </cell>
          <cell r="V41">
            <v>9513.5523565286749</v>
          </cell>
          <cell r="AB41">
            <v>3996.7380000000003</v>
          </cell>
          <cell r="AC41">
            <v>3873.7290000000003</v>
          </cell>
          <cell r="AD41">
            <v>3815.605</v>
          </cell>
          <cell r="AE41">
            <v>3661.8770000000004</v>
          </cell>
          <cell r="AF41">
            <v>3562.7979999999998</v>
          </cell>
          <cell r="AG41">
            <v>3569.9280000000003</v>
          </cell>
          <cell r="AH41">
            <v>3502.9260000000004</v>
          </cell>
          <cell r="AI41">
            <v>3608.9380000000001</v>
          </cell>
          <cell r="AJ41">
            <v>3466.5989999999997</v>
          </cell>
          <cell r="AK41">
            <v>3393.569</v>
          </cell>
          <cell r="AL41">
            <v>4141.3289999999997</v>
          </cell>
          <cell r="AM41">
            <v>4235.2389999999996</v>
          </cell>
          <cell r="AN41">
            <v>4250.0550000000003</v>
          </cell>
          <cell r="AO41">
            <v>4229.4260000000004</v>
          </cell>
          <cell r="AP41">
            <v>4218.0879999999997</v>
          </cell>
          <cell r="AQ41">
            <v>4224.7119999999995</v>
          </cell>
          <cell r="AR41">
            <v>4322.8919999999998</v>
          </cell>
          <cell r="AS41">
            <v>4743.866</v>
          </cell>
          <cell r="AT41">
            <v>4824.3280000000004</v>
          </cell>
          <cell r="AU41">
            <v>5105.0229999999992</v>
          </cell>
          <cell r="AV41">
            <v>5275.6830000000009</v>
          </cell>
          <cell r="AW41">
            <v>5237.808</v>
          </cell>
          <cell r="AX41">
            <v>5286.7069999999994</v>
          </cell>
          <cell r="AY41">
            <v>5217.1859999999997</v>
          </cell>
          <cell r="AZ41">
            <v>5243.8</v>
          </cell>
          <cell r="BA41">
            <v>5395.4520000000002</v>
          </cell>
          <cell r="BB41">
            <v>5159.6729999999998</v>
          </cell>
          <cell r="BC41">
            <v>5194.5429999999997</v>
          </cell>
          <cell r="BD41">
            <v>5216.4049999999997</v>
          </cell>
          <cell r="BE41">
            <v>5155.9129999999996</v>
          </cell>
          <cell r="BF41">
            <v>5995.3280000000004</v>
          </cell>
          <cell r="BG41">
            <v>6860.7629999999999</v>
          </cell>
          <cell r="BH41">
            <v>7249.7330000000002</v>
          </cell>
          <cell r="BI41">
            <v>7373.9960000000001</v>
          </cell>
          <cell r="BJ41">
            <v>7547.6949999999997</v>
          </cell>
          <cell r="BK41">
            <v>8464.1872827921507</v>
          </cell>
          <cell r="BL41">
            <v>8482.6502869831056</v>
          </cell>
          <cell r="BM41">
            <v>8624.6786129049087</v>
          </cell>
          <cell r="BN41">
            <v>8712.0361332489756</v>
          </cell>
          <cell r="BO41">
            <v>8778.2327579693356</v>
          </cell>
          <cell r="BP41">
            <v>8768.2018801672548</v>
          </cell>
          <cell r="BQ41">
            <v>8837.5939208878717</v>
          </cell>
          <cell r="BR41">
            <v>8894.4276235965808</v>
          </cell>
          <cell r="BS41">
            <v>8932.323763096223</v>
          </cell>
        </row>
        <row r="43">
          <cell r="A43" t="str">
            <v>Minority Interest</v>
          </cell>
          <cell r="C43">
            <v>15.567</v>
          </cell>
          <cell r="D43">
            <v>18.599</v>
          </cell>
          <cell r="E43">
            <v>6.0810000000000004</v>
          </cell>
          <cell r="F43">
            <v>9.7940000000000005</v>
          </cell>
          <cell r="G43">
            <v>3.5910000000000002</v>
          </cell>
          <cell r="H43">
            <v>3.3420000000000001</v>
          </cell>
          <cell r="I43">
            <v>3.157</v>
          </cell>
          <cell r="J43">
            <v>3.0430000000000001</v>
          </cell>
          <cell r="K43">
            <v>3.1139999999999999</v>
          </cell>
          <cell r="L43">
            <v>84.350999999999999</v>
          </cell>
          <cell r="M43">
            <v>84.350999999999999</v>
          </cell>
          <cell r="N43">
            <v>84.350999999999999</v>
          </cell>
          <cell r="O43">
            <v>84.350999999999999</v>
          </cell>
          <cell r="P43">
            <v>84.350999999999999</v>
          </cell>
          <cell r="Q43">
            <v>84.350999999999999</v>
          </cell>
          <cell r="R43">
            <v>84.350999999999999</v>
          </cell>
          <cell r="S43">
            <v>84.350999999999999</v>
          </cell>
          <cell r="T43">
            <v>84.350999999999999</v>
          </cell>
          <cell r="U43">
            <v>84.350999999999999</v>
          </cell>
          <cell r="V43">
            <v>84.350999999999999</v>
          </cell>
          <cell r="AB43">
            <v>16.018000000000001</v>
          </cell>
          <cell r="AC43">
            <v>16.716999999999999</v>
          </cell>
          <cell r="AD43">
            <v>17.529</v>
          </cell>
          <cell r="AE43">
            <v>18.599</v>
          </cell>
          <cell r="AF43">
            <v>25.806000000000001</v>
          </cell>
          <cell r="AG43">
            <v>11.696999999999999</v>
          </cell>
          <cell r="AH43">
            <v>11.863</v>
          </cell>
          <cell r="AI43">
            <v>6.0810000000000004</v>
          </cell>
          <cell r="AJ43">
            <v>5.97</v>
          </cell>
          <cell r="AK43">
            <v>5.9050000000000002</v>
          </cell>
          <cell r="AL43">
            <v>5.9160000000000004</v>
          </cell>
          <cell r="AM43">
            <v>9.7940000000000005</v>
          </cell>
          <cell r="AN43">
            <v>9.9220000000000006</v>
          </cell>
          <cell r="AO43">
            <v>3.5920000000000001</v>
          </cell>
          <cell r="AP43">
            <v>3.5289999999999999</v>
          </cell>
          <cell r="AQ43">
            <v>3.5910000000000002</v>
          </cell>
          <cell r="AR43">
            <v>3.5019999999999998</v>
          </cell>
          <cell r="AS43">
            <v>3.4620000000000002</v>
          </cell>
          <cell r="AT43">
            <v>3.4049999999999998</v>
          </cell>
          <cell r="AU43">
            <v>3.3420000000000001</v>
          </cell>
          <cell r="AV43">
            <v>3.2770000000000001</v>
          </cell>
          <cell r="AW43">
            <v>3.2309999999999999</v>
          </cell>
          <cell r="AX43">
            <v>3.1869999999999998</v>
          </cell>
          <cell r="AY43">
            <v>3.157</v>
          </cell>
          <cell r="AZ43">
            <v>3.15</v>
          </cell>
          <cell r="BA43">
            <v>3.254</v>
          </cell>
          <cell r="BB43">
            <v>3.3359999999999999</v>
          </cell>
          <cell r="BC43">
            <v>3.0430000000000001</v>
          </cell>
          <cell r="BD43">
            <v>2.9359999999999999</v>
          </cell>
          <cell r="BE43">
            <v>3.0110000000000001</v>
          </cell>
          <cell r="BF43">
            <v>3.05</v>
          </cell>
          <cell r="BG43">
            <v>3.1139999999999999</v>
          </cell>
          <cell r="BH43">
            <v>9.8219999999999992</v>
          </cell>
          <cell r="BI43">
            <v>37.924999999999997</v>
          </cell>
          <cell r="BJ43">
            <v>84.350999999999999</v>
          </cell>
          <cell r="BK43">
            <v>84.350999999999999</v>
          </cell>
          <cell r="BL43">
            <v>84.350999999999999</v>
          </cell>
          <cell r="BM43">
            <v>84.350999999999999</v>
          </cell>
          <cell r="BN43">
            <v>84.350999999999999</v>
          </cell>
          <cell r="BO43">
            <v>84.350999999999999</v>
          </cell>
          <cell r="BP43">
            <v>84.350999999999999</v>
          </cell>
          <cell r="BQ43">
            <v>84.350999999999999</v>
          </cell>
          <cell r="BR43">
            <v>84.350999999999999</v>
          </cell>
          <cell r="BS43">
            <v>84.350999999999999</v>
          </cell>
          <cell r="BW43" t="str">
            <v>mstag:minorityInterestsInShareholdersEquity</v>
          </cell>
          <cell r="BX43">
            <v>6</v>
          </cell>
          <cell r="BY43" t="str">
            <v>ISO4217:USD</v>
          </cell>
          <cell r="BZ43" t="b">
            <v>0</v>
          </cell>
          <cell r="CA43" t="b">
            <v>0</v>
          </cell>
        </row>
        <row r="44">
          <cell r="A44" t="str">
            <v>SHAREHOLDERS' EQUITY</v>
          </cell>
        </row>
        <row r="45">
          <cell r="A45" t="str">
            <v xml:space="preserve">  Common Stock (Class A, B &amp; C)</v>
          </cell>
          <cell r="C45">
            <v>1.958</v>
          </cell>
          <cell r="D45">
            <v>2.2010000000000001</v>
          </cell>
          <cell r="E45">
            <v>2.2970000000000002</v>
          </cell>
          <cell r="F45">
            <v>4.1559999999999997</v>
          </cell>
          <cell r="G45">
            <v>4.3780000000000001</v>
          </cell>
          <cell r="H45">
            <v>4.5270000000000001</v>
          </cell>
          <cell r="I45">
            <v>4.6849999999999996</v>
          </cell>
          <cell r="J45">
            <v>4.7969999999999997</v>
          </cell>
          <cell r="K45">
            <v>4.8600000000000003</v>
          </cell>
          <cell r="L45">
            <v>4.8840000000000003</v>
          </cell>
          <cell r="M45">
            <v>4.8840000000000003</v>
          </cell>
          <cell r="N45">
            <v>4.8840000000000003</v>
          </cell>
          <cell r="O45">
            <v>4.8840000000000003</v>
          </cell>
          <cell r="P45">
            <v>4.8840000000000003</v>
          </cell>
          <cell r="Q45">
            <v>4.8840000000000003</v>
          </cell>
          <cell r="R45">
            <v>4.8840000000000003</v>
          </cell>
          <cell r="S45">
            <v>4.8840000000000003</v>
          </cell>
          <cell r="T45">
            <v>4.8840000000000003</v>
          </cell>
          <cell r="U45">
            <v>4.8840000000000003</v>
          </cell>
          <cell r="V45">
            <v>4.8840000000000003</v>
          </cell>
          <cell r="AB45">
            <v>1.9649999999999999</v>
          </cell>
          <cell r="AC45">
            <v>2.0470000000000002</v>
          </cell>
          <cell r="AD45">
            <v>2.1950000000000003</v>
          </cell>
          <cell r="AE45">
            <v>2.2010000000000001</v>
          </cell>
          <cell r="AF45">
            <v>2.2120000000000002</v>
          </cell>
          <cell r="AG45">
            <v>2.2429999999999999</v>
          </cell>
          <cell r="AH45">
            <v>2.2669999999999999</v>
          </cell>
          <cell r="AI45">
            <v>2.2970000000000002</v>
          </cell>
          <cell r="AJ45">
            <v>2.3079999999999998</v>
          </cell>
          <cell r="AK45">
            <v>2.3119999999999998</v>
          </cell>
          <cell r="AL45">
            <v>4.1100000000000003</v>
          </cell>
          <cell r="AM45">
            <v>4.1559999999999997</v>
          </cell>
          <cell r="AN45">
            <v>4.2880000000000003</v>
          </cell>
          <cell r="AO45">
            <v>4.37</v>
          </cell>
          <cell r="AP45">
            <v>4.375</v>
          </cell>
          <cell r="AQ45">
            <v>4.3780000000000001</v>
          </cell>
          <cell r="AR45">
            <v>4.4569999999999999</v>
          </cell>
          <cell r="AS45">
            <v>4.4969999999999999</v>
          </cell>
          <cell r="AT45">
            <v>4.5039999999999996</v>
          </cell>
          <cell r="AU45">
            <v>4.5270000000000001</v>
          </cell>
          <cell r="AV45">
            <v>4.5369999999999999</v>
          </cell>
          <cell r="AW45">
            <v>4.5659999999999998</v>
          </cell>
          <cell r="AX45">
            <v>4.6070000000000002</v>
          </cell>
          <cell r="AY45">
            <v>4.6849999999999996</v>
          </cell>
          <cell r="AZ45">
            <v>4.6920000000000002</v>
          </cell>
          <cell r="BA45">
            <v>4.6970000000000001</v>
          </cell>
          <cell r="BB45">
            <v>4.7850000000000001</v>
          </cell>
          <cell r="BC45">
            <v>4.7969999999999997</v>
          </cell>
          <cell r="BD45">
            <v>4.83</v>
          </cell>
          <cell r="BE45">
            <v>4.8449999999999998</v>
          </cell>
          <cell r="BF45">
            <v>4.8550000000000004</v>
          </cell>
          <cell r="BG45">
            <v>4.8600000000000003</v>
          </cell>
          <cell r="BH45">
            <v>4.8680000000000003</v>
          </cell>
          <cell r="BI45">
            <v>4.8769999999999998</v>
          </cell>
          <cell r="BJ45">
            <v>4.8840000000000003</v>
          </cell>
          <cell r="BK45">
            <v>4.8840000000000003</v>
          </cell>
          <cell r="BL45">
            <v>4.8840000000000003</v>
          </cell>
          <cell r="BM45">
            <v>4.8840000000000003</v>
          </cell>
          <cell r="BN45">
            <v>4.8840000000000003</v>
          </cell>
          <cell r="BO45">
            <v>4.8840000000000003</v>
          </cell>
          <cell r="BP45">
            <v>4.8840000000000003</v>
          </cell>
          <cell r="BQ45">
            <v>4.8840000000000003</v>
          </cell>
          <cell r="BR45">
            <v>4.8840000000000003</v>
          </cell>
          <cell r="BS45">
            <v>4.8840000000000003</v>
          </cell>
          <cell r="BW45" t="str">
            <v>mstag:commonStock</v>
          </cell>
          <cell r="BX45">
            <v>6</v>
          </cell>
          <cell r="BY45" t="str">
            <v>ISO4217:USD</v>
          </cell>
          <cell r="BZ45" t="b">
            <v>0</v>
          </cell>
          <cell r="CA45" t="b">
            <v>0</v>
          </cell>
        </row>
        <row r="46">
          <cell r="A46" t="str">
            <v xml:space="preserve">  Additional Paid-In Capital</v>
          </cell>
          <cell r="C46">
            <v>3642.0189999999998</v>
          </cell>
          <cell r="D46">
            <v>3910.8789999999999</v>
          </cell>
          <cell r="E46">
            <v>4012.4250000000002</v>
          </cell>
          <cell r="F46">
            <v>7383.32</v>
          </cell>
          <cell r="G46">
            <v>7502.4719999999998</v>
          </cell>
          <cell r="H46">
            <v>7772.3819999999996</v>
          </cell>
          <cell r="I46">
            <v>8109.2240000000002</v>
          </cell>
          <cell r="J46">
            <v>8393.643</v>
          </cell>
          <cell r="K46">
            <v>8577.0930000000008</v>
          </cell>
          <cell r="L46">
            <v>8690.245408298415</v>
          </cell>
          <cell r="M46">
            <v>8778.6373361768419</v>
          </cell>
          <cell r="N46">
            <v>8857.6837947023669</v>
          </cell>
          <cell r="O46">
            <v>8925.2364940080188</v>
          </cell>
          <cell r="P46">
            <v>8985.611950865481</v>
          </cell>
          <cell r="Q46">
            <v>9039.7446509137771</v>
          </cell>
          <cell r="R46">
            <v>9088.4693210947062</v>
          </cell>
          <cell r="S46">
            <v>9132.5338580961507</v>
          </cell>
          <cell r="T46">
            <v>9172.610870384322</v>
          </cell>
          <cell r="U46">
            <v>9209.3080127049052</v>
          </cell>
          <cell r="V46">
            <v>9243.1772726674008</v>
          </cell>
          <cell r="AB46">
            <v>3700.2919999999999</v>
          </cell>
          <cell r="AC46">
            <v>3782.1930000000002</v>
          </cell>
          <cell r="AD46">
            <v>3905.6660000000002</v>
          </cell>
          <cell r="AE46">
            <v>3910.8789999999999</v>
          </cell>
          <cell r="AF46">
            <v>3914.252</v>
          </cell>
          <cell r="AG46">
            <v>3946.1439999999998</v>
          </cell>
          <cell r="AH46">
            <v>3973.893</v>
          </cell>
          <cell r="AI46">
            <v>4012.4250000000002</v>
          </cell>
          <cell r="AJ46">
            <v>4025.3530000000001</v>
          </cell>
          <cell r="AK46">
            <v>4031.0250000000001</v>
          </cell>
          <cell r="AL46">
            <v>7265.9830000000002</v>
          </cell>
          <cell r="AM46">
            <v>7383.32</v>
          </cell>
          <cell r="AN46">
            <v>7427.9750000000004</v>
          </cell>
          <cell r="AO46">
            <v>7478.2470000000003</v>
          </cell>
          <cell r="AP46">
            <v>7491.62</v>
          </cell>
          <cell r="AQ46">
            <v>7502.4719999999998</v>
          </cell>
          <cell r="AR46">
            <v>7627.8909999999996</v>
          </cell>
          <cell r="AS46">
            <v>7709.9290000000001</v>
          </cell>
          <cell r="AT46">
            <v>7734.6409999999996</v>
          </cell>
          <cell r="AU46">
            <v>7772.3819999999996</v>
          </cell>
          <cell r="AV46">
            <v>7801.0020000000004</v>
          </cell>
          <cell r="AW46">
            <v>7856.7839999999997</v>
          </cell>
          <cell r="AX46">
            <v>7945.4110000000001</v>
          </cell>
          <cell r="AY46">
            <v>8109.2240000000002</v>
          </cell>
          <cell r="AZ46">
            <v>8139.915</v>
          </cell>
          <cell r="BA46">
            <v>8159.9129999999996</v>
          </cell>
          <cell r="BB46">
            <v>8352.9439999999995</v>
          </cell>
          <cell r="BC46">
            <v>8393.643</v>
          </cell>
          <cell r="BD46">
            <v>8447.6669999999995</v>
          </cell>
          <cell r="BE46">
            <v>8503.0519999999997</v>
          </cell>
          <cell r="BF46">
            <v>8548.7800000000007</v>
          </cell>
          <cell r="BG46">
            <v>8577.0930000000008</v>
          </cell>
          <cell r="BH46">
            <v>8589.3690000000006</v>
          </cell>
          <cell r="BI46">
            <v>8630.7739999999994</v>
          </cell>
          <cell r="BJ46">
            <v>8665.8070000000007</v>
          </cell>
          <cell r="BK46">
            <v>8690.245408298415</v>
          </cell>
          <cell r="BL46">
            <v>8712.5314505868901</v>
          </cell>
          <cell r="BM46">
            <v>8735.6782128301093</v>
          </cell>
          <cell r="BN46">
            <v>8756.7094972014856</v>
          </cell>
          <cell r="BO46">
            <v>8778.6373361768419</v>
          </cell>
          <cell r="BP46">
            <v>8798.4845085273337</v>
          </cell>
          <cell r="BQ46">
            <v>8819.2620525538841</v>
          </cell>
          <cell r="BR46">
            <v>8837.9917812454059</v>
          </cell>
          <cell r="BS46">
            <v>8857.6837947023669</v>
          </cell>
          <cell r="BW46" t="str">
            <v>mstag:additionalPaidInCapital</v>
          </cell>
          <cell r="BX46">
            <v>6</v>
          </cell>
          <cell r="BY46" t="str">
            <v>ISO4217:USD</v>
          </cell>
          <cell r="BZ46" t="b">
            <v>0</v>
          </cell>
          <cell r="CA46" t="b">
            <v>0</v>
          </cell>
        </row>
        <row r="47">
          <cell r="A47" t="str">
            <v xml:space="preserve">  Accumulated Other Comp. Income (Loss)</v>
          </cell>
          <cell r="C47">
            <v>-5.5640000000000001</v>
          </cell>
          <cell r="D47">
            <v>0</v>
          </cell>
          <cell r="E47">
            <v>0</v>
          </cell>
          <cell r="F47">
            <v>-3.3</v>
          </cell>
          <cell r="G47">
            <v>16.079000000000001</v>
          </cell>
          <cell r="H47">
            <v>-3.6259999999999999</v>
          </cell>
          <cell r="I47">
            <v>-20.030999999999999</v>
          </cell>
          <cell r="J47">
            <v>-12.648999999999999</v>
          </cell>
          <cell r="K47">
            <v>38.052999999999997</v>
          </cell>
          <cell r="L47">
            <v>-87.07</v>
          </cell>
          <cell r="M47">
            <v>-87.07</v>
          </cell>
          <cell r="N47">
            <v>-87.07</v>
          </cell>
          <cell r="O47">
            <v>-87.07</v>
          </cell>
          <cell r="P47">
            <v>-87.07</v>
          </cell>
          <cell r="Q47">
            <v>-87.07</v>
          </cell>
          <cell r="R47">
            <v>-87.07</v>
          </cell>
          <cell r="S47">
            <v>-87.07</v>
          </cell>
          <cell r="T47">
            <v>-87.07</v>
          </cell>
          <cell r="U47">
            <v>-87.07</v>
          </cell>
          <cell r="V47">
            <v>-87.07</v>
          </cell>
          <cell r="AB47">
            <v>-2.3769999999999998</v>
          </cell>
          <cell r="AC47">
            <v>-0.98</v>
          </cell>
          <cell r="AD47">
            <v>-0.372</v>
          </cell>
          <cell r="AE47">
            <v>0</v>
          </cell>
          <cell r="AF47">
            <v>0</v>
          </cell>
          <cell r="AL47">
            <v>-3.661</v>
          </cell>
          <cell r="AM47">
            <v>-3.3</v>
          </cell>
          <cell r="AN47">
            <v>5.6239999999999997</v>
          </cell>
          <cell r="AO47">
            <v>10.465999999999999</v>
          </cell>
          <cell r="AP47">
            <v>3.0739999999999998</v>
          </cell>
          <cell r="AQ47">
            <v>16.079000000000001</v>
          </cell>
          <cell r="AR47">
            <v>7.8550000000000004</v>
          </cell>
          <cell r="AS47">
            <v>3.1890000000000001</v>
          </cell>
          <cell r="AT47">
            <v>-2.8530000000000002</v>
          </cell>
          <cell r="AU47">
            <v>-3.6259999999999999</v>
          </cell>
          <cell r="AV47">
            <v>-11.137</v>
          </cell>
          <cell r="AW47">
            <v>0.80600000000000005</v>
          </cell>
          <cell r="AX47">
            <v>-1.0269999999999999</v>
          </cell>
          <cell r="AY47">
            <v>-20.030999999999999</v>
          </cell>
          <cell r="AZ47">
            <v>-19.896000000000001</v>
          </cell>
          <cell r="BA47">
            <v>-19.532</v>
          </cell>
          <cell r="BB47">
            <v>-18.420000000000002</v>
          </cell>
          <cell r="BC47">
            <v>-12.648999999999999</v>
          </cell>
          <cell r="BD47">
            <v>28.32</v>
          </cell>
          <cell r="BE47">
            <v>-9.8290000000000006</v>
          </cell>
          <cell r="BF47">
            <v>24.405000000000001</v>
          </cell>
          <cell r="BG47">
            <v>38.052999999999997</v>
          </cell>
          <cell r="BH47">
            <v>54.415999999999997</v>
          </cell>
          <cell r="BI47">
            <v>62.47</v>
          </cell>
          <cell r="BJ47">
            <v>-87.07</v>
          </cell>
          <cell r="BK47">
            <v>-87.07</v>
          </cell>
          <cell r="BL47">
            <v>-87.07</v>
          </cell>
          <cell r="BM47">
            <v>-87.07</v>
          </cell>
          <cell r="BN47">
            <v>-87.07</v>
          </cell>
          <cell r="BO47">
            <v>-87.07</v>
          </cell>
          <cell r="BP47">
            <v>-87.07</v>
          </cell>
          <cell r="BQ47">
            <v>-87.07</v>
          </cell>
          <cell r="BR47">
            <v>-87.07</v>
          </cell>
          <cell r="BS47">
            <v>-87.07</v>
          </cell>
          <cell r="BW47" t="str">
            <v>mstag:accumulatedOtherComprehensiveIncomeLossAndReserves</v>
          </cell>
          <cell r="BX47">
            <v>6</v>
          </cell>
          <cell r="BY47" t="str">
            <v>ISO4217:USD</v>
          </cell>
          <cell r="BZ47" t="b">
            <v>0</v>
          </cell>
          <cell r="CA47" t="b">
            <v>0</v>
          </cell>
        </row>
        <row r="48">
          <cell r="A48" t="str">
            <v xml:space="preserve">  Note Receivable</v>
          </cell>
          <cell r="C48">
            <v>-6.72</v>
          </cell>
          <cell r="D48">
            <v>-6.72</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AB48">
            <v>-6.72</v>
          </cell>
          <cell r="AC48">
            <v>-6.72</v>
          </cell>
          <cell r="AD48">
            <v>-6.72</v>
          </cell>
          <cell r="AE48">
            <v>-6.72</v>
          </cell>
          <cell r="AF48">
            <v>-6.72</v>
          </cell>
          <cell r="BW48" t="str">
            <v>mstag:otherEquityItems</v>
          </cell>
          <cell r="BX48">
            <v>6</v>
          </cell>
          <cell r="BY48" t="str">
            <v>ISO4217:USD</v>
          </cell>
          <cell r="BZ48" t="b">
            <v>0</v>
          </cell>
          <cell r="CA48" t="b">
            <v>0</v>
          </cell>
        </row>
        <row r="49">
          <cell r="A49" t="str">
            <v xml:space="preserve">  Treasury stock</v>
          </cell>
          <cell r="C49">
            <v>-4.34</v>
          </cell>
          <cell r="D49">
            <v>-4.3659999999999997</v>
          </cell>
          <cell r="E49">
            <v>-4.3659999999999997</v>
          </cell>
          <cell r="F49">
            <v>-80.950999999999993</v>
          </cell>
          <cell r="G49">
            <v>-404.09300000000002</v>
          </cell>
          <cell r="H49">
            <v>-2047.818</v>
          </cell>
          <cell r="I49">
            <v>-2746.4290000000001</v>
          </cell>
          <cell r="J49">
            <v>-2961.1770000000001</v>
          </cell>
          <cell r="K49">
            <v>-3381.9659999999999</v>
          </cell>
          <cell r="L49">
            <v>-3832.3400089047618</v>
          </cell>
          <cell r="M49">
            <v>-3894.0177566302013</v>
          </cell>
          <cell r="N49">
            <v>-3949.5528353869531</v>
          </cell>
          <cell r="O49">
            <v>-4008.6858752758862</v>
          </cell>
          <cell r="P49">
            <v>-4066.3775473175269</v>
          </cell>
          <cell r="Q49">
            <v>-4121.5143024544659</v>
          </cell>
          <cell r="R49">
            <v>-4172.7455374358724</v>
          </cell>
          <cell r="S49">
            <v>-4229.8683644401399</v>
          </cell>
          <cell r="T49">
            <v>-4293.5603165498987</v>
          </cell>
          <cell r="U49">
            <v>-4364.5768431522793</v>
          </cell>
          <cell r="V49">
            <v>-4443.7602703139337</v>
          </cell>
          <cell r="AB49">
            <v>-4.3659999999999997</v>
          </cell>
          <cell r="AC49">
            <v>-4.3659999999999997</v>
          </cell>
          <cell r="AD49">
            <v>-4.3659999999999997</v>
          </cell>
          <cell r="AE49">
            <v>-4.3659999999999997</v>
          </cell>
          <cell r="AF49">
            <v>-4.3659999999999997</v>
          </cell>
          <cell r="AG49">
            <v>-4.3659999999999997</v>
          </cell>
          <cell r="AH49">
            <v>-4.3659999999999997</v>
          </cell>
          <cell r="AI49">
            <v>-4.3659999999999997</v>
          </cell>
          <cell r="AJ49">
            <v>-4.3659999999999997</v>
          </cell>
          <cell r="AK49">
            <v>-4.3659999999999997</v>
          </cell>
          <cell r="AL49">
            <v>-4.3659999999999997</v>
          </cell>
          <cell r="AM49">
            <v>-80.950999999999993</v>
          </cell>
          <cell r="AN49">
            <v>-246.471</v>
          </cell>
          <cell r="AO49">
            <v>-362.75099999999998</v>
          </cell>
          <cell r="AP49">
            <v>-362.75099999999998</v>
          </cell>
          <cell r="AQ49">
            <v>-404.09300000000002</v>
          </cell>
          <cell r="AR49">
            <v>-909.22400000000005</v>
          </cell>
          <cell r="AS49">
            <v>-1323.4</v>
          </cell>
          <cell r="AT49">
            <v>-1662.7629999999999</v>
          </cell>
          <cell r="AU49">
            <v>-2047.818</v>
          </cell>
          <cell r="AV49">
            <v>-2219.9169999999999</v>
          </cell>
          <cell r="AW49">
            <v>-2335.223</v>
          </cell>
          <cell r="AX49">
            <v>-2666.9830000000002</v>
          </cell>
          <cell r="AY49">
            <v>-2746.4290000000001</v>
          </cell>
          <cell r="AZ49">
            <v>-2748.2649999999999</v>
          </cell>
          <cell r="BA49">
            <v>-2816.06</v>
          </cell>
          <cell r="BB49">
            <v>-2933.6120000000001</v>
          </cell>
          <cell r="BC49">
            <v>-2961.1770000000001</v>
          </cell>
          <cell r="BD49">
            <v>-3012.6930000000002</v>
          </cell>
          <cell r="BE49">
            <v>-3157.52</v>
          </cell>
          <cell r="BF49">
            <v>-3307.33</v>
          </cell>
          <cell r="BG49">
            <v>-3381.9659999999999</v>
          </cell>
          <cell r="BH49">
            <v>-3504.7049999999999</v>
          </cell>
          <cell r="BI49">
            <v>-3606.7150000000001</v>
          </cell>
          <cell r="BJ49">
            <v>-3775.087</v>
          </cell>
          <cell r="BK49">
            <v>-3832.3400089047618</v>
          </cell>
          <cell r="BL49">
            <v>-3847.0826586977382</v>
          </cell>
          <cell r="BM49">
            <v>-3862.2675879845037</v>
          </cell>
          <cell r="BN49">
            <v>-3877.9080651498721</v>
          </cell>
          <cell r="BO49">
            <v>-3894.0177566302013</v>
          </cell>
          <cell r="BP49">
            <v>-3907.2921424099927</v>
          </cell>
          <cell r="BQ49">
            <v>-3920.9647597631779</v>
          </cell>
          <cell r="BR49">
            <v>-3935.0475556369588</v>
          </cell>
          <cell r="BS49">
            <v>-3949.5528353869531</v>
          </cell>
          <cell r="BW49" t="str">
            <v>mstag:treasuryStockAndInvestmentInOwnShares</v>
          </cell>
          <cell r="BX49">
            <v>6</v>
          </cell>
          <cell r="BY49" t="str">
            <v>ISO4217:USD</v>
          </cell>
          <cell r="BZ49" t="b">
            <v>1</v>
          </cell>
          <cell r="CA49" t="b">
            <v>0</v>
          </cell>
        </row>
        <row r="50">
          <cell r="A50" t="str">
            <v xml:space="preserve">  Retained Earnings</v>
          </cell>
          <cell r="C50">
            <v>-1887.03</v>
          </cell>
          <cell r="D50">
            <v>-2291.8159999999998</v>
          </cell>
          <cell r="E50">
            <v>-2539.4029999999998</v>
          </cell>
          <cell r="F50">
            <v>-2761.404</v>
          </cell>
          <cell r="G50">
            <v>-2733.92</v>
          </cell>
          <cell r="H50">
            <v>-2703.373</v>
          </cell>
          <cell r="I50">
            <v>-2356.127</v>
          </cell>
          <cell r="J50">
            <v>-2109.5320000000002</v>
          </cell>
          <cell r="K50">
            <v>-1736.596</v>
          </cell>
          <cell r="L50">
            <v>-1538.9377801287392</v>
          </cell>
          <cell r="M50">
            <v>-974.92128980721952</v>
          </cell>
          <cell r="N50">
            <v>-230.11730570010761</v>
          </cell>
          <cell r="O50">
            <v>283.89083215105109</v>
          </cell>
          <cell r="P50">
            <v>527.9105949444737</v>
          </cell>
          <cell r="Q50">
            <v>787.36947010957181</v>
          </cell>
          <cell r="R50">
            <v>1060.0391713200777</v>
          </cell>
          <cell r="S50">
            <v>1343.6243922881361</v>
          </cell>
          <cell r="T50">
            <v>1635.8227298191757</v>
          </cell>
          <cell r="U50">
            <v>1934.0594764255488</v>
          </cell>
          <cell r="V50">
            <v>2236.074233219806</v>
          </cell>
          <cell r="AB50">
            <v>-1978.653</v>
          </cell>
          <cell r="AC50">
            <v>-2086.3679999999999</v>
          </cell>
          <cell r="AD50">
            <v>-2139.23</v>
          </cell>
          <cell r="AE50">
            <v>-2291.8159999999998</v>
          </cell>
          <cell r="AF50">
            <v>-2340.0540000000001</v>
          </cell>
          <cell r="AG50">
            <v>-2405.2510000000002</v>
          </cell>
          <cell r="AH50">
            <v>-2465.373</v>
          </cell>
          <cell r="AI50">
            <v>-2539.4029999999998</v>
          </cell>
          <cell r="AJ50">
            <v>-2570.9639999999999</v>
          </cell>
          <cell r="AK50">
            <v>-2602.7820000000002</v>
          </cell>
          <cell r="AL50">
            <v>-2623.652</v>
          </cell>
          <cell r="AM50">
            <v>-2761.404</v>
          </cell>
          <cell r="AN50">
            <v>-2763.3409999999999</v>
          </cell>
          <cell r="AO50">
            <v>-2755.6770000000001</v>
          </cell>
          <cell r="AP50">
            <v>-2752.2049999999999</v>
          </cell>
          <cell r="AQ50">
            <v>-2733.92</v>
          </cell>
          <cell r="AR50">
            <v>-2737.4609999999998</v>
          </cell>
          <cell r="AS50">
            <v>-2757.4520000000002</v>
          </cell>
          <cell r="AT50">
            <v>-2697.8240000000001</v>
          </cell>
          <cell r="AU50">
            <v>-2703.373</v>
          </cell>
          <cell r="AV50">
            <v>-2661.2179999999998</v>
          </cell>
          <cell r="AW50">
            <v>-2502.4319999999998</v>
          </cell>
          <cell r="AX50">
            <v>-2441.9659999999999</v>
          </cell>
          <cell r="AY50">
            <v>-2356.127</v>
          </cell>
          <cell r="AZ50">
            <v>-2297.5259999999998</v>
          </cell>
          <cell r="BA50">
            <v>-2241.2370000000001</v>
          </cell>
          <cell r="BB50">
            <v>-2173.8820000000001</v>
          </cell>
          <cell r="BC50">
            <v>-2109.5320000000002</v>
          </cell>
          <cell r="BD50">
            <v>-2013.2139999999999</v>
          </cell>
          <cell r="BE50">
            <v>-1913.549</v>
          </cell>
          <cell r="BF50">
            <v>-1820.11</v>
          </cell>
          <cell r="BG50">
            <v>-1736.596</v>
          </cell>
          <cell r="BH50">
            <v>-1644.7539999999999</v>
          </cell>
          <cell r="BI50">
            <v>-1529.5429999999999</v>
          </cell>
          <cell r="BJ50">
            <v>-1545.2439999999999</v>
          </cell>
          <cell r="BK50">
            <v>-1538.9377801287392</v>
          </cell>
          <cell r="BL50">
            <v>-1435.7403291453768</v>
          </cell>
          <cell r="BM50">
            <v>-1301.0689189647089</v>
          </cell>
          <cell r="BN50">
            <v>-1144.6026912694288</v>
          </cell>
          <cell r="BO50">
            <v>-974.92128980721952</v>
          </cell>
          <cell r="BP50">
            <v>-809.43393139044542</v>
          </cell>
          <cell r="BQ50">
            <v>-627.99162667820019</v>
          </cell>
          <cell r="BR50">
            <v>-433.91890646204047</v>
          </cell>
          <cell r="BS50">
            <v>-230.11730570010761</v>
          </cell>
          <cell r="BW50" t="str">
            <v>mstag:retainedEarnings</v>
          </cell>
          <cell r="BX50">
            <v>6</v>
          </cell>
          <cell r="BY50" t="str">
            <v>ISO4217:USD</v>
          </cell>
          <cell r="BZ50" t="b">
            <v>0</v>
          </cell>
          <cell r="CA50" t="b">
            <v>0</v>
          </cell>
        </row>
        <row r="51">
          <cell r="A51" t="str">
            <v xml:space="preserve">  Total Shareholders' Equity</v>
          </cell>
          <cell r="C51">
            <v>1740.3230000000001</v>
          </cell>
          <cell r="D51">
            <v>1610.1780000000003</v>
          </cell>
          <cell r="E51">
            <v>1470.9530000000004</v>
          </cell>
          <cell r="F51">
            <v>4541.8209999999999</v>
          </cell>
          <cell r="G51">
            <v>4384.9159999999993</v>
          </cell>
          <cell r="H51">
            <v>3022.0919999999992</v>
          </cell>
          <cell r="I51">
            <v>2991.3220000000006</v>
          </cell>
          <cell r="J51">
            <v>3315.0820000000012</v>
          </cell>
          <cell r="K51">
            <v>3501.4440000000009</v>
          </cell>
          <cell r="L51">
            <v>3236.7816192649143</v>
          </cell>
          <cell r="M51">
            <v>3827.5122897394217</v>
          </cell>
          <cell r="N51">
            <v>4595.8276536153062</v>
          </cell>
          <cell r="O51">
            <v>5118.2554508831836</v>
          </cell>
          <cell r="P51">
            <v>5364.9589984924287</v>
          </cell>
          <cell r="Q51">
            <v>5623.4138185688835</v>
          </cell>
          <cell r="R51">
            <v>5893.576954978912</v>
          </cell>
          <cell r="S51">
            <v>6164.1038859441469</v>
          </cell>
          <cell r="T51">
            <v>6432.6872836535995</v>
          </cell>
          <cell r="U51">
            <v>6696.6046459781755</v>
          </cell>
          <cell r="V51">
            <v>6953.3052355732734</v>
          </cell>
          <cell r="AB51">
            <v>1710.1410000000003</v>
          </cell>
          <cell r="AC51">
            <v>1685.8060000000005</v>
          </cell>
          <cell r="AD51">
            <v>1757.1730000000007</v>
          </cell>
          <cell r="AE51">
            <v>1610.1780000000003</v>
          </cell>
          <cell r="AF51">
            <v>1565.3240000000001</v>
          </cell>
          <cell r="AG51">
            <v>1538.7699999999995</v>
          </cell>
          <cell r="AH51">
            <v>1506.4209999999998</v>
          </cell>
          <cell r="AI51">
            <v>1470.9530000000004</v>
          </cell>
          <cell r="AJ51">
            <v>1452.3310000000001</v>
          </cell>
          <cell r="AK51">
            <v>1426.1889999999999</v>
          </cell>
          <cell r="AL51">
            <v>4638.4139999999998</v>
          </cell>
          <cell r="AM51">
            <v>4541.8209999999999</v>
          </cell>
          <cell r="AN51">
            <v>4428.0749999999989</v>
          </cell>
          <cell r="AO51">
            <v>4374.6550000000007</v>
          </cell>
          <cell r="AP51">
            <v>4384.1129999999994</v>
          </cell>
          <cell r="AQ51">
            <v>4384.9159999999993</v>
          </cell>
          <cell r="AR51">
            <v>3993.5179999999996</v>
          </cell>
          <cell r="AS51">
            <v>3636.7629999999999</v>
          </cell>
          <cell r="AT51">
            <v>3375.7049999999995</v>
          </cell>
          <cell r="AU51">
            <v>3022.0919999999992</v>
          </cell>
          <cell r="AV51">
            <v>2913.2670000000007</v>
          </cell>
          <cell r="AW51">
            <v>3024.5009999999993</v>
          </cell>
          <cell r="AX51">
            <v>2840.0419999999999</v>
          </cell>
          <cell r="AY51">
            <v>2991.3220000000006</v>
          </cell>
          <cell r="AZ51">
            <v>3078.92</v>
          </cell>
          <cell r="BA51">
            <v>3087.7809999999999</v>
          </cell>
          <cell r="BB51">
            <v>3231.8149999999991</v>
          </cell>
          <cell r="BC51">
            <v>3315.0820000000012</v>
          </cell>
          <cell r="BD51">
            <v>3454.9099999999989</v>
          </cell>
          <cell r="BE51">
            <v>3426.9989999999989</v>
          </cell>
          <cell r="BF51">
            <v>3450.6000000000013</v>
          </cell>
          <cell r="BG51">
            <v>3501.4440000000009</v>
          </cell>
          <cell r="BH51">
            <v>3499.1940000000004</v>
          </cell>
          <cell r="BI51">
            <v>3561.8629999999994</v>
          </cell>
          <cell r="BJ51">
            <v>3263.2900000000018</v>
          </cell>
          <cell r="BK51">
            <v>3236.7816192649143</v>
          </cell>
          <cell r="BL51">
            <v>3347.5224627437756</v>
          </cell>
          <cell r="BM51">
            <v>3490.1557058808967</v>
          </cell>
          <cell r="BN51">
            <v>3652.0127407821856</v>
          </cell>
          <cell r="BO51">
            <v>3827.5122897394217</v>
          </cell>
          <cell r="BP51">
            <v>3999.5724347268952</v>
          </cell>
          <cell r="BQ51">
            <v>4188.1196661125068</v>
          </cell>
          <cell r="BR51">
            <v>4386.8393191464074</v>
          </cell>
          <cell r="BS51">
            <v>4595.8276536153062</v>
          </cell>
        </row>
        <row r="53">
          <cell r="A53" t="str">
            <v>Total Liabilities and Equity</v>
          </cell>
          <cell r="C53">
            <v>5662.2029999999995</v>
          </cell>
          <cell r="D53">
            <v>5290.6540000000005</v>
          </cell>
          <cell r="E53">
            <v>5085.9720000000007</v>
          </cell>
          <cell r="F53">
            <v>8786.8539999999994</v>
          </cell>
          <cell r="G53">
            <v>8613.2189999999991</v>
          </cell>
          <cell r="H53">
            <v>8130.4569999999985</v>
          </cell>
          <cell r="I53">
            <v>8211.6650000000009</v>
          </cell>
          <cell r="J53">
            <v>8512.6680000000015</v>
          </cell>
          <cell r="K53">
            <v>10365.321</v>
          </cell>
          <cell r="L53">
            <v>11785.319902057065</v>
          </cell>
          <cell r="M53">
            <v>12690.096047708757</v>
          </cell>
          <cell r="N53">
            <v>13612.50241671153</v>
          </cell>
          <cell r="O53">
            <v>14245.393942993138</v>
          </cell>
          <cell r="P53">
            <v>14585.270640563751</v>
          </cell>
          <cell r="Q53">
            <v>14933.305275947405</v>
          </cell>
          <cell r="R53">
            <v>15283.239273751642</v>
          </cell>
          <cell r="S53">
            <v>15622.831398356157</v>
          </cell>
          <cell r="T53">
            <v>15949.643765819033</v>
          </cell>
          <cell r="U53">
            <v>16259.502275997007</v>
          </cell>
          <cell r="V53">
            <v>16551.20859210195</v>
          </cell>
          <cell r="AB53">
            <v>5722.8970000000008</v>
          </cell>
          <cell r="AC53">
            <v>5576.2520000000004</v>
          </cell>
          <cell r="AD53">
            <v>5590.3070000000007</v>
          </cell>
          <cell r="AE53">
            <v>5290.6540000000005</v>
          </cell>
          <cell r="AF53">
            <v>5153.9279999999999</v>
          </cell>
          <cell r="AG53">
            <v>5120.3950000000004</v>
          </cell>
          <cell r="AH53">
            <v>5021.21</v>
          </cell>
          <cell r="AI53">
            <v>5085.9720000000007</v>
          </cell>
          <cell r="AJ53">
            <v>4924.8999999999996</v>
          </cell>
          <cell r="AK53">
            <v>4825.6630000000005</v>
          </cell>
          <cell r="AL53">
            <v>8785.6589999999997</v>
          </cell>
          <cell r="AM53">
            <v>8786.8539999999994</v>
          </cell>
          <cell r="AN53">
            <v>8688.0519999999997</v>
          </cell>
          <cell r="AO53">
            <v>8607.6730000000007</v>
          </cell>
          <cell r="AP53">
            <v>8605.73</v>
          </cell>
          <cell r="AQ53">
            <v>8613.2189999999991</v>
          </cell>
          <cell r="AR53">
            <v>8319.9120000000003</v>
          </cell>
          <cell r="AS53">
            <v>8384.0910000000003</v>
          </cell>
          <cell r="AT53">
            <v>8203.4380000000001</v>
          </cell>
          <cell r="AU53">
            <v>8130.4569999999985</v>
          </cell>
          <cell r="AV53">
            <v>8192.2270000000026</v>
          </cell>
          <cell r="AW53">
            <v>8265.5399999999991</v>
          </cell>
          <cell r="AX53">
            <v>8129.9359999999997</v>
          </cell>
          <cell r="AY53">
            <v>8211.6650000000009</v>
          </cell>
          <cell r="AZ53">
            <v>8325.869999999999</v>
          </cell>
          <cell r="BA53">
            <v>8486.487000000001</v>
          </cell>
          <cell r="BB53">
            <v>8394.8239999999987</v>
          </cell>
          <cell r="BC53">
            <v>8512.6680000000015</v>
          </cell>
          <cell r="BD53">
            <v>8674.2509999999984</v>
          </cell>
          <cell r="BE53">
            <v>8585.9229999999989</v>
          </cell>
          <cell r="BF53">
            <v>9448.9780000000028</v>
          </cell>
          <cell r="BG53">
            <v>10365.321</v>
          </cell>
          <cell r="BH53">
            <v>10758.749</v>
          </cell>
          <cell r="BI53">
            <v>10973.784</v>
          </cell>
          <cell r="BJ53">
            <v>10895.336000000001</v>
          </cell>
          <cell r="BK53">
            <v>11785.319902057065</v>
          </cell>
          <cell r="BL53">
            <v>11914.523749726883</v>
          </cell>
          <cell r="BM53">
            <v>12199.185318785807</v>
          </cell>
          <cell r="BN53">
            <v>12448.399874031162</v>
          </cell>
          <cell r="BO53">
            <v>12690.096047708757</v>
          </cell>
          <cell r="BP53">
            <v>12852.125314894151</v>
          </cell>
          <cell r="BQ53">
            <v>13110.064587000379</v>
          </cell>
          <cell r="BR53">
            <v>13365.617942742989</v>
          </cell>
          <cell r="BS53">
            <v>13612.50241671153</v>
          </cell>
        </row>
        <row r="55">
          <cell r="A55" t="str">
            <v>CHECK</v>
          </cell>
          <cell r="C55">
            <v>0</v>
          </cell>
          <cell r="D55">
            <v>0</v>
          </cell>
          <cell r="E55">
            <v>0</v>
          </cell>
          <cell r="F55">
            <v>0</v>
          </cell>
          <cell r="G55">
            <v>0</v>
          </cell>
          <cell r="H55">
            <v>0</v>
          </cell>
          <cell r="I55">
            <v>0</v>
          </cell>
          <cell r="J55">
            <v>0</v>
          </cell>
          <cell r="K55">
            <v>0</v>
          </cell>
          <cell r="L55">
            <v>-2.9999999787833076E-4</v>
          </cell>
          <cell r="M55">
            <v>-2.9999999969732016E-4</v>
          </cell>
          <cell r="N55">
            <v>-3.0000000333529897E-4</v>
          </cell>
          <cell r="O55">
            <v>-3.0000000697327778E-4</v>
          </cell>
          <cell r="P55">
            <v>-3.0000000333529897E-4</v>
          </cell>
          <cell r="Q55">
            <v>-3.0000000333529897E-4</v>
          </cell>
          <cell r="R55">
            <v>-3.0000000333529897E-4</v>
          </cell>
          <cell r="S55">
            <v>-3.0000000333529897E-4</v>
          </cell>
          <cell r="T55">
            <v>-3.0000000333529897E-4</v>
          </cell>
          <cell r="U55">
            <v>-3.0000000333529897E-4</v>
          </cell>
          <cell r="V55">
            <v>-3.0000000333529897E-4</v>
          </cell>
          <cell r="AB55">
            <v>0</v>
          </cell>
          <cell r="AC55">
            <v>0</v>
          </cell>
          <cell r="AD55">
            <v>0</v>
          </cell>
          <cell r="AE55">
            <v>0</v>
          </cell>
          <cell r="AF55">
            <v>0</v>
          </cell>
          <cell r="AG55">
            <v>0</v>
          </cell>
          <cell r="AH55">
            <v>0</v>
          </cell>
          <cell r="AI55">
            <v>0</v>
          </cell>
          <cell r="AJ55">
            <v>0</v>
          </cell>
          <cell r="AK55">
            <v>0</v>
          </cell>
          <cell r="AL55">
            <v>0</v>
          </cell>
          <cell r="AM55">
            <v>0</v>
          </cell>
          <cell r="AN55">
            <v>0</v>
          </cell>
          <cell r="AO55">
            <v>-9.9999999838473741E-4</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-2.9999999969732016E-4</v>
          </cell>
          <cell r="BI55">
            <v>-2.9999999969732016E-4</v>
          </cell>
          <cell r="BJ55">
            <v>-2.9999999787833076E-4</v>
          </cell>
          <cell r="BK55">
            <v>-2.9999999787833076E-4</v>
          </cell>
          <cell r="BL55">
            <v>-2.9999999787833076E-4</v>
          </cell>
          <cell r="BM55">
            <v>-2.9999999787833076E-4</v>
          </cell>
          <cell r="BN55">
            <v>-2.9999999787833076E-4</v>
          </cell>
          <cell r="BO55">
            <v>-2.9999999969732016E-4</v>
          </cell>
          <cell r="BP55">
            <v>-2.9999999969732016E-4</v>
          </cell>
          <cell r="BQ55">
            <v>-2.9999999969732016E-4</v>
          </cell>
          <cell r="BR55">
            <v>-3.0000000151630957E-4</v>
          </cell>
          <cell r="BS55">
            <v>-3.0000000333529897E-4</v>
          </cell>
        </row>
        <row r="57">
          <cell r="A57" t="str">
            <v>Shareholders' Equity (beginning of period)</v>
          </cell>
          <cell r="D57">
            <v>1740.3230000000001</v>
          </cell>
          <cell r="E57">
            <v>1610.1780000000003</v>
          </cell>
          <cell r="F57">
            <v>1470.9530000000004</v>
          </cell>
          <cell r="G57">
            <v>4541.8209999999999</v>
          </cell>
          <cell r="H57">
            <v>4384.9159999999993</v>
          </cell>
          <cell r="I57">
            <v>3022.0919999999987</v>
          </cell>
          <cell r="J57">
            <v>2991.3220000000001</v>
          </cell>
          <cell r="K57">
            <v>3315.0820000000008</v>
          </cell>
          <cell r="L57">
            <v>3501.4440000000009</v>
          </cell>
          <cell r="M57">
            <v>3236.7816192649138</v>
          </cell>
          <cell r="N57">
            <v>3827.5122897394212</v>
          </cell>
          <cell r="O57">
            <v>4595.8276536153062</v>
          </cell>
          <cell r="P57">
            <v>5118.2554508831836</v>
          </cell>
          <cell r="Q57">
            <v>5364.9589984924287</v>
          </cell>
          <cell r="R57">
            <v>5623.4138185688835</v>
          </cell>
          <cell r="S57">
            <v>5893.576954978912</v>
          </cell>
          <cell r="T57">
            <v>6164.1038859441469</v>
          </cell>
          <cell r="U57">
            <v>6432.6872836535995</v>
          </cell>
          <cell r="V57">
            <v>6696.6046459781746</v>
          </cell>
          <cell r="AC57">
            <v>1710.1410000000003</v>
          </cell>
          <cell r="AD57">
            <v>1685.8060000000005</v>
          </cell>
          <cell r="AE57">
            <v>1757.1730000000005</v>
          </cell>
          <cell r="AF57">
            <v>1610.1780000000001</v>
          </cell>
          <cell r="AG57">
            <v>1565.3239999999998</v>
          </cell>
          <cell r="AH57">
            <v>1538.7699999999993</v>
          </cell>
          <cell r="AI57">
            <v>1506.4209999999996</v>
          </cell>
          <cell r="AJ57">
            <v>1470.9530000000002</v>
          </cell>
          <cell r="AK57">
            <v>1452.3309999999999</v>
          </cell>
          <cell r="AL57">
            <v>1426.1889999999996</v>
          </cell>
          <cell r="AM57">
            <v>4638.4139999999989</v>
          </cell>
          <cell r="AN57">
            <v>4541.820999999999</v>
          </cell>
          <cell r="AO57">
            <v>4428.0749999999971</v>
          </cell>
          <cell r="AP57">
            <v>4374.6549999999997</v>
          </cell>
          <cell r="AQ57">
            <v>4384.1129999999985</v>
          </cell>
          <cell r="AR57">
            <v>4384.9159999999983</v>
          </cell>
          <cell r="AS57">
            <v>3993.5179999999982</v>
          </cell>
          <cell r="AT57">
            <v>3636.7629999999981</v>
          </cell>
          <cell r="AU57">
            <v>3375.7049999999981</v>
          </cell>
          <cell r="AV57">
            <v>3022.0919999999978</v>
          </cell>
          <cell r="AW57">
            <v>2913.2669999999994</v>
          </cell>
          <cell r="AX57">
            <v>3024.5009999999984</v>
          </cell>
          <cell r="AY57">
            <v>2840.041999999999</v>
          </cell>
          <cell r="AZ57">
            <v>2991.3220000000001</v>
          </cell>
          <cell r="BA57">
            <v>3078.92</v>
          </cell>
          <cell r="BB57">
            <v>3087.7809999999999</v>
          </cell>
          <cell r="BC57">
            <v>3231.8149999999991</v>
          </cell>
          <cell r="BD57">
            <v>3315.0820000000017</v>
          </cell>
          <cell r="BE57">
            <v>3454.9099999999994</v>
          </cell>
          <cell r="BF57">
            <v>3426.9989999999993</v>
          </cell>
          <cell r="BG57">
            <v>3450.6000000000017</v>
          </cell>
          <cell r="BH57">
            <v>3501.4440000000013</v>
          </cell>
          <cell r="BI57">
            <v>3499.1940000000004</v>
          </cell>
          <cell r="BJ57">
            <v>3561.8629999999994</v>
          </cell>
          <cell r="BK57">
            <v>3263.2900000000018</v>
          </cell>
          <cell r="BL57">
            <v>3236.7816192649143</v>
          </cell>
          <cell r="BM57">
            <v>3347.522462743776</v>
          </cell>
          <cell r="BN57">
            <v>3490.1557058808976</v>
          </cell>
          <cell r="BO57">
            <v>3652.0127407821869</v>
          </cell>
          <cell r="BP57">
            <v>3827.5122897394226</v>
          </cell>
          <cell r="BQ57">
            <v>3999.5724347268956</v>
          </cell>
          <cell r="BR57">
            <v>4188.1196661125077</v>
          </cell>
          <cell r="BS57">
            <v>4386.8393191464074</v>
          </cell>
        </row>
        <row r="58">
          <cell r="A58" t="str">
            <v xml:space="preserve"> + Net income (less preferred dividends)</v>
          </cell>
          <cell r="D58">
            <v>-321.61800000000005</v>
          </cell>
          <cell r="E58">
            <v>-245.22099999999986</v>
          </cell>
          <cell r="F58">
            <v>-180.78400000000011</v>
          </cell>
          <cell r="G58">
            <v>28.268000000000004</v>
          </cell>
          <cell r="H58">
            <v>56.653999999999783</v>
          </cell>
          <cell r="I58">
            <v>347.41499999999985</v>
          </cell>
          <cell r="J58">
            <v>247.12700000000015</v>
          </cell>
          <cell r="K58">
            <v>373.60599999999999</v>
          </cell>
          <cell r="L58">
            <v>296.54181987126117</v>
          </cell>
          <cell r="M58">
            <v>806.59084157187601</v>
          </cell>
          <cell r="N58">
            <v>997.39192230143715</v>
          </cell>
          <cell r="O58">
            <v>1105.71089616122</v>
          </cell>
          <cell r="P58">
            <v>1192.985506990065</v>
          </cell>
          <cell r="Q58">
            <v>1268.4656119182575</v>
          </cell>
          <cell r="R58">
            <v>1333.0518725846941</v>
          </cell>
          <cell r="S58">
            <v>1386.4166358438388</v>
          </cell>
          <cell r="T58">
            <v>1428.5252057073035</v>
          </cell>
          <cell r="U58">
            <v>1458.0463167422679</v>
          </cell>
          <cell r="V58">
            <v>1476.5165887719231</v>
          </cell>
          <cell r="AC58">
            <v>-112.33799999999999</v>
          </cell>
          <cell r="AD58">
            <v>-57.383999999999986</v>
          </cell>
          <cell r="AE58">
            <v>-55.459000000000017</v>
          </cell>
          <cell r="AF58">
            <v>-46.815000000000005</v>
          </cell>
          <cell r="AG58">
            <v>-64.706999999999994</v>
          </cell>
          <cell r="AH58">
            <v>-59.85100000000002</v>
          </cell>
          <cell r="AI58">
            <v>-73.847999999999985</v>
          </cell>
          <cell r="AJ58">
            <v>-32.324000000000019</v>
          </cell>
          <cell r="AK58">
            <v>-36.094999999999999</v>
          </cell>
          <cell r="AL58">
            <v>-21.951999999999995</v>
          </cell>
          <cell r="AM58">
            <v>-90.412999999999997</v>
          </cell>
          <cell r="AN58">
            <v>-1.6799999999999966</v>
          </cell>
          <cell r="AO58">
            <v>7.9439999999999937</v>
          </cell>
          <cell r="AP58">
            <v>3.5320000000000333</v>
          </cell>
          <cell r="AQ58">
            <v>18.471999999999987</v>
          </cell>
          <cell r="AR58">
            <v>22.315999999999946</v>
          </cell>
          <cell r="AS58">
            <v>-19.895000000000017</v>
          </cell>
          <cell r="AT58">
            <v>59.70799999999997</v>
          </cell>
          <cell r="AU58">
            <v>-5.4749999999999863</v>
          </cell>
          <cell r="AV58">
            <v>42.228000000000051</v>
          </cell>
          <cell r="AW58">
            <v>158.88400000000001</v>
          </cell>
          <cell r="AX58">
            <v>60.561000000000021</v>
          </cell>
          <cell r="AY58">
            <v>85.74199999999999</v>
          </cell>
          <cell r="AZ58">
            <v>58.759000000000015</v>
          </cell>
          <cell r="BA58">
            <v>56.487999999999978</v>
          </cell>
          <cell r="BB58">
            <v>67.577999999999903</v>
          </cell>
          <cell r="BC58">
            <v>64.301999999999992</v>
          </cell>
          <cell r="BD58">
            <v>96.483000000000033</v>
          </cell>
          <cell r="BE58">
            <v>99.818999999999974</v>
          </cell>
          <cell r="BF58">
            <v>93.600999999999999</v>
          </cell>
          <cell r="BG58">
            <v>83.703000000000046</v>
          </cell>
          <cell r="BH58">
            <v>91.961299999999994</v>
          </cell>
          <cell r="BI58">
            <v>113.17100000000001</v>
          </cell>
          <cell r="BJ58">
            <v>-19.725999999999988</v>
          </cell>
          <cell r="BK58">
            <v>111.13551987126066</v>
          </cell>
          <cell r="BL58">
            <v>165.43731591866145</v>
          </cell>
          <cell r="BM58">
            <v>196.65267199437662</v>
          </cell>
          <cell r="BN58">
            <v>216.5251131769262</v>
          </cell>
          <cell r="BO58">
            <v>227.97574048191163</v>
          </cell>
          <cell r="BP58">
            <v>229.6279744820074</v>
          </cell>
          <cell r="BQ58">
            <v>245.20371192653238</v>
          </cell>
          <cell r="BR58">
            <v>258.60129883455858</v>
          </cell>
          <cell r="BS58">
            <v>263.95893705833851</v>
          </cell>
        </row>
        <row r="59">
          <cell r="A59" t="str">
            <v xml:space="preserve"> + Change in AOCI</v>
          </cell>
          <cell r="D59">
            <v>5.5640000000000001</v>
          </cell>
          <cell r="E59">
            <v>0</v>
          </cell>
          <cell r="F59">
            <v>-3.3</v>
          </cell>
          <cell r="G59">
            <v>19.379000000000001</v>
          </cell>
          <cell r="H59">
            <v>-19.705000000000002</v>
          </cell>
          <cell r="I59">
            <v>-16.404999999999998</v>
          </cell>
          <cell r="J59">
            <v>7.3819999999999997</v>
          </cell>
          <cell r="K59">
            <v>50.701999999999998</v>
          </cell>
          <cell r="L59">
            <v>-125.12299999999999</v>
          </cell>
          <cell r="M59">
            <v>0</v>
          </cell>
          <cell r="N59">
            <v>0</v>
          </cell>
          <cell r="O59">
            <v>0</v>
          </cell>
          <cell r="P59">
            <v>0</v>
          </cell>
          <cell r="Q59">
            <v>0</v>
          </cell>
          <cell r="R59">
            <v>0</v>
          </cell>
          <cell r="S59">
            <v>0</v>
          </cell>
          <cell r="T59">
            <v>0</v>
          </cell>
          <cell r="U59">
            <v>0</v>
          </cell>
          <cell r="V59">
            <v>0</v>
          </cell>
          <cell r="AC59">
            <v>1.3969999999999998</v>
          </cell>
          <cell r="AD59">
            <v>0.60799999999999998</v>
          </cell>
          <cell r="AE59">
            <v>0.372</v>
          </cell>
          <cell r="AF59">
            <v>0</v>
          </cell>
          <cell r="AG59">
            <v>0</v>
          </cell>
          <cell r="AH59">
            <v>0</v>
          </cell>
          <cell r="AI59">
            <v>0</v>
          </cell>
          <cell r="AJ59">
            <v>0</v>
          </cell>
          <cell r="AK59">
            <v>0</v>
          </cell>
          <cell r="AL59">
            <v>-3.661</v>
          </cell>
          <cell r="AM59">
            <v>0.36100000000000021</v>
          </cell>
          <cell r="AN59">
            <v>8.9239999999999995</v>
          </cell>
          <cell r="AO59">
            <v>4.8419999999999996</v>
          </cell>
          <cell r="AP59">
            <v>-7.3919999999999995</v>
          </cell>
          <cell r="AQ59">
            <v>13.005000000000001</v>
          </cell>
          <cell r="AR59">
            <v>-8.2240000000000002</v>
          </cell>
          <cell r="AS59">
            <v>-4.6660000000000004</v>
          </cell>
          <cell r="AT59">
            <v>-6.0419999999999998</v>
          </cell>
          <cell r="AU59">
            <v>-0.77299999999999969</v>
          </cell>
          <cell r="AV59">
            <v>-7.511000000000001</v>
          </cell>
          <cell r="AW59">
            <v>11.943000000000001</v>
          </cell>
          <cell r="AX59">
            <v>-1.833</v>
          </cell>
          <cell r="AY59">
            <v>-19.003999999999998</v>
          </cell>
          <cell r="AZ59">
            <v>0.13499999999999801</v>
          </cell>
          <cell r="BA59">
            <v>0.36400000000000077</v>
          </cell>
          <cell r="BB59">
            <v>1.1119999999999983</v>
          </cell>
          <cell r="BC59">
            <v>5.7710000000000026</v>
          </cell>
          <cell r="BD59">
            <v>40.969000000000001</v>
          </cell>
          <cell r="BE59">
            <v>-38.149000000000001</v>
          </cell>
          <cell r="BF59">
            <v>34.234000000000002</v>
          </cell>
          <cell r="BG59">
            <v>13.647999999999996</v>
          </cell>
          <cell r="BH59">
            <v>16.363</v>
          </cell>
          <cell r="BI59">
            <v>8.054000000000002</v>
          </cell>
          <cell r="BJ59">
            <v>-149.54</v>
          </cell>
          <cell r="BK59">
            <v>0</v>
          </cell>
          <cell r="BL59">
            <v>0</v>
          </cell>
          <cell r="BM59">
            <v>0</v>
          </cell>
          <cell r="BN59">
            <v>0</v>
          </cell>
          <cell r="BO59">
            <v>0</v>
          </cell>
          <cell r="BP59">
            <v>0</v>
          </cell>
          <cell r="BQ59">
            <v>0</v>
          </cell>
          <cell r="BR59">
            <v>0</v>
          </cell>
          <cell r="BS59">
            <v>0</v>
          </cell>
        </row>
        <row r="60">
          <cell r="A60" t="str">
            <v xml:space="preserve"> - Dividends</v>
          </cell>
          <cell r="B60">
            <v>0</v>
          </cell>
          <cell r="D60">
            <v>0</v>
          </cell>
          <cell r="E60">
            <v>0</v>
          </cell>
          <cell r="F60">
            <v>0</v>
          </cell>
          <cell r="G60">
            <v>0</v>
          </cell>
          <cell r="H60">
            <v>0</v>
          </cell>
          <cell r="I60">
            <v>0</v>
          </cell>
          <cell r="J60">
            <v>0</v>
          </cell>
          <cell r="K60">
            <v>0</v>
          </cell>
          <cell r="L60">
            <v>-138</v>
          </cell>
          <cell r="M60">
            <v>-331.60635125035571</v>
          </cell>
          <cell r="N60">
            <v>-360.37993819432472</v>
          </cell>
          <cell r="O60">
            <v>-622.54275831006134</v>
          </cell>
          <cell r="P60">
            <v>-948.9657441966425</v>
          </cell>
          <cell r="Q60">
            <v>-1009.0067367531593</v>
          </cell>
          <cell r="R60">
            <v>-1060.3821713741884</v>
          </cell>
          <cell r="S60">
            <v>-1102.8314148757806</v>
          </cell>
          <cell r="T60">
            <v>-1136.326868176264</v>
          </cell>
          <cell r="U60">
            <v>-1159.8095701358948</v>
          </cell>
          <cell r="V60">
            <v>-1174.5018319776661</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-138</v>
          </cell>
          <cell r="BL60">
            <v>-81.597864935298873</v>
          </cell>
          <cell r="BM60">
            <v>-83.428261813708644</v>
          </cell>
          <cell r="BN60">
            <v>-82.235885481645823</v>
          </cell>
          <cell r="BO60">
            <v>-84.344339019702403</v>
          </cell>
          <cell r="BP60">
            <v>-89.658616065233161</v>
          </cell>
          <cell r="BQ60">
            <v>-90.048407214287124</v>
          </cell>
          <cell r="BR60">
            <v>-90.705578618398846</v>
          </cell>
          <cell r="BS60">
            <v>-89.967336296405648</v>
          </cell>
          <cell r="BW60" t="str">
            <v>mstag:commonDividends</v>
          </cell>
          <cell r="BX60">
            <v>6</v>
          </cell>
          <cell r="BY60" t="str">
            <v>ISO4217:USD</v>
          </cell>
          <cell r="BZ60" t="b">
            <v>1</v>
          </cell>
          <cell r="CA60" t="b">
            <v>0</v>
          </cell>
        </row>
        <row r="61">
          <cell r="A61" t="str">
            <v xml:space="preserve"> + Net Share Issuance</v>
          </cell>
          <cell r="D61">
            <v>126.84699999999999</v>
          </cell>
          <cell r="E61">
            <v>40.555999999999997</v>
          </cell>
          <cell r="F61">
            <v>-3.5700000000000074</v>
          </cell>
          <cell r="G61">
            <v>-265.916</v>
          </cell>
          <cell r="H61">
            <v>-1518.7339999999999</v>
          </cell>
          <cell r="I61">
            <v>-631.72699999999998</v>
          </cell>
          <cell r="J61">
            <v>-147.315</v>
          </cell>
          <cell r="K61">
            <v>-292.11</v>
          </cell>
          <cell r="L61">
            <v>-362.98660060634796</v>
          </cell>
          <cell r="M61">
            <v>26.714180152987865</v>
          </cell>
          <cell r="N61">
            <v>23.511379768772713</v>
          </cell>
          <cell r="O61">
            <v>23.511379768772713</v>
          </cell>
          <cell r="P61">
            <v>2.6837848158220368</v>
          </cell>
          <cell r="Q61">
            <v>-1.0040550886433266</v>
          </cell>
          <cell r="R61">
            <v>-2.506564800477463</v>
          </cell>
          <cell r="S61">
            <v>-13.058290002823014</v>
          </cell>
          <cell r="T61">
            <v>-23.614939821587541</v>
          </cell>
          <cell r="U61">
            <v>-34.319384281797284</v>
          </cell>
          <cell r="V61">
            <v>-45.314167199158874</v>
          </cell>
          <cell r="AC61">
            <v>0</v>
          </cell>
          <cell r="AD61">
            <v>125.205</v>
          </cell>
          <cell r="AE61">
            <v>1.6419999999999959</v>
          </cell>
          <cell r="AF61">
            <v>4.2709999999999999</v>
          </cell>
          <cell r="AG61">
            <v>4.5089999999999995</v>
          </cell>
          <cell r="AH61">
            <v>14.68</v>
          </cell>
          <cell r="AI61">
            <v>17.095999999999997</v>
          </cell>
          <cell r="AJ61">
            <v>7.5</v>
          </cell>
          <cell r="AK61">
            <v>3.2669999999999995</v>
          </cell>
          <cell r="AL61">
            <v>35.269999999999996</v>
          </cell>
          <cell r="AM61">
            <v>-49.606999999999999</v>
          </cell>
          <cell r="AN61">
            <v>-146.501</v>
          </cell>
          <cell r="AO61">
            <v>-107.59599999999999</v>
          </cell>
          <cell r="AP61">
            <v>3.4179999999999993</v>
          </cell>
          <cell r="AQ61">
            <v>-15.236999999999995</v>
          </cell>
          <cell r="AR61">
            <v>-452.16800000000001</v>
          </cell>
          <cell r="AS61">
            <v>-359.20600000000002</v>
          </cell>
          <cell r="AT61">
            <v>-330.91300000000007</v>
          </cell>
          <cell r="AU61">
            <v>-376.44699999999989</v>
          </cell>
          <cell r="AV61">
            <v>-171.10599999999999</v>
          </cell>
          <cell r="AW61">
            <v>-85.083999999999975</v>
          </cell>
          <cell r="AX61">
            <v>-299.80100000000004</v>
          </cell>
          <cell r="AY61">
            <v>-75.735999999999962</v>
          </cell>
          <cell r="AZ61">
            <v>4.2370000000000001</v>
          </cell>
          <cell r="BA61">
            <v>-53.881</v>
          </cell>
          <cell r="BB61">
            <v>-104.03899999999999</v>
          </cell>
          <cell r="BC61">
            <v>6.3679999999999737</v>
          </cell>
          <cell r="BD61">
            <v>-11.366999999999997</v>
          </cell>
          <cell r="BE61">
            <v>-99.085000000000008</v>
          </cell>
          <cell r="BF61">
            <v>-117.65799999999999</v>
          </cell>
          <cell r="BG61">
            <v>-64</v>
          </cell>
          <cell r="BH61">
            <v>-117.55</v>
          </cell>
          <cell r="BI61">
            <v>-73.805000000000007</v>
          </cell>
          <cell r="BJ61">
            <v>-138.81699999999998</v>
          </cell>
          <cell r="BK61">
            <v>-32.814600606347994</v>
          </cell>
          <cell r="BL61">
            <v>7.5433924954986651</v>
          </cell>
          <cell r="BM61">
            <v>7.9618329564536907</v>
          </cell>
          <cell r="BN61">
            <v>5.3908072060085033</v>
          </cell>
          <cell r="BO61">
            <v>5.8181474950270058</v>
          </cell>
          <cell r="BP61">
            <v>6.5727865706994635</v>
          </cell>
          <cell r="BQ61">
            <v>7.104926673366208</v>
          </cell>
          <cell r="BR61">
            <v>4.6469328177408897</v>
          </cell>
          <cell r="BS61">
            <v>5.1867337069661517</v>
          </cell>
          <cell r="BW61" t="str">
            <v>mstag:netIssuanceRepurchaseOfCommonStock</v>
          </cell>
          <cell r="BX61">
            <v>6</v>
          </cell>
          <cell r="BY61" t="str">
            <v>ISO4217:USD</v>
          </cell>
          <cell r="BZ61" t="b">
            <v>0</v>
          </cell>
          <cell r="CA61" t="b">
            <v>0</v>
          </cell>
        </row>
        <row r="62">
          <cell r="A62" t="str">
            <v xml:space="preserve"> + Other</v>
          </cell>
          <cell r="D62">
            <v>59.062000000000296</v>
          </cell>
          <cell r="E62">
            <v>65.439999999999941</v>
          </cell>
          <cell r="F62">
            <v>3258.5219999999995</v>
          </cell>
          <cell r="G62">
            <v>61.363999999999351</v>
          </cell>
          <cell r="H62">
            <v>118.96100000000001</v>
          </cell>
          <cell r="I62">
            <v>269.94700000000148</v>
          </cell>
          <cell r="J62">
            <v>216.56600000000051</v>
          </cell>
          <cell r="K62">
            <v>54.163999999999646</v>
          </cell>
          <cell r="L62">
            <v>64.905400000000213</v>
          </cell>
          <cell r="M62">
            <v>89.031999999999243</v>
          </cell>
          <cell r="N62">
            <v>107.79199999999935</v>
          </cell>
          <cell r="O62">
            <v>15.748279647945992</v>
          </cell>
          <cell r="P62">
            <v>5.6843418860808015E-13</v>
          </cell>
          <cell r="Q62">
            <v>0</v>
          </cell>
          <cell r="R62">
            <v>0</v>
          </cell>
          <cell r="S62">
            <v>0</v>
          </cell>
          <cell r="T62">
            <v>6.8212102632969618E-13</v>
          </cell>
          <cell r="U62">
            <v>0</v>
          </cell>
          <cell r="V62">
            <v>0</v>
          </cell>
          <cell r="AC62">
            <v>86.606000000000179</v>
          </cell>
          <cell r="AD62">
            <v>2.9380000000001871</v>
          </cell>
          <cell r="AE62">
            <v>-93.550000000000324</v>
          </cell>
          <cell r="AF62">
            <v>-2.3100000000002652</v>
          </cell>
          <cell r="AG62">
            <v>33.643999999999451</v>
          </cell>
          <cell r="AH62">
            <v>12.822000000000315</v>
          </cell>
          <cell r="AI62">
            <v>21.284000000000596</v>
          </cell>
          <cell r="AJ62">
            <v>6.2019999999997211</v>
          </cell>
          <cell r="AK62">
            <v>6.6859999999997228</v>
          </cell>
          <cell r="AL62">
            <v>3202.5679999999998</v>
          </cell>
          <cell r="AM62">
            <v>43.066000000000145</v>
          </cell>
          <cell r="AN62">
            <v>25.510999999999001</v>
          </cell>
          <cell r="AO62">
            <v>41.390000000001749</v>
          </cell>
          <cell r="AP62">
            <v>9.8999999999986859</v>
          </cell>
          <cell r="AQ62">
            <v>-15.437000000000111</v>
          </cell>
          <cell r="AR62">
            <v>46.678000000000395</v>
          </cell>
          <cell r="AS62">
            <v>27.012000000000398</v>
          </cell>
          <cell r="AT62">
            <v>16.188999999999623</v>
          </cell>
          <cell r="AU62">
            <v>29.081999999999596</v>
          </cell>
          <cell r="AV62">
            <v>27.564000000001499</v>
          </cell>
          <cell r="AW62">
            <v>25.490999999998508</v>
          </cell>
          <cell r="AX62">
            <v>56.614000000000658</v>
          </cell>
          <cell r="AY62">
            <v>160.27800000000062</v>
          </cell>
          <cell r="AZ62">
            <v>24.466999999999487</v>
          </cell>
          <cell r="BA62">
            <v>5.8899999999999011</v>
          </cell>
          <cell r="BB62">
            <v>179.3829999999993</v>
          </cell>
          <cell r="BC62">
            <v>6.826000000002125</v>
          </cell>
          <cell r="BD62">
            <v>13.742999999997664</v>
          </cell>
          <cell r="BE62">
            <v>9.5039999999999765</v>
          </cell>
          <cell r="BF62">
            <v>13.424000000002366</v>
          </cell>
          <cell r="BG62">
            <v>17.492999999999554</v>
          </cell>
          <cell r="BH62">
            <v>6.9756999999995486</v>
          </cell>
          <cell r="BI62">
            <v>15.248999999998958</v>
          </cell>
          <cell r="BJ62">
            <v>9.5100000000023783</v>
          </cell>
          <cell r="BK62">
            <v>33.170699999999854</v>
          </cell>
          <cell r="BL62">
            <v>19.358000000000033</v>
          </cell>
          <cell r="BM62">
            <v>21.446999999999434</v>
          </cell>
          <cell r="BN62">
            <v>22.177000000000021</v>
          </cell>
          <cell r="BO62">
            <v>26.049999999999898</v>
          </cell>
          <cell r="BP62">
            <v>25.517999999999745</v>
          </cell>
          <cell r="BQ62">
            <v>26.287000000000205</v>
          </cell>
          <cell r="BR62">
            <v>26.176999999999992</v>
          </cell>
          <cell r="BS62">
            <v>29.809999999999746</v>
          </cell>
          <cell r="BW62" t="str">
            <v>mstag:netIssuanceRepurchaseOfCommonStock</v>
          </cell>
          <cell r="BX62">
            <v>6</v>
          </cell>
          <cell r="BY62" t="str">
            <v>ISO4217:USD</v>
          </cell>
          <cell r="BZ62" t="b">
            <v>0</v>
          </cell>
          <cell r="CA62" t="b">
            <v>0</v>
          </cell>
        </row>
        <row r="63">
          <cell r="A63" t="str">
            <v>Shareholders' Equity (end of period)</v>
          </cell>
          <cell r="C63">
            <v>1740.3230000000001</v>
          </cell>
          <cell r="D63">
            <v>1610.1780000000003</v>
          </cell>
          <cell r="E63">
            <v>1470.9530000000004</v>
          </cell>
          <cell r="F63">
            <v>4541.8209999999999</v>
          </cell>
          <cell r="G63">
            <v>4384.9159999999993</v>
          </cell>
          <cell r="H63">
            <v>3022.0919999999987</v>
          </cell>
          <cell r="I63">
            <v>2991.3220000000001</v>
          </cell>
          <cell r="J63">
            <v>3315.0820000000008</v>
          </cell>
          <cell r="K63">
            <v>3501.4440000000009</v>
          </cell>
          <cell r="L63">
            <v>3236.7816192649138</v>
          </cell>
          <cell r="M63">
            <v>3827.5122897394212</v>
          </cell>
          <cell r="N63">
            <v>4595.8276536153062</v>
          </cell>
          <cell r="O63">
            <v>5118.2554508831836</v>
          </cell>
          <cell r="P63">
            <v>5364.9589984924287</v>
          </cell>
          <cell r="Q63">
            <v>5623.4138185688835</v>
          </cell>
          <cell r="R63">
            <v>5893.576954978912</v>
          </cell>
          <cell r="S63">
            <v>6164.1038859441469</v>
          </cell>
          <cell r="T63">
            <v>6432.6872836535995</v>
          </cell>
          <cell r="U63">
            <v>6696.6046459781746</v>
          </cell>
          <cell r="V63">
            <v>6953.3052355732725</v>
          </cell>
          <cell r="AC63">
            <v>1685.8060000000005</v>
          </cell>
          <cell r="AD63">
            <v>1757.1730000000005</v>
          </cell>
          <cell r="AE63">
            <v>1610.1780000000001</v>
          </cell>
          <cell r="AF63">
            <v>1565.3239999999998</v>
          </cell>
          <cell r="AG63">
            <v>1538.7699999999993</v>
          </cell>
          <cell r="AH63">
            <v>1506.4209999999996</v>
          </cell>
          <cell r="AI63">
            <v>1470.9530000000002</v>
          </cell>
          <cell r="AJ63">
            <v>1452.3309999999999</v>
          </cell>
          <cell r="AK63">
            <v>1426.1889999999996</v>
          </cell>
          <cell r="AL63">
            <v>4638.4139999999989</v>
          </cell>
          <cell r="AM63">
            <v>4541.820999999999</v>
          </cell>
          <cell r="AN63">
            <v>4428.0749999999971</v>
          </cell>
          <cell r="AO63">
            <v>4374.6549999999997</v>
          </cell>
          <cell r="AP63">
            <v>4384.1129999999985</v>
          </cell>
          <cell r="AQ63">
            <v>4384.9159999999983</v>
          </cell>
          <cell r="AR63">
            <v>3993.5179999999982</v>
          </cell>
          <cell r="AS63">
            <v>3636.7629999999981</v>
          </cell>
          <cell r="AT63">
            <v>3375.7049999999981</v>
          </cell>
          <cell r="AU63">
            <v>3022.0919999999978</v>
          </cell>
          <cell r="AV63">
            <v>2913.2669999999994</v>
          </cell>
          <cell r="AW63">
            <v>3024.5009999999984</v>
          </cell>
          <cell r="AX63">
            <v>2840.041999999999</v>
          </cell>
          <cell r="AY63">
            <v>2991.3220000000001</v>
          </cell>
          <cell r="AZ63">
            <v>3078.92</v>
          </cell>
          <cell r="BA63">
            <v>3087.7809999999999</v>
          </cell>
          <cell r="BB63">
            <v>3231.8149999999991</v>
          </cell>
          <cell r="BC63">
            <v>3315.0820000000017</v>
          </cell>
          <cell r="BD63">
            <v>3454.9099999999994</v>
          </cell>
          <cell r="BE63">
            <v>3426.9989999999993</v>
          </cell>
          <cell r="BF63">
            <v>3450.6000000000017</v>
          </cell>
          <cell r="BG63">
            <v>3501.4440000000013</v>
          </cell>
          <cell r="BH63">
            <v>3499.1940000000004</v>
          </cell>
          <cell r="BI63">
            <v>3561.8629999999994</v>
          </cell>
          <cell r="BJ63">
            <v>3263.2900000000018</v>
          </cell>
          <cell r="BK63">
            <v>3236.7816192649143</v>
          </cell>
          <cell r="BL63">
            <v>3347.522462743776</v>
          </cell>
          <cell r="BM63">
            <v>3490.1557058808976</v>
          </cell>
          <cell r="BN63">
            <v>3652.0127407821869</v>
          </cell>
          <cell r="BO63">
            <v>3827.5122897394226</v>
          </cell>
          <cell r="BP63">
            <v>3999.5724347268956</v>
          </cell>
          <cell r="BQ63">
            <v>4188.1196661125077</v>
          </cell>
          <cell r="BR63">
            <v>4386.8393191464074</v>
          </cell>
          <cell r="BS63">
            <v>4595.8276536153053</v>
          </cell>
        </row>
        <row r="64">
          <cell r="A64" t="str">
            <v>CHECK</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row>
        <row r="67">
          <cell r="A67" t="str">
            <v>Net Operating Assets (EOP)</v>
          </cell>
          <cell r="J67">
            <v>7224.8010000000022</v>
          </cell>
          <cell r="K67">
            <v>8085.5830000000024</v>
          </cell>
          <cell r="L67">
            <v>9884.778861136745</v>
          </cell>
          <cell r="M67">
            <v>10050.082166980701</v>
          </cell>
          <cell r="N67">
            <v>9854.2211358113491</v>
          </cell>
          <cell r="O67">
            <v>9670.2918779366883</v>
          </cell>
          <cell r="P67">
            <v>9503.3216958167795</v>
          </cell>
          <cell r="Q67">
            <v>9324.695321316678</v>
          </cell>
          <cell r="R67">
            <v>9146.9453126410281</v>
          </cell>
          <cell r="S67">
            <v>8947.656964837639</v>
          </cell>
          <cell r="T67">
            <v>8741.7461220323203</v>
          </cell>
          <cell r="U67">
            <v>8502.34908320656</v>
          </cell>
          <cell r="V67">
            <v>8249.5894156655468</v>
          </cell>
          <cell r="AY67">
            <v>7130.6539999999995</v>
          </cell>
          <cell r="AZ67">
            <v>7049.1209999999992</v>
          </cell>
          <cell r="BA67">
            <v>7151.9049999999997</v>
          </cell>
          <cell r="BB67">
            <v>7137.5929999999989</v>
          </cell>
          <cell r="BC67">
            <v>7224.8010000000022</v>
          </cell>
          <cell r="BD67">
            <v>7266.1549999999988</v>
          </cell>
          <cell r="BE67">
            <v>7200.3110000000006</v>
          </cell>
          <cell r="BF67">
            <v>7774.8530000000019</v>
          </cell>
          <cell r="BG67">
            <v>8085.5830000000024</v>
          </cell>
          <cell r="BH67">
            <v>8621.9040000000005</v>
          </cell>
          <cell r="BI67">
            <v>8917.5260000000017</v>
          </cell>
          <cell r="BJ67">
            <v>8946.85</v>
          </cell>
          <cell r="BK67">
            <v>9884.778861136745</v>
          </cell>
          <cell r="BL67">
            <v>9968.9520603704223</v>
          </cell>
          <cell r="BM67">
            <v>10010.873196906883</v>
          </cell>
          <cell r="BN67">
            <v>10028.173183153831</v>
          </cell>
          <cell r="BO67">
            <v>10050.082166980701</v>
          </cell>
          <cell r="BP67">
            <v>10014.571279277834</v>
          </cell>
          <cell r="BQ67">
            <v>9958.2958237303883</v>
          </cell>
          <cell r="BR67">
            <v>9904.3252236352091</v>
          </cell>
          <cell r="BS67">
            <v>9854.2211358113491</v>
          </cell>
        </row>
        <row r="68">
          <cell r="A68" t="str">
            <v>Annualized Net Operating Asset Turnover</v>
          </cell>
          <cell r="J68">
            <v>0.22056026179821414</v>
          </cell>
          <cell r="K68">
            <v>0.21323310885560132</v>
          </cell>
          <cell r="L68">
            <v>0.20084768995749566</v>
          </cell>
          <cell r="M68">
            <v>0.24303129069837573</v>
          </cell>
          <cell r="N68">
            <v>0.29545349042194025</v>
          </cell>
          <cell r="O68">
            <v>0.3337726183000434</v>
          </cell>
          <cell r="P68">
            <v>0.35656381617276794</v>
          </cell>
          <cell r="Q68">
            <v>0.37821170687041467</v>
          </cell>
          <cell r="R68">
            <v>0.40009822142207391</v>
          </cell>
          <cell r="S68">
            <v>0.42225907787171468</v>
          </cell>
          <cell r="T68">
            <v>0.44398472626805241</v>
          </cell>
          <cell r="U68">
            <v>0.46673359291345162</v>
          </cell>
          <cell r="V68">
            <v>0.48938753636930737</v>
          </cell>
          <cell r="AZ68">
            <v>0.22925134216300497</v>
          </cell>
          <cell r="BA68">
            <v>0.24023307303137512</v>
          </cell>
          <cell r="BB68">
            <v>0.24838417176961941</v>
          </cell>
          <cell r="BC68">
            <v>0.25104989875438405</v>
          </cell>
          <cell r="BD68">
            <v>0.25159668757658504</v>
          </cell>
          <cell r="BE68">
            <v>0.25869913317290927</v>
          </cell>
          <cell r="BF68">
            <v>0.28516657127726841</v>
          </cell>
          <cell r="BG68">
            <v>0.28175040737104606</v>
          </cell>
          <cell r="BH68">
            <v>0.27836953748418625</v>
          </cell>
          <cell r="BI68">
            <v>0.27707800968324398</v>
          </cell>
          <cell r="BJ68">
            <v>0.28277035581393312</v>
          </cell>
          <cell r="BK68">
            <v>0.29156694955925194</v>
          </cell>
          <cell r="BL68">
            <v>0.26887857376679142</v>
          </cell>
          <cell r="BM68">
            <v>0.28829773028199551</v>
          </cell>
          <cell r="BN68">
            <v>0.30035209341491481</v>
          </cell>
          <cell r="BO68">
            <v>0.30985084192608903</v>
          </cell>
          <cell r="BP68">
            <v>0.30759181139806424</v>
          </cell>
          <cell r="BQ68">
            <v>0.31919840674532096</v>
          </cell>
          <cell r="BR68">
            <v>0.32965170331314408</v>
          </cell>
          <cell r="BS68">
            <v>0.33722511412641204</v>
          </cell>
        </row>
        <row r="69">
          <cell r="A69" t="str">
            <v>Tangible Net Operating Assets (EOP)</v>
          </cell>
          <cell r="J69">
            <v>3388.318000000002</v>
          </cell>
          <cell r="K69">
            <v>3609.9360000000024</v>
          </cell>
          <cell r="L69">
            <v>5036.5527111367446</v>
          </cell>
          <cell r="M69">
            <v>5366.0730169807011</v>
          </cell>
          <cell r="N69">
            <v>5334.4289858113498</v>
          </cell>
          <cell r="O69">
            <v>5295.544727936689</v>
          </cell>
          <cell r="P69">
            <v>5258.1645458167804</v>
          </cell>
          <cell r="Q69">
            <v>5198.3290046500124</v>
          </cell>
          <cell r="R69">
            <v>5129.4705931965846</v>
          </cell>
          <cell r="S69">
            <v>5029.9995428468992</v>
          </cell>
          <cell r="T69">
            <v>4915.5878893741428</v>
          </cell>
          <cell r="U69">
            <v>4760.0651074365633</v>
          </cell>
          <cell r="V69">
            <v>4584.1901753763832</v>
          </cell>
          <cell r="AZ69">
            <v>3330.0189999999993</v>
          </cell>
          <cell r="BA69">
            <v>3371.1779999999999</v>
          </cell>
          <cell r="BB69">
            <v>3365.7729999999988</v>
          </cell>
          <cell r="BC69">
            <v>3388.318000000002</v>
          </cell>
          <cell r="BD69">
            <v>3364.3769999999986</v>
          </cell>
          <cell r="BE69">
            <v>3347.8760000000002</v>
          </cell>
          <cell r="BF69">
            <v>3538.0360000000019</v>
          </cell>
          <cell r="BG69">
            <v>3609.9360000000024</v>
          </cell>
          <cell r="BH69">
            <v>3511.6040000000012</v>
          </cell>
          <cell r="BI69">
            <v>3791.7000000000016</v>
          </cell>
          <cell r="BJ69">
            <v>4064.8320000000003</v>
          </cell>
          <cell r="BK69">
            <v>5036.5527111367446</v>
          </cell>
          <cell r="BL69">
            <v>5161.780160370422</v>
          </cell>
          <cell r="BM69">
            <v>5244.755546906883</v>
          </cell>
          <cell r="BN69">
            <v>5303.1097831538309</v>
          </cell>
          <cell r="BO69">
            <v>5366.0730169807011</v>
          </cell>
          <cell r="BP69">
            <v>5371.6163792778343</v>
          </cell>
          <cell r="BQ69">
            <v>5356.3951737303887</v>
          </cell>
          <cell r="BR69">
            <v>5343.4788236352097</v>
          </cell>
          <cell r="BS69">
            <v>5334.4289858113498</v>
          </cell>
        </row>
        <row r="70">
          <cell r="A70" t="str">
            <v>Annualized Tangible Net Operating Asset Turnover</v>
          </cell>
          <cell r="J70">
            <v>0.47029352026580706</v>
          </cell>
          <cell r="K70">
            <v>0.47760237300605851</v>
          </cell>
          <cell r="L70">
            <v>0.39418529177904943</v>
          </cell>
          <cell r="M70">
            <v>0.45517167450702112</v>
          </cell>
          <cell r="N70">
            <v>0.54578738187519338</v>
          </cell>
          <cell r="O70">
            <v>0.60950833307042573</v>
          </cell>
          <cell r="P70">
            <v>0.64443412157455227</v>
          </cell>
          <cell r="Q70">
            <v>0.67843126711815216</v>
          </cell>
          <cell r="R70">
            <v>0.71346086979943346</v>
          </cell>
          <cell r="S70">
            <v>0.75113910983505761</v>
          </cell>
          <cell r="T70">
            <v>0.78957020939147249</v>
          </cell>
          <cell r="U70">
            <v>0.83367177680190474</v>
          </cell>
          <cell r="V70">
            <v>0.88068908263811274</v>
          </cell>
          <cell r="AZ70">
            <v>0.49047648076482459</v>
          </cell>
          <cell r="BA70">
            <v>0.48490824275668626</v>
          </cell>
          <cell r="BB70">
            <v>0.50313315841561523</v>
          </cell>
          <cell r="BC70">
            <v>0.52427782752386254</v>
          </cell>
          <cell r="BD70">
            <v>0.53260737426275384</v>
          </cell>
          <cell r="BE70">
            <v>0.54295200897524276</v>
          </cell>
          <cell r="BF70">
            <v>0.53129702467696738</v>
          </cell>
          <cell r="BG70">
            <v>0.56878792310999382</v>
          </cell>
          <cell r="BH70">
            <v>0.62380837930472788</v>
          </cell>
          <cell r="BI70">
            <v>0.59360708916844651</v>
          </cell>
          <cell r="BJ70">
            <v>0.5877094059483885</v>
          </cell>
          <cell r="BK70">
            <v>0.50066228720772687</v>
          </cell>
          <cell r="BL70">
            <v>0.50536940389127172</v>
          </cell>
          <cell r="BM70">
            <v>0.50675483698187396</v>
          </cell>
          <cell r="BN70">
            <v>0.54195111355692005</v>
          </cell>
          <cell r="BO70">
            <v>0.56033280055776336</v>
          </cell>
          <cell r="BP70">
            <v>0.5784549164321714</v>
          </cell>
          <cell r="BQ70">
            <v>0.57712750425918757</v>
          </cell>
          <cell r="BR70">
            <v>0.59823109664880081</v>
          </cell>
          <cell r="BS70">
            <v>0.61539279820211035</v>
          </cell>
        </row>
        <row r="71">
          <cell r="A71" t="str">
            <v>NOPAT</v>
          </cell>
          <cell r="J71">
            <v>498.09890000000013</v>
          </cell>
          <cell r="K71">
            <v>576.5643</v>
          </cell>
          <cell r="L71">
            <v>673.66750683674093</v>
          </cell>
          <cell r="M71">
            <v>848.20534588033104</v>
          </cell>
          <cell r="N71">
            <v>984.88302542374333</v>
          </cell>
          <cell r="O71">
            <v>1083.069191869592</v>
          </cell>
          <cell r="P71">
            <v>1142.9819984361079</v>
          </cell>
          <cell r="Q71">
            <v>1196.087984350833</v>
          </cell>
          <cell r="R71">
            <v>1240.9979933128839</v>
          </cell>
          <cell r="S71">
            <v>1277.55193377925</v>
          </cell>
          <cell r="T71">
            <v>1305.6524185411499</v>
          </cell>
          <cell r="U71">
            <v>1324.4255203187968</v>
          </cell>
          <cell r="V71">
            <v>1334.8521912201381</v>
          </cell>
          <cell r="AZ71">
            <v>117.85215000000002</v>
          </cell>
          <cell r="BA71">
            <v>120.17329999999998</v>
          </cell>
          <cell r="BB71">
            <v>129.1147</v>
          </cell>
          <cell r="BC71">
            <v>130.95875000000001</v>
          </cell>
          <cell r="BD71">
            <v>130.43355</v>
          </cell>
          <cell r="BE71">
            <v>136.86789999999999</v>
          </cell>
          <cell r="BF71">
            <v>152.49584999999999</v>
          </cell>
          <cell r="BG71">
            <v>156.76700000000005</v>
          </cell>
          <cell r="BH71">
            <v>159.80965</v>
          </cell>
          <cell r="BI71">
            <v>162.8614</v>
          </cell>
          <cell r="BJ71">
            <v>166.89140000000003</v>
          </cell>
          <cell r="BK71">
            <v>184.10505683674074</v>
          </cell>
          <cell r="BL71">
            <v>185.7346334536206</v>
          </cell>
          <cell r="BM71">
            <v>208.3142997580253</v>
          </cell>
          <cell r="BN71">
            <v>221.97987748440647</v>
          </cell>
          <cell r="BO71">
            <v>232.17653518427846</v>
          </cell>
          <cell r="BP71">
            <v>232.46585040163677</v>
          </cell>
          <cell r="BQ71">
            <v>243.19954050210063</v>
          </cell>
          <cell r="BR71">
            <v>251.84852328032295</v>
          </cell>
          <cell r="BS71">
            <v>257.36911123968281</v>
          </cell>
        </row>
        <row r="72">
          <cell r="A72" t="str">
            <v>NOPAT Margin</v>
          </cell>
          <cell r="J72">
            <v>0.28890137195104276</v>
          </cell>
          <cell r="K72">
            <v>0.2904115930057144</v>
          </cell>
          <cell r="L72">
            <v>0.27581240462397233</v>
          </cell>
          <cell r="M72">
            <v>0.29133292980799519</v>
          </cell>
          <cell r="N72">
            <v>0.3051366431812037</v>
          </cell>
          <cell r="O72">
            <v>0.31962703230747225</v>
          </cell>
          <cell r="P72">
            <v>0.3240930907486978</v>
          </cell>
          <cell r="Q72">
            <v>0.32682887891098816</v>
          </cell>
          <cell r="R72">
            <v>0.32846020418524763</v>
          </cell>
          <cell r="S72">
            <v>0.32916400977748589</v>
          </cell>
          <cell r="T72">
            <v>0.32901794498570502</v>
          </cell>
          <cell r="U72">
            <v>0.32805170691203112</v>
          </cell>
          <cell r="V72">
            <v>0.32637804105209683</v>
          </cell>
          <cell r="AZ72">
            <v>0.28837409892384719</v>
          </cell>
          <cell r="BA72">
            <v>0.28385739728551251</v>
          </cell>
          <cell r="BB72">
            <v>0.29073012012924876</v>
          </cell>
          <cell r="BC72">
            <v>0.29233625687262405</v>
          </cell>
          <cell r="BD72">
            <v>0.28702418833097876</v>
          </cell>
          <cell r="BE72">
            <v>0.29124733740905695</v>
          </cell>
          <cell r="BF72">
            <v>0.29707639649187056</v>
          </cell>
          <cell r="BG72">
            <v>0.28625817596166847</v>
          </cell>
          <cell r="BH72">
            <v>0.28400758848043794</v>
          </cell>
          <cell r="BI72">
            <v>0.27269232379214214</v>
          </cell>
          <cell r="BJ72">
            <v>0.26473763608358469</v>
          </cell>
          <cell r="BK72">
            <v>0.28230414801922776</v>
          </cell>
          <cell r="BL72">
            <v>0.27953084071893275</v>
          </cell>
          <cell r="BM72">
            <v>0.28992678767870428</v>
          </cell>
          <cell r="BN72">
            <v>0.29530511876960647</v>
          </cell>
          <cell r="BO72">
            <v>0.29888478754944303</v>
          </cell>
          <cell r="BP72">
            <v>0.30079788106627992</v>
          </cell>
          <cell r="BQ72">
            <v>0.30431941782042621</v>
          </cell>
          <cell r="BR72">
            <v>0.30687326393199271</v>
          </cell>
          <cell r="BS72">
            <v>0.30822766139975549</v>
          </cell>
        </row>
        <row r="73">
          <cell r="A73" t="str">
            <v>NOPAT (Before Amortization of Intangibles)</v>
          </cell>
        </row>
        <row r="74">
          <cell r="A74" t="str">
            <v>NOPAT (Before Amortization of Intangibles) Margin</v>
          </cell>
        </row>
        <row r="75">
          <cell r="A75" t="str">
            <v>Net Income</v>
          </cell>
          <cell r="J75">
            <v>273.43455000000012</v>
          </cell>
          <cell r="K75">
            <v>360.74624999999997</v>
          </cell>
          <cell r="L75">
            <v>351.93645819386609</v>
          </cell>
          <cell r="M75">
            <v>594.98132616104476</v>
          </cell>
          <cell r="N75">
            <v>735.91394260901598</v>
          </cell>
          <cell r="O75">
            <v>815.92227557362844</v>
          </cell>
          <cell r="P75">
            <v>880.38647675402524</v>
          </cell>
          <cell r="Q75">
            <v>936.13882698507655</v>
          </cell>
          <cell r="R75">
            <v>983.84458770460367</v>
          </cell>
          <cell r="S75">
            <v>1023.2617423846534</v>
          </cell>
          <cell r="T75">
            <v>1054.3646633065309</v>
          </cell>
          <cell r="U75">
            <v>1076.1700294119023</v>
          </cell>
          <cell r="V75">
            <v>1089.8128439792615</v>
          </cell>
          <cell r="AZ75">
            <v>60.15290000000001</v>
          </cell>
          <cell r="BA75">
            <v>66.652849999999987</v>
          </cell>
          <cell r="BB75">
            <v>77.079549999999941</v>
          </cell>
          <cell r="BC75">
            <v>69.549250000000001</v>
          </cell>
          <cell r="BD75">
            <v>80.973850000000013</v>
          </cell>
          <cell r="BE75">
            <v>84.454549999999983</v>
          </cell>
          <cell r="BF75">
            <v>106.59594999999999</v>
          </cell>
          <cell r="BG75">
            <v>88.721900000000034</v>
          </cell>
          <cell r="BH75">
            <v>106.080145</v>
          </cell>
          <cell r="BI75">
            <v>118.41405000000002</v>
          </cell>
          <cell r="BJ75">
            <v>7.2444500000000094</v>
          </cell>
          <cell r="BK75">
            <v>120.19781319386571</v>
          </cell>
          <cell r="BL75">
            <v>121.99901743992041</v>
          </cell>
          <cell r="BM75">
            <v>145.05581454130089</v>
          </cell>
          <cell r="BN75">
            <v>159.73432223295683</v>
          </cell>
          <cell r="BO75">
            <v>168.19217194686652</v>
          </cell>
          <cell r="BP75">
            <v>169.41257206057364</v>
          </cell>
          <cell r="BQ75">
            <v>180.91737812755233</v>
          </cell>
          <cell r="BR75">
            <v>190.81332300279894</v>
          </cell>
          <cell r="BS75">
            <v>194.77066941809096</v>
          </cell>
        </row>
        <row r="76">
          <cell r="A76" t="str">
            <v>Return on Net Operating Assets</v>
          </cell>
          <cell r="J76">
            <v>6.3720162231385227E-2</v>
          </cell>
          <cell r="K76">
            <v>6.1925366824316083E-2</v>
          </cell>
          <cell r="L76">
            <v>5.5396284330346934E-2</v>
          </cell>
          <cell r="M76">
            <v>7.0803017954176373E-2</v>
          </cell>
          <cell r="N76">
            <v>9.0153686283520773E-2</v>
          </cell>
          <cell r="O76">
            <v>0.10668275145273758</v>
          </cell>
          <cell r="P76">
            <v>0.11555986923258288</v>
          </cell>
          <cell r="Q76">
            <v>0.12361050814746891</v>
          </cell>
          <cell r="R76">
            <v>0.13141634350244882</v>
          </cell>
          <cell r="S76">
            <v>0.13899249123719726</v>
          </cell>
          <cell r="T76">
            <v>0.14607894224175538</v>
          </cell>
          <cell r="U76">
            <v>0.15311275182844286</v>
          </cell>
          <cell r="V76">
            <v>0.15972534543552633</v>
          </cell>
          <cell r="AZ76">
            <v>6.6110149223339132E-2</v>
          </cell>
          <cell r="BA76">
            <v>6.8191934852586594E-2</v>
          </cell>
          <cell r="BB76">
            <v>7.2212760096785414E-2</v>
          </cell>
          <cell r="BC76">
            <v>7.3390987690107878E-2</v>
          </cell>
          <cell r="BD76">
            <v>7.2214335038432165E-2</v>
          </cell>
          <cell r="BE76">
            <v>7.5345433726640862E-2</v>
          </cell>
          <cell r="BF76">
            <v>8.4716257394993055E-2</v>
          </cell>
          <cell r="BG76">
            <v>8.0653357690492672E-2</v>
          </cell>
          <cell r="BH76">
            <v>7.9059061047298609E-2</v>
          </cell>
          <cell r="BI76">
            <v>7.5557046332225458E-2</v>
          </cell>
          <cell r="BJ76">
            <v>7.4859955552694785E-2</v>
          </cell>
          <cell r="BK76">
            <v>8.2310559285889776E-2</v>
          </cell>
          <cell r="BL76">
            <v>7.5159853776338784E-2</v>
          </cell>
          <cell r="BM76">
            <v>8.3585234835720459E-2</v>
          </cell>
          <cell r="BN76">
            <v>8.869551061859135E-2</v>
          </cell>
          <cell r="BO76">
            <v>9.2609703061095172E-2</v>
          </cell>
          <cell r="BP76">
            <v>9.2522965101876534E-2</v>
          </cell>
          <cell r="BQ76">
            <v>9.7138273309943679E-2</v>
          </cell>
          <cell r="BR76">
            <v>0.10116129415644542</v>
          </cell>
          <cell r="BS76">
            <v>0.10394210829244964</v>
          </cell>
        </row>
        <row r="77">
          <cell r="A77" t="str">
            <v>Return on Average Net Operating Assets</v>
          </cell>
          <cell r="J77">
            <v>6.8942923133799808E-2</v>
          </cell>
          <cell r="K77">
            <v>7.5316765405753355E-2</v>
          </cell>
          <cell r="L77">
            <v>7.4975396938849054E-2</v>
          </cell>
          <cell r="M77">
            <v>8.5097693400918731E-2</v>
          </cell>
          <cell r="N77">
            <v>9.8961818501388119E-2</v>
          </cell>
          <cell r="O77">
            <v>0.11094455376243771</v>
          </cell>
          <cell r="P77">
            <v>0.11922447420143299</v>
          </cell>
          <cell r="Q77">
            <v>0.1270540581371257</v>
          </cell>
          <cell r="R77">
            <v>0.1343679230129099</v>
          </cell>
          <cell r="S77">
            <v>0.14120807014027018</v>
          </cell>
          <cell r="T77">
            <v>0.14761972601667678</v>
          </cell>
          <cell r="U77">
            <v>0.15360916354908857</v>
          </cell>
          <cell r="V77">
            <v>0.15936689253127481</v>
          </cell>
          <cell r="AZ77">
            <v>6.6490279288634713E-2</v>
          </cell>
          <cell r="BA77">
            <v>6.7698376159581714E-2</v>
          </cell>
          <cell r="BB77">
            <v>7.2285086571970553E-2</v>
          </cell>
          <cell r="BC77">
            <v>7.294535994486713E-2</v>
          </cell>
          <cell r="BD77">
            <v>7.2008251215447738E-2</v>
          </cell>
          <cell r="BE77">
            <v>7.5688367843259025E-2</v>
          </cell>
          <cell r="BF77">
            <v>8.1466005981637307E-2</v>
          </cell>
          <cell r="BG77">
            <v>7.907323606992897E-2</v>
          </cell>
          <cell r="BH77">
            <v>7.6521214710506741E-2</v>
          </cell>
          <cell r="BI77">
            <v>7.4283554254613762E-2</v>
          </cell>
          <cell r="BJ77">
            <v>7.4737074499551512E-2</v>
          </cell>
          <cell r="BK77">
            <v>7.8210996274117303E-2</v>
          </cell>
          <cell r="BL77">
            <v>7.4841201057043782E-2</v>
          </cell>
          <cell r="BM77">
            <v>8.3409858525024055E-2</v>
          </cell>
          <cell r="BN77">
            <v>8.8618938555990887E-2</v>
          </cell>
          <cell r="BO77">
            <v>9.2508649236886134E-2</v>
          </cell>
          <cell r="BP77">
            <v>9.2686714385285252E-2</v>
          </cell>
          <cell r="BQ77">
            <v>9.7411969647751187E-2</v>
          </cell>
          <cell r="BR77">
            <v>0.10143616904526342</v>
          </cell>
          <cell r="BS77">
            <v>0.10420568661586167</v>
          </cell>
        </row>
        <row r="78">
          <cell r="A78" t="str">
            <v>Return on Tangible Net Operating Assets</v>
          </cell>
        </row>
        <row r="79">
          <cell r="A79" t="str">
            <v>Annualized Return on Equity</v>
          </cell>
          <cell r="J79">
            <v>9.1409266538339931E-2</v>
          </cell>
          <cell r="K79">
            <v>0.10881970642053494</v>
          </cell>
          <cell r="L79">
            <v>0.10051180547050474</v>
          </cell>
          <cell r="M79">
            <v>0.18381880403045767</v>
          </cell>
          <cell r="N79">
            <v>0.19226951787504704</v>
          </cell>
          <cell r="O79">
            <v>0.17753543802535404</v>
          </cell>
          <cell r="P79">
            <v>0.17200909278611906</v>
          </cell>
          <cell r="Q79">
            <v>0.17449132924373414</v>
          </cell>
          <cell r="R79">
            <v>0.1749550396692991</v>
          </cell>
          <cell r="S79">
            <v>0.17362320882570281</v>
          </cell>
          <cell r="T79">
            <v>0.17104913914750408</v>
          </cell>
          <cell r="U79">
            <v>0.16729711580207046</v>
          </cell>
          <cell r="V79">
            <v>0.16274110561891655</v>
          </cell>
          <cell r="AZ79">
            <v>8.0436542772727243E-2</v>
          </cell>
          <cell r="BA79">
            <v>8.6592506463305297E-2</v>
          </cell>
          <cell r="BB79">
            <v>9.9851058089935704E-2</v>
          </cell>
          <cell r="BC79">
            <v>8.6080731725052359E-2</v>
          </cell>
          <cell r="BD79">
            <v>9.7703586215966878E-2</v>
          </cell>
          <cell r="BE79">
            <v>9.777916067278164E-2</v>
          </cell>
          <cell r="BF79">
            <v>0.12441900333206986</v>
          </cell>
          <cell r="BG79">
            <v>0.10284808439112039</v>
          </cell>
          <cell r="BH79">
            <v>0.12118445418518757</v>
          </cell>
          <cell r="BI79">
            <v>0.1353615146802378</v>
          </cell>
          <cell r="BJ79">
            <v>8.1355739959678517E-3</v>
          </cell>
          <cell r="BK79">
            <v>0.14733329026089087</v>
          </cell>
          <cell r="BL79">
            <v>0.15076583074223815</v>
          </cell>
          <cell r="BM79">
            <v>0.1733291604829523</v>
          </cell>
          <cell r="BN79">
            <v>0.18306841951355374</v>
          </cell>
          <cell r="BO79">
            <v>0.18421860369615603</v>
          </cell>
          <cell r="BP79">
            <v>0.17704718808059769</v>
          </cell>
          <cell r="BQ79">
            <v>0.18093671869193789</v>
          </cell>
          <cell r="BR79">
            <v>0.18224247463293286</v>
          </cell>
          <cell r="BS79">
            <v>0.17759544423522627</v>
          </cell>
        </row>
        <row r="80">
          <cell r="A80" t="str">
            <v>Unrecorded Goodwill</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W80" t="str">
            <v>mstag:unrecordedGoodwillFromPoolingAndAmortizedOrWrittenOffGoodwill</v>
          </cell>
          <cell r="BX80">
            <v>6</v>
          </cell>
          <cell r="BY80" t="str">
            <v>ISO4217:USD</v>
          </cell>
          <cell r="BZ80" t="b">
            <v>0</v>
          </cell>
          <cell r="CA80" t="b">
            <v>0</v>
          </cell>
        </row>
        <row r="83">
          <cell r="A83" t="str">
            <v>Sales</v>
          </cell>
          <cell r="C83">
            <v>704.82399999999996</v>
          </cell>
          <cell r="D83">
            <v>689.77</v>
          </cell>
          <cell r="E83">
            <v>706.66000000000008</v>
          </cell>
          <cell r="F83">
            <v>944.78599999999994</v>
          </cell>
          <cell r="G83">
            <v>1317.385</v>
          </cell>
          <cell r="H83">
            <v>1456.5939999999998</v>
          </cell>
          <cell r="I83">
            <v>1593.5039999999999</v>
          </cell>
          <cell r="J83">
            <v>1724.114</v>
          </cell>
          <cell r="K83">
            <v>1985.335</v>
          </cell>
          <cell r="L83">
            <v>2442.4844406660486</v>
          </cell>
          <cell r="M83">
            <v>2911.4640299651196</v>
          </cell>
          <cell r="N83">
            <v>3227.6786398245722</v>
          </cell>
          <cell r="O83">
            <v>3388.5406501778916</v>
          </cell>
          <cell r="P83">
            <v>3526.7089335217506</v>
          </cell>
          <cell r="Q83">
            <v>3659.6765510326509</v>
          </cell>
          <cell r="R83">
            <v>3778.2293790847666</v>
          </cell>
          <cell r="S83">
            <v>3881.2017590953283</v>
          </cell>
          <cell r="T83">
            <v>3968.3319358093891</v>
          </cell>
          <cell r="U83">
            <v>4037.2462401908761</v>
          </cell>
          <cell r="V83">
            <v>4089.8958364881769</v>
          </cell>
          <cell r="X83">
            <v>186.61599999999999</v>
          </cell>
          <cell r="Y83">
            <v>165.83699999999999</v>
          </cell>
          <cell r="Z83">
            <v>174.946</v>
          </cell>
          <cell r="AA83">
            <v>177.42499999999998</v>
          </cell>
          <cell r="AB83">
            <v>161.46699999999998</v>
          </cell>
          <cell r="AC83">
            <v>175.28199999999998</v>
          </cell>
          <cell r="AD83">
            <v>186.87400000000002</v>
          </cell>
          <cell r="AE83">
            <v>166.14699999999999</v>
          </cell>
          <cell r="AF83">
            <v>168.791</v>
          </cell>
          <cell r="AG83">
            <v>172.292</v>
          </cell>
          <cell r="AH83">
            <v>180.881</v>
          </cell>
          <cell r="AI83">
            <v>184.696</v>
          </cell>
          <cell r="AJ83">
            <v>184.35499999999999</v>
          </cell>
          <cell r="AK83">
            <v>188.06</v>
          </cell>
          <cell r="AL83">
            <v>264.74599999999998</v>
          </cell>
          <cell r="AM83">
            <v>307.625</v>
          </cell>
          <cell r="AN83">
            <v>320.40899999999999</v>
          </cell>
          <cell r="AO83">
            <v>325.863</v>
          </cell>
          <cell r="AP83">
            <v>333.46700000000004</v>
          </cell>
          <cell r="AQ83">
            <v>337.64600000000002</v>
          </cell>
          <cell r="AR83">
            <v>352.47399999999999</v>
          </cell>
          <cell r="AS83">
            <v>358.423</v>
          </cell>
          <cell r="AT83">
            <v>367.58499999999998</v>
          </cell>
          <cell r="AU83">
            <v>378.11200000000002</v>
          </cell>
          <cell r="AV83">
            <v>382.18400000000003</v>
          </cell>
          <cell r="AW83">
            <v>393.72800000000001</v>
          </cell>
          <cell r="AX83">
            <v>409.26800000000003</v>
          </cell>
          <cell r="AY83">
            <v>408.32400000000001</v>
          </cell>
          <cell r="AZ83">
            <v>408.678</v>
          </cell>
          <cell r="BA83">
            <v>423.35799999999995</v>
          </cell>
          <cell r="BB83">
            <v>444.10499999999996</v>
          </cell>
          <cell r="BC83">
            <v>447.97300000000001</v>
          </cell>
          <cell r="BD83">
            <v>454.43399999999997</v>
          </cell>
          <cell r="BE83">
            <v>469.93700000000001</v>
          </cell>
          <cell r="BF83">
            <v>513.322</v>
          </cell>
          <cell r="BG83">
            <v>547.64200000000005</v>
          </cell>
          <cell r="BH83">
            <v>562.69499999999994</v>
          </cell>
          <cell r="BI83">
            <v>597.23500000000001</v>
          </cell>
          <cell r="BJ83">
            <v>630.40300000000002</v>
          </cell>
          <cell r="BK83">
            <v>652.1514406660483</v>
          </cell>
          <cell r="BL83">
            <v>664.45131054564422</v>
          </cell>
          <cell r="BM83">
            <v>718.50656307370389</v>
          </cell>
          <cell r="BN83">
            <v>751.69668040056069</v>
          </cell>
          <cell r="BO83">
            <v>776.80947594521069</v>
          </cell>
          <cell r="BP83">
            <v>772.8307446102441</v>
          </cell>
          <cell r="BQ83">
            <v>799.15879914573384</v>
          </cell>
          <cell r="BR83">
            <v>820.692295097223</v>
          </cell>
          <cell r="BS83">
            <v>834.99680097137116</v>
          </cell>
        </row>
        <row r="84">
          <cell r="A84" t="str">
            <v>COGS</v>
          </cell>
          <cell r="C84">
            <v>373.61400000000003</v>
          </cell>
          <cell r="D84">
            <v>301.125</v>
          </cell>
          <cell r="E84">
            <v>256.113</v>
          </cell>
          <cell r="F84">
            <v>256.12700000000001</v>
          </cell>
          <cell r="G84">
            <v>343.53699999999998</v>
          </cell>
          <cell r="H84">
            <v>359.62200000000001</v>
          </cell>
          <cell r="I84">
            <v>389.85499999999996</v>
          </cell>
          <cell r="J84">
            <v>416.375</v>
          </cell>
          <cell r="K84">
            <v>474.58600000000001</v>
          </cell>
          <cell r="L84">
            <v>629.93767857317255</v>
          </cell>
          <cell r="M84">
            <v>749.18226669582555</v>
          </cell>
          <cell r="N84">
            <v>829.10144476259268</v>
          </cell>
          <cell r="O84">
            <v>869.76058304705157</v>
          </cell>
          <cell r="P84">
            <v>901.29838647746351</v>
          </cell>
          <cell r="Q84">
            <v>931.28193570753149</v>
          </cell>
          <cell r="R84">
            <v>957.4512091222814</v>
          </cell>
          <cell r="S84">
            <v>979.31995675071789</v>
          </cell>
          <cell r="T84">
            <v>997.10531238674059</v>
          </cell>
          <cell r="U84">
            <v>1010.2756736697891</v>
          </cell>
          <cell r="V84">
            <v>1019.3598679398018</v>
          </cell>
          <cell r="X84">
            <v>111.51900000000001</v>
          </cell>
          <cell r="Y84">
            <v>85.983000000000004</v>
          </cell>
          <cell r="Z84">
            <v>91.664999999999992</v>
          </cell>
          <cell r="AA84">
            <v>84.447000000000003</v>
          </cell>
          <cell r="AB84">
            <v>73.188000000000002</v>
          </cell>
          <cell r="AC84">
            <v>79.384999999999991</v>
          </cell>
          <cell r="AD84">
            <v>86.34</v>
          </cell>
          <cell r="AE84">
            <v>62.212000000000003</v>
          </cell>
          <cell r="AF84">
            <v>62.436999999999998</v>
          </cell>
          <cell r="AG84">
            <v>61.664999999999999</v>
          </cell>
          <cell r="AH84">
            <v>64.972000000000008</v>
          </cell>
          <cell r="AI84">
            <v>67.039000000000001</v>
          </cell>
          <cell r="AJ84">
            <v>49.657000000000004</v>
          </cell>
          <cell r="AK84">
            <v>48.688999999999993</v>
          </cell>
          <cell r="AL84">
            <v>72.14</v>
          </cell>
          <cell r="AM84">
            <v>85.640999999999991</v>
          </cell>
          <cell r="AN84">
            <v>81.611999999999995</v>
          </cell>
          <cell r="AO84">
            <v>85.736999999999995</v>
          </cell>
          <cell r="AP84">
            <v>87.561999999999998</v>
          </cell>
          <cell r="AQ84">
            <v>88.626000000000005</v>
          </cell>
          <cell r="AR84">
            <v>87.283000000000001</v>
          </cell>
          <cell r="AS84">
            <v>90.042000000000002</v>
          </cell>
          <cell r="AT84">
            <v>88.777000000000001</v>
          </cell>
          <cell r="AU84">
            <v>93.52000000000001</v>
          </cell>
          <cell r="AV84">
            <v>90.557999999999993</v>
          </cell>
          <cell r="AW84">
            <v>96.873999999999995</v>
          </cell>
          <cell r="AX84">
            <v>103.857</v>
          </cell>
          <cell r="AY84">
            <v>98.565999999999988</v>
          </cell>
          <cell r="AZ84">
            <v>97.704999999999998</v>
          </cell>
          <cell r="BA84">
            <v>102.57299999999999</v>
          </cell>
          <cell r="BB84">
            <v>108.59399999999999</v>
          </cell>
          <cell r="BC84">
            <v>107.50299999999999</v>
          </cell>
          <cell r="BD84">
            <v>106.46900000000001</v>
          </cell>
          <cell r="BE84">
            <v>112.199</v>
          </cell>
          <cell r="BF84">
            <v>122.973</v>
          </cell>
          <cell r="BG84">
            <v>132.94499999999999</v>
          </cell>
          <cell r="BH84">
            <v>135.328</v>
          </cell>
          <cell r="BI84">
            <v>151.077</v>
          </cell>
          <cell r="BJ84">
            <v>168.93299999999999</v>
          </cell>
          <cell r="BK84">
            <v>174.59967857317255</v>
          </cell>
          <cell r="BL84">
            <v>171.36261927141103</v>
          </cell>
          <cell r="BM84">
            <v>184.92893031977596</v>
          </cell>
          <cell r="BN84">
            <v>193.27948254700368</v>
          </cell>
          <cell r="BO84">
            <v>199.61123455763479</v>
          </cell>
          <cell r="BP84">
            <v>198.67064037960648</v>
          </cell>
          <cell r="BQ84">
            <v>205.30728355574936</v>
          </cell>
          <cell r="BR84">
            <v>210.74583338131481</v>
          </cell>
          <cell r="BS84">
            <v>214.37768744592196</v>
          </cell>
        </row>
        <row r="85">
          <cell r="A85" t="str">
            <v>EBITDA</v>
          </cell>
          <cell r="C85">
            <v>307.94599999999991</v>
          </cell>
          <cell r="D85">
            <v>375.99999999999994</v>
          </cell>
          <cell r="E85">
            <v>437.39500000000004</v>
          </cell>
          <cell r="F85">
            <v>600.66799999999989</v>
          </cell>
          <cell r="G85">
            <v>868.23399999999992</v>
          </cell>
          <cell r="H85">
            <v>978.89499999999975</v>
          </cell>
          <cell r="I85">
            <v>1092.3339999999998</v>
          </cell>
          <cell r="J85">
            <v>1180.9250000000002</v>
          </cell>
          <cell r="K85">
            <v>1347.748</v>
          </cell>
          <cell r="L85">
            <v>1584.1703752296016</v>
          </cell>
          <cell r="M85">
            <v>1899.6846804226077</v>
          </cell>
          <cell r="N85">
            <v>2122.0781174777685</v>
          </cell>
          <cell r="O85">
            <v>2244.7461118657193</v>
          </cell>
          <cell r="P85">
            <v>2336.1055787614168</v>
          </cell>
          <cell r="Q85">
            <v>2423.9947553852789</v>
          </cell>
          <cell r="R85">
            <v>2502.285984603026</v>
          </cell>
          <cell r="S85">
            <v>2570.4468457851262</v>
          </cell>
          <cell r="T85">
            <v>2628.0687491998037</v>
          </cell>
          <cell r="U85">
            <v>2673.5731586637175</v>
          </cell>
          <cell r="V85">
            <v>2708.2575515914632</v>
          </cell>
          <cell r="X85">
            <v>66.425999999999988</v>
          </cell>
          <cell r="Y85">
            <v>72.871999999999986</v>
          </cell>
          <cell r="Z85">
            <v>78.783000000000001</v>
          </cell>
          <cell r="AA85">
            <v>89.864999999999981</v>
          </cell>
          <cell r="AB85">
            <v>85.132999999999981</v>
          </cell>
          <cell r="AC85">
            <v>92.46</v>
          </cell>
          <cell r="AD85">
            <v>97.564000000000021</v>
          </cell>
          <cell r="AE85">
            <v>100.84299999999999</v>
          </cell>
          <cell r="AF85">
            <v>103.015</v>
          </cell>
          <cell r="AG85">
            <v>107.62800000000001</v>
          </cell>
          <cell r="AH85">
            <v>112.63199999999999</v>
          </cell>
          <cell r="AI85">
            <v>114.12</v>
          </cell>
          <cell r="AJ85">
            <v>117.29199999999999</v>
          </cell>
          <cell r="AK85">
            <v>122.35600000000001</v>
          </cell>
          <cell r="AL85">
            <v>165.709</v>
          </cell>
          <cell r="AM85">
            <v>195.31100000000001</v>
          </cell>
          <cell r="AN85">
            <v>215.49299999999999</v>
          </cell>
          <cell r="AO85">
            <v>216.447</v>
          </cell>
          <cell r="AP85">
            <v>217.78800000000004</v>
          </cell>
          <cell r="AQ85">
            <v>218.506</v>
          </cell>
          <cell r="AR85">
            <v>236.30999999999995</v>
          </cell>
          <cell r="AS85">
            <v>241.44799999999998</v>
          </cell>
          <cell r="AT85">
            <v>248.62799999999999</v>
          </cell>
          <cell r="AU85">
            <v>252.50899999999999</v>
          </cell>
          <cell r="AV85">
            <v>262.52200000000005</v>
          </cell>
          <cell r="AW85">
            <v>272.25100000000003</v>
          </cell>
          <cell r="AX85">
            <v>277.52700000000004</v>
          </cell>
          <cell r="AY85">
            <v>280.03399999999999</v>
          </cell>
          <cell r="AZ85">
            <v>281.17900000000003</v>
          </cell>
          <cell r="BA85">
            <v>287.34499999999997</v>
          </cell>
          <cell r="BB85">
            <v>304.18099999999993</v>
          </cell>
          <cell r="BC85">
            <v>308.22000000000003</v>
          </cell>
          <cell r="BD85">
            <v>311.50200000000001</v>
          </cell>
          <cell r="BE85">
            <v>320.96899999999999</v>
          </cell>
          <cell r="BF85">
            <v>349.99199999999996</v>
          </cell>
          <cell r="BG85">
            <v>365.28500000000008</v>
          </cell>
          <cell r="BH85">
            <v>377.09199999999998</v>
          </cell>
          <cell r="BI85">
            <v>389.11399999999998</v>
          </cell>
          <cell r="BJ85">
            <v>398.86900000000003</v>
          </cell>
          <cell r="BK85">
            <v>419.09537522960113</v>
          </cell>
          <cell r="BL85">
            <v>433.46381677239697</v>
          </cell>
          <cell r="BM85">
            <v>468.81750926192603</v>
          </cell>
          <cell r="BN85">
            <v>490.50401321550373</v>
          </cell>
          <cell r="BO85">
            <v>506.89934117278085</v>
          </cell>
          <cell r="BP85">
            <v>508.10333721571573</v>
          </cell>
          <cell r="BQ85">
            <v>525.42522366686853</v>
          </cell>
          <cell r="BR85">
            <v>539.58215515715813</v>
          </cell>
          <cell r="BS85">
            <v>548.96740143802583</v>
          </cell>
        </row>
        <row r="86">
          <cell r="A86" t="str">
            <v>Net Income, ModelWare</v>
          </cell>
          <cell r="C86">
            <v>-1139.7600000000004</v>
          </cell>
          <cell r="D86">
            <v>-321.61800000000005</v>
          </cell>
          <cell r="E86">
            <v>-245.22099999999986</v>
          </cell>
          <cell r="F86">
            <v>-180.78400000000011</v>
          </cell>
          <cell r="G86">
            <v>28.268000000000004</v>
          </cell>
          <cell r="H86">
            <v>56.653999999999783</v>
          </cell>
          <cell r="I86">
            <v>347.41499999999985</v>
          </cell>
          <cell r="J86">
            <v>247.12700000000015</v>
          </cell>
          <cell r="K86">
            <v>373.60599999999999</v>
          </cell>
          <cell r="L86">
            <v>296.54181987126117</v>
          </cell>
          <cell r="M86">
            <v>806.59084157187601</v>
          </cell>
          <cell r="N86">
            <v>997.39192230143715</v>
          </cell>
          <cell r="O86">
            <v>1105.71089616122</v>
          </cell>
          <cell r="P86">
            <v>1192.985506990065</v>
          </cell>
          <cell r="Q86">
            <v>1268.4656119182575</v>
          </cell>
          <cell r="R86">
            <v>1333.0518725846941</v>
          </cell>
          <cell r="S86">
            <v>1386.4166358438388</v>
          </cell>
          <cell r="T86">
            <v>1428.5252057073035</v>
          </cell>
          <cell r="U86">
            <v>1458.0463167422679</v>
          </cell>
          <cell r="V86">
            <v>1476.5165887719231</v>
          </cell>
          <cell r="X86">
            <v>-634.14600000000007</v>
          </cell>
          <cell r="Y86">
            <v>-100.67700000000002</v>
          </cell>
          <cell r="Z86">
            <v>-353.23799999999994</v>
          </cell>
          <cell r="AA86">
            <v>-51.699000000000019</v>
          </cell>
          <cell r="AB86">
            <v>-96.43700000000004</v>
          </cell>
          <cell r="AC86">
            <v>-112.33799999999999</v>
          </cell>
          <cell r="AD86">
            <v>-57.383999999999986</v>
          </cell>
          <cell r="AE86">
            <v>-55.459000000000017</v>
          </cell>
          <cell r="AF86">
            <v>-46.815000000000005</v>
          </cell>
          <cell r="AG86">
            <v>-64.706999999999994</v>
          </cell>
          <cell r="AH86">
            <v>-59.85100000000002</v>
          </cell>
          <cell r="AI86">
            <v>-73.847999999999985</v>
          </cell>
          <cell r="AJ86">
            <v>-32.324000000000019</v>
          </cell>
          <cell r="AK86">
            <v>-36.094999999999999</v>
          </cell>
          <cell r="AL86">
            <v>-21.951999999999995</v>
          </cell>
          <cell r="AM86">
            <v>-90.412999999999997</v>
          </cell>
          <cell r="AN86">
            <v>-1.6799999999999966</v>
          </cell>
          <cell r="AO86">
            <v>7.9439999999999937</v>
          </cell>
          <cell r="AP86">
            <v>3.5320000000000333</v>
          </cell>
          <cell r="AQ86">
            <v>18.471999999999987</v>
          </cell>
          <cell r="AR86">
            <v>22.315999999999946</v>
          </cell>
          <cell r="AS86">
            <v>-19.895000000000017</v>
          </cell>
          <cell r="AT86">
            <v>59.70799999999997</v>
          </cell>
          <cell r="AU86">
            <v>-5.4749999999999863</v>
          </cell>
          <cell r="AV86">
            <v>42.228000000000051</v>
          </cell>
          <cell r="AW86">
            <v>158.88400000000001</v>
          </cell>
          <cell r="AX86">
            <v>60.561000000000021</v>
          </cell>
          <cell r="AY86">
            <v>85.74199999999999</v>
          </cell>
          <cell r="AZ86">
            <v>58.759000000000015</v>
          </cell>
          <cell r="BA86">
            <v>56.487999999999978</v>
          </cell>
          <cell r="BB86">
            <v>67.577999999999903</v>
          </cell>
          <cell r="BC86">
            <v>64.301999999999992</v>
          </cell>
          <cell r="BD86">
            <v>96.483000000000033</v>
          </cell>
          <cell r="BE86">
            <v>99.818999999999974</v>
          </cell>
          <cell r="BF86">
            <v>93.600999999999999</v>
          </cell>
          <cell r="BG86">
            <v>83.703000000000046</v>
          </cell>
          <cell r="BH86">
            <v>91.961299999999994</v>
          </cell>
          <cell r="BI86">
            <v>113.17100000000001</v>
          </cell>
          <cell r="BJ86">
            <v>-19.725999999999988</v>
          </cell>
          <cell r="BK86">
            <v>111.13551987126066</v>
          </cell>
          <cell r="BL86">
            <v>165.43731591866145</v>
          </cell>
          <cell r="BM86">
            <v>196.65267199437662</v>
          </cell>
          <cell r="BN86">
            <v>216.5251131769262</v>
          </cell>
          <cell r="BO86">
            <v>227.97574048191163</v>
          </cell>
          <cell r="BP86">
            <v>229.6279744820074</v>
          </cell>
          <cell r="BQ86">
            <v>245.20371192653238</v>
          </cell>
          <cell r="BR86">
            <v>258.60129883455858</v>
          </cell>
          <cell r="BS86">
            <v>263.95893705833851</v>
          </cell>
        </row>
        <row r="87">
          <cell r="A87" t="str">
            <v>Total Cash</v>
          </cell>
          <cell r="C87">
            <v>127.29200000000003</v>
          </cell>
          <cell r="D87">
            <v>275.50099999999981</v>
          </cell>
          <cell r="E87">
            <v>215.55699999999979</v>
          </cell>
          <cell r="F87">
            <v>112.70099999999985</v>
          </cell>
          <cell r="G87">
            <v>281.2639999999999</v>
          </cell>
          <cell r="H87">
            <v>86.806999999999931</v>
          </cell>
          <cell r="I87">
            <v>194.94300000000004</v>
          </cell>
          <cell r="J87">
            <v>295.12899999999996</v>
          </cell>
          <cell r="K87">
            <v>959.93499999999972</v>
          </cell>
          <cell r="L87">
            <v>99.655808905667413</v>
          </cell>
          <cell r="M87">
            <v>526.14165996555437</v>
          </cell>
          <cell r="N87">
            <v>1491.4440041238672</v>
          </cell>
          <cell r="O87">
            <v>2198.9721497629757</v>
          </cell>
          <cell r="P87">
            <v>2613.8901058852698</v>
          </cell>
          <cell r="Q87">
            <v>3052.2933766987667</v>
          </cell>
          <cell r="R87">
            <v>3501.6114741795523</v>
          </cell>
          <cell r="S87">
            <v>3972.9199413739684</v>
          </cell>
          <cell r="T87">
            <v>4448.880112915298</v>
          </cell>
          <cell r="U87">
            <v>4953.7550247649506</v>
          </cell>
          <cell r="V87">
            <v>5464.8766283865452</v>
          </cell>
          <cell r="AB87">
            <v>318.59899999999982</v>
          </cell>
          <cell r="AC87">
            <v>300.48199999999986</v>
          </cell>
          <cell r="AD87">
            <v>349.85299999999984</v>
          </cell>
          <cell r="AE87">
            <v>275.50099999999981</v>
          </cell>
          <cell r="AF87">
            <v>217.83499999999981</v>
          </cell>
          <cell r="AG87">
            <v>197.85599999999971</v>
          </cell>
          <cell r="AH87">
            <v>126.8329999999998</v>
          </cell>
          <cell r="AI87">
            <v>215.55699999999979</v>
          </cell>
          <cell r="AJ87">
            <v>122.79699999999974</v>
          </cell>
          <cell r="AK87">
            <v>85.621999999999787</v>
          </cell>
          <cell r="AL87">
            <v>109.15899999999979</v>
          </cell>
          <cell r="AM87">
            <v>112.70099999999985</v>
          </cell>
          <cell r="AN87">
            <v>85.572999999999837</v>
          </cell>
          <cell r="AO87">
            <v>90.453999999999866</v>
          </cell>
          <cell r="AP87">
            <v>207.20199999999986</v>
          </cell>
          <cell r="AQ87">
            <v>281.2639999999999</v>
          </cell>
          <cell r="AR87">
            <v>47.150999999999897</v>
          </cell>
          <cell r="AS87">
            <v>248.9489999999999</v>
          </cell>
          <cell r="AT87">
            <v>123.88899999999973</v>
          </cell>
          <cell r="AU87">
            <v>86.806999999999931</v>
          </cell>
          <cell r="AV87">
            <v>171.76000000000002</v>
          </cell>
          <cell r="AW87">
            <v>203.29000000000005</v>
          </cell>
          <cell r="AX87">
            <v>117.06200000000007</v>
          </cell>
          <cell r="AY87">
            <v>194.94300000000004</v>
          </cell>
          <cell r="AZ87">
            <v>364.51300000000003</v>
          </cell>
          <cell r="BA87">
            <v>374.411</v>
          </cell>
          <cell r="BB87">
            <v>280.46899999999994</v>
          </cell>
          <cell r="BC87">
            <v>295.12899999999996</v>
          </cell>
          <cell r="BD87">
            <v>402.68099999999993</v>
          </cell>
          <cell r="BE87">
            <v>355.45899999999983</v>
          </cell>
          <cell r="BF87">
            <v>441.03699999999981</v>
          </cell>
          <cell r="BG87">
            <v>959.93499999999972</v>
          </cell>
          <cell r="BH87">
            <v>442.2502999999997</v>
          </cell>
          <cell r="BI87">
            <v>382.74829999999963</v>
          </cell>
          <cell r="BJ87">
            <v>227.72729999999967</v>
          </cell>
          <cell r="BK87">
            <v>99.655808905667413</v>
          </cell>
          <cell r="BL87">
            <v>126.48198269419183</v>
          </cell>
          <cell r="BM87">
            <v>227.45663689270486</v>
          </cell>
          <cell r="BN87">
            <v>372.28031598765938</v>
          </cell>
          <cell r="BO87">
            <v>526.14165996555437</v>
          </cell>
          <cell r="BP87">
            <v>733.98768656129209</v>
          </cell>
          <cell r="BQ87">
            <v>979.08965021005906</v>
          </cell>
          <cell r="BR87">
            <v>1232.0635317377753</v>
          </cell>
          <cell r="BS87">
            <v>1491.4440041238672</v>
          </cell>
        </row>
        <row r="88">
          <cell r="A88" t="str">
            <v>Total Debt</v>
          </cell>
          <cell r="D88">
            <v>3361.2249999999999</v>
          </cell>
          <cell r="E88">
            <v>3293.614</v>
          </cell>
          <cell r="F88">
            <v>3613.4289999999996</v>
          </cell>
          <cell r="G88">
            <v>3543.0160000000001</v>
          </cell>
          <cell r="H88">
            <v>4285.2839999999997</v>
          </cell>
          <cell r="I88">
            <v>4333.1460000000006</v>
          </cell>
          <cell r="J88">
            <v>4214.6239999999998</v>
          </cell>
          <cell r="K88">
            <v>5590.5019999999995</v>
          </cell>
          <cell r="L88">
            <v>6752.3787507774987</v>
          </cell>
          <cell r="M88">
            <v>6753.4372372068328</v>
          </cell>
          <cell r="N88">
            <v>6754.5631863199078</v>
          </cell>
          <cell r="O88">
            <v>6755.7342768164744</v>
          </cell>
          <cell r="P88">
            <v>6756.9785032096161</v>
          </cell>
          <cell r="Q88">
            <v>6758.3005794465553</v>
          </cell>
          <cell r="R88">
            <v>6759.705531841666</v>
          </cell>
          <cell r="S88">
            <v>6761.1987202674554</v>
          </cell>
          <cell r="T88">
            <v>6762.6646512940142</v>
          </cell>
          <cell r="U88">
            <v>6764.2251619933331</v>
          </cell>
          <cell r="V88">
            <v>6765.886508478814</v>
          </cell>
          <cell r="AB88">
            <v>3376.4110000000001</v>
          </cell>
          <cell r="AC88">
            <v>3376.712</v>
          </cell>
          <cell r="AD88">
            <v>3406.509</v>
          </cell>
          <cell r="AE88">
            <v>3361.2249999999999</v>
          </cell>
          <cell r="AF88">
            <v>3299.2460000000001</v>
          </cell>
          <cell r="AG88">
            <v>3266.817</v>
          </cell>
          <cell r="AH88">
            <v>3218.3570000000004</v>
          </cell>
          <cell r="AI88">
            <v>3293.614</v>
          </cell>
          <cell r="AJ88">
            <v>3147.1849999999999</v>
          </cell>
          <cell r="AK88">
            <v>3079.88</v>
          </cell>
          <cell r="AL88">
            <v>3640.1570000000002</v>
          </cell>
          <cell r="AM88">
            <v>3613.4289999999996</v>
          </cell>
          <cell r="AN88">
            <v>3609.5509999999999</v>
          </cell>
          <cell r="AO88">
            <v>3602.7280000000001</v>
          </cell>
          <cell r="AP88">
            <v>3563.44</v>
          </cell>
          <cell r="AQ88">
            <v>3543.0160000000001</v>
          </cell>
          <cell r="AR88">
            <v>3571.9360000000001</v>
          </cell>
          <cell r="AS88">
            <v>3976.9650000000001</v>
          </cell>
          <cell r="AT88">
            <v>4026.915</v>
          </cell>
          <cell r="AU88">
            <v>4285.2839999999997</v>
          </cell>
          <cell r="AV88">
            <v>4434.8500000000004</v>
          </cell>
          <cell r="AW88">
            <v>4420.7159999999994</v>
          </cell>
          <cell r="AX88">
            <v>4430.3629999999994</v>
          </cell>
          <cell r="AY88">
            <v>4333.1460000000006</v>
          </cell>
          <cell r="AZ88">
            <v>4335.6759999999995</v>
          </cell>
          <cell r="BA88">
            <v>4447.5250000000005</v>
          </cell>
          <cell r="BB88">
            <v>4190.0909999999994</v>
          </cell>
          <cell r="BC88">
            <v>4214.6239999999998</v>
          </cell>
          <cell r="BD88">
            <v>4232.8709999999992</v>
          </cell>
          <cell r="BE88">
            <v>4156.6620000000003</v>
          </cell>
          <cell r="BF88">
            <v>4808.01</v>
          </cell>
          <cell r="BG88">
            <v>5590.5019999999995</v>
          </cell>
          <cell r="BH88">
            <v>5575.6549999999997</v>
          </cell>
          <cell r="BI88">
            <v>5739.768</v>
          </cell>
          <cell r="BJ88">
            <v>5916.0129999999999</v>
          </cell>
          <cell r="BK88">
            <v>6752.3787507774987</v>
          </cell>
          <cell r="BL88">
            <v>6752.6372803208405</v>
          </cell>
          <cell r="BM88">
            <v>6752.8998279186908</v>
          </cell>
          <cell r="BN88">
            <v>6753.1664583593074</v>
          </cell>
          <cell r="BO88">
            <v>6753.4372372068328</v>
          </cell>
          <cell r="BP88">
            <v>6753.7122311122284</v>
          </cell>
          <cell r="BQ88">
            <v>6753.9915078279373</v>
          </cell>
          <cell r="BR88">
            <v>6754.2751362265763</v>
          </cell>
          <cell r="BS88">
            <v>6754.5631863199078</v>
          </cell>
        </row>
        <row r="89">
          <cell r="A89" t="str">
            <v>Total Debt (Including Operating Leases)</v>
          </cell>
          <cell r="D89">
            <v>3361.2249999999999</v>
          </cell>
          <cell r="E89">
            <v>4345.7161515137504</v>
          </cell>
          <cell r="F89">
            <v>5339.6382318455508</v>
          </cell>
          <cell r="G89">
            <v>5391.2926623760104</v>
          </cell>
          <cell r="H89">
            <v>6183.3073509891219</v>
          </cell>
          <cell r="I89">
            <v>6551.1058459235137</v>
          </cell>
          <cell r="J89">
            <v>6594.5559435119976</v>
          </cell>
          <cell r="K89">
            <v>8153.4598960329413</v>
          </cell>
          <cell r="L89">
            <v>9610.0108730438424</v>
          </cell>
          <cell r="M89">
            <v>9967.8590169930631</v>
          </cell>
          <cell r="N89">
            <v>10309.710692678382</v>
          </cell>
          <cell r="O89">
            <v>10646.993453165922</v>
          </cell>
          <cell r="P89">
            <v>11001.092062390868</v>
          </cell>
          <cell r="Q89">
            <v>11343.118777493259</v>
          </cell>
          <cell r="R89">
            <v>11698.172769958603</v>
          </cell>
          <cell r="S89">
            <v>12065.61758908923</v>
          </cell>
          <cell r="T89">
            <v>12444.554008877531</v>
          </cell>
          <cell r="U89">
            <v>12834.172976451617</v>
          </cell>
          <cell r="V89">
            <v>13233.404622563197</v>
          </cell>
          <cell r="AZ89">
            <v>6715.6079435119973</v>
          </cell>
          <cell r="BA89">
            <v>6827.4569435119984</v>
          </cell>
          <cell r="BB89">
            <v>6570.0229435119973</v>
          </cell>
          <cell r="BC89">
            <v>6594.5559435119976</v>
          </cell>
          <cell r="BD89">
            <v>6795.828896032941</v>
          </cell>
          <cell r="BE89">
            <v>6719.6198960329421</v>
          </cell>
          <cell r="BF89">
            <v>7370.967896032942</v>
          </cell>
          <cell r="BG89">
            <v>8153.4598960329413</v>
          </cell>
          <cell r="BH89">
            <v>8433.2871222663434</v>
          </cell>
          <cell r="BI89">
            <v>8597.4001222663428</v>
          </cell>
          <cell r="BJ89">
            <v>8773.6451222663436</v>
          </cell>
          <cell r="BK89">
            <v>9610.0108730438424</v>
          </cell>
          <cell r="BL89">
            <v>9967.0590601070708</v>
          </cell>
          <cell r="BM89">
            <v>9967.3216077049219</v>
          </cell>
          <cell r="BN89">
            <v>9967.5882381455376</v>
          </cell>
          <cell r="BO89">
            <v>9967.8590169930631</v>
          </cell>
          <cell r="BP89">
            <v>10308.859737470702</v>
          </cell>
          <cell r="BQ89">
            <v>10309.139014186412</v>
          </cell>
          <cell r="BR89">
            <v>10309.42264258505</v>
          </cell>
          <cell r="BS89">
            <v>10309.710692678382</v>
          </cell>
        </row>
        <row r="90">
          <cell r="A90" t="str">
            <v>Net Debt</v>
          </cell>
          <cell r="D90">
            <v>3085.7240000000002</v>
          </cell>
          <cell r="E90">
            <v>3078.0570000000002</v>
          </cell>
          <cell r="F90">
            <v>3500.7279999999996</v>
          </cell>
          <cell r="G90">
            <v>3261.7520000000004</v>
          </cell>
          <cell r="H90">
            <v>4198.4769999999999</v>
          </cell>
          <cell r="I90">
            <v>4138.2030000000004</v>
          </cell>
          <cell r="J90">
            <v>3919.4949999999999</v>
          </cell>
          <cell r="K90">
            <v>4630.567</v>
          </cell>
          <cell r="L90">
            <v>6652.7229418718316</v>
          </cell>
          <cell r="M90">
            <v>6227.2955772412788</v>
          </cell>
          <cell r="N90">
            <v>5263.1191821960401</v>
          </cell>
          <cell r="O90">
            <v>4556.7621270534983</v>
          </cell>
          <cell r="P90">
            <v>4143.0883973243463</v>
          </cell>
          <cell r="Q90">
            <v>3706.0072027477886</v>
          </cell>
          <cell r="R90">
            <v>3258.0940576621138</v>
          </cell>
          <cell r="S90">
            <v>2788.278778893487</v>
          </cell>
          <cell r="T90">
            <v>2313.7845383787162</v>
          </cell>
          <cell r="U90">
            <v>1810.4701372283826</v>
          </cell>
          <cell r="V90">
            <v>1301.0098800922688</v>
          </cell>
          <cell r="AB90">
            <v>3057.8120000000004</v>
          </cell>
          <cell r="AC90">
            <v>3076.23</v>
          </cell>
          <cell r="AD90">
            <v>3056.6559999999999</v>
          </cell>
          <cell r="AE90">
            <v>3085.7240000000002</v>
          </cell>
          <cell r="AF90">
            <v>3081.4110000000001</v>
          </cell>
          <cell r="AG90">
            <v>3068.9610000000002</v>
          </cell>
          <cell r="AH90">
            <v>3091.5240000000008</v>
          </cell>
          <cell r="AI90">
            <v>3078.0570000000002</v>
          </cell>
          <cell r="AJ90">
            <v>3024.3880000000004</v>
          </cell>
          <cell r="AK90">
            <v>2994.2580000000003</v>
          </cell>
          <cell r="AL90">
            <v>3530.9980000000005</v>
          </cell>
          <cell r="AM90">
            <v>3500.7279999999996</v>
          </cell>
          <cell r="AN90">
            <v>3523.9780000000001</v>
          </cell>
          <cell r="AO90">
            <v>3512.2740000000003</v>
          </cell>
          <cell r="AP90">
            <v>3356.2380000000003</v>
          </cell>
          <cell r="AQ90">
            <v>3261.7520000000004</v>
          </cell>
          <cell r="AR90">
            <v>3524.7850000000003</v>
          </cell>
          <cell r="AS90">
            <v>3728.0160000000001</v>
          </cell>
          <cell r="AT90">
            <v>3903.0260000000003</v>
          </cell>
          <cell r="AU90">
            <v>4198.4769999999999</v>
          </cell>
          <cell r="AV90">
            <v>4263.09</v>
          </cell>
          <cell r="AW90">
            <v>4217.4259999999995</v>
          </cell>
          <cell r="AX90">
            <v>4313.3009999999995</v>
          </cell>
          <cell r="AY90">
            <v>4138.2030000000004</v>
          </cell>
          <cell r="AZ90">
            <v>3971.1629999999996</v>
          </cell>
          <cell r="BA90">
            <v>4073.1140000000005</v>
          </cell>
          <cell r="BB90">
            <v>3909.6219999999994</v>
          </cell>
          <cell r="BC90">
            <v>3919.4949999999999</v>
          </cell>
          <cell r="BD90">
            <v>3830.1899999999991</v>
          </cell>
          <cell r="BE90">
            <v>3801.2030000000004</v>
          </cell>
          <cell r="BF90">
            <v>4366.973</v>
          </cell>
          <cell r="BG90">
            <v>4630.567</v>
          </cell>
          <cell r="BH90">
            <v>5133.4047</v>
          </cell>
          <cell r="BI90">
            <v>5357.0197000000007</v>
          </cell>
          <cell r="BJ90">
            <v>5688.2857000000004</v>
          </cell>
          <cell r="BK90">
            <v>6652.7229418718316</v>
          </cell>
          <cell r="BL90">
            <v>6626.1552976266485</v>
          </cell>
          <cell r="BM90">
            <v>6525.4431910259864</v>
          </cell>
          <cell r="BN90">
            <v>6380.886142371648</v>
          </cell>
          <cell r="BO90">
            <v>6227.2955772412788</v>
          </cell>
          <cell r="BP90">
            <v>6019.7245445509361</v>
          </cell>
          <cell r="BQ90">
            <v>5774.9018576178787</v>
          </cell>
          <cell r="BR90">
            <v>5522.2116044888007</v>
          </cell>
          <cell r="BS90">
            <v>5263.1191821960401</v>
          </cell>
        </row>
        <row r="91">
          <cell r="A91" t="str">
            <v>Net Debt (Including Operating Leases)</v>
          </cell>
          <cell r="D91">
            <v>3085.7240000000002</v>
          </cell>
          <cell r="E91">
            <v>4130.1591515137507</v>
          </cell>
          <cell r="F91">
            <v>5226.9372318455507</v>
          </cell>
          <cell r="G91">
            <v>5110.0286623760103</v>
          </cell>
          <cell r="H91">
            <v>6096.5003509891221</v>
          </cell>
          <cell r="I91">
            <v>6356.1628459235135</v>
          </cell>
          <cell r="J91">
            <v>6299.4269435119977</v>
          </cell>
          <cell r="K91">
            <v>7193.5248960329418</v>
          </cell>
          <cell r="L91">
            <v>9510.3550641381753</v>
          </cell>
          <cell r="M91">
            <v>9441.7173570275081</v>
          </cell>
          <cell r="N91">
            <v>8818.266688554515</v>
          </cell>
          <cell r="O91">
            <v>8448.0213034029457</v>
          </cell>
          <cell r="P91">
            <v>8387.201956505598</v>
          </cell>
          <cell r="Q91">
            <v>8290.8254007944925</v>
          </cell>
          <cell r="R91">
            <v>8196.5612957790509</v>
          </cell>
          <cell r="S91">
            <v>8092.6976477152621</v>
          </cell>
          <cell r="T91">
            <v>7995.6738959622326</v>
          </cell>
          <cell r="U91">
            <v>7880.4179516866661</v>
          </cell>
          <cell r="V91">
            <v>7768.5279941766521</v>
          </cell>
          <cell r="AZ91">
            <v>6351.0949435119974</v>
          </cell>
          <cell r="BA91">
            <v>6453.0459435119983</v>
          </cell>
          <cell r="BB91">
            <v>6289.5539435119972</v>
          </cell>
          <cell r="BC91">
            <v>6299.4269435119977</v>
          </cell>
          <cell r="BD91">
            <v>6393.1478960329414</v>
          </cell>
          <cell r="BE91">
            <v>6364.1608960329422</v>
          </cell>
          <cell r="BF91">
            <v>6929.9308960329417</v>
          </cell>
          <cell r="BG91">
            <v>7193.5248960329418</v>
          </cell>
          <cell r="BH91">
            <v>7991.0368222663437</v>
          </cell>
          <cell r="BI91">
            <v>8214.6518222663435</v>
          </cell>
          <cell r="BJ91">
            <v>8545.9178222663431</v>
          </cell>
          <cell r="BK91">
            <v>9510.3550641381753</v>
          </cell>
          <cell r="BL91">
            <v>9840.5770774128796</v>
          </cell>
          <cell r="BM91">
            <v>9739.8649708122175</v>
          </cell>
          <cell r="BN91">
            <v>9595.3079221578773</v>
          </cell>
          <cell r="BO91">
            <v>9441.7173570275081</v>
          </cell>
          <cell r="BP91">
            <v>9574.872050909411</v>
          </cell>
          <cell r="BQ91">
            <v>9330.0493639763536</v>
          </cell>
          <cell r="BR91">
            <v>9077.3591108472756</v>
          </cell>
          <cell r="BS91">
            <v>8818.266688554515</v>
          </cell>
        </row>
        <row r="92">
          <cell r="A92" t="str">
            <v>Total Equity</v>
          </cell>
          <cell r="D92">
            <v>1610.1780000000003</v>
          </cell>
          <cell r="E92">
            <v>1470.9530000000004</v>
          </cell>
          <cell r="F92">
            <v>4541.8209999999999</v>
          </cell>
          <cell r="G92">
            <v>4384.9159999999993</v>
          </cell>
          <cell r="H92">
            <v>3022.0919999999992</v>
          </cell>
          <cell r="I92">
            <v>2991.3220000000006</v>
          </cell>
          <cell r="J92">
            <v>3315.0820000000012</v>
          </cell>
          <cell r="K92">
            <v>3501.4440000000009</v>
          </cell>
          <cell r="L92">
            <v>3236.7816192649143</v>
          </cell>
          <cell r="M92">
            <v>3827.5122897394217</v>
          </cell>
          <cell r="N92">
            <v>4595.8276536153062</v>
          </cell>
          <cell r="O92">
            <v>5118.2554508831836</v>
          </cell>
          <cell r="P92">
            <v>5364.9589984924287</v>
          </cell>
          <cell r="Q92">
            <v>5623.4138185688835</v>
          </cell>
          <cell r="R92">
            <v>5893.576954978912</v>
          </cell>
          <cell r="S92">
            <v>6164.1038859441469</v>
          </cell>
          <cell r="T92">
            <v>6432.6872836535995</v>
          </cell>
          <cell r="U92">
            <v>6696.6046459781755</v>
          </cell>
          <cell r="V92">
            <v>6953.3052355732734</v>
          </cell>
          <cell r="AB92">
            <v>1710.1410000000003</v>
          </cell>
          <cell r="AC92">
            <v>1685.8060000000005</v>
          </cell>
          <cell r="AD92">
            <v>1757.1730000000007</v>
          </cell>
          <cell r="AE92">
            <v>1610.1780000000003</v>
          </cell>
          <cell r="AF92">
            <v>1565.3240000000001</v>
          </cell>
          <cell r="AG92">
            <v>1538.7699999999995</v>
          </cell>
          <cell r="AH92">
            <v>1506.4209999999998</v>
          </cell>
          <cell r="AI92">
            <v>1470.9530000000004</v>
          </cell>
          <cell r="AJ92">
            <v>1452.3310000000001</v>
          </cell>
          <cell r="AK92">
            <v>1426.1889999999999</v>
          </cell>
          <cell r="AL92">
            <v>4638.4139999999998</v>
          </cell>
          <cell r="AM92">
            <v>4541.8209999999999</v>
          </cell>
          <cell r="AN92">
            <v>4428.0749999999989</v>
          </cell>
          <cell r="AO92">
            <v>4374.6550000000007</v>
          </cell>
          <cell r="AP92">
            <v>4384.1129999999994</v>
          </cell>
          <cell r="AQ92">
            <v>4384.9159999999993</v>
          </cell>
          <cell r="AR92">
            <v>3993.5179999999996</v>
          </cell>
          <cell r="AS92">
            <v>3636.7629999999999</v>
          </cell>
          <cell r="AT92">
            <v>3375.7049999999995</v>
          </cell>
          <cell r="AU92">
            <v>3022.0919999999992</v>
          </cell>
          <cell r="AV92">
            <v>2913.2670000000007</v>
          </cell>
          <cell r="AW92">
            <v>3024.5009999999993</v>
          </cell>
          <cell r="AX92">
            <v>2840.0419999999999</v>
          </cell>
          <cell r="AY92">
            <v>2991.3220000000006</v>
          </cell>
          <cell r="AZ92">
            <v>3078.92</v>
          </cell>
          <cell r="BA92">
            <v>3087.7809999999999</v>
          </cell>
          <cell r="BB92">
            <v>3231.8149999999991</v>
          </cell>
          <cell r="BC92">
            <v>3315.0820000000012</v>
          </cell>
          <cell r="BD92">
            <v>3454.9099999999989</v>
          </cell>
          <cell r="BE92">
            <v>3426.9989999999989</v>
          </cell>
          <cell r="BF92">
            <v>3450.6000000000013</v>
          </cell>
          <cell r="BG92">
            <v>3501.4440000000009</v>
          </cell>
          <cell r="BH92">
            <v>3499.1940000000004</v>
          </cell>
          <cell r="BI92">
            <v>3561.8629999999994</v>
          </cell>
          <cell r="BJ92">
            <v>3263.2900000000018</v>
          </cell>
          <cell r="BK92">
            <v>3236.7816192649143</v>
          </cell>
          <cell r="BL92">
            <v>3347.5224627437756</v>
          </cell>
          <cell r="BM92">
            <v>3490.1557058808967</v>
          </cell>
          <cell r="BN92">
            <v>3652.0127407821856</v>
          </cell>
          <cell r="BO92">
            <v>3827.5122897394217</v>
          </cell>
          <cell r="BP92">
            <v>3999.5724347268952</v>
          </cell>
          <cell r="BQ92">
            <v>4188.1196661125068</v>
          </cell>
          <cell r="BR92">
            <v>4386.8393191464074</v>
          </cell>
          <cell r="BS92">
            <v>4595.8276536153062</v>
          </cell>
        </row>
        <row r="93">
          <cell r="A93" t="str">
            <v>DSOs</v>
          </cell>
          <cell r="D93">
            <v>30.132652913289938</v>
          </cell>
          <cell r="E93">
            <v>19.681657374126171</v>
          </cell>
          <cell r="F93">
            <v>14.096525562402492</v>
          </cell>
          <cell r="G93">
            <v>8.0253532566409973</v>
          </cell>
          <cell r="H93">
            <v>9.9641767026364256</v>
          </cell>
          <cell r="I93">
            <v>11.592490511476596</v>
          </cell>
          <cell r="J93">
            <v>14.187948128720027</v>
          </cell>
          <cell r="K93">
            <v>14.680625687856205</v>
          </cell>
          <cell r="L93">
            <v>17.088212112108895</v>
          </cell>
          <cell r="M93">
            <v>17.075878646898168</v>
          </cell>
          <cell r="N93">
            <v>16.556727365234931</v>
          </cell>
          <cell r="O93">
            <v>16.556727365234931</v>
          </cell>
          <cell r="P93">
            <v>16.556727365234931</v>
          </cell>
          <cell r="Q93">
            <v>16.556727365234931</v>
          </cell>
          <cell r="R93">
            <v>16.556727365234931</v>
          </cell>
          <cell r="S93">
            <v>16.556727365234931</v>
          </cell>
          <cell r="T93">
            <v>16.556727365234931</v>
          </cell>
          <cell r="U93">
            <v>16.556727365234931</v>
          </cell>
          <cell r="V93">
            <v>16.556727365234931</v>
          </cell>
          <cell r="AB93">
            <v>43.910024958660287</v>
          </cell>
          <cell r="AC93">
            <v>29.731290149587526</v>
          </cell>
          <cell r="AD93">
            <v>25.343654012864278</v>
          </cell>
          <cell r="AE93">
            <v>31.274413621672377</v>
          </cell>
          <cell r="AF93">
            <v>24.692667263064976</v>
          </cell>
          <cell r="AG93">
            <v>23.085053281638146</v>
          </cell>
          <cell r="AH93">
            <v>20.750438133358394</v>
          </cell>
          <cell r="AI93">
            <v>18.825854376922077</v>
          </cell>
          <cell r="AJ93">
            <v>14.852648422879771</v>
          </cell>
          <cell r="AK93">
            <v>11.063596724449642</v>
          </cell>
          <cell r="AL93">
            <v>12.76608522886087</v>
          </cell>
          <cell r="AM93">
            <v>10.823405119869971</v>
          </cell>
          <cell r="AN93">
            <v>9.330074997893318</v>
          </cell>
          <cell r="AO93">
            <v>8.5016709476068169</v>
          </cell>
          <cell r="AP93">
            <v>9.0427238677290411</v>
          </cell>
          <cell r="AQ93">
            <v>7.828080297115914</v>
          </cell>
          <cell r="AR93">
            <v>8.6135714974721544</v>
          </cell>
          <cell r="AS93">
            <v>11.403704561370224</v>
          </cell>
          <cell r="AT93">
            <v>11.367003550199275</v>
          </cell>
          <cell r="AU93">
            <v>9.5962042992552465</v>
          </cell>
          <cell r="AV93">
            <v>8.7413392502040885</v>
          </cell>
          <cell r="AW93">
            <v>9.3202921814044206</v>
          </cell>
          <cell r="AX93">
            <v>10.147727161664239</v>
          </cell>
          <cell r="AY93">
            <v>11.310062597349164</v>
          </cell>
          <cell r="AZ93">
            <v>13.225889330964719</v>
          </cell>
          <cell r="BA93">
            <v>15.418015013298438</v>
          </cell>
          <cell r="BB93">
            <v>14.443408653359004</v>
          </cell>
          <cell r="BC93">
            <v>13.651291484084979</v>
          </cell>
          <cell r="BD93">
            <v>14.564689261806995</v>
          </cell>
          <cell r="BE93">
            <v>9.3597226862324092</v>
          </cell>
          <cell r="BF93">
            <v>16.282586758408954</v>
          </cell>
          <cell r="BG93">
            <v>13.305206686119764</v>
          </cell>
          <cell r="BH93">
            <v>15.647215631914271</v>
          </cell>
          <cell r="BI93">
            <v>15.04277210813164</v>
          </cell>
          <cell r="BJ93">
            <v>14.285576052144423</v>
          </cell>
          <cell r="BK93">
            <v>16</v>
          </cell>
          <cell r="BL93">
            <v>16</v>
          </cell>
          <cell r="BM93">
            <v>16</v>
          </cell>
          <cell r="BN93">
            <v>16</v>
          </cell>
          <cell r="BO93">
            <v>16</v>
          </cell>
          <cell r="BP93">
            <v>16</v>
          </cell>
          <cell r="BQ93">
            <v>16</v>
          </cell>
          <cell r="BR93">
            <v>16</v>
          </cell>
          <cell r="BS93">
            <v>16</v>
          </cell>
        </row>
        <row r="94">
          <cell r="A94" t="str">
            <v>DPOs</v>
          </cell>
          <cell r="D94">
            <v>128.58620174346203</v>
          </cell>
          <cell r="E94">
            <v>171.02575816143656</v>
          </cell>
          <cell r="F94">
            <v>251.52506373791124</v>
          </cell>
          <cell r="G94">
            <v>196.62580740939111</v>
          </cell>
          <cell r="H94">
            <v>175.64843085239499</v>
          </cell>
          <cell r="I94">
            <v>140.34602608662198</v>
          </cell>
          <cell r="J94">
            <v>160.07128189732813</v>
          </cell>
          <cell r="K94">
            <v>221.9102122692199</v>
          </cell>
          <cell r="L94">
            <v>221.7358123027611</v>
          </cell>
          <cell r="M94">
            <v>213.15105114593285</v>
          </cell>
          <cell r="N94">
            <v>206.85303474033387</v>
          </cell>
          <cell r="O94">
            <v>206.85303474033387</v>
          </cell>
          <cell r="P94">
            <v>206.85303474033387</v>
          </cell>
          <cell r="Q94">
            <v>206.85303474033387</v>
          </cell>
          <cell r="R94">
            <v>206.85303474033387</v>
          </cell>
          <cell r="S94">
            <v>206.85303474033387</v>
          </cell>
          <cell r="T94">
            <v>206.85303474033387</v>
          </cell>
          <cell r="U94">
            <v>206.85303474033387</v>
          </cell>
          <cell r="V94">
            <v>206.85303474033387</v>
          </cell>
          <cell r="AB94">
            <v>138.7924249877029</v>
          </cell>
          <cell r="AC94">
            <v>104.78024815771242</v>
          </cell>
          <cell r="AD94">
            <v>95.935371785962488</v>
          </cell>
          <cell r="AE94">
            <v>155.59908056323539</v>
          </cell>
          <cell r="AF94">
            <v>145.40945272835017</v>
          </cell>
          <cell r="AG94">
            <v>152.2038433471175</v>
          </cell>
          <cell r="AH94">
            <v>145.21593917379792</v>
          </cell>
          <cell r="AI94">
            <v>163.3449186294545</v>
          </cell>
          <cell r="AJ94">
            <v>218.69907565902088</v>
          </cell>
          <cell r="AK94">
            <v>221.11914395448667</v>
          </cell>
          <cell r="AL94">
            <v>242.22899916828391</v>
          </cell>
          <cell r="AM94">
            <v>188.05934073632957</v>
          </cell>
          <cell r="AN94">
            <v>197.600352889281</v>
          </cell>
          <cell r="AO94">
            <v>174.94663914062775</v>
          </cell>
          <cell r="AP94">
            <v>174.30369338297436</v>
          </cell>
          <cell r="AQ94">
            <v>190.54295579175408</v>
          </cell>
          <cell r="AR94">
            <v>178.99052507361111</v>
          </cell>
          <cell r="AS94">
            <v>205.78196841473977</v>
          </cell>
          <cell r="AT94">
            <v>206.67244894510966</v>
          </cell>
          <cell r="AU94">
            <v>168.85970915312231</v>
          </cell>
          <cell r="AV94">
            <v>148.61160803021266</v>
          </cell>
          <cell r="AW94">
            <v>128.22356875941946</v>
          </cell>
          <cell r="AX94">
            <v>129.1449781911667</v>
          </cell>
          <cell r="AY94">
            <v>138.77655581032002</v>
          </cell>
          <cell r="AZ94">
            <v>132.89104958804563</v>
          </cell>
          <cell r="BA94">
            <v>151.49863999298063</v>
          </cell>
          <cell r="BB94">
            <v>137.54102436598706</v>
          </cell>
          <cell r="BC94">
            <v>154.9949303740361</v>
          </cell>
          <cell r="BD94">
            <v>155.41481558012191</v>
          </cell>
          <cell r="BE94">
            <v>164.47205411812939</v>
          </cell>
          <cell r="BF94">
            <v>180.0043912078261</v>
          </cell>
          <cell r="BG94">
            <v>198.04332618752116</v>
          </cell>
          <cell r="BH94">
            <v>286.9082525419721</v>
          </cell>
          <cell r="BI94">
            <v>202.50461685100973</v>
          </cell>
          <cell r="BJ94">
            <v>187.94604961730391</v>
          </cell>
          <cell r="BK94">
            <v>200</v>
          </cell>
          <cell r="BL94">
            <v>200</v>
          </cell>
          <cell r="BM94">
            <v>200</v>
          </cell>
          <cell r="BN94">
            <v>200</v>
          </cell>
          <cell r="BO94">
            <v>200</v>
          </cell>
          <cell r="BP94">
            <v>200</v>
          </cell>
          <cell r="BQ94">
            <v>200</v>
          </cell>
          <cell r="BR94">
            <v>200</v>
          </cell>
          <cell r="BS94">
            <v>200</v>
          </cell>
        </row>
        <row r="97">
          <cell r="A97" t="str">
            <v>Total Leverage</v>
          </cell>
          <cell r="F97">
            <v>6.0156842049185242</v>
          </cell>
          <cell r="G97">
            <v>4.080715567462228</v>
          </cell>
          <cell r="H97">
            <v>4.3776748272286614</v>
          </cell>
          <cell r="I97">
            <v>3.9668691078003628</v>
          </cell>
          <cell r="J97">
            <v>3.5689175857907989</v>
          </cell>
          <cell r="K97">
            <v>4.1480321246998688</v>
          </cell>
          <cell r="L97">
            <v>4.2624069079683702</v>
          </cell>
          <cell r="M97">
            <v>3.5550306357708004</v>
          </cell>
          <cell r="N97">
            <v>3.1829945988737478</v>
          </cell>
          <cell r="O97">
            <v>3.0095761124635385</v>
          </cell>
          <cell r="P97">
            <v>2.892411440921308</v>
          </cell>
          <cell r="Q97">
            <v>2.788083829155136</v>
          </cell>
          <cell r="R97">
            <v>2.7014120581880876</v>
          </cell>
          <cell r="S97">
            <v>2.6303592822213333</v>
          </cell>
          <cell r="T97">
            <v>2.5732449553890535</v>
          </cell>
          <cell r="U97">
            <v>2.5300318190560271</v>
          </cell>
          <cell r="V97">
            <v>2.4982433832790205</v>
          </cell>
          <cell r="AB97">
            <v>9.9151063629849787</v>
          </cell>
          <cell r="AC97">
            <v>9.1301968418775701</v>
          </cell>
          <cell r="AD97">
            <v>8.7289087163297925</v>
          </cell>
          <cell r="AE97">
            <v>8.3328168539214431</v>
          </cell>
          <cell r="AF97">
            <v>8.0067126146677676</v>
          </cell>
          <cell r="AG97">
            <v>7.5882135689597492</v>
          </cell>
          <cell r="AH97">
            <v>7.1435227111300534</v>
          </cell>
          <cell r="AI97">
            <v>7.2152427269540835</v>
          </cell>
          <cell r="AJ97">
            <v>6.7080129079562125</v>
          </cell>
          <cell r="AK97">
            <v>6.2928667167936183</v>
          </cell>
          <cell r="AL97">
            <v>5.4917913329994148</v>
          </cell>
          <cell r="AM97">
            <v>4.6252246417252474</v>
          </cell>
          <cell r="AN97">
            <v>4.1875501756437563</v>
          </cell>
          <cell r="AO97">
            <v>4.1612126756203596</v>
          </cell>
          <cell r="AP97">
            <v>4.0904916707991248</v>
          </cell>
          <cell r="AQ97">
            <v>4.0536827364008312</v>
          </cell>
          <cell r="AR97">
            <v>3.7788667428377987</v>
          </cell>
          <cell r="AS97">
            <v>4.1178276481892588</v>
          </cell>
          <cell r="AT97">
            <v>4.0491366620010618</v>
          </cell>
          <cell r="AU97">
            <v>4.2427042204436276</v>
          </cell>
          <cell r="AV97">
            <v>4.2233127128393049</v>
          </cell>
          <cell r="AW97">
            <v>4.059412086640636</v>
          </cell>
          <cell r="AX97">
            <v>3.9909297113433997</v>
          </cell>
          <cell r="AY97">
            <v>3.8684106215673819</v>
          </cell>
          <cell r="AZ97">
            <v>3.8549073721721743</v>
          </cell>
          <cell r="BA97">
            <v>3.8694992082688064</v>
          </cell>
          <cell r="BB97">
            <v>3.4437481302250967</v>
          </cell>
          <cell r="BC97">
            <v>3.4185192395042496</v>
          </cell>
          <cell r="BD97">
            <v>3.3971459252268037</v>
          </cell>
          <cell r="BE97">
            <v>3.2375883652315336</v>
          </cell>
          <cell r="BF97">
            <v>3.4343713570595904</v>
          </cell>
          <cell r="BG97">
            <v>3.8261234378635849</v>
          </cell>
          <cell r="BH97">
            <v>3.6964818930128458</v>
          </cell>
          <cell r="BI97">
            <v>3.6877161962818099</v>
          </cell>
          <cell r="BJ97">
            <v>3.7079924737194414</v>
          </cell>
          <cell r="BK97">
            <v>4.0279487378488801</v>
          </cell>
          <cell r="BL97">
            <v>3.8945795583363036</v>
          </cell>
          <cell r="BM97">
            <v>3.6010279557124427</v>
          </cell>
          <cell r="BN97">
            <v>3.4419527039589646</v>
          </cell>
          <cell r="BO97">
            <v>3.3307585395464478</v>
          </cell>
          <cell r="BP97">
            <v>3.3230013151069571</v>
          </cell>
          <cell r="BQ97">
            <v>3.2135835907785237</v>
          </cell>
          <cell r="BR97">
            <v>3.1294007185334611</v>
          </cell>
          <cell r="BS97">
            <v>3.07603109429916</v>
          </cell>
        </row>
        <row r="98">
          <cell r="A98" t="str">
            <v>Net Leverage</v>
          </cell>
          <cell r="F98">
            <v>5.8280580953205439</v>
          </cell>
          <cell r="G98">
            <v>3.7567660331201043</v>
          </cell>
          <cell r="H98">
            <v>4.2889962661981125</v>
          </cell>
          <cell r="I98">
            <v>3.7884044623714002</v>
          </cell>
          <cell r="J98">
            <v>3.3190041704595967</v>
          </cell>
          <cell r="K98">
            <v>3.4357810213778834</v>
          </cell>
          <cell r="L98">
            <v>4.1994996535064102</v>
          </cell>
          <cell r="M98">
            <v>3.2780680085581055</v>
          </cell>
          <cell r="N98">
            <v>2.4801722136655404</v>
          </cell>
          <cell r="O98">
            <v>2.0299677112553938</v>
          </cell>
          <cell r="P98">
            <v>1.773502205975201</v>
          </cell>
          <cell r="Q98">
            <v>1.5288841671436462</v>
          </cell>
          <cell r="R98">
            <v>1.3020470392711696</v>
          </cell>
          <cell r="S98">
            <v>1.0847447724762522</v>
          </cell>
          <cell r="T98">
            <v>0.88041248505512615</v>
          </cell>
          <cell r="U98">
            <v>0.67717246912116524</v>
          </cell>
          <cell r="V98">
            <v>0.48038632046931856</v>
          </cell>
          <cell r="AB98">
            <v>8.9795144068692547</v>
          </cell>
          <cell r="AC98">
            <v>8.317731992212849</v>
          </cell>
          <cell r="AD98">
            <v>7.8324381944159711</v>
          </cell>
          <cell r="AE98">
            <v>7.6498220005354867</v>
          </cell>
          <cell r="AF98">
            <v>7.4780638741930785</v>
          </cell>
          <cell r="AG98">
            <v>7.1286305608206035</v>
          </cell>
          <cell r="AH98">
            <v>6.8620019177498426</v>
          </cell>
          <cell r="AI98">
            <v>6.7430270767613045</v>
          </cell>
          <cell r="AJ98">
            <v>6.4462793711421087</v>
          </cell>
          <cell r="AK98">
            <v>6.1179222923273073</v>
          </cell>
          <cell r="AL98">
            <v>5.3271065542607827</v>
          </cell>
          <cell r="AM98">
            <v>4.4809662538208288</v>
          </cell>
          <cell r="AN98">
            <v>4.0882743290965369</v>
          </cell>
          <cell r="AO98">
            <v>4.0567367531081517</v>
          </cell>
          <cell r="AP98">
            <v>3.8526433963303761</v>
          </cell>
          <cell r="AQ98">
            <v>3.7318792161313654</v>
          </cell>
          <cell r="AR98">
            <v>3.728984173331642</v>
          </cell>
          <cell r="AS98">
            <v>3.8600609655081017</v>
          </cell>
          <cell r="AT98">
            <v>3.9245640072719086</v>
          </cell>
          <cell r="AU98">
            <v>4.1567597590580929</v>
          </cell>
          <cell r="AV98">
            <v>4.0597454689511734</v>
          </cell>
          <cell r="AW98">
            <v>3.8727369229130462</v>
          </cell>
          <cell r="AX98">
            <v>3.8854787101795489</v>
          </cell>
          <cell r="AY98">
            <v>3.6943755044030371</v>
          </cell>
          <cell r="AZ98">
            <v>3.5308140010455964</v>
          </cell>
          <cell r="BA98">
            <v>3.5437488037028668</v>
          </cell>
          <cell r="BB98">
            <v>3.213236526936265</v>
          </cell>
          <cell r="BC98">
            <v>3.1791374667445327</v>
          </cell>
          <cell r="BD98">
            <v>3.0739690274861791</v>
          </cell>
          <cell r="BE98">
            <v>2.9607244001757183</v>
          </cell>
          <cell r="BF98">
            <v>3.1193377277194911</v>
          </cell>
          <cell r="BG98">
            <v>3.1691466936775385</v>
          </cell>
          <cell r="BH98">
            <v>3.4032840129199244</v>
          </cell>
          <cell r="BI98">
            <v>3.4418060645466375</v>
          </cell>
          <cell r="BJ98">
            <v>3.5652593332648062</v>
          </cell>
          <cell r="BK98">
            <v>3.9685017630098769</v>
          </cell>
          <cell r="BL98">
            <v>3.821631149610988</v>
          </cell>
          <cell r="BM98">
            <v>3.479735217920505</v>
          </cell>
          <cell r="BN98">
            <v>3.2522089373651033</v>
          </cell>
          <cell r="BO98">
            <v>3.0712683325024552</v>
          </cell>
          <cell r="BP98">
            <v>2.9618603656185281</v>
          </cell>
          <cell r="BQ98">
            <v>2.7477277438812573</v>
          </cell>
          <cell r="BR98">
            <v>2.5585592257403356</v>
          </cell>
          <cell r="BS98">
            <v>2.3968268281546612</v>
          </cell>
        </row>
        <row r="102">
          <cell r="A102" t="str">
            <v>Debt and Interest Schedule</v>
          </cell>
        </row>
        <row r="104">
          <cell r="A104" t="str">
            <v>Commerical Mort. Pass-through Certificates, Series 2007-1 (Apr. 15, 2014)</v>
          </cell>
        </row>
        <row r="105">
          <cell r="A105" t="str">
            <v>Beginning</v>
          </cell>
          <cell r="H105">
            <v>1750</v>
          </cell>
          <cell r="I105">
            <v>1750</v>
          </cell>
          <cell r="J105">
            <v>1750</v>
          </cell>
          <cell r="K105">
            <v>1750</v>
          </cell>
          <cell r="L105">
            <v>1750</v>
          </cell>
          <cell r="M105">
            <v>1750</v>
          </cell>
          <cell r="N105">
            <v>1750</v>
          </cell>
          <cell r="O105">
            <v>1750</v>
          </cell>
          <cell r="P105">
            <v>1750</v>
          </cell>
          <cell r="Q105">
            <v>1750</v>
          </cell>
          <cell r="R105">
            <v>1750</v>
          </cell>
          <cell r="S105">
            <v>1750</v>
          </cell>
          <cell r="T105">
            <v>1750</v>
          </cell>
          <cell r="U105">
            <v>1750</v>
          </cell>
          <cell r="V105">
            <v>1750</v>
          </cell>
          <cell r="AT105">
            <v>1750</v>
          </cell>
          <cell r="AU105">
            <v>1750</v>
          </cell>
          <cell r="AV105">
            <v>1750</v>
          </cell>
          <cell r="AW105">
            <v>1750</v>
          </cell>
          <cell r="AX105">
            <v>1750</v>
          </cell>
          <cell r="AY105">
            <v>1750</v>
          </cell>
          <cell r="AZ105">
            <v>1750</v>
          </cell>
          <cell r="BA105">
            <v>1750</v>
          </cell>
          <cell r="BB105">
            <v>1750</v>
          </cell>
          <cell r="BC105">
            <v>1750</v>
          </cell>
          <cell r="BD105">
            <v>1750</v>
          </cell>
          <cell r="BE105">
            <v>1750</v>
          </cell>
          <cell r="BF105">
            <v>1750</v>
          </cell>
          <cell r="BG105">
            <v>1750</v>
          </cell>
          <cell r="BH105">
            <v>1750</v>
          </cell>
          <cell r="BI105">
            <v>1750</v>
          </cell>
          <cell r="BJ105">
            <v>1750</v>
          </cell>
          <cell r="BK105">
            <v>1750</v>
          </cell>
          <cell r="BL105">
            <v>1750</v>
          </cell>
          <cell r="BM105">
            <v>1750</v>
          </cell>
          <cell r="BN105">
            <v>1750</v>
          </cell>
          <cell r="BO105">
            <v>1750</v>
          </cell>
          <cell r="BP105">
            <v>1750</v>
          </cell>
          <cell r="BQ105">
            <v>1750</v>
          </cell>
          <cell r="BR105">
            <v>1750</v>
          </cell>
          <cell r="BS105">
            <v>1750</v>
          </cell>
        </row>
        <row r="106">
          <cell r="A106" t="str">
            <v>Addition (Retirement)</v>
          </cell>
          <cell r="H106">
            <v>0</v>
          </cell>
          <cell r="I106">
            <v>0</v>
          </cell>
          <cell r="J106">
            <v>0</v>
          </cell>
          <cell r="K106">
            <v>0</v>
          </cell>
          <cell r="L106">
            <v>0</v>
          </cell>
          <cell r="M106">
            <v>0</v>
          </cell>
          <cell r="N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row>
        <row r="107">
          <cell r="A107" t="str">
            <v>Ending Balance</v>
          </cell>
          <cell r="H107">
            <v>1750</v>
          </cell>
          <cell r="I107">
            <v>1750</v>
          </cell>
          <cell r="J107">
            <v>1750</v>
          </cell>
          <cell r="K107">
            <v>1750</v>
          </cell>
          <cell r="L107">
            <v>1750</v>
          </cell>
          <cell r="M107">
            <v>1750</v>
          </cell>
          <cell r="N107">
            <v>1750</v>
          </cell>
          <cell r="O107">
            <v>1750</v>
          </cell>
          <cell r="P107">
            <v>1750</v>
          </cell>
          <cell r="Q107">
            <v>1750</v>
          </cell>
          <cell r="R107">
            <v>1750</v>
          </cell>
          <cell r="S107">
            <v>1750</v>
          </cell>
          <cell r="T107">
            <v>1750</v>
          </cell>
          <cell r="U107">
            <v>1750</v>
          </cell>
          <cell r="V107">
            <v>1750</v>
          </cell>
          <cell r="AT107">
            <v>1750</v>
          </cell>
          <cell r="AU107">
            <v>1750</v>
          </cell>
          <cell r="AV107">
            <v>1750</v>
          </cell>
          <cell r="AW107">
            <v>1750</v>
          </cell>
          <cell r="AX107">
            <v>1750</v>
          </cell>
          <cell r="AY107">
            <v>1750</v>
          </cell>
          <cell r="AZ107">
            <v>1750</v>
          </cell>
          <cell r="BA107">
            <v>1750</v>
          </cell>
          <cell r="BB107">
            <v>1750</v>
          </cell>
          <cell r="BC107">
            <v>1750</v>
          </cell>
          <cell r="BD107">
            <v>1750</v>
          </cell>
          <cell r="BE107">
            <v>1750</v>
          </cell>
          <cell r="BF107">
            <v>1750</v>
          </cell>
          <cell r="BG107">
            <v>1750</v>
          </cell>
          <cell r="BH107">
            <v>1750</v>
          </cell>
          <cell r="BI107">
            <v>1750</v>
          </cell>
          <cell r="BJ107">
            <v>1750</v>
          </cell>
          <cell r="BK107">
            <v>1750</v>
          </cell>
          <cell r="BL107">
            <v>1750</v>
          </cell>
          <cell r="BM107">
            <v>1750</v>
          </cell>
          <cell r="BN107">
            <v>1750</v>
          </cell>
          <cell r="BO107">
            <v>1750</v>
          </cell>
          <cell r="BP107">
            <v>1750</v>
          </cell>
          <cell r="BQ107">
            <v>1750</v>
          </cell>
          <cell r="BR107">
            <v>1750</v>
          </cell>
          <cell r="BS107">
            <v>1750</v>
          </cell>
        </row>
        <row r="109">
          <cell r="A109" t="str">
            <v>Senior Unsecured Term Loan (Jun 8, 2012)</v>
          </cell>
        </row>
        <row r="110">
          <cell r="A110" t="str">
            <v>Beginning</v>
          </cell>
          <cell r="J110">
            <v>325</v>
          </cell>
          <cell r="K110">
            <v>325</v>
          </cell>
          <cell r="L110">
            <v>325</v>
          </cell>
          <cell r="M110">
            <v>325</v>
          </cell>
          <cell r="N110">
            <v>325</v>
          </cell>
          <cell r="O110">
            <v>325</v>
          </cell>
          <cell r="P110">
            <v>325</v>
          </cell>
          <cell r="Q110">
            <v>325</v>
          </cell>
          <cell r="R110">
            <v>325</v>
          </cell>
          <cell r="S110">
            <v>325</v>
          </cell>
          <cell r="T110">
            <v>325</v>
          </cell>
          <cell r="U110">
            <v>325</v>
          </cell>
          <cell r="V110">
            <v>325</v>
          </cell>
          <cell r="AW110">
            <v>325</v>
          </cell>
          <cell r="AX110">
            <v>325</v>
          </cell>
          <cell r="AY110">
            <v>325</v>
          </cell>
          <cell r="AZ110">
            <v>325</v>
          </cell>
          <cell r="BA110">
            <v>325</v>
          </cell>
          <cell r="BB110">
            <v>325</v>
          </cell>
          <cell r="BC110">
            <v>325</v>
          </cell>
          <cell r="BD110">
            <v>325</v>
          </cell>
          <cell r="BE110">
            <v>325</v>
          </cell>
          <cell r="BF110">
            <v>325</v>
          </cell>
          <cell r="BG110">
            <v>325</v>
          </cell>
          <cell r="BH110">
            <v>325</v>
          </cell>
          <cell r="BI110">
            <v>325</v>
          </cell>
          <cell r="BJ110">
            <v>325</v>
          </cell>
          <cell r="BK110">
            <v>325</v>
          </cell>
          <cell r="BL110">
            <v>325</v>
          </cell>
          <cell r="BM110">
            <v>325</v>
          </cell>
          <cell r="BN110">
            <v>325</v>
          </cell>
          <cell r="BO110">
            <v>325</v>
          </cell>
          <cell r="BP110">
            <v>325</v>
          </cell>
          <cell r="BQ110">
            <v>325</v>
          </cell>
          <cell r="BR110">
            <v>325</v>
          </cell>
          <cell r="BS110">
            <v>325</v>
          </cell>
        </row>
        <row r="111">
          <cell r="A111" t="str">
            <v>Addition (Retirement)</v>
          </cell>
          <cell r="I111">
            <v>325</v>
          </cell>
          <cell r="J111">
            <v>0</v>
          </cell>
          <cell r="K111">
            <v>0</v>
          </cell>
          <cell r="L111">
            <v>0</v>
          </cell>
          <cell r="M111">
            <v>0</v>
          </cell>
          <cell r="N111">
            <v>0</v>
          </cell>
          <cell r="AV111">
            <v>325</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row>
        <row r="112">
          <cell r="A112" t="str">
            <v>Ending Balance</v>
          </cell>
          <cell r="I112">
            <v>325</v>
          </cell>
          <cell r="J112">
            <v>325</v>
          </cell>
          <cell r="K112">
            <v>325</v>
          </cell>
          <cell r="L112">
            <v>325</v>
          </cell>
          <cell r="M112">
            <v>325</v>
          </cell>
          <cell r="N112">
            <v>325</v>
          </cell>
          <cell r="O112">
            <v>325</v>
          </cell>
          <cell r="P112">
            <v>325</v>
          </cell>
          <cell r="Q112">
            <v>325</v>
          </cell>
          <cell r="R112">
            <v>325</v>
          </cell>
          <cell r="S112">
            <v>325</v>
          </cell>
          <cell r="T112">
            <v>325</v>
          </cell>
          <cell r="U112">
            <v>325</v>
          </cell>
          <cell r="V112">
            <v>325</v>
          </cell>
          <cell r="AR112">
            <v>516</v>
          </cell>
          <cell r="AV112">
            <v>325</v>
          </cell>
          <cell r="AW112">
            <v>325</v>
          </cell>
          <cell r="AX112">
            <v>325</v>
          </cell>
          <cell r="AY112">
            <v>325</v>
          </cell>
          <cell r="AZ112">
            <v>325</v>
          </cell>
          <cell r="BA112">
            <v>325</v>
          </cell>
          <cell r="BB112">
            <v>325</v>
          </cell>
          <cell r="BC112">
            <v>325</v>
          </cell>
          <cell r="BD112">
            <v>325</v>
          </cell>
          <cell r="BE112">
            <v>325</v>
          </cell>
          <cell r="BF112">
            <v>325</v>
          </cell>
          <cell r="BG112">
            <v>325</v>
          </cell>
          <cell r="BH112">
            <v>325</v>
          </cell>
          <cell r="BI112">
            <v>325</v>
          </cell>
          <cell r="BJ112">
            <v>325</v>
          </cell>
          <cell r="BK112">
            <v>325</v>
          </cell>
          <cell r="BL112">
            <v>325</v>
          </cell>
          <cell r="BM112">
            <v>325</v>
          </cell>
          <cell r="BN112">
            <v>325</v>
          </cell>
          <cell r="BO112">
            <v>325</v>
          </cell>
          <cell r="BP112">
            <v>325</v>
          </cell>
          <cell r="BQ112">
            <v>325</v>
          </cell>
          <cell r="BR112">
            <v>325</v>
          </cell>
          <cell r="BS112">
            <v>325</v>
          </cell>
        </row>
        <row r="114">
          <cell r="A114" t="str">
            <v>Revolving Credit Facility (Jun 8, 2012)</v>
          </cell>
        </row>
        <row r="115">
          <cell r="A115" t="str">
            <v>Beginning</v>
          </cell>
          <cell r="H115">
            <v>550</v>
          </cell>
          <cell r="I115">
            <v>825</v>
          </cell>
          <cell r="J115">
            <v>750</v>
          </cell>
          <cell r="K115">
            <v>550</v>
          </cell>
          <cell r="L115">
            <v>300</v>
          </cell>
          <cell r="M115">
            <v>516</v>
          </cell>
          <cell r="N115">
            <v>516</v>
          </cell>
          <cell r="O115">
            <v>516</v>
          </cell>
          <cell r="P115">
            <v>516</v>
          </cell>
          <cell r="Q115">
            <v>516</v>
          </cell>
          <cell r="R115">
            <v>516</v>
          </cell>
          <cell r="S115">
            <v>516</v>
          </cell>
          <cell r="T115">
            <v>516</v>
          </cell>
          <cell r="U115">
            <v>516</v>
          </cell>
          <cell r="V115">
            <v>516</v>
          </cell>
          <cell r="AT115">
            <v>550</v>
          </cell>
          <cell r="AU115">
            <v>550</v>
          </cell>
          <cell r="AV115">
            <v>825</v>
          </cell>
          <cell r="AW115">
            <v>650</v>
          </cell>
          <cell r="AX115">
            <v>650</v>
          </cell>
          <cell r="AY115">
            <v>700</v>
          </cell>
          <cell r="AZ115">
            <v>750</v>
          </cell>
          <cell r="BA115">
            <v>750</v>
          </cell>
          <cell r="BB115">
            <v>700</v>
          </cell>
          <cell r="BC115">
            <v>625</v>
          </cell>
          <cell r="BD115">
            <v>550</v>
          </cell>
          <cell r="BE115">
            <v>625</v>
          </cell>
          <cell r="BF115">
            <v>625</v>
          </cell>
          <cell r="BG115">
            <v>400</v>
          </cell>
          <cell r="BH115">
            <v>300</v>
          </cell>
          <cell r="BI115">
            <v>175</v>
          </cell>
          <cell r="BJ115">
            <v>275</v>
          </cell>
          <cell r="BK115">
            <v>375</v>
          </cell>
          <cell r="BL115">
            <v>516</v>
          </cell>
          <cell r="BM115">
            <v>516</v>
          </cell>
          <cell r="BN115">
            <v>516</v>
          </cell>
          <cell r="BO115">
            <v>516</v>
          </cell>
          <cell r="BP115">
            <v>516</v>
          </cell>
          <cell r="BQ115">
            <v>516</v>
          </cell>
          <cell r="BR115">
            <v>516</v>
          </cell>
          <cell r="BS115">
            <v>516</v>
          </cell>
        </row>
        <row r="116">
          <cell r="A116" t="str">
            <v>Addition (Retirement)</v>
          </cell>
          <cell r="H116">
            <v>275</v>
          </cell>
          <cell r="I116">
            <v>-75</v>
          </cell>
          <cell r="J116">
            <v>-200</v>
          </cell>
          <cell r="K116">
            <v>-250</v>
          </cell>
          <cell r="L116">
            <v>216</v>
          </cell>
          <cell r="M116">
            <v>0</v>
          </cell>
          <cell r="N116">
            <v>0</v>
          </cell>
          <cell r="AU116">
            <v>275</v>
          </cell>
          <cell r="AV116">
            <v>-175</v>
          </cell>
          <cell r="AW116">
            <v>0</v>
          </cell>
          <cell r="AX116">
            <v>50</v>
          </cell>
          <cell r="AY116">
            <v>50</v>
          </cell>
          <cell r="AZ116">
            <v>0</v>
          </cell>
          <cell r="BA116">
            <v>-50</v>
          </cell>
          <cell r="BB116">
            <v>-75</v>
          </cell>
          <cell r="BC116">
            <v>-75</v>
          </cell>
          <cell r="BD116">
            <v>75</v>
          </cell>
          <cell r="BE116">
            <v>0</v>
          </cell>
          <cell r="BF116">
            <v>-225</v>
          </cell>
          <cell r="BG116">
            <v>-100</v>
          </cell>
          <cell r="BH116">
            <v>-125</v>
          </cell>
          <cell r="BI116">
            <v>100</v>
          </cell>
          <cell r="BJ116">
            <v>100</v>
          </cell>
          <cell r="BK116">
            <v>141</v>
          </cell>
        </row>
        <row r="117">
          <cell r="A117" t="str">
            <v>Ending Balance</v>
          </cell>
          <cell r="H117">
            <v>825</v>
          </cell>
          <cell r="I117">
            <v>750</v>
          </cell>
          <cell r="J117">
            <v>550</v>
          </cell>
          <cell r="K117">
            <v>300</v>
          </cell>
          <cell r="L117">
            <v>516</v>
          </cell>
          <cell r="M117">
            <v>516</v>
          </cell>
          <cell r="N117">
            <v>516</v>
          </cell>
          <cell r="O117">
            <v>516</v>
          </cell>
          <cell r="P117">
            <v>516</v>
          </cell>
          <cell r="Q117">
            <v>516</v>
          </cell>
          <cell r="R117">
            <v>516</v>
          </cell>
          <cell r="S117">
            <v>516</v>
          </cell>
          <cell r="T117">
            <v>516</v>
          </cell>
          <cell r="U117">
            <v>516</v>
          </cell>
          <cell r="V117">
            <v>516</v>
          </cell>
          <cell r="AT117">
            <v>550</v>
          </cell>
          <cell r="AU117">
            <v>825</v>
          </cell>
          <cell r="AV117">
            <v>650</v>
          </cell>
          <cell r="AW117">
            <v>650</v>
          </cell>
          <cell r="AX117">
            <v>700</v>
          </cell>
          <cell r="AY117">
            <v>750</v>
          </cell>
          <cell r="AZ117">
            <v>750</v>
          </cell>
          <cell r="BA117">
            <v>700</v>
          </cell>
          <cell r="BB117">
            <v>625</v>
          </cell>
          <cell r="BC117">
            <v>550</v>
          </cell>
          <cell r="BD117">
            <v>625</v>
          </cell>
          <cell r="BE117">
            <v>625</v>
          </cell>
          <cell r="BF117">
            <v>400</v>
          </cell>
          <cell r="BG117">
            <v>300</v>
          </cell>
          <cell r="BH117">
            <v>175</v>
          </cell>
          <cell r="BI117">
            <v>275</v>
          </cell>
          <cell r="BJ117">
            <v>375</v>
          </cell>
          <cell r="BK117">
            <v>516</v>
          </cell>
          <cell r="BL117">
            <v>516</v>
          </cell>
          <cell r="BM117">
            <v>516</v>
          </cell>
          <cell r="BN117">
            <v>516</v>
          </cell>
          <cell r="BO117">
            <v>516</v>
          </cell>
          <cell r="BP117">
            <v>516</v>
          </cell>
          <cell r="BQ117">
            <v>516</v>
          </cell>
          <cell r="BR117">
            <v>516</v>
          </cell>
          <cell r="BS117">
            <v>516</v>
          </cell>
        </row>
        <row r="119">
          <cell r="A119" t="str">
            <v>7.25% Sr. Subordinated Notes (Dec 1, 2011)</v>
          </cell>
        </row>
        <row r="120">
          <cell r="A120" t="str">
            <v>Beginning</v>
          </cell>
          <cell r="H120">
            <v>0.28799999999999998</v>
          </cell>
          <cell r="I120">
            <v>0.28799999999999998</v>
          </cell>
          <cell r="J120">
            <v>0.28799999999999998</v>
          </cell>
          <cell r="K120">
            <v>0.28799999999999998</v>
          </cell>
          <cell r="L120">
            <v>0</v>
          </cell>
          <cell r="M120">
            <v>0</v>
          </cell>
          <cell r="N120">
            <v>0</v>
          </cell>
          <cell r="O120">
            <v>0</v>
          </cell>
          <cell r="P120">
            <v>0</v>
          </cell>
          <cell r="Q120">
            <v>0</v>
          </cell>
          <cell r="R120">
            <v>0</v>
          </cell>
          <cell r="S120">
            <v>0</v>
          </cell>
          <cell r="T120">
            <v>0</v>
          </cell>
          <cell r="U120">
            <v>0</v>
          </cell>
          <cell r="V120">
            <v>0</v>
          </cell>
          <cell r="AT120">
            <v>0.28799999999999998</v>
          </cell>
          <cell r="AU120">
            <v>0.28799999999999998</v>
          </cell>
          <cell r="AV120">
            <v>0.28799999999999998</v>
          </cell>
          <cell r="AW120">
            <v>0.28799999999999998</v>
          </cell>
          <cell r="AX120">
            <v>0.28799999999999998</v>
          </cell>
          <cell r="AY120">
            <v>0.28799999999999998</v>
          </cell>
          <cell r="AZ120">
            <v>0.28799999999999998</v>
          </cell>
          <cell r="BA120">
            <v>0.28799999999999998</v>
          </cell>
          <cell r="BB120">
            <v>0.28799999999999998</v>
          </cell>
          <cell r="BC120">
            <v>0.28799999999999998</v>
          </cell>
          <cell r="BD120">
            <v>0.28799999999999998</v>
          </cell>
          <cell r="BE120">
            <v>0.28799999999999998</v>
          </cell>
          <cell r="BF120">
            <v>0.28799999999999998</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row>
        <row r="121">
          <cell r="A121" t="str">
            <v>Addition (Retirement)</v>
          </cell>
          <cell r="H121">
            <v>0</v>
          </cell>
          <cell r="I121">
            <v>0</v>
          </cell>
          <cell r="J121">
            <v>0</v>
          </cell>
          <cell r="K121">
            <v>-0.28799999999999998</v>
          </cell>
          <cell r="AU121">
            <v>0</v>
          </cell>
          <cell r="AV121">
            <v>0</v>
          </cell>
          <cell r="AW121">
            <v>0</v>
          </cell>
          <cell r="AX121">
            <v>0</v>
          </cell>
          <cell r="AY121">
            <v>0</v>
          </cell>
          <cell r="AZ121">
            <v>0</v>
          </cell>
          <cell r="BA121">
            <v>0</v>
          </cell>
          <cell r="BB121">
            <v>0</v>
          </cell>
          <cell r="BC121">
            <v>0</v>
          </cell>
          <cell r="BD121">
            <v>0</v>
          </cell>
          <cell r="BE121">
            <v>0</v>
          </cell>
          <cell r="BF121">
            <v>-0.28799999999999998</v>
          </cell>
        </row>
        <row r="122">
          <cell r="A122" t="str">
            <v>Ending Balance</v>
          </cell>
          <cell r="H122">
            <v>0.28799999999999998</v>
          </cell>
          <cell r="I122">
            <v>0.28799999999999998</v>
          </cell>
          <cell r="J122">
            <v>0.28799999999999998</v>
          </cell>
          <cell r="K122">
            <v>0</v>
          </cell>
          <cell r="L122">
            <v>0</v>
          </cell>
          <cell r="M122">
            <v>0</v>
          </cell>
          <cell r="N122">
            <v>0</v>
          </cell>
          <cell r="O122">
            <v>0</v>
          </cell>
          <cell r="P122">
            <v>0</v>
          </cell>
          <cell r="Q122">
            <v>0</v>
          </cell>
          <cell r="R122">
            <v>0</v>
          </cell>
          <cell r="S122">
            <v>0</v>
          </cell>
          <cell r="T122">
            <v>0</v>
          </cell>
          <cell r="U122">
            <v>0</v>
          </cell>
          <cell r="V122">
            <v>0</v>
          </cell>
          <cell r="AT122">
            <v>0.28799999999999998</v>
          </cell>
          <cell r="AU122">
            <v>0.28799999999999998</v>
          </cell>
          <cell r="AV122">
            <v>0.28799999999999998</v>
          </cell>
          <cell r="AW122">
            <v>0.28799999999999998</v>
          </cell>
          <cell r="AX122">
            <v>0.28799999999999998</v>
          </cell>
          <cell r="AY122">
            <v>0.28799999999999998</v>
          </cell>
          <cell r="AZ122">
            <v>0.28799999999999998</v>
          </cell>
          <cell r="BA122">
            <v>0.28799999999999998</v>
          </cell>
          <cell r="BB122">
            <v>0.28799999999999998</v>
          </cell>
          <cell r="BC122">
            <v>0.28799999999999998</v>
          </cell>
          <cell r="BD122">
            <v>0.28799999999999998</v>
          </cell>
          <cell r="BE122">
            <v>0.28799999999999998</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row>
        <row r="124">
          <cell r="A124" t="str">
            <v>7.50% Sr Notes (May 1, 2012)</v>
          </cell>
        </row>
        <row r="125">
          <cell r="A125" t="str">
            <v>Beginning</v>
          </cell>
          <cell r="H125">
            <v>225</v>
          </cell>
          <cell r="I125">
            <v>225</v>
          </cell>
          <cell r="J125">
            <v>225</v>
          </cell>
          <cell r="K125">
            <v>0</v>
          </cell>
          <cell r="L125">
            <v>0</v>
          </cell>
          <cell r="M125">
            <v>0</v>
          </cell>
          <cell r="N125">
            <v>0</v>
          </cell>
          <cell r="O125">
            <v>0</v>
          </cell>
          <cell r="P125">
            <v>0</v>
          </cell>
          <cell r="Q125">
            <v>0</v>
          </cell>
          <cell r="R125">
            <v>0</v>
          </cell>
          <cell r="S125">
            <v>0</v>
          </cell>
          <cell r="T125">
            <v>0</v>
          </cell>
          <cell r="U125">
            <v>0</v>
          </cell>
          <cell r="V125">
            <v>0</v>
          </cell>
          <cell r="AT125">
            <v>225</v>
          </cell>
          <cell r="AU125">
            <v>225</v>
          </cell>
          <cell r="AV125">
            <v>225</v>
          </cell>
          <cell r="AW125">
            <v>225</v>
          </cell>
          <cell r="AX125">
            <v>225</v>
          </cell>
          <cell r="AY125">
            <v>225</v>
          </cell>
          <cell r="AZ125">
            <v>225</v>
          </cell>
          <cell r="BA125">
            <v>225</v>
          </cell>
          <cell r="BB125">
            <v>20.815999999999999</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row>
        <row r="126">
          <cell r="A126" t="str">
            <v>Addition (Retirement)</v>
          </cell>
          <cell r="H126">
            <v>0</v>
          </cell>
          <cell r="I126">
            <v>0</v>
          </cell>
          <cell r="J126">
            <v>-225</v>
          </cell>
          <cell r="K126">
            <v>0</v>
          </cell>
          <cell r="AU126">
            <v>0</v>
          </cell>
          <cell r="AV126">
            <v>0</v>
          </cell>
          <cell r="AW126">
            <v>0</v>
          </cell>
          <cell r="AX126">
            <v>0</v>
          </cell>
          <cell r="AY126">
            <v>0</v>
          </cell>
          <cell r="AZ126">
            <v>0</v>
          </cell>
          <cell r="BA126">
            <v>-204.184</v>
          </cell>
          <cell r="BB126">
            <v>-20.815999999999999</v>
          </cell>
          <cell r="BC126">
            <v>0</v>
          </cell>
          <cell r="BD126">
            <v>0</v>
          </cell>
          <cell r="BE126">
            <v>0</v>
          </cell>
        </row>
        <row r="127">
          <cell r="A127" t="str">
            <v>Ending Balance</v>
          </cell>
          <cell r="H127">
            <v>225</v>
          </cell>
          <cell r="I127">
            <v>225</v>
          </cell>
          <cell r="J127">
            <v>0</v>
          </cell>
          <cell r="K127">
            <v>0</v>
          </cell>
          <cell r="L127">
            <v>0</v>
          </cell>
          <cell r="M127">
            <v>0</v>
          </cell>
          <cell r="N127">
            <v>0</v>
          </cell>
          <cell r="O127">
            <v>0</v>
          </cell>
          <cell r="P127">
            <v>0</v>
          </cell>
          <cell r="Q127">
            <v>0</v>
          </cell>
          <cell r="R127">
            <v>0</v>
          </cell>
          <cell r="S127">
            <v>0</v>
          </cell>
          <cell r="T127">
            <v>0</v>
          </cell>
          <cell r="U127">
            <v>0</v>
          </cell>
          <cell r="V127">
            <v>0</v>
          </cell>
          <cell r="AT127">
            <v>225</v>
          </cell>
          <cell r="AU127">
            <v>225</v>
          </cell>
          <cell r="AV127">
            <v>225</v>
          </cell>
          <cell r="AW127">
            <v>225</v>
          </cell>
          <cell r="AX127">
            <v>225</v>
          </cell>
          <cell r="AY127">
            <v>225</v>
          </cell>
          <cell r="AZ127">
            <v>225</v>
          </cell>
          <cell r="BA127">
            <v>20.815999999999999</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row>
        <row r="129">
          <cell r="A129" t="str">
            <v>7.125% Sr Notes (Oct 15, 2012)</v>
          </cell>
        </row>
        <row r="130">
          <cell r="A130" t="str">
            <v>Beginning</v>
          </cell>
          <cell r="H130">
            <v>500</v>
          </cell>
          <cell r="I130">
            <v>502.202</v>
          </cell>
          <cell r="J130">
            <v>501.10700000000003</v>
          </cell>
          <cell r="K130">
            <v>0</v>
          </cell>
          <cell r="L130">
            <v>0</v>
          </cell>
          <cell r="M130">
            <v>0</v>
          </cell>
          <cell r="N130">
            <v>0</v>
          </cell>
          <cell r="O130">
            <v>0</v>
          </cell>
          <cell r="P130">
            <v>0</v>
          </cell>
          <cell r="Q130">
            <v>0</v>
          </cell>
          <cell r="R130">
            <v>0</v>
          </cell>
          <cell r="S130">
            <v>0</v>
          </cell>
          <cell r="T130">
            <v>0</v>
          </cell>
          <cell r="U130">
            <v>0</v>
          </cell>
          <cell r="V130">
            <v>0</v>
          </cell>
          <cell r="AT130">
            <v>500</v>
          </cell>
          <cell r="AU130">
            <v>500</v>
          </cell>
          <cell r="AV130">
            <v>502.202</v>
          </cell>
          <cell r="AW130">
            <v>501.87400000000002</v>
          </cell>
          <cell r="AX130">
            <v>501.54199999999997</v>
          </cell>
          <cell r="AY130">
            <v>501.21199999999999</v>
          </cell>
          <cell r="AZ130">
            <v>501.10700000000003</v>
          </cell>
          <cell r="BA130">
            <v>501.04300000000001</v>
          </cell>
          <cell r="BB130">
            <v>500.98</v>
          </cell>
          <cell r="BC130">
            <v>500.91500000000002</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row>
        <row r="131">
          <cell r="A131" t="str">
            <v>Addition (Retirement)</v>
          </cell>
          <cell r="H131">
            <v>2.2019999999999982</v>
          </cell>
          <cell r="I131">
            <v>-1.0949999999999704</v>
          </cell>
          <cell r="J131">
            <v>-501.10700000000003</v>
          </cell>
          <cell r="K131">
            <v>0</v>
          </cell>
          <cell r="AU131">
            <v>2.2019999999999982</v>
          </cell>
          <cell r="AV131">
            <v>-0.32799999999997453</v>
          </cell>
          <cell r="AW131">
            <v>-0.33200000000005048</v>
          </cell>
          <cell r="AX131">
            <v>-0.32999999999998408</v>
          </cell>
          <cell r="AY131">
            <v>-0.10499999999996135</v>
          </cell>
          <cell r="AZ131">
            <v>-6.4000000000021373E-2</v>
          </cell>
          <cell r="BA131">
            <v>-6.2999999999988177E-2</v>
          </cell>
          <cell r="BB131">
            <v>-6.4999999999997726E-2</v>
          </cell>
          <cell r="BC131">
            <v>-500.91500000000002</v>
          </cell>
          <cell r="BD131">
            <v>0</v>
          </cell>
          <cell r="BE131">
            <v>0</v>
          </cell>
        </row>
        <row r="132">
          <cell r="A132" t="str">
            <v>Ending Balance</v>
          </cell>
          <cell r="H132">
            <v>502.202</v>
          </cell>
          <cell r="I132">
            <v>501.10700000000003</v>
          </cell>
          <cell r="J132">
            <v>0</v>
          </cell>
          <cell r="K132">
            <v>0</v>
          </cell>
          <cell r="L132">
            <v>0</v>
          </cell>
          <cell r="M132">
            <v>0</v>
          </cell>
          <cell r="N132">
            <v>0</v>
          </cell>
          <cell r="O132">
            <v>0</v>
          </cell>
          <cell r="P132">
            <v>0</v>
          </cell>
          <cell r="Q132">
            <v>0</v>
          </cell>
          <cell r="R132">
            <v>0</v>
          </cell>
          <cell r="S132">
            <v>0</v>
          </cell>
          <cell r="T132">
            <v>0</v>
          </cell>
          <cell r="U132">
            <v>0</v>
          </cell>
          <cell r="V132">
            <v>0</v>
          </cell>
          <cell r="AT132">
            <v>500</v>
          </cell>
          <cell r="AU132">
            <v>502.202</v>
          </cell>
          <cell r="AV132">
            <v>501.87400000000002</v>
          </cell>
          <cell r="AW132">
            <v>501.54199999999997</v>
          </cell>
          <cell r="AX132">
            <v>501.21199999999999</v>
          </cell>
          <cell r="AY132">
            <v>501.10700000000003</v>
          </cell>
          <cell r="AZ132">
            <v>501.04300000000001</v>
          </cell>
          <cell r="BA132">
            <v>500.98</v>
          </cell>
          <cell r="BB132">
            <v>500.91500000000002</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cell r="BP132">
            <v>0</v>
          </cell>
          <cell r="BQ132">
            <v>0</v>
          </cell>
          <cell r="BR132">
            <v>0</v>
          </cell>
          <cell r="BS132">
            <v>0</v>
          </cell>
        </row>
        <row r="134">
          <cell r="A134" t="str">
            <v>7.00% Sr Notes (Oct 15, 2017)</v>
          </cell>
        </row>
        <row r="135">
          <cell r="A135" t="str">
            <v>Beginning</v>
          </cell>
          <cell r="H135">
            <v>500</v>
          </cell>
          <cell r="I135">
            <v>500</v>
          </cell>
          <cell r="J135">
            <v>500</v>
          </cell>
          <cell r="K135">
            <v>500</v>
          </cell>
          <cell r="L135">
            <v>500</v>
          </cell>
          <cell r="M135">
            <v>500</v>
          </cell>
          <cell r="N135">
            <v>500</v>
          </cell>
          <cell r="O135">
            <v>500</v>
          </cell>
          <cell r="P135">
            <v>500</v>
          </cell>
          <cell r="Q135">
            <v>500</v>
          </cell>
          <cell r="R135">
            <v>500</v>
          </cell>
          <cell r="S135">
            <v>500</v>
          </cell>
          <cell r="T135">
            <v>500</v>
          </cell>
          <cell r="U135">
            <v>500</v>
          </cell>
          <cell r="V135">
            <v>500</v>
          </cell>
          <cell r="AT135">
            <v>500</v>
          </cell>
          <cell r="AU135">
            <v>500</v>
          </cell>
          <cell r="AV135">
            <v>500</v>
          </cell>
          <cell r="AW135">
            <v>500</v>
          </cell>
          <cell r="AX135">
            <v>500</v>
          </cell>
          <cell r="AY135">
            <v>500</v>
          </cell>
          <cell r="AZ135">
            <v>500</v>
          </cell>
          <cell r="BA135">
            <v>500</v>
          </cell>
          <cell r="BB135">
            <v>500</v>
          </cell>
          <cell r="BC135">
            <v>500</v>
          </cell>
          <cell r="BD135">
            <v>500</v>
          </cell>
          <cell r="BE135">
            <v>500</v>
          </cell>
          <cell r="BF135">
            <v>500</v>
          </cell>
          <cell r="BG135">
            <v>500</v>
          </cell>
          <cell r="BH135">
            <v>500</v>
          </cell>
          <cell r="BI135">
            <v>500</v>
          </cell>
          <cell r="BJ135">
            <v>500</v>
          </cell>
          <cell r="BK135">
            <v>500</v>
          </cell>
          <cell r="BL135">
            <v>500</v>
          </cell>
          <cell r="BM135">
            <v>500</v>
          </cell>
          <cell r="BN135">
            <v>500</v>
          </cell>
          <cell r="BO135">
            <v>500</v>
          </cell>
          <cell r="BP135">
            <v>500</v>
          </cell>
          <cell r="BQ135">
            <v>500</v>
          </cell>
          <cell r="BR135">
            <v>500</v>
          </cell>
          <cell r="BS135">
            <v>500</v>
          </cell>
        </row>
        <row r="136">
          <cell r="A136" t="str">
            <v>Addition (Retirement)</v>
          </cell>
          <cell r="H136">
            <v>0</v>
          </cell>
          <cell r="I136">
            <v>0</v>
          </cell>
          <cell r="J136">
            <v>0</v>
          </cell>
          <cell r="K136">
            <v>0</v>
          </cell>
          <cell r="L136">
            <v>0</v>
          </cell>
          <cell r="M136">
            <v>0</v>
          </cell>
          <cell r="N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row>
        <row r="137">
          <cell r="A137" t="str">
            <v>Ending Balance</v>
          </cell>
          <cell r="H137">
            <v>500</v>
          </cell>
          <cell r="I137">
            <v>500</v>
          </cell>
          <cell r="J137">
            <v>500</v>
          </cell>
          <cell r="K137">
            <v>500</v>
          </cell>
          <cell r="L137">
            <v>500</v>
          </cell>
          <cell r="M137">
            <v>500</v>
          </cell>
          <cell r="N137">
            <v>500</v>
          </cell>
          <cell r="O137">
            <v>500</v>
          </cell>
          <cell r="P137">
            <v>500</v>
          </cell>
          <cell r="Q137">
            <v>500</v>
          </cell>
          <cell r="R137">
            <v>500</v>
          </cell>
          <cell r="S137">
            <v>500</v>
          </cell>
          <cell r="T137">
            <v>500</v>
          </cell>
          <cell r="U137">
            <v>500</v>
          </cell>
          <cell r="V137">
            <v>500</v>
          </cell>
          <cell r="AT137">
            <v>500</v>
          </cell>
          <cell r="AU137">
            <v>500</v>
          </cell>
          <cell r="AV137">
            <v>500</v>
          </cell>
          <cell r="AW137">
            <v>500</v>
          </cell>
          <cell r="AX137">
            <v>500</v>
          </cell>
          <cell r="AY137">
            <v>500</v>
          </cell>
          <cell r="AZ137">
            <v>500</v>
          </cell>
          <cell r="BA137">
            <v>500</v>
          </cell>
          <cell r="BB137">
            <v>500</v>
          </cell>
          <cell r="BC137">
            <v>500</v>
          </cell>
          <cell r="BD137">
            <v>500</v>
          </cell>
          <cell r="BE137">
            <v>500</v>
          </cell>
          <cell r="BF137">
            <v>500</v>
          </cell>
          <cell r="BG137">
            <v>500</v>
          </cell>
          <cell r="BH137">
            <v>500</v>
          </cell>
          <cell r="BI137">
            <v>500</v>
          </cell>
          <cell r="BJ137">
            <v>500</v>
          </cell>
          <cell r="BK137">
            <v>500</v>
          </cell>
          <cell r="BL137">
            <v>500</v>
          </cell>
          <cell r="BM137">
            <v>500</v>
          </cell>
          <cell r="BN137">
            <v>500</v>
          </cell>
          <cell r="BO137">
            <v>500</v>
          </cell>
          <cell r="BP137">
            <v>500</v>
          </cell>
          <cell r="BQ137">
            <v>500</v>
          </cell>
          <cell r="BR137">
            <v>500</v>
          </cell>
          <cell r="BS137">
            <v>500</v>
          </cell>
        </row>
        <row r="139">
          <cell r="A139" t="str">
            <v>5.0% Convertible Notes (Feb 15, 2010)</v>
          </cell>
        </row>
        <row r="140">
          <cell r="A140" t="str">
            <v>Beginning</v>
          </cell>
          <cell r="H140">
            <v>59.683</v>
          </cell>
          <cell r="I140">
            <v>59.683</v>
          </cell>
          <cell r="J140">
            <v>59.683</v>
          </cell>
          <cell r="K140">
            <v>59.683</v>
          </cell>
          <cell r="L140">
            <v>0</v>
          </cell>
          <cell r="M140">
            <v>0</v>
          </cell>
          <cell r="N140">
            <v>0</v>
          </cell>
          <cell r="O140">
            <v>0</v>
          </cell>
          <cell r="P140">
            <v>0</v>
          </cell>
          <cell r="Q140">
            <v>0</v>
          </cell>
          <cell r="R140">
            <v>0</v>
          </cell>
          <cell r="S140">
            <v>0</v>
          </cell>
          <cell r="T140">
            <v>0</v>
          </cell>
          <cell r="U140">
            <v>0</v>
          </cell>
          <cell r="V140">
            <v>0</v>
          </cell>
          <cell r="AT140">
            <v>59.683</v>
          </cell>
          <cell r="AU140">
            <v>59.683</v>
          </cell>
          <cell r="AV140">
            <v>59.683</v>
          </cell>
          <cell r="AW140">
            <v>59.683</v>
          </cell>
          <cell r="AX140">
            <v>59.683</v>
          </cell>
          <cell r="AY140">
            <v>59.683</v>
          </cell>
          <cell r="AZ140">
            <v>59.683</v>
          </cell>
          <cell r="BA140">
            <v>59.683</v>
          </cell>
          <cell r="BB140">
            <v>59.683</v>
          </cell>
          <cell r="BC140">
            <v>59.683</v>
          </cell>
          <cell r="BD140">
            <v>59.683</v>
          </cell>
          <cell r="BE140">
            <v>0</v>
          </cell>
          <cell r="BF140">
            <v>0</v>
          </cell>
          <cell r="BG140">
            <v>0</v>
          </cell>
          <cell r="BH140">
            <v>0</v>
          </cell>
          <cell r="BI140">
            <v>0</v>
          </cell>
          <cell r="BJ140">
            <v>0</v>
          </cell>
          <cell r="BK140">
            <v>0</v>
          </cell>
          <cell r="BL140">
            <v>0</v>
          </cell>
          <cell r="BM140">
            <v>0</v>
          </cell>
          <cell r="BN140">
            <v>0</v>
          </cell>
          <cell r="BO140">
            <v>0</v>
          </cell>
          <cell r="BP140">
            <v>0</v>
          </cell>
          <cell r="BQ140">
            <v>0</v>
          </cell>
          <cell r="BR140">
            <v>0</v>
          </cell>
          <cell r="BS140">
            <v>0</v>
          </cell>
        </row>
        <row r="141">
          <cell r="A141" t="str">
            <v>Addition (Retirement)</v>
          </cell>
          <cell r="H141">
            <v>0</v>
          </cell>
          <cell r="I141">
            <v>0</v>
          </cell>
          <cell r="J141">
            <v>0</v>
          </cell>
          <cell r="K141">
            <v>-59.683</v>
          </cell>
          <cell r="AU141">
            <v>0</v>
          </cell>
          <cell r="AV141">
            <v>0</v>
          </cell>
          <cell r="AW141">
            <v>0</v>
          </cell>
          <cell r="AX141">
            <v>0</v>
          </cell>
          <cell r="AY141">
            <v>0</v>
          </cell>
          <cell r="AZ141">
            <v>0</v>
          </cell>
          <cell r="BA141">
            <v>0</v>
          </cell>
          <cell r="BB141">
            <v>0</v>
          </cell>
          <cell r="BC141">
            <v>0</v>
          </cell>
          <cell r="BD141">
            <v>-59.683</v>
          </cell>
          <cell r="BE141">
            <v>0</v>
          </cell>
          <cell r="BF141">
            <v>0</v>
          </cell>
        </row>
        <row r="142">
          <cell r="A142" t="str">
            <v>Ending Balance</v>
          </cell>
          <cell r="H142">
            <v>59.683</v>
          </cell>
          <cell r="I142">
            <v>59.683</v>
          </cell>
          <cell r="J142">
            <v>59.683</v>
          </cell>
          <cell r="K142">
            <v>0</v>
          </cell>
          <cell r="L142">
            <v>0</v>
          </cell>
          <cell r="M142">
            <v>0</v>
          </cell>
          <cell r="N142">
            <v>0</v>
          </cell>
          <cell r="O142">
            <v>0</v>
          </cell>
          <cell r="P142">
            <v>0</v>
          </cell>
          <cell r="Q142">
            <v>0</v>
          </cell>
          <cell r="R142">
            <v>0</v>
          </cell>
          <cell r="S142">
            <v>0</v>
          </cell>
          <cell r="T142">
            <v>0</v>
          </cell>
          <cell r="U142">
            <v>0</v>
          </cell>
          <cell r="V142">
            <v>0</v>
          </cell>
          <cell r="AT142">
            <v>59.683</v>
          </cell>
          <cell r="AU142">
            <v>59.683</v>
          </cell>
          <cell r="AV142">
            <v>59.683</v>
          </cell>
          <cell r="AW142">
            <v>59.683</v>
          </cell>
          <cell r="AX142">
            <v>59.683</v>
          </cell>
          <cell r="AY142">
            <v>59.683</v>
          </cell>
          <cell r="AZ142">
            <v>59.683</v>
          </cell>
          <cell r="BA142">
            <v>59.683</v>
          </cell>
          <cell r="BB142">
            <v>59.683</v>
          </cell>
          <cell r="BC142">
            <v>59.683</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cell r="BR142">
            <v>0</v>
          </cell>
          <cell r="BS142">
            <v>0</v>
          </cell>
        </row>
        <row r="144">
          <cell r="A144" t="str">
            <v>3.0% Convertible Notes (Aug 15, 2012)</v>
          </cell>
        </row>
        <row r="145">
          <cell r="A145" t="str">
            <v>Beginning</v>
          </cell>
          <cell r="H145">
            <v>344.98</v>
          </cell>
          <cell r="I145">
            <v>344.56799999999998</v>
          </cell>
          <cell r="J145">
            <v>161.893</v>
          </cell>
          <cell r="K145">
            <v>0</v>
          </cell>
          <cell r="L145">
            <v>0</v>
          </cell>
          <cell r="M145">
            <v>0</v>
          </cell>
          <cell r="N145">
            <v>0</v>
          </cell>
          <cell r="O145">
            <v>0</v>
          </cell>
          <cell r="P145">
            <v>0</v>
          </cell>
          <cell r="Q145">
            <v>0</v>
          </cell>
          <cell r="R145">
            <v>0</v>
          </cell>
          <cell r="S145">
            <v>0</v>
          </cell>
          <cell r="T145">
            <v>0</v>
          </cell>
          <cell r="U145">
            <v>0</v>
          </cell>
          <cell r="V145">
            <v>0</v>
          </cell>
          <cell r="AT145">
            <v>344.98</v>
          </cell>
          <cell r="AU145">
            <v>344.98</v>
          </cell>
          <cell r="AV145">
            <v>344.56799999999998</v>
          </cell>
          <cell r="AW145">
            <v>344.58499999999998</v>
          </cell>
          <cell r="AX145">
            <v>344.60599999999999</v>
          </cell>
          <cell r="AY145">
            <v>308.92700000000002</v>
          </cell>
          <cell r="AZ145">
            <v>161.893</v>
          </cell>
          <cell r="BA145">
            <v>161.916</v>
          </cell>
          <cell r="BB145">
            <v>161.93600000000001</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row>
        <row r="146">
          <cell r="A146" t="str">
            <v>Addition (Retirement)</v>
          </cell>
          <cell r="H146">
            <v>-0.41200000000003456</v>
          </cell>
          <cell r="I146">
            <v>-182.67499999999998</v>
          </cell>
          <cell r="J146">
            <v>-161.893</v>
          </cell>
          <cell r="AU146">
            <v>-0.41200000000003456</v>
          </cell>
          <cell r="AV146">
            <v>1.6999999999995907E-2</v>
          </cell>
          <cell r="AW146">
            <v>2.1000000000015007E-2</v>
          </cell>
          <cell r="AX146">
            <v>-35.678999999999974</v>
          </cell>
          <cell r="AY146">
            <v>-147.03400000000002</v>
          </cell>
          <cell r="AZ146">
            <v>2.2999999999996135E-2</v>
          </cell>
          <cell r="BA146">
            <v>2.0000000000010232E-2</v>
          </cell>
          <cell r="BB146">
            <v>-161.93600000000001</v>
          </cell>
          <cell r="BC146">
            <v>0</v>
          </cell>
          <cell r="BD146">
            <v>0</v>
          </cell>
          <cell r="BE146">
            <v>0</v>
          </cell>
          <cell r="BF146">
            <v>0</v>
          </cell>
        </row>
        <row r="147">
          <cell r="A147" t="str">
            <v>Ending Balance</v>
          </cell>
          <cell r="H147">
            <v>344.56799999999998</v>
          </cell>
          <cell r="I147">
            <v>161.893</v>
          </cell>
          <cell r="J147">
            <v>0</v>
          </cell>
          <cell r="K147">
            <v>0</v>
          </cell>
          <cell r="L147">
            <v>0</v>
          </cell>
          <cell r="M147">
            <v>0</v>
          </cell>
          <cell r="N147">
            <v>0</v>
          </cell>
          <cell r="O147">
            <v>0</v>
          </cell>
          <cell r="P147">
            <v>0</v>
          </cell>
          <cell r="Q147">
            <v>0</v>
          </cell>
          <cell r="R147">
            <v>0</v>
          </cell>
          <cell r="S147">
            <v>0</v>
          </cell>
          <cell r="T147">
            <v>0</v>
          </cell>
          <cell r="U147">
            <v>0</v>
          </cell>
          <cell r="V147">
            <v>0</v>
          </cell>
          <cell r="AT147">
            <v>344.98</v>
          </cell>
          <cell r="AU147">
            <v>344.56799999999998</v>
          </cell>
          <cell r="AV147">
            <v>344.58499999999998</v>
          </cell>
          <cell r="AW147">
            <v>344.60599999999999</v>
          </cell>
          <cell r="AX147">
            <v>308.92700000000002</v>
          </cell>
          <cell r="AY147">
            <v>161.893</v>
          </cell>
          <cell r="AZ147">
            <v>161.916</v>
          </cell>
          <cell r="BA147">
            <v>161.93600000000001</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row>
        <row r="149">
          <cell r="A149" t="str">
            <v>7.25% Senior Notes (2019)</v>
          </cell>
          <cell r="J149">
            <v>300</v>
          </cell>
          <cell r="K149">
            <v>300</v>
          </cell>
          <cell r="L149">
            <v>300</v>
          </cell>
          <cell r="M149">
            <v>300</v>
          </cell>
          <cell r="N149">
            <v>300</v>
          </cell>
          <cell r="O149">
            <v>300</v>
          </cell>
          <cell r="P149">
            <v>300</v>
          </cell>
          <cell r="Q149">
            <v>300</v>
          </cell>
          <cell r="R149">
            <v>300</v>
          </cell>
          <cell r="S149">
            <v>300</v>
          </cell>
          <cell r="T149">
            <v>300</v>
          </cell>
          <cell r="U149">
            <v>300</v>
          </cell>
          <cell r="V149">
            <v>300</v>
          </cell>
          <cell r="BA149">
            <v>300</v>
          </cell>
          <cell r="BB149">
            <v>300</v>
          </cell>
          <cell r="BC149">
            <v>300</v>
          </cell>
          <cell r="BD149">
            <v>300</v>
          </cell>
          <cell r="BE149">
            <v>300</v>
          </cell>
          <cell r="BF149">
            <v>300</v>
          </cell>
          <cell r="BG149">
            <v>300</v>
          </cell>
          <cell r="BH149">
            <v>300</v>
          </cell>
          <cell r="BI149">
            <v>300</v>
          </cell>
          <cell r="BJ149">
            <v>300</v>
          </cell>
          <cell r="BK149">
            <v>300</v>
          </cell>
          <cell r="BL149">
            <v>300</v>
          </cell>
          <cell r="BM149">
            <v>300</v>
          </cell>
          <cell r="BN149">
            <v>300</v>
          </cell>
          <cell r="BO149">
            <v>300</v>
          </cell>
          <cell r="BP149">
            <v>300</v>
          </cell>
          <cell r="BQ149">
            <v>300</v>
          </cell>
          <cell r="BR149">
            <v>300</v>
          </cell>
          <cell r="BS149">
            <v>300</v>
          </cell>
        </row>
        <row r="150">
          <cell r="A150" t="str">
            <v>Beginning</v>
          </cell>
          <cell r="J150">
            <v>294.83699999999999</v>
          </cell>
          <cell r="K150">
            <v>295.03800000000001</v>
          </cell>
          <cell r="L150">
            <v>295.42</v>
          </cell>
          <cell r="M150">
            <v>295.82125406250003</v>
          </cell>
          <cell r="N150">
            <v>296.22462206015598</v>
          </cell>
          <cell r="O150">
            <v>296.6590402282427</v>
          </cell>
          <cell r="P150">
            <v>297.11396938932666</v>
          </cell>
          <cell r="Q150">
            <v>297.60294999811777</v>
          </cell>
          <cell r="R150">
            <v>298.12853080547688</v>
          </cell>
          <cell r="S150">
            <v>298.69345133626683</v>
          </cell>
          <cell r="T150">
            <v>299.30065616878642</v>
          </cell>
          <cell r="U150">
            <v>299.95331028302007</v>
          </cell>
          <cell r="V150">
            <v>300.65481555770413</v>
          </cell>
          <cell r="BA150">
            <v>294.83699999999999</v>
          </cell>
          <cell r="BB150">
            <v>294.85700000000003</v>
          </cell>
          <cell r="BC150">
            <v>294.947</v>
          </cell>
          <cell r="BD150">
            <v>295.03800000000001</v>
          </cell>
          <cell r="BE150">
            <v>295.13099999999997</v>
          </cell>
          <cell r="BF150">
            <v>295.22500000000002</v>
          </cell>
          <cell r="BG150">
            <v>295.322</v>
          </cell>
          <cell r="BH150">
            <v>295.42</v>
          </cell>
          <cell r="BI150">
            <v>295.51900000000001</v>
          </cell>
          <cell r="BJ150">
            <v>295.62099999999998</v>
          </cell>
          <cell r="BK150">
            <v>295.72500000000002</v>
          </cell>
          <cell r="BL150">
            <v>295.82125406250003</v>
          </cell>
          <cell r="BM150">
            <v>295.91930927914456</v>
          </cell>
          <cell r="BN150">
            <v>296.01919935403055</v>
          </cell>
          <cell r="BO150">
            <v>296.12095862194286</v>
          </cell>
          <cell r="BP150">
            <v>296.22462206015598</v>
          </cell>
          <cell r="BQ150">
            <v>296.33022530045668</v>
          </cell>
          <cell r="BR150">
            <v>296.43780464139149</v>
          </cell>
          <cell r="BS150">
            <v>296.54739706074355</v>
          </cell>
        </row>
        <row r="151">
          <cell r="A151" t="str">
            <v>Amortization of Bond Discount (non cash)</v>
          </cell>
          <cell r="J151">
            <v>0.20100000000002183</v>
          </cell>
          <cell r="K151">
            <v>0.382000000000005</v>
          </cell>
          <cell r="L151">
            <v>9.6254062500000792E-2</v>
          </cell>
          <cell r="M151">
            <v>0.40336799765592701</v>
          </cell>
          <cell r="N151">
            <v>0.434418168086669</v>
          </cell>
          <cell r="O151">
            <v>0.45492916108396741</v>
          </cell>
          <cell r="P151">
            <v>0.48898060879109906</v>
          </cell>
          <cell r="Q151">
            <v>0.52558080735911616</v>
          </cell>
          <cell r="R151">
            <v>0.56492053078994431</v>
          </cell>
          <cell r="S151">
            <v>0.60720483251957091</v>
          </cell>
          <cell r="T151">
            <v>0.6526541142336626</v>
          </cell>
          <cell r="U151">
            <v>0.70150527468405244</v>
          </cell>
          <cell r="V151">
            <v>0.75401294449415346</v>
          </cell>
          <cell r="BA151">
            <v>2.0000000000038654E-2</v>
          </cell>
          <cell r="BB151">
            <v>8.9999999999974989E-2</v>
          </cell>
          <cell r="BC151">
            <v>9.1000000000008185E-2</v>
          </cell>
          <cell r="BD151">
            <v>9.2999999999960892E-2</v>
          </cell>
          <cell r="BE151">
            <v>9.4000000000050932E-2</v>
          </cell>
          <cell r="BF151">
            <v>9.6999999999979991E-2</v>
          </cell>
          <cell r="BG151">
            <v>9.8000000000013188E-2</v>
          </cell>
          <cell r="BH151">
            <v>9.8999999999989541E-2</v>
          </cell>
          <cell r="BI151">
            <v>0.10199999999997544</v>
          </cell>
          <cell r="BJ151">
            <v>0.10400000000004184</v>
          </cell>
          <cell r="BK151">
            <v>9.6254062500000792E-2</v>
          </cell>
          <cell r="BL151">
            <v>9.8055216644532095E-2</v>
          </cell>
          <cell r="BM151">
            <v>9.9890074885992775E-2</v>
          </cell>
          <cell r="BN151">
            <v>0.10175926791229628</v>
          </cell>
          <cell r="BO151">
            <v>0.10366343821310586</v>
          </cell>
          <cell r="BP151">
            <v>0.10560324030066859</v>
          </cell>
          <cell r="BQ151">
            <v>0.10757934093479538</v>
          </cell>
          <cell r="BR151">
            <v>0.10959241935203856</v>
          </cell>
          <cell r="BS151">
            <v>0.11164316749916381</v>
          </cell>
        </row>
        <row r="152">
          <cell r="A152" t="str">
            <v>Addition (Retirement)</v>
          </cell>
          <cell r="J152">
            <v>0</v>
          </cell>
          <cell r="K152">
            <v>0</v>
          </cell>
          <cell r="L152">
            <v>0</v>
          </cell>
          <cell r="M152">
            <v>0</v>
          </cell>
          <cell r="N152">
            <v>0</v>
          </cell>
          <cell r="O152">
            <v>0</v>
          </cell>
          <cell r="P152">
            <v>0</v>
          </cell>
          <cell r="Q152">
            <v>0</v>
          </cell>
          <cell r="R152">
            <v>0</v>
          </cell>
          <cell r="S152">
            <v>0</v>
          </cell>
          <cell r="T152">
            <v>0</v>
          </cell>
          <cell r="U152">
            <v>0</v>
          </cell>
          <cell r="V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row>
        <row r="153">
          <cell r="A153" t="str">
            <v>Ending Balance</v>
          </cell>
          <cell r="J153">
            <v>295.03800000000001</v>
          </cell>
          <cell r="K153">
            <v>295.42</v>
          </cell>
          <cell r="L153">
            <v>295.82125406250003</v>
          </cell>
          <cell r="M153">
            <v>296.22462206015598</v>
          </cell>
          <cell r="N153">
            <v>296.6590402282427</v>
          </cell>
          <cell r="O153">
            <v>297.11396938932666</v>
          </cell>
          <cell r="P153">
            <v>297.60294999811777</v>
          </cell>
          <cell r="Q153">
            <v>298.12853080547688</v>
          </cell>
          <cell r="R153">
            <v>298.69345133626683</v>
          </cell>
          <cell r="S153">
            <v>299.30065616878642</v>
          </cell>
          <cell r="T153">
            <v>299.95331028302007</v>
          </cell>
          <cell r="U153">
            <v>300.65481555770413</v>
          </cell>
          <cell r="V153">
            <v>301.40882850219828</v>
          </cell>
          <cell r="BA153">
            <v>294.85700000000003</v>
          </cell>
          <cell r="BB153">
            <v>294.947</v>
          </cell>
          <cell r="BC153">
            <v>295.03800000000001</v>
          </cell>
          <cell r="BD153">
            <v>295.13099999999997</v>
          </cell>
          <cell r="BE153">
            <v>295.22500000000002</v>
          </cell>
          <cell r="BF153">
            <v>295.322</v>
          </cell>
          <cell r="BG153">
            <v>295.42</v>
          </cell>
          <cell r="BH153">
            <v>295.51900000000001</v>
          </cell>
          <cell r="BI153">
            <v>295.62099999999998</v>
          </cell>
          <cell r="BJ153">
            <v>295.72500000000002</v>
          </cell>
          <cell r="BK153">
            <v>295.82125406250003</v>
          </cell>
          <cell r="BL153">
            <v>295.91930927914456</v>
          </cell>
          <cell r="BM153">
            <v>296.01919935403055</v>
          </cell>
          <cell r="BN153">
            <v>296.12095862194286</v>
          </cell>
          <cell r="BO153">
            <v>296.22462206015598</v>
          </cell>
          <cell r="BP153">
            <v>296.33022530045668</v>
          </cell>
          <cell r="BQ153">
            <v>296.43780464139149</v>
          </cell>
          <cell r="BR153">
            <v>296.54739706074355</v>
          </cell>
          <cell r="BS153">
            <v>296.6590402282427</v>
          </cell>
        </row>
        <row r="155">
          <cell r="A155" t="str">
            <v>4.625% Senior Notes (2015)</v>
          </cell>
          <cell r="J155">
            <v>600</v>
          </cell>
          <cell r="K155">
            <v>600</v>
          </cell>
          <cell r="L155">
            <v>600</v>
          </cell>
          <cell r="M155">
            <v>600</v>
          </cell>
          <cell r="N155">
            <v>600</v>
          </cell>
          <cell r="O155">
            <v>600</v>
          </cell>
          <cell r="P155">
            <v>600</v>
          </cell>
          <cell r="Q155">
            <v>600</v>
          </cell>
          <cell r="R155">
            <v>600</v>
          </cell>
          <cell r="S155">
            <v>600</v>
          </cell>
          <cell r="T155">
            <v>600</v>
          </cell>
          <cell r="U155">
            <v>600</v>
          </cell>
          <cell r="V155">
            <v>600</v>
          </cell>
          <cell r="BC155">
            <v>600</v>
          </cell>
          <cell r="BD155">
            <v>600</v>
          </cell>
          <cell r="BE155">
            <v>600</v>
          </cell>
          <cell r="BF155">
            <v>600</v>
          </cell>
          <cell r="BG155">
            <v>600</v>
          </cell>
          <cell r="BH155">
            <v>600</v>
          </cell>
          <cell r="BI155">
            <v>600</v>
          </cell>
          <cell r="BJ155">
            <v>600</v>
          </cell>
          <cell r="BK155">
            <v>600</v>
          </cell>
          <cell r="BL155">
            <v>600</v>
          </cell>
          <cell r="BM155">
            <v>600</v>
          </cell>
          <cell r="BN155">
            <v>600</v>
          </cell>
          <cell r="BO155">
            <v>600</v>
          </cell>
          <cell r="BP155">
            <v>600</v>
          </cell>
          <cell r="BQ155">
            <v>600</v>
          </cell>
          <cell r="BR155">
            <v>600</v>
          </cell>
          <cell r="BS155">
            <v>600</v>
          </cell>
        </row>
        <row r="156">
          <cell r="A156" t="str">
            <v>Beginning</v>
          </cell>
          <cell r="J156">
            <v>599.18399999999997</v>
          </cell>
          <cell r="K156">
            <v>599.21</v>
          </cell>
          <cell r="L156">
            <v>599.346</v>
          </cell>
          <cell r="M156">
            <v>599.48312950000002</v>
          </cell>
          <cell r="N156">
            <v>599.61130861806816</v>
          </cell>
          <cell r="O156">
            <v>599.74555280618665</v>
          </cell>
          <cell r="P156">
            <v>599.88372101167431</v>
          </cell>
          <cell r="Q156">
            <v>600.02831403871721</v>
          </cell>
          <cell r="R156">
            <v>600.17963064151752</v>
          </cell>
          <cell r="S156">
            <v>600.33798346634808</v>
          </cell>
          <cell r="T156">
            <v>600.50369969753331</v>
          </cell>
          <cell r="U156">
            <v>600.67712173346865</v>
          </cell>
          <cell r="V156">
            <v>600.85860789407491</v>
          </cell>
          <cell r="BC156">
            <v>599.18399999999997</v>
          </cell>
          <cell r="BD156">
            <v>599.21</v>
          </cell>
          <cell r="BE156">
            <v>599.24300000000005</v>
          </cell>
          <cell r="BF156">
            <v>599.27700000000004</v>
          </cell>
          <cell r="BG156">
            <v>599.31100000000004</v>
          </cell>
          <cell r="BH156">
            <v>599.346</v>
          </cell>
          <cell r="BI156">
            <v>599.38099999999997</v>
          </cell>
          <cell r="BJ156">
            <v>599.41700000000003</v>
          </cell>
          <cell r="BK156">
            <v>599.452</v>
          </cell>
          <cell r="BL156">
            <v>599.48312950000002</v>
          </cell>
          <cell r="BM156">
            <v>599.51462088043752</v>
          </cell>
          <cell r="BN156">
            <v>599.54647834817263</v>
          </cell>
          <cell r="BO156">
            <v>599.57870615897014</v>
          </cell>
          <cell r="BP156">
            <v>599.61130861806816</v>
          </cell>
          <cell r="BQ156">
            <v>599.64429008075319</v>
          </cell>
          <cell r="BR156">
            <v>599.67765495294191</v>
          </cell>
          <cell r="BS156">
            <v>599.71140769176986</v>
          </cell>
        </row>
        <row r="157">
          <cell r="A157" t="str">
            <v>Amortization of Bond Discount (non cash)</v>
          </cell>
          <cell r="J157">
            <v>2.6000000000067303E-2</v>
          </cell>
          <cell r="K157">
            <v>0.13599999999996726</v>
          </cell>
          <cell r="L157">
            <v>3.1129499999999588E-2</v>
          </cell>
          <cell r="M157">
            <v>0.12817911806811821</v>
          </cell>
          <cell r="N157">
            <v>0.13424418811857208</v>
          </cell>
          <cell r="O157">
            <v>0.1381682054876805</v>
          </cell>
          <cell r="P157">
            <v>0.14459302704285548</v>
          </cell>
          <cell r="Q157">
            <v>0.15131660280034964</v>
          </cell>
          <cell r="R157">
            <v>0.15835282483056545</v>
          </cell>
          <cell r="S157">
            <v>0.1657162311851863</v>
          </cell>
          <cell r="T157">
            <v>0.17342203593529959</v>
          </cell>
          <cell r="U157">
            <v>0.18148616060629053</v>
          </cell>
          <cell r="V157">
            <v>0.18992526707448221</v>
          </cell>
          <cell r="BC157">
            <v>2.6000000000067303E-2</v>
          </cell>
          <cell r="BD157">
            <v>3.3000000000015461E-2</v>
          </cell>
          <cell r="BE157">
            <v>3.3999999999991815E-2</v>
          </cell>
          <cell r="BF157">
            <v>3.3999999999991815E-2</v>
          </cell>
          <cell r="BG157">
            <v>3.4999999999968168E-2</v>
          </cell>
          <cell r="BH157">
            <v>3.4999999999968168E-2</v>
          </cell>
          <cell r="BI157">
            <v>3.6000000000058208E-2</v>
          </cell>
          <cell r="BJ157">
            <v>3.4999999999968168E-2</v>
          </cell>
          <cell r="BK157">
            <v>3.1129499999999588E-2</v>
          </cell>
          <cell r="BL157">
            <v>3.1491380437500105E-2</v>
          </cell>
          <cell r="BM157">
            <v>3.1857467735085798E-2</v>
          </cell>
          <cell r="BN157">
            <v>3.2227810797507139E-2</v>
          </cell>
          <cell r="BO157">
            <v>3.2602459098027836E-2</v>
          </cell>
          <cell r="BP157">
            <v>3.2981462685042651E-2</v>
          </cell>
          <cell r="BQ157">
            <v>3.3364872188755612E-2</v>
          </cell>
          <cell r="BR157">
            <v>3.3752738827949713E-2</v>
          </cell>
          <cell r="BS157">
            <v>3.4145114416824995E-2</v>
          </cell>
        </row>
        <row r="158">
          <cell r="A158" t="str">
            <v>Addition (Retirement)</v>
          </cell>
          <cell r="J158">
            <v>0</v>
          </cell>
          <cell r="K158">
            <v>0</v>
          </cell>
          <cell r="L158">
            <v>0</v>
          </cell>
          <cell r="M158">
            <v>0</v>
          </cell>
          <cell r="N158">
            <v>0</v>
          </cell>
          <cell r="O158">
            <v>0</v>
          </cell>
          <cell r="P158">
            <v>0</v>
          </cell>
          <cell r="Q158">
            <v>0</v>
          </cell>
          <cell r="R158">
            <v>0</v>
          </cell>
          <cell r="S158">
            <v>0</v>
          </cell>
          <cell r="T158">
            <v>0</v>
          </cell>
          <cell r="U158">
            <v>0</v>
          </cell>
          <cell r="V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row>
        <row r="159">
          <cell r="A159" t="str">
            <v>Ending Balance</v>
          </cell>
          <cell r="J159">
            <v>599.21</v>
          </cell>
          <cell r="K159">
            <v>599.346</v>
          </cell>
          <cell r="L159">
            <v>599.48312950000002</v>
          </cell>
          <cell r="M159">
            <v>599.61130861806816</v>
          </cell>
          <cell r="N159">
            <v>599.74555280618665</v>
          </cell>
          <cell r="O159">
            <v>599.88372101167431</v>
          </cell>
          <cell r="P159">
            <v>600.02831403871721</v>
          </cell>
          <cell r="Q159">
            <v>600.17963064151752</v>
          </cell>
          <cell r="R159">
            <v>600.33798346634808</v>
          </cell>
          <cell r="S159">
            <v>600.50369969753331</v>
          </cell>
          <cell r="T159">
            <v>600.67712173346865</v>
          </cell>
          <cell r="U159">
            <v>600.85860789407491</v>
          </cell>
          <cell r="V159">
            <v>601.04853316114941</v>
          </cell>
          <cell r="BC159">
            <v>599.21</v>
          </cell>
          <cell r="BD159">
            <v>599.24300000000005</v>
          </cell>
          <cell r="BE159">
            <v>599.27700000000004</v>
          </cell>
          <cell r="BF159">
            <v>599.31100000000004</v>
          </cell>
          <cell r="BG159">
            <v>599.346</v>
          </cell>
          <cell r="BH159">
            <v>599.38099999999997</v>
          </cell>
          <cell r="BI159">
            <v>599.41700000000003</v>
          </cell>
          <cell r="BJ159">
            <v>599.452</v>
          </cell>
          <cell r="BK159">
            <v>599.48312950000002</v>
          </cell>
          <cell r="BL159">
            <v>599.51462088043752</v>
          </cell>
          <cell r="BM159">
            <v>599.54647834817263</v>
          </cell>
          <cell r="BN159">
            <v>599.57870615897014</v>
          </cell>
          <cell r="BO159">
            <v>599.61130861806816</v>
          </cell>
          <cell r="BP159">
            <v>599.64429008075319</v>
          </cell>
          <cell r="BQ159">
            <v>599.67765495294191</v>
          </cell>
          <cell r="BR159">
            <v>599.71140769176986</v>
          </cell>
          <cell r="BS159">
            <v>599.74555280618665</v>
          </cell>
        </row>
        <row r="161">
          <cell r="A161" t="str">
            <v>3.25% Convertible Notes (Aug 1, 2010)</v>
          </cell>
        </row>
        <row r="162">
          <cell r="A162" t="str">
            <v>Beginning</v>
          </cell>
          <cell r="H162">
            <v>18.332999999999998</v>
          </cell>
          <cell r="I162">
            <v>18.332999999999998</v>
          </cell>
          <cell r="J162">
            <v>0</v>
          </cell>
          <cell r="K162">
            <v>0</v>
          </cell>
          <cell r="L162">
            <v>0</v>
          </cell>
          <cell r="M162">
            <v>0</v>
          </cell>
          <cell r="N162">
            <v>0</v>
          </cell>
          <cell r="O162">
            <v>0</v>
          </cell>
          <cell r="P162">
            <v>0</v>
          </cell>
          <cell r="Q162">
            <v>0</v>
          </cell>
          <cell r="R162">
            <v>0</v>
          </cell>
          <cell r="S162">
            <v>0</v>
          </cell>
          <cell r="T162">
            <v>0</v>
          </cell>
          <cell r="U162">
            <v>0</v>
          </cell>
          <cell r="V162">
            <v>0</v>
          </cell>
          <cell r="AT162">
            <v>18.332999999999998</v>
          </cell>
          <cell r="AU162">
            <v>18.332999999999998</v>
          </cell>
          <cell r="AV162">
            <v>18.332999999999998</v>
          </cell>
          <cell r="AW162">
            <v>4.6980000000000004</v>
          </cell>
          <cell r="AX162">
            <v>4.6980000000000004</v>
          </cell>
          <cell r="AY162">
            <v>0</v>
          </cell>
          <cell r="AZ162">
            <v>0</v>
          </cell>
          <cell r="BA162">
            <v>0</v>
          </cell>
          <cell r="BB162">
            <v>0</v>
          </cell>
        </row>
        <row r="163">
          <cell r="A163" t="str">
            <v>Addition (Retirement)</v>
          </cell>
          <cell r="H163">
            <v>0</v>
          </cell>
          <cell r="I163">
            <v>-18.332999999999998</v>
          </cell>
          <cell r="J163">
            <v>0</v>
          </cell>
          <cell r="AU163">
            <v>0</v>
          </cell>
          <cell r="AV163">
            <v>-13.634999999999998</v>
          </cell>
          <cell r="AW163">
            <v>0</v>
          </cell>
          <cell r="AX163">
            <v>-4.6980000000000004</v>
          </cell>
          <cell r="AY163">
            <v>0</v>
          </cell>
          <cell r="AZ163">
            <v>0</v>
          </cell>
        </row>
        <row r="164">
          <cell r="A164" t="str">
            <v>Ending Balance</v>
          </cell>
          <cell r="H164">
            <v>18.332999999999998</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AT164">
            <v>18.332999999999998</v>
          </cell>
          <cell r="AU164">
            <v>18.332999999999998</v>
          </cell>
          <cell r="AV164">
            <v>4.6980000000000004</v>
          </cell>
          <cell r="AW164">
            <v>4.6980000000000004</v>
          </cell>
          <cell r="AX164">
            <v>0</v>
          </cell>
          <cell r="AY164">
            <v>0</v>
          </cell>
          <cell r="AZ164">
            <v>0</v>
          </cell>
          <cell r="BA164">
            <v>0</v>
          </cell>
          <cell r="BB164">
            <v>0</v>
          </cell>
        </row>
        <row r="166">
          <cell r="A166" t="str">
            <v>2.25% Convertible Notes (Aug 15, 2009)</v>
          </cell>
        </row>
        <row r="167">
          <cell r="A167" t="str">
            <v>Beginning</v>
          </cell>
          <cell r="H167">
            <v>0.45</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AT167">
            <v>0.45</v>
          </cell>
          <cell r="AU167">
            <v>0.45</v>
          </cell>
          <cell r="AV167">
            <v>0</v>
          </cell>
          <cell r="AW167">
            <v>4.4999999999999998E-2</v>
          </cell>
          <cell r="AX167">
            <v>0</v>
          </cell>
          <cell r="AY167">
            <v>0</v>
          </cell>
          <cell r="AZ167">
            <v>0</v>
          </cell>
          <cell r="BA167">
            <v>0</v>
          </cell>
          <cell r="BB167">
            <v>0</v>
          </cell>
        </row>
        <row r="168">
          <cell r="A168" t="str">
            <v>Addition (Retirement)</v>
          </cell>
          <cell r="H168">
            <v>-0.45</v>
          </cell>
          <cell r="I168">
            <v>0</v>
          </cell>
          <cell r="J168">
            <v>0</v>
          </cell>
          <cell r="AU168">
            <v>-0.45</v>
          </cell>
          <cell r="AV168">
            <v>4.4999999999999998E-2</v>
          </cell>
          <cell r="AW168">
            <v>-4.4999999999999998E-2</v>
          </cell>
          <cell r="AX168">
            <v>0</v>
          </cell>
          <cell r="AY168">
            <v>0</v>
          </cell>
          <cell r="AZ168">
            <v>0</v>
          </cell>
        </row>
        <row r="169">
          <cell r="A169" t="str">
            <v>Ending Balance</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AT169">
            <v>0.45</v>
          </cell>
          <cell r="AU169">
            <v>0</v>
          </cell>
          <cell r="AV169">
            <v>4.4999999999999998E-2</v>
          </cell>
          <cell r="AW169">
            <v>0</v>
          </cell>
          <cell r="AX169">
            <v>0</v>
          </cell>
          <cell r="AY169">
            <v>0</v>
          </cell>
          <cell r="AZ169">
            <v>0</v>
          </cell>
          <cell r="BA169">
            <v>0</v>
          </cell>
          <cell r="BB169">
            <v>0</v>
          </cell>
        </row>
        <row r="171">
          <cell r="A171" t="str">
            <v>5.05% Senior Notes (2020)</v>
          </cell>
          <cell r="K171">
            <v>700</v>
          </cell>
          <cell r="L171">
            <v>700</v>
          </cell>
          <cell r="M171">
            <v>700</v>
          </cell>
          <cell r="N171">
            <v>700</v>
          </cell>
          <cell r="O171">
            <v>700</v>
          </cell>
          <cell r="P171">
            <v>700</v>
          </cell>
          <cell r="Q171">
            <v>700</v>
          </cell>
          <cell r="R171">
            <v>700</v>
          </cell>
          <cell r="S171">
            <v>700</v>
          </cell>
          <cell r="T171">
            <v>700</v>
          </cell>
          <cell r="U171">
            <v>700</v>
          </cell>
          <cell r="V171">
            <v>700</v>
          </cell>
          <cell r="BF171">
            <v>700</v>
          </cell>
          <cell r="BG171">
            <v>700</v>
          </cell>
          <cell r="BH171">
            <v>700</v>
          </cell>
          <cell r="BI171">
            <v>700</v>
          </cell>
          <cell r="BJ171">
            <v>700</v>
          </cell>
          <cell r="BK171">
            <v>700</v>
          </cell>
          <cell r="BL171">
            <v>700</v>
          </cell>
          <cell r="BM171">
            <v>700</v>
          </cell>
          <cell r="BN171">
            <v>700</v>
          </cell>
          <cell r="BO171">
            <v>700</v>
          </cell>
          <cell r="BP171">
            <v>700</v>
          </cell>
          <cell r="BQ171">
            <v>700</v>
          </cell>
          <cell r="BR171">
            <v>700</v>
          </cell>
          <cell r="BS171">
            <v>700</v>
          </cell>
        </row>
        <row r="172">
          <cell r="A172" t="str">
            <v>Beginning</v>
          </cell>
          <cell r="K172">
            <v>699.16899999999998</v>
          </cell>
          <cell r="L172">
            <v>699.18600000000004</v>
          </cell>
          <cell r="M172">
            <v>699.25639857500005</v>
          </cell>
          <cell r="N172">
            <v>699.32416174436628</v>
          </cell>
          <cell r="O172">
            <v>699.39537855745687</v>
          </cell>
          <cell r="P172">
            <v>699.4697544813921</v>
          </cell>
          <cell r="Q172">
            <v>699.54789754587466</v>
          </cell>
          <cell r="R172">
            <v>699.62999855657324</v>
          </cell>
          <cell r="S172">
            <v>699.71625798346372</v>
          </cell>
          <cell r="T172">
            <v>699.80688645032615</v>
          </cell>
          <cell r="U172">
            <v>699.90210524903512</v>
          </cell>
          <cell r="V172">
            <v>700.00214687989876</v>
          </cell>
          <cell r="BF172">
            <v>699.16</v>
          </cell>
          <cell r="BG172">
            <v>699.16899999999998</v>
          </cell>
          <cell r="BH172">
            <v>699.18600000000004</v>
          </cell>
          <cell r="BI172">
            <v>699.20399999999995</v>
          </cell>
          <cell r="BJ172">
            <v>699.22199999999998</v>
          </cell>
          <cell r="BK172">
            <v>699.24</v>
          </cell>
          <cell r="BL172">
            <v>699.25639857500005</v>
          </cell>
          <cell r="BM172">
            <v>699.27302507500008</v>
          </cell>
          <cell r="BN172">
            <v>699.28985922195602</v>
          </cell>
          <cell r="BO172">
            <v>699.30690390196821</v>
          </cell>
          <cell r="BP172">
            <v>699.32416174436628</v>
          </cell>
          <cell r="BQ172">
            <v>699.34163541502494</v>
          </cell>
          <cell r="BR172">
            <v>699.35932761311301</v>
          </cell>
          <cell r="BS172">
            <v>699.37724107155577</v>
          </cell>
        </row>
        <row r="173">
          <cell r="A173" t="str">
            <v>Amortization of Bond Discount (non cash)</v>
          </cell>
          <cell r="K173">
            <v>2.6000000000067303E-2</v>
          </cell>
          <cell r="L173">
            <v>1.6398575000000193E-2</v>
          </cell>
          <cell r="M173">
            <v>6.7763169366145348E-2</v>
          </cell>
          <cell r="N173">
            <v>7.1216813090501319E-2</v>
          </cell>
          <cell r="O173">
            <v>7.4375923935185995E-2</v>
          </cell>
          <cell r="P173">
            <v>7.8143064482510738E-2</v>
          </cell>
          <cell r="Q173">
            <v>8.2101010698551136E-2</v>
          </cell>
          <cell r="R173">
            <v>8.6259426890435975E-2</v>
          </cell>
          <cell r="S173">
            <v>9.0628466862433754E-2</v>
          </cell>
          <cell r="T173">
            <v>9.5218798709019836E-2</v>
          </cell>
          <cell r="U173">
            <v>0.10004163086362894</v>
          </cell>
          <cell r="V173">
            <v>0.10510873946687127</v>
          </cell>
          <cell r="BF173">
            <v>9.0000000000145519E-3</v>
          </cell>
          <cell r="BG173">
            <v>1.7000000000052751E-2</v>
          </cell>
          <cell r="BH173">
            <v>1.7999999999915417E-2</v>
          </cell>
          <cell r="BI173">
            <v>1.8000000000029104E-2</v>
          </cell>
          <cell r="BJ173">
            <v>1.8000000000029104E-2</v>
          </cell>
          <cell r="BK173">
            <v>1.6398575000000193E-2</v>
          </cell>
          <cell r="BL173">
            <v>1.6626499999999211E-2</v>
          </cell>
          <cell r="BM173">
            <v>1.6834146955938323E-2</v>
          </cell>
          <cell r="BN173">
            <v>1.7044680012189062E-2</v>
          </cell>
          <cell r="BO173">
            <v>1.7257842398018752E-2</v>
          </cell>
          <cell r="BP173">
            <v>1.7473670658672447E-2</v>
          </cell>
          <cell r="BQ173">
            <v>1.7692198088036903E-2</v>
          </cell>
          <cell r="BR173">
            <v>1.7913458442752273E-2</v>
          </cell>
          <cell r="BS173">
            <v>1.8137485901043249E-2</v>
          </cell>
        </row>
        <row r="174">
          <cell r="A174" t="str">
            <v>Addition (Retirement)</v>
          </cell>
          <cell r="K174">
            <v>0</v>
          </cell>
          <cell r="L174">
            <v>0</v>
          </cell>
          <cell r="M174">
            <v>0</v>
          </cell>
          <cell r="N174">
            <v>0</v>
          </cell>
          <cell r="O174">
            <v>0</v>
          </cell>
          <cell r="P174">
            <v>0</v>
          </cell>
          <cell r="Q174">
            <v>0</v>
          </cell>
          <cell r="R174">
            <v>0</v>
          </cell>
          <cell r="S174">
            <v>0</v>
          </cell>
          <cell r="T174">
            <v>0</v>
          </cell>
          <cell r="U174">
            <v>0</v>
          </cell>
          <cell r="V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row>
        <row r="175">
          <cell r="A175" t="str">
            <v>Ending Balance</v>
          </cell>
          <cell r="J175">
            <v>0</v>
          </cell>
          <cell r="K175">
            <v>699.18600000000004</v>
          </cell>
          <cell r="L175">
            <v>699.25639857500005</v>
          </cell>
          <cell r="M175">
            <v>699.32416174436628</v>
          </cell>
          <cell r="N175">
            <v>699.39537855745687</v>
          </cell>
          <cell r="O175">
            <v>699.4697544813921</v>
          </cell>
          <cell r="P175">
            <v>699.54789754587466</v>
          </cell>
          <cell r="Q175">
            <v>699.62999855657324</v>
          </cell>
          <cell r="R175">
            <v>699.71625798346372</v>
          </cell>
          <cell r="S175">
            <v>699.80688645032615</v>
          </cell>
          <cell r="T175">
            <v>699.90210524903512</v>
          </cell>
          <cell r="U175">
            <v>700.00214687989876</v>
          </cell>
          <cell r="V175">
            <v>700.10725561936567</v>
          </cell>
          <cell r="BF175">
            <v>699.16899999999998</v>
          </cell>
          <cell r="BG175">
            <v>699.18600000000004</v>
          </cell>
          <cell r="BH175">
            <v>699.20399999999995</v>
          </cell>
          <cell r="BI175">
            <v>699.22199999999998</v>
          </cell>
          <cell r="BJ175">
            <v>699.24</v>
          </cell>
          <cell r="BK175">
            <v>699.25639857500005</v>
          </cell>
          <cell r="BL175">
            <v>699.27302507500008</v>
          </cell>
          <cell r="BM175">
            <v>699.28985922195602</v>
          </cell>
          <cell r="BN175">
            <v>699.30690390196821</v>
          </cell>
          <cell r="BO175">
            <v>699.32416174436628</v>
          </cell>
          <cell r="BP175">
            <v>699.34163541502494</v>
          </cell>
          <cell r="BQ175">
            <v>699.35932761311301</v>
          </cell>
          <cell r="BR175">
            <v>699.37724107155577</v>
          </cell>
          <cell r="BS175">
            <v>699.39537855745687</v>
          </cell>
        </row>
        <row r="177">
          <cell r="A177" t="str">
            <v>4.50% Senior Notes (2018)</v>
          </cell>
          <cell r="K177">
            <v>1000</v>
          </cell>
          <cell r="L177">
            <v>1000</v>
          </cell>
          <cell r="M177">
            <v>1000</v>
          </cell>
          <cell r="N177">
            <v>1000</v>
          </cell>
          <cell r="O177">
            <v>1000</v>
          </cell>
          <cell r="P177">
            <v>1000</v>
          </cell>
          <cell r="Q177">
            <v>1000</v>
          </cell>
          <cell r="R177">
            <v>1000</v>
          </cell>
          <cell r="S177">
            <v>1000</v>
          </cell>
          <cell r="T177">
            <v>1000</v>
          </cell>
          <cell r="U177">
            <v>1000</v>
          </cell>
          <cell r="V177">
            <v>1000</v>
          </cell>
          <cell r="BG177">
            <v>1000</v>
          </cell>
          <cell r="BH177">
            <v>1000</v>
          </cell>
          <cell r="BI177">
            <v>1000</v>
          </cell>
          <cell r="BJ177">
            <v>1000</v>
          </cell>
          <cell r="BK177">
            <v>1000</v>
          </cell>
          <cell r="BL177">
            <v>1000</v>
          </cell>
          <cell r="BM177">
            <v>1000</v>
          </cell>
          <cell r="BN177">
            <v>1000</v>
          </cell>
          <cell r="BO177">
            <v>1000</v>
          </cell>
          <cell r="BP177">
            <v>1000</v>
          </cell>
          <cell r="BQ177">
            <v>1000</v>
          </cell>
          <cell r="BR177">
            <v>1000</v>
          </cell>
          <cell r="BS177">
            <v>1000</v>
          </cell>
        </row>
        <row r="178">
          <cell r="A178" t="str">
            <v>Beginning</v>
          </cell>
          <cell r="K178">
            <v>0</v>
          </cell>
          <cell r="L178">
            <v>999.21600000000001</v>
          </cell>
          <cell r="M178">
            <v>999.30996863999997</v>
          </cell>
          <cell r="N178">
            <v>999.40034937314601</v>
          </cell>
          <cell r="O178">
            <v>999.49487760470959</v>
          </cell>
          <cell r="P178">
            <v>999.59208648223409</v>
          </cell>
          <cell r="Q178">
            <v>999.69368142431244</v>
          </cell>
          <cell r="R178">
            <v>999.79986033017747</v>
          </cell>
          <cell r="S178">
            <v>999.91083002827509</v>
          </cell>
          <cell r="T178">
            <v>1000.0268066791508</v>
          </cell>
          <cell r="U178">
            <v>1000.0268066791508</v>
          </cell>
          <cell r="V178">
            <v>1000.0268066791508</v>
          </cell>
          <cell r="BG178">
            <v>0</v>
          </cell>
          <cell r="BH178">
            <v>999.21600000000001</v>
          </cell>
          <cell r="BI178">
            <v>999.24</v>
          </cell>
          <cell r="BJ178">
            <v>999.26400000000001</v>
          </cell>
          <cell r="BK178">
            <v>999.28800000000001</v>
          </cell>
          <cell r="BL178">
            <v>999.30996863999997</v>
          </cell>
          <cell r="BM178">
            <v>999.33218508625919</v>
          </cell>
          <cell r="BN178">
            <v>999.35465213403222</v>
          </cell>
          <cell r="BO178">
            <v>999.37737261010409</v>
          </cell>
          <cell r="BP178">
            <v>999.40034937314601</v>
          </cell>
          <cell r="BQ178">
            <v>999.42358531407513</v>
          </cell>
          <cell r="BR178">
            <v>999.44708335641792</v>
          </cell>
          <cell r="BS178">
            <v>999.47084645667826</v>
          </cell>
        </row>
        <row r="179">
          <cell r="A179" t="str">
            <v>Amortization of Bond Discount (non cash)</v>
          </cell>
          <cell r="K179">
            <v>0</v>
          </cell>
          <cell r="L179">
            <v>2.1968640000000761E-2</v>
          </cell>
          <cell r="M179">
            <v>9.0380733146062653E-2</v>
          </cell>
          <cell r="N179">
            <v>9.4528231563579368E-2</v>
          </cell>
          <cell r="O179">
            <v>9.7208877524494142E-2</v>
          </cell>
          <cell r="P179">
            <v>0.1015949420783997</v>
          </cell>
          <cell r="Q179">
            <v>0.10617890586497936</v>
          </cell>
          <cell r="R179">
            <v>0.11096969809760537</v>
          </cell>
          <cell r="S179">
            <v>0.11597665087577269</v>
          </cell>
          <cell r="T179">
            <v>0</v>
          </cell>
          <cell r="U179">
            <v>0</v>
          </cell>
          <cell r="V179">
            <v>0</v>
          </cell>
          <cell r="BG179">
            <v>0</v>
          </cell>
          <cell r="BH179">
            <v>0</v>
          </cell>
          <cell r="BI179">
            <v>0</v>
          </cell>
          <cell r="BJ179">
            <v>0</v>
          </cell>
          <cell r="BK179">
            <v>2.1968640000000761E-2</v>
          </cell>
          <cell r="BL179">
            <v>2.2216446259200495E-2</v>
          </cell>
          <cell r="BM179">
            <v>2.2467047773004012E-2</v>
          </cell>
          <cell r="BN179">
            <v>2.2720476071883766E-2</v>
          </cell>
          <cell r="BO179">
            <v>2.297676304197438E-2</v>
          </cell>
          <cell r="BP179">
            <v>2.3235940929087207E-2</v>
          </cell>
          <cell r="BQ179">
            <v>2.3498042342767533E-2</v>
          </cell>
          <cell r="BR179">
            <v>2.376310026039441E-2</v>
          </cell>
          <cell r="BS179">
            <v>2.4031148031330218E-2</v>
          </cell>
        </row>
        <row r="180">
          <cell r="A180" t="str">
            <v>Addition (Retirement)</v>
          </cell>
          <cell r="K180">
            <v>999.21600000000001</v>
          </cell>
          <cell r="L180">
            <v>0</v>
          </cell>
          <cell r="M180">
            <v>0</v>
          </cell>
          <cell r="N180">
            <v>0</v>
          </cell>
          <cell r="O180">
            <v>0</v>
          </cell>
          <cell r="P180">
            <v>0</v>
          </cell>
          <cell r="Q180">
            <v>0</v>
          </cell>
          <cell r="R180">
            <v>0</v>
          </cell>
          <cell r="S180">
            <v>0</v>
          </cell>
          <cell r="T180">
            <v>0</v>
          </cell>
          <cell r="U180">
            <v>0</v>
          </cell>
          <cell r="V180">
            <v>0</v>
          </cell>
          <cell r="BG180">
            <v>999.21600000000001</v>
          </cell>
          <cell r="BH180">
            <v>0</v>
          </cell>
          <cell r="BI180">
            <v>0</v>
          </cell>
          <cell r="BJ180">
            <v>0</v>
          </cell>
          <cell r="BK180">
            <v>0</v>
          </cell>
          <cell r="BL180">
            <v>0</v>
          </cell>
          <cell r="BM180">
            <v>0</v>
          </cell>
          <cell r="BN180">
            <v>0</v>
          </cell>
          <cell r="BO180">
            <v>0</v>
          </cell>
          <cell r="BP180">
            <v>0</v>
          </cell>
          <cell r="BQ180">
            <v>0</v>
          </cell>
          <cell r="BR180">
            <v>0</v>
          </cell>
          <cell r="BS180">
            <v>0</v>
          </cell>
        </row>
        <row r="181">
          <cell r="A181" t="str">
            <v>Ending Balance</v>
          </cell>
          <cell r="J181">
            <v>0</v>
          </cell>
          <cell r="K181">
            <v>999.21600000000001</v>
          </cell>
          <cell r="L181">
            <v>999.30996863999997</v>
          </cell>
          <cell r="M181">
            <v>999.40034937314601</v>
          </cell>
          <cell r="N181">
            <v>999.49487760470959</v>
          </cell>
          <cell r="O181">
            <v>999.59208648223409</v>
          </cell>
          <cell r="P181">
            <v>999.69368142431244</v>
          </cell>
          <cell r="Q181">
            <v>999.79986033017747</v>
          </cell>
          <cell r="R181">
            <v>999.91083002827509</v>
          </cell>
          <cell r="S181">
            <v>1000.0268066791508</v>
          </cell>
          <cell r="T181">
            <v>1000.0268066791508</v>
          </cell>
          <cell r="U181">
            <v>1000.0268066791508</v>
          </cell>
          <cell r="V181">
            <v>1000.0268066791508</v>
          </cell>
          <cell r="BG181">
            <v>999.21600000000001</v>
          </cell>
          <cell r="BH181">
            <v>999.24</v>
          </cell>
          <cell r="BI181">
            <v>999.26400000000001</v>
          </cell>
          <cell r="BJ181">
            <v>999.28800000000001</v>
          </cell>
          <cell r="BK181">
            <v>999.30996863999997</v>
          </cell>
          <cell r="BL181">
            <v>999.33218508625919</v>
          </cell>
          <cell r="BM181">
            <v>999.35465213403222</v>
          </cell>
          <cell r="BN181">
            <v>999.37737261010409</v>
          </cell>
          <cell r="BO181">
            <v>999.40034937314601</v>
          </cell>
          <cell r="BP181">
            <v>999.42358531407513</v>
          </cell>
          <cell r="BQ181">
            <v>999.44708335641792</v>
          </cell>
          <cell r="BR181">
            <v>999.47084645667826</v>
          </cell>
          <cell r="BS181">
            <v>999.49487760470959</v>
          </cell>
        </row>
        <row r="183">
          <cell r="A183" t="str">
            <v>5.90% Senior Notes (2021)</v>
          </cell>
          <cell r="L183">
            <v>500</v>
          </cell>
          <cell r="M183">
            <v>500</v>
          </cell>
          <cell r="N183">
            <v>500</v>
          </cell>
          <cell r="O183">
            <v>500</v>
          </cell>
          <cell r="P183">
            <v>500</v>
          </cell>
          <cell r="Q183">
            <v>500</v>
          </cell>
          <cell r="R183">
            <v>500</v>
          </cell>
          <cell r="S183">
            <v>500</v>
          </cell>
          <cell r="T183">
            <v>500</v>
          </cell>
          <cell r="U183">
            <v>500</v>
          </cell>
          <cell r="V183">
            <v>500</v>
          </cell>
          <cell r="BK183">
            <v>500</v>
          </cell>
          <cell r="BL183">
            <v>500</v>
          </cell>
          <cell r="BM183">
            <v>500</v>
          </cell>
          <cell r="BN183">
            <v>500</v>
          </cell>
          <cell r="BO183">
            <v>500</v>
          </cell>
          <cell r="BP183">
            <v>500</v>
          </cell>
          <cell r="BQ183">
            <v>500</v>
          </cell>
          <cell r="BR183">
            <v>500</v>
          </cell>
          <cell r="BS183">
            <v>500</v>
          </cell>
        </row>
        <row r="184">
          <cell r="A184" t="str">
            <v>Beginning</v>
          </cell>
          <cell r="L184">
            <v>0</v>
          </cell>
          <cell r="M184">
            <v>495.2</v>
          </cell>
          <cell r="N184">
            <v>495.56879541109686</v>
          </cell>
          <cell r="O184">
            <v>495.96033712331229</v>
          </cell>
          <cell r="P184">
            <v>496.36674545184803</v>
          </cell>
          <cell r="Q184">
            <v>496.79766020259444</v>
          </cell>
          <cell r="R184">
            <v>497.25455911281091</v>
          </cell>
          <cell r="S184">
            <v>497.73900902731339</v>
          </cell>
          <cell r="T184">
            <v>498.2526712716604</v>
          </cell>
          <cell r="U184">
            <v>498.79730734934151</v>
          </cell>
          <cell r="V184">
            <v>499.37478498250681</v>
          </cell>
          <cell r="BK184">
            <v>0</v>
          </cell>
          <cell r="BL184">
            <v>495.2</v>
          </cell>
          <cell r="BM184">
            <v>495.29014000000001</v>
          </cell>
          <cell r="BN184">
            <v>495.3816388605</v>
          </cell>
          <cell r="BO184">
            <v>495.47451706632205</v>
          </cell>
          <cell r="BP184">
            <v>495.56879541109686</v>
          </cell>
          <cell r="BQ184">
            <v>495.66449500191914</v>
          </cell>
          <cell r="BR184">
            <v>495.76163726407304</v>
          </cell>
          <cell r="BS184">
            <v>495.86024394582893</v>
          </cell>
        </row>
        <row r="185">
          <cell r="A185" t="str">
            <v>Amortization of Bond Discount (non cash)</v>
          </cell>
          <cell r="L185">
            <v>0</v>
          </cell>
          <cell r="M185">
            <v>0.36879541109684233</v>
          </cell>
          <cell r="N185">
            <v>0.3915417122154885</v>
          </cell>
          <cell r="O185">
            <v>0.40640832853572917</v>
          </cell>
          <cell r="P185">
            <v>0.43091475074643526</v>
          </cell>
          <cell r="Q185">
            <v>0.45689891021644513</v>
          </cell>
          <cell r="R185">
            <v>0.4844499145024983</v>
          </cell>
          <cell r="S185">
            <v>0.51366224434699603</v>
          </cell>
          <cell r="T185">
            <v>0.54463607768112254</v>
          </cell>
          <cell r="U185">
            <v>0.57747763316529444</v>
          </cell>
          <cell r="V185">
            <v>0.61229953444516028</v>
          </cell>
          <cell r="BK185">
            <v>0</v>
          </cell>
          <cell r="BL185">
            <v>9.0139999999999887E-2</v>
          </cell>
          <cell r="BM185">
            <v>9.1498860499999779E-2</v>
          </cell>
          <cell r="BN185">
            <v>9.287820582203743E-2</v>
          </cell>
          <cell r="BO185">
            <v>9.4278344774805234E-2</v>
          </cell>
          <cell r="BP185">
            <v>9.5699590822285074E-2</v>
          </cell>
          <cell r="BQ185">
            <v>9.7142262153931291E-2</v>
          </cell>
          <cell r="BR185">
            <v>9.8606681755900816E-2</v>
          </cell>
          <cell r="BS185">
            <v>0.10009317748337132</v>
          </cell>
        </row>
        <row r="186">
          <cell r="A186" t="str">
            <v>Addition (Retirement)</v>
          </cell>
          <cell r="L186">
            <v>495.2</v>
          </cell>
          <cell r="M186">
            <v>0</v>
          </cell>
          <cell r="N186">
            <v>0</v>
          </cell>
          <cell r="O186">
            <v>0</v>
          </cell>
          <cell r="P186">
            <v>0</v>
          </cell>
          <cell r="Q186">
            <v>0</v>
          </cell>
          <cell r="R186">
            <v>0</v>
          </cell>
          <cell r="S186">
            <v>0</v>
          </cell>
          <cell r="T186">
            <v>0</v>
          </cell>
          <cell r="U186">
            <v>0</v>
          </cell>
          <cell r="V186">
            <v>0</v>
          </cell>
          <cell r="BK186">
            <v>495.2</v>
          </cell>
          <cell r="BL186">
            <v>0</v>
          </cell>
          <cell r="BM186">
            <v>0</v>
          </cell>
          <cell r="BN186">
            <v>0</v>
          </cell>
          <cell r="BO186">
            <v>0</v>
          </cell>
          <cell r="BP186">
            <v>0</v>
          </cell>
          <cell r="BQ186">
            <v>0</v>
          </cell>
          <cell r="BR186">
            <v>0</v>
          </cell>
          <cell r="BS186">
            <v>0</v>
          </cell>
        </row>
        <row r="187">
          <cell r="A187" t="str">
            <v>Ending Balance</v>
          </cell>
          <cell r="L187">
            <v>495.2</v>
          </cell>
          <cell r="M187">
            <v>495.56879541109686</v>
          </cell>
          <cell r="N187">
            <v>495.96033712331229</v>
          </cell>
          <cell r="O187">
            <v>496.36674545184803</v>
          </cell>
          <cell r="P187">
            <v>496.79766020259444</v>
          </cell>
          <cell r="Q187">
            <v>497.25455911281091</v>
          </cell>
          <cell r="R187">
            <v>497.73900902731339</v>
          </cell>
          <cell r="S187">
            <v>498.2526712716604</v>
          </cell>
          <cell r="T187">
            <v>498.79730734934151</v>
          </cell>
          <cell r="U187">
            <v>499.37478498250681</v>
          </cell>
          <cell r="V187">
            <v>499.987084516952</v>
          </cell>
          <cell r="BK187">
            <v>495.2</v>
          </cell>
          <cell r="BL187">
            <v>495.29014000000001</v>
          </cell>
          <cell r="BM187">
            <v>495.3816388605</v>
          </cell>
          <cell r="BN187">
            <v>495.47451706632205</v>
          </cell>
          <cell r="BO187">
            <v>495.56879541109686</v>
          </cell>
          <cell r="BP187">
            <v>495.66449500191914</v>
          </cell>
          <cell r="BQ187">
            <v>495.76163726407304</v>
          </cell>
          <cell r="BR187">
            <v>495.86024394582893</v>
          </cell>
          <cell r="BS187">
            <v>495.96033712331229</v>
          </cell>
        </row>
        <row r="189">
          <cell r="A189" t="str">
            <v>Other Refinancing</v>
          </cell>
        </row>
        <row r="190">
          <cell r="A190" t="str">
            <v>Beginning</v>
          </cell>
          <cell r="H190">
            <v>0</v>
          </cell>
          <cell r="I190">
            <v>0</v>
          </cell>
          <cell r="J190">
            <v>0</v>
          </cell>
          <cell r="K190">
            <v>132.36199999999999</v>
          </cell>
          <cell r="L190">
            <v>119.22</v>
          </cell>
          <cell r="M190">
            <v>487.95699999999999</v>
          </cell>
          <cell r="N190">
            <v>487.95699999999999</v>
          </cell>
          <cell r="O190">
            <v>487.95699999999999</v>
          </cell>
          <cell r="P190">
            <v>487.95699999999999</v>
          </cell>
          <cell r="Q190">
            <v>487.95699999999999</v>
          </cell>
          <cell r="R190">
            <v>487.95699999999999</v>
          </cell>
          <cell r="S190">
            <v>487.95699999999999</v>
          </cell>
          <cell r="T190">
            <v>487.95699999999999</v>
          </cell>
          <cell r="U190">
            <v>487.95699999999999</v>
          </cell>
          <cell r="V190">
            <v>487.95699999999999</v>
          </cell>
          <cell r="AX190">
            <v>0</v>
          </cell>
          <cell r="AY190">
            <v>0</v>
          </cell>
          <cell r="AZ190">
            <v>0</v>
          </cell>
          <cell r="BA190">
            <v>59.595999999999997</v>
          </cell>
          <cell r="BB190">
            <v>130.71100000000001</v>
          </cell>
          <cell r="BC190">
            <v>130.922</v>
          </cell>
          <cell r="BD190">
            <v>132.36199999999999</v>
          </cell>
          <cell r="BE190">
            <v>135.273</v>
          </cell>
          <cell r="BF190">
            <v>58.860999999999997</v>
          </cell>
          <cell r="BG190">
            <v>236.15799999999999</v>
          </cell>
          <cell r="BH190">
            <v>119.22</v>
          </cell>
          <cell r="BI190">
            <v>222.489</v>
          </cell>
          <cell r="BJ190">
            <v>258.31900000000002</v>
          </cell>
          <cell r="BK190">
            <v>287.95699999999999</v>
          </cell>
          <cell r="BL190">
            <v>487.95699999999999</v>
          </cell>
          <cell r="BM190">
            <v>487.95699999999999</v>
          </cell>
          <cell r="BN190">
            <v>487.95699999999999</v>
          </cell>
          <cell r="BO190">
            <v>487.95699999999999</v>
          </cell>
          <cell r="BP190">
            <v>487.95699999999999</v>
          </cell>
          <cell r="BQ190">
            <v>487.95699999999999</v>
          </cell>
          <cell r="BR190">
            <v>487.95699999999999</v>
          </cell>
          <cell r="BS190">
            <v>487.95699999999999</v>
          </cell>
        </row>
        <row r="191">
          <cell r="A191" t="str">
            <v>Addition (Retirement)</v>
          </cell>
          <cell r="H191">
            <v>0</v>
          </cell>
          <cell r="I191">
            <v>0</v>
          </cell>
          <cell r="J191">
            <v>0</v>
          </cell>
          <cell r="K191">
            <v>-13.141999999999996</v>
          </cell>
          <cell r="L191">
            <v>368.73699999999997</v>
          </cell>
          <cell r="M191">
            <v>0</v>
          </cell>
          <cell r="N191">
            <v>0</v>
          </cell>
          <cell r="O191">
            <v>0</v>
          </cell>
          <cell r="P191">
            <v>0</v>
          </cell>
          <cell r="Q191">
            <v>0</v>
          </cell>
          <cell r="R191">
            <v>0</v>
          </cell>
          <cell r="S191">
            <v>0</v>
          </cell>
          <cell r="T191">
            <v>0</v>
          </cell>
          <cell r="U191">
            <v>0</v>
          </cell>
          <cell r="V191">
            <v>0</v>
          </cell>
          <cell r="BD191">
            <v>2.9110000000000014</v>
          </cell>
          <cell r="BE191">
            <v>-76.412000000000006</v>
          </cell>
          <cell r="BF191">
            <v>177.297</v>
          </cell>
          <cell r="BG191">
            <v>-116.93799999999999</v>
          </cell>
          <cell r="BH191">
            <v>103.26900000000001</v>
          </cell>
          <cell r="BI191">
            <v>35.830000000000013</v>
          </cell>
          <cell r="BJ191">
            <v>29.637999999999977</v>
          </cell>
          <cell r="BK191">
            <v>200</v>
          </cell>
          <cell r="BL191">
            <v>0</v>
          </cell>
          <cell r="BM191">
            <v>0</v>
          </cell>
          <cell r="BN191">
            <v>0</v>
          </cell>
          <cell r="BO191">
            <v>0</v>
          </cell>
          <cell r="BP191">
            <v>0</v>
          </cell>
          <cell r="BQ191">
            <v>0</v>
          </cell>
          <cell r="BR191">
            <v>0</v>
          </cell>
          <cell r="BS191">
            <v>0</v>
          </cell>
        </row>
        <row r="192">
          <cell r="A192" t="str">
            <v>Ending Balance</v>
          </cell>
          <cell r="H192">
            <v>0</v>
          </cell>
          <cell r="I192">
            <v>0</v>
          </cell>
          <cell r="J192">
            <v>132.36199999999999</v>
          </cell>
          <cell r="K192">
            <v>119.22</v>
          </cell>
          <cell r="L192">
            <v>487.95699999999999</v>
          </cell>
          <cell r="M192">
            <v>487.95699999999999</v>
          </cell>
          <cell r="N192">
            <v>487.95699999999999</v>
          </cell>
          <cell r="O192">
            <v>487.95699999999999</v>
          </cell>
          <cell r="P192">
            <v>487.95699999999999</v>
          </cell>
          <cell r="Q192">
            <v>487.95699999999999</v>
          </cell>
          <cell r="R192">
            <v>487.95699999999999</v>
          </cell>
          <cell r="S192">
            <v>487.95699999999999</v>
          </cell>
          <cell r="T192">
            <v>487.95699999999999</v>
          </cell>
          <cell r="U192">
            <v>487.95699999999999</v>
          </cell>
          <cell r="V192">
            <v>487.95699999999999</v>
          </cell>
          <cell r="AW192">
            <v>0</v>
          </cell>
          <cell r="AX192">
            <v>0</v>
          </cell>
          <cell r="AY192">
            <v>0</v>
          </cell>
          <cell r="AZ192">
            <v>59.595999999999997</v>
          </cell>
          <cell r="BA192">
            <v>130.71100000000001</v>
          </cell>
          <cell r="BB192">
            <v>130.922</v>
          </cell>
          <cell r="BC192">
            <v>132.36199999999999</v>
          </cell>
          <cell r="BD192">
            <v>135.273</v>
          </cell>
          <cell r="BE192">
            <v>58.860999999999997</v>
          </cell>
          <cell r="BF192">
            <v>236.15799999999999</v>
          </cell>
          <cell r="BG192">
            <v>119.22</v>
          </cell>
          <cell r="BH192">
            <v>222.489</v>
          </cell>
          <cell r="BI192">
            <v>258.31900000000002</v>
          </cell>
          <cell r="BJ192">
            <v>287.95699999999999</v>
          </cell>
          <cell r="BK192">
            <v>487.95699999999999</v>
          </cell>
          <cell r="BL192">
            <v>487.95699999999999</v>
          </cell>
          <cell r="BM192">
            <v>487.95699999999999</v>
          </cell>
          <cell r="BN192">
            <v>487.95699999999999</v>
          </cell>
          <cell r="BO192">
            <v>487.95699999999999</v>
          </cell>
          <cell r="BP192">
            <v>487.95699999999999</v>
          </cell>
          <cell r="BQ192">
            <v>487.95699999999999</v>
          </cell>
          <cell r="BR192">
            <v>487.95699999999999</v>
          </cell>
          <cell r="BS192">
            <v>487.95699999999999</v>
          </cell>
        </row>
        <row r="194">
          <cell r="A194" t="str">
            <v>Total Scheduled Debt</v>
          </cell>
          <cell r="H194">
            <v>4206.741</v>
          </cell>
          <cell r="I194">
            <v>4272.9709999999995</v>
          </cell>
          <cell r="J194">
            <v>4211.5810000000001</v>
          </cell>
          <cell r="K194">
            <v>5587.3879999999999</v>
          </cell>
          <cell r="L194">
            <v>6668.0277507774999</v>
          </cell>
          <cell r="M194">
            <v>6669.0862372068341</v>
          </cell>
          <cell r="N194">
            <v>6670.2121863199081</v>
          </cell>
          <cell r="O194">
            <v>6671.3832768164757</v>
          </cell>
          <cell r="P194">
            <v>6672.6275032096173</v>
          </cell>
          <cell r="Q194">
            <v>6673.9495794465556</v>
          </cell>
          <cell r="R194">
            <v>6675.3545318416673</v>
          </cell>
          <cell r="S194">
            <v>6676.8477202674567</v>
          </cell>
          <cell r="T194">
            <v>6678.3136512940155</v>
          </cell>
          <cell r="U194">
            <v>6679.8741619933353</v>
          </cell>
          <cell r="V194">
            <v>6681.5355084788152</v>
          </cell>
          <cell r="AT194">
            <v>3948.7339999999999</v>
          </cell>
          <cell r="AU194">
            <v>4225.0739999999996</v>
          </cell>
          <cell r="AV194">
            <v>4361.1730000000007</v>
          </cell>
          <cell r="AW194">
            <v>4360.817</v>
          </cell>
          <cell r="AX194">
            <v>4370.1100000000006</v>
          </cell>
          <cell r="AY194">
            <v>4272.9709999999995</v>
          </cell>
          <cell r="AZ194">
            <v>4332.5259999999998</v>
          </cell>
          <cell r="BA194">
            <v>4444.2710000000006</v>
          </cell>
          <cell r="BB194">
            <v>4186.7550000000001</v>
          </cell>
          <cell r="BC194">
            <v>4211.5810000000001</v>
          </cell>
          <cell r="BD194">
            <v>4229.9349999999995</v>
          </cell>
          <cell r="BE194">
            <v>4153.6509999999998</v>
          </cell>
          <cell r="BF194">
            <v>4804.96</v>
          </cell>
          <cell r="BG194">
            <v>5587.3879999999999</v>
          </cell>
          <cell r="BH194">
            <v>5565.8329999999996</v>
          </cell>
          <cell r="BI194">
            <v>5701.8429999999998</v>
          </cell>
          <cell r="BJ194">
            <v>5831.6620000000003</v>
          </cell>
          <cell r="BK194">
            <v>6668.0277507774999</v>
          </cell>
          <cell r="BL194">
            <v>6668.2862803208418</v>
          </cell>
          <cell r="BM194">
            <v>6668.548827918692</v>
          </cell>
          <cell r="BN194">
            <v>6668.8154583593077</v>
          </cell>
          <cell r="BO194">
            <v>6669.0862372068341</v>
          </cell>
          <cell r="BP194">
            <v>6669.3612311122297</v>
          </cell>
          <cell r="BQ194">
            <v>6669.6405078279377</v>
          </cell>
          <cell r="BR194">
            <v>6669.9241362265766</v>
          </cell>
          <cell r="BS194">
            <v>6670.2121863199081</v>
          </cell>
        </row>
        <row r="195">
          <cell r="A195" t="str">
            <v>CHECK</v>
          </cell>
          <cell r="J195">
            <v>3.3484326422694721E-13</v>
          </cell>
          <cell r="K195">
            <v>4.2188474935755949E-13</v>
          </cell>
          <cell r="L195">
            <v>1.2505552149377763E-12</v>
          </cell>
          <cell r="M195">
            <v>1.2505552149377763E-12</v>
          </cell>
          <cell r="N195">
            <v>3.4106051316484809E-13</v>
          </cell>
          <cell r="O195">
            <v>1.2505552149377763E-12</v>
          </cell>
          <cell r="P195">
            <v>1.2505552149377763E-12</v>
          </cell>
          <cell r="Q195">
            <v>3.4106051316484809E-13</v>
          </cell>
          <cell r="R195">
            <v>1.2505552149377763E-12</v>
          </cell>
          <cell r="S195">
            <v>1.2505552149377763E-12</v>
          </cell>
          <cell r="T195">
            <v>1.2505552149377763E-12</v>
          </cell>
          <cell r="U195">
            <v>2.1600499167107046E-12</v>
          </cell>
          <cell r="V195">
            <v>1.2505552149377763E-12</v>
          </cell>
          <cell r="AZ195">
            <v>3.6370906286720128E-13</v>
          </cell>
          <cell r="BA195">
            <v>9.4591001698063337E-14</v>
          </cell>
          <cell r="BB195">
            <v>6.6924243924404436E-13</v>
          </cell>
          <cell r="BC195">
            <v>3.3484326422694721E-13</v>
          </cell>
          <cell r="BD195">
            <v>3.0553337637684308E-13</v>
          </cell>
          <cell r="BE195">
            <v>-4.2188474935755949E-13</v>
          </cell>
          <cell r="BF195">
            <v>-1.8207657603852567E-13</v>
          </cell>
          <cell r="BG195">
            <v>4.2188474935755949E-13</v>
          </cell>
          <cell r="BH195">
            <v>-1.1723955140041653E-13</v>
          </cell>
          <cell r="BI195">
            <v>-1.8474111129762605E-13</v>
          </cell>
          <cell r="BJ195">
            <v>3.4106051316484809E-13</v>
          </cell>
          <cell r="BK195">
            <v>1.2505552149377763E-12</v>
          </cell>
          <cell r="BL195">
            <v>1.2505552149377763E-12</v>
          </cell>
          <cell r="BM195">
            <v>1.2505552149377763E-12</v>
          </cell>
          <cell r="BN195">
            <v>3.4106051316484809E-13</v>
          </cell>
          <cell r="BO195">
            <v>1.2505552149377763E-12</v>
          </cell>
          <cell r="BP195">
            <v>1.2505552149377763E-12</v>
          </cell>
          <cell r="BQ195">
            <v>3.4106051316484809E-13</v>
          </cell>
          <cell r="BR195">
            <v>3.4106051316484809E-13</v>
          </cell>
          <cell r="BS195">
            <v>3.4106051316484809E-13</v>
          </cell>
        </row>
        <row r="197">
          <cell r="A197" t="str">
            <v>Interest Expense</v>
          </cell>
        </row>
        <row r="198">
          <cell r="A198" t="str">
            <v>Commerical Mort. Pass-through Certificates, Series 2007-1 (Apr. 15, 2014)</v>
          </cell>
          <cell r="B198">
            <v>5.6099999999999997E-2</v>
          </cell>
          <cell r="L198">
            <v>24.543749999999999</v>
          </cell>
          <cell r="M198">
            <v>98.174999999999997</v>
          </cell>
          <cell r="N198">
            <v>98.174999999999997</v>
          </cell>
          <cell r="O198">
            <v>98.174999999999997</v>
          </cell>
          <cell r="P198">
            <v>98.174999999999997</v>
          </cell>
          <cell r="Q198">
            <v>98.174999999999997</v>
          </cell>
          <cell r="R198">
            <v>98.174999999999997</v>
          </cell>
          <cell r="S198">
            <v>98.174999999999997</v>
          </cell>
          <cell r="T198">
            <v>98.174999999999997</v>
          </cell>
          <cell r="U198">
            <v>98.174999999999997</v>
          </cell>
          <cell r="V198">
            <v>98.174999999999997</v>
          </cell>
          <cell r="BK198">
            <v>24.543749999999999</v>
          </cell>
          <cell r="BL198">
            <v>24.543749999999999</v>
          </cell>
          <cell r="BM198">
            <v>24.543749999999999</v>
          </cell>
          <cell r="BN198">
            <v>24.543749999999999</v>
          </cell>
          <cell r="BO198">
            <v>24.543749999999999</v>
          </cell>
          <cell r="BP198">
            <v>24.543749999999999</v>
          </cell>
          <cell r="BQ198">
            <v>24.543749999999999</v>
          </cell>
          <cell r="BR198">
            <v>24.543749999999999</v>
          </cell>
          <cell r="BS198">
            <v>24.543749999999999</v>
          </cell>
        </row>
        <row r="199">
          <cell r="A199" t="str">
            <v>Senior Unsecured Term Loan (Jun 8, 2012)</v>
          </cell>
          <cell r="B199">
            <v>0.04</v>
          </cell>
          <cell r="L199">
            <v>3.25</v>
          </cell>
          <cell r="M199">
            <v>13</v>
          </cell>
          <cell r="N199">
            <v>13</v>
          </cell>
          <cell r="O199">
            <v>13</v>
          </cell>
          <cell r="P199">
            <v>13</v>
          </cell>
          <cell r="Q199">
            <v>13</v>
          </cell>
          <cell r="R199">
            <v>13</v>
          </cell>
          <cell r="S199">
            <v>13</v>
          </cell>
          <cell r="T199">
            <v>13</v>
          </cell>
          <cell r="U199">
            <v>13</v>
          </cell>
          <cell r="V199">
            <v>13</v>
          </cell>
          <cell r="BK199">
            <v>3.25</v>
          </cell>
          <cell r="BL199">
            <v>3.25</v>
          </cell>
          <cell r="BM199">
            <v>3.25</v>
          </cell>
          <cell r="BN199">
            <v>3.25</v>
          </cell>
          <cell r="BO199">
            <v>3.25</v>
          </cell>
          <cell r="BP199">
            <v>3.25</v>
          </cell>
          <cell r="BQ199">
            <v>3.25</v>
          </cell>
          <cell r="BR199">
            <v>3.25</v>
          </cell>
          <cell r="BS199">
            <v>3.25</v>
          </cell>
        </row>
        <row r="200">
          <cell r="A200" t="str">
            <v>Revolving Credit Facility (Jun 8, 2012)</v>
          </cell>
          <cell r="L200">
            <v>15</v>
          </cell>
          <cell r="M200">
            <v>32</v>
          </cell>
          <cell r="N200">
            <v>28</v>
          </cell>
          <cell r="O200">
            <v>28</v>
          </cell>
          <cell r="P200">
            <v>28</v>
          </cell>
          <cell r="Q200">
            <v>28</v>
          </cell>
          <cell r="R200">
            <v>28</v>
          </cell>
          <cell r="S200">
            <v>28</v>
          </cell>
          <cell r="T200">
            <v>28</v>
          </cell>
          <cell r="U200">
            <v>28</v>
          </cell>
          <cell r="V200">
            <v>28</v>
          </cell>
          <cell r="BK200">
            <v>15</v>
          </cell>
          <cell r="BL200">
            <v>8</v>
          </cell>
          <cell r="BM200">
            <v>8</v>
          </cell>
          <cell r="BN200">
            <v>8</v>
          </cell>
          <cell r="BO200">
            <v>8</v>
          </cell>
          <cell r="BP200">
            <v>7</v>
          </cell>
          <cell r="BQ200">
            <v>7</v>
          </cell>
          <cell r="BR200">
            <v>7</v>
          </cell>
          <cell r="BS200">
            <v>7</v>
          </cell>
        </row>
        <row r="201">
          <cell r="A201" t="str">
            <v>7.50% Sr Notes (May 1, 2012)</v>
          </cell>
          <cell r="B201">
            <v>7.4999999999999997E-2</v>
          </cell>
          <cell r="L201">
            <v>0</v>
          </cell>
          <cell r="M201">
            <v>0</v>
          </cell>
          <cell r="N201">
            <v>0</v>
          </cell>
          <cell r="O201">
            <v>0</v>
          </cell>
          <cell r="P201">
            <v>0</v>
          </cell>
          <cell r="Q201">
            <v>0</v>
          </cell>
          <cell r="R201">
            <v>0</v>
          </cell>
          <cell r="S201">
            <v>0</v>
          </cell>
          <cell r="T201">
            <v>0</v>
          </cell>
          <cell r="U201">
            <v>0</v>
          </cell>
          <cell r="V201">
            <v>0</v>
          </cell>
        </row>
        <row r="202">
          <cell r="A202" t="str">
            <v>7.125% Sr Notes (Oct 15, 2012)</v>
          </cell>
          <cell r="B202">
            <v>7.1249999999999994E-2</v>
          </cell>
          <cell r="L202">
            <v>0</v>
          </cell>
          <cell r="M202">
            <v>0</v>
          </cell>
          <cell r="N202">
            <v>0</v>
          </cell>
          <cell r="O202">
            <v>0</v>
          </cell>
          <cell r="P202">
            <v>0</v>
          </cell>
          <cell r="Q202">
            <v>0</v>
          </cell>
          <cell r="R202">
            <v>0</v>
          </cell>
          <cell r="S202">
            <v>0</v>
          </cell>
          <cell r="T202">
            <v>0</v>
          </cell>
          <cell r="U202">
            <v>0</v>
          </cell>
          <cell r="V202">
            <v>0</v>
          </cell>
        </row>
        <row r="203">
          <cell r="A203" t="str">
            <v>7.00% Sr Notes (Oct 15, 2017)</v>
          </cell>
          <cell r="B203">
            <v>7.0000000000000007E-2</v>
          </cell>
          <cell r="L203">
            <v>8.75</v>
          </cell>
          <cell r="M203">
            <v>35</v>
          </cell>
          <cell r="N203">
            <v>35</v>
          </cell>
          <cell r="O203">
            <v>35</v>
          </cell>
          <cell r="P203">
            <v>35</v>
          </cell>
          <cell r="Q203">
            <v>35</v>
          </cell>
          <cell r="R203">
            <v>35</v>
          </cell>
          <cell r="S203">
            <v>35</v>
          </cell>
          <cell r="T203">
            <v>35</v>
          </cell>
          <cell r="U203">
            <v>35</v>
          </cell>
          <cell r="V203">
            <v>35</v>
          </cell>
          <cell r="BK203">
            <v>8.75</v>
          </cell>
          <cell r="BL203">
            <v>8.75</v>
          </cell>
          <cell r="BM203">
            <v>8.75</v>
          </cell>
          <cell r="BN203">
            <v>8.75</v>
          </cell>
          <cell r="BO203">
            <v>8.75</v>
          </cell>
          <cell r="BP203">
            <v>8.75</v>
          </cell>
          <cell r="BQ203">
            <v>8.75</v>
          </cell>
          <cell r="BR203">
            <v>8.75</v>
          </cell>
          <cell r="BS203">
            <v>8.75</v>
          </cell>
        </row>
        <row r="204">
          <cell r="A204" t="str">
            <v>5.0% Convertible Notes (Feb 15, 2010)</v>
          </cell>
          <cell r="B204">
            <v>0.05</v>
          </cell>
          <cell r="L204">
            <v>0</v>
          </cell>
          <cell r="M204">
            <v>0</v>
          </cell>
          <cell r="N204">
            <v>0</v>
          </cell>
          <cell r="O204">
            <v>0</v>
          </cell>
          <cell r="P204">
            <v>0</v>
          </cell>
          <cell r="Q204">
            <v>0</v>
          </cell>
          <cell r="R204">
            <v>0</v>
          </cell>
          <cell r="S204">
            <v>0</v>
          </cell>
          <cell r="T204">
            <v>0</v>
          </cell>
          <cell r="U204">
            <v>0</v>
          </cell>
          <cell r="V204">
            <v>0</v>
          </cell>
        </row>
        <row r="205">
          <cell r="A205" t="str">
            <v>3.0% Convertible Notes (Aug 15, 2012)</v>
          </cell>
          <cell r="B205">
            <v>0.03</v>
          </cell>
          <cell r="L205">
            <v>0</v>
          </cell>
          <cell r="M205">
            <v>0</v>
          </cell>
          <cell r="N205">
            <v>0</v>
          </cell>
          <cell r="O205">
            <v>0</v>
          </cell>
          <cell r="P205">
            <v>0</v>
          </cell>
          <cell r="Q205">
            <v>0</v>
          </cell>
          <cell r="R205">
            <v>0</v>
          </cell>
          <cell r="S205">
            <v>0</v>
          </cell>
          <cell r="T205">
            <v>0</v>
          </cell>
          <cell r="U205">
            <v>0</v>
          </cell>
          <cell r="V205">
            <v>0</v>
          </cell>
        </row>
        <row r="206">
          <cell r="A206" t="str">
            <v>7.25% Sr. Subordinated Notes (Dec 1, 2011)</v>
          </cell>
          <cell r="B206">
            <v>7.2499999999999995E-2</v>
          </cell>
          <cell r="L206">
            <v>0</v>
          </cell>
          <cell r="M206">
            <v>0</v>
          </cell>
          <cell r="N206">
            <v>0</v>
          </cell>
        </row>
        <row r="207">
          <cell r="A207" t="str">
            <v>3.25% Convertible Notes (Aug 1, 2010)</v>
          </cell>
          <cell r="B207">
            <v>3.2500000000000001E-2</v>
          </cell>
          <cell r="L207">
            <v>0</v>
          </cell>
          <cell r="M207">
            <v>0</v>
          </cell>
          <cell r="N207">
            <v>0</v>
          </cell>
        </row>
        <row r="208">
          <cell r="A208" t="str">
            <v>2.25% Convertible Notes (Aug 15, 2009)</v>
          </cell>
          <cell r="B208">
            <v>2.2499999999999999E-2</v>
          </cell>
          <cell r="L208">
            <v>0</v>
          </cell>
          <cell r="M208">
            <v>0</v>
          </cell>
          <cell r="N208">
            <v>0</v>
          </cell>
        </row>
        <row r="209">
          <cell r="A209" t="str">
            <v>Other Refinancing</v>
          </cell>
          <cell r="B209">
            <v>7.0000000000000007E-2</v>
          </cell>
          <cell r="L209">
            <v>0</v>
          </cell>
          <cell r="M209">
            <v>0</v>
          </cell>
          <cell r="N209">
            <v>0</v>
          </cell>
          <cell r="O209">
            <v>34.15699</v>
          </cell>
          <cell r="P209">
            <v>34.15699</v>
          </cell>
          <cell r="Q209">
            <v>34.15699</v>
          </cell>
          <cell r="R209">
            <v>34.15699</v>
          </cell>
          <cell r="S209">
            <v>34.15699</v>
          </cell>
          <cell r="T209">
            <v>34.15699</v>
          </cell>
          <cell r="U209">
            <v>34.15699</v>
          </cell>
          <cell r="V209">
            <v>34.15699</v>
          </cell>
        </row>
        <row r="210">
          <cell r="A210" t="str">
            <v>Other and capital leases</v>
          </cell>
          <cell r="L210">
            <v>1</v>
          </cell>
          <cell r="M210">
            <v>0</v>
          </cell>
          <cell r="N210">
            <v>0</v>
          </cell>
          <cell r="BK210">
            <v>1</v>
          </cell>
        </row>
        <row r="212">
          <cell r="A212" t="str">
            <v>7.25% Senior Notes (2019)</v>
          </cell>
          <cell r="B212">
            <v>7.2499999999999995E-2</v>
          </cell>
          <cell r="L212">
            <v>5.4375</v>
          </cell>
          <cell r="M212">
            <v>21.75</v>
          </cell>
          <cell r="N212">
            <v>21.75</v>
          </cell>
          <cell r="O212">
            <v>21.75</v>
          </cell>
          <cell r="P212">
            <v>21.75</v>
          </cell>
          <cell r="Q212">
            <v>21.75</v>
          </cell>
          <cell r="R212">
            <v>21.75</v>
          </cell>
          <cell r="S212">
            <v>21.75</v>
          </cell>
          <cell r="T212">
            <v>21.75</v>
          </cell>
          <cell r="U212">
            <v>21.75</v>
          </cell>
          <cell r="V212">
            <v>21.75</v>
          </cell>
          <cell r="BK212">
            <v>5.4375</v>
          </cell>
          <cell r="BL212">
            <v>5.4375</v>
          </cell>
          <cell r="BM212">
            <v>5.4375</v>
          </cell>
          <cell r="BN212">
            <v>5.4375</v>
          </cell>
          <cell r="BO212">
            <v>5.4375</v>
          </cell>
          <cell r="BP212">
            <v>5.4375</v>
          </cell>
          <cell r="BQ212">
            <v>5.4375</v>
          </cell>
          <cell r="BR212">
            <v>5.4375</v>
          </cell>
          <cell r="BS212">
            <v>5.4375</v>
          </cell>
        </row>
        <row r="213">
          <cell r="A213" t="str">
            <v>Interest for Income Statement</v>
          </cell>
          <cell r="B213">
            <v>7.485E-2</v>
          </cell>
          <cell r="L213">
            <v>5.5337540625000008</v>
          </cell>
          <cell r="M213">
            <v>22.153367997655927</v>
          </cell>
          <cell r="N213">
            <v>22.184418168086669</v>
          </cell>
          <cell r="O213">
            <v>22.204929161083967</v>
          </cell>
          <cell r="P213">
            <v>22.238980608791099</v>
          </cell>
          <cell r="Q213">
            <v>22.275580807359116</v>
          </cell>
          <cell r="R213">
            <v>22.314920530789944</v>
          </cell>
          <cell r="S213">
            <v>22.357204832519571</v>
          </cell>
          <cell r="T213">
            <v>22.402654114233663</v>
          </cell>
          <cell r="U213">
            <v>22.451505274684052</v>
          </cell>
          <cell r="V213">
            <v>22.504012944494153</v>
          </cell>
          <cell r="BK213">
            <v>5.5337540625000008</v>
          </cell>
          <cell r="BL213">
            <v>5.5355552166445321</v>
          </cell>
          <cell r="BM213">
            <v>5.5373900748859928</v>
          </cell>
          <cell r="BN213">
            <v>5.5392592679122963</v>
          </cell>
          <cell r="BO213">
            <v>5.5411634382131059</v>
          </cell>
          <cell r="BP213">
            <v>5.5431032403006686</v>
          </cell>
          <cell r="BQ213">
            <v>5.5450793409347954</v>
          </cell>
          <cell r="BR213">
            <v>5.5470924193520386</v>
          </cell>
          <cell r="BS213">
            <v>5.5491431674991638</v>
          </cell>
        </row>
        <row r="214">
          <cell r="A214" t="str">
            <v>4.625% Senior Notes (2015)</v>
          </cell>
          <cell r="B214">
            <v>4.6249999999999999E-2</v>
          </cell>
          <cell r="L214">
            <v>6.9375</v>
          </cell>
          <cell r="M214">
            <v>27.75</v>
          </cell>
          <cell r="N214">
            <v>27.75</v>
          </cell>
          <cell r="O214">
            <v>27.75</v>
          </cell>
          <cell r="P214">
            <v>27.75</v>
          </cell>
          <cell r="Q214">
            <v>27.75</v>
          </cell>
          <cell r="R214">
            <v>27.75</v>
          </cell>
          <cell r="S214">
            <v>27.75</v>
          </cell>
          <cell r="T214">
            <v>27.75</v>
          </cell>
          <cell r="U214">
            <v>27.75</v>
          </cell>
          <cell r="V214">
            <v>27.75</v>
          </cell>
          <cell r="BK214">
            <v>6.9375</v>
          </cell>
          <cell r="BL214">
            <v>6.9375</v>
          </cell>
          <cell r="BM214">
            <v>6.9375</v>
          </cell>
          <cell r="BN214">
            <v>6.9375</v>
          </cell>
          <cell r="BO214">
            <v>6.9375</v>
          </cell>
          <cell r="BP214">
            <v>6.9375</v>
          </cell>
          <cell r="BQ214">
            <v>6.9375</v>
          </cell>
          <cell r="BR214">
            <v>6.9375</v>
          </cell>
          <cell r="BS214">
            <v>6.9375</v>
          </cell>
        </row>
        <row r="215">
          <cell r="A215" t="str">
            <v>Interest for Income Statement</v>
          </cell>
          <cell r="B215">
            <v>4.65E-2</v>
          </cell>
          <cell r="L215">
            <v>6.9686294999999996</v>
          </cell>
          <cell r="M215">
            <v>27.878179118068118</v>
          </cell>
          <cell r="N215">
            <v>27.884244188118572</v>
          </cell>
          <cell r="O215">
            <v>27.88816820548768</v>
          </cell>
          <cell r="P215">
            <v>27.894593027042855</v>
          </cell>
          <cell r="Q215">
            <v>27.90131660280035</v>
          </cell>
          <cell r="R215">
            <v>27.908352824830565</v>
          </cell>
          <cell r="S215">
            <v>27.915716231185186</v>
          </cell>
          <cell r="T215">
            <v>27.9234220359353</v>
          </cell>
          <cell r="U215">
            <v>27.931486160606291</v>
          </cell>
          <cell r="V215">
            <v>27.939925267074482</v>
          </cell>
          <cell r="BK215">
            <v>6.9686294999999996</v>
          </cell>
          <cell r="BL215">
            <v>6.9689913804375001</v>
          </cell>
          <cell r="BM215">
            <v>6.9693574677350858</v>
          </cell>
          <cell r="BN215">
            <v>6.9697278107975071</v>
          </cell>
          <cell r="BO215">
            <v>6.9701024590980278</v>
          </cell>
          <cell r="BP215">
            <v>6.9704814626850427</v>
          </cell>
          <cell r="BQ215">
            <v>6.9708648721887556</v>
          </cell>
          <cell r="BR215">
            <v>6.9712527388279497</v>
          </cell>
          <cell r="BS215">
            <v>6.971645114416825</v>
          </cell>
        </row>
        <row r="216">
          <cell r="A216" t="str">
            <v>5.05% Senior Notes (2020)</v>
          </cell>
          <cell r="B216">
            <v>5.0500000000000003E-2</v>
          </cell>
          <cell r="L216">
            <v>8.8375000000000004</v>
          </cell>
          <cell r="M216">
            <v>35.35</v>
          </cell>
          <cell r="N216">
            <v>35.35</v>
          </cell>
          <cell r="O216">
            <v>35.35</v>
          </cell>
          <cell r="P216">
            <v>35.35</v>
          </cell>
          <cell r="Q216">
            <v>35.35</v>
          </cell>
          <cell r="R216">
            <v>35.35</v>
          </cell>
          <cell r="S216">
            <v>35.35</v>
          </cell>
          <cell r="T216">
            <v>35.35</v>
          </cell>
          <cell r="U216">
            <v>35.35</v>
          </cell>
          <cell r="V216">
            <v>35.35</v>
          </cell>
          <cell r="BK216">
            <v>8.8375000000000004</v>
          </cell>
          <cell r="BL216">
            <v>8.8375000000000004</v>
          </cell>
          <cell r="BM216">
            <v>8.8375000000000004</v>
          </cell>
          <cell r="BN216">
            <v>8.8375000000000004</v>
          </cell>
          <cell r="BO216">
            <v>8.8375000000000004</v>
          </cell>
          <cell r="BP216">
            <v>8.8375000000000004</v>
          </cell>
          <cell r="BQ216">
            <v>8.8375000000000004</v>
          </cell>
          <cell r="BR216">
            <v>8.8375000000000004</v>
          </cell>
          <cell r="BS216">
            <v>8.8375000000000004</v>
          </cell>
        </row>
        <row r="217">
          <cell r="A217" t="str">
            <v>Interest for Income Statement</v>
          </cell>
          <cell r="B217">
            <v>5.0650000000000001E-2</v>
          </cell>
          <cell r="L217">
            <v>8.8538985750000005</v>
          </cell>
          <cell r="M217">
            <v>35.417763169366147</v>
          </cell>
          <cell r="N217">
            <v>35.421216813090503</v>
          </cell>
          <cell r="O217">
            <v>35.424375923935187</v>
          </cell>
          <cell r="P217">
            <v>35.428143064482512</v>
          </cell>
          <cell r="Q217">
            <v>35.432101010698553</v>
          </cell>
          <cell r="R217">
            <v>35.436259426890437</v>
          </cell>
          <cell r="S217">
            <v>35.440628466862435</v>
          </cell>
          <cell r="T217">
            <v>35.445218798709021</v>
          </cell>
          <cell r="U217">
            <v>35.45004163086363</v>
          </cell>
          <cell r="V217">
            <v>35.455108739466873</v>
          </cell>
          <cell r="BK217">
            <v>8.8538985750000005</v>
          </cell>
          <cell r="BL217">
            <v>8.8541264999999996</v>
          </cell>
          <cell r="BM217">
            <v>8.8543341469559387</v>
          </cell>
          <cell r="BN217">
            <v>8.8545446800121894</v>
          </cell>
          <cell r="BO217">
            <v>8.8547578423980191</v>
          </cell>
          <cell r="BP217">
            <v>8.8549736706586728</v>
          </cell>
          <cell r="BQ217">
            <v>8.8551921980880373</v>
          </cell>
          <cell r="BR217">
            <v>8.8554134584427526</v>
          </cell>
          <cell r="BS217">
            <v>8.8556374859010436</v>
          </cell>
        </row>
        <row r="218">
          <cell r="A218" t="str">
            <v>4.50% Senior Notes (2018)</v>
          </cell>
          <cell r="B218">
            <v>4.4999999999999998E-2</v>
          </cell>
          <cell r="L218">
            <v>11.25</v>
          </cell>
          <cell r="M218">
            <v>45</v>
          </cell>
          <cell r="N218">
            <v>45</v>
          </cell>
          <cell r="O218">
            <v>45</v>
          </cell>
          <cell r="P218">
            <v>45</v>
          </cell>
          <cell r="Q218">
            <v>45</v>
          </cell>
          <cell r="R218">
            <v>45</v>
          </cell>
          <cell r="S218">
            <v>45</v>
          </cell>
          <cell r="T218">
            <v>45</v>
          </cell>
          <cell r="U218">
            <v>45</v>
          </cell>
          <cell r="V218">
            <v>45</v>
          </cell>
          <cell r="BK218">
            <v>11.25</v>
          </cell>
          <cell r="BL218">
            <v>11.25</v>
          </cell>
          <cell r="BM218">
            <v>11.25</v>
          </cell>
          <cell r="BN218">
            <v>11.25</v>
          </cell>
          <cell r="BO218">
            <v>11.25</v>
          </cell>
          <cell r="BP218">
            <v>11.25</v>
          </cell>
          <cell r="BQ218">
            <v>11.25</v>
          </cell>
          <cell r="BR218">
            <v>11.25</v>
          </cell>
          <cell r="BS218">
            <v>11.25</v>
          </cell>
        </row>
        <row r="219">
          <cell r="A219" t="str">
            <v>Interest for Income Statement</v>
          </cell>
          <cell r="B219">
            <v>4.512E-2</v>
          </cell>
          <cell r="L219">
            <v>11.271968640000001</v>
          </cell>
          <cell r="M219">
            <v>45.090380733146063</v>
          </cell>
          <cell r="N219">
            <v>45.094528231563586</v>
          </cell>
          <cell r="O219">
            <v>45.097208877524494</v>
          </cell>
          <cell r="P219">
            <v>45.1015949420784</v>
          </cell>
          <cell r="Q219">
            <v>45.106178905864979</v>
          </cell>
          <cell r="R219">
            <v>45.110969698097605</v>
          </cell>
          <cell r="S219">
            <v>45.115976650875773</v>
          </cell>
          <cell r="T219">
            <v>45.121209517363283</v>
          </cell>
          <cell r="U219">
            <v>45.121209517363283</v>
          </cell>
          <cell r="V219">
            <v>45.121209517363283</v>
          </cell>
          <cell r="BK219">
            <v>11.271968640000001</v>
          </cell>
          <cell r="BL219">
            <v>11.2722164462592</v>
          </cell>
          <cell r="BM219">
            <v>11.272467047773004</v>
          </cell>
          <cell r="BN219">
            <v>11.272720476071884</v>
          </cell>
          <cell r="BO219">
            <v>11.272976763041974</v>
          </cell>
          <cell r="BP219">
            <v>11.273235940929087</v>
          </cell>
          <cell r="BQ219">
            <v>11.273498042342768</v>
          </cell>
          <cell r="BR219">
            <v>11.273763100260394</v>
          </cell>
          <cell r="BS219">
            <v>11.27403114803133</v>
          </cell>
        </row>
        <row r="220">
          <cell r="A220" t="str">
            <v>5.90% Senior Notes (2021)</v>
          </cell>
          <cell r="B220">
            <v>5.8999999999999997E-2</v>
          </cell>
          <cell r="L220">
            <v>7.375</v>
          </cell>
          <cell r="M220">
            <v>29.5</v>
          </cell>
          <cell r="N220">
            <v>29.5</v>
          </cell>
          <cell r="O220">
            <v>29.5</v>
          </cell>
          <cell r="P220">
            <v>29.5</v>
          </cell>
          <cell r="Q220">
            <v>29.5</v>
          </cell>
          <cell r="R220">
            <v>29.5</v>
          </cell>
          <cell r="S220">
            <v>29.5</v>
          </cell>
          <cell r="T220">
            <v>29.5</v>
          </cell>
          <cell r="U220">
            <v>29.5</v>
          </cell>
          <cell r="V220">
            <v>29.5</v>
          </cell>
          <cell r="BK220">
            <v>7.375</v>
          </cell>
          <cell r="BL220">
            <v>7.375</v>
          </cell>
          <cell r="BM220">
            <v>7.375</v>
          </cell>
          <cell r="BN220">
            <v>7.375</v>
          </cell>
          <cell r="BO220">
            <v>7.375</v>
          </cell>
          <cell r="BP220">
            <v>7.375</v>
          </cell>
          <cell r="BQ220">
            <v>7.375</v>
          </cell>
          <cell r="BR220">
            <v>7.375</v>
          </cell>
          <cell r="BS220">
            <v>7.375</v>
          </cell>
        </row>
        <row r="221">
          <cell r="A221" t="str">
            <v>Interest for Income Statement</v>
          </cell>
          <cell r="B221">
            <v>6.0299999999999999E-2</v>
          </cell>
          <cell r="L221">
            <v>0</v>
          </cell>
          <cell r="M221">
            <v>29.868795411096841</v>
          </cell>
          <cell r="N221">
            <v>29.891541712215485</v>
          </cell>
          <cell r="O221">
            <v>29.906408328535729</v>
          </cell>
          <cell r="P221">
            <v>29.930914750746435</v>
          </cell>
          <cell r="Q221">
            <v>29.956898910216445</v>
          </cell>
          <cell r="R221">
            <v>29.984449914502498</v>
          </cell>
          <cell r="S221">
            <v>30.013662244346996</v>
          </cell>
          <cell r="T221">
            <v>30.044636077681123</v>
          </cell>
          <cell r="U221">
            <v>30.077477633165294</v>
          </cell>
          <cell r="V221">
            <v>30.11229953444516</v>
          </cell>
          <cell r="BK221">
            <v>0</v>
          </cell>
          <cell r="BL221">
            <v>7.4651399999999999</v>
          </cell>
          <cell r="BM221">
            <v>7.4664988604999998</v>
          </cell>
          <cell r="BN221">
            <v>7.4678782058220374</v>
          </cell>
          <cell r="BO221">
            <v>7.4692783447748052</v>
          </cell>
          <cell r="BP221">
            <v>7.4706995908222851</v>
          </cell>
          <cell r="BQ221">
            <v>7.4721422621539313</v>
          </cell>
          <cell r="BR221">
            <v>7.4736066817559008</v>
          </cell>
          <cell r="BS221">
            <v>7.4750931774833713</v>
          </cell>
        </row>
        <row r="223">
          <cell r="A223" t="str">
            <v>Gross Interest Expense</v>
          </cell>
          <cell r="H223">
            <v>235.82400000000001</v>
          </cell>
          <cell r="I223">
            <v>253.58399999999997</v>
          </cell>
          <cell r="J223">
            <v>249.803</v>
          </cell>
          <cell r="K223">
            <v>246.01800000000003</v>
          </cell>
          <cell r="L223">
            <v>311.9070007775</v>
          </cell>
          <cell r="M223">
            <v>338.58348642933311</v>
          </cell>
          <cell r="N223">
            <v>334.65094911307483</v>
          </cell>
          <cell r="O223">
            <v>368.85308049656709</v>
          </cell>
          <cell r="P223">
            <v>368.92621639314132</v>
          </cell>
          <cell r="Q223">
            <v>369.00406623693948</v>
          </cell>
          <cell r="R223">
            <v>369.08694239511107</v>
          </cell>
          <cell r="S223">
            <v>369.17517842579002</v>
          </cell>
          <cell r="T223">
            <v>369.26913054392242</v>
          </cell>
          <cell r="U223">
            <v>369.36371021668259</v>
          </cell>
          <cell r="V223">
            <v>369.46454600284403</v>
          </cell>
          <cell r="AT223">
            <v>59.918999999999997</v>
          </cell>
          <cell r="AU223">
            <v>64.247</v>
          </cell>
          <cell r="AV223">
            <v>65.513999999999996</v>
          </cell>
          <cell r="AW223">
            <v>62.508000000000003</v>
          </cell>
          <cell r="AX223">
            <v>63.545999999999999</v>
          </cell>
          <cell r="AY223">
            <v>62.015999999999998</v>
          </cell>
          <cell r="AZ223">
            <v>61.567999999999998</v>
          </cell>
          <cell r="BA223">
            <v>62.654000000000003</v>
          </cell>
          <cell r="BB223">
            <v>64.122</v>
          </cell>
          <cell r="BC223">
            <v>61.459000000000003</v>
          </cell>
          <cell r="BD223">
            <v>58.417000000000002</v>
          </cell>
          <cell r="BE223">
            <v>56.073999999999998</v>
          </cell>
          <cell r="BF223">
            <v>62.904000000000003</v>
          </cell>
          <cell r="BG223">
            <v>68.623000000000005</v>
          </cell>
          <cell r="BH223">
            <v>74.427000000000007</v>
          </cell>
          <cell r="BI223">
            <v>74.512</v>
          </cell>
          <cell r="BJ223">
            <v>77.796000000000006</v>
          </cell>
          <cell r="BK223">
            <v>85.172000777500003</v>
          </cell>
          <cell r="BL223">
            <v>84.639779543341248</v>
          </cell>
          <cell r="BM223">
            <v>84.643797597850025</v>
          </cell>
          <cell r="BN223">
            <v>84.647880440615921</v>
          </cell>
          <cell r="BO223">
            <v>84.652028847525941</v>
          </cell>
          <cell r="BP223">
            <v>83.656243905395741</v>
          </cell>
          <cell r="BQ223">
            <v>83.660526715708301</v>
          </cell>
          <cell r="BR223">
            <v>83.664878398639033</v>
          </cell>
          <cell r="BS223">
            <v>83.669300093331742</v>
          </cell>
        </row>
        <row r="224">
          <cell r="A224" t="str">
            <v>CHECK</v>
          </cell>
          <cell r="H224">
            <v>-235.82400000000001</v>
          </cell>
          <cell r="I224">
            <v>-253.58399999999997</v>
          </cell>
          <cell r="J224">
            <v>0</v>
          </cell>
          <cell r="K224">
            <v>0</v>
          </cell>
          <cell r="L224">
            <v>0</v>
          </cell>
          <cell r="M224">
            <v>0</v>
          </cell>
          <cell r="N224">
            <v>0</v>
          </cell>
          <cell r="O224">
            <v>0</v>
          </cell>
          <cell r="P224">
            <v>0</v>
          </cell>
          <cell r="Q224">
            <v>0</v>
          </cell>
          <cell r="R224">
            <v>0</v>
          </cell>
          <cell r="S224">
            <v>0</v>
          </cell>
          <cell r="T224">
            <v>0</v>
          </cell>
          <cell r="U224">
            <v>0</v>
          </cell>
          <cell r="V224">
            <v>0</v>
          </cell>
          <cell r="BG224">
            <v>0</v>
          </cell>
          <cell r="BH224">
            <v>0</v>
          </cell>
          <cell r="BI224">
            <v>0</v>
          </cell>
          <cell r="BJ224">
            <v>0</v>
          </cell>
          <cell r="BK224">
            <v>0</v>
          </cell>
          <cell r="BL224">
            <v>0</v>
          </cell>
          <cell r="BM224">
            <v>0</v>
          </cell>
          <cell r="BN224">
            <v>0</v>
          </cell>
          <cell r="BO224">
            <v>0</v>
          </cell>
          <cell r="BP224">
            <v>0</v>
          </cell>
          <cell r="BQ224">
            <v>0</v>
          </cell>
          <cell r="BR224">
            <v>0</v>
          </cell>
          <cell r="BS224">
            <v>0</v>
          </cell>
        </row>
        <row r="226">
          <cell r="A226" t="str">
            <v>Interest Income</v>
          </cell>
          <cell r="B226">
            <v>0.01</v>
          </cell>
          <cell r="K226">
            <v>2.9512899999999997</v>
          </cell>
          <cell r="L226">
            <v>9.5993499999999976</v>
          </cell>
          <cell r="M226">
            <v>0.9965580890566742</v>
          </cell>
          <cell r="N226">
            <v>5.2614165996555435</v>
          </cell>
          <cell r="O226">
            <v>14.914440041238672</v>
          </cell>
          <cell r="P226">
            <v>21.989721497629759</v>
          </cell>
          <cell r="Q226">
            <v>26.138901058852699</v>
          </cell>
          <cell r="R226">
            <v>30.522933766987666</v>
          </cell>
          <cell r="S226">
            <v>35.016114741795526</v>
          </cell>
          <cell r="T226">
            <v>39.729199413739686</v>
          </cell>
          <cell r="U226">
            <v>44.488801129152982</v>
          </cell>
          <cell r="V226">
            <v>49.537550247649506</v>
          </cell>
          <cell r="AT226">
            <v>0.62237249999999977</v>
          </cell>
          <cell r="AU226">
            <v>0.30972249999999935</v>
          </cell>
          <cell r="AV226">
            <v>0.21701749999999984</v>
          </cell>
          <cell r="AW226">
            <v>0.42940000000000006</v>
          </cell>
          <cell r="AX226">
            <v>0.50822500000000015</v>
          </cell>
          <cell r="AY226">
            <v>0.29265500000000017</v>
          </cell>
          <cell r="AZ226">
            <v>0.48735750000000011</v>
          </cell>
          <cell r="BA226">
            <v>0.91128250000000011</v>
          </cell>
          <cell r="BB226">
            <v>0.93602750000000001</v>
          </cell>
          <cell r="BC226">
            <v>0.70117249999999987</v>
          </cell>
          <cell r="BD226">
            <v>0.73782249999999994</v>
          </cell>
          <cell r="BE226">
            <v>1.0067024999999998</v>
          </cell>
          <cell r="BF226">
            <v>0.88864749999999959</v>
          </cell>
          <cell r="BG226">
            <v>1.1025924999999996</v>
          </cell>
          <cell r="BH226">
            <v>2.3998374999999994</v>
          </cell>
          <cell r="BI226">
            <v>1.1056257499999993</v>
          </cell>
          <cell r="BJ226">
            <v>0.9568707499999991</v>
          </cell>
          <cell r="BK226">
            <v>0.56931824999999925</v>
          </cell>
          <cell r="BL226">
            <v>0.24913952226416855</v>
          </cell>
          <cell r="BM226">
            <v>0.3162049567354796</v>
          </cell>
          <cell r="BN226">
            <v>0.56864159223176214</v>
          </cell>
          <cell r="BO226">
            <v>0.93070078996914851</v>
          </cell>
          <cell r="BP226">
            <v>1.3153541499138859</v>
          </cell>
          <cell r="BQ226">
            <v>1.8349692164032303</v>
          </cell>
          <cell r="BR226">
            <v>2.4477241255251476</v>
          </cell>
          <cell r="BS226">
            <v>3.0801588293444384</v>
          </cell>
        </row>
        <row r="227">
          <cell r="A227" t="str">
            <v>IS check</v>
          </cell>
          <cell r="K227">
            <v>5.024</v>
          </cell>
          <cell r="L227">
            <v>7.4063182499999991</v>
          </cell>
          <cell r="M227">
            <v>2.0646868612005589</v>
          </cell>
          <cell r="N227">
            <v>8.6782063211867033</v>
          </cell>
          <cell r="O227">
            <v>14.914440041238672</v>
          </cell>
          <cell r="P227">
            <v>21.989721497629759</v>
          </cell>
          <cell r="Q227">
            <v>26.138901058852699</v>
          </cell>
          <cell r="R227">
            <v>30.522933766987666</v>
          </cell>
          <cell r="S227">
            <v>35.016114741795526</v>
          </cell>
          <cell r="T227">
            <v>39.729199413739686</v>
          </cell>
          <cell r="U227">
            <v>44.488801129152982</v>
          </cell>
          <cell r="V227">
            <v>49.537550247649506</v>
          </cell>
          <cell r="AT227">
            <v>2.3450000000000002</v>
          </cell>
          <cell r="AU227">
            <v>1.6619999999999999</v>
          </cell>
          <cell r="AV227">
            <v>0.96299999999999997</v>
          </cell>
          <cell r="AW227">
            <v>0.97899999999999998</v>
          </cell>
          <cell r="AX227">
            <v>1.0169999999999999</v>
          </cell>
          <cell r="AY227">
            <v>0.45400000000000001</v>
          </cell>
          <cell r="AZ227">
            <v>0.499</v>
          </cell>
          <cell r="BA227">
            <v>0.48199999999999998</v>
          </cell>
          <cell r="BB227">
            <v>0.73599999999999999</v>
          </cell>
          <cell r="BC227">
            <v>5.0000000000000001E-3</v>
          </cell>
          <cell r="BD227">
            <v>0.502</v>
          </cell>
          <cell r="BE227">
            <v>0.69399999999999995</v>
          </cell>
          <cell r="BF227">
            <v>1.954</v>
          </cell>
          <cell r="BG227">
            <v>1.8740000000000001</v>
          </cell>
          <cell r="BH227">
            <v>2.3039999999999998</v>
          </cell>
          <cell r="BI227">
            <v>2.7109999999999999</v>
          </cell>
          <cell r="BJ227">
            <v>1.8220000000000001</v>
          </cell>
          <cell r="BK227">
            <v>0.56931824999999925</v>
          </cell>
          <cell r="BL227">
            <v>0.24913952226416855</v>
          </cell>
          <cell r="BM227">
            <v>0.3162049567354796</v>
          </cell>
          <cell r="BN227">
            <v>0.56864159223176214</v>
          </cell>
          <cell r="BO227">
            <v>0.93070078996914851</v>
          </cell>
          <cell r="BP227">
            <v>1.3153541499138859</v>
          </cell>
          <cell r="BQ227">
            <v>1.8349692164032303</v>
          </cell>
          <cell r="BR227">
            <v>2.4477241255251476</v>
          </cell>
          <cell r="BS227">
            <v>3.0801588293444384</v>
          </cell>
        </row>
        <row r="229">
          <cell r="A229" t="str">
            <v>Capital Expenditures</v>
          </cell>
          <cell r="C229">
            <v>180.49700000000001</v>
          </cell>
          <cell r="D229">
            <v>61.608000000000004</v>
          </cell>
          <cell r="E229">
            <v>42.180999999999997</v>
          </cell>
          <cell r="F229">
            <v>88.637</v>
          </cell>
          <cell r="G229">
            <v>127.098</v>
          </cell>
          <cell r="H229">
            <v>154.381</v>
          </cell>
          <cell r="I229">
            <v>243.48399999999998</v>
          </cell>
          <cell r="J229">
            <v>250.26299999999998</v>
          </cell>
          <cell r="K229">
            <v>346.6583</v>
          </cell>
          <cell r="L229">
            <v>819.029</v>
          </cell>
          <cell r="M229">
            <v>398</v>
          </cell>
          <cell r="N229">
            <v>400</v>
          </cell>
          <cell r="O229">
            <v>381</v>
          </cell>
          <cell r="P229">
            <v>381</v>
          </cell>
          <cell r="Q229">
            <v>381</v>
          </cell>
          <cell r="R229">
            <v>381</v>
          </cell>
          <cell r="S229">
            <v>381</v>
          </cell>
          <cell r="T229">
            <v>381</v>
          </cell>
          <cell r="U229">
            <v>381</v>
          </cell>
          <cell r="V229">
            <v>381</v>
          </cell>
          <cell r="X229">
            <v>83.251000000000005</v>
          </cell>
          <cell r="Y229">
            <v>48.013999999999982</v>
          </cell>
          <cell r="Z229">
            <v>24.591000000000008</v>
          </cell>
          <cell r="AA229">
            <v>24.64100000000002</v>
          </cell>
          <cell r="AB229">
            <v>18.821000000000002</v>
          </cell>
          <cell r="AC229">
            <v>13.870000000000001</v>
          </cell>
          <cell r="AD229">
            <v>13.242999999999991</v>
          </cell>
          <cell r="AE229">
            <v>15.674000000000003</v>
          </cell>
          <cell r="AF229">
            <v>10.832000000000001</v>
          </cell>
          <cell r="AG229">
            <v>7.8339999999999996</v>
          </cell>
          <cell r="AH229">
            <v>9.945999999999998</v>
          </cell>
          <cell r="AI229">
            <v>13.568999999999999</v>
          </cell>
          <cell r="AJ229">
            <v>15.881</v>
          </cell>
          <cell r="AK229">
            <v>20.645000000000003</v>
          </cell>
          <cell r="AL229">
            <v>22.701999999999998</v>
          </cell>
          <cell r="AM229">
            <v>29.408999999999999</v>
          </cell>
          <cell r="AN229">
            <v>28.376000000000001</v>
          </cell>
          <cell r="AO229">
            <v>28.667999999999996</v>
          </cell>
          <cell r="AP229">
            <v>33.618000000000009</v>
          </cell>
          <cell r="AQ229">
            <v>36.435999999999993</v>
          </cell>
          <cell r="AR229">
            <v>31.445</v>
          </cell>
          <cell r="AS229">
            <v>36.140999999999998</v>
          </cell>
          <cell r="AT229">
            <v>39.379999999999988</v>
          </cell>
          <cell r="AU229">
            <v>47.415000000000013</v>
          </cell>
          <cell r="AV229">
            <v>44.625</v>
          </cell>
          <cell r="AW229">
            <v>52.692999999999998</v>
          </cell>
          <cell r="AX229">
            <v>67.875999999999991</v>
          </cell>
          <cell r="AY229">
            <v>78.290000000000006</v>
          </cell>
          <cell r="AZ229">
            <v>49.627000000000002</v>
          </cell>
          <cell r="BA229">
            <v>64.22699999999999</v>
          </cell>
          <cell r="BB229">
            <v>68.573000000000008</v>
          </cell>
          <cell r="BC229">
            <v>67.835999999999999</v>
          </cell>
          <cell r="BD229">
            <v>55.057000000000002</v>
          </cell>
          <cell r="BE229">
            <v>77.474299999999999</v>
          </cell>
          <cell r="BF229">
            <v>95.97</v>
          </cell>
          <cell r="BG229">
            <v>118.15700000000001</v>
          </cell>
          <cell r="BH229">
            <v>97.841999999999999</v>
          </cell>
          <cell r="BI229">
            <v>138.679</v>
          </cell>
          <cell r="BJ229">
            <v>160.50800000000001</v>
          </cell>
          <cell r="BK229">
            <v>422</v>
          </cell>
          <cell r="BL229">
            <v>99.5</v>
          </cell>
          <cell r="BM229">
            <v>99.5</v>
          </cell>
          <cell r="BN229">
            <v>99.5</v>
          </cell>
          <cell r="BO229">
            <v>99.5</v>
          </cell>
          <cell r="BP229">
            <v>100</v>
          </cell>
          <cell r="BQ229">
            <v>100</v>
          </cell>
          <cell r="BR229">
            <v>100</v>
          </cell>
          <cell r="BS229">
            <v>100</v>
          </cell>
        </row>
        <row r="230">
          <cell r="A230" t="str">
            <v xml:space="preserve">   % of Revenues</v>
          </cell>
          <cell r="C230">
            <v>0.25608804467498275</v>
          </cell>
          <cell r="D230">
            <v>8.9316728764660694E-2</v>
          </cell>
          <cell r="E230">
            <v>5.9690657459032619E-2</v>
          </cell>
          <cell r="F230">
            <v>9.3817012529821581E-2</v>
          </cell>
          <cell r="G230">
            <v>9.6477491393935716E-2</v>
          </cell>
          <cell r="H230">
            <v>0.10598766711932084</v>
          </cell>
          <cell r="I230">
            <v>0.15279785930879369</v>
          </cell>
          <cell r="J230">
            <v>0.14515455474521985</v>
          </cell>
          <cell r="K230">
            <v>0.17460947396786941</v>
          </cell>
          <cell r="L230">
            <v>0.33532618933558345</v>
          </cell>
          <cell r="M230">
            <v>0.13670098476358927</v>
          </cell>
          <cell r="N230">
            <v>0.12392807482895522</v>
          </cell>
          <cell r="O230">
            <v>0.11243778349833232</v>
          </cell>
          <cell r="P230">
            <v>0.10803273170024147</v>
          </cell>
          <cell r="Q230">
            <v>0.10410756106096131</v>
          </cell>
          <cell r="R230">
            <v>0.10084088650337396</v>
          </cell>
          <cell r="S230">
            <v>9.8165471327831086E-2</v>
          </cell>
          <cell r="T230">
            <v>9.6010113610188824E-2</v>
          </cell>
          <cell r="U230">
            <v>9.4371256379444116E-2</v>
          </cell>
          <cell r="V230">
            <v>9.3156406723343063E-2</v>
          </cell>
          <cell r="X230">
            <v>0.44610858661636738</v>
          </cell>
          <cell r="Y230">
            <v>0.28952525672799184</v>
          </cell>
          <cell r="Z230">
            <v>0.14056337384107101</v>
          </cell>
          <cell r="AA230">
            <v>0.13888121741580961</v>
          </cell>
          <cell r="AB230">
            <v>0.11656251741841989</v>
          </cell>
          <cell r="AC230">
            <v>7.9129631108727658E-2</v>
          </cell>
          <cell r="AD230">
            <v>7.0865931055149406E-2</v>
          </cell>
          <cell r="AE230">
            <v>9.4338146340289045E-2</v>
          </cell>
          <cell r="AF230">
            <v>6.4174037715281032E-2</v>
          </cell>
          <cell r="AG230">
            <v>4.5469319527314089E-2</v>
          </cell>
          <cell r="AH230">
            <v>5.4986427540758831E-2</v>
          </cell>
          <cell r="AI230">
            <v>7.3466669554294622E-2</v>
          </cell>
          <cell r="AJ230">
            <v>8.614358167665645E-2</v>
          </cell>
          <cell r="AK230">
            <v>0.1097787940019143</v>
          </cell>
          <cell r="AL230">
            <v>8.5750115204762306E-2</v>
          </cell>
          <cell r="AM230">
            <v>9.5600162535554645E-2</v>
          </cell>
          <cell r="AN230">
            <v>8.8561806940504167E-2</v>
          </cell>
          <cell r="AO230">
            <v>8.7975621656953981E-2</v>
          </cell>
          <cell r="AP230">
            <v>0.10081357375692349</v>
          </cell>
          <cell r="AQ230">
            <v>0.10791183665732747</v>
          </cell>
          <cell r="AR230">
            <v>8.9212253953483103E-2</v>
          </cell>
          <cell r="AS230">
            <v>0.10083337285832661</v>
          </cell>
          <cell r="AT230">
            <v>0.10713168382823018</v>
          </cell>
          <cell r="AU230">
            <v>0.1253993525727827</v>
          </cell>
          <cell r="AV230">
            <v>0.11676312980135221</v>
          </cell>
          <cell r="AW230">
            <v>0.13383096960338101</v>
          </cell>
          <cell r="AX230">
            <v>0.16584731765004834</v>
          </cell>
          <cell r="AY230">
            <v>0.19173499475906389</v>
          </cell>
          <cell r="AZ230">
            <v>0.12143301083004224</v>
          </cell>
          <cell r="BA230">
            <v>0.15170848312775476</v>
          </cell>
          <cell r="BB230">
            <v>0.15440717848256608</v>
          </cell>
          <cell r="BC230">
            <v>0.15142876914456899</v>
          </cell>
          <cell r="BD230">
            <v>0.12115510723229338</v>
          </cell>
          <cell r="BE230">
            <v>0.16486103456420753</v>
          </cell>
          <cell r="BF230">
            <v>0.18695867311356223</v>
          </cell>
          <cell r="BG230">
            <v>0.21575591353475446</v>
          </cell>
          <cell r="BH230">
            <v>0.17388105456774985</v>
          </cell>
          <cell r="BI230">
            <v>0.2322017296374124</v>
          </cell>
          <cell r="BJ230">
            <v>0.25461173249492786</v>
          </cell>
          <cell r="BK230">
            <v>0.64708896382871972</v>
          </cell>
          <cell r="BL230">
            <v>0.14974761644806009</v>
          </cell>
          <cell r="BM230">
            <v>0.13848168564299301</v>
          </cell>
          <cell r="BN230">
            <v>0.13236722017580135</v>
          </cell>
          <cell r="BO230">
            <v>0.12808803584550743</v>
          </cell>
          <cell r="BP230">
            <v>0.12939443817084717</v>
          </cell>
          <cell r="BQ230">
            <v>0.12513157598576863</v>
          </cell>
          <cell r="BR230">
            <v>0.12184834754437841</v>
          </cell>
          <cell r="BS230">
            <v>0.11976093786666929</v>
          </cell>
        </row>
        <row r="232">
          <cell r="A232" t="str">
            <v xml:space="preserve">  Corporate</v>
          </cell>
          <cell r="D232">
            <v>10</v>
          </cell>
          <cell r="E232">
            <v>4.0999999999999996</v>
          </cell>
          <cell r="F232">
            <v>4.2050000000000001</v>
          </cell>
          <cell r="G232">
            <v>6.2159999999999993</v>
          </cell>
          <cell r="H232">
            <v>13.209</v>
          </cell>
          <cell r="I232">
            <v>5.5739999999999998</v>
          </cell>
          <cell r="J232">
            <v>8.0890000000000004</v>
          </cell>
          <cell r="K232">
            <v>11.603300000000001</v>
          </cell>
          <cell r="L232">
            <v>16.503</v>
          </cell>
          <cell r="M232">
            <v>10</v>
          </cell>
          <cell r="N232">
            <v>10</v>
          </cell>
          <cell r="O232">
            <v>10</v>
          </cell>
          <cell r="P232">
            <v>10</v>
          </cell>
          <cell r="Q232">
            <v>10</v>
          </cell>
          <cell r="R232">
            <v>10</v>
          </cell>
          <cell r="S232">
            <v>10</v>
          </cell>
          <cell r="T232">
            <v>10</v>
          </cell>
          <cell r="U232">
            <v>10</v>
          </cell>
          <cell r="V232">
            <v>10</v>
          </cell>
          <cell r="AB232">
            <v>4</v>
          </cell>
          <cell r="AC232">
            <v>2</v>
          </cell>
          <cell r="AD232">
            <v>2</v>
          </cell>
          <cell r="AE232">
            <v>2</v>
          </cell>
          <cell r="AF232">
            <v>1</v>
          </cell>
          <cell r="AG232">
            <v>1</v>
          </cell>
          <cell r="AH232">
            <v>1</v>
          </cell>
          <cell r="AI232">
            <v>1.1000000000000001</v>
          </cell>
          <cell r="AJ232">
            <v>1</v>
          </cell>
          <cell r="AK232">
            <v>1</v>
          </cell>
          <cell r="AL232">
            <v>1.6</v>
          </cell>
          <cell r="AM232">
            <v>0.60499999999999998</v>
          </cell>
          <cell r="AN232">
            <v>0.90500000000000003</v>
          </cell>
          <cell r="AO232">
            <v>1.2290000000000001</v>
          </cell>
          <cell r="AP232">
            <v>2.9849999999999999</v>
          </cell>
          <cell r="AQ232">
            <v>1.097</v>
          </cell>
          <cell r="AR232">
            <v>1.4370000000000001</v>
          </cell>
          <cell r="AS232">
            <v>5.08</v>
          </cell>
          <cell r="AT232">
            <v>3.71</v>
          </cell>
          <cell r="AU232">
            <v>2.9820000000000002</v>
          </cell>
          <cell r="AV232">
            <v>1.4730000000000001</v>
          </cell>
          <cell r="AW232">
            <v>1.4259999999999999</v>
          </cell>
          <cell r="AX232">
            <v>1.397</v>
          </cell>
          <cell r="AY232">
            <v>1.278</v>
          </cell>
          <cell r="AZ232">
            <v>0.84199999999999997</v>
          </cell>
          <cell r="BA232">
            <v>1.853</v>
          </cell>
          <cell r="BB232">
            <v>3.762</v>
          </cell>
          <cell r="BC232">
            <v>1.6319999999999999</v>
          </cell>
          <cell r="BD232">
            <v>1.603</v>
          </cell>
          <cell r="BE232">
            <v>2.7532999999999999</v>
          </cell>
          <cell r="BF232">
            <v>3.4049999999999998</v>
          </cell>
          <cell r="BG232">
            <v>3.8420000000000001</v>
          </cell>
          <cell r="BH232">
            <v>2.681</v>
          </cell>
          <cell r="BI232">
            <v>6.0780000000000003</v>
          </cell>
          <cell r="BJ232">
            <v>4.7439999999999998</v>
          </cell>
          <cell r="BK232">
            <v>3</v>
          </cell>
          <cell r="BL232">
            <v>2.5</v>
          </cell>
          <cell r="BM232">
            <v>2.5</v>
          </cell>
          <cell r="BN232">
            <v>2.5</v>
          </cell>
          <cell r="BO232">
            <v>2.5</v>
          </cell>
          <cell r="BP232">
            <v>2.5</v>
          </cell>
          <cell r="BQ232">
            <v>2.5</v>
          </cell>
          <cell r="BR232">
            <v>2.5</v>
          </cell>
          <cell r="BS232">
            <v>2.5</v>
          </cell>
        </row>
        <row r="233">
          <cell r="A233" t="str">
            <v xml:space="preserve">  Capital Improvements (Maintenance)</v>
          </cell>
          <cell r="D233">
            <v>8</v>
          </cell>
          <cell r="E233">
            <v>8</v>
          </cell>
          <cell r="F233">
            <v>11</v>
          </cell>
          <cell r="G233">
            <v>32.381</v>
          </cell>
          <cell r="H233">
            <v>30.204999999999998</v>
          </cell>
          <cell r="I233">
            <v>32.545999999999999</v>
          </cell>
          <cell r="J233">
            <v>32.542000000000002</v>
          </cell>
          <cell r="K233">
            <v>31.405000000000001</v>
          </cell>
          <cell r="L233">
            <v>61.115000000000002</v>
          </cell>
          <cell r="M233">
            <v>44</v>
          </cell>
          <cell r="N233">
            <v>44</v>
          </cell>
          <cell r="O233">
            <v>44</v>
          </cell>
          <cell r="P233">
            <v>44</v>
          </cell>
          <cell r="Q233">
            <v>44</v>
          </cell>
          <cell r="R233">
            <v>44</v>
          </cell>
          <cell r="S233">
            <v>44</v>
          </cell>
          <cell r="T233">
            <v>44</v>
          </cell>
          <cell r="U233">
            <v>44</v>
          </cell>
          <cell r="V233">
            <v>44</v>
          </cell>
          <cell r="AB233">
            <v>2</v>
          </cell>
          <cell r="AC233">
            <v>2</v>
          </cell>
          <cell r="AD233">
            <v>2</v>
          </cell>
          <cell r="AE233">
            <v>2</v>
          </cell>
          <cell r="AF233">
            <v>2</v>
          </cell>
          <cell r="AG233">
            <v>2</v>
          </cell>
          <cell r="AH233">
            <v>2</v>
          </cell>
          <cell r="AI233">
            <v>2</v>
          </cell>
          <cell r="AJ233">
            <v>2</v>
          </cell>
          <cell r="AK233">
            <v>2</v>
          </cell>
          <cell r="AL233">
            <v>2</v>
          </cell>
          <cell r="AM233">
            <v>5</v>
          </cell>
          <cell r="AN233">
            <v>7</v>
          </cell>
          <cell r="AO233">
            <v>7</v>
          </cell>
          <cell r="AP233">
            <v>7.6639999999999997</v>
          </cell>
          <cell r="AQ233">
            <v>10.717000000000001</v>
          </cell>
          <cell r="AR233">
            <v>6.0510000000000002</v>
          </cell>
          <cell r="AS233">
            <v>7.5</v>
          </cell>
          <cell r="AT233">
            <v>7.7910000000000004</v>
          </cell>
          <cell r="AU233">
            <v>8.8629999999999995</v>
          </cell>
          <cell r="AV233">
            <v>6.48</v>
          </cell>
          <cell r="AW233">
            <v>8.3870000000000005</v>
          </cell>
          <cell r="AX233">
            <v>9.0869999999999997</v>
          </cell>
          <cell r="AY233">
            <v>8.5920000000000005</v>
          </cell>
          <cell r="AZ233">
            <v>6.4089999999999998</v>
          </cell>
          <cell r="BA233">
            <v>9.1379999999999999</v>
          </cell>
          <cell r="BB233">
            <v>8.2119999999999997</v>
          </cell>
          <cell r="BC233">
            <v>8.7829999999999995</v>
          </cell>
          <cell r="BD233">
            <v>6.8490000000000002</v>
          </cell>
          <cell r="BE233">
            <v>5.0259999999999998</v>
          </cell>
          <cell r="BF233">
            <v>9.2149999999999999</v>
          </cell>
          <cell r="BG233">
            <v>10.315</v>
          </cell>
          <cell r="BH233">
            <v>10.156000000000001</v>
          </cell>
          <cell r="BI233">
            <v>14.208</v>
          </cell>
          <cell r="BJ233">
            <v>19.751000000000001</v>
          </cell>
          <cell r="BK233">
            <v>17</v>
          </cell>
          <cell r="BL233">
            <v>11</v>
          </cell>
          <cell r="BM233">
            <v>11</v>
          </cell>
          <cell r="BN233">
            <v>11</v>
          </cell>
          <cell r="BO233">
            <v>11</v>
          </cell>
          <cell r="BP233">
            <v>11</v>
          </cell>
          <cell r="BQ233">
            <v>11</v>
          </cell>
          <cell r="BR233">
            <v>11</v>
          </cell>
          <cell r="BS233">
            <v>11</v>
          </cell>
        </row>
        <row r="234">
          <cell r="A234" t="str">
            <v xml:space="preserve">  Redevelopment (Augmentations)</v>
          </cell>
          <cell r="D234">
            <v>24.607999999999997</v>
          </cell>
          <cell r="E234">
            <v>13.180999999999997</v>
          </cell>
          <cell r="F234">
            <v>34.427999999999997</v>
          </cell>
          <cell r="G234">
            <v>31.266999999999999</v>
          </cell>
          <cell r="H234">
            <v>35.826000000000001</v>
          </cell>
          <cell r="I234">
            <v>72.933000000000007</v>
          </cell>
          <cell r="J234">
            <v>30.701999999999998</v>
          </cell>
          <cell r="K234">
            <v>25.785</v>
          </cell>
          <cell r="L234">
            <v>55.280999999999999</v>
          </cell>
          <cell r="M234">
            <v>50</v>
          </cell>
          <cell r="N234">
            <v>52</v>
          </cell>
          <cell r="O234">
            <v>52</v>
          </cell>
          <cell r="P234">
            <v>52</v>
          </cell>
          <cell r="Q234">
            <v>52</v>
          </cell>
          <cell r="R234">
            <v>52</v>
          </cell>
          <cell r="S234">
            <v>52</v>
          </cell>
          <cell r="T234">
            <v>52</v>
          </cell>
          <cell r="U234">
            <v>52</v>
          </cell>
          <cell r="V234">
            <v>52</v>
          </cell>
          <cell r="AB234">
            <v>7.8210000000000015</v>
          </cell>
          <cell r="AC234">
            <v>5.870000000000001</v>
          </cell>
          <cell r="AD234">
            <v>4.2429999999999914</v>
          </cell>
          <cell r="AE234">
            <v>6.674000000000003</v>
          </cell>
          <cell r="AF234">
            <v>2.8320000000000007</v>
          </cell>
          <cell r="AG234">
            <v>0.83399999999999963</v>
          </cell>
          <cell r="AH234">
            <v>3.945999999999998</v>
          </cell>
          <cell r="AI234">
            <v>5.5689999999999991</v>
          </cell>
          <cell r="AJ234">
            <v>5.8810000000000002</v>
          </cell>
          <cell r="AK234">
            <v>9.6450000000000031</v>
          </cell>
          <cell r="AL234">
            <v>7.7019999999999964</v>
          </cell>
          <cell r="AM234">
            <v>11.2</v>
          </cell>
          <cell r="AN234">
            <v>9.120000000000001</v>
          </cell>
          <cell r="AO234">
            <v>5.0169999999999995</v>
          </cell>
          <cell r="AP234">
            <v>7.1680000000000001</v>
          </cell>
          <cell r="AQ234">
            <v>9.9619999999999997</v>
          </cell>
          <cell r="AR234">
            <v>7.3470000000000004</v>
          </cell>
          <cell r="AS234">
            <v>8.3539999999999992</v>
          </cell>
          <cell r="AT234">
            <v>8.7040000000000006</v>
          </cell>
          <cell r="AU234">
            <v>11.420999999999999</v>
          </cell>
          <cell r="AV234">
            <v>21.427</v>
          </cell>
          <cell r="AW234">
            <v>18.77</v>
          </cell>
          <cell r="AX234">
            <v>16.856000000000002</v>
          </cell>
          <cell r="AY234">
            <v>15.88</v>
          </cell>
          <cell r="AZ234">
            <v>10.055999999999999</v>
          </cell>
          <cell r="BA234">
            <v>8.94</v>
          </cell>
          <cell r="BB234">
            <v>6.0350000000000001</v>
          </cell>
          <cell r="BC234">
            <v>5.6710000000000003</v>
          </cell>
          <cell r="BD234">
            <v>5.6580000000000004</v>
          </cell>
          <cell r="BE234">
            <v>5.1580000000000004</v>
          </cell>
          <cell r="BF234">
            <v>5.7690000000000001</v>
          </cell>
          <cell r="BG234">
            <v>9.1999999999999993</v>
          </cell>
          <cell r="BH234">
            <v>7.7050000000000001</v>
          </cell>
          <cell r="BI234">
            <v>15.164</v>
          </cell>
          <cell r="BJ234">
            <v>14.412000000000001</v>
          </cell>
          <cell r="BK234">
            <v>18</v>
          </cell>
          <cell r="BL234">
            <v>12.5</v>
          </cell>
          <cell r="BM234">
            <v>12.5</v>
          </cell>
          <cell r="BN234">
            <v>12.5</v>
          </cell>
          <cell r="BO234">
            <v>12.5</v>
          </cell>
          <cell r="BP234">
            <v>13</v>
          </cell>
          <cell r="BQ234">
            <v>13</v>
          </cell>
          <cell r="BR234">
            <v>13</v>
          </cell>
          <cell r="BS234">
            <v>13</v>
          </cell>
        </row>
        <row r="235">
          <cell r="A235" t="str">
            <v xml:space="preserve">  New Build</v>
          </cell>
          <cell r="D235">
            <v>19</v>
          </cell>
          <cell r="E235">
            <v>16.899999999999999</v>
          </cell>
          <cell r="F235">
            <v>39.003999999999998</v>
          </cell>
          <cell r="G235">
            <v>44.89800000000001</v>
          </cell>
          <cell r="H235">
            <v>30.743000000000002</v>
          </cell>
          <cell r="I235">
            <v>90.701999999999998</v>
          </cell>
          <cell r="J235">
            <v>129.80699999999999</v>
          </cell>
          <cell r="K235">
            <v>194.40300000000002</v>
          </cell>
          <cell r="L235">
            <v>271.88</v>
          </cell>
          <cell r="M235">
            <v>224</v>
          </cell>
          <cell r="N235">
            <v>224</v>
          </cell>
          <cell r="O235">
            <v>205</v>
          </cell>
          <cell r="P235">
            <v>205</v>
          </cell>
          <cell r="Q235">
            <v>205</v>
          </cell>
          <cell r="R235">
            <v>205</v>
          </cell>
          <cell r="S235">
            <v>205</v>
          </cell>
          <cell r="T235">
            <v>205</v>
          </cell>
          <cell r="U235">
            <v>205</v>
          </cell>
          <cell r="V235">
            <v>205</v>
          </cell>
          <cell r="AB235">
            <v>5</v>
          </cell>
          <cell r="AC235">
            <v>4</v>
          </cell>
          <cell r="AD235">
            <v>5</v>
          </cell>
          <cell r="AE235">
            <v>5</v>
          </cell>
          <cell r="AF235">
            <v>5</v>
          </cell>
          <cell r="AG235">
            <v>4</v>
          </cell>
          <cell r="AH235">
            <v>3</v>
          </cell>
          <cell r="AI235">
            <v>4.9000000000000004</v>
          </cell>
          <cell r="AJ235">
            <v>7</v>
          </cell>
          <cell r="AK235">
            <v>8</v>
          </cell>
          <cell r="AL235">
            <v>11.4</v>
          </cell>
          <cell r="AM235">
            <v>12.603999999999999</v>
          </cell>
          <cell r="AN235">
            <v>11.052</v>
          </cell>
          <cell r="AO235">
            <v>13.255000000000001</v>
          </cell>
          <cell r="AP235">
            <v>11.364000000000001</v>
          </cell>
          <cell r="AQ235">
            <v>9.2270000000000003</v>
          </cell>
          <cell r="AR235">
            <v>6.7359999999999998</v>
          </cell>
          <cell r="AS235">
            <v>4.7530000000000001</v>
          </cell>
          <cell r="AT235">
            <v>8.5470000000000006</v>
          </cell>
          <cell r="AU235">
            <v>10.707000000000001</v>
          </cell>
          <cell r="AV235">
            <v>6.7850000000000001</v>
          </cell>
          <cell r="AW235">
            <v>13.151</v>
          </cell>
          <cell r="AX235">
            <v>29.088000000000001</v>
          </cell>
          <cell r="AY235">
            <v>41.677999999999997</v>
          </cell>
          <cell r="AZ235">
            <v>23.276</v>
          </cell>
          <cell r="BA235">
            <v>35.793999999999997</v>
          </cell>
          <cell r="BB235">
            <v>32.927</v>
          </cell>
          <cell r="BC235">
            <v>37.81</v>
          </cell>
          <cell r="BD235">
            <v>32.136000000000003</v>
          </cell>
          <cell r="BE235">
            <v>46.762</v>
          </cell>
          <cell r="BF235">
            <v>54.305</v>
          </cell>
          <cell r="BG235">
            <v>61.2</v>
          </cell>
          <cell r="BH235">
            <v>56.8</v>
          </cell>
          <cell r="BI235">
            <v>75.204999999999998</v>
          </cell>
          <cell r="BJ235">
            <v>89.875</v>
          </cell>
          <cell r="BK235">
            <v>50</v>
          </cell>
          <cell r="BL235">
            <v>56</v>
          </cell>
          <cell r="BM235">
            <v>56</v>
          </cell>
          <cell r="BN235">
            <v>56</v>
          </cell>
          <cell r="BO235">
            <v>56</v>
          </cell>
          <cell r="BP235">
            <v>56</v>
          </cell>
          <cell r="BQ235">
            <v>56</v>
          </cell>
          <cell r="BR235">
            <v>56</v>
          </cell>
          <cell r="BS235">
            <v>56</v>
          </cell>
        </row>
        <row r="236">
          <cell r="A236" t="str">
            <v xml:space="preserve">  Land Purchases</v>
          </cell>
          <cell r="D236">
            <v>0</v>
          </cell>
          <cell r="E236">
            <v>0</v>
          </cell>
          <cell r="F236">
            <v>0</v>
          </cell>
          <cell r="G236">
            <v>12.336</v>
          </cell>
          <cell r="H236">
            <v>44.398000000000003</v>
          </cell>
          <cell r="I236">
            <v>41.730000000000004</v>
          </cell>
          <cell r="J236">
            <v>49.122999999999998</v>
          </cell>
          <cell r="K236">
            <v>83.461999999999989</v>
          </cell>
          <cell r="L236">
            <v>414.25</v>
          </cell>
          <cell r="M236">
            <v>70</v>
          </cell>
          <cell r="N236">
            <v>70</v>
          </cell>
          <cell r="O236">
            <v>70</v>
          </cell>
          <cell r="P236">
            <v>70</v>
          </cell>
          <cell r="Q236">
            <v>70</v>
          </cell>
          <cell r="R236">
            <v>70</v>
          </cell>
          <cell r="S236">
            <v>70</v>
          </cell>
          <cell r="T236">
            <v>70</v>
          </cell>
          <cell r="U236">
            <v>70</v>
          </cell>
          <cell r="V236">
            <v>70</v>
          </cell>
          <cell r="AN236">
            <v>0.29900000000000038</v>
          </cell>
          <cell r="AO236">
            <v>2.1669999999999998</v>
          </cell>
          <cell r="AP236">
            <v>4.4370000000000003</v>
          </cell>
          <cell r="AQ236">
            <v>5.4329999999999998</v>
          </cell>
          <cell r="AR236">
            <v>9.8740000000000006</v>
          </cell>
          <cell r="AS236">
            <v>10.454000000000001</v>
          </cell>
          <cell r="AT236">
            <v>10.628</v>
          </cell>
          <cell r="AU236">
            <v>13.442</v>
          </cell>
          <cell r="AV236">
            <v>8.4600000000000009</v>
          </cell>
          <cell r="AW236">
            <v>10.959</v>
          </cell>
          <cell r="AX236">
            <v>11.448</v>
          </cell>
          <cell r="AY236">
            <v>10.863</v>
          </cell>
          <cell r="AZ236">
            <v>9.0440000000000005</v>
          </cell>
          <cell r="BA236">
            <v>8.5020000000000007</v>
          </cell>
          <cell r="BB236">
            <v>17.637</v>
          </cell>
          <cell r="BC236">
            <v>13.94</v>
          </cell>
          <cell r="BD236">
            <v>8.8109999999999999</v>
          </cell>
          <cell r="BE236">
            <v>17.774999999999999</v>
          </cell>
          <cell r="BF236">
            <v>23.276</v>
          </cell>
          <cell r="BG236">
            <v>33.6</v>
          </cell>
          <cell r="BH236">
            <v>20.5</v>
          </cell>
          <cell r="BI236">
            <v>28.024000000000001</v>
          </cell>
          <cell r="BJ236">
            <v>31.725999999999999</v>
          </cell>
          <cell r="BK236">
            <v>334</v>
          </cell>
          <cell r="BL236">
            <v>17.5</v>
          </cell>
          <cell r="BM236">
            <v>17.5</v>
          </cell>
          <cell r="BN236">
            <v>17.5</v>
          </cell>
          <cell r="BO236">
            <v>17.5</v>
          </cell>
          <cell r="BP236">
            <v>17.5</v>
          </cell>
          <cell r="BQ236">
            <v>17.5</v>
          </cell>
          <cell r="BR236">
            <v>17.5</v>
          </cell>
          <cell r="BS236">
            <v>17.5</v>
          </cell>
        </row>
        <row r="238">
          <cell r="A238" t="str">
            <v>Acquisitions</v>
          </cell>
          <cell r="D238">
            <v>561</v>
          </cell>
          <cell r="E238">
            <v>214</v>
          </cell>
          <cell r="F238">
            <v>7865</v>
          </cell>
          <cell r="G238">
            <v>90</v>
          </cell>
          <cell r="H238">
            <v>293</v>
          </cell>
          <cell r="I238">
            <v>269</v>
          </cell>
          <cell r="J238">
            <v>2505</v>
          </cell>
          <cell r="K238">
            <v>6773</v>
          </cell>
          <cell r="L238">
            <v>5149</v>
          </cell>
          <cell r="M238">
            <v>6482</v>
          </cell>
          <cell r="N238">
            <v>356</v>
          </cell>
          <cell r="O238">
            <v>206</v>
          </cell>
          <cell r="P238">
            <v>206</v>
          </cell>
          <cell r="Q238">
            <v>150</v>
          </cell>
          <cell r="R238">
            <v>150</v>
          </cell>
          <cell r="S238">
            <v>100</v>
          </cell>
          <cell r="T238">
            <v>100</v>
          </cell>
          <cell r="U238">
            <v>50</v>
          </cell>
          <cell r="V238">
            <v>50</v>
          </cell>
          <cell r="AB238">
            <v>180</v>
          </cell>
          <cell r="AC238">
            <v>61</v>
          </cell>
          <cell r="AD238">
            <v>217</v>
          </cell>
          <cell r="AE238">
            <v>103</v>
          </cell>
          <cell r="AF238">
            <v>100</v>
          </cell>
          <cell r="AG238">
            <v>38</v>
          </cell>
          <cell r="AH238">
            <v>49</v>
          </cell>
          <cell r="AI238">
            <v>27</v>
          </cell>
          <cell r="AJ238">
            <v>6</v>
          </cell>
          <cell r="AK238">
            <v>9</v>
          </cell>
          <cell r="AL238">
            <v>7847</v>
          </cell>
          <cell r="AM238">
            <v>3</v>
          </cell>
          <cell r="AN238">
            <v>4</v>
          </cell>
          <cell r="AO238">
            <v>20</v>
          </cell>
          <cell r="AP238">
            <v>25</v>
          </cell>
          <cell r="AQ238">
            <v>41</v>
          </cell>
          <cell r="AR238">
            <v>26</v>
          </cell>
          <cell r="AS238">
            <v>34</v>
          </cell>
          <cell r="AT238">
            <v>51</v>
          </cell>
          <cell r="AU238">
            <v>182</v>
          </cell>
          <cell r="AV238">
            <v>244</v>
          </cell>
          <cell r="AW238">
            <v>8</v>
          </cell>
          <cell r="AX238">
            <v>5</v>
          </cell>
          <cell r="AY238">
            <v>12</v>
          </cell>
          <cell r="AZ238">
            <v>4</v>
          </cell>
          <cell r="BA238">
            <v>1667</v>
          </cell>
          <cell r="BB238">
            <v>304</v>
          </cell>
          <cell r="BC238">
            <v>530</v>
          </cell>
          <cell r="BD238">
            <v>164</v>
          </cell>
          <cell r="BE238">
            <v>149</v>
          </cell>
          <cell r="BF238">
            <v>5066</v>
          </cell>
          <cell r="BG238">
            <v>1394</v>
          </cell>
          <cell r="BH238">
            <v>1884</v>
          </cell>
          <cell r="BI238">
            <v>645</v>
          </cell>
          <cell r="BJ238">
            <v>645</v>
          </cell>
          <cell r="BK238">
            <v>1975</v>
          </cell>
          <cell r="BL238">
            <v>3720</v>
          </cell>
          <cell r="BM238">
            <v>1220</v>
          </cell>
          <cell r="BN238">
            <v>771</v>
          </cell>
          <cell r="BO238">
            <v>771</v>
          </cell>
          <cell r="BP238">
            <v>89</v>
          </cell>
          <cell r="BQ238">
            <v>89</v>
          </cell>
          <cell r="BR238">
            <v>89</v>
          </cell>
          <cell r="BS238">
            <v>89</v>
          </cell>
        </row>
        <row r="239">
          <cell r="A239" t="str">
            <v xml:space="preserve">VTR Banda Ancha (Chile) S.A. </v>
          </cell>
        </row>
        <row r="240">
          <cell r="A240" t="str">
            <v>Price per Tower (Estimated and / or Actual)</v>
          </cell>
        </row>
        <row r="241">
          <cell r="A241" t="str">
            <v>Cell C (South Africa)</v>
          </cell>
          <cell r="BK241">
            <v>76</v>
          </cell>
          <cell r="BL241">
            <v>400</v>
          </cell>
          <cell r="BM241">
            <v>400</v>
          </cell>
          <cell r="BN241">
            <v>450</v>
          </cell>
          <cell r="BO241">
            <v>450</v>
          </cell>
          <cell r="BP241">
            <v>25</v>
          </cell>
          <cell r="BQ241">
            <v>25</v>
          </cell>
          <cell r="BR241">
            <v>25</v>
          </cell>
          <cell r="BS241">
            <v>25</v>
          </cell>
        </row>
        <row r="242">
          <cell r="A242" t="str">
            <v>Price per Tower (Estimated and / or Actual)</v>
          </cell>
          <cell r="BK242">
            <v>0.13437499999999999</v>
          </cell>
          <cell r="BL242">
            <v>0.13437499999999999</v>
          </cell>
          <cell r="BM242">
            <v>0.13437499999999999</v>
          </cell>
          <cell r="BN242">
            <v>0.13437499999999999</v>
          </cell>
          <cell r="BO242">
            <v>0.13437499999999999</v>
          </cell>
          <cell r="BP242">
            <v>0.13437499999999999</v>
          </cell>
          <cell r="BQ242">
            <v>0.13437499999999999</v>
          </cell>
          <cell r="BR242">
            <v>0.13437499999999999</v>
          </cell>
          <cell r="BS242">
            <v>0.13437499999999999</v>
          </cell>
        </row>
        <row r="243">
          <cell r="A243" t="str">
            <v>JV with MTN (Ghana)</v>
          </cell>
          <cell r="BK243">
            <v>699</v>
          </cell>
          <cell r="BL243">
            <v>25</v>
          </cell>
          <cell r="BM243">
            <v>25</v>
          </cell>
          <cell r="BN243">
            <v>25</v>
          </cell>
          <cell r="BO243">
            <v>25</v>
          </cell>
          <cell r="BP243">
            <v>25</v>
          </cell>
          <cell r="BQ243">
            <v>25</v>
          </cell>
          <cell r="BR243">
            <v>25</v>
          </cell>
          <cell r="BS243">
            <v>25</v>
          </cell>
        </row>
        <row r="244">
          <cell r="A244" t="str">
            <v>Price per Tower (Estimated and / or Actual)</v>
          </cell>
          <cell r="BK244">
            <v>0.11647121535181236</v>
          </cell>
          <cell r="BL244">
            <v>0.11647121535181236</v>
          </cell>
          <cell r="BM244">
            <v>0.11647121535181236</v>
          </cell>
          <cell r="BN244">
            <v>0.11647121535181236</v>
          </cell>
          <cell r="BO244">
            <v>0.11647121535181236</v>
          </cell>
          <cell r="BP244">
            <v>0.22830490405117271</v>
          </cell>
          <cell r="BQ244">
            <v>0.22830490405117271</v>
          </cell>
          <cell r="BR244">
            <v>0.22830490405117271</v>
          </cell>
          <cell r="BS244">
            <v>0.22830490405117271</v>
          </cell>
        </row>
        <row r="245">
          <cell r="A245" t="str">
            <v>Mexico</v>
          </cell>
          <cell r="BK245">
            <v>2500</v>
          </cell>
        </row>
        <row r="246">
          <cell r="A246" t="str">
            <v>Price per Tower (Estimated and / or Actual)</v>
          </cell>
          <cell r="BK246">
            <v>0.2</v>
          </cell>
        </row>
        <row r="247">
          <cell r="A247" t="str">
            <v>JV with MTN (Uganda)</v>
          </cell>
          <cell r="BL247">
            <v>514</v>
          </cell>
          <cell r="BM247">
            <v>514</v>
          </cell>
          <cell r="BN247">
            <v>14</v>
          </cell>
          <cell r="BO247">
            <v>14</v>
          </cell>
          <cell r="BP247">
            <v>14</v>
          </cell>
          <cell r="BQ247">
            <v>14</v>
          </cell>
          <cell r="BR247">
            <v>14</v>
          </cell>
          <cell r="BS247">
            <v>14</v>
          </cell>
        </row>
        <row r="248">
          <cell r="A248" t="str">
            <v>Price per Tower (Estimated and / or Actual)</v>
          </cell>
          <cell r="BL248">
            <v>8.8999999999999996E-2</v>
          </cell>
          <cell r="BM248">
            <v>8.8999999999999996E-2</v>
          </cell>
          <cell r="BN248">
            <v>8.8999999999999996E-2</v>
          </cell>
          <cell r="BO248">
            <v>8.8999999999999996E-2</v>
          </cell>
          <cell r="BP248">
            <v>8.8999999999999996E-2</v>
          </cell>
          <cell r="BQ248">
            <v>8.8999999999999996E-2</v>
          </cell>
          <cell r="BR248">
            <v>8.8999999999999996E-2</v>
          </cell>
          <cell r="BS248">
            <v>8.8999999999999996E-2</v>
          </cell>
        </row>
        <row r="249">
          <cell r="A249" t="str">
            <v>Colombia</v>
          </cell>
          <cell r="BK249">
            <v>1000</v>
          </cell>
          <cell r="BL249">
            <v>281</v>
          </cell>
          <cell r="BM249">
            <v>281</v>
          </cell>
          <cell r="BN249">
            <v>282</v>
          </cell>
          <cell r="BO249">
            <v>282</v>
          </cell>
          <cell r="BP249">
            <v>25</v>
          </cell>
          <cell r="BQ249">
            <v>25</v>
          </cell>
          <cell r="BR249">
            <v>25</v>
          </cell>
          <cell r="BS249">
            <v>25</v>
          </cell>
        </row>
        <row r="250">
          <cell r="A250" t="str">
            <v>Price per Tower (Estimated and / or Actual)</v>
          </cell>
          <cell r="BK250">
            <v>8.5606773283160867E-2</v>
          </cell>
          <cell r="BL250">
            <v>8.5606773283160867E-2</v>
          </cell>
          <cell r="BM250">
            <v>8.5606773283160867E-2</v>
          </cell>
          <cell r="BN250">
            <v>8.5606773283160867E-2</v>
          </cell>
          <cell r="BO250">
            <v>8.5606773283160867E-2</v>
          </cell>
          <cell r="BP250">
            <v>8.5606773283160867E-2</v>
          </cell>
          <cell r="BQ250">
            <v>8.5606773283160867E-2</v>
          </cell>
          <cell r="BR250">
            <v>8.5606773283160867E-2</v>
          </cell>
          <cell r="BS250">
            <v>8.5606773283160867E-2</v>
          </cell>
        </row>
        <row r="251">
          <cell r="A251" t="str">
            <v>Aggregate Price per Tower (Implied)</v>
          </cell>
          <cell r="D251">
            <v>0.16947771836007131</v>
          </cell>
          <cell r="E251">
            <v>0.15608878504672896</v>
          </cell>
          <cell r="F251">
            <v>1.8752701843610933E-3</v>
          </cell>
          <cell r="G251">
            <v>0.1593</v>
          </cell>
          <cell r="H251">
            <v>0.15004095563139933</v>
          </cell>
          <cell r="I251">
            <v>0.15917100371747209</v>
          </cell>
          <cell r="J251">
            <v>0.11800518962075848</v>
          </cell>
          <cell r="K251">
            <v>0.13282238299128893</v>
          </cell>
          <cell r="L251">
            <v>0.36857732624083855</v>
          </cell>
          <cell r="M251">
            <v>6.6408801026229633E-2</v>
          </cell>
          <cell r="N251">
            <v>0.13992322397031845</v>
          </cell>
          <cell r="O251">
            <v>0.2</v>
          </cell>
          <cell r="P251">
            <v>0.25</v>
          </cell>
          <cell r="Q251">
            <v>0.3</v>
          </cell>
          <cell r="R251">
            <v>0.35</v>
          </cell>
          <cell r="S251">
            <v>0.39999999999999997</v>
          </cell>
          <cell r="T251">
            <v>0.44999999999999996</v>
          </cell>
          <cell r="U251">
            <v>0.49999999999999994</v>
          </cell>
          <cell r="V251">
            <v>0.54999999999999993</v>
          </cell>
          <cell r="AB251">
            <v>0.16956111111111111</v>
          </cell>
          <cell r="AC251">
            <v>0.17336065573770484</v>
          </cell>
          <cell r="AD251">
            <v>0.16080184331797232</v>
          </cell>
          <cell r="AE251">
            <v>0.1853106796116506</v>
          </cell>
          <cell r="AF251">
            <v>0.13372999999999999</v>
          </cell>
          <cell r="AG251">
            <v>0.13105263157894742</v>
          </cell>
          <cell r="AH251">
            <v>0.19367346938775509</v>
          </cell>
          <cell r="AI251">
            <v>0.20592592592592573</v>
          </cell>
          <cell r="AJ251">
            <v>1.367</v>
          </cell>
          <cell r="AK251">
            <v>0.3613333333333334</v>
          </cell>
          <cell r="AL251">
            <v>1.8911685994647614E-4</v>
          </cell>
          <cell r="AM251">
            <v>0.60366666666666668</v>
          </cell>
          <cell r="AN251">
            <v>0.18099999999999999</v>
          </cell>
          <cell r="AO251">
            <v>0.10529999999999999</v>
          </cell>
          <cell r="AP251">
            <v>0.29092000000000001</v>
          </cell>
          <cell r="AQ251">
            <v>0.10326829268292682</v>
          </cell>
          <cell r="AR251">
            <v>0.38696153846153847</v>
          </cell>
          <cell r="AS251">
            <v>0.11573529411764708</v>
          </cell>
          <cell r="AT251">
            <v>0.13133333333333333</v>
          </cell>
          <cell r="AU251">
            <v>0.12784615384615386</v>
          </cell>
          <cell r="AV251">
            <v>0.1160327868852459</v>
          </cell>
          <cell r="AW251">
            <v>0.47787499999999961</v>
          </cell>
          <cell r="AX251">
            <v>9.9600000000000938E-2</v>
          </cell>
          <cell r="AY251">
            <v>0.84866666666666613</v>
          </cell>
          <cell r="AZ251">
            <v>0.28625</v>
          </cell>
          <cell r="BA251">
            <v>5.5261547690461911E-2</v>
          </cell>
          <cell r="BB251">
            <v>0.22338486842105265</v>
          </cell>
          <cell r="BC251">
            <v>0.25363773584905658</v>
          </cell>
          <cell r="BD251">
            <v>0.53955487804878044</v>
          </cell>
          <cell r="BE251">
            <v>0.29520134228187928</v>
          </cell>
          <cell r="BF251">
            <v>8.9182392420055268E-2</v>
          </cell>
          <cell r="BG251">
            <v>0.22620946915351509</v>
          </cell>
          <cell r="BH251">
            <v>0.32767940552016983</v>
          </cell>
          <cell r="BI251">
            <v>0.42667596899224808</v>
          </cell>
          <cell r="BJ251">
            <v>0.50855503875968977</v>
          </cell>
          <cell r="BK251">
            <v>0.3429026090197862</v>
          </cell>
          <cell r="BL251">
            <v>3.3995506364613848E-2</v>
          </cell>
          <cell r="BM251">
            <v>0.10365842924292092</v>
          </cell>
          <cell r="BN251">
            <v>0.11513312639383486</v>
          </cell>
          <cell r="BO251">
            <v>0.11513312639383486</v>
          </cell>
          <cell r="BP251">
            <v>0.13992322397031845</v>
          </cell>
          <cell r="BQ251">
            <v>0.13992322397031845</v>
          </cell>
          <cell r="BR251">
            <v>0.13992322397031845</v>
          </cell>
          <cell r="BS251">
            <v>0.13992322397031845</v>
          </cell>
        </row>
        <row r="252">
          <cell r="A252" t="str">
            <v>Total Acquistion Cost</v>
          </cell>
          <cell r="D252">
            <v>95.076999999999998</v>
          </cell>
          <cell r="E252">
            <v>33.402999999999999</v>
          </cell>
          <cell r="F252">
            <v>14.748999999999999</v>
          </cell>
          <cell r="G252">
            <v>14.337</v>
          </cell>
          <cell r="H252">
            <v>43.962000000000003</v>
          </cell>
          <cell r="I252">
            <v>42.816999999999993</v>
          </cell>
          <cell r="J252">
            <v>295.60300000000001</v>
          </cell>
          <cell r="K252">
            <v>899.60599999999999</v>
          </cell>
          <cell r="L252">
            <v>1897.8046528140776</v>
          </cell>
          <cell r="M252">
            <v>430.46184825202045</v>
          </cell>
          <cell r="N252">
            <v>49.812667733433365</v>
          </cell>
          <cell r="O252">
            <v>41.2</v>
          </cell>
          <cell r="P252">
            <v>51.5</v>
          </cell>
          <cell r="Q252">
            <v>45</v>
          </cell>
          <cell r="R252">
            <v>52.5</v>
          </cell>
          <cell r="S252">
            <v>40</v>
          </cell>
          <cell r="T252">
            <v>44.999999999999993</v>
          </cell>
          <cell r="U252">
            <v>24.999999999999996</v>
          </cell>
          <cell r="V252">
            <v>27.499999999999996</v>
          </cell>
          <cell r="AB252">
            <v>30.521000000000001</v>
          </cell>
          <cell r="AC252">
            <v>10.574999999999996</v>
          </cell>
          <cell r="AD252">
            <v>34.893999999999991</v>
          </cell>
          <cell r="AE252">
            <v>19.08700000000001</v>
          </cell>
          <cell r="AF252">
            <v>13.372999999999999</v>
          </cell>
          <cell r="AG252">
            <v>4.9800000000000022</v>
          </cell>
          <cell r="AH252">
            <v>9.49</v>
          </cell>
          <cell r="AI252">
            <v>5.5599999999999952</v>
          </cell>
          <cell r="AJ252">
            <v>8.202</v>
          </cell>
          <cell r="AK252">
            <v>3.2520000000000007</v>
          </cell>
          <cell r="AL252">
            <v>1.4839999999999982</v>
          </cell>
          <cell r="AM252">
            <v>1.8109999999999999</v>
          </cell>
          <cell r="AN252">
            <v>0.72399999999999998</v>
          </cell>
          <cell r="AO252">
            <v>2.1059999999999999</v>
          </cell>
          <cell r="AP252">
            <v>7.2729999999999997</v>
          </cell>
          <cell r="AQ252">
            <v>4.234</v>
          </cell>
          <cell r="AR252">
            <v>10.061</v>
          </cell>
          <cell r="AS252">
            <v>3.9350000000000005</v>
          </cell>
          <cell r="AT252">
            <v>6.6980000000000004</v>
          </cell>
          <cell r="AU252">
            <v>23.268000000000001</v>
          </cell>
          <cell r="AV252">
            <v>28.312000000000001</v>
          </cell>
          <cell r="AW252">
            <v>3.8229999999999968</v>
          </cell>
          <cell r="AX252">
            <v>0.49800000000000466</v>
          </cell>
          <cell r="AY252">
            <v>10.183999999999994</v>
          </cell>
          <cell r="AZ252">
            <v>1.145</v>
          </cell>
          <cell r="BA252">
            <v>92.121000000000009</v>
          </cell>
          <cell r="BB252">
            <v>67.909000000000006</v>
          </cell>
          <cell r="BC252">
            <v>134.428</v>
          </cell>
          <cell r="BD252">
            <v>88.486999999999995</v>
          </cell>
          <cell r="BE252">
            <v>43.985000000000014</v>
          </cell>
          <cell r="BF252">
            <v>451.798</v>
          </cell>
          <cell r="BG252">
            <v>315.33600000000001</v>
          </cell>
          <cell r="BH252">
            <v>617.34799999999996</v>
          </cell>
          <cell r="BI252">
            <v>275.20600000000002</v>
          </cell>
          <cell r="BJ252">
            <v>328.01799999999992</v>
          </cell>
          <cell r="BK252">
            <v>677.23265281407771</v>
          </cell>
          <cell r="BL252">
            <v>126.46328367636352</v>
          </cell>
          <cell r="BM252">
            <v>126.46328367636352</v>
          </cell>
          <cell r="BN252">
            <v>88.767640449646677</v>
          </cell>
          <cell r="BO252">
            <v>88.767640449646677</v>
          </cell>
          <cell r="BP252">
            <v>12.453166933358341</v>
          </cell>
          <cell r="BQ252">
            <v>12.453166933358341</v>
          </cell>
          <cell r="BR252">
            <v>12.453166933358341</v>
          </cell>
          <cell r="BS252">
            <v>12.453166933358341</v>
          </cell>
        </row>
        <row r="254">
          <cell r="A254" t="str">
            <v>Depreciation</v>
          </cell>
        </row>
        <row r="255">
          <cell r="A255" t="str">
            <v>Towers</v>
          </cell>
          <cell r="D255">
            <v>2784.5639999999999</v>
          </cell>
          <cell r="E255">
            <v>2788.1619999999998</v>
          </cell>
          <cell r="F255">
            <v>4134.1549999999997</v>
          </cell>
          <cell r="G255">
            <v>4170.902</v>
          </cell>
          <cell r="H255">
            <v>4240.2910000000002</v>
          </cell>
          <cell r="I255">
            <v>4353.652</v>
          </cell>
          <cell r="J255">
            <v>4688.1620000000003</v>
          </cell>
          <cell r="K255">
            <v>5177.37</v>
          </cell>
          <cell r="AQ255">
            <v>4170.902</v>
          </cell>
          <cell r="AU255">
            <v>4240.2910000000002</v>
          </cell>
          <cell r="AY255">
            <v>4353.652</v>
          </cell>
          <cell r="BC255">
            <v>4688.1620000000003</v>
          </cell>
          <cell r="BG255">
            <v>5177.37</v>
          </cell>
        </row>
        <row r="256">
          <cell r="A256" t="str">
            <v>Equipment</v>
          </cell>
          <cell r="D256">
            <v>108.29600000000001</v>
          </cell>
          <cell r="E256">
            <v>115.244</v>
          </cell>
          <cell r="F256">
            <v>167.50399999999999</v>
          </cell>
          <cell r="G256">
            <v>199.68899999999999</v>
          </cell>
          <cell r="H256">
            <v>235.10900000000001</v>
          </cell>
          <cell r="I256">
            <v>269.33800000000002</v>
          </cell>
          <cell r="J256">
            <v>309.791</v>
          </cell>
          <cell r="K256">
            <v>368.86</v>
          </cell>
          <cell r="AQ256">
            <v>199.68899999999999</v>
          </cell>
          <cell r="AU256">
            <v>235.10900000000001</v>
          </cell>
          <cell r="AY256">
            <v>269.33800000000002</v>
          </cell>
          <cell r="BC256">
            <v>309.791</v>
          </cell>
          <cell r="BG256">
            <v>368.86</v>
          </cell>
        </row>
        <row r="257">
          <cell r="A257" t="str">
            <v>Buildings and Improvements</v>
          </cell>
          <cell r="D257">
            <v>165.87700000000001</v>
          </cell>
          <cell r="E257">
            <v>162.12</v>
          </cell>
          <cell r="F257">
            <v>184.95099999999999</v>
          </cell>
          <cell r="G257">
            <v>200.35599999999999</v>
          </cell>
          <cell r="H257">
            <v>204.339</v>
          </cell>
          <cell r="I257">
            <v>213.80699999999999</v>
          </cell>
          <cell r="J257">
            <v>207.333</v>
          </cell>
          <cell r="K257">
            <v>210.08199999999999</v>
          </cell>
          <cell r="AQ257">
            <v>200.35599999999999</v>
          </cell>
          <cell r="AU257">
            <v>204.339</v>
          </cell>
          <cell r="AY257">
            <v>213.80699999999999</v>
          </cell>
          <cell r="BC257">
            <v>207.333</v>
          </cell>
          <cell r="BG257">
            <v>210.08199999999999</v>
          </cell>
        </row>
        <row r="258">
          <cell r="A258" t="str">
            <v>Land and Improvements</v>
          </cell>
          <cell r="D258">
            <v>173.619</v>
          </cell>
          <cell r="E258">
            <v>176.93700000000001</v>
          </cell>
          <cell r="F258">
            <v>215.97399999999999</v>
          </cell>
          <cell r="G258">
            <v>225.07900000000001</v>
          </cell>
          <cell r="H258">
            <v>268.25900000000001</v>
          </cell>
          <cell r="I258">
            <v>312.71100000000001</v>
          </cell>
          <cell r="J258">
            <v>374.62099999999998</v>
          </cell>
          <cell r="K258">
            <v>473.47699999999998</v>
          </cell>
          <cell r="AQ258">
            <v>225.07900000000001</v>
          </cell>
          <cell r="AU258">
            <v>268.25900000000001</v>
          </cell>
          <cell r="AY258">
            <v>312.71100000000001</v>
          </cell>
          <cell r="BC258">
            <v>374.62099999999998</v>
          </cell>
          <cell r="BG258">
            <v>473.47699999999998</v>
          </cell>
        </row>
        <row r="259">
          <cell r="A259" t="str">
            <v>Construction-in-progress</v>
          </cell>
          <cell r="D259">
            <v>38.683</v>
          </cell>
          <cell r="E259">
            <v>27.866</v>
          </cell>
          <cell r="F259">
            <v>36.991</v>
          </cell>
          <cell r="G259">
            <v>32.180999999999997</v>
          </cell>
          <cell r="H259">
            <v>44.030999999999999</v>
          </cell>
          <cell r="I259">
            <v>63.539000000000001</v>
          </cell>
          <cell r="J259">
            <v>47.063000000000002</v>
          </cell>
          <cell r="K259">
            <v>86.358000000000004</v>
          </cell>
          <cell r="AQ259">
            <v>32.180999999999997</v>
          </cell>
          <cell r="AU259">
            <v>44.030999999999999</v>
          </cell>
          <cell r="AY259">
            <v>63.539000000000001</v>
          </cell>
          <cell r="BC259">
            <v>47.063000000000002</v>
          </cell>
          <cell r="BG259">
            <v>86.358000000000004</v>
          </cell>
        </row>
        <row r="260">
          <cell r="A260" t="str">
            <v>Gross PP&amp;E</v>
          </cell>
          <cell r="D260">
            <v>3271.0389999999998</v>
          </cell>
          <cell r="E260">
            <v>3270.3289999999997</v>
          </cell>
          <cell r="F260">
            <v>4739.5749999999998</v>
          </cell>
          <cell r="G260">
            <v>4828.2069999999994</v>
          </cell>
          <cell r="H260">
            <v>4992.0290000000005</v>
          </cell>
          <cell r="I260">
            <v>5213.0469999999996</v>
          </cell>
          <cell r="J260">
            <v>5626.97</v>
          </cell>
          <cell r="K260">
            <v>6316.1469999999999</v>
          </cell>
          <cell r="AQ260">
            <v>4828.2069999999994</v>
          </cell>
          <cell r="AU260">
            <v>4992.0290000000005</v>
          </cell>
          <cell r="AY260">
            <v>5213.0469999999996</v>
          </cell>
          <cell r="BC260">
            <v>5626.97</v>
          </cell>
          <cell r="BG260">
            <v>6316.1469999999999</v>
          </cell>
        </row>
        <row r="262">
          <cell r="A262" t="str">
            <v>Accumulated Depreciation</v>
          </cell>
          <cell r="D262">
            <v>787.71500000000003</v>
          </cell>
          <cell r="E262">
            <v>996.97299999999996</v>
          </cell>
          <cell r="F262">
            <v>1279.049</v>
          </cell>
          <cell r="G262">
            <v>1610.0830000000001</v>
          </cell>
          <cell r="H262">
            <v>1946.8430000000001</v>
          </cell>
          <cell r="I262">
            <v>2190.4110000000001</v>
          </cell>
          <cell r="J262">
            <v>2451.4589999999998</v>
          </cell>
          <cell r="K262">
            <v>2692.3119999999999</v>
          </cell>
          <cell r="AQ262">
            <v>1610.0830000000001</v>
          </cell>
          <cell r="AU262">
            <v>1946.8430000000001</v>
          </cell>
          <cell r="AY262">
            <v>2190.4110000000001</v>
          </cell>
          <cell r="BC262">
            <v>2451.4589999999998</v>
          </cell>
          <cell r="BG262">
            <v>2692.3119999999999</v>
          </cell>
        </row>
        <row r="263">
          <cell r="A263" t="str">
            <v>Net PP&amp;E</v>
          </cell>
          <cell r="D263">
            <v>2483.3239999999996</v>
          </cell>
          <cell r="E263">
            <v>2273.3559999999998</v>
          </cell>
          <cell r="F263">
            <v>3460.5259999999998</v>
          </cell>
          <cell r="G263">
            <v>3218.1239999999993</v>
          </cell>
          <cell r="H263">
            <v>3045.1860000000006</v>
          </cell>
          <cell r="I263">
            <v>3022.6359999999995</v>
          </cell>
          <cell r="J263">
            <v>3175.5110000000004</v>
          </cell>
          <cell r="K263">
            <v>3623.835</v>
          </cell>
          <cell r="AQ263">
            <v>3218.1239999999993</v>
          </cell>
          <cell r="AU263">
            <v>3045.1860000000006</v>
          </cell>
          <cell r="AY263">
            <v>3022.6359999999995</v>
          </cell>
          <cell r="BC263">
            <v>3175.5110000000004</v>
          </cell>
          <cell r="BG263">
            <v>3623.835</v>
          </cell>
        </row>
        <row r="266">
          <cell r="A266" t="str">
            <v>Capital Expenditures</v>
          </cell>
          <cell r="D266">
            <v>61.608000000000004</v>
          </cell>
          <cell r="E266">
            <v>42.180999999999997</v>
          </cell>
          <cell r="F266">
            <v>88.637</v>
          </cell>
          <cell r="G266">
            <v>127.098</v>
          </cell>
          <cell r="H266">
            <v>154.381</v>
          </cell>
          <cell r="I266">
            <v>243.48399999999998</v>
          </cell>
          <cell r="J266">
            <v>250.26299999999998</v>
          </cell>
          <cell r="K266">
            <v>346.6583</v>
          </cell>
          <cell r="L266">
            <v>819.029</v>
          </cell>
          <cell r="M266">
            <v>398</v>
          </cell>
          <cell r="N266">
            <v>400</v>
          </cell>
          <cell r="O266">
            <v>381</v>
          </cell>
          <cell r="P266">
            <v>381</v>
          </cell>
          <cell r="Q266">
            <v>381</v>
          </cell>
          <cell r="R266">
            <v>381</v>
          </cell>
          <cell r="S266">
            <v>381</v>
          </cell>
          <cell r="T266">
            <v>381</v>
          </cell>
          <cell r="U266">
            <v>381</v>
          </cell>
          <cell r="V266">
            <v>381</v>
          </cell>
          <cell r="AN266">
            <v>28.376000000000001</v>
          </cell>
          <cell r="AO266">
            <v>28.667999999999996</v>
          </cell>
          <cell r="AP266">
            <v>33.618000000000009</v>
          </cell>
          <cell r="AQ266">
            <v>36.435999999999993</v>
          </cell>
          <cell r="AR266">
            <v>31.445</v>
          </cell>
          <cell r="AS266">
            <v>36.140999999999998</v>
          </cell>
          <cell r="AT266">
            <v>39.379999999999988</v>
          </cell>
          <cell r="AU266">
            <v>47.415000000000013</v>
          </cell>
          <cell r="AV266">
            <v>44.625</v>
          </cell>
          <cell r="AW266">
            <v>52.692999999999998</v>
          </cell>
          <cell r="AX266">
            <v>67.875999999999991</v>
          </cell>
          <cell r="AY266">
            <v>78.290000000000006</v>
          </cell>
          <cell r="AZ266">
            <v>49.627000000000002</v>
          </cell>
          <cell r="BA266">
            <v>64.22699999999999</v>
          </cell>
          <cell r="BB266">
            <v>68.573000000000008</v>
          </cell>
          <cell r="BC266">
            <v>67.835999999999999</v>
          </cell>
          <cell r="BD266">
            <v>55.057000000000002</v>
          </cell>
          <cell r="BE266">
            <v>77.474299999999999</v>
          </cell>
          <cell r="BF266">
            <v>95.97</v>
          </cell>
          <cell r="BG266">
            <v>118.15700000000001</v>
          </cell>
          <cell r="BH266">
            <v>97.841999999999999</v>
          </cell>
          <cell r="BI266">
            <v>138.679</v>
          </cell>
          <cell r="BJ266">
            <v>160.50800000000001</v>
          </cell>
          <cell r="BK266">
            <v>422</v>
          </cell>
          <cell r="BL266">
            <v>99.5</v>
          </cell>
          <cell r="BM266">
            <v>99.5</v>
          </cell>
          <cell r="BN266">
            <v>99.5</v>
          </cell>
          <cell r="BO266">
            <v>99.5</v>
          </cell>
          <cell r="BP266">
            <v>100</v>
          </cell>
          <cell r="BQ266">
            <v>100</v>
          </cell>
          <cell r="BR266">
            <v>100</v>
          </cell>
          <cell r="BS266">
            <v>100</v>
          </cell>
        </row>
        <row r="267">
          <cell r="A267" t="str">
            <v>Beginning PP&amp;E</v>
          </cell>
          <cell r="D267">
            <v>2483.3239999999996</v>
          </cell>
          <cell r="E267">
            <v>2273.3559999999998</v>
          </cell>
          <cell r="F267">
            <v>3460.5259999999998</v>
          </cell>
          <cell r="G267">
            <v>3218.1239999999993</v>
          </cell>
          <cell r="H267">
            <v>3045.1860000000006</v>
          </cell>
          <cell r="I267">
            <v>3022.6359999999995</v>
          </cell>
          <cell r="J267">
            <v>3175.5110000000004</v>
          </cell>
          <cell r="K267">
            <v>3623.835</v>
          </cell>
          <cell r="AQ267">
            <v>3218.1239999999993</v>
          </cell>
          <cell r="AU267">
            <v>3045.1860000000006</v>
          </cell>
          <cell r="AY267">
            <v>3022.6359999999995</v>
          </cell>
          <cell r="BC267">
            <v>3175.5110000000004</v>
          </cell>
          <cell r="BG267">
            <v>3623.835</v>
          </cell>
        </row>
        <row r="268">
          <cell r="A268" t="str">
            <v>Less: Land</v>
          </cell>
          <cell r="D268">
            <v>173.619</v>
          </cell>
          <cell r="E268">
            <v>176.93700000000001</v>
          </cell>
          <cell r="F268">
            <v>215.97399999999999</v>
          </cell>
          <cell r="G268">
            <v>225.07900000000001</v>
          </cell>
          <cell r="H268">
            <v>268.25900000000001</v>
          </cell>
          <cell r="I268">
            <v>312.71100000000001</v>
          </cell>
          <cell r="J268">
            <v>374.62099999999998</v>
          </cell>
          <cell r="K268">
            <v>473.47699999999998</v>
          </cell>
          <cell r="AQ268">
            <v>225.07900000000001</v>
          </cell>
          <cell r="AU268">
            <v>268.25900000000001</v>
          </cell>
          <cell r="AY268">
            <v>312.71100000000001</v>
          </cell>
          <cell r="BC268">
            <v>374.62099999999998</v>
          </cell>
          <cell r="BG268">
            <v>473.47699999999998</v>
          </cell>
        </row>
        <row r="269">
          <cell r="A269" t="str">
            <v>PP&amp;E Depreciation</v>
          </cell>
          <cell r="D269">
            <v>2309.7049999999995</v>
          </cell>
          <cell r="E269">
            <v>2096.4189999999999</v>
          </cell>
          <cell r="F269">
            <v>3244.5519999999997</v>
          </cell>
          <cell r="G269">
            <v>2993.0449999999992</v>
          </cell>
          <cell r="H269">
            <v>2776.9270000000006</v>
          </cell>
          <cell r="I269">
            <v>2709.9249999999993</v>
          </cell>
          <cell r="J269">
            <v>2800.8900000000003</v>
          </cell>
          <cell r="K269">
            <v>3150.3580000000002</v>
          </cell>
          <cell r="L269">
            <v>313.06682624999996</v>
          </cell>
          <cell r="M269">
            <v>288.43637906825239</v>
          </cell>
          <cell r="N269">
            <v>260.65646297970187</v>
          </cell>
          <cell r="O269">
            <v>234.5908166817317</v>
          </cell>
          <cell r="P269">
            <v>211.13173501355854</v>
          </cell>
          <cell r="Q269">
            <v>190.01856151220269</v>
          </cell>
          <cell r="R269">
            <v>171.01670536098243</v>
          </cell>
          <cell r="S269">
            <v>153.9150348248842</v>
          </cell>
          <cell r="T269">
            <v>138.52353134239578</v>
          </cell>
          <cell r="U269">
            <v>124.67117820815621</v>
          </cell>
          <cell r="V269">
            <v>112.20406038734059</v>
          </cell>
          <cell r="AQ269">
            <v>2993.0449999999992</v>
          </cell>
          <cell r="AU269">
            <v>2776.9270000000006</v>
          </cell>
          <cell r="AY269">
            <v>2709.9249999999993</v>
          </cell>
          <cell r="BC269">
            <v>2800.8900000000003</v>
          </cell>
          <cell r="BG269">
            <v>3150.3580000000002</v>
          </cell>
          <cell r="BH269">
            <v>78.758949999999999</v>
          </cell>
          <cell r="BI269">
            <v>78.758949999999999</v>
          </cell>
          <cell r="BJ269">
            <v>78.758949999999999</v>
          </cell>
          <cell r="BK269">
            <v>76.789976249999995</v>
          </cell>
          <cell r="BL269">
            <v>74.87022684374999</v>
          </cell>
          <cell r="BM269">
            <v>72.998471172656238</v>
          </cell>
          <cell r="BN269">
            <v>71.173509393339828</v>
          </cell>
          <cell r="BO269">
            <v>69.394171658506323</v>
          </cell>
          <cell r="BP269">
            <v>67.65931736704367</v>
          </cell>
          <cell r="BQ269">
            <v>65.967834432867576</v>
          </cell>
          <cell r="BR269">
            <v>64.318638572045884</v>
          </cell>
          <cell r="BS269">
            <v>62.710672607744733</v>
          </cell>
        </row>
        <row r="271">
          <cell r="A271" t="str">
            <v>ESTIMATED AVERAGE LIFE</v>
          </cell>
          <cell r="B271">
            <v>10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AQ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row>
        <row r="272">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cell r="BM272">
            <v>0</v>
          </cell>
          <cell r="BN272">
            <v>0</v>
          </cell>
          <cell r="BO272">
            <v>0</v>
          </cell>
          <cell r="BP272">
            <v>0</v>
          </cell>
          <cell r="BQ272">
            <v>0</v>
          </cell>
          <cell r="BR272">
            <v>0</v>
          </cell>
          <cell r="BS272">
            <v>0</v>
          </cell>
        </row>
        <row r="273">
          <cell r="J273">
            <v>0</v>
          </cell>
          <cell r="K273">
            <v>0</v>
          </cell>
          <cell r="L273">
            <v>0</v>
          </cell>
          <cell r="M273">
            <v>0</v>
          </cell>
          <cell r="N273">
            <v>0</v>
          </cell>
          <cell r="O273">
            <v>0</v>
          </cell>
          <cell r="P273">
            <v>0</v>
          </cell>
          <cell r="Q273">
            <v>0</v>
          </cell>
          <cell r="R273">
            <v>0</v>
          </cell>
          <cell r="S273">
            <v>0</v>
          </cell>
          <cell r="T273">
            <v>0</v>
          </cell>
          <cell r="U273">
            <v>0</v>
          </cell>
          <cell r="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cell r="BM273">
            <v>0</v>
          </cell>
          <cell r="BN273">
            <v>0</v>
          </cell>
          <cell r="BO273">
            <v>0</v>
          </cell>
          <cell r="BP273">
            <v>0</v>
          </cell>
          <cell r="BQ273">
            <v>0</v>
          </cell>
          <cell r="BR273">
            <v>0</v>
          </cell>
          <cell r="BS273">
            <v>0</v>
          </cell>
        </row>
        <row r="274">
          <cell r="K274">
            <v>0</v>
          </cell>
          <cell r="L274">
            <v>0</v>
          </cell>
          <cell r="M274">
            <v>0</v>
          </cell>
          <cell r="N274">
            <v>0</v>
          </cell>
          <cell r="O274">
            <v>0</v>
          </cell>
          <cell r="P274">
            <v>0</v>
          </cell>
          <cell r="Q274">
            <v>0</v>
          </cell>
          <cell r="R274">
            <v>0</v>
          </cell>
          <cell r="S274">
            <v>0</v>
          </cell>
          <cell r="T274">
            <v>0</v>
          </cell>
          <cell r="U274">
            <v>0</v>
          </cell>
          <cell r="V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cell r="BM274">
            <v>0</v>
          </cell>
          <cell r="BN274">
            <v>0</v>
          </cell>
          <cell r="BO274">
            <v>0</v>
          </cell>
          <cell r="BP274">
            <v>0</v>
          </cell>
          <cell r="BQ274">
            <v>0</v>
          </cell>
          <cell r="BR274">
            <v>0</v>
          </cell>
          <cell r="BS274">
            <v>0</v>
          </cell>
        </row>
        <row r="275">
          <cell r="L275">
            <v>0</v>
          </cell>
          <cell r="M275">
            <v>0</v>
          </cell>
          <cell r="N275">
            <v>0</v>
          </cell>
          <cell r="O275">
            <v>0</v>
          </cell>
          <cell r="P275">
            <v>0</v>
          </cell>
          <cell r="Q275">
            <v>0</v>
          </cell>
          <cell r="R275">
            <v>0</v>
          </cell>
          <cell r="S275">
            <v>0</v>
          </cell>
          <cell r="T275">
            <v>0</v>
          </cell>
          <cell r="U275">
            <v>0</v>
          </cell>
          <cell r="V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cell r="BM275">
            <v>0</v>
          </cell>
          <cell r="BN275">
            <v>0</v>
          </cell>
          <cell r="BO275">
            <v>0</v>
          </cell>
          <cell r="BP275">
            <v>0</v>
          </cell>
          <cell r="BQ275">
            <v>0</v>
          </cell>
          <cell r="BR275">
            <v>0</v>
          </cell>
          <cell r="BS275">
            <v>0</v>
          </cell>
        </row>
        <row r="276">
          <cell r="M276">
            <v>0</v>
          </cell>
          <cell r="N276">
            <v>0</v>
          </cell>
          <cell r="O276">
            <v>39.799999999999997</v>
          </cell>
          <cell r="P276">
            <v>39.799999999999997</v>
          </cell>
          <cell r="Q276">
            <v>39.799999999999997</v>
          </cell>
          <cell r="R276">
            <v>39.799999999999997</v>
          </cell>
          <cell r="S276">
            <v>39.799999999999997</v>
          </cell>
          <cell r="T276">
            <v>39.799999999999997</v>
          </cell>
          <cell r="U276">
            <v>39.799999999999997</v>
          </cell>
          <cell r="V276">
            <v>39.799999999999997</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cell r="BM276">
            <v>0</v>
          </cell>
          <cell r="BN276">
            <v>0</v>
          </cell>
          <cell r="BO276">
            <v>0</v>
          </cell>
          <cell r="BP276">
            <v>0</v>
          </cell>
          <cell r="BQ276">
            <v>0</v>
          </cell>
          <cell r="BR276">
            <v>0</v>
          </cell>
          <cell r="BS276">
            <v>0</v>
          </cell>
        </row>
        <row r="277">
          <cell r="N277">
            <v>0</v>
          </cell>
          <cell r="O277">
            <v>40</v>
          </cell>
          <cell r="P277">
            <v>40</v>
          </cell>
          <cell r="Q277">
            <v>40</v>
          </cell>
          <cell r="R277">
            <v>40</v>
          </cell>
          <cell r="S277">
            <v>40</v>
          </cell>
          <cell r="T277">
            <v>40</v>
          </cell>
          <cell r="U277">
            <v>40</v>
          </cell>
          <cell r="V277">
            <v>40</v>
          </cell>
          <cell r="BA277">
            <v>0</v>
          </cell>
          <cell r="BB277">
            <v>0</v>
          </cell>
          <cell r="BC277">
            <v>0</v>
          </cell>
          <cell r="BD277">
            <v>0</v>
          </cell>
          <cell r="BE277">
            <v>0</v>
          </cell>
          <cell r="BF277">
            <v>0</v>
          </cell>
          <cell r="BG277">
            <v>0</v>
          </cell>
          <cell r="BH277">
            <v>0</v>
          </cell>
          <cell r="BI277">
            <v>0</v>
          </cell>
          <cell r="BJ277">
            <v>0</v>
          </cell>
          <cell r="BK277">
            <v>0</v>
          </cell>
          <cell r="BL277">
            <v>0</v>
          </cell>
          <cell r="BM277">
            <v>0</v>
          </cell>
          <cell r="BN277">
            <v>0</v>
          </cell>
          <cell r="BO277">
            <v>0</v>
          </cell>
          <cell r="BP277">
            <v>0</v>
          </cell>
          <cell r="BQ277">
            <v>0</v>
          </cell>
          <cell r="BR277">
            <v>0</v>
          </cell>
          <cell r="BS277">
            <v>0</v>
          </cell>
        </row>
        <row r="278">
          <cell r="O278">
            <v>19.05</v>
          </cell>
          <cell r="P278">
            <v>38.1</v>
          </cell>
          <cell r="Q278">
            <v>38.1</v>
          </cell>
          <cell r="R278">
            <v>38.1</v>
          </cell>
          <cell r="S278">
            <v>38.1</v>
          </cell>
          <cell r="T278">
            <v>38.1</v>
          </cell>
          <cell r="U278">
            <v>38.1</v>
          </cell>
          <cell r="V278">
            <v>38.1</v>
          </cell>
          <cell r="BB278">
            <v>0</v>
          </cell>
          <cell r="BC278">
            <v>0</v>
          </cell>
          <cell r="BD278">
            <v>0</v>
          </cell>
          <cell r="BE278">
            <v>0</v>
          </cell>
          <cell r="BF278">
            <v>0</v>
          </cell>
          <cell r="BG278">
            <v>0</v>
          </cell>
          <cell r="BH278">
            <v>0</v>
          </cell>
          <cell r="BI278">
            <v>0</v>
          </cell>
          <cell r="BJ278">
            <v>0</v>
          </cell>
          <cell r="BK278">
            <v>0</v>
          </cell>
          <cell r="BL278">
            <v>0</v>
          </cell>
          <cell r="BM278">
            <v>0</v>
          </cell>
          <cell r="BN278">
            <v>0</v>
          </cell>
          <cell r="BO278">
            <v>0</v>
          </cell>
          <cell r="BP278">
            <v>0</v>
          </cell>
          <cell r="BQ278">
            <v>0</v>
          </cell>
          <cell r="BR278">
            <v>0</v>
          </cell>
          <cell r="BS278">
            <v>0</v>
          </cell>
        </row>
        <row r="279">
          <cell r="P279">
            <v>19.05</v>
          </cell>
          <cell r="Q279">
            <v>38.1</v>
          </cell>
          <cell r="R279">
            <v>38.1</v>
          </cell>
          <cell r="S279">
            <v>38.1</v>
          </cell>
          <cell r="T279">
            <v>38.1</v>
          </cell>
          <cell r="U279">
            <v>38.1</v>
          </cell>
          <cell r="V279">
            <v>38.1</v>
          </cell>
          <cell r="BC279">
            <v>0</v>
          </cell>
          <cell r="BD279">
            <v>0</v>
          </cell>
          <cell r="BE279">
            <v>0</v>
          </cell>
          <cell r="BF279">
            <v>0</v>
          </cell>
          <cell r="BG279">
            <v>0</v>
          </cell>
          <cell r="BH279">
            <v>0</v>
          </cell>
          <cell r="BI279">
            <v>0</v>
          </cell>
          <cell r="BJ279">
            <v>0</v>
          </cell>
          <cell r="BK279">
            <v>0</v>
          </cell>
          <cell r="BL279">
            <v>0</v>
          </cell>
          <cell r="BM279">
            <v>0</v>
          </cell>
          <cell r="BN279">
            <v>0</v>
          </cell>
          <cell r="BO279">
            <v>0</v>
          </cell>
          <cell r="BP279">
            <v>0</v>
          </cell>
          <cell r="BQ279">
            <v>0</v>
          </cell>
          <cell r="BR279">
            <v>0</v>
          </cell>
          <cell r="BS279">
            <v>0</v>
          </cell>
        </row>
        <row r="280">
          <cell r="Q280">
            <v>19.05</v>
          </cell>
          <cell r="R280">
            <v>38.1</v>
          </cell>
          <cell r="S280">
            <v>38.1</v>
          </cell>
          <cell r="T280">
            <v>38.1</v>
          </cell>
          <cell r="U280">
            <v>38.1</v>
          </cell>
          <cell r="V280">
            <v>38.1</v>
          </cell>
          <cell r="BD280">
            <v>0</v>
          </cell>
          <cell r="BE280">
            <v>0</v>
          </cell>
          <cell r="BF280">
            <v>0</v>
          </cell>
          <cell r="BG280">
            <v>0</v>
          </cell>
          <cell r="BH280">
            <v>0</v>
          </cell>
          <cell r="BI280">
            <v>0</v>
          </cell>
          <cell r="BJ280">
            <v>0</v>
          </cell>
          <cell r="BK280">
            <v>0</v>
          </cell>
          <cell r="BL280">
            <v>0</v>
          </cell>
          <cell r="BM280">
            <v>0</v>
          </cell>
          <cell r="BN280">
            <v>0</v>
          </cell>
          <cell r="BO280">
            <v>0</v>
          </cell>
          <cell r="BP280">
            <v>0</v>
          </cell>
          <cell r="BQ280">
            <v>0</v>
          </cell>
          <cell r="BR280">
            <v>0</v>
          </cell>
          <cell r="BS280">
            <v>0</v>
          </cell>
        </row>
        <row r="281">
          <cell r="R281">
            <v>19.05</v>
          </cell>
          <cell r="S281">
            <v>38.1</v>
          </cell>
          <cell r="T281">
            <v>38.1</v>
          </cell>
          <cell r="U281">
            <v>38.1</v>
          </cell>
          <cell r="V281">
            <v>38.1</v>
          </cell>
          <cell r="BE281">
            <v>0</v>
          </cell>
          <cell r="BF281">
            <v>0</v>
          </cell>
          <cell r="BG281">
            <v>0</v>
          </cell>
          <cell r="BH281">
            <v>0</v>
          </cell>
          <cell r="BI281">
            <v>0</v>
          </cell>
          <cell r="BJ281">
            <v>0</v>
          </cell>
          <cell r="BK281">
            <v>0</v>
          </cell>
          <cell r="BL281">
            <v>0</v>
          </cell>
          <cell r="BM281">
            <v>0</v>
          </cell>
          <cell r="BN281">
            <v>0</v>
          </cell>
          <cell r="BO281">
            <v>0</v>
          </cell>
          <cell r="BP281">
            <v>0</v>
          </cell>
          <cell r="BQ281">
            <v>0</v>
          </cell>
          <cell r="BR281">
            <v>0</v>
          </cell>
          <cell r="BS281">
            <v>0</v>
          </cell>
        </row>
        <row r="282">
          <cell r="S282">
            <v>19.05</v>
          </cell>
          <cell r="T282">
            <v>38.1</v>
          </cell>
          <cell r="U282">
            <v>38.1</v>
          </cell>
          <cell r="V282">
            <v>38.1</v>
          </cell>
          <cell r="BF282">
            <v>0</v>
          </cell>
          <cell r="BG282">
            <v>0</v>
          </cell>
          <cell r="BH282">
            <v>0</v>
          </cell>
          <cell r="BI282">
            <v>0</v>
          </cell>
          <cell r="BJ282">
            <v>0</v>
          </cell>
          <cell r="BK282">
            <v>0</v>
          </cell>
          <cell r="BL282">
            <v>0</v>
          </cell>
          <cell r="BM282">
            <v>0</v>
          </cell>
          <cell r="BN282">
            <v>0</v>
          </cell>
          <cell r="BO282">
            <v>0</v>
          </cell>
          <cell r="BP282">
            <v>0</v>
          </cell>
          <cell r="BQ282">
            <v>0</v>
          </cell>
          <cell r="BR282">
            <v>0</v>
          </cell>
          <cell r="BS282">
            <v>0</v>
          </cell>
        </row>
        <row r="283">
          <cell r="T283">
            <v>19.05</v>
          </cell>
          <cell r="U283">
            <v>38.1</v>
          </cell>
          <cell r="V283">
            <v>38.1</v>
          </cell>
          <cell r="BG283">
            <v>0</v>
          </cell>
          <cell r="BH283">
            <v>0</v>
          </cell>
          <cell r="BI283">
            <v>0</v>
          </cell>
          <cell r="BJ283">
            <v>0</v>
          </cell>
          <cell r="BK283">
            <v>0</v>
          </cell>
          <cell r="BL283">
            <v>0</v>
          </cell>
          <cell r="BM283">
            <v>0</v>
          </cell>
          <cell r="BN283">
            <v>0</v>
          </cell>
          <cell r="BO283">
            <v>0</v>
          </cell>
          <cell r="BP283">
            <v>0</v>
          </cell>
          <cell r="BQ283">
            <v>0</v>
          </cell>
          <cell r="BR283">
            <v>0</v>
          </cell>
          <cell r="BS283">
            <v>0</v>
          </cell>
        </row>
        <row r="284">
          <cell r="U284">
            <v>19.05</v>
          </cell>
          <cell r="V284">
            <v>38.1</v>
          </cell>
          <cell r="BH284">
            <v>0</v>
          </cell>
          <cell r="BI284">
            <v>0</v>
          </cell>
          <cell r="BJ284">
            <v>0</v>
          </cell>
          <cell r="BK284">
            <v>0</v>
          </cell>
          <cell r="BL284">
            <v>0</v>
          </cell>
          <cell r="BM284">
            <v>0</v>
          </cell>
          <cell r="BN284">
            <v>0</v>
          </cell>
          <cell r="BO284">
            <v>0</v>
          </cell>
          <cell r="BP284">
            <v>0</v>
          </cell>
          <cell r="BQ284">
            <v>0</v>
          </cell>
          <cell r="BR284">
            <v>0</v>
          </cell>
          <cell r="BS284">
            <v>0</v>
          </cell>
        </row>
        <row r="285">
          <cell r="V285">
            <v>19.05</v>
          </cell>
          <cell r="BI285">
            <v>0</v>
          </cell>
          <cell r="BJ285">
            <v>0</v>
          </cell>
          <cell r="BK285">
            <v>0</v>
          </cell>
          <cell r="BL285">
            <v>0</v>
          </cell>
          <cell r="BM285">
            <v>0</v>
          </cell>
          <cell r="BN285">
            <v>0</v>
          </cell>
          <cell r="BO285">
            <v>0</v>
          </cell>
          <cell r="BP285">
            <v>0</v>
          </cell>
          <cell r="BQ285">
            <v>0</v>
          </cell>
          <cell r="BR285">
            <v>0</v>
          </cell>
          <cell r="BS285">
            <v>0</v>
          </cell>
        </row>
        <row r="286">
          <cell r="BJ286">
            <v>0</v>
          </cell>
          <cell r="BK286">
            <v>0</v>
          </cell>
          <cell r="BL286">
            <v>0</v>
          </cell>
          <cell r="BM286">
            <v>0</v>
          </cell>
          <cell r="BN286">
            <v>0</v>
          </cell>
          <cell r="BO286">
            <v>0</v>
          </cell>
          <cell r="BP286">
            <v>0</v>
          </cell>
          <cell r="BQ286">
            <v>0</v>
          </cell>
          <cell r="BR286">
            <v>0</v>
          </cell>
          <cell r="BS286">
            <v>0</v>
          </cell>
        </row>
        <row r="287">
          <cell r="BK287">
            <v>5.2750000000000004</v>
          </cell>
          <cell r="BL287">
            <v>10.55</v>
          </cell>
          <cell r="BM287">
            <v>10.55</v>
          </cell>
          <cell r="BN287">
            <v>10.55</v>
          </cell>
          <cell r="BO287">
            <v>10.55</v>
          </cell>
          <cell r="BP287">
            <v>10.55</v>
          </cell>
          <cell r="BQ287">
            <v>10.55</v>
          </cell>
          <cell r="BR287">
            <v>10.55</v>
          </cell>
          <cell r="BS287">
            <v>10.55</v>
          </cell>
        </row>
        <row r="288">
          <cell r="BL288">
            <v>1.2437499999999999</v>
          </cell>
          <cell r="BM288">
            <v>2.4874999999999998</v>
          </cell>
          <cell r="BN288">
            <v>2.4874999999999998</v>
          </cell>
          <cell r="BO288">
            <v>2.4874999999999998</v>
          </cell>
          <cell r="BP288">
            <v>2.4874999999999998</v>
          </cell>
          <cell r="BQ288">
            <v>2.4874999999999998</v>
          </cell>
          <cell r="BR288">
            <v>2.4874999999999998</v>
          </cell>
          <cell r="BS288">
            <v>2.4874999999999998</v>
          </cell>
        </row>
        <row r="289">
          <cell r="BM289">
            <v>1.2437499999999999</v>
          </cell>
          <cell r="BN289">
            <v>2.4874999999999998</v>
          </cell>
          <cell r="BO289">
            <v>2.4874999999999998</v>
          </cell>
          <cell r="BP289">
            <v>2.4874999999999998</v>
          </cell>
          <cell r="BQ289">
            <v>2.4874999999999998</v>
          </cell>
          <cell r="BR289">
            <v>2.4874999999999998</v>
          </cell>
          <cell r="BS289">
            <v>2.4874999999999998</v>
          </cell>
        </row>
        <row r="290">
          <cell r="BN290">
            <v>1.2437499999999999</v>
          </cell>
          <cell r="BO290">
            <v>2.4874999999999998</v>
          </cell>
          <cell r="BP290">
            <v>2.4874999999999998</v>
          </cell>
          <cell r="BQ290">
            <v>2.4874999999999998</v>
          </cell>
          <cell r="BR290">
            <v>2.4874999999999998</v>
          </cell>
          <cell r="BS290">
            <v>2.4874999999999998</v>
          </cell>
        </row>
        <row r="291">
          <cell r="BO291">
            <v>1.2437499999999999</v>
          </cell>
          <cell r="BP291">
            <v>2.4874999999999998</v>
          </cell>
          <cell r="BQ291">
            <v>2.4874999999999998</v>
          </cell>
          <cell r="BR291">
            <v>2.4874999999999998</v>
          </cell>
          <cell r="BS291">
            <v>2.4874999999999998</v>
          </cell>
        </row>
        <row r="292">
          <cell r="BP292">
            <v>1.25</v>
          </cell>
          <cell r="BQ292">
            <v>2.5</v>
          </cell>
          <cell r="BR292">
            <v>2.5</v>
          </cell>
          <cell r="BS292">
            <v>2.5</v>
          </cell>
        </row>
        <row r="293">
          <cell r="BQ293">
            <v>1.25</v>
          </cell>
          <cell r="BR293">
            <v>2.5</v>
          </cell>
          <cell r="BS293">
            <v>2.5</v>
          </cell>
        </row>
        <row r="294">
          <cell r="BR294">
            <v>1.25</v>
          </cell>
          <cell r="BS294">
            <v>2.5</v>
          </cell>
        </row>
        <row r="295">
          <cell r="BS295">
            <v>1.25</v>
          </cell>
        </row>
        <row r="297">
          <cell r="A297" t="str">
            <v>Adjustment</v>
          </cell>
          <cell r="L297">
            <v>65.2</v>
          </cell>
          <cell r="M297">
            <v>80</v>
          </cell>
          <cell r="N297">
            <v>80</v>
          </cell>
          <cell r="O297">
            <v>100</v>
          </cell>
          <cell r="P297">
            <v>100</v>
          </cell>
          <cell r="Q297">
            <v>100</v>
          </cell>
          <cell r="R297">
            <v>100</v>
          </cell>
          <cell r="S297">
            <v>100</v>
          </cell>
          <cell r="T297">
            <v>100</v>
          </cell>
          <cell r="U297">
            <v>100</v>
          </cell>
          <cell r="V297">
            <v>100</v>
          </cell>
          <cell r="BH297">
            <v>15.2</v>
          </cell>
          <cell r="BI297">
            <v>15</v>
          </cell>
          <cell r="BJ297">
            <v>15</v>
          </cell>
          <cell r="BK297">
            <v>20</v>
          </cell>
          <cell r="BL297">
            <v>20</v>
          </cell>
          <cell r="BM297">
            <v>20</v>
          </cell>
          <cell r="BN297">
            <v>20</v>
          </cell>
          <cell r="BO297">
            <v>20</v>
          </cell>
          <cell r="BP297">
            <v>20</v>
          </cell>
          <cell r="BQ297">
            <v>20</v>
          </cell>
          <cell r="BR297">
            <v>20</v>
          </cell>
          <cell r="BS297">
            <v>20</v>
          </cell>
        </row>
        <row r="298">
          <cell r="A298" t="str">
            <v>Depreciation</v>
          </cell>
          <cell r="L298">
            <v>383.54182624999999</v>
          </cell>
          <cell r="M298">
            <v>430.53637906825242</v>
          </cell>
          <cell r="N298">
            <v>442.65646297970181</v>
          </cell>
          <cell r="O298">
            <v>433.44081668173169</v>
          </cell>
          <cell r="P298">
            <v>448.08173501355856</v>
          </cell>
          <cell r="Q298">
            <v>465.06856151220273</v>
          </cell>
          <cell r="R298">
            <v>484.16670536098252</v>
          </cell>
          <cell r="S298">
            <v>505.16503482488429</v>
          </cell>
          <cell r="T298">
            <v>527.87353134239584</v>
          </cell>
          <cell r="U298">
            <v>552.12117820815638</v>
          </cell>
          <cell r="V298">
            <v>577.7540603873407</v>
          </cell>
          <cell r="BH298">
            <v>93.958950000000002</v>
          </cell>
          <cell r="BI298">
            <v>93.758949999999999</v>
          </cell>
          <cell r="BJ298">
            <v>93.758949999999999</v>
          </cell>
          <cell r="BK298">
            <v>102.06497625</v>
          </cell>
          <cell r="BL298">
            <v>106.66397684374999</v>
          </cell>
          <cell r="BM298">
            <v>107.27972117265624</v>
          </cell>
          <cell r="BN298">
            <v>107.94225939333982</v>
          </cell>
          <cell r="BO298">
            <v>108.65042165850632</v>
          </cell>
          <cell r="BP298">
            <v>109.40931736704366</v>
          </cell>
          <cell r="BQ298">
            <v>110.21783443286756</v>
          </cell>
          <cell r="BR298">
            <v>111.06863857204587</v>
          </cell>
          <cell r="BS298">
            <v>111.96067260774473</v>
          </cell>
        </row>
        <row r="299">
          <cell r="A299" t="str">
            <v>Capex to Depreciation</v>
          </cell>
          <cell r="L299">
            <v>2.1354359393025915</v>
          </cell>
          <cell r="M299">
            <v>0.92442826982782222</v>
          </cell>
          <cell r="N299">
            <v>0.90363528707439689</v>
          </cell>
          <cell r="O299">
            <v>0.87901274023245002</v>
          </cell>
          <cell r="P299">
            <v>0.8502912978331314</v>
          </cell>
          <cell r="Q299">
            <v>0.81923404747281137</v>
          </cell>
          <cell r="R299">
            <v>0.78691904210128616</v>
          </cell>
          <cell r="S299">
            <v>0.75420896882159283</v>
          </cell>
          <cell r="T299">
            <v>0.72176378882098391</v>
          </cell>
          <cell r="U299">
            <v>0.69006590407651125</v>
          </cell>
          <cell r="V299">
            <v>0.65945014690951387</v>
          </cell>
          <cell r="BH299">
            <v>1.0413270901814036</v>
          </cell>
          <cell r="BI299">
            <v>1.4791014617804488</v>
          </cell>
          <cell r="BJ299">
            <v>1.7119219018557696</v>
          </cell>
          <cell r="BK299">
            <v>4.1346210571425086</v>
          </cell>
          <cell r="BL299">
            <v>0.93283602340981187</v>
          </cell>
          <cell r="BM299">
            <v>0.92748190349846704</v>
          </cell>
          <cell r="BN299">
            <v>0.92178911724854329</v>
          </cell>
          <cell r="BO299">
            <v>0.91578107550041044</v>
          </cell>
          <cell r="BP299">
            <v>0.91399893908964347</v>
          </cell>
          <cell r="BQ299">
            <v>0.90729418260262473</v>
          </cell>
          <cell r="BR299">
            <v>0.90034415912223431</v>
          </cell>
          <cell r="BS299">
            <v>0.8931707685461211</v>
          </cell>
        </row>
        <row r="300">
          <cell r="A300" t="str">
            <v>Estimated Annualized Average Life</v>
          </cell>
          <cell r="L300">
            <v>8.2138577448044376</v>
          </cell>
          <cell r="M300">
            <v>7.3172864202970818</v>
          </cell>
          <cell r="N300">
            <v>7.116936639292808</v>
          </cell>
          <cell r="O300">
            <v>7.2682541162551733</v>
          </cell>
          <cell r="P300">
            <v>7.0307663844067942</v>
          </cell>
          <cell r="Q300">
            <v>6.7739646596544656</v>
          </cell>
          <cell r="R300">
            <v>6.5067629911709286</v>
          </cell>
          <cell r="S300">
            <v>6.2362946419917469</v>
          </cell>
          <cell r="T300">
            <v>5.9680166042585228</v>
          </cell>
          <cell r="U300">
            <v>5.7059176940542518</v>
          </cell>
          <cell r="V300">
            <v>5.4527665247180117</v>
          </cell>
        </row>
        <row r="302">
          <cell r="A302" t="str">
            <v>Amortization</v>
          </cell>
        </row>
        <row r="303">
          <cell r="A303" t="str">
            <v>Acquired network locations</v>
          </cell>
          <cell r="J303">
            <v>1105.3969999999999</v>
          </cell>
          <cell r="K303">
            <v>1301.2080000000001</v>
          </cell>
        </row>
        <row r="304">
          <cell r="A304" t="str">
            <v>Acquired customer base</v>
          </cell>
          <cell r="J304">
            <v>756.928</v>
          </cell>
          <cell r="K304">
            <v>750.10400000000004</v>
          </cell>
        </row>
        <row r="305">
          <cell r="A305" t="str">
            <v>Acquired customer relationships</v>
          </cell>
          <cell r="J305">
            <v>875.31799999999998</v>
          </cell>
          <cell r="K305">
            <v>1209.2919999999999</v>
          </cell>
        </row>
        <row r="306">
          <cell r="A306" t="str">
            <v>Acquired licenses and other intangibles</v>
          </cell>
          <cell r="J306">
            <v>21.574000000000002</v>
          </cell>
          <cell r="K306">
            <v>21.600999999999999</v>
          </cell>
        </row>
        <row r="307">
          <cell r="A307" t="str">
            <v>Economic Rights, TV Azteca</v>
          </cell>
          <cell r="J307">
            <v>30.292000000000002</v>
          </cell>
          <cell r="K307">
            <v>30.292000000000002</v>
          </cell>
        </row>
        <row r="308">
          <cell r="A308" t="str">
            <v>Gross Intangible Assets</v>
          </cell>
          <cell r="J308">
            <v>2789.509</v>
          </cell>
          <cell r="K308">
            <v>3312.4969999999998</v>
          </cell>
        </row>
        <row r="310">
          <cell r="A310" t="str">
            <v>Accumulated Amortization</v>
          </cell>
          <cell r="J310">
            <v>1238.579</v>
          </cell>
          <cell r="K310">
            <v>1374.059</v>
          </cell>
        </row>
        <row r="311">
          <cell r="A311" t="str">
            <v>Net Intangible Assets</v>
          </cell>
          <cell r="J311">
            <v>1550.93</v>
          </cell>
          <cell r="K311">
            <v>1938.4379999999999</v>
          </cell>
        </row>
        <row r="313">
          <cell r="A313" t="str">
            <v>Amortization</v>
          </cell>
          <cell r="L313">
            <v>164.21700000000001</v>
          </cell>
          <cell r="M313">
            <v>164.21700000000001</v>
          </cell>
          <cell r="N313">
            <v>164.21700000000001</v>
          </cell>
          <cell r="O313">
            <v>145.04499999999999</v>
          </cell>
          <cell r="P313">
            <v>129.59</v>
          </cell>
          <cell r="Q313">
            <v>118.79083333333332</v>
          </cell>
          <cell r="R313">
            <v>108.89159722222222</v>
          </cell>
          <cell r="S313">
            <v>99.817297453703688</v>
          </cell>
          <cell r="T313">
            <v>91.499189332561713</v>
          </cell>
          <cell r="U313">
            <v>83.874256888181563</v>
          </cell>
          <cell r="V313">
            <v>76.8847354808331</v>
          </cell>
          <cell r="BH313">
            <v>37.272049999999993</v>
          </cell>
          <cell r="BI313">
            <v>44.799049999999994</v>
          </cell>
          <cell r="BJ313">
            <v>48.354050000000001</v>
          </cell>
          <cell r="BK313">
            <v>33.791850000000025</v>
          </cell>
          <cell r="BL313">
            <v>41.054250000000003</v>
          </cell>
          <cell r="BM313">
            <v>41.054250000000003</v>
          </cell>
          <cell r="BN313">
            <v>41.054250000000003</v>
          </cell>
          <cell r="BO313">
            <v>41.054250000000003</v>
          </cell>
          <cell r="BP313">
            <v>41.054250000000003</v>
          </cell>
          <cell r="BQ313">
            <v>41.054250000000003</v>
          </cell>
          <cell r="BR313">
            <v>41.054250000000003</v>
          </cell>
          <cell r="BS313">
            <v>41.054250000000003</v>
          </cell>
        </row>
        <row r="315">
          <cell r="A315" t="str">
            <v>ESTIMATED AVERAGE LIFE</v>
          </cell>
          <cell r="B315">
            <v>12</v>
          </cell>
        </row>
        <row r="318">
          <cell r="A318" t="str">
            <v>Total D&amp;A</v>
          </cell>
          <cell r="I318">
            <v>405.33199999999999</v>
          </cell>
          <cell r="J318">
            <v>414.61900000000003</v>
          </cell>
          <cell r="K318">
            <v>460.726</v>
          </cell>
          <cell r="L318">
            <v>547.75882624999997</v>
          </cell>
          <cell r="M318">
            <v>594.75337906825246</v>
          </cell>
          <cell r="N318">
            <v>606.8734629797018</v>
          </cell>
          <cell r="O318">
            <v>578.48581668173165</v>
          </cell>
          <cell r="P318">
            <v>577.67173501355853</v>
          </cell>
          <cell r="Q318">
            <v>583.85939484553603</v>
          </cell>
          <cell r="R318">
            <v>593.05830258320475</v>
          </cell>
          <cell r="S318">
            <v>604.98233227858793</v>
          </cell>
          <cell r="T318">
            <v>619.37272067495758</v>
          </cell>
          <cell r="U318">
            <v>635.99543509633793</v>
          </cell>
          <cell r="V318">
            <v>654.63879586817382</v>
          </cell>
          <cell r="BH318">
            <v>131.23099999999999</v>
          </cell>
          <cell r="BI318">
            <v>138.55799999999999</v>
          </cell>
          <cell r="BJ318">
            <v>142.113</v>
          </cell>
          <cell r="BK318">
            <v>135.85682625000004</v>
          </cell>
          <cell r="BL318">
            <v>147.71822684374999</v>
          </cell>
          <cell r="BM318">
            <v>148.33397117265625</v>
          </cell>
          <cell r="BN318">
            <v>148.99650939333984</v>
          </cell>
          <cell r="BO318">
            <v>149.70467165850633</v>
          </cell>
          <cell r="BP318">
            <v>150.46356736704365</v>
          </cell>
          <cell r="BQ318">
            <v>151.27208443286756</v>
          </cell>
          <cell r="BR318">
            <v>152.12288857204587</v>
          </cell>
          <cell r="BS318">
            <v>153.01492260774472</v>
          </cell>
        </row>
        <row r="320">
          <cell r="D320" t="str">
            <v>2003-FY</v>
          </cell>
          <cell r="E320" t="str">
            <v>2004-FY</v>
          </cell>
          <cell r="F320" t="str">
            <v>2005-FY</v>
          </cell>
          <cell r="G320" t="str">
            <v>2006-FY</v>
          </cell>
          <cell r="H320" t="str">
            <v>2007-FY</v>
          </cell>
          <cell r="I320" t="str">
            <v>2008-FY</v>
          </cell>
          <cell r="J320" t="str">
            <v>2009-FY</v>
          </cell>
          <cell r="K320" t="str">
            <v>2010-FY</v>
          </cell>
          <cell r="L320" t="str">
            <v>2011-FY</v>
          </cell>
          <cell r="M320" t="str">
            <v>2012-FY</v>
          </cell>
          <cell r="N320" t="str">
            <v>2013-FY</v>
          </cell>
          <cell r="O320" t="str">
            <v>2014-FY</v>
          </cell>
          <cell r="P320" t="str">
            <v>2015-FY</v>
          </cell>
          <cell r="Q320" t="str">
            <v>2016-FY</v>
          </cell>
          <cell r="R320" t="str">
            <v>2017-FY</v>
          </cell>
          <cell r="S320" t="str">
            <v>2018-FY</v>
          </cell>
          <cell r="T320" t="str">
            <v>2019-FY</v>
          </cell>
          <cell r="U320" t="str">
            <v>2020-FY</v>
          </cell>
          <cell r="V320" t="str">
            <v>2021-FY</v>
          </cell>
          <cell r="AB320" t="str">
            <v>2003-Q1</v>
          </cell>
          <cell r="AC320" t="str">
            <v>2003-Q2</v>
          </cell>
          <cell r="AD320" t="str">
            <v>2003-Q3</v>
          </cell>
          <cell r="AE320" t="str">
            <v>2003-Q4</v>
          </cell>
          <cell r="AF320" t="str">
            <v>2004-Q1</v>
          </cell>
          <cell r="AG320" t="str">
            <v>2004-Q2</v>
          </cell>
          <cell r="AH320" t="str">
            <v>2004-Q3</v>
          </cell>
          <cell r="AI320" t="str">
            <v>2004-Q4</v>
          </cell>
          <cell r="AJ320" t="str">
            <v>2005-Q1</v>
          </cell>
          <cell r="AK320" t="str">
            <v>2005-Q2</v>
          </cell>
          <cell r="AL320" t="str">
            <v>2005-Q3</v>
          </cell>
          <cell r="AM320" t="str">
            <v>2005-Q4</v>
          </cell>
          <cell r="AN320" t="str">
            <v>2006-Q1</v>
          </cell>
          <cell r="AO320" t="str">
            <v>2006-Q2</v>
          </cell>
          <cell r="AP320" t="str">
            <v>2006-Q3</v>
          </cell>
          <cell r="AQ320" t="str">
            <v>2006-Q4</v>
          </cell>
          <cell r="AR320" t="str">
            <v>2007-Q1</v>
          </cell>
          <cell r="AS320" t="str">
            <v>2007-Q2</v>
          </cell>
          <cell r="AT320" t="str">
            <v>2007-Q3</v>
          </cell>
          <cell r="AU320" t="str">
            <v>2007-Q4</v>
          </cell>
          <cell r="AV320" t="str">
            <v>2008-Q1</v>
          </cell>
          <cell r="AW320" t="str">
            <v>2008-Q2</v>
          </cell>
          <cell r="AX320" t="str">
            <v>2008-Q3</v>
          </cell>
          <cell r="AY320" t="str">
            <v>2008-Q4</v>
          </cell>
          <cell r="AZ320" t="str">
            <v>2009-Q1</v>
          </cell>
          <cell r="BA320" t="str">
            <v>2009-Q2</v>
          </cell>
          <cell r="BB320" t="str">
            <v>2009-Q3</v>
          </cell>
          <cell r="BC320" t="str">
            <v>2009-Q4</v>
          </cell>
          <cell r="BD320" t="str">
            <v>2010-Q1</v>
          </cell>
          <cell r="BE320" t="str">
            <v>2010-Q2</v>
          </cell>
          <cell r="BF320" t="str">
            <v>2010-Q3</v>
          </cell>
          <cell r="BG320" t="str">
            <v>2010-Q4</v>
          </cell>
          <cell r="BH320" t="str">
            <v>2011-Q1</v>
          </cell>
          <cell r="BI320" t="str">
            <v>2011-Q2</v>
          </cell>
          <cell r="BJ320" t="str">
            <v>2011-Q3</v>
          </cell>
          <cell r="BK320" t="str">
            <v>2011-Q4</v>
          </cell>
          <cell r="BL320" t="str">
            <v>2012-Q1</v>
          </cell>
          <cell r="BM320" t="str">
            <v>2012-Q2</v>
          </cell>
          <cell r="BN320" t="str">
            <v>2012-Q3</v>
          </cell>
          <cell r="BO320" t="str">
            <v>2012-Q4</v>
          </cell>
          <cell r="BP320" t="str">
            <v>2013-Q1</v>
          </cell>
          <cell r="BQ320" t="str">
            <v>2013-Q2</v>
          </cell>
          <cell r="BR320" t="str">
            <v>2013-Q3</v>
          </cell>
          <cell r="BS320" t="str">
            <v>2013-Q4</v>
          </cell>
        </row>
      </sheetData>
      <sheetData sheetId="4" refreshError="1">
        <row r="1">
          <cell r="A1" t="str">
            <v>Simon Flannery / simon.flannery@morganstanley.com / 212-761-6432</v>
          </cell>
          <cell r="D1" t="str">
            <v>AMT</v>
          </cell>
          <cell r="E1">
            <v>37987</v>
          </cell>
          <cell r="F1">
            <v>38353</v>
          </cell>
          <cell r="G1">
            <v>38718</v>
          </cell>
          <cell r="H1">
            <v>39083</v>
          </cell>
          <cell r="I1">
            <v>39448</v>
          </cell>
          <cell r="J1">
            <v>39814</v>
          </cell>
          <cell r="K1">
            <v>40179</v>
          </cell>
          <cell r="L1">
            <v>40544</v>
          </cell>
          <cell r="X1">
            <v>37257</v>
          </cell>
          <cell r="Y1">
            <v>37347</v>
          </cell>
          <cell r="Z1">
            <v>37438</v>
          </cell>
          <cell r="AA1">
            <v>37530</v>
          </cell>
          <cell r="AB1">
            <v>37622</v>
          </cell>
          <cell r="AC1">
            <v>37712</v>
          </cell>
          <cell r="AD1">
            <v>37803</v>
          </cell>
          <cell r="AE1">
            <v>37895</v>
          </cell>
          <cell r="AF1">
            <v>37987</v>
          </cell>
          <cell r="AG1">
            <v>38078</v>
          </cell>
          <cell r="AH1">
            <v>38169</v>
          </cell>
          <cell r="AI1">
            <v>38261</v>
          </cell>
          <cell r="AJ1">
            <v>38353</v>
          </cell>
          <cell r="AK1">
            <v>38443</v>
          </cell>
          <cell r="AL1">
            <v>38534</v>
          </cell>
          <cell r="AM1">
            <v>38626</v>
          </cell>
          <cell r="AN1">
            <v>38718</v>
          </cell>
          <cell r="AO1">
            <v>38808</v>
          </cell>
          <cell r="AP1">
            <v>38899</v>
          </cell>
          <cell r="AQ1">
            <v>38991</v>
          </cell>
          <cell r="AR1">
            <v>39083</v>
          </cell>
          <cell r="AS1">
            <v>39173</v>
          </cell>
          <cell r="AT1">
            <v>39264</v>
          </cell>
          <cell r="AU1">
            <v>39356</v>
          </cell>
          <cell r="AV1">
            <v>39448</v>
          </cell>
          <cell r="AW1">
            <v>39539</v>
          </cell>
          <cell r="AX1">
            <v>39630</v>
          </cell>
          <cell r="AY1">
            <v>39722</v>
          </cell>
          <cell r="AZ1">
            <v>39814</v>
          </cell>
          <cell r="BA1">
            <v>39904</v>
          </cell>
          <cell r="BB1">
            <v>39995</v>
          </cell>
          <cell r="BC1">
            <v>40087</v>
          </cell>
          <cell r="BD1">
            <v>40179</v>
          </cell>
          <cell r="BE1">
            <v>40269</v>
          </cell>
          <cell r="BF1">
            <v>40360</v>
          </cell>
          <cell r="BG1">
            <v>40452</v>
          </cell>
          <cell r="BH1">
            <v>40544</v>
          </cell>
          <cell r="BI1">
            <v>40634</v>
          </cell>
          <cell r="BJ1">
            <v>40725</v>
          </cell>
          <cell r="BK1">
            <v>40817</v>
          </cell>
          <cell r="BU1" t="str">
            <v>ElementName</v>
          </cell>
          <cell r="BV1" t="str">
            <v>ScaleOverride</v>
          </cell>
          <cell r="BW1" t="str">
            <v>UnitOverride</v>
          </cell>
          <cell r="BX1" t="str">
            <v>ReverseSign</v>
          </cell>
          <cell r="BY1" t="str">
            <v>IsDrivingAssumption</v>
          </cell>
          <cell r="BZ1" t="str">
            <v>SegmentID</v>
          </cell>
        </row>
        <row r="2">
          <cell r="A2" t="str">
            <v>American Tower</v>
          </cell>
          <cell r="E2">
            <v>38352</v>
          </cell>
          <cell r="F2">
            <v>38717</v>
          </cell>
          <cell r="G2">
            <v>39082</v>
          </cell>
          <cell r="H2">
            <v>39447</v>
          </cell>
          <cell r="I2">
            <v>39813</v>
          </cell>
          <cell r="J2">
            <v>40178</v>
          </cell>
          <cell r="K2">
            <v>40543</v>
          </cell>
          <cell r="L2">
            <v>40908</v>
          </cell>
          <cell r="X2">
            <v>37346</v>
          </cell>
          <cell r="Y2">
            <v>37437</v>
          </cell>
          <cell r="Z2">
            <v>37529</v>
          </cell>
          <cell r="AA2">
            <v>37621</v>
          </cell>
          <cell r="AB2">
            <v>37711</v>
          </cell>
          <cell r="AC2">
            <v>37802</v>
          </cell>
          <cell r="AD2">
            <v>37894</v>
          </cell>
          <cell r="AE2">
            <v>37986</v>
          </cell>
          <cell r="AF2">
            <v>38077</v>
          </cell>
          <cell r="AG2">
            <v>38168</v>
          </cell>
          <cell r="AH2">
            <v>38260</v>
          </cell>
          <cell r="AI2">
            <v>38352</v>
          </cell>
          <cell r="AJ2">
            <v>38442</v>
          </cell>
          <cell r="AK2">
            <v>38533</v>
          </cell>
          <cell r="AL2">
            <v>38625</v>
          </cell>
          <cell r="AM2">
            <v>38717</v>
          </cell>
          <cell r="AN2">
            <v>38807</v>
          </cell>
          <cell r="AO2">
            <v>38898</v>
          </cell>
          <cell r="AP2">
            <v>38990</v>
          </cell>
          <cell r="AQ2">
            <v>39082</v>
          </cell>
          <cell r="AR2">
            <v>39172</v>
          </cell>
          <cell r="AS2">
            <v>39263</v>
          </cell>
          <cell r="AT2">
            <v>39355</v>
          </cell>
          <cell r="AU2">
            <v>39447</v>
          </cell>
          <cell r="AV2">
            <v>39538</v>
          </cell>
          <cell r="AW2">
            <v>39629</v>
          </cell>
          <cell r="AX2">
            <v>39721</v>
          </cell>
          <cell r="AY2">
            <v>39813</v>
          </cell>
          <cell r="AZ2">
            <v>39903</v>
          </cell>
          <cell r="BA2">
            <v>39994</v>
          </cell>
          <cell r="BB2">
            <v>40086</v>
          </cell>
          <cell r="BC2">
            <v>40178</v>
          </cell>
          <cell r="BD2">
            <v>40268</v>
          </cell>
          <cell r="BE2">
            <v>40359</v>
          </cell>
          <cell r="BF2">
            <v>40451</v>
          </cell>
          <cell r="BG2">
            <v>40543</v>
          </cell>
          <cell r="BH2">
            <v>40633</v>
          </cell>
          <cell r="BI2">
            <v>40724</v>
          </cell>
          <cell r="BJ2">
            <v>40816</v>
          </cell>
          <cell r="BK2">
            <v>40908</v>
          </cell>
        </row>
        <row r="3">
          <cell r="A3" t="str">
            <v>Statement of Cash Flows</v>
          </cell>
        </row>
        <row r="8">
          <cell r="A8" t="str">
            <v>Fiscal Year Ending December 31</v>
          </cell>
          <cell r="G8" t="str">
            <v>Calendar Year</v>
          </cell>
          <cell r="X8" t="str">
            <v>2002A</v>
          </cell>
          <cell r="AB8" t="str">
            <v>2003A</v>
          </cell>
          <cell r="AF8" t="str">
            <v>2004A</v>
          </cell>
          <cell r="AJ8" t="str">
            <v>2005A</v>
          </cell>
          <cell r="AN8" t="str">
            <v>2006A</v>
          </cell>
          <cell r="AR8" t="str">
            <v>2007A</v>
          </cell>
          <cell r="AV8" t="str">
            <v>2008A</v>
          </cell>
          <cell r="AZ8" t="str">
            <v>2009A</v>
          </cell>
          <cell r="BD8" t="str">
            <v>2010A</v>
          </cell>
          <cell r="BH8" t="str">
            <v>2011E</v>
          </cell>
          <cell r="BL8" t="str">
            <v>2012E</v>
          </cell>
          <cell r="BP8" t="str">
            <v>2013E</v>
          </cell>
        </row>
        <row r="9">
          <cell r="C9" t="str">
            <v>2002A</v>
          </cell>
          <cell r="D9" t="str">
            <v>2003A</v>
          </cell>
          <cell r="E9" t="str">
            <v>2004A</v>
          </cell>
          <cell r="F9" t="str">
            <v>2005A</v>
          </cell>
          <cell r="G9" t="str">
            <v>2006A</v>
          </cell>
          <cell r="H9" t="str">
            <v>2007A</v>
          </cell>
          <cell r="I9" t="str">
            <v>2008A</v>
          </cell>
          <cell r="J9" t="str">
            <v>2009A</v>
          </cell>
          <cell r="K9" t="str">
            <v>2010A</v>
          </cell>
          <cell r="L9" t="str">
            <v>2011E</v>
          </cell>
          <cell r="M9" t="str">
            <v>2012E</v>
          </cell>
          <cell r="N9" t="str">
            <v>2013E</v>
          </cell>
          <cell r="O9" t="str">
            <v>2014E</v>
          </cell>
          <cell r="P9" t="str">
            <v>2015E</v>
          </cell>
          <cell r="Q9" t="str">
            <v>2016E</v>
          </cell>
          <cell r="R9" t="str">
            <v>2017E</v>
          </cell>
          <cell r="S9" t="str">
            <v>2018E</v>
          </cell>
          <cell r="T9" t="str">
            <v>2019E</v>
          </cell>
          <cell r="U9" t="str">
            <v>2020E</v>
          </cell>
          <cell r="V9" t="str">
            <v>2021E</v>
          </cell>
          <cell r="X9" t="str">
            <v>Mar</v>
          </cell>
          <cell r="Y9" t="str">
            <v>Jun</v>
          </cell>
          <cell r="Z9" t="str">
            <v>Sep</v>
          </cell>
          <cell r="AA9" t="str">
            <v>Dec</v>
          </cell>
          <cell r="AB9" t="str">
            <v>Mar</v>
          </cell>
          <cell r="AC9" t="str">
            <v>Jun</v>
          </cell>
          <cell r="AD9" t="str">
            <v>Sep</v>
          </cell>
          <cell r="AE9" t="str">
            <v>Dec</v>
          </cell>
          <cell r="AF9" t="str">
            <v>Mar</v>
          </cell>
          <cell r="AG9" t="str">
            <v>Jun</v>
          </cell>
          <cell r="AH9" t="str">
            <v>Sep</v>
          </cell>
          <cell r="AI9" t="str">
            <v>Dec</v>
          </cell>
          <cell r="AJ9" t="str">
            <v>Mar</v>
          </cell>
          <cell r="AK9" t="str">
            <v>Jun</v>
          </cell>
          <cell r="AL9" t="str">
            <v>Sep</v>
          </cell>
          <cell r="AM9" t="str">
            <v>Dec</v>
          </cell>
          <cell r="AN9" t="str">
            <v>Mar</v>
          </cell>
          <cell r="AO9" t="str">
            <v>Jun</v>
          </cell>
          <cell r="AP9" t="str">
            <v>Sep</v>
          </cell>
          <cell r="AQ9" t="str">
            <v>Dec</v>
          </cell>
          <cell r="AR9" t="str">
            <v>Mar</v>
          </cell>
          <cell r="AS9" t="str">
            <v>Jun</v>
          </cell>
          <cell r="AT9" t="str">
            <v>Sep</v>
          </cell>
          <cell r="AU9" t="str">
            <v>Dec</v>
          </cell>
          <cell r="AV9" t="str">
            <v>Mar</v>
          </cell>
          <cell r="AW9" t="str">
            <v>Jun</v>
          </cell>
          <cell r="AX9" t="str">
            <v>Sep</v>
          </cell>
          <cell r="AY9" t="str">
            <v>Dec</v>
          </cell>
          <cell r="AZ9" t="str">
            <v>Mar</v>
          </cell>
          <cell r="BA9" t="str">
            <v>Jun</v>
          </cell>
          <cell r="BB9" t="str">
            <v>Sep</v>
          </cell>
          <cell r="BC9" t="str">
            <v>Dec</v>
          </cell>
          <cell r="BD9" t="str">
            <v>Mar</v>
          </cell>
          <cell r="BE9" t="str">
            <v>Jun</v>
          </cell>
          <cell r="BF9" t="str">
            <v>Sep</v>
          </cell>
          <cell r="BG9" t="str">
            <v>Dec</v>
          </cell>
          <cell r="BH9" t="str">
            <v>Mar (A)</v>
          </cell>
          <cell r="BI9" t="str">
            <v>Jun (A)</v>
          </cell>
          <cell r="BJ9" t="str">
            <v>Sep (A)</v>
          </cell>
          <cell r="BK9" t="str">
            <v>Dec</v>
          </cell>
          <cell r="BL9" t="str">
            <v>Mar</v>
          </cell>
          <cell r="BM9" t="str">
            <v>Jun</v>
          </cell>
          <cell r="BN9" t="str">
            <v>Sep</v>
          </cell>
          <cell r="BO9" t="str">
            <v>Dec</v>
          </cell>
          <cell r="BP9" t="str">
            <v>Mar</v>
          </cell>
          <cell r="BQ9" t="str">
            <v>Jun</v>
          </cell>
          <cell r="BR9" t="str">
            <v>Sep</v>
          </cell>
          <cell r="BS9" t="str">
            <v>Dec</v>
          </cell>
        </row>
        <row r="10">
          <cell r="A10" t="str">
            <v>Cash Flows From Operations</v>
          </cell>
        </row>
        <row r="11">
          <cell r="A11" t="str">
            <v xml:space="preserve">  Net Profit (Loss)</v>
          </cell>
          <cell r="C11">
            <v>-1141.8780000000002</v>
          </cell>
          <cell r="D11">
            <v>-325.32100000000003</v>
          </cell>
          <cell r="E11">
            <v>-247.58699999999999</v>
          </cell>
          <cell r="F11">
            <v>-181.35900000000001</v>
          </cell>
          <cell r="G11">
            <v>27.484000000000016</v>
          </cell>
          <cell r="H11">
            <v>56.31599999999991</v>
          </cell>
          <cell r="I11">
            <v>347.41500000000008</v>
          </cell>
          <cell r="J11">
            <v>246.59499999999989</v>
          </cell>
          <cell r="K11">
            <v>373.60600000000005</v>
          </cell>
          <cell r="L11">
            <v>296.54181987126066</v>
          </cell>
          <cell r="M11">
            <v>806.5908415718759</v>
          </cell>
          <cell r="N11">
            <v>997.39192230143681</v>
          </cell>
          <cell r="O11">
            <v>1105.71089616122</v>
          </cell>
          <cell r="P11">
            <v>1192.985506990065</v>
          </cell>
          <cell r="Q11">
            <v>1268.4656119182575</v>
          </cell>
          <cell r="R11">
            <v>1333.0518725846941</v>
          </cell>
          <cell r="S11">
            <v>1386.4166358438388</v>
          </cell>
          <cell r="T11">
            <v>1428.5252057073035</v>
          </cell>
          <cell r="U11">
            <v>1458.0463167422679</v>
          </cell>
          <cell r="V11">
            <v>1476.5165887719231</v>
          </cell>
          <cell r="X11">
            <v>-634.38900000000012</v>
          </cell>
          <cell r="Y11">
            <v>-101.16800000000002</v>
          </cell>
          <cell r="Z11">
            <v>-353.87699999999995</v>
          </cell>
          <cell r="AA11">
            <v>-52.444000000000017</v>
          </cell>
          <cell r="AB11">
            <v>-97.007000000000033</v>
          </cell>
          <cell r="AC11">
            <v>-113.131</v>
          </cell>
          <cell r="AD11">
            <v>-58.290999999999983</v>
          </cell>
          <cell r="AE11">
            <v>-56.892000000000017</v>
          </cell>
          <cell r="AF11">
            <v>-48.238000000000007</v>
          </cell>
          <cell r="AG11">
            <v>-65.196999999999989</v>
          </cell>
          <cell r="AH11">
            <v>-60.122000000000021</v>
          </cell>
          <cell r="AI11">
            <v>-74.029999999999987</v>
          </cell>
          <cell r="AJ11">
            <v>-32.379000000000019</v>
          </cell>
          <cell r="AK11">
            <v>-36.150999999999996</v>
          </cell>
          <cell r="AL11">
            <v>-22.079999999999995</v>
          </cell>
          <cell r="AM11">
            <v>-90.748999999999995</v>
          </cell>
          <cell r="AN11">
            <v>-1.9369999999999967</v>
          </cell>
          <cell r="AO11">
            <v>7.6639999999999935</v>
          </cell>
          <cell r="AP11">
            <v>3.4720000000000333</v>
          </cell>
          <cell r="AQ11">
            <v>18.284999999999986</v>
          </cell>
          <cell r="AR11">
            <v>22.227999999999945</v>
          </cell>
          <cell r="AS11">
            <v>-19.991000000000017</v>
          </cell>
          <cell r="AT11">
            <v>59.627999999999972</v>
          </cell>
          <cell r="AU11">
            <v>-5.5489999999999862</v>
          </cell>
          <cell r="AV11">
            <v>42.155000000000051</v>
          </cell>
          <cell r="AW11">
            <v>158.786</v>
          </cell>
          <cell r="AX11">
            <v>60.466000000000022</v>
          </cell>
          <cell r="AY11">
            <v>86.007999999999953</v>
          </cell>
          <cell r="AZ11">
            <v>58.601000000000013</v>
          </cell>
          <cell r="BA11">
            <v>56.28899999999998</v>
          </cell>
          <cell r="BB11">
            <v>67.354999999999905</v>
          </cell>
          <cell r="BC11">
            <v>64.349999999999994</v>
          </cell>
          <cell r="BD11">
            <v>96.483000000000033</v>
          </cell>
          <cell r="BE11">
            <v>99.818999999999974</v>
          </cell>
          <cell r="BF11">
            <v>93.600999999999999</v>
          </cell>
          <cell r="BG11">
            <v>83.703000000000046</v>
          </cell>
          <cell r="BH11">
            <v>91.961299999999994</v>
          </cell>
          <cell r="BI11">
            <v>113.17100000000001</v>
          </cell>
          <cell r="BJ11">
            <v>-19.725999999999988</v>
          </cell>
          <cell r="BK11">
            <v>111.13551987126066</v>
          </cell>
          <cell r="BL11">
            <v>165.43731591866145</v>
          </cell>
          <cell r="BM11">
            <v>196.65267199437662</v>
          </cell>
          <cell r="BN11">
            <v>216.5251131769262</v>
          </cell>
          <cell r="BO11">
            <v>227.97574048191163</v>
          </cell>
          <cell r="BP11">
            <v>229.6279744820074</v>
          </cell>
          <cell r="BQ11">
            <v>245.20371192653238</v>
          </cell>
          <cell r="BR11">
            <v>258.60129883455858</v>
          </cell>
          <cell r="BS11">
            <v>263.95893705833851</v>
          </cell>
          <cell r="BU11" t="str">
            <v>mstag:netIncomeReported</v>
          </cell>
          <cell r="BV11">
            <v>6</v>
          </cell>
          <cell r="BW11" t="str">
            <v>ISO4217:USD</v>
          </cell>
          <cell r="BX11" t="b">
            <v>0</v>
          </cell>
          <cell r="BY11" t="b">
            <v>0</v>
          </cell>
        </row>
        <row r="12">
          <cell r="A12" t="str">
            <v xml:space="preserve">  Depreciation, Amorization and Accretion</v>
          </cell>
          <cell r="C12">
            <v>314.11</v>
          </cell>
          <cell r="D12">
            <v>332.286</v>
          </cell>
          <cell r="E12">
            <v>329.44899999999996</v>
          </cell>
          <cell r="F12">
            <v>411.25400000000002</v>
          </cell>
          <cell r="G12">
            <v>528.05099999999993</v>
          </cell>
          <cell r="H12">
            <v>522.928</v>
          </cell>
          <cell r="I12">
            <v>405.33199999999999</v>
          </cell>
          <cell r="J12">
            <v>414.61900000000003</v>
          </cell>
          <cell r="K12">
            <v>460.726</v>
          </cell>
          <cell r="L12">
            <v>547.75882625000008</v>
          </cell>
          <cell r="M12">
            <v>594.75337906825234</v>
          </cell>
          <cell r="N12">
            <v>606.8734629797018</v>
          </cell>
          <cell r="O12">
            <v>578.48581668173165</v>
          </cell>
          <cell r="P12">
            <v>577.67173501355853</v>
          </cell>
          <cell r="Q12">
            <v>583.85939484553603</v>
          </cell>
          <cell r="R12">
            <v>593.05830258320475</v>
          </cell>
          <cell r="S12">
            <v>604.98233227858793</v>
          </cell>
          <cell r="T12">
            <v>619.37272067495758</v>
          </cell>
          <cell r="U12">
            <v>635.99543509633793</v>
          </cell>
          <cell r="V12">
            <v>654.63879586817382</v>
          </cell>
          <cell r="X12">
            <v>75.082999999999998</v>
          </cell>
          <cell r="Y12">
            <v>79.804000000000002</v>
          </cell>
          <cell r="Z12">
            <v>78.698999999999998</v>
          </cell>
          <cell r="AA12">
            <v>80.524000000000001</v>
          </cell>
          <cell r="AB12">
            <v>84.063000000000002</v>
          </cell>
          <cell r="AC12">
            <v>84.180999999999997</v>
          </cell>
          <cell r="AD12">
            <v>82.619</v>
          </cell>
          <cell r="AE12">
            <v>81.423000000000002</v>
          </cell>
          <cell r="AF12">
            <v>81.344999999999999</v>
          </cell>
          <cell r="AG12">
            <v>85.463999999999999</v>
          </cell>
          <cell r="AH12">
            <v>81.569000000000003</v>
          </cell>
          <cell r="AI12">
            <v>81.070999999999998</v>
          </cell>
          <cell r="AJ12">
            <v>81.971000000000004</v>
          </cell>
          <cell r="AK12">
            <v>84.784000000000006</v>
          </cell>
          <cell r="AL12">
            <v>116.752</v>
          </cell>
          <cell r="AM12">
            <v>127.747</v>
          </cell>
          <cell r="AN12">
            <v>133.261</v>
          </cell>
          <cell r="AO12">
            <v>132.81100000000001</v>
          </cell>
          <cell r="AP12">
            <v>131.357</v>
          </cell>
          <cell r="AQ12">
            <v>130.62200000000001</v>
          </cell>
          <cell r="AR12">
            <v>130.19399999999999</v>
          </cell>
          <cell r="AS12">
            <v>131.637</v>
          </cell>
          <cell r="AT12">
            <v>131.48400000000001</v>
          </cell>
          <cell r="AU12">
            <v>129.61299999999997</v>
          </cell>
          <cell r="AV12">
            <v>97.072000000000003</v>
          </cell>
          <cell r="AW12">
            <v>99.697000000000003</v>
          </cell>
          <cell r="AX12">
            <v>104.389</v>
          </cell>
          <cell r="AY12">
            <v>104.17400000000001</v>
          </cell>
          <cell r="AZ12">
            <v>99.867999999999995</v>
          </cell>
          <cell r="BA12">
            <v>102.46299999999999</v>
          </cell>
          <cell r="BB12">
            <v>105.54300000000001</v>
          </cell>
          <cell r="BC12">
            <v>106.745</v>
          </cell>
          <cell r="BD12">
            <v>110.83499999999999</v>
          </cell>
          <cell r="BE12">
            <v>110.40300000000001</v>
          </cell>
          <cell r="BF12">
            <v>115.383</v>
          </cell>
          <cell r="BG12">
            <v>124.105</v>
          </cell>
          <cell r="BH12">
            <v>131.23099999999999</v>
          </cell>
          <cell r="BI12">
            <v>138.55799999999999</v>
          </cell>
          <cell r="BJ12">
            <v>142.113</v>
          </cell>
          <cell r="BK12">
            <v>135.85682625000004</v>
          </cell>
          <cell r="BL12">
            <v>147.71822684374999</v>
          </cell>
          <cell r="BM12">
            <v>148.33397117265625</v>
          </cell>
          <cell r="BN12">
            <v>148.99650939333984</v>
          </cell>
          <cell r="BO12">
            <v>149.70467165850633</v>
          </cell>
          <cell r="BP12">
            <v>150.46356736704365</v>
          </cell>
          <cell r="BQ12">
            <v>151.27208443286756</v>
          </cell>
          <cell r="BR12">
            <v>152.12288857204587</v>
          </cell>
          <cell r="BS12">
            <v>153.01492260774472</v>
          </cell>
          <cell r="BU12" t="str">
            <v>mstag:depreciation</v>
          </cell>
          <cell r="BV12">
            <v>6</v>
          </cell>
          <cell r="BW12" t="str">
            <v>ISO4217:USD</v>
          </cell>
          <cell r="BX12" t="b">
            <v>0</v>
          </cell>
          <cell r="BY12" t="b">
            <v>0</v>
          </cell>
        </row>
        <row r="13">
          <cell r="A13" t="str">
            <v xml:space="preserve">  Losses (gains) on Purchases &amp; Redemption of Long-Term Debt</v>
          </cell>
          <cell r="C13">
            <v>0</v>
          </cell>
          <cell r="D13">
            <v>0</v>
          </cell>
          <cell r="E13">
            <v>0</v>
          </cell>
          <cell r="F13">
            <v>67.11</v>
          </cell>
          <cell r="G13">
            <v>27.222999999999999</v>
          </cell>
          <cell r="H13">
            <v>34.826000000000001</v>
          </cell>
          <cell r="I13">
            <v>2.5999999999999999E-2</v>
          </cell>
          <cell r="J13">
            <v>0</v>
          </cell>
          <cell r="K13">
            <v>0</v>
          </cell>
          <cell r="L13">
            <v>0</v>
          </cell>
          <cell r="M13">
            <v>0</v>
          </cell>
          <cell r="N13">
            <v>0</v>
          </cell>
          <cell r="AM13">
            <v>67.11</v>
          </cell>
          <cell r="AQ13">
            <v>27.222999999999999</v>
          </cell>
          <cell r="AU13">
            <v>34.826000000000001</v>
          </cell>
          <cell r="AY13">
            <v>2.5999999999999999E-2</v>
          </cell>
          <cell r="BU13" t="str">
            <v>mstag:otherProvisionsOneTimeCashFlowStatement</v>
          </cell>
          <cell r="BV13">
            <v>6</v>
          </cell>
          <cell r="BW13" t="str">
            <v>ISO4217:USD</v>
          </cell>
          <cell r="BX13" t="b">
            <v>0</v>
          </cell>
          <cell r="BY13" t="b">
            <v>0</v>
          </cell>
        </row>
        <row r="14">
          <cell r="A14" t="str">
            <v xml:space="preserve">  Amortization of Deferred Financing Costs, Discounts on LTD &amp; Dividends on Preferred Stock</v>
          </cell>
          <cell r="C14">
            <v>0</v>
          </cell>
          <cell r="D14">
            <v>0</v>
          </cell>
          <cell r="E14">
            <v>0</v>
          </cell>
          <cell r="F14">
            <v>45.213999999999999</v>
          </cell>
          <cell r="G14">
            <v>9.7189999999999994</v>
          </cell>
          <cell r="H14">
            <v>7.7889999999999997</v>
          </cell>
          <cell r="I14">
            <v>9.4260000000000002</v>
          </cell>
          <cell r="J14">
            <v>0</v>
          </cell>
          <cell r="K14">
            <v>0</v>
          </cell>
          <cell r="L14">
            <v>0</v>
          </cell>
          <cell r="M14">
            <v>0</v>
          </cell>
          <cell r="N14">
            <v>0</v>
          </cell>
          <cell r="AM14">
            <v>45.213999999999999</v>
          </cell>
          <cell r="AQ14">
            <v>9.7189999999999994</v>
          </cell>
          <cell r="AU14">
            <v>7.7889999999999997</v>
          </cell>
          <cell r="AY14">
            <v>9.4260000000000002</v>
          </cell>
          <cell r="BU14" t="str">
            <v>mstag:amortizationOfDiscountPremiumOnDebtCashFlowStatement</v>
          </cell>
          <cell r="BV14">
            <v>6</v>
          </cell>
          <cell r="BW14" t="str">
            <v>ISO4217:USD</v>
          </cell>
          <cell r="BX14" t="b">
            <v>0</v>
          </cell>
          <cell r="BY14" t="b">
            <v>0</v>
          </cell>
        </row>
        <row r="15">
          <cell r="A15" t="str">
            <v xml:space="preserve">  Losses on Purchases &amp; Redemption of Preferred Stock</v>
          </cell>
          <cell r="J15">
            <v>0</v>
          </cell>
          <cell r="K15">
            <v>0</v>
          </cell>
          <cell r="L15">
            <v>0</v>
          </cell>
          <cell r="M15">
            <v>0</v>
          </cell>
          <cell r="N15">
            <v>0</v>
          </cell>
        </row>
        <row r="16">
          <cell r="A16" t="str">
            <v xml:space="preserve">  Non-cash General &amp; Administrative Compensation Charges</v>
          </cell>
          <cell r="C16">
            <v>0</v>
          </cell>
          <cell r="D16">
            <v>0</v>
          </cell>
          <cell r="E16">
            <v>0</v>
          </cell>
          <cell r="F16">
            <v>0</v>
          </cell>
          <cell r="G16">
            <v>39.502000000000002</v>
          </cell>
          <cell r="H16">
            <v>54.603000000000002</v>
          </cell>
          <cell r="I16">
            <v>54.807000000000002</v>
          </cell>
          <cell r="J16">
            <v>60.67</v>
          </cell>
          <cell r="K16">
            <v>52.555</v>
          </cell>
          <cell r="L16">
            <v>49.594999999999999</v>
          </cell>
          <cell r="M16">
            <v>51.832000000000008</v>
          </cell>
          <cell r="N16">
            <v>55.832000000000008</v>
          </cell>
          <cell r="O16">
            <v>0</v>
          </cell>
          <cell r="P16">
            <v>0</v>
          </cell>
          <cell r="Q16">
            <v>0</v>
          </cell>
          <cell r="R16">
            <v>0</v>
          </cell>
          <cell r="S16">
            <v>0</v>
          </cell>
          <cell r="T16">
            <v>0</v>
          </cell>
          <cell r="U16">
            <v>0</v>
          </cell>
          <cell r="V16">
            <v>0</v>
          </cell>
          <cell r="AN16">
            <v>9.5109999999999992</v>
          </cell>
          <cell r="AO16">
            <v>9.3470000000000013</v>
          </cell>
          <cell r="AP16">
            <v>10.683</v>
          </cell>
          <cell r="AQ16">
            <v>9.9610000000000021</v>
          </cell>
          <cell r="AR16">
            <v>16.667000000000002</v>
          </cell>
          <cell r="AS16">
            <v>11.546999999999997</v>
          </cell>
          <cell r="AT16">
            <v>15.265999999999998</v>
          </cell>
          <cell r="AU16">
            <v>11.123000000000005</v>
          </cell>
          <cell r="AV16">
            <v>16.263999999999999</v>
          </cell>
          <cell r="AW16">
            <v>13.597999999999999</v>
          </cell>
          <cell r="AX16">
            <v>13.248999999999999</v>
          </cell>
          <cell r="AY16">
            <v>11.696000000000009</v>
          </cell>
          <cell r="AZ16">
            <v>24.338000000000001</v>
          </cell>
          <cell r="BA16">
            <v>12.835999999999999</v>
          </cell>
          <cell r="BB16">
            <v>12.950000000000003</v>
          </cell>
          <cell r="BC16">
            <v>10.545999999999999</v>
          </cell>
          <cell r="BD16">
            <v>13.565</v>
          </cell>
          <cell r="BE16">
            <v>13.227000000000002</v>
          </cell>
          <cell r="BF16">
            <v>13.353999999999997</v>
          </cell>
          <cell r="BG16">
            <v>12.408999999999997</v>
          </cell>
          <cell r="BH16">
            <v>12.358000000000001</v>
          </cell>
          <cell r="BI16">
            <v>11.687000000000001</v>
          </cell>
          <cell r="BJ16">
            <v>12.14</v>
          </cell>
          <cell r="BK16">
            <v>13.41</v>
          </cell>
          <cell r="BL16">
            <v>13.358000000000001</v>
          </cell>
          <cell r="BM16">
            <v>12.686999999999999</v>
          </cell>
          <cell r="BN16">
            <v>11.377000000000001</v>
          </cell>
          <cell r="BO16">
            <v>14.41</v>
          </cell>
          <cell r="BP16">
            <v>14.358000000000001</v>
          </cell>
          <cell r="BQ16">
            <v>13.686999999999999</v>
          </cell>
          <cell r="BR16">
            <v>12.377000000000001</v>
          </cell>
          <cell r="BS16">
            <v>15.41</v>
          </cell>
          <cell r="BU16" t="str">
            <v>mstag:otherProvisionsOneTimeCashFlowStatement</v>
          </cell>
          <cell r="BV16">
            <v>6</v>
          </cell>
          <cell r="BW16" t="str">
            <v>ISO4217:USD</v>
          </cell>
          <cell r="BX16" t="b">
            <v>0</v>
          </cell>
          <cell r="BY16" t="b">
            <v>0</v>
          </cell>
        </row>
        <row r="17">
          <cell r="A17" t="str">
            <v xml:space="preserve">  Asset Write-Down Charges</v>
          </cell>
          <cell r="C17">
            <v>0</v>
          </cell>
          <cell r="D17">
            <v>0</v>
          </cell>
          <cell r="E17">
            <v>0</v>
          </cell>
          <cell r="F17">
            <v>0</v>
          </cell>
          <cell r="G17">
            <v>2.9580000000000002</v>
          </cell>
          <cell r="H17">
            <v>9.2140000000000004</v>
          </cell>
          <cell r="I17">
            <v>0</v>
          </cell>
          <cell r="J17">
            <v>0</v>
          </cell>
          <cell r="K17">
            <v>0</v>
          </cell>
          <cell r="L17">
            <v>0</v>
          </cell>
          <cell r="M17">
            <v>0</v>
          </cell>
          <cell r="N17">
            <v>0</v>
          </cell>
          <cell r="AQ17">
            <v>2.9580000000000002</v>
          </cell>
          <cell r="AU17">
            <v>9.2140000000000004</v>
          </cell>
          <cell r="BU17" t="str">
            <v>mstag:assetImpairmentNonGoodwillOneTime</v>
          </cell>
          <cell r="BV17">
            <v>6</v>
          </cell>
          <cell r="BW17" t="str">
            <v>ISO4217:USD</v>
          </cell>
          <cell r="BX17" t="b">
            <v>0</v>
          </cell>
          <cell r="BY17" t="b">
            <v>0</v>
          </cell>
        </row>
        <row r="18">
          <cell r="A18" t="str">
            <v xml:space="preserve">  Cumulative Effect of Change in Accounting Principle</v>
          </cell>
          <cell r="C18">
            <v>562.61700000000008</v>
          </cell>
          <cell r="D18">
            <v>0</v>
          </cell>
          <cell r="E18">
            <v>0</v>
          </cell>
          <cell r="F18">
            <v>35.524999999999999</v>
          </cell>
          <cell r="G18">
            <v>0</v>
          </cell>
          <cell r="H18">
            <v>0</v>
          </cell>
          <cell r="I18">
            <v>0</v>
          </cell>
          <cell r="J18">
            <v>0</v>
          </cell>
          <cell r="K18">
            <v>0</v>
          </cell>
          <cell r="L18">
            <v>0</v>
          </cell>
          <cell r="M18">
            <v>0</v>
          </cell>
          <cell r="N18">
            <v>0</v>
          </cell>
          <cell r="X18">
            <v>562.61800000000005</v>
          </cell>
          <cell r="Y18">
            <v>-1E-3</v>
          </cell>
          <cell r="AJ18">
            <v>0</v>
          </cell>
          <cell r="AK18">
            <v>0</v>
          </cell>
          <cell r="AL18">
            <v>0</v>
          </cell>
          <cell r="AM18">
            <v>35.524999999999999</v>
          </cell>
          <cell r="AN18">
            <v>0</v>
          </cell>
          <cell r="AO18">
            <v>0</v>
          </cell>
          <cell r="AP18">
            <v>0</v>
          </cell>
          <cell r="AQ18">
            <v>0</v>
          </cell>
          <cell r="AR18">
            <v>0</v>
          </cell>
          <cell r="AS18">
            <v>0</v>
          </cell>
          <cell r="AT18">
            <v>0</v>
          </cell>
          <cell r="AU18">
            <v>0</v>
          </cell>
          <cell r="BU18" t="str">
            <v>mstag:otherProvisionsOneTimeCashFlowStatement</v>
          </cell>
          <cell r="BV18">
            <v>6</v>
          </cell>
          <cell r="BW18" t="str">
            <v>ISO4217:USD</v>
          </cell>
          <cell r="BX18" t="b">
            <v>0</v>
          </cell>
          <cell r="BY18" t="b">
            <v>0</v>
          </cell>
        </row>
        <row r="19">
          <cell r="A19" t="str">
            <v xml:space="preserve">  Other Non-Cash Items reflected in Statements of Operations</v>
          </cell>
          <cell r="C19">
            <v>346.26499999999999</v>
          </cell>
          <cell r="D19">
            <v>170.73499999999996</v>
          </cell>
          <cell r="E19">
            <v>169.38600000000002</v>
          </cell>
          <cell r="F19">
            <v>0</v>
          </cell>
          <cell r="G19">
            <v>-5.453000000000003</v>
          </cell>
          <cell r="H19">
            <v>-9.4699999999999989</v>
          </cell>
          <cell r="I19">
            <v>0</v>
          </cell>
          <cell r="J19">
            <v>186.245</v>
          </cell>
          <cell r="K19">
            <v>223.64100000000002</v>
          </cell>
          <cell r="L19">
            <v>307.04669999999999</v>
          </cell>
          <cell r="M19">
            <v>37.199999999999996</v>
          </cell>
          <cell r="N19">
            <v>51.959999999999994</v>
          </cell>
          <cell r="O19">
            <v>30.839999999999993</v>
          </cell>
          <cell r="P19">
            <v>0</v>
          </cell>
          <cell r="Q19">
            <v>0</v>
          </cell>
          <cell r="R19">
            <v>0</v>
          </cell>
          <cell r="S19">
            <v>0</v>
          </cell>
          <cell r="T19">
            <v>0</v>
          </cell>
          <cell r="U19">
            <v>0</v>
          </cell>
          <cell r="V19">
            <v>0</v>
          </cell>
          <cell r="X19">
            <v>10.572000000000003</v>
          </cell>
          <cell r="Y19">
            <v>22.311999999999998</v>
          </cell>
          <cell r="Z19">
            <v>284.83099999999996</v>
          </cell>
          <cell r="AA19">
            <v>28.549999999999997</v>
          </cell>
          <cell r="AB19">
            <v>29.823999999999998</v>
          </cell>
          <cell r="AC19">
            <v>70.376000000000019</v>
          </cell>
          <cell r="AD19">
            <v>22.652999999999977</v>
          </cell>
          <cell r="AE19">
            <v>47.881999999999948</v>
          </cell>
          <cell r="AF19">
            <v>21.375</v>
          </cell>
          <cell r="AG19">
            <v>39.884999999999991</v>
          </cell>
          <cell r="AH19">
            <v>46.605000000000004</v>
          </cell>
          <cell r="AI19">
            <v>61.521000000000015</v>
          </cell>
          <cell r="AJ19">
            <v>27.265000000000001</v>
          </cell>
          <cell r="AK19">
            <v>27.196000000000012</v>
          </cell>
          <cell r="AL19">
            <v>18.351000000000013</v>
          </cell>
          <cell r="AM19">
            <v>-72.812000000000012</v>
          </cell>
          <cell r="AN19">
            <v>25.355999999999995</v>
          </cell>
          <cell r="AO19">
            <v>16.644000000000005</v>
          </cell>
          <cell r="AP19">
            <v>21.990999999999985</v>
          </cell>
          <cell r="AQ19">
            <v>-69.443999999999988</v>
          </cell>
          <cell r="AR19">
            <v>22.150000000000006</v>
          </cell>
          <cell r="AS19">
            <v>75.487999999999971</v>
          </cell>
          <cell r="AT19">
            <v>-13.214999999999975</v>
          </cell>
          <cell r="AU19">
            <v>-93.893000000000001</v>
          </cell>
          <cell r="AV19">
            <v>33.701999999999998</v>
          </cell>
          <cell r="AW19">
            <v>36.872</v>
          </cell>
          <cell r="AX19">
            <v>41.725000000000009</v>
          </cell>
          <cell r="AY19">
            <v>-112.29900000000001</v>
          </cell>
          <cell r="AZ19">
            <v>38.683</v>
          </cell>
          <cell r="BA19">
            <v>50.401000000000003</v>
          </cell>
          <cell r="BB19">
            <v>58.061999999999976</v>
          </cell>
          <cell r="BC19">
            <v>39.099000000000018</v>
          </cell>
          <cell r="BD19">
            <v>34.625</v>
          </cell>
          <cell r="BE19">
            <v>40.218000000000004</v>
          </cell>
          <cell r="BF19">
            <v>69.831000000000003</v>
          </cell>
          <cell r="BG19">
            <v>78.966999999999999</v>
          </cell>
          <cell r="BH19">
            <v>53.335000000000001</v>
          </cell>
          <cell r="BI19">
            <v>48.448</v>
          </cell>
          <cell r="BJ19">
            <v>185.50299999999999</v>
          </cell>
          <cell r="BK19">
            <v>19.7607</v>
          </cell>
          <cell r="BL19">
            <v>6</v>
          </cell>
          <cell r="BM19">
            <v>8.76</v>
          </cell>
          <cell r="BN19">
            <v>10.799999999999999</v>
          </cell>
          <cell r="BO19">
            <v>11.639999999999999</v>
          </cell>
          <cell r="BP19">
            <v>11.16</v>
          </cell>
          <cell r="BQ19">
            <v>12.6</v>
          </cell>
          <cell r="BR19">
            <v>13.799999999999999</v>
          </cell>
          <cell r="BS19">
            <v>14.399999999999999</v>
          </cell>
          <cell r="BU19" t="str">
            <v>mstag:otherCashFlow</v>
          </cell>
          <cell r="BV19">
            <v>6</v>
          </cell>
          <cell r="BW19" t="str">
            <v>ISO4217:USD</v>
          </cell>
          <cell r="BX19" t="b">
            <v>0</v>
          </cell>
        </row>
        <row r="20">
          <cell r="A20" t="str">
            <v xml:space="preserve">  Minority Interests</v>
          </cell>
          <cell r="C20">
            <v>0</v>
          </cell>
          <cell r="D20">
            <v>0</v>
          </cell>
          <cell r="E20">
            <v>0</v>
          </cell>
          <cell r="F20">
            <v>0.57499999999999996</v>
          </cell>
          <cell r="G20">
            <v>0.78400000000000003</v>
          </cell>
          <cell r="H20">
            <v>0.33800000000000002</v>
          </cell>
          <cell r="I20">
            <v>0</v>
          </cell>
          <cell r="J20">
            <v>0</v>
          </cell>
          <cell r="K20">
            <v>0</v>
          </cell>
          <cell r="L20">
            <v>0</v>
          </cell>
          <cell r="M20">
            <v>0</v>
          </cell>
          <cell r="N20">
            <v>0</v>
          </cell>
          <cell r="AM20">
            <v>0.57499999999999996</v>
          </cell>
          <cell r="AQ20">
            <v>0.78400000000000003</v>
          </cell>
          <cell r="AU20">
            <v>0.33800000000000002</v>
          </cell>
          <cell r="BU20" t="str">
            <v>mstag:netIncreaseInMinorityInterestsInShareholdersEquity</v>
          </cell>
          <cell r="BV20">
            <v>6</v>
          </cell>
          <cell r="BW20" t="str">
            <v>ISO4217:USD</v>
          </cell>
          <cell r="BX20" t="b">
            <v>0</v>
          </cell>
          <cell r="BY20" t="b">
            <v>0</v>
          </cell>
        </row>
        <row r="21">
          <cell r="A21" t="str">
            <v xml:space="preserve">  Reorganization Items, Net</v>
          </cell>
          <cell r="J21">
            <v>0</v>
          </cell>
          <cell r="K21">
            <v>0</v>
          </cell>
          <cell r="L21">
            <v>0</v>
          </cell>
          <cell r="M21">
            <v>0</v>
          </cell>
          <cell r="N21">
            <v>0</v>
          </cell>
        </row>
        <row r="22">
          <cell r="A22" t="str">
            <v xml:space="preserve">  Non-Cash Items Reported in Discontinued Operations</v>
          </cell>
          <cell r="C22">
            <v>0</v>
          </cell>
          <cell r="D22">
            <v>0</v>
          </cell>
          <cell r="E22">
            <v>0</v>
          </cell>
          <cell r="F22">
            <v>-2.145</v>
          </cell>
          <cell r="G22">
            <v>-0.44400000000000001</v>
          </cell>
          <cell r="H22">
            <v>6.1920000000000002</v>
          </cell>
          <cell r="I22">
            <v>0</v>
          </cell>
          <cell r="J22">
            <v>0</v>
          </cell>
          <cell r="K22">
            <v>0</v>
          </cell>
          <cell r="L22">
            <v>0</v>
          </cell>
          <cell r="M22">
            <v>0</v>
          </cell>
          <cell r="N22">
            <v>0</v>
          </cell>
          <cell r="AM22">
            <v>-2.145</v>
          </cell>
          <cell r="AQ22">
            <v>-0.44400000000000001</v>
          </cell>
          <cell r="AU22">
            <v>6.1920000000000002</v>
          </cell>
          <cell r="BU22" t="str">
            <v>mstag:otherCashFlow</v>
          </cell>
          <cell r="BV22">
            <v>6</v>
          </cell>
          <cell r="BW22" t="str">
            <v>ISO4217:USD</v>
          </cell>
          <cell r="BX22" t="b">
            <v>0</v>
          </cell>
          <cell r="BY22" t="b">
            <v>0</v>
          </cell>
        </row>
        <row r="23">
          <cell r="A23" t="str">
            <v xml:space="preserve">  Change in Value of Derivative Financial  Instruments</v>
          </cell>
          <cell r="J23">
            <v>0</v>
          </cell>
          <cell r="K23">
            <v>0</v>
          </cell>
          <cell r="L23">
            <v>0</v>
          </cell>
          <cell r="M23">
            <v>0</v>
          </cell>
          <cell r="N23">
            <v>0</v>
          </cell>
        </row>
        <row r="24">
          <cell r="A24" t="str">
            <v xml:space="preserve">  Other Items</v>
          </cell>
          <cell r="C24">
            <v>0</v>
          </cell>
          <cell r="D24">
            <v>0</v>
          </cell>
          <cell r="E24">
            <v>0</v>
          </cell>
          <cell r="F24">
            <v>37.103999999999999</v>
          </cell>
          <cell r="G24">
            <v>0</v>
          </cell>
          <cell r="H24">
            <v>-49.817999999999998</v>
          </cell>
          <cell r="I24">
            <v>-3.38900000000001</v>
          </cell>
          <cell r="J24">
            <v>-5.2439999999999998</v>
          </cell>
          <cell r="K24">
            <v>-87.897999999999996</v>
          </cell>
          <cell r="L24">
            <v>-69.873999999999995</v>
          </cell>
          <cell r="M24">
            <v>0</v>
          </cell>
          <cell r="N24">
            <v>0</v>
          </cell>
          <cell r="AJ24">
            <v>0.96599999999999997</v>
          </cell>
          <cell r="AK24">
            <v>2.3239999999999998</v>
          </cell>
          <cell r="AL24">
            <v>3.6369999999999996</v>
          </cell>
          <cell r="AM24">
            <v>30.177</v>
          </cell>
          <cell r="AU24">
            <v>-49.817999999999998</v>
          </cell>
          <cell r="AW24">
            <v>-119.262</v>
          </cell>
          <cell r="AX24">
            <v>13.288000000000011</v>
          </cell>
          <cell r="AY24">
            <v>102.58499999999998</v>
          </cell>
          <cell r="AZ24">
            <v>-12.326000000000001</v>
          </cell>
          <cell r="BA24">
            <v>5.6500000000000012</v>
          </cell>
          <cell r="BB24">
            <v>-0.59100000000000108</v>
          </cell>
          <cell r="BC24">
            <v>2.0230000000000006</v>
          </cell>
          <cell r="BD24">
            <v>-9.3389999999999986</v>
          </cell>
          <cell r="BE24">
            <v>-9.9370000000000012</v>
          </cell>
          <cell r="BF24">
            <v>-33.122</v>
          </cell>
          <cell r="BG24">
            <v>-35.5</v>
          </cell>
          <cell r="BH24">
            <v>-22.704000000000001</v>
          </cell>
          <cell r="BI24">
            <v>-22.353000000000002</v>
          </cell>
          <cell r="BJ24">
            <v>-24.816999999999993</v>
          </cell>
          <cell r="BU24" t="str">
            <v>mstag:otherCashFlow</v>
          </cell>
          <cell r="BV24">
            <v>6</v>
          </cell>
          <cell r="BW24" t="str">
            <v>ISO4217:USD</v>
          </cell>
          <cell r="BX24" t="b">
            <v>0</v>
          </cell>
          <cell r="BY24" t="b">
            <v>0</v>
          </cell>
        </row>
        <row r="25">
          <cell r="J25">
            <v>0</v>
          </cell>
          <cell r="K25">
            <v>0</v>
          </cell>
          <cell r="L25">
            <v>0</v>
          </cell>
          <cell r="M25">
            <v>0</v>
          </cell>
          <cell r="N25">
            <v>0</v>
          </cell>
        </row>
        <row r="26">
          <cell r="A26" t="str">
            <v xml:space="preserve">  Changes in Working Capital</v>
          </cell>
          <cell r="J26">
            <v>0</v>
          </cell>
          <cell r="K26">
            <v>0</v>
          </cell>
          <cell r="L26">
            <v>0</v>
          </cell>
          <cell r="M26">
            <v>0</v>
          </cell>
          <cell r="N26">
            <v>0</v>
          </cell>
        </row>
        <row r="27">
          <cell r="A27" t="str">
            <v xml:space="preserve">     Accounts Receivables</v>
          </cell>
          <cell r="C27">
            <v>0</v>
          </cell>
          <cell r="D27">
            <v>0</v>
          </cell>
          <cell r="E27">
            <v>0</v>
          </cell>
          <cell r="F27">
            <v>7.57</v>
          </cell>
          <cell r="G27">
            <v>-0.182</v>
          </cell>
          <cell r="H27">
            <v>-13.417</v>
          </cell>
          <cell r="I27">
            <v>-13.55</v>
          </cell>
          <cell r="J27">
            <v>0</v>
          </cell>
          <cell r="K27">
            <v>0</v>
          </cell>
          <cell r="L27">
            <v>-15.875033896186366</v>
          </cell>
          <cell r="M27">
            <v>-22.161428494073306</v>
          </cell>
          <cell r="N27">
            <v>-10.344413337984093</v>
          </cell>
          <cell r="O27">
            <v>-7.3981901356764013</v>
          </cell>
          <cell r="P27">
            <v>-6.3544849940188897</v>
          </cell>
          <cell r="Q27">
            <v>-6.1153016431467222</v>
          </cell>
          <cell r="R27">
            <v>-5.4523523678790582</v>
          </cell>
          <cell r="S27">
            <v>-4.7357933944006447</v>
          </cell>
          <cell r="T27">
            <v>-4.0071960587206661</v>
          </cell>
          <cell r="U27">
            <v>-3.1694315255808476</v>
          </cell>
          <cell r="V27">
            <v>-2.4214028105113243</v>
          </cell>
          <cell r="AM27">
            <v>7.57</v>
          </cell>
          <cell r="AQ27">
            <v>-0.182</v>
          </cell>
          <cell r="AU27">
            <v>-13.417</v>
          </cell>
          <cell r="AY27">
            <v>-13.55</v>
          </cell>
          <cell r="BK27">
            <v>-15.875033896186366</v>
          </cell>
          <cell r="BL27">
            <v>-2.1866435341503774</v>
          </cell>
          <cell r="BM27">
            <v>-9.6098226716550528</v>
          </cell>
          <cell r="BN27">
            <v>-5.9004653025523197</v>
          </cell>
          <cell r="BO27">
            <v>-4.4644969857155559</v>
          </cell>
          <cell r="BP27">
            <v>0.70733001510515692</v>
          </cell>
          <cell r="BQ27">
            <v>-4.6805430285315026</v>
          </cell>
          <cell r="BR27">
            <v>-3.8281770580425132</v>
          </cell>
          <cell r="BS27">
            <v>-2.5430232665152346</v>
          </cell>
          <cell r="BU27" t="str">
            <v>mstag:netDecreaseInTradeReceivables</v>
          </cell>
          <cell r="BV27">
            <v>6</v>
          </cell>
          <cell r="BW27" t="str">
            <v>ISO4217:USD</v>
          </cell>
          <cell r="BX27" t="b">
            <v>0</v>
          </cell>
          <cell r="BY27" t="b">
            <v>0</v>
          </cell>
        </row>
        <row r="28">
          <cell r="A28" t="str">
            <v xml:space="preserve">     Inventories, Prepaid Expenses and Other Current Assets</v>
          </cell>
          <cell r="C28">
            <v>0</v>
          </cell>
          <cell r="D28">
            <v>0</v>
          </cell>
          <cell r="E28">
            <v>0</v>
          </cell>
          <cell r="F28">
            <v>0</v>
          </cell>
          <cell r="G28">
            <v>-67.814999999999998</v>
          </cell>
          <cell r="H28">
            <v>0</v>
          </cell>
          <cell r="I28">
            <v>0</v>
          </cell>
          <cell r="J28">
            <v>0</v>
          </cell>
          <cell r="K28">
            <v>0</v>
          </cell>
          <cell r="L28">
            <v>-7.8861871720978058</v>
          </cell>
          <cell r="M28">
            <v>-45.202164781042768</v>
          </cell>
          <cell r="N28">
            <v>-21.099266069054238</v>
          </cell>
          <cell r="O28">
            <v>-15.089921197262356</v>
          </cell>
          <cell r="P28">
            <v>-12.961099410858026</v>
          </cell>
          <cell r="Q28">
            <v>-12.473242536383623</v>
          </cell>
          <cell r="R28">
            <v>-11.121039884368827</v>
          </cell>
          <cell r="S28">
            <v>-9.6594907426622285</v>
          </cell>
          <cell r="T28">
            <v>-8.173387225678141</v>
          </cell>
          <cell r="U28">
            <v>-6.4646178435586421</v>
          </cell>
          <cell r="V28">
            <v>-4.9388805812443479</v>
          </cell>
          <cell r="AQ28">
            <v>-67.814999999999998</v>
          </cell>
          <cell r="BK28">
            <v>-7.8861871720978058</v>
          </cell>
          <cell r="BL28">
            <v>-4.4600473915524219</v>
          </cell>
          <cell r="BM28">
            <v>-19.600938091013433</v>
          </cell>
          <cell r="BN28">
            <v>-12.035045708453481</v>
          </cell>
          <cell r="BO28">
            <v>-9.1061335900234326</v>
          </cell>
          <cell r="BP28">
            <v>1.4427250439163686</v>
          </cell>
          <cell r="BQ28">
            <v>-9.5467978202318022</v>
          </cell>
          <cell r="BR28">
            <v>-7.8082462163899891</v>
          </cell>
          <cell r="BS28">
            <v>-5.1869470763488152</v>
          </cell>
          <cell r="BU28" t="str">
            <v>mstag:netDecreaseInPrepaidExpenses</v>
          </cell>
          <cell r="BV28">
            <v>6</v>
          </cell>
          <cell r="BW28" t="str">
            <v>ISO4217:USD</v>
          </cell>
          <cell r="BX28" t="b">
            <v>0</v>
          </cell>
          <cell r="BY28" t="b">
            <v>0</v>
          </cell>
        </row>
        <row r="29">
          <cell r="A29" t="str">
            <v xml:space="preserve">     Accounts Payable</v>
          </cell>
          <cell r="C29">
            <v>0</v>
          </cell>
          <cell r="D29">
            <v>0</v>
          </cell>
          <cell r="E29">
            <v>0</v>
          </cell>
          <cell r="F29">
            <v>-35.119999999999997</v>
          </cell>
          <cell r="G29">
            <v>-10.62</v>
          </cell>
          <cell r="H29">
            <v>-7.2370000000000001</v>
          </cell>
          <cell r="I29">
            <v>-27.373999999999999</v>
          </cell>
          <cell r="J29">
            <v>0</v>
          </cell>
          <cell r="K29">
            <v>0</v>
          </cell>
          <cell r="L29">
            <v>35.218285718161212</v>
          </cell>
          <cell r="M29">
            <v>55.581235521027168</v>
          </cell>
          <cell r="N29">
            <v>32.814339751749344</v>
          </cell>
          <cell r="O29">
            <v>23.362405955742247</v>
          </cell>
          <cell r="P29">
            <v>18.121362079513403</v>
          </cell>
          <cell r="Q29">
            <v>17.228300418127105</v>
          </cell>
          <cell r="R29">
            <v>15.036648952195947</v>
          </cell>
          <cell r="S29">
            <v>12.565602258090507</v>
          </cell>
          <cell r="T29">
            <v>10.219318853464983</v>
          </cell>
          <cell r="U29">
            <v>7.5675811111810845</v>
          </cell>
          <cell r="V29">
            <v>5.2197032025636645</v>
          </cell>
          <cell r="AM29">
            <v>-35.119999999999997</v>
          </cell>
          <cell r="AQ29">
            <v>-10.62</v>
          </cell>
          <cell r="AU29">
            <v>-7.2370000000000001</v>
          </cell>
          <cell r="AY29">
            <v>-27.373999999999999</v>
          </cell>
          <cell r="BK29">
            <v>35.218285718161212</v>
          </cell>
          <cell r="BL29">
            <v>-7.1934651150255604</v>
          </cell>
          <cell r="BM29">
            <v>30.14735788525536</v>
          </cell>
          <cell r="BN29">
            <v>18.556782727172731</v>
          </cell>
          <cell r="BO29">
            <v>14.070560023624637</v>
          </cell>
          <cell r="BP29">
            <v>-2.0902092845073525</v>
          </cell>
          <cell r="BQ29">
            <v>14.748095946984222</v>
          </cell>
          <cell r="BR29">
            <v>12.085666279034342</v>
          </cell>
          <cell r="BS29">
            <v>8.0707868102381326</v>
          </cell>
          <cell r="BU29" t="str">
            <v>mstag:netIncreaseInTradeAndOtherPayables</v>
          </cell>
          <cell r="BV29">
            <v>6</v>
          </cell>
          <cell r="BW29" t="str">
            <v>ISO4217:USD</v>
          </cell>
          <cell r="BX29" t="b">
            <v>0</v>
          </cell>
          <cell r="BY29" t="b">
            <v>0</v>
          </cell>
        </row>
        <row r="30">
          <cell r="A30" t="str">
            <v xml:space="preserve">     Accrued Interest</v>
          </cell>
          <cell r="C30">
            <v>0</v>
          </cell>
          <cell r="D30">
            <v>0</v>
          </cell>
          <cell r="E30">
            <v>0</v>
          </cell>
          <cell r="F30">
            <v>-5.641</v>
          </cell>
          <cell r="G30">
            <v>3.8439999999999999</v>
          </cell>
          <cell r="H30">
            <v>-7.617</v>
          </cell>
          <cell r="I30">
            <v>0</v>
          </cell>
          <cell r="J30">
            <v>0</v>
          </cell>
          <cell r="K30">
            <v>0</v>
          </cell>
          <cell r="L30">
            <v>0</v>
          </cell>
          <cell r="M30">
            <v>0</v>
          </cell>
          <cell r="N30">
            <v>0</v>
          </cell>
          <cell r="O30">
            <v>0</v>
          </cell>
          <cell r="P30">
            <v>0</v>
          </cell>
          <cell r="Q30">
            <v>0</v>
          </cell>
          <cell r="R30">
            <v>0</v>
          </cell>
          <cell r="S30">
            <v>0</v>
          </cell>
          <cell r="T30">
            <v>0</v>
          </cell>
          <cell r="U30">
            <v>0</v>
          </cell>
          <cell r="V30">
            <v>0</v>
          </cell>
          <cell r="AM30">
            <v>-5.641</v>
          </cell>
          <cell r="AQ30">
            <v>3.8439999999999999</v>
          </cell>
          <cell r="AU30">
            <v>-7.617</v>
          </cell>
          <cell r="BK30">
            <v>0</v>
          </cell>
          <cell r="BL30">
            <v>0</v>
          </cell>
          <cell r="BM30">
            <v>0</v>
          </cell>
          <cell r="BN30">
            <v>0</v>
          </cell>
          <cell r="BO30">
            <v>0</v>
          </cell>
          <cell r="BP30">
            <v>0</v>
          </cell>
          <cell r="BQ30">
            <v>0</v>
          </cell>
          <cell r="BR30">
            <v>0</v>
          </cell>
          <cell r="BS30">
            <v>0</v>
          </cell>
          <cell r="BU30" t="str">
            <v>mstag:netIncreaseInAccruedExpenses</v>
          </cell>
          <cell r="BV30">
            <v>6</v>
          </cell>
          <cell r="BW30" t="str">
            <v>ISO4217:USD</v>
          </cell>
          <cell r="BX30" t="b">
            <v>0</v>
          </cell>
          <cell r="BY30" t="b">
            <v>0</v>
          </cell>
        </row>
        <row r="31">
          <cell r="A31" t="str">
            <v xml:space="preserve">     Deferred Rental Revenue and Other Liabilities</v>
          </cell>
          <cell r="C31">
            <v>0</v>
          </cell>
          <cell r="D31">
            <v>0</v>
          </cell>
          <cell r="E31">
            <v>0</v>
          </cell>
          <cell r="F31">
            <v>0</v>
          </cell>
          <cell r="G31">
            <v>0</v>
          </cell>
          <cell r="H31">
            <v>0</v>
          </cell>
          <cell r="I31">
            <v>0</v>
          </cell>
          <cell r="J31">
            <v>0.53199999999999992</v>
          </cell>
          <cell r="K31">
            <v>0</v>
          </cell>
          <cell r="L31">
            <v>0</v>
          </cell>
          <cell r="M31">
            <v>0</v>
          </cell>
          <cell r="N31">
            <v>0</v>
          </cell>
          <cell r="BA31">
            <v>0.35599999999999998</v>
          </cell>
          <cell r="BB31">
            <v>0.224</v>
          </cell>
          <cell r="BC31">
            <v>-4.8000000000000001E-2</v>
          </cell>
          <cell r="BU31" t="str">
            <v>mstag:netIncreaseInOtherLiabilitiesOperating</v>
          </cell>
          <cell r="BV31">
            <v>6</v>
          </cell>
          <cell r="BW31" t="str">
            <v>ISO4217:USD</v>
          </cell>
          <cell r="BX31" t="b">
            <v>0</v>
          </cell>
          <cell r="BY31" t="b">
            <v>0</v>
          </cell>
        </row>
        <row r="32">
          <cell r="A32" t="str">
            <v>Other Assets/Liabilities</v>
          </cell>
          <cell r="C32">
            <v>24.035000000000004</v>
          </cell>
          <cell r="D32">
            <v>-21.314000000000007</v>
          </cell>
          <cell r="E32">
            <v>-34.548000000000002</v>
          </cell>
          <cell r="F32">
            <v>17.117000000000001</v>
          </cell>
          <cell r="G32">
            <v>65.686999999999998</v>
          </cell>
          <cell r="H32">
            <v>88.031999999999996</v>
          </cell>
          <cell r="I32">
            <v>0.56499999999999773</v>
          </cell>
          <cell r="J32">
            <v>-61.290999999999997</v>
          </cell>
          <cell r="K32">
            <v>-1.6530000000000058</v>
          </cell>
          <cell r="L32">
            <v>13.082900777457034</v>
          </cell>
          <cell r="M32">
            <v>80.187521093901708</v>
          </cell>
          <cell r="N32">
            <v>37.429575578373431</v>
          </cell>
          <cell r="O32">
            <v>26.769146570127447</v>
          </cell>
          <cell r="P32">
            <v>22.992669431712955</v>
          </cell>
          <cell r="Q32">
            <v>22.127223415969667</v>
          </cell>
          <cell r="R32">
            <v>19.728449392493474</v>
          </cell>
          <cell r="S32">
            <v>17.135697403776163</v>
          </cell>
          <cell r="T32">
            <v>14.499386561295069</v>
          </cell>
          <cell r="U32">
            <v>11.468071987379147</v>
          </cell>
          <cell r="V32">
            <v>8.7614518620332262</v>
          </cell>
          <cell r="X32">
            <v>-21.887000000000004</v>
          </cell>
          <cell r="Y32">
            <v>39.528000000000006</v>
          </cell>
          <cell r="Z32">
            <v>-6.9859999999999971</v>
          </cell>
          <cell r="AA32">
            <v>13.379999999999999</v>
          </cell>
          <cell r="AB32">
            <v>-9.8209999999999997</v>
          </cell>
          <cell r="AC32">
            <v>2.1020000000000003</v>
          </cell>
          <cell r="AD32">
            <v>-17.542999999999999</v>
          </cell>
          <cell r="AE32">
            <v>3.9479999999999951</v>
          </cell>
          <cell r="AF32">
            <v>-22.765999999999998</v>
          </cell>
          <cell r="AG32">
            <v>13.521999999999998</v>
          </cell>
          <cell r="AH32">
            <v>-24.278999999999996</v>
          </cell>
          <cell r="AI32">
            <v>-1.0250000000000057</v>
          </cell>
          <cell r="AJ32">
            <v>14.731999999999999</v>
          </cell>
          <cell r="AK32">
            <v>-5.6989999999999981</v>
          </cell>
          <cell r="AL32">
            <v>-21.465</v>
          </cell>
          <cell r="AM32">
            <v>29.548999999999999</v>
          </cell>
          <cell r="AN32">
            <v>-14.495000000000001</v>
          </cell>
          <cell r="AO32">
            <v>-25.520999999999997</v>
          </cell>
          <cell r="AP32">
            <v>15.024999999999999</v>
          </cell>
          <cell r="AQ32">
            <v>90.677999999999997</v>
          </cell>
          <cell r="AR32">
            <v>-19.852</v>
          </cell>
          <cell r="AS32">
            <v>12.096</v>
          </cell>
          <cell r="AT32">
            <v>-11.526</v>
          </cell>
          <cell r="AU32">
            <v>107.31399999999999</v>
          </cell>
          <cell r="AV32">
            <v>-6.8109999999999999</v>
          </cell>
          <cell r="AW32">
            <v>-12.940000000000001</v>
          </cell>
          <cell r="AX32">
            <v>-5.9239999999999995</v>
          </cell>
          <cell r="AY32">
            <v>26.24</v>
          </cell>
          <cell r="AZ32">
            <v>-3.4260000000000019</v>
          </cell>
          <cell r="BA32">
            <v>-24.387</v>
          </cell>
          <cell r="BB32">
            <v>-3.4899999999999949</v>
          </cell>
          <cell r="BC32">
            <v>-29.988</v>
          </cell>
          <cell r="BD32">
            <v>7.48</v>
          </cell>
          <cell r="BE32">
            <v>9.0169999999999924</v>
          </cell>
          <cell r="BF32">
            <v>-0.82399999999999807</v>
          </cell>
          <cell r="BG32">
            <v>-17.326000000000001</v>
          </cell>
          <cell r="BH32">
            <v>17.634999999999998</v>
          </cell>
          <cell r="BI32">
            <v>-13.989000000000001</v>
          </cell>
          <cell r="BJ32">
            <v>-4.5530000000000008</v>
          </cell>
          <cell r="BK32">
            <v>13.989900777457038</v>
          </cell>
          <cell r="BL32">
            <v>7.9120136396631864</v>
          </cell>
          <cell r="BM32">
            <v>34.771578844661434</v>
          </cell>
          <cell r="BN32">
            <v>21.349873093189018</v>
          </cell>
          <cell r="BO32">
            <v>16.15405551638807</v>
          </cell>
          <cell r="BP32">
            <v>-2.5593585053311756</v>
          </cell>
          <cell r="BQ32">
            <v>16.935782949716412</v>
          </cell>
          <cell r="BR32">
            <v>13.851635451887418</v>
          </cell>
          <cell r="BS32">
            <v>9.2015156821007764</v>
          </cell>
          <cell r="BU32" t="str">
            <v>mstag:netDecreaseInOtherAssets</v>
          </cell>
          <cell r="BV32">
            <v>6</v>
          </cell>
          <cell r="BW32" t="str">
            <v>ISO4217:USD</v>
          </cell>
          <cell r="BX32" t="b">
            <v>0</v>
          </cell>
          <cell r="BY32" t="b">
            <v>0</v>
          </cell>
        </row>
        <row r="33">
          <cell r="A33" t="str">
            <v>Cash From Operating Activities</v>
          </cell>
          <cell r="C33">
            <v>105.14899999999992</v>
          </cell>
          <cell r="D33">
            <v>156.38599999999991</v>
          </cell>
          <cell r="E33">
            <v>216.7</v>
          </cell>
          <cell r="F33">
            <v>397.20399999999995</v>
          </cell>
          <cell r="G33">
            <v>620.73800000000006</v>
          </cell>
          <cell r="H33">
            <v>692.67899999999997</v>
          </cell>
          <cell r="I33">
            <v>773.25800000000004</v>
          </cell>
          <cell r="J33">
            <v>842.12599999999998</v>
          </cell>
          <cell r="K33">
            <v>1020.977</v>
          </cell>
          <cell r="L33">
            <v>1155.6083115485951</v>
          </cell>
          <cell r="M33">
            <v>1558.7813839799412</v>
          </cell>
          <cell r="N33">
            <v>1750.8576212042233</v>
          </cell>
          <cell r="O33">
            <v>1742.6801540358827</v>
          </cell>
          <cell r="P33">
            <v>1792.455689109973</v>
          </cell>
          <cell r="Q33">
            <v>1873.0919864183602</v>
          </cell>
          <cell r="R33">
            <v>1944.3018812603405</v>
          </cell>
          <cell r="S33">
            <v>2006.7049836472306</v>
          </cell>
          <cell r="T33">
            <v>2060.4360485126226</v>
          </cell>
          <cell r="U33">
            <v>2103.4433555680262</v>
          </cell>
          <cell r="V33">
            <v>2137.7762563129386</v>
          </cell>
          <cell r="X33">
            <v>-8.0030000000001031</v>
          </cell>
          <cell r="Y33">
            <v>40.47499999999998</v>
          </cell>
          <cell r="Z33">
            <v>2.6670000000000229</v>
          </cell>
          <cell r="AA33">
            <v>70.009999999999977</v>
          </cell>
          <cell r="AB33">
            <v>7.0589999999999673</v>
          </cell>
          <cell r="AC33">
            <v>43.52800000000002</v>
          </cell>
          <cell r="AD33">
            <v>29.437999999999995</v>
          </cell>
          <cell r="AE33">
            <v>76.360999999999919</v>
          </cell>
          <cell r="AF33">
            <v>31.715999999999994</v>
          </cell>
          <cell r="AG33">
            <v>73.674000000000007</v>
          </cell>
          <cell r="AH33">
            <v>43.772999999999996</v>
          </cell>
          <cell r="AI33">
            <v>67.53700000000002</v>
          </cell>
          <cell r="AJ33">
            <v>92.554999999999978</v>
          </cell>
          <cell r="AK33">
            <v>72.454000000000022</v>
          </cell>
          <cell r="AL33">
            <v>95.195000000000007</v>
          </cell>
          <cell r="AM33">
            <v>136.99999999999997</v>
          </cell>
          <cell r="AN33">
            <v>151.696</v>
          </cell>
          <cell r="AO33">
            <v>140.94500000000002</v>
          </cell>
          <cell r="AP33">
            <v>182.52800000000002</v>
          </cell>
          <cell r="AQ33">
            <v>145.56900000000002</v>
          </cell>
          <cell r="AR33">
            <v>171.38699999999994</v>
          </cell>
          <cell r="AS33">
            <v>210.77699999999996</v>
          </cell>
          <cell r="AT33">
            <v>181.63699999999997</v>
          </cell>
          <cell r="AU33">
            <v>128.87799999999996</v>
          </cell>
          <cell r="AV33">
            <v>182.38200000000006</v>
          </cell>
          <cell r="AW33">
            <v>176.75100000000003</v>
          </cell>
          <cell r="AX33">
            <v>227.19300000000001</v>
          </cell>
          <cell r="AY33">
            <v>186.93199999999993</v>
          </cell>
          <cell r="AZ33">
            <v>205.738</v>
          </cell>
          <cell r="BA33">
            <v>203.60799999999998</v>
          </cell>
          <cell r="BB33">
            <v>240.05299999999988</v>
          </cell>
          <cell r="BC33">
            <v>192.727</v>
          </cell>
          <cell r="BD33">
            <v>253.64900000000003</v>
          </cell>
          <cell r="BE33">
            <v>262.74699999999996</v>
          </cell>
          <cell r="BF33">
            <v>258.22299999999996</v>
          </cell>
          <cell r="BG33">
            <v>246.35800000000003</v>
          </cell>
          <cell r="BH33">
            <v>283.81629999999996</v>
          </cell>
          <cell r="BI33">
            <v>275.52199999999999</v>
          </cell>
          <cell r="BJ33">
            <v>290.65999999999997</v>
          </cell>
          <cell r="BK33">
            <v>305.61001154859474</v>
          </cell>
          <cell r="BL33">
            <v>326.58540036134627</v>
          </cell>
          <cell r="BM33">
            <v>402.14181913428126</v>
          </cell>
          <cell r="BN33">
            <v>409.66976737962193</v>
          </cell>
          <cell r="BO33">
            <v>420.38439710469163</v>
          </cell>
          <cell r="BP33">
            <v>403.11002911823414</v>
          </cell>
          <cell r="BQ33">
            <v>440.21933440733733</v>
          </cell>
          <cell r="BR33">
            <v>451.20206586309371</v>
          </cell>
          <cell r="BS33">
            <v>456.3261918155581</v>
          </cell>
        </row>
        <row r="35">
          <cell r="A35" t="str">
            <v>Cash From Investing Activities</v>
          </cell>
        </row>
        <row r="36">
          <cell r="A36" t="str">
            <v xml:space="preserve">  Maturities of Investments</v>
          </cell>
        </row>
        <row r="37">
          <cell r="A37" t="str">
            <v xml:space="preserve">  Proceeds from Disposition of PP&amp;E</v>
          </cell>
          <cell r="C37">
            <v>0</v>
          </cell>
          <cell r="D37">
            <v>0</v>
          </cell>
          <cell r="E37">
            <v>0</v>
          </cell>
          <cell r="F37">
            <v>16.696000000000002</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AM37">
            <v>16.696000000000002</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U37" t="str">
            <v>mstag:netDisposalsAcquisitions</v>
          </cell>
          <cell r="BV37">
            <v>6</v>
          </cell>
          <cell r="BW37" t="str">
            <v>ISO4217:USD</v>
          </cell>
          <cell r="BX37" t="b">
            <v>0</v>
          </cell>
          <cell r="BY37" t="b">
            <v>0</v>
          </cell>
        </row>
        <row r="38">
          <cell r="A38" t="str">
            <v xml:space="preserve">  Capital Expenditures</v>
          </cell>
          <cell r="C38">
            <v>-180.49700000000001</v>
          </cell>
          <cell r="D38">
            <v>-61.608000000000004</v>
          </cell>
          <cell r="E38">
            <v>-42.180999999999997</v>
          </cell>
          <cell r="F38">
            <v>-88.637</v>
          </cell>
          <cell r="G38">
            <v>-127.098</v>
          </cell>
          <cell r="H38">
            <v>-154.381</v>
          </cell>
          <cell r="I38">
            <v>-243.48399999999998</v>
          </cell>
          <cell r="J38">
            <v>-250.262</v>
          </cell>
          <cell r="K38">
            <v>-346.66399999999999</v>
          </cell>
          <cell r="L38">
            <v>-819.08799999999997</v>
          </cell>
          <cell r="M38">
            <v>-398</v>
          </cell>
          <cell r="N38">
            <v>-400</v>
          </cell>
          <cell r="O38">
            <v>-381</v>
          </cell>
          <cell r="P38">
            <v>-381</v>
          </cell>
          <cell r="Q38">
            <v>-381</v>
          </cell>
          <cell r="R38">
            <v>-381</v>
          </cell>
          <cell r="S38">
            <v>-381</v>
          </cell>
          <cell r="T38">
            <v>-381</v>
          </cell>
          <cell r="U38">
            <v>-381</v>
          </cell>
          <cell r="V38">
            <v>-381</v>
          </cell>
          <cell r="X38">
            <v>-83.251000000000005</v>
          </cell>
          <cell r="Y38">
            <v>-48.013999999999982</v>
          </cell>
          <cell r="Z38">
            <v>-24.591000000000008</v>
          </cell>
          <cell r="AA38">
            <v>-24.64100000000002</v>
          </cell>
          <cell r="AB38">
            <v>-18.821000000000002</v>
          </cell>
          <cell r="AC38">
            <v>-13.870000000000001</v>
          </cell>
          <cell r="AD38">
            <v>-13.242999999999991</v>
          </cell>
          <cell r="AE38">
            <v>-15.674000000000003</v>
          </cell>
          <cell r="AF38">
            <v>-10.832000000000001</v>
          </cell>
          <cell r="AG38">
            <v>-7.8339999999999996</v>
          </cell>
          <cell r="AH38">
            <v>-9.945999999999998</v>
          </cell>
          <cell r="AI38">
            <v>-13.568999999999999</v>
          </cell>
          <cell r="AJ38">
            <v>-15.881</v>
          </cell>
          <cell r="AK38">
            <v>-20.645000000000003</v>
          </cell>
          <cell r="AL38">
            <v>-22.701999999999998</v>
          </cell>
          <cell r="AM38">
            <v>-29.408999999999999</v>
          </cell>
          <cell r="AN38">
            <v>-28.376000000000001</v>
          </cell>
          <cell r="AO38">
            <v>-28.667999999999996</v>
          </cell>
          <cell r="AP38">
            <v>-33.618000000000009</v>
          </cell>
          <cell r="AQ38">
            <v>-36.435999999999993</v>
          </cell>
          <cell r="AR38">
            <v>-31.445</v>
          </cell>
          <cell r="AS38">
            <v>-36.140999999999998</v>
          </cell>
          <cell r="AT38">
            <v>-39.379999999999988</v>
          </cell>
          <cell r="AU38">
            <v>-47.415000000000013</v>
          </cell>
          <cell r="AV38">
            <v>-44.625</v>
          </cell>
          <cell r="AW38">
            <v>-52.692999999999998</v>
          </cell>
          <cell r="AX38">
            <v>-67.875999999999991</v>
          </cell>
          <cell r="AY38">
            <v>-78.290000000000006</v>
          </cell>
          <cell r="AZ38">
            <v>-49.627000000000002</v>
          </cell>
          <cell r="BA38">
            <v>-64.227000000000004</v>
          </cell>
          <cell r="BB38">
            <v>-68.572999999999979</v>
          </cell>
          <cell r="BC38">
            <v>-67.835000000000008</v>
          </cell>
          <cell r="BD38">
            <v>-55.057000000000002</v>
          </cell>
          <cell r="BE38">
            <v>-77.452999999999989</v>
          </cell>
          <cell r="BF38">
            <v>-95.969999999999985</v>
          </cell>
          <cell r="BG38">
            <v>-118.18400000000004</v>
          </cell>
          <cell r="BH38">
            <v>-97.900999999999996</v>
          </cell>
          <cell r="BI38">
            <v>-138.67900000000003</v>
          </cell>
          <cell r="BJ38">
            <v>-160.50799999999998</v>
          </cell>
          <cell r="BK38">
            <v>-422</v>
          </cell>
          <cell r="BL38">
            <v>-99.5</v>
          </cell>
          <cell r="BM38">
            <v>-99.5</v>
          </cell>
          <cell r="BN38">
            <v>-99.5</v>
          </cell>
          <cell r="BO38">
            <v>-99.5</v>
          </cell>
          <cell r="BP38">
            <v>-100</v>
          </cell>
          <cell r="BQ38">
            <v>-100</v>
          </cell>
          <cell r="BR38">
            <v>-100</v>
          </cell>
          <cell r="BS38">
            <v>-100</v>
          </cell>
          <cell r="BU38" t="str">
            <v>mstag:capitalExpenditures</v>
          </cell>
          <cell r="BV38">
            <v>6</v>
          </cell>
          <cell r="BW38" t="str">
            <v>ISO4217:USD</v>
          </cell>
          <cell r="BX38" t="b">
            <v>1</v>
          </cell>
          <cell r="BY38" t="b">
            <v>0</v>
          </cell>
        </row>
        <row r="39">
          <cell r="A39" t="str">
            <v xml:space="preserve">  Payments for Acquisitions, net of Cash Acquired</v>
          </cell>
          <cell r="C39">
            <v>-56.361000000000004</v>
          </cell>
          <cell r="D39">
            <v>-95.076999999999998</v>
          </cell>
          <cell r="E39">
            <v>-33.402999999999999</v>
          </cell>
          <cell r="F39">
            <v>-14.748999999999999</v>
          </cell>
          <cell r="G39">
            <v>-14.337</v>
          </cell>
          <cell r="H39">
            <v>-43.962000000000003</v>
          </cell>
          <cell r="I39">
            <v>-42.816999999999993</v>
          </cell>
          <cell r="J39">
            <v>-295.60300000000001</v>
          </cell>
          <cell r="K39">
            <v>-899.60599999999999</v>
          </cell>
          <cell r="L39">
            <v>-1897.8046528140776</v>
          </cell>
          <cell r="M39">
            <v>-430.46184825202045</v>
          </cell>
          <cell r="N39">
            <v>-49.812667733433365</v>
          </cell>
          <cell r="O39">
            <v>-41.2</v>
          </cell>
          <cell r="P39">
            <v>-51.5</v>
          </cell>
          <cell r="Q39">
            <v>-45</v>
          </cell>
          <cell r="R39">
            <v>-52.5</v>
          </cell>
          <cell r="S39">
            <v>-40</v>
          </cell>
          <cell r="T39">
            <v>-44.999999999999993</v>
          </cell>
          <cell r="U39">
            <v>-24.999999999999996</v>
          </cell>
          <cell r="V39">
            <v>-27.499999999999996</v>
          </cell>
          <cell r="X39">
            <v>-15.513999999999999</v>
          </cell>
          <cell r="Y39">
            <v>-6.1370000000000005</v>
          </cell>
          <cell r="Z39">
            <v>0</v>
          </cell>
          <cell r="AA39">
            <v>-34.71</v>
          </cell>
          <cell r="AB39">
            <v>-30.521000000000001</v>
          </cell>
          <cell r="AC39">
            <v>-10.574999999999996</v>
          </cell>
          <cell r="AD39">
            <v>-34.893999999999991</v>
          </cell>
          <cell r="AE39">
            <v>-19.08700000000001</v>
          </cell>
          <cell r="AF39">
            <v>-13.372999999999999</v>
          </cell>
          <cell r="AG39">
            <v>-4.9800000000000022</v>
          </cell>
          <cell r="AH39">
            <v>-9.49</v>
          </cell>
          <cell r="AI39">
            <v>-5.5599999999999952</v>
          </cell>
          <cell r="AJ39">
            <v>-8.202</v>
          </cell>
          <cell r="AK39">
            <v>-3.2520000000000007</v>
          </cell>
          <cell r="AL39">
            <v>-1.4839999999999982</v>
          </cell>
          <cell r="AM39">
            <v>-1.8109999999999999</v>
          </cell>
          <cell r="AN39">
            <v>-0.72399999999999998</v>
          </cell>
          <cell r="AO39">
            <v>-2.1059999999999999</v>
          </cell>
          <cell r="AP39">
            <v>-7.2729999999999997</v>
          </cell>
          <cell r="AQ39">
            <v>-4.234</v>
          </cell>
          <cell r="AR39">
            <v>-10.061</v>
          </cell>
          <cell r="AS39">
            <v>-3.9350000000000005</v>
          </cell>
          <cell r="AT39">
            <v>-6.6980000000000004</v>
          </cell>
          <cell r="AU39">
            <v>-23.268000000000001</v>
          </cell>
          <cell r="AV39">
            <v>-28.312000000000001</v>
          </cell>
          <cell r="AW39">
            <v>-3.8229999999999968</v>
          </cell>
          <cell r="AX39">
            <v>-0.49800000000000466</v>
          </cell>
          <cell r="AY39">
            <v>-10.183999999999994</v>
          </cell>
          <cell r="AZ39">
            <v>-1.145</v>
          </cell>
          <cell r="BA39">
            <v>-92.121000000000009</v>
          </cell>
          <cell r="BB39">
            <v>-67.909000000000006</v>
          </cell>
          <cell r="BC39">
            <v>-134.428</v>
          </cell>
          <cell r="BD39">
            <v>-88.486999999999995</v>
          </cell>
          <cell r="BE39">
            <v>-43.985000000000014</v>
          </cell>
          <cell r="BF39">
            <v>-451.798</v>
          </cell>
          <cell r="BG39">
            <v>-315.33600000000001</v>
          </cell>
          <cell r="BH39">
            <v>-617.34799999999996</v>
          </cell>
          <cell r="BI39">
            <v>-275.20600000000002</v>
          </cell>
          <cell r="BJ39">
            <v>-328.01799999999992</v>
          </cell>
          <cell r="BK39">
            <v>-677.23265281407771</v>
          </cell>
          <cell r="BL39">
            <v>-126.46328367636352</v>
          </cell>
          <cell r="BM39">
            <v>-126.46328367636352</v>
          </cell>
          <cell r="BN39">
            <v>-88.767640449646677</v>
          </cell>
          <cell r="BO39">
            <v>-88.767640449646677</v>
          </cell>
          <cell r="BP39">
            <v>-12.453166933358341</v>
          </cell>
          <cell r="BQ39">
            <v>-12.453166933358341</v>
          </cell>
          <cell r="BR39">
            <v>-12.453166933358341</v>
          </cell>
          <cell r="BS39">
            <v>-12.453166933358341</v>
          </cell>
          <cell r="BU39" t="str">
            <v>mstag:netDisposalsAcquisitions</v>
          </cell>
          <cell r="BV39">
            <v>6</v>
          </cell>
          <cell r="BW39" t="str">
            <v>ISO4217:USD</v>
          </cell>
          <cell r="BX39" t="b">
            <v>0</v>
          </cell>
          <cell r="BY39" t="b">
            <v>0</v>
          </cell>
        </row>
        <row r="40">
          <cell r="A40" t="str">
            <v xml:space="preserve">  Proceeds from Sales of Businesses and Other Long-Term Assets</v>
          </cell>
          <cell r="C40">
            <v>109.35299999999999</v>
          </cell>
          <cell r="D40">
            <v>117.699</v>
          </cell>
          <cell r="E40">
            <v>31.986999999999998</v>
          </cell>
          <cell r="F40">
            <v>6.8810000000000002</v>
          </cell>
          <cell r="G40">
            <v>35.387</v>
          </cell>
          <cell r="H40">
            <v>22.163</v>
          </cell>
          <cell r="I40">
            <v>5.3730000000000002</v>
          </cell>
          <cell r="J40">
            <v>9.1029999999999998</v>
          </cell>
          <cell r="K40">
            <v>21.722000000000001</v>
          </cell>
          <cell r="L40">
            <v>65.222999999999999</v>
          </cell>
          <cell r="M40">
            <v>0</v>
          </cell>
          <cell r="N40">
            <v>0</v>
          </cell>
          <cell r="O40">
            <v>0</v>
          </cell>
          <cell r="P40">
            <v>0</v>
          </cell>
          <cell r="Q40">
            <v>0</v>
          </cell>
          <cell r="R40">
            <v>0</v>
          </cell>
          <cell r="S40">
            <v>0</v>
          </cell>
          <cell r="T40">
            <v>0</v>
          </cell>
          <cell r="U40">
            <v>0</v>
          </cell>
          <cell r="V40">
            <v>0</v>
          </cell>
          <cell r="X40">
            <v>17.568000000000001</v>
          </cell>
          <cell r="Y40">
            <v>2.4609999999999985</v>
          </cell>
          <cell r="Z40">
            <v>19.696999999999999</v>
          </cell>
          <cell r="AA40">
            <v>69.626999999999995</v>
          </cell>
          <cell r="AB40">
            <v>72.153999999999996</v>
          </cell>
          <cell r="AC40">
            <v>5.1629999999999967</v>
          </cell>
          <cell r="AD40">
            <v>-3.0209999999999866</v>
          </cell>
          <cell r="AE40">
            <v>43.402999999999992</v>
          </cell>
          <cell r="AF40">
            <v>20.818000000000001</v>
          </cell>
          <cell r="AG40">
            <v>0.46999999999999886</v>
          </cell>
          <cell r="AH40">
            <v>2.2109999999999985</v>
          </cell>
          <cell r="AI40">
            <v>8.4879999999999995</v>
          </cell>
          <cell r="AJ40">
            <v>0.91</v>
          </cell>
          <cell r="AK40">
            <v>2.7149999999999999</v>
          </cell>
          <cell r="AL40">
            <v>0.17499999999999993</v>
          </cell>
          <cell r="AM40">
            <v>3.0810000000000004</v>
          </cell>
          <cell r="AN40">
            <v>1.6359999999999999</v>
          </cell>
          <cell r="AO40">
            <v>13.104000000000001</v>
          </cell>
          <cell r="AP40">
            <v>11.947999999999999</v>
          </cell>
          <cell r="AQ40">
            <v>8.6989999999999998</v>
          </cell>
          <cell r="AR40">
            <v>9.0950000000000006</v>
          </cell>
          <cell r="AS40">
            <v>7.1859999999999982</v>
          </cell>
          <cell r="AT40">
            <v>3.7870000000000026</v>
          </cell>
          <cell r="AU40">
            <v>2.0949999999999989</v>
          </cell>
          <cell r="AV40">
            <v>2.1360000000000001</v>
          </cell>
          <cell r="AW40">
            <v>0.21799999999999997</v>
          </cell>
          <cell r="AX40">
            <v>2.1630000000000003</v>
          </cell>
          <cell r="AY40">
            <v>0.85599999999999987</v>
          </cell>
          <cell r="AZ40">
            <v>1.1439999999999999</v>
          </cell>
          <cell r="BA40">
            <v>1.2510000000000001</v>
          </cell>
          <cell r="BB40">
            <v>1.1549999999999996</v>
          </cell>
          <cell r="BC40">
            <v>5.5529999999999999</v>
          </cell>
          <cell r="BD40">
            <v>1.075</v>
          </cell>
          <cell r="BE40">
            <v>1.0559999999999998</v>
          </cell>
          <cell r="BF40">
            <v>1.1740000000000006</v>
          </cell>
          <cell r="BG40">
            <v>18.417000000000002</v>
          </cell>
          <cell r="BH40">
            <v>49.189</v>
          </cell>
          <cell r="BI40">
            <v>11.692999999999998</v>
          </cell>
          <cell r="BJ40">
            <v>4.3410000000000011</v>
          </cell>
          <cell r="BU40" t="str">
            <v>mstag:gainsLossesFromSaleOfOperatingAssetsRecurring</v>
          </cell>
          <cell r="BV40">
            <v>6</v>
          </cell>
          <cell r="BW40" t="str">
            <v>ISO4217:USD</v>
          </cell>
          <cell r="BX40" t="b">
            <v>1</v>
          </cell>
          <cell r="BY40" t="b">
            <v>0</v>
          </cell>
        </row>
        <row r="41">
          <cell r="A41" t="str">
            <v xml:space="preserve">  Deposits, Investments and Other Long-Term Assets</v>
          </cell>
          <cell r="C41">
            <v>12.247999999999998</v>
          </cell>
          <cell r="D41">
            <v>-17.024000000000001</v>
          </cell>
          <cell r="E41">
            <v>-1.6190000000000007</v>
          </cell>
          <cell r="F41">
            <v>-0.72500000000000142</v>
          </cell>
          <cell r="G41">
            <v>-23.064</v>
          </cell>
          <cell r="H41">
            <v>-9.9999999999999982</v>
          </cell>
          <cell r="I41">
            <v>5.9879999999999995</v>
          </cell>
          <cell r="J41">
            <v>-6.3040000000000003</v>
          </cell>
          <cell r="K41">
            <v>-76.353999999999999</v>
          </cell>
          <cell r="L41">
            <v>-7.1939999999999973</v>
          </cell>
          <cell r="M41">
            <v>0</v>
          </cell>
          <cell r="N41">
            <v>0</v>
          </cell>
          <cell r="O41">
            <v>0</v>
          </cell>
          <cell r="P41">
            <v>0</v>
          </cell>
          <cell r="Q41">
            <v>0</v>
          </cell>
          <cell r="R41">
            <v>0</v>
          </cell>
          <cell r="S41">
            <v>0</v>
          </cell>
          <cell r="T41">
            <v>0</v>
          </cell>
          <cell r="U41">
            <v>0</v>
          </cell>
          <cell r="V41">
            <v>0</v>
          </cell>
          <cell r="X41">
            <v>-9.6519999999999992</v>
          </cell>
          <cell r="Y41">
            <v>-1.0830000000000002</v>
          </cell>
          <cell r="Z41">
            <v>-6.0300000000000011</v>
          </cell>
          <cell r="AA41">
            <v>29.012999999999998</v>
          </cell>
          <cell r="AB41">
            <v>1.2050000000000001</v>
          </cell>
          <cell r="AC41">
            <v>-0.57000000000000006</v>
          </cell>
          <cell r="AD41">
            <v>-10.683</v>
          </cell>
          <cell r="AE41">
            <v>-6.9760000000000009</v>
          </cell>
          <cell r="AF41">
            <v>-2.5859999999999999</v>
          </cell>
          <cell r="AG41">
            <v>-0.81300000000000017</v>
          </cell>
          <cell r="AH41">
            <v>-0.22299999999999986</v>
          </cell>
          <cell r="AI41">
            <v>2.0029999999999992</v>
          </cell>
          <cell r="AJ41">
            <v>-0.31</v>
          </cell>
          <cell r="AK41">
            <v>-0.27699999999999997</v>
          </cell>
          <cell r="AL41">
            <v>33.56900000000001</v>
          </cell>
          <cell r="AM41">
            <v>-33.707000000000008</v>
          </cell>
          <cell r="AN41">
            <v>-0.05</v>
          </cell>
          <cell r="AO41">
            <v>-23.227999999999998</v>
          </cell>
          <cell r="AP41">
            <v>8.8000000000000259E-2</v>
          </cell>
          <cell r="AQ41">
            <v>0.12599999999999695</v>
          </cell>
          <cell r="AR41">
            <v>6.5000000000000002E-2</v>
          </cell>
          <cell r="AS41">
            <v>-26.301000000000002</v>
          </cell>
          <cell r="AT41">
            <v>16.462</v>
          </cell>
          <cell r="AU41">
            <v>-0.22599999999999781</v>
          </cell>
          <cell r="AV41">
            <v>2.0699999999999998</v>
          </cell>
          <cell r="AW41">
            <v>-3.9189999999999996</v>
          </cell>
          <cell r="AX41">
            <v>3.6919999999999997</v>
          </cell>
          <cell r="AY41">
            <v>4.1449999999999996</v>
          </cell>
          <cell r="AZ41">
            <v>1.1200000000000001</v>
          </cell>
          <cell r="BA41">
            <v>-8.1760000000000002</v>
          </cell>
          <cell r="BB41">
            <v>2.7270000000000003</v>
          </cell>
          <cell r="BC41">
            <v>-1.9750000000000005</v>
          </cell>
          <cell r="BD41">
            <v>-8.2110000000000003</v>
          </cell>
          <cell r="BE41">
            <v>-15.848000000000001</v>
          </cell>
          <cell r="BF41">
            <v>-25.656000000000006</v>
          </cell>
          <cell r="BG41">
            <v>-26.638999999999996</v>
          </cell>
          <cell r="BH41">
            <v>-8.4700000000000006</v>
          </cell>
          <cell r="BI41">
            <v>19.435000000000002</v>
          </cell>
          <cell r="BJ41">
            <v>-18.158999999999999</v>
          </cell>
          <cell r="BU41" t="str">
            <v>mstag:otherCashFlow</v>
          </cell>
          <cell r="BV41">
            <v>6</v>
          </cell>
          <cell r="BW41" t="str">
            <v>ISO4217:USD</v>
          </cell>
          <cell r="BX41" t="b">
            <v>0</v>
          </cell>
          <cell r="BY41" t="b">
            <v>0</v>
          </cell>
        </row>
        <row r="42">
          <cell r="A42" t="str">
            <v>Cash Provided by (used in) Investing Activities</v>
          </cell>
          <cell r="C42">
            <v>-115.25700000000001</v>
          </cell>
          <cell r="D42">
            <v>-56.010000000000005</v>
          </cell>
          <cell r="E42">
            <v>-45.216000000000008</v>
          </cell>
          <cell r="F42">
            <v>-80.533999999999992</v>
          </cell>
          <cell r="G42">
            <v>-129.11199999999999</v>
          </cell>
          <cell r="H42">
            <v>-186.18</v>
          </cell>
          <cell r="I42">
            <v>-274.94</v>
          </cell>
          <cell r="J42">
            <v>-543.06600000000003</v>
          </cell>
          <cell r="K42">
            <v>-1300.902</v>
          </cell>
          <cell r="L42">
            <v>-2658.8636528140773</v>
          </cell>
          <cell r="M42">
            <v>-828.46184825202045</v>
          </cell>
          <cell r="N42">
            <v>-449.81266773343339</v>
          </cell>
          <cell r="O42">
            <v>-422.2</v>
          </cell>
          <cell r="P42">
            <v>-432.5</v>
          </cell>
          <cell r="Q42">
            <v>-426</v>
          </cell>
          <cell r="R42">
            <v>-433.5</v>
          </cell>
          <cell r="S42">
            <v>-421</v>
          </cell>
          <cell r="T42">
            <v>-426</v>
          </cell>
          <cell r="U42">
            <v>-406</v>
          </cell>
          <cell r="V42">
            <v>-408.5</v>
          </cell>
          <cell r="X42">
            <v>-90.849000000000004</v>
          </cell>
          <cell r="Y42">
            <v>-52.772999999999982</v>
          </cell>
          <cell r="Z42">
            <v>-10.92400000000001</v>
          </cell>
          <cell r="AA42">
            <v>39.288999999999973</v>
          </cell>
          <cell r="AB42">
            <v>24.016999999999996</v>
          </cell>
          <cell r="AC42">
            <v>-19.852</v>
          </cell>
          <cell r="AD42">
            <v>-61.840999999999973</v>
          </cell>
          <cell r="AE42">
            <v>1.6659999999999808</v>
          </cell>
          <cell r="AF42">
            <v>-5.9729999999999972</v>
          </cell>
          <cell r="AG42">
            <v>-13.157000000000004</v>
          </cell>
          <cell r="AH42">
            <v>-17.448</v>
          </cell>
          <cell r="AI42">
            <v>-8.6379999999999946</v>
          </cell>
          <cell r="AJ42">
            <v>-23.482999999999997</v>
          </cell>
          <cell r="AK42">
            <v>-21.459000000000007</v>
          </cell>
          <cell r="AL42">
            <v>9.558000000000014</v>
          </cell>
          <cell r="AM42">
            <v>-45.150000000000006</v>
          </cell>
          <cell r="AN42">
            <v>-27.514000000000003</v>
          </cell>
          <cell r="AO42">
            <v>-40.897999999999996</v>
          </cell>
          <cell r="AP42">
            <v>-28.855000000000004</v>
          </cell>
          <cell r="AQ42">
            <v>-31.844999999999999</v>
          </cell>
          <cell r="AR42">
            <v>-32.346000000000004</v>
          </cell>
          <cell r="AS42">
            <v>-59.191000000000003</v>
          </cell>
          <cell r="AT42">
            <v>-25.828999999999983</v>
          </cell>
          <cell r="AU42">
            <v>-68.814000000000021</v>
          </cell>
          <cell r="AV42">
            <v>-68.731000000000009</v>
          </cell>
          <cell r="AW42">
            <v>-60.216999999999985</v>
          </cell>
          <cell r="AX42">
            <v>-62.518999999999998</v>
          </cell>
          <cell r="AY42">
            <v>-83.473000000000013</v>
          </cell>
          <cell r="AZ42">
            <v>-48.50800000000001</v>
          </cell>
          <cell r="BA42">
            <v>-163.273</v>
          </cell>
          <cell r="BB42">
            <v>-132.59999999999997</v>
          </cell>
          <cell r="BC42">
            <v>-198.685</v>
          </cell>
          <cell r="BD42">
            <v>-150.68</v>
          </cell>
          <cell r="BE42">
            <v>-136.23000000000002</v>
          </cell>
          <cell r="BF42">
            <v>-572.25</v>
          </cell>
          <cell r="BG42">
            <v>-441.74200000000008</v>
          </cell>
          <cell r="BH42">
            <v>-674.53</v>
          </cell>
          <cell r="BI42">
            <v>-382.75700000000006</v>
          </cell>
          <cell r="BJ42">
            <v>-502.34399999999988</v>
          </cell>
          <cell r="BK42">
            <v>-1099.2326528140777</v>
          </cell>
          <cell r="BL42">
            <v>-225.96328367636352</v>
          </cell>
          <cell r="BM42">
            <v>-225.96328367636352</v>
          </cell>
          <cell r="BN42">
            <v>-188.26764044964668</v>
          </cell>
          <cell r="BO42">
            <v>-188.26764044964668</v>
          </cell>
          <cell r="BP42">
            <v>-112.45316693335835</v>
          </cell>
          <cell r="BQ42">
            <v>-112.45316693335835</v>
          </cell>
          <cell r="BR42">
            <v>-112.45316693335835</v>
          </cell>
          <cell r="BS42">
            <v>-112.45316693335835</v>
          </cell>
        </row>
        <row r="44">
          <cell r="A44" t="str">
            <v>Cash From Financing Activities</v>
          </cell>
        </row>
        <row r="45">
          <cell r="A45" t="str">
            <v xml:space="preserve">  Borrowings under Credit Facilities</v>
          </cell>
          <cell r="C45">
            <v>160</v>
          </cell>
          <cell r="D45">
            <v>0</v>
          </cell>
          <cell r="E45">
            <v>700</v>
          </cell>
          <cell r="F45">
            <v>1543</v>
          </cell>
          <cell r="G45">
            <v>242</v>
          </cell>
          <cell r="H45">
            <v>2175</v>
          </cell>
          <cell r="I45">
            <v>575</v>
          </cell>
          <cell r="J45">
            <v>0</v>
          </cell>
          <cell r="K45">
            <v>500.56200000000001</v>
          </cell>
          <cell r="L45">
            <v>381.142</v>
          </cell>
          <cell r="M45">
            <v>0</v>
          </cell>
          <cell r="N45">
            <v>0</v>
          </cell>
          <cell r="X45">
            <v>145</v>
          </cell>
          <cell r="Y45">
            <v>15</v>
          </cell>
          <cell r="Z45">
            <v>0</v>
          </cell>
          <cell r="AA45">
            <v>0</v>
          </cell>
          <cell r="AG45">
            <v>700</v>
          </cell>
          <cell r="AH45">
            <v>0</v>
          </cell>
          <cell r="AJ45">
            <v>0</v>
          </cell>
          <cell r="AK45">
            <v>0</v>
          </cell>
          <cell r="AL45">
            <v>50</v>
          </cell>
          <cell r="AM45">
            <v>1493</v>
          </cell>
          <cell r="AN45">
            <v>179</v>
          </cell>
          <cell r="AO45">
            <v>63</v>
          </cell>
          <cell r="AP45">
            <v>0</v>
          </cell>
          <cell r="AQ45">
            <v>0</v>
          </cell>
          <cell r="AR45">
            <v>310</v>
          </cell>
          <cell r="AS45">
            <v>1040</v>
          </cell>
          <cell r="AT45">
            <v>550</v>
          </cell>
          <cell r="AU45">
            <v>275</v>
          </cell>
          <cell r="AV45">
            <v>475</v>
          </cell>
          <cell r="AW45">
            <v>0</v>
          </cell>
          <cell r="AX45">
            <v>50</v>
          </cell>
          <cell r="AY45">
            <v>50</v>
          </cell>
          <cell r="AZ45">
            <v>0</v>
          </cell>
          <cell r="BA45">
            <v>0</v>
          </cell>
          <cell r="BB45">
            <v>0</v>
          </cell>
          <cell r="BC45">
            <v>0</v>
          </cell>
          <cell r="BD45">
            <v>75</v>
          </cell>
          <cell r="BE45">
            <v>0</v>
          </cell>
          <cell r="BF45">
            <v>382.15300000000002</v>
          </cell>
          <cell r="BG45">
            <v>43.408999999999992</v>
          </cell>
          <cell r="BH45">
            <v>101.129</v>
          </cell>
          <cell r="BI45">
            <v>100.00000000000001</v>
          </cell>
          <cell r="BJ45">
            <v>180.01299999999998</v>
          </cell>
          <cell r="BU45" t="str">
            <v>mstag:proceedsFromIssuanceAndCashUsedToRepayShortTermBorrowings</v>
          </cell>
          <cell r="BV45">
            <v>6</v>
          </cell>
          <cell r="BW45" t="str">
            <v>ISO4217:USD</v>
          </cell>
          <cell r="BX45" t="b">
            <v>0</v>
          </cell>
          <cell r="BY45" t="b">
            <v>0</v>
          </cell>
        </row>
        <row r="46">
          <cell r="A46" t="str">
            <v xml:space="preserve">  Repayment of Credit Facilities and Other Long-Term Obligations</v>
          </cell>
          <cell r="C46">
            <v>-148.27000000000001</v>
          </cell>
          <cell r="D46">
            <v>-1071.9559999999999</v>
          </cell>
          <cell r="E46">
            <v>-2003.4010000000001</v>
          </cell>
          <cell r="F46">
            <v>-1949.444</v>
          </cell>
          <cell r="G46">
            <v>-295.76</v>
          </cell>
          <cell r="H46">
            <v>-3612.24</v>
          </cell>
          <cell r="I46">
            <v>-327.45299999999997</v>
          </cell>
          <cell r="J46">
            <v>-31.198999999999955</v>
          </cell>
          <cell r="K46">
            <v>-983.73699999999985</v>
          </cell>
          <cell r="L46">
            <v>-207.12</v>
          </cell>
          <cell r="M46">
            <v>0</v>
          </cell>
          <cell r="N46">
            <v>0</v>
          </cell>
          <cell r="X46">
            <v>-99.114000000000004</v>
          </cell>
          <cell r="Y46">
            <v>-3.7339999999999947</v>
          </cell>
          <cell r="Z46">
            <v>-3.8239999999999981</v>
          </cell>
          <cell r="AA46">
            <v>-41.598000000000013</v>
          </cell>
          <cell r="AB46">
            <v>-240.595</v>
          </cell>
          <cell r="AC46">
            <v>-41.203999999999979</v>
          </cell>
          <cell r="AD46">
            <v>-246.94600000000005</v>
          </cell>
          <cell r="AE46">
            <v>-543.2109999999999</v>
          </cell>
          <cell r="AF46">
            <v>-307.70400000000001</v>
          </cell>
          <cell r="AG46">
            <v>-769.27400000000011</v>
          </cell>
          <cell r="AH46">
            <v>-446.85699999999991</v>
          </cell>
          <cell r="AI46">
            <v>-479.56600000000003</v>
          </cell>
          <cell r="AJ46">
            <v>-169.08600000000001</v>
          </cell>
          <cell r="AK46">
            <v>-91.101999999999975</v>
          </cell>
          <cell r="AL46">
            <v>-166.262</v>
          </cell>
          <cell r="AM46">
            <v>-1522.9939999999999</v>
          </cell>
          <cell r="AN46">
            <v>-182.024</v>
          </cell>
          <cell r="AO46">
            <v>-50.317000000000007</v>
          </cell>
          <cell r="AP46">
            <v>-40.086000000000013</v>
          </cell>
          <cell r="AQ46">
            <v>-23.33299999999997</v>
          </cell>
          <cell r="AR46">
            <v>-225.84899999999999</v>
          </cell>
          <cell r="AS46">
            <v>-2385.837</v>
          </cell>
          <cell r="AT46">
            <v>-500.0800000000001</v>
          </cell>
          <cell r="AU46">
            <v>-500.47399999999988</v>
          </cell>
          <cell r="AV46">
            <v>-325.64</v>
          </cell>
          <cell r="AW46">
            <v>-0.68600000000003547</v>
          </cell>
          <cell r="AX46">
            <v>-0.6029999999999518</v>
          </cell>
          <cell r="AY46">
            <v>-0.52400000000000091</v>
          </cell>
          <cell r="AZ46">
            <v>-1.155</v>
          </cell>
          <cell r="BA46">
            <v>43.671000000000021</v>
          </cell>
          <cell r="BB46">
            <v>-97.160000000000025</v>
          </cell>
          <cell r="BC46">
            <v>23.44500000000005</v>
          </cell>
          <cell r="BD46">
            <v>-60.709000000000003</v>
          </cell>
          <cell r="BE46">
            <v>-78.350999999999999</v>
          </cell>
          <cell r="BF46">
            <v>-582.971</v>
          </cell>
          <cell r="BG46">
            <v>-261.70599999999996</v>
          </cell>
          <cell r="BH46">
            <v>-126.669</v>
          </cell>
          <cell r="BI46">
            <v>-0.89000000000000057</v>
          </cell>
          <cell r="BJ46">
            <v>-79.561000000000021</v>
          </cell>
          <cell r="BU46" t="str">
            <v>mstag:proceedsFromIssuanceAndCashUsedToRepayLongTermDebt</v>
          </cell>
          <cell r="BV46">
            <v>6</v>
          </cell>
          <cell r="BW46" t="str">
            <v>ISO4217:USD</v>
          </cell>
          <cell r="BX46" t="b">
            <v>0</v>
          </cell>
          <cell r="BY46" t="b">
            <v>0</v>
          </cell>
        </row>
        <row r="47">
          <cell r="A47" t="str">
            <v xml:space="preserve">  Proceeds from Issuance of Debt Securities</v>
          </cell>
          <cell r="C47">
            <v>0</v>
          </cell>
          <cell r="D47">
            <v>1032.384</v>
          </cell>
          <cell r="E47">
            <v>1072.5</v>
          </cell>
          <cell r="F47">
            <v>0</v>
          </cell>
          <cell r="G47">
            <v>0</v>
          </cell>
          <cell r="H47">
            <v>2250.422</v>
          </cell>
          <cell r="I47">
            <v>0</v>
          </cell>
          <cell r="J47">
            <v>0</v>
          </cell>
          <cell r="K47">
            <v>1698.37</v>
          </cell>
          <cell r="L47">
            <v>80.813999999999993</v>
          </cell>
          <cell r="M47">
            <v>0</v>
          </cell>
          <cell r="N47">
            <v>0</v>
          </cell>
          <cell r="AB47">
            <v>419.88400000000001</v>
          </cell>
          <cell r="AC47">
            <v>0</v>
          </cell>
          <cell r="AD47">
            <v>212.5</v>
          </cell>
          <cell r="AE47">
            <v>400</v>
          </cell>
          <cell r="AF47">
            <v>225</v>
          </cell>
          <cell r="AG47">
            <v>0</v>
          </cell>
          <cell r="AH47">
            <v>345</v>
          </cell>
          <cell r="AI47">
            <v>502.5</v>
          </cell>
          <cell r="AN47">
            <v>0</v>
          </cell>
          <cell r="AO47">
            <v>0</v>
          </cell>
          <cell r="AP47">
            <v>0</v>
          </cell>
          <cell r="AQ47">
            <v>0</v>
          </cell>
          <cell r="AR47">
            <v>0</v>
          </cell>
          <cell r="AS47">
            <v>1750</v>
          </cell>
          <cell r="AT47">
            <v>0</v>
          </cell>
          <cell r="AU47">
            <v>500.42200000000003</v>
          </cell>
          <cell r="BE47">
            <v>0</v>
          </cell>
          <cell r="BF47">
            <v>699.16</v>
          </cell>
          <cell r="BG47">
            <v>999.20999999999992</v>
          </cell>
          <cell r="BI47">
            <v>30.241</v>
          </cell>
          <cell r="BJ47">
            <v>50.572999999999993</v>
          </cell>
          <cell r="BU47" t="str">
            <v>mstag:proceedsFromIssuanceAndCashUsedToRepayLongTermDebt</v>
          </cell>
          <cell r="BV47">
            <v>6</v>
          </cell>
          <cell r="BW47" t="str">
            <v>ISO4217:USD</v>
          </cell>
          <cell r="BX47" t="b">
            <v>0</v>
          </cell>
          <cell r="BY47" t="b">
            <v>0</v>
          </cell>
        </row>
        <row r="48">
          <cell r="A48" t="str">
            <v xml:space="preserve">  Principal Payments on Long-term Debt</v>
          </cell>
          <cell r="C48">
            <v>0</v>
          </cell>
          <cell r="D48">
            <v>0</v>
          </cell>
          <cell r="E48">
            <v>0</v>
          </cell>
          <cell r="F48">
            <v>0</v>
          </cell>
          <cell r="G48">
            <v>0</v>
          </cell>
          <cell r="H48">
            <v>0</v>
          </cell>
          <cell r="I48">
            <v>0</v>
          </cell>
          <cell r="J48">
            <v>0</v>
          </cell>
          <cell r="K48">
            <v>0</v>
          </cell>
          <cell r="L48">
            <v>836.36575077749876</v>
          </cell>
          <cell r="M48">
            <v>1.0584864293341525</v>
          </cell>
          <cell r="N48">
            <v>1.1259491130749666</v>
          </cell>
          <cell r="O48">
            <v>1.1710904965666487</v>
          </cell>
          <cell r="P48">
            <v>1.2442263931416164</v>
          </cell>
          <cell r="Q48">
            <v>1.3220762369392105</v>
          </cell>
          <cell r="R48">
            <v>1.4049523951107403</v>
          </cell>
          <cell r="S48">
            <v>1.4931884257894126</v>
          </cell>
          <cell r="T48">
            <v>1.4659310265587919</v>
          </cell>
          <cell r="U48">
            <v>1.5605106993189111</v>
          </cell>
          <cell r="V48">
            <v>1.6613464854808626</v>
          </cell>
          <cell r="BK48">
            <v>836.36575077749876</v>
          </cell>
          <cell r="BL48">
            <v>0.25852954334186506</v>
          </cell>
          <cell r="BM48">
            <v>0.26254759785024362</v>
          </cell>
          <cell r="BN48">
            <v>0.26663044061660912</v>
          </cell>
          <cell r="BO48">
            <v>0.27077884752543468</v>
          </cell>
          <cell r="BP48">
            <v>0.27499390539560409</v>
          </cell>
          <cell r="BQ48">
            <v>0.27927671570887469</v>
          </cell>
          <cell r="BR48">
            <v>0.28362839863893896</v>
          </cell>
          <cell r="BS48">
            <v>0.28805009333154885</v>
          </cell>
          <cell r="BU48" t="str">
            <v>mstag:proceedsFromIssuanceAndCashUsedToRepayLongTermDebt</v>
          </cell>
          <cell r="BV48">
            <v>6</v>
          </cell>
          <cell r="BW48" t="str">
            <v>ISO4217:USD</v>
          </cell>
          <cell r="BX48" t="b">
            <v>0</v>
          </cell>
          <cell r="BY48" t="b">
            <v>0</v>
          </cell>
        </row>
        <row r="49">
          <cell r="A49" t="str">
            <v xml:space="preserve">  Net Proceeds from Equity Offering, Stock</v>
          </cell>
          <cell r="C49">
            <v>1.3050000000000002</v>
          </cell>
          <cell r="D49">
            <v>126.84699999999999</v>
          </cell>
          <cell r="E49">
            <v>40.555999999999997</v>
          </cell>
          <cell r="F49">
            <v>65.356999999999999</v>
          </cell>
          <cell r="G49">
            <v>40.94</v>
          </cell>
          <cell r="H49">
            <v>124.087</v>
          </cell>
          <cell r="I49">
            <v>82.927999999999997</v>
          </cell>
          <cell r="J49">
            <v>65.972999999999999</v>
          </cell>
          <cell r="K49">
            <v>138.50799999999998</v>
          </cell>
          <cell r="L49">
            <v>60.926000000000002</v>
          </cell>
          <cell r="M49">
            <v>0</v>
          </cell>
          <cell r="N49">
            <v>0</v>
          </cell>
          <cell r="Y49">
            <v>0.91</v>
          </cell>
          <cell r="Z49">
            <v>0</v>
          </cell>
          <cell r="AA49">
            <v>0.39500000000000002</v>
          </cell>
          <cell r="AD49">
            <v>125.205</v>
          </cell>
          <cell r="AE49">
            <v>1.6419999999999959</v>
          </cell>
          <cell r="AF49">
            <v>4.2709999999999999</v>
          </cell>
          <cell r="AG49">
            <v>4.5089999999999995</v>
          </cell>
          <cell r="AH49">
            <v>14.68</v>
          </cell>
          <cell r="AI49">
            <v>17.095999999999997</v>
          </cell>
          <cell r="AJ49">
            <v>7.5</v>
          </cell>
          <cell r="AK49">
            <v>3.2669999999999995</v>
          </cell>
          <cell r="AL49">
            <v>35.269999999999996</v>
          </cell>
          <cell r="AM49">
            <v>19.320000000000004</v>
          </cell>
          <cell r="AN49">
            <v>16.178999999999998</v>
          </cell>
          <cell r="AO49">
            <v>19.183000000000003</v>
          </cell>
          <cell r="AP49">
            <v>3.4179999999999993</v>
          </cell>
          <cell r="AQ49">
            <v>2.1599999999999966</v>
          </cell>
          <cell r="AR49">
            <v>46.844999999999999</v>
          </cell>
          <cell r="AS49">
            <v>55.018000000000001</v>
          </cell>
          <cell r="AT49">
            <v>8.5520000000000067</v>
          </cell>
          <cell r="AU49">
            <v>13.671999999999997</v>
          </cell>
          <cell r="AV49">
            <v>11.644</v>
          </cell>
          <cell r="AW49">
            <v>28.731999999999999</v>
          </cell>
          <cell r="AX49">
            <v>35.533999999999999</v>
          </cell>
          <cell r="AY49">
            <v>7.0179999999999989</v>
          </cell>
          <cell r="AZ49">
            <v>8.8979999999999997</v>
          </cell>
          <cell r="BA49">
            <v>7.2029999999999994</v>
          </cell>
          <cell r="BB49">
            <v>19.886000000000003</v>
          </cell>
          <cell r="BC49">
            <v>29.985999999999997</v>
          </cell>
          <cell r="BD49">
            <v>47.469000000000001</v>
          </cell>
          <cell r="BE49">
            <v>42.609999999999992</v>
          </cell>
          <cell r="BF49">
            <v>32.262999999999998</v>
          </cell>
          <cell r="BG49">
            <v>16.166000000000011</v>
          </cell>
          <cell r="BH49">
            <v>10.173</v>
          </cell>
          <cell r="BI49">
            <v>30.055</v>
          </cell>
          <cell r="BJ49">
            <v>20.698</v>
          </cell>
          <cell r="BU49" t="str">
            <v>mstag:proceedsFromIssuanceFundsUsedToRepurchaseCommonStock</v>
          </cell>
          <cell r="BV49">
            <v>6</v>
          </cell>
          <cell r="BW49" t="str">
            <v>ISO4217:USD</v>
          </cell>
          <cell r="BX49" t="b">
            <v>0</v>
          </cell>
          <cell r="BY49" t="b">
            <v>0</v>
          </cell>
        </row>
        <row r="50">
          <cell r="A50" t="str">
            <v xml:space="preserve">  Purchases and Redemption of Common Stock</v>
          </cell>
          <cell r="C50">
            <v>0</v>
          </cell>
          <cell r="D50">
            <v>0</v>
          </cell>
          <cell r="E50">
            <v>0</v>
          </cell>
          <cell r="F50">
            <v>-68.927000000000007</v>
          </cell>
          <cell r="G50">
            <v>-306.85599999999999</v>
          </cell>
          <cell r="H50">
            <v>-1642.8209999999999</v>
          </cell>
          <cell r="I50">
            <v>-714.65499999999997</v>
          </cell>
          <cell r="J50">
            <v>-213.28800000000001</v>
          </cell>
          <cell r="K50">
            <v>-430.61799999999999</v>
          </cell>
          <cell r="L50">
            <v>-423.91260060634795</v>
          </cell>
          <cell r="M50">
            <v>26.714180152987865</v>
          </cell>
          <cell r="N50">
            <v>23.511379768772713</v>
          </cell>
          <cell r="O50">
            <v>8.4196594167187868</v>
          </cell>
          <cell r="P50">
            <v>2.6837848158220368</v>
          </cell>
          <cell r="Q50">
            <v>-1.0040550886433266</v>
          </cell>
          <cell r="R50">
            <v>-2.506564800477463</v>
          </cell>
          <cell r="S50">
            <v>-13.058290002823014</v>
          </cell>
          <cell r="T50">
            <v>-23.614939821587541</v>
          </cell>
          <cell r="U50">
            <v>-34.319384281797284</v>
          </cell>
          <cell r="V50">
            <v>-45.314167199158874</v>
          </cell>
          <cell r="AJ50">
            <v>0</v>
          </cell>
          <cell r="AK50">
            <v>0</v>
          </cell>
          <cell r="AL50">
            <v>0</v>
          </cell>
          <cell r="AM50">
            <v>-68.927000000000007</v>
          </cell>
          <cell r="AN50">
            <v>-162.68</v>
          </cell>
          <cell r="AO50">
            <v>-126.779</v>
          </cell>
          <cell r="AP50">
            <v>0</v>
          </cell>
          <cell r="AQ50">
            <v>-17.396999999999991</v>
          </cell>
          <cell r="AR50">
            <v>-499.01299999999998</v>
          </cell>
          <cell r="AS50">
            <v>-414.22399999999999</v>
          </cell>
          <cell r="AT50">
            <v>-339.46500000000009</v>
          </cell>
          <cell r="AU50">
            <v>-390.11899999999986</v>
          </cell>
          <cell r="AV50">
            <v>-182.75</v>
          </cell>
          <cell r="AW50">
            <v>-113.81599999999997</v>
          </cell>
          <cell r="AX50">
            <v>-335.33500000000004</v>
          </cell>
          <cell r="AY50">
            <v>-82.753999999999962</v>
          </cell>
          <cell r="AZ50">
            <v>-4.6609999999999996</v>
          </cell>
          <cell r="BA50">
            <v>-61.084000000000003</v>
          </cell>
          <cell r="BB50">
            <v>-123.92499999999998</v>
          </cell>
          <cell r="BC50">
            <v>-23.618000000000023</v>
          </cell>
          <cell r="BD50">
            <v>-58.835999999999999</v>
          </cell>
          <cell r="BE50">
            <v>-141.69499999999999</v>
          </cell>
          <cell r="BF50">
            <v>-149.92099999999999</v>
          </cell>
          <cell r="BG50">
            <v>-80.166000000000011</v>
          </cell>
          <cell r="BH50">
            <v>-127.723</v>
          </cell>
          <cell r="BI50">
            <v>-103.86</v>
          </cell>
          <cell r="BJ50">
            <v>-159.51499999999999</v>
          </cell>
          <cell r="BK50">
            <v>-32.814600606347994</v>
          </cell>
          <cell r="BL50">
            <v>7.5433924954986651</v>
          </cell>
          <cell r="BM50">
            <v>7.9618329564536907</v>
          </cell>
          <cell r="BN50">
            <v>5.3908072060085033</v>
          </cell>
          <cell r="BO50">
            <v>5.8181474950270058</v>
          </cell>
          <cell r="BP50">
            <v>6.5727865706994635</v>
          </cell>
          <cell r="BQ50">
            <v>7.104926673366208</v>
          </cell>
          <cell r="BR50">
            <v>4.6469328177408897</v>
          </cell>
          <cell r="BS50">
            <v>5.1867337069661517</v>
          </cell>
          <cell r="BU50" t="str">
            <v>mstag:proceedsFromIssuanceFundsUsedToRepurchaseCommonStock</v>
          </cell>
          <cell r="BV50">
            <v>6</v>
          </cell>
          <cell r="BW50" t="str">
            <v>ISO4217:USD</v>
          </cell>
          <cell r="BX50" t="b">
            <v>0</v>
          </cell>
          <cell r="BY50" t="b">
            <v>0</v>
          </cell>
        </row>
        <row r="51">
          <cell r="A51" t="str">
            <v xml:space="preserve">  Dividend Payment</v>
          </cell>
          <cell r="C51">
            <v>0</v>
          </cell>
          <cell r="D51">
            <v>0</v>
          </cell>
          <cell r="E51">
            <v>0</v>
          </cell>
          <cell r="F51">
            <v>0</v>
          </cell>
          <cell r="G51">
            <v>0</v>
          </cell>
          <cell r="H51">
            <v>0</v>
          </cell>
          <cell r="I51">
            <v>0</v>
          </cell>
          <cell r="J51">
            <v>0</v>
          </cell>
          <cell r="K51">
            <v>0</v>
          </cell>
          <cell r="L51">
            <v>-138</v>
          </cell>
          <cell r="M51">
            <v>-331.60635125035571</v>
          </cell>
          <cell r="N51">
            <v>-360.37993819432472</v>
          </cell>
          <cell r="O51">
            <v>-622.54275831006134</v>
          </cell>
          <cell r="P51">
            <v>-948.9657441966425</v>
          </cell>
          <cell r="Q51">
            <v>-1009.0067367531593</v>
          </cell>
          <cell r="R51">
            <v>-1060.3821713741884</v>
          </cell>
          <cell r="S51">
            <v>-1102.8314148757806</v>
          </cell>
          <cell r="T51">
            <v>-1136.326868176264</v>
          </cell>
          <cell r="U51">
            <v>-1159.8095701358948</v>
          </cell>
          <cell r="V51">
            <v>-1174.5018319776661</v>
          </cell>
          <cell r="BK51">
            <v>-138</v>
          </cell>
          <cell r="BL51">
            <v>-81.597864935298873</v>
          </cell>
          <cell r="BM51">
            <v>-83.428261813708644</v>
          </cell>
          <cell r="BN51">
            <v>-82.235885481645823</v>
          </cell>
          <cell r="BO51">
            <v>-84.344339019702403</v>
          </cell>
          <cell r="BP51">
            <v>-89.658616065233161</v>
          </cell>
          <cell r="BQ51">
            <v>-90.048407214287124</v>
          </cell>
          <cell r="BR51">
            <v>-90.705578618398846</v>
          </cell>
          <cell r="BS51">
            <v>-89.967336296405648</v>
          </cell>
          <cell r="BU51" t="str">
            <v>mstag:cashDividendsPaid</v>
          </cell>
          <cell r="BV51">
            <v>6</v>
          </cell>
          <cell r="BW51" t="str">
            <v>ISO4217:USD</v>
          </cell>
          <cell r="BX51" t="b">
            <v>1</v>
          </cell>
          <cell r="BY51" t="b">
            <v>0</v>
          </cell>
        </row>
        <row r="52">
          <cell r="A52" t="str">
            <v xml:space="preserve">  Restricted cash and investments</v>
          </cell>
          <cell r="C52">
            <v>94.070999999999998</v>
          </cell>
          <cell r="D52">
            <v>-170.03600000000003</v>
          </cell>
          <cell r="E52">
            <v>170.036</v>
          </cell>
          <cell r="F52">
            <v>0</v>
          </cell>
          <cell r="G52">
            <v>0</v>
          </cell>
          <cell r="H52">
            <v>0</v>
          </cell>
          <cell r="I52">
            <v>0</v>
          </cell>
          <cell r="J52">
            <v>0</v>
          </cell>
          <cell r="K52">
            <v>0</v>
          </cell>
          <cell r="L52">
            <v>0</v>
          </cell>
          <cell r="M52">
            <v>0</v>
          </cell>
          <cell r="N52">
            <v>0</v>
          </cell>
          <cell r="X52">
            <v>46.572000000000003</v>
          </cell>
          <cell r="Y52">
            <v>2.8999999999996362E-2</v>
          </cell>
          <cell r="Z52">
            <v>47.47</v>
          </cell>
          <cell r="AA52">
            <v>0</v>
          </cell>
          <cell r="AB52">
            <v>-217.059</v>
          </cell>
          <cell r="AC52">
            <v>24.174000000000007</v>
          </cell>
          <cell r="AD52">
            <v>-90.836999999999961</v>
          </cell>
          <cell r="AE52">
            <v>113.68599999999995</v>
          </cell>
          <cell r="AF52">
            <v>50.899000000000001</v>
          </cell>
          <cell r="AG52">
            <v>119.137</v>
          </cell>
          <cell r="AH52">
            <v>0</v>
          </cell>
          <cell r="BU52" t="str">
            <v>mstag:otherCashFlow</v>
          </cell>
          <cell r="BV52">
            <v>6</v>
          </cell>
          <cell r="BW52" t="str">
            <v>ISO4217:USD</v>
          </cell>
          <cell r="BX52" t="b">
            <v>0</v>
          </cell>
          <cell r="BY52" t="b">
            <v>0</v>
          </cell>
        </row>
        <row r="53">
          <cell r="A53" t="str">
            <v xml:space="preserve">  Deferred Financing Costs and Other</v>
          </cell>
          <cell r="C53">
            <v>-5.6639999999999997</v>
          </cell>
          <cell r="D53">
            <v>-39.442</v>
          </cell>
          <cell r="E53">
            <v>-41.082999999999998</v>
          </cell>
          <cell r="F53">
            <v>-9.5119999999999987</v>
          </cell>
          <cell r="G53">
            <v>-3.3869999999999996</v>
          </cell>
          <cell r="H53">
            <v>-49.088000000000001</v>
          </cell>
          <cell r="I53">
            <v>-3.992</v>
          </cell>
          <cell r="J53">
            <v>-16.428000000000001</v>
          </cell>
          <cell r="K53">
            <v>-12.755000000000001</v>
          </cell>
          <cell r="L53">
            <v>79.600999999999999</v>
          </cell>
          <cell r="M53">
            <v>0</v>
          </cell>
          <cell r="N53">
            <v>0</v>
          </cell>
          <cell r="AA53">
            <v>-5.6639999999999997</v>
          </cell>
          <cell r="AB53">
            <v>-19.187000000000001</v>
          </cell>
          <cell r="AC53">
            <v>-0.4599999999999973</v>
          </cell>
          <cell r="AD53">
            <v>-8.985000000000003</v>
          </cell>
          <cell r="AE53">
            <v>-10.809999999999999</v>
          </cell>
          <cell r="AF53">
            <v>-4.976</v>
          </cell>
          <cell r="AG53">
            <v>-15.731000000000002</v>
          </cell>
          <cell r="AH53">
            <v>-10.170999999999999</v>
          </cell>
          <cell r="AI53">
            <v>-10.204999999999998</v>
          </cell>
          <cell r="AJ53">
            <v>-0.246</v>
          </cell>
          <cell r="AK53">
            <v>-0.33499999999999996</v>
          </cell>
          <cell r="AL53">
            <v>-0.22400000000000009</v>
          </cell>
          <cell r="AM53">
            <v>-8.706999999999999</v>
          </cell>
          <cell r="AN53">
            <v>-1.7849999999999999</v>
          </cell>
          <cell r="AO53">
            <v>-0.25299999999999989</v>
          </cell>
          <cell r="AP53">
            <v>-0.2569999999999999</v>
          </cell>
          <cell r="AQ53">
            <v>-1.0919999999999999</v>
          </cell>
          <cell r="AR53">
            <v>-5.1369999999999996</v>
          </cell>
          <cell r="AS53">
            <v>-30.673000000000002</v>
          </cell>
          <cell r="AT53">
            <v>-5.101</v>
          </cell>
          <cell r="AU53">
            <v>-8.1769999999999996</v>
          </cell>
          <cell r="AV53">
            <v>-3.395</v>
          </cell>
          <cell r="AW53">
            <v>-0.2669999999999999</v>
          </cell>
          <cell r="AX53">
            <v>-0.16500000000000004</v>
          </cell>
          <cell r="AY53">
            <v>-0.16500000000000004</v>
          </cell>
          <cell r="AZ53">
            <v>-9.9000000000000005E-2</v>
          </cell>
          <cell r="BA53">
            <v>-9.6199999999999992</v>
          </cell>
          <cell r="BB53">
            <v>-0.40900000000000092</v>
          </cell>
          <cell r="BC53">
            <v>-6.3000000000000007</v>
          </cell>
          <cell r="BD53">
            <v>-0.27400000000000002</v>
          </cell>
          <cell r="BE53">
            <v>-7.6999999999999957E-2</v>
          </cell>
          <cell r="BF53">
            <v>-5.8630000000000004</v>
          </cell>
          <cell r="BG53">
            <v>-6.5410000000000004</v>
          </cell>
          <cell r="BH53">
            <v>5.5640000000000001</v>
          </cell>
          <cell r="BI53">
            <v>24.6</v>
          </cell>
          <cell r="BJ53">
            <v>49.436999999999998</v>
          </cell>
          <cell r="BU53" t="str">
            <v>mstag:otherCashFlow</v>
          </cell>
          <cell r="BV53">
            <v>6</v>
          </cell>
          <cell r="BW53" t="str">
            <v>ISO4217:USD</v>
          </cell>
          <cell r="BX53" t="b">
            <v>0</v>
          </cell>
          <cell r="BY53" t="b">
            <v>0</v>
          </cell>
        </row>
        <row r="54">
          <cell r="A54" t="str">
            <v>Cash From Financing Activities</v>
          </cell>
          <cell r="C54">
            <v>101.44199999999999</v>
          </cell>
          <cell r="D54">
            <v>-122.20299999999992</v>
          </cell>
          <cell r="E54">
            <v>-61.392000000000081</v>
          </cell>
          <cell r="F54">
            <v>-419.52600000000001</v>
          </cell>
          <cell r="G54">
            <v>-323.06299999999999</v>
          </cell>
          <cell r="H54">
            <v>-754.63999999999965</v>
          </cell>
          <cell r="I54">
            <v>-388.17199999999997</v>
          </cell>
          <cell r="J54">
            <v>-194.94199999999995</v>
          </cell>
          <cell r="K54">
            <v>910.33000000000027</v>
          </cell>
          <cell r="L54">
            <v>669.81615017115075</v>
          </cell>
          <cell r="M54">
            <v>-303.8336846680337</v>
          </cell>
          <cell r="N54">
            <v>-335.74260931247704</v>
          </cell>
          <cell r="O54">
            <v>-612.95200839677591</v>
          </cell>
          <cell r="P54">
            <v>-945.03773298767885</v>
          </cell>
          <cell r="Q54">
            <v>-1008.6887156048634</v>
          </cell>
          <cell r="R54">
            <v>-1061.4837837795551</v>
          </cell>
          <cell r="S54">
            <v>-1114.3965164528142</v>
          </cell>
          <cell r="T54">
            <v>-1158.4758769712928</v>
          </cell>
          <cell r="U54">
            <v>-1192.5684437183731</v>
          </cell>
          <cell r="V54">
            <v>-1218.1546526913442</v>
          </cell>
          <cell r="X54">
            <v>92.457999999999998</v>
          </cell>
          <cell r="Y54">
            <v>12.205000000000002</v>
          </cell>
          <cell r="Z54">
            <v>43.646000000000001</v>
          </cell>
          <cell r="AA54">
            <v>-46.867000000000012</v>
          </cell>
          <cell r="AB54">
            <v>-56.956999999999979</v>
          </cell>
          <cell r="AC54">
            <v>-17.48999999999997</v>
          </cell>
          <cell r="AD54">
            <v>-9.0630000000000202</v>
          </cell>
          <cell r="AE54">
            <v>-38.692999999999955</v>
          </cell>
          <cell r="AF54">
            <v>-32.510000000000005</v>
          </cell>
          <cell r="AG54">
            <v>38.640999999999885</v>
          </cell>
          <cell r="AH54">
            <v>-97.3479999999999</v>
          </cell>
          <cell r="AI54">
            <v>29.824999999999967</v>
          </cell>
          <cell r="AJ54">
            <v>-161.83200000000002</v>
          </cell>
          <cell r="AK54">
            <v>-88.169999999999973</v>
          </cell>
          <cell r="AL54">
            <v>-81.216000000000008</v>
          </cell>
          <cell r="AM54">
            <v>-88.307999999999907</v>
          </cell>
          <cell r="AN54">
            <v>-151.31</v>
          </cell>
          <cell r="AO54">
            <v>-95.165999999999997</v>
          </cell>
          <cell r="AP54">
            <v>-36.925000000000011</v>
          </cell>
          <cell r="AQ54">
            <v>-39.661999999999964</v>
          </cell>
          <cell r="AR54">
            <v>-373.15399999999994</v>
          </cell>
          <cell r="AS54">
            <v>14.284000000000049</v>
          </cell>
          <cell r="AT54">
            <v>-286.09400000000016</v>
          </cell>
          <cell r="AU54">
            <v>-109.67599999999973</v>
          </cell>
          <cell r="AV54">
            <v>-25.14099999999998</v>
          </cell>
          <cell r="AW54">
            <v>-86.037000000000006</v>
          </cell>
          <cell r="AX54">
            <v>-250.56899999999999</v>
          </cell>
          <cell r="AY54">
            <v>-26.424999999999962</v>
          </cell>
          <cell r="AZ54">
            <v>2.9829999999999997</v>
          </cell>
          <cell r="BA54">
            <v>-19.829999999999977</v>
          </cell>
          <cell r="BB54">
            <v>-201.608</v>
          </cell>
          <cell r="BC54">
            <v>23.513000000000023</v>
          </cell>
          <cell r="BD54">
            <v>2.6499999999999995</v>
          </cell>
          <cell r="BE54">
            <v>-177.51300000000001</v>
          </cell>
          <cell r="BF54">
            <v>374.82100000000003</v>
          </cell>
          <cell r="BG54">
            <v>710.37199999999996</v>
          </cell>
          <cell r="BH54">
            <v>-137.52600000000001</v>
          </cell>
          <cell r="BI54">
            <v>80.146000000000015</v>
          </cell>
          <cell r="BJ54">
            <v>61.644999999999968</v>
          </cell>
          <cell r="BK54">
            <v>665.55115017115077</v>
          </cell>
          <cell r="BL54">
            <v>-73.795942896458342</v>
          </cell>
          <cell r="BM54">
            <v>-75.20388125940471</v>
          </cell>
          <cell r="BN54">
            <v>-76.578447835020711</v>
          </cell>
          <cell r="BO54">
            <v>-78.255412677149963</v>
          </cell>
          <cell r="BP54">
            <v>-82.810835589138094</v>
          </cell>
          <cell r="BQ54">
            <v>-82.664203825212041</v>
          </cell>
          <cell r="BR54">
            <v>-85.775017402019017</v>
          </cell>
          <cell r="BS54">
            <v>-84.492552496107947</v>
          </cell>
        </row>
        <row r="56">
          <cell r="A56" t="str">
            <v>Effect of Exchange Rate Changes on Cash</v>
          </cell>
          <cell r="C56">
            <v>0</v>
          </cell>
          <cell r="D56">
            <v>0</v>
          </cell>
          <cell r="E56">
            <v>0</v>
          </cell>
          <cell r="F56">
            <v>0</v>
          </cell>
          <cell r="G56">
            <v>0</v>
          </cell>
          <cell r="H56">
            <v>0</v>
          </cell>
          <cell r="I56">
            <v>-0.192</v>
          </cell>
          <cell r="J56">
            <v>9.8000000000000004E-2</v>
          </cell>
          <cell r="K56">
            <v>6.2650000000000006</v>
          </cell>
          <cell r="L56">
            <v>-1.089</v>
          </cell>
          <cell r="M56">
            <v>0</v>
          </cell>
          <cell r="N56">
            <v>0</v>
          </cell>
          <cell r="AV56">
            <v>0</v>
          </cell>
          <cell r="AW56">
            <v>0</v>
          </cell>
          <cell r="AX56">
            <v>0</v>
          </cell>
          <cell r="AY56">
            <v>-0.192</v>
          </cell>
          <cell r="AZ56">
            <v>-0.252</v>
          </cell>
          <cell r="BA56">
            <v>9.4E-2</v>
          </cell>
          <cell r="BB56">
            <v>0.192</v>
          </cell>
          <cell r="BC56">
            <v>6.4000000000000001E-2</v>
          </cell>
          <cell r="BD56">
            <v>-2.5000000000000001E-2</v>
          </cell>
          <cell r="BE56">
            <v>1.002</v>
          </cell>
          <cell r="BF56">
            <v>8.1909999999999989</v>
          </cell>
          <cell r="BG56">
            <v>-2.9029999999999991</v>
          </cell>
          <cell r="BH56">
            <v>7.1</v>
          </cell>
          <cell r="BI56">
            <v>-3.1919999999999997</v>
          </cell>
          <cell r="BJ56">
            <v>-4.9969999999999999</v>
          </cell>
          <cell r="BU56" t="str">
            <v>mstag:effectOfForeignExchangeRatesOnCash</v>
          </cell>
          <cell r="BV56">
            <v>6</v>
          </cell>
          <cell r="BW56" t="str">
            <v>ISO4217:USD</v>
          </cell>
          <cell r="BX56" t="b">
            <v>0</v>
          </cell>
        </row>
        <row r="58">
          <cell r="A58" t="str">
            <v>Net Cash from Cont. Ops.</v>
          </cell>
          <cell r="C58">
            <v>91.333999999999904</v>
          </cell>
          <cell r="D58">
            <v>-21.827000000000012</v>
          </cell>
          <cell r="E58">
            <v>110.0919999999999</v>
          </cell>
          <cell r="F58">
            <v>-102.85600000000005</v>
          </cell>
          <cell r="G58">
            <v>168.5630000000001</v>
          </cell>
          <cell r="H58">
            <v>-248.14099999999968</v>
          </cell>
          <cell r="I58">
            <v>109.95400000000008</v>
          </cell>
          <cell r="J58">
            <v>104.21599999999999</v>
          </cell>
          <cell r="K58">
            <v>636.67000000000019</v>
          </cell>
          <cell r="L58">
            <v>-834.52819109433153</v>
          </cell>
          <cell r="M58">
            <v>426.48585105988707</v>
          </cell>
          <cell r="N58">
            <v>965.30234415831296</v>
          </cell>
          <cell r="O58">
            <v>707.5281456391067</v>
          </cell>
          <cell r="P58">
            <v>414.91795612229419</v>
          </cell>
          <cell r="Q58">
            <v>438.40327081349676</v>
          </cell>
          <cell r="R58">
            <v>449.31809748078535</v>
          </cell>
          <cell r="S58">
            <v>471.30846719441638</v>
          </cell>
          <cell r="T58">
            <v>475.96017154132983</v>
          </cell>
          <cell r="U58">
            <v>504.87491184965302</v>
          </cell>
          <cell r="V58">
            <v>511.12160362159443</v>
          </cell>
          <cell r="X58">
            <v>-6.3940000000001049</v>
          </cell>
          <cell r="Y58">
            <v>-9.2999999999999972E-2</v>
          </cell>
          <cell r="Z58">
            <v>35.38900000000001</v>
          </cell>
          <cell r="AA58">
            <v>62.431999999999938</v>
          </cell>
          <cell r="AB58">
            <v>-25.881000000000014</v>
          </cell>
          <cell r="AC58">
            <v>6.1860000000000497</v>
          </cell>
          <cell r="AD58">
            <v>-41.465999999999994</v>
          </cell>
          <cell r="AE58">
            <v>39.333999999999946</v>
          </cell>
          <cell r="AF58">
            <v>-6.7670000000000101</v>
          </cell>
          <cell r="AG58">
            <v>99.157999999999888</v>
          </cell>
          <cell r="AH58">
            <v>-71.022999999999911</v>
          </cell>
          <cell r="AI58">
            <v>88.72399999999999</v>
          </cell>
          <cell r="AJ58">
            <v>-92.760000000000048</v>
          </cell>
          <cell r="AK58">
            <v>-37.174999999999955</v>
          </cell>
          <cell r="AL58">
            <v>23.537000000000006</v>
          </cell>
          <cell r="AM58">
            <v>3.5420000000000584</v>
          </cell>
          <cell r="AN58">
            <v>-27.128000000000014</v>
          </cell>
          <cell r="AO58">
            <v>4.8810000000000286</v>
          </cell>
          <cell r="AP58">
            <v>116.74799999999999</v>
          </cell>
          <cell r="AQ58">
            <v>74.062000000000054</v>
          </cell>
          <cell r="AR58">
            <v>-234.113</v>
          </cell>
          <cell r="AS58">
            <v>165.87</v>
          </cell>
          <cell r="AT58">
            <v>-130.28600000000017</v>
          </cell>
          <cell r="AU58">
            <v>-49.611999999999796</v>
          </cell>
          <cell r="AV58">
            <v>88.510000000000076</v>
          </cell>
          <cell r="AW58">
            <v>30.497000000000043</v>
          </cell>
          <cell r="AX58">
            <v>-85.894999999999982</v>
          </cell>
          <cell r="AY58">
            <v>76.84199999999997</v>
          </cell>
          <cell r="AZ58">
            <v>159.96099999999998</v>
          </cell>
          <cell r="BA58">
            <v>20.599000000000004</v>
          </cell>
          <cell r="BB58">
            <v>-93.963000000000093</v>
          </cell>
          <cell r="BC58">
            <v>17.619000000000025</v>
          </cell>
          <cell r="BD58">
            <v>105.59400000000002</v>
          </cell>
          <cell r="BE58">
            <v>-49.994000000000064</v>
          </cell>
          <cell r="BF58">
            <v>68.984999999999985</v>
          </cell>
          <cell r="BG58">
            <v>512.08499999999992</v>
          </cell>
          <cell r="BH58">
            <v>-521.13970000000006</v>
          </cell>
          <cell r="BI58">
            <v>-30.281000000000056</v>
          </cell>
          <cell r="BJ58">
            <v>-155.03599999999994</v>
          </cell>
          <cell r="BK58">
            <v>-128.07149109433226</v>
          </cell>
          <cell r="BL58">
            <v>26.826173788524414</v>
          </cell>
          <cell r="BM58">
            <v>100.97465419851304</v>
          </cell>
          <cell r="BN58">
            <v>144.82367909495454</v>
          </cell>
          <cell r="BO58">
            <v>153.86134397789499</v>
          </cell>
          <cell r="BP58">
            <v>207.84602659573767</v>
          </cell>
          <cell r="BQ58">
            <v>245.10196364876691</v>
          </cell>
          <cell r="BR58">
            <v>252.97388152771632</v>
          </cell>
          <cell r="BS58">
            <v>259.38047238609181</v>
          </cell>
        </row>
        <row r="59">
          <cell r="A59" t="str">
            <v>Cash &amp; Equivalents - Beginning</v>
          </cell>
          <cell r="C59">
            <v>35.957999999999998</v>
          </cell>
          <cell r="D59">
            <v>127.2919999999999</v>
          </cell>
          <cell r="E59">
            <v>105.46499999999989</v>
          </cell>
          <cell r="F59">
            <v>215.55699999999979</v>
          </cell>
          <cell r="G59">
            <v>112.70099999999974</v>
          </cell>
          <cell r="H59">
            <v>281.26399999999984</v>
          </cell>
          <cell r="I59">
            <v>33.123000000000161</v>
          </cell>
          <cell r="J59">
            <v>143.07700000000023</v>
          </cell>
          <cell r="K59">
            <v>247.29300000000023</v>
          </cell>
          <cell r="L59">
            <v>883.96300000000042</v>
          </cell>
          <cell r="M59">
            <v>49.434808905668888</v>
          </cell>
          <cell r="N59">
            <v>475.92065996555596</v>
          </cell>
          <cell r="O59">
            <v>1441.223004123869</v>
          </cell>
          <cell r="P59">
            <v>2148.7511497629757</v>
          </cell>
          <cell r="Q59">
            <v>2563.6691058852698</v>
          </cell>
          <cell r="R59">
            <v>3002.0723766987667</v>
          </cell>
          <cell r="S59">
            <v>3451.3904741795523</v>
          </cell>
          <cell r="T59">
            <v>3922.6989413739684</v>
          </cell>
          <cell r="U59">
            <v>4398.6591129152985</v>
          </cell>
          <cell r="V59">
            <v>4903.534024764951</v>
          </cell>
          <cell r="X59">
            <v>35.957999999999998</v>
          </cell>
          <cell r="Y59">
            <v>29.563999999999893</v>
          </cell>
          <cell r="Z59">
            <v>29.470999999999894</v>
          </cell>
          <cell r="AA59">
            <v>64.8599999999999</v>
          </cell>
          <cell r="AB59">
            <v>127.29199999999983</v>
          </cell>
          <cell r="AC59">
            <v>101.41099999999982</v>
          </cell>
          <cell r="AD59">
            <v>107.59699999999987</v>
          </cell>
          <cell r="AE59">
            <v>66.130999999999872</v>
          </cell>
          <cell r="AF59">
            <v>105.46499999999982</v>
          </cell>
          <cell r="AG59">
            <v>98.697999999999809</v>
          </cell>
          <cell r="AH59">
            <v>197.85599999999971</v>
          </cell>
          <cell r="AI59">
            <v>126.8329999999998</v>
          </cell>
          <cell r="AJ59">
            <v>215.55699999999979</v>
          </cell>
          <cell r="AK59">
            <v>122.79699999999974</v>
          </cell>
          <cell r="AL59">
            <v>85.621999999999787</v>
          </cell>
          <cell r="AM59">
            <v>109.15899999999979</v>
          </cell>
          <cell r="AN59">
            <v>112.70099999999985</v>
          </cell>
          <cell r="AO59">
            <v>85.572999999999837</v>
          </cell>
          <cell r="AP59">
            <v>90.453999999999866</v>
          </cell>
          <cell r="AQ59">
            <v>207.20199999999986</v>
          </cell>
          <cell r="AR59">
            <v>281.2639999999999</v>
          </cell>
          <cell r="AS59">
            <v>47.150999999999897</v>
          </cell>
          <cell r="AT59">
            <v>213.0209999999999</v>
          </cell>
          <cell r="AU59">
            <v>82.734999999999729</v>
          </cell>
          <cell r="AV59">
            <v>33.122999999999934</v>
          </cell>
          <cell r="AW59">
            <v>121.63300000000001</v>
          </cell>
          <cell r="AX59">
            <v>152.13000000000005</v>
          </cell>
          <cell r="AY59">
            <v>66.23500000000007</v>
          </cell>
          <cell r="AZ59">
            <v>143.07700000000006</v>
          </cell>
          <cell r="BA59">
            <v>303.03800000000001</v>
          </cell>
          <cell r="BB59">
            <v>323.637</v>
          </cell>
          <cell r="BC59">
            <v>229.67399999999992</v>
          </cell>
          <cell r="BD59">
            <v>247.29299999999995</v>
          </cell>
          <cell r="BE59">
            <v>352.88699999999994</v>
          </cell>
          <cell r="BF59">
            <v>302.89299999999986</v>
          </cell>
          <cell r="BG59">
            <v>371.87799999999982</v>
          </cell>
          <cell r="BH59">
            <v>883.96299999999974</v>
          </cell>
          <cell r="BI59">
            <v>362.82329999999968</v>
          </cell>
          <cell r="BJ59">
            <v>332.54229999999961</v>
          </cell>
          <cell r="BK59">
            <v>177.50629999999967</v>
          </cell>
          <cell r="BL59">
            <v>49.43480890566741</v>
          </cell>
          <cell r="BM59">
            <v>76.260982694191824</v>
          </cell>
          <cell r="BN59">
            <v>177.23563689270486</v>
          </cell>
          <cell r="BO59">
            <v>322.05931598765937</v>
          </cell>
          <cell r="BP59">
            <v>475.92065996555436</v>
          </cell>
          <cell r="BQ59">
            <v>683.76668656129209</v>
          </cell>
          <cell r="BR59">
            <v>928.86865021005906</v>
          </cell>
          <cell r="BS59">
            <v>1181.8425317377753</v>
          </cell>
        </row>
        <row r="60">
          <cell r="A60" t="str">
            <v>Cash &amp; Equivalents - Ending</v>
          </cell>
          <cell r="C60">
            <v>127.2919999999999</v>
          </cell>
          <cell r="D60">
            <v>105.46499999999989</v>
          </cell>
          <cell r="E60">
            <v>215.55699999999979</v>
          </cell>
          <cell r="F60">
            <v>112.70099999999974</v>
          </cell>
          <cell r="G60">
            <v>281.26399999999984</v>
          </cell>
          <cell r="H60">
            <v>33.123000000000161</v>
          </cell>
          <cell r="I60">
            <v>143.07700000000023</v>
          </cell>
          <cell r="J60">
            <v>247.29300000000023</v>
          </cell>
          <cell r="K60">
            <v>883.96300000000042</v>
          </cell>
          <cell r="L60">
            <v>49.434808905668888</v>
          </cell>
          <cell r="M60">
            <v>475.92065996555596</v>
          </cell>
          <cell r="N60">
            <v>1441.223004123869</v>
          </cell>
          <cell r="O60">
            <v>2148.7511497629757</v>
          </cell>
          <cell r="P60">
            <v>2563.6691058852698</v>
          </cell>
          <cell r="Q60">
            <v>3002.0723766987667</v>
          </cell>
          <cell r="R60">
            <v>3451.3904741795523</v>
          </cell>
          <cell r="S60">
            <v>3922.6989413739684</v>
          </cell>
          <cell r="T60">
            <v>4398.6591129152985</v>
          </cell>
          <cell r="U60">
            <v>4903.534024764951</v>
          </cell>
          <cell r="V60">
            <v>5414.6556283865457</v>
          </cell>
          <cell r="X60">
            <v>29.563999999999893</v>
          </cell>
          <cell r="Y60">
            <v>29.470999999999894</v>
          </cell>
          <cell r="Z60">
            <v>64.8599999999999</v>
          </cell>
          <cell r="AA60">
            <v>127.29199999999983</v>
          </cell>
          <cell r="AB60">
            <v>101.41099999999982</v>
          </cell>
          <cell r="AC60">
            <v>107.59699999999987</v>
          </cell>
          <cell r="AD60">
            <v>66.130999999999872</v>
          </cell>
          <cell r="AE60">
            <v>105.46499999999982</v>
          </cell>
          <cell r="AF60">
            <v>98.697999999999809</v>
          </cell>
          <cell r="AG60">
            <v>197.85599999999971</v>
          </cell>
          <cell r="AH60">
            <v>126.8329999999998</v>
          </cell>
          <cell r="AI60">
            <v>215.55699999999979</v>
          </cell>
          <cell r="AJ60">
            <v>122.79699999999974</v>
          </cell>
          <cell r="AK60">
            <v>85.621999999999787</v>
          </cell>
          <cell r="AL60">
            <v>109.15899999999979</v>
          </cell>
          <cell r="AM60">
            <v>112.70099999999985</v>
          </cell>
          <cell r="AN60">
            <v>85.572999999999837</v>
          </cell>
          <cell r="AO60">
            <v>90.453999999999866</v>
          </cell>
          <cell r="AP60">
            <v>207.20199999999986</v>
          </cell>
          <cell r="AQ60">
            <v>281.2639999999999</v>
          </cell>
          <cell r="AR60">
            <v>47.150999999999897</v>
          </cell>
          <cell r="AS60">
            <v>213.0209999999999</v>
          </cell>
          <cell r="AT60">
            <v>82.734999999999729</v>
          </cell>
          <cell r="AU60">
            <v>33.122999999999934</v>
          </cell>
          <cell r="AV60">
            <v>121.63300000000001</v>
          </cell>
          <cell r="AW60">
            <v>152.13000000000005</v>
          </cell>
          <cell r="AX60">
            <v>66.23500000000007</v>
          </cell>
          <cell r="AY60">
            <v>143.07700000000006</v>
          </cell>
          <cell r="AZ60">
            <v>303.03800000000001</v>
          </cell>
          <cell r="BA60">
            <v>323.637</v>
          </cell>
          <cell r="BB60">
            <v>229.67399999999992</v>
          </cell>
          <cell r="BC60">
            <v>247.29299999999995</v>
          </cell>
          <cell r="BD60">
            <v>352.88699999999994</v>
          </cell>
          <cell r="BE60">
            <v>302.89299999999986</v>
          </cell>
          <cell r="BF60">
            <v>371.87799999999982</v>
          </cell>
          <cell r="BG60">
            <v>883.96299999999974</v>
          </cell>
          <cell r="BH60">
            <v>362.82329999999968</v>
          </cell>
          <cell r="BI60">
            <v>332.54229999999961</v>
          </cell>
          <cell r="BJ60">
            <v>177.50629999999967</v>
          </cell>
          <cell r="BK60">
            <v>49.43480890566741</v>
          </cell>
          <cell r="BL60">
            <v>76.260982694191824</v>
          </cell>
          <cell r="BM60">
            <v>177.23563689270486</v>
          </cell>
          <cell r="BN60">
            <v>322.05931598765937</v>
          </cell>
          <cell r="BO60">
            <v>475.92065996555436</v>
          </cell>
          <cell r="BP60">
            <v>683.76668656129209</v>
          </cell>
          <cell r="BQ60">
            <v>928.86865021005906</v>
          </cell>
          <cell r="BR60">
            <v>1181.8425317377753</v>
          </cell>
          <cell r="BS60">
            <v>1441.2230041238672</v>
          </cell>
        </row>
        <row r="61">
          <cell r="C61" t="str">
            <v/>
          </cell>
          <cell r="D61" t="str">
            <v/>
          </cell>
          <cell r="E61" t="str">
            <v/>
          </cell>
          <cell r="F61" t="str">
            <v/>
          </cell>
          <cell r="G61" t="str">
            <v/>
          </cell>
          <cell r="H61" t="str">
            <v/>
          </cell>
          <cell r="I61" t="str">
            <v/>
          </cell>
          <cell r="J61" t="str">
            <v/>
          </cell>
          <cell r="K61" t="str">
            <v/>
          </cell>
          <cell r="L61" t="str">
            <v/>
          </cell>
          <cell r="Q61" t="str">
            <v/>
          </cell>
          <cell r="R61" t="str">
            <v/>
          </cell>
          <cell r="S61" t="str">
            <v/>
          </cell>
          <cell r="T61" t="str">
            <v/>
          </cell>
          <cell r="U61" t="str">
            <v/>
          </cell>
          <cell r="V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
          </cell>
          <cell r="BG61" t="str">
            <v/>
          </cell>
          <cell r="BH61" t="str">
            <v/>
          </cell>
          <cell r="BI61" t="str">
            <v/>
          </cell>
          <cell r="BJ61" t="str">
            <v/>
          </cell>
        </row>
        <row r="63">
          <cell r="A63" t="str">
            <v>Free Cash Flow (FCF) Calculation</v>
          </cell>
        </row>
        <row r="64">
          <cell r="A64" t="str">
            <v xml:space="preserve"> EBITDA</v>
          </cell>
          <cell r="D64">
            <v>375.99999999999994</v>
          </cell>
          <cell r="E64">
            <v>437.39500000000004</v>
          </cell>
          <cell r="F64">
            <v>600.66799999999989</v>
          </cell>
          <cell r="G64">
            <v>868.23399999999992</v>
          </cell>
          <cell r="H64">
            <v>978.89499999999975</v>
          </cell>
          <cell r="I64">
            <v>1092.3339999999998</v>
          </cell>
          <cell r="J64">
            <v>1180.9250000000002</v>
          </cell>
          <cell r="K64">
            <v>1347.748</v>
          </cell>
          <cell r="L64">
            <v>1584.1703752296016</v>
          </cell>
          <cell r="M64">
            <v>1899.6846804226077</v>
          </cell>
          <cell r="N64">
            <v>2122.0781174777685</v>
          </cell>
          <cell r="O64">
            <v>2244.7461118657193</v>
          </cell>
          <cell r="P64">
            <v>2336.1055787614168</v>
          </cell>
          <cell r="Q64">
            <v>2423.9947553852789</v>
          </cell>
          <cell r="R64">
            <v>2502.285984603026</v>
          </cell>
          <cell r="S64">
            <v>2570.4468457851262</v>
          </cell>
          <cell r="T64">
            <v>2628.0687491998037</v>
          </cell>
          <cell r="U64">
            <v>2673.5731586637175</v>
          </cell>
          <cell r="V64">
            <v>2708.2575515914632</v>
          </cell>
          <cell r="AB64">
            <v>85.132999999999981</v>
          </cell>
          <cell r="AC64">
            <v>92.46</v>
          </cell>
          <cell r="AD64">
            <v>97.564000000000021</v>
          </cell>
          <cell r="AE64">
            <v>100.84299999999999</v>
          </cell>
          <cell r="AF64">
            <v>103.015</v>
          </cell>
          <cell r="AG64">
            <v>107.62800000000001</v>
          </cell>
          <cell r="AH64">
            <v>112.63199999999999</v>
          </cell>
          <cell r="AI64">
            <v>114.12</v>
          </cell>
          <cell r="AJ64">
            <v>117.29199999999999</v>
          </cell>
          <cell r="AK64">
            <v>122.35600000000001</v>
          </cell>
          <cell r="AL64">
            <v>165.709</v>
          </cell>
          <cell r="AM64">
            <v>195.31100000000001</v>
          </cell>
          <cell r="AN64">
            <v>215.49299999999999</v>
          </cell>
          <cell r="AO64">
            <v>216.447</v>
          </cell>
          <cell r="AP64">
            <v>217.78800000000004</v>
          </cell>
          <cell r="AQ64">
            <v>218.506</v>
          </cell>
          <cell r="AR64">
            <v>236.30999999999995</v>
          </cell>
          <cell r="AS64">
            <v>241.44799999999998</v>
          </cell>
          <cell r="AT64">
            <v>248.62799999999999</v>
          </cell>
          <cell r="AU64">
            <v>252.50899999999999</v>
          </cell>
          <cell r="AV64">
            <v>262.52200000000005</v>
          </cell>
          <cell r="AW64">
            <v>272.25100000000003</v>
          </cell>
          <cell r="AX64">
            <v>277.52700000000004</v>
          </cell>
          <cell r="AY64">
            <v>280.03399999999999</v>
          </cell>
          <cell r="AZ64">
            <v>281.17900000000003</v>
          </cell>
          <cell r="BA64">
            <v>287.34499999999997</v>
          </cell>
          <cell r="BB64">
            <v>304.18099999999993</v>
          </cell>
          <cell r="BC64">
            <v>308.22000000000003</v>
          </cell>
          <cell r="BD64">
            <v>311.50200000000001</v>
          </cell>
          <cell r="BE64">
            <v>320.96899999999999</v>
          </cell>
          <cell r="BF64">
            <v>349.99199999999996</v>
          </cell>
          <cell r="BG64">
            <v>365.28500000000008</v>
          </cell>
          <cell r="BH64">
            <v>377.09199999999998</v>
          </cell>
          <cell r="BI64">
            <v>389.11399999999998</v>
          </cell>
          <cell r="BJ64">
            <v>398.86900000000003</v>
          </cell>
          <cell r="BK64">
            <v>419.09537522960113</v>
          </cell>
          <cell r="BL64">
            <v>433.46381677239697</v>
          </cell>
          <cell r="BM64">
            <v>468.81750926192603</v>
          </cell>
          <cell r="BN64">
            <v>490.50401321550373</v>
          </cell>
          <cell r="BO64">
            <v>506.89934117278085</v>
          </cell>
          <cell r="BP64">
            <v>508.10333721571573</v>
          </cell>
          <cell r="BQ64">
            <v>525.42522366686853</v>
          </cell>
          <cell r="BR64">
            <v>539.58215515715813</v>
          </cell>
          <cell r="BS64">
            <v>548.96740143802583</v>
          </cell>
        </row>
        <row r="65">
          <cell r="A65" t="str">
            <v xml:space="preserve"> - Capex / Acquisitions</v>
          </cell>
          <cell r="D65">
            <v>156.685</v>
          </cell>
          <cell r="E65">
            <v>75.583999999999989</v>
          </cell>
          <cell r="F65">
            <v>103.386</v>
          </cell>
          <cell r="G65">
            <v>141.435</v>
          </cell>
          <cell r="H65">
            <v>198.34300000000002</v>
          </cell>
          <cell r="I65">
            <v>286.30099999999999</v>
          </cell>
          <cell r="J65">
            <v>545.86500000000001</v>
          </cell>
          <cell r="K65">
            <v>1246.27</v>
          </cell>
          <cell r="L65">
            <v>2716.8926528140773</v>
          </cell>
          <cell r="M65">
            <v>828.46184825202045</v>
          </cell>
          <cell r="N65">
            <v>449.81266773343339</v>
          </cell>
          <cell r="O65">
            <v>422.2</v>
          </cell>
          <cell r="P65">
            <v>432.5</v>
          </cell>
          <cell r="Q65">
            <v>426</v>
          </cell>
          <cell r="R65">
            <v>433.5</v>
          </cell>
          <cell r="S65">
            <v>421</v>
          </cell>
          <cell r="T65">
            <v>426</v>
          </cell>
          <cell r="U65">
            <v>406</v>
          </cell>
          <cell r="V65">
            <v>408.5</v>
          </cell>
          <cell r="AB65">
            <v>49.341999999999999</v>
          </cell>
          <cell r="AC65">
            <v>24.444999999999997</v>
          </cell>
          <cell r="AD65">
            <v>48.136999999999986</v>
          </cell>
          <cell r="AE65">
            <v>34.76100000000001</v>
          </cell>
          <cell r="AF65">
            <v>24.204999999999998</v>
          </cell>
          <cell r="AG65">
            <v>12.814000000000002</v>
          </cell>
          <cell r="AH65">
            <v>19.436</v>
          </cell>
          <cell r="AI65">
            <v>19.128999999999994</v>
          </cell>
          <cell r="AJ65">
            <v>24.082999999999998</v>
          </cell>
          <cell r="AK65">
            <v>23.897000000000006</v>
          </cell>
          <cell r="AL65">
            <v>24.185999999999996</v>
          </cell>
          <cell r="AM65">
            <v>31.22</v>
          </cell>
          <cell r="AN65">
            <v>29.1</v>
          </cell>
          <cell r="AO65">
            <v>30.773999999999994</v>
          </cell>
          <cell r="AP65">
            <v>40.891000000000005</v>
          </cell>
          <cell r="AQ65">
            <v>40.669999999999995</v>
          </cell>
          <cell r="AR65">
            <v>41.506</v>
          </cell>
          <cell r="AS65">
            <v>40.076000000000001</v>
          </cell>
          <cell r="AT65">
            <v>46.077999999999989</v>
          </cell>
          <cell r="AU65">
            <v>70.683000000000021</v>
          </cell>
          <cell r="AV65">
            <v>72.936999999999998</v>
          </cell>
          <cell r="AW65">
            <v>56.515999999999991</v>
          </cell>
          <cell r="AX65">
            <v>68.373999999999995</v>
          </cell>
          <cell r="AY65">
            <v>88.474000000000004</v>
          </cell>
          <cell r="AZ65">
            <v>50.772000000000006</v>
          </cell>
          <cell r="BA65">
            <v>156.34800000000001</v>
          </cell>
          <cell r="BB65">
            <v>136.48199999999997</v>
          </cell>
          <cell r="BC65">
            <v>202.26300000000001</v>
          </cell>
          <cell r="BD65">
            <v>143.54399999999998</v>
          </cell>
          <cell r="BE65">
            <v>121.438</v>
          </cell>
          <cell r="BF65">
            <v>547.76800000000003</v>
          </cell>
          <cell r="BG65">
            <v>433.52000000000004</v>
          </cell>
          <cell r="BH65">
            <v>715.24899999999991</v>
          </cell>
          <cell r="BI65">
            <v>413.88500000000005</v>
          </cell>
          <cell r="BJ65">
            <v>488.5259999999999</v>
          </cell>
          <cell r="BK65">
            <v>1099.2326528140777</v>
          </cell>
          <cell r="BL65">
            <v>225.96328367636352</v>
          </cell>
          <cell r="BM65">
            <v>225.96328367636352</v>
          </cell>
          <cell r="BN65">
            <v>188.26764044964668</v>
          </cell>
          <cell r="BO65">
            <v>188.26764044964668</v>
          </cell>
          <cell r="BP65">
            <v>112.45316693335835</v>
          </cell>
          <cell r="BQ65">
            <v>112.45316693335835</v>
          </cell>
          <cell r="BR65">
            <v>112.45316693335835</v>
          </cell>
          <cell r="BS65">
            <v>112.45316693335835</v>
          </cell>
        </row>
        <row r="66">
          <cell r="A66" t="str">
            <v xml:space="preserve"> - Net Interest Expense</v>
          </cell>
          <cell r="D66">
            <v>274.59999999999997</v>
          </cell>
          <cell r="E66">
            <v>257.39300000000003</v>
          </cell>
          <cell r="F66">
            <v>218.01700000000002</v>
          </cell>
          <cell r="G66">
            <v>206.64099999999999</v>
          </cell>
          <cell r="H66">
            <v>224.97600000000003</v>
          </cell>
          <cell r="I66">
            <v>250.17099999999999</v>
          </cell>
          <cell r="J66">
            <v>248.08100000000002</v>
          </cell>
          <cell r="K66">
            <v>240.99400000000003</v>
          </cell>
          <cell r="L66">
            <v>304.50068252750003</v>
          </cell>
          <cell r="M66">
            <v>336.51879956813258</v>
          </cell>
          <cell r="N66">
            <v>325.97274279188809</v>
          </cell>
          <cell r="O66">
            <v>353.93864045532843</v>
          </cell>
          <cell r="P66">
            <v>346.93649489551154</v>
          </cell>
          <cell r="Q66">
            <v>342.86516517808678</v>
          </cell>
          <cell r="R66">
            <v>338.56400862812342</v>
          </cell>
          <cell r="S66">
            <v>334.15906368399448</v>
          </cell>
          <cell r="T66">
            <v>329.53993113018271</v>
          </cell>
          <cell r="U66">
            <v>324.8749090875296</v>
          </cell>
          <cell r="V66">
            <v>319.92699575519453</v>
          </cell>
          <cell r="AB66">
            <v>70.816000000000003</v>
          </cell>
          <cell r="AC66">
            <v>69.270999999999987</v>
          </cell>
          <cell r="AD66">
            <v>67.728999999999999</v>
          </cell>
          <cell r="AE66">
            <v>66.784000000000006</v>
          </cell>
          <cell r="AF66">
            <v>68.042999999999992</v>
          </cell>
          <cell r="AG66">
            <v>66.899000000000001</v>
          </cell>
          <cell r="AH66">
            <v>64.465000000000003</v>
          </cell>
          <cell r="AI66">
            <v>57.985999999999997</v>
          </cell>
          <cell r="AJ66">
            <v>54.017000000000003</v>
          </cell>
          <cell r="AK66">
            <v>52.234999999999999</v>
          </cell>
          <cell r="AL66">
            <v>56.300000000000004</v>
          </cell>
          <cell r="AM66">
            <v>55.465000000000003</v>
          </cell>
          <cell r="AN66">
            <v>52.899000000000001</v>
          </cell>
          <cell r="AO66">
            <v>52.318999999999996</v>
          </cell>
          <cell r="AP66">
            <v>52.155999999999999</v>
          </cell>
          <cell r="AQ66">
            <v>49.266999999999996</v>
          </cell>
          <cell r="AR66">
            <v>49.657000000000004</v>
          </cell>
          <cell r="AS66">
            <v>55.16</v>
          </cell>
          <cell r="AT66">
            <v>57.573999999999998</v>
          </cell>
          <cell r="AU66">
            <v>62.585000000000001</v>
          </cell>
          <cell r="AV66">
            <v>64.551000000000002</v>
          </cell>
          <cell r="AW66">
            <v>61.529000000000003</v>
          </cell>
          <cell r="AX66">
            <v>62.528999999999996</v>
          </cell>
          <cell r="AY66">
            <v>61.561999999999998</v>
          </cell>
          <cell r="AZ66">
            <v>61.068999999999996</v>
          </cell>
          <cell r="BA66">
            <v>62.172000000000004</v>
          </cell>
          <cell r="BB66">
            <v>63.386000000000003</v>
          </cell>
          <cell r="BC66">
            <v>61.454000000000001</v>
          </cell>
          <cell r="BD66">
            <v>57.914999999999999</v>
          </cell>
          <cell r="BE66">
            <v>55.379999999999995</v>
          </cell>
          <cell r="BF66">
            <v>60.95</v>
          </cell>
          <cell r="BG66">
            <v>66.749000000000009</v>
          </cell>
          <cell r="BH66">
            <v>72.123000000000005</v>
          </cell>
          <cell r="BI66">
            <v>71.801000000000002</v>
          </cell>
          <cell r="BJ66">
            <v>75.974000000000004</v>
          </cell>
          <cell r="BK66">
            <v>84.602682527500008</v>
          </cell>
          <cell r="BL66">
            <v>84.390640021077076</v>
          </cell>
          <cell r="BM66">
            <v>84.327592641114549</v>
          </cell>
          <cell r="BN66">
            <v>84.079238848384165</v>
          </cell>
          <cell r="BO66">
            <v>83.721328057556789</v>
          </cell>
          <cell r="BP66">
            <v>82.340889755481854</v>
          </cell>
          <cell r="BQ66">
            <v>81.825557499305077</v>
          </cell>
          <cell r="BR66">
            <v>81.217154273113891</v>
          </cell>
          <cell r="BS66">
            <v>80.589141263987301</v>
          </cell>
        </row>
        <row r="67">
          <cell r="A67" t="str">
            <v xml:space="preserve"> - Working Capital</v>
          </cell>
          <cell r="D67">
            <v>21.314000000000007</v>
          </cell>
          <cell r="E67">
            <v>34.548000000000002</v>
          </cell>
          <cell r="F67">
            <v>16.073999999999995</v>
          </cell>
          <cell r="G67">
            <v>74.77300000000001</v>
          </cell>
          <cell r="H67">
            <v>28.271000000000001</v>
          </cell>
          <cell r="I67">
            <v>40.923999999999999</v>
          </cell>
          <cell r="J67">
            <v>0</v>
          </cell>
          <cell r="K67">
            <v>0</v>
          </cell>
          <cell r="L67">
            <v>-11.45706464987704</v>
          </cell>
          <cell r="M67">
            <v>11.782357754088906</v>
          </cell>
          <cell r="N67">
            <v>-1.3706603447110126</v>
          </cell>
          <cell r="O67">
            <v>-0.87429462280348957</v>
          </cell>
          <cell r="P67">
            <v>1.194222325363512</v>
          </cell>
          <cell r="Q67">
            <v>1.3602437614032397</v>
          </cell>
          <cell r="R67">
            <v>1.5367433000519384</v>
          </cell>
          <cell r="S67">
            <v>1.8296818789723659</v>
          </cell>
          <cell r="T67">
            <v>1.9612644309338236</v>
          </cell>
          <cell r="U67">
            <v>2.0664682579584053</v>
          </cell>
          <cell r="V67">
            <v>2.1405801891920078</v>
          </cell>
          <cell r="AB67">
            <v>0</v>
          </cell>
          <cell r="AC67">
            <v>0</v>
          </cell>
          <cell r="AD67">
            <v>0</v>
          </cell>
          <cell r="AE67">
            <v>0</v>
          </cell>
          <cell r="AF67">
            <v>0</v>
          </cell>
          <cell r="AG67">
            <v>0</v>
          </cell>
          <cell r="AH67">
            <v>0</v>
          </cell>
          <cell r="AI67">
            <v>0</v>
          </cell>
          <cell r="AJ67">
            <v>0</v>
          </cell>
          <cell r="AK67">
            <v>0</v>
          </cell>
          <cell r="AL67">
            <v>0</v>
          </cell>
          <cell r="AM67">
            <v>33.190999999999995</v>
          </cell>
          <cell r="AN67">
            <v>0</v>
          </cell>
          <cell r="AO67">
            <v>0</v>
          </cell>
          <cell r="AP67">
            <v>0</v>
          </cell>
          <cell r="AQ67">
            <v>74.77300000000001</v>
          </cell>
          <cell r="AR67">
            <v>0</v>
          </cell>
          <cell r="AS67">
            <v>0</v>
          </cell>
          <cell r="AT67">
            <v>0</v>
          </cell>
          <cell r="AU67">
            <v>28.271000000000001</v>
          </cell>
          <cell r="AV67">
            <v>0</v>
          </cell>
          <cell r="AW67">
            <v>0</v>
          </cell>
          <cell r="AX67">
            <v>0</v>
          </cell>
          <cell r="AY67">
            <v>40.923999999999999</v>
          </cell>
          <cell r="AZ67">
            <v>0</v>
          </cell>
          <cell r="BA67">
            <v>-0.35599999999999998</v>
          </cell>
          <cell r="BB67">
            <v>-0.224</v>
          </cell>
          <cell r="BC67">
            <v>4.8000000000000001E-2</v>
          </cell>
          <cell r="BD67">
            <v>0</v>
          </cell>
          <cell r="BE67">
            <v>0</v>
          </cell>
          <cell r="BF67">
            <v>0</v>
          </cell>
          <cell r="BG67">
            <v>0</v>
          </cell>
          <cell r="BH67">
            <v>0</v>
          </cell>
          <cell r="BI67">
            <v>0</v>
          </cell>
          <cell r="BJ67">
            <v>0</v>
          </cell>
          <cell r="BK67">
            <v>-11.45706464987704</v>
          </cell>
          <cell r="BL67">
            <v>13.84015604072836</v>
          </cell>
          <cell r="BM67">
            <v>-0.93659712258687478</v>
          </cell>
          <cell r="BN67">
            <v>-0.62127171616693033</v>
          </cell>
          <cell r="BO67">
            <v>-0.49992944788564841</v>
          </cell>
          <cell r="BP67">
            <v>-5.9845774514172945E-2</v>
          </cell>
          <cell r="BQ67">
            <v>-0.52075509822091703</v>
          </cell>
          <cell r="BR67">
            <v>-0.44924300460183986</v>
          </cell>
          <cell r="BS67">
            <v>-0.34081646737408278</v>
          </cell>
        </row>
        <row r="68">
          <cell r="A68" t="str">
            <v xml:space="preserve"> - Cash Taxes</v>
          </cell>
          <cell r="D68">
            <v>2.609</v>
          </cell>
          <cell r="E68">
            <v>4.2569999999999997</v>
          </cell>
          <cell r="F68">
            <v>18.518999999999998</v>
          </cell>
          <cell r="G68">
            <v>26.474000000000004</v>
          </cell>
          <cell r="H68">
            <v>35.313000000000002</v>
          </cell>
          <cell r="I68">
            <v>35.061999999999998</v>
          </cell>
          <cell r="J68">
            <v>40.213999999999999</v>
          </cell>
          <cell r="K68">
            <v>36.381</v>
          </cell>
          <cell r="L68">
            <v>63.807999999999993</v>
          </cell>
          <cell r="M68">
            <v>3.299689806430401</v>
          </cell>
          <cell r="N68">
            <v>4.080239682142242</v>
          </cell>
          <cell r="O68">
            <v>4.5233627570231718</v>
          </cell>
          <cell r="P68">
            <v>4.8803952558684456</v>
          </cell>
          <cell r="Q68">
            <v>5.1891775033019609</v>
          </cell>
          <cell r="R68">
            <v>5.4533940242101107</v>
          </cell>
          <cell r="S68">
            <v>5.6717044193611557</v>
          </cell>
          <cell r="T68">
            <v>5.8439667506207851</v>
          </cell>
          <cell r="U68">
            <v>5.964734932127457</v>
          </cell>
          <cell r="V68">
            <v>6.0402951358851382</v>
          </cell>
          <cell r="AB68">
            <v>0.27600000000000002</v>
          </cell>
          <cell r="AC68">
            <v>0.8819999999999999</v>
          </cell>
          <cell r="AD68">
            <v>0.45500000000000007</v>
          </cell>
          <cell r="AE68">
            <v>0.996</v>
          </cell>
          <cell r="AF68">
            <v>0.27900000000000003</v>
          </cell>
          <cell r="AG68">
            <v>0.71</v>
          </cell>
          <cell r="AH68">
            <v>0.91299999999999992</v>
          </cell>
          <cell r="AI68">
            <v>2.355</v>
          </cell>
          <cell r="AJ68">
            <v>0.95799999999999996</v>
          </cell>
          <cell r="AK68">
            <v>1.873</v>
          </cell>
          <cell r="AL68">
            <v>11.121</v>
          </cell>
          <cell r="AM68">
            <v>4.5669999999999975</v>
          </cell>
          <cell r="AN68">
            <v>7.3330000000000002</v>
          </cell>
          <cell r="AO68">
            <v>6.3019999999999996</v>
          </cell>
          <cell r="AP68">
            <v>5.9530000000000012</v>
          </cell>
          <cell r="AQ68">
            <v>6.886000000000001</v>
          </cell>
          <cell r="AR68">
            <v>4.5469999999999997</v>
          </cell>
          <cell r="AS68">
            <v>10.431999999999999</v>
          </cell>
          <cell r="AT68">
            <v>5.0630000000000033</v>
          </cell>
          <cell r="AU68">
            <v>15.271000000000001</v>
          </cell>
          <cell r="AV68">
            <v>11.72</v>
          </cell>
          <cell r="AW68">
            <v>10.086</v>
          </cell>
          <cell r="AX68">
            <v>5.636000000000001</v>
          </cell>
          <cell r="AY68">
            <v>7.6199999999999957</v>
          </cell>
          <cell r="AZ68">
            <v>7.4939999999999998</v>
          </cell>
          <cell r="BA68">
            <v>11.501999999999999</v>
          </cell>
          <cell r="BB68">
            <v>13.763999999999999</v>
          </cell>
          <cell r="BC68">
            <v>7.4539999999999997</v>
          </cell>
          <cell r="BD68">
            <v>7.899</v>
          </cell>
          <cell r="BE68">
            <v>3.3579999999999997</v>
          </cell>
          <cell r="BF68">
            <v>11.663999999999998</v>
          </cell>
          <cell r="BG68">
            <v>13.46</v>
          </cell>
          <cell r="BH68">
            <v>13.477</v>
          </cell>
          <cell r="BI68">
            <v>14.818000000000001</v>
          </cell>
          <cell r="BJ68">
            <v>20.512999999999995</v>
          </cell>
          <cell r="BK68">
            <v>15</v>
          </cell>
          <cell r="BL68">
            <v>0.67678901966725136</v>
          </cell>
          <cell r="BM68">
            <v>0.80448820361335882</v>
          </cell>
          <cell r="BN68">
            <v>0.88578455390560706</v>
          </cell>
          <cell r="BO68">
            <v>0.93262802924418386</v>
          </cell>
          <cell r="BP68">
            <v>0.93938716833548475</v>
          </cell>
          <cell r="BQ68">
            <v>1.0031060942449053</v>
          </cell>
          <cell r="BR68">
            <v>1.0579144043231941</v>
          </cell>
          <cell r="BS68">
            <v>1.0798320152386576</v>
          </cell>
        </row>
        <row r="69">
          <cell r="D69" t="str">
            <v xml:space="preserve">______ </v>
          </cell>
          <cell r="E69" t="str">
            <v xml:space="preserve">______ </v>
          </cell>
          <cell r="F69" t="str">
            <v xml:space="preserve">______ </v>
          </cell>
          <cell r="G69" t="str">
            <v xml:space="preserve">______ </v>
          </cell>
          <cell r="H69" t="str">
            <v xml:space="preserve">______ </v>
          </cell>
          <cell r="I69" t="str">
            <v xml:space="preserve">______ </v>
          </cell>
          <cell r="J69" t="str">
            <v xml:space="preserve">______ </v>
          </cell>
          <cell r="K69" t="str">
            <v xml:space="preserve">______ </v>
          </cell>
          <cell r="L69" t="str">
            <v xml:space="preserve">______ </v>
          </cell>
          <cell r="M69" t="str">
            <v xml:space="preserve">______ </v>
          </cell>
          <cell r="N69" t="str">
            <v xml:space="preserve">______ </v>
          </cell>
          <cell r="O69" t="str">
            <v xml:space="preserve">______ </v>
          </cell>
          <cell r="P69" t="str">
            <v xml:space="preserve">______ </v>
          </cell>
          <cell r="Q69" t="str">
            <v xml:space="preserve">______ </v>
          </cell>
          <cell r="R69" t="str">
            <v xml:space="preserve">______ </v>
          </cell>
          <cell r="S69" t="str">
            <v xml:space="preserve">______ </v>
          </cell>
          <cell r="T69" t="str">
            <v xml:space="preserve">______ </v>
          </cell>
          <cell r="U69" t="str">
            <v xml:space="preserve">______ </v>
          </cell>
          <cell r="V69" t="str">
            <v xml:space="preserve">______ </v>
          </cell>
          <cell r="AB69" t="str">
            <v xml:space="preserve">______ </v>
          </cell>
          <cell r="AC69" t="str">
            <v xml:space="preserve">______ </v>
          </cell>
          <cell r="AD69" t="str">
            <v xml:space="preserve">______ </v>
          </cell>
          <cell r="AE69" t="str">
            <v xml:space="preserve">______ </v>
          </cell>
          <cell r="AF69" t="str">
            <v xml:space="preserve">______ </v>
          </cell>
          <cell r="AG69" t="str">
            <v xml:space="preserve">______ </v>
          </cell>
          <cell r="AH69" t="str">
            <v xml:space="preserve">______ </v>
          </cell>
          <cell r="AI69" t="str">
            <v xml:space="preserve">______ </v>
          </cell>
          <cell r="AJ69" t="str">
            <v xml:space="preserve">______ </v>
          </cell>
          <cell r="AK69" t="str">
            <v xml:space="preserve">______ </v>
          </cell>
          <cell r="AL69" t="str">
            <v xml:space="preserve">______ </v>
          </cell>
          <cell r="AM69" t="str">
            <v xml:space="preserve">______ </v>
          </cell>
          <cell r="AN69" t="str">
            <v xml:space="preserve">______ </v>
          </cell>
          <cell r="AO69" t="str">
            <v xml:space="preserve">______ </v>
          </cell>
          <cell r="AP69" t="str">
            <v xml:space="preserve">______ </v>
          </cell>
          <cell r="AQ69" t="str">
            <v xml:space="preserve">______ </v>
          </cell>
          <cell r="AR69" t="str">
            <v xml:space="preserve">______ </v>
          </cell>
          <cell r="AS69" t="str">
            <v xml:space="preserve">______ </v>
          </cell>
          <cell r="AT69" t="str">
            <v xml:space="preserve">______ </v>
          </cell>
          <cell r="AU69" t="str">
            <v xml:space="preserve">______ </v>
          </cell>
          <cell r="AV69" t="str">
            <v xml:space="preserve">______ </v>
          </cell>
          <cell r="AW69" t="str">
            <v xml:space="preserve">______ </v>
          </cell>
          <cell r="AX69" t="str">
            <v xml:space="preserve">______ </v>
          </cell>
          <cell r="AY69" t="str">
            <v xml:space="preserve">______ </v>
          </cell>
          <cell r="AZ69" t="str">
            <v xml:space="preserve">______ </v>
          </cell>
          <cell r="BA69" t="str">
            <v xml:space="preserve">______ </v>
          </cell>
          <cell r="BB69" t="str">
            <v xml:space="preserve">______ </v>
          </cell>
          <cell r="BC69" t="str">
            <v xml:space="preserve">______ </v>
          </cell>
          <cell r="BD69" t="str">
            <v xml:space="preserve">______ </v>
          </cell>
          <cell r="BE69" t="str">
            <v xml:space="preserve">______ </v>
          </cell>
          <cell r="BF69" t="str">
            <v xml:space="preserve">______ </v>
          </cell>
          <cell r="BG69" t="str">
            <v xml:space="preserve">______ </v>
          </cell>
          <cell r="BH69" t="str">
            <v xml:space="preserve">______ </v>
          </cell>
          <cell r="BI69" t="str">
            <v xml:space="preserve">______ </v>
          </cell>
          <cell r="BJ69" t="str">
            <v xml:space="preserve">______ </v>
          </cell>
          <cell r="BK69" t="str">
            <v xml:space="preserve">______ </v>
          </cell>
          <cell r="BL69" t="str">
            <v xml:space="preserve">______ </v>
          </cell>
          <cell r="BM69" t="str">
            <v xml:space="preserve">______ </v>
          </cell>
          <cell r="BN69" t="str">
            <v xml:space="preserve">______ </v>
          </cell>
          <cell r="BO69" t="str">
            <v xml:space="preserve">______ </v>
          </cell>
          <cell r="BP69" t="str">
            <v xml:space="preserve">______ </v>
          </cell>
          <cell r="BQ69" t="str">
            <v xml:space="preserve">______ </v>
          </cell>
          <cell r="BR69" t="str">
            <v xml:space="preserve">______ </v>
          </cell>
          <cell r="BS69" t="str">
            <v xml:space="preserve">______ </v>
          </cell>
        </row>
        <row r="70">
          <cell r="A70" t="str">
            <v>Total Free Cash Flow</v>
          </cell>
          <cell r="D70">
            <v>-79.208000000000027</v>
          </cell>
          <cell r="E70">
            <v>65.613</v>
          </cell>
          <cell r="F70">
            <v>244.67199999999985</v>
          </cell>
          <cell r="G70">
            <v>418.911</v>
          </cell>
          <cell r="H70">
            <v>491.99199999999973</v>
          </cell>
          <cell r="I70">
            <v>479.87599999999986</v>
          </cell>
          <cell r="J70">
            <v>346.76500000000016</v>
          </cell>
          <cell r="K70">
            <v>-175.89699999999996</v>
          </cell>
          <cell r="L70">
            <v>-1489.5738954620986</v>
          </cell>
          <cell r="M70">
            <v>719.62198504193532</v>
          </cell>
          <cell r="N70">
            <v>1343.5831276150157</v>
          </cell>
          <cell r="O70">
            <v>1464.9584032761711</v>
          </cell>
          <cell r="P70">
            <v>1550.5944662846734</v>
          </cell>
          <cell r="Q70">
            <v>1648.5801689424868</v>
          </cell>
          <cell r="R70">
            <v>1723.2318386506404</v>
          </cell>
          <cell r="S70">
            <v>1807.7863958027983</v>
          </cell>
          <cell r="T70">
            <v>1864.7235868880664</v>
          </cell>
          <cell r="U70">
            <v>1934.6670463861021</v>
          </cell>
          <cell r="V70">
            <v>1971.6496805111915</v>
          </cell>
          <cell r="AB70">
            <v>-35.301000000000023</v>
          </cell>
          <cell r="AC70">
            <v>-2.1379999999999857</v>
          </cell>
          <cell r="AD70">
            <v>-18.756999999999962</v>
          </cell>
          <cell r="AE70">
            <v>-1.6980000000000266</v>
          </cell>
          <cell r="AF70">
            <v>10.48800000000001</v>
          </cell>
          <cell r="AG70">
            <v>27.205000000000005</v>
          </cell>
          <cell r="AH70">
            <v>27.817999999999994</v>
          </cell>
          <cell r="AI70">
            <v>34.65000000000002</v>
          </cell>
          <cell r="AJ70">
            <v>38.233999999999988</v>
          </cell>
          <cell r="AK70">
            <v>44.351000000000006</v>
          </cell>
          <cell r="AL70">
            <v>74.10199999999999</v>
          </cell>
          <cell r="AM70">
            <v>70.868000000000009</v>
          </cell>
          <cell r="AN70">
            <v>126.161</v>
          </cell>
          <cell r="AO70">
            <v>127.05200000000002</v>
          </cell>
          <cell r="AP70">
            <v>118.78800000000004</v>
          </cell>
          <cell r="AQ70">
            <v>46.910000000000004</v>
          </cell>
          <cell r="AR70">
            <v>140.59999999999994</v>
          </cell>
          <cell r="AS70">
            <v>135.78</v>
          </cell>
          <cell r="AT70">
            <v>139.91299999999998</v>
          </cell>
          <cell r="AU70">
            <v>75.698999999999955</v>
          </cell>
          <cell r="AV70">
            <v>113.31400000000004</v>
          </cell>
          <cell r="AW70">
            <v>144.12000000000003</v>
          </cell>
          <cell r="AX70">
            <v>140.98800000000006</v>
          </cell>
          <cell r="AY70">
            <v>81.453999999999994</v>
          </cell>
          <cell r="AZ70">
            <v>161.84400000000005</v>
          </cell>
          <cell r="BA70">
            <v>57.678999999999959</v>
          </cell>
          <cell r="BB70">
            <v>90.772999999999968</v>
          </cell>
          <cell r="BC70">
            <v>37.001000000000019</v>
          </cell>
          <cell r="BD70">
            <v>102.14400000000003</v>
          </cell>
          <cell r="BE70">
            <v>140.79300000000001</v>
          </cell>
          <cell r="BF70">
            <v>-270.39000000000004</v>
          </cell>
          <cell r="BG70">
            <v>-148.44399999999999</v>
          </cell>
          <cell r="BH70">
            <v>-423.75699999999989</v>
          </cell>
          <cell r="BI70">
            <v>-111.39000000000007</v>
          </cell>
          <cell r="BJ70">
            <v>-186.14399999999986</v>
          </cell>
          <cell r="BK70">
            <v>-768.28289546209965</v>
          </cell>
          <cell r="BL70">
            <v>108.59294801456076</v>
          </cell>
          <cell r="BM70">
            <v>158.65874186342148</v>
          </cell>
          <cell r="BN70">
            <v>217.8926210797342</v>
          </cell>
          <cell r="BO70">
            <v>234.47767408421885</v>
          </cell>
          <cell r="BP70">
            <v>312.42973913305428</v>
          </cell>
          <cell r="BQ70">
            <v>330.66414823818104</v>
          </cell>
          <cell r="BR70">
            <v>345.30316255096449</v>
          </cell>
          <cell r="BS70">
            <v>355.18607769281556</v>
          </cell>
        </row>
        <row r="72">
          <cell r="A72" t="str">
            <v>Calculated Recurring Free Cash Flow Calculation</v>
          </cell>
        </row>
        <row r="73">
          <cell r="A73" t="str">
            <v xml:space="preserve"> EBITDA</v>
          </cell>
          <cell r="D73">
            <v>375.99999999999994</v>
          </cell>
          <cell r="E73">
            <v>437.39500000000004</v>
          </cell>
          <cell r="F73">
            <v>600.66799999999989</v>
          </cell>
          <cell r="G73">
            <v>868.23399999999992</v>
          </cell>
          <cell r="H73">
            <v>978.89499999999975</v>
          </cell>
          <cell r="I73">
            <v>1092.3339999999998</v>
          </cell>
          <cell r="J73">
            <v>1180.9250000000002</v>
          </cell>
          <cell r="K73">
            <v>1347.748</v>
          </cell>
          <cell r="L73">
            <v>1584.1703752296009</v>
          </cell>
          <cell r="M73">
            <v>1899.6846804226077</v>
          </cell>
          <cell r="N73">
            <v>2122.078117477768</v>
          </cell>
          <cell r="O73">
            <v>2244.7461118657193</v>
          </cell>
          <cell r="P73">
            <v>2336.1055787614168</v>
          </cell>
          <cell r="Q73">
            <v>2423.9947553852789</v>
          </cell>
          <cell r="R73">
            <v>2502.285984603026</v>
          </cell>
          <cell r="S73">
            <v>2570.4468457851262</v>
          </cell>
          <cell r="T73">
            <v>2628.0687491998037</v>
          </cell>
          <cell r="U73">
            <v>2673.5731586637175</v>
          </cell>
          <cell r="V73">
            <v>2708.2575515914632</v>
          </cell>
          <cell r="AB73">
            <v>85.132999999999981</v>
          </cell>
          <cell r="AC73">
            <v>92.46</v>
          </cell>
          <cell r="AD73">
            <v>97.564000000000021</v>
          </cell>
          <cell r="AE73">
            <v>100.84299999999999</v>
          </cell>
          <cell r="AF73">
            <v>103.015</v>
          </cell>
          <cell r="AG73">
            <v>107.62800000000001</v>
          </cell>
          <cell r="AH73">
            <v>112.63199999999999</v>
          </cell>
          <cell r="AI73">
            <v>114.12</v>
          </cell>
          <cell r="AJ73">
            <v>117.29199999999999</v>
          </cell>
          <cell r="AK73">
            <v>122.35600000000001</v>
          </cell>
          <cell r="AL73">
            <v>165.709</v>
          </cell>
          <cell r="AM73">
            <v>195.31100000000001</v>
          </cell>
          <cell r="AN73">
            <v>215.49299999999999</v>
          </cell>
          <cell r="AO73">
            <v>216.447</v>
          </cell>
          <cell r="AP73">
            <v>217.78800000000004</v>
          </cell>
          <cell r="AQ73">
            <v>218.506</v>
          </cell>
          <cell r="AR73">
            <v>236.30999999999995</v>
          </cell>
          <cell r="AS73">
            <v>241.44799999999998</v>
          </cell>
          <cell r="AT73">
            <v>248.62799999999999</v>
          </cell>
          <cell r="AU73">
            <v>252.50899999999999</v>
          </cell>
          <cell r="AV73">
            <v>262.52200000000005</v>
          </cell>
          <cell r="AW73">
            <v>272.25100000000003</v>
          </cell>
          <cell r="AX73">
            <v>277.52700000000004</v>
          </cell>
          <cell r="AY73">
            <v>280.03399999999999</v>
          </cell>
          <cell r="AZ73">
            <v>281.17900000000003</v>
          </cell>
          <cell r="BA73">
            <v>287.34499999999997</v>
          </cell>
          <cell r="BB73">
            <v>304.18099999999993</v>
          </cell>
          <cell r="BC73">
            <v>308.22000000000003</v>
          </cell>
          <cell r="BD73">
            <v>311.50200000000001</v>
          </cell>
          <cell r="BE73">
            <v>320.96899999999999</v>
          </cell>
          <cell r="BF73">
            <v>349.99199999999996</v>
          </cell>
          <cell r="BG73">
            <v>365.28500000000008</v>
          </cell>
          <cell r="BH73">
            <v>377.09199999999998</v>
          </cell>
          <cell r="BI73">
            <v>389.11399999999998</v>
          </cell>
          <cell r="BJ73">
            <v>398.86900000000003</v>
          </cell>
          <cell r="BK73">
            <v>419.09537522960113</v>
          </cell>
          <cell r="BL73">
            <v>433.46381677239697</v>
          </cell>
          <cell r="BM73">
            <v>468.81750926192603</v>
          </cell>
          <cell r="BN73">
            <v>490.50401321550373</v>
          </cell>
          <cell r="BO73">
            <v>506.89934117278085</v>
          </cell>
          <cell r="BP73">
            <v>508.10333721571573</v>
          </cell>
          <cell r="BQ73">
            <v>525.42522366686853</v>
          </cell>
          <cell r="BR73">
            <v>539.58215515715813</v>
          </cell>
          <cell r="BS73">
            <v>548.96740143802583</v>
          </cell>
        </row>
        <row r="74">
          <cell r="A74" t="str">
            <v>- Sustaining Capex</v>
          </cell>
          <cell r="D74">
            <v>18</v>
          </cell>
          <cell r="E74">
            <v>12.1</v>
          </cell>
          <cell r="F74">
            <v>15.205</v>
          </cell>
          <cell r="G74">
            <v>38.597000000000001</v>
          </cell>
          <cell r="H74">
            <v>43.414000000000001</v>
          </cell>
          <cell r="I74">
            <v>38.119999999999997</v>
          </cell>
          <cell r="J74">
            <v>40.631</v>
          </cell>
          <cell r="K74">
            <v>43.008299999999991</v>
          </cell>
          <cell r="L74">
            <v>77.618000000000009</v>
          </cell>
          <cell r="M74">
            <v>54</v>
          </cell>
          <cell r="N74">
            <v>54</v>
          </cell>
          <cell r="O74">
            <v>54</v>
          </cell>
          <cell r="P74">
            <v>54</v>
          </cell>
          <cell r="Q74">
            <v>54</v>
          </cell>
          <cell r="R74">
            <v>0</v>
          </cell>
          <cell r="S74">
            <v>0</v>
          </cell>
          <cell r="T74">
            <v>0</v>
          </cell>
          <cell r="U74">
            <v>0</v>
          </cell>
          <cell r="V74">
            <v>6</v>
          </cell>
          <cell r="AB74">
            <v>6</v>
          </cell>
          <cell r="AC74">
            <v>4</v>
          </cell>
          <cell r="AD74">
            <v>4</v>
          </cell>
          <cell r="AE74">
            <v>4</v>
          </cell>
          <cell r="AF74">
            <v>3</v>
          </cell>
          <cell r="AG74">
            <v>3</v>
          </cell>
          <cell r="AH74">
            <v>3</v>
          </cell>
          <cell r="AI74">
            <v>3.1</v>
          </cell>
          <cell r="AJ74">
            <v>3</v>
          </cell>
          <cell r="AK74">
            <v>3</v>
          </cell>
          <cell r="AL74">
            <v>3.6</v>
          </cell>
          <cell r="AM74">
            <v>5.6050000000000004</v>
          </cell>
          <cell r="AN74">
            <v>7.9050000000000002</v>
          </cell>
          <cell r="AO74">
            <v>8.2289999999999992</v>
          </cell>
          <cell r="AP74">
            <v>10.648999999999999</v>
          </cell>
          <cell r="AQ74">
            <v>11.814</v>
          </cell>
          <cell r="AR74">
            <v>7.4880000000000004</v>
          </cell>
          <cell r="AS74">
            <v>12.58</v>
          </cell>
          <cell r="AT74">
            <v>11.501000000000001</v>
          </cell>
          <cell r="AU74">
            <v>11.844999999999999</v>
          </cell>
          <cell r="AV74">
            <v>7.9530000000000003</v>
          </cell>
          <cell r="AW74">
            <v>9.8130000000000006</v>
          </cell>
          <cell r="AX74">
            <v>10.484</v>
          </cell>
          <cell r="AY74">
            <v>9.870000000000001</v>
          </cell>
          <cell r="AZ74">
            <v>7.2509999999999994</v>
          </cell>
          <cell r="BA74">
            <v>10.991</v>
          </cell>
          <cell r="BB74">
            <v>11.974</v>
          </cell>
          <cell r="BC74">
            <v>10.414999999999999</v>
          </cell>
          <cell r="BD74">
            <v>8.452</v>
          </cell>
          <cell r="BE74">
            <v>7.7792999999999992</v>
          </cell>
          <cell r="BF74">
            <v>12.62</v>
          </cell>
          <cell r="BG74">
            <v>14.157</v>
          </cell>
          <cell r="BH74">
            <v>12.837</v>
          </cell>
          <cell r="BI74">
            <v>20.286000000000001</v>
          </cell>
          <cell r="BJ74">
            <v>24.495000000000001</v>
          </cell>
          <cell r="BK74">
            <v>20</v>
          </cell>
          <cell r="BL74">
            <v>13.5</v>
          </cell>
          <cell r="BM74">
            <v>13.5</v>
          </cell>
          <cell r="BN74">
            <v>13.5</v>
          </cell>
          <cell r="BO74">
            <v>13.5</v>
          </cell>
          <cell r="BP74">
            <v>13.5</v>
          </cell>
          <cell r="BQ74">
            <v>13.5</v>
          </cell>
          <cell r="BR74">
            <v>13.5</v>
          </cell>
          <cell r="BS74">
            <v>13.5</v>
          </cell>
        </row>
        <row r="75">
          <cell r="A75" t="str">
            <v>- Net Interest Expense</v>
          </cell>
          <cell r="D75">
            <v>274.59999999999997</v>
          </cell>
          <cell r="E75">
            <v>257.39300000000003</v>
          </cell>
          <cell r="F75">
            <v>218.01700000000002</v>
          </cell>
          <cell r="G75">
            <v>206.64099999999999</v>
          </cell>
          <cell r="H75">
            <v>224.97600000000003</v>
          </cell>
          <cell r="I75">
            <v>250.17099999999999</v>
          </cell>
          <cell r="J75">
            <v>248.08100000000002</v>
          </cell>
          <cell r="K75">
            <v>240.99400000000003</v>
          </cell>
          <cell r="L75">
            <v>304.50068252750003</v>
          </cell>
          <cell r="M75">
            <v>336.51879956813258</v>
          </cell>
          <cell r="N75">
            <v>325.97274279188809</v>
          </cell>
          <cell r="O75">
            <v>353.93864045532843</v>
          </cell>
          <cell r="P75">
            <v>346.93649489551154</v>
          </cell>
          <cell r="Q75">
            <v>342.86516517808678</v>
          </cell>
          <cell r="R75">
            <v>338.56400862812342</v>
          </cell>
          <cell r="S75">
            <v>334.15906368399448</v>
          </cell>
          <cell r="T75">
            <v>329.53993113018271</v>
          </cell>
          <cell r="U75">
            <v>324.8749090875296</v>
          </cell>
          <cell r="V75">
            <v>319.92699575519453</v>
          </cell>
          <cell r="AB75">
            <v>70.816000000000003</v>
          </cell>
          <cell r="AC75">
            <v>69.270999999999987</v>
          </cell>
          <cell r="AD75">
            <v>67.728999999999999</v>
          </cell>
          <cell r="AE75">
            <v>66.784000000000006</v>
          </cell>
          <cell r="AF75">
            <v>68.042999999999992</v>
          </cell>
          <cell r="AG75">
            <v>66.899000000000001</v>
          </cell>
          <cell r="AH75">
            <v>64.465000000000003</v>
          </cell>
          <cell r="AI75">
            <v>57.985999999999997</v>
          </cell>
          <cell r="AJ75">
            <v>54.017000000000003</v>
          </cell>
          <cell r="AK75">
            <v>52.234999999999999</v>
          </cell>
          <cell r="AL75">
            <v>56.300000000000004</v>
          </cell>
          <cell r="AM75">
            <v>55.465000000000003</v>
          </cell>
          <cell r="AN75">
            <v>52.899000000000001</v>
          </cell>
          <cell r="AO75">
            <v>52.318999999999996</v>
          </cell>
          <cell r="AP75">
            <v>52.155999999999999</v>
          </cell>
          <cell r="AQ75">
            <v>49.266999999999996</v>
          </cell>
          <cell r="AR75">
            <v>49.657000000000004</v>
          </cell>
          <cell r="AS75">
            <v>55.16</v>
          </cell>
          <cell r="AT75">
            <v>57.573999999999998</v>
          </cell>
          <cell r="AU75">
            <v>62.585000000000001</v>
          </cell>
          <cell r="AV75">
            <v>64.551000000000002</v>
          </cell>
          <cell r="AW75">
            <v>61.529000000000003</v>
          </cell>
          <cell r="AX75">
            <v>62.528999999999996</v>
          </cell>
          <cell r="AY75">
            <v>61.561999999999998</v>
          </cell>
          <cell r="AZ75">
            <v>61.068999999999996</v>
          </cell>
          <cell r="BA75">
            <v>62.172000000000004</v>
          </cell>
          <cell r="BB75">
            <v>63.386000000000003</v>
          </cell>
          <cell r="BC75">
            <v>61.454000000000001</v>
          </cell>
          <cell r="BD75">
            <v>57.914999999999999</v>
          </cell>
          <cell r="BE75">
            <v>55.379999999999995</v>
          </cell>
          <cell r="BF75">
            <v>60.95</v>
          </cell>
          <cell r="BG75">
            <v>66.749000000000009</v>
          </cell>
          <cell r="BH75">
            <v>72.123000000000005</v>
          </cell>
          <cell r="BI75">
            <v>71.801000000000002</v>
          </cell>
          <cell r="BJ75">
            <v>75.974000000000004</v>
          </cell>
          <cell r="BK75">
            <v>84.602682527500008</v>
          </cell>
          <cell r="BL75">
            <v>84.390640021077076</v>
          </cell>
          <cell r="BM75">
            <v>84.327592641114549</v>
          </cell>
          <cell r="BN75">
            <v>84.079238848384165</v>
          </cell>
          <cell r="BO75">
            <v>83.721328057556789</v>
          </cell>
          <cell r="BP75">
            <v>82.340889755481854</v>
          </cell>
          <cell r="BQ75">
            <v>81.825557499305077</v>
          </cell>
          <cell r="BR75">
            <v>81.217154273113891</v>
          </cell>
          <cell r="BS75">
            <v>80.589141263987301</v>
          </cell>
        </row>
        <row r="76">
          <cell r="A76" t="str">
            <v>- Cash Taxes</v>
          </cell>
          <cell r="D76">
            <v>2.609</v>
          </cell>
          <cell r="E76">
            <v>4.2569999999999997</v>
          </cell>
          <cell r="F76">
            <v>18.518999999999998</v>
          </cell>
          <cell r="G76">
            <v>26.474000000000004</v>
          </cell>
          <cell r="H76">
            <v>35.313000000000002</v>
          </cell>
          <cell r="I76">
            <v>35.061999999999998</v>
          </cell>
          <cell r="J76">
            <v>40.213999999999999</v>
          </cell>
          <cell r="K76">
            <v>36.381</v>
          </cell>
          <cell r="L76">
            <v>63.807999999999993</v>
          </cell>
          <cell r="M76">
            <v>3.299689806430401</v>
          </cell>
          <cell r="N76">
            <v>4.080239682142242</v>
          </cell>
          <cell r="O76">
            <v>4.5233627570231718</v>
          </cell>
          <cell r="P76">
            <v>4.8803952558684456</v>
          </cell>
          <cell r="Q76">
            <v>5.1891775033019609</v>
          </cell>
          <cell r="R76">
            <v>5.4533940242101107</v>
          </cell>
          <cell r="S76">
            <v>5.6717044193611557</v>
          </cell>
          <cell r="T76">
            <v>5.8439667506207851</v>
          </cell>
          <cell r="U76">
            <v>5.964734932127457</v>
          </cell>
          <cell r="V76">
            <v>6.0402951358851382</v>
          </cell>
          <cell r="AB76">
            <v>0.27600000000000002</v>
          </cell>
          <cell r="AC76">
            <v>0.8819999999999999</v>
          </cell>
          <cell r="AD76">
            <v>0.45500000000000007</v>
          </cell>
          <cell r="AE76">
            <v>0.996</v>
          </cell>
          <cell r="AF76">
            <v>0.27900000000000003</v>
          </cell>
          <cell r="AG76">
            <v>0.71</v>
          </cell>
          <cell r="AH76">
            <v>0.91299999999999992</v>
          </cell>
          <cell r="AI76">
            <v>2.355</v>
          </cell>
          <cell r="AJ76">
            <v>0.95799999999999996</v>
          </cell>
          <cell r="AK76">
            <v>1.873</v>
          </cell>
          <cell r="AL76">
            <v>11.121</v>
          </cell>
          <cell r="AM76">
            <v>4.5669999999999975</v>
          </cell>
          <cell r="AN76">
            <v>7.3330000000000002</v>
          </cell>
          <cell r="AO76">
            <v>6.3019999999999996</v>
          </cell>
          <cell r="AP76">
            <v>5.9530000000000012</v>
          </cell>
          <cell r="AQ76">
            <v>6.886000000000001</v>
          </cell>
          <cell r="AR76">
            <v>4.5469999999999997</v>
          </cell>
          <cell r="AS76">
            <v>10.431999999999999</v>
          </cell>
          <cell r="AT76">
            <v>5.0630000000000033</v>
          </cell>
          <cell r="AU76">
            <v>15.271000000000001</v>
          </cell>
          <cell r="AV76">
            <v>11.72</v>
          </cell>
          <cell r="AW76">
            <v>10.086</v>
          </cell>
          <cell r="AX76">
            <v>5.636000000000001</v>
          </cell>
          <cell r="AY76">
            <v>7.6199999999999957</v>
          </cell>
          <cell r="AZ76">
            <v>7.4939999999999998</v>
          </cell>
          <cell r="BA76">
            <v>11.501999999999999</v>
          </cell>
          <cell r="BB76">
            <v>13.763999999999999</v>
          </cell>
          <cell r="BC76">
            <v>7.4539999999999997</v>
          </cell>
          <cell r="BD76">
            <v>7.899</v>
          </cell>
          <cell r="BE76">
            <v>3.3579999999999997</v>
          </cell>
          <cell r="BF76">
            <v>11.663999999999998</v>
          </cell>
          <cell r="BG76">
            <v>13.46</v>
          </cell>
          <cell r="BH76">
            <v>13.477</v>
          </cell>
          <cell r="BI76">
            <v>14.818000000000001</v>
          </cell>
          <cell r="BJ76">
            <v>20.512999999999995</v>
          </cell>
          <cell r="BK76">
            <v>15</v>
          </cell>
          <cell r="BL76">
            <v>0.67678901966725136</v>
          </cell>
          <cell r="BM76">
            <v>0.80448820361335882</v>
          </cell>
          <cell r="BN76">
            <v>0.88578455390560706</v>
          </cell>
          <cell r="BO76">
            <v>0.93262802924418386</v>
          </cell>
          <cell r="BP76">
            <v>0.93938716833548475</v>
          </cell>
          <cell r="BQ76">
            <v>1.0031060942449053</v>
          </cell>
          <cell r="BR76">
            <v>1.0579144043231941</v>
          </cell>
          <cell r="BS76">
            <v>1.0798320152386576</v>
          </cell>
        </row>
        <row r="77">
          <cell r="D77" t="str">
            <v xml:space="preserve">______ </v>
          </cell>
          <cell r="E77" t="str">
            <v xml:space="preserve">______ </v>
          </cell>
          <cell r="F77" t="str">
            <v xml:space="preserve">______ </v>
          </cell>
          <cell r="G77" t="str">
            <v xml:space="preserve">______ </v>
          </cell>
          <cell r="H77" t="str">
            <v xml:space="preserve">______ </v>
          </cell>
          <cell r="I77" t="str">
            <v xml:space="preserve">______ </v>
          </cell>
          <cell r="J77" t="str">
            <v xml:space="preserve">______ </v>
          </cell>
          <cell r="K77" t="str">
            <v xml:space="preserve">______ </v>
          </cell>
          <cell r="L77" t="str">
            <v xml:space="preserve">______ </v>
          </cell>
          <cell r="M77" t="str">
            <v xml:space="preserve">______ </v>
          </cell>
          <cell r="N77" t="str">
            <v xml:space="preserve">______ </v>
          </cell>
          <cell r="O77" t="str">
            <v xml:space="preserve">______ </v>
          </cell>
          <cell r="P77" t="str">
            <v xml:space="preserve">______ </v>
          </cell>
          <cell r="Q77" t="str">
            <v xml:space="preserve">______ </v>
          </cell>
          <cell r="R77" t="str">
            <v xml:space="preserve">______ </v>
          </cell>
          <cell r="S77" t="str">
            <v xml:space="preserve">______ </v>
          </cell>
          <cell r="T77" t="str">
            <v xml:space="preserve">______ </v>
          </cell>
          <cell r="U77" t="str">
            <v xml:space="preserve">______ </v>
          </cell>
          <cell r="V77" t="str">
            <v xml:space="preserve">______ </v>
          </cell>
          <cell r="AB77" t="str">
            <v xml:space="preserve">______ </v>
          </cell>
          <cell r="AC77" t="str">
            <v xml:space="preserve">______ </v>
          </cell>
          <cell r="AD77" t="str">
            <v xml:space="preserve">______ </v>
          </cell>
          <cell r="AE77" t="str">
            <v xml:space="preserve">______ </v>
          </cell>
          <cell r="AF77" t="str">
            <v xml:space="preserve">______ </v>
          </cell>
          <cell r="AG77" t="str">
            <v xml:space="preserve">______ </v>
          </cell>
          <cell r="AH77" t="str">
            <v xml:space="preserve">______ </v>
          </cell>
          <cell r="AI77" t="str">
            <v xml:space="preserve">______ </v>
          </cell>
          <cell r="AJ77" t="str">
            <v xml:space="preserve">______ </v>
          </cell>
          <cell r="AK77" t="str">
            <v xml:space="preserve">______ </v>
          </cell>
          <cell r="AL77" t="str">
            <v xml:space="preserve">______ </v>
          </cell>
          <cell r="AM77" t="str">
            <v xml:space="preserve">______ </v>
          </cell>
          <cell r="AN77" t="str">
            <v xml:space="preserve">______ </v>
          </cell>
          <cell r="AO77" t="str">
            <v xml:space="preserve">______ </v>
          </cell>
          <cell r="AP77" t="str">
            <v xml:space="preserve">______ </v>
          </cell>
          <cell r="AQ77" t="str">
            <v xml:space="preserve">______ </v>
          </cell>
          <cell r="AR77" t="str">
            <v xml:space="preserve">______ </v>
          </cell>
          <cell r="AS77" t="str">
            <v xml:space="preserve">______ </v>
          </cell>
          <cell r="AT77" t="str">
            <v xml:space="preserve">______ </v>
          </cell>
          <cell r="AU77" t="str">
            <v xml:space="preserve">______ </v>
          </cell>
          <cell r="AV77" t="str">
            <v xml:space="preserve">______ </v>
          </cell>
          <cell r="AW77" t="str">
            <v xml:space="preserve">______ </v>
          </cell>
          <cell r="AX77" t="str">
            <v xml:space="preserve">______ </v>
          </cell>
          <cell r="AY77" t="str">
            <v xml:space="preserve">______ </v>
          </cell>
          <cell r="AZ77" t="str">
            <v xml:space="preserve">______ </v>
          </cell>
          <cell r="BA77" t="str">
            <v xml:space="preserve">______ </v>
          </cell>
          <cell r="BB77" t="str">
            <v xml:space="preserve">______ </v>
          </cell>
          <cell r="BC77" t="str">
            <v xml:space="preserve">______ </v>
          </cell>
          <cell r="BD77" t="str">
            <v xml:space="preserve">______ </v>
          </cell>
          <cell r="BE77" t="str">
            <v xml:space="preserve">______ </v>
          </cell>
          <cell r="BF77" t="str">
            <v xml:space="preserve">______ </v>
          </cell>
          <cell r="BG77" t="str">
            <v xml:space="preserve">______ </v>
          </cell>
          <cell r="BH77" t="str">
            <v xml:space="preserve">______ </v>
          </cell>
          <cell r="BI77" t="str">
            <v xml:space="preserve">______ </v>
          </cell>
          <cell r="BJ77" t="str">
            <v xml:space="preserve">______ </v>
          </cell>
          <cell r="BK77" t="str">
            <v xml:space="preserve">______ </v>
          </cell>
          <cell r="BL77" t="str">
            <v xml:space="preserve">______ </v>
          </cell>
          <cell r="BM77" t="str">
            <v xml:space="preserve">______ </v>
          </cell>
          <cell r="BN77" t="str">
            <v xml:space="preserve">______ </v>
          </cell>
          <cell r="BO77" t="str">
            <v xml:space="preserve">______ </v>
          </cell>
          <cell r="BP77" t="str">
            <v xml:space="preserve">______ </v>
          </cell>
          <cell r="BQ77" t="str">
            <v xml:space="preserve">______ </v>
          </cell>
          <cell r="BR77" t="str">
            <v xml:space="preserve">______ </v>
          </cell>
          <cell r="BS77" t="str">
            <v xml:space="preserve">______ </v>
          </cell>
        </row>
        <row r="78">
          <cell r="A78" t="str">
            <v>Recuring Free Cash Flow</v>
          </cell>
          <cell r="D78">
            <v>80.790999999999983</v>
          </cell>
          <cell r="E78">
            <v>163.64499999999998</v>
          </cell>
          <cell r="F78">
            <v>348.92699999999979</v>
          </cell>
          <cell r="G78">
            <v>596.52199999999993</v>
          </cell>
          <cell r="H78">
            <v>675.19199999999978</v>
          </cell>
          <cell r="I78">
            <v>768.98099999999988</v>
          </cell>
          <cell r="J78">
            <v>851.99900000000002</v>
          </cell>
          <cell r="K78">
            <v>1027.3646999999999</v>
          </cell>
          <cell r="L78">
            <v>1138.243692702101</v>
          </cell>
          <cell r="M78">
            <v>1505.8661910480446</v>
          </cell>
          <cell r="N78">
            <v>1738.0251350037377</v>
          </cell>
          <cell r="O78">
            <v>1832.2841086533676</v>
          </cell>
          <cell r="P78">
            <v>1930.2886886100368</v>
          </cell>
          <cell r="Q78">
            <v>2021.9404127038902</v>
          </cell>
          <cell r="R78">
            <v>2158.2685819506928</v>
          </cell>
          <cell r="S78">
            <v>2230.6160776817705</v>
          </cell>
          <cell r="T78">
            <v>2292.6848513190002</v>
          </cell>
          <cell r="U78">
            <v>2342.7335146440605</v>
          </cell>
          <cell r="V78">
            <v>2376.2902607003834</v>
          </cell>
          <cell r="AB78">
            <v>8.0409999999999791</v>
          </cell>
          <cell r="AC78">
            <v>18.307000000000006</v>
          </cell>
          <cell r="AD78">
            <v>25.380000000000024</v>
          </cell>
          <cell r="AE78">
            <v>29.062999999999985</v>
          </cell>
          <cell r="AF78">
            <v>31.693000000000008</v>
          </cell>
          <cell r="AG78">
            <v>37.019000000000013</v>
          </cell>
          <cell r="AH78">
            <v>44.253999999999991</v>
          </cell>
          <cell r="AI78">
            <v>50.679000000000016</v>
          </cell>
          <cell r="AJ78">
            <v>59.316999999999986</v>
          </cell>
          <cell r="AK78">
            <v>65.248000000000005</v>
          </cell>
          <cell r="AL78">
            <v>94.688000000000002</v>
          </cell>
          <cell r="AM78">
            <v>129.67400000000001</v>
          </cell>
          <cell r="AN78">
            <v>147.35599999999999</v>
          </cell>
          <cell r="AO78">
            <v>149.59700000000004</v>
          </cell>
          <cell r="AP78">
            <v>149.03000000000003</v>
          </cell>
          <cell r="AQ78">
            <v>150.53900000000002</v>
          </cell>
          <cell r="AR78">
            <v>174.61799999999994</v>
          </cell>
          <cell r="AS78">
            <v>163.27599999999998</v>
          </cell>
          <cell r="AT78">
            <v>174.48999999999998</v>
          </cell>
          <cell r="AU78">
            <v>162.80799999999999</v>
          </cell>
          <cell r="AV78">
            <v>178.29800000000003</v>
          </cell>
          <cell r="AW78">
            <v>190.82300000000004</v>
          </cell>
          <cell r="AX78">
            <v>198.87800000000007</v>
          </cell>
          <cell r="AY78">
            <v>200.98199999999997</v>
          </cell>
          <cell r="AZ78">
            <v>205.36500000000007</v>
          </cell>
          <cell r="BA78">
            <v>202.67999999999998</v>
          </cell>
          <cell r="BB78">
            <v>215.05699999999993</v>
          </cell>
          <cell r="BC78">
            <v>228.89699999999999</v>
          </cell>
          <cell r="BD78">
            <v>237.23600000000002</v>
          </cell>
          <cell r="BE78">
            <v>254.45170000000002</v>
          </cell>
          <cell r="BF78">
            <v>264.75799999999998</v>
          </cell>
          <cell r="BG78">
            <v>270.9190000000001</v>
          </cell>
          <cell r="BH78">
            <v>278.65500000000003</v>
          </cell>
          <cell r="BI78">
            <v>282.209</v>
          </cell>
          <cell r="BJ78">
            <v>277.88700000000006</v>
          </cell>
          <cell r="BK78">
            <v>299.49269270210112</v>
          </cell>
          <cell r="BL78">
            <v>334.89638773165268</v>
          </cell>
          <cell r="BM78">
            <v>370.18542841719812</v>
          </cell>
          <cell r="BN78">
            <v>392.03898981321396</v>
          </cell>
          <cell r="BO78">
            <v>408.74538508597988</v>
          </cell>
          <cell r="BP78">
            <v>411.3230602918984</v>
          </cell>
          <cell r="BQ78">
            <v>429.09656007331853</v>
          </cell>
          <cell r="BR78">
            <v>443.80708647972102</v>
          </cell>
          <cell r="BS78">
            <v>453.79842815879988</v>
          </cell>
        </row>
        <row r="79">
          <cell r="A79" t="str">
            <v>Y/Y Growth</v>
          </cell>
          <cell r="E79">
            <v>1.0255350224653736</v>
          </cell>
          <cell r="F79">
            <v>1.1322191328790971</v>
          </cell>
          <cell r="G79">
            <v>0.70958968494842845</v>
          </cell>
          <cell r="H79">
            <v>0.13188113766130982</v>
          </cell>
          <cell r="I79">
            <v>0.13890715529804876</v>
          </cell>
          <cell r="J79">
            <v>0.10795845411004978</v>
          </cell>
          <cell r="K79">
            <v>0.20582852796775564</v>
          </cell>
          <cell r="L79">
            <v>0.1079256399427595</v>
          </cell>
          <cell r="M79">
            <v>0.32297345524773924</v>
          </cell>
          <cell r="N79">
            <v>0.15416970334802205</v>
          </cell>
          <cell r="O79">
            <v>5.4233377729273835E-2</v>
          </cell>
          <cell r="P79">
            <v>5.3487654831377407E-2</v>
          </cell>
          <cell r="Q79">
            <v>4.7480837780720764E-2</v>
          </cell>
          <cell r="R79">
            <v>6.7424424770507585E-2</v>
          </cell>
          <cell r="S79">
            <v>3.3521080896098843E-2</v>
          </cell>
          <cell r="T79">
            <v>2.7825843388404436E-2</v>
          </cell>
          <cell r="U79">
            <v>2.1829717807166915E-2</v>
          </cell>
          <cell r="V79">
            <v>1.43237572035253E-2</v>
          </cell>
          <cell r="AF79" t="str">
            <v>NM</v>
          </cell>
          <cell r="AG79">
            <v>1.0221226853116296</v>
          </cell>
          <cell r="AH79">
            <v>0.74365642237982454</v>
          </cell>
          <cell r="AI79">
            <v>0.74376354815401169</v>
          </cell>
          <cell r="AJ79">
            <v>0.87161202789259362</v>
          </cell>
          <cell r="AK79">
            <v>0.76255436397525544</v>
          </cell>
          <cell r="AL79">
            <v>1.1396483933655719</v>
          </cell>
          <cell r="AM79">
            <v>1.5587324138203194</v>
          </cell>
          <cell r="AN79">
            <v>1.4842119459851313</v>
          </cell>
          <cell r="AO79">
            <v>1.2927446051986271</v>
          </cell>
          <cell r="AP79">
            <v>0.57390588036498835</v>
          </cell>
          <cell r="AQ79">
            <v>0.1609034964603544</v>
          </cell>
          <cell r="AR79">
            <v>0.18500773636635048</v>
          </cell>
          <cell r="AS79">
            <v>9.1438999445175639E-2</v>
          </cell>
          <cell r="AT79">
            <v>0.17083808629135033</v>
          </cell>
          <cell r="AU79">
            <v>8.1500474959977032E-2</v>
          </cell>
          <cell r="AV79">
            <v>2.10745742134264E-2</v>
          </cell>
          <cell r="AW79">
            <v>0.16871432421176458</v>
          </cell>
          <cell r="AX79">
            <v>0.13976732190956564</v>
          </cell>
          <cell r="AY79">
            <v>0.23447250749348925</v>
          </cell>
          <cell r="AZ79">
            <v>0.15180764787041934</v>
          </cell>
          <cell r="BA79">
            <v>6.2136115667398295E-2</v>
          </cell>
          <cell r="BB79">
            <v>8.1351381248805144E-2</v>
          </cell>
          <cell r="BC79">
            <v>0.13889303519718199</v>
          </cell>
          <cell r="BD79">
            <v>0.15519197526355488</v>
          </cell>
          <cell r="BE79">
            <v>0.2554356621274918</v>
          </cell>
          <cell r="BF79">
            <v>0.23110617185211391</v>
          </cell>
          <cell r="BG79">
            <v>0.18358475646251415</v>
          </cell>
          <cell r="BH79">
            <v>0.174589859886358</v>
          </cell>
          <cell r="BI79">
            <v>0.10908671468887809</v>
          </cell>
          <cell r="BJ79">
            <v>4.9588680984144373E-2</v>
          </cell>
          <cell r="BK79">
            <v>0.10546950454601189</v>
          </cell>
          <cell r="BL79">
            <v>0.20183161160450247</v>
          </cell>
          <cell r="BM79">
            <v>0.3117421075061324</v>
          </cell>
          <cell r="BN79">
            <v>0.41078564241297322</v>
          </cell>
          <cell r="BO79">
            <v>0.3647925142953321</v>
          </cell>
          <cell r="BP79">
            <v>0.22820990419725051</v>
          </cell>
          <cell r="BQ79">
            <v>0.15913952072075532</v>
          </cell>
          <cell r="BR79">
            <v>0.13204833705742347</v>
          </cell>
          <cell r="BS79">
            <v>0.11022275655379699</v>
          </cell>
        </row>
        <row r="81">
          <cell r="A81" t="str">
            <v>Recuring Free Cash Flow Per Share</v>
          </cell>
          <cell r="D81">
            <v>0.38838745964863353</v>
          </cell>
          <cell r="E81">
            <v>0.72950448793817846</v>
          </cell>
          <cell r="F81">
            <v>1.1556868625728347</v>
          </cell>
          <cell r="G81">
            <v>1.3835867206087091</v>
          </cell>
          <cell r="H81">
            <v>1.5846648066818627</v>
          </cell>
          <cell r="I81">
            <v>1.8432812655433317</v>
          </cell>
          <cell r="J81">
            <v>2.0926874977740608</v>
          </cell>
          <cell r="K81">
            <v>2.5404807519329666</v>
          </cell>
          <cell r="L81">
            <v>2.8625676137015388</v>
          </cell>
          <cell r="M81">
            <v>3.8301305327482629</v>
          </cell>
          <cell r="N81">
            <v>4.4158536396521999</v>
          </cell>
          <cell r="O81">
            <v>4.6245069091409414</v>
          </cell>
          <cell r="P81">
            <v>4.8704383627698302</v>
          </cell>
          <cell r="Q81">
            <v>5.1010095411736822</v>
          </cell>
          <cell r="R81">
            <v>5.4446090693189069</v>
          </cell>
          <cell r="S81">
            <v>5.6275121459104893</v>
          </cell>
          <cell r="T81">
            <v>5.7856888940347524</v>
          </cell>
          <cell r="U81">
            <v>5.914567050343722</v>
          </cell>
          <cell r="V81">
            <v>6.0026716145230878</v>
          </cell>
          <cell r="AB81">
            <v>4.1087770754663848E-2</v>
          </cell>
          <cell r="AC81">
            <v>9.0220932123619507E-2</v>
          </cell>
          <cell r="AD81">
            <v>0.11871573708533698</v>
          </cell>
          <cell r="AE81">
            <v>0.13230781837550412</v>
          </cell>
          <cell r="AF81">
            <v>0.14379242132771955</v>
          </cell>
          <cell r="AG81">
            <v>0.16557532494252569</v>
          </cell>
          <cell r="AH81">
            <v>0.19682528386979123</v>
          </cell>
          <cell r="AI81">
            <v>0.22182002810009244</v>
          </cell>
          <cell r="AJ81">
            <v>0.25772295553489338</v>
          </cell>
          <cell r="AK81">
            <v>0.28271221397529389</v>
          </cell>
          <cell r="AL81">
            <v>0.28337737661645829</v>
          </cell>
          <cell r="AM81">
            <v>0.31428883045116884</v>
          </cell>
          <cell r="AN81">
            <v>0.35305082431075829</v>
          </cell>
          <cell r="AO81">
            <v>0.34342666798285598</v>
          </cell>
          <cell r="AP81">
            <v>0.34248904945097886</v>
          </cell>
          <cell r="AQ81">
            <v>0.34491773380165841</v>
          </cell>
          <cell r="AR81">
            <v>0.397259058552133</v>
          </cell>
          <cell r="AS81">
            <v>0.3798476663735384</v>
          </cell>
          <cell r="AT81">
            <v>0.41742820780264678</v>
          </cell>
          <cell r="AU81">
            <v>0.39052050851523146</v>
          </cell>
          <cell r="AV81">
            <v>0.42288590253829267</v>
          </cell>
          <cell r="AW81">
            <v>0.45259797399061241</v>
          </cell>
          <cell r="AX81">
            <v>0.47745119928170354</v>
          </cell>
          <cell r="AY81">
            <v>0.4914682277682409</v>
          </cell>
          <cell r="AZ81">
            <v>0.5030373545621557</v>
          </cell>
          <cell r="BA81">
            <v>0.49575375704445829</v>
          </cell>
          <cell r="BB81">
            <v>0.53005215316665333</v>
          </cell>
          <cell r="BC81">
            <v>0.56418036261818605</v>
          </cell>
          <cell r="BD81">
            <v>0.58421000788022071</v>
          </cell>
          <cell r="BE81">
            <v>0.62823857351663115</v>
          </cell>
          <cell r="BF81">
            <v>0.65622684066376669</v>
          </cell>
          <cell r="BG81">
            <v>0.67220220726890201</v>
          </cell>
          <cell r="BH81">
            <v>0.69334584062164883</v>
          </cell>
          <cell r="BI81">
            <v>0.70508182386008744</v>
          </cell>
          <cell r="BJ81">
            <v>0.70318561274143898</v>
          </cell>
          <cell r="BK81">
            <v>0.76170101890726372</v>
          </cell>
          <cell r="BL81">
            <v>0.85220710261295063</v>
          </cell>
          <cell r="BM81">
            <v>0.94167384769217899</v>
          </cell>
          <cell r="BN81">
            <v>0.9969653467615025</v>
          </cell>
          <cell r="BO81">
            <v>1.0391902257006815</v>
          </cell>
          <cell r="BP81">
            <v>1.0454651653186127</v>
          </cell>
          <cell r="BQ81">
            <v>1.0903291616307698</v>
          </cell>
          <cell r="BR81">
            <v>1.1274341150055731</v>
          </cell>
          <cell r="BS81">
            <v>1.1525810647927863</v>
          </cell>
        </row>
        <row r="82">
          <cell r="A82" t="str">
            <v>Y/Y Growth</v>
          </cell>
          <cell r="E82">
            <v>0.87829053131155876</v>
          </cell>
          <cell r="F82">
            <v>0.58420802295430541</v>
          </cell>
          <cell r="G82">
            <v>0.19719862310151637</v>
          </cell>
          <cell r="H82">
            <v>0.14533103207631926</v>
          </cell>
          <cell r="I82">
            <v>0.16319947144089553</v>
          </cell>
          <cell r="J82">
            <v>0.13530557538499877</v>
          </cell>
          <cell r="K82">
            <v>0.21397999206055007</v>
          </cell>
          <cell r="L82">
            <v>0.12678185478221282</v>
          </cell>
          <cell r="M82">
            <v>0.33800526297284006</v>
          </cell>
          <cell r="N82">
            <v>0.15292510317753027</v>
          </cell>
          <cell r="O82">
            <v>4.7250947725064441E-2</v>
          </cell>
          <cell r="P82">
            <v>5.3180038101526605E-2</v>
          </cell>
          <cell r="Q82">
            <v>4.734094987555193E-2</v>
          </cell>
          <cell r="R82">
            <v>6.7359122811240013E-2</v>
          </cell>
          <cell r="S82">
            <v>3.3593426867369658E-2</v>
          </cell>
          <cell r="T82">
            <v>2.8107757748548012E-2</v>
          </cell>
          <cell r="U82">
            <v>2.2275334652343215E-2</v>
          </cell>
          <cell r="V82">
            <v>1.4896198391097126E-2</v>
          </cell>
          <cell r="AF82" t="str">
            <v>NM</v>
          </cell>
          <cell r="AG82">
            <v>0.8352207303251602</v>
          </cell>
          <cell r="AH82">
            <v>0.65795444396985392</v>
          </cell>
          <cell r="AI82">
            <v>0.67654512653623256</v>
          </cell>
          <cell r="AJ82">
            <v>0.79232641856355546</v>
          </cell>
          <cell r="AK82">
            <v>0.70745377714601254</v>
          </cell>
          <cell r="AL82">
            <v>0.4397407235745443</v>
          </cell>
          <cell r="AM82">
            <v>0.4168640818553655</v>
          </cell>
          <cell r="AN82">
            <v>0.36988505186903442</v>
          </cell>
          <cell r="AO82">
            <v>0.21475709575415758</v>
          </cell>
          <cell r="AP82">
            <v>0.20859700777922807</v>
          </cell>
          <cell r="AQ82">
            <v>9.7454635300023407E-2</v>
          </cell>
          <cell r="AR82">
            <v>0.12521776242182692</v>
          </cell>
          <cell r="AS82">
            <v>0.10605174782903171</v>
          </cell>
          <cell r="AT82">
            <v>0.21880745814150226</v>
          </cell>
          <cell r="AU82">
            <v>0.13221348235981534</v>
          </cell>
          <cell r="AV82">
            <v>6.4509149469266669E-2</v>
          </cell>
          <cell r="AW82">
            <v>0.19152495607418607</v>
          </cell>
          <cell r="AX82">
            <v>0.14379237041746507</v>
          </cell>
          <cell r="AY82">
            <v>0.258495308317648</v>
          </cell>
          <cell r="AZ82">
            <v>0.18953446199735935</v>
          </cell>
          <cell r="BA82">
            <v>9.5351251074625942E-2</v>
          </cell>
          <cell r="BB82">
            <v>0.1101703251852435</v>
          </cell>
          <cell r="BC82">
            <v>0.14794880063789928</v>
          </cell>
          <cell r="BD82">
            <v>0.16136506082876845</v>
          </cell>
          <cell r="BE82">
            <v>0.26723915772622542</v>
          </cell>
          <cell r="BF82">
            <v>0.238042024248589</v>
          </cell>
          <cell r="BG82">
            <v>0.19146686380472389</v>
          </cell>
          <cell r="BH82">
            <v>0.18680924884772598</v>
          </cell>
          <cell r="BI82">
            <v>0.1223153967024313</v>
          </cell>
          <cell r="BJ82">
            <v>7.1558749456474446E-2</v>
          </cell>
          <cell r="BK82">
            <v>0.13314269228895781</v>
          </cell>
          <cell r="BL82">
            <v>0.22912268695355253</v>
          </cell>
          <cell r="BM82">
            <v>0.33555257819132156</v>
          </cell>
          <cell r="BN82">
            <v>0.41778405117638018</v>
          </cell>
          <cell r="BO82">
            <v>0.36430200289281989</v>
          </cell>
          <cell r="BP82">
            <v>0.22677358838375539</v>
          </cell>
          <cell r="BQ82">
            <v>0.15786284635907633</v>
          </cell>
          <cell r="BR82">
            <v>0.13086590087396677</v>
          </cell>
          <cell r="BS82">
            <v>0.10911461278963652</v>
          </cell>
        </row>
        <row r="84">
          <cell r="A84" t="str">
            <v>REIT Analysis</v>
          </cell>
          <cell r="J84" t="str">
            <v>2009A</v>
          </cell>
          <cell r="K84" t="str">
            <v>2010A</v>
          </cell>
          <cell r="L84" t="str">
            <v>2011E</v>
          </cell>
          <cell r="M84" t="str">
            <v>2012E</v>
          </cell>
          <cell r="N84" t="str">
            <v>2013E</v>
          </cell>
          <cell r="BH84" t="str">
            <v>1Q11A</v>
          </cell>
          <cell r="BI84" t="str">
            <v>2Q11A</v>
          </cell>
          <cell r="BJ84" t="str">
            <v>3Q11A</v>
          </cell>
          <cell r="BK84" t="str">
            <v>4Q11E</v>
          </cell>
          <cell r="BL84" t="str">
            <v>1Q12E</v>
          </cell>
          <cell r="BM84" t="str">
            <v>2Q12E</v>
          </cell>
          <cell r="BN84" t="str">
            <v>3Q12E</v>
          </cell>
          <cell r="BO84" t="str">
            <v>4Q12E</v>
          </cell>
        </row>
        <row r="85">
          <cell r="A85" t="str">
            <v>Net Income</v>
          </cell>
          <cell r="J85">
            <v>247.12699999999987</v>
          </cell>
          <cell r="K85">
            <v>373.60600000000005</v>
          </cell>
          <cell r="L85">
            <v>296.54181987126066</v>
          </cell>
          <cell r="M85">
            <v>806.5908415718759</v>
          </cell>
          <cell r="N85">
            <v>996.59592230143676</v>
          </cell>
          <cell r="O85">
            <v>1105.71089616122</v>
          </cell>
          <cell r="P85">
            <v>1192.985506990065</v>
          </cell>
          <cell r="Q85">
            <v>1268.4656119182575</v>
          </cell>
          <cell r="R85">
            <v>1333.0518725846941</v>
          </cell>
          <cell r="S85">
            <v>1386.4166358438388</v>
          </cell>
          <cell r="T85">
            <v>1428.5252057073035</v>
          </cell>
          <cell r="U85">
            <v>1458.0463167422679</v>
          </cell>
          <cell r="V85">
            <v>1476.5165887719231</v>
          </cell>
          <cell r="AZ85">
            <v>58.759000000000015</v>
          </cell>
          <cell r="BA85">
            <v>56.487999999999978</v>
          </cell>
          <cell r="BB85">
            <v>67.577999999999903</v>
          </cell>
          <cell r="BC85">
            <v>64.301999999999992</v>
          </cell>
          <cell r="BD85">
            <v>96.483000000000033</v>
          </cell>
          <cell r="BE85">
            <v>99.818999999999974</v>
          </cell>
          <cell r="BF85">
            <v>93.600999999999999</v>
          </cell>
          <cell r="BG85">
            <v>83.703000000000046</v>
          </cell>
          <cell r="BH85">
            <v>91.961299999999994</v>
          </cell>
          <cell r="BI85">
            <v>113.17100000000001</v>
          </cell>
          <cell r="BJ85">
            <v>-19.725999999999988</v>
          </cell>
          <cell r="BK85">
            <v>111.13551987126066</v>
          </cell>
          <cell r="BL85">
            <v>165.43731591866145</v>
          </cell>
          <cell r="BM85">
            <v>196.65267199437662</v>
          </cell>
          <cell r="BN85">
            <v>216.5251131769262</v>
          </cell>
          <cell r="BO85">
            <v>227.97574048191163</v>
          </cell>
          <cell r="BP85">
            <v>229.42897448200739</v>
          </cell>
          <cell r="BQ85">
            <v>245.00471192653237</v>
          </cell>
          <cell r="BR85">
            <v>258.40229883455856</v>
          </cell>
          <cell r="BS85">
            <v>263.75993705833849</v>
          </cell>
        </row>
        <row r="86">
          <cell r="A86" t="str">
            <v>Adjustment for Pro-Forma Income Taxes</v>
          </cell>
          <cell r="J86">
            <v>140</v>
          </cell>
          <cell r="K86">
            <v>146.215</v>
          </cell>
          <cell r="L86">
            <v>131.976</v>
          </cell>
          <cell r="M86">
            <v>0</v>
          </cell>
          <cell r="N86">
            <v>0</v>
          </cell>
          <cell r="O86">
            <v>0</v>
          </cell>
          <cell r="P86">
            <v>0</v>
          </cell>
          <cell r="Q86">
            <v>0</v>
          </cell>
          <cell r="R86">
            <v>0</v>
          </cell>
          <cell r="S86">
            <v>0</v>
          </cell>
          <cell r="T86">
            <v>0</v>
          </cell>
          <cell r="U86">
            <v>0</v>
          </cell>
          <cell r="V86">
            <v>0</v>
          </cell>
          <cell r="AZ86">
            <v>35</v>
          </cell>
          <cell r="BA86">
            <v>35</v>
          </cell>
          <cell r="BB86">
            <v>35</v>
          </cell>
          <cell r="BC86">
            <v>35</v>
          </cell>
          <cell r="BD86">
            <v>20.513000000000002</v>
          </cell>
          <cell r="BE86">
            <v>27.004000000000001</v>
          </cell>
          <cell r="BF86">
            <v>59.02</v>
          </cell>
          <cell r="BG86">
            <v>39.677999999999997</v>
          </cell>
          <cell r="BH86">
            <v>60.790999999999997</v>
          </cell>
          <cell r="BI86">
            <v>54.186999999999998</v>
          </cell>
          <cell r="BJ86">
            <v>8.4990000000000006</v>
          </cell>
          <cell r="BK86">
            <v>8.4990000000000006</v>
          </cell>
          <cell r="BL86">
            <v>0</v>
          </cell>
          <cell r="BM86">
            <v>0</v>
          </cell>
          <cell r="BN86">
            <v>0</v>
          </cell>
          <cell r="BO86">
            <v>0</v>
          </cell>
          <cell r="BP86">
            <v>0</v>
          </cell>
          <cell r="BQ86">
            <v>0</v>
          </cell>
          <cell r="BR86">
            <v>0</v>
          </cell>
          <cell r="BS86">
            <v>0</v>
          </cell>
          <cell r="BU86" t="str">
            <v>mstag:otherFFOAdjustmentNareit</v>
          </cell>
          <cell r="BV86">
            <v>6</v>
          </cell>
          <cell r="BW86" t="str">
            <v>ISO4217:USD</v>
          </cell>
          <cell r="BX86" t="b">
            <v>0</v>
          </cell>
          <cell r="BY86" t="b">
            <v>0</v>
          </cell>
        </row>
        <row r="87">
          <cell r="A87" t="str">
            <v>Real Estate Depreciation</v>
          </cell>
          <cell r="J87">
            <v>373.15710000000001</v>
          </cell>
          <cell r="K87">
            <v>412.86300000000006</v>
          </cell>
          <cell r="L87">
            <v>479.22014362500005</v>
          </cell>
          <cell r="M87">
            <v>535.27804116142715</v>
          </cell>
          <cell r="N87">
            <v>521.91117816254348</v>
          </cell>
          <cell r="O87">
            <v>520.63723501355855</v>
          </cell>
          <cell r="P87">
            <v>519.90456151220269</v>
          </cell>
          <cell r="Q87">
            <v>525.47345536098248</v>
          </cell>
          <cell r="R87">
            <v>533.75247232488425</v>
          </cell>
          <cell r="S87">
            <v>544.48409905072913</v>
          </cell>
          <cell r="T87">
            <v>557.43544860746181</v>
          </cell>
          <cell r="U87">
            <v>572.39589158670412</v>
          </cell>
          <cell r="V87">
            <v>589.17491628135645</v>
          </cell>
          <cell r="AZ87">
            <v>89.881199999999993</v>
          </cell>
          <cell r="BA87">
            <v>92.216700000000003</v>
          </cell>
          <cell r="BB87">
            <v>94.988700000000009</v>
          </cell>
          <cell r="BC87">
            <v>96.07050000000001</v>
          </cell>
          <cell r="BD87">
            <v>99.644000000000005</v>
          </cell>
          <cell r="BE87">
            <v>98.63</v>
          </cell>
          <cell r="BF87">
            <v>103.422</v>
          </cell>
          <cell r="BG87">
            <v>111.167</v>
          </cell>
          <cell r="BH87">
            <v>114.209</v>
          </cell>
          <cell r="BI87">
            <v>119.02500000000001</v>
          </cell>
          <cell r="BJ87">
            <v>123.715</v>
          </cell>
          <cell r="BK87">
            <v>122.27114362500004</v>
          </cell>
          <cell r="BL87">
            <v>132.94640415937499</v>
          </cell>
          <cell r="BM87">
            <v>133.50057405539062</v>
          </cell>
          <cell r="BN87">
            <v>134.09685845400585</v>
          </cell>
          <cell r="BO87">
            <v>134.73420449265569</v>
          </cell>
          <cell r="BP87">
            <v>129.39866793565753</v>
          </cell>
          <cell r="BQ87">
            <v>130.09399261226611</v>
          </cell>
          <cell r="BR87">
            <v>130.82568417195944</v>
          </cell>
          <cell r="BS87">
            <v>131.59283344266046</v>
          </cell>
          <cell r="BU87" t="str">
            <v>mstag:depreciationAndAmortizationRealEstateFFOAdjustment</v>
          </cell>
          <cell r="BV87">
            <v>6</v>
          </cell>
          <cell r="BW87" t="str">
            <v>ISO4217:USD</v>
          </cell>
          <cell r="BX87" t="b">
            <v>0</v>
          </cell>
          <cell r="BY87" t="b">
            <v>0</v>
          </cell>
        </row>
        <row r="88">
          <cell r="A88" t="str">
            <v>Funds From Operations (FFO)</v>
          </cell>
          <cell r="J88">
            <v>760.28409999999985</v>
          </cell>
          <cell r="K88">
            <v>932.68400000000008</v>
          </cell>
          <cell r="L88">
            <v>907.7379634962607</v>
          </cell>
          <cell r="M88">
            <v>1341.8688827333031</v>
          </cell>
          <cell r="N88">
            <v>1518.5071004639804</v>
          </cell>
          <cell r="O88">
            <v>1626.3481311747787</v>
          </cell>
          <cell r="P88">
            <v>1712.8900685022677</v>
          </cell>
          <cell r="Q88">
            <v>1793.9390672792401</v>
          </cell>
          <cell r="R88">
            <v>1866.8043449095785</v>
          </cell>
          <cell r="S88">
            <v>1930.9007348945679</v>
          </cell>
          <cell r="T88">
            <v>1985.9606543147652</v>
          </cell>
          <cell r="U88">
            <v>2030.4422083289719</v>
          </cell>
          <cell r="V88">
            <v>2065.6915050532798</v>
          </cell>
          <cell r="AZ88">
            <v>183.64019999999999</v>
          </cell>
          <cell r="BA88">
            <v>183.70469999999997</v>
          </cell>
          <cell r="BB88">
            <v>197.56669999999991</v>
          </cell>
          <cell r="BC88">
            <v>195.3725</v>
          </cell>
          <cell r="BD88">
            <v>216.64000000000004</v>
          </cell>
          <cell r="BE88">
            <v>225.45299999999997</v>
          </cell>
          <cell r="BF88">
            <v>256.04300000000001</v>
          </cell>
          <cell r="BG88">
            <v>234.54800000000006</v>
          </cell>
          <cell r="BH88">
            <v>266.96129999999999</v>
          </cell>
          <cell r="BI88">
            <v>286.38300000000004</v>
          </cell>
          <cell r="BJ88">
            <v>112.48800000000001</v>
          </cell>
          <cell r="BK88">
            <v>241.90566349626067</v>
          </cell>
          <cell r="BL88">
            <v>298.38372007803645</v>
          </cell>
          <cell r="BM88">
            <v>330.15324604976723</v>
          </cell>
          <cell r="BN88">
            <v>350.62197163093208</v>
          </cell>
          <cell r="BO88">
            <v>362.70994497456729</v>
          </cell>
          <cell r="BP88">
            <v>358.82764241766495</v>
          </cell>
          <cell r="BQ88">
            <v>375.09870453879847</v>
          </cell>
          <cell r="BR88">
            <v>389.227983006518</v>
          </cell>
          <cell r="BS88">
            <v>395.35277050099899</v>
          </cell>
        </row>
        <row r="89">
          <cell r="A89" t="str">
            <v>Y/Y Growth</v>
          </cell>
          <cell r="K89">
            <v>0.2267572082593865</v>
          </cell>
          <cell r="L89">
            <v>-2.6746504179056774E-2</v>
          </cell>
          <cell r="M89">
            <v>0.47825577060249347</v>
          </cell>
          <cell r="N89">
            <v>0.13163597427706675</v>
          </cell>
          <cell r="O89">
            <v>7.1017798124123122E-2</v>
          </cell>
          <cell r="P89">
            <v>5.3212430763502239E-2</v>
          </cell>
          <cell r="Q89">
            <v>4.7317104738566762E-2</v>
          </cell>
          <cell r="R89">
            <v>4.0617476345419457E-2</v>
          </cell>
          <cell r="S89">
            <v>3.4334819371814707E-2</v>
          </cell>
          <cell r="T89">
            <v>2.8515147581216205E-2</v>
          </cell>
          <cell r="U89">
            <v>2.2398003665160537E-2</v>
          </cell>
          <cell r="V89">
            <v>1.7360403846863326E-2</v>
          </cell>
          <cell r="BD89">
            <v>0.17969812709853317</v>
          </cell>
          <cell r="BE89">
            <v>0.2272576586227788</v>
          </cell>
          <cell r="BF89">
            <v>0.29598257196177347</v>
          </cell>
          <cell r="BG89">
            <v>0.20051696118952278</v>
          </cell>
          <cell r="BH89">
            <v>0.23228074224519912</v>
          </cell>
          <cell r="BI89">
            <v>0.27025588481856566</v>
          </cell>
          <cell r="BJ89">
            <v>-0.56066754412344799</v>
          </cell>
          <cell r="BK89">
            <v>3.136954267894243E-2</v>
          </cell>
          <cell r="BL89">
            <v>0.11770402705574345</v>
          </cell>
          <cell r="BM89">
            <v>0.1528381434993249</v>
          </cell>
          <cell r="BN89">
            <v>2.1169722248678262</v>
          </cell>
          <cell r="BO89">
            <v>0.49938591652763842</v>
          </cell>
          <cell r="BP89">
            <v>0.20257111320892629</v>
          </cell>
          <cell r="BQ89">
            <v>0.13613514035314433</v>
          </cell>
          <cell r="BR89">
            <v>0.11010722230557457</v>
          </cell>
          <cell r="BS89">
            <v>8.9997051304233189E-2</v>
          </cell>
        </row>
        <row r="90">
          <cell r="A90" t="str">
            <v>FFO per Share</v>
          </cell>
          <cell r="J90">
            <v>1.8674165472335105</v>
          </cell>
          <cell r="K90">
            <v>2.3063530892543298</v>
          </cell>
          <cell r="L90">
            <v>2.2828690487739429</v>
          </cell>
          <cell r="M90">
            <v>3.4130077487991399</v>
          </cell>
          <cell r="N90">
            <v>3.8581174526035587</v>
          </cell>
          <cell r="O90">
            <v>4.104744528300146</v>
          </cell>
          <cell r="P90">
            <v>4.3219056041032786</v>
          </cell>
          <cell r="Q90">
            <v>4.5258011764245571</v>
          </cell>
          <cell r="R90">
            <v>4.7093396771555449</v>
          </cell>
          <cell r="S90">
            <v>4.871374974334282</v>
          </cell>
          <cell r="T90">
            <v>5.01165718221087</v>
          </cell>
          <cell r="U90">
            <v>5.126142819036879</v>
          </cell>
          <cell r="V90">
            <v>5.2180779287838952</v>
          </cell>
          <cell r="AZ90">
            <v>0.44982290263319041</v>
          </cell>
          <cell r="BA90">
            <v>0.44934031582654971</v>
          </cell>
          <cell r="BB90">
            <v>0.48694371598706498</v>
          </cell>
          <cell r="BC90">
            <v>0.48154990190182295</v>
          </cell>
          <cell r="BD90">
            <v>0.533490937746257</v>
          </cell>
          <cell r="BE90">
            <v>0.55664108793552969</v>
          </cell>
          <cell r="BF90">
            <v>0.634625918627852</v>
          </cell>
          <cell r="BG90">
            <v>0.58195875265487618</v>
          </cell>
          <cell r="BH90">
            <v>0.66424972443325314</v>
          </cell>
          <cell r="BI90">
            <v>0.71551030605871335</v>
          </cell>
          <cell r="BJ90">
            <v>0.28464787199854247</v>
          </cell>
          <cell r="BK90">
            <v>0.61523968649151195</v>
          </cell>
          <cell r="BL90">
            <v>0.75929372447675247</v>
          </cell>
          <cell r="BM90">
            <v>0.83984039800012655</v>
          </cell>
          <cell r="BN90">
            <v>0.89164079240123528</v>
          </cell>
          <cell r="BO90">
            <v>0.92215017792241505</v>
          </cell>
          <cell r="BP90">
            <v>0.9120368798064713</v>
          </cell>
          <cell r="BQ90">
            <v>0.9531212647770807</v>
          </cell>
          <cell r="BR90">
            <v>0.98878300938624009</v>
          </cell>
          <cell r="BS90">
            <v>1.0041377160375764</v>
          </cell>
        </row>
        <row r="91">
          <cell r="A91" t="str">
            <v>Y/Y Growth</v>
          </cell>
          <cell r="K91">
            <v>0.23505015132862739</v>
          </cell>
          <cell r="L91">
            <v>-1.0182326630645888E-2</v>
          </cell>
          <cell r="M91">
            <v>0.49505191751237732</v>
          </cell>
          <cell r="N91">
            <v>0.13041567337813098</v>
          </cell>
          <cell r="O91">
            <v>6.392420104529406E-2</v>
          </cell>
          <cell r="P91">
            <v>5.290489439864432E-2</v>
          </cell>
          <cell r="Q91">
            <v>4.7177238699451784E-2</v>
          </cell>
          <cell r="R91">
            <v>4.0553814358231577E-2</v>
          </cell>
          <cell r="S91">
            <v>3.4407222304381868E-2</v>
          </cell>
          <cell r="T91">
            <v>2.8797251005248103E-2</v>
          </cell>
          <cell r="U91">
            <v>2.2843868338078277E-2</v>
          </cell>
          <cell r="V91">
            <v>1.7934558788646804E-2</v>
          </cell>
          <cell r="BD91">
            <v>0.1860021680160957</v>
          </cell>
          <cell r="BE91">
            <v>0.23879622711263515</v>
          </cell>
          <cell r="BF91">
            <v>0.30328392746875488</v>
          </cell>
          <cell r="BG91">
            <v>0.20851182890184505</v>
          </cell>
          <cell r="BH91">
            <v>0.24510029587267068</v>
          </cell>
          <cell r="BI91">
            <v>0.28540691940725726</v>
          </cell>
          <cell r="BJ91">
            <v>-0.55147140442358533</v>
          </cell>
          <cell r="BK91">
            <v>5.718778811180214E-2</v>
          </cell>
          <cell r="BL91">
            <v>0.14308474139690786</v>
          </cell>
          <cell r="BM91">
            <v>0.17376422238593303</v>
          </cell>
          <cell r="BN91">
            <v>2.1324344220138802</v>
          </cell>
          <cell r="BO91">
            <v>0.49884703176594791</v>
          </cell>
          <cell r="BP91">
            <v>0.20116478038189745</v>
          </cell>
          <cell r="BQ91">
            <v>0.13488380297816671</v>
          </cell>
          <cell r="BR91">
            <v>0.10894770384315389</v>
          </cell>
          <cell r="BS91">
            <v>8.8909095370862001E-2</v>
          </cell>
        </row>
        <row r="92">
          <cell r="A92" t="str">
            <v>FFO per Share Yield</v>
          </cell>
          <cell r="J92">
            <v>2.7812407073446739E-2</v>
          </cell>
          <cell r="K92">
            <v>3.4349717564873775E-2</v>
          </cell>
          <cell r="L92">
            <v>3.3999957520957795E-2</v>
          </cell>
          <cell r="M92">
            <v>5.0831701687047322E-2</v>
          </cell>
          <cell r="N92">
            <v>5.746095229151988E-2</v>
          </cell>
          <cell r="O92">
            <v>6.1134097758057039E-2</v>
          </cell>
          <cell r="P92">
            <v>6.4368390744103457E-2</v>
          </cell>
          <cell r="Q92">
            <v>6.7405113678937603E-2</v>
          </cell>
          <cell r="R92">
            <v>7.0138648145868732E-2</v>
          </cell>
          <cell r="S92">
            <v>7.2551924204752469E-2</v>
          </cell>
          <cell r="T92">
            <v>7.4641220176990458E-2</v>
          </cell>
          <cell r="U92">
            <v>7.6346314383307121E-2</v>
          </cell>
          <cell r="V92">
            <v>7.7715551846911049E-2</v>
          </cell>
          <cell r="AZ92">
            <v>6.6994467289730499E-3</v>
          </cell>
          <cell r="BA92">
            <v>6.6922593123602695E-3</v>
          </cell>
          <cell r="BB92">
            <v>7.2523063324851193E-3</v>
          </cell>
          <cell r="BC92">
            <v>7.1719734505475132E-3</v>
          </cell>
          <cell r="BD92">
            <v>7.9455583450703787E-3</v>
          </cell>
          <cell r="BE92">
            <v>8.2903455870113E-3</v>
          </cell>
          <cell r="BF92">
            <v>9.4518142802077279E-3</v>
          </cell>
          <cell r="BG92">
            <v>8.667414751556652E-3</v>
          </cell>
          <cell r="BH92">
            <v>9.893017046320696E-3</v>
          </cell>
          <cell r="BI92">
            <v>1.0656467581821745E-2</v>
          </cell>
          <cell r="BJ92">
            <v>4.2394089847506734E-3</v>
          </cell>
          <cell r="BK92">
            <v>9.1630850298457835E-3</v>
          </cell>
          <cell r="BL92">
            <v>1.1308556832028693E-2</v>
          </cell>
          <cell r="BM92">
            <v>1.2508180384557904E-2</v>
          </cell>
          <cell r="BN92">
            <v>1.3279670632827924E-2</v>
          </cell>
          <cell r="BO92">
            <v>1.3734062798803345E-2</v>
          </cell>
          <cell r="BP92">
            <v>1.3583440183579952E-2</v>
          </cell>
          <cell r="BQ92">
            <v>1.419533132316398E-2</v>
          </cell>
          <cell r="BR92">
            <v>1.4726460256067889E-2</v>
          </cell>
          <cell r="BS92">
            <v>1.4955145898011559E-2</v>
          </cell>
        </row>
        <row r="94">
          <cell r="A94" t="str">
            <v>Funds From Operations (FFO)</v>
          </cell>
          <cell r="J94">
            <v>760.28409999999985</v>
          </cell>
          <cell r="K94">
            <v>932.68400000000008</v>
          </cell>
          <cell r="L94">
            <v>907.7379634962607</v>
          </cell>
          <cell r="M94">
            <v>1341.8688827333031</v>
          </cell>
          <cell r="N94">
            <v>1518.5071004639804</v>
          </cell>
          <cell r="O94">
            <v>1626.3481311747787</v>
          </cell>
          <cell r="P94">
            <v>1712.8900685022677</v>
          </cell>
          <cell r="Q94">
            <v>1793.9390672792401</v>
          </cell>
          <cell r="R94">
            <v>1866.8043449095785</v>
          </cell>
          <cell r="S94">
            <v>1930.9007348945679</v>
          </cell>
          <cell r="T94">
            <v>1985.9606543147652</v>
          </cell>
          <cell r="U94">
            <v>2030.4422083289719</v>
          </cell>
          <cell r="V94">
            <v>2065.6915050532798</v>
          </cell>
          <cell r="AZ94">
            <v>183.64019999999999</v>
          </cell>
          <cell r="BA94">
            <v>183.70469999999997</v>
          </cell>
          <cell r="BB94">
            <v>197.56669999999991</v>
          </cell>
          <cell r="BC94">
            <v>195.3725</v>
          </cell>
          <cell r="BD94">
            <v>216.64000000000004</v>
          </cell>
          <cell r="BE94">
            <v>225.45299999999997</v>
          </cell>
          <cell r="BF94">
            <v>256.04300000000001</v>
          </cell>
          <cell r="BG94">
            <v>234.54800000000006</v>
          </cell>
          <cell r="BH94">
            <v>266.96129999999999</v>
          </cell>
          <cell r="BI94">
            <v>286.38300000000004</v>
          </cell>
          <cell r="BJ94">
            <v>112.48800000000001</v>
          </cell>
          <cell r="BK94">
            <v>241.90566349626067</v>
          </cell>
          <cell r="BL94">
            <v>298.38372007803645</v>
          </cell>
          <cell r="BM94">
            <v>330.15324604976723</v>
          </cell>
          <cell r="BN94">
            <v>350.62197163093208</v>
          </cell>
          <cell r="BO94">
            <v>362.70994497456729</v>
          </cell>
          <cell r="BP94">
            <v>358.82764241766495</v>
          </cell>
          <cell r="BQ94">
            <v>375.09870453879847</v>
          </cell>
          <cell r="BR94">
            <v>389.227983006518</v>
          </cell>
          <cell r="BS94">
            <v>395.35277050099899</v>
          </cell>
        </row>
        <row r="95">
          <cell r="A95" t="str">
            <v>Non-Cash Straight-Line Revenue</v>
          </cell>
          <cell r="J95">
            <v>-36.307000000000002</v>
          </cell>
          <cell r="K95">
            <v>-105.226</v>
          </cell>
          <cell r="L95">
            <v>-125.687</v>
          </cell>
          <cell r="M95">
            <v>-130.74799999999999</v>
          </cell>
          <cell r="N95">
            <v>-130.74799999999999</v>
          </cell>
          <cell r="O95">
            <v>-130.74799999999999</v>
          </cell>
          <cell r="P95">
            <v>-130.74799999999999</v>
          </cell>
          <cell r="Q95">
            <v>-130.74799999999999</v>
          </cell>
          <cell r="R95">
            <v>-130.74799999999999</v>
          </cell>
          <cell r="S95">
            <v>-130.74799999999999</v>
          </cell>
          <cell r="T95">
            <v>-130.74799999999999</v>
          </cell>
          <cell r="U95">
            <v>-130.74799999999999</v>
          </cell>
          <cell r="V95">
            <v>-130.74799999999999</v>
          </cell>
          <cell r="AZ95">
            <v>-9.8949999999999996</v>
          </cell>
          <cell r="BA95">
            <v>-8.9979999999999993</v>
          </cell>
          <cell r="BB95">
            <v>-9.827</v>
          </cell>
          <cell r="BC95">
            <v>-7.5869999999999997</v>
          </cell>
          <cell r="BD95">
            <v>-13.585000000000001</v>
          </cell>
          <cell r="BE95">
            <v>-18.841000000000001</v>
          </cell>
          <cell r="BF95">
            <v>-35.378999999999998</v>
          </cell>
          <cell r="BG95">
            <v>-37.420999999999999</v>
          </cell>
          <cell r="BH95">
            <v>-29.843</v>
          </cell>
          <cell r="BI95">
            <v>-30.47</v>
          </cell>
          <cell r="BJ95">
            <v>-32.686999999999998</v>
          </cell>
          <cell r="BK95">
            <v>-32.686999999999998</v>
          </cell>
          <cell r="BL95">
            <v>-32.686999999999998</v>
          </cell>
          <cell r="BM95">
            <v>-32.686999999999998</v>
          </cell>
          <cell r="BN95">
            <v>-32.686999999999998</v>
          </cell>
          <cell r="BO95">
            <v>-32.686999999999998</v>
          </cell>
          <cell r="BP95">
            <v>-32.686999999999998</v>
          </cell>
          <cell r="BQ95">
            <v>-32.686999999999998</v>
          </cell>
          <cell r="BR95">
            <v>-32.686999999999998</v>
          </cell>
          <cell r="BS95">
            <v>-32.686999999999998</v>
          </cell>
          <cell r="BU95" t="str">
            <v>mstag:straightLiningOfRents</v>
          </cell>
          <cell r="BV95">
            <v>6</v>
          </cell>
          <cell r="BW95" t="str">
            <v>ISO4217:USD</v>
          </cell>
          <cell r="BX95" t="b">
            <v>1</v>
          </cell>
          <cell r="BY95" t="b">
            <v>0</v>
          </cell>
        </row>
        <row r="96">
          <cell r="A96" t="str">
            <v>Non-Cash Straight-Line Expense</v>
          </cell>
          <cell r="J96">
            <v>26.591000000000001</v>
          </cell>
          <cell r="K96">
            <v>22.268000000000001</v>
          </cell>
          <cell r="L96">
            <v>30.994</v>
          </cell>
          <cell r="M96">
            <v>31.475999999999999</v>
          </cell>
          <cell r="N96">
            <v>31.475999999999999</v>
          </cell>
          <cell r="O96">
            <v>31.475999999999999</v>
          </cell>
          <cell r="P96">
            <v>31.475999999999999</v>
          </cell>
          <cell r="Q96">
            <v>31.475999999999999</v>
          </cell>
          <cell r="R96">
            <v>31.475999999999999</v>
          </cell>
          <cell r="S96">
            <v>31.475999999999999</v>
          </cell>
          <cell r="T96">
            <v>31.475999999999999</v>
          </cell>
          <cell r="U96">
            <v>31.475999999999999</v>
          </cell>
          <cell r="V96">
            <v>31.475999999999999</v>
          </cell>
          <cell r="AZ96">
            <v>7.1779999999999999</v>
          </cell>
          <cell r="BA96">
            <v>6.3810000000000002</v>
          </cell>
          <cell r="BB96">
            <v>6.8319999999999999</v>
          </cell>
          <cell r="BC96">
            <v>6.2</v>
          </cell>
          <cell r="BD96">
            <v>7.1550000000000002</v>
          </cell>
          <cell r="BE96">
            <v>5.9960000000000004</v>
          </cell>
          <cell r="BF96">
            <v>5.25</v>
          </cell>
          <cell r="BG96">
            <v>3.867</v>
          </cell>
          <cell r="BH96">
            <v>7.1390000000000002</v>
          </cell>
          <cell r="BI96">
            <v>8.1170000000000009</v>
          </cell>
          <cell r="BJ96">
            <v>7.8689999999999998</v>
          </cell>
          <cell r="BK96">
            <v>7.8689999999999998</v>
          </cell>
          <cell r="BL96">
            <v>7.8689999999999998</v>
          </cell>
          <cell r="BM96">
            <v>7.8689999999999998</v>
          </cell>
          <cell r="BN96">
            <v>7.8689999999999998</v>
          </cell>
          <cell r="BO96">
            <v>7.8689999999999998</v>
          </cell>
          <cell r="BP96">
            <v>7.8689999999999998</v>
          </cell>
          <cell r="BQ96">
            <v>7.8689999999999998</v>
          </cell>
          <cell r="BR96">
            <v>7.8689999999999998</v>
          </cell>
          <cell r="BS96">
            <v>7.8689999999999998</v>
          </cell>
          <cell r="BU96" t="str">
            <v>mstag:noncashInterestAFFOAdjustment</v>
          </cell>
          <cell r="BV96">
            <v>6</v>
          </cell>
          <cell r="BW96" t="str">
            <v>ISO4217:USD</v>
          </cell>
          <cell r="BX96" t="b">
            <v>0</v>
          </cell>
          <cell r="BY96" t="b">
            <v>0</v>
          </cell>
        </row>
        <row r="97">
          <cell r="A97" t="str">
            <v>Stock-Based Compensation Expense</v>
          </cell>
          <cell r="J97">
            <v>60.67</v>
          </cell>
          <cell r="K97">
            <v>52.555999999999997</v>
          </cell>
          <cell r="L97">
            <v>49.594999999999999</v>
          </cell>
          <cell r="M97">
            <v>51.832000000000008</v>
          </cell>
          <cell r="N97">
            <v>55.832000000000008</v>
          </cell>
          <cell r="O97">
            <v>55.832000000000008</v>
          </cell>
          <cell r="P97">
            <v>55.832000000000008</v>
          </cell>
          <cell r="Q97">
            <v>55.832000000000008</v>
          </cell>
          <cell r="R97">
            <v>55.832000000000008</v>
          </cell>
          <cell r="S97">
            <v>55.832000000000008</v>
          </cell>
          <cell r="T97">
            <v>55.832000000000008</v>
          </cell>
          <cell r="U97">
            <v>55.832000000000008</v>
          </cell>
          <cell r="V97">
            <v>55.832000000000008</v>
          </cell>
          <cell r="AZ97">
            <v>24.338000000000001</v>
          </cell>
          <cell r="BA97">
            <v>12.835999999999999</v>
          </cell>
          <cell r="BB97">
            <v>12.950000000000003</v>
          </cell>
          <cell r="BC97">
            <v>10.545999999999999</v>
          </cell>
          <cell r="BD97">
            <v>13.565</v>
          </cell>
          <cell r="BE97">
            <v>13.228</v>
          </cell>
          <cell r="BF97">
            <v>13.353</v>
          </cell>
          <cell r="BG97">
            <v>12.41</v>
          </cell>
          <cell r="BH97">
            <v>12.358000000000001</v>
          </cell>
          <cell r="BI97">
            <v>11.686999999999999</v>
          </cell>
          <cell r="BJ97">
            <v>12.14</v>
          </cell>
          <cell r="BK97">
            <v>13.41</v>
          </cell>
          <cell r="BL97">
            <v>13.358000000000001</v>
          </cell>
          <cell r="BM97">
            <v>12.686999999999999</v>
          </cell>
          <cell r="BN97">
            <v>11.377000000000001</v>
          </cell>
          <cell r="BO97">
            <v>14.41</v>
          </cell>
          <cell r="BP97">
            <v>14.358000000000001</v>
          </cell>
          <cell r="BQ97">
            <v>13.686999999999999</v>
          </cell>
          <cell r="BR97">
            <v>12.377000000000001</v>
          </cell>
          <cell r="BS97">
            <v>15.41</v>
          </cell>
          <cell r="BU97" t="str">
            <v>mstag:stockCompensationAFFOAdjustment</v>
          </cell>
          <cell r="BV97">
            <v>6</v>
          </cell>
          <cell r="BW97" t="str">
            <v>ISO4217:USD</v>
          </cell>
          <cell r="BX97" t="b">
            <v>0</v>
          </cell>
          <cell r="BY97" t="b">
            <v>0</v>
          </cell>
        </row>
        <row r="98">
          <cell r="A98" t="str">
            <v>Non-Real Estate Depreciation</v>
          </cell>
          <cell r="J98">
            <v>41.461899999999986</v>
          </cell>
          <cell r="K98">
            <v>47.863</v>
          </cell>
          <cell r="L98">
            <v>68.538682624999979</v>
          </cell>
          <cell r="M98">
            <v>59.475337906825246</v>
          </cell>
          <cell r="N98">
            <v>84.962284817158263</v>
          </cell>
          <cell r="O98">
            <v>57.848581668173097</v>
          </cell>
          <cell r="P98">
            <v>57.767173501355842</v>
          </cell>
          <cell r="Q98">
            <v>58.385939484553546</v>
          </cell>
          <cell r="R98">
            <v>59.305830258320498</v>
          </cell>
          <cell r="S98">
            <v>60.498233227858805</v>
          </cell>
          <cell r="T98">
            <v>61.937272067495769</v>
          </cell>
          <cell r="U98">
            <v>63.599543509633804</v>
          </cell>
          <cell r="V98">
            <v>65.46387958681737</v>
          </cell>
          <cell r="AZ98">
            <v>9.9868000000000023</v>
          </cell>
          <cell r="BA98">
            <v>10.246299999999991</v>
          </cell>
          <cell r="BB98">
            <v>10.554299999999998</v>
          </cell>
          <cell r="BC98">
            <v>10.674499999999995</v>
          </cell>
          <cell r="BD98">
            <v>11.190999999999988</v>
          </cell>
          <cell r="BE98">
            <v>11.77300000000001</v>
          </cell>
          <cell r="BF98">
            <v>11.960999999999999</v>
          </cell>
          <cell r="BG98">
            <v>12.938000000000002</v>
          </cell>
          <cell r="BH98">
            <v>17.021999999999991</v>
          </cell>
          <cell r="BI98">
            <v>19.532999999999987</v>
          </cell>
          <cell r="BJ98">
            <v>18.397999999999996</v>
          </cell>
          <cell r="BK98">
            <v>13.585682625000004</v>
          </cell>
          <cell r="BL98">
            <v>14.771822684374996</v>
          </cell>
          <cell r="BM98">
            <v>14.833397117265633</v>
          </cell>
          <cell r="BN98">
            <v>14.899650939333981</v>
          </cell>
          <cell r="BO98">
            <v>14.970467165850636</v>
          </cell>
          <cell r="BP98">
            <v>21.064899431386124</v>
          </cell>
          <cell r="BQ98">
            <v>21.178091820601452</v>
          </cell>
          <cell r="BR98">
            <v>21.297204400086429</v>
          </cell>
          <cell r="BS98">
            <v>21.422089165084259</v>
          </cell>
          <cell r="BU98" t="str">
            <v>mstag:otherFfoAdjustmentAffo</v>
          </cell>
          <cell r="BV98">
            <v>6</v>
          </cell>
          <cell r="BW98" t="str">
            <v>ISO4217:USD</v>
          </cell>
          <cell r="BX98" t="b">
            <v>0</v>
          </cell>
          <cell r="BY98" t="b">
            <v>0</v>
          </cell>
        </row>
        <row r="99">
          <cell r="A99" t="str">
            <v>Amortization of Deferred Financing Costs, Debt Discounts, and Capitalized Interest</v>
          </cell>
          <cell r="J99">
            <v>7.2</v>
          </cell>
          <cell r="K99">
            <v>8.3970000000000002</v>
          </cell>
          <cell r="L99">
            <v>11.091000000000001</v>
          </cell>
          <cell r="M99">
            <v>11.252000000000001</v>
          </cell>
          <cell r="N99">
            <v>11.252000000000001</v>
          </cell>
          <cell r="O99">
            <v>11.252000000000001</v>
          </cell>
          <cell r="P99">
            <v>11.252000000000001</v>
          </cell>
          <cell r="Q99">
            <v>11.252000000000001</v>
          </cell>
          <cell r="R99">
            <v>11.252000000000001</v>
          </cell>
          <cell r="S99">
            <v>11.252000000000001</v>
          </cell>
          <cell r="T99">
            <v>11.252000000000001</v>
          </cell>
          <cell r="U99">
            <v>11.252000000000001</v>
          </cell>
          <cell r="V99">
            <v>11.252000000000001</v>
          </cell>
          <cell r="AZ99">
            <v>1.8</v>
          </cell>
          <cell r="BA99">
            <v>1.8</v>
          </cell>
          <cell r="BB99">
            <v>1.8</v>
          </cell>
          <cell r="BC99">
            <v>1.8</v>
          </cell>
          <cell r="BD99">
            <v>1.887</v>
          </cell>
          <cell r="BE99">
            <v>2.496</v>
          </cell>
          <cell r="BF99">
            <v>1.84</v>
          </cell>
          <cell r="BG99">
            <v>2.1739999999999999</v>
          </cell>
          <cell r="BH99">
            <v>2.5019999999999998</v>
          </cell>
          <cell r="BI99">
            <v>2.9630000000000001</v>
          </cell>
          <cell r="BJ99">
            <v>2.8130000000000002</v>
          </cell>
          <cell r="BK99">
            <v>2.8130000000000002</v>
          </cell>
          <cell r="BL99">
            <v>2.8130000000000002</v>
          </cell>
          <cell r="BM99">
            <v>2.8130000000000002</v>
          </cell>
          <cell r="BN99">
            <v>2.8130000000000002</v>
          </cell>
          <cell r="BO99">
            <v>2.8130000000000002</v>
          </cell>
          <cell r="BP99">
            <v>2.8130000000000002</v>
          </cell>
          <cell r="BQ99">
            <v>2.8130000000000002</v>
          </cell>
          <cell r="BR99">
            <v>2.8130000000000002</v>
          </cell>
          <cell r="BS99">
            <v>2.8130000000000002</v>
          </cell>
          <cell r="BU99" t="str">
            <v>mstag:otherFfoAdjustmentAffo</v>
          </cell>
          <cell r="BV99">
            <v>6</v>
          </cell>
          <cell r="BW99" t="str">
            <v>ISO4217:USD</v>
          </cell>
          <cell r="BX99" t="b">
            <v>0</v>
          </cell>
          <cell r="BY99" t="b">
            <v>0</v>
          </cell>
        </row>
        <row r="100">
          <cell r="A100" t="str">
            <v>Other Expense (Income)</v>
          </cell>
          <cell r="J100">
            <v>16.899999999999999</v>
          </cell>
          <cell r="K100">
            <v>1.5359999999999996</v>
          </cell>
          <cell r="L100">
            <v>115.7097</v>
          </cell>
          <cell r="M100">
            <v>0</v>
          </cell>
          <cell r="N100">
            <v>0</v>
          </cell>
          <cell r="O100">
            <v>0</v>
          </cell>
          <cell r="P100">
            <v>0</v>
          </cell>
          <cell r="Q100">
            <v>0</v>
          </cell>
          <cell r="R100">
            <v>0</v>
          </cell>
          <cell r="S100">
            <v>0</v>
          </cell>
          <cell r="T100">
            <v>0</v>
          </cell>
          <cell r="U100">
            <v>0</v>
          </cell>
          <cell r="V100">
            <v>0</v>
          </cell>
          <cell r="AZ100">
            <v>-7.0999999999999994E-2</v>
          </cell>
          <cell r="BA100">
            <v>5.0110000000000001</v>
          </cell>
          <cell r="BB100">
            <v>0.34900000000000003</v>
          </cell>
          <cell r="BC100">
            <v>11.610999999999999</v>
          </cell>
          <cell r="BD100">
            <v>-0.39600000000000002</v>
          </cell>
          <cell r="BE100">
            <v>6.7190000000000003</v>
          </cell>
          <cell r="BF100">
            <v>-8.2360000000000007</v>
          </cell>
          <cell r="BG100">
            <v>3.4489999999999998</v>
          </cell>
          <cell r="BH100">
            <v>-13.7073</v>
          </cell>
          <cell r="BI100">
            <v>-21.459</v>
          </cell>
          <cell r="BJ100">
            <v>150.876</v>
          </cell>
          <cell r="BK100">
            <v>0</v>
          </cell>
          <cell r="BL100">
            <v>0</v>
          </cell>
          <cell r="BM100">
            <v>0</v>
          </cell>
          <cell r="BN100">
            <v>0</v>
          </cell>
          <cell r="BO100">
            <v>0</v>
          </cell>
          <cell r="BP100">
            <v>0</v>
          </cell>
          <cell r="BQ100">
            <v>0</v>
          </cell>
          <cell r="BR100">
            <v>0</v>
          </cell>
          <cell r="BS100">
            <v>0</v>
          </cell>
          <cell r="BU100" t="str">
            <v>mstag:otherFfoAdjustmentAffo</v>
          </cell>
          <cell r="BV100">
            <v>6</v>
          </cell>
          <cell r="BW100" t="str">
            <v>ISO4217:USD</v>
          </cell>
          <cell r="BX100" t="b">
            <v>0</v>
          </cell>
          <cell r="BY100" t="b">
            <v>0</v>
          </cell>
        </row>
        <row r="101">
          <cell r="A101" t="str">
            <v>Other Operating Expense</v>
          </cell>
          <cell r="J101">
            <v>19.167999999999999</v>
          </cell>
          <cell r="K101">
            <v>35.876000000000005</v>
          </cell>
          <cell r="L101">
            <v>35.770000000000003</v>
          </cell>
          <cell r="M101">
            <v>0</v>
          </cell>
          <cell r="N101">
            <v>0</v>
          </cell>
          <cell r="O101">
            <v>0</v>
          </cell>
          <cell r="P101">
            <v>0</v>
          </cell>
          <cell r="Q101">
            <v>0</v>
          </cell>
          <cell r="R101">
            <v>0</v>
          </cell>
          <cell r="S101">
            <v>0</v>
          </cell>
          <cell r="T101">
            <v>0</v>
          </cell>
          <cell r="U101">
            <v>0</v>
          </cell>
          <cell r="V101">
            <v>0</v>
          </cell>
          <cell r="AZ101">
            <v>3.1890000000000001</v>
          </cell>
          <cell r="BA101">
            <v>2.0139999999999998</v>
          </cell>
          <cell r="BB101">
            <v>3.0259999999999998</v>
          </cell>
          <cell r="BC101">
            <v>10.939</v>
          </cell>
          <cell r="BD101">
            <v>4.7539999999999996</v>
          </cell>
          <cell r="BE101">
            <v>5.0369999999999999</v>
          </cell>
          <cell r="BF101">
            <v>4.2990000000000004</v>
          </cell>
          <cell r="BG101">
            <v>21.786000000000001</v>
          </cell>
          <cell r="BH101">
            <v>11.704000000000001</v>
          </cell>
          <cell r="BI101">
            <v>9.49</v>
          </cell>
          <cell r="BJ101">
            <v>14.576000000000001</v>
          </cell>
          <cell r="BK101">
            <v>0</v>
          </cell>
          <cell r="BL101">
            <v>0</v>
          </cell>
          <cell r="BM101">
            <v>0</v>
          </cell>
          <cell r="BN101">
            <v>0</v>
          </cell>
          <cell r="BO101">
            <v>0</v>
          </cell>
          <cell r="BP101">
            <v>0</v>
          </cell>
          <cell r="BQ101">
            <v>0</v>
          </cell>
          <cell r="BR101">
            <v>0</v>
          </cell>
          <cell r="BS101">
            <v>0</v>
          </cell>
          <cell r="BU101" t="str">
            <v>mstag:otherFfoAdjustmentAffo</v>
          </cell>
          <cell r="BV101">
            <v>6</v>
          </cell>
          <cell r="BW101" t="str">
            <v>ISO4217:USD</v>
          </cell>
          <cell r="BX101" t="b">
            <v>0</v>
          </cell>
          <cell r="BY101" t="b">
            <v>0</v>
          </cell>
        </row>
        <row r="102">
          <cell r="A102" t="str">
            <v>Capital Improvement Capex</v>
          </cell>
          <cell r="J102">
            <v>-32.542000000000002</v>
          </cell>
          <cell r="K102">
            <v>-31.405000000000001</v>
          </cell>
          <cell r="L102">
            <v>-61.115000000000002</v>
          </cell>
          <cell r="M102">
            <v>-44</v>
          </cell>
          <cell r="N102">
            <v>-44</v>
          </cell>
          <cell r="O102">
            <v>-44</v>
          </cell>
          <cell r="P102">
            <v>-44</v>
          </cell>
          <cell r="Q102">
            <v>-44</v>
          </cell>
          <cell r="R102">
            <v>-44</v>
          </cell>
          <cell r="S102">
            <v>-44</v>
          </cell>
          <cell r="T102">
            <v>-44</v>
          </cell>
          <cell r="U102">
            <v>-44</v>
          </cell>
          <cell r="V102">
            <v>-44</v>
          </cell>
          <cell r="AZ102">
            <v>-6.4089999999999998</v>
          </cell>
          <cell r="BA102">
            <v>-9.1379999999999999</v>
          </cell>
          <cell r="BB102">
            <v>-8.2119999999999997</v>
          </cell>
          <cell r="BC102">
            <v>-8.7829999999999995</v>
          </cell>
          <cell r="BD102">
            <v>-6.8490000000000002</v>
          </cell>
          <cell r="BE102">
            <v>-5.0259999999999998</v>
          </cell>
          <cell r="BF102">
            <v>-9.2149999999999999</v>
          </cell>
          <cell r="BG102">
            <v>-10.315</v>
          </cell>
          <cell r="BH102">
            <v>-10.156000000000001</v>
          </cell>
          <cell r="BI102">
            <v>-14.208</v>
          </cell>
          <cell r="BJ102">
            <v>-19.751000000000001</v>
          </cell>
          <cell r="BK102">
            <v>-17</v>
          </cell>
          <cell r="BL102">
            <v>-11</v>
          </cell>
          <cell r="BM102">
            <v>-11</v>
          </cell>
          <cell r="BN102">
            <v>-11</v>
          </cell>
          <cell r="BO102">
            <v>-11</v>
          </cell>
          <cell r="BP102">
            <v>-11</v>
          </cell>
          <cell r="BQ102">
            <v>-11</v>
          </cell>
          <cell r="BR102">
            <v>-11</v>
          </cell>
          <cell r="BS102">
            <v>-11</v>
          </cell>
          <cell r="BU102" t="str">
            <v>mstag:recurringButNonRevenueEnhancingCapex</v>
          </cell>
          <cell r="BV102">
            <v>6</v>
          </cell>
          <cell r="BW102" t="str">
            <v>ISO4217:USD</v>
          </cell>
          <cell r="BX102" t="b">
            <v>1</v>
          </cell>
          <cell r="BY102" t="b">
            <v>0</v>
          </cell>
        </row>
        <row r="103">
          <cell r="A103" t="str">
            <v>Corporate Capex</v>
          </cell>
          <cell r="J103">
            <v>-8.0890000000000004</v>
          </cell>
          <cell r="K103">
            <v>-11.603300000000001</v>
          </cell>
          <cell r="L103">
            <v>-16.503</v>
          </cell>
          <cell r="M103">
            <v>-10</v>
          </cell>
          <cell r="N103">
            <v>-10</v>
          </cell>
          <cell r="O103">
            <v>-10</v>
          </cell>
          <cell r="P103">
            <v>-10</v>
          </cell>
          <cell r="Q103">
            <v>-10</v>
          </cell>
          <cell r="R103">
            <v>-10</v>
          </cell>
          <cell r="S103">
            <v>-10</v>
          </cell>
          <cell r="T103">
            <v>-10</v>
          </cell>
          <cell r="U103">
            <v>-10</v>
          </cell>
          <cell r="V103">
            <v>-10</v>
          </cell>
          <cell r="AZ103">
            <v>-0.84199999999999997</v>
          </cell>
          <cell r="BA103">
            <v>-1.853</v>
          </cell>
          <cell r="BB103">
            <v>-3.762</v>
          </cell>
          <cell r="BC103">
            <v>-1.6319999999999999</v>
          </cell>
          <cell r="BD103">
            <v>-1.603</v>
          </cell>
          <cell r="BE103">
            <v>-2.7532999999999999</v>
          </cell>
          <cell r="BF103">
            <v>-3.4049999999999998</v>
          </cell>
          <cell r="BG103">
            <v>-3.8420000000000001</v>
          </cell>
          <cell r="BH103">
            <v>-2.681</v>
          </cell>
          <cell r="BI103">
            <v>-6.0780000000000003</v>
          </cell>
          <cell r="BJ103">
            <v>-4.7439999999999998</v>
          </cell>
          <cell r="BK103">
            <v>-3</v>
          </cell>
          <cell r="BL103">
            <v>-2.5</v>
          </cell>
          <cell r="BM103">
            <v>-2.5</v>
          </cell>
          <cell r="BN103">
            <v>-2.5</v>
          </cell>
          <cell r="BO103">
            <v>-2.5</v>
          </cell>
          <cell r="BP103">
            <v>-2.5</v>
          </cell>
          <cell r="BQ103">
            <v>-2.5</v>
          </cell>
          <cell r="BR103">
            <v>-2.5</v>
          </cell>
          <cell r="BS103">
            <v>-2.5</v>
          </cell>
          <cell r="BU103" t="str">
            <v>mstag:recurringButNonRevenueEnhancingCapex</v>
          </cell>
          <cell r="BV103">
            <v>6</v>
          </cell>
          <cell r="BW103" t="str">
            <v>ISO4217:USD</v>
          </cell>
          <cell r="BX103" t="b">
            <v>1</v>
          </cell>
          <cell r="BY103" t="b">
            <v>0</v>
          </cell>
        </row>
        <row r="104">
          <cell r="A104" t="str">
            <v>Adjusted Funds from Operations (AFFO)</v>
          </cell>
          <cell r="J104">
            <v>855.33699999999976</v>
          </cell>
          <cell r="K104">
            <v>952.94570000000022</v>
          </cell>
          <cell r="L104">
            <v>1016.1313461212607</v>
          </cell>
          <cell r="M104">
            <v>1311.1562206401284</v>
          </cell>
          <cell r="N104">
            <v>1517.2813852811387</v>
          </cell>
          <cell r="O104">
            <v>1598.0087128429518</v>
          </cell>
          <cell r="P104">
            <v>1684.4692420036235</v>
          </cell>
          <cell r="Q104">
            <v>1766.1370067637938</v>
          </cell>
          <cell r="R104">
            <v>1839.9221751678992</v>
          </cell>
          <cell r="S104">
            <v>1905.2109681224269</v>
          </cell>
          <cell r="T104">
            <v>1961.7099263822611</v>
          </cell>
          <cell r="U104">
            <v>2007.8537518386061</v>
          </cell>
          <cell r="V104">
            <v>2044.9673846400974</v>
          </cell>
          <cell r="AZ104">
            <v>212.91499999999999</v>
          </cell>
          <cell r="BA104">
            <v>202.00399999999999</v>
          </cell>
          <cell r="BB104">
            <v>211.27699999999993</v>
          </cell>
          <cell r="BC104">
            <v>229.14099999999999</v>
          </cell>
          <cell r="BD104">
            <v>232.75900000000001</v>
          </cell>
          <cell r="BE104">
            <v>244.08169999999998</v>
          </cell>
          <cell r="BF104">
            <v>236.51100000000002</v>
          </cell>
          <cell r="BG104">
            <v>239.59400000000005</v>
          </cell>
          <cell r="BH104">
            <v>261.29900000000004</v>
          </cell>
          <cell r="BI104">
            <v>265.95800000000003</v>
          </cell>
          <cell r="BJ104">
            <v>261.97800000000007</v>
          </cell>
          <cell r="BK104">
            <v>226.89634612126065</v>
          </cell>
          <cell r="BL104">
            <v>291.00854276241137</v>
          </cell>
          <cell r="BM104">
            <v>322.16864316703283</v>
          </cell>
          <cell r="BN104">
            <v>341.39362257026607</v>
          </cell>
          <cell r="BO104">
            <v>356.58541214041793</v>
          </cell>
          <cell r="BP104">
            <v>358.74554184905105</v>
          </cell>
          <cell r="BQ104">
            <v>374.45879635939991</v>
          </cell>
          <cell r="BR104">
            <v>387.39718740660442</v>
          </cell>
          <cell r="BS104">
            <v>396.6798596660833</v>
          </cell>
        </row>
        <row r="105">
          <cell r="A105" t="str">
            <v>Y/Y Growth</v>
          </cell>
          <cell r="K105">
            <v>0.11411724267744816</v>
          </cell>
          <cell r="L105">
            <v>6.630561019506187E-2</v>
          </cell>
          <cell r="M105">
            <v>0.29034127885634642</v>
          </cell>
          <cell r="N105">
            <v>0.15720869976910645</v>
          </cell>
          <cell r="O105">
            <v>5.3205244818089525E-2</v>
          </cell>
          <cell r="P105">
            <v>5.4105167553719635E-2</v>
          </cell>
          <cell r="Q105">
            <v>4.8482787767041069E-2</v>
          </cell>
          <cell r="R105">
            <v>4.1777714934645216E-2</v>
          </cell>
          <cell r="S105">
            <v>3.5484540507029871E-2</v>
          </cell>
          <cell r="T105">
            <v>2.9654961684119074E-2</v>
          </cell>
          <cell r="U105">
            <v>2.3522247013064934E-2</v>
          </cell>
          <cell r="V105">
            <v>1.8484231118678807E-2</v>
          </cell>
          <cell r="BD105">
            <v>9.3201512340605586E-2</v>
          </cell>
          <cell r="BE105">
            <v>0.20830132076592545</v>
          </cell>
          <cell r="BF105">
            <v>0.11943562242932315</v>
          </cell>
          <cell r="BG105">
            <v>4.5618200147507615E-2</v>
          </cell>
          <cell r="BH105">
            <v>0.12261609647747251</v>
          </cell>
          <cell r="BI105">
            <v>8.9626956875505481E-2</v>
          </cell>
          <cell r="BJ105">
            <v>0.10767786699138737</v>
          </cell>
          <cell r="BK105">
            <v>-5.2996543647751637E-2</v>
          </cell>
          <cell r="BL105">
            <v>0.11369941240652026</v>
          </cell>
          <cell r="BM105">
            <v>0.21135157869675969</v>
          </cell>
          <cell r="BN105">
            <v>0.30313851762463262</v>
          </cell>
          <cell r="BO105">
            <v>0.57157846847761618</v>
          </cell>
          <cell r="BP105">
            <v>0.23276635951523361</v>
          </cell>
          <cell r="BQ105">
            <v>0.16230677411164596</v>
          </cell>
          <cell r="BR105">
            <v>0.13475226774884996</v>
          </cell>
          <cell r="BS105">
            <v>0.11243995452589295</v>
          </cell>
        </row>
        <row r="106">
          <cell r="A106" t="str">
            <v>AFFO per Share</v>
          </cell>
          <cell r="J106">
            <v>2.1008863229693597</v>
          </cell>
          <cell r="K106">
            <v>2.3564564837465101</v>
          </cell>
          <cell r="L106">
            <v>2.5554674287441368</v>
          </cell>
          <cell r="M106">
            <v>3.3348909111117364</v>
          </cell>
          <cell r="N106">
            <v>3.8550032405347459</v>
          </cell>
          <cell r="O106">
            <v>4.0332185923071258</v>
          </cell>
          <cell r="P106">
            <v>4.250195147269852</v>
          </cell>
          <cell r="Q106">
            <v>4.4556613369601834</v>
          </cell>
          <cell r="R106">
            <v>4.6415247136229567</v>
          </cell>
          <cell r="S106">
            <v>4.8065635188882689</v>
          </cell>
          <cell r="T106">
            <v>4.9504594265792452</v>
          </cell>
          <cell r="U106">
            <v>5.0691150181193096</v>
          </cell>
          <cell r="V106">
            <v>5.1657273841566145</v>
          </cell>
          <cell r="AZ106">
            <v>0.52153092467850581</v>
          </cell>
          <cell r="BA106">
            <v>0.49410026612398245</v>
          </cell>
          <cell r="BB106">
            <v>0.5207355666850696</v>
          </cell>
          <cell r="BC106">
            <v>0.56478176852773854</v>
          </cell>
          <cell r="BD106">
            <v>0.57318508668242718</v>
          </cell>
          <cell r="BE106">
            <v>0.60263515248479094</v>
          </cell>
          <cell r="BF106">
            <v>0.58621407591924757</v>
          </cell>
          <cell r="BG106">
            <v>0.59447885031461534</v>
          </cell>
          <cell r="BH106">
            <v>0.65016086131092643</v>
          </cell>
          <cell r="BI106">
            <v>0.664479700187383</v>
          </cell>
          <cell r="BJ106">
            <v>0.66292831422404319</v>
          </cell>
          <cell r="BK106">
            <v>0.57706642678860565</v>
          </cell>
          <cell r="BL106">
            <v>0.74052619302030143</v>
          </cell>
          <cell r="BM106">
            <v>0.81952924812308492</v>
          </cell>
          <cell r="BN106">
            <v>0.86817286074044164</v>
          </cell>
          <cell r="BO106">
            <v>0.90657922619927289</v>
          </cell>
          <cell r="BP106">
            <v>0.91182820372476125</v>
          </cell>
          <cell r="BQ106">
            <v>0.95149526584424127</v>
          </cell>
          <cell r="BR106">
            <v>0.98413211155286584</v>
          </cell>
          <cell r="BS106">
            <v>1.0075083267494156</v>
          </cell>
        </row>
        <row r="107">
          <cell r="A107" t="str">
            <v>Y/Y Growth</v>
          </cell>
          <cell r="K107">
            <v>0.12164873367157325</v>
          </cell>
          <cell r="L107">
            <v>8.4453477656086795E-2</v>
          </cell>
          <cell r="M107">
            <v>0.30500231527139476</v>
          </cell>
          <cell r="N107">
            <v>0.15596082249347765</v>
          </cell>
          <cell r="O107">
            <v>4.6229624374494405E-2</v>
          </cell>
          <cell r="P107">
            <v>5.3797370511130316E-2</v>
          </cell>
          <cell r="Q107">
            <v>4.8342766054475073E-2</v>
          </cell>
          <cell r="R107">
            <v>4.1713981967394398E-2</v>
          </cell>
          <cell r="S107">
            <v>3.5557023919515096E-2</v>
          </cell>
          <cell r="T107">
            <v>2.9937377738900262E-2</v>
          </cell>
          <cell r="U107">
            <v>2.3968601965101977E-2</v>
          </cell>
          <cell r="V107">
            <v>1.9059020300776108E-2</v>
          </cell>
          <cell r="BD107">
            <v>9.9043334843016639E-2</v>
          </cell>
          <cell r="BE107">
            <v>0.21966166343568472</v>
          </cell>
          <cell r="BF107">
            <v>0.12574234107150595</v>
          </cell>
          <cell r="BG107">
            <v>5.2581516333805478E-2</v>
          </cell>
          <cell r="BH107">
            <v>0.13429479659708532</v>
          </cell>
          <cell r="BI107">
            <v>0.10262353174652028</v>
          </cell>
          <cell r="BJ107">
            <v>0.13086386263328698</v>
          </cell>
          <cell r="BK107">
            <v>-2.9290232136592431E-2</v>
          </cell>
          <cell r="BL107">
            <v>0.1389891903477094</v>
          </cell>
          <cell r="BM107">
            <v>0.23333978132361</v>
          </cell>
          <cell r="BN107">
            <v>0.30960292706253911</v>
          </cell>
          <cell r="BO107">
            <v>0.5710136374497079</v>
          </cell>
          <cell r="BP107">
            <v>0.23132471520796516</v>
          </cell>
          <cell r="BQ107">
            <v>0.16102661134229157</v>
          </cell>
          <cell r="BR107">
            <v>0.13356700728185134</v>
          </cell>
          <cell r="BS107">
            <v>0.11132959771566364</v>
          </cell>
        </row>
        <row r="108">
          <cell r="A108" t="str">
            <v>AFFO per Share Yield</v>
          </cell>
          <cell r="J108">
            <v>3.1289594020157345E-2</v>
          </cell>
          <cell r="K108">
            <v>3.5095933509807116E-2</v>
          </cell>
          <cell r="L108">
            <v>3.8059907146297117E-2</v>
          </cell>
          <cell r="M108">
            <v>4.9668266944932045E-2</v>
          </cell>
          <cell r="N108">
            <v>5.741457070948925E-2</v>
          </cell>
          <cell r="O108">
            <v>6.0068824747011786E-2</v>
          </cell>
          <cell r="P108">
            <v>6.3300369568094941E-2</v>
          </cell>
          <cell r="Q108">
            <v>6.6360484525287158E-2</v>
          </cell>
          <cell r="R108">
            <v>6.9128644580122536E-2</v>
          </cell>
          <cell r="S108">
            <v>7.1586653448981616E-2</v>
          </cell>
          <cell r="T108">
            <v>7.3729770134347533E-2</v>
          </cell>
          <cell r="U108">
            <v>7.5496969647676174E-2</v>
          </cell>
          <cell r="V108">
            <v>7.6935867924838308E-2</v>
          </cell>
          <cell r="AZ108">
            <v>7.7674316424143353E-3</v>
          </cell>
          <cell r="BA108">
            <v>7.3588925603646728E-3</v>
          </cell>
          <cell r="BB108">
            <v>7.755585961644643E-3</v>
          </cell>
          <cell r="BC108">
            <v>8.4115889822360228E-3</v>
          </cell>
          <cell r="BD108">
            <v>8.5367439754442213E-3</v>
          </cell>
          <cell r="BE108">
            <v>8.9753591412188617E-3</v>
          </cell>
          <cell r="BF108">
            <v>8.7307914968431481E-3</v>
          </cell>
          <cell r="BG108">
            <v>8.8538830856987241E-3</v>
          </cell>
          <cell r="BH108">
            <v>9.6831842712278952E-3</v>
          </cell>
          <cell r="BI108">
            <v>9.8964421949841574E-3</v>
          </cell>
          <cell r="BJ108">
            <v>9.8733365959658981E-3</v>
          </cell>
          <cell r="BK108">
            <v>8.5945507948083592E-3</v>
          </cell>
          <cell r="BL108">
            <v>1.1029042213073536E-2</v>
          </cell>
          <cell r="BM108">
            <v>1.2205675852643507E-2</v>
          </cell>
          <cell r="BN108">
            <v>1.2930150505950627E-2</v>
          </cell>
          <cell r="BO108">
            <v>1.3502156506398159E-2</v>
          </cell>
          <cell r="BP108">
            <v>1.3580332262029395E-2</v>
          </cell>
          <cell r="BQ108">
            <v>1.4171114474337125E-2</v>
          </cell>
          <cell r="BR108">
            <v>1.4657192012734367E-2</v>
          </cell>
          <cell r="BS108">
            <v>1.5005346158549397E-2</v>
          </cell>
        </row>
        <row r="110">
          <cell r="A110" t="str">
            <v>Pre-tax Income</v>
          </cell>
          <cell r="M110">
            <v>916.58050178622273</v>
          </cell>
          <cell r="N110">
            <v>1133.3999117061785</v>
          </cell>
          <cell r="O110">
            <v>1256.4896547286592</v>
          </cell>
          <cell r="P110">
            <v>1355.6653488523466</v>
          </cell>
          <cell r="Q110">
            <v>1441.4381953616562</v>
          </cell>
          <cell r="R110">
            <v>1514.8316733916979</v>
          </cell>
          <cell r="S110">
            <v>1575.4734498225439</v>
          </cell>
          <cell r="T110">
            <v>1623.3240973946631</v>
          </cell>
          <cell r="U110">
            <v>1656.8708144798497</v>
          </cell>
          <cell r="V110">
            <v>1677.8597599680945</v>
          </cell>
          <cell r="BL110">
            <v>187.99694990756984</v>
          </cell>
          <cell r="BM110">
            <v>223.46894544815524</v>
          </cell>
          <cell r="BN110">
            <v>246.05126497377975</v>
          </cell>
          <cell r="BO110">
            <v>259.06334145671775</v>
          </cell>
          <cell r="BP110">
            <v>260.94088009319023</v>
          </cell>
          <cell r="BQ110">
            <v>278.6405817346959</v>
          </cell>
          <cell r="BR110">
            <v>293.86511231199836</v>
          </cell>
          <cell r="BS110">
            <v>299.95333756629378</v>
          </cell>
        </row>
        <row r="111">
          <cell r="A111" t="str">
            <v>Estimated Percent in QRS</v>
          </cell>
          <cell r="M111">
            <v>0.7</v>
          </cell>
          <cell r="N111">
            <v>0.7</v>
          </cell>
          <cell r="O111">
            <v>0.7</v>
          </cell>
          <cell r="P111">
            <v>0.7</v>
          </cell>
          <cell r="Q111">
            <v>0.7</v>
          </cell>
          <cell r="R111">
            <v>0.7</v>
          </cell>
          <cell r="S111">
            <v>0.7</v>
          </cell>
          <cell r="T111">
            <v>0.7</v>
          </cell>
          <cell r="U111">
            <v>0.7</v>
          </cell>
          <cell r="V111">
            <v>0.7</v>
          </cell>
          <cell r="BL111">
            <v>0.7</v>
          </cell>
          <cell r="BM111">
            <v>0.7</v>
          </cell>
          <cell r="BN111">
            <v>0.7</v>
          </cell>
          <cell r="BO111">
            <v>0.7</v>
          </cell>
          <cell r="BP111">
            <v>0.7</v>
          </cell>
          <cell r="BQ111">
            <v>0.7</v>
          </cell>
          <cell r="BR111">
            <v>0.7</v>
          </cell>
          <cell r="BS111">
            <v>0.7</v>
          </cell>
        </row>
        <row r="112">
          <cell r="A112" t="str">
            <v>Minimum Payout (90%)</v>
          </cell>
          <cell r="M112">
            <v>1</v>
          </cell>
          <cell r="N112">
            <v>1</v>
          </cell>
          <cell r="O112">
            <v>1</v>
          </cell>
          <cell r="P112">
            <v>1</v>
          </cell>
          <cell r="Q112">
            <v>1</v>
          </cell>
          <cell r="R112">
            <v>1</v>
          </cell>
          <cell r="S112">
            <v>1</v>
          </cell>
          <cell r="T112">
            <v>1</v>
          </cell>
          <cell r="U112">
            <v>1</v>
          </cell>
          <cell r="V112">
            <v>1</v>
          </cell>
          <cell r="BL112">
            <v>1</v>
          </cell>
          <cell r="BM112">
            <v>1</v>
          </cell>
          <cell r="BN112">
            <v>1</v>
          </cell>
          <cell r="BO112">
            <v>1</v>
          </cell>
          <cell r="BP112">
            <v>1</v>
          </cell>
          <cell r="BQ112">
            <v>1</v>
          </cell>
          <cell r="BR112">
            <v>1</v>
          </cell>
          <cell r="BS112">
            <v>1</v>
          </cell>
        </row>
        <row r="113">
          <cell r="A113" t="str">
            <v>Total Potential Payout</v>
          </cell>
          <cell r="L113">
            <v>138</v>
          </cell>
          <cell r="M113">
            <v>641.60635125035571</v>
          </cell>
          <cell r="N113">
            <v>793.37993819432472</v>
          </cell>
          <cell r="O113">
            <v>879.54275831006134</v>
          </cell>
          <cell r="P113">
            <v>948.9657441966425</v>
          </cell>
          <cell r="Q113">
            <v>1009.0067367531593</v>
          </cell>
          <cell r="R113">
            <v>1060.3821713741884</v>
          </cell>
          <cell r="S113">
            <v>1102.8314148757806</v>
          </cell>
          <cell r="T113">
            <v>1136.326868176264</v>
          </cell>
          <cell r="U113">
            <v>1159.8095701358948</v>
          </cell>
          <cell r="V113">
            <v>1174.5018319776661</v>
          </cell>
          <cell r="BK113">
            <v>138</v>
          </cell>
          <cell r="BL113">
            <v>131.59786493529887</v>
          </cell>
          <cell r="BM113">
            <v>156.42826181370864</v>
          </cell>
          <cell r="BN113">
            <v>172.23588548164582</v>
          </cell>
          <cell r="BO113">
            <v>181.3443390197024</v>
          </cell>
          <cell r="BP113">
            <v>182.65861606523316</v>
          </cell>
          <cell r="BQ113">
            <v>195.04840721428712</v>
          </cell>
          <cell r="BR113">
            <v>205.70557861839885</v>
          </cell>
          <cell r="BS113">
            <v>209.96733629640565</v>
          </cell>
        </row>
        <row r="114">
          <cell r="A114" t="str">
            <v>NOLs Utilized</v>
          </cell>
          <cell r="L114">
            <v>0</v>
          </cell>
          <cell r="M114">
            <v>310</v>
          </cell>
          <cell r="N114">
            <v>433</v>
          </cell>
          <cell r="O114">
            <v>257</v>
          </cell>
          <cell r="P114">
            <v>0</v>
          </cell>
          <cell r="Q114">
            <v>0</v>
          </cell>
          <cell r="R114">
            <v>0</v>
          </cell>
          <cell r="S114">
            <v>0</v>
          </cell>
          <cell r="T114">
            <v>0</v>
          </cell>
          <cell r="U114">
            <v>0</v>
          </cell>
          <cell r="V114">
            <v>0</v>
          </cell>
          <cell r="BK114">
            <v>0</v>
          </cell>
          <cell r="BL114">
            <v>50</v>
          </cell>
          <cell r="BM114">
            <v>73</v>
          </cell>
          <cell r="BN114">
            <v>90</v>
          </cell>
          <cell r="BO114">
            <v>97</v>
          </cell>
          <cell r="BP114">
            <v>93</v>
          </cell>
          <cell r="BQ114">
            <v>105</v>
          </cell>
          <cell r="BR114">
            <v>115</v>
          </cell>
          <cell r="BS114">
            <v>120</v>
          </cell>
        </row>
        <row r="115">
          <cell r="A115" t="str">
            <v>Dividend Payout</v>
          </cell>
          <cell r="L115">
            <v>138</v>
          </cell>
          <cell r="M115">
            <v>331.60635125035571</v>
          </cell>
          <cell r="N115">
            <v>360.37993819432472</v>
          </cell>
          <cell r="O115">
            <v>622.54275831006134</v>
          </cell>
          <cell r="P115">
            <v>948.9657441966425</v>
          </cell>
          <cell r="Q115">
            <v>1009.0067367531593</v>
          </cell>
          <cell r="R115">
            <v>1060.3821713741884</v>
          </cell>
          <cell r="S115">
            <v>1102.8314148757806</v>
          </cell>
          <cell r="T115">
            <v>1136.326868176264</v>
          </cell>
          <cell r="U115">
            <v>1159.8095701358948</v>
          </cell>
          <cell r="V115">
            <v>1174.5018319776661</v>
          </cell>
          <cell r="BK115">
            <v>138</v>
          </cell>
          <cell r="BL115">
            <v>81.597864935298873</v>
          </cell>
          <cell r="BM115">
            <v>83.428261813708644</v>
          </cell>
          <cell r="BN115">
            <v>82.235885481645823</v>
          </cell>
          <cell r="BO115">
            <v>84.344339019702403</v>
          </cell>
          <cell r="BP115">
            <v>89.658616065233161</v>
          </cell>
          <cell r="BQ115">
            <v>90.048407214287124</v>
          </cell>
          <cell r="BR115">
            <v>90.705578618398846</v>
          </cell>
          <cell r="BS115">
            <v>89.967336296405648</v>
          </cell>
        </row>
        <row r="116">
          <cell r="A116" t="str">
            <v>Implied Percent of AFFO</v>
          </cell>
          <cell r="L116">
            <v>0.13580921455357967</v>
          </cell>
          <cell r="M116">
            <v>0.25291139684976666</v>
          </cell>
          <cell r="N116">
            <v>0.23751687833931315</v>
          </cell>
          <cell r="O116">
            <v>0.38957407009535078</v>
          </cell>
          <cell r="P116">
            <v>0.5633618712253109</v>
          </cell>
          <cell r="Q116">
            <v>0.57130717089838179</v>
          </cell>
          <cell r="R116">
            <v>0.57631903440558563</v>
          </cell>
          <cell r="S116">
            <v>0.57885002413282027</v>
          </cell>
          <cell r="T116">
            <v>0.57925325905438585</v>
          </cell>
          <cell r="U116">
            <v>0.57763647829123455</v>
          </cell>
          <cell r="V116">
            <v>0.57433768420926268</v>
          </cell>
          <cell r="BK116">
            <v>0.60820723805859966</v>
          </cell>
          <cell r="BL116">
            <v>0.28039680265303402</v>
          </cell>
          <cell r="BM116">
            <v>0.25895835483422297</v>
          </cell>
          <cell r="BN116">
            <v>0.24088289893206757</v>
          </cell>
          <cell r="BO116">
            <v>0.23653334137653639</v>
          </cell>
          <cell r="BP116">
            <v>0.24992259305331999</v>
          </cell>
          <cell r="BQ116">
            <v>0.2404761434095409</v>
          </cell>
          <cell r="BR116">
            <v>0.2341410355238229</v>
          </cell>
          <cell r="BS116">
            <v>0.22680086751099046</v>
          </cell>
        </row>
        <row r="117">
          <cell r="A117" t="str">
            <v>Diluted Shares Outstanding</v>
          </cell>
          <cell r="L117">
            <v>397.63032574460556</v>
          </cell>
          <cell r="M117">
            <v>393.16315153560288</v>
          </cell>
          <cell r="N117">
            <v>393.58757713279363</v>
          </cell>
          <cell r="O117">
            <v>396.21177882373127</v>
          </cell>
          <cell r="P117">
            <v>396.32750582891617</v>
          </cell>
          <cell r="Q117">
            <v>396.38044124078732</v>
          </cell>
          <cell r="R117">
            <v>396.40469214085948</v>
          </cell>
          <cell r="S117">
            <v>396.37694594808795</v>
          </cell>
          <cell r="T117">
            <v>396.26825660861897</v>
          </cell>
          <cell r="U117">
            <v>396.09552055173907</v>
          </cell>
          <cell r="V117">
            <v>395.87210717159638</v>
          </cell>
          <cell r="BK117">
            <v>393.18930297842235</v>
          </cell>
          <cell r="BL117">
            <v>392.97535388384756</v>
          </cell>
          <cell r="BM117">
            <v>393.11427127814528</v>
          </cell>
          <cell r="BN117">
            <v>393.23231352694035</v>
          </cell>
          <cell r="BO117">
            <v>393.33066745347833</v>
          </cell>
          <cell r="BP117">
            <v>393.43545240605403</v>
          </cell>
          <cell r="BQ117">
            <v>393.54772409419263</v>
          </cell>
          <cell r="BR117">
            <v>393.64347820673072</v>
          </cell>
          <cell r="BS117">
            <v>393.72365382419741</v>
          </cell>
        </row>
        <row r="118">
          <cell r="A118" t="str">
            <v>Dividend Per Share</v>
          </cell>
          <cell r="L118">
            <v>0.34705602431499699</v>
          </cell>
          <cell r="M118">
            <v>0.84343191867086031</v>
          </cell>
          <cell r="N118">
            <v>0.91562833567974911</v>
          </cell>
          <cell r="O118">
            <v>1.5712373825893282</v>
          </cell>
          <cell r="P118">
            <v>2.3943978912386799</v>
          </cell>
          <cell r="Q118">
            <v>2.545551272900024</v>
          </cell>
          <cell r="R118">
            <v>2.6749990411248445</v>
          </cell>
          <cell r="S118">
            <v>2.7822794089044081</v>
          </cell>
          <cell r="T118">
            <v>2.867569756662534</v>
          </cell>
          <cell r="U118">
            <v>2.9281057471196452</v>
          </cell>
          <cell r="V118">
            <v>2.9668719030728821</v>
          </cell>
          <cell r="BK118">
            <v>0.35097597761344296</v>
          </cell>
          <cell r="BL118">
            <v>0.20764117680371605</v>
          </cell>
          <cell r="BM118">
            <v>0.21222394583248175</v>
          </cell>
          <cell r="BN118">
            <v>0.20912799546930377</v>
          </cell>
          <cell r="BO118">
            <v>0.21443621359546886</v>
          </cell>
          <cell r="BP118">
            <v>0.22788646909404325</v>
          </cell>
          <cell r="BQ118">
            <v>0.22881191200265899</v>
          </cell>
          <cell r="BR118">
            <v>0.23042571169123441</v>
          </cell>
          <cell r="BS118">
            <v>0.22850376253131391</v>
          </cell>
        </row>
        <row r="119">
          <cell r="A119" t="str">
            <v>Dividend per Share Yield</v>
          </cell>
          <cell r="L119">
            <v>5.168886095520785E-3</v>
          </cell>
          <cell r="M119">
            <v>1.2561670772149855E-2</v>
          </cell>
          <cell r="N119">
            <v>1.3636929606109649E-2</v>
          </cell>
          <cell r="O119">
            <v>2.3401256542537711E-2</v>
          </cell>
          <cell r="P119">
            <v>3.5661014649135694E-2</v>
          </cell>
          <cell r="Q119">
            <v>3.7912220673587654E-2</v>
          </cell>
          <cell r="R119">
            <v>3.9840153694183138E-2</v>
          </cell>
          <cell r="S119">
            <v>4.1437936076530853E-2</v>
          </cell>
          <cell r="T119">
            <v>4.2708209639651537E-2</v>
          </cell>
          <cell r="U119">
            <v>4.3609803668943882E-2</v>
          </cell>
          <cell r="V119">
            <v>4.4187168216581321E-2</v>
          </cell>
          <cell r="AZ119">
            <v>0</v>
          </cell>
          <cell r="BA119">
            <v>0</v>
          </cell>
          <cell r="BB119">
            <v>0</v>
          </cell>
          <cell r="BC119">
            <v>0</v>
          </cell>
          <cell r="BD119">
            <v>0</v>
          </cell>
          <cell r="BE119">
            <v>0</v>
          </cell>
          <cell r="BF119">
            <v>0</v>
          </cell>
          <cell r="BG119">
            <v>0</v>
          </cell>
          <cell r="BH119">
            <v>0</v>
          </cell>
          <cell r="BI119">
            <v>0</v>
          </cell>
          <cell r="BJ119">
            <v>0</v>
          </cell>
          <cell r="BK119">
            <v>5.227268001264735E-3</v>
          </cell>
          <cell r="BL119">
            <v>3.0925081728711617E-3</v>
          </cell>
          <cell r="BM119">
            <v>3.1607617384403642E-3</v>
          </cell>
          <cell r="BN119">
            <v>3.114652137501327E-3</v>
          </cell>
          <cell r="BO119">
            <v>3.1937101942472981E-3</v>
          </cell>
          <cell r="BP119">
            <v>3.3940318534520452E-3</v>
          </cell>
          <cell r="BQ119">
            <v>3.4078149566037154E-3</v>
          </cell>
          <cell r="BR119">
            <v>3.4318501157331307E-3</v>
          </cell>
          <cell r="BS119">
            <v>3.4032255260617113E-3</v>
          </cell>
        </row>
        <row r="121">
          <cell r="A121" t="str">
            <v>Equity Market Cap</v>
          </cell>
          <cell r="J121">
            <v>17346.744621982718</v>
          </cell>
          <cell r="K121">
            <v>20608.482937599998</v>
          </cell>
          <cell r="L121">
            <v>23585.435486074402</v>
          </cell>
          <cell r="M121">
            <v>25780.846096203528</v>
          </cell>
          <cell r="N121">
            <v>28180.612812028197</v>
          </cell>
          <cell r="O121">
            <v>30716.867965110738</v>
          </cell>
          <cell r="P121">
            <v>33481.386081970704</v>
          </cell>
          <cell r="Q121">
            <v>36494.710829348071</v>
          </cell>
          <cell r="R121">
            <v>39779.234803989399</v>
          </cell>
          <cell r="S121">
            <v>43359.365936348448</v>
          </cell>
          <cell r="T121">
            <v>47261.708870619812</v>
          </cell>
          <cell r="U121">
            <v>51515.2626689756</v>
          </cell>
          <cell r="V121">
            <v>56151.636309183406</v>
          </cell>
          <cell r="AZ121">
            <v>12083.686925914561</v>
          </cell>
          <cell r="BA121">
            <v>12539.31916870512</v>
          </cell>
          <cell r="BB121">
            <v>14364.637376202239</v>
          </cell>
          <cell r="BC121">
            <v>17346.744621982718</v>
          </cell>
          <cell r="BD121">
            <v>17200.97640602176</v>
          </cell>
          <cell r="BE121">
            <v>17952.773840000002</v>
          </cell>
          <cell r="BF121">
            <v>20562.5492166888</v>
          </cell>
          <cell r="BG121">
            <v>20608.482937599998</v>
          </cell>
          <cell r="BH121">
            <v>20594.218706071199</v>
          </cell>
          <cell r="BI121">
            <v>20755.672048602722</v>
          </cell>
          <cell r="BJ121">
            <v>21291.693874922243</v>
          </cell>
          <cell r="BK121">
            <v>23585.435486074402</v>
          </cell>
          <cell r="BL121">
            <v>24116.107784511074</v>
          </cell>
          <cell r="BM121">
            <v>24658.720209662573</v>
          </cell>
          <cell r="BN121">
            <v>25213.541414379979</v>
          </cell>
          <cell r="BO121">
            <v>25780.846096203528</v>
          </cell>
          <cell r="BP121">
            <v>26360.915133368107</v>
          </cell>
          <cell r="BQ121">
            <v>26954.035723868888</v>
          </cell>
          <cell r="BR121">
            <v>27560.501527655939</v>
          </cell>
          <cell r="BS121">
            <v>28180.612812028197</v>
          </cell>
        </row>
        <row r="122">
          <cell r="A122" t="str">
            <v>Accounts Payable</v>
          </cell>
          <cell r="J122">
            <v>185.13800000000001</v>
          </cell>
          <cell r="K122">
            <v>292.54300000000001</v>
          </cell>
          <cell r="L122">
            <v>387.99928571816122</v>
          </cell>
          <cell r="M122">
            <v>443.58052123918839</v>
          </cell>
          <cell r="N122">
            <v>476.39486099093773</v>
          </cell>
          <cell r="O122">
            <v>499.75726694667998</v>
          </cell>
          <cell r="P122">
            <v>517.87862902619338</v>
          </cell>
          <cell r="Q122">
            <v>535.10692944432049</v>
          </cell>
          <cell r="R122">
            <v>550.14357839651643</v>
          </cell>
          <cell r="S122">
            <v>562.70918065460694</v>
          </cell>
          <cell r="T122">
            <v>572.92849950807192</v>
          </cell>
          <cell r="U122">
            <v>580.49608061925301</v>
          </cell>
          <cell r="V122">
            <v>585.71578382181667</v>
          </cell>
          <cell r="AZ122">
            <v>144.268</v>
          </cell>
          <cell r="BA122">
            <v>172.66300000000001</v>
          </cell>
          <cell r="BB122">
            <v>165.95699999999999</v>
          </cell>
          <cell r="BC122">
            <v>185.13800000000001</v>
          </cell>
          <cell r="BD122">
            <v>183.85400000000001</v>
          </cell>
          <cell r="BE122">
            <v>205.04</v>
          </cell>
          <cell r="BF122">
            <v>245.952</v>
          </cell>
          <cell r="BG122">
            <v>292.54300000000001</v>
          </cell>
          <cell r="BH122">
            <v>431.40800000000002</v>
          </cell>
          <cell r="BI122">
            <v>339.93099999999998</v>
          </cell>
          <cell r="BJ122">
            <v>352.78100000000001</v>
          </cell>
          <cell r="BK122">
            <v>387.99928571816122</v>
          </cell>
          <cell r="BL122">
            <v>380.80582060313566</v>
          </cell>
          <cell r="BM122">
            <v>410.95317848839102</v>
          </cell>
          <cell r="BN122">
            <v>429.50996121556375</v>
          </cell>
          <cell r="BO122">
            <v>443.58052123918839</v>
          </cell>
          <cell r="BP122">
            <v>441.49031195468103</v>
          </cell>
          <cell r="BQ122">
            <v>456.23840790166525</v>
          </cell>
          <cell r="BR122">
            <v>468.3240741806996</v>
          </cell>
          <cell r="BS122">
            <v>476.39486099093773</v>
          </cell>
        </row>
        <row r="123">
          <cell r="A123" t="str">
            <v>Unearned Revenue</v>
          </cell>
          <cell r="J123">
            <v>112.047</v>
          </cell>
          <cell r="K123">
            <v>134.13499999999999</v>
          </cell>
          <cell r="L123">
            <v>99.157789127401671</v>
          </cell>
          <cell r="M123">
            <v>118.11169216965081</v>
          </cell>
          <cell r="N123">
            <v>126.95891099805502</v>
          </cell>
          <cell r="O123">
            <v>133.28632705597005</v>
          </cell>
          <cell r="P123">
            <v>138.72109821669517</v>
          </cell>
          <cell r="Q123">
            <v>143.95130413276721</v>
          </cell>
          <cell r="R123">
            <v>148.61451247065006</v>
          </cell>
          <cell r="S123">
            <v>152.66487271027086</v>
          </cell>
          <cell r="T123">
            <v>156.09208885694602</v>
          </cell>
          <cell r="U123">
            <v>158.80279398369234</v>
          </cell>
          <cell r="V123">
            <v>160.87373603099473</v>
          </cell>
          <cell r="AZ123">
            <v>125.51900000000001</v>
          </cell>
          <cell r="BA123">
            <v>125.967</v>
          </cell>
          <cell r="BB123">
            <v>120.057</v>
          </cell>
          <cell r="BC123">
            <v>112.047</v>
          </cell>
          <cell r="BD123">
            <v>117.02800000000001</v>
          </cell>
          <cell r="BE123">
            <v>128.50800000000001</v>
          </cell>
          <cell r="BF123">
            <v>140.48099999999999</v>
          </cell>
          <cell r="BG123">
            <v>134.13499999999999</v>
          </cell>
          <cell r="BH123">
            <v>155.608</v>
          </cell>
          <cell r="BI123">
            <v>125.474</v>
          </cell>
          <cell r="BJ123">
            <v>95.850999999999999</v>
          </cell>
          <cell r="BK123">
            <v>99.157789127401671</v>
          </cell>
          <cell r="BL123">
            <v>101.02794968791477</v>
          </cell>
          <cell r="BM123">
            <v>109.24689853502852</v>
          </cell>
          <cell r="BN123">
            <v>114.29336236197184</v>
          </cell>
          <cell r="BO123">
            <v>118.11169216965081</v>
          </cell>
          <cell r="BP123">
            <v>117.5067372801787</v>
          </cell>
          <cell r="BQ123">
            <v>121.5098437934428</v>
          </cell>
          <cell r="BR123">
            <v>124.78395118259893</v>
          </cell>
          <cell r="BS123">
            <v>126.95891099805502</v>
          </cell>
        </row>
        <row r="124">
          <cell r="A124" t="str">
            <v>Accrued Interest</v>
          </cell>
          <cell r="J124">
            <v>23.538</v>
          </cell>
          <cell r="K124">
            <v>40.621000000000002</v>
          </cell>
          <cell r="L124">
            <v>61.536000000000001</v>
          </cell>
          <cell r="M124">
            <v>61.536000000000001</v>
          </cell>
          <cell r="N124">
            <v>61.536000000000001</v>
          </cell>
          <cell r="O124">
            <v>61.536000000000001</v>
          </cell>
          <cell r="P124">
            <v>61.536000000000001</v>
          </cell>
          <cell r="Q124">
            <v>61.536000000000001</v>
          </cell>
          <cell r="R124">
            <v>61.536000000000001</v>
          </cell>
          <cell r="S124">
            <v>61.536000000000001</v>
          </cell>
          <cell r="T124">
            <v>61.536000000000001</v>
          </cell>
          <cell r="U124">
            <v>61.536000000000001</v>
          </cell>
          <cell r="V124">
            <v>61.536000000000001</v>
          </cell>
          <cell r="AZ124">
            <v>47.994</v>
          </cell>
          <cell r="BA124">
            <v>26.812999999999999</v>
          </cell>
          <cell r="BB124">
            <v>47.27</v>
          </cell>
          <cell r="BC124">
            <v>23.538</v>
          </cell>
          <cell r="BD124">
            <v>44.024000000000001</v>
          </cell>
          <cell r="BE124">
            <v>23.661999999999999</v>
          </cell>
          <cell r="BF124">
            <v>49.779000000000003</v>
          </cell>
          <cell r="BG124">
            <v>40.621000000000002</v>
          </cell>
          <cell r="BH124">
            <v>61.286000000000001</v>
          </cell>
          <cell r="BI124">
            <v>61.703000000000003</v>
          </cell>
          <cell r="BJ124">
            <v>61.536000000000001</v>
          </cell>
          <cell r="BK124">
            <v>61.536000000000001</v>
          </cell>
          <cell r="BL124">
            <v>61.536000000000001</v>
          </cell>
          <cell r="BM124">
            <v>61.536000000000001</v>
          </cell>
          <cell r="BN124">
            <v>61.536000000000001</v>
          </cell>
          <cell r="BO124">
            <v>61.536000000000001</v>
          </cell>
          <cell r="BP124">
            <v>61.536000000000001</v>
          </cell>
          <cell r="BQ124">
            <v>61.536000000000001</v>
          </cell>
          <cell r="BR124">
            <v>61.536000000000001</v>
          </cell>
          <cell r="BS124">
            <v>61.536000000000001</v>
          </cell>
        </row>
        <row r="125">
          <cell r="A125" t="str">
            <v>Short Term Debt</v>
          </cell>
          <cell r="J125">
            <v>70.521000000000001</v>
          </cell>
          <cell r="K125">
            <v>74.896000000000001</v>
          </cell>
          <cell r="L125">
            <v>861.16</v>
          </cell>
          <cell r="M125">
            <v>861.16</v>
          </cell>
          <cell r="N125">
            <v>861.16</v>
          </cell>
          <cell r="O125">
            <v>861.16</v>
          </cell>
          <cell r="P125">
            <v>861.16</v>
          </cell>
          <cell r="Q125">
            <v>861.16</v>
          </cell>
          <cell r="R125">
            <v>861.16</v>
          </cell>
          <cell r="S125">
            <v>861.16</v>
          </cell>
          <cell r="T125">
            <v>861.16</v>
          </cell>
          <cell r="U125">
            <v>861.16</v>
          </cell>
          <cell r="V125">
            <v>861.16</v>
          </cell>
          <cell r="AZ125">
            <v>1.5269999999999999</v>
          </cell>
          <cell r="BA125">
            <v>22.577000000000002</v>
          </cell>
          <cell r="BB125">
            <v>7.7169999999999996</v>
          </cell>
          <cell r="BC125">
            <v>70.521000000000001</v>
          </cell>
          <cell r="BD125">
            <v>77.905000000000001</v>
          </cell>
          <cell r="BE125">
            <v>1.61</v>
          </cell>
          <cell r="BF125">
            <v>178.655</v>
          </cell>
          <cell r="BG125">
            <v>74.896000000000001</v>
          </cell>
          <cell r="BH125">
            <v>178.10499999999999</v>
          </cell>
          <cell r="BI125">
            <v>782.77499999999998</v>
          </cell>
          <cell r="BJ125">
            <v>861.16</v>
          </cell>
          <cell r="BK125">
            <v>861.16</v>
          </cell>
          <cell r="BL125">
            <v>861.16</v>
          </cell>
          <cell r="BM125">
            <v>861.16</v>
          </cell>
          <cell r="BN125">
            <v>861.16</v>
          </cell>
          <cell r="BO125">
            <v>861.16</v>
          </cell>
          <cell r="BP125">
            <v>861.16</v>
          </cell>
          <cell r="BQ125">
            <v>861.16</v>
          </cell>
          <cell r="BR125">
            <v>861.16</v>
          </cell>
          <cell r="BS125">
            <v>861.16</v>
          </cell>
        </row>
        <row r="126">
          <cell r="A126" t="str">
            <v>Long-term debt</v>
          </cell>
          <cell r="J126">
            <v>4141.0600000000004</v>
          </cell>
          <cell r="K126">
            <v>5512.4920000000002</v>
          </cell>
          <cell r="L126">
            <v>5806.8677507774992</v>
          </cell>
          <cell r="M126">
            <v>5807.9262372068333</v>
          </cell>
          <cell r="N126">
            <v>5809.0521863199083</v>
          </cell>
          <cell r="O126">
            <v>5810.2232768164749</v>
          </cell>
          <cell r="P126">
            <v>5811.4675032096166</v>
          </cell>
          <cell r="Q126">
            <v>5812.7895794465558</v>
          </cell>
          <cell r="R126">
            <v>5814.1945318416665</v>
          </cell>
          <cell r="S126">
            <v>5815.6877202674559</v>
          </cell>
          <cell r="T126">
            <v>5817.1536512940147</v>
          </cell>
          <cell r="U126">
            <v>5818.7141619933336</v>
          </cell>
          <cell r="V126">
            <v>5820.3755084788145</v>
          </cell>
          <cell r="AZ126">
            <v>4330.9989999999998</v>
          </cell>
          <cell r="BA126">
            <v>4421.6940000000004</v>
          </cell>
          <cell r="BB126">
            <v>4179.0379999999996</v>
          </cell>
          <cell r="BC126">
            <v>4141.0600000000004</v>
          </cell>
          <cell r="BD126">
            <v>4152.03</v>
          </cell>
          <cell r="BE126">
            <v>4152.0410000000002</v>
          </cell>
          <cell r="BF126">
            <v>4626.3050000000003</v>
          </cell>
          <cell r="BG126">
            <v>5512.4920000000002</v>
          </cell>
          <cell r="BH126">
            <v>5387.7280000000001</v>
          </cell>
          <cell r="BI126">
            <v>4919.0680000000002</v>
          </cell>
          <cell r="BJ126">
            <v>4970.5020000000004</v>
          </cell>
          <cell r="BK126">
            <v>5806.8677507774992</v>
          </cell>
          <cell r="BL126">
            <v>5807.126280320841</v>
          </cell>
          <cell r="BM126">
            <v>5807.3888279186913</v>
          </cell>
          <cell r="BN126">
            <v>5807.6554583593079</v>
          </cell>
          <cell r="BO126">
            <v>5807.9262372068333</v>
          </cell>
          <cell r="BP126">
            <v>5808.2012311122289</v>
          </cell>
          <cell r="BQ126">
            <v>5808.4805078279378</v>
          </cell>
          <cell r="BR126">
            <v>5808.7641362265767</v>
          </cell>
          <cell r="BS126">
            <v>5809.0521863199083</v>
          </cell>
        </row>
        <row r="127">
          <cell r="A127" t="str">
            <v>Other Long Term</v>
          </cell>
          <cell r="J127">
            <v>662.23900000000003</v>
          </cell>
          <cell r="K127">
            <v>806.07600000000002</v>
          </cell>
          <cell r="L127">
            <v>1247.4664571690876</v>
          </cell>
          <cell r="M127">
            <v>1485.9183073536633</v>
          </cell>
          <cell r="N127">
            <v>1597.2218047873223</v>
          </cell>
          <cell r="O127">
            <v>1676.8246212908298</v>
          </cell>
          <cell r="P127">
            <v>1745.1974116188157</v>
          </cell>
          <cell r="Q127">
            <v>1810.9966443548769</v>
          </cell>
          <cell r="R127">
            <v>1869.6626960638951</v>
          </cell>
          <cell r="S127">
            <v>1920.6187387796761</v>
          </cell>
          <cell r="T127">
            <v>1963.7352425064023</v>
          </cell>
          <cell r="U127">
            <v>1997.8375934225528</v>
          </cell>
          <cell r="V127">
            <v>2023.8913281970497</v>
          </cell>
          <cell r="AZ127">
            <v>593.49300000000005</v>
          </cell>
          <cell r="BA127">
            <v>625.73800000000006</v>
          </cell>
          <cell r="BB127">
            <v>639.63400000000001</v>
          </cell>
          <cell r="BC127">
            <v>662.23900000000003</v>
          </cell>
          <cell r="BD127">
            <v>641.56399999999996</v>
          </cell>
          <cell r="BE127">
            <v>645.05200000000002</v>
          </cell>
          <cell r="BF127">
            <v>754.15599999999995</v>
          </cell>
          <cell r="BG127">
            <v>806.07600000000002</v>
          </cell>
          <cell r="BH127">
            <v>1035.598</v>
          </cell>
          <cell r="BI127">
            <v>1145.0450000000001</v>
          </cell>
          <cell r="BJ127">
            <v>1205.865</v>
          </cell>
          <cell r="BK127">
            <v>1247.4664571690876</v>
          </cell>
          <cell r="BL127">
            <v>1270.9942363712153</v>
          </cell>
          <cell r="BM127">
            <v>1374.3937079627983</v>
          </cell>
          <cell r="BN127">
            <v>1437.8813513121322</v>
          </cell>
          <cell r="BO127">
            <v>1485.9183073536633</v>
          </cell>
          <cell r="BP127">
            <v>1478.3075998201657</v>
          </cell>
          <cell r="BQ127">
            <v>1528.6691613648259</v>
          </cell>
          <cell r="BR127">
            <v>1569.8594620067049</v>
          </cell>
          <cell r="BS127">
            <v>1597.2218047873223</v>
          </cell>
        </row>
        <row r="128">
          <cell r="A128" t="str">
            <v>Total Liabilities</v>
          </cell>
          <cell r="J128">
            <v>5194.5429999999997</v>
          </cell>
          <cell r="K128">
            <v>6860.7629999999999</v>
          </cell>
          <cell r="L128">
            <v>8464.1872827921507</v>
          </cell>
          <cell r="M128">
            <v>8778.2327579693356</v>
          </cell>
          <cell r="N128">
            <v>8932.323763096223</v>
          </cell>
          <cell r="O128">
            <v>9042.7874921099537</v>
          </cell>
          <cell r="P128">
            <v>9135.9606420713208</v>
          </cell>
          <cell r="Q128">
            <v>9225.5404573785199</v>
          </cell>
          <cell r="R128">
            <v>9305.3113187727286</v>
          </cell>
          <cell r="S128">
            <v>9374.3765124120091</v>
          </cell>
          <cell r="T128">
            <v>9432.6054821654343</v>
          </cell>
          <cell r="U128">
            <v>9478.5466300188327</v>
          </cell>
          <cell r="V128">
            <v>9513.5523565286749</v>
          </cell>
          <cell r="AZ128">
            <v>5243.8</v>
          </cell>
          <cell r="BA128">
            <v>5395.4520000000002</v>
          </cell>
          <cell r="BB128">
            <v>5159.6729999999998</v>
          </cell>
          <cell r="BC128">
            <v>5194.5429999999997</v>
          </cell>
          <cell r="BD128">
            <v>5216.4049999999997</v>
          </cell>
          <cell r="BE128">
            <v>5155.9129999999996</v>
          </cell>
          <cell r="BF128">
            <v>5995.3280000000004</v>
          </cell>
          <cell r="BG128">
            <v>6860.7629999999999</v>
          </cell>
          <cell r="BH128">
            <v>7249.7330000000002</v>
          </cell>
          <cell r="BI128">
            <v>7373.9960000000001</v>
          </cell>
          <cell r="BJ128">
            <v>7547.6949999999997</v>
          </cell>
          <cell r="BK128">
            <v>8464.1872827921507</v>
          </cell>
          <cell r="BL128">
            <v>8482.6502869831056</v>
          </cell>
          <cell r="BM128">
            <v>8624.6786129049087</v>
          </cell>
          <cell r="BN128">
            <v>8712.0361332489756</v>
          </cell>
          <cell r="BO128">
            <v>8778.2327579693356</v>
          </cell>
          <cell r="BP128">
            <v>8768.2018801672548</v>
          </cell>
          <cell r="BQ128">
            <v>8837.5939208878717</v>
          </cell>
          <cell r="BR128">
            <v>8894.4276235965808</v>
          </cell>
          <cell r="BS128">
            <v>8932.323763096223</v>
          </cell>
        </row>
        <row r="130">
          <cell r="A130" t="str">
            <v>Cash</v>
          </cell>
          <cell r="J130">
            <v>247.29300000000023</v>
          </cell>
          <cell r="K130">
            <v>883.96300000000042</v>
          </cell>
          <cell r="L130">
            <v>49.434808905668888</v>
          </cell>
          <cell r="M130">
            <v>475.92065996555596</v>
          </cell>
          <cell r="N130">
            <v>1441.223004123869</v>
          </cell>
          <cell r="O130">
            <v>2148.7511497629757</v>
          </cell>
          <cell r="P130">
            <v>2563.6691058852698</v>
          </cell>
          <cell r="Q130">
            <v>3002.0723766987667</v>
          </cell>
          <cell r="R130">
            <v>3451.3904741795523</v>
          </cell>
          <cell r="S130">
            <v>3922.6989413739684</v>
          </cell>
          <cell r="T130">
            <v>4398.6591129152985</v>
          </cell>
          <cell r="U130">
            <v>4903.534024764951</v>
          </cell>
          <cell r="V130">
            <v>5414.6556283865457</v>
          </cell>
          <cell r="AZ130">
            <v>303.03800000000001</v>
          </cell>
          <cell r="BA130">
            <v>323.637</v>
          </cell>
          <cell r="BB130">
            <v>229.67399999999992</v>
          </cell>
          <cell r="BC130">
            <v>247.29299999999995</v>
          </cell>
          <cell r="BD130">
            <v>352.88699999999994</v>
          </cell>
          <cell r="BE130">
            <v>302.89299999999986</v>
          </cell>
          <cell r="BF130">
            <v>371.87799999999982</v>
          </cell>
          <cell r="BG130">
            <v>883.96299999999974</v>
          </cell>
          <cell r="BH130">
            <v>362.82329999999968</v>
          </cell>
          <cell r="BI130">
            <v>332.54229999999961</v>
          </cell>
          <cell r="BJ130">
            <v>177.50629999999967</v>
          </cell>
          <cell r="BK130">
            <v>49.43480890566741</v>
          </cell>
          <cell r="BL130">
            <v>76.260982694191824</v>
          </cell>
          <cell r="BM130">
            <v>177.23563689270486</v>
          </cell>
          <cell r="BN130">
            <v>322.05931598765937</v>
          </cell>
          <cell r="BO130">
            <v>475.92065996555436</v>
          </cell>
          <cell r="BP130">
            <v>683.76668656129209</v>
          </cell>
          <cell r="BQ130">
            <v>928.86865021005906</v>
          </cell>
          <cell r="BR130">
            <v>1181.8425317377753</v>
          </cell>
          <cell r="BS130">
            <v>1441.2230041238672</v>
          </cell>
        </row>
        <row r="131">
          <cell r="A131" t="str">
            <v>Securities (Assets held for sale)</v>
          </cell>
          <cell r="J131">
            <v>47.835999999999999</v>
          </cell>
          <cell r="K131">
            <v>75.971999999999994</v>
          </cell>
          <cell r="L131">
            <v>50.220999999999997</v>
          </cell>
          <cell r="M131">
            <v>50.220999999999997</v>
          </cell>
          <cell r="N131">
            <v>50.220999999999997</v>
          </cell>
          <cell r="O131">
            <v>50.220999999999997</v>
          </cell>
          <cell r="P131">
            <v>50.220999999999997</v>
          </cell>
          <cell r="Q131">
            <v>50.220999999999997</v>
          </cell>
          <cell r="R131">
            <v>50.220999999999997</v>
          </cell>
          <cell r="S131">
            <v>50.220999999999997</v>
          </cell>
          <cell r="T131">
            <v>50.220999999999997</v>
          </cell>
          <cell r="U131">
            <v>50.220999999999997</v>
          </cell>
          <cell r="V131">
            <v>50.220999999999997</v>
          </cell>
          <cell r="AZ131">
            <v>61.475000000000001</v>
          </cell>
          <cell r="BA131">
            <v>50.774000000000001</v>
          </cell>
          <cell r="BB131">
            <v>50.795000000000002</v>
          </cell>
          <cell r="BC131">
            <v>47.835999999999999</v>
          </cell>
          <cell r="BD131">
            <v>49.793999999999997</v>
          </cell>
          <cell r="BE131">
            <v>52.566000000000003</v>
          </cell>
          <cell r="BF131">
            <v>69.159000000000006</v>
          </cell>
          <cell r="BG131">
            <v>75.971999999999994</v>
          </cell>
          <cell r="BH131">
            <v>79.427000000000007</v>
          </cell>
          <cell r="BI131">
            <v>50.206000000000003</v>
          </cell>
          <cell r="BJ131">
            <v>50.220999999999997</v>
          </cell>
          <cell r="BK131">
            <v>50.220999999999997</v>
          </cell>
          <cell r="BL131">
            <v>50.220999999999997</v>
          </cell>
          <cell r="BM131">
            <v>50.220999999999997</v>
          </cell>
          <cell r="BN131">
            <v>50.220999999999997</v>
          </cell>
          <cell r="BO131">
            <v>50.220999999999997</v>
          </cell>
          <cell r="BP131">
            <v>50.220999999999997</v>
          </cell>
          <cell r="BQ131">
            <v>50.220999999999997</v>
          </cell>
          <cell r="BR131">
            <v>50.220999999999997</v>
          </cell>
          <cell r="BS131">
            <v>50.220999999999997</v>
          </cell>
        </row>
        <row r="132">
          <cell r="A132" t="str">
            <v>Accounts Receivable</v>
          </cell>
          <cell r="J132">
            <v>67.948999999999998</v>
          </cell>
          <cell r="K132">
            <v>80.960999999999999</v>
          </cell>
          <cell r="L132">
            <v>115.93803389618637</v>
          </cell>
          <cell r="M132">
            <v>138.09946239025967</v>
          </cell>
          <cell r="N132">
            <v>148.44387572824377</v>
          </cell>
          <cell r="O132">
            <v>155.84206586392017</v>
          </cell>
          <cell r="P132">
            <v>162.19655085793906</v>
          </cell>
          <cell r="Q132">
            <v>168.31185250108578</v>
          </cell>
          <cell r="R132">
            <v>173.76420486896484</v>
          </cell>
          <cell r="S132">
            <v>178.49999826336548</v>
          </cell>
          <cell r="T132">
            <v>182.50719432208615</v>
          </cell>
          <cell r="U132">
            <v>185.676625847667</v>
          </cell>
          <cell r="V132">
            <v>188.09802865817832</v>
          </cell>
          <cell r="AZ132">
            <v>60.057000000000002</v>
          </cell>
          <cell r="BA132">
            <v>72.525999999999996</v>
          </cell>
          <cell r="BB132">
            <v>71.271000000000001</v>
          </cell>
          <cell r="BC132">
            <v>67.948999999999998</v>
          </cell>
          <cell r="BD132">
            <v>73.540999999999997</v>
          </cell>
          <cell r="BE132">
            <v>48.872</v>
          </cell>
          <cell r="BF132">
            <v>92.869</v>
          </cell>
          <cell r="BG132">
            <v>80.960999999999999</v>
          </cell>
          <cell r="BH132">
            <v>97.828999999999994</v>
          </cell>
          <cell r="BI132">
            <v>99.822999999999993</v>
          </cell>
          <cell r="BJ132">
            <v>100.063</v>
          </cell>
          <cell r="BK132">
            <v>115.93803389618637</v>
          </cell>
          <cell r="BL132">
            <v>118.12467743033675</v>
          </cell>
          <cell r="BM132">
            <v>127.7345001019918</v>
          </cell>
          <cell r="BN132">
            <v>133.63496540454412</v>
          </cell>
          <cell r="BO132">
            <v>138.09946239025967</v>
          </cell>
          <cell r="BP132">
            <v>137.39213237515452</v>
          </cell>
          <cell r="BQ132">
            <v>142.07267540368602</v>
          </cell>
          <cell r="BR132">
            <v>145.90085246172853</v>
          </cell>
          <cell r="BS132">
            <v>148.44387572824377</v>
          </cell>
        </row>
        <row r="133">
          <cell r="A133" t="str">
            <v>Prepaids and Other Current Assets</v>
          </cell>
          <cell r="J133">
            <v>89.051000000000002</v>
          </cell>
          <cell r="K133">
            <v>147.84299999999999</v>
          </cell>
          <cell r="L133">
            <v>236.47618717209781</v>
          </cell>
          <cell r="M133">
            <v>281.67835195314058</v>
          </cell>
          <cell r="N133">
            <v>302.77761802219482</v>
          </cell>
          <cell r="O133">
            <v>317.86753921945717</v>
          </cell>
          <cell r="P133">
            <v>330.8286386303152</v>
          </cell>
          <cell r="Q133">
            <v>343.30188116669882</v>
          </cell>
          <cell r="R133">
            <v>354.42292105106765</v>
          </cell>
          <cell r="S133">
            <v>364.08241179372988</v>
          </cell>
          <cell r="T133">
            <v>372.25579901940802</v>
          </cell>
          <cell r="U133">
            <v>378.72041686296666</v>
          </cell>
          <cell r="V133">
            <v>383.65929744421101</v>
          </cell>
          <cell r="AZ133">
            <v>70.180000000000007</v>
          </cell>
          <cell r="BA133">
            <v>70.974000000000004</v>
          </cell>
          <cell r="BB133">
            <v>78.722999999999999</v>
          </cell>
          <cell r="BC133">
            <v>89.051000000000002</v>
          </cell>
          <cell r="BD133">
            <v>107.208</v>
          </cell>
          <cell r="BE133">
            <v>113.84399999999999</v>
          </cell>
          <cell r="BF133">
            <v>157.43799999999999</v>
          </cell>
          <cell r="BG133">
            <v>147.84299999999999</v>
          </cell>
          <cell r="BH133">
            <v>150.393</v>
          </cell>
          <cell r="BI133">
            <v>172.011</v>
          </cell>
          <cell r="BJ133">
            <v>228.59</v>
          </cell>
          <cell r="BK133">
            <v>236.47618717209781</v>
          </cell>
          <cell r="BL133">
            <v>240.93623456365023</v>
          </cell>
          <cell r="BM133">
            <v>260.53717265466366</v>
          </cell>
          <cell r="BN133">
            <v>272.57221836311714</v>
          </cell>
          <cell r="BO133">
            <v>281.67835195314058</v>
          </cell>
          <cell r="BP133">
            <v>280.23562690922421</v>
          </cell>
          <cell r="BQ133">
            <v>289.78242472945601</v>
          </cell>
          <cell r="BR133">
            <v>297.590670945846</v>
          </cell>
          <cell r="BS133">
            <v>302.77761802219482</v>
          </cell>
        </row>
        <row r="134">
          <cell r="A134" t="str">
            <v>Non-Real Estate Assets</v>
          </cell>
          <cell r="J134">
            <v>452.12900000000025</v>
          </cell>
          <cell r="K134">
            <v>1188.7390000000005</v>
          </cell>
          <cell r="L134">
            <v>452.07002997395307</v>
          </cell>
          <cell r="M134">
            <v>945.91947430895618</v>
          </cell>
          <cell r="N134">
            <v>1942.6654978743077</v>
          </cell>
          <cell r="O134">
            <v>2672.6817548463532</v>
          </cell>
          <cell r="P134">
            <v>3106.9152953735243</v>
          </cell>
          <cell r="Q134">
            <v>3563.9071103665515</v>
          </cell>
          <cell r="R134">
            <v>4029.7986000995847</v>
          </cell>
          <cell r="S134">
            <v>4515.5023514310642</v>
          </cell>
          <cell r="T134">
            <v>5003.6431062567926</v>
          </cell>
          <cell r="U134">
            <v>5518.1520674755848</v>
          </cell>
          <cell r="V134">
            <v>6036.6339544889343</v>
          </cell>
          <cell r="AZ134">
            <v>494.75000000000006</v>
          </cell>
          <cell r="BA134">
            <v>517.91100000000006</v>
          </cell>
          <cell r="BB134">
            <v>430.46299999999997</v>
          </cell>
          <cell r="BC134">
            <v>452.12899999999996</v>
          </cell>
          <cell r="BD134">
            <v>583.42999999999995</v>
          </cell>
          <cell r="BE134">
            <v>518.17499999999984</v>
          </cell>
          <cell r="BF134">
            <v>691.34399999999982</v>
          </cell>
          <cell r="BG134">
            <v>1188.7389999999998</v>
          </cell>
          <cell r="BH134">
            <v>690.47229999999968</v>
          </cell>
          <cell r="BI134">
            <v>654.58229999999958</v>
          </cell>
          <cell r="BJ134">
            <v>556.38029999999969</v>
          </cell>
          <cell r="BK134">
            <v>452.07002997395159</v>
          </cell>
          <cell r="BL134">
            <v>485.54289468817876</v>
          </cell>
          <cell r="BM134">
            <v>615.72830964936031</v>
          </cell>
          <cell r="BN134">
            <v>778.48749975532064</v>
          </cell>
          <cell r="BO134">
            <v>945.91947430895459</v>
          </cell>
          <cell r="BP134">
            <v>1151.6154458456708</v>
          </cell>
          <cell r="BQ134">
            <v>1410.9447503432011</v>
          </cell>
          <cell r="BR134">
            <v>1675.5550551453498</v>
          </cell>
          <cell r="BS134">
            <v>1942.6654978743059</v>
          </cell>
        </row>
        <row r="136">
          <cell r="A136" t="str">
            <v>NOI</v>
          </cell>
          <cell r="J136">
            <v>23.308999999999997</v>
          </cell>
          <cell r="K136">
            <v>22.004999999999999</v>
          </cell>
          <cell r="L136">
            <v>28.762398999999998</v>
          </cell>
          <cell r="M136">
            <v>27.129784442148988</v>
          </cell>
          <cell r="N136">
            <v>28.23136248093585</v>
          </cell>
          <cell r="O136">
            <v>28.795989730554567</v>
          </cell>
          <cell r="P136">
            <v>29.371909525165655</v>
          </cell>
          <cell r="Q136">
            <v>29.959347715668969</v>
          </cell>
          <cell r="R136">
            <v>30.55853466998235</v>
          </cell>
          <cell r="S136">
            <v>30.864120016682179</v>
          </cell>
          <cell r="T136">
            <v>31.172761216848997</v>
          </cell>
          <cell r="U136">
            <v>31.484488829017494</v>
          </cell>
          <cell r="V136">
            <v>31.799333717307668</v>
          </cell>
          <cell r="AZ136">
            <v>5.1159999999999997</v>
          </cell>
          <cell r="BA136">
            <v>6.363999999999999</v>
          </cell>
          <cell r="BB136">
            <v>6.1139999999999999</v>
          </cell>
          <cell r="BC136">
            <v>5.7149999999999999</v>
          </cell>
          <cell r="BD136">
            <v>4.5709999999999997</v>
          </cell>
          <cell r="BE136">
            <v>7.0299999999999994</v>
          </cell>
          <cell r="BF136">
            <v>5.9179999999999993</v>
          </cell>
          <cell r="BG136">
            <v>4.4859999999999998</v>
          </cell>
          <cell r="BH136">
            <v>8.570999999999998</v>
          </cell>
          <cell r="BI136">
            <v>6.6490000000000009</v>
          </cell>
          <cell r="BJ136">
            <v>6.9270000000000014</v>
          </cell>
          <cell r="BK136">
            <v>6.615399</v>
          </cell>
          <cell r="BL136">
            <v>6.6815529900000001</v>
          </cell>
          <cell r="BM136">
            <v>6.7483685198999996</v>
          </cell>
          <cell r="BN136">
            <v>6.8158522050990005</v>
          </cell>
          <cell r="BO136">
            <v>6.88401072714999</v>
          </cell>
          <cell r="BP136">
            <v>6.9528508344214899</v>
          </cell>
          <cell r="BQ136">
            <v>7.0223793427657046</v>
          </cell>
          <cell r="BR136">
            <v>7.092603136193361</v>
          </cell>
          <cell r="BS136">
            <v>7.1635291675552946</v>
          </cell>
        </row>
        <row r="137">
          <cell r="A137" t="str">
            <v>Multiple</v>
          </cell>
          <cell r="J137">
            <v>10</v>
          </cell>
          <cell r="K137">
            <v>10</v>
          </cell>
          <cell r="L137">
            <v>10</v>
          </cell>
          <cell r="M137">
            <v>10</v>
          </cell>
          <cell r="N137">
            <v>10</v>
          </cell>
          <cell r="O137">
            <v>10</v>
          </cell>
          <cell r="P137">
            <v>10</v>
          </cell>
          <cell r="Q137">
            <v>10</v>
          </cell>
          <cell r="R137">
            <v>10</v>
          </cell>
          <cell r="S137">
            <v>10</v>
          </cell>
          <cell r="T137">
            <v>10</v>
          </cell>
          <cell r="U137">
            <v>10</v>
          </cell>
          <cell r="V137">
            <v>10</v>
          </cell>
          <cell r="AZ137">
            <v>10</v>
          </cell>
          <cell r="BA137">
            <v>10</v>
          </cell>
          <cell r="BB137">
            <v>10</v>
          </cell>
          <cell r="BC137">
            <v>10</v>
          </cell>
          <cell r="BD137">
            <v>10</v>
          </cell>
          <cell r="BE137">
            <v>10</v>
          </cell>
          <cell r="BF137">
            <v>10</v>
          </cell>
          <cell r="BG137">
            <v>10</v>
          </cell>
          <cell r="BH137">
            <v>10</v>
          </cell>
          <cell r="BI137">
            <v>10</v>
          </cell>
          <cell r="BJ137">
            <v>10</v>
          </cell>
          <cell r="BK137">
            <v>10</v>
          </cell>
          <cell r="BL137">
            <v>10</v>
          </cell>
          <cell r="BM137">
            <v>10</v>
          </cell>
          <cell r="BN137">
            <v>10</v>
          </cell>
          <cell r="BO137">
            <v>10</v>
          </cell>
          <cell r="BP137">
            <v>10</v>
          </cell>
          <cell r="BQ137">
            <v>10</v>
          </cell>
          <cell r="BR137">
            <v>10</v>
          </cell>
          <cell r="BS137">
            <v>10</v>
          </cell>
        </row>
        <row r="138">
          <cell r="A138" t="str">
            <v>Network Svcs Business Valuation</v>
          </cell>
          <cell r="J138">
            <v>233.08999999999997</v>
          </cell>
          <cell r="K138">
            <v>220.04999999999998</v>
          </cell>
          <cell r="L138">
            <v>287.62398999999999</v>
          </cell>
          <cell r="M138">
            <v>271.29784442148991</v>
          </cell>
          <cell r="N138">
            <v>282.31362480935849</v>
          </cell>
          <cell r="O138">
            <v>287.95989730554567</v>
          </cell>
          <cell r="P138">
            <v>293.71909525165654</v>
          </cell>
          <cell r="Q138">
            <v>299.59347715668969</v>
          </cell>
          <cell r="R138">
            <v>305.5853466998235</v>
          </cell>
          <cell r="S138">
            <v>308.64120016682182</v>
          </cell>
          <cell r="T138">
            <v>311.72761216848994</v>
          </cell>
          <cell r="U138">
            <v>314.84488829017494</v>
          </cell>
          <cell r="V138">
            <v>317.99333717307667</v>
          </cell>
          <cell r="AZ138">
            <v>51.16</v>
          </cell>
          <cell r="BA138">
            <v>63.639999999999986</v>
          </cell>
          <cell r="BB138">
            <v>61.14</v>
          </cell>
          <cell r="BC138">
            <v>57.15</v>
          </cell>
          <cell r="BD138">
            <v>45.709999999999994</v>
          </cell>
          <cell r="BE138">
            <v>70.3</v>
          </cell>
          <cell r="BF138">
            <v>59.179999999999993</v>
          </cell>
          <cell r="BG138">
            <v>44.86</v>
          </cell>
          <cell r="BH138">
            <v>85.70999999999998</v>
          </cell>
          <cell r="BI138">
            <v>66.490000000000009</v>
          </cell>
          <cell r="BJ138">
            <v>69.27000000000001</v>
          </cell>
          <cell r="BK138">
            <v>66.153989999999993</v>
          </cell>
          <cell r="BL138">
            <v>66.815529900000001</v>
          </cell>
          <cell r="BM138">
            <v>67.483685198999993</v>
          </cell>
          <cell r="BN138">
            <v>68.158522050990001</v>
          </cell>
          <cell r="BO138">
            <v>68.840107271499903</v>
          </cell>
          <cell r="BP138">
            <v>69.528508344214899</v>
          </cell>
          <cell r="BQ138">
            <v>70.223793427657043</v>
          </cell>
          <cell r="BR138">
            <v>70.92603136193361</v>
          </cell>
          <cell r="BS138">
            <v>71.635291675552949</v>
          </cell>
        </row>
        <row r="140">
          <cell r="A140" t="str">
            <v>Gross Real Estate Value (GAV)</v>
          </cell>
          <cell r="J140">
            <v>21856.068621982715</v>
          </cell>
          <cell r="K140">
            <v>26060.456937599996</v>
          </cell>
          <cell r="L140">
            <v>31309.928748892598</v>
          </cell>
          <cell r="M140">
            <v>33341.861535442418</v>
          </cell>
          <cell r="N140">
            <v>34887.957452440751</v>
          </cell>
          <cell r="O140">
            <v>36799.013805068797</v>
          </cell>
          <cell r="P140">
            <v>39216.71233341685</v>
          </cell>
          <cell r="Q140">
            <v>41856.750699203352</v>
          </cell>
          <cell r="R140">
            <v>44749.162175962716</v>
          </cell>
          <cell r="S140">
            <v>47909.59889716257</v>
          </cell>
          <cell r="T140">
            <v>51378.943634359959</v>
          </cell>
          <cell r="U140">
            <v>55160.812343228674</v>
          </cell>
          <cell r="V140">
            <v>59310.56137405007</v>
          </cell>
          <cell r="AZ140">
            <v>16781.57692591456</v>
          </cell>
          <cell r="BA140">
            <v>17353.22016870512</v>
          </cell>
          <cell r="BB140">
            <v>19032.707376202241</v>
          </cell>
          <cell r="BC140">
            <v>22032.008621982717</v>
          </cell>
          <cell r="BD140">
            <v>21788.24140602176</v>
          </cell>
          <cell r="BE140">
            <v>22520.211840000004</v>
          </cell>
          <cell r="BF140">
            <v>25807.3532166888</v>
          </cell>
          <cell r="BG140">
            <v>26235.646937599999</v>
          </cell>
          <cell r="BH140">
            <v>27067.769406071198</v>
          </cell>
          <cell r="BI140">
            <v>27408.595748602722</v>
          </cell>
          <cell r="BJ140">
            <v>28213.738574922241</v>
          </cell>
          <cell r="BK140">
            <v>31531.398748892603</v>
          </cell>
          <cell r="BL140">
            <v>32046.399646906</v>
          </cell>
          <cell r="BM140">
            <v>32600.186827719124</v>
          </cell>
          <cell r="BN140">
            <v>33078.931525822649</v>
          </cell>
          <cell r="BO140">
            <v>33544.319272592409</v>
          </cell>
          <cell r="BP140">
            <v>33907.973059345473</v>
          </cell>
          <cell r="BQ140">
            <v>34310.4611009859</v>
          </cell>
          <cell r="BR140">
            <v>34708.448064745236</v>
          </cell>
          <cell r="BS140">
            <v>35098.635785574559</v>
          </cell>
        </row>
        <row r="142">
          <cell r="A142" t="str">
            <v>Implied Cap Rate (Annualized)</v>
          </cell>
          <cell r="J142">
            <v>5.8767659555576585E-2</v>
          </cell>
          <cell r="K142">
            <v>5.7126550143180417E-2</v>
          </cell>
          <cell r="L142">
            <v>5.6971843577126209E-2</v>
          </cell>
          <cell r="M142">
            <v>6.403817544972637E-2</v>
          </cell>
          <cell r="N142">
            <v>6.7941662558270943E-2</v>
          </cell>
          <cell r="O142">
            <v>6.7664424122618971E-2</v>
          </cell>
          <cell r="P142">
            <v>6.6197253238564249E-2</v>
          </cell>
          <cell r="Q142">
            <v>6.4468340770197655E-2</v>
          </cell>
          <cell r="R142">
            <v>6.2352444149027811E-2</v>
          </cell>
          <cell r="S142">
            <v>5.992572988328574E-2</v>
          </cell>
          <cell r="T142">
            <v>5.7222933253139555E-2</v>
          </cell>
          <cell r="U142">
            <v>5.4304604128256349E-2</v>
          </cell>
          <cell r="V142">
            <v>5.1234325968807885E-2</v>
          </cell>
          <cell r="AZ142">
            <v>1.822576038892313E-2</v>
          </cell>
          <cell r="BA142">
            <v>1.811888496447641E-2</v>
          </cell>
          <cell r="BB142">
            <v>1.7306891420600792E-2</v>
          </cell>
          <cell r="BC142">
            <v>1.5194030001694623E-2</v>
          </cell>
          <cell r="BD142">
            <v>1.5760519337053698E-2</v>
          </cell>
          <cell r="BE142">
            <v>1.5573032904472E-2</v>
          </cell>
          <cell r="BF142">
            <v>1.489618081994556E-2</v>
          </cell>
          <cell r="BG142">
            <v>1.5635635018860547E-2</v>
          </cell>
          <cell r="BH142">
            <v>1.5472128261372939E-2</v>
          </cell>
          <cell r="BI142">
            <v>1.6035443918078363E-2</v>
          </cell>
          <cell r="BJ142">
            <v>1.6110697233298256E-2</v>
          </cell>
          <cell r="BK142">
            <v>1.4935473267243345E-2</v>
          </cell>
          <cell r="BL142">
            <v>1.5178214827361879E-2</v>
          </cell>
          <cell r="BM142">
            <v>1.6160314265011456E-2</v>
          </cell>
          <cell r="BN142">
            <v>1.6675307218368206E-2</v>
          </cell>
          <cell r="BO142">
            <v>1.7001812617685304E-2</v>
          </cell>
          <cell r="BP142">
            <v>1.6727843106501661E-2</v>
          </cell>
          <cell r="BQ142">
            <v>1.7103504803389433E-2</v>
          </cell>
          <cell r="BR142">
            <v>1.7369081367601038E-2</v>
          </cell>
          <cell r="BS142">
            <v>1.7478046386350504E-2</v>
          </cell>
        </row>
        <row r="144">
          <cell r="A144" t="str">
            <v>Total Debt to GAV</v>
          </cell>
          <cell r="J144">
            <v>0.19269618305297664</v>
          </cell>
          <cell r="K144">
            <v>0.2144009989302422</v>
          </cell>
          <cell r="L144">
            <v>0.21296847413021791</v>
          </cell>
          <cell r="M144">
            <v>0.20002141242526578</v>
          </cell>
          <cell r="N144">
            <v>0.19118952995206837</v>
          </cell>
          <cell r="O144">
            <v>0.1812924474594898</v>
          </cell>
          <cell r="P144">
            <v>0.17014754950592381</v>
          </cell>
          <cell r="Q144">
            <v>0.1594473882458721</v>
          </cell>
          <cell r="R144">
            <v>0.14917272653268521</v>
          </cell>
          <cell r="S144">
            <v>0.13936346523374651</v>
          </cell>
          <cell r="T144">
            <v>0.12998152898628018</v>
          </cell>
          <cell r="U144">
            <v>0.12109818326149667</v>
          </cell>
          <cell r="V144">
            <v>0.11265338505803052</v>
          </cell>
          <cell r="AZ144">
            <v>0.25817156630314025</v>
          </cell>
          <cell r="BA144">
            <v>0.25610641464774475</v>
          </cell>
          <cell r="BB144">
            <v>0.21997684918095023</v>
          </cell>
          <cell r="BC144">
            <v>0.19115737798857982</v>
          </cell>
          <cell r="BD144">
            <v>0.19413843096262667</v>
          </cell>
          <cell r="BE144">
            <v>0.18444102699879394</v>
          </cell>
          <cell r="BF144">
            <v>0.18618569520305492</v>
          </cell>
          <cell r="BG144">
            <v>0.21296932426668516</v>
          </cell>
          <cell r="BH144">
            <v>0.20562584661119523</v>
          </cell>
          <cell r="BI144">
            <v>0.20803119766873418</v>
          </cell>
          <cell r="BJ144">
            <v>0.2066958260251078</v>
          </cell>
          <cell r="BK144">
            <v>0.21147262777271125</v>
          </cell>
          <cell r="BL144">
            <v>0.20808222932352549</v>
          </cell>
          <cell r="BM144">
            <v>0.20455554022311892</v>
          </cell>
          <cell r="BN144">
            <v>0.20160310961535688</v>
          </cell>
          <cell r="BO144">
            <v>0.19881417723852429</v>
          </cell>
          <cell r="BP144">
            <v>0.19669005928014524</v>
          </cell>
          <cell r="BQ144">
            <v>0.19439087362298046</v>
          </cell>
          <cell r="BR144">
            <v>0.19217004816189076</v>
          </cell>
          <cell r="BS144">
            <v>0.19004192148862226</v>
          </cell>
        </row>
        <row r="146">
          <cell r="A146" t="str">
            <v>Company Reported Recurring Free Cash Flow Calculation</v>
          </cell>
        </row>
        <row r="147">
          <cell r="A147" t="str">
            <v>EBITDA</v>
          </cell>
          <cell r="I147">
            <v>1092.3340000000003</v>
          </cell>
          <cell r="J147">
            <v>1180.925</v>
          </cell>
          <cell r="K147">
            <v>1347.748</v>
          </cell>
          <cell r="L147">
            <v>1584.1703752296016</v>
          </cell>
          <cell r="M147">
            <v>1899.6846804226077</v>
          </cell>
          <cell r="N147">
            <v>2122.0781174777685</v>
          </cell>
          <cell r="O147">
            <v>2244.7461118657193</v>
          </cell>
          <cell r="P147">
            <v>2336.1055787614168</v>
          </cell>
          <cell r="Q147">
            <v>2423.9947553852789</v>
          </cell>
          <cell r="R147">
            <v>2502.285984603026</v>
          </cell>
          <cell r="S147">
            <v>2570.4468457851262</v>
          </cell>
          <cell r="T147">
            <v>2628.0687491998037</v>
          </cell>
          <cell r="U147">
            <v>2673.5731586637175</v>
          </cell>
          <cell r="V147">
            <v>2708.2575515914632</v>
          </cell>
          <cell r="AT147">
            <v>248.62799999999999</v>
          </cell>
          <cell r="AU147">
            <v>252.50899999999999</v>
          </cell>
          <cell r="AV147">
            <v>262.52200000000005</v>
          </cell>
          <cell r="AW147">
            <v>272.25100000000003</v>
          </cell>
          <cell r="AX147">
            <v>277.52700000000004</v>
          </cell>
          <cell r="AY147">
            <v>280.03399999999999</v>
          </cell>
          <cell r="AZ147">
            <v>281.17900000000003</v>
          </cell>
          <cell r="BA147">
            <v>287.34499999999997</v>
          </cell>
          <cell r="BB147">
            <v>304.18099999999993</v>
          </cell>
          <cell r="BC147">
            <v>308.22000000000003</v>
          </cell>
          <cell r="BD147">
            <v>311.50200000000001</v>
          </cell>
          <cell r="BE147">
            <v>320.96899999999999</v>
          </cell>
          <cell r="BF147">
            <v>349.99199999999996</v>
          </cell>
          <cell r="BG147">
            <v>365.28500000000008</v>
          </cell>
          <cell r="BH147">
            <v>377.09199999999998</v>
          </cell>
          <cell r="BI147">
            <v>389.11399999999998</v>
          </cell>
          <cell r="BJ147">
            <v>398.86900000000003</v>
          </cell>
          <cell r="BK147">
            <v>419.09537522960113</v>
          </cell>
          <cell r="BL147">
            <v>433.46381677239697</v>
          </cell>
          <cell r="BM147">
            <v>468.81750926192603</v>
          </cell>
          <cell r="BN147">
            <v>490.50401321550373</v>
          </cell>
          <cell r="BO147">
            <v>506.89934117278085</v>
          </cell>
          <cell r="BP147">
            <v>508.10333721571573</v>
          </cell>
          <cell r="BQ147">
            <v>525.42522366686853</v>
          </cell>
          <cell r="BR147">
            <v>539.58215515715813</v>
          </cell>
          <cell r="BS147">
            <v>548.96740143802583</v>
          </cell>
        </row>
        <row r="148">
          <cell r="A148" t="str">
            <v>Interest Expense</v>
          </cell>
          <cell r="I148">
            <v>-253.58399999999997</v>
          </cell>
          <cell r="J148">
            <v>-249.803</v>
          </cell>
          <cell r="K148">
            <v>-246.01800000000003</v>
          </cell>
          <cell r="L148">
            <v>-311.9070007775</v>
          </cell>
          <cell r="M148">
            <v>-338.58348642933311</v>
          </cell>
          <cell r="N148">
            <v>-334.65094911307483</v>
          </cell>
          <cell r="O148">
            <v>-368.85308049656709</v>
          </cell>
          <cell r="P148">
            <v>-368.92621639314132</v>
          </cell>
          <cell r="Q148">
            <v>-369.00406623693948</v>
          </cell>
          <cell r="R148">
            <v>-369.08694239511107</v>
          </cell>
          <cell r="S148">
            <v>-369.17517842579002</v>
          </cell>
          <cell r="T148">
            <v>-369.26913054392242</v>
          </cell>
          <cell r="U148">
            <v>-369.36371021668259</v>
          </cell>
          <cell r="V148">
            <v>-369.46454600284403</v>
          </cell>
          <cell r="AT148">
            <v>-59.918999999999997</v>
          </cell>
          <cell r="AU148">
            <v>-64.247</v>
          </cell>
          <cell r="AV148">
            <v>-65.513999999999996</v>
          </cell>
          <cell r="AW148">
            <v>-62.508000000000003</v>
          </cell>
          <cell r="AX148">
            <v>-63.545999999999999</v>
          </cell>
          <cell r="AY148">
            <v>-62.015999999999998</v>
          </cell>
          <cell r="AZ148">
            <v>-61.567999999999998</v>
          </cell>
          <cell r="BA148">
            <v>-62.654000000000003</v>
          </cell>
          <cell r="BB148">
            <v>-64.122</v>
          </cell>
          <cell r="BC148">
            <v>-61.459000000000003</v>
          </cell>
          <cell r="BD148">
            <v>-58.417000000000002</v>
          </cell>
          <cell r="BE148">
            <v>-56.073999999999998</v>
          </cell>
          <cell r="BF148">
            <v>-62.904000000000003</v>
          </cell>
          <cell r="BG148">
            <v>-68.623000000000005</v>
          </cell>
          <cell r="BH148">
            <v>-74.427000000000007</v>
          </cell>
          <cell r="BI148">
            <v>-74.512</v>
          </cell>
          <cell r="BJ148">
            <v>-77.796000000000006</v>
          </cell>
          <cell r="BK148">
            <v>-85.172000777500003</v>
          </cell>
          <cell r="BL148">
            <v>-84.639779543341248</v>
          </cell>
          <cell r="BM148">
            <v>-84.643797597850025</v>
          </cell>
          <cell r="BN148">
            <v>-84.647880440615921</v>
          </cell>
          <cell r="BO148">
            <v>-84.652028847525941</v>
          </cell>
          <cell r="BP148">
            <v>-83.656243905395741</v>
          </cell>
          <cell r="BQ148">
            <v>-83.660526715708301</v>
          </cell>
          <cell r="BR148">
            <v>-83.664878398639033</v>
          </cell>
          <cell r="BS148">
            <v>-83.669300093331742</v>
          </cell>
        </row>
        <row r="149">
          <cell r="A149" t="str">
            <v>Interest Income</v>
          </cell>
          <cell r="I149">
            <v>3.4129999999999998</v>
          </cell>
          <cell r="J149">
            <v>1.722</v>
          </cell>
          <cell r="K149">
            <v>5.024</v>
          </cell>
          <cell r="L149">
            <v>7.4063182499999991</v>
          </cell>
          <cell r="M149">
            <v>2.0646868612005589</v>
          </cell>
          <cell r="N149">
            <v>8.6782063211867033</v>
          </cell>
          <cell r="O149">
            <v>14.914440041238672</v>
          </cell>
          <cell r="P149">
            <v>21.989721497629759</v>
          </cell>
          <cell r="Q149">
            <v>26.138901058852699</v>
          </cell>
          <cell r="R149">
            <v>30.522933766987666</v>
          </cell>
          <cell r="S149">
            <v>35.016114741795526</v>
          </cell>
          <cell r="T149">
            <v>39.729199413739686</v>
          </cell>
          <cell r="U149">
            <v>44.488801129152982</v>
          </cell>
          <cell r="V149">
            <v>49.537550247649506</v>
          </cell>
          <cell r="AT149">
            <v>2.3450000000000002</v>
          </cell>
          <cell r="AU149">
            <v>1.6619999999999999</v>
          </cell>
          <cell r="AV149">
            <v>0.96299999999999997</v>
          </cell>
          <cell r="AW149">
            <v>0.97899999999999998</v>
          </cell>
          <cell r="AX149">
            <v>1.0169999999999999</v>
          </cell>
          <cell r="AY149">
            <v>0.45400000000000001</v>
          </cell>
          <cell r="AZ149">
            <v>0.499</v>
          </cell>
          <cell r="BA149">
            <v>0.48199999999999998</v>
          </cell>
          <cell r="BB149">
            <v>0.73599999999999999</v>
          </cell>
          <cell r="BC149">
            <v>5.0000000000000001E-3</v>
          </cell>
          <cell r="BD149">
            <v>0.502</v>
          </cell>
          <cell r="BE149">
            <v>0.69399999999999995</v>
          </cell>
          <cell r="BF149">
            <v>1.954</v>
          </cell>
          <cell r="BG149">
            <v>1.8740000000000001</v>
          </cell>
          <cell r="BH149">
            <v>2.3039999999999998</v>
          </cell>
          <cell r="BI149">
            <v>2.7109999999999999</v>
          </cell>
          <cell r="BJ149">
            <v>1.8220000000000001</v>
          </cell>
          <cell r="BK149">
            <v>0.56931824999999925</v>
          </cell>
          <cell r="BL149">
            <v>0.24913952226416855</v>
          </cell>
          <cell r="BM149">
            <v>0.3162049567354796</v>
          </cell>
          <cell r="BN149">
            <v>0.56864159223176214</v>
          </cell>
          <cell r="BO149">
            <v>0.93070078996914851</v>
          </cell>
          <cell r="BP149">
            <v>1.3153541499138859</v>
          </cell>
          <cell r="BQ149">
            <v>1.8349692164032303</v>
          </cell>
          <cell r="BR149">
            <v>2.4477241255251476</v>
          </cell>
          <cell r="BS149">
            <v>3.0801588293444384</v>
          </cell>
        </row>
        <row r="150">
          <cell r="A150" t="str">
            <v>Cash Taxes</v>
          </cell>
          <cell r="I150">
            <v>-35.061999999999998</v>
          </cell>
          <cell r="J150">
            <v>-40.213999999999999</v>
          </cell>
          <cell r="K150">
            <v>-36.381</v>
          </cell>
          <cell r="L150">
            <v>-63.807999999999993</v>
          </cell>
          <cell r="M150">
            <v>-3.299689806430401</v>
          </cell>
          <cell r="N150">
            <v>-4.080239682142242</v>
          </cell>
          <cell r="O150">
            <v>-4.5233627570231718</v>
          </cell>
          <cell r="P150">
            <v>-4.8803952558684456</v>
          </cell>
          <cell r="Q150">
            <v>-5.1891775033019609</v>
          </cell>
          <cell r="R150">
            <v>-5.4533940242101107</v>
          </cell>
          <cell r="S150">
            <v>-5.6717044193611557</v>
          </cell>
          <cell r="T150">
            <v>-5.8439667506207851</v>
          </cell>
          <cell r="U150">
            <v>-5.964734932127457</v>
          </cell>
          <cell r="V150">
            <v>-6.0402951358851382</v>
          </cell>
          <cell r="AT150">
            <v>-5.0630000000000033</v>
          </cell>
          <cell r="AU150">
            <v>-15.271000000000001</v>
          </cell>
          <cell r="AV150">
            <v>-11.72</v>
          </cell>
          <cell r="AW150">
            <v>-10.086</v>
          </cell>
          <cell r="AX150">
            <v>-5.636000000000001</v>
          </cell>
          <cell r="AY150">
            <v>-7.6199999999999957</v>
          </cell>
          <cell r="AZ150">
            <v>-7.4939999999999998</v>
          </cell>
          <cell r="BA150">
            <v>-11.501999999999999</v>
          </cell>
          <cell r="BB150">
            <v>-13.763999999999999</v>
          </cell>
          <cell r="BC150">
            <v>-7.4539999999999997</v>
          </cell>
          <cell r="BD150">
            <v>-7.899</v>
          </cell>
          <cell r="BE150">
            <v>-3.3579999999999997</v>
          </cell>
          <cell r="BF150">
            <v>-11.663999999999998</v>
          </cell>
          <cell r="BG150">
            <v>-13.46</v>
          </cell>
          <cell r="BH150">
            <v>-13.477</v>
          </cell>
          <cell r="BI150">
            <v>-14.818000000000001</v>
          </cell>
          <cell r="BJ150">
            <v>-20.512999999999995</v>
          </cell>
          <cell r="BK150">
            <v>-15</v>
          </cell>
          <cell r="BL150">
            <v>-0.67678901966725136</v>
          </cell>
          <cell r="BM150">
            <v>-0.80448820361335882</v>
          </cell>
          <cell r="BN150">
            <v>-0.88578455390560706</v>
          </cell>
          <cell r="BO150">
            <v>-0.93262802924418386</v>
          </cell>
          <cell r="BP150">
            <v>-0.93938716833548475</v>
          </cell>
          <cell r="BQ150">
            <v>-1.0031060942449053</v>
          </cell>
          <cell r="BR150">
            <v>-1.0579144043231941</v>
          </cell>
          <cell r="BS150">
            <v>-1.0798320152386576</v>
          </cell>
        </row>
        <row r="151">
          <cell r="A151" t="str">
            <v>Straight Line Revenue</v>
          </cell>
          <cell r="I151">
            <v>-50.368000000000002</v>
          </cell>
          <cell r="J151">
            <v>-36.307000000000002</v>
          </cell>
          <cell r="K151">
            <v>-105.226</v>
          </cell>
          <cell r="L151">
            <v>-125.687</v>
          </cell>
          <cell r="M151">
            <v>-130.74799999999999</v>
          </cell>
          <cell r="N151">
            <v>-130.74799999999999</v>
          </cell>
          <cell r="O151">
            <v>-130.74799999999999</v>
          </cell>
          <cell r="P151">
            <v>-130.74799999999999</v>
          </cell>
          <cell r="Q151">
            <v>-130.74799999999999</v>
          </cell>
          <cell r="R151">
            <v>-130.74799999999999</v>
          </cell>
          <cell r="S151">
            <v>-130.74799999999999</v>
          </cell>
          <cell r="T151">
            <v>-130.74799999999999</v>
          </cell>
          <cell r="U151">
            <v>-130.74799999999999</v>
          </cell>
          <cell r="V151">
            <v>-130.74799999999999</v>
          </cell>
          <cell r="AT151">
            <v>-15.98</v>
          </cell>
          <cell r="AU151">
            <v>-18.038</v>
          </cell>
          <cell r="AV151">
            <v>-14.113</v>
          </cell>
          <cell r="AW151">
            <v>-12.028</v>
          </cell>
          <cell r="AX151">
            <v>-12.263999999999999</v>
          </cell>
          <cell r="AY151">
            <v>-11.962999999999999</v>
          </cell>
          <cell r="AZ151">
            <v>-9.8949999999999996</v>
          </cell>
          <cell r="BA151">
            <v>-8.9979999999999993</v>
          </cell>
          <cell r="BB151">
            <v>-9.827</v>
          </cell>
          <cell r="BC151">
            <v>-7.5869999999999997</v>
          </cell>
          <cell r="BD151">
            <v>-13.585000000000001</v>
          </cell>
          <cell r="BE151">
            <v>-18.841000000000001</v>
          </cell>
          <cell r="BF151">
            <v>-35.378999999999998</v>
          </cell>
          <cell r="BG151">
            <v>-37.420999999999999</v>
          </cell>
          <cell r="BH151">
            <v>-29.843</v>
          </cell>
          <cell r="BI151">
            <v>-30.47</v>
          </cell>
          <cell r="BJ151">
            <v>-32.686999999999998</v>
          </cell>
          <cell r="BK151">
            <v>-32.686999999999998</v>
          </cell>
          <cell r="BL151">
            <v>-32.686999999999998</v>
          </cell>
          <cell r="BM151">
            <v>-32.686999999999998</v>
          </cell>
          <cell r="BN151">
            <v>-32.686999999999998</v>
          </cell>
          <cell r="BO151">
            <v>-32.686999999999998</v>
          </cell>
          <cell r="BP151">
            <v>-32.686999999999998</v>
          </cell>
          <cell r="BQ151">
            <v>-32.686999999999998</v>
          </cell>
          <cell r="BR151">
            <v>-32.686999999999998</v>
          </cell>
          <cell r="BS151">
            <v>-32.686999999999998</v>
          </cell>
        </row>
        <row r="152">
          <cell r="A152" t="str">
            <v>Straight Line Expense</v>
          </cell>
          <cell r="I152">
            <v>27.618000000000002</v>
          </cell>
          <cell r="J152">
            <v>26.591000000000001</v>
          </cell>
          <cell r="K152">
            <v>22.268000000000001</v>
          </cell>
          <cell r="L152">
            <v>30.994</v>
          </cell>
          <cell r="M152">
            <v>31.475999999999999</v>
          </cell>
          <cell r="N152">
            <v>31.475999999999999</v>
          </cell>
          <cell r="O152">
            <v>31.475999999999999</v>
          </cell>
          <cell r="P152">
            <v>31.475999999999999</v>
          </cell>
          <cell r="Q152">
            <v>31.475999999999999</v>
          </cell>
          <cell r="R152">
            <v>31.475999999999999</v>
          </cell>
          <cell r="S152">
            <v>31.475999999999999</v>
          </cell>
          <cell r="T152">
            <v>31.475999999999999</v>
          </cell>
          <cell r="U152">
            <v>31.475999999999999</v>
          </cell>
          <cell r="V152">
            <v>31.475999999999999</v>
          </cell>
          <cell r="AT152">
            <v>6.258</v>
          </cell>
          <cell r="AU152">
            <v>7.1219999999999999</v>
          </cell>
          <cell r="AV152">
            <v>6.66</v>
          </cell>
          <cell r="AW152">
            <v>7.6260000000000003</v>
          </cell>
          <cell r="AX152">
            <v>7.4690000000000003</v>
          </cell>
          <cell r="AY152">
            <v>5.8630000000000004</v>
          </cell>
          <cell r="AZ152">
            <v>7.1779999999999999</v>
          </cell>
          <cell r="BA152">
            <v>6.3810000000000002</v>
          </cell>
          <cell r="BB152">
            <v>6.8319999999999999</v>
          </cell>
          <cell r="BC152">
            <v>6.2</v>
          </cell>
          <cell r="BD152">
            <v>7.1550000000000002</v>
          </cell>
          <cell r="BE152">
            <v>5.9960000000000004</v>
          </cell>
          <cell r="BF152">
            <v>5.25</v>
          </cell>
          <cell r="BG152">
            <v>3.867</v>
          </cell>
          <cell r="BH152">
            <v>7.1390000000000002</v>
          </cell>
          <cell r="BI152">
            <v>8.1170000000000009</v>
          </cell>
          <cell r="BJ152">
            <v>7.8689999999999998</v>
          </cell>
          <cell r="BK152">
            <v>7.8689999999999998</v>
          </cell>
          <cell r="BL152">
            <v>7.8689999999999998</v>
          </cell>
          <cell r="BM152">
            <v>7.8689999999999998</v>
          </cell>
          <cell r="BN152">
            <v>7.8689999999999998</v>
          </cell>
          <cell r="BO152">
            <v>7.8689999999999998</v>
          </cell>
          <cell r="BP152">
            <v>7.8689999999999998</v>
          </cell>
          <cell r="BQ152">
            <v>7.8689999999999998</v>
          </cell>
          <cell r="BR152">
            <v>7.8689999999999998</v>
          </cell>
          <cell r="BS152">
            <v>7.8689999999999998</v>
          </cell>
        </row>
        <row r="153">
          <cell r="A153" t="str">
            <v>Redevelopment Capex</v>
          </cell>
          <cell r="I153">
            <v>-72.933000000000007</v>
          </cell>
          <cell r="J153">
            <v>-30.701999999999998</v>
          </cell>
          <cell r="K153">
            <v>-25.785</v>
          </cell>
          <cell r="L153">
            <v>-55.280999999999999</v>
          </cell>
          <cell r="M153">
            <v>-50</v>
          </cell>
          <cell r="N153">
            <v>-52</v>
          </cell>
          <cell r="O153">
            <v>-52</v>
          </cell>
          <cell r="P153">
            <v>-52</v>
          </cell>
          <cell r="Q153">
            <v>-52</v>
          </cell>
          <cell r="R153">
            <v>0</v>
          </cell>
          <cell r="S153">
            <v>0</v>
          </cell>
          <cell r="T153">
            <v>0</v>
          </cell>
          <cell r="U153">
            <v>0</v>
          </cell>
          <cell r="V153">
            <v>-7.8210000000000015</v>
          </cell>
          <cell r="AT153">
            <v>-8.7040000000000006</v>
          </cell>
          <cell r="AU153">
            <v>-11.420999999999999</v>
          </cell>
          <cell r="AV153">
            <v>-21.427</v>
          </cell>
          <cell r="AW153">
            <v>-18.77</v>
          </cell>
          <cell r="AX153">
            <v>-16.856000000000002</v>
          </cell>
          <cell r="AY153">
            <v>-15.88</v>
          </cell>
          <cell r="AZ153">
            <v>-10.055999999999999</v>
          </cell>
          <cell r="BA153">
            <v>-8.94</v>
          </cell>
          <cell r="BB153">
            <v>-6.0350000000000001</v>
          </cell>
          <cell r="BC153">
            <v>-5.6710000000000003</v>
          </cell>
          <cell r="BD153">
            <v>-5.6580000000000004</v>
          </cell>
          <cell r="BE153">
            <v>-5.1580000000000004</v>
          </cell>
          <cell r="BF153">
            <v>-5.7690000000000001</v>
          </cell>
          <cell r="BG153">
            <v>-9.1999999999999993</v>
          </cell>
          <cell r="BH153">
            <v>-7.7050000000000001</v>
          </cell>
          <cell r="BI153">
            <v>-15.164</v>
          </cell>
          <cell r="BJ153">
            <v>-14.412000000000001</v>
          </cell>
          <cell r="BK153">
            <v>-18</v>
          </cell>
          <cell r="BL153">
            <v>-12.5</v>
          </cell>
          <cell r="BM153">
            <v>-12.5</v>
          </cell>
          <cell r="BN153">
            <v>-12.5</v>
          </cell>
          <cell r="BO153">
            <v>-12.5</v>
          </cell>
          <cell r="BP153">
            <v>-13</v>
          </cell>
          <cell r="BQ153">
            <v>-13</v>
          </cell>
          <cell r="BR153">
            <v>-13</v>
          </cell>
          <cell r="BS153">
            <v>-13</v>
          </cell>
        </row>
        <row r="154">
          <cell r="A154" t="str">
            <v>Capital Improvement Capex</v>
          </cell>
          <cell r="I154">
            <v>-32.545999999999999</v>
          </cell>
          <cell r="J154">
            <v>-32.542000000000002</v>
          </cell>
          <cell r="K154">
            <v>-31.405000000000001</v>
          </cell>
          <cell r="L154">
            <v>-61.115000000000002</v>
          </cell>
          <cell r="M154">
            <v>-44</v>
          </cell>
          <cell r="N154">
            <v>-44</v>
          </cell>
          <cell r="O154">
            <v>-44</v>
          </cell>
          <cell r="P154">
            <v>-44</v>
          </cell>
          <cell r="Q154">
            <v>-44</v>
          </cell>
          <cell r="R154">
            <v>0</v>
          </cell>
          <cell r="S154">
            <v>0</v>
          </cell>
          <cell r="T154">
            <v>0</v>
          </cell>
          <cell r="U154">
            <v>0</v>
          </cell>
          <cell r="V154">
            <v>-2</v>
          </cell>
          <cell r="AT154">
            <v>-7.7910000000000004</v>
          </cell>
          <cell r="AU154">
            <v>-8.8629999999999995</v>
          </cell>
          <cell r="AV154">
            <v>-6.48</v>
          </cell>
          <cell r="AW154">
            <v>-8.3870000000000005</v>
          </cell>
          <cell r="AX154">
            <v>-9.0869999999999997</v>
          </cell>
          <cell r="AY154">
            <v>-8.5920000000000005</v>
          </cell>
          <cell r="AZ154">
            <v>-6.4089999999999998</v>
          </cell>
          <cell r="BA154">
            <v>-9.1379999999999999</v>
          </cell>
          <cell r="BB154">
            <v>-8.2119999999999997</v>
          </cell>
          <cell r="BC154">
            <v>-8.7829999999999995</v>
          </cell>
          <cell r="BD154">
            <v>-6.8490000000000002</v>
          </cell>
          <cell r="BE154">
            <v>-5.0259999999999998</v>
          </cell>
          <cell r="BF154">
            <v>-9.2149999999999999</v>
          </cell>
          <cell r="BG154">
            <v>-10.315</v>
          </cell>
          <cell r="BH154">
            <v>-10.156000000000001</v>
          </cell>
          <cell r="BI154">
            <v>-14.208</v>
          </cell>
          <cell r="BJ154">
            <v>-19.751000000000001</v>
          </cell>
          <cell r="BK154">
            <v>-17</v>
          </cell>
          <cell r="BL154">
            <v>-11</v>
          </cell>
          <cell r="BM154">
            <v>-11</v>
          </cell>
          <cell r="BN154">
            <v>-11</v>
          </cell>
          <cell r="BO154">
            <v>-11</v>
          </cell>
          <cell r="BP154">
            <v>-11</v>
          </cell>
          <cell r="BQ154">
            <v>-11</v>
          </cell>
          <cell r="BR154">
            <v>-11</v>
          </cell>
          <cell r="BS154">
            <v>-11</v>
          </cell>
        </row>
        <row r="155">
          <cell r="A155" t="str">
            <v>Corporate Capex</v>
          </cell>
          <cell r="I155">
            <v>-5.5739999999999998</v>
          </cell>
          <cell r="J155">
            <v>-8.0890000000000004</v>
          </cell>
          <cell r="K155">
            <v>-11.603300000000001</v>
          </cell>
          <cell r="L155">
            <v>-16.503</v>
          </cell>
          <cell r="M155">
            <v>-10</v>
          </cell>
          <cell r="N155">
            <v>-10</v>
          </cell>
          <cell r="O155">
            <v>-10</v>
          </cell>
          <cell r="P155">
            <v>-10</v>
          </cell>
          <cell r="Q155">
            <v>-10</v>
          </cell>
          <cell r="R155">
            <v>0</v>
          </cell>
          <cell r="S155">
            <v>0</v>
          </cell>
          <cell r="T155">
            <v>0</v>
          </cell>
          <cell r="U155">
            <v>0</v>
          </cell>
          <cell r="V155">
            <v>-4</v>
          </cell>
          <cell r="AT155">
            <v>-3.71</v>
          </cell>
          <cell r="AU155">
            <v>-2.9820000000000002</v>
          </cell>
          <cell r="AV155">
            <v>-1.4730000000000001</v>
          </cell>
          <cell r="AW155">
            <v>-1.4259999999999999</v>
          </cell>
          <cell r="AX155">
            <v>-1.397</v>
          </cell>
          <cell r="AY155">
            <v>-1.278</v>
          </cell>
          <cell r="AZ155">
            <v>-0.84199999999999997</v>
          </cell>
          <cell r="BA155">
            <v>-1.853</v>
          </cell>
          <cell r="BB155">
            <v>-3.762</v>
          </cell>
          <cell r="BC155">
            <v>-1.6319999999999999</v>
          </cell>
          <cell r="BD155">
            <v>-1.603</v>
          </cell>
          <cell r="BE155">
            <v>-2.7532999999999999</v>
          </cell>
          <cell r="BF155">
            <v>-3.4049999999999998</v>
          </cell>
          <cell r="BG155">
            <v>-3.8420000000000001</v>
          </cell>
          <cell r="BH155">
            <v>-2.681</v>
          </cell>
          <cell r="BI155">
            <v>-6.0780000000000003</v>
          </cell>
          <cell r="BJ155">
            <v>-4.7439999999999998</v>
          </cell>
          <cell r="BK155">
            <v>-3</v>
          </cell>
          <cell r="BL155">
            <v>-2.5</v>
          </cell>
          <cell r="BM155">
            <v>-2.5</v>
          </cell>
          <cell r="BN155">
            <v>-2.5</v>
          </cell>
          <cell r="BO155">
            <v>-2.5</v>
          </cell>
          <cell r="BP155">
            <v>-2.5</v>
          </cell>
          <cell r="BQ155">
            <v>-2.5</v>
          </cell>
          <cell r="BR155">
            <v>-2.5</v>
          </cell>
          <cell r="BS155">
            <v>-2.5</v>
          </cell>
        </row>
        <row r="156">
          <cell r="I156" t="str">
            <v xml:space="preserve">______ </v>
          </cell>
          <cell r="J156" t="str">
            <v xml:space="preserve">______ </v>
          </cell>
          <cell r="K156" t="str">
            <v xml:space="preserve">______ </v>
          </cell>
          <cell r="L156" t="str">
            <v xml:space="preserve">______ </v>
          </cell>
          <cell r="M156" t="str">
            <v xml:space="preserve">______ </v>
          </cell>
          <cell r="N156" t="str">
            <v xml:space="preserve">______ </v>
          </cell>
          <cell r="O156" t="str">
            <v xml:space="preserve">______ </v>
          </cell>
          <cell r="P156" t="str">
            <v xml:space="preserve">______ </v>
          </cell>
          <cell r="Q156" t="str">
            <v xml:space="preserve">______ </v>
          </cell>
          <cell r="R156" t="str">
            <v xml:space="preserve">______ </v>
          </cell>
          <cell r="S156" t="str">
            <v xml:space="preserve">______ </v>
          </cell>
          <cell r="T156" t="str">
            <v xml:space="preserve">______ </v>
          </cell>
          <cell r="U156" t="str">
            <v xml:space="preserve">______ </v>
          </cell>
          <cell r="V156" t="str">
            <v xml:space="preserve">______ </v>
          </cell>
          <cell r="AT156" t="str">
            <v xml:space="preserve">______ </v>
          </cell>
          <cell r="AU156" t="str">
            <v xml:space="preserve">______ </v>
          </cell>
          <cell r="AV156" t="str">
            <v xml:space="preserve">______ </v>
          </cell>
          <cell r="AW156" t="str">
            <v xml:space="preserve">______ </v>
          </cell>
          <cell r="AX156" t="str">
            <v xml:space="preserve">______ </v>
          </cell>
          <cell r="AY156" t="str">
            <v xml:space="preserve">______ </v>
          </cell>
          <cell r="AZ156" t="str">
            <v xml:space="preserve">______ </v>
          </cell>
          <cell r="BA156" t="str">
            <v xml:space="preserve">______ </v>
          </cell>
          <cell r="BB156" t="str">
            <v xml:space="preserve">______ </v>
          </cell>
          <cell r="BC156" t="str">
            <v xml:space="preserve">______ </v>
          </cell>
          <cell r="BD156" t="str">
            <v xml:space="preserve">______ </v>
          </cell>
          <cell r="BE156" t="str">
            <v xml:space="preserve">______ </v>
          </cell>
          <cell r="BF156" t="str">
            <v xml:space="preserve">______ </v>
          </cell>
          <cell r="BG156" t="str">
            <v xml:space="preserve">______ </v>
          </cell>
          <cell r="BH156" t="str">
            <v xml:space="preserve">______ </v>
          </cell>
          <cell r="BI156" t="str">
            <v xml:space="preserve">______ </v>
          </cell>
          <cell r="BJ156" t="str">
            <v xml:space="preserve">______ </v>
          </cell>
          <cell r="BK156" t="str">
            <v xml:space="preserve">______ </v>
          </cell>
          <cell r="BL156" t="str">
            <v xml:space="preserve">______ </v>
          </cell>
          <cell r="BM156" t="str">
            <v xml:space="preserve">______ </v>
          </cell>
          <cell r="BN156" t="str">
            <v xml:space="preserve">______ </v>
          </cell>
          <cell r="BO156" t="str">
            <v xml:space="preserve">______ </v>
          </cell>
          <cell r="BP156" t="str">
            <v xml:space="preserve">______ </v>
          </cell>
          <cell r="BQ156" t="str">
            <v xml:space="preserve">______ </v>
          </cell>
          <cell r="BR156" t="str">
            <v xml:space="preserve">______ </v>
          </cell>
          <cell r="BS156" t="str">
            <v xml:space="preserve">______ </v>
          </cell>
        </row>
        <row r="157">
          <cell r="A157" t="str">
            <v>Recuring Free Cash Flow</v>
          </cell>
          <cell r="I157">
            <v>673.29800000000034</v>
          </cell>
          <cell r="J157">
            <v>811.58099999999979</v>
          </cell>
          <cell r="K157">
            <v>918.62169999999992</v>
          </cell>
          <cell r="L157">
            <v>988.26969270210168</v>
          </cell>
          <cell r="M157">
            <v>1356.5941910480446</v>
          </cell>
          <cell r="N157">
            <v>1586.753135003738</v>
          </cell>
          <cell r="O157">
            <v>1681.0121086533677</v>
          </cell>
          <cell r="P157">
            <v>1779.0166886100369</v>
          </cell>
          <cell r="Q157">
            <v>1870.6684127038907</v>
          </cell>
          <cell r="R157">
            <v>2058.9965819506924</v>
          </cell>
          <cell r="S157">
            <v>2131.3440776817711</v>
          </cell>
          <cell r="T157">
            <v>2193.4128513189999</v>
          </cell>
          <cell r="U157">
            <v>2243.4615146440601</v>
          </cell>
          <cell r="V157">
            <v>2269.1972607003836</v>
          </cell>
          <cell r="AT157">
            <v>156.06399999999999</v>
          </cell>
          <cell r="AU157">
            <v>140.47100000000003</v>
          </cell>
          <cell r="AV157">
            <v>149.41800000000003</v>
          </cell>
          <cell r="AW157">
            <v>167.65100000000004</v>
          </cell>
          <cell r="AX157">
            <v>177.22700000000006</v>
          </cell>
          <cell r="AY157">
            <v>179.00200000000001</v>
          </cell>
          <cell r="AZ157">
            <v>192.59200000000001</v>
          </cell>
          <cell r="BA157">
            <v>191.12299999999996</v>
          </cell>
          <cell r="BB157">
            <v>206.0269999999999</v>
          </cell>
          <cell r="BC157">
            <v>221.83900000000003</v>
          </cell>
          <cell r="BD157">
            <v>225.14800000000002</v>
          </cell>
          <cell r="BE157">
            <v>236.4487</v>
          </cell>
          <cell r="BF157">
            <v>228.85999999999999</v>
          </cell>
          <cell r="BG157">
            <v>228.16500000000013</v>
          </cell>
          <cell r="BH157">
            <v>248.24599999999995</v>
          </cell>
          <cell r="BI157">
            <v>244.69200000000001</v>
          </cell>
          <cell r="BJ157">
            <v>238.6570000000001</v>
          </cell>
          <cell r="BK157">
            <v>256.67469270210108</v>
          </cell>
          <cell r="BL157">
            <v>297.57838773165258</v>
          </cell>
          <cell r="BM157">
            <v>332.86742841719808</v>
          </cell>
          <cell r="BN157">
            <v>354.72098981321392</v>
          </cell>
          <cell r="BO157">
            <v>371.42738508597984</v>
          </cell>
          <cell r="BP157">
            <v>373.50506029189842</v>
          </cell>
          <cell r="BQ157">
            <v>391.27856007331854</v>
          </cell>
          <cell r="BR157">
            <v>405.9890864797211</v>
          </cell>
          <cell r="BS157">
            <v>415.9804281587999</v>
          </cell>
        </row>
        <row r="158">
          <cell r="A158" t="str">
            <v>Y/Y Growth</v>
          </cell>
          <cell r="J158">
            <v>0.20538156952790509</v>
          </cell>
          <cell r="K158">
            <v>0.13189157952194552</v>
          </cell>
          <cell r="L158">
            <v>7.5817926685274095E-2</v>
          </cell>
          <cell r="M158">
            <v>0.37269634095413728</v>
          </cell>
          <cell r="N158">
            <v>0.16965939075552328</v>
          </cell>
          <cell r="O158">
            <v>5.940367885229203E-2</v>
          </cell>
          <cell r="P158">
            <v>5.8300936353860688E-2</v>
          </cell>
          <cell r="Q158">
            <v>5.151819242654887E-2</v>
          </cell>
          <cell r="R158">
            <v>0.10067426592967887</v>
          </cell>
          <cell r="S158">
            <v>3.5137258781914316E-2</v>
          </cell>
          <cell r="T158">
            <v>2.912189274701249E-2</v>
          </cell>
          <cell r="U158">
            <v>2.2817712267420909E-2</v>
          </cell>
          <cell r="V158">
            <v>1.1471445303757211E-2</v>
          </cell>
          <cell r="AX158">
            <v>0.13560462374410531</v>
          </cell>
          <cell r="AY158">
            <v>0.27429860967744202</v>
          </cell>
          <cell r="AZ158">
            <v>0.28894778406885369</v>
          </cell>
          <cell r="BA158">
            <v>0.14000512970396795</v>
          </cell>
          <cell r="BB158">
            <v>0.16250345601968008</v>
          </cell>
          <cell r="BC158">
            <v>0.23931017530530396</v>
          </cell>
          <cell r="BD158">
            <v>0.16904128935781348</v>
          </cell>
          <cell r="BE158">
            <v>0.23715460724245663</v>
          </cell>
          <cell r="BF158">
            <v>0.11082528018172422</v>
          </cell>
          <cell r="BG158">
            <v>2.8516176145763739E-2</v>
          </cell>
          <cell r="BH158">
            <v>0.10259029616074722</v>
          </cell>
          <cell r="BI158">
            <v>3.4862953359439119E-2</v>
          </cell>
          <cell r="BJ158">
            <v>4.2807830114480971E-2</v>
          </cell>
          <cell r="BK158">
            <v>0.12495208599960961</v>
          </cell>
          <cell r="BL158">
            <v>0.19872379708697285</v>
          </cell>
          <cell r="BM158">
            <v>0.36035272267666318</v>
          </cell>
          <cell r="BN158">
            <v>0.48632133066791994</v>
          </cell>
          <cell r="BO158">
            <v>0.44707443174797823</v>
          </cell>
          <cell r="BP158">
            <v>0.25514847747852665</v>
          </cell>
          <cell r="BQ158">
            <v>0.17547866408518376</v>
          </cell>
          <cell r="BR158">
            <v>0.1445307668246627</v>
          </cell>
          <cell r="BS158">
            <v>0.11995088370370621</v>
          </cell>
        </row>
        <row r="160">
          <cell r="A160" t="str">
            <v>Recuring Free Cash Flow Per Share</v>
          </cell>
          <cell r="I160">
            <v>1.6139249078036972</v>
          </cell>
          <cell r="J160">
            <v>1.9934124478209125</v>
          </cell>
          <cell r="K160">
            <v>2.2715796514693762</v>
          </cell>
          <cell r="L160">
            <v>2.4853981920304</v>
          </cell>
          <cell r="M160">
            <v>3.4504611781381507</v>
          </cell>
          <cell r="N160">
            <v>4.0315122407137833</v>
          </cell>
          <cell r="O160">
            <v>4.2427110916387596</v>
          </cell>
          <cell r="P160">
            <v>4.4887540290428145</v>
          </cell>
          <cell r="Q160">
            <v>4.7193761802377248</v>
          </cell>
          <cell r="R160">
            <v>5.1941781284946122</v>
          </cell>
          <cell r="S160">
            <v>5.3770636750425576</v>
          </cell>
          <cell r="T160">
            <v>5.5351717296027605</v>
          </cell>
          <cell r="U160">
            <v>5.6639406361350479</v>
          </cell>
          <cell r="V160">
            <v>5.7321473768718132</v>
          </cell>
          <cell r="AT160">
            <v>0.37334813354640534</v>
          </cell>
          <cell r="AU160">
            <v>0.33694171264092115</v>
          </cell>
          <cell r="AV160">
            <v>0.35438852811285948</v>
          </cell>
          <cell r="AW160">
            <v>0.397638140777056</v>
          </cell>
          <cell r="AX160">
            <v>0.42547312269380461</v>
          </cell>
          <cell r="AY160">
            <v>0.43771977444234145</v>
          </cell>
          <cell r="AZ160">
            <v>0.47175015309246787</v>
          </cell>
          <cell r="BA160">
            <v>0.46748542188478387</v>
          </cell>
          <cell r="BB160">
            <v>0.50779586323842552</v>
          </cell>
          <cell r="BC160">
            <v>0.54678395725088491</v>
          </cell>
          <cell r="BD160">
            <v>0.55444247438928296</v>
          </cell>
          <cell r="BE160">
            <v>0.58378935569250223</v>
          </cell>
          <cell r="BF160">
            <v>0.56725037488691421</v>
          </cell>
          <cell r="BG160">
            <v>0.5661213005418928</v>
          </cell>
          <cell r="BH160">
            <v>0.61768255208398115</v>
          </cell>
          <cell r="BI160">
            <v>0.61134790755777646</v>
          </cell>
          <cell r="BJ160">
            <v>0.60391514817185987</v>
          </cell>
          <cell r="BK160">
            <v>0.65280182028804334</v>
          </cell>
          <cell r="BL160">
            <v>0.7572444042371379</v>
          </cell>
          <cell r="BM160">
            <v>0.8467447069141889</v>
          </cell>
          <cell r="BN160">
            <v>0.90206470224098712</v>
          </cell>
          <cell r="BO160">
            <v>0.94431331147071285</v>
          </cell>
          <cell r="BP160">
            <v>0.94934266347307716</v>
          </cell>
          <cell r="BQ160">
            <v>0.99423408170864946</v>
          </cell>
          <cell r="BR160">
            <v>1.0313624102937806</v>
          </cell>
          <cell r="BS160">
            <v>1.0565289235696782</v>
          </cell>
        </row>
        <row r="161">
          <cell r="A161" t="str">
            <v>Y/Y Growth</v>
          </cell>
          <cell r="J161">
            <v>0.23513333128592651</v>
          </cell>
          <cell r="K161">
            <v>0.13954322596537438</v>
          </cell>
          <cell r="L161">
            <v>9.4127687938529769E-2</v>
          </cell>
          <cell r="M161">
            <v>0.38829310699681496</v>
          </cell>
          <cell r="N161">
            <v>0.16839808726355954</v>
          </cell>
          <cell r="O161">
            <v>5.2387004755213962E-2</v>
          </cell>
          <cell r="P161">
            <v>5.7991914153414648E-2</v>
          </cell>
          <cell r="Q161">
            <v>5.1377765344849724E-2</v>
          </cell>
          <cell r="R161">
            <v>0.10060692984066599</v>
          </cell>
          <cell r="S161">
            <v>3.5209717884848502E-2</v>
          </cell>
          <cell r="T161">
            <v>2.9404162590459082E-2</v>
          </cell>
          <cell r="U161">
            <v>2.3263759973988885E-2</v>
          </cell>
          <cell r="V161">
            <v>1.2042276767806781E-2</v>
          </cell>
          <cell r="AX161">
            <v>0.13961497182875404</v>
          </cell>
          <cell r="AY161">
            <v>0.29909642534766689</v>
          </cell>
          <cell r="AZ161">
            <v>0.33116654651482702</v>
          </cell>
          <cell r="BA161">
            <v>0.17565538600304742</v>
          </cell>
          <cell r="BB161">
            <v>0.19348517251432873</v>
          </cell>
          <cell r="BC161">
            <v>0.24916439506872212</v>
          </cell>
          <cell r="BD161">
            <v>0.17528838253626722</v>
          </cell>
          <cell r="BE161">
            <v>0.24878622597216005</v>
          </cell>
          <cell r="BF161">
            <v>0.11708348955291314</v>
          </cell>
          <cell r="BG161">
            <v>3.5365601046950967E-2</v>
          </cell>
          <cell r="BH161">
            <v>0.11406066565220674</v>
          </cell>
          <cell r="BI161">
            <v>4.7206328098571948E-2</v>
          </cell>
          <cell r="BJ161">
            <v>6.4635961311184875E-2</v>
          </cell>
          <cell r="BK161">
            <v>0.15311298066894796</v>
          </cell>
          <cell r="BL161">
            <v>0.22594430048621761</v>
          </cell>
          <cell r="BM161">
            <v>0.3850455631667733</v>
          </cell>
          <cell r="BN161">
            <v>0.49369444527376061</v>
          </cell>
          <cell r="BO161">
            <v>0.44655434792452398</v>
          </cell>
          <cell r="BP161">
            <v>0.25368065866325229</v>
          </cell>
          <cell r="BQ161">
            <v>0.17418399381787619</v>
          </cell>
          <cell r="BR161">
            <v>0.14333529261435562</v>
          </cell>
          <cell r="BS161">
            <v>0.11883303002919243</v>
          </cell>
        </row>
        <row r="164">
          <cell r="D164" t="str">
            <v>2003-FY</v>
          </cell>
          <cell r="E164" t="str">
            <v>2004-FY</v>
          </cell>
          <cell r="F164" t="str">
            <v>2005-FY</v>
          </cell>
          <cell r="G164" t="str">
            <v>2006-FY</v>
          </cell>
          <cell r="H164" t="str">
            <v>2007-FY</v>
          </cell>
          <cell r="I164" t="str">
            <v>2008-FY</v>
          </cell>
          <cell r="J164" t="str">
            <v>2009-FY</v>
          </cell>
          <cell r="K164" t="str">
            <v>2010-FY</v>
          </cell>
          <cell r="L164" t="str">
            <v>2011-FY</v>
          </cell>
          <cell r="M164" t="str">
            <v>2012-FY</v>
          </cell>
          <cell r="N164" t="str">
            <v>2013-FY</v>
          </cell>
          <cell r="O164" t="str">
            <v>2014-FY</v>
          </cell>
          <cell r="P164" t="str">
            <v>2015-FY</v>
          </cell>
          <cell r="Q164" t="str">
            <v>2016-FY</v>
          </cell>
          <cell r="R164" t="str">
            <v>2017-FY</v>
          </cell>
          <cell r="S164" t="str">
            <v>2018-FY</v>
          </cell>
          <cell r="T164" t="str">
            <v>2019-FY</v>
          </cell>
          <cell r="U164" t="str">
            <v>2020-FY</v>
          </cell>
          <cell r="V164" t="str">
            <v>2021-FY</v>
          </cell>
          <cell r="AB164" t="str">
            <v>2003-Q1</v>
          </cell>
          <cell r="AC164" t="str">
            <v>2003-Q2</v>
          </cell>
          <cell r="AD164" t="str">
            <v>2003-Q3</v>
          </cell>
          <cell r="AE164" t="str">
            <v>2003-Q4</v>
          </cell>
          <cell r="AF164" t="str">
            <v>2004-Q1</v>
          </cell>
          <cell r="AG164" t="str">
            <v>2004-Q2</v>
          </cell>
          <cell r="AH164" t="str">
            <v>2004-Q3</v>
          </cell>
          <cell r="AI164" t="str">
            <v>2004-Q4</v>
          </cell>
          <cell r="AJ164" t="str">
            <v>2005-Q1</v>
          </cell>
          <cell r="AK164" t="str">
            <v>2005-Q2</v>
          </cell>
          <cell r="AL164" t="str">
            <v>2005-Q3</v>
          </cell>
          <cell r="AM164" t="str">
            <v>2005-Q4</v>
          </cell>
          <cell r="AN164" t="str">
            <v>2006-Q1</v>
          </cell>
          <cell r="AO164" t="str">
            <v>2006-Q2</v>
          </cell>
          <cell r="AP164" t="str">
            <v>2006-Q3</v>
          </cell>
          <cell r="AQ164" t="str">
            <v>2006-Q4</v>
          </cell>
          <cell r="AR164" t="str">
            <v>2007-Q1</v>
          </cell>
          <cell r="AS164" t="str">
            <v>2007-Q2</v>
          </cell>
          <cell r="AT164" t="str">
            <v>2007-Q3</v>
          </cell>
          <cell r="AU164" t="str">
            <v>2007-Q4</v>
          </cell>
          <cell r="AV164" t="str">
            <v>2008-Q1</v>
          </cell>
          <cell r="AW164" t="str">
            <v>2008-Q2</v>
          </cell>
          <cell r="AX164" t="str">
            <v>2008-Q3</v>
          </cell>
          <cell r="AY164" t="str">
            <v>2008-Q4</v>
          </cell>
          <cell r="AZ164" t="str">
            <v>2009-Q1</v>
          </cell>
          <cell r="BA164" t="str">
            <v>2009-Q2</v>
          </cell>
          <cell r="BB164" t="str">
            <v>2009-Q3</v>
          </cell>
          <cell r="BC164" t="str">
            <v>2009-Q4</v>
          </cell>
          <cell r="BD164" t="str">
            <v>2010-Q1</v>
          </cell>
          <cell r="BE164" t="str">
            <v>2010-Q2</v>
          </cell>
          <cell r="BF164" t="str">
            <v>2010-Q3</v>
          </cell>
          <cell r="BG164" t="str">
            <v>2010-Q4</v>
          </cell>
          <cell r="BH164" t="str">
            <v>2011-Q1</v>
          </cell>
          <cell r="BI164" t="str">
            <v>2011-Q2</v>
          </cell>
          <cell r="BJ164" t="str">
            <v>2011-Q3</v>
          </cell>
          <cell r="BK164" t="str">
            <v>2011-Q4</v>
          </cell>
          <cell r="BL164" t="str">
            <v>2012-Q1</v>
          </cell>
          <cell r="BM164" t="str">
            <v>2012-Q2</v>
          </cell>
          <cell r="BN164" t="str">
            <v>2012-Q3</v>
          </cell>
          <cell r="BO164" t="str">
            <v>2012-Q4</v>
          </cell>
          <cell r="BP164" t="str">
            <v>2013-Q1</v>
          </cell>
          <cell r="BQ164" t="str">
            <v>2013-Q2</v>
          </cell>
          <cell r="BR164" t="str">
            <v>2013-Q3</v>
          </cell>
          <cell r="BS164" t="str">
            <v>2013-Q4</v>
          </cell>
        </row>
      </sheetData>
      <sheetData sheetId="5" refreshError="1">
        <row r="2">
          <cell r="E2" t="str">
            <v>Mode:</v>
          </cell>
          <cell r="F2">
            <v>2</v>
          </cell>
        </row>
        <row r="3">
          <cell r="E3" t="str">
            <v>1 = Bull</v>
          </cell>
        </row>
        <row r="4">
          <cell r="E4" t="str">
            <v>2 = Base</v>
          </cell>
        </row>
        <row r="5">
          <cell r="E5" t="str">
            <v>3 = Bear</v>
          </cell>
        </row>
        <row r="6">
          <cell r="A6" t="str">
            <v>American Tower</v>
          </cell>
        </row>
        <row r="7">
          <cell r="A7" t="str">
            <v>Discounted Cash Flow Valuation</v>
          </cell>
        </row>
        <row r="8">
          <cell r="A8" t="str">
            <v>(All values in millions, except per-share amounts)</v>
          </cell>
        </row>
        <row r="9">
          <cell r="A9" t="str">
            <v>Terminal Growth Rate:</v>
          </cell>
          <cell r="B9">
            <v>3.5000000000000003E-2</v>
          </cell>
          <cell r="C9" t="str">
            <v>Disc. Rate:</v>
          </cell>
          <cell r="D9">
            <v>8.005000000000001E-2</v>
          </cell>
        </row>
        <row r="11">
          <cell r="A11" t="str">
            <v>Calendar Year Ending Dec. 31</v>
          </cell>
          <cell r="B11" t="str">
            <v>2010E</v>
          </cell>
          <cell r="C11" t="str">
            <v>2011E</v>
          </cell>
          <cell r="D11" t="str">
            <v>2012E</v>
          </cell>
          <cell r="E11" t="str">
            <v>2013E</v>
          </cell>
          <cell r="F11" t="str">
            <v>2014E</v>
          </cell>
          <cell r="G11" t="str">
            <v>2015E</v>
          </cell>
        </row>
        <row r="12">
          <cell r="A12" t="str">
            <v>Operating Cash Flow (EBITDA)</v>
          </cell>
          <cell r="B12">
            <v>1347.748</v>
          </cell>
          <cell r="C12">
            <v>1584.1703752296016</v>
          </cell>
          <cell r="D12">
            <v>1899.6846804226077</v>
          </cell>
          <cell r="E12">
            <v>2122.0781174777685</v>
          </cell>
          <cell r="F12">
            <v>2244.7461118657193</v>
          </cell>
          <cell r="G12">
            <v>2336.1055787614168</v>
          </cell>
        </row>
        <row r="13">
          <cell r="A13" t="str">
            <v>Tax Expense (38% of EBIT)</v>
          </cell>
          <cell r="B13">
            <v>-255.8073</v>
          </cell>
          <cell r="C13">
            <v>-288.05519714286049</v>
          </cell>
          <cell r="D13">
            <v>-433.68755547402435</v>
          </cell>
          <cell r="E13">
            <v>-505.88322907432331</v>
          </cell>
          <cell r="F13">
            <v>-558.7527033143956</v>
          </cell>
          <cell r="G13">
            <v>-591.01344531175027</v>
          </cell>
        </row>
        <row r="14">
          <cell r="A14" t="str">
            <v>Capital Expenditures and Acquisitions</v>
          </cell>
          <cell r="B14">
            <v>-1246.27</v>
          </cell>
          <cell r="C14">
            <v>-2716.8926528140773</v>
          </cell>
          <cell r="D14">
            <v>-828.46184825202045</v>
          </cell>
          <cell r="E14">
            <v>-449.81266773343339</v>
          </cell>
          <cell r="F14">
            <v>-422.2</v>
          </cell>
          <cell r="G14">
            <v>-432.5</v>
          </cell>
        </row>
        <row r="15">
          <cell r="A15" t="str">
            <v>Working Capital (1% of revenues)</v>
          </cell>
          <cell r="B15">
            <v>-19.853350000000002</v>
          </cell>
          <cell r="C15">
            <v>-24.424844406660487</v>
          </cell>
          <cell r="D15">
            <v>-29.114640299651196</v>
          </cell>
          <cell r="E15">
            <v>-32.276786398245726</v>
          </cell>
          <cell r="F15">
            <v>-33.885406501778917</v>
          </cell>
          <cell r="G15">
            <v>-35.267089335217506</v>
          </cell>
        </row>
        <row r="16">
          <cell r="B16" t="str">
            <v xml:space="preserve">_______ </v>
          </cell>
          <cell r="C16" t="str">
            <v xml:space="preserve">_______ </v>
          </cell>
          <cell r="D16" t="str">
            <v xml:space="preserve">_______ </v>
          </cell>
          <cell r="E16" t="str">
            <v xml:space="preserve">_______ </v>
          </cell>
          <cell r="F16" t="str">
            <v xml:space="preserve">_______ </v>
          </cell>
          <cell r="G16" t="str">
            <v xml:space="preserve">_______ </v>
          </cell>
        </row>
        <row r="17">
          <cell r="A17" t="str">
            <v>Unleveraged Free Cash Flow</v>
          </cell>
          <cell r="B17">
            <v>-174.18264999999988</v>
          </cell>
          <cell r="C17">
            <v>-1445.2023191339965</v>
          </cell>
          <cell r="D17">
            <v>608.42063639691173</v>
          </cell>
          <cell r="E17">
            <v>1134.1054342717662</v>
          </cell>
          <cell r="F17">
            <v>1229.9080020495446</v>
          </cell>
          <cell r="G17">
            <v>1277.3250441144492</v>
          </cell>
        </row>
        <row r="18">
          <cell r="A18" t="str">
            <v xml:space="preserve">  Year-over-Year Growth</v>
          </cell>
          <cell r="C18">
            <v>7.2970509355208311</v>
          </cell>
          <cell r="D18">
            <v>-1.4209933988768393</v>
          </cell>
          <cell r="E18">
            <v>0.86401539728826116</v>
          </cell>
          <cell r="F18">
            <v>8.4474128138972704E-2</v>
          </cell>
          <cell r="G18">
            <v>3.8553324302214254E-2</v>
          </cell>
        </row>
        <row r="20">
          <cell r="A20" t="str">
            <v>Discount Period</v>
          </cell>
          <cell r="B20">
            <v>0</v>
          </cell>
          <cell r="C20">
            <v>0.25</v>
          </cell>
          <cell r="D20">
            <v>1.25</v>
          </cell>
          <cell r="E20">
            <v>2.25</v>
          </cell>
          <cell r="F20">
            <v>3.25</v>
          </cell>
          <cell r="G20">
            <v>4.25</v>
          </cell>
        </row>
        <row r="21">
          <cell r="A21" t="str">
            <v>Discount Factor</v>
          </cell>
          <cell r="B21">
            <v>0</v>
          </cell>
          <cell r="C21">
            <v>0.98093229894158307</v>
          </cell>
          <cell r="D21">
            <v>0.90822859954778312</v>
          </cell>
          <cell r="E21">
            <v>0.84091347580925235</v>
          </cell>
          <cell r="F21">
            <v>0.77858754299268784</v>
          </cell>
          <cell r="G21">
            <v>0.72088101753871381</v>
          </cell>
        </row>
        <row r="22">
          <cell r="A22" t="str">
            <v xml:space="preserve">NPV of Future Cash Flows </v>
          </cell>
          <cell r="B22">
            <v>0</v>
          </cell>
          <cell r="C22">
            <v>-1417.6456333438186</v>
          </cell>
          <cell r="D22">
            <v>552.58502253073812</v>
          </cell>
          <cell r="E22">
            <v>953.68454266763251</v>
          </cell>
          <cell r="F22">
            <v>957.59104942280067</v>
          </cell>
          <cell r="G22">
            <v>920.79937752890658</v>
          </cell>
        </row>
        <row r="23">
          <cell r="A23" t="str">
            <v>Terminal Value</v>
          </cell>
          <cell r="G23">
            <v>29345.869492973467</v>
          </cell>
        </row>
        <row r="24">
          <cell r="A24" t="str">
            <v>NPV of Terminal Value</v>
          </cell>
          <cell r="G24">
            <v>21154.880260653012</v>
          </cell>
        </row>
        <row r="26">
          <cell r="A26" t="str">
            <v>12 Month Forward Target</v>
          </cell>
        </row>
        <row r="27">
          <cell r="A27" t="str">
            <v>Sum of NPV of Future Cash Flows</v>
          </cell>
          <cell r="B27">
            <v>1967.0143588062592</v>
          </cell>
          <cell r="D27" t="str">
            <v>WACC</v>
          </cell>
        </row>
        <row r="28">
          <cell r="A28" t="str">
            <v>NPV of Terminal Value</v>
          </cell>
          <cell r="B28">
            <v>21154.880260653012</v>
          </cell>
          <cell r="D28" t="str">
            <v>Cost of Debt</v>
          </cell>
          <cell r="E28">
            <v>4.2500000000000003E-2</v>
          </cell>
        </row>
        <row r="29">
          <cell r="A29" t="str">
            <v>Enterprise Value</v>
          </cell>
          <cell r="B29">
            <v>23121.894619459272</v>
          </cell>
          <cell r="D29" t="str">
            <v>Cost of Equity</v>
          </cell>
          <cell r="E29">
            <v>0.115</v>
          </cell>
        </row>
        <row r="30">
          <cell r="A30" t="str">
            <v>+ Projected Cash</v>
          </cell>
          <cell r="B30">
            <v>99.655808905667413</v>
          </cell>
          <cell r="D30" t="str">
            <v>Debt/Total Cap.</v>
          </cell>
          <cell r="E30">
            <v>0.4</v>
          </cell>
        </row>
        <row r="31">
          <cell r="A31" t="str">
            <v>- Projected Debt</v>
          </cell>
          <cell r="B31">
            <v>6752.3787507774987</v>
          </cell>
          <cell r="D31" t="str">
            <v>Tax Rate</v>
          </cell>
          <cell r="E31">
            <v>0.35</v>
          </cell>
        </row>
        <row r="32">
          <cell r="A32" t="str">
            <v>+ NPV of NOLs</v>
          </cell>
          <cell r="B32">
            <v>395.04894552788988</v>
          </cell>
          <cell r="D32" t="str">
            <v>WACC</v>
          </cell>
          <cell r="E32">
            <v>8.005000000000001E-2</v>
          </cell>
        </row>
        <row r="33">
          <cell r="A33" t="str">
            <v>Equity Value</v>
          </cell>
          <cell r="B33">
            <v>16864.220623115332</v>
          </cell>
        </row>
        <row r="34">
          <cell r="A34" t="str">
            <v>Value per Share</v>
          </cell>
          <cell r="B34">
            <v>42.411806975575281</v>
          </cell>
          <cell r="D34" t="str">
            <v>Terminal Growth Rate</v>
          </cell>
        </row>
        <row r="35">
          <cell r="A35" t="str">
            <v>Current Share Price</v>
          </cell>
          <cell r="B35" t="e">
            <v>#NAME?</v>
          </cell>
          <cell r="D35" t="str">
            <v>Bull</v>
          </cell>
          <cell r="E35">
            <v>3.7000000000000005E-2</v>
          </cell>
        </row>
        <row r="36">
          <cell r="A36" t="str">
            <v>Diluted Shares</v>
          </cell>
          <cell r="B36">
            <v>397.63032574460556</v>
          </cell>
          <cell r="D36" t="str">
            <v>Base</v>
          </cell>
          <cell r="E36">
            <v>3.5000000000000003E-2</v>
          </cell>
        </row>
        <row r="37">
          <cell r="D37" t="str">
            <v>Bear</v>
          </cell>
          <cell r="E37">
            <v>3.3000000000000002E-2</v>
          </cell>
        </row>
        <row r="39">
          <cell r="A39" t="str">
            <v>Multiples Analysis</v>
          </cell>
          <cell r="B39" t="str">
            <v>2009</v>
          </cell>
          <cell r="C39" t="str">
            <v>2010E</v>
          </cell>
          <cell r="D39" t="str">
            <v>2011E</v>
          </cell>
          <cell r="E39" t="str">
            <v>2012E</v>
          </cell>
          <cell r="F39" t="str">
            <v>2013E</v>
          </cell>
          <cell r="G39" t="str">
            <v>2014E</v>
          </cell>
          <cell r="H39" t="str">
            <v>2015E</v>
          </cell>
        </row>
        <row r="40">
          <cell r="A40" t="str">
            <v>Projected EBITDA</v>
          </cell>
          <cell r="B40">
            <v>1180.9250000000002</v>
          </cell>
          <cell r="C40">
            <v>1347.748</v>
          </cell>
          <cell r="D40">
            <v>1584.1703752296016</v>
          </cell>
          <cell r="E40">
            <v>1899.6846804226077</v>
          </cell>
          <cell r="F40">
            <v>2122.0781174777685</v>
          </cell>
          <cell r="G40">
            <v>2244.7461118657193</v>
          </cell>
          <cell r="H40">
            <v>2336.1055787614168</v>
          </cell>
          <cell r="I40">
            <v>2452.9108576994877</v>
          </cell>
          <cell r="J40">
            <v>2563.2918462959647</v>
          </cell>
          <cell r="K40">
            <v>2665.8235201478033</v>
          </cell>
        </row>
        <row r="41">
          <cell r="A41" t="str">
            <v xml:space="preserve">  Year-over-Year Growth</v>
          </cell>
          <cell r="C41">
            <v>0.14126468658043478</v>
          </cell>
          <cell r="D41">
            <v>0.17542031242457901</v>
          </cell>
          <cell r="E41">
            <v>0.19916690156971084</v>
          </cell>
          <cell r="F41">
            <v>0.11706860583077749</v>
          </cell>
          <cell r="G41">
            <v>5.7805597907842232E-2</v>
          </cell>
          <cell r="H41">
            <v>4.0699242739645092E-2</v>
          </cell>
          <cell r="I41">
            <v>0.05</v>
          </cell>
          <cell r="J41">
            <v>4.4999999999999998E-2</v>
          </cell>
          <cell r="K41">
            <v>0.04</v>
          </cell>
        </row>
        <row r="42">
          <cell r="A42" t="str">
            <v>1-yr Forward EBITDA Multiple</v>
          </cell>
          <cell r="B42">
            <v>17.155948010651301</v>
          </cell>
          <cell r="C42">
            <v>14.595585791148316</v>
          </cell>
          <cell r="D42">
            <v>12.171438164314473</v>
          </cell>
          <cell r="E42">
            <v>10.895873450191921</v>
          </cell>
          <cell r="F42">
            <v>10.300449791286875</v>
          </cell>
          <cell r="G42">
            <v>9.8976239899732192</v>
          </cell>
          <cell r="H42">
            <v>9.4263085618792566</v>
          </cell>
        </row>
        <row r="43">
          <cell r="A43" t="str">
            <v>EBITDA Multiple</v>
          </cell>
          <cell r="B43">
            <v>19.579477629366192</v>
          </cell>
          <cell r="C43">
            <v>17.155948010651301</v>
          </cell>
          <cell r="D43">
            <v>14.595585791148316</v>
          </cell>
          <cell r="E43">
            <v>12.171438164314473</v>
          </cell>
          <cell r="F43">
            <v>10.895873450191921</v>
          </cell>
          <cell r="G43">
            <v>10.300449791286875</v>
          </cell>
          <cell r="H43">
            <v>9.8976239899732192</v>
          </cell>
        </row>
        <row r="44">
          <cell r="A44" t="str">
            <v xml:space="preserve">   3-Year Forward Growth</v>
          </cell>
          <cell r="B44">
            <v>0.17170891587292036</v>
          </cell>
          <cell r="C44">
            <v>0.16336918728373018</v>
          </cell>
          <cell r="D44">
            <v>0.12319487586847311</v>
          </cell>
          <cell r="E44">
            <v>7.136383450717787E-2</v>
          </cell>
          <cell r="F44">
            <v>4.9478307414035028E-2</v>
          </cell>
          <cell r="G44">
            <v>4.5226172696424261E-2</v>
          </cell>
          <cell r="H44">
            <v>4.4992025457486706E-2</v>
          </cell>
        </row>
        <row r="46">
          <cell r="A46" t="str">
            <v>Projected EPS</v>
          </cell>
          <cell r="B46">
            <v>0.58690619615529671</v>
          </cell>
          <cell r="C46">
            <v>0.92378357693632085</v>
          </cell>
          <cell r="D46">
            <v>0.74577264527285414</v>
          </cell>
          <cell r="E46">
            <v>2.0515423137227429</v>
          </cell>
          <cell r="F46">
            <v>2.5341041746470681</v>
          </cell>
          <cell r="G46">
            <v>2.7907067766734275</v>
          </cell>
          <cell r="H46">
            <v>3.0101002061286266</v>
          </cell>
        </row>
        <row r="47">
          <cell r="A47" t="str">
            <v>Price-to-Earnings</v>
          </cell>
          <cell r="B47" t="e">
            <v>#NAME?</v>
          </cell>
          <cell r="C47" t="e">
            <v>#NAME?</v>
          </cell>
          <cell r="D47" t="e">
            <v>#NAME?</v>
          </cell>
          <cell r="E47" t="e">
            <v>#NAME?</v>
          </cell>
          <cell r="F47" t="e">
            <v>#NAME?</v>
          </cell>
          <cell r="G47" t="e">
            <v>#NAME?</v>
          </cell>
          <cell r="H47" t="e">
            <v>#NAME?</v>
          </cell>
        </row>
        <row r="49">
          <cell r="A49" t="str">
            <v>Free Cash Flow Excl. Acquis. / Builds</v>
          </cell>
          <cell r="B49">
            <v>851.99900000000002</v>
          </cell>
          <cell r="C49">
            <v>1027.3646999999999</v>
          </cell>
          <cell r="D49">
            <v>1138.243692702101</v>
          </cell>
          <cell r="E49">
            <v>1505.8661910480446</v>
          </cell>
          <cell r="F49">
            <v>1738.0251350037377</v>
          </cell>
          <cell r="G49">
            <v>1832.2841086533676</v>
          </cell>
          <cell r="H49">
            <v>1930.2886886100368</v>
          </cell>
          <cell r="I49">
            <v>2104.0146705849402</v>
          </cell>
          <cell r="J49">
            <v>2282.8559175846599</v>
          </cell>
          <cell r="K49">
            <v>2465.484390991433</v>
          </cell>
        </row>
        <row r="50">
          <cell r="A50" t="str">
            <v xml:space="preserve">  Year-over-Year Growth</v>
          </cell>
          <cell r="C50">
            <v>0.20582852796775564</v>
          </cell>
          <cell r="D50">
            <v>0.1079256399427595</v>
          </cell>
          <cell r="E50">
            <v>0.32297345524773924</v>
          </cell>
          <cell r="F50">
            <v>0.15416970334802205</v>
          </cell>
          <cell r="G50">
            <v>5.4233377729273835E-2</v>
          </cell>
          <cell r="H50">
            <v>5.3487654831377407E-2</v>
          </cell>
          <cell r="I50">
            <v>0.09</v>
          </cell>
          <cell r="J50">
            <v>8.5000000000000006E-2</v>
          </cell>
          <cell r="K50">
            <v>0.08</v>
          </cell>
        </row>
        <row r="51">
          <cell r="A51" t="str">
            <v>1-yr Forward FCF Multiple</v>
          </cell>
          <cell r="B51">
            <v>16.415028298242419</v>
          </cell>
          <cell r="C51">
            <v>14.816001820384349</v>
          </cell>
          <cell r="D51">
            <v>11.199016701064432</v>
          </cell>
          <cell r="E51">
            <v>9.703093633958904</v>
          </cell>
          <cell r="F51">
            <v>9.203933245652415</v>
          </cell>
          <cell r="G51">
            <v>8.7366313249542618</v>
          </cell>
          <cell r="H51">
            <v>8.0152580962883135</v>
          </cell>
        </row>
        <row r="52">
          <cell r="A52" t="str">
            <v>Free Cash Flow Multiple</v>
          </cell>
          <cell r="B52">
            <v>19.79370940941871</v>
          </cell>
          <cell r="C52">
            <v>16.415028298242419</v>
          </cell>
          <cell r="D52">
            <v>14.816001820384349</v>
          </cell>
          <cell r="E52">
            <v>11.199016701064432</v>
          </cell>
          <cell r="F52">
            <v>9.703093633958904</v>
          </cell>
          <cell r="G52">
            <v>9.203933245652415</v>
          </cell>
          <cell r="H52">
            <v>8.7366313249542618</v>
          </cell>
        </row>
        <row r="53">
          <cell r="A53" t="str">
            <v xml:space="preserve">   3-Year Forward Growth</v>
          </cell>
          <cell r="B53">
            <v>0.20906346845497437</v>
          </cell>
          <cell r="C53">
            <v>0.19154506187698206</v>
          </cell>
          <cell r="D53">
            <v>0.1719772665116841</v>
          </cell>
          <cell r="E53">
            <v>8.6288781144165272E-2</v>
          </cell>
          <cell r="F53">
            <v>6.5771829912251389E-2</v>
          </cell>
          <cell r="G53">
            <v>7.6040362939322703E-2</v>
          </cell>
          <cell r="H53">
            <v>8.4992319454079368E-2</v>
          </cell>
        </row>
        <row r="57">
          <cell r="A57" t="str">
            <v>NPV of NOL Usage</v>
          </cell>
          <cell r="B57" t="str">
            <v>2009E</v>
          </cell>
          <cell r="C57" t="str">
            <v>2010E</v>
          </cell>
          <cell r="D57" t="str">
            <v>2011E</v>
          </cell>
          <cell r="E57" t="str">
            <v>2012E</v>
          </cell>
          <cell r="F57" t="str">
            <v>2013E</v>
          </cell>
          <cell r="G57" t="str">
            <v>2014E</v>
          </cell>
          <cell r="H57" t="str">
            <v>2015E</v>
          </cell>
        </row>
        <row r="58">
          <cell r="A58" t="str">
            <v>NOL Usage</v>
          </cell>
          <cell r="C58">
            <v>43.361039999999981</v>
          </cell>
          <cell r="D58">
            <v>75.090659999999986</v>
          </cell>
          <cell r="E58">
            <v>117.8</v>
          </cell>
          <cell r="F58">
            <v>164.54</v>
          </cell>
          <cell r="G58">
            <v>97.66</v>
          </cell>
          <cell r="H58">
            <v>0</v>
          </cell>
        </row>
        <row r="59">
          <cell r="A59" t="str">
            <v>Discount Period</v>
          </cell>
          <cell r="C59">
            <v>0</v>
          </cell>
          <cell r="D59">
            <v>0.25</v>
          </cell>
          <cell r="E59">
            <v>1.25</v>
          </cell>
          <cell r="F59">
            <v>2.25</v>
          </cell>
          <cell r="G59">
            <v>3.25</v>
          </cell>
          <cell r="H59">
            <v>4.25</v>
          </cell>
        </row>
        <row r="60">
          <cell r="A60" t="str">
            <v>Discount Factor</v>
          </cell>
          <cell r="C60">
            <v>1</v>
          </cell>
          <cell r="D60">
            <v>0.98093229894158307</v>
          </cell>
          <cell r="E60">
            <v>0.90822859954778312</v>
          </cell>
          <cell r="F60">
            <v>0.84091347580925235</v>
          </cell>
          <cell r="G60">
            <v>0.77858754299268784</v>
          </cell>
          <cell r="H60">
            <v>0.72088101753871381</v>
          </cell>
        </row>
        <row r="61">
          <cell r="A61" t="str">
            <v xml:space="preserve">NPV of Future Cash Flows </v>
          </cell>
          <cell r="C61">
            <v>43.361039999999981</v>
          </cell>
          <cell r="D61">
            <v>73.658853742840762</v>
          </cell>
          <cell r="E61">
            <v>106.98932902672885</v>
          </cell>
          <cell r="F61">
            <v>138.36390330965438</v>
          </cell>
          <cell r="G61">
            <v>76.036859448665894</v>
          </cell>
          <cell r="H61">
            <v>0</v>
          </cell>
        </row>
        <row r="68">
          <cell r="A68" t="str">
            <v>American Tower</v>
          </cell>
        </row>
        <row r="72">
          <cell r="B72" t="str">
            <v>Date</v>
          </cell>
          <cell r="C72" t="str">
            <v>Shares</v>
          </cell>
          <cell r="E72" t="str">
            <v>Exercise</v>
          </cell>
          <cell r="F72" t="str">
            <v>Proceeds</v>
          </cell>
        </row>
        <row r="73">
          <cell r="A73" t="str">
            <v>Total Shares Outstanding</v>
          </cell>
          <cell r="B73">
            <v>39654</v>
          </cell>
          <cell r="C73">
            <v>393.94201299999997</v>
          </cell>
        </row>
        <row r="74">
          <cell r="A74" t="str">
            <v>Outstanding Options</v>
          </cell>
          <cell r="B74">
            <v>39447</v>
          </cell>
          <cell r="C74">
            <v>17.392582999999998</v>
          </cell>
          <cell r="E74">
            <v>26.42</v>
          </cell>
          <cell r="F74">
            <v>459.51204286000001</v>
          </cell>
        </row>
        <row r="75">
          <cell r="A75" t="str">
            <v>Convert - 3.25%</v>
          </cell>
          <cell r="B75">
            <v>39447</v>
          </cell>
          <cell r="C75">
            <v>1.4974890000000001</v>
          </cell>
          <cell r="E75">
            <v>12.2</v>
          </cell>
          <cell r="F75">
            <v>18.269365799999999</v>
          </cell>
        </row>
        <row r="76">
          <cell r="A76" t="str">
            <v>Warrants</v>
          </cell>
          <cell r="B76">
            <v>39447</v>
          </cell>
          <cell r="C76">
            <v>2</v>
          </cell>
          <cell r="E76">
            <v>32</v>
          </cell>
          <cell r="F76">
            <v>64</v>
          </cell>
        </row>
        <row r="77">
          <cell r="A77" t="str">
            <v>Convert - 3.00%</v>
          </cell>
          <cell r="B77">
            <v>39447</v>
          </cell>
          <cell r="C77">
            <v>16.464988000000002</v>
          </cell>
          <cell r="E77">
            <v>20.5</v>
          </cell>
          <cell r="F77">
            <v>337.53225400000002</v>
          </cell>
        </row>
        <row r="78">
          <cell r="A78" t="str">
            <v>Convert - 5.00%</v>
          </cell>
          <cell r="B78">
            <v>39447</v>
          </cell>
          <cell r="C78">
            <v>1.1601199999999998</v>
          </cell>
        </row>
        <row r="79">
          <cell r="C79" t="str">
            <v xml:space="preserve">_______  </v>
          </cell>
          <cell r="F79" t="str">
            <v xml:space="preserve">_______  </v>
          </cell>
        </row>
        <row r="80">
          <cell r="A80" t="str">
            <v>Total</v>
          </cell>
          <cell r="C80">
            <v>432.45719299999996</v>
          </cell>
          <cell r="F80">
            <v>879.31366266000009</v>
          </cell>
        </row>
      </sheetData>
      <sheetData sheetId="6" refreshError="1">
        <row r="1">
          <cell r="A1" t="str">
            <v>American Tower</v>
          </cell>
        </row>
        <row r="2">
          <cell r="A2" t="str">
            <v>Operating Lease Module</v>
          </cell>
        </row>
        <row r="3">
          <cell r="D3" t="str">
            <v>2004A</v>
          </cell>
          <cell r="E3" t="str">
            <v>2005A</v>
          </cell>
          <cell r="F3" t="str">
            <v>2006A</v>
          </cell>
          <cell r="G3" t="str">
            <v>2007A</v>
          </cell>
          <cell r="H3" t="str">
            <v>2008A</v>
          </cell>
          <cell r="I3" t="str">
            <v>2009A</v>
          </cell>
          <cell r="J3" t="str">
            <v>2010A</v>
          </cell>
          <cell r="K3" t="str">
            <v>2011E</v>
          </cell>
          <cell r="L3" t="str">
            <v>2012E</v>
          </cell>
          <cell r="M3" t="str">
            <v>2013E</v>
          </cell>
          <cell r="N3" t="str">
            <v>2014E</v>
          </cell>
          <cell r="O3" t="str">
            <v>2015E</v>
          </cell>
          <cell r="P3" t="str">
            <v>2016E</v>
          </cell>
          <cell r="Q3" t="str">
            <v>2017E</v>
          </cell>
          <cell r="R3" t="str">
            <v>2018E</v>
          </cell>
          <cell r="S3" t="str">
            <v>2019E</v>
          </cell>
          <cell r="T3" t="str">
            <v>2020E</v>
          </cell>
          <cell r="U3" t="str">
            <v>2021E</v>
          </cell>
        </row>
        <row r="5">
          <cell r="B5" t="str">
            <v>Adjustment to Income Statement</v>
          </cell>
        </row>
        <row r="6">
          <cell r="B6" t="str">
            <v>Reverse Rent Payment</v>
          </cell>
          <cell r="D6">
            <v>118.741</v>
          </cell>
          <cell r="E6">
            <v>168.67</v>
          </cell>
          <cell r="F6">
            <v>237</v>
          </cell>
          <cell r="G6">
            <v>246.4</v>
          </cell>
          <cell r="H6">
            <v>263.89999999999998</v>
          </cell>
          <cell r="I6">
            <v>275.10000000000002</v>
          </cell>
          <cell r="J6">
            <v>300</v>
          </cell>
          <cell r="K6">
            <v>326.40376226826606</v>
          </cell>
          <cell r="L6">
            <v>354.31537733725844</v>
          </cell>
          <cell r="M6">
            <v>383.72799708791865</v>
          </cell>
          <cell r="N6">
            <v>414.62291314571689</v>
          </cell>
          <cell r="O6">
            <v>446.96870011317787</v>
          </cell>
          <cell r="P6">
            <v>480.7204423589107</v>
          </cell>
          <cell r="Q6">
            <v>515.81906331532832</v>
          </cell>
          <cell r="R6">
            <v>552.19077611136879</v>
          </cell>
          <cell r="S6">
            <v>589.74667385305452</v>
          </cell>
          <cell r="T6">
            <v>628.38247694108304</v>
          </cell>
          <cell r="U6">
            <v>667.97845346654435</v>
          </cell>
        </row>
        <row r="7">
          <cell r="B7" t="str">
            <v>Add Implied Depreciation Expense</v>
          </cell>
          <cell r="D7">
            <v>-98.902357379510306</v>
          </cell>
          <cell r="E7">
            <v>-124.37579057789004</v>
          </cell>
          <cell r="F7">
            <v>-125.08796507740951</v>
          </cell>
          <cell r="G7">
            <v>-123.83399808660613</v>
          </cell>
          <cell r="H7">
            <v>-138.17761631621579</v>
          </cell>
          <cell r="I7">
            <v>-146.38733948391678</v>
          </cell>
          <cell r="J7">
            <v>-158.92180282020408</v>
          </cell>
          <cell r="K7">
            <v>-180.34046033708228</v>
          </cell>
          <cell r="L7">
            <v>-207.56910629547056</v>
          </cell>
          <cell r="M7">
            <v>-235.38295026312267</v>
          </cell>
          <cell r="N7">
            <v>-264.42037656033506</v>
          </cell>
          <cell r="O7">
            <v>-296.05590089173205</v>
          </cell>
          <cell r="P7">
            <v>-328.30360401347343</v>
          </cell>
          <cell r="Q7">
            <v>-362.77840576392549</v>
          </cell>
          <cell r="R7">
            <v>-399.4309312183413</v>
          </cell>
          <cell r="S7">
            <v>-438.20485396042665</v>
          </cell>
          <cell r="T7">
            <v>-479.03547579267655</v>
          </cell>
          <cell r="U7">
            <v>-523.6222824171175</v>
          </cell>
        </row>
        <row r="8">
          <cell r="B8" t="str">
            <v>Net Increase/(Decrease) to Operating Income</v>
          </cell>
          <cell r="D8">
            <v>19.838642620489694</v>
          </cell>
          <cell r="E8">
            <v>44.294209422109944</v>
          </cell>
          <cell r="F8">
            <v>111.91203492259049</v>
          </cell>
          <cell r="G8">
            <v>122.56600191339388</v>
          </cell>
          <cell r="H8">
            <v>125.72238368378419</v>
          </cell>
          <cell r="I8">
            <v>128.71266051608325</v>
          </cell>
          <cell r="J8">
            <v>141.07819717979592</v>
          </cell>
          <cell r="K8">
            <v>146.06330193118379</v>
          </cell>
          <cell r="L8">
            <v>146.74627104178788</v>
          </cell>
          <cell r="M8">
            <v>148.34504682479599</v>
          </cell>
          <cell r="N8">
            <v>150.20253658538184</v>
          </cell>
          <cell r="O8">
            <v>150.91279922144582</v>
          </cell>
          <cell r="P8">
            <v>152.41683834543727</v>
          </cell>
          <cell r="Q8">
            <v>153.04065755140283</v>
          </cell>
          <cell r="R8">
            <v>152.75984489302749</v>
          </cell>
          <cell r="S8">
            <v>151.54181989262787</v>
          </cell>
          <cell r="T8">
            <v>149.34700114840649</v>
          </cell>
          <cell r="U8">
            <v>144.35617104942685</v>
          </cell>
        </row>
        <row r="10">
          <cell r="B10" t="str">
            <v>Add Estimated Interest Expense</v>
          </cell>
          <cell r="D10">
            <v>0</v>
          </cell>
          <cell r="E10">
            <v>-138.84891230610134</v>
          </cell>
          <cell r="F10">
            <v>-160.27872940513501</v>
          </cell>
          <cell r="G10">
            <v>-162.15484125856389</v>
          </cell>
          <cell r="H10">
            <v>-177.52821028091611</v>
          </cell>
          <cell r="I10">
            <v>-184.30124203078685</v>
          </cell>
          <cell r="J10">
            <v>-194.44509485627711</v>
          </cell>
          <cell r="K10">
            <v>-207.64628379266355</v>
          </cell>
          <cell r="L10">
            <v>-218.63276289281259</v>
          </cell>
          <cell r="M10">
            <v>-231.93286756959651</v>
          </cell>
          <cell r="N10">
            <v>-247.29249602066477</v>
          </cell>
          <cell r="O10">
            <v>-263.41477457528686</v>
          </cell>
          <cell r="P10">
            <v>-281.70783478780191</v>
          </cell>
          <cell r="Q10">
            <v>-300.91913880130136</v>
          </cell>
          <cell r="R10">
            <v>-320.87670676528205</v>
          </cell>
          <cell r="S10">
            <v>-341.53359026649576</v>
          </cell>
          <cell r="T10">
            <v>-362.83477753552808</v>
          </cell>
          <cell r="U10">
            <v>-384.71704296585875</v>
          </cell>
        </row>
        <row r="11">
          <cell r="B11" t="str">
            <v>Net Increase/(Decrease) to Pre-tax Income</v>
          </cell>
          <cell r="D11">
            <v>19.838642620489694</v>
          </cell>
          <cell r="E11">
            <v>-94.554702883991396</v>
          </cell>
          <cell r="F11">
            <v>-48.366694482544517</v>
          </cell>
          <cell r="G11">
            <v>-39.588839345170015</v>
          </cell>
          <cell r="H11">
            <v>-51.805826597131926</v>
          </cell>
          <cell r="I11">
            <v>-55.588581514703606</v>
          </cell>
          <cell r="J11">
            <v>-53.366897676481187</v>
          </cell>
          <cell r="K11">
            <v>-61.582981861479766</v>
          </cell>
          <cell r="L11">
            <v>-71.886491851024715</v>
          </cell>
          <cell r="M11">
            <v>-83.587820744800524</v>
          </cell>
          <cell r="N11">
            <v>-97.089959435282935</v>
          </cell>
          <cell r="O11">
            <v>-112.50197535384103</v>
          </cell>
          <cell r="P11">
            <v>-129.29099644236464</v>
          </cell>
          <cell r="Q11">
            <v>-147.87848124989853</v>
          </cell>
          <cell r="R11">
            <v>-168.11686187225456</v>
          </cell>
          <cell r="S11">
            <v>-189.99177037386789</v>
          </cell>
          <cell r="T11">
            <v>-213.48777638712158</v>
          </cell>
          <cell r="U11">
            <v>-240.3608719164319</v>
          </cell>
        </row>
        <row r="13">
          <cell r="B13" t="str">
            <v>Principal Paid</v>
          </cell>
          <cell r="D13">
            <v>118.741</v>
          </cell>
          <cell r="E13">
            <v>29.821087693898647</v>
          </cell>
          <cell r="F13">
            <v>76.72127059486499</v>
          </cell>
          <cell r="G13">
            <v>84.245158741436114</v>
          </cell>
          <cell r="H13">
            <v>86.371789719083864</v>
          </cell>
          <cell r="I13">
            <v>90.79875796921317</v>
          </cell>
          <cell r="J13">
            <v>105.55490514372289</v>
          </cell>
          <cell r="K13">
            <v>118.75747847560251</v>
          </cell>
          <cell r="L13">
            <v>135.68261444444585</v>
          </cell>
          <cell r="M13">
            <v>151.79512951832214</v>
          </cell>
          <cell r="N13">
            <v>167.33041712505212</v>
          </cell>
          <cell r="O13">
            <v>183.55392553789102</v>
          </cell>
          <cell r="P13">
            <v>199.01260757110879</v>
          </cell>
          <cell r="Q13">
            <v>214.89992451402696</v>
          </cell>
          <cell r="R13">
            <v>231.31406934608674</v>
          </cell>
          <cell r="S13">
            <v>248.21308358655875</v>
          </cell>
          <cell r="T13">
            <v>265.54769940555497</v>
          </cell>
          <cell r="U13">
            <v>283.2614105006856</v>
          </cell>
        </row>
        <row r="15">
          <cell r="B15" t="str">
            <v>FIXED ASSET SCHEDULE</v>
          </cell>
          <cell r="D15" t="str">
            <v>2004A</v>
          </cell>
          <cell r="E15" t="str">
            <v>2005A</v>
          </cell>
          <cell r="F15" t="str">
            <v>2006A</v>
          </cell>
          <cell r="G15" t="str">
            <v>2007A</v>
          </cell>
          <cell r="H15" t="str">
            <v>2008A</v>
          </cell>
          <cell r="I15" t="str">
            <v>2009A</v>
          </cell>
          <cell r="J15" t="str">
            <v>2010A</v>
          </cell>
          <cell r="K15" t="str">
            <v>2011E</v>
          </cell>
          <cell r="L15" t="str">
            <v>2012E</v>
          </cell>
          <cell r="M15" t="str">
            <v>2013E</v>
          </cell>
          <cell r="N15" t="str">
            <v>2014E</v>
          </cell>
          <cell r="O15" t="str">
            <v>2015E</v>
          </cell>
          <cell r="P15" t="str">
            <v>2016E</v>
          </cell>
          <cell r="Q15" t="str">
            <v>2017E</v>
          </cell>
          <cell r="R15" t="str">
            <v>2018E</v>
          </cell>
          <cell r="S15" t="str">
            <v>2019E</v>
          </cell>
          <cell r="T15" t="str">
            <v>2020E</v>
          </cell>
          <cell r="U15" t="str">
            <v>2021E</v>
          </cell>
        </row>
        <row r="16">
          <cell r="B16" t="str">
            <v>Beginning Cost of Leased Assets</v>
          </cell>
          <cell r="E16">
            <v>978.4550009077883</v>
          </cell>
          <cell r="F16">
            <v>1558.0073783555965</v>
          </cell>
          <cell r="G16">
            <v>1631.7081144035112</v>
          </cell>
          <cell r="H16">
            <v>1641.8659636714533</v>
          </cell>
          <cell r="I16">
            <v>978.4550009077883</v>
          </cell>
          <cell r="J16">
            <v>1084.8385169815699</v>
          </cell>
          <cell r="K16">
            <v>1214.4975718260325</v>
          </cell>
          <cell r="L16">
            <v>1447.5888161979542</v>
          </cell>
          <cell r="M16">
            <v>1732.4919818668161</v>
          </cell>
          <cell r="N16">
            <v>1989.6298876942599</v>
          </cell>
          <cell r="O16">
            <v>2228.6515982499495</v>
          </cell>
          <cell r="P16">
            <v>2469.0040057279125</v>
          </cell>
          <cell r="Q16">
            <v>2680.4176481509994</v>
          </cell>
          <cell r="R16">
            <v>2886.1882069713333</v>
          </cell>
          <cell r="S16">
            <v>3084.022975803915</v>
          </cell>
          <cell r="T16">
            <v>3271.5016941917893</v>
          </cell>
          <cell r="U16">
            <v>3446.0723746794361</v>
          </cell>
        </row>
        <row r="17">
          <cell r="B17" t="str">
            <v xml:space="preserve">Additions </v>
          </cell>
          <cell r="E17">
            <v>703.92816802569837</v>
          </cell>
          <cell r="F17">
            <v>198.78870112532414</v>
          </cell>
          <cell r="G17">
            <v>133.9918473545483</v>
          </cell>
          <cell r="H17">
            <v>406.30828465347446</v>
          </cell>
          <cell r="I17">
            <v>252.77085555769847</v>
          </cell>
          <cell r="J17">
            <v>288.58085766466667</v>
          </cell>
          <cell r="K17">
            <v>413.43170470900401</v>
          </cell>
          <cell r="L17">
            <v>492.47227196433255</v>
          </cell>
          <cell r="M17">
            <v>492.52085609056655</v>
          </cell>
          <cell r="N17">
            <v>503.4420871160246</v>
          </cell>
          <cell r="O17">
            <v>536.40830836969508</v>
          </cell>
          <cell r="P17">
            <v>539.71724643656034</v>
          </cell>
          <cell r="Q17">
            <v>568.54896458425958</v>
          </cell>
          <cell r="R17">
            <v>597.26570005092321</v>
          </cell>
          <cell r="S17">
            <v>625.68357234830069</v>
          </cell>
          <cell r="T17">
            <v>653.60615628032349</v>
          </cell>
          <cell r="U17">
            <v>680.83171012678611</v>
          </cell>
        </row>
        <row r="18">
          <cell r="B18" t="str">
            <v>Current year charge</v>
          </cell>
          <cell r="D18">
            <v>-98.902357379510306</v>
          </cell>
          <cell r="E18">
            <v>-124.37579057789004</v>
          </cell>
          <cell r="F18">
            <v>-125.08796507740951</v>
          </cell>
          <cell r="G18">
            <v>-123.83399808660613</v>
          </cell>
          <cell r="H18">
            <v>-138.17761631621579</v>
          </cell>
          <cell r="I18">
            <v>-146.38733948391678</v>
          </cell>
          <cell r="J18">
            <v>-158.92180282020408</v>
          </cell>
          <cell r="K18">
            <v>-180.34046033708228</v>
          </cell>
          <cell r="L18">
            <v>-207.56910629547056</v>
          </cell>
          <cell r="M18">
            <v>-235.38295026312267</v>
          </cell>
          <cell r="N18">
            <v>-264.42037656033506</v>
          </cell>
          <cell r="O18">
            <v>-296.05590089173205</v>
          </cell>
          <cell r="P18">
            <v>-328.30360401347343</v>
          </cell>
          <cell r="Q18">
            <v>-362.77840576392549</v>
          </cell>
          <cell r="R18">
            <v>-399.4309312183413</v>
          </cell>
          <cell r="S18">
            <v>-438.20485396042665</v>
          </cell>
          <cell r="T18">
            <v>-479.03547579267655</v>
          </cell>
          <cell r="U18">
            <v>-523.6222824171175</v>
          </cell>
        </row>
        <row r="19">
          <cell r="B19" t="str">
            <v>Closing Cost of Lease Assets</v>
          </cell>
          <cell r="D19">
            <v>978.4550009077883</v>
          </cell>
          <cell r="E19">
            <v>1558.0073783555965</v>
          </cell>
          <cell r="F19">
            <v>1631.7081144035112</v>
          </cell>
          <cell r="G19">
            <v>1641.8659636714533</v>
          </cell>
          <cell r="H19">
            <v>1909.9966320087119</v>
          </cell>
          <cell r="I19">
            <v>1084.8385169815699</v>
          </cell>
          <cell r="J19">
            <v>1214.4975718260325</v>
          </cell>
          <cell r="K19">
            <v>1447.5888161979542</v>
          </cell>
          <cell r="L19">
            <v>1732.4919818668161</v>
          </cell>
          <cell r="M19">
            <v>1989.6298876942599</v>
          </cell>
          <cell r="N19">
            <v>2228.6515982499495</v>
          </cell>
          <cell r="O19">
            <v>2469.0040057279125</v>
          </cell>
          <cell r="P19">
            <v>2680.4176481509994</v>
          </cell>
          <cell r="Q19">
            <v>2886.1882069713333</v>
          </cell>
          <cell r="R19">
            <v>3084.022975803915</v>
          </cell>
          <cell r="S19">
            <v>3271.5016941917893</v>
          </cell>
          <cell r="T19">
            <v>3446.0723746794361</v>
          </cell>
          <cell r="U19">
            <v>3603.281802389105</v>
          </cell>
        </row>
        <row r="21">
          <cell r="B21" t="str">
            <v>Carying Value of Assets Held Under Operating Leases</v>
          </cell>
          <cell r="D21">
            <v>978.4550009077883</v>
          </cell>
          <cell r="E21">
            <v>1558.0073783555965</v>
          </cell>
          <cell r="F21">
            <v>1631.7081144035112</v>
          </cell>
          <cell r="G21">
            <v>1641.8659636714533</v>
          </cell>
          <cell r="H21">
            <v>1909.9966320087119</v>
          </cell>
          <cell r="I21">
            <v>1084.8385169815699</v>
          </cell>
          <cell r="J21">
            <v>1214.4975718260325</v>
          </cell>
          <cell r="K21">
            <v>1447.5888161979542</v>
          </cell>
          <cell r="L21">
            <v>1732.4919818668161</v>
          </cell>
          <cell r="M21">
            <v>1989.6298876942599</v>
          </cell>
          <cell r="N21">
            <v>2228.6515982499495</v>
          </cell>
          <cell r="O21">
            <v>2469.0040057279125</v>
          </cell>
          <cell r="P21">
            <v>2680.4176481509994</v>
          </cell>
          <cell r="Q21">
            <v>2886.1882069713333</v>
          </cell>
          <cell r="R21">
            <v>3084.022975803915</v>
          </cell>
          <cell r="S21">
            <v>3271.5016941917893</v>
          </cell>
          <cell r="T21">
            <v>3446.0723746794361</v>
          </cell>
          <cell r="U21">
            <v>3603.281802389105</v>
          </cell>
        </row>
        <row r="22">
          <cell r="B22" t="str">
            <v>Ratio of carrying value to oustanding debt value for take on balance</v>
          </cell>
          <cell r="D22">
            <v>0.93</v>
          </cell>
        </row>
        <row r="24">
          <cell r="B24" t="str">
            <v>OPERATING LEASE DEBT SCHEDULE</v>
          </cell>
          <cell r="D24" t="str">
            <v>2004A</v>
          </cell>
          <cell r="E24" t="str">
            <v>2005A</v>
          </cell>
          <cell r="F24" t="str">
            <v>2006A</v>
          </cell>
          <cell r="G24" t="str">
            <v>2007A</v>
          </cell>
          <cell r="H24" t="str">
            <v>2008A</v>
          </cell>
          <cell r="I24" t="str">
            <v>2009A</v>
          </cell>
          <cell r="J24" t="str">
            <v>2010A</v>
          </cell>
          <cell r="K24" t="str">
            <v>2011E</v>
          </cell>
          <cell r="L24" t="str">
            <v>2012E</v>
          </cell>
          <cell r="M24" t="str">
            <v>2013E</v>
          </cell>
          <cell r="N24" t="str">
            <v>2014E</v>
          </cell>
          <cell r="O24" t="str">
            <v>2015E</v>
          </cell>
          <cell r="P24" t="str">
            <v>2016E</v>
          </cell>
          <cell r="Q24" t="str">
            <v>2017E</v>
          </cell>
          <cell r="R24" t="str">
            <v>2018E</v>
          </cell>
          <cell r="S24" t="str">
            <v>2019E</v>
          </cell>
          <cell r="T24" t="str">
            <v>2020E</v>
          </cell>
          <cell r="U24" t="str">
            <v>2021E</v>
          </cell>
        </row>
        <row r="25">
          <cell r="B25" t="str">
            <v>Beginning Balance of Implied Debt</v>
          </cell>
          <cell r="E25">
            <v>1052.1021515137509</v>
          </cell>
          <cell r="F25">
            <v>1726.2092318455507</v>
          </cell>
          <cell r="G25">
            <v>1848.2766623760099</v>
          </cell>
          <cell r="H25">
            <v>1898.023350989122</v>
          </cell>
          <cell r="I25">
            <v>2217.9598459235126</v>
          </cell>
          <cell r="J25">
            <v>2379.9319435119978</v>
          </cell>
          <cell r="K25">
            <v>2562.9578960329418</v>
          </cell>
          <cell r="L25">
            <v>2857.6321222663432</v>
          </cell>
          <cell r="M25">
            <v>3214.4217797862302</v>
          </cell>
          <cell r="N25">
            <v>3555.1475063584749</v>
          </cell>
          <cell r="O25">
            <v>3891.2591763494474</v>
          </cell>
          <cell r="P25">
            <v>4244.1135591812517</v>
          </cell>
          <cell r="Q25">
            <v>4584.8181980467034</v>
          </cell>
          <cell r="R25">
            <v>4938.4672381169366</v>
          </cell>
          <cell r="S25">
            <v>5304.4188688217737</v>
          </cell>
          <cell r="T25">
            <v>5681.8893575835154</v>
          </cell>
          <cell r="U25">
            <v>6069.9478144582836</v>
          </cell>
        </row>
        <row r="26">
          <cell r="B26" t="str">
            <v>Interest</v>
          </cell>
          <cell r="E26">
            <v>138.84891230610134</v>
          </cell>
          <cell r="F26">
            <v>160.27872940513501</v>
          </cell>
          <cell r="G26">
            <v>162.15484125856389</v>
          </cell>
          <cell r="H26">
            <v>177.52821028091611</v>
          </cell>
          <cell r="I26">
            <v>184.30124203078685</v>
          </cell>
          <cell r="J26">
            <v>194.44509485627711</v>
          </cell>
          <cell r="K26">
            <v>207.64628379266355</v>
          </cell>
          <cell r="L26">
            <v>218.63276289281259</v>
          </cell>
          <cell r="M26">
            <v>231.93286756959651</v>
          </cell>
          <cell r="N26">
            <v>247.29249602066477</v>
          </cell>
          <cell r="O26">
            <v>263.41477457528686</v>
          </cell>
          <cell r="P26">
            <v>281.70783478780191</v>
          </cell>
          <cell r="Q26">
            <v>300.91913880130136</v>
          </cell>
          <cell r="R26">
            <v>320.87670676528205</v>
          </cell>
          <cell r="S26">
            <v>341.53359026649576</v>
          </cell>
          <cell r="T26">
            <v>362.83477753552808</v>
          </cell>
          <cell r="U26">
            <v>384.71704296585875</v>
          </cell>
        </row>
        <row r="27">
          <cell r="B27" t="str">
            <v>Repayment</v>
          </cell>
          <cell r="E27">
            <v>-168.67</v>
          </cell>
          <cell r="F27">
            <v>-237</v>
          </cell>
          <cell r="G27">
            <v>-246.4</v>
          </cell>
          <cell r="H27">
            <v>-263.89999999999998</v>
          </cell>
          <cell r="I27">
            <v>-275.10000000000002</v>
          </cell>
          <cell r="J27">
            <v>-300</v>
          </cell>
          <cell r="K27">
            <v>-326.40376226826606</v>
          </cell>
          <cell r="L27">
            <v>-354.31537733725844</v>
          </cell>
          <cell r="M27">
            <v>-383.72799708791865</v>
          </cell>
          <cell r="N27">
            <v>-414.62291314571689</v>
          </cell>
          <cell r="O27">
            <v>-446.96870011317787</v>
          </cell>
          <cell r="P27">
            <v>-480.7204423589107</v>
          </cell>
          <cell r="Q27">
            <v>-515.81906331532832</v>
          </cell>
          <cell r="R27">
            <v>-552.19077611136879</v>
          </cell>
          <cell r="S27">
            <v>-589.74667385305452</v>
          </cell>
          <cell r="T27">
            <v>-628.38247694108304</v>
          </cell>
          <cell r="U27">
            <v>-667.97845346654435</v>
          </cell>
        </row>
        <row r="28">
          <cell r="B28" t="str">
            <v>Debt Issuances (Reductions)</v>
          </cell>
          <cell r="E28">
            <v>703.92816802569837</v>
          </cell>
          <cell r="F28">
            <v>198.78870112532414</v>
          </cell>
          <cell r="G28">
            <v>133.9918473545483</v>
          </cell>
          <cell r="H28">
            <v>406.30828465347446</v>
          </cell>
          <cell r="I28">
            <v>252.77085555769847</v>
          </cell>
          <cell r="J28">
            <v>288.58085766466667</v>
          </cell>
          <cell r="K28">
            <v>413.43170470900401</v>
          </cell>
          <cell r="L28">
            <v>492.47227196433255</v>
          </cell>
          <cell r="M28">
            <v>492.52085609056655</v>
          </cell>
          <cell r="N28">
            <v>503.4420871160246</v>
          </cell>
          <cell r="O28">
            <v>536.40830836969508</v>
          </cell>
          <cell r="P28">
            <v>539.71724643656034</v>
          </cell>
          <cell r="Q28">
            <v>568.54896458425958</v>
          </cell>
          <cell r="R28">
            <v>597.26570005092321</v>
          </cell>
          <cell r="S28">
            <v>625.68357234830069</v>
          </cell>
          <cell r="T28">
            <v>653.60615628032349</v>
          </cell>
          <cell r="U28">
            <v>680.83171012678611</v>
          </cell>
        </row>
        <row r="29">
          <cell r="B29" t="str">
            <v>Ending Balance of Implied Debt</v>
          </cell>
          <cell r="D29">
            <v>1052.1021515137509</v>
          </cell>
          <cell r="E29">
            <v>1726.2092318455507</v>
          </cell>
          <cell r="F29">
            <v>1848.2766623760099</v>
          </cell>
          <cell r="G29">
            <v>1898.023350989122</v>
          </cell>
          <cell r="H29">
            <v>2217.9598459235126</v>
          </cell>
          <cell r="I29">
            <v>2379.9319435119978</v>
          </cell>
          <cell r="J29">
            <v>2562.9578960329418</v>
          </cell>
          <cell r="K29">
            <v>2857.6321222663432</v>
          </cell>
          <cell r="L29">
            <v>3214.4217797862302</v>
          </cell>
          <cell r="M29">
            <v>3555.1475063584749</v>
          </cell>
          <cell r="N29">
            <v>3891.2591763494474</v>
          </cell>
          <cell r="O29">
            <v>4244.1135591812517</v>
          </cell>
          <cell r="P29">
            <v>4584.8181980467034</v>
          </cell>
          <cell r="Q29">
            <v>4938.4672381169366</v>
          </cell>
          <cell r="R29">
            <v>5304.4188688217737</v>
          </cell>
          <cell r="S29">
            <v>5681.8893575835154</v>
          </cell>
          <cell r="T29">
            <v>6069.9478144582836</v>
          </cell>
          <cell r="U29">
            <v>6467.5181140843843</v>
          </cell>
        </row>
        <row r="32">
          <cell r="B32" t="str">
            <v>Asset over liability</v>
          </cell>
          <cell r="D32">
            <v>0.93</v>
          </cell>
          <cell r="E32">
            <v>0.90255998497347645</v>
          </cell>
          <cell r="F32">
            <v>0.8828267691839522</v>
          </cell>
          <cell r="G32">
            <v>0.86503991787868328</v>
          </cell>
          <cell r="H32">
            <v>0.86115023025289661</v>
          </cell>
          <cell r="I32">
            <v>0.45582753739617637</v>
          </cell>
          <cell r="J32">
            <v>0.47386559635095254</v>
          </cell>
          <cell r="K32">
            <v>0.50656933932065906</v>
          </cell>
          <cell r="L32">
            <v>0.53897468986849406</v>
          </cell>
          <cell r="M32">
            <v>0.55964763322358757</v>
          </cell>
          <cell r="N32">
            <v>0.57273275750826258</v>
          </cell>
          <cell r="O32">
            <v>0.58174786590870997</v>
          </cell>
          <cell r="P32">
            <v>0.58462899342289154</v>
          </cell>
          <cell r="Q32">
            <v>0.58442995929883945</v>
          </cell>
          <cell r="R32">
            <v>0.58140638061807948</v>
          </cell>
          <cell r="S32">
            <v>0.57577708545580442</v>
          </cell>
          <cell r="T32">
            <v>0.56772685367592124</v>
          </cell>
          <cell r="U32">
            <v>0.55713516975579847</v>
          </cell>
        </row>
        <row r="35">
          <cell r="B35" t="str">
            <v>Weighted average interest rate of lease portfolio</v>
          </cell>
          <cell r="D35">
            <v>7.5700377094660445E-2</v>
          </cell>
          <cell r="E35">
            <v>8.4105716156318733E-2</v>
          </cell>
          <cell r="F35">
            <v>8.3226735005993979E-2</v>
          </cell>
          <cell r="G35">
            <v>8.1739453666680242E-2</v>
          </cell>
          <cell r="H35">
            <v>7.6858121525678655E-2</v>
          </cell>
          <cell r="I35">
            <v>7.4507433096905482E-2</v>
          </cell>
          <cell r="J35">
            <v>7.2798882147860636E-2</v>
          </cell>
          <cell r="K35">
            <v>6.9638380168793951E-2</v>
          </cell>
          <cell r="L35">
            <v>6.5076725998212293E-2</v>
          </cell>
          <cell r="M35">
            <v>6.2460006826979504E-2</v>
          </cell>
          <cell r="N35">
            <v>6.086488365107131E-2</v>
          </cell>
          <cell r="O35">
            <v>5.9433561976222633E-2</v>
          </cell>
          <cell r="P35">
            <v>5.8863796770971914E-2</v>
          </cell>
          <cell r="Q35">
            <v>5.8372223489434161E-2</v>
          </cell>
          <cell r="R35">
            <v>5.7946854842071759E-2</v>
          </cell>
          <cell r="S35">
            <v>5.7577753129838864E-2</v>
          </cell>
          <cell r="T35">
            <v>5.7256692854446761E-2</v>
          </cell>
          <cell r="U35">
            <v>5.6976791543083674E-2</v>
          </cell>
        </row>
        <row r="36">
          <cell r="B36" t="str">
            <v>Interest implicit in new leases signed</v>
          </cell>
          <cell r="E36">
            <v>8.4105716156318733E-2</v>
          </cell>
          <cell r="F36">
            <v>7.5933217731524172E-2</v>
          </cell>
          <cell r="G36">
            <v>6.2159074792023129E-2</v>
          </cell>
          <cell r="H36">
            <v>5.5093187537524117E-2</v>
          </cell>
          <cell r="I36">
            <v>5.4725512651376179E-2</v>
          </cell>
          <cell r="J36">
            <v>5.9333369990067573E-2</v>
          </cell>
          <cell r="K36">
            <v>5.0953552254198467E-2</v>
          </cell>
          <cell r="L36">
            <v>3.9863951530845494E-2</v>
          </cell>
          <cell r="M36">
            <v>4.6188545890895175E-2</v>
          </cell>
          <cell r="N36">
            <v>5.0130807789971026E-2</v>
          </cell>
          <cell r="O36">
            <v>4.9540130411812031E-2</v>
          </cell>
          <cell r="P36">
            <v>5.4593490811377245E-2</v>
          </cell>
          <cell r="Q36">
            <v>5.4593947211430557E-2</v>
          </cell>
          <cell r="R36">
            <v>5.4594451755544386E-2</v>
          </cell>
          <cell r="S36">
            <v>5.4595008664089506E-2</v>
          </cell>
          <cell r="T36">
            <v>5.4596111818477344E-2</v>
          </cell>
          <cell r="U36">
            <v>5.4597787908524625E-2</v>
          </cell>
        </row>
        <row r="38">
          <cell r="D38" t="str">
            <v>2004A</v>
          </cell>
          <cell r="E38" t="str">
            <v>2005A</v>
          </cell>
          <cell r="F38" t="str">
            <v>2006A</v>
          </cell>
          <cell r="G38" t="str">
            <v>2007A</v>
          </cell>
          <cell r="H38" t="str">
            <v>2008A</v>
          </cell>
          <cell r="I38" t="str">
            <v>2009A</v>
          </cell>
          <cell r="J38" t="str">
            <v>2010A</v>
          </cell>
          <cell r="K38" t="str">
            <v>2011E</v>
          </cell>
          <cell r="L38" t="str">
            <v>2012E</v>
          </cell>
          <cell r="M38" t="str">
            <v>2013E</v>
          </cell>
          <cell r="N38" t="str">
            <v>2014E</v>
          </cell>
          <cell r="O38" t="str">
            <v>2015E</v>
          </cell>
          <cell r="P38" t="str">
            <v>2016E</v>
          </cell>
          <cell r="Q38" t="str">
            <v>2017E</v>
          </cell>
          <cell r="R38" t="str">
            <v>2018E</v>
          </cell>
          <cell r="S38" t="str">
            <v>2019E</v>
          </cell>
          <cell r="T38" t="str">
            <v>2020E</v>
          </cell>
          <cell r="U38" t="str">
            <v>2021E</v>
          </cell>
        </row>
        <row r="39">
          <cell r="B39" t="str">
            <v>Capital expenditure financed through operating leases</v>
          </cell>
          <cell r="D39">
            <v>1111.3851796096048</v>
          </cell>
          <cell r="E39">
            <v>703.92816802569837</v>
          </cell>
          <cell r="F39">
            <v>198.78870112532414</v>
          </cell>
          <cell r="G39">
            <v>133.9918473545483</v>
          </cell>
          <cell r="H39">
            <v>406.30828465347446</v>
          </cell>
          <cell r="I39">
            <v>252.77085555769847</v>
          </cell>
          <cell r="J39">
            <v>288.58085766466667</v>
          </cell>
          <cell r="K39">
            <v>413.43170470900401</v>
          </cell>
          <cell r="L39">
            <v>492.47227196433255</v>
          </cell>
          <cell r="M39">
            <v>492.52085609056655</v>
          </cell>
          <cell r="N39">
            <v>503.4420871160246</v>
          </cell>
          <cell r="O39">
            <v>536.40830836969508</v>
          </cell>
          <cell r="P39">
            <v>539.71724643656034</v>
          </cell>
          <cell r="Q39">
            <v>568.54896458425958</v>
          </cell>
          <cell r="R39">
            <v>597.26570005092321</v>
          </cell>
          <cell r="S39">
            <v>625.68357234830069</v>
          </cell>
          <cell r="T39">
            <v>653.60615628032349</v>
          </cell>
          <cell r="U39">
            <v>680.83171012678611</v>
          </cell>
        </row>
        <row r="40">
          <cell r="F40">
            <v>-0.71760087157349428</v>
          </cell>
          <cell r="G40">
            <v>-0.32595843427703364</v>
          </cell>
          <cell r="H40">
            <v>2.0323358672588858</v>
          </cell>
          <cell r="I40">
            <v>-0.37788407200882568</v>
          </cell>
          <cell r="J40">
            <v>0.14166982197357814</v>
          </cell>
          <cell r="K40">
            <v>0.43263731369672165</v>
          </cell>
          <cell r="L40">
            <v>0.19118167850954171</v>
          </cell>
          <cell r="M40">
            <v>9.8653526299452565E-5</v>
          </cell>
          <cell r="N40">
            <v>2.2174149359169171E-2</v>
          </cell>
          <cell r="O40">
            <v>6.5481655382683579E-2</v>
          </cell>
          <cell r="P40">
            <v>6.1686927947146586E-3</v>
          </cell>
          <cell r="Q40">
            <v>5.3420042324121342E-2</v>
          </cell>
          <cell r="R40">
            <v>5.0508816751890784E-2</v>
          </cell>
          <cell r="S40">
            <v>4.7579950254894143E-2</v>
          </cell>
          <cell r="T40">
            <v>4.4627324683025327E-2</v>
          </cell>
          <cell r="U40">
            <v>4.1654371803049317E-2</v>
          </cell>
        </row>
        <row r="42">
          <cell r="B42" t="str">
            <v>Current Year Operating Lease Payments</v>
          </cell>
          <cell r="D42">
            <v>118.741</v>
          </cell>
          <cell r="E42">
            <v>168.67</v>
          </cell>
          <cell r="F42">
            <v>237</v>
          </cell>
          <cell r="G42">
            <v>246.4</v>
          </cell>
          <cell r="H42">
            <v>263.89999999999998</v>
          </cell>
          <cell r="I42">
            <v>275.10000000000002</v>
          </cell>
          <cell r="J42">
            <v>300</v>
          </cell>
          <cell r="K42">
            <v>326.40376226826606</v>
          </cell>
          <cell r="L42">
            <v>354.31537733725844</v>
          </cell>
          <cell r="M42">
            <v>383.72799708791865</v>
          </cell>
          <cell r="N42">
            <v>414.62291314571689</v>
          </cell>
          <cell r="O42">
            <v>446.96870011317787</v>
          </cell>
          <cell r="P42">
            <v>480.7204423589107</v>
          </cell>
          <cell r="Q42">
            <v>515.81906331532832</v>
          </cell>
          <cell r="R42">
            <v>552.19077611136879</v>
          </cell>
          <cell r="S42">
            <v>589.74667385305452</v>
          </cell>
          <cell r="T42">
            <v>628.38247694108304</v>
          </cell>
          <cell r="U42">
            <v>667.97845346654435</v>
          </cell>
        </row>
        <row r="43">
          <cell r="B43" t="str">
            <v>YOY % Change in Current Year Operating Lease Expense</v>
          </cell>
          <cell r="E43">
            <v>0.42048660530061222</v>
          </cell>
          <cell r="F43">
            <v>0.40511057093733327</v>
          </cell>
          <cell r="G43">
            <v>3.9662447257383882E-2</v>
          </cell>
          <cell r="H43">
            <v>7.1022727272727071E-2</v>
          </cell>
          <cell r="I43">
            <v>4.244031830238737E-2</v>
          </cell>
          <cell r="J43">
            <v>9.0512540894220228E-2</v>
          </cell>
          <cell r="K43">
            <v>8.8012540894220226E-2</v>
          </cell>
          <cell r="L43">
            <v>8.5512540894220224E-2</v>
          </cell>
          <cell r="M43">
            <v>8.3012540894220221E-2</v>
          </cell>
          <cell r="N43">
            <v>8.0512540894220219E-2</v>
          </cell>
          <cell r="O43">
            <v>7.8012540894220217E-2</v>
          </cell>
          <cell r="P43">
            <v>7.5512540894220215E-2</v>
          </cell>
          <cell r="Q43">
            <v>7.3012540894220213E-2</v>
          </cell>
          <cell r="R43">
            <v>7.051254089422021E-2</v>
          </cell>
          <cell r="S43">
            <v>6.8012540894220208E-2</v>
          </cell>
          <cell r="T43">
            <v>6.5512540894220206E-2</v>
          </cell>
          <cell r="U43">
            <v>6.3012540894220204E-2</v>
          </cell>
        </row>
        <row r="45">
          <cell r="B45" t="str">
            <v>Total Reported Lease Commitments</v>
          </cell>
          <cell r="D45">
            <v>2101.0460000000003</v>
          </cell>
          <cell r="E45">
            <v>3412.5940000000001</v>
          </cell>
          <cell r="F45">
            <v>3516.1319999999996</v>
          </cell>
          <cell r="G45">
            <v>3483.0720000000001</v>
          </cell>
          <cell r="H45">
            <v>3949.6899999999996</v>
          </cell>
          <cell r="I45">
            <v>4039.6559999999999</v>
          </cell>
          <cell r="J45">
            <v>3832.5730000000003</v>
          </cell>
          <cell r="K45">
            <v>4845.6687543639864</v>
          </cell>
          <cell r="L45">
            <v>5260.0342018813817</v>
          </cell>
          <cell r="M45">
            <v>5696.6830061700557</v>
          </cell>
          <cell r="N45">
            <v>6155.3374296657312</v>
          </cell>
          <cell r="O45">
            <v>6635.5309426152544</v>
          </cell>
          <cell r="P45">
            <v>7136.5967442743513</v>
          </cell>
          <cell r="Q45">
            <v>7657.6578059112435</v>
          </cell>
          <cell r="R45">
            <v>8197.6187151045033</v>
          </cell>
          <cell r="S45">
            <v>8755.1595932007749</v>
          </cell>
          <cell r="T45">
            <v>9328.7323440857617</v>
          </cell>
          <cell r="U45">
            <v>9916.5594724087005</v>
          </cell>
        </row>
        <row r="46">
          <cell r="B46" t="str">
            <v>Growth in Aggregate Lease Obligations</v>
          </cell>
          <cell r="E46">
            <v>0.6242357378182104</v>
          </cell>
          <cell r="F46">
            <v>3.0339970122434501E-2</v>
          </cell>
          <cell r="G46">
            <v>-9.4023773851492631E-3</v>
          </cell>
          <cell r="H46">
            <v>0.13396737133197356</v>
          </cell>
          <cell r="I46">
            <v>0.92268803253236698</v>
          </cell>
          <cell r="J46">
            <v>-5.1262533245404973E-2</v>
          </cell>
          <cell r="K46">
            <v>0.26433827988768543</v>
          </cell>
          <cell r="L46">
            <v>8.5512540894220113E-2</v>
          </cell>
          <cell r="M46">
            <v>8.3012540894219944E-2</v>
          </cell>
          <cell r="N46">
            <v>8.0512540894220219E-2</v>
          </cell>
          <cell r="O46">
            <v>7.8012540894220272E-2</v>
          </cell>
          <cell r="P46">
            <v>7.5512540894220104E-2</v>
          </cell>
          <cell r="Q46">
            <v>7.3012540894220601E-2</v>
          </cell>
          <cell r="R46">
            <v>7.0512540894219988E-2</v>
          </cell>
          <cell r="S46">
            <v>6.8012540894220486E-2</v>
          </cell>
          <cell r="T46">
            <v>6.5512540894219873E-2</v>
          </cell>
          <cell r="U46">
            <v>6.3012540894220148E-2</v>
          </cell>
        </row>
        <row r="47">
          <cell r="B47" t="str">
            <v>Cumulative Payments After Year 5</v>
          </cell>
          <cell r="D47">
            <v>1570.1110000000001</v>
          </cell>
          <cell r="E47">
            <v>2507.444</v>
          </cell>
          <cell r="F47">
            <v>2529.4839999999999</v>
          </cell>
          <cell r="G47">
            <v>2451.4960000000001</v>
          </cell>
          <cell r="H47">
            <v>2859.415</v>
          </cell>
          <cell r="I47">
            <v>2814.9079999999999</v>
          </cell>
          <cell r="J47">
            <v>2584.3319999999999</v>
          </cell>
          <cell r="K47">
            <v>3487.5668923056437</v>
          </cell>
          <cell r="L47">
            <v>3785.797598805259</v>
          </cell>
          <cell r="M47">
            <v>4100.06627679332</v>
          </cell>
          <cell r="N47">
            <v>4430.1730305726551</v>
          </cell>
          <cell r="O47">
            <v>4775.7820852886762</v>
          </cell>
          <cell r="P47">
            <v>5136.4135253059212</v>
          </cell>
          <cell r="Q47">
            <v>5511.4361278719471</v>
          </cell>
          <cell r="R47">
            <v>5900.0614932243998</v>
          </cell>
          <cell r="S47">
            <v>6301.3396668107389</v>
          </cell>
          <cell r="T47">
            <v>6714.1564394210473</v>
          </cell>
          <cell r="U47">
            <v>7137.2324966302576</v>
          </cell>
        </row>
        <row r="48">
          <cell r="D48">
            <v>0.74729967835068811</v>
          </cell>
          <cell r="E48">
            <v>0.73476188494734507</v>
          </cell>
          <cell r="F48">
            <v>0.71939392491521936</v>
          </cell>
          <cell r="G48">
            <v>0.70383156018595083</v>
          </cell>
          <cell r="H48">
            <v>0.72395934870837975</v>
          </cell>
          <cell r="I48">
            <v>0.69681873902134239</v>
          </cell>
          <cell r="J48">
            <v>0.67430731260696131</v>
          </cell>
          <cell r="K48">
            <v>0.71972870394096944</v>
          </cell>
          <cell r="L48">
            <v>0.71972870394096955</v>
          </cell>
          <cell r="M48">
            <v>0.71972870394096944</v>
          </cell>
          <cell r="N48">
            <v>0.71972870394096944</v>
          </cell>
          <cell r="O48">
            <v>0.71972870394096944</v>
          </cell>
          <cell r="P48">
            <v>0.71972870394096944</v>
          </cell>
          <cell r="Q48">
            <v>0.71972870394096944</v>
          </cell>
          <cell r="R48">
            <v>0.71972870394096944</v>
          </cell>
          <cell r="S48">
            <v>0.71972870394096944</v>
          </cell>
          <cell r="T48">
            <v>0.71972870394096944</v>
          </cell>
          <cell r="U48">
            <v>0.71972870394096944</v>
          </cell>
        </row>
        <row r="50">
          <cell r="B50" t="str">
            <v>Implied Total Total Lease Life</v>
          </cell>
          <cell r="D50">
            <v>19.786282689971468</v>
          </cell>
          <cell r="E50">
            <v>18.850986024415839</v>
          </cell>
          <cell r="F50">
            <v>17.818573594635573</v>
          </cell>
          <cell r="G50">
            <v>16.882284969793794</v>
          </cell>
          <cell r="H50">
            <v>18.113274173946941</v>
          </cell>
          <cell r="I50">
            <v>16.491784432389355</v>
          </cell>
          <cell r="J50">
            <v>15.351895186907013</v>
          </cell>
        </row>
        <row r="51">
          <cell r="B51" t="str">
            <v>Implied Remaining Duration on Reported Lease Payements</v>
          </cell>
          <cell r="D51">
            <v>14.786282689971468</v>
          </cell>
          <cell r="E51">
            <v>13.850986024415841</v>
          </cell>
          <cell r="F51">
            <v>12.818573594635575</v>
          </cell>
          <cell r="G51">
            <v>11.882284969793792</v>
          </cell>
          <cell r="H51">
            <v>13.113274173946941</v>
          </cell>
          <cell r="I51">
            <v>11.491784432389355</v>
          </cell>
          <cell r="J51">
            <v>10.351895186907013</v>
          </cell>
        </row>
        <row r="54">
          <cell r="B54" t="str">
            <v>Lease Payment Schedule - Non Cancelable Leases Only</v>
          </cell>
          <cell r="D54" t="str">
            <v>2004A</v>
          </cell>
          <cell r="E54" t="str">
            <v>2005A</v>
          </cell>
          <cell r="F54" t="str">
            <v>2006A</v>
          </cell>
          <cell r="G54" t="str">
            <v>2007A</v>
          </cell>
          <cell r="H54" t="str">
            <v>2008A</v>
          </cell>
          <cell r="I54" t="str">
            <v>2009A</v>
          </cell>
          <cell r="J54" t="str">
            <v>2010A</v>
          </cell>
          <cell r="K54" t="str">
            <v>2011E</v>
          </cell>
          <cell r="L54" t="str">
            <v>2012E</v>
          </cell>
          <cell r="M54" t="str">
            <v>2013E</v>
          </cell>
          <cell r="N54" t="str">
            <v>2014E</v>
          </cell>
          <cell r="O54" t="str">
            <v>2015E</v>
          </cell>
          <cell r="P54" t="str">
            <v>2016E</v>
          </cell>
          <cell r="Q54" t="str">
            <v>2017E</v>
          </cell>
          <cell r="R54" t="str">
            <v>2018E</v>
          </cell>
          <cell r="S54" t="str">
            <v>2019E</v>
          </cell>
          <cell r="T54" t="str">
            <v>2020E</v>
          </cell>
          <cell r="U54" t="str">
            <v>2021E</v>
          </cell>
        </row>
        <row r="56">
          <cell r="B56" t="str">
            <v>Current year rental payment</v>
          </cell>
          <cell r="D56">
            <v>118.741</v>
          </cell>
          <cell r="E56">
            <v>168.67</v>
          </cell>
          <cell r="F56">
            <v>237</v>
          </cell>
          <cell r="G56">
            <v>246.4</v>
          </cell>
          <cell r="H56">
            <v>263.89999999999998</v>
          </cell>
          <cell r="I56">
            <v>275.10000000000002</v>
          </cell>
          <cell r="J56">
            <v>300</v>
          </cell>
          <cell r="K56">
            <v>326.40376226826606</v>
          </cell>
          <cell r="L56">
            <v>354.31537733725844</v>
          </cell>
          <cell r="M56">
            <v>383.72799708791865</v>
          </cell>
          <cell r="N56">
            <v>414.62291314571689</v>
          </cell>
          <cell r="O56">
            <v>446.96870011317787</v>
          </cell>
          <cell r="P56">
            <v>480.7204423589107</v>
          </cell>
          <cell r="Q56">
            <v>515.81906331532832</v>
          </cell>
          <cell r="R56">
            <v>552.19077611136879</v>
          </cell>
          <cell r="S56">
            <v>589.74667385305452</v>
          </cell>
          <cell r="T56">
            <v>628.38247694108304</v>
          </cell>
          <cell r="U56">
            <v>667.97845346654435</v>
          </cell>
        </row>
        <row r="57">
          <cell r="B57" t="str">
            <v>Expected payments forecast year 1</v>
          </cell>
          <cell r="D57">
            <v>106.116</v>
          </cell>
          <cell r="E57">
            <v>190.12899999999999</v>
          </cell>
          <cell r="F57">
            <v>208.25700000000001</v>
          </cell>
          <cell r="G57">
            <v>217.96899999999999</v>
          </cell>
          <cell r="H57">
            <v>229.79900000000001</v>
          </cell>
          <cell r="I57">
            <v>258.42700000000002</v>
          </cell>
          <cell r="J57">
            <v>257.971</v>
          </cell>
          <cell r="K57">
            <v>280.67568318702291</v>
          </cell>
          <cell r="L57">
            <v>304.6769740235664</v>
          </cell>
          <cell r="M57">
            <v>329.96898378922498</v>
          </cell>
          <cell r="N57">
            <v>356.53562509037926</v>
          </cell>
          <cell r="O57">
            <v>384.34987512298886</v>
          </cell>
          <cell r="P57">
            <v>413.37311078590204</v>
          </cell>
          <cell r="Q57">
            <v>443.55453194172873</v>
          </cell>
          <cell r="R57">
            <v>474.8306890140866</v>
          </cell>
          <cell r="S57">
            <v>507.12513066848794</v>
          </cell>
          <cell r="T57">
            <v>540.34818652989395</v>
          </cell>
          <cell r="U57">
            <v>574.39689873072655</v>
          </cell>
        </row>
        <row r="58">
          <cell r="B58" t="str">
            <v>Expected payments forecast year 2</v>
          </cell>
          <cell r="D58">
            <v>106.319</v>
          </cell>
          <cell r="E58">
            <v>183.595</v>
          </cell>
          <cell r="F58">
            <v>202.21199999999999</v>
          </cell>
          <cell r="G58">
            <v>215.76300000000001</v>
          </cell>
          <cell r="H58">
            <v>222.06299999999999</v>
          </cell>
          <cell r="I58">
            <v>251.553</v>
          </cell>
          <cell r="J58">
            <v>254.57499999999999</v>
          </cell>
          <cell r="K58">
            <v>276.98079259814614</v>
          </cell>
          <cell r="L58">
            <v>300.66612395210859</v>
          </cell>
          <cell r="M58">
            <v>325.62518286218966</v>
          </cell>
          <cell r="N58">
            <v>351.84209371356962</v>
          </cell>
          <cell r="O58">
            <v>379.29018943770757</v>
          </cell>
          <cell r="P58">
            <v>407.93135537839902</v>
          </cell>
          <cell r="Q58">
            <v>437.71546014499904</v>
          </cell>
          <cell r="R58">
            <v>468.57988942850568</v>
          </cell>
          <cell r="S58">
            <v>500.44919832047111</v>
          </cell>
          <cell r="T58">
            <v>533.2348968909206</v>
          </cell>
          <cell r="U58">
            <v>566.83538263748494</v>
          </cell>
        </row>
        <row r="59">
          <cell r="B59" t="str">
            <v>Expected payments forecast year 3</v>
          </cell>
          <cell r="D59">
            <v>106.095</v>
          </cell>
          <cell r="E59">
            <v>180.91</v>
          </cell>
          <cell r="F59">
            <v>199.286</v>
          </cell>
          <cell r="G59">
            <v>208.548</v>
          </cell>
          <cell r="H59">
            <v>217.77099999999999</v>
          </cell>
          <cell r="I59">
            <v>243.45699999999999</v>
          </cell>
          <cell r="J59">
            <v>251.268</v>
          </cell>
          <cell r="K59">
            <v>273.38273512540894</v>
          </cell>
          <cell r="L59">
            <v>296.76038744259421</v>
          </cell>
          <cell r="M59">
            <v>321.3952212409572</v>
          </cell>
          <cell r="N59">
            <v>347.27156713432674</v>
          </cell>
          <cell r="O59">
            <v>374.36310446679335</v>
          </cell>
          <cell r="P59">
            <v>402.63221370212938</v>
          </cell>
          <cell r="Q59">
            <v>432.02941467038647</v>
          </cell>
          <cell r="R59">
            <v>462.49290643983812</v>
          </cell>
          <cell r="S59">
            <v>493.94822415236439</v>
          </cell>
          <cell r="T59">
            <v>526.30802738677357</v>
          </cell>
          <cell r="U59">
            <v>559.47203348543894</v>
          </cell>
        </row>
        <row r="60">
          <cell r="B60" t="str">
            <v>Expected payments forecast year 4</v>
          </cell>
          <cell r="D60">
            <v>106.191</v>
          </cell>
          <cell r="E60">
            <v>178.45599999999999</v>
          </cell>
          <cell r="F60">
            <v>192.48699999999999</v>
          </cell>
          <cell r="G60">
            <v>199.024</v>
          </cell>
          <cell r="H60">
            <v>212.87100000000001</v>
          </cell>
          <cell r="I60">
            <v>237.828</v>
          </cell>
          <cell r="J60">
            <v>246.392</v>
          </cell>
          <cell r="K60">
            <v>268.07758597600872</v>
          </cell>
          <cell r="L60">
            <v>291.00158150960596</v>
          </cell>
          <cell r="M60">
            <v>315.15836219495486</v>
          </cell>
          <cell r="N60">
            <v>340.53256271933162</v>
          </cell>
          <cell r="O60">
            <v>367.09837319428709</v>
          </cell>
          <cell r="P60">
            <v>394.81890411232246</v>
          </cell>
          <cell r="Q60">
            <v>423.64563549463458</v>
          </cell>
          <cell r="R60">
            <v>453.51796569210791</v>
          </cell>
          <cell r="S60">
            <v>484.36287488000596</v>
          </cell>
          <cell r="T60">
            <v>516.09471752822435</v>
          </cell>
          <cell r="U60">
            <v>548.61515702176257</v>
          </cell>
        </row>
        <row r="61">
          <cell r="B61" t="str">
            <v>Expected payments forecast year 5</v>
          </cell>
          <cell r="D61">
            <v>106.214</v>
          </cell>
          <cell r="E61">
            <v>172.06</v>
          </cell>
          <cell r="F61">
            <v>184.40600000000001</v>
          </cell>
          <cell r="G61">
            <v>190.27199999999999</v>
          </cell>
          <cell r="H61">
            <v>207.77099999999999</v>
          </cell>
          <cell r="I61">
            <v>233.483</v>
          </cell>
          <cell r="J61">
            <v>238.035</v>
          </cell>
          <cell r="K61">
            <v>258.98506517175571</v>
          </cell>
          <cell r="L61">
            <v>281.13153614824773</v>
          </cell>
          <cell r="M61">
            <v>304.46897928940911</v>
          </cell>
          <cell r="N61">
            <v>328.98255043546914</v>
          </cell>
          <cell r="O61">
            <v>354.64731510480107</v>
          </cell>
          <cell r="P61">
            <v>381.42763498967781</v>
          </cell>
          <cell r="Q61">
            <v>409.27663578754732</v>
          </cell>
          <cell r="R61">
            <v>438.13577130556564</v>
          </cell>
          <cell r="S61">
            <v>467.93449836870616</v>
          </cell>
          <cell r="T61">
            <v>498.5900763289024</v>
          </cell>
          <cell r="U61">
            <v>530.00750390302971</v>
          </cell>
        </row>
        <row r="62">
          <cell r="B62" t="str">
            <v>Expected payments forecast year 6</v>
          </cell>
          <cell r="D62">
            <v>106.18699999999998</v>
          </cell>
          <cell r="E62">
            <v>181.03000000000003</v>
          </cell>
          <cell r="F62">
            <v>197.32959999999997</v>
          </cell>
          <cell r="G62">
            <v>206.3152</v>
          </cell>
          <cell r="H62">
            <v>218.05499999999998</v>
          </cell>
          <cell r="I62">
            <v>244.94960000000003</v>
          </cell>
          <cell r="J62">
            <v>267.12061068702292</v>
          </cell>
          <cell r="K62">
            <v>290.63057435880364</v>
          </cell>
          <cell r="L62">
            <v>315.48313323377153</v>
          </cell>
          <cell r="M62">
            <v>341.6721897327767</v>
          </cell>
          <cell r="N62">
            <v>369.18108588105463</v>
          </cell>
          <cell r="O62">
            <v>397.98184044072303</v>
          </cell>
          <cell r="P62">
            <v>428.0344604421602</v>
          </cell>
          <cell r="Q62">
            <v>459.28634398932888</v>
          </cell>
          <cell r="R62">
            <v>491.67179110203335</v>
          </cell>
          <cell r="S62">
            <v>525.11163890089495</v>
          </cell>
          <cell r="T62">
            <v>559.51303661842076</v>
          </cell>
          <cell r="U62">
            <v>594.76937471918825</v>
          </cell>
        </row>
        <row r="63">
          <cell r="B63" t="str">
            <v>Expected payments forecast year 7</v>
          </cell>
          <cell r="D63">
            <v>106.18699999999998</v>
          </cell>
          <cell r="E63">
            <v>181.03000000000003</v>
          </cell>
          <cell r="F63">
            <v>197.32959999999997</v>
          </cell>
          <cell r="G63">
            <v>206.3152</v>
          </cell>
          <cell r="H63">
            <v>218.05499999999998</v>
          </cell>
          <cell r="I63">
            <v>244.94960000000003</v>
          </cell>
          <cell r="J63">
            <v>267.12061068702292</v>
          </cell>
          <cell r="K63">
            <v>290.63057435880364</v>
          </cell>
          <cell r="L63">
            <v>315.48313323377153</v>
          </cell>
          <cell r="M63">
            <v>341.6721897327767</v>
          </cell>
          <cell r="N63">
            <v>369.18108588105463</v>
          </cell>
          <cell r="O63">
            <v>397.98184044072303</v>
          </cell>
          <cell r="P63">
            <v>428.0344604421602</v>
          </cell>
          <cell r="Q63">
            <v>459.28634398932888</v>
          </cell>
          <cell r="R63">
            <v>491.67179110203335</v>
          </cell>
          <cell r="S63">
            <v>525.11163890089495</v>
          </cell>
          <cell r="T63">
            <v>559.51303661842076</v>
          </cell>
          <cell r="U63">
            <v>594.76937471918825</v>
          </cell>
        </row>
        <row r="64">
          <cell r="B64" t="str">
            <v>Expected payments forecast year 8</v>
          </cell>
          <cell r="D64">
            <v>106.18699999999998</v>
          </cell>
          <cell r="E64">
            <v>181.03000000000003</v>
          </cell>
          <cell r="F64">
            <v>197.32959999999997</v>
          </cell>
          <cell r="G64">
            <v>206.3152</v>
          </cell>
          <cell r="H64">
            <v>218.05499999999998</v>
          </cell>
          <cell r="I64">
            <v>244.94960000000003</v>
          </cell>
          <cell r="J64">
            <v>267.12061068702292</v>
          </cell>
          <cell r="K64">
            <v>290.63057435880364</v>
          </cell>
          <cell r="L64">
            <v>315.48313323377153</v>
          </cell>
          <cell r="M64">
            <v>341.6721897327767</v>
          </cell>
          <cell r="N64">
            <v>369.18108588105463</v>
          </cell>
          <cell r="O64">
            <v>397.98184044072303</v>
          </cell>
          <cell r="P64">
            <v>428.0344604421602</v>
          </cell>
          <cell r="Q64">
            <v>459.28634398932888</v>
          </cell>
          <cell r="R64">
            <v>491.67179110203335</v>
          </cell>
          <cell r="S64">
            <v>525.11163890089495</v>
          </cell>
          <cell r="T64">
            <v>559.51303661842076</v>
          </cell>
          <cell r="U64">
            <v>594.76937471918825</v>
          </cell>
        </row>
        <row r="65">
          <cell r="B65" t="str">
            <v>Expected payments forecast year 9</v>
          </cell>
          <cell r="D65">
            <v>106.18699999999998</v>
          </cell>
          <cell r="E65">
            <v>181.03000000000003</v>
          </cell>
          <cell r="F65">
            <v>197.32959999999997</v>
          </cell>
          <cell r="G65">
            <v>206.3152</v>
          </cell>
          <cell r="H65">
            <v>218.05499999999998</v>
          </cell>
          <cell r="I65">
            <v>244.94960000000003</v>
          </cell>
          <cell r="J65">
            <v>267.12061068702292</v>
          </cell>
          <cell r="K65">
            <v>290.63057435880364</v>
          </cell>
          <cell r="L65">
            <v>315.48313323377153</v>
          </cell>
          <cell r="M65">
            <v>341.6721897327767</v>
          </cell>
          <cell r="N65">
            <v>369.18108588105463</v>
          </cell>
          <cell r="O65">
            <v>397.98184044072303</v>
          </cell>
          <cell r="P65">
            <v>428.0344604421602</v>
          </cell>
          <cell r="Q65">
            <v>459.28634398932888</v>
          </cell>
          <cell r="R65">
            <v>491.67179110203335</v>
          </cell>
          <cell r="S65">
            <v>525.11163890089495</v>
          </cell>
          <cell r="T65">
            <v>559.51303661842076</v>
          </cell>
          <cell r="U65">
            <v>594.76937471918825</v>
          </cell>
        </row>
        <row r="66">
          <cell r="B66" t="str">
            <v>Expected payments forecast year 10</v>
          </cell>
          <cell r="D66">
            <v>106.18699999999998</v>
          </cell>
          <cell r="E66">
            <v>181.03000000000003</v>
          </cell>
          <cell r="F66">
            <v>197.32959999999997</v>
          </cell>
          <cell r="G66">
            <v>206.3152</v>
          </cell>
          <cell r="H66">
            <v>218.05499999999998</v>
          </cell>
          <cell r="I66">
            <v>244.94960000000003</v>
          </cell>
          <cell r="J66">
            <v>267.12061068702292</v>
          </cell>
          <cell r="K66">
            <v>290.63057435880364</v>
          </cell>
          <cell r="L66">
            <v>315.48313323377153</v>
          </cell>
          <cell r="M66">
            <v>341.6721897327767</v>
          </cell>
          <cell r="N66">
            <v>369.18108588105463</v>
          </cell>
          <cell r="O66">
            <v>397.98184044072303</v>
          </cell>
          <cell r="P66">
            <v>428.0344604421602</v>
          </cell>
          <cell r="Q66">
            <v>459.28634398932888</v>
          </cell>
          <cell r="R66">
            <v>491.67179110203335</v>
          </cell>
          <cell r="S66">
            <v>525.11163890089495</v>
          </cell>
          <cell r="T66">
            <v>559.51303661842076</v>
          </cell>
          <cell r="U66">
            <v>594.76937471918825</v>
          </cell>
        </row>
        <row r="67">
          <cell r="B67" t="str">
            <v>Expected payments forecast year 11</v>
          </cell>
          <cell r="D67">
            <v>106.18699999999998</v>
          </cell>
          <cell r="E67">
            <v>181.03000000000003</v>
          </cell>
          <cell r="F67">
            <v>197.32959999999997</v>
          </cell>
          <cell r="G67">
            <v>206.3152</v>
          </cell>
          <cell r="H67">
            <v>218.05499999999998</v>
          </cell>
          <cell r="I67">
            <v>244.94960000000003</v>
          </cell>
          <cell r="J67">
            <v>267.12061068702292</v>
          </cell>
          <cell r="K67">
            <v>290.63057435880364</v>
          </cell>
          <cell r="L67">
            <v>315.48313323377153</v>
          </cell>
          <cell r="M67">
            <v>341.6721897327767</v>
          </cell>
          <cell r="N67">
            <v>369.18108588105463</v>
          </cell>
          <cell r="O67">
            <v>397.98184044072303</v>
          </cell>
          <cell r="P67">
            <v>428.0344604421602</v>
          </cell>
          <cell r="Q67">
            <v>459.28634398932888</v>
          </cell>
          <cell r="R67">
            <v>491.67179110203335</v>
          </cell>
          <cell r="S67">
            <v>525.11163890089495</v>
          </cell>
          <cell r="T67">
            <v>559.51303661842076</v>
          </cell>
          <cell r="U67">
            <v>594.76937471918825</v>
          </cell>
        </row>
        <row r="68">
          <cell r="B68" t="str">
            <v>Expected payments forecast year 12</v>
          </cell>
          <cell r="D68">
            <v>106.18699999999998</v>
          </cell>
          <cell r="E68">
            <v>181.03000000000003</v>
          </cell>
          <cell r="F68">
            <v>197.32959999999997</v>
          </cell>
          <cell r="G68">
            <v>206.3152</v>
          </cell>
          <cell r="H68">
            <v>218.05499999999998</v>
          </cell>
          <cell r="I68">
            <v>244.94960000000003</v>
          </cell>
          <cell r="J68">
            <v>267.12061068702292</v>
          </cell>
          <cell r="K68">
            <v>290.63057435880364</v>
          </cell>
          <cell r="L68">
            <v>315.48313323377153</v>
          </cell>
          <cell r="M68">
            <v>341.6721897327767</v>
          </cell>
          <cell r="N68">
            <v>369.18108588105463</v>
          </cell>
          <cell r="O68">
            <v>397.98184044072303</v>
          </cell>
          <cell r="P68">
            <v>428.0344604421602</v>
          </cell>
          <cell r="Q68">
            <v>459.28634398932888</v>
          </cell>
          <cell r="R68">
            <v>491.67179110203335</v>
          </cell>
          <cell r="S68">
            <v>525.11163890089495</v>
          </cell>
          <cell r="T68">
            <v>559.51303661842076</v>
          </cell>
          <cell r="U68">
            <v>594.76937471918825</v>
          </cell>
        </row>
        <row r="69">
          <cell r="B69" t="str">
            <v>Expected payments forecast year 13</v>
          </cell>
          <cell r="D69">
            <v>106.18699999999998</v>
          </cell>
          <cell r="E69">
            <v>181.03000000000003</v>
          </cell>
          <cell r="F69">
            <v>197.32959999999997</v>
          </cell>
          <cell r="G69">
            <v>206.3152</v>
          </cell>
          <cell r="H69">
            <v>218.05499999999998</v>
          </cell>
          <cell r="I69">
            <v>244.94960000000003</v>
          </cell>
          <cell r="J69">
            <v>267.12061068702292</v>
          </cell>
          <cell r="K69">
            <v>290.63057435880364</v>
          </cell>
          <cell r="L69">
            <v>315.48313323377153</v>
          </cell>
          <cell r="M69">
            <v>341.6721897327767</v>
          </cell>
          <cell r="N69">
            <v>369.18108588105463</v>
          </cell>
          <cell r="O69">
            <v>397.98184044072303</v>
          </cell>
          <cell r="P69">
            <v>428.0344604421602</v>
          </cell>
          <cell r="Q69">
            <v>459.28634398932888</v>
          </cell>
          <cell r="R69">
            <v>491.67179110203335</v>
          </cell>
          <cell r="S69">
            <v>525.11163890089495</v>
          </cell>
          <cell r="T69">
            <v>559.51303661842076</v>
          </cell>
          <cell r="U69">
            <v>594.76937471918825</v>
          </cell>
        </row>
        <row r="70">
          <cell r="B70" t="str">
            <v>Expected payments forecast year 14</v>
          </cell>
          <cell r="D70">
            <v>106.18699999999998</v>
          </cell>
          <cell r="E70">
            <v>181.03000000000003</v>
          </cell>
          <cell r="F70">
            <v>197.32959999999997</v>
          </cell>
          <cell r="G70">
            <v>206.3152</v>
          </cell>
          <cell r="H70">
            <v>218.05499999999998</v>
          </cell>
          <cell r="I70">
            <v>244.94960000000003</v>
          </cell>
          <cell r="J70">
            <v>267.12061068702292</v>
          </cell>
          <cell r="K70">
            <v>290.63057435880364</v>
          </cell>
          <cell r="L70">
            <v>315.48313323377153</v>
          </cell>
          <cell r="M70">
            <v>341.6721897327767</v>
          </cell>
          <cell r="N70">
            <v>369.18108588105463</v>
          </cell>
          <cell r="O70">
            <v>397.98184044072303</v>
          </cell>
          <cell r="P70">
            <v>428.0344604421602</v>
          </cell>
          <cell r="Q70">
            <v>459.28634398932888</v>
          </cell>
          <cell r="R70">
            <v>491.67179110203335</v>
          </cell>
          <cell r="S70">
            <v>525.11163890089495</v>
          </cell>
          <cell r="T70">
            <v>559.51303661842076</v>
          </cell>
          <cell r="U70">
            <v>594.76937471918825</v>
          </cell>
        </row>
        <row r="71">
          <cell r="B71" t="str">
            <v>Expected payments forecast year 15</v>
          </cell>
          <cell r="D71">
            <v>106.18699999999998</v>
          </cell>
          <cell r="E71">
            <v>181.03000000000003</v>
          </cell>
          <cell r="F71">
            <v>197.32959999999997</v>
          </cell>
          <cell r="G71">
            <v>206.3152</v>
          </cell>
          <cell r="H71">
            <v>218.05499999999998</v>
          </cell>
          <cell r="I71">
            <v>244.94960000000003</v>
          </cell>
          <cell r="J71">
            <v>267.12061068702292</v>
          </cell>
          <cell r="K71">
            <v>290.63057435880364</v>
          </cell>
          <cell r="L71">
            <v>315.48313323377153</v>
          </cell>
          <cell r="M71">
            <v>341.6721897327767</v>
          </cell>
          <cell r="N71">
            <v>369.18108588105463</v>
          </cell>
          <cell r="O71">
            <v>397.98184044072303</v>
          </cell>
          <cell r="P71">
            <v>428.0344604421602</v>
          </cell>
          <cell r="Q71">
            <v>459.28634398932888</v>
          </cell>
          <cell r="R71">
            <v>491.67179110203335</v>
          </cell>
          <cell r="S71">
            <v>525.11163890089495</v>
          </cell>
          <cell r="T71">
            <v>559.51303661842076</v>
          </cell>
          <cell r="U71">
            <v>594.76937471918825</v>
          </cell>
        </row>
        <row r="72">
          <cell r="B72" t="str">
            <v>Expected payments forecast year 16</v>
          </cell>
          <cell r="D72">
            <v>106.18699999999998</v>
          </cell>
          <cell r="E72">
            <v>181.03000000000003</v>
          </cell>
          <cell r="F72">
            <v>197.32959999999997</v>
          </cell>
          <cell r="G72">
            <v>206.3152</v>
          </cell>
          <cell r="H72">
            <v>218.05499999999998</v>
          </cell>
          <cell r="I72">
            <v>244.94960000000003</v>
          </cell>
          <cell r="J72">
            <v>267.12061068702292</v>
          </cell>
          <cell r="K72">
            <v>290.63057435880364</v>
          </cell>
          <cell r="L72">
            <v>315.48313323377153</v>
          </cell>
          <cell r="M72">
            <v>341.6721897327767</v>
          </cell>
          <cell r="N72">
            <v>369.18108588105463</v>
          </cell>
          <cell r="O72">
            <v>397.98184044072303</v>
          </cell>
          <cell r="P72">
            <v>428.0344604421602</v>
          </cell>
          <cell r="Q72">
            <v>459.28634398932888</v>
          </cell>
          <cell r="R72">
            <v>491.67179110203335</v>
          </cell>
          <cell r="S72">
            <v>525.11163890089495</v>
          </cell>
          <cell r="T72">
            <v>559.51303661842076</v>
          </cell>
          <cell r="U72">
            <v>594.76937471918825</v>
          </cell>
        </row>
        <row r="73">
          <cell r="B73" t="str">
            <v>Expected payments forecast year 17</v>
          </cell>
          <cell r="D73">
            <v>106.18699999999998</v>
          </cell>
          <cell r="E73">
            <v>181.03000000000003</v>
          </cell>
          <cell r="F73">
            <v>197.32959999999997</v>
          </cell>
          <cell r="G73">
            <v>206.3152</v>
          </cell>
          <cell r="H73">
            <v>218.05499999999998</v>
          </cell>
          <cell r="I73">
            <v>244.94960000000003</v>
          </cell>
          <cell r="J73">
            <v>267.12061068702292</v>
          </cell>
          <cell r="K73">
            <v>290.63057435880364</v>
          </cell>
          <cell r="L73">
            <v>315.48313323377153</v>
          </cell>
          <cell r="M73">
            <v>341.6721897327767</v>
          </cell>
          <cell r="N73">
            <v>369.18108588105463</v>
          </cell>
          <cell r="O73">
            <v>397.98184044072303</v>
          </cell>
          <cell r="P73">
            <v>428.0344604421602</v>
          </cell>
          <cell r="Q73">
            <v>459.28634398932888</v>
          </cell>
          <cell r="R73">
            <v>491.67179110203335</v>
          </cell>
          <cell r="S73">
            <v>525.11163890089495</v>
          </cell>
          <cell r="T73">
            <v>559.51303661842076</v>
          </cell>
          <cell r="U73">
            <v>594.76937471918825</v>
          </cell>
        </row>
        <row r="74">
          <cell r="B74" t="str">
            <v>Expected payments forecast year 18</v>
          </cell>
          <cell r="D74">
            <v>106.18699999999998</v>
          </cell>
          <cell r="E74">
            <v>181.03000000000003</v>
          </cell>
          <cell r="F74">
            <v>197.32959999999997</v>
          </cell>
          <cell r="G74">
            <v>0</v>
          </cell>
          <cell r="H74">
            <v>218.05499999999998</v>
          </cell>
          <cell r="I74">
            <v>0</v>
          </cell>
          <cell r="J74">
            <v>0</v>
          </cell>
          <cell r="K74">
            <v>0</v>
          </cell>
          <cell r="L74">
            <v>0</v>
          </cell>
          <cell r="M74">
            <v>0</v>
          </cell>
          <cell r="N74">
            <v>0</v>
          </cell>
          <cell r="O74">
            <v>0</v>
          </cell>
          <cell r="P74">
            <v>0</v>
          </cell>
          <cell r="Q74">
            <v>0</v>
          </cell>
          <cell r="R74">
            <v>0</v>
          </cell>
          <cell r="S74">
            <v>0</v>
          </cell>
          <cell r="T74">
            <v>0</v>
          </cell>
          <cell r="U74">
            <v>0</v>
          </cell>
        </row>
        <row r="75">
          <cell r="B75" t="str">
            <v>Expected payments forecast year 19</v>
          </cell>
          <cell r="D75">
            <v>106.18699999999998</v>
          </cell>
          <cell r="E75">
            <v>181.03000000000003</v>
          </cell>
          <cell r="F75">
            <v>0</v>
          </cell>
          <cell r="G75">
            <v>0</v>
          </cell>
          <cell r="H75">
            <v>218.05499999999998</v>
          </cell>
          <cell r="I75">
            <v>0</v>
          </cell>
          <cell r="J75">
            <v>0</v>
          </cell>
          <cell r="K75">
            <v>0</v>
          </cell>
          <cell r="L75">
            <v>0</v>
          </cell>
          <cell r="M75">
            <v>0</v>
          </cell>
          <cell r="N75">
            <v>0</v>
          </cell>
          <cell r="O75">
            <v>0</v>
          </cell>
          <cell r="P75">
            <v>0</v>
          </cell>
          <cell r="Q75">
            <v>0</v>
          </cell>
          <cell r="R75">
            <v>0</v>
          </cell>
          <cell r="S75">
            <v>0</v>
          </cell>
          <cell r="T75">
            <v>0</v>
          </cell>
          <cell r="U75">
            <v>0</v>
          </cell>
        </row>
        <row r="76">
          <cell r="B76" t="str">
            <v>Expected payments forecast year 20</v>
          </cell>
          <cell r="D76">
            <v>106.18699999999998</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7">
          <cell r="B77" t="str">
            <v>Expected payments forecast year 21</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row>
        <row r="78">
          <cell r="B78" t="str">
            <v>Expected payments forecast year 22</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row>
        <row r="79">
          <cell r="B79" t="str">
            <v>Expected payments forecast year 23</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row>
        <row r="80">
          <cell r="B80" t="str">
            <v>Expected payments forecast year 24</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row>
        <row r="81">
          <cell r="B81" t="str">
            <v>Expected payments forecast year 25</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row>
        <row r="82">
          <cell r="B82" t="str">
            <v>Expected payments forecast year 26</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row>
        <row r="83">
          <cell r="B83" t="str">
            <v>Expected payments forecast year 27</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row>
        <row r="84">
          <cell r="B84" t="str">
            <v>Rental Payments Schedule</v>
          </cell>
        </row>
        <row r="86">
          <cell r="E86" t="str">
            <v>PV of incremental payments</v>
          </cell>
        </row>
        <row r="87">
          <cell r="A87" t="str">
            <v>Period</v>
          </cell>
          <cell r="B87" t="str">
            <v>Present Value of Incremental Lease Payments</v>
          </cell>
          <cell r="D87" t="str">
            <v>2004A</v>
          </cell>
          <cell r="E87" t="str">
            <v>2005A</v>
          </cell>
          <cell r="F87" t="str">
            <v>2006A</v>
          </cell>
          <cell r="G87" t="str">
            <v>2007A</v>
          </cell>
          <cell r="H87" t="str">
            <v>2008A</v>
          </cell>
          <cell r="I87" t="str">
            <v>2009A</v>
          </cell>
          <cell r="J87" t="str">
            <v>2010A</v>
          </cell>
          <cell r="K87" t="str">
            <v>2011E</v>
          </cell>
          <cell r="L87" t="str">
            <v>2012E</v>
          </cell>
          <cell r="M87" t="str">
            <v>2013E</v>
          </cell>
          <cell r="N87" t="str">
            <v>2014E</v>
          </cell>
          <cell r="O87" t="str">
            <v>2015E</v>
          </cell>
          <cell r="P87" t="str">
            <v>2016E</v>
          </cell>
          <cell r="Q87" t="str">
            <v>2017E</v>
          </cell>
          <cell r="R87" t="str">
            <v>2018E</v>
          </cell>
          <cell r="S87" t="str">
            <v>2019E</v>
          </cell>
          <cell r="T87" t="str">
            <v>2020E</v>
          </cell>
          <cell r="U87" t="str">
            <v>2021E</v>
          </cell>
        </row>
        <row r="88">
          <cell r="A88">
            <v>1</v>
          </cell>
          <cell r="B88" t="str">
            <v>Increase in current year lease payments versus previous years expected</v>
          </cell>
          <cell r="D88">
            <v>110.38482697264214</v>
          </cell>
          <cell r="E88">
            <v>57.701014825181716</v>
          </cell>
          <cell r="F88">
            <v>43.563112679820293</v>
          </cell>
          <cell r="G88">
            <v>35.910816849602888</v>
          </cell>
          <cell r="H88">
            <v>43.532647677498595</v>
          </cell>
          <cell r="I88">
            <v>42.950511253038769</v>
          </cell>
          <cell r="J88">
            <v>39.244492034070234</v>
          </cell>
          <cell r="K88">
            <v>65.114925508823958</v>
          </cell>
          <cell r="L88">
            <v>70.816662162224361</v>
          </cell>
          <cell r="M88">
            <v>75.560971657394063</v>
          </cell>
          <cell r="N88">
            <v>80.612747220175777</v>
          </cell>
          <cell r="O88">
            <v>86.164475661654848</v>
          </cell>
          <cell r="P88">
            <v>91.38172013727943</v>
          </cell>
          <cell r="Q88">
            <v>97.142556905731396</v>
          </cell>
          <cell r="R88">
            <v>103.01234184268401</v>
          </cell>
          <cell r="S88">
            <v>108.96693412624624</v>
          </cell>
          <cell r="T88">
            <v>114.9798912718413</v>
          </cell>
          <cell r="U88">
            <v>121.02269547688545</v>
          </cell>
        </row>
        <row r="89">
          <cell r="A89">
            <v>2</v>
          </cell>
          <cell r="B89" t="str">
            <v>PV of Increase in forecast year 1 lease commitments</v>
          </cell>
          <cell r="D89">
            <v>91.706101012452038</v>
          </cell>
          <cell r="E89">
            <v>71.310350652608108</v>
          </cell>
          <cell r="F89">
            <v>21.303828714831365</v>
          </cell>
          <cell r="G89">
            <v>13.966719371869715</v>
          </cell>
          <cell r="H89">
            <v>12.608450614342582</v>
          </cell>
          <cell r="I89">
            <v>32.688330974071725</v>
          </cell>
          <cell r="J89">
            <v>5.719188442178524</v>
          </cell>
          <cell r="K89">
            <v>23.631148550280344</v>
          </cell>
          <cell r="L89">
            <v>25.613377446175733</v>
          </cell>
          <cell r="M89">
            <v>26.772571432765968</v>
          </cell>
          <cell r="N89">
            <v>28.029698043163577</v>
          </cell>
          <cell r="O89">
            <v>29.51136059915768</v>
          </cell>
          <cell r="P89">
            <v>30.645494915982606</v>
          </cell>
          <cell r="Q89">
            <v>32.03038026587322</v>
          </cell>
          <cell r="R89">
            <v>33.371918832157782</v>
          </cell>
          <cell r="S89">
            <v>34.657668635159851</v>
          </cell>
          <cell r="T89">
            <v>35.874805158947652</v>
          </cell>
          <cell r="U89">
            <v>37.010314506903953</v>
          </cell>
        </row>
        <row r="90">
          <cell r="A90">
            <v>3</v>
          </cell>
          <cell r="B90" t="str">
            <v>PV of Increase in forecast year 2 lease commitments</v>
          </cell>
          <cell r="D90">
            <v>85.41554583382873</v>
          </cell>
          <cell r="E90">
            <v>60.825655728330332</v>
          </cell>
          <cell r="F90">
            <v>17.102690349205968</v>
          </cell>
          <cell r="G90">
            <v>13.750213763774452</v>
          </cell>
          <cell r="H90">
            <v>11.506509312249603</v>
          </cell>
          <cell r="I90">
            <v>28.791679805902753</v>
          </cell>
          <cell r="J90">
            <v>9.3525213905116686</v>
          </cell>
          <cell r="K90">
            <v>22.151272484332569</v>
          </cell>
          <cell r="L90">
            <v>24.264354558961053</v>
          </cell>
          <cell r="M90">
            <v>25.208012244852853</v>
          </cell>
          <cell r="N90">
            <v>26.291325946105346</v>
          </cell>
          <cell r="O90">
            <v>27.695263032922597</v>
          </cell>
          <cell r="P90">
            <v>28.620252001920818</v>
          </cell>
          <cell r="Q90">
            <v>29.9118966088934</v>
          </cell>
          <cell r="R90">
            <v>31.162807426475798</v>
          </cell>
          <cell r="S90">
            <v>32.361350938844723</v>
          </cell>
          <cell r="T90">
            <v>33.495522112288867</v>
          </cell>
          <cell r="U90">
            <v>34.553153955687286</v>
          </cell>
        </row>
        <row r="91">
          <cell r="A91">
            <v>4</v>
          </cell>
          <cell r="B91" t="str">
            <v>PV of Increase in forecast year 3 lease commitments</v>
          </cell>
          <cell r="D91">
            <v>79.237293625636653</v>
          </cell>
          <cell r="E91">
            <v>54.093429148740704</v>
          </cell>
          <cell r="F91">
            <v>15.543470971527421</v>
          </cell>
          <cell r="G91">
            <v>12.618691598441494</v>
          </cell>
          <cell r="H91">
            <v>15.127546748797762</v>
          </cell>
          <cell r="I91">
            <v>24.715242682463931</v>
          </cell>
          <cell r="J91">
            <v>10.672561252268197</v>
          </cell>
          <cell r="K91">
            <v>22.124864694595345</v>
          </cell>
          <cell r="L91">
            <v>24.53101256520679</v>
          </cell>
          <cell r="M91">
            <v>25.37130859707128</v>
          </cell>
          <cell r="N91">
            <v>26.406451976539788</v>
          </cell>
          <cell r="O91">
            <v>27.881283117507341</v>
          </cell>
          <cell r="P91">
            <v>28.727762581581608</v>
          </cell>
          <cell r="Q91">
            <v>30.083234659707632</v>
          </cell>
          <cell r="R91">
            <v>31.406430972355675</v>
          </cell>
          <cell r="S91">
            <v>32.686142642259242</v>
          </cell>
          <cell r="T91">
            <v>33.910728093193043</v>
          </cell>
          <cell r="U91">
            <v>35.068343484019067</v>
          </cell>
        </row>
        <row r="92">
          <cell r="A92">
            <v>5</v>
          </cell>
          <cell r="B92" t="str">
            <v>PV of Increase in forecast year 4 lease commitments</v>
          </cell>
          <cell r="D92">
            <v>73.727771351727839</v>
          </cell>
          <cell r="E92">
            <v>48.242698130968172</v>
          </cell>
          <cell r="F92">
            <v>14.167003771692105</v>
          </cell>
          <cell r="G92">
            <v>10.812848990835043</v>
          </cell>
          <cell r="H92">
            <v>17.283636645893324</v>
          </cell>
          <cell r="I92">
            <v>23.02758399510785</v>
          </cell>
          <cell r="J92">
            <v>9.6767458502456538</v>
          </cell>
          <cell r="K92">
            <v>23.432557987945774</v>
          </cell>
          <cell r="L92">
            <v>26.332461651343383</v>
          </cell>
          <cell r="M92">
            <v>27.150112687083716</v>
          </cell>
          <cell r="N92">
            <v>28.239166876397171</v>
          </cell>
          <cell r="O92">
            <v>29.930229970585344</v>
          </cell>
          <cell r="P92">
            <v>30.795948068859811</v>
          </cell>
          <cell r="Q92">
            <v>32.364677870830931</v>
          </cell>
          <cell r="R92">
            <v>33.915698248086521</v>
          </cell>
          <cell r="S92">
            <v>35.437912002900411</v>
          </cell>
          <cell r="T92">
            <v>36.919654277671519</v>
          </cell>
          <cell r="U92">
            <v>38.348953556601067</v>
          </cell>
        </row>
        <row r="93">
          <cell r="A93">
            <v>6</v>
          </cell>
          <cell r="B93" t="str">
            <v>PV of Increase in forecast year 5 lease commitments</v>
          </cell>
          <cell r="D93">
            <v>68.554164043610371</v>
          </cell>
          <cell r="E93">
            <v>40.576785262923266</v>
          </cell>
          <cell r="F93">
            <v>2.1761585941625228</v>
          </cell>
          <cell r="G93">
            <v>-4.9149562543105825</v>
          </cell>
          <cell r="H93">
            <v>1.0552535006304402</v>
          </cell>
          <cell r="I93">
            <v>11.206575535181456</v>
          </cell>
          <cell r="J93">
            <v>-4.8929541115704387</v>
          </cell>
          <cell r="K93">
            <v>-6.037894834597358</v>
          </cell>
          <cell r="L93">
            <v>-7.5131229628034717</v>
          </cell>
          <cell r="M93">
            <v>-8.4002338631708717</v>
          </cell>
          <cell r="N93">
            <v>-9.4621293312750812</v>
          </cell>
          <cell r="O93">
            <v>-10.873866888040641</v>
          </cell>
          <cell r="P93">
            <v>-12.033662368013191</v>
          </cell>
          <cell r="Q93">
            <v>-13.635492394537017</v>
          </cell>
          <cell r="R93">
            <v>-15.374791609312551</v>
          </cell>
          <cell r="S93">
            <v>-17.255077592977493</v>
          </cell>
          <cell r="T93">
            <v>-19.278893890611972</v>
          </cell>
          <cell r="U93">
            <v>-21.447778898333738</v>
          </cell>
        </row>
        <row r="94">
          <cell r="A94">
            <v>7</v>
          </cell>
          <cell r="B94" t="str">
            <v>PV of Increase in forecast year 6 lease commitments</v>
          </cell>
          <cell r="D94">
            <v>63.713594208520988</v>
          </cell>
          <cell r="E94">
            <v>42.525531187098863</v>
          </cell>
          <cell r="F94">
            <v>9.76516836712414</v>
          </cell>
          <cell r="G94">
            <v>5.8914220265200195</v>
          </cell>
          <cell r="H94">
            <v>8.0653824495599569</v>
          </cell>
          <cell r="I94">
            <v>18.522044818724165</v>
          </cell>
          <cell r="J94">
            <v>14.810063446284577</v>
          </cell>
          <cell r="K94">
            <v>16.602263440619012</v>
          </cell>
          <cell r="L94">
            <v>18.903205271174713</v>
          </cell>
          <cell r="M94">
            <v>19.091942882773559</v>
          </cell>
          <cell r="N94">
            <v>19.533018730847228</v>
          </cell>
          <cell r="O94">
            <v>20.531019861009145</v>
          </cell>
          <cell r="P94">
            <v>20.715085726369118</v>
          </cell>
          <cell r="Q94">
            <v>21.541665437620761</v>
          </cell>
          <cell r="R94">
            <v>22.322946690047022</v>
          </cell>
          <cell r="S94">
            <v>23.049648743788925</v>
          </cell>
          <cell r="T94">
            <v>23.712258869052025</v>
          </cell>
          <cell r="U94">
            <v>24.30128339447921</v>
          </cell>
        </row>
        <row r="95">
          <cell r="A95">
            <v>8</v>
          </cell>
          <cell r="B95" t="str">
            <v>PV of Increase in forecast year 7 lease commitments</v>
          </cell>
          <cell r="D95">
            <v>59.229870663989054</v>
          </cell>
          <cell r="E95">
            <v>39.226369304529193</v>
          </cell>
          <cell r="F95">
            <v>9.0759985900545228</v>
          </cell>
          <cell r="G95">
            <v>5.5466475468126992</v>
          </cell>
          <cell r="H95">
            <v>7.6442370634424304</v>
          </cell>
          <cell r="I95">
            <v>17.561009567468723</v>
          </cell>
          <cell r="J95">
            <v>13.980550283640584</v>
          </cell>
          <cell r="K95">
            <v>15.797333198035908</v>
          </cell>
          <cell r="L95">
            <v>18.178536955095119</v>
          </cell>
          <cell r="M95">
            <v>18.249045984837824</v>
          </cell>
          <cell r="N95">
            <v>18.600557745710748</v>
          </cell>
          <cell r="O95">
            <v>19.561919802869578</v>
          </cell>
          <cell r="P95">
            <v>19.642721017016196</v>
          </cell>
          <cell r="Q95">
            <v>20.42650206231648</v>
          </cell>
          <cell r="R95">
            <v>21.167328021579134</v>
          </cell>
          <cell r="S95">
            <v>21.856398479438202</v>
          </cell>
          <cell r="T95">
            <v>22.484682622396683</v>
          </cell>
          <cell r="U95">
            <v>23.043176908870102</v>
          </cell>
        </row>
        <row r="96">
          <cell r="A96">
            <v>9</v>
          </cell>
          <cell r="B96" t="str">
            <v>PV of Increase in forecast year 8 lease commitments</v>
          </cell>
          <cell r="D96">
            <v>55.061680673536557</v>
          </cell>
          <cell r="E96">
            <v>36.183158819239253</v>
          </cell>
          <cell r="F96">
            <v>8.43546647736202</v>
          </cell>
          <cell r="G96">
            <v>5.2220497649081095</v>
          </cell>
          <cell r="H96">
            <v>7.2450823810959024</v>
          </cell>
          <cell r="I96">
            <v>16.649838613767614</v>
          </cell>
          <cell r="J96">
            <v>13.197498237756511</v>
          </cell>
          <cell r="K96">
            <v>15.031428519511719</v>
          </cell>
          <cell r="L96">
            <v>17.481649333389637</v>
          </cell>
          <cell r="M96">
            <v>17.443362438362023</v>
          </cell>
          <cell r="N96">
            <v>17.712610284099874</v>
          </cell>
          <cell r="O96">
            <v>18.638562962994087</v>
          </cell>
          <cell r="P96">
            <v>18.625869767035628</v>
          </cell>
          <cell r="Q96">
            <v>19.369068176740889</v>
          </cell>
          <cell r="R96">
            <v>20.071533646268165</v>
          </cell>
          <cell r="S96">
            <v>20.724921225565865</v>
          </cell>
          <cell r="T96">
            <v>21.320657615194079</v>
          </cell>
          <cell r="U96">
            <v>21.850204099677914</v>
          </cell>
        </row>
        <row r="97">
          <cell r="A97">
            <v>10</v>
          </cell>
          <cell r="B97" t="str">
            <v>PV of Increase in forecast year 9 lease commitments</v>
          </cell>
          <cell r="D97">
            <v>51.186819160788666</v>
          </cell>
          <cell r="E97">
            <v>33.376042834204512</v>
          </cell>
          <cell r="F97">
            <v>7.8401394606509003</v>
          </cell>
          <cell r="G97">
            <v>4.9164479114680795</v>
          </cell>
          <cell r="H97">
            <v>6.8667701267270616</v>
          </cell>
          <cell r="I97">
            <v>15.785944697510098</v>
          </cell>
          <cell r="J97">
            <v>12.45830501674865</v>
          </cell>
          <cell r="K97">
            <v>14.302657322267658</v>
          </cell>
          <cell r="L97">
            <v>16.811477412649861</v>
          </cell>
          <cell r="M97">
            <v>16.673249298010525</v>
          </cell>
          <cell r="N97">
            <v>16.86705137370129</v>
          </cell>
          <cell r="O97">
            <v>17.75879018144909</v>
          </cell>
          <cell r="P97">
            <v>17.661658192774699</v>
          </cell>
          <cell r="Q97">
            <v>18.366375255572823</v>
          </cell>
          <cell r="R97">
            <v>19.032466568410086</v>
          </cell>
          <cell r="S97">
            <v>19.652019073956364</v>
          </cell>
          <cell r="T97">
            <v>20.216893819597079</v>
          </cell>
          <cell r="U97">
            <v>20.718992918628413</v>
          </cell>
        </row>
        <row r="98">
          <cell r="A98">
            <v>11</v>
          </cell>
          <cell r="B98" t="str">
            <v>PV of Increase in forecast year 10 lease commitments</v>
          </cell>
          <cell r="D98">
            <v>47.584643689572935</v>
          </cell>
          <cell r="E98">
            <v>30.786704965027578</v>
          </cell>
          <cell r="F98">
            <v>7.2868272225862603</v>
          </cell>
          <cell r="G98">
            <v>4.6287303174722192</v>
          </cell>
          <cell r="H98">
            <v>6.5082119833920808</v>
          </cell>
          <cell r="I98">
            <v>14.966874801224145</v>
          </cell>
          <cell r="J98">
            <v>11.760514083366845</v>
          </cell>
          <cell r="K98">
            <v>13.609219257682492</v>
          </cell>
          <cell r="L98">
            <v>16.166997026775171</v>
          </cell>
          <cell r="M98">
            <v>15.937136153418891</v>
          </cell>
          <cell r="N98">
            <v>16.06185748344862</v>
          </cell>
          <cell r="O98">
            <v>16.920544214427522</v>
          </cell>
          <cell r="P98">
            <v>16.747361278691631</v>
          </cell>
          <cell r="Q98">
            <v>17.415589482698437</v>
          </cell>
          <cell r="R98">
            <v>18.047190118179973</v>
          </cell>
          <cell r="S98">
            <v>18.634659667933192</v>
          </cell>
          <cell r="T98">
            <v>19.170271531474143</v>
          </cell>
          <cell r="U98">
            <v>19.646345892416733</v>
          </cell>
        </row>
        <row r="99">
          <cell r="A99">
            <v>12</v>
          </cell>
          <cell r="B99" t="str">
            <v>PV of Increase in forecast year 11 lease commitments</v>
          </cell>
          <cell r="D99">
            <v>44.235964496074111</v>
          </cell>
          <cell r="E99">
            <v>28.398249825839311</v>
          </cell>
          <cell r="F99">
            <v>6.77256460019857</v>
          </cell>
          <cell r="G99">
            <v>4.357850370368066</v>
          </cell>
          <cell r="H99">
            <v>6.1683764621602375</v>
          </cell>
          <cell r="I99">
            <v>14.190303184759715</v>
          </cell>
          <cell r="J99">
            <v>11.101806491262623</v>
          </cell>
          <cell r="K99">
            <v>12.949401263730419</v>
          </cell>
          <cell r="L99">
            <v>15.547223271827795</v>
          </cell>
          <cell r="M99">
            <v>15.233521926821918</v>
          </cell>
          <cell r="N99">
            <v>15.295101680952717</v>
          </cell>
          <cell r="O99">
            <v>16.121864923629307</v>
          </cell>
          <cell r="P99">
            <v>15.880395076027481</v>
          </cell>
          <cell r="Q99">
            <v>16.514023742264918</v>
          </cell>
          <cell r="R99">
            <v>17.112919651850511</v>
          </cell>
          <cell r="S99">
            <v>17.669967631971527</v>
          </cell>
          <cell r="T99">
            <v>18.177832552803714</v>
          </cell>
          <cell r="U99">
            <v>18.629231084752519</v>
          </cell>
        </row>
        <row r="100">
          <cell r="A100">
            <v>13</v>
          </cell>
          <cell r="B100" t="str">
            <v>PV of Increase in forecast year 12 lease commitments</v>
          </cell>
          <cell r="D100">
            <v>41.122942259767747</v>
          </cell>
          <cell r="E100">
            <v>26.19509278719136</v>
          </cell>
          <cell r="F100">
            <v>6.2945956947752828</v>
          </cell>
          <cell r="G100">
            <v>4.1028227068731278</v>
          </cell>
          <cell r="H100">
            <v>5.8462859347585932</v>
          </cell>
          <cell r="I100">
            <v>13.454024781374667</v>
          </cell>
          <cell r="J100">
            <v>10.47999317850878</v>
          </cell>
          <cell r="K100">
            <v>12.321573333050873</v>
          </cell>
          <cell r="L100">
            <v>14.951209000888824</v>
          </cell>
          <cell r="M100">
            <v>14.56097181206435</v>
          </cell>
          <cell r="N100">
            <v>14.564949021104981</v>
          </cell>
          <cell r="O100">
            <v>15.360884692711572</v>
          </cell>
          <cell r="P100">
            <v>15.058309400155231</v>
          </cell>
          <cell r="Q100">
            <v>15.659130024339216</v>
          </cell>
          <cell r="R100">
            <v>16.227014681675278</v>
          </cell>
          <cell r="S100">
            <v>16.755216444988676</v>
          </cell>
          <cell r="T100">
            <v>17.236771830553252</v>
          </cell>
          <cell r="U100">
            <v>17.664773526310878</v>
          </cell>
        </row>
        <row r="101">
          <cell r="A101">
            <v>14</v>
          </cell>
          <cell r="B101" t="str">
            <v>PV of Increase in forecast year 13 lease commitments</v>
          </cell>
          <cell r="D101">
            <v>38.228993068530805</v>
          </cell>
          <cell r="E101">
            <v>24.162858286612199</v>
          </cell>
          <cell r="F101">
            <v>5.850359103185494</v>
          </cell>
          <cell r="G101">
            <v>3.8627196285796308</v>
          </cell>
          <cell r="H101">
            <v>5.5410138211613402</v>
          </cell>
          <cell r="I101">
            <v>12.755948936471491</v>
          </cell>
          <cell r="J101">
            <v>9.8930076927596833</v>
          </cell>
          <cell r="K101">
            <v>11.724184486195641</v>
          </cell>
          <cell r="L101">
            <v>14.378043376615047</v>
          </cell>
          <cell r="M101">
            <v>13.918114348752281</v>
          </cell>
          <cell r="N101">
            <v>13.86965215481804</v>
          </cell>
          <cell r="O101">
            <v>14.635824060090361</v>
          </cell>
          <cell r="P101">
            <v>14.278780905967619</v>
          </cell>
          <cell r="Q101">
            <v>14.848492223708725</v>
          </cell>
          <cell r="R101">
            <v>15.386971413193734</v>
          </cell>
          <cell r="S101">
            <v>15.887820734343684</v>
          </cell>
          <cell r="T101">
            <v>16.34442952841091</v>
          </cell>
          <cell r="U101">
            <v>16.750247088364947</v>
          </cell>
        </row>
        <row r="102">
          <cell r="A102">
            <v>15</v>
          </cell>
          <cell r="B102" t="str">
            <v>PV of Increase in forecast year 14 lease commitments</v>
          </cell>
          <cell r="D102">
            <v>35.538700071652656</v>
          </cell>
          <cell r="E102">
            <v>22.288286028304753</v>
          </cell>
          <cell r="F102">
            <v>5.4374741914932914</v>
          </cell>
          <cell r="G102">
            <v>3.6366677273232106</v>
          </cell>
          <cell r="H102">
            <v>5.2516819240331571</v>
          </cell>
          <cell r="I102">
            <v>12.094093471206076</v>
          </cell>
          <cell r="J102">
            <v>9.3388993238761486</v>
          </cell>
          <cell r="K102">
            <v>11.155758940105724</v>
          </cell>
          <cell r="L102">
            <v>13.8268504792846</v>
          </cell>
          <cell r="M102">
            <v>13.303638625578843</v>
          </cell>
          <cell r="N102">
            <v>13.207547147395003</v>
          </cell>
          <cell r="O102">
            <v>13.944987557881801</v>
          </cell>
          <cell r="P102">
            <v>13.539606521733688</v>
          </cell>
          <cell r="Q102">
            <v>14.079819311471756</v>
          </cell>
          <cell r="R102">
            <v>14.590415668866465</v>
          </cell>
          <cell r="S102">
            <v>15.065328968766519</v>
          </cell>
          <cell r="T102">
            <v>15.498283508961201</v>
          </cell>
          <cell r="U102">
            <v>15.883066777130256</v>
          </cell>
        </row>
        <row r="103">
          <cell r="A103">
            <v>16</v>
          </cell>
          <cell r="B103" t="str">
            <v>PV of Increase in forecast year 15 lease commitments</v>
          </cell>
          <cell r="D103">
            <v>33.037731350098149</v>
          </cell>
          <cell r="E103">
            <v>20.559144459940267</v>
          </cell>
          <cell r="F103">
            <v>5.0537283373010373</v>
          </cell>
          <cell r="G103">
            <v>3.4238447080398879</v>
          </cell>
          <cell r="H103">
            <v>4.9774579023583936</v>
          </cell>
          <cell r="I103">
            <v>11.466579054112254</v>
          </cell>
          <cell r="J103">
            <v>8.8158266211926382</v>
          </cell>
          <cell r="K103">
            <v>10.614892462352547</v>
          </cell>
          <cell r="L103">
            <v>13.296787968204178</v>
          </cell>
          <cell r="M103">
            <v>12.716291607121319</v>
          </cell>
          <cell r="N103">
            <v>12.577049496520008</v>
          </cell>
          <cell r="O103">
            <v>13.286759747252498</v>
          </cell>
          <cell r="P103">
            <v>12.83869722286704</v>
          </cell>
          <cell r="Q103">
            <v>13.350938860119362</v>
          </cell>
          <cell r="R103">
            <v>13.835096178041084</v>
          </cell>
          <cell r="S103">
            <v>14.285416529564801</v>
          </cell>
          <cell r="T103">
            <v>14.695942205056081</v>
          </cell>
          <cell r="U103">
            <v>15.060781427040071</v>
          </cell>
        </row>
        <row r="104">
          <cell r="A104">
            <v>17</v>
          </cell>
          <cell r="B104" t="str">
            <v>PV of Increase in forecast year 16 lease commitments</v>
          </cell>
          <cell r="D104">
            <v>30.712763566495301</v>
          </cell>
          <cell r="E104">
            <v>18.964150961985901</v>
          </cell>
          <cell r="F104">
            <v>4.6970650724551621</v>
          </cell>
          <cell r="G104">
            <v>3.2234763975540073</v>
          </cell>
          <cell r="H104">
            <v>4.7175528769882922</v>
          </cell>
          <cell r="I104">
            <v>10.871623864760309</v>
          </cell>
          <cell r="J104">
            <v>8.322051273883023</v>
          </cell>
          <cell r="K104">
            <v>10.100248902137093</v>
          </cell>
          <cell r="L104">
            <v>12.787045794432231</v>
          </cell>
          <cell r="M104">
            <v>12.154875578658336</v>
          </cell>
          <cell r="N104">
            <v>11.976650340340697</v>
          </cell>
          <cell r="O104">
            <v>12.659601440908336</v>
          </cell>
          <cell r="P104">
            <v>12.174072128009509</v>
          </cell>
          <cell r="Q104">
            <v>12.659790903809062</v>
          </cell>
          <cell r="R104">
            <v>13.118878214284468</v>
          </cell>
          <cell r="S104">
            <v>13.545879140525123</v>
          </cell>
          <cell r="T104">
            <v>13.935137860232908</v>
          </cell>
          <cell r="U104">
            <v>14.281066772298633</v>
          </cell>
        </row>
        <row r="105">
          <cell r="A105">
            <v>18</v>
          </cell>
          <cell r="B105" t="str">
            <v>PV of Increase in forecast year 17 lease commitments</v>
          </cell>
          <cell r="D105">
            <v>28.551410988110696</v>
          </cell>
          <cell r="E105">
            <v>17.492898228802837</v>
          </cell>
          <cell r="F105">
            <v>4.3655730625720048</v>
          </cell>
          <cell r="G105">
            <v>3.0348339284162149</v>
          </cell>
          <cell r="H105">
            <v>83.048407485594325</v>
          </cell>
          <cell r="I105">
            <v>10.307538534297088</v>
          </cell>
          <cell r="J105">
            <v>94.649787157682766</v>
          </cell>
          <cell r="K105">
            <v>118.80586919193428</v>
          </cell>
          <cell r="L105">
            <v>156.09850065288751</v>
          </cell>
          <cell r="M105">
            <v>151.57596267816965</v>
          </cell>
          <cell r="N105">
            <v>153.05878092597879</v>
          </cell>
          <cell r="O105">
            <v>166.67880343068464</v>
          </cell>
          <cell r="P105">
            <v>164.41717386230135</v>
          </cell>
          <cell r="Q105">
            <v>176.42031518709754</v>
          </cell>
          <cell r="R105">
            <v>188.85853348608012</v>
          </cell>
          <cell r="S105">
            <v>201.70136495502476</v>
          </cell>
          <cell r="T105">
            <v>214.91128731326103</v>
          </cell>
          <cell r="U105">
            <v>228.44685815505341</v>
          </cell>
        </row>
        <row r="106">
          <cell r="A106">
            <v>19</v>
          </cell>
          <cell r="B106" t="str">
            <v>PV of Increase in forecast year 18 lease commitments</v>
          </cell>
          <cell r="D106">
            <v>26.542159504698397</v>
          </cell>
          <cell r="E106">
            <v>16.135786361152725</v>
          </cell>
          <cell r="F106">
            <v>4.0574758643257542</v>
          </cell>
          <cell r="G106">
            <v>0</v>
          </cell>
          <cell r="H106">
            <v>78.711917076652284</v>
          </cell>
          <cell r="I106">
            <v>-79.234893013744312</v>
          </cell>
          <cell r="J106">
            <v>0</v>
          </cell>
          <cell r="K106">
            <v>0</v>
          </cell>
          <cell r="L106">
            <v>0</v>
          </cell>
          <cell r="M106">
            <v>0</v>
          </cell>
          <cell r="N106">
            <v>0</v>
          </cell>
          <cell r="O106">
            <v>0</v>
          </cell>
          <cell r="P106">
            <v>0</v>
          </cell>
          <cell r="Q106">
            <v>0</v>
          </cell>
          <cell r="R106">
            <v>0</v>
          </cell>
          <cell r="S106">
            <v>0</v>
          </cell>
          <cell r="T106">
            <v>0</v>
          </cell>
          <cell r="U106">
            <v>0</v>
          </cell>
        </row>
        <row r="107">
          <cell r="A107">
            <v>20</v>
          </cell>
          <cell r="B107" t="str">
            <v>PV of Increase in forecast year 19 lease commitments</v>
          </cell>
          <cell r="D107">
            <v>24.674305289717971</v>
          </cell>
          <cell r="E107">
            <v>14.883960227017274</v>
          </cell>
          <cell r="F107">
            <v>0</v>
          </cell>
          <cell r="G107">
            <v>0</v>
          </cell>
          <cell r="H107">
            <v>74.601862666138118</v>
          </cell>
          <cell r="I107">
            <v>0</v>
          </cell>
          <cell r="J107">
            <v>0</v>
          </cell>
          <cell r="K107">
            <v>0</v>
          </cell>
          <cell r="L107">
            <v>0</v>
          </cell>
          <cell r="M107">
            <v>0</v>
          </cell>
          <cell r="N107">
            <v>0</v>
          </cell>
          <cell r="O107">
            <v>0</v>
          </cell>
          <cell r="P107">
            <v>0</v>
          </cell>
          <cell r="Q107">
            <v>0</v>
          </cell>
          <cell r="R107">
            <v>0</v>
          </cell>
          <cell r="S107">
            <v>0</v>
          </cell>
          <cell r="T107">
            <v>0</v>
          </cell>
          <cell r="U107">
            <v>0</v>
          </cell>
        </row>
        <row r="108">
          <cell r="A108">
            <v>21</v>
          </cell>
          <cell r="B108" t="str">
            <v>PV of Increase in forecast year 20 lease commitments</v>
          </cell>
          <cell r="D108">
            <v>22.937897778153015</v>
          </cell>
          <cell r="E108">
            <v>0</v>
          </cell>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row>
        <row r="109">
          <cell r="A109">
            <v>22</v>
          </cell>
          <cell r="B109" t="str">
            <v>PV of Increase in forecast year 21 lease commitments</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row>
        <row r="110">
          <cell r="A110">
            <v>23</v>
          </cell>
          <cell r="B110" t="str">
            <v>PV of Increase in forecast year 22 lease commitments</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row>
        <row r="111">
          <cell r="A111">
            <v>24</v>
          </cell>
          <cell r="B111" t="str">
            <v>PV of Increase in forecast year 23 lease commitments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row>
        <row r="112">
          <cell r="A112">
            <v>25</v>
          </cell>
          <cell r="B112" t="str">
            <v>PV of Increase in forecast year 24 lease commitments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row>
        <row r="113">
          <cell r="A113">
            <v>26</v>
          </cell>
          <cell r="B113" t="str">
            <v>PV of Increase in forecast year 25 lease commitments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row>
        <row r="114">
          <cell r="A114">
            <v>27</v>
          </cell>
          <cell r="B114" t="str">
            <v>PV of Increase in forecast year 26 lease commitments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row>
        <row r="115">
          <cell r="A115">
            <v>28</v>
          </cell>
          <cell r="B115" t="str">
            <v>PV of Increase in forecast year 27 lease commitments</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row>
        <row r="116">
          <cell r="B116" t="str">
            <v>Estimated additions to leased assets in period</v>
          </cell>
          <cell r="D116">
            <v>1111.3851796096048</v>
          </cell>
          <cell r="E116">
            <v>703.92816802569837</v>
          </cell>
          <cell r="F116">
            <v>198.78870112532414</v>
          </cell>
          <cell r="G116">
            <v>133.9918473545483</v>
          </cell>
          <cell r="H116">
            <v>406.30828465347446</v>
          </cell>
          <cell r="I116">
            <v>252.77085555769847</v>
          </cell>
          <cell r="J116">
            <v>288.58085766466667</v>
          </cell>
          <cell r="K116">
            <v>413.43170470900401</v>
          </cell>
          <cell r="L116">
            <v>492.47227196433255</v>
          </cell>
          <cell r="M116">
            <v>492.52085609056655</v>
          </cell>
          <cell r="N116">
            <v>503.4420871160246</v>
          </cell>
          <cell r="O116">
            <v>536.40830836969508</v>
          </cell>
          <cell r="P116">
            <v>539.71724643656034</v>
          </cell>
          <cell r="Q116">
            <v>568.54896458425958</v>
          </cell>
          <cell r="R116">
            <v>597.26570005092321</v>
          </cell>
          <cell r="S116">
            <v>625.68357234830069</v>
          </cell>
          <cell r="T116">
            <v>653.60615628032349</v>
          </cell>
          <cell r="U116">
            <v>680.83171012678611</v>
          </cell>
        </row>
        <row r="118">
          <cell r="B118" t="str">
            <v>Calculation of Capital expenditure financed through operating leases</v>
          </cell>
        </row>
        <row r="121">
          <cell r="B121" t="str">
            <v>Depreciation schedule</v>
          </cell>
          <cell r="D121" t="str">
            <v>2004A</v>
          </cell>
          <cell r="E121" t="str">
            <v>2005A</v>
          </cell>
          <cell r="F121" t="str">
            <v>2006A</v>
          </cell>
          <cell r="G121" t="str">
            <v>2007A</v>
          </cell>
          <cell r="H121" t="str">
            <v>2008A</v>
          </cell>
          <cell r="I121" t="str">
            <v>2009A</v>
          </cell>
          <cell r="J121" t="str">
            <v>2010A</v>
          </cell>
          <cell r="K121" t="str">
            <v>2011E</v>
          </cell>
          <cell r="L121" t="str">
            <v>2012E</v>
          </cell>
          <cell r="M121" t="str">
            <v>2013E</v>
          </cell>
          <cell r="N121" t="str">
            <v>2014E</v>
          </cell>
          <cell r="O121" t="str">
            <v>2015E</v>
          </cell>
          <cell r="P121" t="str">
            <v>2016E</v>
          </cell>
          <cell r="Q121" t="str">
            <v>2017E</v>
          </cell>
          <cell r="R121" t="str">
            <v>2018E</v>
          </cell>
          <cell r="S121" t="str">
            <v>2019E</v>
          </cell>
          <cell r="T121" t="str">
            <v>2020E</v>
          </cell>
          <cell r="U121" t="str">
            <v>2021E</v>
          </cell>
        </row>
        <row r="123">
          <cell r="B123" t="str">
            <v>Assumed Average Lease Life</v>
          </cell>
          <cell r="D123">
            <v>19.786282689971468</v>
          </cell>
          <cell r="E123">
            <v>18.850986024415839</v>
          </cell>
          <cell r="F123">
            <v>17.818573594635573</v>
          </cell>
          <cell r="G123">
            <v>16.882284969793794</v>
          </cell>
          <cell r="H123">
            <v>18.113274173946941</v>
          </cell>
          <cell r="I123">
            <v>16.491784432389355</v>
          </cell>
          <cell r="J123">
            <v>15.351895186907013</v>
          </cell>
          <cell r="K123">
            <v>15.351895186907013</v>
          </cell>
          <cell r="L123">
            <v>15.351895186907013</v>
          </cell>
          <cell r="M123">
            <v>15.351895186907013</v>
          </cell>
          <cell r="N123">
            <v>15.351895186907013</v>
          </cell>
          <cell r="O123">
            <v>15.351895186907013</v>
          </cell>
          <cell r="P123">
            <v>15.351895186907013</v>
          </cell>
          <cell r="Q123">
            <v>15.351895186907013</v>
          </cell>
          <cell r="R123">
            <v>15.351895186907013</v>
          </cell>
          <cell r="S123">
            <v>15.351895186907013</v>
          </cell>
          <cell r="T123">
            <v>15.351895186907013</v>
          </cell>
          <cell r="U123">
            <v>15.351895186907013</v>
          </cell>
        </row>
        <row r="124">
          <cell r="B124" t="str">
            <v>Fade rate for depreciation of opening balance</v>
          </cell>
          <cell r="D124">
            <v>0.88</v>
          </cell>
        </row>
        <row r="125">
          <cell r="B125" t="str">
            <v>Depreciation of take on book value</v>
          </cell>
          <cell r="D125">
            <v>98.902357379510306</v>
          </cell>
          <cell r="E125">
            <v>87.034074493969072</v>
          </cell>
          <cell r="F125">
            <v>76.589985554692788</v>
          </cell>
          <cell r="G125">
            <v>67.399187288129653</v>
          </cell>
          <cell r="H125">
            <v>59.311284813554096</v>
          </cell>
          <cell r="I125">
            <v>52.193930635927607</v>
          </cell>
          <cell r="J125">
            <v>45.930658959616295</v>
          </cell>
          <cell r="K125">
            <v>40.418979884462338</v>
          </cell>
          <cell r="L125">
            <v>35.568702298326855</v>
          </cell>
          <cell r="M125">
            <v>31.300458022527632</v>
          </cell>
          <cell r="N125">
            <v>27.544403059824315</v>
          </cell>
          <cell r="O125">
            <v>24.239074692645399</v>
          </cell>
          <cell r="P125">
            <v>21.330385729527951</v>
          </cell>
          <cell r="Q125">
            <v>18.770739441984595</v>
          </cell>
          <cell r="R125">
            <v>16.518250708946443</v>
          </cell>
          <cell r="S125">
            <v>14.536060623872871</v>
          </cell>
          <cell r="T125">
            <v>12.791733349008126</v>
          </cell>
          <cell r="U125">
            <v>11.256725347127151</v>
          </cell>
        </row>
        <row r="126">
          <cell r="B126">
            <v>2005</v>
          </cell>
          <cell r="E126">
            <v>37.341716083920971</v>
          </cell>
          <cell r="F126">
            <v>37.341716083920971</v>
          </cell>
          <cell r="G126">
            <v>37.341716083920971</v>
          </cell>
          <cell r="H126">
            <v>37.341716083920971</v>
          </cell>
          <cell r="I126">
            <v>37.341716083920971</v>
          </cell>
          <cell r="J126">
            <v>37.341716083920971</v>
          </cell>
          <cell r="K126">
            <v>37.341716083920971</v>
          </cell>
          <cell r="L126">
            <v>37.341716083920971</v>
          </cell>
          <cell r="M126">
            <v>37.341716083920971</v>
          </cell>
          <cell r="N126">
            <v>37.341716083920971</v>
          </cell>
          <cell r="O126">
            <v>37.341716083920971</v>
          </cell>
          <cell r="P126">
            <v>37.341716083920971</v>
          </cell>
          <cell r="Q126">
            <v>37.341716083920971</v>
          </cell>
          <cell r="R126">
            <v>37.341716083920971</v>
          </cell>
          <cell r="S126">
            <v>37.341716083920971</v>
          </cell>
          <cell r="T126">
            <v>37.341716083920971</v>
          </cell>
          <cell r="U126">
            <v>37.341716083920971</v>
          </cell>
        </row>
        <row r="127">
          <cell r="B127">
            <v>2006</v>
          </cell>
          <cell r="F127">
            <v>11.156263438795746</v>
          </cell>
          <cell r="G127">
            <v>11.156263438795746</v>
          </cell>
          <cell r="H127">
            <v>11.156263438795746</v>
          </cell>
          <cell r="I127">
            <v>11.156263438795746</v>
          </cell>
          <cell r="J127">
            <v>11.156263438795746</v>
          </cell>
          <cell r="K127">
            <v>11.156263438795746</v>
          </cell>
          <cell r="L127">
            <v>11.156263438795746</v>
          </cell>
          <cell r="M127">
            <v>11.156263438795746</v>
          </cell>
          <cell r="N127">
            <v>11.156263438795746</v>
          </cell>
          <cell r="O127">
            <v>11.156263438795746</v>
          </cell>
          <cell r="P127">
            <v>11.156263438795746</v>
          </cell>
          <cell r="Q127">
            <v>11.156263438795746</v>
          </cell>
          <cell r="R127">
            <v>11.156263438795746</v>
          </cell>
          <cell r="S127">
            <v>11.156263438795746</v>
          </cell>
          <cell r="T127">
            <v>11.156263438795746</v>
          </cell>
          <cell r="U127">
            <v>11.156263438795746</v>
          </cell>
        </row>
        <row r="128">
          <cell r="B128">
            <v>2007</v>
          </cell>
          <cell r="G128">
            <v>7.9368312757597597</v>
          </cell>
          <cell r="H128">
            <v>7.9368312757597597</v>
          </cell>
          <cell r="I128">
            <v>7.9368312757597597</v>
          </cell>
          <cell r="J128">
            <v>7.9368312757597597</v>
          </cell>
          <cell r="K128">
            <v>7.9368312757597597</v>
          </cell>
          <cell r="L128">
            <v>7.9368312757597597</v>
          </cell>
          <cell r="M128">
            <v>7.9368312757597597</v>
          </cell>
          <cell r="N128">
            <v>7.9368312757597597</v>
          </cell>
          <cell r="O128">
            <v>7.9368312757597597</v>
          </cell>
          <cell r="P128">
            <v>7.9368312757597597</v>
          </cell>
          <cell r="Q128">
            <v>7.9368312757597597</v>
          </cell>
          <cell r="R128">
            <v>7.9368312757597597</v>
          </cell>
          <cell r="S128">
            <v>7.9368312757597597</v>
          </cell>
          <cell r="T128">
            <v>7.9368312757597597</v>
          </cell>
          <cell r="U128">
            <v>7.9368312757597597</v>
          </cell>
        </row>
        <row r="129">
          <cell r="B129">
            <v>2008</v>
          </cell>
          <cell r="H129">
            <v>22.431520704185232</v>
          </cell>
          <cell r="I129">
            <v>22.431520704185232</v>
          </cell>
          <cell r="J129">
            <v>22.431520704185232</v>
          </cell>
          <cell r="K129">
            <v>22.431520704185232</v>
          </cell>
          <cell r="L129">
            <v>22.431520704185232</v>
          </cell>
          <cell r="M129">
            <v>22.431520704185232</v>
          </cell>
          <cell r="N129">
            <v>22.431520704185232</v>
          </cell>
          <cell r="O129">
            <v>22.431520704185232</v>
          </cell>
          <cell r="P129">
            <v>22.431520704185232</v>
          </cell>
          <cell r="Q129">
            <v>22.431520704185232</v>
          </cell>
          <cell r="R129">
            <v>22.431520704185232</v>
          </cell>
          <cell r="S129">
            <v>22.431520704185232</v>
          </cell>
          <cell r="T129">
            <v>22.431520704185232</v>
          </cell>
          <cell r="U129">
            <v>22.431520704185232</v>
          </cell>
        </row>
        <row r="130">
          <cell r="B130">
            <v>2009</v>
          </cell>
          <cell r="I130">
            <v>15.32707734532743</v>
          </cell>
          <cell r="J130">
            <v>15.32707734532743</v>
          </cell>
          <cell r="K130">
            <v>15.32707734532743</v>
          </cell>
          <cell r="L130">
            <v>15.32707734532743</v>
          </cell>
          <cell r="M130">
            <v>15.32707734532743</v>
          </cell>
          <cell r="N130">
            <v>15.32707734532743</v>
          </cell>
          <cell r="O130">
            <v>15.32707734532743</v>
          </cell>
          <cell r="P130">
            <v>15.32707734532743</v>
          </cell>
          <cell r="Q130">
            <v>15.32707734532743</v>
          </cell>
          <cell r="R130">
            <v>15.32707734532743</v>
          </cell>
          <cell r="S130">
            <v>15.32707734532743</v>
          </cell>
          <cell r="T130">
            <v>15.32707734532743</v>
          </cell>
          <cell r="U130">
            <v>15.32707734532743</v>
          </cell>
        </row>
        <row r="131">
          <cell r="B131">
            <v>2010</v>
          </cell>
          <cell r="J131">
            <v>18.79773501259865</v>
          </cell>
          <cell r="K131">
            <v>18.79773501259865</v>
          </cell>
          <cell r="L131">
            <v>18.79773501259865</v>
          </cell>
          <cell r="M131">
            <v>18.79773501259865</v>
          </cell>
          <cell r="N131">
            <v>18.79773501259865</v>
          </cell>
          <cell r="O131">
            <v>18.79773501259865</v>
          </cell>
          <cell r="P131">
            <v>18.79773501259865</v>
          </cell>
          <cell r="Q131">
            <v>18.79773501259865</v>
          </cell>
          <cell r="R131">
            <v>18.79773501259865</v>
          </cell>
          <cell r="S131">
            <v>18.79773501259865</v>
          </cell>
          <cell r="T131">
            <v>18.79773501259865</v>
          </cell>
          <cell r="U131">
            <v>18.79773501259865</v>
          </cell>
        </row>
        <row r="132">
          <cell r="B132">
            <v>2011</v>
          </cell>
          <cell r="K132">
            <v>26.930336592032138</v>
          </cell>
          <cell r="L132">
            <v>26.930336592032138</v>
          </cell>
          <cell r="M132">
            <v>26.930336592032138</v>
          </cell>
          <cell r="N132">
            <v>26.930336592032138</v>
          </cell>
          <cell r="O132">
            <v>26.930336592032138</v>
          </cell>
          <cell r="P132">
            <v>26.930336592032138</v>
          </cell>
          <cell r="Q132">
            <v>26.930336592032138</v>
          </cell>
          <cell r="R132">
            <v>26.930336592032138</v>
          </cell>
          <cell r="S132">
            <v>26.930336592032138</v>
          </cell>
          <cell r="T132">
            <v>26.930336592032138</v>
          </cell>
          <cell r="U132">
            <v>26.930336592032138</v>
          </cell>
        </row>
        <row r="133">
          <cell r="B133">
            <v>2012</v>
          </cell>
          <cell r="L133">
            <v>32.078923544523768</v>
          </cell>
          <cell r="M133">
            <v>32.078923544523768</v>
          </cell>
          <cell r="N133">
            <v>32.078923544523768</v>
          </cell>
          <cell r="O133">
            <v>32.078923544523768</v>
          </cell>
          <cell r="P133">
            <v>32.078923544523768</v>
          </cell>
          <cell r="Q133">
            <v>32.078923544523768</v>
          </cell>
          <cell r="R133">
            <v>32.078923544523768</v>
          </cell>
          <cell r="S133">
            <v>32.078923544523768</v>
          </cell>
          <cell r="T133">
            <v>32.078923544523768</v>
          </cell>
          <cell r="U133">
            <v>32.078923544523768</v>
          </cell>
        </row>
        <row r="134">
          <cell r="B134">
            <v>2013</v>
          </cell>
          <cell r="M134">
            <v>32.082088243451331</v>
          </cell>
          <cell r="N134">
            <v>32.082088243451331</v>
          </cell>
          <cell r="O134">
            <v>32.082088243451331</v>
          </cell>
          <cell r="P134">
            <v>32.082088243451331</v>
          </cell>
          <cell r="Q134">
            <v>32.082088243451331</v>
          </cell>
          <cell r="R134">
            <v>32.082088243451331</v>
          </cell>
          <cell r="S134">
            <v>32.082088243451331</v>
          </cell>
          <cell r="T134">
            <v>32.082088243451331</v>
          </cell>
          <cell r="U134">
            <v>32.082088243451331</v>
          </cell>
        </row>
        <row r="135">
          <cell r="B135">
            <v>2014</v>
          </cell>
          <cell r="N135">
            <v>32.793481259915666</v>
          </cell>
          <cell r="O135">
            <v>32.793481259915666</v>
          </cell>
          <cell r="P135">
            <v>32.793481259915666</v>
          </cell>
          <cell r="Q135">
            <v>32.793481259915666</v>
          </cell>
          <cell r="R135">
            <v>32.793481259915666</v>
          </cell>
          <cell r="S135">
            <v>32.793481259915666</v>
          </cell>
          <cell r="T135">
            <v>32.793481259915666</v>
          </cell>
          <cell r="U135">
            <v>32.793481259915666</v>
          </cell>
        </row>
        <row r="136">
          <cell r="B136">
            <v>2015</v>
          </cell>
          <cell r="O136">
            <v>34.940852698575952</v>
          </cell>
          <cell r="P136">
            <v>34.940852698575952</v>
          </cell>
          <cell r="Q136">
            <v>34.940852698575952</v>
          </cell>
          <cell r="R136">
            <v>34.940852698575952</v>
          </cell>
          <cell r="S136">
            <v>34.940852698575952</v>
          </cell>
          <cell r="T136">
            <v>34.940852698575952</v>
          </cell>
          <cell r="U136">
            <v>34.940852698575952</v>
          </cell>
        </row>
        <row r="137">
          <cell r="B137">
            <v>2016</v>
          </cell>
          <cell r="P137">
            <v>35.156392084858844</v>
          </cell>
          <cell r="Q137">
            <v>35.156392084858844</v>
          </cell>
          <cell r="R137">
            <v>35.156392084858844</v>
          </cell>
          <cell r="S137">
            <v>35.156392084858844</v>
          </cell>
          <cell r="T137">
            <v>35.156392084858844</v>
          </cell>
          <cell r="U137">
            <v>35.156392084858844</v>
          </cell>
        </row>
        <row r="138">
          <cell r="B138">
            <v>2017</v>
          </cell>
          <cell r="Q138">
            <v>37.034448037995411</v>
          </cell>
          <cell r="R138">
            <v>37.034448037995411</v>
          </cell>
          <cell r="S138">
            <v>37.034448037995411</v>
          </cell>
          <cell r="T138">
            <v>37.034448037995411</v>
          </cell>
          <cell r="U138">
            <v>37.034448037995411</v>
          </cell>
        </row>
        <row r="139">
          <cell r="B139">
            <v>2018</v>
          </cell>
          <cell r="R139">
            <v>38.905014187453943</v>
          </cell>
          <cell r="S139">
            <v>38.905014187453943</v>
          </cell>
          <cell r="T139">
            <v>38.905014187453943</v>
          </cell>
          <cell r="U139">
            <v>38.905014187453943</v>
          </cell>
        </row>
        <row r="140">
          <cell r="B140">
            <v>2019</v>
          </cell>
          <cell r="S140">
            <v>40.756112827158951</v>
          </cell>
          <cell r="T140">
            <v>40.756112827158951</v>
          </cell>
          <cell r="U140">
            <v>40.756112827158951</v>
          </cell>
        </row>
        <row r="141">
          <cell r="B141">
            <v>2020</v>
          </cell>
          <cell r="T141">
            <v>42.574949107114591</v>
          </cell>
          <cell r="U141">
            <v>44.348381866718249</v>
          </cell>
        </row>
        <row r="142">
          <cell r="U142">
            <v>44.348381866718249</v>
          </cell>
        </row>
        <row r="143">
          <cell r="D143">
            <v>98.902357379510306</v>
          </cell>
          <cell r="E143">
            <v>124.37579057789004</v>
          </cell>
          <cell r="F143">
            <v>125.08796507740951</v>
          </cell>
          <cell r="G143">
            <v>123.83399808660613</v>
          </cell>
          <cell r="H143">
            <v>138.17761631621579</v>
          </cell>
          <cell r="I143">
            <v>146.38733948391678</v>
          </cell>
          <cell r="J143">
            <v>158.92180282020408</v>
          </cell>
          <cell r="K143">
            <v>180.34046033708228</v>
          </cell>
          <cell r="L143">
            <v>207.56910629547056</v>
          </cell>
          <cell r="M143">
            <v>235.38295026312267</v>
          </cell>
          <cell r="N143">
            <v>264.42037656033506</v>
          </cell>
          <cell r="O143">
            <v>296.05590089173205</v>
          </cell>
          <cell r="P143">
            <v>328.30360401347343</v>
          </cell>
          <cell r="Q143">
            <v>362.77840576392549</v>
          </cell>
          <cell r="R143">
            <v>399.4309312183413</v>
          </cell>
          <cell r="S143">
            <v>438.20485396042665</v>
          </cell>
          <cell r="T143">
            <v>479.03547579267655</v>
          </cell>
          <cell r="U143">
            <v>523.6222824171175</v>
          </cell>
        </row>
        <row r="144">
          <cell r="B144" t="str">
            <v>Depreciation Schedule</v>
          </cell>
        </row>
      </sheetData>
      <sheetData sheetId="7" refreshError="1">
        <row r="1">
          <cell r="A1" t="str">
            <v>Simon Flannery / simon.flannery@morganstanley.com / 212-761-6432</v>
          </cell>
          <cell r="H1" t="str">
            <v>AMT</v>
          </cell>
        </row>
        <row r="2">
          <cell r="A2" t="str">
            <v>American Tower</v>
          </cell>
          <cell r="E2" t="str">
            <v>Mode:</v>
          </cell>
          <cell r="F2">
            <v>2</v>
          </cell>
        </row>
        <row r="3">
          <cell r="A3" t="str">
            <v>Discounted Cash Flow</v>
          </cell>
          <cell r="E3" t="str">
            <v>1 = Bull</v>
          </cell>
          <cell r="F3" t="str">
            <v>2 = Base</v>
          </cell>
          <cell r="G3" t="str">
            <v>3 = Bear</v>
          </cell>
        </row>
        <row r="4">
          <cell r="A4" t="str">
            <v>(US$ in Thousands, Except per Share Data)</v>
          </cell>
        </row>
        <row r="7">
          <cell r="A7" t="str">
            <v>Update and Check Before Running Valuation</v>
          </cell>
          <cell r="I7" t="str">
            <v>COMMENTS</v>
          </cell>
        </row>
        <row r="8">
          <cell r="A8" t="str">
            <v>Next Calendar Year</v>
          </cell>
          <cell r="H8">
            <v>40543</v>
          </cell>
        </row>
        <row r="9">
          <cell r="A9" t="str">
            <v>One Year Forward Valuation Date</v>
          </cell>
          <cell r="H9">
            <v>40908</v>
          </cell>
        </row>
        <row r="10">
          <cell r="A10" t="str">
            <v>Implied Days Before Valuation Date</v>
          </cell>
          <cell r="H10">
            <v>365</v>
          </cell>
        </row>
        <row r="11">
          <cell r="A11" t="str">
            <v>Implied Days Left After Valuation Date</v>
          </cell>
          <cell r="H11">
            <v>0</v>
          </cell>
        </row>
        <row r="12">
          <cell r="A12" t="str">
            <v>Years to Discount</v>
          </cell>
          <cell r="H12">
            <v>10</v>
          </cell>
        </row>
        <row r="13">
          <cell r="A13" t="str">
            <v>Low Perpetuity Growth Rate</v>
          </cell>
          <cell r="H13">
            <v>0.5</v>
          </cell>
        </row>
        <row r="14">
          <cell r="A14" t="str">
            <v>High Perpetuity Growth Rate</v>
          </cell>
          <cell r="H14">
            <v>3</v>
          </cell>
        </row>
        <row r="15">
          <cell r="A15" t="str">
            <v>Base WACC</v>
          </cell>
          <cell r="H15">
            <v>6.9824999999999999</v>
          </cell>
        </row>
        <row r="17">
          <cell r="A17" t="str">
            <v>Inputs</v>
          </cell>
          <cell r="H17">
            <v>40937</v>
          </cell>
        </row>
        <row r="18">
          <cell r="A18" t="str">
            <v>Current Cash Balance</v>
          </cell>
          <cell r="H18">
            <v>49.43480890566741</v>
          </cell>
        </row>
        <row r="19">
          <cell r="A19" t="str">
            <v>Current Total Debt + Minority Interest</v>
          </cell>
          <cell r="H19">
            <v>6836.7297507774983</v>
          </cell>
        </row>
        <row r="20">
          <cell r="A20" t="str">
            <v>Net Debt</v>
          </cell>
          <cell r="H20">
            <v>6787.2949418718308</v>
          </cell>
        </row>
        <row r="21">
          <cell r="A21" t="str">
            <v>Current Share Price</v>
          </cell>
          <cell r="H21">
            <v>62.32</v>
          </cell>
        </row>
        <row r="22">
          <cell r="A22" t="str">
            <v>Current Diluted Shares</v>
          </cell>
          <cell r="H22">
            <v>393.18930297842235</v>
          </cell>
        </row>
        <row r="23">
          <cell r="A23" t="str">
            <v>Market Capitalization</v>
          </cell>
          <cell r="H23">
            <v>24503.55736161528</v>
          </cell>
        </row>
        <row r="24">
          <cell r="A24" t="str">
            <v>Enterprise Value</v>
          </cell>
          <cell r="H24">
            <v>31290.85230348711</v>
          </cell>
        </row>
        <row r="25">
          <cell r="A25" t="str">
            <v>Equity Beta</v>
          </cell>
          <cell r="H25">
            <v>0.89333333333333331</v>
          </cell>
        </row>
        <row r="26">
          <cell r="A26" t="str">
            <v>Equity Market Cost of Capital</v>
          </cell>
          <cell r="H26">
            <v>0.12</v>
          </cell>
        </row>
        <row r="27">
          <cell r="A27" t="str">
            <v>Debt Cost of Capital</v>
          </cell>
          <cell r="H27">
            <v>4.4999999999999998E-2</v>
          </cell>
        </row>
        <row r="28">
          <cell r="A28" t="str">
            <v>Risk-free Rate</v>
          </cell>
          <cell r="H28">
            <v>0.03</v>
          </cell>
          <cell r="I28" t="str">
            <v>Current 10-Yr</v>
          </cell>
        </row>
        <row r="29">
          <cell r="A29" t="str">
            <v>Tax Rate</v>
          </cell>
          <cell r="H29">
            <v>0.35</v>
          </cell>
          <cell r="I29" t="str">
            <v>US Corp Tax Rate</v>
          </cell>
        </row>
        <row r="30">
          <cell r="A30" t="str">
            <v>Shareholders' Equity</v>
          </cell>
          <cell r="H30">
            <v>3236.7816192649143</v>
          </cell>
        </row>
        <row r="31">
          <cell r="A31" t="str">
            <v>Total Capital</v>
          </cell>
          <cell r="H31">
            <v>10073.511370042412</v>
          </cell>
        </row>
        <row r="32">
          <cell r="A32" t="str">
            <v>Debt / Total Capital (Target)</v>
          </cell>
          <cell r="H32">
            <v>0.5</v>
          </cell>
        </row>
        <row r="34">
          <cell r="C34" t="str">
            <v>Actual Calendar Year ending December 31,</v>
          </cell>
          <cell r="G34" t="str">
            <v>Projected Calendar Year ending December 31,</v>
          </cell>
        </row>
        <row r="35">
          <cell r="C35">
            <v>2006</v>
          </cell>
          <cell r="D35">
            <v>2007</v>
          </cell>
          <cell r="E35">
            <v>2008</v>
          </cell>
          <cell r="F35">
            <v>2009</v>
          </cell>
          <cell r="G35">
            <v>2010</v>
          </cell>
          <cell r="H35">
            <v>2011</v>
          </cell>
          <cell r="I35">
            <v>2012</v>
          </cell>
          <cell r="J35">
            <v>2013</v>
          </cell>
          <cell r="K35">
            <v>2014</v>
          </cell>
          <cell r="L35">
            <v>2015</v>
          </cell>
          <cell r="M35">
            <v>2016</v>
          </cell>
          <cell r="N35">
            <v>2017</v>
          </cell>
          <cell r="O35">
            <v>2018</v>
          </cell>
          <cell r="P35">
            <v>2019</v>
          </cell>
          <cell r="Q35">
            <v>2020</v>
          </cell>
          <cell r="R35">
            <v>2021</v>
          </cell>
        </row>
        <row r="37">
          <cell r="A37" t="str">
            <v>Net Revenue</v>
          </cell>
          <cell r="C37">
            <v>1317.385</v>
          </cell>
          <cell r="D37">
            <v>1456.5939999999998</v>
          </cell>
          <cell r="E37">
            <v>1593.5039999999999</v>
          </cell>
          <cell r="F37">
            <v>1724.114</v>
          </cell>
          <cell r="G37">
            <v>1985.335</v>
          </cell>
          <cell r="H37">
            <v>2442.4844406660486</v>
          </cell>
          <cell r="I37">
            <v>2911.4640299651196</v>
          </cell>
          <cell r="J37">
            <v>3227.6786398245722</v>
          </cell>
          <cell r="K37">
            <v>3388.5406501778916</v>
          </cell>
          <cell r="L37">
            <v>3526.7089335217506</v>
          </cell>
          <cell r="M37">
            <v>3659.6765510326509</v>
          </cell>
          <cell r="N37">
            <v>3778.2293790847666</v>
          </cell>
          <cell r="O37">
            <v>3881.2017590953283</v>
          </cell>
          <cell r="P37">
            <v>3968.3319358093891</v>
          </cell>
          <cell r="Q37">
            <v>4037.2462401908761</v>
          </cell>
          <cell r="R37">
            <v>4089.8958364881769</v>
          </cell>
        </row>
        <row r="38">
          <cell r="A38" t="str">
            <v>% Net Revenue Growth</v>
          </cell>
          <cell r="D38">
            <v>0.10567070370468756</v>
          </cell>
          <cell r="E38">
            <v>9.3993247260389712E-2</v>
          </cell>
          <cell r="F38">
            <v>8.1964023937185049E-2</v>
          </cell>
          <cell r="G38">
            <v>0.1515102829627275</v>
          </cell>
          <cell r="H38">
            <v>0.23026312469484922</v>
          </cell>
          <cell r="I38">
            <v>0.19200924333060798</v>
          </cell>
          <cell r="J38">
            <v>0.10861017227241554</v>
          </cell>
          <cell r="K38">
            <v>4.9838298140505888E-2</v>
          </cell>
          <cell r="L38">
            <v>4.0775158868643135E-2</v>
          </cell>
          <cell r="M38">
            <v>3.7703031357940731E-2</v>
          </cell>
          <cell r="N38">
            <v>3.2394345893399734E-2</v>
          </cell>
          <cell r="O38">
            <v>2.7254136707683285E-2</v>
          </cell>
          <cell r="P38">
            <v>2.2449277858301864E-2</v>
          </cell>
          <cell r="Q38">
            <v>1.7366063498776008E-2</v>
          </cell>
          <cell r="R38">
            <v>1.304096732400728E-2</v>
          </cell>
        </row>
        <row r="39">
          <cell r="A39" t="str">
            <v>Operating Income Incl. Stock Comp</v>
          </cell>
          <cell r="C39">
            <v>283.90100000000001</v>
          </cell>
          <cell r="D39">
            <v>378.36299999999977</v>
          </cell>
          <cell r="E39">
            <v>606.75399999999979</v>
          </cell>
          <cell r="F39">
            <v>672.25800000000015</v>
          </cell>
          <cell r="G39">
            <v>784.37800000000004</v>
          </cell>
          <cell r="H39">
            <v>938.72454897960154</v>
          </cell>
          <cell r="I39">
            <v>1239.1073013543553</v>
          </cell>
          <cell r="J39">
            <v>1445.3806544980666</v>
          </cell>
          <cell r="K39">
            <v>1596.4362951839876</v>
          </cell>
          <cell r="L39">
            <v>1688.6098437478581</v>
          </cell>
          <cell r="M39">
            <v>1770.311360539743</v>
          </cell>
          <cell r="N39">
            <v>1839.4036820198212</v>
          </cell>
          <cell r="O39">
            <v>1895.6405135065384</v>
          </cell>
          <cell r="P39">
            <v>1938.872028524846</v>
          </cell>
          <cell r="Q39">
            <v>1967.7537235673794</v>
          </cell>
          <cell r="R39">
            <v>1983.7947557232892</v>
          </cell>
        </row>
        <row r="40">
          <cell r="A40" t="str">
            <v>Plus: Stock-Based Compensation</v>
          </cell>
          <cell r="C40">
            <v>39.501999999999995</v>
          </cell>
          <cell r="D40">
            <v>54.198999999999998</v>
          </cell>
          <cell r="E40">
            <v>54.805999999999997</v>
          </cell>
          <cell r="F40">
            <v>60.67</v>
          </cell>
          <cell r="G40">
            <v>52.555999999999997</v>
          </cell>
          <cell r="H40">
            <v>47.832000000000008</v>
          </cell>
          <cell r="I40">
            <v>51.832000000000008</v>
          </cell>
          <cell r="J40">
            <v>55.832000000000008</v>
          </cell>
          <cell r="K40">
            <v>55.832000000000008</v>
          </cell>
          <cell r="L40">
            <v>55.832000000000008</v>
          </cell>
          <cell r="M40">
            <v>55.832000000000008</v>
          </cell>
          <cell r="N40">
            <v>55.832000000000008</v>
          </cell>
          <cell r="O40">
            <v>55.832000000000008</v>
          </cell>
          <cell r="P40">
            <v>55.832000000000008</v>
          </cell>
          <cell r="Q40">
            <v>55.832000000000008</v>
          </cell>
          <cell r="R40">
            <v>55.832000000000008</v>
          </cell>
        </row>
        <row r="41">
          <cell r="A41" t="str">
            <v>Plus: Depreciation and Amortization</v>
          </cell>
          <cell r="C41">
            <v>528.05099999999993</v>
          </cell>
          <cell r="D41">
            <v>522.928</v>
          </cell>
          <cell r="E41">
            <v>405.33199999999999</v>
          </cell>
          <cell r="F41">
            <v>414.61900000000003</v>
          </cell>
          <cell r="G41">
            <v>460.726</v>
          </cell>
          <cell r="H41">
            <v>547.75882625000008</v>
          </cell>
          <cell r="I41">
            <v>594.75337906825234</v>
          </cell>
          <cell r="J41">
            <v>606.8734629797018</v>
          </cell>
          <cell r="K41">
            <v>578.48581668173165</v>
          </cell>
          <cell r="L41">
            <v>577.67173501355853</v>
          </cell>
          <cell r="M41">
            <v>583.85939484553603</v>
          </cell>
          <cell r="N41">
            <v>593.05830258320475</v>
          </cell>
          <cell r="O41">
            <v>604.98233227858793</v>
          </cell>
          <cell r="P41">
            <v>619.37272067495758</v>
          </cell>
          <cell r="Q41">
            <v>635.99543509633793</v>
          </cell>
          <cell r="R41">
            <v>654.63879586817382</v>
          </cell>
        </row>
        <row r="42">
          <cell r="A42" t="str">
            <v>EBITDA (1)</v>
          </cell>
          <cell r="C42">
            <v>868.23399999999992</v>
          </cell>
          <cell r="D42">
            <v>978.89499999999975</v>
          </cell>
          <cell r="E42">
            <v>1092.3339999999998</v>
          </cell>
          <cell r="F42">
            <v>1180.9250000000002</v>
          </cell>
          <cell r="G42">
            <v>1347.748</v>
          </cell>
          <cell r="H42">
            <v>1584.1703752296016</v>
          </cell>
          <cell r="I42">
            <v>1899.6846804226077</v>
          </cell>
          <cell r="J42">
            <v>2122.0781174777685</v>
          </cell>
          <cell r="K42">
            <v>2244.7461118657193</v>
          </cell>
          <cell r="L42">
            <v>2336.1055787614168</v>
          </cell>
          <cell r="M42">
            <v>2423.9947553852789</v>
          </cell>
          <cell r="N42">
            <v>2502.285984603026</v>
          </cell>
          <cell r="O42">
            <v>2570.4468457851262</v>
          </cell>
          <cell r="P42">
            <v>2628.0687491998037</v>
          </cell>
          <cell r="Q42">
            <v>2673.5731586637175</v>
          </cell>
          <cell r="R42">
            <v>2708.2575515914632</v>
          </cell>
        </row>
        <row r="43">
          <cell r="A43" t="str">
            <v>EBITDA as % of Net Revenue</v>
          </cell>
          <cell r="C43">
            <v>0.65905866546226044</v>
          </cell>
          <cell r="D43">
            <v>0.67204382278109065</v>
          </cell>
          <cell r="E43">
            <v>0.68549184689840748</v>
          </cell>
          <cell r="F43">
            <v>0.68494600705057795</v>
          </cell>
          <cell r="G43">
            <v>0.67885167994318341</v>
          </cell>
          <cell r="H43">
            <v>0.64858975101499905</v>
          </cell>
          <cell r="I43">
            <v>0.65248433807556494</v>
          </cell>
          <cell r="J43">
            <v>0.65746263933918336</v>
          </cell>
          <cell r="K43">
            <v>0.66245217148210234</v>
          </cell>
          <cell r="L43">
            <v>0.6624038509547755</v>
          </cell>
          <cell r="M43">
            <v>0.6623521837473042</v>
          </cell>
          <cell r="N43">
            <v>0.66229064822135719</v>
          </cell>
          <cell r="O43">
            <v>0.66228117097016703</v>
          </cell>
          <cell r="P43">
            <v>0.66226031282430442</v>
          </cell>
          <cell r="Q43">
            <v>0.6622269238988292</v>
          </cell>
          <cell r="R43">
            <v>0.66218252490188867</v>
          </cell>
        </row>
        <row r="44">
          <cell r="A44" t="str">
            <v xml:space="preserve">Cash Taxes from Operations </v>
          </cell>
          <cell r="C44">
            <v>0</v>
          </cell>
          <cell r="D44">
            <v>0</v>
          </cell>
          <cell r="E44">
            <v>0</v>
          </cell>
          <cell r="F44">
            <v>0</v>
          </cell>
          <cell r="G44">
            <v>0</v>
          </cell>
          <cell r="H44">
            <v>0</v>
          </cell>
          <cell r="I44">
            <v>-148.69287616252265</v>
          </cell>
          <cell r="J44">
            <v>-173.44567853976798</v>
          </cell>
          <cell r="K44">
            <v>-191.57235542207852</v>
          </cell>
          <cell r="L44">
            <v>-202.63318124974296</v>
          </cell>
          <cell r="M44">
            <v>-212.43736326476915</v>
          </cell>
          <cell r="N44">
            <v>-220.72844184237852</v>
          </cell>
          <cell r="O44">
            <v>-227.47686162078458</v>
          </cell>
          <cell r="P44">
            <v>-232.6646434229815</v>
          </cell>
          <cell r="Q44">
            <v>-236.13044682808555</v>
          </cell>
          <cell r="R44">
            <v>-238.0553706867947</v>
          </cell>
        </row>
        <row r="45">
          <cell r="A45" t="str">
            <v>Cash Taxes as % of EBITDA</v>
          </cell>
          <cell r="C45">
            <v>0</v>
          </cell>
          <cell r="D45">
            <v>0</v>
          </cell>
          <cell r="E45">
            <v>0</v>
          </cell>
          <cell r="F45">
            <v>0</v>
          </cell>
          <cell r="G45">
            <v>0</v>
          </cell>
          <cell r="H45">
            <v>0</v>
          </cell>
          <cell r="I45">
            <v>7.8272398411637523E-2</v>
          </cell>
          <cell r="J45">
            <v>8.1733880157965039E-2</v>
          </cell>
          <cell r="K45">
            <v>8.5342549168223425E-2</v>
          </cell>
          <cell r="L45">
            <v>8.6739736034181017E-2</v>
          </cell>
          <cell r="M45">
            <v>8.7639365882622777E-2</v>
          </cell>
          <cell r="N45">
            <v>8.8210717400231883E-2</v>
          </cell>
          <cell r="O45">
            <v>8.849701054654692E-2</v>
          </cell>
          <cell r="P45">
            <v>8.8530653352893979E-2</v>
          </cell>
          <cell r="Q45">
            <v>8.8320174094695891E-2</v>
          </cell>
          <cell r="R45">
            <v>8.789982715894408E-2</v>
          </cell>
        </row>
        <row r="46">
          <cell r="A46" t="str">
            <v>Capital Expenditures / Acqusitions</v>
          </cell>
          <cell r="C46">
            <v>-141.435</v>
          </cell>
          <cell r="D46">
            <v>-198.34300000000002</v>
          </cell>
          <cell r="E46">
            <v>-286.30099999999999</v>
          </cell>
          <cell r="F46">
            <v>-545.86599999999999</v>
          </cell>
          <cell r="G46">
            <v>-1246.2643</v>
          </cell>
          <cell r="H46">
            <v>-2716.8336528140776</v>
          </cell>
          <cell r="I46">
            <v>-828.46184825202045</v>
          </cell>
          <cell r="J46">
            <v>-449.81266773343339</v>
          </cell>
          <cell r="K46">
            <v>-422.2</v>
          </cell>
          <cell r="L46">
            <v>-432.5</v>
          </cell>
          <cell r="M46">
            <v>-426</v>
          </cell>
          <cell r="N46">
            <v>-433.5</v>
          </cell>
          <cell r="O46">
            <v>-421</v>
          </cell>
          <cell r="P46">
            <v>-426</v>
          </cell>
          <cell r="Q46">
            <v>-406</v>
          </cell>
          <cell r="R46">
            <v>-408.5</v>
          </cell>
        </row>
        <row r="47">
          <cell r="A47" t="str">
            <v>% Y/Y Capex Growth</v>
          </cell>
          <cell r="D47">
            <v>0.4023615088203063</v>
          </cell>
          <cell r="E47">
            <v>0.443464100069072</v>
          </cell>
          <cell r="F47">
            <v>0.90661576452754278</v>
          </cell>
          <cell r="G47">
            <v>1.2830956681676455</v>
          </cell>
          <cell r="H47">
            <v>1.179981929045129</v>
          </cell>
          <cell r="I47">
            <v>-0.69506346205852343</v>
          </cell>
          <cell r="J47">
            <v>-0.45705083621835163</v>
          </cell>
          <cell r="K47">
            <v>-6.1387038903486624E-2</v>
          </cell>
          <cell r="L47">
            <v>2.439602084320236E-2</v>
          </cell>
          <cell r="M47">
            <v>-1.5028901734104094E-2</v>
          </cell>
          <cell r="N47">
            <v>1.7605633802816989E-2</v>
          </cell>
          <cell r="O47">
            <v>-2.8835063437139596E-2</v>
          </cell>
          <cell r="P47">
            <v>1.1876484560570111E-2</v>
          </cell>
          <cell r="Q47">
            <v>-4.6948356807511749E-2</v>
          </cell>
          <cell r="R47">
            <v>6.1576354679802048E-3</v>
          </cell>
        </row>
        <row r="48">
          <cell r="A48" t="str">
            <v>% of Net Revenue</v>
          </cell>
          <cell r="C48">
            <v>0.10736041476106074</v>
          </cell>
          <cell r="D48">
            <v>0.13616903543471964</v>
          </cell>
          <cell r="E48">
            <v>0.17966757535594513</v>
          </cell>
          <cell r="F48">
            <v>0.31660667450064206</v>
          </cell>
          <cell r="G48">
            <v>0.62773501701224232</v>
          </cell>
          <cell r="H48">
            <v>1.1123238320704372</v>
          </cell>
          <cell r="I48">
            <v>0.28455163440983527</v>
          </cell>
          <cell r="J48">
            <v>0.13936104486470227</v>
          </cell>
          <cell r="K48">
            <v>0.12459640995536982</v>
          </cell>
          <cell r="L48">
            <v>0.12263558126077279</v>
          </cell>
          <cell r="M48">
            <v>0.11640372969020871</v>
          </cell>
          <cell r="N48">
            <v>0.11473628424990186</v>
          </cell>
          <cell r="O48">
            <v>0.10847155755647477</v>
          </cell>
          <cell r="P48">
            <v>0.10734989080824263</v>
          </cell>
          <cell r="Q48">
            <v>0.10056359603688796</v>
          </cell>
          <cell r="R48">
            <v>9.9880294347731338E-2</v>
          </cell>
        </row>
        <row r="49">
          <cell r="A49" t="str">
            <v>Change in Net Working Capital</v>
          </cell>
          <cell r="C49">
            <v>-9.0860000000000127</v>
          </cell>
          <cell r="D49">
            <v>59.760999999999996</v>
          </cell>
          <cell r="E49">
            <v>-40.359000000000002</v>
          </cell>
          <cell r="F49">
            <v>-60.759</v>
          </cell>
          <cell r="G49">
            <v>0</v>
          </cell>
          <cell r="H49">
            <v>11.45706464987704</v>
          </cell>
          <cell r="I49">
            <v>-11.782357754088906</v>
          </cell>
          <cell r="J49">
            <v>1.3706603447110126</v>
          </cell>
          <cell r="K49">
            <v>0.87429462280348957</v>
          </cell>
          <cell r="L49">
            <v>-1.194222325363512</v>
          </cell>
          <cell r="M49">
            <v>-1.3602437614032397</v>
          </cell>
          <cell r="N49">
            <v>-1.5367433000519384</v>
          </cell>
          <cell r="O49">
            <v>-1.8296818789723659</v>
          </cell>
          <cell r="P49">
            <v>-1.9612644309338236</v>
          </cell>
          <cell r="Q49">
            <v>-2.0664682579584053</v>
          </cell>
          <cell r="R49">
            <v>-2.1405801891920078</v>
          </cell>
        </row>
        <row r="50">
          <cell r="A50" t="str">
            <v>Change in NWC as % of Net Revenue</v>
          </cell>
          <cell r="C50">
            <v>6.8969967017994075E-3</v>
          </cell>
          <cell r="D50">
            <v>-4.1027904824542737E-2</v>
          </cell>
          <cell r="E50">
            <v>2.5327203445990727E-2</v>
          </cell>
          <cell r="F50">
            <v>3.5240709141042874E-2</v>
          </cell>
          <cell r="G50">
            <v>0</v>
          </cell>
          <cell r="H50">
            <v>-4.6907421227022341E-3</v>
          </cell>
          <cell r="I50">
            <v>4.0468841905046864E-3</v>
          </cell>
          <cell r="J50">
            <v>-4.2465824441106985E-4</v>
          </cell>
          <cell r="K50">
            <v>-2.5801509058408104E-4</v>
          </cell>
          <cell r="L50">
            <v>3.3862230988565556E-4</v>
          </cell>
          <cell r="M50">
            <v>3.7168414815768886E-4</v>
          </cell>
          <cell r="N50">
            <v>4.0673636930540125E-4</v>
          </cell>
          <cell r="O50">
            <v>4.7142148039189995E-4</v>
          </cell>
          <cell r="P50">
            <v>4.9422892607238521E-4</v>
          </cell>
          <cell r="Q50">
            <v>5.1185093378418875E-4</v>
          </cell>
          <cell r="R50">
            <v>5.233825688406859E-4</v>
          </cell>
        </row>
        <row r="51">
          <cell r="A51" t="str">
            <v>Unlevered Free Cash Flow</v>
          </cell>
          <cell r="C51">
            <v>717.71299999999997</v>
          </cell>
          <cell r="D51">
            <v>840.31299999999965</v>
          </cell>
          <cell r="E51">
            <v>765.67399999999986</v>
          </cell>
          <cell r="F51">
            <v>574.30000000000018</v>
          </cell>
          <cell r="G51">
            <v>101.4837</v>
          </cell>
          <cell r="H51">
            <v>-1121.2062129345989</v>
          </cell>
          <cell r="I51">
            <v>910.74759825397564</v>
          </cell>
          <cell r="J51">
            <v>1500.1904315492782</v>
          </cell>
          <cell r="K51">
            <v>1631.8480510664442</v>
          </cell>
          <cell r="L51">
            <v>1699.7781751863104</v>
          </cell>
          <cell r="M51">
            <v>1784.1971483591064</v>
          </cell>
          <cell r="N51">
            <v>1846.5207994605953</v>
          </cell>
          <cell r="O51">
            <v>1920.140302285369</v>
          </cell>
          <cell r="P51">
            <v>1967.4428413458884</v>
          </cell>
          <cell r="Q51">
            <v>2029.3762435776737</v>
          </cell>
          <cell r="R51">
            <v>2059.5616007154767</v>
          </cell>
        </row>
        <row r="52">
          <cell r="A52" t="str">
            <v>% of Net Revenue</v>
          </cell>
          <cell r="C52">
            <v>54.480125399940029</v>
          </cell>
          <cell r="D52">
            <v>57.690269217091362</v>
          </cell>
          <cell r="E52">
            <v>48.049706809647162</v>
          </cell>
          <cell r="F52">
            <v>33.309862340889303</v>
          </cell>
          <cell r="G52">
            <v>5.1116662930941121</v>
          </cell>
          <cell r="H52">
            <v>-45.904333893273588</v>
          </cell>
          <cell r="I52">
            <v>31.28143054080207</v>
          </cell>
          <cell r="J52">
            <v>46.478928014680392</v>
          </cell>
          <cell r="K52">
            <v>48.157841960100889</v>
          </cell>
          <cell r="L52">
            <v>48.197291220427481</v>
          </cell>
          <cell r="M52">
            <v>48.752864453435365</v>
          </cell>
          <cell r="N52">
            <v>48.872649439507938</v>
          </cell>
          <cell r="O52">
            <v>49.472828816117399</v>
          </cell>
          <cell r="P52">
            <v>49.578585490596183</v>
          </cell>
          <cell r="Q52">
            <v>50.266347971921753</v>
          </cell>
          <cell r="R52">
            <v>50.357311849876751</v>
          </cell>
        </row>
        <row r="53">
          <cell r="A53" t="str">
            <v>Period Count</v>
          </cell>
          <cell r="C53">
            <v>0</v>
          </cell>
          <cell r="D53">
            <v>0</v>
          </cell>
          <cell r="E53">
            <v>0</v>
          </cell>
          <cell r="F53">
            <v>0</v>
          </cell>
          <cell r="G53">
            <v>0</v>
          </cell>
          <cell r="H53">
            <v>0</v>
          </cell>
          <cell r="I53">
            <v>0.25</v>
          </cell>
          <cell r="J53">
            <v>1.25</v>
          </cell>
          <cell r="K53">
            <v>2.25</v>
          </cell>
          <cell r="L53">
            <v>3.25</v>
          </cell>
          <cell r="M53">
            <v>4.25</v>
          </cell>
          <cell r="N53">
            <v>5.25</v>
          </cell>
          <cell r="O53">
            <v>6.25</v>
          </cell>
          <cell r="P53">
            <v>7.25</v>
          </cell>
          <cell r="Q53">
            <v>8.25</v>
          </cell>
          <cell r="R53">
            <v>9.25</v>
          </cell>
        </row>
        <row r="54">
          <cell r="A54" t="str">
            <v>Discount Factor</v>
          </cell>
          <cell r="I54">
            <v>0.98326779378673401</v>
          </cell>
          <cell r="J54">
            <v>0.91909218216692823</v>
          </cell>
          <cell r="K54">
            <v>0.85910516408471316</v>
          </cell>
          <cell r="L54">
            <v>0.80303335974081103</v>
          </cell>
          <cell r="M54">
            <v>0.75062123220228627</v>
          </cell>
          <cell r="N54">
            <v>0.70162992283998438</v>
          </cell>
          <cell r="O54">
            <v>0.65583616277427093</v>
          </cell>
          <cell r="P54">
            <v>0.61303125536818714</v>
          </cell>
          <cell r="Q54">
            <v>0.57302012513092071</v>
          </cell>
          <cell r="R54">
            <v>0.53562042869714266</v>
          </cell>
        </row>
        <row r="55">
          <cell r="A55" t="str">
            <v>Present Value of Unlevered FCF</v>
          </cell>
          <cell r="I55">
            <v>223.87719540793836</v>
          </cell>
          <cell r="J55">
            <v>1378.8132973985719</v>
          </cell>
          <cell r="K55">
            <v>1401.9290876727569</v>
          </cell>
          <cell r="L55">
            <v>1364.9785788339677</v>
          </cell>
          <cell r="M55">
            <v>1339.256261993118</v>
          </cell>
          <cell r="N55">
            <v>1295.5742460479637</v>
          </cell>
          <cell r="O55">
            <v>1259.2974478390649</v>
          </cell>
          <cell r="P55">
            <v>1206.1039548954229</v>
          </cell>
          <cell r="Q55">
            <v>1162.8734290325965</v>
          </cell>
          <cell r="R55">
            <v>1103.1432675033971</v>
          </cell>
        </row>
        <row r="56">
          <cell r="J56">
            <v>15.639065563587218</v>
          </cell>
        </row>
        <row r="57">
          <cell r="F57" t="str">
            <v>Perpetuity Growth Rate / Terminal Value at 7.0% WACC</v>
          </cell>
        </row>
        <row r="58">
          <cell r="F58">
            <v>0.5</v>
          </cell>
          <cell r="G58">
            <v>1.125</v>
          </cell>
          <cell r="H58">
            <v>1.75</v>
          </cell>
          <cell r="I58">
            <v>2.375</v>
          </cell>
          <cell r="J58">
            <v>3</v>
          </cell>
        </row>
        <row r="59">
          <cell r="F59">
            <v>31929.956169981553</v>
          </cell>
          <cell r="G59">
            <v>35556.665279104149</v>
          </cell>
          <cell r="H59">
            <v>40049.764524185339</v>
          </cell>
          <cell r="I59">
            <v>45761.827210688432</v>
          </cell>
          <cell r="J59">
            <v>53266.753263953324</v>
          </cell>
        </row>
        <row r="61">
          <cell r="M61" t="str">
            <v>Terminal EBITDA Multiple / Terminal Value</v>
          </cell>
        </row>
        <row r="62">
          <cell r="M62">
            <v>11.789852169421049</v>
          </cell>
          <cell r="N62">
            <v>13.128982233691126</v>
          </cell>
          <cell r="O62">
            <v>14.788019145612925</v>
          </cell>
          <cell r="P62">
            <v>16.897147460660545</v>
          </cell>
          <cell r="Q62">
            <v>19.668274619100384</v>
          </cell>
        </row>
        <row r="63">
          <cell r="F63" t="str">
            <v>DCF VALUATION FOR 12/31/11 - 10 YEAR CASH FLOW</v>
          </cell>
          <cell r="M63">
            <v>31929.956169981553</v>
          </cell>
          <cell r="N63">
            <v>35556.665279104149</v>
          </cell>
          <cell r="O63">
            <v>40049.764524185339</v>
          </cell>
          <cell r="P63">
            <v>45761.827210688432</v>
          </cell>
          <cell r="Q63">
            <v>53266.753263953324</v>
          </cell>
        </row>
        <row r="64">
          <cell r="F64" t="str">
            <v>Net Present Value of Cash Flows</v>
          </cell>
          <cell r="J64">
            <v>11735.846766624796</v>
          </cell>
        </row>
        <row r="65">
          <cell r="F65" t="str">
            <v>Plus: NPV of Terminal Value (1.8% Growth)</v>
          </cell>
          <cell r="J65">
            <v>21451.472043663769</v>
          </cell>
          <cell r="L65" t="str">
            <v>WACC</v>
          </cell>
          <cell r="M65" t="str">
            <v>Equity Value as of 12/31/11 Valuation Date</v>
          </cell>
        </row>
        <row r="66">
          <cell r="F66" t="str">
            <v>Plus: Cash, Equivalents and Equity Investments</v>
          </cell>
          <cell r="J66">
            <v>49.43480890566741</v>
          </cell>
          <cell r="L66">
            <v>5.9824999999999996E-2</v>
          </cell>
          <cell r="M66">
            <v>61.463935211453943</v>
          </cell>
          <cell r="N66">
            <v>66.852772257617218</v>
          </cell>
          <cell r="O66">
            <v>73.528956902003969</v>
          </cell>
          <cell r="P66">
            <v>82.016369067928053</v>
          </cell>
          <cell r="Q66">
            <v>93.167752409597313</v>
          </cell>
        </row>
        <row r="67">
          <cell r="F67" t="str">
            <v>Less: Debt and Minority Interest</v>
          </cell>
          <cell r="J67">
            <v>-6836.7297507774983</v>
          </cell>
          <cell r="L67">
            <v>6.4824999999999994E-2</v>
          </cell>
          <cell r="M67">
            <v>58.713130589034058</v>
          </cell>
          <cell r="N67">
            <v>63.872389449033264</v>
          </cell>
          <cell r="O67">
            <v>70.264151620069086</v>
          </cell>
          <cell r="P67">
            <v>78.389978406144465</v>
          </cell>
          <cell r="Q67">
            <v>89.066284409443739</v>
          </cell>
        </row>
        <row r="68">
          <cell r="F68" t="str">
            <v>Implied Equity Value</v>
          </cell>
          <cell r="J68">
            <v>26400.023868416727</v>
          </cell>
          <cell r="L68">
            <v>6.9824999999999998E-2</v>
          </cell>
          <cell r="M68">
            <v>56.082117366274275</v>
          </cell>
          <cell r="N68">
            <v>61.022586176268035</v>
          </cell>
          <cell r="O68">
            <v>67.143291204607166</v>
          </cell>
          <cell r="P68">
            <v>74.9245239129081</v>
          </cell>
          <cell r="Q68">
            <v>85.148076994184819</v>
          </cell>
        </row>
        <row r="69">
          <cell r="F69" t="str">
            <v>Fully Diluted Shares Outstanding (MM)</v>
          </cell>
          <cell r="J69">
            <v>393.18930297842235</v>
          </cell>
          <cell r="L69">
            <v>7.4825000000000003E-2</v>
          </cell>
          <cell r="M69">
            <v>53.564987970243195</v>
          </cell>
          <cell r="N69">
            <v>58.296901008704921</v>
          </cell>
          <cell r="O69">
            <v>64.159228055399282</v>
          </cell>
          <cell r="P69">
            <v>71.611985662781194</v>
          </cell>
          <cell r="Q69">
            <v>81.403964113660237</v>
          </cell>
        </row>
        <row r="70">
          <cell r="F70" t="str">
            <v>Implied Equity Value per Share (1)</v>
          </cell>
          <cell r="J70">
            <v>67.143291204607166</v>
          </cell>
          <cell r="L70">
            <v>7.9825000000000007E-2</v>
          </cell>
          <cell r="M70">
            <v>51.156155523813339</v>
          </cell>
          <cell r="N70">
            <v>55.689224032760848</v>
          </cell>
          <cell r="O70">
            <v>61.305204273420628</v>
          </cell>
          <cell r="P70">
            <v>68.444781974921341</v>
          </cell>
          <cell r="Q70">
            <v>77.825281742178717</v>
          </cell>
        </row>
        <row r="71">
          <cell r="F71" t="str">
            <v>Upside to Current Share Price</v>
          </cell>
          <cell r="J71">
            <v>7.7395558482143301E-2</v>
          </cell>
        </row>
        <row r="73">
          <cell r="A73" t="str">
            <v>Footnotes</v>
          </cell>
        </row>
        <row r="75">
          <cell r="A75" t="str">
            <v>(1) EBITDA equal to operating income excluding stock compensation and extraordinary items plus depreciation and amortization.</v>
          </cell>
        </row>
        <row r="78">
          <cell r="A78" t="str">
            <v>Assumptions</v>
          </cell>
        </row>
        <row r="80">
          <cell r="A80" t="str">
            <v>Revenue:  DCF assumes a % C2009-C2019E revenue CAGR.</v>
          </cell>
        </row>
        <row r="81">
          <cell r="A81" t="str">
            <v>Working Capital: Working Cap is relatively neutral to valuation.</v>
          </cell>
        </row>
        <row r="82">
          <cell r="A82" t="str">
            <v>Capital Expenditures: Capex grows with free cash flow as company reinvests heavily over next ten years.</v>
          </cell>
        </row>
        <row r="83">
          <cell r="A83" t="str">
            <v xml:space="preserve">Methodology: In determining cash flows, we forecast out revenue, EBITDA, cash taxes, working capital changes, and capex through C2020E.  Free cash flow in a year is equal to operating income plus </v>
          </cell>
        </row>
        <row r="84">
          <cell r="A84" t="str">
            <v>depreciation &amp; amortization plus stock compensation minus cash taxes from operations minus working capital uses minus capex.  We then use the WACC to calculate the present value of each year's free cash</v>
          </cell>
        </row>
        <row r="85">
          <cell r="A85" t="str">
            <v xml:space="preserve">flow.  The terminal value is the C2020E terminal adjusted free cash flow multiplied by the future growth rate and divided by the difference between the WACC and the future growth rate.  The net </v>
          </cell>
        </row>
        <row r="86">
          <cell r="A86" t="str">
            <v>present value is the sum of the present value of all the free cash flows.  To determine equity value per share, we subtract debt and add cash to the net present value and then divide by shares outstanding.</v>
          </cell>
        </row>
        <row r="87">
          <cell r="A87" t="str">
            <v>EBITDA = Earnings Before Interest, Taxes, Depreciation, and Amortization; NPV = Net Present Value</v>
          </cell>
        </row>
      </sheetData>
      <sheetData sheetId="8" refreshError="1">
        <row r="1">
          <cell r="B1" t="str">
            <v>3Q06</v>
          </cell>
          <cell r="C1" t="str">
            <v>4Q06</v>
          </cell>
          <cell r="D1" t="str">
            <v>1Q07</v>
          </cell>
          <cell r="E1" t="str">
            <v>2Q07</v>
          </cell>
          <cell r="F1" t="str">
            <v>3Q07</v>
          </cell>
          <cell r="G1" t="str">
            <v>4Q07</v>
          </cell>
          <cell r="H1" t="str">
            <v>1Q08</v>
          </cell>
          <cell r="I1" t="str">
            <v>2Q08</v>
          </cell>
          <cell r="J1" t="str">
            <v>3Q08</v>
          </cell>
          <cell r="K1" t="str">
            <v>4Q08</v>
          </cell>
          <cell r="L1" t="str">
            <v>1Q09</v>
          </cell>
          <cell r="M1" t="str">
            <v>2Q09</v>
          </cell>
          <cell r="N1" t="str">
            <v>3Q09</v>
          </cell>
          <cell r="O1" t="str">
            <v>4Q09</v>
          </cell>
          <cell r="P1" t="str">
            <v>1Q10</v>
          </cell>
          <cell r="Q1" t="str">
            <v>2Q10</v>
          </cell>
          <cell r="R1" t="str">
            <v>3Q10</v>
          </cell>
          <cell r="S1" t="str">
            <v>4Q10</v>
          </cell>
          <cell r="T1" t="str">
            <v>1Q11</v>
          </cell>
          <cell r="U1" t="str">
            <v>2Q11</v>
          </cell>
          <cell r="V1" t="str">
            <v>3Q11</v>
          </cell>
        </row>
        <row r="2">
          <cell r="A2" t="str">
            <v>Straight Line Revenue</v>
          </cell>
          <cell r="F2">
            <v>15.98</v>
          </cell>
          <cell r="G2">
            <v>18.038</v>
          </cell>
          <cell r="H2">
            <v>14.113</v>
          </cell>
          <cell r="I2">
            <v>12.028</v>
          </cell>
          <cell r="J2">
            <v>12.263999999999999</v>
          </cell>
          <cell r="K2">
            <v>11.962999999999999</v>
          </cell>
          <cell r="L2">
            <v>9.8949999999999996</v>
          </cell>
          <cell r="M2">
            <v>8.9979999999999993</v>
          </cell>
          <cell r="N2">
            <v>9.827</v>
          </cell>
          <cell r="O2">
            <v>7.5869999999999997</v>
          </cell>
          <cell r="P2">
            <v>13.585000000000001</v>
          </cell>
          <cell r="Q2">
            <v>18.841000000000001</v>
          </cell>
          <cell r="R2">
            <v>35.378999999999998</v>
          </cell>
          <cell r="S2">
            <v>37.420999999999999</v>
          </cell>
          <cell r="T2">
            <v>29.843</v>
          </cell>
          <cell r="U2">
            <v>30.47</v>
          </cell>
          <cell r="V2">
            <v>32.686999999999998</v>
          </cell>
        </row>
        <row r="4">
          <cell r="A4" t="str">
            <v>Domestic</v>
          </cell>
          <cell r="B4">
            <v>0.87</v>
          </cell>
          <cell r="C4">
            <v>0.87</v>
          </cell>
          <cell r="D4">
            <v>0.87</v>
          </cell>
          <cell r="E4">
            <v>0.87</v>
          </cell>
          <cell r="F4">
            <v>0.87</v>
          </cell>
          <cell r="G4">
            <v>0.87</v>
          </cell>
          <cell r="H4">
            <v>0.86</v>
          </cell>
          <cell r="I4">
            <v>0.86</v>
          </cell>
          <cell r="J4">
            <v>0.85</v>
          </cell>
          <cell r="K4">
            <v>0.87</v>
          </cell>
          <cell r="L4">
            <v>0.86499999999999999</v>
          </cell>
          <cell r="M4">
            <v>0.85399999999999998</v>
          </cell>
          <cell r="N4">
            <v>0.84</v>
          </cell>
          <cell r="O4">
            <v>0.82621433511719977</v>
          </cell>
          <cell r="P4">
            <v>0.83371336899359649</v>
          </cell>
          <cell r="Q4">
            <v>0.83</v>
          </cell>
          <cell r="R4">
            <v>0.8</v>
          </cell>
          <cell r="S4">
            <v>0.78415225649087272</v>
          </cell>
          <cell r="T4">
            <v>0.77878538674841902</v>
          </cell>
          <cell r="U4">
            <v>0.79236106837630738</v>
          </cell>
          <cell r="V4">
            <v>0.81450919621894891</v>
          </cell>
        </row>
        <row r="5">
          <cell r="A5" t="str">
            <v>Site Rental Revs</v>
          </cell>
          <cell r="B5">
            <v>283.97061000000002</v>
          </cell>
          <cell r="C5">
            <v>288.17619000000002</v>
          </cell>
          <cell r="D5">
            <v>301.04523</v>
          </cell>
          <cell r="E5">
            <v>305.17424999999997</v>
          </cell>
          <cell r="F5">
            <v>312.00200999999998</v>
          </cell>
          <cell r="G5">
            <v>322.37675999999999</v>
          </cell>
          <cell r="H5">
            <v>321.62538000000001</v>
          </cell>
          <cell r="I5">
            <v>330.53498000000002</v>
          </cell>
          <cell r="J5">
            <v>335.23660000000001</v>
          </cell>
          <cell r="K5">
            <v>343.05230999999998</v>
          </cell>
          <cell r="L5">
            <v>342.49415499999998</v>
          </cell>
          <cell r="M5">
            <v>347.36535399999997</v>
          </cell>
          <cell r="N5">
            <v>354.94099999999997</v>
          </cell>
          <cell r="O5">
            <v>359.56599999999997</v>
          </cell>
          <cell r="P5">
            <v>370.017</v>
          </cell>
          <cell r="Q5">
            <v>378.87922999999995</v>
          </cell>
          <cell r="R5">
            <v>399.85680000000002</v>
          </cell>
          <cell r="S5">
            <v>420.50400000000002</v>
          </cell>
          <cell r="T5">
            <v>417.62599999999998</v>
          </cell>
          <cell r="U5">
            <v>424.90600000000001</v>
          </cell>
          <cell r="V5">
            <v>436.78300000000002</v>
          </cell>
        </row>
        <row r="6">
          <cell r="A6" t="str">
            <v>Q/Q growth</v>
          </cell>
          <cell r="C6">
            <v>1.4809912899084843E-2</v>
          </cell>
          <cell r="D6">
            <v>4.4656846910218206E-2</v>
          </cell>
          <cell r="E6">
            <v>1.3715613431244167E-2</v>
          </cell>
          <cell r="F6">
            <v>2.2373316228351481E-2</v>
          </cell>
          <cell r="G6">
            <v>3.3252189625316841E-2</v>
          </cell>
          <cell r="H6">
            <v>-2.3307511372717693E-3</v>
          </cell>
          <cell r="I6">
            <v>2.7701793931809826E-2</v>
          </cell>
          <cell r="J6">
            <v>1.4224273630585094E-2</v>
          </cell>
          <cell r="K6">
            <v>2.3314011656245137E-2</v>
          </cell>
          <cell r="L6">
            <v>-1.6270259191666359E-3</v>
          </cell>
          <cell r="M6">
            <v>1.4222721552722639E-2</v>
          </cell>
          <cell r="N6">
            <v>2.1808870437896477E-2</v>
          </cell>
          <cell r="O6">
            <v>1.3030334618993056E-2</v>
          </cell>
          <cell r="P6">
            <v>2.9065595745982664E-2</v>
          </cell>
          <cell r="Q6">
            <v>2.3950872527478406E-2</v>
          </cell>
          <cell r="R6">
            <v>5.5367431991455662E-2</v>
          </cell>
          <cell r="S6">
            <v>5.1636485861938475E-2</v>
          </cell>
          <cell r="T6">
            <v>-6.8441679508400854E-3</v>
          </cell>
          <cell r="U6">
            <v>1.7431864874313474E-2</v>
          </cell>
          <cell r="V6">
            <v>2.7952064691955325E-2</v>
          </cell>
        </row>
        <row r="7">
          <cell r="A7" t="str">
            <v>Y/Y growth</v>
          </cell>
          <cell r="F7">
            <v>9.8712328011690831E-2</v>
          </cell>
          <cell r="G7">
            <v>0.11867937458677602</v>
          </cell>
          <cell r="H7">
            <v>6.8362318844912506E-2</v>
          </cell>
          <cell r="I7">
            <v>8.3102457038888522E-2</v>
          </cell>
          <cell r="J7">
            <v>7.4469359989059125E-2</v>
          </cell>
          <cell r="K7">
            <v>6.4134740978226912E-2</v>
          </cell>
          <cell r="L7">
            <v>6.4885348911208451E-2</v>
          </cell>
          <cell r="M7">
            <v>5.0918586589534076E-2</v>
          </cell>
          <cell r="N7">
            <v>5.8777591706872023E-2</v>
          </cell>
          <cell r="O7">
            <v>4.8137527480867304E-2</v>
          </cell>
          <cell r="P7">
            <v>8.0360042932703601E-2</v>
          </cell>
          <cell r="Q7">
            <v>9.0722565267692179E-2</v>
          </cell>
          <cell r="R7">
            <v>0.12654441160643604</v>
          </cell>
          <cell r="S7">
            <v>0.16947653560125286</v>
          </cell>
          <cell r="T7">
            <v>0.12866706124313199</v>
          </cell>
          <cell r="U7">
            <v>0.12148137547682425</v>
          </cell>
          <cell r="V7">
            <v>9.2348560784760947E-2</v>
          </cell>
        </row>
        <row r="8">
          <cell r="A8" t="str">
            <v>Straight line</v>
          </cell>
          <cell r="F8">
            <v>13.9026</v>
          </cell>
          <cell r="G8">
            <v>15.693060000000001</v>
          </cell>
          <cell r="H8">
            <v>12.137179999999999</v>
          </cell>
          <cell r="I8">
            <v>10.34408</v>
          </cell>
          <cell r="J8">
            <v>10.424399999999999</v>
          </cell>
          <cell r="K8">
            <v>10.40781</v>
          </cell>
          <cell r="L8">
            <v>8.5591749999999998</v>
          </cell>
          <cell r="M8">
            <v>7.6842919999999992</v>
          </cell>
          <cell r="N8">
            <v>8.2546800000000005</v>
          </cell>
          <cell r="O8">
            <v>6.2684881605341944</v>
          </cell>
          <cell r="P8">
            <v>11.32599611777801</v>
          </cell>
          <cell r="Q8">
            <v>15.638030000000001</v>
          </cell>
          <cell r="R8">
            <v>28.3032</v>
          </cell>
          <cell r="S8">
            <v>29.343761590144947</v>
          </cell>
          <cell r="T8">
            <v>23.241292296733068</v>
          </cell>
          <cell r="U8">
            <v>24.143241753426086</v>
          </cell>
          <cell r="V8">
            <v>26.623862096808782</v>
          </cell>
        </row>
        <row r="9">
          <cell r="A9" t="str">
            <v>Site Rental Revs (excl str)</v>
          </cell>
          <cell r="F9">
            <v>298.09940999999998</v>
          </cell>
          <cell r="G9">
            <v>306.68369999999999</v>
          </cell>
          <cell r="H9">
            <v>309.48820000000001</v>
          </cell>
          <cell r="I9">
            <v>320.1909</v>
          </cell>
          <cell r="J9">
            <v>324.81220000000002</v>
          </cell>
          <cell r="K9">
            <v>332.64449999999999</v>
          </cell>
          <cell r="L9">
            <v>333.93498</v>
          </cell>
          <cell r="M9">
            <v>339.681062</v>
          </cell>
          <cell r="N9">
            <v>346.68631999999997</v>
          </cell>
          <cell r="O9">
            <v>353.29751183946576</v>
          </cell>
          <cell r="P9">
            <v>358.69100388222199</v>
          </cell>
          <cell r="Q9">
            <v>363.24119999999994</v>
          </cell>
          <cell r="R9">
            <v>371.55360000000002</v>
          </cell>
          <cell r="S9">
            <v>391.16023840985508</v>
          </cell>
          <cell r="T9">
            <v>394.38470770326688</v>
          </cell>
          <cell r="U9">
            <v>400.76275824657392</v>
          </cell>
          <cell r="V9">
            <v>410.15913790319121</v>
          </cell>
        </row>
        <row r="10">
          <cell r="A10" t="str">
            <v>Q/Q growth</v>
          </cell>
          <cell r="G10">
            <v>2.8796735961335918E-2</v>
          </cell>
          <cell r="H10">
            <v>9.1446007727180589E-3</v>
          </cell>
          <cell r="I10">
            <v>3.458193236446494E-2</v>
          </cell>
          <cell r="J10">
            <v>1.4432952341868699E-2</v>
          </cell>
          <cell r="K10">
            <v>2.4113318403680584E-2</v>
          </cell>
          <cell r="L10">
            <v>3.87945689767899E-3</v>
          </cell>
          <cell r="M10">
            <v>1.7207188057986711E-2</v>
          </cell>
          <cell r="N10">
            <v>2.0623045508495252E-2</v>
          </cell>
          <cell r="O10">
            <v>1.9069664587474389E-2</v>
          </cell>
          <cell r="P10">
            <v>1.5266147827293519E-2</v>
          </cell>
          <cell r="Q10">
            <v>1.2685559628007992E-2</v>
          </cell>
          <cell r="R10">
            <v>2.2883968008034605E-2</v>
          </cell>
          <cell r="S10">
            <v>2.8815865086100789E-2</v>
          </cell>
          <cell r="T10">
            <v>3.1717840557646593E-2</v>
          </cell>
          <cell r="U10">
            <v>3.9633350527273237E-2</v>
          </cell>
          <cell r="V10">
            <v>4.6690784647375194E-2</v>
          </cell>
        </row>
        <row r="11">
          <cell r="A11" t="str">
            <v>Y/Y growth</v>
          </cell>
          <cell r="J11">
            <v>8.9610341731303889E-2</v>
          </cell>
          <cell r="K11">
            <v>8.4650080848770237E-2</v>
          </cell>
          <cell r="L11">
            <v>7.899099222522854E-2</v>
          </cell>
          <cell r="M11">
            <v>6.0870443226212823E-2</v>
          </cell>
          <cell r="N11">
            <v>6.7343899028422971E-2</v>
          </cell>
          <cell r="O11">
            <v>6.2087339004450071E-2</v>
          </cell>
          <cell r="P11">
            <v>7.4134263748655505E-2</v>
          </cell>
          <cell r="Q11">
            <v>6.9359586493520586E-2</v>
          </cell>
          <cell r="R11">
            <v>7.1728472008933286E-2</v>
          </cell>
          <cell r="S11">
            <v>8.1978291948882065E-2</v>
          </cell>
          <cell r="T11">
            <v>0.12748670870923817</v>
          </cell>
          <cell r="U11">
            <v>0.1310080742701496</v>
          </cell>
          <cell r="V11">
            <v>0.13099425430546163</v>
          </cell>
        </row>
        <row r="12">
          <cell r="A12" t="str">
            <v>Segment Operating Expenses</v>
          </cell>
          <cell r="O12">
            <v>79.195999999999998</v>
          </cell>
          <cell r="P12">
            <v>77.353999999999999</v>
          </cell>
          <cell r="S12">
            <v>84.933000000000007</v>
          </cell>
          <cell r="T12">
            <v>83.182000000000002</v>
          </cell>
          <cell r="U12">
            <v>87.597999999999999</v>
          </cell>
          <cell r="V12">
            <v>91.075999999999993</v>
          </cell>
        </row>
        <row r="13">
          <cell r="A13" t="str">
            <v>Segment Gross Margin</v>
          </cell>
          <cell r="O13">
            <v>280.37</v>
          </cell>
          <cell r="P13">
            <v>292.66300000000001</v>
          </cell>
          <cell r="S13">
            <v>335.57100000000003</v>
          </cell>
          <cell r="T13">
            <v>334.44399999999996</v>
          </cell>
          <cell r="U13">
            <v>337.30799999999999</v>
          </cell>
          <cell r="V13">
            <v>345.70699999999999</v>
          </cell>
        </row>
        <row r="14">
          <cell r="A14" t="str">
            <v>Gross Margin (%)</v>
          </cell>
          <cell r="O14">
            <v>0.77974558217406542</v>
          </cell>
          <cell r="P14">
            <v>0.79094474037679352</v>
          </cell>
          <cell r="S14">
            <v>0.79802094629301978</v>
          </cell>
          <cell r="T14">
            <v>0.80082178791550329</v>
          </cell>
          <cell r="U14">
            <v>0.79384146140558143</v>
          </cell>
          <cell r="V14">
            <v>0.79148455869390522</v>
          </cell>
        </row>
        <row r="15">
          <cell r="A15" t="str">
            <v>Segment SG&amp;A</v>
          </cell>
          <cell r="O15">
            <v>14.023</v>
          </cell>
          <cell r="P15">
            <v>14.231999999999999</v>
          </cell>
          <cell r="S15">
            <v>20.38</v>
          </cell>
          <cell r="T15">
            <v>18.178999999999998</v>
          </cell>
          <cell r="U15">
            <v>17.832999999999998</v>
          </cell>
          <cell r="V15">
            <v>20.515999999999998</v>
          </cell>
        </row>
        <row r="16">
          <cell r="A16" t="str">
            <v>Segment Operating Profit</v>
          </cell>
          <cell r="O16">
            <v>266.34699999999998</v>
          </cell>
          <cell r="P16">
            <v>278.43100000000004</v>
          </cell>
          <cell r="S16">
            <v>315.19100000000003</v>
          </cell>
          <cell r="T16">
            <v>316.26499999999999</v>
          </cell>
          <cell r="U16">
            <v>319.47500000000002</v>
          </cell>
          <cell r="V16">
            <v>325.19099999999997</v>
          </cell>
        </row>
        <row r="17">
          <cell r="A17" t="str">
            <v>Operating Profit Margin (%)</v>
          </cell>
          <cell r="O17">
            <v>0.74074578797772872</v>
          </cell>
          <cell r="P17">
            <v>0.75248164273533391</v>
          </cell>
          <cell r="S17">
            <v>0.74955529555010181</v>
          </cell>
          <cell r="T17">
            <v>0.75729240995531888</v>
          </cell>
          <cell r="U17">
            <v>0.75187217878777901</v>
          </cell>
          <cell r="V17">
            <v>0.74451386615321558</v>
          </cell>
        </row>
        <row r="20">
          <cell r="A20" t="str">
            <v>International</v>
          </cell>
          <cell r="B20">
            <v>0.13</v>
          </cell>
          <cell r="C20">
            <v>0.13</v>
          </cell>
          <cell r="D20">
            <v>0.13</v>
          </cell>
          <cell r="E20">
            <v>0.13</v>
          </cell>
          <cell r="F20">
            <v>0.13</v>
          </cell>
          <cell r="G20">
            <v>0.13</v>
          </cell>
          <cell r="H20">
            <v>0.14000000000000001</v>
          </cell>
          <cell r="I20">
            <v>0.14000000000000001</v>
          </cell>
          <cell r="J20">
            <v>0.15</v>
          </cell>
          <cell r="K20">
            <v>0.13</v>
          </cell>
          <cell r="L20">
            <v>0.13500000000000001</v>
          </cell>
          <cell r="M20">
            <v>0.14600000000000002</v>
          </cell>
          <cell r="N20">
            <v>0.16</v>
          </cell>
          <cell r="O20">
            <v>0.1737856648828002</v>
          </cell>
          <cell r="P20">
            <v>0.18</v>
          </cell>
          <cell r="Q20">
            <v>0.192</v>
          </cell>
          <cell r="R20">
            <v>0.19</v>
          </cell>
          <cell r="S20">
            <v>0.21584774350912719</v>
          </cell>
          <cell r="T20">
            <v>0.23603369584106978</v>
          </cell>
          <cell r="U20">
            <v>0.27222059506130969</v>
          </cell>
          <cell r="V20">
            <v>0.28956194454203588</v>
          </cell>
        </row>
        <row r="21">
          <cell r="A21" t="str">
            <v>Site Rental Revs</v>
          </cell>
          <cell r="B21">
            <v>43.350710000000007</v>
          </cell>
          <cell r="C21">
            <v>43.893980000000006</v>
          </cell>
          <cell r="D21">
            <v>45.821620000000003</v>
          </cell>
          <cell r="E21">
            <v>46.594990000000003</v>
          </cell>
          <cell r="F21">
            <v>47.786049999999996</v>
          </cell>
          <cell r="G21">
            <v>49.154560000000004</v>
          </cell>
          <cell r="H21">
            <v>53.505760000000009</v>
          </cell>
          <cell r="I21">
            <v>55.121920000000003</v>
          </cell>
          <cell r="J21">
            <v>61.3902</v>
          </cell>
          <cell r="K21">
            <v>53.082120000000003</v>
          </cell>
          <cell r="L21">
            <v>55.171530000000004</v>
          </cell>
          <cell r="M21">
            <v>61.810268000000001</v>
          </cell>
          <cell r="N21">
            <v>71.056799999999996</v>
          </cell>
          <cell r="O21">
            <v>75.631</v>
          </cell>
          <cell r="P21">
            <v>73.801000000000002</v>
          </cell>
          <cell r="Q21">
            <v>90.227904000000009</v>
          </cell>
          <cell r="R21">
            <v>97.531180000000006</v>
          </cell>
          <cell r="S21">
            <v>115.749</v>
          </cell>
          <cell r="T21">
            <v>129.029</v>
          </cell>
          <cell r="U21">
            <v>158.93299999999999</v>
          </cell>
          <cell r="V21">
            <v>178.02500000000001</v>
          </cell>
        </row>
        <row r="22">
          <cell r="A22" t="str">
            <v>Q/Q growth</v>
          </cell>
          <cell r="C22">
            <v>1.2531974678154034E-2</v>
          </cell>
          <cell r="D22">
            <v>4.3915817157614612E-2</v>
          </cell>
          <cell r="E22">
            <v>1.687784063505382E-2</v>
          </cell>
          <cell r="F22">
            <v>2.5561975654464053E-2</v>
          </cell>
          <cell r="G22">
            <v>2.8638274140675213E-2</v>
          </cell>
          <cell r="H22">
            <v>8.8520780167699709E-2</v>
          </cell>
          <cell r="I22">
            <v>3.0205346116006782E-2</v>
          </cell>
          <cell r="J22">
            <v>0.11371664847668583</v>
          </cell>
          <cell r="K22">
            <v>-0.13533234946294359</v>
          </cell>
          <cell r="L22">
            <v>3.9361841614464543E-2</v>
          </cell>
          <cell r="M22">
            <v>0.12032905377102998</v>
          </cell>
          <cell r="N22">
            <v>0.14959540379278069</v>
          </cell>
          <cell r="O22">
            <v>6.4373853030252004E-2</v>
          </cell>
          <cell r="P22">
            <v>-2.4196427390884678E-2</v>
          </cell>
          <cell r="Q22">
            <v>0.22258375902765559</v>
          </cell>
          <cell r="R22">
            <v>8.0942543007537893E-2</v>
          </cell>
          <cell r="S22">
            <v>0.18678970150878915</v>
          </cell>
          <cell r="T22">
            <v>0.11473101279492703</v>
          </cell>
          <cell r="U22">
            <v>0.23176185198676258</v>
          </cell>
          <cell r="V22">
            <v>0.12012609086847936</v>
          </cell>
        </row>
        <row r="23">
          <cell r="A23" t="str">
            <v>Y/Y growth</v>
          </cell>
          <cell r="F23">
            <v>0.10231297249802807</v>
          </cell>
          <cell r="G23">
            <v>0.11984741415565403</v>
          </cell>
          <cell r="H23">
            <v>0.1676968208457057</v>
          </cell>
          <cell r="I23">
            <v>0.18300100504367522</v>
          </cell>
          <cell r="J23">
            <v>0.28468873238110293</v>
          </cell>
          <cell r="K23">
            <v>7.9902251184834183E-2</v>
          </cell>
          <cell r="L23">
            <v>3.1132536011076128E-2</v>
          </cell>
          <cell r="M23">
            <v>0.12133735544770574</v>
          </cell>
          <cell r="N23">
            <v>0.15746161439447981</v>
          </cell>
          <cell r="O23">
            <v>0.42479237829988703</v>
          </cell>
          <cell r="P23">
            <v>0.33766455271405382</v>
          </cell>
          <cell r="Q23">
            <v>0.45975590981097203</v>
          </cell>
          <cell r="R23">
            <v>0.37258052712759393</v>
          </cell>
          <cell r="S23">
            <v>0.53044386561066226</v>
          </cell>
          <cell r="T23">
            <v>0.74833674340456091</v>
          </cell>
          <cell r="U23">
            <v>0.76146173139520101</v>
          </cell>
          <cell r="V23">
            <v>0.82531370993358211</v>
          </cell>
        </row>
        <row r="24">
          <cell r="A24" t="str">
            <v>Straight line</v>
          </cell>
          <cell r="B24">
            <v>0</v>
          </cell>
          <cell r="C24">
            <v>0</v>
          </cell>
          <cell r="D24">
            <v>0</v>
          </cell>
          <cell r="E24">
            <v>0</v>
          </cell>
          <cell r="F24">
            <v>2.0773999999999999</v>
          </cell>
          <cell r="G24">
            <v>2.3449400000000002</v>
          </cell>
          <cell r="H24">
            <v>1.9758200000000001</v>
          </cell>
          <cell r="I24">
            <v>1.6839200000000003</v>
          </cell>
          <cell r="J24">
            <v>1.8395999999999999</v>
          </cell>
          <cell r="K24">
            <v>1.5551899999999999</v>
          </cell>
          <cell r="L24">
            <v>1.335825</v>
          </cell>
          <cell r="M24">
            <v>1.3137080000000001</v>
          </cell>
          <cell r="N24">
            <v>1.5723200000000002</v>
          </cell>
          <cell r="O24">
            <v>1.3185118394658051</v>
          </cell>
          <cell r="P24">
            <v>2.4453</v>
          </cell>
          <cell r="Q24">
            <v>3.6174720000000002</v>
          </cell>
          <cell r="R24">
            <v>6.7220099999999992</v>
          </cell>
          <cell r="S24">
            <v>7.3202644183603613</v>
          </cell>
          <cell r="T24">
            <v>6.5654599999999999</v>
          </cell>
          <cell r="U24">
            <v>7.16045</v>
          </cell>
          <cell r="V24">
            <v>7.9102540000000001</v>
          </cell>
        </row>
        <row r="25">
          <cell r="A25" t="str">
            <v>Site Rental Revs (excl str)</v>
          </cell>
          <cell r="B25">
            <v>43.350710000000007</v>
          </cell>
          <cell r="C25">
            <v>43.893980000000006</v>
          </cell>
          <cell r="D25">
            <v>45.821620000000003</v>
          </cell>
          <cell r="E25">
            <v>46.594990000000003</v>
          </cell>
          <cell r="F25">
            <v>45.708649999999999</v>
          </cell>
          <cell r="G25">
            <v>46.809620000000002</v>
          </cell>
          <cell r="H25">
            <v>51.529940000000011</v>
          </cell>
          <cell r="I25">
            <v>53.438000000000002</v>
          </cell>
          <cell r="J25">
            <v>59.550600000000003</v>
          </cell>
          <cell r="K25">
            <v>51.52693</v>
          </cell>
          <cell r="L25">
            <v>53.835705000000004</v>
          </cell>
          <cell r="M25">
            <v>60.496560000000002</v>
          </cell>
          <cell r="N25">
            <v>69.484479999999991</v>
          </cell>
          <cell r="O25">
            <v>74.312488160534201</v>
          </cell>
          <cell r="P25">
            <v>71.355699999999999</v>
          </cell>
          <cell r="Q25">
            <v>86.610432000000003</v>
          </cell>
          <cell r="R25">
            <v>90.809170000000009</v>
          </cell>
          <cell r="S25">
            <v>108.42873558163963</v>
          </cell>
          <cell r="T25">
            <v>122.46353999999999</v>
          </cell>
          <cell r="U25">
            <v>151.77255</v>
          </cell>
          <cell r="V25">
            <v>170.114746</v>
          </cell>
        </row>
        <row r="26">
          <cell r="A26" t="str">
            <v>Q/Q growth</v>
          </cell>
          <cell r="C26">
            <v>1.2531974678154034E-2</v>
          </cell>
          <cell r="D26">
            <v>4.3915817157614612E-2</v>
          </cell>
          <cell r="E26">
            <v>1.687784063505382E-2</v>
          </cell>
          <cell r="F26">
            <v>-1.9022216766223288E-2</v>
          </cell>
          <cell r="G26">
            <v>2.4086688187028082E-2</v>
          </cell>
          <cell r="H26">
            <v>0.10084081007280155</v>
          </cell>
          <cell r="I26">
            <v>3.7028182062699644E-2</v>
          </cell>
          <cell r="J26">
            <v>0.11438676597178032</v>
          </cell>
          <cell r="K26">
            <v>-0.13473701356493473</v>
          </cell>
          <cell r="L26">
            <v>4.4807152298807607E-2</v>
          </cell>
          <cell r="M26">
            <v>0.123725601810174</v>
          </cell>
          <cell r="N26">
            <v>0.14856910872287599</v>
          </cell>
          <cell r="O26">
            <v>6.9483259578746459E-2</v>
          </cell>
          <cell r="P26">
            <v>-3.9788577044369333E-2</v>
          </cell>
          <cell r="Q26">
            <v>0.21378435079468083</v>
          </cell>
          <cell r="R26">
            <v>4.8478432713509712E-2</v>
          </cell>
          <cell r="S26">
            <v>0.19402848392557281</v>
          </cell>
          <cell r="T26">
            <v>0.12943805295777056</v>
          </cell>
          <cell r="U26">
            <v>0.23932845645324319</v>
          </cell>
          <cell r="V26">
            <v>0.1208531845844325</v>
          </cell>
        </row>
        <row r="27">
          <cell r="A27" t="str">
            <v>Y/Y growth</v>
          </cell>
          <cell r="F27">
            <v>5.4392188732318214E-2</v>
          </cell>
          <cell r="G27">
            <v>6.6424598544037261E-2</v>
          </cell>
          <cell r="H27">
            <v>0.1245770009877436</v>
          </cell>
          <cell r="I27">
            <v>0.14686149734123766</v>
          </cell>
          <cell r="J27">
            <v>0.30282998950964424</v>
          </cell>
          <cell r="K27">
            <v>0.10077650705132823</v>
          </cell>
          <cell r="L27">
            <v>4.474612235139408E-2</v>
          </cell>
          <cell r="M27">
            <v>0.13208877577753664</v>
          </cell>
          <cell r="N27">
            <v>0.16681410430793298</v>
          </cell>
          <cell r="O27">
            <v>0.44220678702445881</v>
          </cell>
          <cell r="P27">
            <v>0.32543448627634741</v>
          </cell>
          <cell r="Q27">
            <v>0.43165879183874245</v>
          </cell>
          <cell r="R27">
            <v>0.3068986052712781</v>
          </cell>
          <cell r="S27">
            <v>0.45909171211446331</v>
          </cell>
          <cell r="T27">
            <v>0.71624046852599021</v>
          </cell>
          <cell r="U27">
            <v>0.75235876897600495</v>
          </cell>
          <cell r="V27">
            <v>0.87332122956304947</v>
          </cell>
        </row>
        <row r="28">
          <cell r="A28" t="str">
            <v>Segment Operating Expenses</v>
          </cell>
          <cell r="O28">
            <v>21.245999999999999</v>
          </cell>
          <cell r="P28">
            <v>23.07</v>
          </cell>
          <cell r="S28">
            <v>41.109000000000002</v>
          </cell>
          <cell r="T28">
            <v>44.677</v>
          </cell>
          <cell r="U28">
            <v>56.731999999999999</v>
          </cell>
          <cell r="V28">
            <v>68.335999999999999</v>
          </cell>
        </row>
        <row r="29">
          <cell r="A29" t="str">
            <v>TV Azteca</v>
          </cell>
          <cell r="O29">
            <v>3.5409999999999999</v>
          </cell>
          <cell r="P29">
            <v>3.4990000000000001</v>
          </cell>
          <cell r="S29">
            <v>3.5430000000000001</v>
          </cell>
          <cell r="T29">
            <v>3.5430000000000001</v>
          </cell>
          <cell r="U29">
            <v>3.59</v>
          </cell>
          <cell r="V29">
            <v>3.4980000000000002</v>
          </cell>
        </row>
        <row r="30">
          <cell r="A30" t="str">
            <v>Segment Gross Margin</v>
          </cell>
          <cell r="O30">
            <v>57.926000000000002</v>
          </cell>
          <cell r="P30">
            <v>54.230000000000004</v>
          </cell>
          <cell r="S30">
            <v>78.182999999999993</v>
          </cell>
          <cell r="T30">
            <v>87.89500000000001</v>
          </cell>
          <cell r="U30">
            <v>105.791</v>
          </cell>
          <cell r="V30">
            <v>113.18700000000001</v>
          </cell>
        </row>
        <row r="31">
          <cell r="A31" t="str">
            <v>Gross Margin (%)</v>
          </cell>
          <cell r="O31">
            <v>0.76590287051605821</v>
          </cell>
          <cell r="P31">
            <v>0.73481389141068554</v>
          </cell>
          <cell r="S31">
            <v>0.6754529196796516</v>
          </cell>
          <cell r="T31">
            <v>0.68120345038712238</v>
          </cell>
          <cell r="U31">
            <v>0.66563268798802011</v>
          </cell>
          <cell r="V31">
            <v>0.63579272574076684</v>
          </cell>
        </row>
        <row r="32">
          <cell r="A32" t="str">
            <v>Segment SG&amp;A</v>
          </cell>
          <cell r="O32">
            <v>8.6630000000000003</v>
          </cell>
          <cell r="P32">
            <v>8.9429999999999996</v>
          </cell>
          <cell r="S32">
            <v>13.936</v>
          </cell>
          <cell r="T32">
            <v>17.460999999999999</v>
          </cell>
          <cell r="U32">
            <v>21.516999999999999</v>
          </cell>
          <cell r="V32">
            <v>21.640999999999998</v>
          </cell>
        </row>
        <row r="33">
          <cell r="A33" t="str">
            <v>Segment Operating Profit</v>
          </cell>
          <cell r="O33">
            <v>49.263000000000005</v>
          </cell>
          <cell r="P33">
            <v>45.287000000000006</v>
          </cell>
          <cell r="S33">
            <v>64.246999999999986</v>
          </cell>
          <cell r="T33">
            <v>70.434000000000012</v>
          </cell>
          <cell r="U33">
            <v>84.274000000000001</v>
          </cell>
          <cell r="V33">
            <v>91.546000000000021</v>
          </cell>
        </row>
        <row r="34">
          <cell r="A34" t="str">
            <v>Operating Profit Margin (%)</v>
          </cell>
          <cell r="O34">
            <v>0.65135989210773371</v>
          </cell>
          <cell r="P34">
            <v>0.61363667158981594</v>
          </cell>
          <cell r="S34">
            <v>0.55505447131292696</v>
          </cell>
          <cell r="T34">
            <v>0.54587728340140595</v>
          </cell>
          <cell r="U34">
            <v>0.53024859532004054</v>
          </cell>
          <cell r="V34">
            <v>0.51423114731077102</v>
          </cell>
        </row>
        <row r="39">
          <cell r="A39" t="str">
            <v>Latin America</v>
          </cell>
          <cell r="B39">
            <v>0.13</v>
          </cell>
          <cell r="C39">
            <v>0.13</v>
          </cell>
          <cell r="D39">
            <v>0.13</v>
          </cell>
          <cell r="E39">
            <v>0.13</v>
          </cell>
          <cell r="F39">
            <v>0.13</v>
          </cell>
          <cell r="G39">
            <v>0.13</v>
          </cell>
          <cell r="H39">
            <v>0.14000000000000001</v>
          </cell>
          <cell r="I39">
            <v>0.14000000000000001</v>
          </cell>
          <cell r="J39">
            <v>0.15</v>
          </cell>
          <cell r="K39">
            <v>0.13</v>
          </cell>
          <cell r="L39">
            <v>0.13500000000000001</v>
          </cell>
          <cell r="M39">
            <v>0.13800000000000001</v>
          </cell>
          <cell r="N39">
            <v>0.14000000000000001</v>
          </cell>
          <cell r="O39">
            <v>0.15</v>
          </cell>
          <cell r="P39">
            <v>0.14499999999999999</v>
          </cell>
          <cell r="Q39">
            <v>0.14000000000000001</v>
          </cell>
          <cell r="R39">
            <v>0.13500000000000001</v>
          </cell>
          <cell r="S39">
            <v>0.13261915551055187</v>
          </cell>
          <cell r="T39">
            <v>0.155</v>
          </cell>
          <cell r="U39">
            <v>0.16500000000000001</v>
          </cell>
          <cell r="V39">
            <v>0.16600000000000001</v>
          </cell>
        </row>
        <row r="40">
          <cell r="A40" t="str">
            <v>Site Rental Revs</v>
          </cell>
          <cell r="B40">
            <v>43.350710000000007</v>
          </cell>
          <cell r="C40">
            <v>43.893980000000006</v>
          </cell>
          <cell r="D40">
            <v>45.821620000000003</v>
          </cell>
          <cell r="E40">
            <v>46.594990000000003</v>
          </cell>
          <cell r="F40">
            <v>47.786049999999996</v>
          </cell>
          <cell r="G40">
            <v>49.154560000000004</v>
          </cell>
          <cell r="H40">
            <v>53.505760000000009</v>
          </cell>
          <cell r="I40">
            <v>55.121920000000003</v>
          </cell>
          <cell r="J40">
            <v>61.3902</v>
          </cell>
          <cell r="K40">
            <v>53.082120000000003</v>
          </cell>
          <cell r="L40">
            <v>55.171530000000004</v>
          </cell>
          <cell r="M40">
            <v>58.423403999999998</v>
          </cell>
          <cell r="N40">
            <v>62.174700000000001</v>
          </cell>
          <cell r="O40">
            <v>62.364366000000004</v>
          </cell>
          <cell r="P40">
            <v>65.892929999999993</v>
          </cell>
          <cell r="Q40">
            <v>65.791180000000011</v>
          </cell>
          <cell r="R40">
            <v>69.298470000000009</v>
          </cell>
          <cell r="S40">
            <v>71.117419999999981</v>
          </cell>
          <cell r="T40">
            <v>87.217724999999987</v>
          </cell>
          <cell r="U40">
            <v>98.543775000000011</v>
          </cell>
          <cell r="V40">
            <v>104.64689800000001</v>
          </cell>
        </row>
        <row r="41">
          <cell r="A41" t="str">
            <v>Q/Q growth</v>
          </cell>
          <cell r="C41">
            <v>1.2531974678154034E-2</v>
          </cell>
          <cell r="D41">
            <v>4.3915817157614612E-2</v>
          </cell>
          <cell r="E41">
            <v>1.687784063505382E-2</v>
          </cell>
          <cell r="F41">
            <v>2.5561975654464053E-2</v>
          </cell>
          <cell r="G41">
            <v>2.8638274140675213E-2</v>
          </cell>
          <cell r="H41">
            <v>8.8520780167699709E-2</v>
          </cell>
          <cell r="I41">
            <v>3.0205346116006782E-2</v>
          </cell>
          <cell r="J41">
            <v>0.11371664847668583</v>
          </cell>
          <cell r="K41">
            <v>-0.13533234946294359</v>
          </cell>
          <cell r="L41">
            <v>3.9361841614464543E-2</v>
          </cell>
          <cell r="M41">
            <v>5.8941160413713334E-2</v>
          </cell>
          <cell r="N41">
            <v>6.4208788655998328E-2</v>
          </cell>
          <cell r="O41">
            <v>3.0505334163253295E-3</v>
          </cell>
          <cell r="P41">
            <v>5.657981033592141E-2</v>
          </cell>
          <cell r="Q41">
            <v>-1.5441717343572803E-3</v>
          </cell>
          <cell r="R41">
            <v>5.3309425366743657E-2</v>
          </cell>
          <cell r="S41">
            <v>2.6248054249970787E-2</v>
          </cell>
          <cell r="T41">
            <v>0.22639045398441082</v>
          </cell>
          <cell r="U41">
            <v>0.12985949816966702</v>
          </cell>
          <cell r="V41">
            <v>6.1933115511355163E-2</v>
          </cell>
        </row>
        <row r="42">
          <cell r="A42" t="str">
            <v>Y/Y growth</v>
          </cell>
          <cell r="F42">
            <v>0.10231297249802807</v>
          </cell>
          <cell r="G42">
            <v>0.11984741415565403</v>
          </cell>
          <cell r="H42">
            <v>0.1676968208457057</v>
          </cell>
          <cell r="I42">
            <v>0.18300100504367522</v>
          </cell>
          <cell r="J42">
            <v>0.28468873238110293</v>
          </cell>
          <cell r="K42">
            <v>7.9902251184834183E-2</v>
          </cell>
          <cell r="L42">
            <v>3.1132536011076128E-2</v>
          </cell>
          <cell r="M42">
            <v>5.9894212683447856E-2</v>
          </cell>
          <cell r="N42">
            <v>1.2778912595169833E-2</v>
          </cell>
          <cell r="O42">
            <v>0.17486577401204029</v>
          </cell>
          <cell r="P42">
            <v>0.19432848789946533</v>
          </cell>
          <cell r="Q42">
            <v>0.12611000892724444</v>
          </cell>
          <cell r="R42">
            <v>0.11457666864496341</v>
          </cell>
          <cell r="S42">
            <v>0.14035345120000065</v>
          </cell>
          <cell r="T42">
            <v>0.32362796737070276</v>
          </cell>
          <cell r="U42">
            <v>0.49782653237105623</v>
          </cell>
          <cell r="V42">
            <v>0.51008958783649905</v>
          </cell>
        </row>
        <row r="43">
          <cell r="A43" t="str">
            <v>Straight line</v>
          </cell>
          <cell r="B43">
            <v>0</v>
          </cell>
          <cell r="C43">
            <v>0</v>
          </cell>
          <cell r="D43">
            <v>0</v>
          </cell>
          <cell r="E43">
            <v>0</v>
          </cell>
          <cell r="F43">
            <v>2.0773999999999999</v>
          </cell>
          <cell r="G43">
            <v>2.3449400000000002</v>
          </cell>
          <cell r="H43">
            <v>1.9758200000000001</v>
          </cell>
          <cell r="I43">
            <v>1.6839200000000003</v>
          </cell>
          <cell r="J43">
            <v>1.8395999999999999</v>
          </cell>
          <cell r="K43">
            <v>1.5551899999999999</v>
          </cell>
          <cell r="L43">
            <v>1.335825</v>
          </cell>
          <cell r="M43">
            <v>1.241724</v>
          </cell>
          <cell r="N43">
            <v>1.3757800000000002</v>
          </cell>
          <cell r="O43">
            <v>1.13805</v>
          </cell>
          <cell r="P43">
            <v>1.9698249999999999</v>
          </cell>
          <cell r="Q43">
            <v>2.6377400000000004</v>
          </cell>
          <cell r="R43">
            <v>4.7761649999999998</v>
          </cell>
          <cell r="S43">
            <v>4.9627414183603618</v>
          </cell>
          <cell r="T43">
            <v>4.6256649999999997</v>
          </cell>
          <cell r="U43">
            <v>5.0275499999999997</v>
          </cell>
          <cell r="V43">
            <v>5.4260419999999998</v>
          </cell>
        </row>
        <row r="44">
          <cell r="A44" t="str">
            <v>Site Rental Revs (excl str)</v>
          </cell>
          <cell r="B44">
            <v>43.350710000000007</v>
          </cell>
          <cell r="C44">
            <v>43.893980000000006</v>
          </cell>
          <cell r="D44">
            <v>45.821620000000003</v>
          </cell>
          <cell r="E44">
            <v>46.594990000000003</v>
          </cell>
          <cell r="F44">
            <v>45.708649999999999</v>
          </cell>
          <cell r="G44">
            <v>46.809620000000002</v>
          </cell>
          <cell r="H44">
            <v>51.529940000000011</v>
          </cell>
          <cell r="I44">
            <v>53.438000000000002</v>
          </cell>
          <cell r="J44">
            <v>59.550600000000003</v>
          </cell>
          <cell r="K44">
            <v>51.52693</v>
          </cell>
          <cell r="L44">
            <v>53.835705000000004</v>
          </cell>
          <cell r="M44">
            <v>57.18168</v>
          </cell>
          <cell r="N44">
            <v>60.798920000000003</v>
          </cell>
          <cell r="O44">
            <v>61.226316000000004</v>
          </cell>
          <cell r="P44">
            <v>63.923104999999993</v>
          </cell>
          <cell r="Q44">
            <v>63.15344000000001</v>
          </cell>
          <cell r="R44">
            <v>64.522305000000003</v>
          </cell>
          <cell r="S44">
            <v>66.154678581639615</v>
          </cell>
          <cell r="T44">
            <v>82.592059999999989</v>
          </cell>
          <cell r="U44">
            <v>93.516225000000006</v>
          </cell>
          <cell r="V44">
            <v>99.220856000000012</v>
          </cell>
        </row>
        <row r="45">
          <cell r="A45" t="str">
            <v>Q/Q growth</v>
          </cell>
          <cell r="C45">
            <v>1.2531974678154034E-2</v>
          </cell>
          <cell r="D45">
            <v>4.3915817157614612E-2</v>
          </cell>
          <cell r="E45">
            <v>1.687784063505382E-2</v>
          </cell>
          <cell r="F45">
            <v>-1.9022216766223288E-2</v>
          </cell>
          <cell r="G45">
            <v>2.4086688187028082E-2</v>
          </cell>
          <cell r="H45">
            <v>0.10084081007280155</v>
          </cell>
          <cell r="I45">
            <v>3.7028182062699644E-2</v>
          </cell>
          <cell r="J45">
            <v>0.11438676597178032</v>
          </cell>
          <cell r="K45">
            <v>-0.13473701356493473</v>
          </cell>
          <cell r="L45">
            <v>4.4807152298807607E-2</v>
          </cell>
          <cell r="M45">
            <v>6.2151596231534434E-2</v>
          </cell>
          <cell r="N45">
            <v>6.3258722024256864E-2</v>
          </cell>
          <cell r="O45">
            <v>7.0296643427218974E-3</v>
          </cell>
          <cell r="P45">
            <v>4.4046239855423996E-2</v>
          </cell>
          <cell r="Q45">
            <v>-1.2040482076081549E-2</v>
          </cell>
          <cell r="R45">
            <v>2.1675224659179149E-2</v>
          </cell>
          <cell r="S45">
            <v>2.529936867009952E-2</v>
          </cell>
          <cell r="T45">
            <v>0.24846891815936289</v>
          </cell>
          <cell r="U45">
            <v>0.13226652779940373</v>
          </cell>
          <cell r="V45">
            <v>6.100151070041604E-2</v>
          </cell>
        </row>
        <row r="46">
          <cell r="A46" t="str">
            <v>Y/Y growth</v>
          </cell>
          <cell r="F46">
            <v>5.4392188732318214E-2</v>
          </cell>
          <cell r="G46">
            <v>6.6424598544037261E-2</v>
          </cell>
          <cell r="H46">
            <v>0.1245770009877436</v>
          </cell>
          <cell r="I46">
            <v>0.14686149734123766</v>
          </cell>
          <cell r="J46">
            <v>0.30282998950964424</v>
          </cell>
          <cell r="K46">
            <v>0.10077650705132823</v>
          </cell>
          <cell r="L46">
            <v>4.474612235139408E-2</v>
          </cell>
          <cell r="M46">
            <v>7.0056514091096256E-2</v>
          </cell>
          <cell r="N46">
            <v>2.096234126944152E-2</v>
          </cell>
          <cell r="O46">
            <v>0.18823915960062054</v>
          </cell>
          <cell r="P46">
            <v>0.18737378845507813</v>
          </cell>
          <cell r="Q46">
            <v>0.10443484696497207</v>
          </cell>
          <cell r="R46">
            <v>6.1240972701488872E-2</v>
          </cell>
          <cell r="S46">
            <v>8.0494187852811594E-2</v>
          </cell>
          <cell r="T46">
            <v>0.29205331937489576</v>
          </cell>
          <cell r="U46">
            <v>0.48077800670873971</v>
          </cell>
          <cell r="V46">
            <v>0.53777606054216465</v>
          </cell>
        </row>
        <row r="48">
          <cell r="A48" t="str">
            <v>India</v>
          </cell>
          <cell r="G48">
            <v>0</v>
          </cell>
          <cell r="H48">
            <v>0</v>
          </cell>
          <cell r="I48">
            <v>0</v>
          </cell>
          <cell r="J48">
            <v>0</v>
          </cell>
          <cell r="K48">
            <v>0</v>
          </cell>
          <cell r="L48">
            <v>0</v>
          </cell>
          <cell r="M48">
            <v>8.0000000000000002E-3</v>
          </cell>
          <cell r="N48">
            <v>0.02</v>
          </cell>
          <cell r="O48">
            <v>2.3785664882800206E-2</v>
          </cell>
          <cell r="P48">
            <v>3.5000000000000003E-2</v>
          </cell>
          <cell r="Q48">
            <v>5.1999999999999998E-2</v>
          </cell>
          <cell r="R48">
            <v>5.5E-2</v>
          </cell>
          <cell r="S48">
            <v>6.3E-2</v>
          </cell>
          <cell r="T48">
            <v>6.5000000000000002E-2</v>
          </cell>
          <cell r="U48">
            <v>7.0000000000000007E-2</v>
          </cell>
          <cell r="V48">
            <v>7.5999999999999998E-2</v>
          </cell>
        </row>
        <row r="49">
          <cell r="A49" t="str">
            <v>Site Rental Revs</v>
          </cell>
          <cell r="G49">
            <v>0</v>
          </cell>
          <cell r="H49">
            <v>0</v>
          </cell>
          <cell r="I49">
            <v>0</v>
          </cell>
          <cell r="J49">
            <v>0</v>
          </cell>
          <cell r="K49">
            <v>0</v>
          </cell>
          <cell r="L49">
            <v>0</v>
          </cell>
          <cell r="M49">
            <v>3.3868639999999997</v>
          </cell>
          <cell r="N49">
            <v>8.8820999999999994</v>
          </cell>
          <cell r="O49">
            <v>9.967036000000002</v>
          </cell>
          <cell r="P49">
            <v>15.905190000000001</v>
          </cell>
          <cell r="Q49">
            <v>24.436723999999998</v>
          </cell>
          <cell r="R49">
            <v>28.232710000000001</v>
          </cell>
          <cell r="S49">
            <v>30.22437600000001</v>
          </cell>
          <cell r="T49">
            <v>36.575174999999994</v>
          </cell>
          <cell r="U49">
            <v>41.806450000000005</v>
          </cell>
          <cell r="V49">
            <v>47.910628000000003</v>
          </cell>
        </row>
        <row r="50">
          <cell r="A50" t="str">
            <v>Q/Q growth</v>
          </cell>
          <cell r="N50">
            <v>1.6225145149022815</v>
          </cell>
          <cell r="O50">
            <v>0.12214859098636621</v>
          </cell>
          <cell r="P50">
            <v>0.59577932697343505</v>
          </cell>
          <cell r="Q50">
            <v>0.53639937655570269</v>
          </cell>
          <cell r="R50">
            <v>0.15533939819429166</v>
          </cell>
          <cell r="S50">
            <v>7.054462713639631E-2</v>
          </cell>
          <cell r="T50">
            <v>0.21012175735240923</v>
          </cell>
          <cell r="U50">
            <v>0.14302802378936019</v>
          </cell>
          <cell r="V50">
            <v>0.14601043618867426</v>
          </cell>
        </row>
        <row r="51">
          <cell r="A51" t="str">
            <v>Y/Y growth</v>
          </cell>
          <cell r="P51">
            <v>3.6961407366814854</v>
          </cell>
          <cell r="Q51">
            <v>1.7512327039776627</v>
          </cell>
          <cell r="R51">
            <v>1.8326084103639233</v>
          </cell>
          <cell r="S51">
            <v>0.90028386960482765</v>
          </cell>
          <cell r="T51">
            <v>0.4967298808138112</v>
          </cell>
          <cell r="U51">
            <v>0.48078062644358277</v>
          </cell>
          <cell r="V51">
            <v>0.58516516602360902</v>
          </cell>
        </row>
        <row r="52">
          <cell r="A52" t="str">
            <v>Straight line</v>
          </cell>
          <cell r="M52">
            <v>7.1983999999999992E-2</v>
          </cell>
          <cell r="N52">
            <v>0.19653999999999999</v>
          </cell>
          <cell r="O52">
            <v>0.18046183946580516</v>
          </cell>
          <cell r="P52">
            <v>0.47547500000000009</v>
          </cell>
          <cell r="Q52">
            <v>0.97973200000000005</v>
          </cell>
          <cell r="R52">
            <v>1.9458449999999998</v>
          </cell>
          <cell r="S52">
            <v>2.357523</v>
          </cell>
          <cell r="T52">
            <v>1.9397950000000002</v>
          </cell>
          <cell r="U52">
            <v>2.1329000000000002</v>
          </cell>
          <cell r="V52">
            <v>2.4842119999999999</v>
          </cell>
        </row>
        <row r="53">
          <cell r="A53" t="str">
            <v>Site Rental Revs (excl str)</v>
          </cell>
          <cell r="B53">
            <v>0</v>
          </cell>
          <cell r="C53">
            <v>0</v>
          </cell>
          <cell r="D53">
            <v>0</v>
          </cell>
          <cell r="E53">
            <v>0</v>
          </cell>
          <cell r="F53">
            <v>0</v>
          </cell>
          <cell r="G53">
            <v>0</v>
          </cell>
          <cell r="H53">
            <v>0</v>
          </cell>
          <cell r="I53">
            <v>0</v>
          </cell>
          <cell r="J53">
            <v>0</v>
          </cell>
          <cell r="K53">
            <v>0</v>
          </cell>
          <cell r="L53">
            <v>0</v>
          </cell>
          <cell r="M53">
            <v>3.3148799999999996</v>
          </cell>
          <cell r="N53">
            <v>8.6855599999999988</v>
          </cell>
          <cell r="O53">
            <v>9.7865741605341974</v>
          </cell>
          <cell r="P53">
            <v>15.429715000000002</v>
          </cell>
          <cell r="Q53">
            <v>23.456992</v>
          </cell>
          <cell r="R53">
            <v>26.286865000000002</v>
          </cell>
          <cell r="S53">
            <v>27.86685300000001</v>
          </cell>
          <cell r="T53">
            <v>34.635379999999998</v>
          </cell>
          <cell r="U53">
            <v>39.673550000000006</v>
          </cell>
          <cell r="V53">
            <v>45.426416000000003</v>
          </cell>
        </row>
        <row r="54">
          <cell r="A54" t="str">
            <v>Q/Q growth</v>
          </cell>
          <cell r="N54">
            <v>1.6201732792740611</v>
          </cell>
          <cell r="O54">
            <v>0.12676375047022859</v>
          </cell>
          <cell r="P54">
            <v>0.57662065876153079</v>
          </cell>
          <cell r="Q54">
            <v>0.52024791125435543</v>
          </cell>
          <cell r="R54">
            <v>0.12064091593670678</v>
          </cell>
          <cell r="S54">
            <v>6.0105607876785871E-2</v>
          </cell>
          <cell r="T54">
            <v>0.24288810078411038</v>
          </cell>
          <cell r="U54">
            <v>0.14546310737748525</v>
          </cell>
          <cell r="V54">
            <v>0.14500507264915785</v>
          </cell>
        </row>
        <row r="55">
          <cell r="A55" t="str">
            <v>Y/Y growth</v>
          </cell>
          <cell r="P55">
            <v>3.6546828241142979</v>
          </cell>
          <cell r="Q55">
            <v>1.7006884990720232</v>
          </cell>
          <cell r="R55">
            <v>1.6860129570167319</v>
          </cell>
          <cell r="S55">
            <v>0.80605105149382261</v>
          </cell>
          <cell r="T55">
            <v>0.4765482292017662</v>
          </cell>
          <cell r="U55">
            <v>0.50925376609192474</v>
          </cell>
          <cell r="V55">
            <v>0.63012364546509736</v>
          </cell>
        </row>
        <row r="57">
          <cell r="A57" t="str">
            <v>Africa</v>
          </cell>
          <cell r="T57">
            <v>5.2361000000000146</v>
          </cell>
          <cell r="U57">
            <v>18.582774999999977</v>
          </cell>
          <cell r="V57">
            <v>25.467473999999996</v>
          </cell>
        </row>
        <row r="58">
          <cell r="A58" t="str">
            <v>Site Rental Revs</v>
          </cell>
        </row>
        <row r="59">
          <cell r="A59" t="str">
            <v>Q/Q growth</v>
          </cell>
        </row>
        <row r="60">
          <cell r="A60" t="str">
            <v>Y/Y growth</v>
          </cell>
        </row>
        <row r="61">
          <cell r="A61" t="str">
            <v>Straight line</v>
          </cell>
        </row>
        <row r="62">
          <cell r="A62" t="str">
            <v>Site Rental Revs (excl str)</v>
          </cell>
        </row>
        <row r="63">
          <cell r="A63" t="str">
            <v>Q/Q growth</v>
          </cell>
        </row>
        <row r="64">
          <cell r="A64" t="str">
            <v>Y/Y growth</v>
          </cell>
        </row>
      </sheetData>
      <sheetData sheetId="9" refreshError="1">
        <row r="1">
          <cell r="H1">
            <v>40359</v>
          </cell>
        </row>
        <row r="3">
          <cell r="B3" t="str">
            <v>($MM)</v>
          </cell>
          <cell r="D3" t="str">
            <v>Actual</v>
          </cell>
          <cell r="E3" t="str">
            <v>MS (A)</v>
          </cell>
          <cell r="F3" t="str">
            <v>MS (E)</v>
          </cell>
          <cell r="G3" t="str">
            <v>MS (E)</v>
          </cell>
          <cell r="H3" t="str">
            <v>Cons (E)</v>
          </cell>
          <cell r="I3" t="str">
            <v>MS (E) v.</v>
          </cell>
          <cell r="K3" t="str">
            <v>Actual</v>
          </cell>
          <cell r="L3" t="str">
            <v>Actual</v>
          </cell>
          <cell r="S3" t="str">
            <v>Guidance</v>
          </cell>
          <cell r="U3" t="str">
            <v>Comments</v>
          </cell>
          <cell r="W3" t="str">
            <v>Guidance</v>
          </cell>
          <cell r="Y3" t="str">
            <v>Comments</v>
          </cell>
        </row>
        <row r="4">
          <cell r="B4" t="str">
            <v>except per share calcs</v>
          </cell>
          <cell r="D4" t="str">
            <v>2Q10</v>
          </cell>
          <cell r="E4" t="str">
            <v>1Q10</v>
          </cell>
          <cell r="F4" t="str">
            <v>2Q10</v>
          </cell>
          <cell r="G4" t="str">
            <v>Diff.</v>
          </cell>
          <cell r="H4" t="str">
            <v>2Q10</v>
          </cell>
          <cell r="I4" t="str">
            <v>Cons (E)</v>
          </cell>
          <cell r="K4" t="str">
            <v>1Q10</v>
          </cell>
          <cell r="L4" t="str">
            <v>2Q09</v>
          </cell>
          <cell r="M4" t="str">
            <v>Seq. (A)</v>
          </cell>
          <cell r="N4" t="str">
            <v>Y/Y (A)</v>
          </cell>
          <cell r="P4" t="str">
            <v>Seq. (E)</v>
          </cell>
          <cell r="Q4" t="str">
            <v>Y/Y (E)</v>
          </cell>
          <cell r="S4" t="str">
            <v xml:space="preserve"> for 1Q10</v>
          </cell>
          <cell r="U4" t="str">
            <v>Post 1Q10</v>
          </cell>
          <cell r="W4" t="str">
            <v xml:space="preserve"> for 2Q10</v>
          </cell>
          <cell r="Y4" t="str">
            <v>Post 2Q10</v>
          </cell>
        </row>
        <row r="6">
          <cell r="B6" t="str">
            <v>REVENUES:</v>
          </cell>
        </row>
        <row r="7">
          <cell r="B7" t="str">
            <v>Site Rental</v>
          </cell>
          <cell r="D7">
            <v>456.48099999999999</v>
          </cell>
          <cell r="E7">
            <v>443.81799999999998</v>
          </cell>
          <cell r="F7">
            <v>453.39576169981962</v>
          </cell>
          <cell r="G7">
            <v>3.0852383001803787</v>
          </cell>
          <cell r="K7">
            <v>443.81799999999998</v>
          </cell>
          <cell r="L7">
            <v>406.75099999999998</v>
          </cell>
          <cell r="M7">
            <v>2.8531965805803194E-2</v>
          </cell>
          <cell r="N7">
            <v>0.12226153101037252</v>
          </cell>
          <cell r="P7">
            <v>2.1580381372138246E-2</v>
          </cell>
          <cell r="Q7">
            <v>0.11467645242376689</v>
          </cell>
          <cell r="S7" t="str">
            <v>$403 - $408</v>
          </cell>
          <cell r="U7" t="str">
            <v>Strong mobile data leasing activity</v>
          </cell>
          <cell r="Y7" t="str">
            <v>Weaker Y/Y Core growth; expect momentum in 2H, but consistent with past years</v>
          </cell>
        </row>
        <row r="8">
          <cell r="B8" t="str">
            <v>Network Development</v>
          </cell>
          <cell r="D8">
            <v>13.456</v>
          </cell>
          <cell r="E8">
            <v>10.616</v>
          </cell>
          <cell r="F8">
            <v>11.146800000000001</v>
          </cell>
          <cell r="G8">
            <v>2.3091999999999988</v>
          </cell>
          <cell r="K8">
            <v>10.616</v>
          </cell>
          <cell r="L8">
            <v>16.606999999999999</v>
          </cell>
          <cell r="M8">
            <v>0.2675207234363226</v>
          </cell>
          <cell r="N8">
            <v>-0.18973926657433615</v>
          </cell>
          <cell r="P8">
            <v>5.0000000000000044E-2</v>
          </cell>
          <cell r="Q8">
            <v>-0.32878906485217074</v>
          </cell>
        </row>
        <row r="9">
          <cell r="G9">
            <v>0</v>
          </cell>
        </row>
        <row r="10">
          <cell r="B10" t="str">
            <v>TOTAL REVENUES</v>
          </cell>
          <cell r="D10">
            <v>469.93700000000001</v>
          </cell>
          <cell r="E10">
            <v>454.43399999999997</v>
          </cell>
          <cell r="F10">
            <v>464.5425616998196</v>
          </cell>
          <cell r="G10">
            <v>5.3944383001804113</v>
          </cell>
          <cell r="H10" t="e">
            <v>#NAME?</v>
          </cell>
          <cell r="I10" t="e">
            <v>#NAME?</v>
          </cell>
          <cell r="K10">
            <v>454.43399999999997</v>
          </cell>
          <cell r="L10">
            <v>423.35799999999995</v>
          </cell>
          <cell r="M10">
            <v>3.4114964989415464E-2</v>
          </cell>
          <cell r="N10">
            <v>0.11002272308542671</v>
          </cell>
          <cell r="P10">
            <v>2.2244290039520775E-2</v>
          </cell>
          <cell r="Q10">
            <v>9.728069789591709E-2</v>
          </cell>
          <cell r="U10" t="str">
            <v>Raised expectation for AUD from 0.88 to 0.9</v>
          </cell>
          <cell r="Y10" t="str">
            <v>Signed new business up 10% Y/Y, commenced new business up 25% Y/Y</v>
          </cell>
        </row>
        <row r="12">
          <cell r="B12" t="str">
            <v>MARGINS:</v>
          </cell>
        </row>
        <row r="13">
          <cell r="B13" t="str">
            <v>Cost of Rev - Site Rental</v>
          </cell>
          <cell r="D13">
            <v>105.773</v>
          </cell>
          <cell r="E13">
            <v>100.42400000000001</v>
          </cell>
          <cell r="F13">
            <v>103.37423366755887</v>
          </cell>
          <cell r="G13">
            <v>2.3987663324411272</v>
          </cell>
          <cell r="K13">
            <v>100.42400000000001</v>
          </cell>
          <cell r="L13">
            <v>92.33</v>
          </cell>
          <cell r="M13">
            <v>5.3264159961762036E-2</v>
          </cell>
          <cell r="N13">
            <v>0.14559731398245424</v>
          </cell>
          <cell r="P13">
            <v>2.93777749099704E-2</v>
          </cell>
          <cell r="Q13">
            <v>0.11961695730054012</v>
          </cell>
          <cell r="S13" t="str">
            <v>$113 - $118</v>
          </cell>
          <cell r="Y13" t="str">
            <v>90% of sites are on owned land, under capital lease, or with &gt;10 years lease remaining</v>
          </cell>
        </row>
        <row r="14">
          <cell r="B14" t="str">
            <v>Gross Margin - Rental</v>
          </cell>
          <cell r="D14">
            <v>0.76828608419627531</v>
          </cell>
          <cell r="E14">
            <v>0.77372706830277282</v>
          </cell>
          <cell r="F14">
            <v>0.77200000000000002</v>
          </cell>
          <cell r="G14">
            <v>-37.1391580372471</v>
          </cell>
          <cell r="K14">
            <v>0.77372706830277282</v>
          </cell>
          <cell r="L14">
            <v>0.77300608972073825</v>
          </cell>
          <cell r="M14">
            <v>-54.409841064975154</v>
          </cell>
          <cell r="N14">
            <v>-47.200055244629446</v>
          </cell>
          <cell r="P14">
            <v>-17.270683027728051</v>
          </cell>
          <cell r="Q14">
            <v>-10.060897207382347</v>
          </cell>
          <cell r="S14" t="str">
            <v>70.3% - 72.5%</v>
          </cell>
        </row>
        <row r="15">
          <cell r="B15" t="str">
            <v>Cost of Rev - Net Devlpmt</v>
          </cell>
          <cell r="D15">
            <v>6.4260000000000002</v>
          </cell>
          <cell r="E15">
            <v>6.0449999999999999</v>
          </cell>
          <cell r="F15">
            <v>6.4651440000000013</v>
          </cell>
          <cell r="G15">
            <v>-3.9144000000001178E-2</v>
          </cell>
          <cell r="K15">
            <v>6.0449999999999999</v>
          </cell>
          <cell r="L15">
            <v>10.243</v>
          </cell>
          <cell r="M15">
            <v>6.3027295285359886E-2</v>
          </cell>
          <cell r="N15">
            <v>-0.3726447329883823</v>
          </cell>
          <cell r="P15">
            <v>6.95027295285362E-2</v>
          </cell>
          <cell r="Q15">
            <v>-0.36882319632920035</v>
          </cell>
        </row>
        <row r="16">
          <cell r="B16" t="str">
            <v>Gross Margin - Net Dvlpmt</v>
          </cell>
          <cell r="D16">
            <v>0.52244351961950053</v>
          </cell>
          <cell r="E16">
            <v>0.43057648831951773</v>
          </cell>
          <cell r="F16">
            <v>0.42</v>
          </cell>
          <cell r="G16">
            <v>1024.4351961950053</v>
          </cell>
          <cell r="K16">
            <v>0.43057648831951773</v>
          </cell>
          <cell r="L16">
            <v>0.38321189859697713</v>
          </cell>
          <cell r="M16">
            <v>918.67031299982807</v>
          </cell>
          <cell r="N16">
            <v>1392.316210225234</v>
          </cell>
          <cell r="P16">
            <v>-105.7648831951774</v>
          </cell>
          <cell r="Q16">
            <v>367.88101403022853</v>
          </cell>
        </row>
        <row r="17">
          <cell r="B17" t="str">
            <v>Corp, G&amp;A</v>
          </cell>
          <cell r="D17">
            <v>40.353999999999999</v>
          </cell>
          <cell r="E17">
            <v>39.962000000000003</v>
          </cell>
          <cell r="F17">
            <v>40.415202867884304</v>
          </cell>
          <cell r="G17">
            <v>-6.1202867884304624E-2</v>
          </cell>
          <cell r="K17">
            <v>39.962000000000003</v>
          </cell>
          <cell r="L17">
            <v>37.024999999999999</v>
          </cell>
          <cell r="M17">
            <v>9.8093188529102537E-3</v>
          </cell>
          <cell r="N17">
            <v>8.9912221471978304E-2</v>
          </cell>
          <cell r="P17">
            <v>1.1340845500332764E-2</v>
          </cell>
          <cell r="Q17">
            <v>9.1565236134619976E-2</v>
          </cell>
          <cell r="Y17" t="str">
            <v>Includes $1M of accrued severence; continued investment in overhead on REIT conversion</v>
          </cell>
        </row>
        <row r="18">
          <cell r="B18" t="str">
            <v>TV Azteca</v>
          </cell>
          <cell r="D18">
            <v>3.585</v>
          </cell>
          <cell r="E18">
            <v>3.4990000000000001</v>
          </cell>
          <cell r="F18">
            <v>3.4990000000000001</v>
          </cell>
          <cell r="K18">
            <v>3.4990000000000001</v>
          </cell>
          <cell r="L18">
            <v>3.585</v>
          </cell>
        </row>
        <row r="20">
          <cell r="B20" t="str">
            <v>Adjusted EBITDA</v>
          </cell>
          <cell r="D20">
            <v>320.96899999999999</v>
          </cell>
          <cell r="E20">
            <v>311.50200000000001</v>
          </cell>
          <cell r="F20">
            <v>317.78698116437641</v>
          </cell>
          <cell r="G20">
            <v>3.1820188356235803</v>
          </cell>
          <cell r="H20" t="e">
            <v>#NAME?</v>
          </cell>
          <cell r="I20" t="e">
            <v>#NAME?</v>
          </cell>
          <cell r="K20">
            <v>311.50200000000001</v>
          </cell>
          <cell r="L20">
            <v>287.34499999999997</v>
          </cell>
          <cell r="M20">
            <v>3.0391458160782259E-2</v>
          </cell>
          <cell r="N20">
            <v>0.11701613043553927</v>
          </cell>
          <cell r="P20">
            <v>0</v>
          </cell>
          <cell r="Q20">
            <v>8.406967234509044E-2</v>
          </cell>
          <cell r="S20" t="str">
            <v>$267 - $272</v>
          </cell>
        </row>
        <row r="21">
          <cell r="B21" t="str">
            <v>EBITDA Margin</v>
          </cell>
          <cell r="D21">
            <v>0.68300431760001867</v>
          </cell>
          <cell r="E21">
            <v>0.68547247785156928</v>
          </cell>
          <cell r="F21">
            <v>0.68408582413106334</v>
          </cell>
          <cell r="G21">
            <v>-10.815065310446625</v>
          </cell>
          <cell r="H21" t="e">
            <v>#NAME?</v>
          </cell>
          <cell r="I21" t="str">
            <v>NM</v>
          </cell>
          <cell r="K21">
            <v>0.68547247785156928</v>
          </cell>
          <cell r="L21">
            <v>0.67872816859490082</v>
          </cell>
          <cell r="M21">
            <v>-24.681602515506107</v>
          </cell>
          <cell r="N21">
            <v>42.761490051178576</v>
          </cell>
          <cell r="P21">
            <v>-13.866537205059482</v>
          </cell>
          <cell r="Q21">
            <v>53.576555361625196</v>
          </cell>
          <cell r="Y21" t="str">
            <v>Ex. impact of pass through revenue &amp; new sites, conversion rate would have been 90%</v>
          </cell>
        </row>
        <row r="22">
          <cell r="Y22" t="str">
            <v>12 months our EBITDA conversion rate would have been in excess of 90%.</v>
          </cell>
        </row>
        <row r="23">
          <cell r="B23" t="str">
            <v>D&amp;A</v>
          </cell>
          <cell r="G23">
            <v>0</v>
          </cell>
          <cell r="H23" t="e">
            <v>#NAME?</v>
          </cell>
          <cell r="I23" t="e">
            <v>#NAME?</v>
          </cell>
          <cell r="K23">
            <v>0</v>
          </cell>
          <cell r="P23" t="e">
            <v>#DIV/0!</v>
          </cell>
          <cell r="Q23" t="e">
            <v>#DIV/0!</v>
          </cell>
        </row>
        <row r="24">
          <cell r="B24" t="str">
            <v>Stock Comp and Other</v>
          </cell>
          <cell r="G24">
            <v>0</v>
          </cell>
          <cell r="K24">
            <v>0</v>
          </cell>
          <cell r="P24" t="e">
            <v>#DIV/0!</v>
          </cell>
          <cell r="Q24" t="e">
            <v>#DIV/0!</v>
          </cell>
        </row>
        <row r="25">
          <cell r="B25" t="str">
            <v>EBIT</v>
          </cell>
          <cell r="D25">
            <v>320.96899999999999</v>
          </cell>
          <cell r="G25">
            <v>320.96899999999999</v>
          </cell>
          <cell r="H25" t="e">
            <v>#NAME?</v>
          </cell>
          <cell r="I25" t="e">
            <v>#NAME?</v>
          </cell>
          <cell r="K25">
            <v>311.50200000000001</v>
          </cell>
          <cell r="P25">
            <v>-1</v>
          </cell>
          <cell r="Q25" t="e">
            <v>#DIV/0!</v>
          </cell>
        </row>
        <row r="27">
          <cell r="B27" t="str">
            <v>Interest Expense</v>
          </cell>
          <cell r="G27">
            <v>0</v>
          </cell>
          <cell r="K27">
            <v>0</v>
          </cell>
          <cell r="P27" t="e">
            <v>#DIV/0!</v>
          </cell>
          <cell r="Q27" t="e">
            <v>#DIV/0!</v>
          </cell>
        </row>
        <row r="28">
          <cell r="B28" t="str">
            <v>"Below the line" financing expense</v>
          </cell>
          <cell r="G28">
            <v>0</v>
          </cell>
          <cell r="K28">
            <v>0</v>
          </cell>
        </row>
        <row r="29">
          <cell r="B29" t="str">
            <v>Interest Income and Other</v>
          </cell>
          <cell r="G29">
            <v>0</v>
          </cell>
          <cell r="K29">
            <v>0</v>
          </cell>
        </row>
        <row r="30">
          <cell r="B30" t="str">
            <v>Net Interest Expense and Other</v>
          </cell>
          <cell r="D30">
            <v>0</v>
          </cell>
          <cell r="G30">
            <v>0</v>
          </cell>
          <cell r="H30" t="e">
            <v>#NAME?</v>
          </cell>
          <cell r="I30" t="e">
            <v>#NAME?</v>
          </cell>
          <cell r="K30">
            <v>0</v>
          </cell>
        </row>
        <row r="32">
          <cell r="B32" t="str">
            <v>EBT</v>
          </cell>
          <cell r="D32">
            <v>320.96899999999999</v>
          </cell>
          <cell r="G32">
            <v>320.96899999999999</v>
          </cell>
          <cell r="H32" t="e">
            <v>#NAME?</v>
          </cell>
          <cell r="I32" t="e">
            <v>#NAME?</v>
          </cell>
          <cell r="K32">
            <v>311.50200000000001</v>
          </cell>
        </row>
        <row r="34">
          <cell r="B34" t="str">
            <v>Income Taxes</v>
          </cell>
          <cell r="G34">
            <v>0</v>
          </cell>
          <cell r="H34" t="e">
            <v>#NAME?</v>
          </cell>
          <cell r="I34" t="e">
            <v>#NAME?</v>
          </cell>
          <cell r="K34">
            <v>0</v>
          </cell>
        </row>
        <row r="36">
          <cell r="B36" t="str">
            <v>Net Income (Operating)</v>
          </cell>
          <cell r="D36">
            <v>320.96899999999999</v>
          </cell>
          <cell r="G36">
            <v>320.96899999999999</v>
          </cell>
          <cell r="H36" t="e">
            <v>#NAME?</v>
          </cell>
          <cell r="I36" t="e">
            <v>#NAME?</v>
          </cell>
          <cell r="K36">
            <v>311.50200000000001</v>
          </cell>
        </row>
        <row r="38">
          <cell r="B38" t="str">
            <v>Reconciliation to (GAAP):</v>
          </cell>
        </row>
        <row r="39">
          <cell r="B39" t="str">
            <v>Minority Interest</v>
          </cell>
          <cell r="G39">
            <v>0</v>
          </cell>
          <cell r="K39">
            <v>0</v>
          </cell>
        </row>
        <row r="40">
          <cell r="B40" t="str">
            <v>Unusual Charges</v>
          </cell>
          <cell r="D40">
            <v>0</v>
          </cell>
          <cell r="G40">
            <v>0</v>
          </cell>
          <cell r="K40">
            <v>0</v>
          </cell>
        </row>
        <row r="41">
          <cell r="B41" t="str">
            <v>Asset Impairments</v>
          </cell>
          <cell r="D41">
            <v>0</v>
          </cell>
          <cell r="G41">
            <v>0</v>
          </cell>
          <cell r="K41">
            <v>0</v>
          </cell>
        </row>
        <row r="42">
          <cell r="B42" t="str">
            <v>Goodwill Impairments</v>
          </cell>
          <cell r="D42">
            <v>0</v>
          </cell>
          <cell r="G42">
            <v>0</v>
          </cell>
          <cell r="K42">
            <v>0</v>
          </cell>
        </row>
        <row r="43">
          <cell r="B43" t="str">
            <v>Dividends on Preferred</v>
          </cell>
          <cell r="G43">
            <v>0</v>
          </cell>
          <cell r="K43">
            <v>0</v>
          </cell>
        </row>
        <row r="44">
          <cell r="B44" t="str">
            <v>Extraordinary Items</v>
          </cell>
          <cell r="D44">
            <v>0</v>
          </cell>
          <cell r="G44">
            <v>0</v>
          </cell>
          <cell r="K44">
            <v>0</v>
          </cell>
        </row>
        <row r="45">
          <cell r="B45" t="str">
            <v>Net Income to Common</v>
          </cell>
          <cell r="D45">
            <v>320.96899999999999</v>
          </cell>
          <cell r="G45">
            <v>320.96899999999999</v>
          </cell>
          <cell r="K45">
            <v>311.50200000000001</v>
          </cell>
        </row>
        <row r="47">
          <cell r="B47" t="str">
            <v>Basic Reported (GAAP) EPS</v>
          </cell>
          <cell r="D47">
            <v>0.79697715359804133</v>
          </cell>
          <cell r="E47">
            <v>0</v>
          </cell>
          <cell r="F47">
            <v>0</v>
          </cell>
          <cell r="G47">
            <v>0.79697715359804133</v>
          </cell>
          <cell r="K47">
            <v>0.77421423352040286</v>
          </cell>
          <cell r="L47">
            <v>0</v>
          </cell>
        </row>
        <row r="48">
          <cell r="B48" t="str">
            <v>Diluted Reported (GAAP) EPS</v>
          </cell>
          <cell r="D48">
            <v>0.79246908825156037</v>
          </cell>
          <cell r="E48">
            <v>0</v>
          </cell>
          <cell r="F48">
            <v>0</v>
          </cell>
          <cell r="G48">
            <v>0.79246908825156037</v>
          </cell>
          <cell r="K48">
            <v>0.7670951536643027</v>
          </cell>
          <cell r="L48">
            <v>0</v>
          </cell>
        </row>
        <row r="49">
          <cell r="B49" t="str">
            <v>Diluted EPS (Cont. Ops)</v>
          </cell>
          <cell r="D49">
            <v>0.25</v>
          </cell>
          <cell r="E49">
            <v>0.23718971631205682</v>
          </cell>
          <cell r="F49">
            <v>0.2129935082915082</v>
          </cell>
          <cell r="G49">
            <v>1.281028368794318E-2</v>
          </cell>
          <cell r="H49" t="e">
            <v>#NAME?</v>
          </cell>
          <cell r="I49" t="str">
            <v>NM</v>
          </cell>
          <cell r="K49">
            <v>0.23718971631205682</v>
          </cell>
          <cell r="L49">
            <v>0.13768247103944892</v>
          </cell>
          <cell r="M49">
            <v>5.4008596524013797E-2</v>
          </cell>
          <cell r="N49">
            <v>0.81577217573593486</v>
          </cell>
          <cell r="P49">
            <v>0</v>
          </cell>
          <cell r="Q49">
            <v>0.72272994900053034</v>
          </cell>
          <cell r="S49" t="str">
            <v>$(0.25) - $(0.15)</v>
          </cell>
        </row>
        <row r="51">
          <cell r="B51" t="str">
            <v>Avg Basic Shares</v>
          </cell>
          <cell r="D51">
            <v>402.733</v>
          </cell>
          <cell r="E51">
            <v>402.346</v>
          </cell>
          <cell r="F51">
            <v>402.60261562469998</v>
          </cell>
          <cell r="G51">
            <v>0.38700000000000045</v>
          </cell>
          <cell r="K51">
            <v>402.346</v>
          </cell>
          <cell r="L51">
            <v>395.81000299999999</v>
          </cell>
        </row>
        <row r="52">
          <cell r="B52" t="str">
            <v>Avg Diluted Shares</v>
          </cell>
          <cell r="D52">
            <v>405.024</v>
          </cell>
          <cell r="E52">
            <v>406.08</v>
          </cell>
          <cell r="F52">
            <v>414.68069409344099</v>
          </cell>
          <cell r="G52">
            <v>-1.0559999999999832</v>
          </cell>
          <cell r="K52">
            <v>406.08</v>
          </cell>
          <cell r="L52">
            <v>408.83199999999999</v>
          </cell>
        </row>
        <row r="54">
          <cell r="B54" t="str">
            <v>RFCF CALCULATION:</v>
          </cell>
        </row>
        <row r="55">
          <cell r="B55" t="str">
            <v>EBITDA</v>
          </cell>
          <cell r="D55">
            <v>320.96899999999999</v>
          </cell>
          <cell r="E55">
            <v>311.50200000000001</v>
          </cell>
          <cell r="F55">
            <v>317.78698116437641</v>
          </cell>
          <cell r="G55">
            <v>9.4669999999999845</v>
          </cell>
          <cell r="K55">
            <v>311.50200000000001</v>
          </cell>
          <cell r="L55">
            <v>287.34499999999997</v>
          </cell>
          <cell r="M55">
            <v>3.0391458160782259E-2</v>
          </cell>
          <cell r="N55">
            <v>0.11701613043553927</v>
          </cell>
          <cell r="P55">
            <v>2.017637499719549E-2</v>
          </cell>
          <cell r="Q55">
            <v>0.10594226857741207</v>
          </cell>
          <cell r="S55" t="str">
            <v>$267 - $272</v>
          </cell>
          <cell r="U55">
            <v>0</v>
          </cell>
        </row>
        <row r="56">
          <cell r="B56" t="str">
            <v>- Sustaining Capex</v>
          </cell>
          <cell r="D56">
            <v>13</v>
          </cell>
          <cell r="E56">
            <v>8.452</v>
          </cell>
          <cell r="F56">
            <v>11.5</v>
          </cell>
          <cell r="G56">
            <v>4.548</v>
          </cell>
          <cell r="K56">
            <v>8.452</v>
          </cell>
          <cell r="L56">
            <v>10.991</v>
          </cell>
          <cell r="M56">
            <v>0.53809749171793664</v>
          </cell>
          <cell r="N56">
            <v>0.18278591574924952</v>
          </cell>
          <cell r="P56">
            <v>0.36062470421202075</v>
          </cell>
          <cell r="Q56">
            <v>4.6310617778182239E-2</v>
          </cell>
          <cell r="S56" t="str">
            <v>$6 - $8</v>
          </cell>
          <cell r="U56" t="str">
            <v>$6 - $8</v>
          </cell>
        </row>
        <row r="57">
          <cell r="B57" t="str">
            <v>- Interest Expense</v>
          </cell>
          <cell r="D57">
            <v>55.379999999999995</v>
          </cell>
          <cell r="E57">
            <v>57.914999999999999</v>
          </cell>
          <cell r="F57">
            <v>55.525045232499998</v>
          </cell>
          <cell r="G57">
            <v>-2.5350000000000037</v>
          </cell>
          <cell r="K57">
            <v>57.914999999999999</v>
          </cell>
          <cell r="L57">
            <v>62.172000000000004</v>
          </cell>
          <cell r="M57">
            <v>-4.3771043771043794E-2</v>
          </cell>
          <cell r="N57">
            <v>-0.10924531943640237</v>
          </cell>
          <cell r="P57">
            <v>-4.1266593585426947E-2</v>
          </cell>
          <cell r="Q57">
            <v>-0.10691235230489615</v>
          </cell>
          <cell r="S57" t="str">
            <v>$119 - $124</v>
          </cell>
          <cell r="U57" t="str">
            <v>$119 - $124</v>
          </cell>
        </row>
        <row r="58">
          <cell r="B58" t="str">
            <v>- Cash Taxes</v>
          </cell>
          <cell r="D58">
            <v>3.3580000000000001</v>
          </cell>
          <cell r="E58">
            <v>7.899</v>
          </cell>
          <cell r="F58">
            <v>10</v>
          </cell>
          <cell r="G58">
            <v>-4.5410000000000004</v>
          </cell>
          <cell r="K58">
            <v>7.899</v>
          </cell>
          <cell r="L58">
            <v>11.501999999999999</v>
          </cell>
          <cell r="M58">
            <v>-0.5748828965691859</v>
          </cell>
          <cell r="N58">
            <v>-0.70805077377847325</v>
          </cell>
          <cell r="P58">
            <v>0.26598303582731986</v>
          </cell>
          <cell r="Q58">
            <v>-0.13058598504607888</v>
          </cell>
        </row>
        <row r="59">
          <cell r="B59" t="str">
            <v>RFCF (Comparable)</v>
          </cell>
          <cell r="D59">
            <v>249.23099999999999</v>
          </cell>
          <cell r="E59">
            <v>237.23599999999999</v>
          </cell>
          <cell r="F59">
            <v>240.76193593187642</v>
          </cell>
          <cell r="G59">
            <v>11.995000000000005</v>
          </cell>
          <cell r="K59">
            <v>237.23599999999999</v>
          </cell>
          <cell r="L59">
            <v>202.67999999999995</v>
          </cell>
          <cell r="M59">
            <v>5.0561466219292139E-2</v>
          </cell>
          <cell r="N59">
            <v>0.22967732386027273</v>
          </cell>
          <cell r="P59">
            <v>1.4862566945473832E-2</v>
          </cell>
          <cell r="Q59">
            <v>0.18789192782650721</v>
          </cell>
        </row>
        <row r="60">
          <cell r="B60" t="str">
            <v>RFCF (Reported)</v>
          </cell>
          <cell r="D60">
            <v>236.4</v>
          </cell>
          <cell r="E60">
            <v>225.14800000000002</v>
          </cell>
          <cell r="F60">
            <v>226.83193593187644</v>
          </cell>
          <cell r="G60">
            <v>11.251999999999981</v>
          </cell>
          <cell r="K60">
            <v>225.14800000000002</v>
          </cell>
          <cell r="L60">
            <v>191.12299999999996</v>
          </cell>
          <cell r="M60">
            <v>4.9976015776289184E-2</v>
          </cell>
          <cell r="N60">
            <v>0.23689979751259682</v>
          </cell>
          <cell r="P60">
            <v>7.479240019349076E-3</v>
          </cell>
          <cell r="Q60">
            <v>0.18683746033641424</v>
          </cell>
          <cell r="S60" t="str">
            <v>$137 - $142</v>
          </cell>
          <cell r="U60" t="str">
            <v>Strength on lower capex</v>
          </cell>
        </row>
        <row r="61">
          <cell r="B61" t="str">
            <v>RFCF (Reported) per Share</v>
          </cell>
          <cell r="D61">
            <v>0.58366911590424275</v>
          </cell>
          <cell r="E61">
            <v>0.55444247438928296</v>
          </cell>
          <cell r="F61">
            <v>0.54700384937805635</v>
          </cell>
          <cell r="G61">
            <v>292.26641514959795</v>
          </cell>
          <cell r="K61">
            <v>0.55444247438928296</v>
          </cell>
          <cell r="L61">
            <v>0.46748542188478387</v>
          </cell>
          <cell r="M61">
            <v>5.2713568792060572E-2</v>
          </cell>
          <cell r="N61">
            <v>0.24852902054364678</v>
          </cell>
          <cell r="P61">
            <v>-1.3416405406927456E-2</v>
          </cell>
          <cell r="Q61">
            <v>0.17009819722864106</v>
          </cell>
        </row>
        <row r="63">
          <cell r="B63" t="str">
            <v>Capex Breakdown:</v>
          </cell>
        </row>
        <row r="64">
          <cell r="B64" t="str">
            <v xml:space="preserve">  Corporate</v>
          </cell>
          <cell r="E64">
            <v>1.603</v>
          </cell>
          <cell r="F64">
            <v>2.5</v>
          </cell>
          <cell r="G64">
            <v>-1.603</v>
          </cell>
          <cell r="K64">
            <v>1.603</v>
          </cell>
          <cell r="L64">
            <v>1.853</v>
          </cell>
          <cell r="P64">
            <v>0.55957579538365576</v>
          </cell>
          <cell r="Q64">
            <v>0.34916351861845651</v>
          </cell>
        </row>
        <row r="65">
          <cell r="B65" t="str">
            <v xml:space="preserve">  Capital Improvements (Maintenance)</v>
          </cell>
          <cell r="E65">
            <v>6.8490000000000002</v>
          </cell>
          <cell r="F65">
            <v>9</v>
          </cell>
          <cell r="G65">
            <v>-6.8490000000000002</v>
          </cell>
          <cell r="K65">
            <v>6.8490000000000002</v>
          </cell>
          <cell r="L65">
            <v>9.1379999999999999</v>
          </cell>
          <cell r="P65">
            <v>0.31406044678055189</v>
          </cell>
          <cell r="Q65">
            <v>-1.5101772816808912E-2</v>
          </cell>
        </row>
        <row r="66">
          <cell r="B66" t="str">
            <v xml:space="preserve">  Redevelopment (Augmentations)</v>
          </cell>
          <cell r="E66">
            <v>5.6580000000000004</v>
          </cell>
          <cell r="F66">
            <v>7.5</v>
          </cell>
          <cell r="G66">
            <v>-5.6580000000000004</v>
          </cell>
          <cell r="K66">
            <v>5.6580000000000004</v>
          </cell>
          <cell r="L66">
            <v>8.94</v>
          </cell>
          <cell r="P66">
            <v>0.32555673382820771</v>
          </cell>
          <cell r="Q66">
            <v>-0.16107382550335569</v>
          </cell>
        </row>
        <row r="67">
          <cell r="B67" t="str">
            <v xml:space="preserve">  New Build</v>
          </cell>
          <cell r="E67">
            <v>32.136000000000003</v>
          </cell>
          <cell r="F67">
            <v>52.5</v>
          </cell>
          <cell r="G67">
            <v>-32.136000000000003</v>
          </cell>
          <cell r="K67">
            <v>32.136000000000003</v>
          </cell>
          <cell r="L67">
            <v>35.793999999999997</v>
          </cell>
          <cell r="P67">
            <v>0.63368185212845396</v>
          </cell>
          <cell r="Q67">
            <v>0.46672626697211839</v>
          </cell>
          <cell r="W67" t="str">
            <v>$7 - $9</v>
          </cell>
        </row>
        <row r="68">
          <cell r="B68" t="str">
            <v xml:space="preserve">  Land Purchases</v>
          </cell>
          <cell r="E68">
            <v>8.8109999999999999</v>
          </cell>
          <cell r="F68">
            <v>12.5</v>
          </cell>
          <cell r="K68">
            <v>8.8109999999999999</v>
          </cell>
          <cell r="L68">
            <v>8.5020000000000007</v>
          </cell>
        </row>
        <row r="69">
          <cell r="B69" t="str">
            <v xml:space="preserve">  Sustaining Capex</v>
          </cell>
          <cell r="D69">
            <v>7.8</v>
          </cell>
          <cell r="F69">
            <v>11.5</v>
          </cell>
          <cell r="K69">
            <v>8.452</v>
          </cell>
          <cell r="L69">
            <v>10.991</v>
          </cell>
          <cell r="M69">
            <v>-7.7141504969238106E-2</v>
          </cell>
          <cell r="N69">
            <v>-0.29032845055045031</v>
          </cell>
        </row>
        <row r="70">
          <cell r="B70" t="str">
            <v>TOTAL CAPEX</v>
          </cell>
          <cell r="D70">
            <v>77.5</v>
          </cell>
          <cell r="E70">
            <v>55.057000000000002</v>
          </cell>
          <cell r="F70">
            <v>84</v>
          </cell>
          <cell r="G70">
            <v>22.442999999999998</v>
          </cell>
          <cell r="H70" t="e">
            <v>#NAME?</v>
          </cell>
          <cell r="I70" t="e">
            <v>#NAME?</v>
          </cell>
          <cell r="K70">
            <v>55.057000000000002</v>
          </cell>
          <cell r="L70">
            <v>64.22699999999999</v>
          </cell>
          <cell r="M70">
            <v>0.40763209037906156</v>
          </cell>
          <cell r="N70">
            <v>0.20665763619661526</v>
          </cell>
          <cell r="P70">
            <v>0.52569155602375717</v>
          </cell>
          <cell r="Q70">
            <v>0.30786117987762185</v>
          </cell>
          <cell r="U70" t="str">
            <v>Capex lower likely due to $109M buyback</v>
          </cell>
          <cell r="Y70" t="str">
            <v>$47M of discretionary capex related to 237 new tower builds</v>
          </cell>
        </row>
        <row r="80">
          <cell r="AF80" t="str">
            <v>Guidance Midpoint for 2010, ($MM)</v>
          </cell>
          <cell r="AG80" t="str">
            <v>Prior</v>
          </cell>
          <cell r="AH80" t="str">
            <v>Current</v>
          </cell>
          <cell r="AI80" t="str">
            <v>∆ ($MM)</v>
          </cell>
          <cell r="AJ80" t="str">
            <v>∆ (%)</v>
          </cell>
        </row>
        <row r="81">
          <cell r="AF81" t="str">
            <v>Site Rental &amp; Mgmt Revenues</v>
          </cell>
          <cell r="AG81">
            <v>1825</v>
          </cell>
          <cell r="AH81">
            <v>1865</v>
          </cell>
          <cell r="AI81">
            <v>40</v>
          </cell>
          <cell r="AJ81">
            <v>2.1917808219177992E-2</v>
          </cell>
        </row>
        <row r="82">
          <cell r="AF82" t="str">
            <v>Adjusted EBITDA</v>
          </cell>
          <cell r="AG82">
            <v>1275</v>
          </cell>
          <cell r="AH82">
            <v>1295</v>
          </cell>
          <cell r="AI82">
            <v>20</v>
          </cell>
          <cell r="AJ82">
            <v>1.5686274509803866E-2</v>
          </cell>
        </row>
        <row r="83">
          <cell r="AF83" t="str">
            <v>Cash from Operations</v>
          </cell>
          <cell r="AG83">
            <v>965</v>
          </cell>
          <cell r="AH83">
            <v>975</v>
          </cell>
          <cell r="AI83">
            <v>10</v>
          </cell>
          <cell r="AJ83">
            <v>1.0362694300518172E-2</v>
          </cell>
        </row>
        <row r="84">
          <cell r="AF84" t="str">
            <v>Capex</v>
          </cell>
          <cell r="AG84">
            <v>325</v>
          </cell>
          <cell r="AH84">
            <v>325</v>
          </cell>
          <cell r="AI84">
            <v>0</v>
          </cell>
          <cell r="AJ84">
            <v>0</v>
          </cell>
        </row>
        <row r="95">
          <cell r="AT95" t="str">
            <v>2Q10 Guidance</v>
          </cell>
          <cell r="AV95" t="str">
            <v>3Q10 Guidance</v>
          </cell>
        </row>
        <row r="97">
          <cell r="AT97" t="str">
            <v>Rental Revs</v>
          </cell>
          <cell r="AU97" t="str">
            <v>Adjusted EBITDA</v>
          </cell>
          <cell r="AV97" t="str">
            <v>Rental Revs</v>
          </cell>
          <cell r="AW97" t="str">
            <v>Adjusted EBITDA</v>
          </cell>
        </row>
        <row r="98">
          <cell r="AO98" t="str">
            <v>Outlook midpoint Core growth (Estimated)</v>
          </cell>
          <cell r="AQ98" t="str">
            <v>4Q09 and 1Q10 Guidance</v>
          </cell>
          <cell r="AT98">
            <v>7.3223960393665868E-2</v>
          </cell>
          <cell r="AU98">
            <v>5.4910917289412955E-2</v>
          </cell>
          <cell r="AV98">
            <v>8.4223960393665864E-2</v>
          </cell>
          <cell r="AW98">
            <v>6.0910917289412961E-2</v>
          </cell>
        </row>
        <row r="99">
          <cell r="AO99" t="str">
            <v>Essar deal (assuming a $38M revenue and $19M EBITDA contribution) (for ~5 months)</v>
          </cell>
          <cell r="AQ99" t="str">
            <v>Rental Revs</v>
          </cell>
          <cell r="AR99" t="str">
            <v>Adjusted EBITDA</v>
          </cell>
          <cell r="AT99">
            <v>2.2776039606334137E-2</v>
          </cell>
          <cell r="AU99">
            <v>1.6089082710587038E-2</v>
          </cell>
          <cell r="AV99">
            <v>2.2776039606334137E-2</v>
          </cell>
          <cell r="AW99">
            <v>1.6089082710587038E-2</v>
          </cell>
        </row>
        <row r="101">
          <cell r="AO101" t="str">
            <v>Outlook midpoint Core growth (Reported)</v>
          </cell>
          <cell r="AQ101">
            <v>8.4000000000000005E-2</v>
          </cell>
          <cell r="AR101">
            <v>7.0000000000000007E-2</v>
          </cell>
          <cell r="AT101">
            <v>9.6000000000000002E-2</v>
          </cell>
          <cell r="AU101">
            <v>7.0999999999999994E-2</v>
          </cell>
          <cell r="AV101">
            <v>0.107</v>
          </cell>
          <cell r="AW101">
            <v>7.6999999999999999E-2</v>
          </cell>
        </row>
        <row r="102">
          <cell r="AO102" t="str">
            <v>Estimated impact of fluctuations in foreign currency exchange rates</v>
          </cell>
          <cell r="AQ102">
            <v>8.0000000000000002E-3</v>
          </cell>
          <cell r="AR102">
            <v>6.0000000000000001E-3</v>
          </cell>
          <cell r="AT102">
            <v>0.01</v>
          </cell>
          <cell r="AU102">
            <v>7.0000000000000001E-3</v>
          </cell>
          <cell r="AV102">
            <v>1.2999999999999999E-2</v>
          </cell>
          <cell r="AW102">
            <v>8.9999999999999993E-3</v>
          </cell>
        </row>
        <row r="103">
          <cell r="AO103" t="str">
            <v>Impact of straight-line revenue and expense recognition</v>
          </cell>
          <cell r="AQ103">
            <v>6.0000000000000001E-3</v>
          </cell>
          <cell r="AR103">
            <v>1.0999999999999999E-2</v>
          </cell>
          <cell r="AT103">
            <v>1.7000000000000001E-2</v>
          </cell>
          <cell r="AU103">
            <v>2.5999999999999999E-2</v>
          </cell>
          <cell r="AV103">
            <v>3.9E-2</v>
          </cell>
          <cell r="AW103">
            <v>5.8000000000000003E-2</v>
          </cell>
        </row>
        <row r="104">
          <cell r="AO104" t="str">
            <v>Impact of material one-time item (1)</v>
          </cell>
          <cell r="AQ104">
            <v>-4.0000000000000001E-3</v>
          </cell>
          <cell r="AR104">
            <v>-7.0000000000000001E-3</v>
          </cell>
          <cell r="AT104">
            <v>-5.0000000000000001E-3</v>
          </cell>
          <cell r="AU104">
            <v>-7.0000000000000001E-3</v>
          </cell>
          <cell r="AV104">
            <v>-5.0000000000000001E-3</v>
          </cell>
          <cell r="AW104">
            <v>-7.0000000000000001E-3</v>
          </cell>
        </row>
        <row r="105">
          <cell r="AO105" t="str">
            <v>Outlook midpoint growth</v>
          </cell>
          <cell r="AQ105">
            <v>9.4E-2</v>
          </cell>
          <cell r="AR105">
            <v>0.08</v>
          </cell>
          <cell r="AT105">
            <v>0.11799999999999999</v>
          </cell>
          <cell r="AU105">
            <v>9.6999999999999989E-2</v>
          </cell>
          <cell r="AV105">
            <v>0.154</v>
          </cell>
          <cell r="AW105">
            <v>0.13699999999999998</v>
          </cell>
        </row>
        <row r="106">
          <cell r="AO106" t="str">
            <v>(1) Material one-time item related to a termination agreement with one of the Company’s broadcast customers in 2009.</v>
          </cell>
        </row>
        <row r="109">
          <cell r="AZ109" t="str">
            <v>($MM)</v>
          </cell>
          <cell r="BA109" t="str">
            <v>NEW</v>
          </cell>
          <cell r="BB109" t="str">
            <v>OLD</v>
          </cell>
          <cell r="BC109" t="str">
            <v>NEW</v>
          </cell>
          <cell r="BD109" t="str">
            <v>OLD</v>
          </cell>
          <cell r="BE109" t="str">
            <v>NEW</v>
          </cell>
          <cell r="BF109" t="str">
            <v>OLD</v>
          </cell>
        </row>
        <row r="110">
          <cell r="AZ110" t="str">
            <v>except per share calcs</v>
          </cell>
          <cell r="BA110" t="str">
            <v>2011E</v>
          </cell>
          <cell r="BB110" t="str">
            <v>2011E</v>
          </cell>
          <cell r="BC110" t="str">
            <v>2012E</v>
          </cell>
          <cell r="BD110" t="str">
            <v>2012E</v>
          </cell>
          <cell r="BE110" t="str">
            <v>2013E</v>
          </cell>
          <cell r="BF110" t="str">
            <v>2013E</v>
          </cell>
        </row>
        <row r="111">
          <cell r="AZ111" t="str">
            <v>REVENUES:</v>
          </cell>
        </row>
        <row r="112">
          <cell r="AZ112" t="str">
            <v>Site Rental</v>
          </cell>
          <cell r="BA112">
            <v>2381.7024906660486</v>
          </cell>
          <cell r="BB112" t="e">
            <v>#REF!</v>
          </cell>
          <cell r="BC112">
            <v>2846.8693051028599</v>
          </cell>
          <cell r="BD112" t="e">
            <v>#REF!</v>
          </cell>
          <cell r="BE112">
            <v>3160.4611101080582</v>
          </cell>
          <cell r="BF112" t="e">
            <v>#REF!</v>
          </cell>
        </row>
        <row r="113">
          <cell r="AZ113" t="str">
            <v>Network Development</v>
          </cell>
          <cell r="BA113">
            <v>60.781950000000002</v>
          </cell>
          <cell r="BB113" t="e">
            <v>#REF!</v>
          </cell>
          <cell r="BC113">
            <v>64.594724862259511</v>
          </cell>
          <cell r="BD113" t="e">
            <v>#REF!</v>
          </cell>
          <cell r="BE113">
            <v>67.217529716513937</v>
          </cell>
          <cell r="BF113" t="e">
            <v>#REF!</v>
          </cell>
        </row>
        <row r="114">
          <cell r="BB114" t="e">
            <v>#REF!</v>
          </cell>
          <cell r="BD114" t="e">
            <v>#REF!</v>
          </cell>
          <cell r="BF114" t="e">
            <v>#REF!</v>
          </cell>
        </row>
        <row r="115">
          <cell r="AZ115" t="str">
            <v>TOTAL REVENUES</v>
          </cell>
          <cell r="BA115">
            <v>2442.4844406660486</v>
          </cell>
          <cell r="BB115" t="e">
            <v>#REF!</v>
          </cell>
          <cell r="BC115">
            <v>2911.4640299651196</v>
          </cell>
          <cell r="BD115" t="e">
            <v>#REF!</v>
          </cell>
          <cell r="BE115">
            <v>3227.6786398245722</v>
          </cell>
          <cell r="BF115" t="e">
            <v>#REF!</v>
          </cell>
        </row>
        <row r="116">
          <cell r="BB116" t="e">
            <v>#REF!</v>
          </cell>
          <cell r="BD116" t="e">
            <v>#REF!</v>
          </cell>
          <cell r="BF116" t="e">
            <v>#REF!</v>
          </cell>
        </row>
        <row r="117">
          <cell r="AZ117" t="str">
            <v>MARGINS:</v>
          </cell>
        </row>
        <row r="118">
          <cell r="AZ118" t="str">
            <v>Cost of Rev - Site Rental</v>
          </cell>
          <cell r="BA118">
            <v>597.91812757317257</v>
          </cell>
          <cell r="BB118" t="e">
            <v>#REF!</v>
          </cell>
          <cell r="BC118">
            <v>711.71732627571498</v>
          </cell>
          <cell r="BD118" t="e">
            <v>#REF!</v>
          </cell>
          <cell r="BE118">
            <v>790.11527752701454</v>
          </cell>
          <cell r="BF118" t="e">
            <v>#REF!</v>
          </cell>
        </row>
        <row r="119">
          <cell r="AZ119" t="str">
            <v>Gross Margin - Rental</v>
          </cell>
          <cell r="BA119">
            <v>0.74895347764196885</v>
          </cell>
          <cell r="BB119" t="e">
            <v>#REF!</v>
          </cell>
          <cell r="BC119">
            <v>0.75</v>
          </cell>
          <cell r="BD119" t="e">
            <v>#REF!</v>
          </cell>
          <cell r="BE119">
            <v>0.74999999999999989</v>
          </cell>
          <cell r="BF119" t="e">
            <v>#REF!</v>
          </cell>
        </row>
        <row r="120">
          <cell r="AZ120" t="str">
            <v>Cost of Rev - Net Dev</v>
          </cell>
          <cell r="BA120">
            <v>32.019551</v>
          </cell>
          <cell r="BB120" t="e">
            <v>#REF!</v>
          </cell>
          <cell r="BC120">
            <v>37.464940420110523</v>
          </cell>
          <cell r="BD120" t="e">
            <v>#REF!</v>
          </cell>
          <cell r="BE120">
            <v>38.986167235578087</v>
          </cell>
          <cell r="BF120" t="e">
            <v>#REF!</v>
          </cell>
        </row>
        <row r="121">
          <cell r="AZ121" t="str">
            <v>Gross Margin - Net Dev</v>
          </cell>
          <cell r="BA121">
            <v>0.47320625613360545</v>
          </cell>
          <cell r="BB121" t="e">
            <v>#REF!</v>
          </cell>
          <cell r="BC121">
            <v>0.41999999999999993</v>
          </cell>
          <cell r="BD121" t="e">
            <v>#REF!</v>
          </cell>
          <cell r="BE121">
            <v>0.41999999999999993</v>
          </cell>
          <cell r="BF121" t="e">
            <v>#REF!</v>
          </cell>
        </row>
        <row r="122">
          <cell r="AZ122" t="str">
            <v>TV Azteca</v>
          </cell>
          <cell r="BA122">
            <v>14.085000000000001</v>
          </cell>
          <cell r="BB122" t="e">
            <v>#REF!</v>
          </cell>
          <cell r="BC122">
            <v>13.992000000000001</v>
          </cell>
          <cell r="BD122" t="e">
            <v>#REF!</v>
          </cell>
          <cell r="BE122">
            <v>13.992000000000001</v>
          </cell>
          <cell r="BF122" t="e">
            <v>#REF!</v>
          </cell>
        </row>
        <row r="123">
          <cell r="AZ123" t="str">
            <v>Corp, G&amp;A</v>
          </cell>
          <cell r="BA123">
            <v>242.46138686327458</v>
          </cell>
          <cell r="BB123" t="e">
            <v>#REF!</v>
          </cell>
          <cell r="BC123">
            <v>276.58908284668632</v>
          </cell>
          <cell r="BD123" t="e">
            <v>#REF!</v>
          </cell>
          <cell r="BE123">
            <v>290.49107758421144</v>
          </cell>
          <cell r="BF123" t="e">
            <v>#REF!</v>
          </cell>
        </row>
        <row r="124">
          <cell r="BB124" t="e">
            <v>#REF!</v>
          </cell>
          <cell r="BD124" t="e">
            <v>#REF!</v>
          </cell>
          <cell r="BF124" t="e">
            <v>#REF!</v>
          </cell>
        </row>
        <row r="125">
          <cell r="AZ125" t="str">
            <v>Adjusted EBITDA</v>
          </cell>
          <cell r="BA125">
            <v>1584.1703752296014</v>
          </cell>
          <cell r="BB125" t="e">
            <v>#REF!</v>
          </cell>
          <cell r="BC125">
            <v>1899.6846804226077</v>
          </cell>
          <cell r="BD125" t="e">
            <v>#REF!</v>
          </cell>
          <cell r="BE125">
            <v>2122.078117477768</v>
          </cell>
          <cell r="BF125" t="e">
            <v>#REF!</v>
          </cell>
        </row>
        <row r="126">
          <cell r="AZ126" t="str">
            <v>EBITDA Margin</v>
          </cell>
          <cell r="BA126">
            <v>0.64858975101499894</v>
          </cell>
          <cell r="BB126" t="e">
            <v>#REF!</v>
          </cell>
          <cell r="BC126">
            <v>0.65248433807556494</v>
          </cell>
          <cell r="BD126" t="e">
            <v>#REF!</v>
          </cell>
          <cell r="BE126">
            <v>0.65746263933918314</v>
          </cell>
          <cell r="BF126" t="e">
            <v>#REF!</v>
          </cell>
        </row>
        <row r="127">
          <cell r="BB127" t="e">
            <v>#REF!</v>
          </cell>
          <cell r="BD127" t="e">
            <v>#REF!</v>
          </cell>
          <cell r="BF127" t="e">
            <v>#REF!</v>
          </cell>
        </row>
        <row r="128">
          <cell r="AZ128" t="str">
            <v>D&amp;A</v>
          </cell>
          <cell r="BB128" t="e">
            <v>#REF!</v>
          </cell>
          <cell r="BD128" t="e">
            <v>#REF!</v>
          </cell>
          <cell r="BF128" t="e">
            <v>#REF!</v>
          </cell>
        </row>
        <row r="129">
          <cell r="AZ129" t="str">
            <v>Stock Comp and Other</v>
          </cell>
          <cell r="BB129" t="e">
            <v>#REF!</v>
          </cell>
          <cell r="BD129" t="e">
            <v>#REF!</v>
          </cell>
          <cell r="BF129" t="e">
            <v>#REF!</v>
          </cell>
        </row>
        <row r="130">
          <cell r="AZ130" t="str">
            <v>EBIT</v>
          </cell>
          <cell r="BB130" t="e">
            <v>#REF!</v>
          </cell>
          <cell r="BD130" t="e">
            <v>#REF!</v>
          </cell>
          <cell r="BF130" t="e">
            <v>#REF!</v>
          </cell>
        </row>
        <row r="131">
          <cell r="BB131" t="e">
            <v>#REF!</v>
          </cell>
          <cell r="BD131" t="e">
            <v>#REF!</v>
          </cell>
          <cell r="BF131" t="e">
            <v>#REF!</v>
          </cell>
        </row>
        <row r="132">
          <cell r="AZ132" t="str">
            <v>Interest Expense</v>
          </cell>
          <cell r="BB132" t="e">
            <v>#REF!</v>
          </cell>
          <cell r="BD132" t="e">
            <v>#REF!</v>
          </cell>
          <cell r="BF132" t="e">
            <v>#REF!</v>
          </cell>
        </row>
        <row r="133">
          <cell r="AZ133" t="str">
            <v>"Below the line" financing expense</v>
          </cell>
          <cell r="BB133" t="e">
            <v>#REF!</v>
          </cell>
          <cell r="BD133" t="e">
            <v>#REF!</v>
          </cell>
          <cell r="BF133" t="e">
            <v>#REF!</v>
          </cell>
        </row>
        <row r="134">
          <cell r="AZ134" t="str">
            <v>Interest Income and Other</v>
          </cell>
          <cell r="BB134" t="e">
            <v>#REF!</v>
          </cell>
          <cell r="BD134" t="e">
            <v>#REF!</v>
          </cell>
          <cell r="BF134" t="e">
            <v>#REF!</v>
          </cell>
        </row>
        <row r="135">
          <cell r="AZ135" t="str">
            <v>Net Interest Expense and Other</v>
          </cell>
          <cell r="BB135" t="e">
            <v>#REF!</v>
          </cell>
          <cell r="BD135" t="e">
            <v>#REF!</v>
          </cell>
          <cell r="BF135" t="e">
            <v>#REF!</v>
          </cell>
        </row>
        <row r="136">
          <cell r="BB136" t="e">
            <v>#REF!</v>
          </cell>
          <cell r="BD136" t="e">
            <v>#REF!</v>
          </cell>
          <cell r="BF136" t="e">
            <v>#REF!</v>
          </cell>
        </row>
        <row r="137">
          <cell r="AZ137" t="str">
            <v>EBT</v>
          </cell>
          <cell r="BB137" t="e">
            <v>#REF!</v>
          </cell>
          <cell r="BD137" t="e">
            <v>#REF!</v>
          </cell>
          <cell r="BF137" t="e">
            <v>#REF!</v>
          </cell>
        </row>
        <row r="138">
          <cell r="BB138" t="e">
            <v>#REF!</v>
          </cell>
          <cell r="BD138" t="e">
            <v>#REF!</v>
          </cell>
          <cell r="BF138" t="e">
            <v>#REF!</v>
          </cell>
        </row>
        <row r="139">
          <cell r="AZ139" t="str">
            <v>Income Taxes</v>
          </cell>
          <cell r="BB139" t="e">
            <v>#REF!</v>
          </cell>
          <cell r="BD139" t="e">
            <v>#REF!</v>
          </cell>
          <cell r="BF139" t="e">
            <v>#REF!</v>
          </cell>
        </row>
        <row r="140">
          <cell r="BB140" t="e">
            <v>#REF!</v>
          </cell>
          <cell r="BD140" t="e">
            <v>#REF!</v>
          </cell>
          <cell r="BF140" t="e">
            <v>#REF!</v>
          </cell>
        </row>
        <row r="141">
          <cell r="AZ141" t="str">
            <v>Net Income (Operating)</v>
          </cell>
          <cell r="BB141" t="e">
            <v>#REF!</v>
          </cell>
          <cell r="BD141" t="e">
            <v>#REF!</v>
          </cell>
          <cell r="BF141" t="e">
            <v>#REF!</v>
          </cell>
        </row>
        <row r="142">
          <cell r="BB142" t="e">
            <v>#REF!</v>
          </cell>
          <cell r="BD142" t="e">
            <v>#REF!</v>
          </cell>
          <cell r="BF142" t="e">
            <v>#REF!</v>
          </cell>
        </row>
        <row r="143">
          <cell r="AZ143" t="str">
            <v>Reconciliation to (GAAP):</v>
          </cell>
          <cell r="BB143" t="e">
            <v>#REF!</v>
          </cell>
          <cell r="BD143" t="e">
            <v>#REF!</v>
          </cell>
          <cell r="BF143" t="e">
            <v>#REF!</v>
          </cell>
        </row>
        <row r="144">
          <cell r="AZ144" t="str">
            <v>Minority Interest</v>
          </cell>
          <cell r="BB144" t="e">
            <v>#REF!</v>
          </cell>
          <cell r="BD144" t="e">
            <v>#REF!</v>
          </cell>
          <cell r="BF144" t="e">
            <v>#REF!</v>
          </cell>
        </row>
        <row r="145">
          <cell r="AZ145" t="str">
            <v>Unusual Charges</v>
          </cell>
          <cell r="BB145" t="e">
            <v>#REF!</v>
          </cell>
          <cell r="BD145" t="e">
            <v>#REF!</v>
          </cell>
          <cell r="BF145" t="e">
            <v>#REF!</v>
          </cell>
        </row>
        <row r="146">
          <cell r="AZ146" t="str">
            <v>Asset Impairments</v>
          </cell>
          <cell r="BB146" t="e">
            <v>#REF!</v>
          </cell>
          <cell r="BD146" t="e">
            <v>#REF!</v>
          </cell>
          <cell r="BF146" t="e">
            <v>#REF!</v>
          </cell>
        </row>
        <row r="147">
          <cell r="AZ147" t="str">
            <v>Goodwill Impairments</v>
          </cell>
          <cell r="BB147" t="e">
            <v>#REF!</v>
          </cell>
          <cell r="BD147" t="e">
            <v>#REF!</v>
          </cell>
          <cell r="BF147" t="e">
            <v>#REF!</v>
          </cell>
        </row>
        <row r="148">
          <cell r="AZ148" t="str">
            <v>Dividends on Preferred</v>
          </cell>
          <cell r="BB148" t="e">
            <v>#REF!</v>
          </cell>
          <cell r="BD148" t="e">
            <v>#REF!</v>
          </cell>
          <cell r="BF148" t="e">
            <v>#REF!</v>
          </cell>
        </row>
        <row r="149">
          <cell r="AZ149" t="str">
            <v>Extraordinary Items</v>
          </cell>
          <cell r="BB149" t="e">
            <v>#REF!</v>
          </cell>
          <cell r="BD149" t="e">
            <v>#REF!</v>
          </cell>
          <cell r="BF149" t="e">
            <v>#REF!</v>
          </cell>
        </row>
        <row r="150">
          <cell r="AZ150" t="str">
            <v>Net Income to Common</v>
          </cell>
          <cell r="BB150" t="e">
            <v>#REF!</v>
          </cell>
          <cell r="BD150" t="e">
            <v>#REF!</v>
          </cell>
          <cell r="BF150" t="e">
            <v>#REF!</v>
          </cell>
        </row>
        <row r="151">
          <cell r="BB151" t="e">
            <v>#REF!</v>
          </cell>
          <cell r="BD151" t="e">
            <v>#REF!</v>
          </cell>
          <cell r="BF151" t="e">
            <v>#REF!</v>
          </cell>
        </row>
        <row r="152">
          <cell r="AZ152" t="str">
            <v>Basic Reported (GAAP) EPS</v>
          </cell>
          <cell r="BB152" t="e">
            <v>#REF!</v>
          </cell>
          <cell r="BD152" t="e">
            <v>#REF!</v>
          </cell>
          <cell r="BF152" t="e">
            <v>#REF!</v>
          </cell>
        </row>
        <row r="153">
          <cell r="AZ153" t="str">
            <v>Diluted Reported (GAAP) EPS</v>
          </cell>
          <cell r="BB153" t="e">
            <v>#REF!</v>
          </cell>
          <cell r="BD153" t="e">
            <v>#REF!</v>
          </cell>
          <cell r="BF153" t="e">
            <v>#REF!</v>
          </cell>
        </row>
        <row r="154">
          <cell r="AZ154" t="str">
            <v>Diluted EPS (GAAP)</v>
          </cell>
          <cell r="BA154">
            <v>0.74577264527285414</v>
          </cell>
          <cell r="BB154" t="e">
            <v>#REF!</v>
          </cell>
          <cell r="BC154">
            <v>2.0515423137227429</v>
          </cell>
          <cell r="BD154" t="e">
            <v>#REF!</v>
          </cell>
          <cell r="BE154">
            <v>2.5341041746470681</v>
          </cell>
          <cell r="BF154" t="e">
            <v>#REF!</v>
          </cell>
        </row>
        <row r="155">
          <cell r="BB155" t="e">
            <v>#REF!</v>
          </cell>
          <cell r="BD155" t="e">
            <v>#REF!</v>
          </cell>
          <cell r="BF155" t="e">
            <v>#REF!</v>
          </cell>
        </row>
        <row r="156">
          <cell r="AZ156" t="str">
            <v>Avg Basic Shares</v>
          </cell>
          <cell r="BA156">
            <v>395.79431447842239</v>
          </cell>
          <cell r="BB156" t="e">
            <v>#REF!</v>
          </cell>
          <cell r="BC156">
            <v>393.14866627768043</v>
          </cell>
          <cell r="BD156" t="e">
            <v>#REF!</v>
          </cell>
          <cell r="BE156">
            <v>393.57838490412138</v>
          </cell>
          <cell r="BF156" t="e">
            <v>#REF!</v>
          </cell>
        </row>
        <row r="157">
          <cell r="AZ157" t="str">
            <v>Avg Diluted Shares</v>
          </cell>
          <cell r="BA157">
            <v>397.63032574460556</v>
          </cell>
          <cell r="BB157" t="e">
            <v>#REF!</v>
          </cell>
          <cell r="BC157">
            <v>393.16315153560288</v>
          </cell>
          <cell r="BD157" t="e">
            <v>#REF!</v>
          </cell>
          <cell r="BE157">
            <v>393.58757713279363</v>
          </cell>
          <cell r="BF157" t="e">
            <v>#REF!</v>
          </cell>
        </row>
        <row r="158">
          <cell r="BB158" t="e">
            <v>#REF!</v>
          </cell>
          <cell r="BD158" t="e">
            <v>#REF!</v>
          </cell>
          <cell r="BF158" t="e">
            <v>#REF!</v>
          </cell>
        </row>
        <row r="159">
          <cell r="AZ159" t="str">
            <v>RFCF (Reported)</v>
          </cell>
          <cell r="BA159">
            <v>988.26969270210168</v>
          </cell>
          <cell r="BB159" t="e">
            <v>#REF!</v>
          </cell>
          <cell r="BC159">
            <v>1356.5941910480446</v>
          </cell>
          <cell r="BD159" t="e">
            <v>#REF!</v>
          </cell>
          <cell r="BE159">
            <v>1586.753135003738</v>
          </cell>
          <cell r="BF159" t="e">
            <v>#REF!</v>
          </cell>
        </row>
        <row r="160">
          <cell r="AZ160" t="str">
            <v>RFCF (Reported) per Share</v>
          </cell>
          <cell r="BA160">
            <v>2.4853981920304</v>
          </cell>
          <cell r="BB160" t="e">
            <v>#REF!</v>
          </cell>
          <cell r="BC160">
            <v>3.4504611781381507</v>
          </cell>
          <cell r="BD160" t="e">
            <v>#REF!</v>
          </cell>
          <cell r="BE160">
            <v>4.0315122407137833</v>
          </cell>
          <cell r="BF160" t="e">
            <v>#REF!</v>
          </cell>
        </row>
        <row r="161">
          <cell r="BB161" t="e">
            <v>#REF!</v>
          </cell>
          <cell r="BD161" t="e">
            <v>#REF!</v>
          </cell>
          <cell r="BF161" t="e">
            <v>#REF!</v>
          </cell>
        </row>
        <row r="162">
          <cell r="AZ162" t="str">
            <v>Capex Breakdown:</v>
          </cell>
          <cell r="BB162" t="e">
            <v>#REF!</v>
          </cell>
          <cell r="BD162" t="e">
            <v>#REF!</v>
          </cell>
          <cell r="BF162" t="e">
            <v>#REF!</v>
          </cell>
        </row>
        <row r="163">
          <cell r="AZ163" t="str">
            <v xml:space="preserve">  Rev Enhancing on Existing Sites</v>
          </cell>
          <cell r="BB163" t="e">
            <v>#REF!</v>
          </cell>
          <cell r="BD163" t="e">
            <v>#REF!</v>
          </cell>
          <cell r="BF163" t="e">
            <v>#REF!</v>
          </cell>
        </row>
        <row r="164">
          <cell r="AZ164" t="str">
            <v xml:space="preserve">  Land Purchases</v>
          </cell>
          <cell r="BB164" t="e">
            <v>#REF!</v>
          </cell>
          <cell r="BD164" t="e">
            <v>#REF!</v>
          </cell>
          <cell r="BF164" t="e">
            <v>#REF!</v>
          </cell>
        </row>
        <row r="165">
          <cell r="AZ165" t="str">
            <v xml:space="preserve">  New Site Construction and Acq.</v>
          </cell>
          <cell r="BB165" t="e">
            <v>#REF!</v>
          </cell>
          <cell r="BD165" t="e">
            <v>#REF!</v>
          </cell>
          <cell r="BF165" t="e">
            <v>#REF!</v>
          </cell>
        </row>
        <row r="166">
          <cell r="AZ166" t="str">
            <v xml:space="preserve">  Sustaining Capex</v>
          </cell>
          <cell r="BA166" t="e">
            <v>#REF!</v>
          </cell>
          <cell r="BB166" t="e">
            <v>#REF!</v>
          </cell>
          <cell r="BC166" t="e">
            <v>#REF!</v>
          </cell>
          <cell r="BD166" t="e">
            <v>#REF!</v>
          </cell>
          <cell r="BE166" t="e">
            <v>#REF!</v>
          </cell>
          <cell r="BF166" t="e">
            <v>#REF!</v>
          </cell>
        </row>
        <row r="167">
          <cell r="AZ167" t="str">
            <v>TOTAL CAPEX</v>
          </cell>
          <cell r="BA167">
            <v>819.029</v>
          </cell>
          <cell r="BB167" t="e">
            <v>#REF!</v>
          </cell>
          <cell r="BC167">
            <v>398</v>
          </cell>
          <cell r="BD167" t="e">
            <v>#REF!</v>
          </cell>
          <cell r="BE167">
            <v>400</v>
          </cell>
          <cell r="BF167" t="e">
            <v>#REF!</v>
          </cell>
        </row>
      </sheetData>
      <sheetData sheetId="10"/>
      <sheetData sheetId="11" refreshError="1">
        <row r="19">
          <cell r="N19" t="str">
            <v>AMERICAN TOWER:</v>
          </cell>
        </row>
        <row r="36">
          <cell r="N36" t="str">
            <v>CROWN CASTLE:</v>
          </cell>
        </row>
        <row r="55">
          <cell r="B55" t="str">
            <v>1Q07</v>
          </cell>
          <cell r="C55" t="str">
            <v>2Q07</v>
          </cell>
          <cell r="D55" t="str">
            <v>3Q07</v>
          </cell>
          <cell r="E55" t="str">
            <v>4Q07</v>
          </cell>
          <cell r="F55" t="str">
            <v>1Q08</v>
          </cell>
          <cell r="G55" t="str">
            <v>2Q08</v>
          </cell>
          <cell r="H55" t="str">
            <v>3Q08</v>
          </cell>
          <cell r="I55" t="str">
            <v>4Q08</v>
          </cell>
          <cell r="J55" t="str">
            <v>1Q09</v>
          </cell>
          <cell r="K55" t="str">
            <v>2Q09</v>
          </cell>
          <cell r="L55" t="str">
            <v>3Q09</v>
          </cell>
          <cell r="M55" t="str">
            <v>4Q09</v>
          </cell>
          <cell r="N55" t="str">
            <v>1Q10</v>
          </cell>
          <cell r="O55" t="str">
            <v>2Q10</v>
          </cell>
          <cell r="P55" t="str">
            <v>3Q10</v>
          </cell>
          <cell r="Q55" t="str">
            <v>4Q10</v>
          </cell>
          <cell r="R55" t="str">
            <v>1Q11</v>
          </cell>
          <cell r="S55" t="str">
            <v>2Q11</v>
          </cell>
          <cell r="T55" t="str">
            <v>3Q11</v>
          </cell>
          <cell r="U55" t="str">
            <v>4Q11E</v>
          </cell>
        </row>
        <row r="56">
          <cell r="A56" t="str">
            <v>Rental &amp; Management Gross</v>
          </cell>
          <cell r="B56">
            <v>0.75793647353256532</v>
          </cell>
          <cell r="C56">
            <v>0.7550851685553418</v>
          </cell>
          <cell r="D56">
            <v>0.76594920013496059</v>
          </cell>
          <cell r="E56">
            <v>0.7575401837278839</v>
          </cell>
          <cell r="F56">
            <v>0.76755360537778461</v>
          </cell>
          <cell r="G56">
            <v>0.76075536695087465</v>
          </cell>
          <cell r="H56">
            <v>0.76243166766397219</v>
          </cell>
          <cell r="I56">
            <v>0.77062638056569288</v>
          </cell>
          <cell r="J56">
            <v>0.77246954769198906</v>
          </cell>
          <cell r="K56">
            <v>0.77300608972073837</v>
          </cell>
          <cell r="L56">
            <v>0.76510539457638926</v>
          </cell>
          <cell r="M56">
            <v>0.76920337226589341</v>
          </cell>
          <cell r="N56">
            <v>0.77372706830277282</v>
          </cell>
          <cell r="O56">
            <v>0.76828608419627531</v>
          </cell>
          <cell r="P56">
            <v>0.76913735117171955</v>
          </cell>
          <cell r="Q56">
            <v>0.7649579582771564</v>
          </cell>
          <cell r="R56">
            <v>0.76610659373828094</v>
          </cell>
          <cell r="S56">
            <v>0.75279143736543797</v>
          </cell>
          <cell r="T56">
            <v>0.73932512263991357</v>
          </cell>
          <cell r="U56">
            <v>0.74</v>
          </cell>
        </row>
        <row r="57">
          <cell r="A57" t="str">
            <v>EBITDA Margin</v>
          </cell>
          <cell r="B57">
            <v>0.67043242905859712</v>
          </cell>
          <cell r="C57">
            <v>0.67363980548123303</v>
          </cell>
          <cell r="D57">
            <v>0.67638233333786746</v>
          </cell>
          <cell r="E57">
            <v>0.66781535629654698</v>
          </cell>
          <cell r="F57">
            <v>0.68689950390387888</v>
          </cell>
          <cell r="G57">
            <v>0.69146974561118346</v>
          </cell>
          <cell r="H57">
            <v>0.6781057888718397</v>
          </cell>
          <cell r="I57">
            <v>0.6858132267513054</v>
          </cell>
          <cell r="J57">
            <v>0.68802088685958152</v>
          </cell>
          <cell r="K57">
            <v>0.67872816859490082</v>
          </cell>
          <cell r="L57">
            <v>0.6849303655667015</v>
          </cell>
          <cell r="M57">
            <v>0.68803253767526174</v>
          </cell>
          <cell r="N57">
            <v>0.68547247785156928</v>
          </cell>
          <cell r="O57">
            <v>0.68300431760001867</v>
          </cell>
          <cell r="P57">
            <v>0.68181765051955689</v>
          </cell>
          <cell r="Q57">
            <v>0.66701421731715238</v>
          </cell>
          <cell r="R57">
            <v>0.67015345791236824</v>
          </cell>
          <cell r="S57">
            <v>0.65152578130886496</v>
          </cell>
          <cell r="T57">
            <v>0.63272065646895714</v>
          </cell>
          <cell r="U57">
            <v>0.64263505237613994</v>
          </cell>
        </row>
        <row r="58">
          <cell r="A58" t="str">
            <v>Share Repurchase</v>
          </cell>
          <cell r="B58">
            <v>496.2</v>
          </cell>
          <cell r="C58">
            <v>414.2</v>
          </cell>
          <cell r="D58">
            <v>289.59999999999997</v>
          </cell>
          <cell r="E58">
            <v>400.00000000000006</v>
          </cell>
          <cell r="F58">
            <v>170.6</v>
          </cell>
          <cell r="G58">
            <v>115.29999999999998</v>
          </cell>
          <cell r="H58">
            <v>331.8</v>
          </cell>
          <cell r="I58">
            <v>79.400000000000034</v>
          </cell>
          <cell r="J58">
            <v>1.8</v>
          </cell>
          <cell r="K58">
            <v>67.8</v>
          </cell>
          <cell r="L58">
            <v>117.6</v>
          </cell>
          <cell r="M58">
            <v>27.6</v>
          </cell>
          <cell r="N58">
            <v>51.5</v>
          </cell>
          <cell r="O58">
            <v>144.80000000000001</v>
          </cell>
          <cell r="P58">
            <v>149.80000000000001</v>
          </cell>
          <cell r="Q58">
            <v>74.599999999999994</v>
          </cell>
          <cell r="R58">
            <v>122.69692019999999</v>
          </cell>
          <cell r="S58">
            <v>102</v>
          </cell>
          <cell r="T58">
            <v>168.4</v>
          </cell>
          <cell r="U58">
            <v>57.253008904761913</v>
          </cell>
        </row>
        <row r="59">
          <cell r="A59" t="str">
            <v>Average Diluted Shares</v>
          </cell>
          <cell r="B59">
            <v>439.55700000000002</v>
          </cell>
          <cell r="C59">
            <v>429.846</v>
          </cell>
          <cell r="D59">
            <v>418.012</v>
          </cell>
          <cell r="E59">
            <v>416.9</v>
          </cell>
          <cell r="F59">
            <v>421.62200000000001</v>
          </cell>
          <cell r="G59">
            <v>421.61700000000002</v>
          </cell>
          <cell r="H59">
            <v>416.541</v>
          </cell>
          <cell r="I59">
            <v>408.94200000000001</v>
          </cell>
          <cell r="J59">
            <v>408.25</v>
          </cell>
          <cell r="K59">
            <v>408.83199999999999</v>
          </cell>
          <cell r="L59">
            <v>405.72800000000001</v>
          </cell>
          <cell r="M59">
            <v>405.71600000000001</v>
          </cell>
          <cell r="N59">
            <v>406.08</v>
          </cell>
          <cell r="O59">
            <v>405.024</v>
          </cell>
          <cell r="P59">
            <v>403.45499999999998</v>
          </cell>
          <cell r="Q59">
            <v>403.03199999999998</v>
          </cell>
          <cell r="R59">
            <v>401.899</v>
          </cell>
          <cell r="S59">
            <v>400.25</v>
          </cell>
          <cell r="T59">
            <v>395.18299999999999</v>
          </cell>
          <cell r="U59">
            <v>393.18930297842235</v>
          </cell>
        </row>
        <row r="60">
          <cell r="A60" t="str">
            <v>Y/Y Growth of Share Count</v>
          </cell>
          <cell r="F60">
            <v>-4.0802444279126493E-2</v>
          </cell>
          <cell r="G60">
            <v>-1.9144065549057121E-2</v>
          </cell>
          <cell r="H60">
            <v>-3.5190377309742837E-3</v>
          </cell>
          <cell r="I60">
            <v>-1.9088510434156825E-2</v>
          </cell>
          <cell r="J60">
            <v>-3.1715612562911888E-2</v>
          </cell>
          <cell r="K60">
            <v>-3.0323729830628365E-2</v>
          </cell>
          <cell r="L60">
            <v>-2.5959029243219689E-2</v>
          </cell>
          <cell r="M60">
            <v>-7.8886492461033297E-3</v>
          </cell>
          <cell r="N60">
            <v>-5.3153704837722859E-3</v>
          </cell>
          <cell r="O60">
            <v>-9.3143393863494017E-3</v>
          </cell>
          <cell r="P60">
            <v>-5.6022754160423016E-3</v>
          </cell>
          <cell r="Q60">
            <v>-6.615465005077481E-3</v>
          </cell>
          <cell r="R60">
            <v>-1.0296000788022064E-2</v>
          </cell>
          <cell r="S60">
            <v>-1.1786955834716006E-2</v>
          </cell>
          <cell r="T60">
            <v>-2.0502906148145428E-2</v>
          </cell>
          <cell r="U60">
            <v>-2.4421626624133164E-2</v>
          </cell>
        </row>
        <row r="84">
          <cell r="A84" t="str">
            <v>CAPITAL ALLOCATION</v>
          </cell>
          <cell r="B84" t="str">
            <v>2010A</v>
          </cell>
          <cell r="C84" t="str">
            <v>2011E</v>
          </cell>
        </row>
        <row r="85">
          <cell r="A85" t="str">
            <v>NON-DISCRETIONARY CAPEX</v>
          </cell>
          <cell r="B85">
            <v>43.008300000000006</v>
          </cell>
          <cell r="C85">
            <v>77.617999999999995</v>
          </cell>
        </row>
        <row r="86">
          <cell r="A86" t="str">
            <v>LAND PURCHASE</v>
          </cell>
          <cell r="B86">
            <v>83.461999999999989</v>
          </cell>
          <cell r="C86">
            <v>414.25</v>
          </cell>
        </row>
        <row r="87">
          <cell r="A87" t="str">
            <v>NEW BUILD</v>
          </cell>
          <cell r="B87">
            <v>194.40300000000002</v>
          </cell>
          <cell r="C87">
            <v>271.88</v>
          </cell>
        </row>
        <row r="88">
          <cell r="A88" t="str">
            <v>REDEVELOPMENT</v>
          </cell>
          <cell r="B88">
            <v>25.785</v>
          </cell>
          <cell r="C88">
            <v>55.280999999999999</v>
          </cell>
        </row>
        <row r="89">
          <cell r="A89" t="str">
            <v>ACQUISITIONS</v>
          </cell>
          <cell r="B89">
            <v>899.60599999999999</v>
          </cell>
          <cell r="C89">
            <v>1897.8046528140776</v>
          </cell>
        </row>
        <row r="90">
          <cell r="A90" t="str">
            <v>BUYBACKS</v>
          </cell>
          <cell r="B90">
            <v>420.70000000000005</v>
          </cell>
          <cell r="C90">
            <v>450.34992910476194</v>
          </cell>
        </row>
        <row r="91">
          <cell r="B91">
            <v>1666.9643000000001</v>
          </cell>
          <cell r="C91">
            <v>3167.1835819188395</v>
          </cell>
        </row>
        <row r="124">
          <cell r="I124" t="str">
            <v>2010-2013</v>
          </cell>
        </row>
        <row r="125">
          <cell r="B125" t="str">
            <v>2009A</v>
          </cell>
          <cell r="C125" t="str">
            <v>2010A</v>
          </cell>
          <cell r="D125" t="str">
            <v>2011A</v>
          </cell>
          <cell r="E125" t="str">
            <v>2012E</v>
          </cell>
          <cell r="F125" t="str">
            <v>2013E</v>
          </cell>
          <cell r="G125" t="str">
            <v>2014E</v>
          </cell>
          <cell r="H125" t="str">
            <v>2015E</v>
          </cell>
          <cell r="I125" t="str">
            <v>CAGR</v>
          </cell>
        </row>
        <row r="126">
          <cell r="A126" t="str">
            <v>Rental &amp; Management Revenues</v>
          </cell>
          <cell r="B126">
            <v>1668.42</v>
          </cell>
          <cell r="C126">
            <v>1936.373</v>
          </cell>
          <cell r="D126">
            <v>2381.7024906660486</v>
          </cell>
          <cell r="E126">
            <v>2846.8693051028599</v>
          </cell>
          <cell r="F126">
            <v>3160.4611101080582</v>
          </cell>
          <cell r="G126">
            <v>3319.9787698670475</v>
          </cell>
          <cell r="H126">
            <v>3456.7758156046893</v>
          </cell>
          <cell r="I126">
            <v>0.17739036476750236</v>
          </cell>
        </row>
        <row r="127">
          <cell r="A127" t="str">
            <v>EBITDA</v>
          </cell>
          <cell r="B127">
            <v>1180.9250000000002</v>
          </cell>
          <cell r="C127">
            <v>1347.748</v>
          </cell>
          <cell r="D127">
            <v>1584.1703752296016</v>
          </cell>
          <cell r="E127">
            <v>1899.6846804226077</v>
          </cell>
          <cell r="F127">
            <v>2122.0781174777685</v>
          </cell>
          <cell r="G127">
            <v>2244.7461118657193</v>
          </cell>
          <cell r="H127">
            <v>2336.1055787614168</v>
          </cell>
          <cell r="I127">
            <v>0.16336918728373018</v>
          </cell>
        </row>
        <row r="128">
          <cell r="A128" t="str">
            <v>RFCF Per Share</v>
          </cell>
          <cell r="B128">
            <v>2.0926874977740608</v>
          </cell>
          <cell r="C128">
            <v>2.5404807519329666</v>
          </cell>
          <cell r="D128">
            <v>2.8625676137015388</v>
          </cell>
          <cell r="E128">
            <v>3.8301305327482629</v>
          </cell>
          <cell r="F128">
            <v>4.4158536396521999</v>
          </cell>
          <cell r="G128">
            <v>4.6245069091409414</v>
          </cell>
          <cell r="H128">
            <v>4.8704383627698302</v>
          </cell>
          <cell r="I128">
            <v>0.20235557267214133</v>
          </cell>
        </row>
        <row r="152">
          <cell r="A152" t="str">
            <v>"Batting Order"</v>
          </cell>
          <cell r="B152" t="str">
            <v>2003A</v>
          </cell>
          <cell r="C152" t="str">
            <v>2004A</v>
          </cell>
          <cell r="D152" t="str">
            <v>2005A</v>
          </cell>
          <cell r="E152" t="str">
            <v>2006A</v>
          </cell>
          <cell r="F152" t="str">
            <v>2007A</v>
          </cell>
          <cell r="G152" t="str">
            <v>2008A</v>
          </cell>
          <cell r="H152" t="str">
            <v>2009A</v>
          </cell>
          <cell r="I152" t="str">
            <v>2010A</v>
          </cell>
          <cell r="J152" t="str">
            <v>2011E</v>
          </cell>
          <cell r="K152" t="str">
            <v>2012E</v>
          </cell>
          <cell r="L152" t="str">
            <v>2013E</v>
          </cell>
          <cell r="M152" t="str">
            <v>2014E</v>
          </cell>
          <cell r="N152" t="str">
            <v>2015E</v>
          </cell>
          <cell r="O152" t="str">
            <v>2016E</v>
          </cell>
          <cell r="P152" t="str">
            <v>2017E</v>
          </cell>
          <cell r="Q152" t="str">
            <v>2018E</v>
          </cell>
          <cell r="R152" t="str">
            <v>2019E</v>
          </cell>
          <cell r="S152" t="str">
            <v>2020E</v>
          </cell>
          <cell r="T152" t="str">
            <v>2021E</v>
          </cell>
        </row>
        <row r="153">
          <cell r="A153" t="str">
            <v>Dividend</v>
          </cell>
          <cell r="B153">
            <v>0</v>
          </cell>
          <cell r="C153">
            <v>0</v>
          </cell>
          <cell r="D153">
            <v>0</v>
          </cell>
          <cell r="E153">
            <v>0</v>
          </cell>
          <cell r="F153">
            <v>0</v>
          </cell>
          <cell r="G153">
            <v>0</v>
          </cell>
          <cell r="H153">
            <v>0</v>
          </cell>
          <cell r="I153">
            <v>0</v>
          </cell>
          <cell r="J153">
            <v>138</v>
          </cell>
          <cell r="K153">
            <v>331.60635125035571</v>
          </cell>
          <cell r="L153">
            <v>360.37993819432472</v>
          </cell>
          <cell r="M153">
            <v>622.54275831006134</v>
          </cell>
          <cell r="N153">
            <v>948.9657441966425</v>
          </cell>
          <cell r="O153">
            <v>1009.0067367531593</v>
          </cell>
          <cell r="P153">
            <v>1060.3821713741884</v>
          </cell>
          <cell r="Q153">
            <v>1102.8314148757806</v>
          </cell>
          <cell r="R153">
            <v>1136.326868176264</v>
          </cell>
          <cell r="S153">
            <v>1159.8095701358948</v>
          </cell>
          <cell r="T153">
            <v>1174.5018319776661</v>
          </cell>
        </row>
        <row r="154">
          <cell r="A154" t="str">
            <v>Discretionary Capex</v>
          </cell>
          <cell r="B154">
            <v>43.607999999999997</v>
          </cell>
          <cell r="C154">
            <v>30.080999999999996</v>
          </cell>
          <cell r="D154">
            <v>73.431999999999988</v>
          </cell>
          <cell r="E154">
            <v>88.501000000000005</v>
          </cell>
          <cell r="F154">
            <v>110.96700000000001</v>
          </cell>
          <cell r="G154">
            <v>205.36500000000001</v>
          </cell>
          <cell r="H154">
            <v>209.63199999999998</v>
          </cell>
          <cell r="I154">
            <v>303.64999999999998</v>
          </cell>
          <cell r="J154">
            <v>437.41100000000006</v>
          </cell>
          <cell r="K154">
            <v>344</v>
          </cell>
          <cell r="L154">
            <v>346</v>
          </cell>
          <cell r="M154">
            <v>327</v>
          </cell>
          <cell r="N154">
            <v>327</v>
          </cell>
          <cell r="O154">
            <v>327</v>
          </cell>
          <cell r="P154">
            <v>327</v>
          </cell>
          <cell r="Q154">
            <v>327</v>
          </cell>
          <cell r="R154">
            <v>327</v>
          </cell>
          <cell r="S154">
            <v>327</v>
          </cell>
          <cell r="T154">
            <v>327</v>
          </cell>
        </row>
        <row r="155">
          <cell r="A155" t="str">
            <v>M&amp;A</v>
          </cell>
          <cell r="B155">
            <v>95.076999999999998</v>
          </cell>
          <cell r="C155">
            <v>33.402999999999999</v>
          </cell>
          <cell r="D155">
            <v>14.748999999999999</v>
          </cell>
          <cell r="E155">
            <v>14.337</v>
          </cell>
          <cell r="F155">
            <v>43.962000000000003</v>
          </cell>
          <cell r="G155">
            <v>42.816999999999993</v>
          </cell>
          <cell r="H155">
            <v>295.60300000000001</v>
          </cell>
          <cell r="I155">
            <v>899.60599999999999</v>
          </cell>
          <cell r="J155">
            <v>2201.8046528140776</v>
          </cell>
          <cell r="K155">
            <v>430.46184825202045</v>
          </cell>
          <cell r="L155">
            <v>49.812667733433365</v>
          </cell>
          <cell r="M155">
            <v>41.2</v>
          </cell>
          <cell r="N155">
            <v>51.5</v>
          </cell>
          <cell r="O155">
            <v>45</v>
          </cell>
          <cell r="P155">
            <v>52.5</v>
          </cell>
          <cell r="Q155">
            <v>40</v>
          </cell>
          <cell r="R155">
            <v>44.999999999999993</v>
          </cell>
          <cell r="S155">
            <v>24.999999999999996</v>
          </cell>
          <cell r="T155">
            <v>27.499999999999996</v>
          </cell>
        </row>
        <row r="156">
          <cell r="A156" t="str">
            <v>Share repurchase</v>
          </cell>
          <cell r="B156">
            <v>0</v>
          </cell>
          <cell r="C156">
            <v>0</v>
          </cell>
          <cell r="D156">
            <v>76.599999999999994</v>
          </cell>
          <cell r="E156">
            <v>321.79999999999995</v>
          </cell>
          <cell r="F156">
            <v>1600</v>
          </cell>
          <cell r="G156">
            <v>697.10000000000014</v>
          </cell>
          <cell r="H156">
            <v>214.79999999999998</v>
          </cell>
          <cell r="I156">
            <v>420.70000000000005</v>
          </cell>
          <cell r="J156">
            <v>450.34992910476194</v>
          </cell>
          <cell r="K156">
            <v>61.677747725439616</v>
          </cell>
          <cell r="L156">
            <v>55.535078756751808</v>
          </cell>
          <cell r="M156">
            <v>59.13303988893329</v>
          </cell>
          <cell r="N156">
            <v>57.69167204164053</v>
          </cell>
          <cell r="O156">
            <v>55.136755136939307</v>
          </cell>
          <cell r="P156">
            <v>51.231234981406111</v>
          </cell>
          <cell r="Q156">
            <v>57.122827004267812</v>
          </cell>
          <cell r="R156">
            <v>63.69195210975861</v>
          </cell>
          <cell r="S156">
            <v>71.01652660238085</v>
          </cell>
          <cell r="T156">
            <v>79.183427161654649</v>
          </cell>
        </row>
        <row r="158">
          <cell r="A158" t="str">
            <v>TOTAL</v>
          </cell>
          <cell r="B158">
            <v>138.685</v>
          </cell>
          <cell r="C158">
            <v>63.483999999999995</v>
          </cell>
          <cell r="D158">
            <v>164.78099999999998</v>
          </cell>
          <cell r="E158">
            <v>424.63799999999998</v>
          </cell>
          <cell r="F158">
            <v>1754.9290000000001</v>
          </cell>
          <cell r="G158">
            <v>945.28200000000015</v>
          </cell>
          <cell r="H158">
            <v>720.03499999999997</v>
          </cell>
          <cell r="I158">
            <v>1623.9559999999999</v>
          </cell>
          <cell r="J158">
            <v>3227.5655819188396</v>
          </cell>
          <cell r="K158">
            <v>1167.7459472278156</v>
          </cell>
          <cell r="L158">
            <v>811.72768468450988</v>
          </cell>
          <cell r="M158">
            <v>1049.8757981989947</v>
          </cell>
          <cell r="N158">
            <v>1385.1574162382828</v>
          </cell>
          <cell r="O158">
            <v>1436.1434918900984</v>
          </cell>
          <cell r="P158">
            <v>1491.1134063555944</v>
          </cell>
          <cell r="Q158">
            <v>1526.9542418800484</v>
          </cell>
          <cell r="R158">
            <v>1572.0188202860227</v>
          </cell>
          <cell r="S158">
            <v>1582.8260967382757</v>
          </cell>
          <cell r="T158">
            <v>1608.1852591393208</v>
          </cell>
        </row>
      </sheetData>
      <sheetData sheetId="12"/>
      <sheetData sheetId="13"/>
      <sheetData sheetId="14"/>
      <sheetData sheetId="15"/>
      <sheetData sheetId="16"/>
      <sheetData sheetId="17"/>
      <sheetData sheetId="18"/>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IS"/>
      <sheetName val="BS"/>
      <sheetName val="MW-Cache"/>
      <sheetName val="__FDSCACHE__"/>
      <sheetName val="Links"/>
      <sheetName val="CF"/>
      <sheetName val="Valuation"/>
      <sheetName val="2Q10"/>
      <sheetName val="Lease"/>
      <sheetName val="Exhibits"/>
      <sheetName val="mwareDates"/>
      <sheetName val="MWA RR"/>
      <sheetName val="mwareSettings"/>
      <sheetName val="NY UPLOAD shadow"/>
      <sheetName val="mStartup"/>
    </sheetNames>
    <sheetDataSet>
      <sheetData sheetId="0" refreshError="1">
        <row r="12">
          <cell r="BN12">
            <v>61.130700000000004</v>
          </cell>
        </row>
        <row r="13">
          <cell r="L13">
            <v>2032.7290000000003</v>
          </cell>
          <cell r="BN13">
            <v>597.37650134158287</v>
          </cell>
        </row>
        <row r="29">
          <cell r="BN29">
            <v>505.08681581810458</v>
          </cell>
        </row>
        <row r="49">
          <cell r="L49">
            <v>108.6</v>
          </cell>
          <cell r="BM49">
            <v>29.8</v>
          </cell>
        </row>
        <row r="58">
          <cell r="BN58">
            <v>1.1349855234782387</v>
          </cell>
        </row>
      </sheetData>
      <sheetData sheetId="1" refreshError="1">
        <row r="15">
          <cell r="BH15">
            <v>496.31399999999996</v>
          </cell>
          <cell r="BK15">
            <v>513.88300000000004</v>
          </cell>
        </row>
        <row r="189">
          <cell r="BB189">
            <v>1.3320000000000001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SCO Report"/>
      <sheetName val="GLBC"/>
      <sheetName val="WACC"/>
      <sheetName val="Guidance"/>
      <sheetName val="Sheet1"/>
      <sheetName val="Maturities"/>
      <sheetName val="Approvals"/>
      <sheetName val="PF Mix"/>
      <sheetName val="LVLT M&amp;A - FactSet"/>
      <sheetName val="LVLT M&amp;A"/>
      <sheetName val="Summary"/>
      <sheetName val="Leverage"/>
      <sheetName val="Fiber &amp; Clec"/>
      <sheetName val="Synergies"/>
      <sheetName val="Timing"/>
      <sheetName val="Revs"/>
      <sheetName val="transactionCTL_SVVS"/>
      <sheetName val="Backup_LVLT - Reassumption"/>
    </sheetNames>
    <sheetDataSet>
      <sheetData sheetId="0"/>
      <sheetData sheetId="1">
        <row r="1">
          <cell r="A1" t="str">
            <v>Consumer Internet Traffic, 2010–2015</v>
          </cell>
          <cell r="B1">
            <v>2010</v>
          </cell>
          <cell r="C1">
            <v>2011</v>
          </cell>
          <cell r="D1">
            <v>2012</v>
          </cell>
          <cell r="E1">
            <v>2013</v>
          </cell>
          <cell r="F1">
            <v>2014</v>
          </cell>
          <cell r="G1">
            <v>2015</v>
          </cell>
          <cell r="H1" t="str">
            <v>CAGR</v>
          </cell>
          <cell r="I1" t="str">
            <v>Comment</v>
          </cell>
        </row>
        <row r="2">
          <cell r="A2" t="str">
            <v>GLOBAL - By Network (PB per Month)</v>
          </cell>
        </row>
        <row r="3">
          <cell r="A3" t="str">
            <v>Fixed</v>
          </cell>
          <cell r="B3">
            <v>12355</v>
          </cell>
          <cell r="C3">
            <v>17467</v>
          </cell>
          <cell r="D3">
            <v>23618</v>
          </cell>
          <cell r="E3">
            <v>31318</v>
          </cell>
          <cell r="F3">
            <v>40842</v>
          </cell>
          <cell r="G3">
            <v>53282</v>
          </cell>
          <cell r="H3">
            <v>0.3395149150436787</v>
          </cell>
        </row>
        <row r="4">
          <cell r="A4" t="str">
            <v>Mobile</v>
          </cell>
          <cell r="B4">
            <v>174</v>
          </cell>
          <cell r="C4">
            <v>399</v>
          </cell>
          <cell r="D4">
            <v>858</v>
          </cell>
          <cell r="E4">
            <v>1654</v>
          </cell>
          <cell r="F4">
            <v>2930</v>
          </cell>
          <cell r="G4">
            <v>4931</v>
          </cell>
          <cell r="H4">
            <v>0.95198803312699054</v>
          </cell>
        </row>
        <row r="5">
          <cell r="A5" t="str">
            <v>TOTAL</v>
          </cell>
          <cell r="B5">
            <v>12529</v>
          </cell>
          <cell r="C5">
            <v>17866</v>
          </cell>
          <cell r="D5">
            <v>24476</v>
          </cell>
          <cell r="E5">
            <v>32972</v>
          </cell>
          <cell r="F5">
            <v>43772</v>
          </cell>
          <cell r="G5">
            <v>58213</v>
          </cell>
          <cell r="H5">
            <v>0.3596299240456704</v>
          </cell>
        </row>
        <row r="7">
          <cell r="A7" t="str">
            <v>Fixed</v>
          </cell>
          <cell r="B7">
            <v>0.98611221965041107</v>
          </cell>
          <cell r="C7">
            <v>0.97766707712974366</v>
          </cell>
          <cell r="D7">
            <v>0.96494525249223728</v>
          </cell>
          <cell r="E7">
            <v>0.94983622467548223</v>
          </cell>
          <cell r="F7">
            <v>0.93306223156355661</v>
          </cell>
          <cell r="G7">
            <v>0.91529383471045989</v>
          </cell>
        </row>
        <row r="8">
          <cell r="A8" t="str">
            <v>Mobile</v>
          </cell>
          <cell r="B8">
            <v>1.388778034958893E-2</v>
          </cell>
          <cell r="C8">
            <v>2.2332922870256344E-2</v>
          </cell>
          <cell r="D8">
            <v>3.5054747507762718E-2</v>
          </cell>
          <cell r="E8">
            <v>5.0163775324517768E-2</v>
          </cell>
          <cell r="F8">
            <v>6.693776843644339E-2</v>
          </cell>
          <cell r="G8">
            <v>8.4706165289540114E-2</v>
          </cell>
        </row>
        <row r="10">
          <cell r="A10" t="str">
            <v>GLOBAL By Subsegment (PB per Month)</v>
          </cell>
        </row>
        <row r="11">
          <cell r="A11" t="str">
            <v>File sharing</v>
          </cell>
          <cell r="B11">
            <v>4968</v>
          </cell>
          <cell r="C11">
            <v>6017</v>
          </cell>
          <cell r="D11">
            <v>7277</v>
          </cell>
          <cell r="E11">
            <v>8867</v>
          </cell>
          <cell r="F11">
            <v>11040</v>
          </cell>
          <cell r="G11">
            <v>13797</v>
          </cell>
          <cell r="H11">
            <v>0.22664986513602114</v>
          </cell>
        </row>
        <row r="12">
          <cell r="A12" t="str">
            <v>Internet video</v>
          </cell>
          <cell r="B12">
            <v>4672</v>
          </cell>
          <cell r="C12">
            <v>8079</v>
          </cell>
          <cell r="D12">
            <v>12146</v>
          </cell>
          <cell r="E12">
            <v>17583</v>
          </cell>
          <cell r="F12">
            <v>24357</v>
          </cell>
          <cell r="G12">
            <v>33620</v>
          </cell>
          <cell r="H12">
            <v>0.48394899838707173</v>
          </cell>
        </row>
        <row r="13">
          <cell r="A13" t="str">
            <v>Web, email, and data</v>
          </cell>
          <cell r="B13">
            <v>2393</v>
          </cell>
          <cell r="C13">
            <v>3113</v>
          </cell>
          <cell r="D13">
            <v>4146</v>
          </cell>
          <cell r="E13">
            <v>5325</v>
          </cell>
          <cell r="F13">
            <v>6769</v>
          </cell>
          <cell r="G13">
            <v>8592</v>
          </cell>
          <cell r="H13">
            <v>0.29130940443989806</v>
          </cell>
        </row>
        <row r="14">
          <cell r="A14" t="str">
            <v>Video calling</v>
          </cell>
          <cell r="B14">
            <v>308</v>
          </cell>
          <cell r="C14">
            <v>442</v>
          </cell>
          <cell r="D14">
            <v>659</v>
          </cell>
          <cell r="E14">
            <v>905</v>
          </cell>
          <cell r="F14">
            <v>1251</v>
          </cell>
          <cell r="G14">
            <v>1736</v>
          </cell>
          <cell r="H14">
            <v>0.413187544034475</v>
          </cell>
        </row>
        <row r="15">
          <cell r="A15" t="str">
            <v>Online gaming</v>
          </cell>
          <cell r="B15">
            <v>49</v>
          </cell>
          <cell r="C15">
            <v>68</v>
          </cell>
          <cell r="D15">
            <v>95</v>
          </cell>
          <cell r="E15">
            <v>133</v>
          </cell>
          <cell r="F15">
            <v>187</v>
          </cell>
          <cell r="G15">
            <v>290</v>
          </cell>
          <cell r="H15">
            <v>0.42705392232469253</v>
          </cell>
        </row>
        <row r="16">
          <cell r="A16" t="str">
            <v>Voice over IP (VoIP)</v>
          </cell>
          <cell r="B16">
            <v>138</v>
          </cell>
          <cell r="C16">
            <v>147</v>
          </cell>
          <cell r="D16">
            <v>153</v>
          </cell>
          <cell r="E16">
            <v>157</v>
          </cell>
          <cell r="F16">
            <v>160</v>
          </cell>
          <cell r="G16">
            <v>168</v>
          </cell>
          <cell r="H16">
            <v>4.0126207180960938E-2</v>
          </cell>
        </row>
        <row r="17">
          <cell r="A17" t="str">
            <v>Other</v>
          </cell>
          <cell r="B17">
            <v>0.16500000000000001</v>
          </cell>
          <cell r="C17">
            <v>1</v>
          </cell>
          <cell r="D17">
            <v>1</v>
          </cell>
          <cell r="E17">
            <v>3</v>
          </cell>
          <cell r="F17">
            <v>8</v>
          </cell>
          <cell r="G17">
            <v>11</v>
          </cell>
          <cell r="H17">
            <v>1.3162303512385889</v>
          </cell>
        </row>
        <row r="18">
          <cell r="A18" t="str">
            <v>TOTAL</v>
          </cell>
          <cell r="B18">
            <v>12528.165000000001</v>
          </cell>
          <cell r="C18">
            <v>17867</v>
          </cell>
          <cell r="D18">
            <v>24477</v>
          </cell>
          <cell r="E18">
            <v>32973</v>
          </cell>
          <cell r="F18">
            <v>43772</v>
          </cell>
          <cell r="G18">
            <v>58214</v>
          </cell>
          <cell r="H18">
            <v>0.35965271863625325</v>
          </cell>
        </row>
        <row r="20">
          <cell r="A20" t="str">
            <v>File sharing</v>
          </cell>
          <cell r="B20">
            <v>0.39654650142299369</v>
          </cell>
          <cell r="C20">
            <v>0.33676610510997929</v>
          </cell>
          <cell r="D20">
            <v>0.29729950565837315</v>
          </cell>
          <cell r="E20">
            <v>0.26891699269098962</v>
          </cell>
          <cell r="F20">
            <v>0.25221602851137714</v>
          </cell>
          <cell r="G20">
            <v>0.23700484419555434</v>
          </cell>
        </row>
        <row r="21">
          <cell r="A21" t="str">
            <v>Internet video</v>
          </cell>
          <cell r="B21">
            <v>0.37291973724803273</v>
          </cell>
          <cell r="C21">
            <v>0.45217439973134832</v>
          </cell>
          <cell r="D21">
            <v>0.49622094210891859</v>
          </cell>
          <cell r="E21">
            <v>0.53325448093895</v>
          </cell>
          <cell r="F21">
            <v>0.55645161290322576</v>
          </cell>
          <cell r="G21">
            <v>0.57752430686776379</v>
          </cell>
        </row>
        <row r="22">
          <cell r="A22" t="str">
            <v>Web, email, and data</v>
          </cell>
          <cell r="B22">
            <v>0.19100961713068113</v>
          </cell>
          <cell r="C22">
            <v>0.1742318240331337</v>
          </cell>
          <cell r="D22">
            <v>0.16938350288025494</v>
          </cell>
          <cell r="E22">
            <v>0.1614957692657629</v>
          </cell>
          <cell r="F22">
            <v>0.15464223704651375</v>
          </cell>
          <cell r="G22">
            <v>0.14759336242141066</v>
          </cell>
        </row>
        <row r="23">
          <cell r="A23" t="str">
            <v>Video calling</v>
          </cell>
          <cell r="B23">
            <v>2.4584605965837773E-2</v>
          </cell>
          <cell r="C23">
            <v>2.4738344433872503E-2</v>
          </cell>
          <cell r="D23">
            <v>2.6923234056461166E-2</v>
          </cell>
          <cell r="E23">
            <v>2.7446698814181301E-2</v>
          </cell>
          <cell r="F23">
            <v>2.8579914100338114E-2</v>
          </cell>
          <cell r="G23">
            <v>2.9821005256467515E-2</v>
          </cell>
        </row>
        <row r="24">
          <cell r="A24" t="str">
            <v>Online gaming</v>
          </cell>
          <cell r="B24">
            <v>3.9111873127469186E-3</v>
          </cell>
          <cell r="C24">
            <v>3.8058991436726928E-3</v>
          </cell>
          <cell r="D24">
            <v>3.8811945908403807E-3</v>
          </cell>
          <cell r="E24">
            <v>4.0336032511448759E-3</v>
          </cell>
          <cell r="F24">
            <v>4.2721374394590148E-3</v>
          </cell>
          <cell r="G24">
            <v>4.9816195416910024E-3</v>
          </cell>
        </row>
        <row r="25">
          <cell r="A25" t="str">
            <v>Voice over IP (VoIP)</v>
          </cell>
          <cell r="B25">
            <v>1.1015180595083158E-2</v>
          </cell>
          <cell r="C25">
            <v>8.2274584429394976E-3</v>
          </cell>
          <cell r="D25">
            <v>6.250766025248192E-3</v>
          </cell>
          <cell r="E25">
            <v>4.7614715069905682E-3</v>
          </cell>
          <cell r="F25">
            <v>3.6553047610344514E-3</v>
          </cell>
          <cell r="G25">
            <v>2.8859037344968566E-3</v>
          </cell>
        </row>
        <row r="26">
          <cell r="A26" t="str">
            <v>Other</v>
          </cell>
          <cell r="B26">
            <v>1.317032462455595E-5</v>
          </cell>
          <cell r="C26">
            <v>5.5969105054010188E-5</v>
          </cell>
          <cell r="D26">
            <v>4.0854679903582957E-5</v>
          </cell>
          <cell r="E26">
            <v>9.0983531980711496E-5</v>
          </cell>
          <cell r="F26">
            <v>1.8276523805172256E-4</v>
          </cell>
          <cell r="G26">
            <v>1.8895798261586559E-4</v>
          </cell>
        </row>
        <row r="29">
          <cell r="A29" t="str">
            <v>North America - By Network (PB per Month)</v>
          </cell>
        </row>
        <row r="30">
          <cell r="A30" t="str">
            <v>Fixed</v>
          </cell>
          <cell r="B30">
            <v>3255.1564370660071</v>
          </cell>
          <cell r="C30">
            <v>4888.3353856487183</v>
          </cell>
          <cell r="D30">
            <v>6348.3748161464291</v>
          </cell>
          <cell r="E30">
            <v>7889.3396821545557</v>
          </cell>
          <cell r="F30">
            <v>9341.8190624143281</v>
          </cell>
          <cell r="G30">
            <v>11475.038805765036</v>
          </cell>
          <cell r="H30">
            <v>0.28657900355019894</v>
          </cell>
          <cell r="I30" t="str">
            <v>MS assumption</v>
          </cell>
        </row>
        <row r="31">
          <cell r="A31" t="str">
            <v>Mobile</v>
          </cell>
          <cell r="B31">
            <v>45.843562933993056</v>
          </cell>
          <cell r="C31">
            <v>111.66461435128173</v>
          </cell>
          <cell r="D31">
            <v>230.62518385357092</v>
          </cell>
          <cell r="E31">
            <v>416.66031784544458</v>
          </cell>
          <cell r="F31">
            <v>670.18093758567124</v>
          </cell>
          <cell r="G31">
            <v>1061.9611942349645</v>
          </cell>
          <cell r="H31">
            <v>0.87484796951331134</v>
          </cell>
          <cell r="I31" t="str">
            <v>MS assumption</v>
          </cell>
        </row>
        <row r="32">
          <cell r="A32" t="str">
            <v>TOTAL</v>
          </cell>
          <cell r="B32">
            <v>3301</v>
          </cell>
          <cell r="C32">
            <v>5000</v>
          </cell>
          <cell r="D32">
            <v>6579</v>
          </cell>
          <cell r="E32">
            <v>8306</v>
          </cell>
          <cell r="F32">
            <v>10012</v>
          </cell>
          <cell r="G32">
            <v>12537</v>
          </cell>
          <cell r="H32">
            <v>0.30589909319424868</v>
          </cell>
        </row>
        <row r="35">
          <cell r="A35" t="str">
            <v>North America By Subsegment (PB per Month)</v>
          </cell>
        </row>
        <row r="36">
          <cell r="A36" t="str">
            <v>Internet video</v>
          </cell>
          <cell r="B36">
            <v>1213.9120832118979</v>
          </cell>
          <cell r="C36">
            <v>2210.3801186912183</v>
          </cell>
          <cell r="D36">
            <v>3150.1965321287139</v>
          </cell>
          <cell r="E36">
            <v>4207.0257371583884</v>
          </cell>
          <cell r="F36">
            <v>5198.2702847305527</v>
          </cell>
          <cell r="G36">
            <v>6627.1138325801448</v>
          </cell>
          <cell r="H36">
            <v>0.40419505473362394</v>
          </cell>
          <cell r="I36" t="str">
            <v>MS assumption</v>
          </cell>
        </row>
        <row r="37">
          <cell r="A37" t="str">
            <v>File sharing</v>
          </cell>
          <cell r="B37">
            <v>1290.8208967030625</v>
          </cell>
          <cell r="C37">
            <v>1646.2256682962075</v>
          </cell>
          <cell r="D37">
            <v>1887.3686945743989</v>
          </cell>
          <cell r="E37">
            <v>2121.577501642691</v>
          </cell>
          <cell r="F37">
            <v>2356.1565029940189</v>
          </cell>
          <cell r="G37">
            <v>2719.6397842982824</v>
          </cell>
          <cell r="H37">
            <v>0.16072430817085537</v>
          </cell>
          <cell r="I37" t="str">
            <v>MS assumption</v>
          </cell>
        </row>
        <row r="38">
          <cell r="A38" t="str">
            <v>Web, email, and data</v>
          </cell>
          <cell r="B38">
            <v>621.76618474445013</v>
          </cell>
          <cell r="C38">
            <v>851.7035907272882</v>
          </cell>
          <cell r="D38">
            <v>1075.3099639556767</v>
          </cell>
          <cell r="E38">
            <v>1274.0949809684594</v>
          </cell>
          <cell r="F38">
            <v>1444.6397978955174</v>
          </cell>
          <cell r="G38">
            <v>1693.6395612590304</v>
          </cell>
          <cell r="H38">
            <v>0.22190875954387734</v>
          </cell>
          <cell r="I38" t="str">
            <v>MS assumption</v>
          </cell>
        </row>
        <row r="39">
          <cell r="A39" t="str">
            <v>Other</v>
          </cell>
          <cell r="B39">
            <v>128.6572724065966</v>
          </cell>
          <cell r="C39">
            <v>180.02600793400441</v>
          </cell>
          <cell r="D39">
            <v>235.49962548763972</v>
          </cell>
          <cell r="E39">
            <v>286.64146238501678</v>
          </cell>
          <cell r="F39">
            <v>342.75247679423859</v>
          </cell>
          <cell r="G39">
            <v>434.6456276275793</v>
          </cell>
          <cell r="H39">
            <v>0.27567544209083272</v>
          </cell>
          <cell r="I39" t="str">
            <v>MS assumption</v>
          </cell>
        </row>
        <row r="40">
          <cell r="A40" t="str">
            <v>TOTAL</v>
          </cell>
          <cell r="B40">
            <v>3255.1564370660071</v>
          </cell>
          <cell r="C40">
            <v>4888.3353856487183</v>
          </cell>
          <cell r="D40">
            <v>6348.3748161464291</v>
          </cell>
          <cell r="E40">
            <v>7889.3396821545548</v>
          </cell>
          <cell r="F40">
            <v>9341.8190624143263</v>
          </cell>
          <cell r="G40">
            <v>11475.038805765038</v>
          </cell>
          <cell r="H40">
            <v>0.28657900355019894</v>
          </cell>
          <cell r="I40" t="str">
            <v>MS assumption</v>
          </cell>
        </row>
        <row r="43">
          <cell r="A43" t="str">
            <v>US</v>
          </cell>
          <cell r="B43">
            <v>0.88802339809592035</v>
          </cell>
          <cell r="C43">
            <v>0.88967538682405478</v>
          </cell>
          <cell r="D43">
            <v>0.89112996350983076</v>
          </cell>
          <cell r="E43">
            <v>0.89123426750490964</v>
          </cell>
          <cell r="F43">
            <v>0.88974999222934814</v>
          </cell>
          <cell r="G43">
            <v>0.88974999222934814</v>
          </cell>
          <cell r="I43" t="str">
            <v>MS assumption, using trends in previous VNI report</v>
          </cell>
        </row>
        <row r="44">
          <cell r="A44" t="str">
            <v>Canada</v>
          </cell>
          <cell r="B44">
            <v>0.11197660190407965</v>
          </cell>
          <cell r="C44">
            <v>0.11032461317594522</v>
          </cell>
          <cell r="D44">
            <v>0.10887003649016924</v>
          </cell>
          <cell r="E44">
            <v>0.10876573249509036</v>
          </cell>
          <cell r="F44">
            <v>0.11025000777065186</v>
          </cell>
          <cell r="G44">
            <v>0.11025000777065186</v>
          </cell>
        </row>
        <row r="47">
          <cell r="A47" t="str">
            <v>US By Subsegment (PB per Month)</v>
          </cell>
          <cell r="B47">
            <v>2890.6550805771644</v>
          </cell>
          <cell r="C47">
            <v>4349.0316751527389</v>
          </cell>
          <cell r="D47">
            <v>5657.2270182592956</v>
          </cell>
          <cell r="E47">
            <v>7031.2498727224311</v>
          </cell>
          <cell r="F47">
            <v>8311.8834381911238</v>
          </cell>
          <cell r="G47">
            <v>10209.915688260911</v>
          </cell>
          <cell r="H47">
            <v>0.28707891698489285</v>
          </cell>
        </row>
        <row r="48">
          <cell r="A48" t="str">
            <v>Total US Residential BB Subs (M)</v>
          </cell>
          <cell r="B48">
            <v>71.428043545595983</v>
          </cell>
          <cell r="C48">
            <v>72.803202778573578</v>
          </cell>
          <cell r="D48">
            <v>74.790532105880871</v>
          </cell>
          <cell r="E48">
            <v>75.449067469188265</v>
          </cell>
          <cell r="F48">
            <v>76.781666962756361</v>
          </cell>
          <cell r="G48">
            <v>77.865921155857947</v>
          </cell>
          <cell r="H48">
            <v>1.740937274555554E-2</v>
          </cell>
        </row>
        <row r="49">
          <cell r="A49" t="str">
            <v>Average traffic per sub per mo (GB)</v>
          </cell>
          <cell r="B49">
            <v>40.469470212101207</v>
          </cell>
          <cell r="C49">
            <v>59.736818013076274</v>
          </cell>
          <cell r="D49">
            <v>75.640951587967919</v>
          </cell>
          <cell r="E49">
            <v>93.192004998522194</v>
          </cell>
          <cell r="F49">
            <v>108.2534902794293</v>
          </cell>
          <cell r="G49">
            <v>131.12174795729373</v>
          </cell>
          <cell r="H49">
            <v>0.26505510118470177</v>
          </cell>
        </row>
      </sheetData>
      <sheetData sheetId="2">
        <row r="2">
          <cell r="B2">
            <v>744</v>
          </cell>
          <cell r="C2">
            <v>0.81489594742606786</v>
          </cell>
        </row>
        <row r="3">
          <cell r="B3">
            <v>151</v>
          </cell>
          <cell r="C3">
            <v>0.16538882803943045</v>
          </cell>
        </row>
        <row r="4">
          <cell r="B4">
            <v>18</v>
          </cell>
          <cell r="C4">
            <v>1.9715224534501644E-2</v>
          </cell>
          <cell r="E4" t="str">
            <v>GLBC Premium Analysis</v>
          </cell>
        </row>
        <row r="5">
          <cell r="B5">
            <v>913</v>
          </cell>
          <cell r="E5" t="str">
            <v>$ in millions</v>
          </cell>
        </row>
        <row r="7">
          <cell r="E7" t="str">
            <v>2011E EBITDA (consensus @ 4/8/11)</v>
          </cell>
          <cell r="F7">
            <v>431</v>
          </cell>
        </row>
        <row r="8">
          <cell r="E8" t="str">
            <v>EV/EBITDA (4/8/11)</v>
          </cell>
          <cell r="F8">
            <v>4.5999999999999996</v>
          </cell>
        </row>
        <row r="9">
          <cell r="E9" t="str">
            <v>EV/EBITDA (implied deal valuation)</v>
          </cell>
          <cell r="F9">
            <v>7</v>
          </cell>
        </row>
        <row r="10">
          <cell r="E10" t="str">
            <v xml:space="preserve">Implied premium </v>
          </cell>
          <cell r="F10">
            <v>2.4000000000000004</v>
          </cell>
        </row>
        <row r="11">
          <cell r="E11" t="str">
            <v>Implied premium ($)</v>
          </cell>
          <cell r="F11">
            <v>1034.4000000000001</v>
          </cell>
        </row>
        <row r="13">
          <cell r="E13" t="str">
            <v>NPV of estimated synergies</v>
          </cell>
          <cell r="F13">
            <v>2500</v>
          </cell>
        </row>
        <row r="14">
          <cell r="E14" t="str">
            <v>% of implied premium</v>
          </cell>
          <cell r="F14">
            <v>2.4168600154679041</v>
          </cell>
        </row>
      </sheetData>
      <sheetData sheetId="3">
        <row r="3">
          <cell r="D3">
            <v>2012</v>
          </cell>
          <cell r="E3">
            <v>2013</v>
          </cell>
          <cell r="F3">
            <v>2014</v>
          </cell>
          <cell r="G3">
            <v>2015</v>
          </cell>
          <cell r="H3">
            <v>2016</v>
          </cell>
          <cell r="I3">
            <v>2017</v>
          </cell>
          <cell r="J3">
            <v>2018</v>
          </cell>
          <cell r="K3">
            <v>2019</v>
          </cell>
        </row>
        <row r="4">
          <cell r="B4" t="str">
            <v>Senior Secured Term Loan (2014)</v>
          </cell>
          <cell r="C4">
            <v>2.75E-2</v>
          </cell>
          <cell r="F4">
            <v>1680</v>
          </cell>
        </row>
        <row r="5">
          <cell r="B5" t="str">
            <v>Senior Secured Term Loan (2018)</v>
          </cell>
          <cell r="C5">
            <v>5.7500000000000002E-2</v>
          </cell>
          <cell r="J5">
            <v>650</v>
          </cell>
        </row>
        <row r="6">
          <cell r="B6" t="str">
            <v>Senior Notes (9.25%)</v>
          </cell>
          <cell r="C6">
            <v>9.2499999999999999E-2</v>
          </cell>
          <cell r="F6">
            <v>807</v>
          </cell>
        </row>
        <row r="7">
          <cell r="B7" t="str">
            <v>Senior Notes (8.75%)</v>
          </cell>
          <cell r="C7">
            <v>8.7499999999999994E-2</v>
          </cell>
          <cell r="I7">
            <v>700</v>
          </cell>
        </row>
        <row r="8">
          <cell r="B8" t="str">
            <v>Senior Notes (10.0%)</v>
          </cell>
          <cell r="C8">
            <v>0.1</v>
          </cell>
          <cell r="J8">
            <v>640</v>
          </cell>
        </row>
        <row r="9">
          <cell r="B9" t="str">
            <v>Senior Notes (11.875%)</v>
          </cell>
          <cell r="C9">
            <v>0.11874999999999999</v>
          </cell>
          <cell r="K9">
            <v>605</v>
          </cell>
        </row>
        <row r="10">
          <cell r="B10" t="str">
            <v>Senior Notes (9.375%)</v>
          </cell>
          <cell r="C10">
            <v>9.375E-2</v>
          </cell>
          <cell r="K10">
            <v>500</v>
          </cell>
        </row>
        <row r="11">
          <cell r="B11" t="str">
            <v>Senior Notes (8.125%)</v>
          </cell>
          <cell r="C11">
            <v>8.1250000000000003E-2</v>
          </cell>
          <cell r="K11">
            <v>600</v>
          </cell>
        </row>
        <row r="12">
          <cell r="B12" t="str">
            <v>Senior Notes (8.125%)</v>
          </cell>
          <cell r="C12">
            <v>8.1250000000000003E-2</v>
          </cell>
          <cell r="K12">
            <v>600</v>
          </cell>
        </row>
        <row r="13">
          <cell r="B13" t="str">
            <v>Floating Rate Senior Notes (4.215% as of 6/30/11)</v>
          </cell>
          <cell r="C13">
            <v>4.215E-2</v>
          </cell>
          <cell r="G13">
            <v>300</v>
          </cell>
        </row>
        <row r="14">
          <cell r="B14" t="str">
            <v>Convertible Senior Notes (3.5%)</v>
          </cell>
          <cell r="C14">
            <v>3.5000000000000003E-2</v>
          </cell>
          <cell r="D14">
            <v>294</v>
          </cell>
        </row>
        <row r="15">
          <cell r="B15" t="str">
            <v>Convertible Senior Notes (15.0%)</v>
          </cell>
          <cell r="C15">
            <v>0.15</v>
          </cell>
          <cell r="E15">
            <v>272</v>
          </cell>
        </row>
        <row r="16">
          <cell r="B16" t="str">
            <v>Convertible Senior Notes (7.0%)</v>
          </cell>
          <cell r="C16">
            <v>7.0000000000000007E-2</v>
          </cell>
          <cell r="G16">
            <v>200</v>
          </cell>
        </row>
        <row r="17">
          <cell r="B17" t="str">
            <v>Convertible Senior Notes Series B (7.0%)</v>
          </cell>
          <cell r="C17">
            <v>7.0000000000000007E-2</v>
          </cell>
          <cell r="G17">
            <v>275</v>
          </cell>
        </row>
        <row r="18">
          <cell r="B18" t="str">
            <v>Convertible Senior Notes (6.5%)</v>
          </cell>
          <cell r="C18">
            <v>6.5000000000000002E-2</v>
          </cell>
          <cell r="H18">
            <v>201</v>
          </cell>
        </row>
        <row r="19">
          <cell r="D19">
            <v>294</v>
          </cell>
          <cell r="E19">
            <v>272</v>
          </cell>
          <cell r="F19">
            <v>2487</v>
          </cell>
          <cell r="G19">
            <v>775</v>
          </cell>
          <cell r="H19">
            <v>201</v>
          </cell>
          <cell r="I19">
            <v>700</v>
          </cell>
          <cell r="J19">
            <v>1290</v>
          </cell>
          <cell r="K19">
            <v>2305</v>
          </cell>
          <cell r="L19">
            <v>8324</v>
          </cell>
        </row>
        <row r="20">
          <cell r="B20" t="str">
            <v>WACC (each year)</v>
          </cell>
          <cell r="D20">
            <v>3.5000000000000003E-2</v>
          </cell>
          <cell r="E20">
            <v>0.15</v>
          </cell>
          <cell r="F20">
            <v>4.8591676718938479E-2</v>
          </cell>
          <cell r="G20">
            <v>5.9219354838709694E-2</v>
          </cell>
          <cell r="H20">
            <v>6.5000000000000002E-2</v>
          </cell>
          <cell r="I20">
            <v>8.7499999999999994E-2</v>
          </cell>
          <cell r="J20">
            <v>7.8585271317829455E-2</v>
          </cell>
          <cell r="K20">
            <v>9.3804229934924072E-2</v>
          </cell>
        </row>
        <row r="21">
          <cell r="B21" t="str">
            <v>WACC (total)</v>
          </cell>
          <cell r="L21">
            <v>7.325099111004324E-2</v>
          </cell>
        </row>
        <row r="23">
          <cell r="F23">
            <v>807</v>
          </cell>
          <cell r="I23">
            <v>700</v>
          </cell>
          <cell r="J23">
            <v>640</v>
          </cell>
          <cell r="K23">
            <v>2305</v>
          </cell>
          <cell r="L23">
            <v>4452</v>
          </cell>
        </row>
        <row r="24">
          <cell r="F24">
            <v>9.2499999999999999E-2</v>
          </cell>
          <cell r="I24">
            <v>8.7499999999999994E-2</v>
          </cell>
          <cell r="J24">
            <v>0.1</v>
          </cell>
          <cell r="K24">
            <v>9.3804229934924072E-2</v>
          </cell>
        </row>
        <row r="25">
          <cell r="L25">
            <v>9.3467261904761886E-2</v>
          </cell>
        </row>
        <row r="28">
          <cell r="B28" t="str">
            <v>Current (1)</v>
          </cell>
        </row>
        <row r="29">
          <cell r="B29" t="str">
            <v>Total Debt @ 6/30/11</v>
          </cell>
          <cell r="C29">
            <v>8324</v>
          </cell>
        </row>
        <row r="30">
          <cell r="B30" t="str">
            <v>Debt Cost (2)</v>
          </cell>
          <cell r="C30">
            <v>9.3467261904761886E-2</v>
          </cell>
        </row>
        <row r="31">
          <cell r="B31" t="str">
            <v>Implied Annual Interest Expense</v>
          </cell>
          <cell r="C31">
            <v>778.02148809523794</v>
          </cell>
        </row>
        <row r="33">
          <cell r="B33" t="str">
            <v>Cost of Debt Less 50 bps</v>
          </cell>
        </row>
        <row r="34">
          <cell r="B34" t="str">
            <v>Debt Cost (less 50 bps)</v>
          </cell>
          <cell r="C34">
            <v>8.8467261904761882E-2</v>
          </cell>
        </row>
        <row r="35">
          <cell r="B35" t="str">
            <v>Implied Annual Interest Expense (less 50 bps)</v>
          </cell>
          <cell r="C35">
            <v>736.40148809523794</v>
          </cell>
        </row>
        <row r="36">
          <cell r="B36" t="str">
            <v>Implied Interest Expense Savings</v>
          </cell>
          <cell r="C36">
            <v>41.620000000000005</v>
          </cell>
        </row>
        <row r="38">
          <cell r="B38" t="str">
            <v>Cost of Debt Less 100 bps</v>
          </cell>
        </row>
        <row r="39">
          <cell r="B39" t="str">
            <v>Debt Cost (less 100 bps)</v>
          </cell>
          <cell r="C39">
            <v>8.3467261904761891E-2</v>
          </cell>
        </row>
        <row r="40">
          <cell r="B40" t="str">
            <v>Implied Annual Interest Expense (less 100 bps)</v>
          </cell>
          <cell r="C40">
            <v>694.78148809523793</v>
          </cell>
        </row>
        <row r="41">
          <cell r="B41" t="str">
            <v>Implied Interest Expense Savings</v>
          </cell>
          <cell r="C41">
            <v>83.240000000000009</v>
          </cell>
        </row>
        <row r="43">
          <cell r="B43" t="str">
            <v>(1) Pro-forma for recent debt issuances by LVLT to refinance GLBC debt</v>
          </cell>
        </row>
        <row r="44">
          <cell r="B44" t="str">
            <v>(2) Average debt cost for LVLT's PF fixed rate senior notes at 6/30/11</v>
          </cell>
        </row>
        <row r="49">
          <cell r="B49" t="str">
            <v>Current (1)</v>
          </cell>
        </row>
        <row r="50">
          <cell r="B50" t="str">
            <v>Total Debt @ 6/30/11</v>
          </cell>
          <cell r="C50">
            <v>8324</v>
          </cell>
        </row>
        <row r="51">
          <cell r="B51" t="str">
            <v>WACC @ 6/30/11</v>
          </cell>
          <cell r="C51">
            <v>7.325099111004324E-2</v>
          </cell>
        </row>
        <row r="52">
          <cell r="B52" t="str">
            <v>Annual Interest Expense</v>
          </cell>
          <cell r="C52">
            <v>609.74124999999992</v>
          </cell>
        </row>
        <row r="54">
          <cell r="B54" t="str">
            <v>Cost of Debt Less 50 bps</v>
          </cell>
        </row>
        <row r="55">
          <cell r="B55" t="str">
            <v>WACC (less 50 bps)</v>
          </cell>
          <cell r="C55">
            <v>6.8250991110043235E-2</v>
          </cell>
        </row>
        <row r="56">
          <cell r="B56" t="str">
            <v>Annual Interest Expense (less 50 bps)</v>
          </cell>
          <cell r="C56">
            <v>568.12124999999992</v>
          </cell>
        </row>
        <row r="57">
          <cell r="B57" t="str">
            <v>Interest Expense Savings</v>
          </cell>
          <cell r="C57">
            <v>-41.620000000000005</v>
          </cell>
        </row>
        <row r="59">
          <cell r="B59" t="str">
            <v>Cost of Debt Less 100 bps</v>
          </cell>
        </row>
        <row r="60">
          <cell r="B60" t="str">
            <v>WACC (less 100 bps)</v>
          </cell>
          <cell r="C60">
            <v>6.3250991110043245E-2</v>
          </cell>
        </row>
        <row r="61">
          <cell r="B61" t="str">
            <v>Annual Interest Expense (less 100 bps)</v>
          </cell>
          <cell r="C61">
            <v>526.50124999999991</v>
          </cell>
        </row>
        <row r="62">
          <cell r="B62" t="str">
            <v>Interest Expense Savings</v>
          </cell>
          <cell r="C62">
            <v>-83.240000000000009</v>
          </cell>
        </row>
        <row r="64">
          <cell r="B64" t="str">
            <v>(1) Pro-forma for recent debt issuances by LVLT to refinance GLBC debt</v>
          </cell>
        </row>
      </sheetData>
      <sheetData sheetId="4">
        <row r="4">
          <cell r="B4" t="str">
            <v>FY 2011 Guidance - LVLT (1)</v>
          </cell>
        </row>
        <row r="5">
          <cell r="B5" t="str">
            <v>Revenue</v>
          </cell>
          <cell r="C5" t="str">
            <v>"Sequential revenue growth" (1% - 2%)</v>
          </cell>
        </row>
        <row r="6">
          <cell r="B6" t="str">
            <v>EBITDA</v>
          </cell>
          <cell r="C6" t="str">
            <v>"low double-digit" growth compared to 2010</v>
          </cell>
        </row>
        <row r="7">
          <cell r="B7" t="str">
            <v>Capex</v>
          </cell>
          <cell r="C7" t="str">
            <v>"12% of communications revenue"</v>
          </cell>
        </row>
        <row r="8">
          <cell r="B8" t="str">
            <v>FCF</v>
          </cell>
          <cell r="C8" t="str">
            <v>"breakeven for last 3 quarters of 2011 in aggregate"</v>
          </cell>
        </row>
        <row r="10">
          <cell r="B10" t="str">
            <v>FY 2011 Guidance - GLBC</v>
          </cell>
        </row>
        <row r="11">
          <cell r="B11" t="str">
            <v>Revenue</v>
          </cell>
          <cell r="C11" t="str">
            <v>$2,765M - $2,845M (approx 6% to 9%" from 2010)</v>
          </cell>
          <cell r="E11">
            <v>2609</v>
          </cell>
          <cell r="F11">
            <v>0.06</v>
          </cell>
          <cell r="G11">
            <v>2765.54</v>
          </cell>
        </row>
        <row r="12">
          <cell r="B12" t="str">
            <v>OIBIDA</v>
          </cell>
          <cell r="C12" t="str">
            <v>"grow to roughly $425M" at 7.5% revenue growth</v>
          </cell>
          <cell r="F12">
            <v>0.09</v>
          </cell>
          <cell r="G12">
            <v>2843.8100000000004</v>
          </cell>
        </row>
        <row r="13">
          <cell r="B13" t="str">
            <v>Opex</v>
          </cell>
          <cell r="C13" t="str">
            <v>"approx $20 million in higher opex" relative to 2010</v>
          </cell>
        </row>
        <row r="14">
          <cell r="B14" t="str">
            <v>Capex</v>
          </cell>
          <cell r="C14" t="str">
            <v>"approx 10% of invest and grow revenue"</v>
          </cell>
        </row>
        <row r="15">
          <cell r="B15" t="str">
            <v>FCF</v>
          </cell>
          <cell r="C15" t="str">
            <v>positive FCF in 2011</v>
          </cell>
        </row>
      </sheetData>
      <sheetData sheetId="5">
        <row r="2">
          <cell r="C2" t="str">
            <v>11.875% senior unsecured</v>
          </cell>
        </row>
        <row r="3">
          <cell r="C3" t="str">
            <v>52729NBS</v>
          </cell>
          <cell r="D3" t="str">
            <v>527298AM</v>
          </cell>
        </row>
        <row r="4">
          <cell r="B4">
            <v>40767</v>
          </cell>
          <cell r="C4">
            <v>11.620000000000001</v>
          </cell>
          <cell r="D4">
            <v>9.516</v>
          </cell>
        </row>
        <row r="5">
          <cell r="B5">
            <v>40766</v>
          </cell>
          <cell r="C5">
            <v>12.394</v>
          </cell>
          <cell r="D5">
            <v>9.609</v>
          </cell>
        </row>
        <row r="6">
          <cell r="B6">
            <v>40765</v>
          </cell>
          <cell r="C6">
            <v>11.682</v>
          </cell>
          <cell r="D6">
            <v>9.3780000000000001</v>
          </cell>
        </row>
        <row r="7">
          <cell r="B7">
            <v>40764</v>
          </cell>
          <cell r="C7">
            <v>11.495000000000001</v>
          </cell>
          <cell r="D7">
            <v>9.4239999999999995</v>
          </cell>
        </row>
        <row r="8">
          <cell r="B8">
            <v>40763</v>
          </cell>
          <cell r="C8">
            <v>11.248000000000001</v>
          </cell>
          <cell r="D8">
            <v>9.4239999999999995</v>
          </cell>
        </row>
        <row r="9">
          <cell r="B9">
            <v>40762</v>
          </cell>
          <cell r="C9">
            <v>10.292</v>
          </cell>
          <cell r="D9">
            <v>8.3610000000000007</v>
          </cell>
        </row>
        <row r="10">
          <cell r="B10">
            <v>40761</v>
          </cell>
          <cell r="C10">
            <v>10.292</v>
          </cell>
          <cell r="D10">
            <v>8.3610000000000007</v>
          </cell>
        </row>
        <row r="11">
          <cell r="B11">
            <v>40760</v>
          </cell>
          <cell r="C11">
            <v>10.292</v>
          </cell>
          <cell r="D11">
            <v>8.3610000000000007</v>
          </cell>
        </row>
        <row r="12">
          <cell r="B12">
            <v>40759</v>
          </cell>
          <cell r="C12">
            <v>10.061</v>
          </cell>
          <cell r="D12">
            <v>7.5110000000000001</v>
          </cell>
        </row>
        <row r="13">
          <cell r="B13">
            <v>40758</v>
          </cell>
          <cell r="C13">
            <v>9.8320000000000007</v>
          </cell>
          <cell r="D13">
            <v>6.9889999999999999</v>
          </cell>
        </row>
        <row r="14">
          <cell r="B14">
            <v>40757</v>
          </cell>
          <cell r="C14">
            <v>9.6910000000000007</v>
          </cell>
          <cell r="D14">
            <v>6.8900000000000006</v>
          </cell>
        </row>
        <row r="15">
          <cell r="B15">
            <v>40756</v>
          </cell>
          <cell r="C15">
            <v>9.495000000000001</v>
          </cell>
          <cell r="D15">
            <v>6.843</v>
          </cell>
        </row>
        <row r="16">
          <cell r="B16">
            <v>40755</v>
          </cell>
          <cell r="C16">
            <v>9.609</v>
          </cell>
          <cell r="D16">
            <v>6.8529999999999998</v>
          </cell>
        </row>
        <row r="17">
          <cell r="B17">
            <v>40754</v>
          </cell>
          <cell r="C17">
            <v>9.609</v>
          </cell>
          <cell r="D17">
            <v>6.8529999999999998</v>
          </cell>
        </row>
        <row r="18">
          <cell r="B18">
            <v>40753</v>
          </cell>
          <cell r="C18">
            <v>9.609</v>
          </cell>
          <cell r="D18">
            <v>6.8529999999999998</v>
          </cell>
        </row>
        <row r="19">
          <cell r="B19">
            <v>40752</v>
          </cell>
          <cell r="C19">
            <v>9.5820000000000007</v>
          </cell>
          <cell r="D19">
            <v>6.9089999999999998</v>
          </cell>
        </row>
        <row r="20">
          <cell r="B20">
            <v>40751</v>
          </cell>
          <cell r="C20">
            <v>9.4979999999999993</v>
          </cell>
          <cell r="D20">
            <v>6.9139999999999997</v>
          </cell>
        </row>
        <row r="21">
          <cell r="B21">
            <v>40750</v>
          </cell>
          <cell r="C21">
            <v>9.4990000000000006</v>
          </cell>
          <cell r="D21">
            <v>6.7540000000000004</v>
          </cell>
        </row>
        <row r="22">
          <cell r="B22">
            <v>40749</v>
          </cell>
          <cell r="C22">
            <v>9.4719999999999995</v>
          </cell>
          <cell r="D22">
            <v>6.7770000000000001</v>
          </cell>
        </row>
        <row r="23">
          <cell r="B23">
            <v>40748</v>
          </cell>
          <cell r="C23">
            <v>9.3919999999999995</v>
          </cell>
          <cell r="D23">
            <v>5.9560000000000004</v>
          </cell>
        </row>
        <row r="24">
          <cell r="B24">
            <v>40747</v>
          </cell>
          <cell r="C24">
            <v>9.3919999999999995</v>
          </cell>
          <cell r="D24">
            <v>5.9560000000000004</v>
          </cell>
        </row>
        <row r="25">
          <cell r="B25">
            <v>40746</v>
          </cell>
          <cell r="C25">
            <v>9.3919999999999995</v>
          </cell>
          <cell r="D25">
            <v>5.9560000000000004</v>
          </cell>
        </row>
        <row r="26">
          <cell r="B26">
            <v>40745</v>
          </cell>
          <cell r="C26">
            <v>9.3650000000000002</v>
          </cell>
          <cell r="D26">
            <v>5.9859999999999998</v>
          </cell>
        </row>
        <row r="27">
          <cell r="B27">
            <v>40744</v>
          </cell>
          <cell r="C27">
            <v>9.3930000000000007</v>
          </cell>
          <cell r="D27">
            <v>6.0150000000000006</v>
          </cell>
        </row>
        <row r="28">
          <cell r="B28">
            <v>40743</v>
          </cell>
          <cell r="C28">
            <v>9.5329999999999995</v>
          </cell>
          <cell r="D28">
            <v>6.952</v>
          </cell>
        </row>
        <row r="29">
          <cell r="B29">
            <v>40742</v>
          </cell>
          <cell r="C29">
            <v>9.5060000000000002</v>
          </cell>
          <cell r="D29">
            <v>6.5</v>
          </cell>
        </row>
        <row r="30">
          <cell r="B30">
            <v>40741</v>
          </cell>
          <cell r="C30">
            <v>9.4529999999999994</v>
          </cell>
          <cell r="D30">
            <v>6.9710000000000001</v>
          </cell>
        </row>
        <row r="31">
          <cell r="B31">
            <v>40740</v>
          </cell>
          <cell r="C31">
            <v>9.4529999999999994</v>
          </cell>
          <cell r="D31">
            <v>6.9710000000000001</v>
          </cell>
        </row>
        <row r="32">
          <cell r="B32">
            <v>40739</v>
          </cell>
          <cell r="C32">
            <v>9.4529999999999994</v>
          </cell>
          <cell r="D32">
            <v>6.9710000000000001</v>
          </cell>
        </row>
        <row r="33">
          <cell r="B33">
            <v>40738</v>
          </cell>
          <cell r="C33">
            <v>9.4540000000000006</v>
          </cell>
          <cell r="D33">
            <v>6.5940000000000003</v>
          </cell>
        </row>
        <row r="34">
          <cell r="B34">
            <v>40737</v>
          </cell>
          <cell r="C34">
            <v>9.51</v>
          </cell>
          <cell r="D34">
            <v>6.6160000000000005</v>
          </cell>
        </row>
        <row r="35">
          <cell r="B35">
            <v>40736</v>
          </cell>
          <cell r="C35">
            <v>9.5660000000000007</v>
          </cell>
          <cell r="D35">
            <v>7.2860000000000005</v>
          </cell>
        </row>
        <row r="36">
          <cell r="B36">
            <v>40735</v>
          </cell>
          <cell r="C36">
            <v>9.4559999999999995</v>
          </cell>
          <cell r="D36">
            <v>7.0890000000000004</v>
          </cell>
        </row>
        <row r="37">
          <cell r="B37">
            <v>40734</v>
          </cell>
          <cell r="C37">
            <v>9.2940000000000005</v>
          </cell>
          <cell r="D37">
            <v>6.7229999999999999</v>
          </cell>
        </row>
        <row r="38">
          <cell r="B38">
            <v>40733</v>
          </cell>
          <cell r="C38">
            <v>9.2940000000000005</v>
          </cell>
          <cell r="D38">
            <v>6.7229999999999999</v>
          </cell>
        </row>
        <row r="39">
          <cell r="B39">
            <v>40732</v>
          </cell>
          <cell r="C39">
            <v>9.2940000000000005</v>
          </cell>
          <cell r="D39">
            <v>6.7229999999999999</v>
          </cell>
        </row>
        <row r="40">
          <cell r="B40">
            <v>40731</v>
          </cell>
          <cell r="C40">
            <v>9.4600000000000009</v>
          </cell>
          <cell r="D40">
            <v>6.7430000000000003</v>
          </cell>
        </row>
        <row r="41">
          <cell r="B41">
            <v>40730</v>
          </cell>
          <cell r="C41">
            <v>9.7110000000000003</v>
          </cell>
          <cell r="D41">
            <v>7.21</v>
          </cell>
        </row>
        <row r="42">
          <cell r="B42">
            <v>40729</v>
          </cell>
          <cell r="C42">
            <v>9.6549999999999994</v>
          </cell>
          <cell r="D42">
            <v>6.7830000000000004</v>
          </cell>
        </row>
        <row r="43">
          <cell r="B43">
            <v>40728</v>
          </cell>
          <cell r="C43">
            <v>9.6840000000000011</v>
          </cell>
          <cell r="D43">
            <v>6.923</v>
          </cell>
        </row>
        <row r="44">
          <cell r="B44">
            <v>40727</v>
          </cell>
          <cell r="C44">
            <v>9.6859999999999999</v>
          </cell>
          <cell r="D44">
            <v>6.9370000000000003</v>
          </cell>
        </row>
        <row r="45">
          <cell r="B45">
            <v>40726</v>
          </cell>
          <cell r="C45">
            <v>9.6859999999999999</v>
          </cell>
          <cell r="D45">
            <v>6.9370000000000003</v>
          </cell>
        </row>
        <row r="46">
          <cell r="B46">
            <v>40725</v>
          </cell>
          <cell r="C46">
            <v>9.6859999999999999</v>
          </cell>
          <cell r="D46">
            <v>6.9370000000000003</v>
          </cell>
        </row>
        <row r="47">
          <cell r="B47">
            <v>40724</v>
          </cell>
          <cell r="C47">
            <v>9.9960000000000004</v>
          </cell>
          <cell r="D47">
            <v>6.9409999999999998</v>
          </cell>
        </row>
        <row r="48">
          <cell r="B48">
            <v>40723</v>
          </cell>
          <cell r="C48">
            <v>10.025</v>
          </cell>
          <cell r="D48">
            <v>6.9950000000000001</v>
          </cell>
        </row>
        <row r="49">
          <cell r="B49">
            <v>40722</v>
          </cell>
          <cell r="C49">
            <v>10.197000000000001</v>
          </cell>
          <cell r="D49">
            <v>6.9990000000000006</v>
          </cell>
        </row>
        <row r="50">
          <cell r="B50">
            <v>40721</v>
          </cell>
          <cell r="C50">
            <v>10.14</v>
          </cell>
          <cell r="D50">
            <v>7.0520000000000005</v>
          </cell>
        </row>
        <row r="51">
          <cell r="B51">
            <v>40720</v>
          </cell>
          <cell r="C51">
            <v>9.8879999999999999</v>
          </cell>
          <cell r="D51">
            <v>6.6310000000000002</v>
          </cell>
        </row>
        <row r="52">
          <cell r="B52">
            <v>40719</v>
          </cell>
          <cell r="C52">
            <v>9.8879999999999999</v>
          </cell>
          <cell r="D52">
            <v>6.6310000000000002</v>
          </cell>
        </row>
        <row r="53">
          <cell r="B53">
            <v>40718</v>
          </cell>
          <cell r="C53">
            <v>9.8879999999999999</v>
          </cell>
          <cell r="D53">
            <v>6.6310000000000002</v>
          </cell>
        </row>
        <row r="54">
          <cell r="B54">
            <v>40717</v>
          </cell>
          <cell r="C54">
            <v>9.8879999999999999</v>
          </cell>
          <cell r="D54">
            <v>6.65</v>
          </cell>
        </row>
        <row r="55">
          <cell r="B55">
            <v>40716</v>
          </cell>
          <cell r="C55">
            <v>9.8889999999999993</v>
          </cell>
          <cell r="D55">
            <v>6.6690000000000005</v>
          </cell>
        </row>
        <row r="56">
          <cell r="B56">
            <v>40715</v>
          </cell>
          <cell r="C56">
            <v>10.087</v>
          </cell>
          <cell r="D56">
            <v>6.8860000000000001</v>
          </cell>
        </row>
        <row r="57">
          <cell r="B57">
            <v>40714</v>
          </cell>
          <cell r="C57">
            <v>9.947000000000001</v>
          </cell>
          <cell r="D57">
            <v>7.0819999999999999</v>
          </cell>
        </row>
        <row r="58">
          <cell r="B58">
            <v>40713</v>
          </cell>
          <cell r="C58">
            <v>9.9209999999999994</v>
          </cell>
          <cell r="D58">
            <v>7.0949999999999998</v>
          </cell>
        </row>
        <row r="59">
          <cell r="B59">
            <v>40712</v>
          </cell>
          <cell r="C59">
            <v>9.9209999999999994</v>
          </cell>
          <cell r="D59">
            <v>7.0949999999999998</v>
          </cell>
        </row>
        <row r="60">
          <cell r="B60">
            <v>40711</v>
          </cell>
          <cell r="C60">
            <v>9.9209999999999994</v>
          </cell>
          <cell r="D60">
            <v>7.0949999999999998</v>
          </cell>
        </row>
        <row r="61">
          <cell r="B61">
            <v>40710</v>
          </cell>
          <cell r="C61">
            <v>9.9209999999999994</v>
          </cell>
          <cell r="D61">
            <v>7.1000000000000005</v>
          </cell>
        </row>
        <row r="62">
          <cell r="B62">
            <v>40709</v>
          </cell>
          <cell r="C62">
            <v>9.7550000000000008</v>
          </cell>
          <cell r="D62">
            <v>7.0090000000000003</v>
          </cell>
        </row>
        <row r="63">
          <cell r="B63">
            <v>40708</v>
          </cell>
          <cell r="C63">
            <v>9.7829999999999995</v>
          </cell>
          <cell r="D63">
            <v>6.9190000000000005</v>
          </cell>
        </row>
        <row r="64">
          <cell r="B64">
            <v>40707</v>
          </cell>
          <cell r="C64">
            <v>9.84</v>
          </cell>
          <cell r="D64">
            <v>7.1120000000000001</v>
          </cell>
        </row>
        <row r="65">
          <cell r="B65">
            <v>40706</v>
          </cell>
          <cell r="C65">
            <v>9.8140000000000001</v>
          </cell>
          <cell r="D65">
            <v>6.843</v>
          </cell>
        </row>
        <row r="66">
          <cell r="B66">
            <v>40705</v>
          </cell>
          <cell r="C66">
            <v>9.8140000000000001</v>
          </cell>
          <cell r="D66">
            <v>6.843</v>
          </cell>
        </row>
        <row r="67">
          <cell r="B67">
            <v>40704</v>
          </cell>
          <cell r="C67">
            <v>9.8140000000000001</v>
          </cell>
          <cell r="D67">
            <v>6.843</v>
          </cell>
        </row>
        <row r="68">
          <cell r="B68">
            <v>40703</v>
          </cell>
          <cell r="C68">
            <v>9.843</v>
          </cell>
          <cell r="D68">
            <v>7.1290000000000004</v>
          </cell>
        </row>
        <row r="69">
          <cell r="B69">
            <v>40702</v>
          </cell>
          <cell r="C69">
            <v>9.76</v>
          </cell>
          <cell r="D69">
            <v>7.133</v>
          </cell>
        </row>
        <row r="70">
          <cell r="B70">
            <v>40701</v>
          </cell>
          <cell r="C70">
            <v>9.6229999999999993</v>
          </cell>
          <cell r="D70">
            <v>6.95</v>
          </cell>
        </row>
        <row r="71">
          <cell r="B71">
            <v>40700</v>
          </cell>
          <cell r="C71">
            <v>9.5960000000000001</v>
          </cell>
          <cell r="D71">
            <v>6.9550000000000001</v>
          </cell>
        </row>
        <row r="72">
          <cell r="B72">
            <v>40699</v>
          </cell>
          <cell r="C72">
            <v>9.5990000000000002</v>
          </cell>
          <cell r="D72">
            <v>6.968</v>
          </cell>
        </row>
        <row r="73">
          <cell r="B73">
            <v>40698</v>
          </cell>
          <cell r="C73">
            <v>9.5990000000000002</v>
          </cell>
          <cell r="D73">
            <v>6.968</v>
          </cell>
        </row>
        <row r="74">
          <cell r="B74">
            <v>40697</v>
          </cell>
          <cell r="C74">
            <v>9.5990000000000002</v>
          </cell>
          <cell r="D74">
            <v>6.968</v>
          </cell>
        </row>
        <row r="75">
          <cell r="B75">
            <v>40696</v>
          </cell>
          <cell r="C75">
            <v>9.463000000000001</v>
          </cell>
          <cell r="D75">
            <v>6.88</v>
          </cell>
        </row>
        <row r="76">
          <cell r="B76">
            <v>40695</v>
          </cell>
          <cell r="C76">
            <v>9.3550000000000004</v>
          </cell>
          <cell r="D76">
            <v>6.7140000000000004</v>
          </cell>
        </row>
        <row r="77">
          <cell r="B77">
            <v>40694</v>
          </cell>
          <cell r="C77">
            <v>9.3830000000000009</v>
          </cell>
          <cell r="D77">
            <v>6.9809999999999999</v>
          </cell>
        </row>
        <row r="78">
          <cell r="B78">
            <v>40693</v>
          </cell>
          <cell r="C78">
            <v>9.4369999999999994</v>
          </cell>
          <cell r="D78">
            <v>6.9809999999999999</v>
          </cell>
        </row>
        <row r="79">
          <cell r="B79">
            <v>40692</v>
          </cell>
          <cell r="C79">
            <v>9.44</v>
          </cell>
          <cell r="D79">
            <v>6.9939999999999998</v>
          </cell>
        </row>
        <row r="80">
          <cell r="B80">
            <v>40691</v>
          </cell>
          <cell r="C80">
            <v>9.44</v>
          </cell>
          <cell r="D80">
            <v>6.9939999999999998</v>
          </cell>
        </row>
        <row r="81">
          <cell r="B81">
            <v>40690</v>
          </cell>
          <cell r="C81">
            <v>9.44</v>
          </cell>
          <cell r="D81">
            <v>6.9939999999999998</v>
          </cell>
        </row>
        <row r="82">
          <cell r="B82">
            <v>40689</v>
          </cell>
          <cell r="C82">
            <v>9.36</v>
          </cell>
          <cell r="D82">
            <v>7.09</v>
          </cell>
        </row>
        <row r="83">
          <cell r="B83">
            <v>40688</v>
          </cell>
          <cell r="C83">
            <v>9.4150000000000009</v>
          </cell>
          <cell r="D83">
            <v>6.9110000000000005</v>
          </cell>
        </row>
        <row r="84">
          <cell r="B84">
            <v>40687</v>
          </cell>
          <cell r="C84">
            <v>9.2539999999999996</v>
          </cell>
          <cell r="D84">
            <v>6.8239999999999998</v>
          </cell>
        </row>
        <row r="85">
          <cell r="B85">
            <v>40686</v>
          </cell>
          <cell r="C85">
            <v>9.39</v>
          </cell>
          <cell r="D85">
            <v>7.0110000000000001</v>
          </cell>
        </row>
        <row r="86">
          <cell r="B86">
            <v>40685</v>
          </cell>
          <cell r="C86">
            <v>9.2309999999999999</v>
          </cell>
          <cell r="D86">
            <v>6.843</v>
          </cell>
        </row>
        <row r="87">
          <cell r="B87">
            <v>40684</v>
          </cell>
          <cell r="C87">
            <v>9.2309999999999999</v>
          </cell>
          <cell r="D87">
            <v>6.843</v>
          </cell>
        </row>
        <row r="88">
          <cell r="B88">
            <v>40683</v>
          </cell>
          <cell r="C88">
            <v>9.2309999999999999</v>
          </cell>
          <cell r="D88">
            <v>6.843</v>
          </cell>
        </row>
        <row r="89">
          <cell r="B89">
            <v>40682</v>
          </cell>
          <cell r="C89">
            <v>9.2319999999999993</v>
          </cell>
          <cell r="D89">
            <v>6.343</v>
          </cell>
        </row>
        <row r="90">
          <cell r="B90">
            <v>40681</v>
          </cell>
          <cell r="C90">
            <v>9.34</v>
          </cell>
          <cell r="D90">
            <v>6.36</v>
          </cell>
        </row>
        <row r="91">
          <cell r="B91">
            <v>40680</v>
          </cell>
          <cell r="C91">
            <v>9.2070000000000007</v>
          </cell>
          <cell r="D91">
            <v>6.1040000000000001</v>
          </cell>
        </row>
        <row r="92">
          <cell r="B92">
            <v>40679</v>
          </cell>
          <cell r="C92">
            <v>9.1549999999999994</v>
          </cell>
          <cell r="D92">
            <v>5.8520000000000003</v>
          </cell>
        </row>
        <row r="93">
          <cell r="B93">
            <v>40678</v>
          </cell>
          <cell r="C93">
            <v>9.2650000000000006</v>
          </cell>
          <cell r="D93">
            <v>5.9110000000000005</v>
          </cell>
        </row>
        <row r="94">
          <cell r="B94">
            <v>40677</v>
          </cell>
          <cell r="C94">
            <v>9.2650000000000006</v>
          </cell>
          <cell r="D94">
            <v>5.9110000000000005</v>
          </cell>
        </row>
        <row r="95">
          <cell r="B95">
            <v>40676</v>
          </cell>
          <cell r="C95">
            <v>9.2650000000000006</v>
          </cell>
          <cell r="D95">
            <v>5.9110000000000005</v>
          </cell>
        </row>
        <row r="96">
          <cell r="B96">
            <v>40675</v>
          </cell>
          <cell r="C96">
            <v>9.3460000000000001</v>
          </cell>
          <cell r="D96">
            <v>5.93</v>
          </cell>
        </row>
        <row r="97">
          <cell r="B97">
            <v>40674</v>
          </cell>
          <cell r="C97">
            <v>9.4009999999999998</v>
          </cell>
          <cell r="D97">
            <v>6.476</v>
          </cell>
        </row>
        <row r="98">
          <cell r="B98">
            <v>40673</v>
          </cell>
          <cell r="C98">
            <v>9.3480000000000008</v>
          </cell>
          <cell r="D98">
            <v>6.3620000000000001</v>
          </cell>
        </row>
        <row r="99">
          <cell r="B99">
            <v>40672</v>
          </cell>
          <cell r="C99">
            <v>9.4030000000000005</v>
          </cell>
          <cell r="D99">
            <v>6.2469999999999999</v>
          </cell>
        </row>
        <row r="100">
          <cell r="B100">
            <v>40671</v>
          </cell>
          <cell r="C100">
            <v>9.4589999999999996</v>
          </cell>
          <cell r="D100">
            <v>5.7850000000000001</v>
          </cell>
        </row>
        <row r="101">
          <cell r="B101">
            <v>40670</v>
          </cell>
          <cell r="C101">
            <v>9.4589999999999996</v>
          </cell>
          <cell r="D101">
            <v>5.7850000000000001</v>
          </cell>
        </row>
        <row r="102">
          <cell r="B102">
            <v>40669</v>
          </cell>
          <cell r="C102">
            <v>9.4589999999999996</v>
          </cell>
          <cell r="D102">
            <v>5.7850000000000001</v>
          </cell>
        </row>
        <row r="103">
          <cell r="B103">
            <v>40668</v>
          </cell>
          <cell r="C103">
            <v>9.4600000000000009</v>
          </cell>
          <cell r="D103">
            <v>6.0590000000000002</v>
          </cell>
        </row>
        <row r="104">
          <cell r="B104">
            <v>40667</v>
          </cell>
          <cell r="C104">
            <v>9.4209999999999994</v>
          </cell>
          <cell r="D104">
            <v>6.077</v>
          </cell>
        </row>
        <row r="105">
          <cell r="B105">
            <v>40666</v>
          </cell>
          <cell r="C105">
            <v>9.4079999999999995</v>
          </cell>
          <cell r="D105">
            <v>5.8420000000000005</v>
          </cell>
        </row>
        <row r="106">
          <cell r="B106">
            <v>40665</v>
          </cell>
          <cell r="C106">
            <v>9.3559999999999999</v>
          </cell>
          <cell r="D106">
            <v>5.6109999999999998</v>
          </cell>
        </row>
        <row r="107">
          <cell r="B107">
            <v>40664</v>
          </cell>
          <cell r="C107">
            <v>9.4120000000000008</v>
          </cell>
          <cell r="D107">
            <v>6.16</v>
          </cell>
        </row>
        <row r="108">
          <cell r="B108">
            <v>40663</v>
          </cell>
          <cell r="C108">
            <v>9.4120000000000008</v>
          </cell>
          <cell r="D108">
            <v>6.16</v>
          </cell>
        </row>
        <row r="109">
          <cell r="B109">
            <v>40662</v>
          </cell>
          <cell r="C109">
            <v>9.4120000000000008</v>
          </cell>
          <cell r="D109">
            <v>6.16</v>
          </cell>
        </row>
        <row r="110">
          <cell r="B110">
            <v>40661</v>
          </cell>
          <cell r="C110">
            <v>9.6289999999999996</v>
          </cell>
          <cell r="D110">
            <v>6.1749999999999998</v>
          </cell>
        </row>
        <row r="111">
          <cell r="B111">
            <v>40660</v>
          </cell>
          <cell r="C111">
            <v>9.5760000000000005</v>
          </cell>
          <cell r="D111">
            <v>5.702</v>
          </cell>
        </row>
        <row r="112">
          <cell r="B112">
            <v>40659</v>
          </cell>
          <cell r="C112">
            <v>9.5229999999999997</v>
          </cell>
          <cell r="D112">
            <v>5.9610000000000003</v>
          </cell>
        </row>
        <row r="113">
          <cell r="B113">
            <v>40658</v>
          </cell>
          <cell r="C113">
            <v>9.5240000000000009</v>
          </cell>
          <cell r="D113">
            <v>5.2549999999999999</v>
          </cell>
        </row>
        <row r="114">
          <cell r="B114">
            <v>40657</v>
          </cell>
          <cell r="C114">
            <v>9.5809999999999995</v>
          </cell>
          <cell r="D114">
            <v>5.5650000000000004</v>
          </cell>
        </row>
        <row r="115">
          <cell r="B115">
            <v>40656</v>
          </cell>
          <cell r="C115">
            <v>9.5809999999999995</v>
          </cell>
          <cell r="D115">
            <v>5.5650000000000004</v>
          </cell>
        </row>
        <row r="116">
          <cell r="B116">
            <v>40655</v>
          </cell>
          <cell r="C116">
            <v>9.5809999999999995</v>
          </cell>
          <cell r="D116">
            <v>5.5650000000000004</v>
          </cell>
        </row>
        <row r="117">
          <cell r="B117">
            <v>40654</v>
          </cell>
          <cell r="C117">
            <v>9.5809999999999995</v>
          </cell>
          <cell r="D117">
            <v>5.5650000000000004</v>
          </cell>
        </row>
        <row r="118">
          <cell r="B118">
            <v>40653</v>
          </cell>
          <cell r="C118">
            <v>9.5820000000000007</v>
          </cell>
          <cell r="D118">
            <v>5.5830000000000002</v>
          </cell>
        </row>
        <row r="119">
          <cell r="B119">
            <v>40652</v>
          </cell>
          <cell r="C119">
            <v>9.6639999999999997</v>
          </cell>
          <cell r="D119">
            <v>5.8319999999999999</v>
          </cell>
        </row>
        <row r="120">
          <cell r="B120">
            <v>40651</v>
          </cell>
          <cell r="C120">
            <v>9.6379999999999999</v>
          </cell>
          <cell r="D120">
            <v>5.6160000000000005</v>
          </cell>
        </row>
        <row r="121">
          <cell r="B121">
            <v>40650</v>
          </cell>
          <cell r="C121">
            <v>9.6950000000000003</v>
          </cell>
          <cell r="D121">
            <v>5.4379999999999997</v>
          </cell>
        </row>
        <row r="122">
          <cell r="B122">
            <v>40649</v>
          </cell>
          <cell r="C122">
            <v>9.6950000000000003</v>
          </cell>
          <cell r="D122">
            <v>5.4379999999999997</v>
          </cell>
        </row>
        <row r="123">
          <cell r="B123">
            <v>40648</v>
          </cell>
          <cell r="C123">
            <v>9.6950000000000003</v>
          </cell>
          <cell r="D123">
            <v>5.4379999999999997</v>
          </cell>
        </row>
        <row r="124">
          <cell r="B124">
            <v>40647</v>
          </cell>
          <cell r="C124">
            <v>9.75</v>
          </cell>
          <cell r="D124">
            <v>5.4550000000000001</v>
          </cell>
        </row>
        <row r="125">
          <cell r="B125">
            <v>40646</v>
          </cell>
          <cell r="C125">
            <v>9.9689999999999994</v>
          </cell>
          <cell r="D125">
            <v>5.4720000000000004</v>
          </cell>
        </row>
        <row r="126">
          <cell r="B126">
            <v>40645</v>
          </cell>
          <cell r="C126">
            <v>10.025</v>
          </cell>
          <cell r="D126">
            <v>5.2649999999999997</v>
          </cell>
        </row>
        <row r="127">
          <cell r="B127">
            <v>40644</v>
          </cell>
          <cell r="C127">
            <v>10.136000000000001</v>
          </cell>
          <cell r="D127">
            <v>5.5060000000000002</v>
          </cell>
        </row>
        <row r="128">
          <cell r="B128">
            <v>40643</v>
          </cell>
          <cell r="C128">
            <v>12.620000000000001</v>
          </cell>
          <cell r="D128">
            <v>7.0940000000000003</v>
          </cell>
        </row>
        <row r="129">
          <cell r="B129">
            <v>40642</v>
          </cell>
          <cell r="C129">
            <v>12.620000000000001</v>
          </cell>
          <cell r="D129">
            <v>7.0940000000000003</v>
          </cell>
        </row>
        <row r="130">
          <cell r="B130">
            <v>40641</v>
          </cell>
          <cell r="C130">
            <v>12.620000000000001</v>
          </cell>
          <cell r="D130">
            <v>7.0940000000000003</v>
          </cell>
        </row>
        <row r="131">
          <cell r="B131">
            <v>40640</v>
          </cell>
          <cell r="C131">
            <v>12.620000000000001</v>
          </cell>
          <cell r="D131">
            <v>7.0970000000000004</v>
          </cell>
        </row>
        <row r="132">
          <cell r="B132">
            <v>40639</v>
          </cell>
          <cell r="C132">
            <v>12.646000000000001</v>
          </cell>
          <cell r="D132">
            <v>7.101</v>
          </cell>
        </row>
        <row r="133">
          <cell r="B133">
            <v>40638</v>
          </cell>
          <cell r="C133">
            <v>12.832000000000001</v>
          </cell>
          <cell r="D133">
            <v>7.1040000000000001</v>
          </cell>
        </row>
        <row r="134">
          <cell r="B134">
            <v>40637</v>
          </cell>
          <cell r="C134">
            <v>12.858000000000001</v>
          </cell>
          <cell r="D134">
            <v>7.1909999999999998</v>
          </cell>
        </row>
        <row r="135">
          <cell r="B135">
            <v>40636</v>
          </cell>
          <cell r="C135">
            <v>13.073</v>
          </cell>
          <cell r="D135">
            <v>7.7030000000000003</v>
          </cell>
        </row>
        <row r="136">
          <cell r="B136">
            <v>40635</v>
          </cell>
          <cell r="C136">
            <v>13.073</v>
          </cell>
          <cell r="D136">
            <v>7.7030000000000003</v>
          </cell>
        </row>
        <row r="137">
          <cell r="B137">
            <v>40634</v>
          </cell>
          <cell r="C137">
            <v>13.073</v>
          </cell>
          <cell r="D137">
            <v>7.7030000000000003</v>
          </cell>
        </row>
        <row r="138">
          <cell r="B138">
            <v>40633</v>
          </cell>
          <cell r="C138">
            <v>13.073</v>
          </cell>
          <cell r="D138">
            <v>7.7050000000000001</v>
          </cell>
        </row>
        <row r="139">
          <cell r="B139">
            <v>40632</v>
          </cell>
          <cell r="C139">
            <v>13.182</v>
          </cell>
          <cell r="D139">
            <v>7.8730000000000002</v>
          </cell>
        </row>
        <row r="140">
          <cell r="B140">
            <v>40631</v>
          </cell>
          <cell r="C140">
            <v>13.236000000000001</v>
          </cell>
          <cell r="D140">
            <v>7.6240000000000006</v>
          </cell>
        </row>
        <row r="141">
          <cell r="B141">
            <v>40630</v>
          </cell>
          <cell r="C141">
            <v>13.208</v>
          </cell>
          <cell r="D141">
            <v>7.6260000000000003</v>
          </cell>
        </row>
        <row r="142">
          <cell r="B142">
            <v>40629</v>
          </cell>
          <cell r="C142">
            <v>13.234999999999999</v>
          </cell>
          <cell r="D142">
            <v>7.7160000000000002</v>
          </cell>
        </row>
        <row r="143">
          <cell r="B143">
            <v>40628</v>
          </cell>
          <cell r="C143">
            <v>13.234999999999999</v>
          </cell>
          <cell r="D143">
            <v>7.7160000000000002</v>
          </cell>
        </row>
        <row r="144">
          <cell r="B144">
            <v>40627</v>
          </cell>
          <cell r="C144">
            <v>13.234999999999999</v>
          </cell>
          <cell r="D144">
            <v>7.7160000000000002</v>
          </cell>
        </row>
        <row r="145">
          <cell r="B145">
            <v>40626</v>
          </cell>
          <cell r="C145">
            <v>13.234999999999999</v>
          </cell>
          <cell r="D145">
            <v>7.7190000000000003</v>
          </cell>
        </row>
        <row r="146">
          <cell r="B146">
            <v>40625</v>
          </cell>
          <cell r="C146">
            <v>13.234</v>
          </cell>
          <cell r="D146">
            <v>7.8040000000000003</v>
          </cell>
        </row>
        <row r="147">
          <cell r="B147">
            <v>40624</v>
          </cell>
          <cell r="C147">
            <v>13.18</v>
          </cell>
          <cell r="D147">
            <v>7.7229999999999999</v>
          </cell>
        </row>
        <row r="148">
          <cell r="B148">
            <v>40623</v>
          </cell>
          <cell r="C148">
            <v>13.125</v>
          </cell>
          <cell r="D148">
            <v>7.7250000000000005</v>
          </cell>
        </row>
        <row r="149">
          <cell r="B149">
            <v>40622</v>
          </cell>
          <cell r="C149">
            <v>13.233000000000001</v>
          </cell>
          <cell r="D149">
            <v>7.5680000000000005</v>
          </cell>
        </row>
        <row r="150">
          <cell r="B150">
            <v>40621</v>
          </cell>
          <cell r="C150">
            <v>13.233000000000001</v>
          </cell>
          <cell r="D150">
            <v>7.5680000000000005</v>
          </cell>
        </row>
        <row r="151">
          <cell r="B151">
            <v>40620</v>
          </cell>
          <cell r="C151">
            <v>13.233000000000001</v>
          </cell>
          <cell r="D151">
            <v>7.5680000000000005</v>
          </cell>
        </row>
        <row r="152">
          <cell r="B152">
            <v>40619</v>
          </cell>
          <cell r="C152">
            <v>13.233000000000001</v>
          </cell>
          <cell r="D152">
            <v>7.8170000000000002</v>
          </cell>
        </row>
        <row r="153">
          <cell r="B153">
            <v>40618</v>
          </cell>
          <cell r="C153">
            <v>13.124000000000001</v>
          </cell>
          <cell r="D153">
            <v>7.9009999999999998</v>
          </cell>
        </row>
        <row r="154">
          <cell r="B154">
            <v>40617</v>
          </cell>
          <cell r="C154">
            <v>13.016</v>
          </cell>
          <cell r="D154">
            <v>7.9030000000000005</v>
          </cell>
        </row>
        <row r="155">
          <cell r="B155">
            <v>40616</v>
          </cell>
          <cell r="C155">
            <v>12.856</v>
          </cell>
          <cell r="D155">
            <v>7.415</v>
          </cell>
        </row>
        <row r="156">
          <cell r="B156">
            <v>40615</v>
          </cell>
          <cell r="C156">
            <v>12.802</v>
          </cell>
          <cell r="D156">
            <v>7.2610000000000001</v>
          </cell>
        </row>
        <row r="157">
          <cell r="B157">
            <v>40614</v>
          </cell>
          <cell r="C157">
            <v>12.802</v>
          </cell>
          <cell r="D157">
            <v>7.2610000000000001</v>
          </cell>
        </row>
        <row r="158">
          <cell r="B158">
            <v>40613</v>
          </cell>
          <cell r="C158">
            <v>12.802</v>
          </cell>
          <cell r="D158">
            <v>7.2610000000000001</v>
          </cell>
        </row>
        <row r="159">
          <cell r="B159">
            <v>40612</v>
          </cell>
          <cell r="C159">
            <v>12.488</v>
          </cell>
          <cell r="D159">
            <v>6.8630000000000004</v>
          </cell>
        </row>
        <row r="160">
          <cell r="B160">
            <v>40611</v>
          </cell>
          <cell r="C160">
            <v>12.411</v>
          </cell>
          <cell r="D160">
            <v>6.5490000000000004</v>
          </cell>
        </row>
        <row r="161">
          <cell r="B161">
            <v>40610</v>
          </cell>
          <cell r="C161">
            <v>12.359</v>
          </cell>
          <cell r="D161">
            <v>5.7889999999999997</v>
          </cell>
        </row>
        <row r="162">
          <cell r="B162">
            <v>40609</v>
          </cell>
          <cell r="C162">
            <v>12.333</v>
          </cell>
          <cell r="D162">
            <v>5.9930000000000003</v>
          </cell>
        </row>
        <row r="163">
          <cell r="B163">
            <v>40608</v>
          </cell>
          <cell r="C163">
            <v>12.282</v>
          </cell>
          <cell r="D163">
            <v>6.4080000000000004</v>
          </cell>
        </row>
        <row r="164">
          <cell r="B164">
            <v>40607</v>
          </cell>
          <cell r="C164">
            <v>12.282</v>
          </cell>
          <cell r="D164">
            <v>6.4080000000000004</v>
          </cell>
        </row>
        <row r="165">
          <cell r="B165">
            <v>40606</v>
          </cell>
          <cell r="C165">
            <v>12.282</v>
          </cell>
          <cell r="D165">
            <v>6.4080000000000004</v>
          </cell>
        </row>
        <row r="166">
          <cell r="B166">
            <v>40605</v>
          </cell>
          <cell r="C166">
            <v>12.231</v>
          </cell>
          <cell r="D166">
            <v>6.4190000000000005</v>
          </cell>
        </row>
        <row r="167">
          <cell r="B167">
            <v>40604</v>
          </cell>
          <cell r="C167">
            <v>12.282</v>
          </cell>
          <cell r="D167">
            <v>6.2410000000000005</v>
          </cell>
        </row>
        <row r="168">
          <cell r="B168">
            <v>40603</v>
          </cell>
          <cell r="C168">
            <v>12.155000000000001</v>
          </cell>
          <cell r="D168">
            <v>6.4390000000000001</v>
          </cell>
        </row>
        <row r="169">
          <cell r="B169">
            <v>40602</v>
          </cell>
          <cell r="C169">
            <v>12.231</v>
          </cell>
          <cell r="D169">
            <v>7.1360000000000001</v>
          </cell>
        </row>
        <row r="170">
          <cell r="B170">
            <v>40601</v>
          </cell>
          <cell r="C170">
            <v>12.105</v>
          </cell>
          <cell r="D170">
            <v>7.0730000000000004</v>
          </cell>
        </row>
        <row r="171">
          <cell r="B171">
            <v>40600</v>
          </cell>
          <cell r="C171">
            <v>12.105</v>
          </cell>
          <cell r="D171">
            <v>7.0730000000000004</v>
          </cell>
        </row>
        <row r="172">
          <cell r="B172">
            <v>40599</v>
          </cell>
          <cell r="C172">
            <v>12.105</v>
          </cell>
          <cell r="D172">
            <v>7.0730000000000004</v>
          </cell>
        </row>
        <row r="173">
          <cell r="B173">
            <v>40598</v>
          </cell>
          <cell r="C173">
            <v>12.334</v>
          </cell>
          <cell r="D173">
            <v>7.2330000000000005</v>
          </cell>
        </row>
        <row r="174">
          <cell r="B174">
            <v>40597</v>
          </cell>
          <cell r="C174">
            <v>12.181000000000001</v>
          </cell>
          <cell r="D174">
            <v>7.3140000000000001</v>
          </cell>
        </row>
        <row r="175">
          <cell r="B175">
            <v>40596</v>
          </cell>
          <cell r="C175">
            <v>12.055</v>
          </cell>
          <cell r="D175">
            <v>7.0049999999999999</v>
          </cell>
        </row>
        <row r="176">
          <cell r="B176">
            <v>40595</v>
          </cell>
          <cell r="C176">
            <v>12.232000000000001</v>
          </cell>
          <cell r="D176">
            <v>6.8529999999999998</v>
          </cell>
        </row>
        <row r="177">
          <cell r="B177">
            <v>40594</v>
          </cell>
          <cell r="C177">
            <v>12.232000000000001</v>
          </cell>
          <cell r="D177">
            <v>6.8630000000000004</v>
          </cell>
        </row>
        <row r="178">
          <cell r="B178">
            <v>40593</v>
          </cell>
          <cell r="C178">
            <v>12.232000000000001</v>
          </cell>
          <cell r="D178">
            <v>6.8630000000000004</v>
          </cell>
        </row>
        <row r="179">
          <cell r="B179">
            <v>40592</v>
          </cell>
          <cell r="C179">
            <v>12.232000000000001</v>
          </cell>
          <cell r="D179">
            <v>6.8630000000000004</v>
          </cell>
        </row>
        <row r="180">
          <cell r="B180">
            <v>40591</v>
          </cell>
          <cell r="C180">
            <v>12.181000000000001</v>
          </cell>
          <cell r="D180">
            <v>7.1760000000000002</v>
          </cell>
        </row>
        <row r="181">
          <cell r="B181">
            <v>40590</v>
          </cell>
          <cell r="C181">
            <v>12.282999999999999</v>
          </cell>
          <cell r="D181">
            <v>7.2560000000000002</v>
          </cell>
        </row>
        <row r="182">
          <cell r="B182">
            <v>40589</v>
          </cell>
          <cell r="C182">
            <v>12.334</v>
          </cell>
          <cell r="D182">
            <v>7.3369999999999997</v>
          </cell>
        </row>
        <row r="183">
          <cell r="B183">
            <v>40588</v>
          </cell>
          <cell r="C183">
            <v>12.282999999999999</v>
          </cell>
          <cell r="D183">
            <v>7.65</v>
          </cell>
        </row>
        <row r="184">
          <cell r="B184">
            <v>40587</v>
          </cell>
          <cell r="C184">
            <v>12.282999999999999</v>
          </cell>
          <cell r="D184">
            <v>7.3479999999999999</v>
          </cell>
        </row>
        <row r="185">
          <cell r="B185">
            <v>40586</v>
          </cell>
          <cell r="C185">
            <v>12.282999999999999</v>
          </cell>
          <cell r="D185">
            <v>7.3479999999999999</v>
          </cell>
        </row>
        <row r="186">
          <cell r="B186">
            <v>40585</v>
          </cell>
          <cell r="C186">
            <v>12.282999999999999</v>
          </cell>
          <cell r="D186">
            <v>7.3479999999999999</v>
          </cell>
        </row>
        <row r="187">
          <cell r="B187">
            <v>40584</v>
          </cell>
          <cell r="C187">
            <v>12.282999999999999</v>
          </cell>
          <cell r="D187">
            <v>7.5049999999999999</v>
          </cell>
        </row>
        <row r="188">
          <cell r="B188">
            <v>40583</v>
          </cell>
          <cell r="C188">
            <v>12.081</v>
          </cell>
          <cell r="D188">
            <v>7.2</v>
          </cell>
        </row>
        <row r="189">
          <cell r="B189">
            <v>40582</v>
          </cell>
          <cell r="C189">
            <v>11.982000000000001</v>
          </cell>
          <cell r="D189">
            <v>7.3559999999999999</v>
          </cell>
        </row>
        <row r="190">
          <cell r="B190">
            <v>40581</v>
          </cell>
          <cell r="C190">
            <v>12.032</v>
          </cell>
          <cell r="D190">
            <v>7.8209999999999997</v>
          </cell>
        </row>
        <row r="191">
          <cell r="B191">
            <v>40580</v>
          </cell>
          <cell r="C191">
            <v>12.385</v>
          </cell>
          <cell r="D191">
            <v>8.0590000000000011</v>
          </cell>
        </row>
        <row r="192">
          <cell r="B192">
            <v>40579</v>
          </cell>
          <cell r="C192">
            <v>12.385</v>
          </cell>
          <cell r="D192">
            <v>8.0590000000000011</v>
          </cell>
        </row>
        <row r="193">
          <cell r="B193">
            <v>40578</v>
          </cell>
          <cell r="C193">
            <v>12.385</v>
          </cell>
          <cell r="D193">
            <v>8.0590000000000011</v>
          </cell>
        </row>
        <row r="194">
          <cell r="B194">
            <v>40577</v>
          </cell>
          <cell r="C194">
            <v>12.411</v>
          </cell>
          <cell r="D194">
            <v>8.293000000000001</v>
          </cell>
        </row>
        <row r="195">
          <cell r="B195">
            <v>40576</v>
          </cell>
          <cell r="C195">
            <v>12.411</v>
          </cell>
          <cell r="D195">
            <v>8.3719999999999999</v>
          </cell>
        </row>
        <row r="196">
          <cell r="B196">
            <v>40575</v>
          </cell>
          <cell r="C196">
            <v>12.436999999999999</v>
          </cell>
          <cell r="D196">
            <v>8.4499999999999993</v>
          </cell>
        </row>
        <row r="197">
          <cell r="B197">
            <v>40574</v>
          </cell>
          <cell r="C197">
            <v>12.488</v>
          </cell>
          <cell r="D197">
            <v>8.452</v>
          </cell>
        </row>
        <row r="198">
          <cell r="B198">
            <v>40573</v>
          </cell>
          <cell r="C198" t="e">
            <v>#N/A</v>
          </cell>
          <cell r="D198">
            <v>8.4540000000000006</v>
          </cell>
        </row>
        <row r="199">
          <cell r="B199">
            <v>40572</v>
          </cell>
          <cell r="C199" t="e">
            <v>#N/A</v>
          </cell>
          <cell r="D199">
            <v>8.4540000000000006</v>
          </cell>
        </row>
        <row r="200">
          <cell r="B200">
            <v>40571</v>
          </cell>
          <cell r="C200" t="e">
            <v>#N/A</v>
          </cell>
          <cell r="D200">
            <v>8.4540000000000006</v>
          </cell>
        </row>
        <row r="201">
          <cell r="B201">
            <v>40570</v>
          </cell>
          <cell r="C201" t="e">
            <v>#N/A</v>
          </cell>
          <cell r="D201">
            <v>8.61</v>
          </cell>
        </row>
        <row r="202">
          <cell r="B202">
            <v>40569</v>
          </cell>
          <cell r="C202" t="e">
            <v>#N/A</v>
          </cell>
          <cell r="D202">
            <v>8.6110000000000007</v>
          </cell>
        </row>
        <row r="203">
          <cell r="B203">
            <v>40568</v>
          </cell>
          <cell r="C203" t="e">
            <v>#N/A</v>
          </cell>
          <cell r="D203">
            <v>8.766</v>
          </cell>
        </row>
        <row r="204">
          <cell r="B204">
            <v>40567</v>
          </cell>
          <cell r="C204" t="e">
            <v>#N/A</v>
          </cell>
          <cell r="D204">
            <v>8.7669999999999995</v>
          </cell>
        </row>
        <row r="205">
          <cell r="B205">
            <v>40566</v>
          </cell>
          <cell r="C205" t="e">
            <v>#N/A</v>
          </cell>
          <cell r="D205">
            <v>9.1560000000000006</v>
          </cell>
        </row>
        <row r="206">
          <cell r="B206">
            <v>40565</v>
          </cell>
          <cell r="C206" t="e">
            <v>#N/A</v>
          </cell>
          <cell r="D206">
            <v>9.1560000000000006</v>
          </cell>
        </row>
        <row r="207">
          <cell r="B207">
            <v>40564</v>
          </cell>
          <cell r="C207" t="e">
            <v>#N/A</v>
          </cell>
          <cell r="D207">
            <v>9.1560000000000006</v>
          </cell>
        </row>
        <row r="208">
          <cell r="B208">
            <v>40563</v>
          </cell>
          <cell r="C208" t="e">
            <v>#N/A</v>
          </cell>
          <cell r="D208">
            <v>9.1560000000000006</v>
          </cell>
        </row>
        <row r="209">
          <cell r="B209">
            <v>40562</v>
          </cell>
          <cell r="C209" t="e">
            <v>#N/A</v>
          </cell>
          <cell r="D209">
            <v>9.0790000000000006</v>
          </cell>
        </row>
        <row r="210">
          <cell r="B210">
            <v>40561</v>
          </cell>
          <cell r="C210" t="e">
            <v>#N/A</v>
          </cell>
          <cell r="D210">
            <v>9.0790000000000006</v>
          </cell>
        </row>
        <row r="211">
          <cell r="B211">
            <v>40560</v>
          </cell>
          <cell r="C211" t="e">
            <v>#N/A</v>
          </cell>
          <cell r="D211">
            <v>9.08</v>
          </cell>
        </row>
        <row r="212">
          <cell r="B212">
            <v>40559</v>
          </cell>
          <cell r="C212" t="e">
            <v>#N/A</v>
          </cell>
          <cell r="D212">
            <v>9.0809999999999995</v>
          </cell>
        </row>
        <row r="213">
          <cell r="B213">
            <v>40558</v>
          </cell>
          <cell r="C213" t="e">
            <v>#N/A</v>
          </cell>
          <cell r="D213">
            <v>9.0809999999999995</v>
          </cell>
        </row>
        <row r="214">
          <cell r="B214">
            <v>40557</v>
          </cell>
          <cell r="C214" t="e">
            <v>#N/A</v>
          </cell>
          <cell r="D214">
            <v>9.0809999999999995</v>
          </cell>
        </row>
        <row r="215">
          <cell r="B215">
            <v>40556</v>
          </cell>
          <cell r="C215" t="e">
            <v>#N/A</v>
          </cell>
          <cell r="D215">
            <v>8.8510000000000009</v>
          </cell>
        </row>
        <row r="216">
          <cell r="B216">
            <v>40555</v>
          </cell>
          <cell r="C216" t="e">
            <v>#N/A</v>
          </cell>
          <cell r="D216">
            <v>8.6240000000000006</v>
          </cell>
        </row>
        <row r="217">
          <cell r="B217">
            <v>40554</v>
          </cell>
          <cell r="C217" t="e">
            <v>#N/A</v>
          </cell>
          <cell r="D217">
            <v>8.9290000000000003</v>
          </cell>
        </row>
        <row r="218">
          <cell r="B218">
            <v>40553</v>
          </cell>
          <cell r="C218" t="e">
            <v>#N/A</v>
          </cell>
          <cell r="D218">
            <v>9.322000000000001</v>
          </cell>
        </row>
        <row r="219">
          <cell r="B219">
            <v>40552</v>
          </cell>
          <cell r="C219" t="e">
            <v>#N/A</v>
          </cell>
          <cell r="D219">
            <v>9.322000000000001</v>
          </cell>
        </row>
        <row r="220">
          <cell r="B220">
            <v>40551</v>
          </cell>
          <cell r="C220" t="e">
            <v>#N/A</v>
          </cell>
          <cell r="D220">
            <v>9.322000000000001</v>
          </cell>
        </row>
        <row r="221">
          <cell r="B221">
            <v>40550</v>
          </cell>
          <cell r="C221" t="e">
            <v>#N/A</v>
          </cell>
          <cell r="D221">
            <v>9.322000000000001</v>
          </cell>
        </row>
        <row r="222">
          <cell r="B222">
            <v>40549</v>
          </cell>
          <cell r="C222" t="e">
            <v>#N/A</v>
          </cell>
          <cell r="D222">
            <v>9.2349999999999994</v>
          </cell>
        </row>
        <row r="223">
          <cell r="B223">
            <v>40548</v>
          </cell>
          <cell r="C223" t="e">
            <v>#N/A</v>
          </cell>
          <cell r="D223">
            <v>9.2349999999999994</v>
          </cell>
        </row>
        <row r="224">
          <cell r="B224">
            <v>40547</v>
          </cell>
          <cell r="C224" t="e">
            <v>#N/A</v>
          </cell>
          <cell r="D224">
            <v>9.2349999999999994</v>
          </cell>
        </row>
        <row r="225">
          <cell r="B225">
            <v>40546</v>
          </cell>
          <cell r="C225" t="e">
            <v>#N/A</v>
          </cell>
          <cell r="D225">
            <v>9.4009999999999998</v>
          </cell>
        </row>
        <row r="226">
          <cell r="B226">
            <v>40545</v>
          </cell>
          <cell r="C226" t="e">
            <v>#N/A</v>
          </cell>
          <cell r="D226">
            <v>9.48</v>
          </cell>
        </row>
        <row r="227">
          <cell r="B227">
            <v>40544</v>
          </cell>
          <cell r="C227" t="e">
            <v>#N/A</v>
          </cell>
          <cell r="D227">
            <v>9.48</v>
          </cell>
        </row>
      </sheetData>
      <sheetData sheetId="6"/>
      <sheetData sheetId="7">
        <row r="2">
          <cell r="B2" t="str">
            <v>Regulatory / Other Required Approvals</v>
          </cell>
        </row>
        <row r="3">
          <cell r="B3" t="str">
            <v>Approval Entity</v>
          </cell>
          <cell r="D3" t="str">
            <v>Purpose / Reason</v>
          </cell>
          <cell r="F3" t="str">
            <v>Status</v>
          </cell>
        </row>
        <row r="4">
          <cell r="B4" t="str">
            <v>Department of Justice (DOJ) / Federal Trade Commission (FTC)</v>
          </cell>
          <cell r="C4" t="str">
            <v xml:space="preserve">•
</v>
          </cell>
          <cell r="D4" t="str">
            <v xml:space="preserve">US antitrust clearance.  In regards to Hart-Scott-Rodino Antitrust Improvements Act of 1976 </v>
          </cell>
          <cell r="E4" t="str">
            <v xml:space="preserve">•
</v>
          </cell>
          <cell r="F4" t="str">
            <v>7/12/11: LVLT receives DOJ request for additional information</v>
          </cell>
        </row>
        <row r="5">
          <cell r="B5" t="str">
            <v>Federal Communications Commission (FCC)</v>
          </cell>
          <cell r="C5" t="str">
            <v xml:space="preserve">•
•
</v>
          </cell>
          <cell r="D5" t="str">
            <v>GLBC seeks approval for the change of control (Sections 214 and 310(d) of the Communications Act of 1934, Cable Landing License Act of 1921)
LVLT petitioning section 310(b)(4) of the Communications Act</v>
          </cell>
          <cell r="E5" t="str">
            <v xml:space="preserve">•
•
•
</v>
          </cell>
          <cell r="F5" t="str">
            <v>6/9/11: FCC review clock began
7/26/11: GLBC files a response to a request for information
7/28/11: LVLT files updated information for the record</v>
          </cell>
        </row>
        <row r="6">
          <cell r="B6" t="str">
            <v>Committee on Foreign Investment (CFIUS)</v>
          </cell>
          <cell r="C6" t="str">
            <v xml:space="preserve">•
•
•
•
</v>
          </cell>
          <cell r="D6" t="str">
            <v>Regarding Section 721 of the Defense Production Act
GLBC's top shareholder, STT Communications Ltd, is a foreign entity based in Singapore. 
STT will become a significant shareholder in LVLT.
CFIUS needs to approval any changes of ownership of a US company to a foreign entity.</v>
          </cell>
          <cell r="E6" t="str">
            <v>•</v>
          </cell>
          <cell r="F6" t="str">
            <v>GLBC and LVLT filed a joint filing</v>
          </cell>
        </row>
        <row r="7">
          <cell r="B7" t="str">
            <v>Foreign regulatory authorities</v>
          </cell>
          <cell r="C7" t="str">
            <v xml:space="preserve">•
</v>
          </cell>
          <cell r="D7" t="str">
            <v>Approval for change of ownership by various foreign regulatory authorities of businesses that are controlled by GLBC and LVLT abroad</v>
          </cell>
          <cell r="F7" t="str">
            <v>ü</v>
          </cell>
        </row>
        <row r="8">
          <cell r="B8" t="str">
            <v>State regulatory authorities</v>
          </cell>
          <cell r="C8" t="str">
            <v xml:space="preserve">•
</v>
          </cell>
          <cell r="D8" t="str">
            <v>Approval for change of ownership by various state regulatory authorities</v>
          </cell>
          <cell r="F8" t="str">
            <v>ü</v>
          </cell>
        </row>
        <row r="9">
          <cell r="B9" t="str">
            <v>GLBC and LVLT Shareholder Approvals</v>
          </cell>
          <cell r="C9" t="str">
            <v>•</v>
          </cell>
          <cell r="D9" t="str">
            <v>Customary approvals for transactions</v>
          </cell>
          <cell r="F9" t="str">
            <v>ü</v>
          </cell>
        </row>
      </sheetData>
      <sheetData sheetId="8">
        <row r="4">
          <cell r="B4" t="str">
            <v>North America</v>
          </cell>
          <cell r="C4">
            <v>3570</v>
          </cell>
        </row>
        <row r="5">
          <cell r="B5" t="str">
            <v>Europe</v>
          </cell>
          <cell r="C5">
            <v>939</v>
          </cell>
        </row>
        <row r="6">
          <cell r="B6" t="str">
            <v>Latin America</v>
          </cell>
          <cell r="C6">
            <v>597</v>
          </cell>
        </row>
        <row r="8">
          <cell r="B8" t="str">
            <v>Enterprise</v>
          </cell>
          <cell r="C8">
            <v>2856</v>
          </cell>
        </row>
        <row r="9">
          <cell r="B9" t="str">
            <v>Wholesale</v>
          </cell>
          <cell r="C9">
            <v>2250</v>
          </cell>
        </row>
        <row r="13">
          <cell r="E13" t="str">
            <v>Diverse Geography</v>
          </cell>
          <cell r="H13" t="str">
            <v>Balanced Customer Base</v>
          </cell>
        </row>
      </sheetData>
      <sheetData sheetId="9">
        <row r="2">
          <cell r="A2" t="str">
            <v>Level 3 Communications, Inc.</v>
          </cell>
        </row>
        <row r="3">
          <cell r="A3" t="str">
            <v xml:space="preserve"> </v>
          </cell>
          <cell r="B3" t="str">
            <v xml:space="preserve"> </v>
          </cell>
          <cell r="C3" t="str">
            <v xml:space="preserve"> </v>
          </cell>
          <cell r="D3" t="str">
            <v xml:space="preserve"> </v>
          </cell>
          <cell r="E3" t="str">
            <v xml:space="preserve"> </v>
          </cell>
          <cell r="F3" t="str">
            <v xml:space="preserve"> </v>
          </cell>
          <cell r="G3" t="str">
            <v xml:space="preserve"> </v>
          </cell>
          <cell r="H3" t="str">
            <v xml:space="preserve"> </v>
          </cell>
          <cell r="I3" t="str">
            <v>Industry M&amp;A Reports</v>
          </cell>
          <cell r="J3" t="str">
            <v>Build M&amp;A Travelbook</v>
          </cell>
        </row>
        <row r="4">
          <cell r="A4" t="str">
            <v>Deal Activity Chart from August 11, 2010 to August 11, 2011</v>
          </cell>
        </row>
        <row r="16">
          <cell r="J16" t="str">
            <v>Source: FactSet Prices / FactSet Mergerstat</v>
          </cell>
        </row>
        <row r="17">
          <cell r="A17" t="str">
            <v>M&amp;A Summary</v>
          </cell>
          <cell r="H17" t="str">
            <v>Entity Structure</v>
          </cell>
          <cell r="I17" t="str">
            <v>link</v>
          </cell>
          <cell r="J17" t="str">
            <v>link</v>
          </cell>
        </row>
        <row r="18">
          <cell r="A18" t="str">
            <v>All monetary values in millions of U.S. Dollars</v>
          </cell>
          <cell r="H18" t="str">
            <v>Ultimate Parent: Level 3 Communications, Inc.</v>
          </cell>
        </row>
        <row r="19">
          <cell r="A19" t="str">
            <v>LTM Deals (1)</v>
          </cell>
          <cell r="B19" t="str">
            <v>1,411.9</v>
          </cell>
          <cell r="C19" t="str">
            <v>All Deals (59)</v>
          </cell>
          <cell r="D19" t="str">
            <v>8,544.6</v>
          </cell>
          <cell r="E19" t="str">
            <v xml:space="preserve"> </v>
          </cell>
          <cell r="F19" t="str">
            <v xml:space="preserve"> </v>
          </cell>
          <cell r="H19" t="str">
            <v>Broadwing Financial Services, Inc. (Subsidiary)</v>
          </cell>
        </row>
        <row r="20">
          <cell r="A20" t="str">
            <v>As Buyer / Seller</v>
          </cell>
          <cell r="B20" t="str">
            <v>1 / 0</v>
          </cell>
          <cell r="C20" t="str">
            <v>As Buyer / Seller</v>
          </cell>
          <cell r="D20" t="str">
            <v>42 / 17</v>
          </cell>
          <cell r="H20" t="str">
            <v>BusinessNet Ltd (Subsidiary)</v>
          </cell>
        </row>
        <row r="21">
          <cell r="A21" t="str">
            <v>Avg Size</v>
          </cell>
          <cell r="B21" t="str">
            <v>1,411.9</v>
          </cell>
          <cell r="C21" t="str">
            <v>Avg Size</v>
          </cell>
          <cell r="D21" t="str">
            <v>284.8</v>
          </cell>
          <cell r="H21" t="str">
            <v>CorpSoft, Inc. (Subsidiary)</v>
          </cell>
        </row>
        <row r="22">
          <cell r="A22" t="str">
            <v>Max / Min Size</v>
          </cell>
          <cell r="B22" t="str">
            <v>1,411.9 / 1,411.9</v>
          </cell>
          <cell r="C22" t="str">
            <v>Max / Min Size</v>
          </cell>
          <cell r="D22" t="str">
            <v>1,812.8 / 7.0</v>
          </cell>
          <cell r="H22" t="str">
            <v>Friede Goldman Newfoundland, Inc. (Subsidiary)</v>
          </cell>
        </row>
        <row r="23">
          <cell r="A23" t="str">
            <v>Full Mergerstat</v>
          </cell>
          <cell r="D23" t="str">
            <v>Source: FactSet Mergerstat</v>
          </cell>
          <cell r="H23" t="str">
            <v>GeoNet Communications, Inc. (Subsidiary)</v>
          </cell>
        </row>
        <row r="24">
          <cell r="H24" t="str">
            <v>Full Entity Structure</v>
          </cell>
        </row>
        <row r="27">
          <cell r="B27" t="str">
            <v>Latest M&amp;A Deals as Buyer (10 of 42)</v>
          </cell>
        </row>
        <row r="28">
          <cell r="B28" t="str">
            <v>All monetary values in millions of U.S. Dollars</v>
          </cell>
        </row>
        <row r="29">
          <cell r="B29" t="str">
            <v>LVLT HISTORICAL TRANSACTIONS (&gt;$1B)</v>
          </cell>
        </row>
        <row r="30">
          <cell r="B30" t="str">
            <v>Announce Date</v>
          </cell>
          <cell r="C30" t="str">
            <v>Close Date</v>
          </cell>
          <cell r="D30" t="str">
            <v>Target</v>
          </cell>
          <cell r="E30" t="str">
            <v>Deal Value</v>
          </cell>
          <cell r="F30" t="str">
            <v>EV/Sales</v>
          </cell>
          <cell r="G30" t="str">
            <v>EV/EBITDA</v>
          </cell>
        </row>
        <row r="31">
          <cell r="B31">
            <v>40644</v>
          </cell>
          <cell r="C31" t="str">
            <v>Pending</v>
          </cell>
          <cell r="D31" t="str">
            <v>Global Crossing Ltd.</v>
          </cell>
          <cell r="E31">
            <v>1411.9</v>
          </cell>
          <cell r="F31" t="str">
            <v>1.0x</v>
          </cell>
          <cell r="G31" t="str">
            <v>6.1x</v>
          </cell>
        </row>
        <row r="32">
          <cell r="B32">
            <v>39007</v>
          </cell>
          <cell r="C32">
            <v>39085</v>
          </cell>
          <cell r="D32" t="str">
            <v>Broadwing Corp.</v>
          </cell>
          <cell r="E32">
            <v>1377.6</v>
          </cell>
          <cell r="F32" t="str">
            <v>1.6x</v>
          </cell>
          <cell r="G32" t="str">
            <v>-36.9x</v>
          </cell>
        </row>
        <row r="33">
          <cell r="B33">
            <v>38838</v>
          </cell>
          <cell r="C33">
            <v>38922</v>
          </cell>
          <cell r="D33" t="str">
            <v>Telcove, Inc.</v>
          </cell>
          <cell r="E33">
            <v>1082</v>
          </cell>
        </row>
        <row r="34">
          <cell r="K34" t="str">
            <v>Source: FactSet Mergerstat</v>
          </cell>
        </row>
        <row r="37">
          <cell r="B37" t="str">
            <v>Latest M&amp;A Deals as Seller (10 of 17)</v>
          </cell>
        </row>
        <row r="38">
          <cell r="B38" t="str">
            <v>All monetary values in millions of U.S. Dollars</v>
          </cell>
        </row>
        <row r="39">
          <cell r="B39" t="str">
            <v>Announce</v>
          </cell>
          <cell r="C39" t="str">
            <v>Close</v>
          </cell>
          <cell r="E39" t="str">
            <v>Deal</v>
          </cell>
          <cell r="F39" t="str">
            <v>EV/</v>
          </cell>
          <cell r="G39" t="str">
            <v>EV/</v>
          </cell>
          <cell r="H39" t="str">
            <v>Deal</v>
          </cell>
          <cell r="I39" t="str">
            <v>Detail</v>
          </cell>
          <cell r="J39" t="str">
            <v>Source</v>
          </cell>
        </row>
        <row r="40">
          <cell r="B40" t="str">
            <v>Date</v>
          </cell>
          <cell r="C40" t="str">
            <v>Date</v>
          </cell>
          <cell r="D40" t="str">
            <v>Buyer</v>
          </cell>
          <cell r="E40" t="str">
            <v>Value</v>
          </cell>
          <cell r="F40" t="str">
            <v>Sales</v>
          </cell>
          <cell r="G40" t="str">
            <v>EBITDA</v>
          </cell>
          <cell r="H40" t="str">
            <v>Type</v>
          </cell>
          <cell r="I40" t="str">
            <v>Link</v>
          </cell>
          <cell r="J40" t="str">
            <v>Link</v>
          </cell>
        </row>
        <row r="41">
          <cell r="B41" t="str">
            <v>19-Dec-07</v>
          </cell>
          <cell r="C41" t="str">
            <v>05-Jun-08</v>
          </cell>
          <cell r="D41" t="str">
            <v>DG FastChannel, Inc.</v>
          </cell>
          <cell r="E41" t="str">
            <v>135.4</v>
          </cell>
          <cell r="F41" t="str">
            <v>--</v>
          </cell>
          <cell r="G41" t="str">
            <v>--</v>
          </cell>
          <cell r="H41" t="str">
            <v>Acq/Merger</v>
          </cell>
          <cell r="I41" t="str">
            <v>link</v>
          </cell>
          <cell r="J41" t="str">
            <v>link</v>
          </cell>
        </row>
        <row r="42">
          <cell r="D42" t="str">
            <v xml:space="preserve">Advisor(s): ThinkEquity Partners (B - Financial), Willkie Farr &amp; Gallagher LLP </v>
          </cell>
        </row>
        <row r="43">
          <cell r="D43" t="str">
            <v>(S - Legal), Latham &amp; Watkins LLP (B - Legal)</v>
          </cell>
        </row>
        <row r="44">
          <cell r="B44" t="str">
            <v>09-Jan-07</v>
          </cell>
          <cell r="C44" t="str">
            <v>09-Jan-07</v>
          </cell>
          <cell r="D44" t="str">
            <v>Revenue Management Solutions LLC</v>
          </cell>
          <cell r="E44" t="str">
            <v>--</v>
          </cell>
          <cell r="F44" t="str">
            <v>--</v>
          </cell>
          <cell r="G44" t="str">
            <v>--</v>
          </cell>
          <cell r="H44" t="str">
            <v>Acq/Merger</v>
          </cell>
          <cell r="I44" t="str">
            <v>link</v>
          </cell>
          <cell r="J44" t="str">
            <v>link</v>
          </cell>
        </row>
        <row r="45">
          <cell r="D45" t="str">
            <v>Advisor(s): Not Disclosed</v>
          </cell>
        </row>
        <row r="46">
          <cell r="B46" t="str">
            <v>20-Jul-06</v>
          </cell>
          <cell r="C46" t="str">
            <v>07-Sep-06</v>
          </cell>
          <cell r="D46" t="str">
            <v>Insight Enterprises, Inc.</v>
          </cell>
          <cell r="E46" t="str">
            <v>287.0</v>
          </cell>
          <cell r="F46" t="str">
            <v>--</v>
          </cell>
          <cell r="G46" t="str">
            <v>--</v>
          </cell>
          <cell r="H46" t="str">
            <v>Acq/Merger</v>
          </cell>
          <cell r="I46" t="str">
            <v>link</v>
          </cell>
          <cell r="J46" t="str">
            <v>link</v>
          </cell>
        </row>
        <row r="47">
          <cell r="D47" t="str">
            <v xml:space="preserve">Advisor(s): Merrill Lynch &amp; Co., Inc. (S - Financial), Raymond James &amp; </v>
          </cell>
        </row>
        <row r="48">
          <cell r="D48" t="str">
            <v xml:space="preserve">Associates (B - Financial), Willkie Farr &amp; Gallagher LLP (S - Legal), Skadden, </v>
          </cell>
        </row>
        <row r="49">
          <cell r="D49" t="str">
            <v>Arps, Slate, Meagher &amp; Flom LLP (B - Legal)</v>
          </cell>
        </row>
        <row r="50">
          <cell r="B50" t="str">
            <v>25-Oct-05</v>
          </cell>
          <cell r="C50" t="str">
            <v>01-Dec-05</v>
          </cell>
          <cell r="D50" t="str">
            <v>Infocrossing, Inc.</v>
          </cell>
          <cell r="E50" t="str">
            <v>81.5</v>
          </cell>
          <cell r="F50" t="str">
            <v>1.2x</v>
          </cell>
          <cell r="G50" t="str">
            <v>9.1x</v>
          </cell>
          <cell r="H50" t="str">
            <v>Acq/Merger</v>
          </cell>
          <cell r="I50" t="str">
            <v>link</v>
          </cell>
          <cell r="J50" t="str">
            <v>link</v>
          </cell>
        </row>
        <row r="51">
          <cell r="D51" t="str">
            <v xml:space="preserve">Advisor(s): Merrill Lynch &amp; Co., Inc. (S - Financial), Evercore Partners LLC (B </v>
          </cell>
        </row>
        <row r="52">
          <cell r="D52" t="str">
            <v xml:space="preserve">- Financial), Gibson, Dunn &amp; Crutcher LLP (B - Legal), Simpson Thacher &amp; </v>
          </cell>
        </row>
        <row r="53">
          <cell r="D53" t="str">
            <v>Bartlett LLP (B - Legal)</v>
          </cell>
        </row>
        <row r="54">
          <cell r="B54" t="str">
            <v>27-Jan-05</v>
          </cell>
          <cell r="C54" t="str">
            <v>27-Jan-05</v>
          </cell>
          <cell r="D54" t="str">
            <v>Tel West Network Services Corp.</v>
          </cell>
          <cell r="E54" t="str">
            <v>--</v>
          </cell>
          <cell r="F54" t="str">
            <v>--</v>
          </cell>
          <cell r="G54" t="str">
            <v>--</v>
          </cell>
          <cell r="H54" t="str">
            <v>Acq/Merger</v>
          </cell>
          <cell r="I54" t="str">
            <v>link</v>
          </cell>
          <cell r="J54" t="str">
            <v>--</v>
          </cell>
        </row>
        <row r="55">
          <cell r="D55" t="str">
            <v>Advisor(s): Daniels &amp; Associates (S - Financial)</v>
          </cell>
        </row>
        <row r="56">
          <cell r="B56" t="str">
            <v>10-May-04</v>
          </cell>
          <cell r="C56" t="str">
            <v>10-May-04</v>
          </cell>
          <cell r="D56" t="str">
            <v>Fiberlink Communications Corp.</v>
          </cell>
          <cell r="E56" t="str">
            <v>--</v>
          </cell>
          <cell r="F56" t="str">
            <v>--</v>
          </cell>
          <cell r="G56" t="str">
            <v>--</v>
          </cell>
          <cell r="H56" t="str">
            <v>Acq/Merger</v>
          </cell>
          <cell r="I56" t="str">
            <v>link</v>
          </cell>
          <cell r="J56" t="str">
            <v>link</v>
          </cell>
        </row>
        <row r="57">
          <cell r="D57" t="str">
            <v>Advisor(s): Not Disclosed</v>
          </cell>
        </row>
        <row r="58">
          <cell r="B58" t="str">
            <v>27-Oct-03</v>
          </cell>
          <cell r="C58" t="str">
            <v>27-Oct-03</v>
          </cell>
          <cell r="D58" t="str">
            <v>H.I.G. Capital Management, Inc.</v>
          </cell>
          <cell r="E58" t="str">
            <v>--</v>
          </cell>
          <cell r="F58" t="str">
            <v>--</v>
          </cell>
          <cell r="G58" t="str">
            <v>--</v>
          </cell>
          <cell r="H58" t="str">
            <v>Acq/Merger</v>
          </cell>
          <cell r="I58" t="str">
            <v>link</v>
          </cell>
          <cell r="J58" t="str">
            <v>--</v>
          </cell>
        </row>
        <row r="59">
          <cell r="D59" t="str">
            <v>Advisor(s): Not Disclosed</v>
          </cell>
        </row>
        <row r="60">
          <cell r="B60" t="str">
            <v>19-Aug-03</v>
          </cell>
          <cell r="C60" t="str">
            <v>31-Dec-03</v>
          </cell>
          <cell r="D60" t="str">
            <v>CenturyTel, Inc.</v>
          </cell>
          <cell r="E60" t="str">
            <v>17.0</v>
          </cell>
          <cell r="F60" t="str">
            <v>--</v>
          </cell>
          <cell r="G60" t="str">
            <v>--</v>
          </cell>
          <cell r="H60" t="str">
            <v>Acq/Merger</v>
          </cell>
          <cell r="I60" t="str">
            <v>link</v>
          </cell>
          <cell r="J60" t="str">
            <v>--</v>
          </cell>
        </row>
        <row r="61">
          <cell r="D61" t="str">
            <v>Advisor(s): Daniels &amp; Associates (S - Financial)</v>
          </cell>
        </row>
        <row r="62">
          <cell r="B62" t="str">
            <v>18-Jun-03</v>
          </cell>
          <cell r="C62" t="str">
            <v>18-Jun-03</v>
          </cell>
          <cell r="D62" t="str">
            <v>H.I.G. Capital Management, Inc.</v>
          </cell>
          <cell r="E62" t="str">
            <v>--</v>
          </cell>
          <cell r="F62" t="str">
            <v>--</v>
          </cell>
          <cell r="G62" t="str">
            <v>--</v>
          </cell>
          <cell r="H62" t="str">
            <v>Acq/Merger</v>
          </cell>
          <cell r="I62" t="str">
            <v>link</v>
          </cell>
          <cell r="J62" t="str">
            <v>--</v>
          </cell>
        </row>
        <row r="63">
          <cell r="D63" t="str">
            <v xml:space="preserve">Advisor(s): Daniels &amp; Associates (S - Financial), Petsky Prunier LLC (B - </v>
          </cell>
        </row>
        <row r="64">
          <cell r="D64" t="str">
            <v>Financial)</v>
          </cell>
        </row>
        <row r="65">
          <cell r="B65" t="str">
            <v>04-Apr-03</v>
          </cell>
          <cell r="C65" t="str">
            <v>31-May-03</v>
          </cell>
          <cell r="D65" t="str">
            <v>Computer Sciences Corp.</v>
          </cell>
          <cell r="E65" t="str">
            <v>--</v>
          </cell>
          <cell r="F65" t="str">
            <v>--</v>
          </cell>
          <cell r="G65" t="str">
            <v>--</v>
          </cell>
          <cell r="H65" t="str">
            <v>Acq/Merger</v>
          </cell>
          <cell r="I65" t="str">
            <v>link</v>
          </cell>
          <cell r="J65" t="str">
            <v>--</v>
          </cell>
        </row>
        <row r="66">
          <cell r="D66" t="str">
            <v>Advisor(s): Not Disclosed</v>
          </cell>
        </row>
        <row r="67">
          <cell r="K67" t="str">
            <v>Source: FactSet Mergerstat</v>
          </cell>
        </row>
        <row r="68">
          <cell r="B68" t="str">
            <v>New Issues from 2000 to Present (2)</v>
          </cell>
        </row>
        <row r="69">
          <cell r="B69" t="str">
            <v>All monetary values in millions, except offer price</v>
          </cell>
        </row>
        <row r="70">
          <cell r="J70" t="str">
            <v>Gross</v>
          </cell>
        </row>
        <row r="71">
          <cell r="I71" t="str">
            <v>% of Over-</v>
          </cell>
          <cell r="J71" t="str">
            <v>Proceeds</v>
          </cell>
        </row>
        <row r="72">
          <cell r="C72" t="str">
            <v>Offer</v>
          </cell>
          <cell r="D72" t="str">
            <v>Offer</v>
          </cell>
          <cell r="F72" t="str">
            <v>Offer</v>
          </cell>
          <cell r="G72" t="str">
            <v>Offer</v>
          </cell>
          <cell r="H72" t="str">
            <v>Total</v>
          </cell>
          <cell r="I72" t="str">
            <v>Allotment</v>
          </cell>
          <cell r="J72" t="str">
            <v>Adj. Over-</v>
          </cell>
          <cell r="K72" t="str">
            <v>Detail</v>
          </cell>
          <cell r="L72" t="str">
            <v>Source</v>
          </cell>
        </row>
        <row r="73">
          <cell r="B73" t="str">
            <v>Closing Name (Ticker(s))</v>
          </cell>
          <cell r="C73" t="str">
            <v>Date</v>
          </cell>
          <cell r="D73" t="str">
            <v>Type</v>
          </cell>
          <cell r="E73" t="str">
            <v>Exchange</v>
          </cell>
          <cell r="F73" t="str">
            <v>Curr.</v>
          </cell>
          <cell r="G73" t="str">
            <v>Price</v>
          </cell>
          <cell r="H73" t="str">
            <v>Shs Offered</v>
          </cell>
          <cell r="I73" t="str">
            <v>Exercised</v>
          </cell>
          <cell r="J73" t="str">
            <v>Allotment</v>
          </cell>
          <cell r="K73" t="str">
            <v>Link</v>
          </cell>
          <cell r="L73" t="str">
            <v>Link</v>
          </cell>
        </row>
        <row r="74">
          <cell r="B74" t="str">
            <v>Level 3 Communications, Inc. (LVLT)</v>
          </cell>
          <cell r="C74">
            <v>38875</v>
          </cell>
          <cell r="D74" t="str">
            <v>Follow-On</v>
          </cell>
          <cell r="E74" t="str">
            <v>NASDAQ</v>
          </cell>
          <cell r="F74" t="str">
            <v>USD</v>
          </cell>
          <cell r="G74">
            <v>4.55</v>
          </cell>
          <cell r="H74">
            <v>125000000</v>
          </cell>
          <cell r="I74">
            <v>0</v>
          </cell>
          <cell r="J74">
            <v>568.75</v>
          </cell>
          <cell r="K74" t="str">
            <v>Link</v>
          </cell>
          <cell r="L74" t="str">
            <v>Link</v>
          </cell>
        </row>
        <row r="75">
          <cell r="B75" t="str">
            <v>Level 3 Communications, Inc. (LVLT)</v>
          </cell>
          <cell r="C75">
            <v>36579</v>
          </cell>
          <cell r="D75" t="str">
            <v>Follow-On</v>
          </cell>
          <cell r="E75" t="str">
            <v>NASDAQ</v>
          </cell>
          <cell r="F75" t="str">
            <v>USD</v>
          </cell>
          <cell r="G75">
            <v>107.88</v>
          </cell>
          <cell r="H75">
            <v>23000000</v>
          </cell>
          <cell r="I75">
            <v>100</v>
          </cell>
          <cell r="J75">
            <v>2481.125</v>
          </cell>
          <cell r="K75" t="str">
            <v>Link</v>
          </cell>
          <cell r="L75" t="str">
            <v>Link</v>
          </cell>
        </row>
        <row r="76">
          <cell r="M76" t="str">
            <v>Source: FactSet New Issues</v>
          </cell>
        </row>
        <row r="77">
          <cell r="B77" t="str">
            <v>Latest Private Placement Deals (5)</v>
          </cell>
          <cell r="K77" t="str">
            <v>link</v>
          </cell>
        </row>
        <row r="78">
          <cell r="B78" t="str">
            <v>All monetary values in millions of U.S. Dollars, except security sold and per share items</v>
          </cell>
        </row>
        <row r="79">
          <cell r="B79" t="str">
            <v>Closing Name/Ticker</v>
          </cell>
          <cell r="C79" t="str">
            <v>Closing Date</v>
          </cell>
          <cell r="D79" t="str">
            <v>Structure Type</v>
          </cell>
          <cell r="E79" t="str">
            <v>Legal Structure</v>
          </cell>
          <cell r="F79" t="str">
            <v>Gross Proceeds</v>
          </cell>
          <cell r="G79" t="str">
            <v>Number of Sec. Sold</v>
          </cell>
          <cell r="H79" t="str">
            <v>Purch Price per Share</v>
          </cell>
          <cell r="I79" t="str">
            <v>Detail Link</v>
          </cell>
          <cell r="J79" t="str">
            <v>Source Link</v>
          </cell>
        </row>
        <row r="80">
          <cell r="B80" t="str">
            <v>Level 3 Communications, Inc. (LVLT)</v>
          </cell>
          <cell r="C80">
            <v>40087</v>
          </cell>
          <cell r="D80" t="str">
            <v>Convertible - Fixed</v>
          </cell>
          <cell r="E80" t="str">
            <v>PIPE</v>
          </cell>
          <cell r="F80">
            <v>275</v>
          </cell>
          <cell r="G80">
            <v>275000</v>
          </cell>
          <cell r="H80">
            <v>1000</v>
          </cell>
          <cell r="I80" t="str">
            <v>link</v>
          </cell>
          <cell r="J80" t="str">
            <v>link</v>
          </cell>
        </row>
        <row r="81">
          <cell r="B81" t="str">
            <v>Level 3 Communications, Inc. (LVLT)</v>
          </cell>
          <cell r="C81">
            <v>39769</v>
          </cell>
          <cell r="D81" t="str">
            <v>Convertible - Fixed</v>
          </cell>
          <cell r="E81" t="str">
            <v>PIPE</v>
          </cell>
          <cell r="F81">
            <v>400</v>
          </cell>
          <cell r="G81">
            <v>400000</v>
          </cell>
          <cell r="H81">
            <v>1000</v>
          </cell>
          <cell r="I81" t="str">
            <v>link</v>
          </cell>
          <cell r="J81" t="str">
            <v>link</v>
          </cell>
        </row>
        <row r="82">
          <cell r="B82" t="str">
            <v>Level 3 Communications, Inc. (LVLT)</v>
          </cell>
          <cell r="C82">
            <v>38401</v>
          </cell>
          <cell r="D82" t="str">
            <v>Convertible - Fixed</v>
          </cell>
          <cell r="E82" t="str">
            <v>PIPE</v>
          </cell>
          <cell r="F82">
            <v>880</v>
          </cell>
          <cell r="G82">
            <v>880000</v>
          </cell>
          <cell r="H82">
            <v>1000</v>
          </cell>
          <cell r="I82" t="str">
            <v>link</v>
          </cell>
          <cell r="J82" t="str">
            <v>--</v>
          </cell>
        </row>
        <row r="83">
          <cell r="B83" t="str">
            <v>Level 3 Communications, Inc. (LVLT)</v>
          </cell>
          <cell r="C83">
            <v>38323</v>
          </cell>
          <cell r="D83" t="str">
            <v>Convertible - Fixed</v>
          </cell>
          <cell r="E83" t="str">
            <v>144-A</v>
          </cell>
          <cell r="F83">
            <v>345</v>
          </cell>
          <cell r="G83">
            <v>345000</v>
          </cell>
          <cell r="H83">
            <v>1000</v>
          </cell>
          <cell r="I83" t="str">
            <v>link</v>
          </cell>
          <cell r="J83" t="str">
            <v>--</v>
          </cell>
        </row>
        <row r="84">
          <cell r="B84" t="str">
            <v>Level 3 Communications, Inc. (LVLT)</v>
          </cell>
          <cell r="C84">
            <v>37445</v>
          </cell>
          <cell r="D84" t="str">
            <v>Convertible - Fixed</v>
          </cell>
          <cell r="E84" t="str">
            <v>PIPE</v>
          </cell>
          <cell r="F84">
            <v>500</v>
          </cell>
          <cell r="G84">
            <v>500000</v>
          </cell>
          <cell r="H84">
            <v>1000</v>
          </cell>
          <cell r="I84" t="str">
            <v>link</v>
          </cell>
          <cell r="J84" t="str">
            <v>--</v>
          </cell>
        </row>
        <row r="85">
          <cell r="K85" t="str">
            <v>Source: PlacementTracker</v>
          </cell>
        </row>
        <row r="86">
          <cell r="A86" t="str">
            <v>1. Deal Value does not include preferred stock or option value.</v>
          </cell>
        </row>
        <row r="87">
          <cell r="A87" t="str">
            <v>2. Financial Advisors are sourced from press releases, filings, offering documents and advisor surveys.</v>
          </cell>
        </row>
        <row r="88">
          <cell r="A88" t="str">
            <v>3. M&amp;A deals shown are for the specified company and companies within its corporate structure.</v>
          </cell>
        </row>
        <row r="89">
          <cell r="A89" t="str">
            <v>4. For more details on how Deal Value is calculated, please see Online Assistant page 13079.</v>
          </cell>
        </row>
      </sheetData>
      <sheetData sheetId="10">
        <row r="3">
          <cell r="B3" t="str">
            <v>LVLT - HISTORICAL M&amp;A TRANSACTIONS</v>
          </cell>
        </row>
        <row r="4">
          <cell r="B4" t="str">
            <v>Announced Date</v>
          </cell>
          <cell r="C4" t="str">
            <v>Closed Date</v>
          </cell>
          <cell r="D4" t="str">
            <v>Target</v>
          </cell>
          <cell r="E4" t="str">
            <v>Size ($M)</v>
          </cell>
        </row>
        <row r="5">
          <cell r="B5">
            <v>40644</v>
          </cell>
          <cell r="C5" t="str">
            <v>-</v>
          </cell>
          <cell r="D5" t="str">
            <v>Global Crossing Ltd. (NasdaqGS:GLBC)</v>
          </cell>
          <cell r="E5">
            <v>2900</v>
          </cell>
        </row>
        <row r="6">
          <cell r="B6">
            <v>39007</v>
          </cell>
          <cell r="C6">
            <v>39085</v>
          </cell>
          <cell r="D6" t="str">
            <v>Broadwing Corporation</v>
          </cell>
          <cell r="E6">
            <v>1390</v>
          </cell>
        </row>
        <row r="7">
          <cell r="B7">
            <v>38840</v>
          </cell>
          <cell r="C7">
            <v>38922</v>
          </cell>
          <cell r="D7" t="str">
            <v>TelCove, Inc.</v>
          </cell>
          <cell r="E7">
            <v>1082</v>
          </cell>
        </row>
        <row r="8">
          <cell r="B8">
            <v>38655</v>
          </cell>
          <cell r="C8">
            <v>38709</v>
          </cell>
          <cell r="D8" t="str">
            <v>WilTel Communications Group Inc.</v>
          </cell>
          <cell r="E8">
            <v>680.5</v>
          </cell>
        </row>
        <row r="9">
          <cell r="B9">
            <v>37587</v>
          </cell>
          <cell r="C9">
            <v>37656</v>
          </cell>
          <cell r="D9" t="str">
            <v>Genuity Inc., Substantially All Assets (1)</v>
          </cell>
          <cell r="E9">
            <v>242</v>
          </cell>
        </row>
        <row r="10">
          <cell r="B10" t="str">
            <v>(1) LVLT assumes many of Genuity's long-term operating agreements.</v>
          </cell>
        </row>
      </sheetData>
      <sheetData sheetId="11">
        <row r="4">
          <cell r="C4" t="str">
            <v>LVLT / GLBC TRANSACTION SUMMARY</v>
          </cell>
          <cell r="G4" t="str">
            <v>COMPANY OVERVIEWS</v>
          </cell>
        </row>
        <row r="5">
          <cell r="C5" t="str">
            <v>Consideration</v>
          </cell>
          <cell r="D5" t="str">
            <v>•</v>
          </cell>
          <cell r="E5" t="str">
            <v>100% stock</v>
          </cell>
          <cell r="G5" t="str">
            <v>Level 3 operates one of the largest Internet backbones in the world. Over its broadband fiber optic network, LVLT provides IP services, broadband transport and infrastructure services, colocation services, voice services and voice over IP services.</v>
          </cell>
        </row>
        <row r="6">
          <cell r="C6" t="str">
            <v>Exchange Ratio</v>
          </cell>
          <cell r="D6" t="str">
            <v xml:space="preserve">•
</v>
          </cell>
          <cell r="E6" t="str">
            <v>16 LVLT common shares for each GLBC common and preferred share</v>
          </cell>
        </row>
        <row r="7">
          <cell r="C7" t="str">
            <v>Transaction Value</v>
          </cell>
          <cell r="D7" t="str">
            <v>•</v>
          </cell>
          <cell r="E7" t="str">
            <v>$1.9B, plus GLBC net debt of $1.1B</v>
          </cell>
        </row>
        <row r="8">
          <cell r="C8" t="str">
            <v>Estimated Multiples</v>
          </cell>
          <cell r="D8" t="str">
            <v>•</v>
          </cell>
          <cell r="E8" t="str">
            <v>7.1x GLBC's 2010 Adjusted EBITDA</v>
          </cell>
        </row>
        <row r="9">
          <cell r="C9" t="str">
            <v>Synergies</v>
          </cell>
          <cell r="D9" t="str">
            <v>•
•
•</v>
          </cell>
          <cell r="E9" t="str">
            <v>NPV of synergies $2.5B
$300M of annualized adjusted EBITDA
$40M of annualized capex savings</v>
          </cell>
          <cell r="G9" t="str">
            <v xml:space="preserve">Global Crossing is a leading global IP, Ethernet, data center and video solutions provider with the world's first integrated global IP-based network.
</v>
          </cell>
        </row>
        <row r="10">
          <cell r="C10" t="str">
            <v>Timing</v>
          </cell>
          <cell r="D10" t="str">
            <v>•</v>
          </cell>
          <cell r="E10" t="str">
            <v>Expected to close before year end</v>
          </cell>
        </row>
      </sheetData>
      <sheetData sheetId="12">
        <row r="2">
          <cell r="A2">
            <v>0</v>
          </cell>
          <cell r="B2">
            <v>0</v>
          </cell>
        </row>
        <row r="3">
          <cell r="A3">
            <v>0</v>
          </cell>
          <cell r="B3">
            <v>0</v>
          </cell>
        </row>
        <row r="4">
          <cell r="A4">
            <v>0</v>
          </cell>
          <cell r="B4">
            <v>0</v>
          </cell>
        </row>
        <row r="5">
          <cell r="B5">
            <v>40724</v>
          </cell>
          <cell r="D5" t="str">
            <v>LVLT</v>
          </cell>
          <cell r="E5" t="str">
            <v>GLBC</v>
          </cell>
          <cell r="F5" t="str">
            <v>Pro Forma</v>
          </cell>
          <cell r="G5" t="str">
            <v>Pro Forma w/ Synergies</v>
          </cell>
        </row>
        <row r="6">
          <cell r="C6" t="str">
            <v>Total Debt</v>
          </cell>
          <cell r="D6">
            <v>7224</v>
          </cell>
          <cell r="E6">
            <v>1417</v>
          </cell>
          <cell r="F6">
            <v>8641</v>
          </cell>
          <cell r="G6">
            <v>8641</v>
          </cell>
        </row>
        <row r="7">
          <cell r="C7" t="str">
            <v>cash and cash equiv</v>
          </cell>
          <cell r="D7">
            <v>584</v>
          </cell>
          <cell r="E7">
            <v>265</v>
          </cell>
          <cell r="F7">
            <v>849</v>
          </cell>
          <cell r="G7">
            <v>849</v>
          </cell>
        </row>
        <row r="8">
          <cell r="C8" t="str">
            <v>Net debt</v>
          </cell>
          <cell r="D8">
            <v>6640</v>
          </cell>
          <cell r="E8">
            <v>1152</v>
          </cell>
          <cell r="F8">
            <v>7792</v>
          </cell>
          <cell r="G8">
            <v>7792</v>
          </cell>
        </row>
        <row r="10">
          <cell r="C10" t="str">
            <v>adjusted EBITDA</v>
          </cell>
          <cell r="D10">
            <v>870</v>
          </cell>
          <cell r="E10">
            <v>407</v>
          </cell>
          <cell r="F10">
            <v>1277</v>
          </cell>
          <cell r="G10">
            <v>1577</v>
          </cell>
        </row>
        <row r="11">
          <cell r="C11" t="str">
            <v>synergies</v>
          </cell>
          <cell r="G11">
            <v>300</v>
          </cell>
        </row>
        <row r="13">
          <cell r="C13" t="str">
            <v>LTM Total Debt / EBITDA</v>
          </cell>
          <cell r="D13">
            <v>8.3034482758620687</v>
          </cell>
          <cell r="E13">
            <v>3.4815724815724818</v>
          </cell>
          <cell r="F13">
            <v>6.7666405638214568</v>
          </cell>
          <cell r="G13">
            <v>5.4793912492073558</v>
          </cell>
        </row>
        <row r="14">
          <cell r="C14" t="str">
            <v>LTM Net Debt / EBITDA</v>
          </cell>
          <cell r="D14">
            <v>7.6321839080459766</v>
          </cell>
          <cell r="E14">
            <v>2.8304668304668303</v>
          </cell>
          <cell r="F14">
            <v>6.1018010963194991</v>
          </cell>
          <cell r="G14">
            <v>4.9410272669625872</v>
          </cell>
        </row>
      </sheetData>
      <sheetData sheetId="13">
        <row r="2">
          <cell r="B2">
            <v>1</v>
          </cell>
          <cell r="C2">
            <v>2</v>
          </cell>
          <cell r="D2">
            <v>3</v>
          </cell>
          <cell r="E2">
            <v>4</v>
          </cell>
          <cell r="F2">
            <v>5</v>
          </cell>
          <cell r="G2">
            <v>6</v>
          </cell>
          <cell r="H2">
            <v>7</v>
          </cell>
          <cell r="I2">
            <v>8</v>
          </cell>
          <cell r="J2">
            <v>9</v>
          </cell>
          <cell r="K2">
            <v>10</v>
          </cell>
          <cell r="L2">
            <v>11</v>
          </cell>
        </row>
        <row r="3">
          <cell r="F3" t="str">
            <v xml:space="preserve">Date </v>
          </cell>
          <cell r="G3" t="str">
            <v xml:space="preserve">Price </v>
          </cell>
          <cell r="H3" t="str">
            <v>LTM EV / EBITDA</v>
          </cell>
          <cell r="I3" t="str">
            <v>LTM EV / EBITDA</v>
          </cell>
          <cell r="J3" t="str">
            <v xml:space="preserve">Opex </v>
          </cell>
          <cell r="K3" t="str">
            <v xml:space="preserve">Cash </v>
          </cell>
          <cell r="L3" t="str">
            <v xml:space="preserve">Synergies % </v>
          </cell>
        </row>
        <row r="4">
          <cell r="A4" t="str">
            <v>Strategics</v>
          </cell>
          <cell r="D4" t="str">
            <v>Target</v>
          </cell>
          <cell r="E4" t="str">
            <v>Acquirer</v>
          </cell>
          <cell r="F4" t="str">
            <v>Announced</v>
          </cell>
          <cell r="G4" t="str">
            <v>(EV)</v>
          </cell>
          <cell r="H4" t="str">
            <v>Pre-Synergies</v>
          </cell>
          <cell r="I4" t="str">
            <v>Post-Synergies</v>
          </cell>
          <cell r="J4" t="str">
            <v>Synergies</v>
          </cell>
          <cell r="K4" t="str">
            <v>Opex</v>
          </cell>
          <cell r="L4" t="str">
            <v>of Total Opex</v>
          </cell>
        </row>
        <row r="5">
          <cell r="B5">
            <v>10</v>
          </cell>
          <cell r="C5" t="str">
            <v>Level 3 / Global Crossing</v>
          </cell>
          <cell r="D5" t="str">
            <v>Global Crossing</v>
          </cell>
          <cell r="E5" t="str">
            <v>Level 3</v>
          </cell>
          <cell r="F5">
            <v>40644</v>
          </cell>
          <cell r="G5">
            <v>3000</v>
          </cell>
          <cell r="H5">
            <v>7.1</v>
          </cell>
          <cell r="I5">
            <v>4.2</v>
          </cell>
          <cell r="J5">
            <v>300</v>
          </cell>
          <cell r="K5">
            <v>2189</v>
          </cell>
          <cell r="L5">
            <v>0.13704888076747374</v>
          </cell>
          <cell r="O5">
            <v>1</v>
          </cell>
          <cell r="P5" t="str">
            <v>EarthLink / One Comm.</v>
          </cell>
          <cell r="Q5">
            <v>4.0322580645161289E-2</v>
          </cell>
        </row>
        <row r="6">
          <cell r="B6">
            <v>1</v>
          </cell>
          <cell r="C6" t="str">
            <v>EarthLink / One Comm.</v>
          </cell>
          <cell r="D6" t="str">
            <v>One Comm.</v>
          </cell>
          <cell r="E6" t="str">
            <v>EarthLink</v>
          </cell>
          <cell r="F6">
            <v>40532</v>
          </cell>
          <cell r="G6">
            <v>370</v>
          </cell>
          <cell r="H6" t="str">
            <v>4.7x</v>
          </cell>
          <cell r="I6" t="str">
            <v>3.7x</v>
          </cell>
          <cell r="J6">
            <v>20</v>
          </cell>
          <cell r="K6">
            <v>496</v>
          </cell>
          <cell r="L6">
            <v>4.0322580645161289E-2</v>
          </cell>
          <cell r="O6">
            <v>2</v>
          </cell>
          <cell r="P6" t="str">
            <v>Neutral Tandem / Tinet</v>
          </cell>
          <cell r="Q6">
            <v>4.6833184656556649E-2</v>
          </cell>
        </row>
        <row r="7">
          <cell r="B7">
            <v>4</v>
          </cell>
          <cell r="C7" t="str">
            <v>EarthLink / ITC^Deltacom</v>
          </cell>
          <cell r="D7" t="str">
            <v>ITC^Deltacom</v>
          </cell>
          <cell r="E7" t="str">
            <v>EarthLink</v>
          </cell>
          <cell r="F7">
            <v>40452</v>
          </cell>
          <cell r="G7">
            <v>516</v>
          </cell>
          <cell r="H7" t="str">
            <v>5.8x</v>
          </cell>
          <cell r="I7" t="str">
            <v>4.7x</v>
          </cell>
          <cell r="J7">
            <v>20</v>
          </cell>
          <cell r="K7">
            <v>362</v>
          </cell>
          <cell r="L7">
            <v>5.5248618784530384E-2</v>
          </cell>
          <cell r="O7">
            <v>3</v>
          </cell>
          <cell r="P7" t="str">
            <v>PAETEC / US LEC (1)</v>
          </cell>
          <cell r="Q7">
            <v>4.9261083743842367E-2</v>
          </cell>
        </row>
        <row r="8">
          <cell r="B8" t="e">
            <v>#VALUE!</v>
          </cell>
          <cell r="C8" t="str">
            <v>Lightower / Lexent</v>
          </cell>
          <cell r="D8" t="str">
            <v>Lexent</v>
          </cell>
          <cell r="E8" t="str">
            <v>Lightower</v>
          </cell>
          <cell r="F8">
            <v>40435</v>
          </cell>
          <cell r="G8" t="str">
            <v>NA</v>
          </cell>
          <cell r="H8" t="str">
            <v>NA</v>
          </cell>
          <cell r="I8" t="str">
            <v>NA</v>
          </cell>
          <cell r="J8" t="str">
            <v>NA</v>
          </cell>
          <cell r="K8" t="str">
            <v>NA</v>
          </cell>
          <cell r="L8" t="str">
            <v>NA</v>
          </cell>
          <cell r="O8">
            <v>4</v>
          </cell>
          <cell r="P8" t="str">
            <v>EarthLink / ITC^Deltacom</v>
          </cell>
          <cell r="Q8">
            <v>5.5248618784530384E-2</v>
          </cell>
        </row>
        <row r="9">
          <cell r="B9">
            <v>9</v>
          </cell>
          <cell r="C9" t="str">
            <v>PAETEC / Cavalier</v>
          </cell>
          <cell r="D9" t="str">
            <v>Cavalier</v>
          </cell>
          <cell r="E9" t="str">
            <v>PAETEC</v>
          </cell>
          <cell r="F9">
            <v>40434</v>
          </cell>
          <cell r="G9">
            <v>460</v>
          </cell>
          <cell r="H9" t="str">
            <v>5.1x</v>
          </cell>
          <cell r="I9" t="str">
            <v>3.8x</v>
          </cell>
          <cell r="J9">
            <v>30</v>
          </cell>
          <cell r="K9">
            <v>288</v>
          </cell>
          <cell r="L9">
            <v>0.10416666666666667</v>
          </cell>
          <cell r="O9">
            <v>4</v>
          </cell>
          <cell r="P9" t="str">
            <v>EarthLink / ITC^Deltacom</v>
          </cell>
          <cell r="Q9">
            <v>5.5248618784530384E-2</v>
          </cell>
        </row>
        <row r="10">
          <cell r="B10">
            <v>2</v>
          </cell>
          <cell r="C10" t="str">
            <v>Neutral Tandem / Tinet</v>
          </cell>
          <cell r="D10" t="str">
            <v>Tinet</v>
          </cell>
          <cell r="E10" t="str">
            <v>Neutral Tandem</v>
          </cell>
          <cell r="F10">
            <v>40430</v>
          </cell>
          <cell r="G10">
            <v>94.9</v>
          </cell>
          <cell r="H10" t="str">
            <v>7.0x</v>
          </cell>
          <cell r="I10" t="str">
            <v>6.1x</v>
          </cell>
          <cell r="J10">
            <v>2.1</v>
          </cell>
          <cell r="K10">
            <v>44.839999999999996</v>
          </cell>
          <cell r="L10">
            <v>4.6833184656556649E-2</v>
          </cell>
          <cell r="O10">
            <v>5</v>
          </cell>
          <cell r="P10" t="str">
            <v>Windstream / PAETEC</v>
          </cell>
          <cell r="Q10">
            <v>0.06</v>
          </cell>
        </row>
        <row r="11">
          <cell r="B11">
            <v>12</v>
          </cell>
          <cell r="C11" t="str">
            <v>Windstream / KDL / Norlight</v>
          </cell>
          <cell r="D11" t="str">
            <v>KDL / Norlight</v>
          </cell>
          <cell r="E11" t="str">
            <v>Windstream</v>
          </cell>
          <cell r="F11">
            <v>40407</v>
          </cell>
          <cell r="G11">
            <v>782</v>
          </cell>
          <cell r="H11" t="str">
            <v>8.4x</v>
          </cell>
          <cell r="I11" t="str">
            <v>6.6x</v>
          </cell>
          <cell r="J11">
            <v>25</v>
          </cell>
          <cell r="K11">
            <v>138.19999999999999</v>
          </cell>
          <cell r="L11">
            <v>0.18089725036179452</v>
          </cell>
          <cell r="O11">
            <v>6</v>
          </cell>
          <cell r="P11" t="str">
            <v>PAETEC / McLeod USA</v>
          </cell>
          <cell r="Q11">
            <v>6.3965884861407252E-2</v>
          </cell>
        </row>
        <row r="12">
          <cell r="B12">
            <v>11</v>
          </cell>
          <cell r="C12" t="str">
            <v xml:space="preserve">NTELOS / Fibernet </v>
          </cell>
          <cell r="D12" t="str">
            <v xml:space="preserve">Fibernet </v>
          </cell>
          <cell r="E12" t="str">
            <v>NTELOS</v>
          </cell>
          <cell r="F12">
            <v>40379</v>
          </cell>
          <cell r="G12">
            <v>170</v>
          </cell>
          <cell r="H12" t="str">
            <v>6.8x (1)</v>
          </cell>
          <cell r="I12" t="str">
            <v>5.4x (1)</v>
          </cell>
          <cell r="J12">
            <v>8</v>
          </cell>
          <cell r="K12">
            <v>51</v>
          </cell>
          <cell r="L12">
            <v>0.15686274509803921</v>
          </cell>
          <cell r="O12">
            <v>7</v>
          </cell>
          <cell r="P12" t="str">
            <v>Windstream / NuVox</v>
          </cell>
          <cell r="Q12">
            <v>6.726457399103139E-2</v>
          </cell>
        </row>
        <row r="13">
          <cell r="B13" t="e">
            <v>#VALUE!</v>
          </cell>
          <cell r="C13" t="str">
            <v>Lightyear / SouthEast Telephone</v>
          </cell>
          <cell r="D13" t="str">
            <v>SouthEast Telephone</v>
          </cell>
          <cell r="E13" t="str">
            <v>Lightyear</v>
          </cell>
          <cell r="F13">
            <v>40360</v>
          </cell>
          <cell r="G13">
            <v>7.3</v>
          </cell>
          <cell r="H13" t="str">
            <v>NA</v>
          </cell>
          <cell r="I13" t="str">
            <v>NA</v>
          </cell>
          <cell r="J13" t="str">
            <v>NA</v>
          </cell>
          <cell r="K13" t="str">
            <v>NA</v>
          </cell>
          <cell r="L13" t="str">
            <v>NA</v>
          </cell>
          <cell r="O13">
            <v>8</v>
          </cell>
          <cell r="P13" t="str">
            <v>PAETEC / US LEC (2)</v>
          </cell>
          <cell r="Q13">
            <v>9.8039215686274508E-2</v>
          </cell>
        </row>
        <row r="14">
          <cell r="B14" t="e">
            <v>#VALUE!</v>
          </cell>
          <cell r="C14" t="str">
            <v>Zayo Group / AFS</v>
          </cell>
          <cell r="D14" t="str">
            <v>AFS</v>
          </cell>
          <cell r="E14" t="str">
            <v>Zayo Group</v>
          </cell>
          <cell r="F14">
            <v>40359</v>
          </cell>
          <cell r="G14">
            <v>115.5</v>
          </cell>
          <cell r="H14" t="str">
            <v>NA</v>
          </cell>
          <cell r="I14" t="str">
            <v>7.7x</v>
          </cell>
          <cell r="J14" t="str">
            <v>NA</v>
          </cell>
          <cell r="K14" t="str">
            <v>NA</v>
          </cell>
          <cell r="L14" t="str">
            <v>NA</v>
          </cell>
          <cell r="O14">
            <v>9</v>
          </cell>
          <cell r="P14" t="str">
            <v>PAETEC / Cavalier</v>
          </cell>
          <cell r="Q14">
            <v>0.10416666666666667</v>
          </cell>
        </row>
        <row r="15">
          <cell r="B15" t="e">
            <v>#VALUE!</v>
          </cell>
          <cell r="C15" t="str">
            <v>Covad / Megapath / Speakeasy</v>
          </cell>
          <cell r="D15" t="str">
            <v>Speakeasy</v>
          </cell>
          <cell r="E15" t="str">
            <v>Covad / Megapath</v>
          </cell>
          <cell r="F15">
            <v>40340</v>
          </cell>
          <cell r="G15" t="str">
            <v>NA</v>
          </cell>
          <cell r="H15" t="str">
            <v>NA</v>
          </cell>
          <cell r="I15" t="str">
            <v>NA</v>
          </cell>
          <cell r="J15" t="str">
            <v>NA</v>
          </cell>
          <cell r="K15" t="str">
            <v>NA</v>
          </cell>
          <cell r="L15" t="str">
            <v>NA</v>
          </cell>
          <cell r="O15">
            <v>10</v>
          </cell>
          <cell r="P15" t="str">
            <v>Level 3 / Global Crossing</v>
          </cell>
          <cell r="Q15">
            <v>0.13704888076747374</v>
          </cell>
        </row>
        <row r="16">
          <cell r="B16" t="e">
            <v>#VALUE!</v>
          </cell>
          <cell r="C16" t="str">
            <v>Lightower / Veroxity</v>
          </cell>
          <cell r="D16" t="str">
            <v>Veroxity</v>
          </cell>
          <cell r="E16" t="str">
            <v>Lightower</v>
          </cell>
          <cell r="F16">
            <v>40323</v>
          </cell>
          <cell r="G16" t="str">
            <v>NA</v>
          </cell>
          <cell r="H16" t="str">
            <v>NA</v>
          </cell>
          <cell r="I16" t="str">
            <v>NA</v>
          </cell>
          <cell r="J16" t="str">
            <v>NA</v>
          </cell>
          <cell r="K16" t="str">
            <v>NA</v>
          </cell>
          <cell r="L16" t="str">
            <v>NA</v>
          </cell>
          <cell r="O16">
            <v>11</v>
          </cell>
          <cell r="P16" t="str">
            <v xml:space="preserve">NTELOS / Fibernet </v>
          </cell>
          <cell r="Q16">
            <v>0.15686274509803921</v>
          </cell>
        </row>
        <row r="17">
          <cell r="B17" t="e">
            <v>#VALUE!</v>
          </cell>
          <cell r="C17" t="str">
            <v>Covad / Megapath</v>
          </cell>
          <cell r="D17" t="str">
            <v>Megapath</v>
          </cell>
          <cell r="E17" t="str">
            <v>Covad</v>
          </cell>
          <cell r="F17">
            <v>40268</v>
          </cell>
          <cell r="G17" t="str">
            <v>NA</v>
          </cell>
          <cell r="H17" t="str">
            <v>NA</v>
          </cell>
          <cell r="I17" t="str">
            <v>NA</v>
          </cell>
          <cell r="J17" t="str">
            <v>NA</v>
          </cell>
          <cell r="K17" t="str">
            <v>NA</v>
          </cell>
          <cell r="L17" t="str">
            <v>NA</v>
          </cell>
          <cell r="O17">
            <v>12</v>
          </cell>
          <cell r="P17" t="str">
            <v>Windstream / KDL / Norlight</v>
          </cell>
          <cell r="Q17">
            <v>0.18089725036179452</v>
          </cell>
        </row>
        <row r="18">
          <cell r="B18">
            <v>14</v>
          </cell>
          <cell r="C18" t="str">
            <v>Zayo Group / AGL Networks</v>
          </cell>
          <cell r="D18" t="str">
            <v>AGL Networks</v>
          </cell>
          <cell r="E18" t="str">
            <v>Zayo Group</v>
          </cell>
          <cell r="F18">
            <v>40261</v>
          </cell>
          <cell r="G18">
            <v>73</v>
          </cell>
          <cell r="H18" t="str">
            <v>10.1x</v>
          </cell>
          <cell r="I18" t="str">
            <v>7.7x</v>
          </cell>
          <cell r="J18">
            <v>2.2999999999999998</v>
          </cell>
          <cell r="K18">
            <v>11.2</v>
          </cell>
          <cell r="L18">
            <v>0.20535714285714285</v>
          </cell>
          <cell r="O18">
            <v>8</v>
          </cell>
          <cell r="P18" t="str">
            <v>PAETEC / US LEC (2)</v>
          </cell>
          <cell r="Q18">
            <v>9.8039215686274508E-2</v>
          </cell>
        </row>
        <row r="19">
          <cell r="B19" t="e">
            <v>#VALUE!</v>
          </cell>
          <cell r="C19" t="str">
            <v>PacketExchange / Mzima Networks</v>
          </cell>
          <cell r="D19" t="str">
            <v>Mzima Networks</v>
          </cell>
          <cell r="E19" t="str">
            <v>PacketExchange</v>
          </cell>
          <cell r="F19">
            <v>40196</v>
          </cell>
          <cell r="G19" t="str">
            <v>NA</v>
          </cell>
          <cell r="H19" t="str">
            <v>NA</v>
          </cell>
          <cell r="I19" t="str">
            <v>NA</v>
          </cell>
          <cell r="J19" t="str">
            <v>NA</v>
          </cell>
          <cell r="K19" t="str">
            <v>NA</v>
          </cell>
          <cell r="L19" t="str">
            <v>NA</v>
          </cell>
          <cell r="O19">
            <v>9</v>
          </cell>
          <cell r="P19" t="str">
            <v>PAETEC / Cavalier</v>
          </cell>
          <cell r="Q19">
            <v>0.10416666666666667</v>
          </cell>
        </row>
        <row r="20">
          <cell r="B20">
            <v>7</v>
          </cell>
          <cell r="C20" t="str">
            <v>Windstream / NuVox</v>
          </cell>
          <cell r="D20" t="str">
            <v>NuVox</v>
          </cell>
          <cell r="E20" t="str">
            <v>Windstream</v>
          </cell>
          <cell r="F20">
            <v>40120</v>
          </cell>
          <cell r="G20">
            <v>643</v>
          </cell>
          <cell r="H20" t="str">
            <v>5.7x</v>
          </cell>
          <cell r="I20" t="str">
            <v>4.5x</v>
          </cell>
          <cell r="J20">
            <v>30</v>
          </cell>
          <cell r="K20">
            <v>446</v>
          </cell>
          <cell r="L20">
            <v>6.726457399103139E-2</v>
          </cell>
          <cell r="O20">
            <v>9</v>
          </cell>
          <cell r="P20" t="str">
            <v>PAETEC / Cavalier</v>
          </cell>
          <cell r="Q20">
            <v>0.10416666666666667</v>
          </cell>
        </row>
        <row r="21">
          <cell r="B21">
            <v>6</v>
          </cell>
          <cell r="C21" t="str">
            <v>PAETEC / McLeod USA</v>
          </cell>
          <cell r="D21" t="str">
            <v>McLeod USA</v>
          </cell>
          <cell r="E21" t="str">
            <v>PAETEC</v>
          </cell>
          <cell r="F21">
            <v>39342</v>
          </cell>
          <cell r="G21">
            <v>557</v>
          </cell>
          <cell r="H21" t="str">
            <v>11.6x</v>
          </cell>
          <cell r="I21" t="str">
            <v>7.1x</v>
          </cell>
          <cell r="J21">
            <v>30</v>
          </cell>
          <cell r="K21">
            <v>469</v>
          </cell>
          <cell r="L21">
            <v>6.3965884861407252E-2</v>
          </cell>
          <cell r="O21">
            <v>10</v>
          </cell>
          <cell r="P21" t="str">
            <v>Level 3 / Global Crossing</v>
          </cell>
          <cell r="Q21">
            <v>0.13704888076747374</v>
          </cell>
        </row>
        <row r="22">
          <cell r="B22">
            <v>8</v>
          </cell>
          <cell r="C22" t="str">
            <v>PAETEC / US LEC (2)</v>
          </cell>
          <cell r="D22" t="str">
            <v>US LEC (2)</v>
          </cell>
          <cell r="E22" t="str">
            <v>PAETEC</v>
          </cell>
          <cell r="F22">
            <v>38943</v>
          </cell>
          <cell r="G22">
            <v>826</v>
          </cell>
          <cell r="H22" t="str">
            <v>14.2x</v>
          </cell>
          <cell r="I22" t="str">
            <v>8.4x</v>
          </cell>
          <cell r="J22">
            <v>40</v>
          </cell>
          <cell r="K22">
            <v>408</v>
          </cell>
          <cell r="L22">
            <v>9.8039215686274508E-2</v>
          </cell>
          <cell r="O22">
            <v>11</v>
          </cell>
          <cell r="P22" t="str">
            <v xml:space="preserve">NTELOS / Fibernet </v>
          </cell>
          <cell r="Q22">
            <v>0.15686274509803921</v>
          </cell>
        </row>
        <row r="23">
          <cell r="B23">
            <v>3</v>
          </cell>
          <cell r="C23" t="str">
            <v>PAETEC / US LEC (1)</v>
          </cell>
          <cell r="D23" t="str">
            <v>US LEC (1)</v>
          </cell>
          <cell r="E23" t="str">
            <v>PAETEC</v>
          </cell>
          <cell r="F23">
            <v>38943</v>
          </cell>
          <cell r="G23">
            <v>1262</v>
          </cell>
          <cell r="H23" t="str">
            <v>8.6x</v>
          </cell>
          <cell r="I23" t="str">
            <v>6.8x</v>
          </cell>
          <cell r="J23">
            <v>40</v>
          </cell>
          <cell r="K23">
            <v>812</v>
          </cell>
          <cell r="L23">
            <v>4.9261083743842367E-2</v>
          </cell>
          <cell r="O23">
            <v>12</v>
          </cell>
          <cell r="P23" t="str">
            <v>Windstream / KDL / Norlight</v>
          </cell>
          <cell r="Q23">
            <v>0.18089725036179452</v>
          </cell>
        </row>
        <row r="24">
          <cell r="B24">
            <v>15</v>
          </cell>
          <cell r="C24" t="str">
            <v>tw telecom / Xspedius</v>
          </cell>
          <cell r="D24" t="str">
            <v>Xspedius</v>
          </cell>
          <cell r="E24" t="str">
            <v>tw telecom</v>
          </cell>
          <cell r="F24">
            <v>38926</v>
          </cell>
          <cell r="G24">
            <v>531.5</v>
          </cell>
          <cell r="H24" t="str">
            <v>11.8x (2)</v>
          </cell>
          <cell r="I24" t="str">
            <v>5.9x (2)</v>
          </cell>
          <cell r="J24">
            <v>45</v>
          </cell>
          <cell r="K24">
            <v>195</v>
          </cell>
          <cell r="L24">
            <v>0.23076923076923078</v>
          </cell>
          <cell r="O24">
            <v>13</v>
          </cell>
          <cell r="P24" t="str">
            <v>Level 3 / WilTel</v>
          </cell>
          <cell r="Q24">
            <v>0.19444444444444445</v>
          </cell>
        </row>
        <row r="25">
          <cell r="C25" t="str">
            <v>Level 3 / Telcove</v>
          </cell>
          <cell r="D25" t="str">
            <v>Telcove</v>
          </cell>
          <cell r="E25" t="str">
            <v>Level 3</v>
          </cell>
          <cell r="F25">
            <v>38838</v>
          </cell>
          <cell r="G25">
            <v>1237.5</v>
          </cell>
          <cell r="H25" t="str">
            <v>9.5x (3)</v>
          </cell>
          <cell r="I25" t="str">
            <v>NA</v>
          </cell>
          <cell r="J25" t="str">
            <v>NA</v>
          </cell>
          <cell r="K25">
            <v>260</v>
          </cell>
          <cell r="L25" t="str">
            <v>NA</v>
          </cell>
          <cell r="M25" t="str">
            <v>Revenue</v>
          </cell>
          <cell r="N25" t="str">
            <v>Integration</v>
          </cell>
          <cell r="O25">
            <v>12</v>
          </cell>
          <cell r="P25" t="str">
            <v>Windstream / KDL / Norlight</v>
          </cell>
          <cell r="Q25">
            <v>0.18089725036179452</v>
          </cell>
          <cell r="R25" t="str">
            <v>Capex</v>
          </cell>
        </row>
        <row r="26">
          <cell r="B26">
            <v>13</v>
          </cell>
          <cell r="C26" t="str">
            <v>Level 3 / WilTel</v>
          </cell>
          <cell r="D26" t="str">
            <v>WilTel</v>
          </cell>
          <cell r="E26" t="str">
            <v>Level 3</v>
          </cell>
          <cell r="F26">
            <v>38656</v>
          </cell>
          <cell r="G26">
            <v>703.5</v>
          </cell>
          <cell r="H26" t="str">
            <v>NA</v>
          </cell>
          <cell r="I26" t="str">
            <v>NA</v>
          </cell>
          <cell r="J26">
            <v>140</v>
          </cell>
          <cell r="K26">
            <v>720</v>
          </cell>
          <cell r="L26">
            <v>0.19444444444444445</v>
          </cell>
          <cell r="M26">
            <v>900</v>
          </cell>
          <cell r="O26">
            <v>14</v>
          </cell>
          <cell r="P26" t="str">
            <v>Zayo Group / AGL Networks</v>
          </cell>
          <cell r="Q26">
            <v>0.20535714285714285</v>
          </cell>
        </row>
        <row r="27">
          <cell r="B27">
            <v>5</v>
          </cell>
          <cell r="C27" t="str">
            <v>Windstream / PAETEC</v>
          </cell>
          <cell r="D27" t="str">
            <v>PAETEC</v>
          </cell>
          <cell r="E27" t="str">
            <v>Windstream</v>
          </cell>
          <cell r="L27">
            <v>0.06</v>
          </cell>
          <cell r="O27">
            <v>15</v>
          </cell>
          <cell r="P27" t="str">
            <v>tw telecom / Xspedius</v>
          </cell>
          <cell r="Q27">
            <v>0.23076923076923078</v>
          </cell>
        </row>
        <row r="28">
          <cell r="D28" t="str">
            <v>AVERAGE</v>
          </cell>
          <cell r="L28">
            <v>0.1164629645238283</v>
          </cell>
        </row>
        <row r="30">
          <cell r="A30" t="str">
            <v>Private Equity</v>
          </cell>
          <cell r="D30" t="str">
            <v>RCN</v>
          </cell>
          <cell r="E30" t="str">
            <v>ABRY Partners</v>
          </cell>
          <cell r="F30">
            <v>40243</v>
          </cell>
          <cell r="G30">
            <v>1200</v>
          </cell>
          <cell r="H30" t="str">
            <v>8.3x</v>
          </cell>
          <cell r="I30" t="str">
            <v>NA</v>
          </cell>
          <cell r="J30" t="str">
            <v>NA</v>
          </cell>
          <cell r="K30">
            <v>422.5</v>
          </cell>
          <cell r="L30" t="str">
            <v>NA</v>
          </cell>
        </row>
        <row r="31">
          <cell r="D31" t="str">
            <v>DukeNet</v>
          </cell>
          <cell r="E31" t="str">
            <v>Alinda Capital Partners (50% Stake)</v>
          </cell>
          <cell r="F31">
            <v>40354</v>
          </cell>
          <cell r="G31">
            <v>137</v>
          </cell>
          <cell r="H31" t="str">
            <v>NA</v>
          </cell>
          <cell r="I31" t="str">
            <v>NA</v>
          </cell>
          <cell r="J31" t="str">
            <v>NA</v>
          </cell>
          <cell r="K31" t="str">
            <v>NA</v>
          </cell>
          <cell r="L31" t="str">
            <v>NA</v>
          </cell>
        </row>
        <row r="32">
          <cell r="D32" t="str">
            <v>Fibertech</v>
          </cell>
          <cell r="E32" t="str">
            <v>Court Square Capital Partners</v>
          </cell>
          <cell r="F32">
            <v>40416</v>
          </cell>
          <cell r="G32">
            <v>500</v>
          </cell>
          <cell r="H32" t="str">
            <v>NA</v>
          </cell>
          <cell r="I32" t="str">
            <v>NA</v>
          </cell>
          <cell r="J32" t="str">
            <v>NA</v>
          </cell>
          <cell r="K32" t="str">
            <v>NA</v>
          </cell>
          <cell r="L32" t="str">
            <v>NA</v>
          </cell>
        </row>
        <row r="33">
          <cell r="D33" t="str">
            <v>Unite Private Networks</v>
          </cell>
          <cell r="E33" t="str">
            <v>Ridgemont Equity Partners</v>
          </cell>
          <cell r="F33">
            <v>40421</v>
          </cell>
          <cell r="G33" t="str">
            <v>NA</v>
          </cell>
          <cell r="H33" t="str">
            <v>NA</v>
          </cell>
          <cell r="I33" t="str">
            <v>NA</v>
          </cell>
          <cell r="J33" t="str">
            <v>NA</v>
          </cell>
          <cell r="K33" t="str">
            <v>NA</v>
          </cell>
          <cell r="L33" t="str">
            <v>NA</v>
          </cell>
        </row>
        <row r="35">
          <cell r="E35" t="str">
            <v>= Prior Year EBITDA</v>
          </cell>
        </row>
        <row r="37">
          <cell r="E37" t="str">
            <v>= 2007 Projected EBITDA</v>
          </cell>
          <cell r="N37">
            <v>125</v>
          </cell>
          <cell r="O37">
            <v>75</v>
          </cell>
          <cell r="Q37">
            <v>200</v>
          </cell>
          <cell r="R37">
            <v>35</v>
          </cell>
          <cell r="S37">
            <v>235</v>
          </cell>
          <cell r="T37">
            <v>665</v>
          </cell>
          <cell r="U37">
            <v>0.21052631578947367</v>
          </cell>
        </row>
        <row r="38">
          <cell r="E38" t="str">
            <v>= 2006 Projected EBITDA</v>
          </cell>
        </row>
        <row r="40">
          <cell r="D40" t="str">
            <v>(1) Projected Merged Entity</v>
          </cell>
        </row>
        <row r="41">
          <cell r="D41" t="str">
            <v>(2) Price Includes Financing of PAETEC's First and Second Lien Debt, US LEC Debt, Purchase of US LEC Preferred Stock, and Fees &amp; Other</v>
          </cell>
        </row>
      </sheetData>
      <sheetData sheetId="14">
        <row r="1">
          <cell r="J1" t="str">
            <v>Sep 30 2008 LTM</v>
          </cell>
          <cell r="O1" t="str">
            <v>CTL</v>
          </cell>
          <cell r="P1" t="str">
            <v>SVVS</v>
          </cell>
          <cell r="Q1" t="str">
            <v>SVVS</v>
          </cell>
          <cell r="R1" t="str">
            <v>T/Tmo</v>
          </cell>
          <cell r="X1">
            <v>2008</v>
          </cell>
          <cell r="Z1" t="str">
            <v>12 months ended sept 30 2009</v>
          </cell>
          <cell r="AC1" t="str">
            <v>12 months ended sept 30 2009</v>
          </cell>
        </row>
        <row r="2">
          <cell r="I2" t="str">
            <v>CTL</v>
          </cell>
          <cell r="K2" t="str">
            <v>EMBARQ</v>
          </cell>
          <cell r="L2" t="str">
            <v>CTL</v>
          </cell>
          <cell r="M2" t="str">
            <v>Q</v>
          </cell>
          <cell r="O2" t="str">
            <v>CTL</v>
          </cell>
          <cell r="P2" t="str">
            <v xml:space="preserve">1Q11 </v>
          </cell>
          <cell r="Q2" t="str">
            <v>2011 Guidance</v>
          </cell>
          <cell r="R2">
            <v>2010</v>
          </cell>
          <cell r="T2" t="str">
            <v>Spinco</v>
          </cell>
          <cell r="U2" t="str">
            <v>FRP legacy</v>
          </cell>
          <cell r="V2" t="str">
            <v>adj</v>
          </cell>
          <cell r="X2" t="str">
            <v>FTR</v>
          </cell>
          <cell r="Y2" t="str">
            <v>Spinco</v>
          </cell>
          <cell r="Z2" t="str">
            <v>WIN</v>
          </cell>
          <cell r="AA2" t="str">
            <v>IOWA</v>
          </cell>
          <cell r="AC2" t="str">
            <v>WIN</v>
          </cell>
          <cell r="AD2" t="str">
            <v>Lexcom</v>
          </cell>
          <cell r="AF2" t="str">
            <v>Nuvox</v>
          </cell>
          <cell r="AG2" t="str">
            <v>D&amp;E</v>
          </cell>
          <cell r="AH2" t="str">
            <v>WIN</v>
          </cell>
        </row>
        <row r="3">
          <cell r="B3" t="str">
            <v>WIN / D&amp;E</v>
          </cell>
          <cell r="C3">
            <v>0.29761904761904762</v>
          </cell>
          <cell r="L3">
            <v>7530.2110000000002</v>
          </cell>
          <cell r="M3">
            <v>12311</v>
          </cell>
          <cell r="N3">
            <v>19841.210999999999</v>
          </cell>
          <cell r="Q3">
            <v>1045</v>
          </cell>
          <cell r="R3">
            <v>21346.996447092166</v>
          </cell>
          <cell r="T3">
            <v>1197</v>
          </cell>
          <cell r="U3">
            <v>283</v>
          </cell>
          <cell r="V3">
            <v>-5</v>
          </cell>
          <cell r="W3">
            <v>1475</v>
          </cell>
          <cell r="X3">
            <v>2237</v>
          </cell>
          <cell r="Y3">
            <v>4352</v>
          </cell>
          <cell r="Z3">
            <v>3716.3002721330281</v>
          </cell>
          <cell r="AA3">
            <v>275</v>
          </cell>
          <cell r="AB3">
            <v>3991.3002721330281</v>
          </cell>
          <cell r="AC3">
            <v>3020.2</v>
          </cell>
          <cell r="AD3">
            <v>44</v>
          </cell>
          <cell r="AE3">
            <v>3064.2</v>
          </cell>
          <cell r="AF3">
            <v>565</v>
          </cell>
          <cell r="AG3">
            <v>148</v>
          </cell>
          <cell r="AH3">
            <v>3246.6</v>
          </cell>
          <cell r="AI3">
            <v>3394.6</v>
          </cell>
        </row>
        <row r="4">
          <cell r="B4" t="str">
            <v>WIN / IOWA</v>
          </cell>
          <cell r="C4">
            <v>0.2413793103448276</v>
          </cell>
          <cell r="K4">
            <v>6222</v>
          </cell>
          <cell r="L4">
            <v>3729.6940000000004</v>
          </cell>
          <cell r="M4">
            <v>7896</v>
          </cell>
          <cell r="N4">
            <v>11625.694</v>
          </cell>
          <cell r="Q4">
            <v>767.5</v>
          </cell>
          <cell r="R4">
            <v>15869</v>
          </cell>
          <cell r="T4">
            <v>845</v>
          </cell>
          <cell r="U4">
            <v>218</v>
          </cell>
          <cell r="V4">
            <v>-99</v>
          </cell>
          <cell r="W4">
            <v>964</v>
          </cell>
          <cell r="X4">
            <v>1023</v>
          </cell>
          <cell r="Y4">
            <v>2549</v>
          </cell>
          <cell r="Z4">
            <v>1912.3</v>
          </cell>
          <cell r="AA4">
            <v>145</v>
          </cell>
          <cell r="AB4">
            <v>2057.3000000000002</v>
          </cell>
          <cell r="AC4">
            <v>1497.6999999999998</v>
          </cell>
          <cell r="AD4">
            <v>21</v>
          </cell>
          <cell r="AE4">
            <v>1518.6999999999998</v>
          </cell>
          <cell r="AF4">
            <v>453</v>
          </cell>
          <cell r="AG4">
            <v>84</v>
          </cell>
          <cell r="AH4">
            <v>1527.3</v>
          </cell>
          <cell r="AI4">
            <v>1611.3</v>
          </cell>
        </row>
        <row r="5">
          <cell r="B5" t="str">
            <v>WIN / LEXCOM</v>
          </cell>
          <cell r="C5">
            <v>0.23809523809523808</v>
          </cell>
          <cell r="K5">
            <v>3624</v>
          </cell>
          <cell r="L5">
            <v>3800.5169999999998</v>
          </cell>
          <cell r="M5">
            <v>4415</v>
          </cell>
          <cell r="N5">
            <v>8215.5169999999998</v>
          </cell>
          <cell r="Q5">
            <v>277.5</v>
          </cell>
          <cell r="T5">
            <v>352</v>
          </cell>
          <cell r="U5">
            <v>65</v>
          </cell>
          <cell r="X5">
            <v>1214</v>
          </cell>
          <cell r="Y5">
            <v>1803</v>
          </cell>
          <cell r="Z5">
            <v>1804.0002721330281</v>
          </cell>
          <cell r="AA5">
            <v>130</v>
          </cell>
          <cell r="AB5">
            <v>1934.0002721330281</v>
          </cell>
          <cell r="AC5">
            <v>1522.5</v>
          </cell>
          <cell r="AD5">
            <v>23</v>
          </cell>
          <cell r="AE5">
            <v>1545.5</v>
          </cell>
          <cell r="AF5">
            <v>112</v>
          </cell>
          <cell r="AG5">
            <v>64</v>
          </cell>
          <cell r="AH5">
            <v>1719.3</v>
          </cell>
          <cell r="AI5">
            <v>1783.3</v>
          </cell>
        </row>
        <row r="6">
          <cell r="B6" t="str">
            <v>FTR / VZ</v>
          </cell>
          <cell r="C6">
            <v>0.19615535504119264</v>
          </cell>
          <cell r="K6">
            <v>2598</v>
          </cell>
        </row>
        <row r="7">
          <cell r="B7" t="str">
            <v>T/T-Mo</v>
          </cell>
          <cell r="C7">
            <v>0.18904782910076248</v>
          </cell>
          <cell r="M7">
            <v>575</v>
          </cell>
          <cell r="Q7">
            <v>70</v>
          </cell>
          <cell r="R7">
            <v>3000</v>
          </cell>
          <cell r="T7">
            <v>111</v>
          </cell>
          <cell r="Y7">
            <v>500</v>
          </cell>
          <cell r="AA7">
            <v>35</v>
          </cell>
          <cell r="AD7">
            <v>5</v>
          </cell>
          <cell r="AF7">
            <v>30</v>
          </cell>
          <cell r="AG7">
            <v>25</v>
          </cell>
        </row>
        <row r="8">
          <cell r="B8" t="str">
            <v>LVLT/GLBC</v>
          </cell>
          <cell r="C8">
            <v>0.13700000000000001</v>
          </cell>
          <cell r="J8">
            <v>300</v>
          </cell>
          <cell r="K8">
            <v>375</v>
          </cell>
          <cell r="M8">
            <v>50</v>
          </cell>
        </row>
        <row r="9">
          <cell r="B9" t="str">
            <v>FRP / VZ</v>
          </cell>
          <cell r="C9">
            <v>0.13136094674556212</v>
          </cell>
        </row>
        <row r="10">
          <cell r="B10" t="str">
            <v>CTL / EQ *</v>
          </cell>
          <cell r="C10">
            <v>0.10347682119205298</v>
          </cell>
          <cell r="T10">
            <v>111</v>
          </cell>
          <cell r="Y10">
            <v>500</v>
          </cell>
          <cell r="AG10">
            <v>25</v>
          </cell>
        </row>
        <row r="11">
          <cell r="B11" t="str">
            <v>CTL / SVVS</v>
          </cell>
          <cell r="C11">
            <v>9.1205211726384364E-2</v>
          </cell>
        </row>
        <row r="12">
          <cell r="B12" t="str">
            <v>CTL / EQ **</v>
          </cell>
          <cell r="C12">
            <v>8.2781456953642391E-2</v>
          </cell>
          <cell r="J12">
            <v>8.2781456953642391E-2</v>
          </cell>
          <cell r="K12">
            <v>0.10347682119205298</v>
          </cell>
          <cell r="M12">
            <v>7.2821681864235058E-2</v>
          </cell>
          <cell r="Q12">
            <v>9.1205211726384364E-2</v>
          </cell>
          <cell r="R12">
            <v>0.18904782910076248</v>
          </cell>
          <cell r="T12">
            <v>0.13136094674556212</v>
          </cell>
          <cell r="Y12">
            <v>0.19615535504119264</v>
          </cell>
          <cell r="AA12">
            <v>0.2413793103448276</v>
          </cell>
          <cell r="AD12">
            <v>0.23809523809523808</v>
          </cell>
          <cell r="AF12">
            <v>6.6225165562913912E-2</v>
          </cell>
          <cell r="AG12">
            <v>0.29761904761904762</v>
          </cell>
        </row>
        <row r="13">
          <cell r="B13" t="str">
            <v>CTL / Q (1)</v>
          </cell>
          <cell r="C13">
            <v>7.2821681864235058E-2</v>
          </cell>
          <cell r="I13" t="str">
            <v>Note 1: CenturyTel presentation (10/27/08) assuming $300m in announced cost synergies and $4.4b 2008 proforma cash opex</v>
          </cell>
          <cell r="L13" t="str">
            <v>Note: Investors' presentation (04/22/10) assuming $575 of operating expense synergies and $11.6b 2009 proforma cash opex</v>
          </cell>
          <cell r="T13" t="str">
            <v>Note: Fairpoint investor presentation (04/17/08), assuming $111m of announced cost synergies and $964m in proforma 2007 cash opex.</v>
          </cell>
          <cell r="X13" t="str">
            <v>Note: Assuming $500m cash opex savings and $3.5b in pro forma 2008 cash opex. Spinco numbers from Verizon's 8-k (03/24/2010)</v>
          </cell>
          <cell r="Z13" t="str">
            <v>Note: Windstream press release (11/24/09) assuming $35m in operating expenses and capex savings, and $2.0bn in proforma cash opex for the 12 months ended 09/30/09. IWA proforma for Sherburne, WIN proforma for Nuvox, D&amp;E and Lexcom</v>
          </cell>
          <cell r="AC13" t="str">
            <v>Note: Windstream press releases (09/08/09-12/01/09) assuming $5m in operating expenses and capex savings, and $1.5bn in proforma cash opex for the 12 months ended 09/30/09. WIN excludes Nuvox, D&amp;E and Lexcom.</v>
          </cell>
          <cell r="AG13" t="str">
            <v>(7) Windstream press release (05/11/09) assuming $25m in operating expenses and capex savings, and $1.6bn in proforma cash opex for the 12 months ended 03/31/09. WIN excludes Nuvox.</v>
          </cell>
        </row>
        <row r="14">
          <cell r="B14" t="str">
            <v>WIN / NuVox</v>
          </cell>
          <cell r="C14">
            <v>6.7000000000000004E-2</v>
          </cell>
        </row>
        <row r="15">
          <cell r="B15" t="str">
            <v>WIN / PAET</v>
          </cell>
          <cell r="C15">
            <v>0.06</v>
          </cell>
          <cell r="Q15">
            <v>280</v>
          </cell>
        </row>
        <row r="16">
          <cell r="Q16">
            <v>8000</v>
          </cell>
        </row>
        <row r="17">
          <cell r="I17" t="str">
            <v>Note 2: CenturyTel 2Q09 earnings conference call, assuming $375m in cost synergies and $4.4b 2008 proforma cash opex</v>
          </cell>
          <cell r="Q17">
            <v>8280</v>
          </cell>
        </row>
        <row r="43">
          <cell r="Q43" t="str">
            <v>Share price</v>
          </cell>
          <cell r="R43">
            <v>40</v>
          </cell>
        </row>
        <row r="45">
          <cell r="C45" t="str">
            <v>2Q10</v>
          </cell>
          <cell r="G45" t="str">
            <v>4Q09</v>
          </cell>
          <cell r="R45" t="str">
            <v>CTL</v>
          </cell>
          <cell r="S45" t="str">
            <v>SVVS</v>
          </cell>
          <cell r="T45" t="str">
            <v>CTL+SVVS</v>
          </cell>
        </row>
        <row r="46">
          <cell r="C46" t="str">
            <v>Access 
Lines
(000)</v>
          </cell>
          <cell r="D46" t="str">
            <v>Mkt
Share
(%)</v>
          </cell>
          <cell r="G46" t="str">
            <v>B'band
(000)</v>
          </cell>
          <cell r="H46" t="str">
            <v>Mkt
Share
(%)</v>
          </cell>
          <cell r="I46" t="str">
            <v>Penetration of Access Lines</v>
          </cell>
          <cell r="Q46" t="str">
            <v>Shares</v>
          </cell>
          <cell r="R46">
            <v>588.5</v>
          </cell>
          <cell r="S46">
            <v>16</v>
          </cell>
          <cell r="T46">
            <v>604.5</v>
          </cell>
        </row>
        <row r="47">
          <cell r="Q47" t="str">
            <v>Mkt cap</v>
          </cell>
          <cell r="R47">
            <v>23540</v>
          </cell>
          <cell r="S47">
            <v>640</v>
          </cell>
          <cell r="T47">
            <v>24180</v>
          </cell>
        </row>
        <row r="49">
          <cell r="B49" t="str">
            <v>AT&amp;T</v>
          </cell>
          <cell r="C49">
            <v>46058</v>
          </cell>
          <cell r="D49">
            <v>0.35204163780152753</v>
          </cell>
          <cell r="F49" t="str">
            <v>Comcast</v>
          </cell>
          <cell r="G49">
            <v>16448</v>
          </cell>
          <cell r="H49">
            <v>0.22562339986809371</v>
          </cell>
          <cell r="I49" t="str">
            <v>na</v>
          </cell>
          <cell r="Q49" t="str">
            <v>Net Debt</v>
          </cell>
          <cell r="R49">
            <v>19631</v>
          </cell>
          <cell r="S49">
            <v>2400</v>
          </cell>
          <cell r="T49">
            <v>22031</v>
          </cell>
        </row>
        <row r="50">
          <cell r="B50" t="str">
            <v>Verizon</v>
          </cell>
          <cell r="C50">
            <v>27138</v>
          </cell>
          <cell r="D50">
            <v>0.20742772084454067</v>
          </cell>
          <cell r="F50" t="str">
            <v>AT&amp;T</v>
          </cell>
          <cell r="G50">
            <v>15916</v>
          </cell>
          <cell r="H50">
            <v>0.2183257558548504</v>
          </cell>
          <cell r="I50">
            <v>0.34556428850579701</v>
          </cell>
        </row>
        <row r="51">
          <cell r="B51" t="str">
            <v>CTL + Q</v>
          </cell>
          <cell r="C51">
            <v>25645</v>
          </cell>
          <cell r="D51">
            <v>0.19601606238699409</v>
          </cell>
          <cell r="F51" t="str">
            <v>Time Warner Cable</v>
          </cell>
          <cell r="G51">
            <v>9606</v>
          </cell>
          <cell r="H51">
            <v>0.13176911351732173</v>
          </cell>
          <cell r="I51" t="str">
            <v>na</v>
          </cell>
          <cell r="Q51" t="str">
            <v>EV</v>
          </cell>
          <cell r="R51">
            <v>43171</v>
          </cell>
          <cell r="S51">
            <v>3040</v>
          </cell>
          <cell r="T51">
            <v>46211</v>
          </cell>
        </row>
        <row r="52">
          <cell r="B52" t="str">
            <v>Comcast</v>
          </cell>
          <cell r="C52">
            <v>8125</v>
          </cell>
          <cell r="D52">
            <v>6.2102963809488286E-2</v>
          </cell>
          <cell r="F52" t="str">
            <v>Verizon</v>
          </cell>
          <cell r="G52">
            <v>8279</v>
          </cell>
          <cell r="H52">
            <v>0.11356615561210771</v>
          </cell>
          <cell r="I52">
            <v>0.30507038101555017</v>
          </cell>
        </row>
        <row r="53">
          <cell r="B53" t="str">
            <v>Frontier</v>
          </cell>
          <cell r="C53">
            <v>6009.25</v>
          </cell>
          <cell r="D53">
            <v>4.5931352033497533E-2</v>
          </cell>
          <cell r="F53" t="str">
            <v>CTL + Q</v>
          </cell>
          <cell r="G53">
            <v>8060</v>
          </cell>
          <cell r="H53">
            <v>0.11056205027582899</v>
          </cell>
          <cell r="I53">
            <v>0.31429128485084812</v>
          </cell>
        </row>
        <row r="54">
          <cell r="B54" t="str">
            <v>Time Warner Cable</v>
          </cell>
          <cell r="C54">
            <v>4392</v>
          </cell>
          <cell r="D54">
            <v>3.3569995944772002E-2</v>
          </cell>
          <cell r="F54" t="str">
            <v>Cox</v>
          </cell>
          <cell r="G54">
            <v>4157.3310000000001</v>
          </cell>
          <cell r="H54">
            <v>5.7027672336881191E-2</v>
          </cell>
          <cell r="I54" t="str">
            <v>na</v>
          </cell>
          <cell r="Q54" t="str">
            <v>EBITDA</v>
          </cell>
          <cell r="R54">
            <v>8000</v>
          </cell>
          <cell r="S54">
            <v>280</v>
          </cell>
          <cell r="T54">
            <v>8280</v>
          </cell>
          <cell r="U54">
            <v>8350</v>
          </cell>
          <cell r="W54">
            <v>8300</v>
          </cell>
          <cell r="X54">
            <v>8370</v>
          </cell>
        </row>
        <row r="55">
          <cell r="B55" t="str">
            <v>Windstream</v>
          </cell>
          <cell r="C55">
            <v>3384.3</v>
          </cell>
          <cell r="D55">
            <v>2.5867699744055533E-2</v>
          </cell>
          <cell r="F55" t="str">
            <v>Charter</v>
          </cell>
          <cell r="G55">
            <v>3308.5</v>
          </cell>
          <cell r="H55">
            <v>4.5383938379352382E-2</v>
          </cell>
          <cell r="I55" t="str">
            <v>na</v>
          </cell>
        </row>
        <row r="56">
          <cell r="B56" t="str">
            <v>Cox</v>
          </cell>
          <cell r="C56">
            <v>2646.703</v>
          </cell>
          <cell r="D56">
            <v>2.0229920076734038E-2</v>
          </cell>
          <cell r="F56" t="str">
            <v>Cablevision</v>
          </cell>
          <cell r="G56">
            <v>2637</v>
          </cell>
          <cell r="H56">
            <v>3.6172720419027422E-2</v>
          </cell>
          <cell r="I56" t="str">
            <v>na</v>
          </cell>
          <cell r="Q56" t="str">
            <v>EV/EBITDA</v>
          </cell>
          <cell r="R56">
            <v>5.3963749999999999</v>
          </cell>
          <cell r="T56">
            <v>5.5810386473429956</v>
          </cell>
          <cell r="U56">
            <v>5.5342514970059877</v>
          </cell>
        </row>
        <row r="57">
          <cell r="B57" t="str">
            <v>Cablevision</v>
          </cell>
          <cell r="C57">
            <v>2120</v>
          </cell>
          <cell r="D57">
            <v>1.6204096403214175E-2</v>
          </cell>
          <cell r="F57" t="str">
            <v>Frontier</v>
          </cell>
          <cell r="G57">
            <v>1696.576</v>
          </cell>
          <cell r="H57">
            <v>2.3272570844759907E-2</v>
          </cell>
          <cell r="I57">
            <v>0.28232741190664395</v>
          </cell>
        </row>
        <row r="58">
          <cell r="B58" t="str">
            <v>Charter</v>
          </cell>
          <cell r="C58">
            <v>1708</v>
          </cell>
          <cell r="D58">
            <v>1.3054998422966891E-2</v>
          </cell>
          <cell r="F58" t="str">
            <v>Windstream</v>
          </cell>
          <cell r="G58">
            <v>1275.0999999999999</v>
          </cell>
          <cell r="H58">
            <v>1.7491026092643861E-2</v>
          </cell>
          <cell r="I58">
            <v>0.37676919894808375</v>
          </cell>
          <cell r="R58">
            <v>2.453875</v>
          </cell>
          <cell r="T58">
            <v>2.6607487922705313</v>
          </cell>
          <cell r="U58">
            <v>2.6384431137724551</v>
          </cell>
        </row>
        <row r="59">
          <cell r="B59" t="str">
            <v>FairPoint</v>
          </cell>
          <cell r="C59">
            <v>1197</v>
          </cell>
          <cell r="D59">
            <v>9.1491997144563051E-3</v>
          </cell>
          <cell r="F59" t="str">
            <v>Insight</v>
          </cell>
          <cell r="G59">
            <v>517.5</v>
          </cell>
          <cell r="H59">
            <v>7.0987420617545285E-3</v>
          </cell>
          <cell r="I59" t="str">
            <v>na</v>
          </cell>
        </row>
        <row r="60">
          <cell r="B60" t="str">
            <v>TDS</v>
          </cell>
          <cell r="C60">
            <v>868.1</v>
          </cell>
          <cell r="D60">
            <v>6.6352717394482187E-3</v>
          </cell>
          <cell r="F60" t="str">
            <v>FairPoint</v>
          </cell>
          <cell r="G60">
            <v>303</v>
          </cell>
          <cell r="H60">
            <v>4.1563649173171442E-3</v>
          </cell>
          <cell r="I60">
            <v>0.25313283208020049</v>
          </cell>
        </row>
        <row r="61">
          <cell r="B61" t="str">
            <v>Cincinnati Bell</v>
          </cell>
          <cell r="C61">
            <v>699</v>
          </cell>
          <cell r="D61">
            <v>5.3427657480408994E-3</v>
          </cell>
          <cell r="F61" t="str">
            <v>TDS</v>
          </cell>
          <cell r="G61">
            <v>258.2</v>
          </cell>
          <cell r="H61">
            <v>3.5418264740966557E-3</v>
          </cell>
          <cell r="I61">
            <v>0.29743117152401793</v>
          </cell>
        </row>
        <row r="62">
          <cell r="B62" t="str">
            <v>Insight</v>
          </cell>
          <cell r="C62">
            <v>310</v>
          </cell>
          <cell r="D62">
            <v>2.3694669268850914E-3</v>
          </cell>
          <cell r="F62" t="str">
            <v>Cincinnati Bell</v>
          </cell>
          <cell r="G62">
            <v>252.2</v>
          </cell>
          <cell r="H62">
            <v>3.4595222183081971E-3</v>
          </cell>
          <cell r="I62">
            <v>0.36080114449213158</v>
          </cell>
          <cell r="S62">
            <v>800</v>
          </cell>
        </row>
        <row r="63">
          <cell r="B63" t="str">
            <v>Consolidated Comm.</v>
          </cell>
          <cell r="C63">
            <v>242.28200000000001</v>
          </cell>
          <cell r="D63">
            <v>1.8518683418695928E-3</v>
          </cell>
          <cell r="F63" t="str">
            <v>Consolidated Comm.</v>
          </cell>
          <cell r="G63">
            <v>103.428</v>
          </cell>
          <cell r="H63">
            <v>1.4187607612814442E-3</v>
          </cell>
          <cell r="I63">
            <v>0.42689097828150663</v>
          </cell>
          <cell r="P63">
            <v>2276</v>
          </cell>
          <cell r="S63">
            <v>20</v>
          </cell>
        </row>
        <row r="64">
          <cell r="B64" t="str">
            <v>Alaska</v>
          </cell>
          <cell r="C64">
            <v>178.00799999999998</v>
          </cell>
          <cell r="D64">
            <v>1.3605937700676171E-3</v>
          </cell>
          <cell r="F64" t="str">
            <v>Alaska</v>
          </cell>
          <cell r="G64">
            <v>45.933</v>
          </cell>
          <cell r="H64">
            <v>6.3008023018854258E-4</v>
          </cell>
          <cell r="I64">
            <v>0.25803896454091951</v>
          </cell>
        </row>
        <row r="65">
          <cell r="B65" t="str">
            <v>nTelos</v>
          </cell>
          <cell r="C65">
            <v>86.432000000000002</v>
          </cell>
          <cell r="D65">
            <v>6.6063795298236202E-4</v>
          </cell>
          <cell r="F65" t="str">
            <v>nTelos</v>
          </cell>
          <cell r="G65">
            <v>24.802</v>
          </cell>
          <cell r="H65">
            <v>3.4021835867755715E-4</v>
          </cell>
          <cell r="I65">
            <v>0.28695390596075526</v>
          </cell>
          <cell r="S65">
            <v>3.3984706881903144E-2</v>
          </cell>
        </row>
        <row r="66">
          <cell r="B66" t="str">
            <v>Shenandoah</v>
          </cell>
          <cell r="C66">
            <v>24.04</v>
          </cell>
          <cell r="D66">
            <v>1.8374833845908901E-4</v>
          </cell>
          <cell r="F66" t="str">
            <v>Shenandoah</v>
          </cell>
          <cell r="G66">
            <v>11.67</v>
          </cell>
          <cell r="H66">
            <v>1.600817775085514E-4</v>
          </cell>
          <cell r="I66">
            <v>0.48544093178036607</v>
          </cell>
        </row>
        <row r="67">
          <cell r="B67" t="str">
            <v>TOTAL</v>
          </cell>
          <cell r="C67">
            <v>130831.11500000001</v>
          </cell>
          <cell r="D67">
            <v>0.99999999999999989</v>
          </cell>
          <cell r="F67" t="str">
            <v>TOTAL</v>
          </cell>
          <cell r="G67">
            <v>72900.240000000005</v>
          </cell>
          <cell r="H67">
            <v>0.99999999999999989</v>
          </cell>
          <cell r="I67">
            <v>0.55720873432898588</v>
          </cell>
        </row>
        <row r="69">
          <cell r="B69" t="str">
            <v>Qwest</v>
          </cell>
          <cell r="C69">
            <v>9387</v>
          </cell>
          <cell r="D69">
            <v>7.1748987234420497E-2</v>
          </cell>
          <cell r="F69" t="str">
            <v>Qwest</v>
          </cell>
          <cell r="G69">
            <v>2859</v>
          </cell>
          <cell r="H69">
            <v>3.9217977883200382E-2</v>
          </cell>
          <cell r="I69">
            <v>0.30457015020773409</v>
          </cell>
          <cell r="S69">
            <v>2500</v>
          </cell>
        </row>
        <row r="70">
          <cell r="B70" t="str">
            <v>CenturyLink</v>
          </cell>
          <cell r="C70">
            <v>16258</v>
          </cell>
          <cell r="D70">
            <v>0.1242670751525736</v>
          </cell>
          <cell r="F70" t="str">
            <v>CenturyLink</v>
          </cell>
          <cell r="G70">
            <v>5201</v>
          </cell>
          <cell r="H70">
            <v>7.1344072392628605E-2</v>
          </cell>
          <cell r="I70">
            <v>0.3199040472382827</v>
          </cell>
          <cell r="R70">
            <v>58</v>
          </cell>
          <cell r="S70">
            <v>43.103448275862071</v>
          </cell>
        </row>
      </sheetData>
      <sheetData sheetId="15">
        <row r="1">
          <cell r="G1" t="str">
            <v>FCC  Approval</v>
          </cell>
          <cell r="J1">
            <v>40660</v>
          </cell>
        </row>
        <row r="2">
          <cell r="C2" t="str">
            <v>Announced</v>
          </cell>
          <cell r="D2" t="str">
            <v xml:space="preserve">Closed </v>
          </cell>
          <cell r="E2" t="str">
            <v>Days Outstanding</v>
          </cell>
          <cell r="H2" t="str">
            <v>Days Outstanding</v>
          </cell>
        </row>
        <row r="3">
          <cell r="G3" t="str">
            <v>Status</v>
          </cell>
        </row>
        <row r="4">
          <cell r="B4" t="str">
            <v>CenturyTel/Embarq</v>
          </cell>
          <cell r="C4">
            <v>39748</v>
          </cell>
          <cell r="D4">
            <v>39995</v>
          </cell>
          <cell r="E4">
            <v>247</v>
          </cell>
          <cell r="G4" t="str">
            <v>Closed</v>
          </cell>
          <cell r="H4">
            <v>197</v>
          </cell>
        </row>
        <row r="5">
          <cell r="B5" t="str">
            <v>Verizon / Alltel</v>
          </cell>
          <cell r="C5">
            <v>39604</v>
          </cell>
          <cell r="D5">
            <v>39822</v>
          </cell>
          <cell r="E5">
            <v>218</v>
          </cell>
          <cell r="G5" t="str">
            <v>Closed</v>
          </cell>
          <cell r="H5">
            <v>132</v>
          </cell>
        </row>
        <row r="6">
          <cell r="B6" t="str">
            <v xml:space="preserve"> AT&amp;T / Verizon</v>
          </cell>
          <cell r="C6">
            <v>39941</v>
          </cell>
          <cell r="D6">
            <v>40351</v>
          </cell>
          <cell r="E6">
            <v>410</v>
          </cell>
          <cell r="G6" t="str">
            <v>Closed</v>
          </cell>
          <cell r="H6">
            <v>368</v>
          </cell>
        </row>
        <row r="7">
          <cell r="B7" t="str">
            <v xml:space="preserve"> ATN / Verizon</v>
          </cell>
          <cell r="C7">
            <v>39973</v>
          </cell>
          <cell r="D7">
            <v>40288</v>
          </cell>
          <cell r="E7">
            <v>315</v>
          </cell>
          <cell r="G7" t="str">
            <v>Closed</v>
          </cell>
          <cell r="H7">
            <v>285</v>
          </cell>
        </row>
        <row r="8">
          <cell r="B8" t="str">
            <v>AT&amp;T / Centennial</v>
          </cell>
          <cell r="C8">
            <v>39759</v>
          </cell>
          <cell r="D8">
            <v>40123</v>
          </cell>
          <cell r="E8">
            <v>364</v>
          </cell>
          <cell r="G8" t="str">
            <v>Closed</v>
          </cell>
          <cell r="H8">
            <v>323</v>
          </cell>
        </row>
        <row r="9">
          <cell r="B9" t="str">
            <v>Windstream / D&amp;E</v>
          </cell>
          <cell r="C9">
            <v>39944</v>
          </cell>
          <cell r="D9">
            <v>40127</v>
          </cell>
          <cell r="E9">
            <v>183</v>
          </cell>
          <cell r="G9" t="str">
            <v>na</v>
          </cell>
          <cell r="H9" t="str">
            <v>na</v>
          </cell>
        </row>
        <row r="10">
          <cell r="B10" t="str">
            <v>Frontier/Verizon</v>
          </cell>
          <cell r="C10">
            <v>39946</v>
          </cell>
          <cell r="D10">
            <v>40360</v>
          </cell>
          <cell r="E10">
            <v>414</v>
          </cell>
          <cell r="G10" t="str">
            <v>Closed</v>
          </cell>
          <cell r="H10">
            <v>283</v>
          </cell>
        </row>
        <row r="11">
          <cell r="B11" t="str">
            <v>Windstream / Lexcom</v>
          </cell>
          <cell r="C11">
            <v>40064</v>
          </cell>
          <cell r="D11">
            <v>40148</v>
          </cell>
          <cell r="E11">
            <v>84</v>
          </cell>
          <cell r="G11" t="str">
            <v>na</v>
          </cell>
          <cell r="H11" t="str">
            <v>na</v>
          </cell>
        </row>
        <row r="12">
          <cell r="B12" t="str">
            <v>Windstream / Nuvox</v>
          </cell>
          <cell r="C12">
            <v>40120</v>
          </cell>
          <cell r="D12">
            <v>40217</v>
          </cell>
          <cell r="E12">
            <v>97</v>
          </cell>
          <cell r="G12" t="str">
            <v>na</v>
          </cell>
          <cell r="H12" t="str">
            <v>na</v>
          </cell>
          <cell r="J12">
            <v>40326</v>
          </cell>
          <cell r="K12">
            <v>40568</v>
          </cell>
        </row>
        <row r="13">
          <cell r="B13" t="str">
            <v>Windstream / Iowa</v>
          </cell>
          <cell r="C13">
            <v>40141</v>
          </cell>
          <cell r="D13">
            <v>40330</v>
          </cell>
          <cell r="E13">
            <v>189</v>
          </cell>
          <cell r="G13" t="str">
            <v>na</v>
          </cell>
          <cell r="H13" t="str">
            <v>na</v>
          </cell>
          <cell r="K13">
            <v>40506</v>
          </cell>
        </row>
        <row r="14">
          <cell r="B14" t="str">
            <v>CenturyLink/Qwest</v>
          </cell>
          <cell r="C14">
            <v>40290</v>
          </cell>
          <cell r="D14">
            <v>40620</v>
          </cell>
          <cell r="E14">
            <v>330</v>
          </cell>
          <cell r="G14" t="str">
            <v>Closed</v>
          </cell>
          <cell r="H14">
            <v>294</v>
          </cell>
        </row>
        <row r="15">
          <cell r="B15" t="str">
            <v>Verizon / Terremark</v>
          </cell>
          <cell r="C15">
            <v>40571</v>
          </cell>
          <cell r="D15">
            <v>40644</v>
          </cell>
          <cell r="E15">
            <v>73</v>
          </cell>
          <cell r="G15" t="str">
            <v>na</v>
          </cell>
          <cell r="H15" t="str">
            <v>na</v>
          </cell>
        </row>
        <row r="16">
          <cell r="B16" t="str">
            <v>CenturyLink / SAVVIS</v>
          </cell>
          <cell r="C16">
            <v>40660</v>
          </cell>
          <cell r="D16">
            <v>40739</v>
          </cell>
          <cell r="E16">
            <v>79</v>
          </cell>
          <cell r="G16" t="str">
            <v>Closed</v>
          </cell>
          <cell r="H16">
            <v>54</v>
          </cell>
          <cell r="J16">
            <v>40683</v>
          </cell>
          <cell r="K16">
            <v>40737</v>
          </cell>
        </row>
        <row r="17">
          <cell r="B17" t="str">
            <v>Average</v>
          </cell>
          <cell r="E17">
            <v>231</v>
          </cell>
          <cell r="H17">
            <v>242</v>
          </cell>
        </row>
        <row r="19">
          <cell r="B19" t="str">
            <v>PENDING DEALS:</v>
          </cell>
        </row>
        <row r="20">
          <cell r="B20" t="str">
            <v>AT&amp;T / T-Mobile USA</v>
          </cell>
          <cell r="C20">
            <v>40622</v>
          </cell>
          <cell r="E20">
            <v>38</v>
          </cell>
          <cell r="G20" t="str">
            <v>Pending</v>
          </cell>
        </row>
        <row r="21">
          <cell r="B21" t="str">
            <v>Level 3 / Global Crossing</v>
          </cell>
          <cell r="C21">
            <v>40645</v>
          </cell>
          <cell r="E21">
            <v>15</v>
          </cell>
          <cell r="G21" t="str">
            <v>Pending</v>
          </cell>
        </row>
        <row r="23">
          <cell r="F23">
            <v>197</v>
          </cell>
        </row>
        <row r="27">
          <cell r="B27" t="str">
            <v>Fairpoint / Verizon</v>
          </cell>
          <cell r="C27">
            <v>39098</v>
          </cell>
          <cell r="D27">
            <v>39538</v>
          </cell>
          <cell r="E27">
            <v>440</v>
          </cell>
          <cell r="G27" t="str">
            <v>Closed</v>
          </cell>
          <cell r="H27">
            <v>301</v>
          </cell>
        </row>
        <row r="28">
          <cell r="B28" t="str">
            <v>Sprint / Clearwire</v>
          </cell>
          <cell r="C28">
            <v>39575</v>
          </cell>
          <cell r="D28">
            <v>39780</v>
          </cell>
          <cell r="E28">
            <v>205</v>
          </cell>
          <cell r="G28" t="str">
            <v>Closed</v>
          </cell>
          <cell r="H28">
            <v>133</v>
          </cell>
        </row>
      </sheetData>
      <sheetData sheetId="16">
        <row r="2">
          <cell r="G2">
            <v>2010</v>
          </cell>
          <cell r="K2">
            <v>2011</v>
          </cell>
          <cell r="O2">
            <v>2012</v>
          </cell>
        </row>
        <row r="3">
          <cell r="G3" t="str">
            <v>CTL</v>
          </cell>
          <cell r="H3" t="str">
            <v>SVVS</v>
          </cell>
          <cell r="I3" t="str">
            <v>Synergies</v>
          </cell>
          <cell r="J3" t="str">
            <v>CTL+
SVVS</v>
          </cell>
          <cell r="K3" t="str">
            <v>CTL</v>
          </cell>
          <cell r="L3" t="str">
            <v>SVVS</v>
          </cell>
          <cell r="M3" t="str">
            <v>Synergies</v>
          </cell>
          <cell r="N3" t="str">
            <v>CTL+
SVVS</v>
          </cell>
          <cell r="O3" t="str">
            <v>CTL</v>
          </cell>
          <cell r="P3" t="str">
            <v>SVVS</v>
          </cell>
          <cell r="Q3" t="str">
            <v>Synergies</v>
          </cell>
          <cell r="R3" t="str">
            <v>CTL+
SVVS</v>
          </cell>
          <cell r="AA3" t="str">
            <v>2011E</v>
          </cell>
          <cell r="AD3" t="str">
            <v>2012E</v>
          </cell>
          <cell r="AJ3" t="str">
            <v>2011E</v>
          </cell>
          <cell r="AM3" t="str">
            <v>2012E</v>
          </cell>
        </row>
        <row r="4">
          <cell r="B4" t="str">
            <v>REVENUE</v>
          </cell>
          <cell r="G4">
            <v>0</v>
          </cell>
          <cell r="H4">
            <v>932.98399999999992</v>
          </cell>
          <cell r="J4">
            <v>932.98399999999992</v>
          </cell>
          <cell r="K4">
            <v>0.14130561399182451</v>
          </cell>
          <cell r="L4">
            <v>1064.8198769645483</v>
          </cell>
          <cell r="N4">
            <v>1064.96118257854</v>
          </cell>
          <cell r="O4">
            <v>9.6519420651753007E-2</v>
          </cell>
          <cell r="P4">
            <v>1167.5956745876374</v>
          </cell>
          <cell r="R4">
            <v>1167.6921940082891</v>
          </cell>
          <cell r="AA4" t="str">
            <v>REVENUES</v>
          </cell>
          <cell r="AB4" t="str">
            <v>EBITDA MARGINS</v>
          </cell>
          <cell r="AC4" t="str">
            <v>EBITDA MARGINS w/ SYERNGIES</v>
          </cell>
          <cell r="AD4" t="str">
            <v>REVENUES</v>
          </cell>
          <cell r="AE4" t="str">
            <v>EBITDA MARGINS</v>
          </cell>
          <cell r="AF4" t="str">
            <v>EBITDA MARGINS w/ SYERNGIES</v>
          </cell>
          <cell r="AJ4" t="str">
            <v>REVENUES</v>
          </cell>
          <cell r="AK4" t="str">
            <v>EBITDA MARGINS</v>
          </cell>
          <cell r="AL4" t="str">
            <v>EBITDA MARGINS w/ SYERNGIES</v>
          </cell>
          <cell r="AM4" t="str">
            <v>REVENUES</v>
          </cell>
          <cell r="AN4" t="str">
            <v>EBITDA MARGINS</v>
          </cell>
          <cell r="AO4" t="str">
            <v>EBITDA MARGINS w/ SYERNGIES</v>
          </cell>
        </row>
        <row r="5">
          <cell r="B5" t="str">
            <v>Growth Y/Y</v>
          </cell>
          <cell r="K5" t="e">
            <v>#DIV/0!</v>
          </cell>
          <cell r="L5">
            <v>0.14130561399182451</v>
          </cell>
          <cell r="N5">
            <v>0.14145706955161086</v>
          </cell>
          <cell r="O5">
            <v>-0.31694560516656245</v>
          </cell>
          <cell r="P5">
            <v>9.6519420651753007E-2</v>
          </cell>
          <cell r="R5">
            <v>9.6464559563580909E-2</v>
          </cell>
          <cell r="T5" t="e">
            <v>#DIV/0!</v>
          </cell>
          <cell r="U5">
            <v>4134.1016473014333</v>
          </cell>
          <cell r="AA5">
            <v>7535.5808370512113</v>
          </cell>
          <cell r="AB5" t="e">
            <v>#DIV/0!</v>
          </cell>
          <cell r="AC5" t="e">
            <v>#DIV/0!</v>
          </cell>
          <cell r="AD5">
            <v>12097.002517248649</v>
          </cell>
          <cell r="AE5" t="e">
            <v>#DIV/0!</v>
          </cell>
          <cell r="AF5" t="e">
            <v>#DIV/0!</v>
          </cell>
          <cell r="AJ5">
            <v>0.99986731383612537</v>
          </cell>
          <cell r="AK5">
            <v>1</v>
          </cell>
          <cell r="AL5">
            <v>1</v>
          </cell>
          <cell r="AM5">
            <v>0.99991734172657232</v>
          </cell>
          <cell r="AN5">
            <v>1</v>
          </cell>
          <cell r="AO5">
            <v>1</v>
          </cell>
        </row>
        <row r="6">
          <cell r="B6" t="str">
            <v>EBITDA</v>
          </cell>
          <cell r="G6">
            <v>0</v>
          </cell>
          <cell r="H6">
            <v>231.07099999999994</v>
          </cell>
          <cell r="J6">
            <v>231.07099999999994</v>
          </cell>
          <cell r="K6">
            <v>0</v>
          </cell>
          <cell r="L6">
            <v>309.05796100415847</v>
          </cell>
          <cell r="N6">
            <v>309.05796100415847</v>
          </cell>
          <cell r="O6">
            <v>0</v>
          </cell>
          <cell r="P6">
            <v>332.55774998685092</v>
          </cell>
          <cell r="R6">
            <v>332.55774998685092</v>
          </cell>
        </row>
        <row r="7">
          <cell r="B7" t="str">
            <v>Growth Y/Y</v>
          </cell>
          <cell r="K7" t="e">
            <v>#DIV/0!</v>
          </cell>
          <cell r="L7">
            <v>0.33750215736357458</v>
          </cell>
          <cell r="N7">
            <v>0.33750215736357458</v>
          </cell>
          <cell r="O7" t="e">
            <v>#DIV/0!</v>
          </cell>
          <cell r="P7">
            <v>7.6036834341168369E-2</v>
          </cell>
          <cell r="R7">
            <v>7.6036834341168369E-2</v>
          </cell>
        </row>
        <row r="8">
          <cell r="B8" t="str">
            <v>Margin</v>
          </cell>
          <cell r="G8" t="e">
            <v>#DIV/0!</v>
          </cell>
          <cell r="H8">
            <v>0.24766877031117357</v>
          </cell>
          <cell r="J8">
            <v>0.24766877031117357</v>
          </cell>
          <cell r="K8">
            <v>0</v>
          </cell>
          <cell r="L8">
            <v>0.29024435746370664</v>
          </cell>
          <cell r="N8">
            <v>0.2902058460533285</v>
          </cell>
          <cell r="O8">
            <v>0</v>
          </cell>
          <cell r="P8">
            <v>0.28482269780958308</v>
          </cell>
          <cell r="R8">
            <v>0.28479915485714913</v>
          </cell>
        </row>
        <row r="9">
          <cell r="B9" t="str">
            <v>EBITDA (2)</v>
          </cell>
          <cell r="G9">
            <v>0</v>
          </cell>
          <cell r="H9">
            <v>231.07099999999994</v>
          </cell>
          <cell r="I9">
            <v>70</v>
          </cell>
          <cell r="J9">
            <v>301.07099999999991</v>
          </cell>
          <cell r="K9">
            <v>0</v>
          </cell>
          <cell r="L9">
            <v>309.05796100415847</v>
          </cell>
          <cell r="M9">
            <v>70</v>
          </cell>
          <cell r="N9">
            <v>379.05796100415847</v>
          </cell>
          <cell r="O9">
            <v>0</v>
          </cell>
          <cell r="P9">
            <v>332.55774998685092</v>
          </cell>
          <cell r="Q9">
            <v>70</v>
          </cell>
          <cell r="R9">
            <v>402.55774998685092</v>
          </cell>
        </row>
        <row r="10">
          <cell r="B10" t="str">
            <v>Growth Y/Y</v>
          </cell>
          <cell r="K10" t="e">
            <v>#DIV/0!</v>
          </cell>
          <cell r="L10">
            <v>0.33750215736357458</v>
          </cell>
          <cell r="N10">
            <v>0.25903179317887992</v>
          </cell>
          <cell r="O10" t="e">
            <v>#DIV/0!</v>
          </cell>
          <cell r="P10">
            <v>7.6036834341168369E-2</v>
          </cell>
          <cell r="R10">
            <v>6.1995239251642076E-2</v>
          </cell>
        </row>
        <row r="11">
          <cell r="B11" t="str">
            <v>Margin</v>
          </cell>
          <cell r="G11" t="e">
            <v>#DIV/0!</v>
          </cell>
          <cell r="H11">
            <v>0.24766877031117357</v>
          </cell>
          <cell r="J11">
            <v>0.32269685225041367</v>
          </cell>
          <cell r="K11">
            <v>0</v>
          </cell>
          <cell r="L11">
            <v>0.29024435746370664</v>
          </cell>
          <cell r="N11">
            <v>0.3559359413329633</v>
          </cell>
          <cell r="O11">
            <v>0</v>
          </cell>
          <cell r="P11">
            <v>0.28482269780958308</v>
          </cell>
          <cell r="R11">
            <v>0.34474645977122398</v>
          </cell>
        </row>
        <row r="13">
          <cell r="J13">
            <v>0</v>
          </cell>
          <cell r="N13" t="e">
            <v>#DIV/0!</v>
          </cell>
          <cell r="R13">
            <v>4134.1016473014333</v>
          </cell>
        </row>
        <row r="15">
          <cell r="G15">
            <v>0</v>
          </cell>
          <cell r="J15">
            <v>932.98399999999992</v>
          </cell>
          <cell r="N15">
            <v>1</v>
          </cell>
        </row>
        <row r="16">
          <cell r="G16">
            <v>-466.49199999999996</v>
          </cell>
          <cell r="J16">
            <v>466.49199999999996</v>
          </cell>
          <cell r="N16">
            <v>1</v>
          </cell>
        </row>
        <row r="17">
          <cell r="G17" t="e">
            <v>#DIV/0!</v>
          </cell>
          <cell r="N17">
            <v>379.05796100415847</v>
          </cell>
        </row>
        <row r="20">
          <cell r="G20">
            <v>2010</v>
          </cell>
          <cell r="K20">
            <v>2011</v>
          </cell>
          <cell r="O20">
            <v>2012</v>
          </cell>
        </row>
        <row r="21">
          <cell r="G21" t="str">
            <v>CTL</v>
          </cell>
          <cell r="H21" t="str">
            <v>SVVS</v>
          </cell>
          <cell r="I21" t="str">
            <v>Synergies</v>
          </cell>
          <cell r="J21" t="str">
            <v>CTL+
SVVS</v>
          </cell>
          <cell r="K21" t="str">
            <v>CTL</v>
          </cell>
          <cell r="L21" t="str">
            <v>SVVS</v>
          </cell>
          <cell r="M21" t="str">
            <v>Synergies</v>
          </cell>
          <cell r="N21" t="str">
            <v>CTL+
SVVS</v>
          </cell>
          <cell r="O21" t="str">
            <v>CTL</v>
          </cell>
          <cell r="P21" t="str">
            <v>SVVS</v>
          </cell>
          <cell r="Q21" t="str">
            <v>Synergies</v>
          </cell>
          <cell r="R21" t="str">
            <v>CTL+
SVVS</v>
          </cell>
        </row>
        <row r="22">
          <cell r="B22" t="str">
            <v>REVENUE</v>
          </cell>
          <cell r="G22">
            <v>18552.534</v>
          </cell>
          <cell r="H22">
            <v>933</v>
          </cell>
          <cell r="J22">
            <v>19485.534</v>
          </cell>
          <cell r="K22">
            <v>18124.320550851284</v>
          </cell>
          <cell r="L22">
            <v>1045</v>
          </cell>
          <cell r="N22">
            <v>19169.320550851284</v>
          </cell>
          <cell r="O22">
            <v>17695.292413378193</v>
          </cell>
          <cell r="P22">
            <v>1172</v>
          </cell>
          <cell r="R22">
            <v>18867.292413378193</v>
          </cell>
        </row>
        <row r="23">
          <cell r="B23" t="str">
            <v>Growth Y/Y</v>
          </cell>
          <cell r="K23">
            <v>-2.3081130003519523E-2</v>
          </cell>
          <cell r="L23">
            <v>0.120042872454448</v>
          </cell>
          <cell r="N23">
            <v>-1.6228113078590289E-2</v>
          </cell>
          <cell r="O23">
            <v>-2.367140529595968E-2</v>
          </cell>
          <cell r="P23">
            <v>0.12153110047846893</v>
          </cell>
          <cell r="R23">
            <v>-1.5755808176502017E-2</v>
          </cell>
        </row>
        <row r="24">
          <cell r="B24" t="str">
            <v>EBITDA</v>
          </cell>
          <cell r="G24">
            <v>8063.5629999999983</v>
          </cell>
          <cell r="H24">
            <v>236.2</v>
          </cell>
          <cell r="J24">
            <v>8299.762999999999</v>
          </cell>
          <cell r="K24">
            <v>7926</v>
          </cell>
          <cell r="L24">
            <v>277.5</v>
          </cell>
          <cell r="N24">
            <v>8203.5</v>
          </cell>
          <cell r="O24">
            <v>7952.8475416387664</v>
          </cell>
          <cell r="P24">
            <v>330</v>
          </cell>
          <cell r="R24">
            <v>8282.8475416387664</v>
          </cell>
        </row>
        <row r="25">
          <cell r="B25" t="str">
            <v>Growth Y/Y</v>
          </cell>
          <cell r="K25">
            <v>-1.7059828266983046E-2</v>
          </cell>
          <cell r="L25">
            <v>0.17485182049110937</v>
          </cell>
          <cell r="N25">
            <v>-1.1598282987116515E-2</v>
          </cell>
          <cell r="O25">
            <v>3.3872749985826012E-3</v>
          </cell>
          <cell r="P25">
            <v>0.18918918918918926</v>
          </cell>
          <cell r="R25">
            <v>9.6724010042990027E-3</v>
          </cell>
        </row>
        <row r="26">
          <cell r="B26" t="str">
            <v>Margin</v>
          </cell>
          <cell r="G26">
            <v>0.43463405052916215</v>
          </cell>
          <cell r="H26">
            <v>0.25316184351554127</v>
          </cell>
          <cell r="J26">
            <v>0.42594485734904669</v>
          </cell>
          <cell r="K26">
            <v>0.43731294520873626</v>
          </cell>
          <cell r="L26">
            <v>0.26555023923444976</v>
          </cell>
          <cell r="N26">
            <v>0.4279494402651477</v>
          </cell>
          <cell r="O26">
            <v>0.44943295402262839</v>
          </cell>
          <cell r="P26">
            <v>0.28156996587030719</v>
          </cell>
          <cell r="R26">
            <v>0.439005627313311</v>
          </cell>
        </row>
        <row r="27">
          <cell r="B27" t="str">
            <v>EBITDA w/ Synergies</v>
          </cell>
          <cell r="G27">
            <v>8063.5629999999983</v>
          </cell>
          <cell r="H27">
            <v>236.2</v>
          </cell>
          <cell r="I27">
            <v>70</v>
          </cell>
          <cell r="J27">
            <v>8369.762999999999</v>
          </cell>
          <cell r="K27">
            <v>7926</v>
          </cell>
          <cell r="L27">
            <v>277.5</v>
          </cell>
          <cell r="M27">
            <v>70</v>
          </cell>
          <cell r="N27">
            <v>8273.5</v>
          </cell>
          <cell r="O27">
            <v>7952.8475416387664</v>
          </cell>
          <cell r="P27">
            <v>330</v>
          </cell>
          <cell r="Q27">
            <v>70</v>
          </cell>
          <cell r="R27">
            <v>8352.8475416387664</v>
          </cell>
        </row>
        <row r="28">
          <cell r="B28" t="str">
            <v>Growth Y/Y</v>
          </cell>
          <cell r="K28">
            <v>-1.7059828266983046E-2</v>
          </cell>
          <cell r="L28">
            <v>0.17485182049110937</v>
          </cell>
          <cell r="N28">
            <v>-1.15012814580292E-2</v>
          </cell>
          <cell r="O28">
            <v>3.3872749985826012E-3</v>
          </cell>
          <cell r="P28">
            <v>0.18918918918918926</v>
          </cell>
          <cell r="R28">
            <v>9.5905652551842024E-3</v>
          </cell>
        </row>
        <row r="29">
          <cell r="B29" t="str">
            <v>Margin</v>
          </cell>
          <cell r="G29">
            <v>0.43463405052916215</v>
          </cell>
          <cell r="H29">
            <v>0.25316184351554127</v>
          </cell>
          <cell r="J29">
            <v>0.42953726595329639</v>
          </cell>
          <cell r="K29">
            <v>0.43731294520873626</v>
          </cell>
          <cell r="L29">
            <v>0.26555023923444976</v>
          </cell>
          <cell r="N29">
            <v>0.43160110855533607</v>
          </cell>
          <cell r="O29">
            <v>0.44943295402262839</v>
          </cell>
          <cell r="P29">
            <v>0.28156996587030719</v>
          </cell>
          <cell r="R29">
            <v>0.44271575161023263</v>
          </cell>
        </row>
        <row r="31">
          <cell r="N31">
            <v>68.530169249292342</v>
          </cell>
        </row>
        <row r="35">
          <cell r="B35" t="str">
            <v>REVENUE GROWTH</v>
          </cell>
          <cell r="G35">
            <v>2011</v>
          </cell>
          <cell r="H35">
            <v>2012</v>
          </cell>
        </row>
        <row r="36">
          <cell r="B36" t="str">
            <v>CTL</v>
          </cell>
          <cell r="G36" t="e">
            <v>#DIV/0!</v>
          </cell>
          <cell r="H36">
            <v>-0.31694560516656245</v>
          </cell>
        </row>
        <row r="37">
          <cell r="B37" t="str">
            <v>SVVS</v>
          </cell>
          <cell r="G37">
            <v>0.14130561399182451</v>
          </cell>
          <cell r="H37">
            <v>9.6519420651753007E-2</v>
          </cell>
        </row>
        <row r="38">
          <cell r="B38" t="str">
            <v>CTL+SVVS</v>
          </cell>
          <cell r="G38">
            <v>0.14145706955161086</v>
          </cell>
          <cell r="H38">
            <v>9.6464559563580909E-2</v>
          </cell>
        </row>
        <row r="40">
          <cell r="G40" t="str">
            <v>2011E</v>
          </cell>
          <cell r="J40" t="str">
            <v>2012E</v>
          </cell>
        </row>
        <row r="41">
          <cell r="G41" t="str">
            <v>CTL</v>
          </cell>
          <cell r="H41" t="str">
            <v>∆</v>
          </cell>
          <cell r="I41" t="str">
            <v>CTL+
SVVS</v>
          </cell>
          <cell r="J41" t="str">
            <v>CTL</v>
          </cell>
          <cell r="K41" t="str">
            <v>∆</v>
          </cell>
          <cell r="L41" t="str">
            <v>CTL+
SVVS</v>
          </cell>
        </row>
        <row r="42">
          <cell r="G42" t="e">
            <v>#DIV/0!</v>
          </cell>
          <cell r="H42">
            <v>0.14145706955161086</v>
          </cell>
          <cell r="I42">
            <v>0.14145706955161086</v>
          </cell>
          <cell r="J42">
            <v>-0.31694560516656245</v>
          </cell>
          <cell r="K42">
            <v>9.6464559563580909E-2</v>
          </cell>
          <cell r="L42">
            <v>9.6464559563580909E-2</v>
          </cell>
        </row>
        <row r="43">
          <cell r="H43" t="e">
            <v>#DIV/0!</v>
          </cell>
          <cell r="K43">
            <v>-0.41341016473014336</v>
          </cell>
        </row>
        <row r="45">
          <cell r="H45" t="e">
            <v>#DIV/0!</v>
          </cell>
          <cell r="K45">
            <v>4134.1016473014333</v>
          </cell>
        </row>
      </sheetData>
      <sheetData sheetId="17">
        <row r="2">
          <cell r="A2" t="str">
            <v>CTL / SVVS TRANSACTION SUMMARY</v>
          </cell>
        </row>
        <row r="3">
          <cell r="A3" t="str">
            <v>Consideration</v>
          </cell>
          <cell r="B3" t="str">
            <v xml:space="preserve">$40 per SVVS share; 75% in cash 25% in stock. </v>
          </cell>
        </row>
        <row r="5">
          <cell r="A5" t="str">
            <v>Exchange ratio</v>
          </cell>
          <cell r="B5" t="str">
            <v>The number of CTL shares issued will be based upon the volume-weighted average price of CTL during the 30-day trading period ending 3 trading days prior to the closing, provided that if this avg price is less than or equal to $34.42, each SAVVIS share will receive $30 in cash and 0.2905 of a CTL share.</v>
          </cell>
        </row>
        <row r="7">
          <cell r="A7" t="str">
            <v>Transaction Value</v>
          </cell>
          <cell r="B7" t="str">
            <v>~$2.5B, plus net debt of ~$0.7B which will be assumed or refinanced at close.</v>
          </cell>
        </row>
        <row r="9">
          <cell r="A9" t="str">
            <v>Estimated Synergies</v>
          </cell>
          <cell r="B9" t="str">
            <v>~$70M annual run-rate synergies or 9.1% of 2011 SAVVIS cash opex guidance</v>
          </cell>
        </row>
        <row r="11">
          <cell r="A11" t="str">
            <v>Estimated multiples</v>
          </cell>
          <cell r="B11" t="str">
            <v>10.9x / 8.8x 2011 EBITDA  (before / after run-rate synergies)</v>
          </cell>
        </row>
        <row r="12">
          <cell r="I12">
            <v>35.619999999999997</v>
          </cell>
        </row>
        <row r="13">
          <cell r="A13" t="str">
            <v>Financing</v>
          </cell>
          <cell r="B13" t="str">
            <v>CTL will finance the transaction through a combination of existing cash and debt, including a $2B committed bridge facility and $1.7B existing undrawn revolver</v>
          </cell>
          <cell r="I13">
            <v>5.66</v>
          </cell>
        </row>
        <row r="14">
          <cell r="I14">
            <v>0.15889949466591805</v>
          </cell>
          <cell r="J14">
            <v>0.16639999999999999</v>
          </cell>
        </row>
        <row r="15">
          <cell r="A15" t="str">
            <v>Net Leverage</v>
          </cell>
          <cell r="B15" t="str">
            <v>CTL's leverage stood at ~2.3x at YE2010, the deal increases leverage to ~2.5x</v>
          </cell>
          <cell r="I15">
            <v>-4.5075152248088668E-2</v>
          </cell>
        </row>
        <row r="17">
          <cell r="A17" t="str">
            <v>Dividend Policy</v>
          </cell>
          <cell r="B17" t="str">
            <v>Maintain CTL's annual dividend of $2.90 per share</v>
          </cell>
          <cell r="I17">
            <v>0.15889949466591805</v>
          </cell>
        </row>
        <row r="19">
          <cell r="A19" t="str">
            <v>Dividend payout ratio</v>
          </cell>
          <cell r="B19" t="str">
            <v xml:space="preserve"> ~50%, management says the deal is FCF accretive in first year after closing</v>
          </cell>
          <cell r="J19">
            <v>8.14</v>
          </cell>
        </row>
        <row r="20">
          <cell r="J20">
            <v>5.65</v>
          </cell>
        </row>
        <row r="21">
          <cell r="A21" t="str">
            <v>Anticipated Closing</v>
          </cell>
          <cell r="B21" t="str">
            <v>Management announced timing of closing to be 2H11</v>
          </cell>
          <cell r="J21">
            <v>2.4900000000000002</v>
          </cell>
        </row>
        <row r="23">
          <cell r="A23" t="str">
            <v>Termination Fee</v>
          </cell>
          <cell r="B23" t="str">
            <v>The Merger Agreement provides that, upon termination of the Merger Agreement under certain circumstances, SAVVIS may be obligated to pay
CenturyLink a termination fee of $85M</v>
          </cell>
        </row>
        <row r="27">
          <cell r="G27" t="str">
            <v>BIG TELCO DEALS OF 2011</v>
          </cell>
        </row>
        <row r="28">
          <cell r="H28" t="str">
            <v>SIZE (EV)</v>
          </cell>
          <cell r="I28" t="str">
            <v>DATE</v>
          </cell>
        </row>
        <row r="29">
          <cell r="G29" t="str">
            <v>VERIZON / TERREMARK</v>
          </cell>
          <cell r="H29">
            <v>1.9</v>
          </cell>
          <cell r="I29">
            <v>40571</v>
          </cell>
        </row>
        <row r="30">
          <cell r="G30" t="str">
            <v>AT&amp;T / T-MOBILE</v>
          </cell>
          <cell r="H30">
            <v>39</v>
          </cell>
          <cell r="I30">
            <v>40622</v>
          </cell>
        </row>
        <row r="31">
          <cell r="G31" t="str">
            <v>LEVEL 3 / GLBC</v>
          </cell>
          <cell r="H31">
            <v>3</v>
          </cell>
          <cell r="I31">
            <v>40645</v>
          </cell>
        </row>
        <row r="32">
          <cell r="G32" t="str">
            <v>CENTURYLINK / SVVS</v>
          </cell>
          <cell r="H32">
            <v>3.2</v>
          </cell>
          <cell r="I32">
            <v>40660</v>
          </cell>
        </row>
        <row r="33">
          <cell r="G33" t="str">
            <v>TOTAL</v>
          </cell>
          <cell r="H33">
            <v>47.1</v>
          </cell>
        </row>
      </sheetData>
      <sheetData sheetId="1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 val="Sheet1"/>
    </sheetNames>
    <sheetDataSet>
      <sheetData sheetId="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Funded Status (%)</v>
          </cell>
          <cell r="AD8">
            <v>0</v>
          </cell>
        </row>
        <row r="10">
          <cell r="C10" t="str">
            <v>Input your data here:</v>
          </cell>
          <cell r="BC10" t="str">
            <v>.</v>
          </cell>
        </row>
        <row r="11">
          <cell r="D11" t="str">
            <v>Funded Status (%)</v>
          </cell>
          <cell r="E11" t="str">
            <v>% of Market Cap</v>
          </cell>
          <cell r="BC11" t="str">
            <v>.</v>
          </cell>
        </row>
        <row r="12">
          <cell r="C12">
            <v>2005</v>
          </cell>
          <cell r="D12">
            <v>0.91</v>
          </cell>
          <cell r="E12">
            <v>0.45</v>
          </cell>
        </row>
        <row r="13">
          <cell r="C13">
            <v>2006</v>
          </cell>
          <cell r="D13">
            <v>0.98</v>
          </cell>
          <cell r="E13">
            <v>0.5</v>
          </cell>
        </row>
        <row r="14">
          <cell r="C14">
            <v>2007</v>
          </cell>
          <cell r="D14">
            <v>1.05</v>
          </cell>
          <cell r="E14">
            <v>0.35</v>
          </cell>
          <cell r="BC14" t="str">
            <v>.</v>
          </cell>
        </row>
        <row r="15">
          <cell r="C15">
            <v>2008</v>
          </cell>
          <cell r="D15">
            <v>0.77</v>
          </cell>
          <cell r="E15">
            <v>0.6</v>
          </cell>
          <cell r="BC15" t="str">
            <v>.</v>
          </cell>
        </row>
        <row r="16">
          <cell r="C16">
            <v>2009</v>
          </cell>
          <cell r="D16">
            <v>0.82</v>
          </cell>
          <cell r="E16">
            <v>0.56000000000000005</v>
          </cell>
          <cell r="BC16" t="str">
            <v>.</v>
          </cell>
        </row>
        <row r="17">
          <cell r="C17">
            <v>2010</v>
          </cell>
          <cell r="D17">
            <v>0.84</v>
          </cell>
          <cell r="E17">
            <v>0.52</v>
          </cell>
          <cell r="BC17" t="str">
            <v>.</v>
          </cell>
        </row>
        <row r="18">
          <cell r="C18">
            <v>2011</v>
          </cell>
          <cell r="D18">
            <v>0.78</v>
          </cell>
          <cell r="E18">
            <v>0.6</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s>
    <sheetDataSet>
      <sheetData sheetId="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Funded Status (%)</v>
          </cell>
          <cell r="AD8">
            <v>0</v>
          </cell>
        </row>
        <row r="10">
          <cell r="C10" t="str">
            <v>Input your data here:</v>
          </cell>
          <cell r="BC10" t="str">
            <v>.</v>
          </cell>
        </row>
        <row r="11">
          <cell r="D11" t="str">
            <v>Funded Status (%)</v>
          </cell>
          <cell r="E11" t="str">
            <v>% of Market Cap</v>
          </cell>
          <cell r="BC11" t="str">
            <v>.</v>
          </cell>
        </row>
        <row r="12">
          <cell r="C12">
            <v>2005</v>
          </cell>
          <cell r="D12">
            <v>0.91</v>
          </cell>
          <cell r="E12">
            <v>0.45</v>
          </cell>
        </row>
        <row r="13">
          <cell r="C13">
            <v>2006</v>
          </cell>
          <cell r="D13">
            <v>0.98</v>
          </cell>
          <cell r="E13">
            <v>0.5</v>
          </cell>
        </row>
        <row r="14">
          <cell r="C14">
            <v>2007</v>
          </cell>
          <cell r="D14">
            <v>1.05</v>
          </cell>
          <cell r="E14">
            <v>0.35</v>
          </cell>
          <cell r="BC14" t="str">
            <v>.</v>
          </cell>
        </row>
        <row r="15">
          <cell r="C15">
            <v>2008</v>
          </cell>
          <cell r="D15">
            <v>0.77</v>
          </cell>
          <cell r="E15">
            <v>0.6</v>
          </cell>
          <cell r="BC15" t="str">
            <v>.</v>
          </cell>
        </row>
        <row r="16">
          <cell r="C16">
            <v>2009</v>
          </cell>
          <cell r="D16">
            <v>0.82</v>
          </cell>
          <cell r="E16">
            <v>0.56000000000000005</v>
          </cell>
          <cell r="BC16" t="str">
            <v>.</v>
          </cell>
        </row>
        <row r="17">
          <cell r="C17">
            <v>2010</v>
          </cell>
          <cell r="D17">
            <v>0.84</v>
          </cell>
          <cell r="E17">
            <v>0.52</v>
          </cell>
          <cell r="BC17" t="str">
            <v>.</v>
          </cell>
        </row>
        <row r="18">
          <cell r="C18">
            <v>2011</v>
          </cell>
          <cell r="D18">
            <v>0.78</v>
          </cell>
          <cell r="E18">
            <v>0.6</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Q - old"/>
      <sheetName val="Q"/>
      <sheetName val="Rev"/>
      <sheetName val="IS"/>
      <sheetName val="BS"/>
      <sheetName val="CF"/>
      <sheetName val="Valuation"/>
      <sheetName val="Link"/>
      <sheetName val="Charts"/>
      <sheetName val="MWA RR"/>
      <sheetName val="Est Table"/>
      <sheetName val="DCF"/>
      <sheetName val="MW-Cache"/>
      <sheetName val="Est. TableP"/>
      <sheetName val="__FDSCACHE__"/>
      <sheetName val="Est vs Act"/>
      <sheetName val="mwareDates"/>
      <sheetName val="mwareSettings"/>
      <sheetName val="mc"/>
      <sheetName val="pro-forma"/>
      <sheetName val="mwareDates_40024_5763844"/>
      <sheetName val="NY UPLOAD shadow"/>
      <sheetName val="Guidance - 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1">
          <cell r="A1">
            <v>0</v>
          </cell>
          <cell r="B1">
            <v>0</v>
          </cell>
          <cell r="C1">
            <v>0</v>
          </cell>
          <cell r="D1">
            <v>0</v>
          </cell>
          <cell r="E1">
            <v>0</v>
          </cell>
          <cell r="F1">
            <v>0</v>
          </cell>
          <cell r="G1">
            <v>0</v>
          </cell>
          <cell r="H1">
            <v>0</v>
          </cell>
          <cell r="I1">
            <v>0</v>
          </cell>
          <cell r="J1">
            <v>0</v>
          </cell>
          <cell r="K1">
            <v>0</v>
          </cell>
          <cell r="L1">
            <v>0</v>
          </cell>
          <cell r="M1">
            <v>0</v>
          </cell>
          <cell r="N1">
            <v>0</v>
          </cell>
          <cell r="O1">
            <v>0</v>
          </cell>
          <cell r="P1">
            <v>0</v>
          </cell>
          <cell r="Q1">
            <v>0</v>
          </cell>
          <cell r="R1">
            <v>0</v>
          </cell>
          <cell r="S1">
            <v>0</v>
          </cell>
          <cell r="T1">
            <v>0</v>
          </cell>
          <cell r="U1">
            <v>0</v>
          </cell>
          <cell r="V1">
            <v>0</v>
          </cell>
          <cell r="W1">
            <v>0</v>
          </cell>
        </row>
        <row r="2">
          <cell r="A2">
            <v>0</v>
          </cell>
          <cell r="B2" t="str">
            <v>($MM, except per share calcs)</v>
          </cell>
          <cell r="C2">
            <v>0</v>
          </cell>
          <cell r="D2" t="str">
            <v>Prior Yr 2Q08</v>
          </cell>
          <cell r="E2" t="str">
            <v>Prior Yr 3Q08</v>
          </cell>
          <cell r="F2" t="str">
            <v>Prior Qtr 1Q09</v>
          </cell>
          <cell r="G2" t="str">
            <v>Prior Qtr 2Q09</v>
          </cell>
          <cell r="H2" t="str">
            <v>Cons 3Q09</v>
          </cell>
          <cell r="I2" t="str">
            <v>Estimate 3Q09</v>
          </cell>
          <cell r="J2" t="str">
            <v>Actual 3Q09</v>
          </cell>
          <cell r="K2" t="str">
            <v>Diff 3Q09</v>
          </cell>
          <cell r="L2" t="str">
            <v>Old Estimate 2009</v>
          </cell>
          <cell r="M2" t="str">
            <v>New Estimate 2009</v>
          </cell>
          <cell r="N2" t="str">
            <v>Old Estimate 2010</v>
          </cell>
          <cell r="O2" t="str">
            <v>New Estimate 2010</v>
          </cell>
          <cell r="P2" t="str">
            <v>Guidance 2009 (4Q08)</v>
          </cell>
          <cell r="Q2" t="str">
            <v>Guidance 2009 (as of 1Q09)</v>
          </cell>
          <cell r="R2" t="str">
            <v>Guidance for 2009</v>
          </cell>
          <cell r="S2">
            <v>0</v>
          </cell>
          <cell r="T2">
            <v>0</v>
          </cell>
          <cell r="U2">
            <v>0</v>
          </cell>
          <cell r="V2">
            <v>0</v>
          </cell>
          <cell r="W2">
            <v>0</v>
          </cell>
        </row>
        <row r="3">
          <cell r="A3">
            <v>0</v>
          </cell>
          <cell r="B3" t="str">
            <v>Revenue</v>
          </cell>
          <cell r="C3">
            <v>0</v>
          </cell>
          <cell r="D3">
            <v>290.17</v>
          </cell>
          <cell r="E3">
            <v>291.61899999999997</v>
          </cell>
          <cell r="F3">
            <v>297.63100000000003</v>
          </cell>
          <cell r="G3">
            <v>301.05899999999997</v>
          </cell>
          <cell r="H3">
            <v>303.8</v>
          </cell>
          <cell r="I3" t="e">
            <v>#REF!</v>
          </cell>
          <cell r="J3">
            <v>304.76600000000002</v>
          </cell>
          <cell r="K3" t="e">
            <v>#REF!</v>
          </cell>
          <cell r="L3" t="e">
            <v>#REF!</v>
          </cell>
          <cell r="M3">
            <v>1211.3899999999999</v>
          </cell>
          <cell r="N3" t="e">
            <v>#REF!</v>
          </cell>
          <cell r="O3">
            <v>1273.171</v>
          </cell>
          <cell r="P3" t="str">
            <v>$855 - $875</v>
          </cell>
          <cell r="Q3" t="str">
            <v>$855 - $875</v>
          </cell>
          <cell r="R3">
            <v>0</v>
          </cell>
          <cell r="S3">
            <v>0</v>
          </cell>
          <cell r="T3">
            <v>0</v>
          </cell>
          <cell r="U3">
            <v>0</v>
          </cell>
          <cell r="V3">
            <v>0</v>
          </cell>
          <cell r="W3">
            <v>0</v>
          </cell>
        </row>
        <row r="4">
          <cell r="A4">
            <v>0</v>
          </cell>
          <cell r="B4" t="str">
            <v>Growth (Y/Y)</v>
          </cell>
          <cell r="C4">
            <v>0</v>
          </cell>
          <cell r="D4">
            <v>8.8772278398224547E-2</v>
          </cell>
          <cell r="E4">
            <v>6.6290665358836209E-2</v>
          </cell>
          <cell r="F4">
            <v>5.6484161274229949E-2</v>
          </cell>
          <cell r="G4">
            <v>3.752627769927952E-2</v>
          </cell>
          <cell r="H4">
            <v>4.1770255024535574E-2</v>
          </cell>
          <cell r="I4" t="e">
            <v>#REF!</v>
          </cell>
          <cell r="J4">
            <v>4.5082796388438595E-2</v>
          </cell>
          <cell r="K4" t="e">
            <v>#REF!</v>
          </cell>
          <cell r="L4" t="e">
            <v>#REF!</v>
          </cell>
          <cell r="M4">
            <v>4.5185626810259285E-4</v>
          </cell>
          <cell r="N4" t="e">
            <v>#REF!</v>
          </cell>
          <cell r="O4">
            <v>5.1000090804778078E-4</v>
          </cell>
          <cell r="P4" t="str">
            <v>21.3% - 24.2%</v>
          </cell>
          <cell r="Q4" t="str">
            <v>21.3% - 24.2%</v>
          </cell>
          <cell r="R4">
            <v>0</v>
          </cell>
          <cell r="S4">
            <v>0</v>
          </cell>
          <cell r="T4">
            <v>0</v>
          </cell>
          <cell r="U4">
            <v>0</v>
          </cell>
          <cell r="V4">
            <v>0</v>
          </cell>
          <cell r="W4">
            <v>0</v>
          </cell>
        </row>
        <row r="5">
          <cell r="A5">
            <v>0</v>
          </cell>
          <cell r="B5" t="str">
            <v>Growth (Seq.)</v>
          </cell>
          <cell r="C5">
            <v>0</v>
          </cell>
          <cell r="D5">
            <v>2.8358243899627933E-2</v>
          </cell>
          <cell r="E5">
            <v>5.2206746421621375E-3</v>
          </cell>
          <cell r="F5">
            <v>1.0107689075774751E-2</v>
          </cell>
          <cell r="G5">
            <v>1.151761745248292E-2</v>
          </cell>
          <cell r="H5">
            <v>9.1045276839425426E-3</v>
          </cell>
          <cell r="I5" t="e">
            <v>#REF!</v>
          </cell>
          <cell r="J5">
            <v>1.2313201066900703E-2</v>
          </cell>
          <cell r="K5" t="e">
            <v>#REF!</v>
          </cell>
          <cell r="L5">
            <v>0</v>
          </cell>
          <cell r="M5">
            <v>0</v>
          </cell>
          <cell r="N5">
            <v>0</v>
          </cell>
          <cell r="O5">
            <v>0</v>
          </cell>
          <cell r="P5">
            <v>0</v>
          </cell>
          <cell r="Q5">
            <v>0</v>
          </cell>
          <cell r="R5">
            <v>0</v>
          </cell>
          <cell r="S5">
            <v>0</v>
          </cell>
          <cell r="T5">
            <v>0</v>
          </cell>
          <cell r="U5">
            <v>0</v>
          </cell>
          <cell r="V5">
            <v>0</v>
          </cell>
          <cell r="W5">
            <v>0</v>
          </cell>
        </row>
        <row r="6">
          <cell r="A6">
            <v>0</v>
          </cell>
          <cell r="B6">
            <v>0</v>
          </cell>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row>
        <row r="7">
          <cell r="A7">
            <v>0</v>
          </cell>
          <cell r="B7" t="str">
            <v>Network Svcs</v>
          </cell>
          <cell r="C7">
            <v>0</v>
          </cell>
          <cell r="D7">
            <v>98.804000000000002</v>
          </cell>
          <cell r="E7">
            <v>96.152000000000001</v>
          </cell>
          <cell r="F7">
            <v>93.866</v>
          </cell>
          <cell r="G7">
            <v>93.296999999999997</v>
          </cell>
          <cell r="H7">
            <v>93</v>
          </cell>
          <cell r="I7" t="e">
            <v>#REF!</v>
          </cell>
          <cell r="J7">
            <v>93.233000000000004</v>
          </cell>
          <cell r="K7" t="e">
            <v>#REF!</v>
          </cell>
          <cell r="L7" t="e">
            <v>#REF!</v>
          </cell>
          <cell r="M7">
            <v>370.85900000000004</v>
          </cell>
          <cell r="N7" t="e">
            <v>#REF!</v>
          </cell>
          <cell r="O7">
            <v>359.16899999999998</v>
          </cell>
          <cell r="P7">
            <v>0</v>
          </cell>
          <cell r="Q7">
            <v>0</v>
          </cell>
          <cell r="R7">
            <v>0</v>
          </cell>
          <cell r="S7">
            <v>0</v>
          </cell>
          <cell r="T7">
            <v>0</v>
          </cell>
          <cell r="U7">
            <v>0</v>
          </cell>
          <cell r="V7">
            <v>0</v>
          </cell>
          <cell r="W7">
            <v>0</v>
          </cell>
        </row>
        <row r="8">
          <cell r="A8">
            <v>0</v>
          </cell>
          <cell r="B8" t="str">
            <v>Growth (Y/Y)</v>
          </cell>
          <cell r="C8">
            <v>0</v>
          </cell>
          <cell r="D8">
            <v>1.243979915975002E-2</v>
          </cell>
          <cell r="E8">
            <v>-2.5509531869178703E-2</v>
          </cell>
          <cell r="F8">
            <v>-3.0370018387290032E-2</v>
          </cell>
          <cell r="G8">
            <v>-5.5736609853852093E-2</v>
          </cell>
          <cell r="H8">
            <v>-3.2781429403444529E-2</v>
          </cell>
          <cell r="I8" t="e">
            <v>#REF!</v>
          </cell>
          <cell r="J8">
            <v>-3.0358182877111228E-2</v>
          </cell>
          <cell r="K8" t="e">
            <v>#REF!</v>
          </cell>
          <cell r="L8" t="e">
            <v>#REF!</v>
          </cell>
          <cell r="M8">
            <v>-4.2546709729719856E-2</v>
          </cell>
          <cell r="N8" t="e">
            <v>#REF!</v>
          </cell>
          <cell r="O8">
            <v>-3.1521413798775377E-2</v>
          </cell>
          <cell r="P8">
            <v>0</v>
          </cell>
          <cell r="Q8">
            <v>0</v>
          </cell>
          <cell r="R8">
            <v>0</v>
          </cell>
          <cell r="S8">
            <v>0</v>
          </cell>
          <cell r="T8">
            <v>0</v>
          </cell>
          <cell r="U8">
            <v>0</v>
          </cell>
          <cell r="V8">
            <v>0</v>
          </cell>
          <cell r="W8">
            <v>0</v>
          </cell>
        </row>
        <row r="9">
          <cell r="A9">
            <v>0</v>
          </cell>
          <cell r="B9" t="str">
            <v>Growth (Seq.)</v>
          </cell>
          <cell r="C9">
            <v>0</v>
          </cell>
          <cell r="D9">
            <v>2.0639216577484909E-2</v>
          </cell>
          <cell r="E9">
            <v>-2.6841018582243636E-2</v>
          </cell>
          <cell r="F9">
            <v>-1.7901796457306607E-2</v>
          </cell>
          <cell r="G9">
            <v>-6.0618328255171994E-3</v>
          </cell>
          <cell r="H9">
            <v>-3.1833821023183884E-3</v>
          </cell>
          <cell r="I9" t="e">
            <v>#REF!</v>
          </cell>
          <cell r="J9">
            <v>-6.8598132844566173E-4</v>
          </cell>
          <cell r="K9" t="e">
            <v>#REF!</v>
          </cell>
          <cell r="L9">
            <v>0</v>
          </cell>
          <cell r="M9">
            <v>0</v>
          </cell>
          <cell r="N9">
            <v>0</v>
          </cell>
          <cell r="O9">
            <v>0</v>
          </cell>
          <cell r="P9">
            <v>0</v>
          </cell>
          <cell r="Q9">
            <v>0</v>
          </cell>
          <cell r="R9">
            <v>0</v>
          </cell>
          <cell r="S9">
            <v>0</v>
          </cell>
          <cell r="T9">
            <v>0</v>
          </cell>
          <cell r="U9">
            <v>0</v>
          </cell>
          <cell r="V9">
            <v>0</v>
          </cell>
          <cell r="W9">
            <v>0</v>
          </cell>
        </row>
        <row r="10">
          <cell r="A10">
            <v>0</v>
          </cell>
          <cell r="B10">
            <v>0</v>
          </cell>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row>
        <row r="11">
          <cell r="A11">
            <v>0</v>
          </cell>
          <cell r="B11" t="str">
            <v>Data &amp; Internet</v>
          </cell>
          <cell r="C11">
            <v>0</v>
          </cell>
          <cell r="D11">
            <v>97.317999999999998</v>
          </cell>
          <cell r="E11">
            <v>102.282</v>
          </cell>
          <cell r="F11">
            <v>112.042</v>
          </cell>
          <cell r="G11">
            <v>115.82899999999999</v>
          </cell>
          <cell r="H11">
            <v>120</v>
          </cell>
          <cell r="I11" t="e">
            <v>#REF!</v>
          </cell>
          <cell r="J11">
            <v>119.977</v>
          </cell>
          <cell r="K11" t="e">
            <v>#REF!</v>
          </cell>
          <cell r="L11" t="e">
            <v>#REF!</v>
          </cell>
          <cell r="M11">
            <v>472.64699999999993</v>
          </cell>
          <cell r="N11" t="e">
            <v>#REF!</v>
          </cell>
          <cell r="O11">
            <v>547.21799999999996</v>
          </cell>
          <cell r="P11">
            <v>0</v>
          </cell>
          <cell r="Q11">
            <v>0</v>
          </cell>
          <cell r="R11">
            <v>0</v>
          </cell>
          <cell r="S11">
            <v>0</v>
          </cell>
          <cell r="T11">
            <v>0</v>
          </cell>
          <cell r="U11">
            <v>0</v>
          </cell>
          <cell r="V11">
            <v>0</v>
          </cell>
          <cell r="W11">
            <v>0</v>
          </cell>
        </row>
        <row r="12">
          <cell r="A12">
            <v>0</v>
          </cell>
          <cell r="B12" t="str">
            <v>Growth (Y/Y)</v>
          </cell>
          <cell r="C12">
            <v>0</v>
          </cell>
          <cell r="D12">
            <v>0.23908836261777425</v>
          </cell>
          <cell r="E12">
            <v>0.24190434560885876</v>
          </cell>
          <cell r="F12">
            <v>0.20747925422998173</v>
          </cell>
          <cell r="G12">
            <v>0.19021147167019459</v>
          </cell>
          <cell r="H12">
            <v>0.1732269607555581</v>
          </cell>
          <cell r="I12" t="e">
            <v>#REF!</v>
          </cell>
          <cell r="J12">
            <v>0.17300209225474683</v>
          </cell>
          <cell r="K12" t="e">
            <v>#REF!</v>
          </cell>
          <cell r="L12" t="e">
            <v>#REF!</v>
          </cell>
          <cell r="M12">
            <v>0.18183022944129923</v>
          </cell>
          <cell r="N12" t="e">
            <v>#REF!</v>
          </cell>
          <cell r="O12">
            <v>0.15777313724619013</v>
          </cell>
          <cell r="P12">
            <v>0</v>
          </cell>
          <cell r="Q12">
            <v>0</v>
          </cell>
          <cell r="R12">
            <v>0</v>
          </cell>
          <cell r="S12">
            <v>0</v>
          </cell>
          <cell r="T12">
            <v>0</v>
          </cell>
          <cell r="U12">
            <v>0</v>
          </cell>
          <cell r="V12">
            <v>0</v>
          </cell>
          <cell r="W12">
            <v>0</v>
          </cell>
        </row>
        <row r="13">
          <cell r="A13">
            <v>0</v>
          </cell>
          <cell r="B13" t="str">
            <v>Growth (Seq.)</v>
          </cell>
          <cell r="C13">
            <v>0</v>
          </cell>
          <cell r="D13">
            <v>4.8798361892445241E-2</v>
          </cell>
          <cell r="E13">
            <v>5.1008035512443817E-2</v>
          </cell>
          <cell r="F13">
            <v>4.1882869311313353E-2</v>
          </cell>
          <cell r="G13">
            <v>3.379982506560042E-2</v>
          </cell>
          <cell r="H13">
            <v>3.6009980229476213E-2</v>
          </cell>
          <cell r="I13" t="e">
            <v>#REF!</v>
          </cell>
          <cell r="J13">
            <v>3.5811411649932401E-2</v>
          </cell>
          <cell r="K13" t="e">
            <v>#REF!</v>
          </cell>
          <cell r="L13">
            <v>0</v>
          </cell>
          <cell r="M13">
            <v>0</v>
          </cell>
          <cell r="N13">
            <v>0</v>
          </cell>
          <cell r="O13">
            <v>0</v>
          </cell>
          <cell r="P13">
            <v>0</v>
          </cell>
          <cell r="Q13">
            <v>0</v>
          </cell>
          <cell r="R13">
            <v>0</v>
          </cell>
          <cell r="S13">
            <v>0</v>
          </cell>
          <cell r="T13">
            <v>0</v>
          </cell>
          <cell r="U13">
            <v>0</v>
          </cell>
          <cell r="V13">
            <v>0</v>
          </cell>
          <cell r="W13">
            <v>0</v>
          </cell>
        </row>
        <row r="14">
          <cell r="A14">
            <v>0</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row>
        <row r="15">
          <cell r="A15">
            <v>0</v>
          </cell>
          <cell r="B15" t="str">
            <v>Gross Margin</v>
          </cell>
          <cell r="C15">
            <v>0</v>
          </cell>
          <cell r="D15">
            <v>0.58482613640279835</v>
          </cell>
          <cell r="E15">
            <v>0.58086750177457569</v>
          </cell>
          <cell r="F15">
            <v>0.58671643746787128</v>
          </cell>
          <cell r="G15">
            <v>0.59329898790602509</v>
          </cell>
          <cell r="H15">
            <v>0.59099999999999997</v>
          </cell>
          <cell r="I15" t="e">
            <v>#REF!</v>
          </cell>
          <cell r="J15">
            <v>0.58599999999999997</v>
          </cell>
          <cell r="K15" t="e">
            <v>#REF!</v>
          </cell>
          <cell r="L15" t="e">
            <v>#REF!</v>
          </cell>
          <cell r="M15">
            <v>0.58699840678889537</v>
          </cell>
          <cell r="N15" t="e">
            <v>#REF!</v>
          </cell>
          <cell r="O15">
            <v>0.5870908149808628</v>
          </cell>
          <cell r="P15">
            <v>0.63</v>
          </cell>
          <cell r="Q15" t="str">
            <v>62 - 63%</v>
          </cell>
          <cell r="R15">
            <v>0</v>
          </cell>
          <cell r="S15">
            <v>0</v>
          </cell>
          <cell r="T15">
            <v>0</v>
          </cell>
          <cell r="U15">
            <v>0</v>
          </cell>
          <cell r="V15">
            <v>0</v>
          </cell>
          <cell r="W15">
            <v>0</v>
          </cell>
        </row>
        <row r="16">
          <cell r="A16">
            <v>0</v>
          </cell>
          <cell r="B16">
            <v>0</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row>
        <row r="17">
          <cell r="A17">
            <v>0</v>
          </cell>
          <cell r="B17" t="str">
            <v>EBITDA</v>
          </cell>
          <cell r="C17">
            <v>0</v>
          </cell>
          <cell r="D17">
            <v>98.769000000000005</v>
          </cell>
          <cell r="E17">
            <v>102.62999999999997</v>
          </cell>
          <cell r="F17">
            <v>104.44200000000004</v>
          </cell>
          <cell r="G17">
            <v>108.92299999999999</v>
          </cell>
          <cell r="H17">
            <v>107.9</v>
          </cell>
          <cell r="I17" t="e">
            <v>#REF!</v>
          </cell>
          <cell r="J17">
            <v>109.426</v>
          </cell>
          <cell r="K17" t="e">
            <v>#REF!</v>
          </cell>
          <cell r="L17" t="e">
            <v>#REF!</v>
          </cell>
          <cell r="M17">
            <v>436.65799999999984</v>
          </cell>
          <cell r="N17" t="e">
            <v>#REF!</v>
          </cell>
          <cell r="O17">
            <v>463.5680000000001</v>
          </cell>
          <cell r="P17" t="str">
            <v>$365 - $385</v>
          </cell>
          <cell r="Q17" t="str">
            <v>$370 - $385</v>
          </cell>
          <cell r="R17">
            <v>0</v>
          </cell>
          <cell r="S17">
            <v>0</v>
          </cell>
          <cell r="T17">
            <v>0</v>
          </cell>
          <cell r="U17">
            <v>0</v>
          </cell>
          <cell r="V17">
            <v>0</v>
          </cell>
          <cell r="W17">
            <v>0</v>
          </cell>
        </row>
        <row r="18">
          <cell r="A18">
            <v>0</v>
          </cell>
          <cell r="B18" t="str">
            <v>EBITDA Margin</v>
          </cell>
          <cell r="C18">
            <v>0</v>
          </cell>
          <cell r="D18">
            <v>0.34038322362752871</v>
          </cell>
          <cell r="E18">
            <v>0.35193180142583297</v>
          </cell>
          <cell r="F18">
            <v>0.35091102741313918</v>
          </cell>
          <cell r="G18">
            <v>0.36179951438090208</v>
          </cell>
          <cell r="H18" t="e">
            <v>#REF!</v>
          </cell>
          <cell r="I18" t="e">
            <v>#REF!</v>
          </cell>
          <cell r="J18">
            <v>0.35904923777586739</v>
          </cell>
          <cell r="K18" t="e">
            <v>#REF!</v>
          </cell>
          <cell r="L18" t="e">
            <v>#REF!</v>
          </cell>
          <cell r="M18">
            <v>0.36046029767457211</v>
          </cell>
          <cell r="N18" t="e">
            <v>#REF!</v>
          </cell>
          <cell r="O18">
            <v>0.36410505737249754</v>
          </cell>
          <cell r="P18" t="str">
            <v>41.7% - 45.0%</v>
          </cell>
          <cell r="Q18" t="str">
            <v>42.3% - 45.0%</v>
          </cell>
          <cell r="R18">
            <v>0</v>
          </cell>
          <cell r="S18">
            <v>0</v>
          </cell>
          <cell r="T18">
            <v>0</v>
          </cell>
          <cell r="U18">
            <v>0</v>
          </cell>
          <cell r="V18">
            <v>0</v>
          </cell>
          <cell r="W18">
            <v>0</v>
          </cell>
        </row>
        <row r="19">
          <cell r="A19">
            <v>0</v>
          </cell>
          <cell r="B19" t="str">
            <v>Total Capex</v>
          </cell>
          <cell r="C19">
            <v>0</v>
          </cell>
          <cell r="D19">
            <v>66.844999999999999</v>
          </cell>
          <cell r="E19">
            <v>75.947000000000003</v>
          </cell>
          <cell r="F19">
            <v>73.424999999999997</v>
          </cell>
          <cell r="G19">
            <v>69.2</v>
          </cell>
          <cell r="H19">
            <v>68.400000000000006</v>
          </cell>
          <cell r="I19" t="e">
            <v>#REF!</v>
          </cell>
          <cell r="J19">
            <v>59.930999999999997</v>
          </cell>
          <cell r="K19" t="e">
            <v>#REF!</v>
          </cell>
          <cell r="L19" t="e">
            <v>#REF!</v>
          </cell>
          <cell r="M19">
            <v>274.90299999999996</v>
          </cell>
          <cell r="N19" t="e">
            <v>#REF!</v>
          </cell>
          <cell r="O19">
            <v>321.84399999999999</v>
          </cell>
          <cell r="P19" t="str">
            <v>$325 - $375</v>
          </cell>
          <cell r="Q19" t="str">
            <v>$325 - $375</v>
          </cell>
          <cell r="R19">
            <v>275</v>
          </cell>
          <cell r="S19">
            <v>0</v>
          </cell>
          <cell r="T19">
            <v>0</v>
          </cell>
          <cell r="U19">
            <v>0</v>
          </cell>
          <cell r="V19">
            <v>0</v>
          </cell>
          <cell r="W19">
            <v>0</v>
          </cell>
        </row>
        <row r="20">
          <cell r="A20">
            <v>0</v>
          </cell>
          <cell r="B20" t="str">
            <v>Capex % of Rev</v>
          </cell>
          <cell r="C20">
            <v>0</v>
          </cell>
          <cell r="D20">
            <v>0.23036495847261948</v>
          </cell>
          <cell r="E20">
            <v>0.26043227636059385</v>
          </cell>
          <cell r="F20">
            <v>0.24669809260460096</v>
          </cell>
          <cell r="G20">
            <v>0.22985527753696122</v>
          </cell>
          <cell r="H20" t="e">
            <v>#REF!</v>
          </cell>
          <cell r="I20" t="e">
            <v>#REF!</v>
          </cell>
          <cell r="J20">
            <v>0.19664595132002913</v>
          </cell>
          <cell r="K20" t="e">
            <v>#REF!</v>
          </cell>
          <cell r="L20" t="e">
            <v>#REF!</v>
          </cell>
          <cell r="M20">
            <v>0.2269318716515738</v>
          </cell>
          <cell r="N20" t="e">
            <v>#REF!</v>
          </cell>
          <cell r="O20">
            <v>0.25278929538922895</v>
          </cell>
          <cell r="P20" t="str">
            <v>37.1% - 43.9%</v>
          </cell>
          <cell r="Q20" t="str">
            <v>37.1% - 43.9%</v>
          </cell>
          <cell r="R20">
            <v>0</v>
          </cell>
          <cell r="S20">
            <v>0</v>
          </cell>
          <cell r="T20">
            <v>0</v>
          </cell>
          <cell r="U20">
            <v>0</v>
          </cell>
          <cell r="V20">
            <v>0</v>
          </cell>
          <cell r="W20">
            <v>0</v>
          </cell>
        </row>
        <row r="21">
          <cell r="A21">
            <v>0</v>
          </cell>
          <cell r="B21">
            <v>0</v>
          </cell>
          <cell r="C21">
            <v>0</v>
          </cell>
          <cell r="D21">
            <v>0</v>
          </cell>
          <cell r="E21">
            <v>0</v>
          </cell>
          <cell r="F21">
            <v>0</v>
          </cell>
          <cell r="G21">
            <v>0</v>
          </cell>
          <cell r="H21">
            <v>0</v>
          </cell>
          <cell r="I21">
            <v>0</v>
          </cell>
          <cell r="J21">
            <v>0</v>
          </cell>
          <cell r="K21">
            <v>0</v>
          </cell>
          <cell r="L21" t="e">
            <v>#REF!</v>
          </cell>
          <cell r="M21">
            <v>0</v>
          </cell>
          <cell r="N21" t="e">
            <v>#REF!</v>
          </cell>
          <cell r="O21">
            <v>0</v>
          </cell>
          <cell r="P21">
            <v>0</v>
          </cell>
          <cell r="Q21">
            <v>0</v>
          </cell>
          <cell r="R21">
            <v>0</v>
          </cell>
          <cell r="S21">
            <v>0</v>
          </cell>
          <cell r="T21">
            <v>0</v>
          </cell>
          <cell r="U21">
            <v>0</v>
          </cell>
          <cell r="V21">
            <v>0</v>
          </cell>
          <cell r="W21">
            <v>0</v>
          </cell>
        </row>
        <row r="22">
          <cell r="A22">
            <v>0</v>
          </cell>
          <cell r="B22" t="str">
            <v>FCF (1)</v>
          </cell>
          <cell r="C22">
            <v>0</v>
          </cell>
          <cell r="D22">
            <v>10.695000000000007</v>
          </cell>
          <cell r="E22">
            <v>5.4429999999999694</v>
          </cell>
          <cell r="F22">
            <v>9.6890000000000356</v>
          </cell>
          <cell r="G22">
            <v>18.776999999999987</v>
          </cell>
          <cell r="H22" t="str">
            <v>NA</v>
          </cell>
          <cell r="I22" t="e">
            <v>#REF!</v>
          </cell>
          <cell r="J22">
            <v>33.759</v>
          </cell>
          <cell r="K22" t="e">
            <v>#REF!</v>
          </cell>
          <cell r="L22" t="e">
            <v>#REF!</v>
          </cell>
          <cell r="M22">
            <v>78.113999999999862</v>
          </cell>
          <cell r="N22" t="e">
            <v>#REF!</v>
          </cell>
          <cell r="O22">
            <v>61.380000000000109</v>
          </cell>
          <cell r="P22">
            <v>0</v>
          </cell>
          <cell r="Q22">
            <v>0</v>
          </cell>
          <cell r="R22">
            <v>0</v>
          </cell>
          <cell r="S22">
            <v>0</v>
          </cell>
          <cell r="T22">
            <v>0</v>
          </cell>
          <cell r="U22">
            <v>0</v>
          </cell>
          <cell r="V22">
            <v>0</v>
          </cell>
          <cell r="W22">
            <v>0</v>
          </cell>
        </row>
        <row r="23">
          <cell r="A23">
            <v>0</v>
          </cell>
          <cell r="B23" t="str">
            <v>FCF (2)</v>
          </cell>
          <cell r="C23">
            <v>0</v>
          </cell>
          <cell r="D23">
            <v>4.9340000000000117</v>
          </cell>
          <cell r="E23">
            <v>3.4439999999999742</v>
          </cell>
          <cell r="F23">
            <v>-9.5989999999999682</v>
          </cell>
          <cell r="G23">
            <v>37.401999999999987</v>
          </cell>
          <cell r="H23" t="str">
            <v>NA</v>
          </cell>
          <cell r="I23" t="e">
            <v>#REF!</v>
          </cell>
          <cell r="J23">
            <v>47.844000000000008</v>
          </cell>
          <cell r="K23" t="e">
            <v>#REF!</v>
          </cell>
          <cell r="L23" t="e">
            <v>#REF!</v>
          </cell>
          <cell r="M23">
            <v>115.57500000000016</v>
          </cell>
          <cell r="N23" t="e">
            <v>#REF!</v>
          </cell>
          <cell r="O23">
            <v>63.908000000000015</v>
          </cell>
          <cell r="P23">
            <v>0</v>
          </cell>
          <cell r="Q23">
            <v>0</v>
          </cell>
          <cell r="R23">
            <v>0</v>
          </cell>
          <cell r="S23">
            <v>0</v>
          </cell>
          <cell r="T23">
            <v>0</v>
          </cell>
          <cell r="U23">
            <v>0</v>
          </cell>
          <cell r="V23">
            <v>0</v>
          </cell>
          <cell r="W23">
            <v>0</v>
          </cell>
        </row>
        <row r="24">
          <cell r="A24">
            <v>0</v>
          </cell>
          <cell r="B24" t="str">
            <v>Adjusted EPS</v>
          </cell>
          <cell r="C24">
            <v>0</v>
          </cell>
          <cell r="D24">
            <v>-2.1501340482573669E-2</v>
          </cell>
          <cell r="E24">
            <v>-1.2490430718403711E-3</v>
          </cell>
          <cell r="F24">
            <v>1.9478806652553766E-2</v>
          </cell>
          <cell r="G24">
            <v>3.9954044738798274E-2</v>
          </cell>
          <cell r="H24">
            <v>0.04</v>
          </cell>
          <cell r="I24" t="e">
            <v>#REF!</v>
          </cell>
          <cell r="J24">
            <v>0.05</v>
          </cell>
          <cell r="K24" t="e">
            <v>#REF!</v>
          </cell>
          <cell r="L24" t="e">
            <v>#REF!</v>
          </cell>
          <cell r="M24">
            <v>0.12403074663666429</v>
          </cell>
          <cell r="N24" t="e">
            <v>#REF!</v>
          </cell>
          <cell r="O24">
            <v>2.2853790662125566</v>
          </cell>
          <cell r="P24">
            <v>0</v>
          </cell>
          <cell r="Q24">
            <v>0</v>
          </cell>
          <cell r="R24">
            <v>0</v>
          </cell>
          <cell r="S24">
            <v>0</v>
          </cell>
          <cell r="T24">
            <v>0</v>
          </cell>
          <cell r="U24">
            <v>0</v>
          </cell>
          <cell r="V24">
            <v>0</v>
          </cell>
          <cell r="W24">
            <v>0</v>
          </cell>
        </row>
        <row r="25">
          <cell r="A25">
            <v>0</v>
          </cell>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t="str">
            <v>Guidance 2009 (1Q09)</v>
          </cell>
          <cell r="V25" t="str">
            <v>Guidance 2009 (2Q09)</v>
          </cell>
          <cell r="W25" t="str">
            <v>Guidance 2009 (3Q09)</v>
          </cell>
        </row>
        <row r="26">
          <cell r="A26">
            <v>0</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t="str">
            <v>($MM)</v>
          </cell>
          <cell r="S26">
            <v>0</v>
          </cell>
          <cell r="T26">
            <v>0</v>
          </cell>
          <cell r="U26">
            <v>0</v>
          </cell>
          <cell r="V26">
            <v>0</v>
          </cell>
          <cell r="W26">
            <v>0</v>
          </cell>
        </row>
        <row r="27">
          <cell r="A27">
            <v>0</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row>
        <row r="28">
          <cell r="A28">
            <v>0</v>
          </cell>
          <cell r="B28">
            <v>0</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t="str">
            <v>Total Capex</v>
          </cell>
          <cell r="S28">
            <v>0</v>
          </cell>
          <cell r="T28">
            <v>0</v>
          </cell>
          <cell r="U28" t="str">
            <v>$250 - $275</v>
          </cell>
          <cell r="V28">
            <v>275</v>
          </cell>
          <cell r="W28">
            <v>275</v>
          </cell>
        </row>
      </sheetData>
      <sheetData sheetId="15"/>
      <sheetData sheetId="16"/>
      <sheetData sheetId="17"/>
      <sheetData sheetId="18"/>
      <sheetData sheetId="19"/>
      <sheetData sheetId="20"/>
      <sheetData sheetId="21"/>
      <sheetData sheetId="22"/>
      <sheetData sheetId="2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__FDSCACHE__"/>
      <sheetName val="MW-Cache"/>
      <sheetName val="Valuation"/>
      <sheetName val="MWA RR"/>
      <sheetName val="Proforma IS"/>
      <sheetName val="BS"/>
      <sheetName val="CFS"/>
      <sheetName val="Capex"/>
      <sheetName val="Segments"/>
      <sheetName val="Wireline"/>
      <sheetName val="Wireless"/>
      <sheetName val="Directory"/>
      <sheetName val="Other"/>
      <sheetName val="U-verse"/>
      <sheetName val="Connections"/>
      <sheetName val="Pension - NEW"/>
      <sheetName val="OPEB - NEW"/>
      <sheetName val="Inputs"/>
      <sheetName val="Global links"/>
      <sheetName val="BLS"/>
      <sheetName val="OLD AT&amp;T"/>
      <sheetName val="Links"/>
      <sheetName val="Wireless Links"/>
      <sheetName val="SBC IS"/>
      <sheetName val="OLD Capex"/>
      <sheetName val="OLD Wireless"/>
      <sheetName val="mwareDates"/>
      <sheetName val="mwareSettings"/>
    </sheetNames>
    <sheetDataSet>
      <sheetData sheetId="0" refreshError="1"/>
      <sheetData sheetId="1" refreshError="1"/>
      <sheetData sheetId="2" refreshError="1"/>
      <sheetData sheetId="3" refreshError="1"/>
      <sheetData sheetId="4" refreshError="1"/>
      <sheetData sheetId="5" refreshError="1">
        <row r="1">
          <cell r="A1" t="str">
            <v>AT&amp;T, Inc.</v>
          </cell>
          <cell r="BY1" t="str">
            <v>ElementName</v>
          </cell>
          <cell r="BZ1" t="str">
            <v>ScaleOverride</v>
          </cell>
          <cell r="CA1" t="str">
            <v>UnitOverride</v>
          </cell>
          <cell r="CB1" t="str">
            <v>ReverseSign</v>
          </cell>
          <cell r="CC1" t="str">
            <v>IsDrivingAssumption</v>
          </cell>
          <cell r="CD1" t="str">
            <v>SegmentID</v>
          </cell>
          <cell r="CW1" t="str">
            <v>ElementName</v>
          </cell>
          <cell r="CX1" t="str">
            <v>ScaleOverride</v>
          </cell>
          <cell r="CY1" t="str">
            <v>UnitOverride</v>
          </cell>
          <cell r="CZ1" t="str">
            <v>ReverseSign</v>
          </cell>
          <cell r="DA1" t="str">
            <v>IsDrivingAssumption</v>
          </cell>
          <cell r="DB1" t="str">
            <v>SegmentID</v>
          </cell>
        </row>
        <row r="2">
          <cell r="A2" t="str">
            <v>Morgan Stanley Research</v>
          </cell>
        </row>
        <row r="3">
          <cell r="A3" t="str">
            <v>Simon Flannery 212-761-6432</v>
          </cell>
        </row>
        <row r="5">
          <cell r="A5">
            <v>1</v>
          </cell>
          <cell r="N5" t="str">
            <v>Includes Directory Business through 5/8/12</v>
          </cell>
          <cell r="BQ5" t="str">
            <v>Includes Directory Business through 5/8/12</v>
          </cell>
        </row>
        <row r="6">
          <cell r="C6">
            <v>2001</v>
          </cell>
          <cell r="D6">
            <v>2002</v>
          </cell>
          <cell r="E6">
            <v>2003</v>
          </cell>
          <cell r="F6">
            <v>2004</v>
          </cell>
          <cell r="G6">
            <v>2005</v>
          </cell>
          <cell r="H6">
            <v>2006</v>
          </cell>
          <cell r="I6">
            <v>2007</v>
          </cell>
          <cell r="J6">
            <v>2008</v>
          </cell>
          <cell r="K6">
            <v>2009</v>
          </cell>
          <cell r="L6">
            <v>2010</v>
          </cell>
          <cell r="M6">
            <v>2011</v>
          </cell>
          <cell r="N6">
            <v>2012</v>
          </cell>
          <cell r="O6">
            <v>2013</v>
          </cell>
          <cell r="P6">
            <v>2014</v>
          </cell>
          <cell r="Q6">
            <v>2015</v>
          </cell>
          <cell r="R6">
            <v>2016</v>
          </cell>
          <cell r="S6">
            <v>2017</v>
          </cell>
          <cell r="T6">
            <v>2018</v>
          </cell>
          <cell r="V6" t="str">
            <v>1Q01</v>
          </cell>
          <cell r="W6" t="str">
            <v>2Q01</v>
          </cell>
          <cell r="X6" t="str">
            <v>3Q01</v>
          </cell>
          <cell r="Y6" t="str">
            <v>4Q01</v>
          </cell>
          <cell r="Z6" t="str">
            <v>1Q02</v>
          </cell>
          <cell r="AA6" t="str">
            <v>2Q02</v>
          </cell>
          <cell r="AB6" t="str">
            <v>3Q02</v>
          </cell>
          <cell r="AC6" t="str">
            <v>4Q02</v>
          </cell>
          <cell r="AD6" t="str">
            <v>1Q03</v>
          </cell>
          <cell r="AE6" t="str">
            <v>2Q03</v>
          </cell>
          <cell r="AF6" t="str">
            <v>3Q03</v>
          </cell>
          <cell r="AG6" t="str">
            <v>4Q03</v>
          </cell>
          <cell r="AH6" t="str">
            <v>1Q04</v>
          </cell>
          <cell r="AI6" t="str">
            <v>2Q04</v>
          </cell>
          <cell r="AJ6" t="str">
            <v>3Q04</v>
          </cell>
          <cell r="AK6" t="str">
            <v>4Q04</v>
          </cell>
          <cell r="AL6" t="str">
            <v>1Q05</v>
          </cell>
          <cell r="AM6" t="str">
            <v>2Q05</v>
          </cell>
          <cell r="AN6" t="str">
            <v>3Q05</v>
          </cell>
          <cell r="AO6" t="str">
            <v>4Q05</v>
          </cell>
          <cell r="AP6" t="str">
            <v>1Q06</v>
          </cell>
          <cell r="AQ6" t="str">
            <v>2Q06</v>
          </cell>
          <cell r="AR6" t="str">
            <v>3Q06</v>
          </cell>
          <cell r="AS6" t="str">
            <v>4Q06</v>
          </cell>
          <cell r="AT6" t="str">
            <v>1Q07</v>
          </cell>
          <cell r="AU6" t="str">
            <v>2Q07</v>
          </cell>
          <cell r="AV6" t="str">
            <v>3Q07</v>
          </cell>
          <cell r="AW6" t="str">
            <v>4Q07</v>
          </cell>
          <cell r="AX6" t="str">
            <v>1Q08</v>
          </cell>
          <cell r="AY6" t="str">
            <v>2Q08</v>
          </cell>
          <cell r="AZ6" t="str">
            <v>3Q08</v>
          </cell>
          <cell r="BA6" t="str">
            <v>4Q08</v>
          </cell>
          <cell r="BB6" t="str">
            <v>1Q09</v>
          </cell>
          <cell r="BC6" t="str">
            <v>2Q09</v>
          </cell>
          <cell r="BD6" t="str">
            <v>3Q09</v>
          </cell>
          <cell r="BE6" t="str">
            <v>4Q09</v>
          </cell>
          <cell r="BF6" t="str">
            <v>1Q10</v>
          </cell>
          <cell r="BG6" t="str">
            <v>2Q10</v>
          </cell>
          <cell r="BH6" t="str">
            <v>3Q10</v>
          </cell>
          <cell r="BI6" t="str">
            <v>4Q10</v>
          </cell>
          <cell r="BJ6" t="str">
            <v>1Q11</v>
          </cell>
          <cell r="BK6" t="str">
            <v>2Q11</v>
          </cell>
          <cell r="BL6" t="str">
            <v>3Q11</v>
          </cell>
          <cell r="BM6" t="str">
            <v>4Q11</v>
          </cell>
          <cell r="BN6" t="str">
            <v>1Q12</v>
          </cell>
          <cell r="BO6" t="str">
            <v>2Q12</v>
          </cell>
          <cell r="BP6" t="str">
            <v>3Q12</v>
          </cell>
          <cell r="BQ6" t="str">
            <v>4Q12E</v>
          </cell>
          <cell r="BR6" t="str">
            <v>1Q13E</v>
          </cell>
          <cell r="BS6" t="str">
            <v>2Q13E</v>
          </cell>
          <cell r="BT6" t="str">
            <v>3Q13E</v>
          </cell>
          <cell r="BU6" t="str">
            <v>4Q13E</v>
          </cell>
        </row>
        <row r="7">
          <cell r="A7" t="str">
            <v>EPS (as reported)</v>
          </cell>
          <cell r="I7">
            <v>1.9358595037684874</v>
          </cell>
          <cell r="J7">
            <v>2.3660630978352075</v>
          </cell>
          <cell r="K7">
            <v>2.0836572587459861</v>
          </cell>
          <cell r="L7">
            <v>2.2973336143308747</v>
          </cell>
          <cell r="M7">
            <v>2.2046693294092914</v>
          </cell>
          <cell r="N7">
            <v>2.395647456290142</v>
          </cell>
          <cell r="O7">
            <v>2.5261646022986359</v>
          </cell>
          <cell r="P7">
            <v>2.6073980664195426</v>
          </cell>
          <cell r="Q7">
            <v>2.7002713845811797</v>
          </cell>
          <cell r="R7">
            <v>2.9386847755784045</v>
          </cell>
          <cell r="S7">
            <v>3.1870376228530124</v>
          </cell>
          <cell r="T7">
            <v>3.2698236540419381</v>
          </cell>
          <cell r="AT7">
            <v>0.45770826683689758</v>
          </cell>
          <cell r="AU7">
            <v>0.46876513317191282</v>
          </cell>
          <cell r="AV7">
            <v>0.49975526186979929</v>
          </cell>
          <cell r="AW7">
            <v>0.51452009844134539</v>
          </cell>
          <cell r="AX7">
            <v>0.62466766119675121</v>
          </cell>
          <cell r="AY7">
            <v>0.64424689701442472</v>
          </cell>
          <cell r="AZ7">
            <v>0.56358723188650561</v>
          </cell>
          <cell r="BA7">
            <v>0.53255912162162178</v>
          </cell>
          <cell r="BB7">
            <v>0.52137042062415195</v>
          </cell>
          <cell r="BC7">
            <v>0.53351342225223708</v>
          </cell>
          <cell r="BD7">
            <v>0.53157716987504222</v>
          </cell>
          <cell r="BE7">
            <v>0.49721612957651423</v>
          </cell>
          <cell r="BF7">
            <v>0.58146588037068236</v>
          </cell>
          <cell r="BG7">
            <v>0.6048509348155634</v>
          </cell>
          <cell r="BH7">
            <v>0.54328056584708662</v>
          </cell>
          <cell r="BI7">
            <v>0.56771935756551151</v>
          </cell>
          <cell r="BJ7">
            <v>0.57325483599663585</v>
          </cell>
          <cell r="BK7">
            <v>0.60322526457248449</v>
          </cell>
          <cell r="BL7">
            <v>0.60849848841115217</v>
          </cell>
          <cell r="BM7">
            <v>0.41926765548626327</v>
          </cell>
          <cell r="BN7">
            <v>0.60336700336700333</v>
          </cell>
          <cell r="BO7">
            <v>0.6640571817562968</v>
          </cell>
          <cell r="BP7">
            <v>0.62758977900552482</v>
          </cell>
          <cell r="BQ7">
            <v>0.49749111712897803</v>
          </cell>
          <cell r="BR7">
            <v>0.63973682777432805</v>
          </cell>
          <cell r="BS7">
            <v>0.70214995064314745</v>
          </cell>
          <cell r="BT7">
            <v>0.69138690040090633</v>
          </cell>
          <cell r="BU7">
            <v>0.49021155592251925</v>
          </cell>
        </row>
        <row r="8">
          <cell r="A8" t="str">
            <v>% y/y growth</v>
          </cell>
          <cell r="J8">
            <v>0.22222872746149913</v>
          </cell>
          <cell r="K8">
            <v>-0.11935685035094978</v>
          </cell>
          <cell r="L8">
            <v>0.10254870597743415</v>
          </cell>
          <cell r="M8">
            <v>-4.0335580493637946E-2</v>
          </cell>
          <cell r="N8">
            <v>8.6624385949080285E-2</v>
          </cell>
          <cell r="O8">
            <v>5.4480948632821935E-2</v>
          </cell>
          <cell r="P8">
            <v>3.2156837304659236E-2</v>
          </cell>
          <cell r="Q8">
            <v>3.5619155877173014E-2</v>
          </cell>
          <cell r="R8">
            <v>8.8292381409731391E-2</v>
          </cell>
          <cell r="S8">
            <v>8.4511564267973016E-2</v>
          </cell>
          <cell r="T8">
            <v>2.5975856260779251E-2</v>
          </cell>
          <cell r="AX8">
            <v>0.3647725122241432</v>
          </cell>
          <cell r="AY8">
            <v>0.37434901067643289</v>
          </cell>
          <cell r="AZ8">
            <v>0.12772645910296876</v>
          </cell>
          <cell r="BA8">
            <v>3.5059899962941454E-2</v>
          </cell>
          <cell r="BB8">
            <v>-0.16536351565678986</v>
          </cell>
          <cell r="BC8">
            <v>-0.1718804937600007</v>
          </cell>
          <cell r="BD8">
            <v>-5.6796996454862025E-2</v>
          </cell>
          <cell r="BE8">
            <v>-6.636444783349027E-2</v>
          </cell>
          <cell r="BF8">
            <v>0.11526442116640956</v>
          </cell>
          <cell r="BG8">
            <v>0.13371268573182959</v>
          </cell>
          <cell r="BH8">
            <v>2.2016363070662903E-2</v>
          </cell>
          <cell r="BI8">
            <v>0.14179593901960863</v>
          </cell>
          <cell r="BJ8">
            <v>-1.4121283210653757E-2</v>
          </cell>
          <cell r="BK8">
            <v>-2.6877204770703322E-3</v>
          </cell>
          <cell r="BL8">
            <v>0.12004464481879151</v>
          </cell>
          <cell r="BM8">
            <v>-0.26148782862687181</v>
          </cell>
          <cell r="BN8">
            <v>5.2528414030761361E-2</v>
          </cell>
          <cell r="BO8">
            <v>0.10084444527853931</v>
          </cell>
          <cell r="BP8">
            <v>3.1374425669029815E-2</v>
          </cell>
          <cell r="BQ8">
            <v>0.18657165803069597</v>
          </cell>
          <cell r="BR8">
            <v>6.0278112996514643E-2</v>
          </cell>
          <cell r="BS8">
            <v>5.7363687847036049E-2</v>
          </cell>
          <cell r="BT8">
            <v>0.10165417527429166</v>
          </cell>
          <cell r="BU8">
            <v>-1.4632545096421312E-2</v>
          </cell>
        </row>
        <row r="9">
          <cell r="H9" t="str">
            <v>historicals pro forma for AT&amp;T this sheet</v>
          </cell>
          <cell r="N9" t="str">
            <v>Includes Directory Business through 5/8/12</v>
          </cell>
          <cell r="AS9" t="str">
            <v>historicals pro forma for AT&amp;T this sheet</v>
          </cell>
          <cell r="BQ9" t="str">
            <v>Includes Directory Business through 5/8/12</v>
          </cell>
        </row>
        <row r="10">
          <cell r="A10" t="str">
            <v>INCOME STATEMENT</v>
          </cell>
          <cell r="C10">
            <v>2001</v>
          </cell>
          <cell r="D10">
            <v>2002</v>
          </cell>
          <cell r="E10">
            <v>2003</v>
          </cell>
          <cell r="F10">
            <v>2004</v>
          </cell>
          <cell r="G10">
            <v>2005</v>
          </cell>
          <cell r="H10">
            <v>2006</v>
          </cell>
          <cell r="I10">
            <v>2007</v>
          </cell>
          <cell r="J10">
            <v>2008</v>
          </cell>
          <cell r="K10">
            <v>2009</v>
          </cell>
          <cell r="L10">
            <v>2010</v>
          </cell>
          <cell r="M10">
            <v>2011</v>
          </cell>
          <cell r="N10">
            <v>2012</v>
          </cell>
          <cell r="O10">
            <v>2013</v>
          </cell>
          <cell r="P10">
            <v>2014</v>
          </cell>
          <cell r="Q10">
            <v>2015</v>
          </cell>
          <cell r="R10">
            <v>2016</v>
          </cell>
          <cell r="S10">
            <v>2017</v>
          </cell>
          <cell r="T10">
            <v>2018</v>
          </cell>
          <cell r="V10" t="str">
            <v>1Q01</v>
          </cell>
          <cell r="W10" t="str">
            <v>2Q01</v>
          </cell>
          <cell r="X10" t="str">
            <v>3Q01</v>
          </cell>
          <cell r="Y10" t="str">
            <v>4Q01</v>
          </cell>
          <cell r="Z10" t="str">
            <v>1Q02</v>
          </cell>
          <cell r="AA10" t="str">
            <v>2Q02</v>
          </cell>
          <cell r="AB10" t="str">
            <v>3Q02</v>
          </cell>
          <cell r="AC10" t="str">
            <v>4Q02</v>
          </cell>
          <cell r="AD10" t="str">
            <v>1Q03</v>
          </cell>
          <cell r="AE10" t="str">
            <v>2Q03</v>
          </cell>
          <cell r="AF10" t="str">
            <v>3Q03</v>
          </cell>
          <cell r="AG10" t="str">
            <v>4Q03</v>
          </cell>
          <cell r="AH10" t="str">
            <v>1Q04</v>
          </cell>
          <cell r="AI10" t="str">
            <v>2Q04</v>
          </cell>
          <cell r="AJ10" t="str">
            <v>3Q04</v>
          </cell>
          <cell r="AK10" t="str">
            <v>4Q04</v>
          </cell>
          <cell r="AL10" t="str">
            <v>1Q05</v>
          </cell>
          <cell r="AM10" t="str">
            <v>2Q05</v>
          </cell>
          <cell r="AN10" t="str">
            <v>3Q05</v>
          </cell>
          <cell r="AO10" t="str">
            <v>4Q05</v>
          </cell>
          <cell r="AP10" t="str">
            <v>1Q06</v>
          </cell>
          <cell r="AQ10" t="str">
            <v>2Q06</v>
          </cell>
          <cell r="AR10" t="str">
            <v>3Q06</v>
          </cell>
          <cell r="AS10" t="str">
            <v>4Q06</v>
          </cell>
          <cell r="AT10" t="str">
            <v>1Q07</v>
          </cell>
          <cell r="AU10" t="str">
            <v>2Q07</v>
          </cell>
          <cell r="AV10" t="str">
            <v>3Q07</v>
          </cell>
          <cell r="AW10" t="str">
            <v>4Q07</v>
          </cell>
          <cell r="AX10" t="str">
            <v>1Q08</v>
          </cell>
          <cell r="AY10" t="str">
            <v>2Q08</v>
          </cell>
          <cell r="AZ10" t="str">
            <v>3Q08</v>
          </cell>
          <cell r="BA10" t="str">
            <v>4Q08</v>
          </cell>
          <cell r="BB10" t="str">
            <v>1Q09</v>
          </cell>
          <cell r="BC10" t="str">
            <v>2Q09</v>
          </cell>
          <cell r="BD10" t="str">
            <v>3Q09</v>
          </cell>
          <cell r="BE10" t="str">
            <v>4Q09</v>
          </cell>
          <cell r="BF10" t="str">
            <v>1Q10</v>
          </cell>
          <cell r="BG10" t="str">
            <v>2Q10</v>
          </cell>
          <cell r="BH10" t="str">
            <v>3Q10</v>
          </cell>
          <cell r="BI10" t="str">
            <v>4Q10</v>
          </cell>
          <cell r="BJ10" t="str">
            <v>1Q11</v>
          </cell>
          <cell r="BK10" t="str">
            <v>2Q11</v>
          </cell>
          <cell r="BL10" t="str">
            <v>3Q11</v>
          </cell>
          <cell r="BM10" t="str">
            <v>4Q11</v>
          </cell>
          <cell r="BN10" t="str">
            <v>1Q12</v>
          </cell>
          <cell r="BO10" t="str">
            <v>2Q12</v>
          </cell>
          <cell r="BP10" t="str">
            <v>3Q12</v>
          </cell>
          <cell r="BQ10" t="str">
            <v>4Q12E</v>
          </cell>
          <cell r="BR10" t="str">
            <v>1Q13E</v>
          </cell>
          <cell r="BS10" t="str">
            <v>2Q13E</v>
          </cell>
          <cell r="BT10" t="str">
            <v>3Q13E</v>
          </cell>
          <cell r="BU10" t="str">
            <v>4Q13E</v>
          </cell>
        </row>
        <row r="11">
          <cell r="A11" t="str">
            <v>Total Operating Revenues</v>
          </cell>
          <cell r="G11">
            <v>116805</v>
          </cell>
          <cell r="H11">
            <v>117054</v>
          </cell>
          <cell r="I11">
            <v>119892</v>
          </cell>
          <cell r="J11">
            <v>123443</v>
          </cell>
          <cell r="K11">
            <v>122513</v>
          </cell>
          <cell r="L11">
            <v>124280</v>
          </cell>
          <cell r="M11">
            <v>126723</v>
          </cell>
          <cell r="N11">
            <v>126830.64926347492</v>
          </cell>
          <cell r="O11">
            <v>127791.21922195842</v>
          </cell>
          <cell r="P11">
            <v>130088.29845168232</v>
          </cell>
          <cell r="Q11">
            <v>132494.32249431245</v>
          </cell>
          <cell r="R11">
            <v>134900.45567101767</v>
          </cell>
          <cell r="S11">
            <v>137175.62875223681</v>
          </cell>
          <cell r="T11">
            <v>139338.43796909615</v>
          </cell>
          <cell r="AL11">
            <v>29016</v>
          </cell>
          <cell r="AM11">
            <v>29361</v>
          </cell>
          <cell r="AN11">
            <v>29239</v>
          </cell>
          <cell r="AO11">
            <v>29189</v>
          </cell>
          <cell r="AP11">
            <v>28900</v>
          </cell>
          <cell r="AQ11">
            <v>29204</v>
          </cell>
          <cell r="AR11">
            <v>29392</v>
          </cell>
          <cell r="AS11">
            <v>29558</v>
          </cell>
          <cell r="AT11">
            <v>29378</v>
          </cell>
          <cell r="AU11">
            <v>29784</v>
          </cell>
          <cell r="AV11">
            <v>30328</v>
          </cell>
          <cell r="AW11">
            <v>30402</v>
          </cell>
          <cell r="AX11">
            <v>30603</v>
          </cell>
          <cell r="AY11">
            <v>30713</v>
          </cell>
          <cell r="AZ11">
            <v>31202</v>
          </cell>
          <cell r="BA11">
            <v>30925</v>
          </cell>
          <cell r="BB11">
            <v>30457</v>
          </cell>
          <cell r="BC11">
            <v>30614</v>
          </cell>
          <cell r="BD11">
            <v>30734</v>
          </cell>
          <cell r="BE11">
            <v>30708</v>
          </cell>
          <cell r="BF11">
            <v>30530</v>
          </cell>
          <cell r="BG11">
            <v>30808</v>
          </cell>
          <cell r="BH11">
            <v>31581</v>
          </cell>
          <cell r="BI11">
            <v>31361</v>
          </cell>
          <cell r="BJ11">
            <v>31247</v>
          </cell>
          <cell r="BK11">
            <v>31495</v>
          </cell>
          <cell r="BL11">
            <v>31478</v>
          </cell>
          <cell r="BM11">
            <v>32503</v>
          </cell>
          <cell r="BN11">
            <v>31822</v>
          </cell>
          <cell r="BO11">
            <v>31575</v>
          </cell>
          <cell r="BP11">
            <v>31459</v>
          </cell>
          <cell r="BQ11">
            <v>31974.649263474908</v>
          </cell>
          <cell r="BR11">
            <v>31504.652665821679</v>
          </cell>
          <cell r="BS11">
            <v>31776.636657895375</v>
          </cell>
          <cell r="BT11">
            <v>32073.124072989551</v>
          </cell>
          <cell r="BU11">
            <v>32436.805825251817</v>
          </cell>
          <cell r="BX11">
            <v>0</v>
          </cell>
          <cell r="BY11" t="str">
            <v>mstag:revenueNet</v>
          </cell>
          <cell r="BZ11">
            <v>6</v>
          </cell>
          <cell r="CA11" t="str">
            <v>ISO4217:USD</v>
          </cell>
          <cell r="CB11" t="b">
            <v>0</v>
          </cell>
          <cell r="CC11" t="b">
            <v>0</v>
          </cell>
        </row>
        <row r="12">
          <cell r="A12" t="str">
            <v>% y/y growth</v>
          </cell>
          <cell r="H12">
            <v>2.1317580583022355E-3</v>
          </cell>
          <cell r="I12">
            <v>2.424522015480024E-2</v>
          </cell>
          <cell r="J12">
            <v>2.9618323157508453E-2</v>
          </cell>
          <cell r="K12">
            <v>-7.5338415300989503E-3</v>
          </cell>
          <cell r="L12">
            <v>1.4422959196166873E-2</v>
          </cell>
          <cell r="M12">
            <v>1.9657225619568619E-2</v>
          </cell>
          <cell r="N12">
            <v>8.4948480918956015E-4</v>
          </cell>
          <cell r="O12">
            <v>7.5736422076342347E-3</v>
          </cell>
          <cell r="P12">
            <v>1.7975250910895024E-2</v>
          </cell>
          <cell r="Q12">
            <v>1.8495314884326763E-2</v>
          </cell>
          <cell r="R12">
            <v>1.8160273824627593E-2</v>
          </cell>
          <cell r="S12">
            <v>1.6865570022740473E-2</v>
          </cell>
          <cell r="T12">
            <v>1.5766716263905467E-2</v>
          </cell>
          <cell r="AP12">
            <v>-3.9977943203749478E-3</v>
          </cell>
          <cell r="AQ12">
            <v>-5.3472293178025154E-3</v>
          </cell>
          <cell r="AR12">
            <v>5.2327370977118814E-3</v>
          </cell>
          <cell r="AS12">
            <v>1.2641748603926084E-2</v>
          </cell>
          <cell r="AT12">
            <v>1.6539792387543217E-2</v>
          </cell>
          <cell r="AU12">
            <v>1.9860293110532723E-2</v>
          </cell>
          <cell r="AV12">
            <v>3.1845400108873267E-2</v>
          </cell>
          <cell r="AW12">
            <v>2.8554029365992273E-2</v>
          </cell>
          <cell r="AX12">
            <v>4.1697869153788591E-2</v>
          </cell>
          <cell r="AY12">
            <v>3.1191243620735998E-2</v>
          </cell>
          <cell r="AZ12">
            <v>2.8818253758902568E-2</v>
          </cell>
          <cell r="BA12">
            <v>1.7202815604236532E-2</v>
          </cell>
          <cell r="BB12">
            <v>-4.7707741071136844E-3</v>
          </cell>
          <cell r="BC12">
            <v>-3.2233907465893941E-3</v>
          </cell>
          <cell r="BD12">
            <v>-1.4999038523171637E-2</v>
          </cell>
          <cell r="BE12">
            <v>-7.0169765561842734E-3</v>
          </cell>
          <cell r="BF12">
            <v>2.3968217486949328E-3</v>
          </cell>
          <cell r="BG12">
            <v>6.3369700137192453E-3</v>
          </cell>
          <cell r="BH12">
            <v>2.7559055118110187E-2</v>
          </cell>
          <cell r="BI12">
            <v>2.1264816985801849E-2</v>
          </cell>
          <cell r="BJ12">
            <v>2.3485096626269186E-2</v>
          </cell>
          <cell r="BK12">
            <v>2.2299402752531838E-2</v>
          </cell>
          <cell r="BL12">
            <v>-3.2614546721130289E-3</v>
          </cell>
          <cell r="BM12">
            <v>3.6414655144925145E-2</v>
          </cell>
          <cell r="BN12">
            <v>1.8401766569590583E-2</v>
          </cell>
          <cell r="BO12">
            <v>2.5400857278932154E-3</v>
          </cell>
          <cell r="BP12">
            <v>-6.0359616239913372E-4</v>
          </cell>
          <cell r="BQ12">
            <v>-1.6255445236596389E-2</v>
          </cell>
          <cell r="BR12">
            <v>-9.9725766506919555E-3</v>
          </cell>
          <cell r="BS12">
            <v>6.3859590782382458E-3</v>
          </cell>
          <cell r="BT12">
            <v>1.9521411137974898E-2</v>
          </cell>
          <cell r="BU12">
            <v>1.4453843041988712E-2</v>
          </cell>
        </row>
        <row r="13">
          <cell r="A13" t="str">
            <v>% y/y growth (ex-directory)</v>
          </cell>
          <cell r="L13">
            <v>2.1699819168173651E-2</v>
          </cell>
          <cell r="M13">
            <v>2.5634633761269621E-2</v>
          </cell>
          <cell r="N13">
            <v>1.9052493425220085E-2</v>
          </cell>
          <cell r="O13">
            <v>1.5976654545799995E-2</v>
          </cell>
          <cell r="P13">
            <v>1.7975250910895024E-2</v>
          </cell>
          <cell r="BJ13">
            <v>3.0180745362677674E-2</v>
          </cell>
          <cell r="BK13">
            <v>2.8623200563739459E-2</v>
          </cell>
          <cell r="BL13">
            <v>1.796211626387878E-3</v>
          </cell>
          <cell r="BM13">
            <v>4.2286840808279935E-2</v>
          </cell>
          <cell r="BN13">
            <v>2.300931564567632E-2</v>
          </cell>
          <cell r="BO13">
            <v>2.0095256736478051E-2</v>
          </cell>
          <cell r="BP13">
            <v>2.5558272208638932E-2</v>
          </cell>
          <cell r="BQ13">
            <v>7.964480911509586E-3</v>
          </cell>
          <cell r="BR13">
            <v>1.3728446676802841E-2</v>
          </cell>
          <cell r="BS13">
            <v>1.620200377023906E-2</v>
          </cell>
          <cell r="BT13">
            <v>1.9521411137974898E-2</v>
          </cell>
          <cell r="BU13">
            <v>1.4453843041988712E-2</v>
          </cell>
        </row>
        <row r="14">
          <cell r="A14" t="str">
            <v>Cost of Sales</v>
          </cell>
          <cell r="G14" t="str">
            <v>NA</v>
          </cell>
          <cell r="H14" t="str">
            <v>NA</v>
          </cell>
          <cell r="I14">
            <v>46593</v>
          </cell>
          <cell r="J14">
            <v>56688</v>
          </cell>
          <cell r="K14">
            <v>50622</v>
          </cell>
          <cell r="L14">
            <v>50343</v>
          </cell>
          <cell r="M14">
            <v>50994</v>
          </cell>
          <cell r="N14">
            <v>52181.942665683833</v>
          </cell>
          <cell r="O14">
            <v>51897.273056356178</v>
          </cell>
          <cell r="P14">
            <v>52722.38593095461</v>
          </cell>
          <cell r="Q14">
            <v>53690.59448396587</v>
          </cell>
          <cell r="R14">
            <v>54298.871901050123</v>
          </cell>
          <cell r="S14">
            <v>55111.587326235189</v>
          </cell>
          <cell r="T14">
            <v>56330.365321855883</v>
          </cell>
          <cell r="AL14" t="str">
            <v>NA</v>
          </cell>
          <cell r="AM14" t="str">
            <v>NA</v>
          </cell>
          <cell r="AN14" t="str">
            <v>NA</v>
          </cell>
          <cell r="AO14" t="str">
            <v>NA</v>
          </cell>
          <cell r="AP14" t="str">
            <v>NA</v>
          </cell>
          <cell r="AQ14" t="str">
            <v>NA</v>
          </cell>
          <cell r="AR14" t="str">
            <v>NA</v>
          </cell>
          <cell r="AS14" t="str">
            <v>NA</v>
          </cell>
          <cell r="AT14">
            <v>11327</v>
          </cell>
          <cell r="AU14">
            <v>11676</v>
          </cell>
          <cell r="AV14">
            <v>11711</v>
          </cell>
          <cell r="AW14">
            <v>11879</v>
          </cell>
          <cell r="AX14">
            <v>12170</v>
          </cell>
          <cell r="AY14">
            <v>12073</v>
          </cell>
          <cell r="AZ14">
            <v>13210</v>
          </cell>
          <cell r="BA14">
            <v>19235</v>
          </cell>
          <cell r="BB14">
            <v>12177</v>
          </cell>
          <cell r="BC14">
            <v>12553</v>
          </cell>
          <cell r="BD14">
            <v>12895</v>
          </cell>
          <cell r="BE14">
            <v>12997</v>
          </cell>
          <cell r="BF14">
            <v>12383</v>
          </cell>
          <cell r="BG14">
            <v>11960</v>
          </cell>
          <cell r="BH14">
            <v>13016</v>
          </cell>
          <cell r="BI14">
            <v>12984</v>
          </cell>
          <cell r="BJ14">
            <v>12813</v>
          </cell>
          <cell r="BK14">
            <v>12756</v>
          </cell>
          <cell r="BL14">
            <v>12656</v>
          </cell>
          <cell r="BM14">
            <v>12769</v>
          </cell>
          <cell r="BN14">
            <v>12913</v>
          </cell>
          <cell r="BO14">
            <v>12369</v>
          </cell>
          <cell r="BP14">
            <v>12718</v>
          </cell>
          <cell r="BQ14">
            <v>14181.942665683835</v>
          </cell>
          <cell r="BR14">
            <v>12505.638864267648</v>
          </cell>
          <cell r="BS14">
            <v>12298.221060268474</v>
          </cell>
          <cell r="BT14">
            <v>12578.944342307725</v>
          </cell>
          <cell r="BU14">
            <v>14514.468789512337</v>
          </cell>
          <cell r="BX14">
            <v>0</v>
          </cell>
          <cell r="BY14" t="str">
            <v>mstag:costOfSalesWithoutDepreciation</v>
          </cell>
          <cell r="BZ14">
            <v>6</v>
          </cell>
          <cell r="CA14" t="str">
            <v>ISO4217:USD</v>
          </cell>
          <cell r="CB14" t="b">
            <v>0</v>
          </cell>
          <cell r="CC14" t="b">
            <v>0</v>
          </cell>
        </row>
        <row r="15">
          <cell r="A15" t="str">
            <v>% y/y growth</v>
          </cell>
          <cell r="J15">
            <v>0.2166634472989506</v>
          </cell>
          <cell r="K15">
            <v>-0.10700677392040647</v>
          </cell>
          <cell r="L15">
            <v>-5.5114377148275384E-3</v>
          </cell>
          <cell r="M15">
            <v>1.2931291341397921E-2</v>
          </cell>
          <cell r="N15">
            <v>2.3295734119383349E-2</v>
          </cell>
          <cell r="O15">
            <v>-5.4553279311860825E-3</v>
          </cell>
          <cell r="P15">
            <v>1.5898963972585278E-2</v>
          </cell>
          <cell r="Q15">
            <v>1.8364278018055291E-2</v>
          </cell>
          <cell r="R15">
            <v>1.1329310523203517E-2</v>
          </cell>
          <cell r="S15">
            <v>1.4967445855341044E-2</v>
          </cell>
          <cell r="T15">
            <v>2.2114732214227217E-2</v>
          </cell>
          <cell r="BF15">
            <v>1.6917138868358439E-2</v>
          </cell>
          <cell r="BG15">
            <v>-4.7239703656496435E-2</v>
          </cell>
          <cell r="BH15">
            <v>9.3834819697558025E-3</v>
          </cell>
          <cell r="BI15">
            <v>-1.0002308224974499E-3</v>
          </cell>
          <cell r="BJ15">
            <v>3.4725026245659318E-2</v>
          </cell>
          <cell r="BK15">
            <v>6.6555183946488183E-2</v>
          </cell>
          <cell r="BL15">
            <v>-2.7658266748617044E-2</v>
          </cell>
          <cell r="BM15">
            <v>-1.655884165126309E-2</v>
          </cell>
          <cell r="BN15">
            <v>7.8045734800593625E-3</v>
          </cell>
          <cell r="BO15">
            <v>-3.0338664158043316E-2</v>
          </cell>
          <cell r="BP15">
            <v>4.8988621997472226E-3</v>
          </cell>
          <cell r="BQ15">
            <v>0.11065413624276266</v>
          </cell>
          <cell r="BR15">
            <v>-3.154659147621397E-2</v>
          </cell>
          <cell r="BS15">
            <v>-5.7222847224129847E-3</v>
          </cell>
          <cell r="BT15">
            <v>-1.0933767706579278E-2</v>
          </cell>
          <cell r="BU15">
            <v>2.3447149073103857E-2</v>
          </cell>
        </row>
        <row r="16">
          <cell r="A16" t="str">
            <v>% q/q growth</v>
          </cell>
          <cell r="AV16">
            <v>2.9976019184652092E-3</v>
          </cell>
          <cell r="AW16">
            <v>1.4345487148834435E-2</v>
          </cell>
          <cell r="AX16">
            <v>2.4497011532957247E-2</v>
          </cell>
          <cell r="AY16">
            <v>-7.9704190632703398E-3</v>
          </cell>
          <cell r="AZ16">
            <v>9.4177089372980971E-2</v>
          </cell>
          <cell r="BA16">
            <v>0.45609386828160492</v>
          </cell>
          <cell r="BB16">
            <v>-0.36693527423966732</v>
          </cell>
          <cell r="BC16">
            <v>3.0877884536421041E-2</v>
          </cell>
          <cell r="BD16">
            <v>2.7244483390424623E-2</v>
          </cell>
          <cell r="BE16">
            <v>7.9100426521907519E-3</v>
          </cell>
          <cell r="BF16">
            <v>-4.724167115488187E-2</v>
          </cell>
          <cell r="BG16">
            <v>-3.4159735120730006E-2</v>
          </cell>
          <cell r="BH16">
            <v>8.8294314381270889E-2</v>
          </cell>
          <cell r="BI16">
            <v>-2.4585125998770607E-3</v>
          </cell>
          <cell r="BJ16">
            <v>-1.3170055452865093E-2</v>
          </cell>
          <cell r="BK16">
            <v>-4.4486068836337989E-3</v>
          </cell>
          <cell r="BL16">
            <v>-7.8394481028535301E-3</v>
          </cell>
          <cell r="BM16">
            <v>8.9285714285713969E-3</v>
          </cell>
          <cell r="BN16">
            <v>1.1277312240582704E-2</v>
          </cell>
          <cell r="BO16">
            <v>-4.2128087973360206E-2</v>
          </cell>
          <cell r="BP16">
            <v>2.8215700541676769E-2</v>
          </cell>
          <cell r="BQ16">
            <v>0.1151079309391283</v>
          </cell>
          <cell r="BR16">
            <v>-0.11819987155020395</v>
          </cell>
          <cell r="BS16">
            <v>-1.6585942249766172E-2</v>
          </cell>
          <cell r="BT16">
            <v>2.2826332415358586E-2</v>
          </cell>
          <cell r="BU16">
            <v>0.15387018135494213</v>
          </cell>
        </row>
        <row r="17">
          <cell r="A17" t="str">
            <v>% revenues</v>
          </cell>
          <cell r="I17">
            <v>0.38862476228605747</v>
          </cell>
          <cell r="J17">
            <v>0.45922409533144853</v>
          </cell>
          <cell r="K17">
            <v>0.41319696685249729</v>
          </cell>
          <cell r="L17">
            <v>0.40507724493080144</v>
          </cell>
          <cell r="M17">
            <v>0.40240524608792405</v>
          </cell>
          <cell r="N17">
            <v>0.41143006811612493</v>
          </cell>
          <cell r="O17">
            <v>0.40610985146183382</v>
          </cell>
          <cell r="P17">
            <v>0.40528153998829397</v>
          </cell>
          <cell r="Q17">
            <v>0.40522939755603965</v>
          </cell>
          <cell r="R17">
            <v>0.402510663369952</v>
          </cell>
          <cell r="S17">
            <v>0.40175931998661629</v>
          </cell>
          <cell r="T17">
            <v>0.40427010768090699</v>
          </cell>
          <cell r="AT17">
            <v>0.38556062359588805</v>
          </cell>
          <cell r="AU17">
            <v>0.3920225624496374</v>
          </cell>
          <cell r="AV17">
            <v>0.38614481667106304</v>
          </cell>
          <cell r="AW17">
            <v>0.39073087296888365</v>
          </cell>
          <cell r="AX17">
            <v>0.39767343070940758</v>
          </cell>
          <cell r="AY17">
            <v>0.39309087357145184</v>
          </cell>
          <cell r="AZ17">
            <v>0.4233702967758477</v>
          </cell>
          <cell r="BA17">
            <v>0.62198868229587712</v>
          </cell>
          <cell r="BB17">
            <v>0.39980956758709002</v>
          </cell>
          <cell r="BC17">
            <v>0.41004115764029531</v>
          </cell>
          <cell r="BD17">
            <v>0.419567905251513</v>
          </cell>
          <cell r="BE17">
            <v>0.42324475706656245</v>
          </cell>
          <cell r="BF17">
            <v>0.40560104814936127</v>
          </cell>
          <cell r="BG17">
            <v>0.38821085432355235</v>
          </cell>
          <cell r="BH17">
            <v>0.41214654380798582</v>
          </cell>
          <cell r="BI17">
            <v>0.41401741015911481</v>
          </cell>
          <cell r="BJ17">
            <v>0.41005536531507025</v>
          </cell>
          <cell r="BK17">
            <v>0.40501666931258928</v>
          </cell>
          <cell r="BL17">
            <v>0.40205858059597177</v>
          </cell>
          <cell r="BM17">
            <v>0.3928560440574716</v>
          </cell>
          <cell r="BN17">
            <v>0.40578844824335364</v>
          </cell>
          <cell r="BO17">
            <v>0.39173396674584321</v>
          </cell>
          <cell r="BP17">
            <v>0.40427222734352647</v>
          </cell>
        </row>
        <row r="18">
          <cell r="A18" t="str">
            <v>SG&amp;A</v>
          </cell>
          <cell r="G18" t="str">
            <v>NA</v>
          </cell>
          <cell r="H18" t="str">
            <v>NA</v>
          </cell>
          <cell r="I18">
            <v>29390</v>
          </cell>
          <cell r="J18">
            <v>22631</v>
          </cell>
          <cell r="K18">
            <v>30831</v>
          </cell>
          <cell r="L18">
            <v>31525</v>
          </cell>
          <cell r="M18">
            <v>34763</v>
          </cell>
          <cell r="N18">
            <v>32632.178853795485</v>
          </cell>
          <cell r="O18">
            <v>33378.997658464163</v>
          </cell>
          <cell r="P18">
            <v>33298.109568173561</v>
          </cell>
          <cell r="Q18">
            <v>33648.427096345476</v>
          </cell>
          <cell r="R18">
            <v>33333.33352074994</v>
          </cell>
          <cell r="S18">
            <v>32957.05409443294</v>
          </cell>
          <cell r="T18">
            <v>33290.861122812472</v>
          </cell>
          <cell r="AL18" t="str">
            <v>NA</v>
          </cell>
          <cell r="AM18" t="str">
            <v>NA</v>
          </cell>
          <cell r="AN18" t="str">
            <v>NA</v>
          </cell>
          <cell r="AO18" t="str">
            <v>NA</v>
          </cell>
          <cell r="AP18" t="str">
            <v>NA</v>
          </cell>
          <cell r="AQ18" t="str">
            <v>NA</v>
          </cell>
          <cell r="AR18" t="str">
            <v>NA</v>
          </cell>
          <cell r="AS18" t="str">
            <v>NA</v>
          </cell>
          <cell r="AT18">
            <v>7225</v>
          </cell>
          <cell r="AU18">
            <v>7237</v>
          </cell>
          <cell r="AV18">
            <v>7537</v>
          </cell>
          <cell r="AW18">
            <v>7391</v>
          </cell>
          <cell r="AX18">
            <v>7122</v>
          </cell>
          <cell r="AY18">
            <v>7063</v>
          </cell>
          <cell r="AZ18">
            <v>7345</v>
          </cell>
          <cell r="BA18">
            <v>1101</v>
          </cell>
          <cell r="BB18">
            <v>7760</v>
          </cell>
          <cell r="BC18">
            <v>7767</v>
          </cell>
          <cell r="BD18">
            <v>7668</v>
          </cell>
          <cell r="BE18">
            <v>7636</v>
          </cell>
          <cell r="BF18">
            <v>7396</v>
          </cell>
          <cell r="BG18">
            <v>7946</v>
          </cell>
          <cell r="BH18">
            <v>8261</v>
          </cell>
          <cell r="BI18">
            <v>7922</v>
          </cell>
          <cell r="BJ18">
            <v>8042</v>
          </cell>
          <cell r="BK18">
            <v>7972</v>
          </cell>
          <cell r="BL18">
            <v>7969</v>
          </cell>
          <cell r="BM18">
            <v>10780</v>
          </cell>
          <cell r="BN18">
            <v>8248</v>
          </cell>
          <cell r="BO18">
            <v>7890</v>
          </cell>
          <cell r="BP18">
            <v>8192</v>
          </cell>
          <cell r="BQ18">
            <v>8302.1788537954853</v>
          </cell>
          <cell r="BR18">
            <v>8287.7201642536638</v>
          </cell>
          <cell r="BS18">
            <v>8244.7335085455161</v>
          </cell>
          <cell r="BT18">
            <v>8368.7155544773923</v>
          </cell>
          <cell r="BU18">
            <v>8477.8284311875905</v>
          </cell>
          <cell r="BX18">
            <v>0</v>
          </cell>
          <cell r="BY18" t="str">
            <v>mstag:sellingGeneralAndAdministrativeExpenses</v>
          </cell>
          <cell r="BZ18">
            <v>6</v>
          </cell>
          <cell r="CA18" t="str">
            <v>ISO4217:USD</v>
          </cell>
          <cell r="CB18" t="b">
            <v>0</v>
          </cell>
          <cell r="CC18" t="b">
            <v>0</v>
          </cell>
        </row>
        <row r="19">
          <cell r="A19" t="str">
            <v>% y/y growth</v>
          </cell>
          <cell r="J19">
            <v>-0.22997618237495743</v>
          </cell>
          <cell r="K19">
            <v>0.36233485042640634</v>
          </cell>
          <cell r="L19">
            <v>2.2509811553306669E-2</v>
          </cell>
          <cell r="M19">
            <v>0.10271213322759709</v>
          </cell>
          <cell r="N19">
            <v>-6.1295663383612253E-2</v>
          </cell>
          <cell r="O19">
            <v>2.2885961982946679E-2</v>
          </cell>
          <cell r="P19">
            <v>-2.4233229265376854E-3</v>
          </cell>
          <cell r="Q19">
            <v>1.0520643145061515E-2</v>
          </cell>
          <cell r="R19">
            <v>-9.3642884017528516E-3</v>
          </cell>
          <cell r="S19">
            <v>-1.1288382726041046E-2</v>
          </cell>
          <cell r="T19">
            <v>1.0128545695348379E-2</v>
          </cell>
          <cell r="BF19">
            <v>-4.6907216494845416E-2</v>
          </cell>
          <cell r="BG19">
            <v>2.3046221192223548E-2</v>
          </cell>
          <cell r="BH19">
            <v>7.7334376630151302E-2</v>
          </cell>
          <cell r="BI19">
            <v>3.7454164484022945E-2</v>
          </cell>
          <cell r="BJ19">
            <v>8.734451054624115E-2</v>
          </cell>
          <cell r="BK19">
            <v>3.2720865844451108E-3</v>
          </cell>
          <cell r="BL19">
            <v>-3.5346810313521382E-2</v>
          </cell>
          <cell r="BM19">
            <v>0.36076748295884875</v>
          </cell>
          <cell r="BN19">
            <v>2.5615518527729364E-2</v>
          </cell>
          <cell r="BO19">
            <v>-1.0286001003512291E-2</v>
          </cell>
          <cell r="BP19">
            <v>2.798343581377849E-2</v>
          </cell>
          <cell r="BQ19">
            <v>-0.22985353860895308</v>
          </cell>
          <cell r="BR19">
            <v>4.8157328144597944E-3</v>
          </cell>
          <cell r="BS19">
            <v>4.495988701464082E-2</v>
          </cell>
          <cell r="BT19">
            <v>2.1571722958666051E-2</v>
          </cell>
          <cell r="BU19">
            <v>2.1157045696721388E-2</v>
          </cell>
        </row>
        <row r="20">
          <cell r="A20" t="str">
            <v>% q/q growth</v>
          </cell>
          <cell r="AV20">
            <v>4.1453641011468756E-2</v>
          </cell>
          <cell r="AW20">
            <v>-1.9371102560700515E-2</v>
          </cell>
          <cell r="AX20">
            <v>-3.6395616290082478E-2</v>
          </cell>
          <cell r="AY20">
            <v>-8.2841898343162246E-3</v>
          </cell>
          <cell r="AZ20">
            <v>3.9926376893671289E-2</v>
          </cell>
          <cell r="BA20">
            <v>-0.85010211027910143</v>
          </cell>
          <cell r="BB20">
            <v>6.0481380563124434</v>
          </cell>
          <cell r="BC20">
            <v>9.0206185567009989E-4</v>
          </cell>
          <cell r="BD20">
            <v>-1.2746234067207429E-2</v>
          </cell>
          <cell r="BE20">
            <v>-4.1731872717788443E-3</v>
          </cell>
          <cell r="BF20">
            <v>-3.1430068098480923E-2</v>
          </cell>
          <cell r="BG20">
            <v>7.436452136289895E-2</v>
          </cell>
          <cell r="BH20">
            <v>3.9642587465391399E-2</v>
          </cell>
          <cell r="BI20">
            <v>-4.1036194165355311E-2</v>
          </cell>
          <cell r="BJ20">
            <v>1.5147689977278445E-2</v>
          </cell>
          <cell r="BK20">
            <v>-8.7043024123352186E-3</v>
          </cell>
          <cell r="BL20">
            <v>-3.7631710988461631E-4</v>
          </cell>
          <cell r="BM20">
            <v>0.3527418747647133</v>
          </cell>
          <cell r="BN20">
            <v>-0.23487940630797777</v>
          </cell>
          <cell r="BO20">
            <v>-4.3404461687681861E-2</v>
          </cell>
          <cell r="BP20">
            <v>3.8276299112800949E-2</v>
          </cell>
          <cell r="BQ20">
            <v>1.3449567113706706E-2</v>
          </cell>
          <cell r="BR20">
            <v>-1.74155360857009E-3</v>
          </cell>
          <cell r="BS20">
            <v>-5.1867889909648079E-3</v>
          </cell>
          <cell r="BT20">
            <v>1.5037726301689647E-2</v>
          </cell>
          <cell r="BU20">
            <v>1.3038186804165131E-2</v>
          </cell>
        </row>
        <row r="21">
          <cell r="A21" t="str">
            <v>% revenues</v>
          </cell>
          <cell r="I21">
            <v>0.24513729022787176</v>
          </cell>
          <cell r="J21">
            <v>0.18333157813727793</v>
          </cell>
          <cell r="K21">
            <v>0.2516549264159722</v>
          </cell>
          <cell r="L21">
            <v>0.2536610878661088</v>
          </cell>
          <cell r="M21">
            <v>0.2743227354150391</v>
          </cell>
          <cell r="N21">
            <v>0.25728937794843409</v>
          </cell>
          <cell r="O21">
            <v>0.26119946160376434</v>
          </cell>
          <cell r="P21">
            <v>0.25596544781113589</v>
          </cell>
          <cell r="Q21">
            <v>0.25396127519192296</v>
          </cell>
          <cell r="R21">
            <v>0.24709578151492748</v>
          </cell>
          <cell r="S21">
            <v>0.24025444165420337</v>
          </cell>
          <cell r="T21">
            <v>0.23892087214438307</v>
          </cell>
          <cell r="AT21">
            <v>0.24593233031520184</v>
          </cell>
          <cell r="AU21">
            <v>0.24298280956218105</v>
          </cell>
          <cell r="AV21">
            <v>0.24851622263255077</v>
          </cell>
          <cell r="AW21">
            <v>0.24310900598644827</v>
          </cell>
          <cell r="AX21">
            <v>0.23272228212920301</v>
          </cell>
          <cell r="AY21">
            <v>0.22996776609253411</v>
          </cell>
          <cell r="AZ21">
            <v>0.23540157682199858</v>
          </cell>
          <cell r="BA21">
            <v>3.5602263540824575E-2</v>
          </cell>
          <cell r="BB21">
            <v>0.25478543520372987</v>
          </cell>
          <cell r="BC21">
            <v>0.25370745410596457</v>
          </cell>
          <cell r="BD21">
            <v>0.24949567254506411</v>
          </cell>
          <cell r="BE21">
            <v>0.24866484303764491</v>
          </cell>
          <cell r="BF21">
            <v>0.24225352112676057</v>
          </cell>
          <cell r="BG21">
            <v>0.25792002077382498</v>
          </cell>
          <cell r="BH21">
            <v>0.26158133054684779</v>
          </cell>
          <cell r="BI21">
            <v>0.25260674085647777</v>
          </cell>
          <cell r="BJ21">
            <v>0.25736870739591</v>
          </cell>
          <cell r="BK21">
            <v>0.253119542784569</v>
          </cell>
          <cell r="BL21">
            <v>0.25316093779782706</v>
          </cell>
          <cell r="BM21">
            <v>0.3316616927668215</v>
          </cell>
          <cell r="BN21">
            <v>0.25919175413236129</v>
          </cell>
          <cell r="BO21">
            <v>0.24988123515439431</v>
          </cell>
          <cell r="BP21">
            <v>0.26040242855780538</v>
          </cell>
        </row>
        <row r="22">
          <cell r="A22" t="str">
            <v>Operations and Support</v>
          </cell>
          <cell r="G22">
            <v>80550</v>
          </cell>
          <cell r="H22">
            <v>76640</v>
          </cell>
          <cell r="I22">
            <v>75983</v>
          </cell>
          <cell r="J22">
            <v>79319</v>
          </cell>
          <cell r="K22">
            <v>81453</v>
          </cell>
          <cell r="L22">
            <v>81868</v>
          </cell>
          <cell r="M22">
            <v>85757</v>
          </cell>
          <cell r="N22">
            <v>84814.121519479319</v>
          </cell>
          <cell r="O22">
            <v>85276.270714820348</v>
          </cell>
          <cell r="P22">
            <v>86020.49549912817</v>
          </cell>
          <cell r="Q22">
            <v>87339.021580311353</v>
          </cell>
          <cell r="R22">
            <v>87632.205421800056</v>
          </cell>
          <cell r="S22">
            <v>88068.641420668137</v>
          </cell>
          <cell r="T22">
            <v>89621.226444668355</v>
          </cell>
          <cell r="AL22">
            <v>19817</v>
          </cell>
          <cell r="AM22">
            <v>20083</v>
          </cell>
          <cell r="AN22">
            <v>19696</v>
          </cell>
          <cell r="AO22">
            <v>20954</v>
          </cell>
          <cell r="AP22">
            <v>19523</v>
          </cell>
          <cell r="AQ22">
            <v>19230</v>
          </cell>
          <cell r="AR22">
            <v>18632</v>
          </cell>
          <cell r="AS22">
            <v>19255</v>
          </cell>
          <cell r="AT22">
            <v>18552</v>
          </cell>
          <cell r="AU22">
            <v>18913</v>
          </cell>
          <cell r="AV22">
            <v>19248</v>
          </cell>
          <cell r="AW22">
            <v>19270</v>
          </cell>
          <cell r="AX22">
            <v>19292</v>
          </cell>
          <cell r="AY22">
            <v>19136</v>
          </cell>
          <cell r="AZ22">
            <v>20555</v>
          </cell>
          <cell r="BA22">
            <v>20336</v>
          </cell>
          <cell r="BB22">
            <v>19937</v>
          </cell>
          <cell r="BC22">
            <v>20320</v>
          </cell>
          <cell r="BD22">
            <v>20563</v>
          </cell>
          <cell r="BE22">
            <v>20633</v>
          </cell>
          <cell r="BF22">
            <v>19779</v>
          </cell>
          <cell r="BG22">
            <v>19906</v>
          </cell>
          <cell r="BH22">
            <v>21277</v>
          </cell>
          <cell r="BI22">
            <v>20906</v>
          </cell>
          <cell r="BJ22">
            <v>20855</v>
          </cell>
          <cell r="BK22">
            <v>20728</v>
          </cell>
          <cell r="BL22">
            <v>20625</v>
          </cell>
          <cell r="BM22">
            <v>23549</v>
          </cell>
          <cell r="BN22">
            <v>21161</v>
          </cell>
          <cell r="BO22">
            <v>20259</v>
          </cell>
          <cell r="BP22">
            <v>20910</v>
          </cell>
          <cell r="BQ22">
            <v>22484.121519479319</v>
          </cell>
          <cell r="BR22">
            <v>20793.359028521314</v>
          </cell>
          <cell r="BS22">
            <v>20542.954568813992</v>
          </cell>
          <cell r="BT22">
            <v>20947.659896785117</v>
          </cell>
          <cell r="BU22">
            <v>22992.297220699926</v>
          </cell>
          <cell r="BX22">
            <v>0</v>
          </cell>
        </row>
        <row r="23">
          <cell r="A23" t="str">
            <v>% y/y growth</v>
          </cell>
          <cell r="H23">
            <v>-4.8541278708876479E-2</v>
          </cell>
          <cell r="I23">
            <v>-8.57254697286014E-3</v>
          </cell>
          <cell r="J23">
            <v>4.3904557598410276E-2</v>
          </cell>
          <cell r="K23">
            <v>2.6904020474287416E-2</v>
          </cell>
          <cell r="L23">
            <v>5.0949627392484764E-3</v>
          </cell>
          <cell r="M23">
            <v>4.7503297991889459E-2</v>
          </cell>
          <cell r="N23">
            <v>-1.0994769879084876E-2</v>
          </cell>
          <cell r="O23">
            <v>5.4489651848235177E-3</v>
          </cell>
          <cell r="P23">
            <v>8.7272201055397236E-3</v>
          </cell>
          <cell r="Q23">
            <v>1.5328045642291732E-2</v>
          </cell>
          <cell r="R23">
            <v>3.3568482470245353E-3</v>
          </cell>
          <cell r="S23">
            <v>4.9803151337728391E-3</v>
          </cell>
          <cell r="T23">
            <v>1.7629260528547741E-2</v>
          </cell>
          <cell r="AP23">
            <v>-1.4835747085835349E-2</v>
          </cell>
          <cell r="AQ23">
            <v>-4.2473734003883878E-2</v>
          </cell>
          <cell r="AR23">
            <v>-5.4021121039805053E-2</v>
          </cell>
          <cell r="AS23">
            <v>-8.1082370907702539E-2</v>
          </cell>
          <cell r="AT23">
            <v>-4.9736208574501894E-2</v>
          </cell>
          <cell r="AU23">
            <v>-1.6484659386375444E-2</v>
          </cell>
          <cell r="AV23">
            <v>3.3061399742378761E-2</v>
          </cell>
          <cell r="AW23">
            <v>7.7901843676975169E-4</v>
          </cell>
          <cell r="AX23">
            <v>3.988788270806376E-2</v>
          </cell>
          <cell r="AY23">
            <v>1.1790831703061277E-2</v>
          </cell>
          <cell r="AZ23">
            <v>6.7903158769742289E-2</v>
          </cell>
          <cell r="BA23">
            <v>5.5319148936170182E-2</v>
          </cell>
          <cell r="BB23">
            <v>3.3433547584490908E-2</v>
          </cell>
          <cell r="BC23">
            <v>6.1872909698996725E-2</v>
          </cell>
          <cell r="BD23">
            <v>3.8919970810025184E-4</v>
          </cell>
          <cell r="BE23">
            <v>1.4604642014162117E-2</v>
          </cell>
          <cell r="BF23">
            <v>-7.9249636354516984E-3</v>
          </cell>
          <cell r="BG23">
            <v>-2.0374015748031549E-2</v>
          </cell>
          <cell r="BH23">
            <v>3.4722559937752306E-2</v>
          </cell>
          <cell r="BI23">
            <v>1.3231231522318643E-2</v>
          </cell>
          <cell r="BJ23">
            <v>5.4401132514282802E-2</v>
          </cell>
          <cell r="BK23">
            <v>4.1294082186275505E-2</v>
          </cell>
          <cell r="BL23">
            <v>-3.0643417775062298E-2</v>
          </cell>
          <cell r="BM23">
            <v>0.12642303644886632</v>
          </cell>
          <cell r="BN23">
            <v>1.4672740350035962E-2</v>
          </cell>
          <cell r="BO23">
            <v>-2.2626399073716663E-2</v>
          </cell>
          <cell r="BP23">
            <v>1.381818181818173E-2</v>
          </cell>
          <cell r="BQ23">
            <v>-4.5219690030178894E-2</v>
          </cell>
          <cell r="BR23">
            <v>-1.7373515971772835E-2</v>
          </cell>
          <cell r="BS23">
            <v>1.401621841226075E-2</v>
          </cell>
          <cell r="BT23">
            <v>1.8010471920189008E-3</v>
          </cell>
          <cell r="BU23">
            <v>2.2601536857036919E-2</v>
          </cell>
        </row>
        <row r="24">
          <cell r="A24" t="str">
            <v>% q/q growth</v>
          </cell>
          <cell r="AM24">
            <v>1.3422818791946289E-2</v>
          </cell>
          <cell r="AN24">
            <v>-1.9270029378080977E-2</v>
          </cell>
          <cell r="AO24">
            <v>6.3870836718115331E-2</v>
          </cell>
          <cell r="AP24">
            <v>-6.8292450128853655E-2</v>
          </cell>
          <cell r="AQ24">
            <v>-1.5007939353582911E-2</v>
          </cell>
          <cell r="AR24">
            <v>-3.1097243889755544E-2</v>
          </cell>
          <cell r="AS24">
            <v>3.3437097466723964E-2</v>
          </cell>
          <cell r="AT24">
            <v>-3.6509997403271877E-2</v>
          </cell>
          <cell r="AU24">
            <v>1.9458818456231208E-2</v>
          </cell>
          <cell r="AV24">
            <v>1.7712684396975709E-2</v>
          </cell>
          <cell r="AW24">
            <v>1.1429758935992407E-3</v>
          </cell>
          <cell r="AX24">
            <v>1.1416709911780121E-3</v>
          </cell>
          <cell r="AY24">
            <v>-8.0862533692722671E-3</v>
          </cell>
          <cell r="AZ24">
            <v>7.4153428093645557E-2</v>
          </cell>
          <cell r="BA24">
            <v>-1.0654342009243534E-2</v>
          </cell>
          <cell r="BB24">
            <v>-1.9620377655389487E-2</v>
          </cell>
          <cell r="BC24">
            <v>1.9210513116316497E-2</v>
          </cell>
          <cell r="BD24">
            <v>1.1958661417322825E-2</v>
          </cell>
          <cell r="BE24">
            <v>3.4041725429168057E-3</v>
          </cell>
          <cell r="BF24">
            <v>-4.1390006300586424E-2</v>
          </cell>
          <cell r="BG24">
            <v>6.4209515142321649E-3</v>
          </cell>
          <cell r="BH24">
            <v>6.8873706420174763E-2</v>
          </cell>
          <cell r="BI24">
            <v>-1.7436668703294633E-2</v>
          </cell>
          <cell r="BJ24">
            <v>-2.439491055199472E-3</v>
          </cell>
          <cell r="BK24">
            <v>-6.0896667465835108E-3</v>
          </cell>
          <cell r="BL24">
            <v>-4.9691238903898372E-3</v>
          </cell>
          <cell r="BM24">
            <v>0.14176969696969688</v>
          </cell>
          <cell r="BN24">
            <v>-0.10140557985477094</v>
          </cell>
          <cell r="BO24">
            <v>-4.2625584802230554E-2</v>
          </cell>
          <cell r="BP24">
            <v>3.2133866429735036E-2</v>
          </cell>
          <cell r="BQ24">
            <v>7.5280799592506886E-2</v>
          </cell>
          <cell r="BR24">
            <v>-7.5198067644902111E-2</v>
          </cell>
          <cell r="BS24">
            <v>-1.20425208531173E-2</v>
          </cell>
          <cell r="BT24">
            <v>1.9700444092180636E-2</v>
          </cell>
          <cell r="BU24">
            <v>9.7606956289595148E-2</v>
          </cell>
        </row>
        <row r="25">
          <cell r="A25" t="str">
            <v>% revenues</v>
          </cell>
          <cell r="G25">
            <v>0.68961088994477981</v>
          </cell>
          <cell r="H25">
            <v>0.65474054709792062</v>
          </cell>
          <cell r="I25">
            <v>0.63376205251392925</v>
          </cell>
          <cell r="J25">
            <v>0.64255567346872644</v>
          </cell>
          <cell r="K25">
            <v>0.6648518932684695</v>
          </cell>
          <cell r="L25">
            <v>0.65873833279691019</v>
          </cell>
          <cell r="M25">
            <v>0.67672798150296321</v>
          </cell>
          <cell r="N25">
            <v>0.66871944606455902</v>
          </cell>
          <cell r="O25">
            <v>0.66730931306559826</v>
          </cell>
          <cell r="P25">
            <v>0.66124698779942992</v>
          </cell>
          <cell r="Q25">
            <v>0.65919067274796272</v>
          </cell>
          <cell r="R25">
            <v>0.6496064448848794</v>
          </cell>
          <cell r="S25">
            <v>0.64201376164081969</v>
          </cell>
          <cell r="T25">
            <v>0.64319097982529005</v>
          </cell>
          <cell r="AL25">
            <v>0.68296801764543702</v>
          </cell>
          <cell r="AM25">
            <v>0.68400258846769524</v>
          </cell>
          <cell r="AN25">
            <v>0.6736208488662403</v>
          </cell>
          <cell r="AO25">
            <v>0.71787317140018503</v>
          </cell>
          <cell r="AP25">
            <v>0.67553633217993081</v>
          </cell>
          <cell r="AQ25">
            <v>0.65847144226818244</v>
          </cell>
          <cell r="AR25">
            <v>0.63391399020141537</v>
          </cell>
          <cell r="AS25">
            <v>0.6514310846471344</v>
          </cell>
          <cell r="AT25">
            <v>0.63149295391108995</v>
          </cell>
          <cell r="AU25">
            <v>0.63500537201181839</v>
          </cell>
          <cell r="AV25">
            <v>0.63466103930361384</v>
          </cell>
          <cell r="AW25">
            <v>0.63383987895533189</v>
          </cell>
          <cell r="AX25">
            <v>0.63039571283861062</v>
          </cell>
          <cell r="AY25">
            <v>0.62305863966398589</v>
          </cell>
          <cell r="AZ25">
            <v>0.65877187359784628</v>
          </cell>
          <cell r="BA25">
            <v>0.65759094583670175</v>
          </cell>
          <cell r="BB25">
            <v>0.65459500279081984</v>
          </cell>
          <cell r="BC25">
            <v>0.66374861174625988</v>
          </cell>
          <cell r="BD25">
            <v>0.6690635777965771</v>
          </cell>
          <cell r="BE25">
            <v>0.67190960010420742</v>
          </cell>
          <cell r="BF25">
            <v>0.64785456927612184</v>
          </cell>
          <cell r="BG25">
            <v>0.64613087509737732</v>
          </cell>
          <cell r="BH25">
            <v>0.67372787435483361</v>
          </cell>
          <cell r="BI25">
            <v>0.66662415101559258</v>
          </cell>
          <cell r="BJ25">
            <v>0.66742407271098025</v>
          </cell>
          <cell r="BK25">
            <v>0.65813621209715822</v>
          </cell>
          <cell r="BL25">
            <v>0.65521951839379888</v>
          </cell>
          <cell r="BM25">
            <v>0.7245177368242931</v>
          </cell>
          <cell r="BN25">
            <v>0.66498020237571487</v>
          </cell>
          <cell r="BO25">
            <v>0.64161520190023758</v>
          </cell>
          <cell r="BP25">
            <v>0.6646746559013319</v>
          </cell>
        </row>
        <row r="26">
          <cell r="A26" t="str">
            <v>EBITDA</v>
          </cell>
          <cell r="G26">
            <v>36255</v>
          </cell>
          <cell r="H26">
            <v>40414</v>
          </cell>
          <cell r="I26">
            <v>43909</v>
          </cell>
          <cell r="J26">
            <v>44124</v>
          </cell>
          <cell r="K26">
            <v>41060</v>
          </cell>
          <cell r="L26">
            <v>42412</v>
          </cell>
          <cell r="M26">
            <v>40966</v>
          </cell>
          <cell r="N26">
            <v>42016.527743995597</v>
          </cell>
          <cell r="O26">
            <v>42514.948507138077</v>
          </cell>
          <cell r="P26">
            <v>44067.80295255415</v>
          </cell>
          <cell r="Q26">
            <v>45155.300914001098</v>
          </cell>
          <cell r="R26">
            <v>47268.250249217614</v>
          </cell>
          <cell r="S26">
            <v>49106.987331568671</v>
          </cell>
          <cell r="T26">
            <v>49717.211524427796</v>
          </cell>
          <cell r="AL26">
            <v>9199</v>
          </cell>
          <cell r="AM26">
            <v>9278</v>
          </cell>
          <cell r="AN26">
            <v>9543</v>
          </cell>
          <cell r="AO26">
            <v>8235</v>
          </cell>
          <cell r="AP26">
            <v>9377</v>
          </cell>
          <cell r="AQ26">
            <v>9974</v>
          </cell>
          <cell r="AR26">
            <v>10760</v>
          </cell>
          <cell r="AS26">
            <v>10303</v>
          </cell>
          <cell r="AT26">
            <v>10826</v>
          </cell>
          <cell r="AU26">
            <v>10871</v>
          </cell>
          <cell r="AV26">
            <v>11080</v>
          </cell>
          <cell r="AW26">
            <v>11132</v>
          </cell>
          <cell r="AX26">
            <v>11311</v>
          </cell>
          <cell r="AY26">
            <v>11577</v>
          </cell>
          <cell r="AZ26">
            <v>10647</v>
          </cell>
          <cell r="BA26">
            <v>10589</v>
          </cell>
          <cell r="BB26">
            <v>10520</v>
          </cell>
          <cell r="BC26">
            <v>10294</v>
          </cell>
          <cell r="BD26">
            <v>10171</v>
          </cell>
          <cell r="BE26">
            <v>10075</v>
          </cell>
          <cell r="BF26">
            <v>10751</v>
          </cell>
          <cell r="BG26">
            <v>10902</v>
          </cell>
          <cell r="BH26">
            <v>10304</v>
          </cell>
          <cell r="BI26">
            <v>10455</v>
          </cell>
          <cell r="BJ26">
            <v>10392</v>
          </cell>
          <cell r="BK26">
            <v>10767</v>
          </cell>
          <cell r="BL26">
            <v>10853</v>
          </cell>
          <cell r="BM26">
            <v>8954</v>
          </cell>
          <cell r="BN26">
            <v>10661</v>
          </cell>
          <cell r="BO26">
            <v>11316</v>
          </cell>
          <cell r="BP26">
            <v>10549</v>
          </cell>
          <cell r="BQ26">
            <v>9490.5277439955898</v>
          </cell>
          <cell r="BR26">
            <v>10711.293637300365</v>
          </cell>
          <cell r="BS26">
            <v>11233.682089081383</v>
          </cell>
          <cell r="BT26">
            <v>11125.464176204434</v>
          </cell>
          <cell r="BU26">
            <v>9444.508604551891</v>
          </cell>
          <cell r="BX26">
            <v>0</v>
          </cell>
        </row>
        <row r="27">
          <cell r="A27" t="str">
            <v>% y/y growth</v>
          </cell>
          <cell r="H27">
            <v>0.11471521169493859</v>
          </cell>
          <cell r="I27">
            <v>8.6479932696590378E-2</v>
          </cell>
          <cell r="J27">
            <v>4.8964904689243749E-3</v>
          </cell>
          <cell r="K27">
            <v>-6.9440667210588392E-2</v>
          </cell>
          <cell r="L27">
            <v>3.2927423283000579E-2</v>
          </cell>
          <cell r="M27">
            <v>-3.4094124304442142E-2</v>
          </cell>
          <cell r="N27">
            <v>2.5643893570170384E-2</v>
          </cell>
          <cell r="O27">
            <v>1.1862492926101087E-2</v>
          </cell>
          <cell r="P27">
            <v>3.6524904767445632E-2</v>
          </cell>
          <cell r="Q27">
            <v>2.4677834804194942E-2</v>
          </cell>
          <cell r="R27">
            <v>4.6792941082170136E-2</v>
          </cell>
          <cell r="S27">
            <v>3.8900045435497965E-2</v>
          </cell>
          <cell r="T27">
            <v>1.2426422918981217E-2</v>
          </cell>
          <cell r="AP27">
            <v>1.9349929340145566E-2</v>
          </cell>
          <cell r="AQ27">
            <v>7.5016167277430545E-2</v>
          </cell>
          <cell r="AR27">
            <v>0.12752803101749977</v>
          </cell>
          <cell r="AS27">
            <v>0.25112325440194283</v>
          </cell>
          <cell r="AT27">
            <v>0.15452703423269698</v>
          </cell>
          <cell r="AU27">
            <v>8.9933827952676904E-2</v>
          </cell>
          <cell r="AV27">
            <v>2.9739776951672958E-2</v>
          </cell>
          <cell r="AW27">
            <v>8.0462001358827528E-2</v>
          </cell>
          <cell r="AX27">
            <v>4.4799556622944658E-2</v>
          </cell>
          <cell r="AY27">
            <v>6.49434274675742E-2</v>
          </cell>
          <cell r="AZ27">
            <v>-3.907942238267148E-2</v>
          </cell>
          <cell r="BA27">
            <v>-4.8778296802012178E-2</v>
          </cell>
          <cell r="BB27">
            <v>-6.9931924675095014E-2</v>
          </cell>
          <cell r="BC27">
            <v>-0.11082318389911028</v>
          </cell>
          <cell r="BD27">
            <v>-4.4707429322813907E-2</v>
          </cell>
          <cell r="BE27">
            <v>-4.8540938709982107E-2</v>
          </cell>
          <cell r="BF27">
            <v>2.1958174904942895E-2</v>
          </cell>
          <cell r="BG27">
            <v>5.9063532154653098E-2</v>
          </cell>
          <cell r="BH27">
            <v>1.3076393668272512E-2</v>
          </cell>
          <cell r="BI27">
            <v>3.7717121588089375E-2</v>
          </cell>
          <cell r="BJ27">
            <v>-3.3392242582085396E-2</v>
          </cell>
          <cell r="BK27">
            <v>-1.2383048981838174E-2</v>
          </cell>
          <cell r="BL27">
            <v>5.3280279503105543E-2</v>
          </cell>
          <cell r="BM27">
            <v>-0.14356767097082734</v>
          </cell>
          <cell r="BN27">
            <v>2.5885296381832124E-2</v>
          </cell>
          <cell r="BO27">
            <v>5.0989133463360314E-2</v>
          </cell>
          <cell r="BP27">
            <v>-2.8010688288952368E-2</v>
          </cell>
          <cell r="BQ27">
            <v>5.9920453874870327E-2</v>
          </cell>
          <cell r="BR27">
            <v>4.7175346872116997E-3</v>
          </cell>
          <cell r="BS27">
            <v>-7.2744707421895649E-3</v>
          </cell>
          <cell r="BT27">
            <v>5.4646333889888599E-2</v>
          </cell>
          <cell r="BU27">
            <v>-4.8489547351899809E-3</v>
          </cell>
        </row>
        <row r="28">
          <cell r="A28" t="str">
            <v>% q/q growth</v>
          </cell>
          <cell r="AM28">
            <v>8.5878899880422743E-3</v>
          </cell>
          <cell r="AN28">
            <v>2.8562190127182641E-2</v>
          </cell>
          <cell r="AO28">
            <v>-0.13706381640993404</v>
          </cell>
          <cell r="AP28">
            <v>0.13867638129933213</v>
          </cell>
          <cell r="AQ28">
            <v>6.3666417830862798E-2</v>
          </cell>
          <cell r="AR28">
            <v>7.8804892721074715E-2</v>
          </cell>
          <cell r="AS28">
            <v>-4.2472118959107852E-2</v>
          </cell>
          <cell r="AT28">
            <v>5.076191400562946E-2</v>
          </cell>
          <cell r="AU28">
            <v>4.1566598928506338E-3</v>
          </cell>
          <cell r="AV28">
            <v>1.922546223898447E-2</v>
          </cell>
          <cell r="AW28">
            <v>4.6931407942238934E-3</v>
          </cell>
          <cell r="AX28">
            <v>1.607977003233918E-2</v>
          </cell>
          <cell r="AY28">
            <v>2.3516930421713322E-2</v>
          </cell>
          <cell r="AZ28">
            <v>-8.0331692148224887E-2</v>
          </cell>
          <cell r="BA28">
            <v>-5.4475439090824196E-3</v>
          </cell>
          <cell r="BB28">
            <v>-6.5161960525073059E-3</v>
          </cell>
          <cell r="BC28">
            <v>-2.1482889733840271E-2</v>
          </cell>
          <cell r="BD28">
            <v>-1.1948707985234064E-2</v>
          </cell>
          <cell r="BE28">
            <v>-9.4385999410087074E-3</v>
          </cell>
          <cell r="BF28">
            <v>6.7096774193548425E-2</v>
          </cell>
          <cell r="BG28">
            <v>1.4045205097200197E-2</v>
          </cell>
          <cell r="BH28">
            <v>-5.4852320675105481E-2</v>
          </cell>
          <cell r="BI28">
            <v>1.4654503105590022E-2</v>
          </cell>
          <cell r="BJ28">
            <v>-6.0258249641319539E-3</v>
          </cell>
          <cell r="BK28">
            <v>3.60854503464203E-2</v>
          </cell>
          <cell r="BL28">
            <v>7.9873688121110398E-3</v>
          </cell>
          <cell r="BM28">
            <v>-0.17497466138394913</v>
          </cell>
          <cell r="BN28">
            <v>0.19064105427741795</v>
          </cell>
          <cell r="BO28">
            <v>6.1438889409999087E-2</v>
          </cell>
          <cell r="BP28">
            <v>-6.7780134323082386E-2</v>
          </cell>
          <cell r="BQ28">
            <v>-0.10033863456293579</v>
          </cell>
          <cell r="BR28">
            <v>0.12862992725321543</v>
          </cell>
          <cell r="BS28">
            <v>4.8769875000147955E-2</v>
          </cell>
          <cell r="BT28">
            <v>-9.6333430142314658E-3</v>
          </cell>
          <cell r="BU28">
            <v>-0.15109082596731871</v>
          </cell>
        </row>
        <row r="29">
          <cell r="A29" t="str">
            <v>% revenues</v>
          </cell>
          <cell r="G29">
            <v>0.31038911005522024</v>
          </cell>
          <cell r="H29">
            <v>0.34525945290207938</v>
          </cell>
          <cell r="I29">
            <v>0.3662379474860708</v>
          </cell>
          <cell r="J29">
            <v>0.35744432653127356</v>
          </cell>
          <cell r="K29">
            <v>0.3351481067315305</v>
          </cell>
          <cell r="L29">
            <v>0.34126166720308981</v>
          </cell>
          <cell r="M29">
            <v>0.32327201849703685</v>
          </cell>
          <cell r="N29">
            <v>0.33128055393544098</v>
          </cell>
          <cell r="O29">
            <v>0.33269068693440179</v>
          </cell>
          <cell r="P29">
            <v>0.33875301220057014</v>
          </cell>
          <cell r="Q29">
            <v>0.34080932725203728</v>
          </cell>
          <cell r="R29">
            <v>0.3503935551151206</v>
          </cell>
          <cell r="S29">
            <v>0.35798623835918031</v>
          </cell>
          <cell r="T29">
            <v>0.35680902017470995</v>
          </cell>
          <cell r="AL29">
            <v>0.31703198235456298</v>
          </cell>
          <cell r="AM29">
            <v>0.31599741153230476</v>
          </cell>
          <cell r="AN29">
            <v>0.3263791511337597</v>
          </cell>
          <cell r="AO29">
            <v>0.28212682859981497</v>
          </cell>
          <cell r="AP29">
            <v>0.32446366782006919</v>
          </cell>
          <cell r="AQ29">
            <v>0.34152855773181756</v>
          </cell>
          <cell r="AR29">
            <v>0.36608600979858463</v>
          </cell>
          <cell r="AS29">
            <v>0.34856891535286555</v>
          </cell>
          <cell r="AT29">
            <v>0.36850704608891005</v>
          </cell>
          <cell r="AU29">
            <v>0.36499462798818155</v>
          </cell>
          <cell r="AV29">
            <v>0.36533896069638616</v>
          </cell>
          <cell r="AW29">
            <v>0.36616012104466811</v>
          </cell>
          <cell r="AX29">
            <v>0.36960428716138943</v>
          </cell>
          <cell r="AY29">
            <v>0.37694136033601405</v>
          </cell>
          <cell r="AZ29">
            <v>0.34122812640215372</v>
          </cell>
          <cell r="BA29">
            <v>0.34240905416329831</v>
          </cell>
          <cell r="BB29">
            <v>0.34540499720918016</v>
          </cell>
          <cell r="BC29">
            <v>0.33625138825374012</v>
          </cell>
          <cell r="BD29">
            <v>0.3309364222034229</v>
          </cell>
          <cell r="BE29">
            <v>0.32809039989579264</v>
          </cell>
          <cell r="BF29">
            <v>0.35214543072387816</v>
          </cell>
          <cell r="BG29">
            <v>0.35386912490262268</v>
          </cell>
          <cell r="BH29">
            <v>0.32627212564516639</v>
          </cell>
          <cell r="BI29">
            <v>0.33337584898440736</v>
          </cell>
          <cell r="BJ29">
            <v>0.33257592728901975</v>
          </cell>
          <cell r="BK29">
            <v>0.34186378790284172</v>
          </cell>
          <cell r="BL29">
            <v>0.34478048160620117</v>
          </cell>
          <cell r="BM29">
            <v>0.27548226317570684</v>
          </cell>
          <cell r="BN29">
            <v>0.33501979762428508</v>
          </cell>
          <cell r="BO29">
            <v>0.35838479809976248</v>
          </cell>
          <cell r="BP29">
            <v>0.3353253440986681</v>
          </cell>
          <cell r="BQ29">
            <v>0.29681413127607792</v>
          </cell>
          <cell r="BR29">
            <v>0.33999084995216217</v>
          </cell>
          <cell r="BS29">
            <v>0.35352017301334532</v>
          </cell>
          <cell r="BT29">
            <v>0.34687809490855825</v>
          </cell>
          <cell r="BU29">
            <v>0.29116641926559272</v>
          </cell>
        </row>
        <row r="31">
          <cell r="A31" t="str">
            <v>Depreciation</v>
          </cell>
          <cell r="F31">
            <v>0</v>
          </cell>
          <cell r="G31">
            <v>22941</v>
          </cell>
          <cell r="H31">
            <v>21516</v>
          </cell>
          <cell r="I31">
            <v>15337</v>
          </cell>
          <cell r="J31">
            <v>19673</v>
          </cell>
          <cell r="K31">
            <v>19515</v>
          </cell>
          <cell r="L31">
            <v>19291</v>
          </cell>
          <cell r="M31">
            <v>18377</v>
          </cell>
          <cell r="N31">
            <v>17858.449836725584</v>
          </cell>
          <cell r="O31">
            <v>17964.492016001375</v>
          </cell>
          <cell r="P31">
            <v>18755.062912681355</v>
          </cell>
          <cell r="Q31">
            <v>19626.570581612479</v>
          </cell>
          <cell r="R31">
            <v>20158.683225518249</v>
          </cell>
          <cell r="S31">
            <v>20351.621725514982</v>
          </cell>
          <cell r="T31">
            <v>20537.378393886545</v>
          </cell>
          <cell r="AL31">
            <v>5949</v>
          </cell>
          <cell r="AM31">
            <v>5776</v>
          </cell>
          <cell r="AN31">
            <v>5582</v>
          </cell>
          <cell r="AO31">
            <v>5634</v>
          </cell>
          <cell r="AP31">
            <v>5518</v>
          </cell>
          <cell r="AQ31">
            <v>5406</v>
          </cell>
          <cell r="AR31">
            <v>5307</v>
          </cell>
          <cell r="AS31">
            <v>5285</v>
          </cell>
          <cell r="AT31">
            <v>3856</v>
          </cell>
          <cell r="AU31">
            <v>3763</v>
          </cell>
          <cell r="AV31">
            <v>3878</v>
          </cell>
          <cell r="AW31">
            <v>3840</v>
          </cell>
          <cell r="AX31">
            <v>4850</v>
          </cell>
          <cell r="AY31">
            <v>4906</v>
          </cell>
          <cell r="AZ31">
            <v>4925</v>
          </cell>
          <cell r="BA31">
            <v>4992</v>
          </cell>
          <cell r="BB31">
            <v>4836</v>
          </cell>
          <cell r="BC31">
            <v>4853</v>
          </cell>
          <cell r="BD31">
            <v>4860</v>
          </cell>
          <cell r="BE31">
            <v>4966</v>
          </cell>
          <cell r="BF31">
            <v>4780</v>
          </cell>
          <cell r="BG31">
            <v>4819</v>
          </cell>
          <cell r="BH31">
            <v>4873</v>
          </cell>
          <cell r="BI31">
            <v>4819</v>
          </cell>
          <cell r="BJ31">
            <v>4584</v>
          </cell>
          <cell r="BK31">
            <v>4602</v>
          </cell>
          <cell r="BL31">
            <v>4618</v>
          </cell>
          <cell r="BM31">
            <v>4573</v>
          </cell>
          <cell r="BN31">
            <v>4560</v>
          </cell>
          <cell r="BO31">
            <v>4499</v>
          </cell>
          <cell r="BP31">
            <v>4512</v>
          </cell>
          <cell r="BQ31">
            <v>4287.4498367255846</v>
          </cell>
          <cell r="BR31">
            <v>4427.2256122074432</v>
          </cell>
          <cell r="BS31">
            <v>4468.7151173114071</v>
          </cell>
          <cell r="BT31">
            <v>4511.9596733259286</v>
          </cell>
          <cell r="BU31">
            <v>4556.5916131565964</v>
          </cell>
          <cell r="BY31" t="str">
            <v>mstag:depreciationInIncomeStatement</v>
          </cell>
          <cell r="BZ31">
            <v>6</v>
          </cell>
          <cell r="CA31" t="str">
            <v>ISO4217:USD</v>
          </cell>
          <cell r="CB31" t="b">
            <v>0</v>
          </cell>
          <cell r="CC31" t="b">
            <v>0</v>
          </cell>
        </row>
        <row r="32">
          <cell r="A32" t="str">
            <v>% y/y growth</v>
          </cell>
        </row>
        <row r="33">
          <cell r="A33" t="str">
            <v>% revenues</v>
          </cell>
        </row>
        <row r="35">
          <cell r="A35" t="str">
            <v>Amortization of Other Intangibles (estimated)</v>
          </cell>
          <cell r="K35">
            <v>0</v>
          </cell>
          <cell r="L35">
            <v>0</v>
          </cell>
          <cell r="M35">
            <v>0</v>
          </cell>
          <cell r="N35">
            <v>228.54263230366493</v>
          </cell>
          <cell r="O35">
            <v>548.50231752879586</v>
          </cell>
          <cell r="P35">
            <v>411.37673814659689</v>
          </cell>
          <cell r="Q35">
            <v>205.68836907329845</v>
          </cell>
          <cell r="R35">
            <v>0</v>
          </cell>
          <cell r="S35">
            <v>0</v>
          </cell>
          <cell r="T35">
            <v>0</v>
          </cell>
          <cell r="BQ35">
            <v>228.54263230366493</v>
          </cell>
          <cell r="BR35">
            <v>137.12557938219896</v>
          </cell>
          <cell r="BS35">
            <v>137.12557938219896</v>
          </cell>
          <cell r="BT35">
            <v>137.12557938219896</v>
          </cell>
          <cell r="BU35">
            <v>137.12557938219896</v>
          </cell>
          <cell r="BY35" t="str">
            <v>mstag:amortizationOfOtherIntangiblesInIncomeStatement</v>
          </cell>
          <cell r="BZ35">
            <v>6</v>
          </cell>
          <cell r="CA35" t="str">
            <v>ISO4217:USD</v>
          </cell>
          <cell r="CB35" t="b">
            <v>0</v>
          </cell>
          <cell r="CC35" t="b">
            <v>0</v>
          </cell>
        </row>
        <row r="36">
          <cell r="A36" t="str">
            <v>% y/y growth</v>
          </cell>
        </row>
        <row r="37">
          <cell r="A37" t="str">
            <v>% revenues</v>
          </cell>
        </row>
        <row r="39">
          <cell r="A39" t="str">
            <v>Goodwill Amortization</v>
          </cell>
          <cell r="BY39" t="str">
            <v>mstag:amortizationOfGoodwillInIncomeStatement</v>
          </cell>
          <cell r="BZ39">
            <v>6</v>
          </cell>
          <cell r="CA39" t="str">
            <v>ISO4217:USD</v>
          </cell>
          <cell r="CB39" t="b">
            <v>0</v>
          </cell>
          <cell r="CC39" t="b">
            <v>0</v>
          </cell>
        </row>
        <row r="40">
          <cell r="A40" t="str">
            <v>% y/y growth</v>
          </cell>
        </row>
        <row r="41">
          <cell r="A41" t="str">
            <v>% revenues</v>
          </cell>
        </row>
        <row r="43">
          <cell r="A43" t="str">
            <v>D&amp;A</v>
          </cell>
          <cell r="G43">
            <v>22941</v>
          </cell>
          <cell r="H43">
            <v>21516</v>
          </cell>
          <cell r="I43">
            <v>15337</v>
          </cell>
          <cell r="J43">
            <v>19673</v>
          </cell>
          <cell r="K43">
            <v>19515</v>
          </cell>
          <cell r="L43">
            <v>19291</v>
          </cell>
          <cell r="M43">
            <v>18377</v>
          </cell>
          <cell r="N43">
            <v>18086.99246902925</v>
          </cell>
          <cell r="O43">
            <v>18512.994333530172</v>
          </cell>
          <cell r="P43">
            <v>19166.439650827953</v>
          </cell>
          <cell r="Q43">
            <v>19832.258950685777</v>
          </cell>
          <cell r="R43">
            <v>20158.683225518249</v>
          </cell>
          <cell r="S43">
            <v>20351.621725514982</v>
          </cell>
          <cell r="T43">
            <v>20537.378393886545</v>
          </cell>
          <cell r="AL43">
            <v>5949</v>
          </cell>
          <cell r="AM43">
            <v>5776</v>
          </cell>
          <cell r="AN43">
            <v>5582</v>
          </cell>
          <cell r="AO43">
            <v>5634</v>
          </cell>
          <cell r="AP43">
            <v>5518</v>
          </cell>
          <cell r="AQ43">
            <v>5406</v>
          </cell>
          <cell r="AR43">
            <v>5307</v>
          </cell>
          <cell r="AS43">
            <v>5285</v>
          </cell>
          <cell r="AT43">
            <v>3856</v>
          </cell>
          <cell r="AU43">
            <v>3763</v>
          </cell>
          <cell r="AV43">
            <v>3878</v>
          </cell>
          <cell r="AW43">
            <v>3840</v>
          </cell>
          <cell r="AX43">
            <v>4850</v>
          </cell>
          <cell r="AY43">
            <v>4906</v>
          </cell>
          <cell r="AZ43">
            <v>4925</v>
          </cell>
          <cell r="BA43">
            <v>4992</v>
          </cell>
          <cell r="BB43">
            <v>4836</v>
          </cell>
          <cell r="BC43">
            <v>4853</v>
          </cell>
          <cell r="BD43">
            <v>4860</v>
          </cell>
          <cell r="BE43">
            <v>4966</v>
          </cell>
          <cell r="BF43">
            <v>4780</v>
          </cell>
          <cell r="BG43">
            <v>4819</v>
          </cell>
          <cell r="BH43">
            <v>4873</v>
          </cell>
          <cell r="BI43">
            <v>4819</v>
          </cell>
          <cell r="BJ43">
            <v>4584</v>
          </cell>
          <cell r="BK43">
            <v>4602</v>
          </cell>
          <cell r="BL43">
            <v>4618</v>
          </cell>
          <cell r="BM43">
            <v>4573</v>
          </cell>
          <cell r="BN43">
            <v>4560</v>
          </cell>
          <cell r="BO43">
            <v>4499</v>
          </cell>
          <cell r="BP43">
            <v>4512</v>
          </cell>
          <cell r="BQ43">
            <v>4515.9924690292492</v>
          </cell>
          <cell r="BR43">
            <v>4564.3511915896424</v>
          </cell>
          <cell r="BS43">
            <v>4605.8406966936063</v>
          </cell>
          <cell r="BT43">
            <v>4649.0852527081279</v>
          </cell>
          <cell r="BU43">
            <v>4693.7171925387956</v>
          </cell>
          <cell r="BX43">
            <v>0</v>
          </cell>
        </row>
        <row r="44">
          <cell r="A44" t="str">
            <v>% y/y growth</v>
          </cell>
          <cell r="H44">
            <v>-6.2115862429711011E-2</v>
          </cell>
          <cell r="I44">
            <v>-0.28718163227365678</v>
          </cell>
          <cell r="J44">
            <v>0.28271500293408103</v>
          </cell>
          <cell r="K44">
            <v>-8.0313119503888641E-3</v>
          </cell>
          <cell r="L44">
            <v>-1.1478349987189329E-2</v>
          </cell>
          <cell r="M44">
            <v>-4.7379607070654695E-2</v>
          </cell>
          <cell r="N44">
            <v>-1.5781005113497892E-2</v>
          </cell>
          <cell r="O44">
            <v>2.3552940890000151E-2</v>
          </cell>
          <cell r="P44">
            <v>3.5296576314199024E-2</v>
          </cell>
          <cell r="Q44">
            <v>3.4738809710496366E-2</v>
          </cell>
          <cell r="R44">
            <v>1.6459258405416621E-2</v>
          </cell>
          <cell r="S44">
            <v>9.5709872434772691E-3</v>
          </cell>
          <cell r="T44">
            <v>9.1273644369420648E-3</v>
          </cell>
          <cell r="AX44">
            <v>0.25778008298755184</v>
          </cell>
          <cell r="AY44">
            <v>0.30374701036407115</v>
          </cell>
          <cell r="AZ44">
            <v>0.26998452810727169</v>
          </cell>
          <cell r="BA44">
            <v>0.30000000000000004</v>
          </cell>
          <cell r="BB44">
            <v>-2.8865979381442752E-3</v>
          </cell>
          <cell r="BC44">
            <v>-1.0803098247044396E-2</v>
          </cell>
          <cell r="BD44">
            <v>-1.3197969543147225E-2</v>
          </cell>
          <cell r="BE44">
            <v>-5.2083333333333703E-3</v>
          </cell>
          <cell r="BF44">
            <v>-1.1579818031430933E-2</v>
          </cell>
          <cell r="BG44">
            <v>-7.005975685143162E-3</v>
          </cell>
          <cell r="BH44">
            <v>2.6748971193415461E-3</v>
          </cell>
          <cell r="BI44">
            <v>-2.960128876359247E-2</v>
          </cell>
          <cell r="BJ44">
            <v>-4.1004184100418395E-2</v>
          </cell>
          <cell r="BK44">
            <v>-4.5030089230130743E-2</v>
          </cell>
          <cell r="BL44">
            <v>-5.2329160681305109E-2</v>
          </cell>
          <cell r="BM44">
            <v>-5.1047935256277266E-2</v>
          </cell>
          <cell r="BN44">
            <v>-5.2356020942407877E-3</v>
          </cell>
          <cell r="BO44">
            <v>-2.2381573229030893E-2</v>
          </cell>
          <cell r="BP44">
            <v>-2.2953659592897413E-2</v>
          </cell>
          <cell r="BQ44">
            <v>-1.246611217379201E-2</v>
          </cell>
          <cell r="BR44">
            <v>9.5420868193918373E-4</v>
          </cell>
          <cell r="BS44">
            <v>2.3747654299534737E-2</v>
          </cell>
          <cell r="BT44">
            <v>3.0382369837794299E-2</v>
          </cell>
          <cell r="BU44">
            <v>3.9354521675663889E-2</v>
          </cell>
        </row>
        <row r="45">
          <cell r="A45" t="str">
            <v>% revenues</v>
          </cell>
          <cell r="I45">
            <v>0.12792346445133954</v>
          </cell>
          <cell r="J45">
            <v>0.15936910152864076</v>
          </cell>
          <cell r="K45">
            <v>0.15928921828703893</v>
          </cell>
          <cell r="L45">
            <v>0.15522207917605407</v>
          </cell>
          <cell r="M45">
            <v>0.14501708450715339</v>
          </cell>
          <cell r="N45">
            <v>0.14260742631267123</v>
          </cell>
          <cell r="O45">
            <v>0.14486906413636497</v>
          </cell>
          <cell r="P45">
            <v>0.14733407907511983</v>
          </cell>
          <cell r="Q45">
            <v>0.14968383986066355</v>
          </cell>
          <cell r="R45">
            <v>0.14943376673744763</v>
          </cell>
          <cell r="S45">
            <v>0.14836178926705393</v>
          </cell>
          <cell r="T45">
            <v>0.14739205271155348</v>
          </cell>
          <cell r="AT45">
            <v>0.13125468037306828</v>
          </cell>
          <cell r="AU45">
            <v>0.12634300295460649</v>
          </cell>
          <cell r="AV45">
            <v>0.12786863624373515</v>
          </cell>
          <cell r="AW45">
            <v>0.12630747977106768</v>
          </cell>
          <cell r="AX45">
            <v>0.15848119465411889</v>
          </cell>
          <cell r="AY45">
            <v>0.15973691921987432</v>
          </cell>
          <cell r="AZ45">
            <v>0.15784244599705147</v>
          </cell>
          <cell r="BA45">
            <v>0.16142279708973323</v>
          </cell>
          <cell r="BB45">
            <v>0.15878123255737597</v>
          </cell>
          <cell r="BC45">
            <v>0.15852224472463577</v>
          </cell>
          <cell r="BD45">
            <v>0.15813106006377303</v>
          </cell>
          <cell r="BE45">
            <v>0.16171681646476488</v>
          </cell>
          <cell r="BF45">
            <v>0.15656731084179495</v>
          </cell>
          <cell r="BG45">
            <v>0.15642041028304338</v>
          </cell>
          <cell r="BH45">
            <v>0.15430163706025776</v>
          </cell>
          <cell r="BI45">
            <v>0.15366219189439112</v>
          </cell>
          <cell r="BJ45">
            <v>0.1467020834000064</v>
          </cell>
          <cell r="BK45">
            <v>0.14611843149706302</v>
          </cell>
          <cell r="BL45">
            <v>0.14670563568206366</v>
          </cell>
          <cell r="BM45">
            <v>0.14069470510414422</v>
          </cell>
          <cell r="BN45">
            <v>0.1432970900634781</v>
          </cell>
          <cell r="BO45">
            <v>0.142486144101346</v>
          </cell>
          <cell r="BP45">
            <v>0.14342477510410376</v>
          </cell>
          <cell r="BQ45">
            <v>0.14123665381962239</v>
          </cell>
          <cell r="BR45">
            <v>0.14487863872060242</v>
          </cell>
          <cell r="BS45">
            <v>0.14494424775912265</v>
          </cell>
          <cell r="BT45">
            <v>0.14495267882630009</v>
          </cell>
          <cell r="BU45">
            <v>0.1447034340503642</v>
          </cell>
        </row>
        <row r="47">
          <cell r="A47" t="str">
            <v>Total Operating Expenses</v>
          </cell>
          <cell r="G47">
            <v>103491</v>
          </cell>
          <cell r="H47">
            <v>98156</v>
          </cell>
          <cell r="I47">
            <v>91320</v>
          </cell>
          <cell r="J47">
            <v>98992</v>
          </cell>
          <cell r="K47">
            <v>100968</v>
          </cell>
          <cell r="L47">
            <v>101159</v>
          </cell>
          <cell r="M47">
            <v>104134</v>
          </cell>
          <cell r="N47">
            <v>102901.11398850857</v>
          </cell>
          <cell r="O47">
            <v>103789.26504835053</v>
          </cell>
          <cell r="P47">
            <v>105186.93514995612</v>
          </cell>
          <cell r="Q47">
            <v>107171.28053099713</v>
          </cell>
          <cell r="R47">
            <v>107790.88864731831</v>
          </cell>
          <cell r="S47">
            <v>108420.26314618312</v>
          </cell>
          <cell r="T47">
            <v>110158.60483855489</v>
          </cell>
          <cell r="AL47">
            <v>25766</v>
          </cell>
          <cell r="AM47">
            <v>25859</v>
          </cell>
          <cell r="AN47">
            <v>25278</v>
          </cell>
          <cell r="AO47">
            <v>26588</v>
          </cell>
          <cell r="AP47">
            <v>25041</v>
          </cell>
          <cell r="AQ47">
            <v>24636</v>
          </cell>
          <cell r="AR47">
            <v>23939</v>
          </cell>
          <cell r="AS47">
            <v>24540</v>
          </cell>
          <cell r="AT47">
            <v>22408</v>
          </cell>
          <cell r="AU47">
            <v>22676</v>
          </cell>
          <cell r="AV47">
            <v>23126</v>
          </cell>
          <cell r="AW47">
            <v>23110</v>
          </cell>
          <cell r="AX47">
            <v>24142</v>
          </cell>
          <cell r="AY47">
            <v>24042</v>
          </cell>
          <cell r="AZ47">
            <v>25480</v>
          </cell>
          <cell r="BA47">
            <v>25328</v>
          </cell>
          <cell r="BB47">
            <v>24773</v>
          </cell>
          <cell r="BC47">
            <v>25173</v>
          </cell>
          <cell r="BD47">
            <v>25423</v>
          </cell>
          <cell r="BE47">
            <v>25599</v>
          </cell>
          <cell r="BF47">
            <v>24559</v>
          </cell>
          <cell r="BG47">
            <v>24725</v>
          </cell>
          <cell r="BH47">
            <v>26150</v>
          </cell>
          <cell r="BI47">
            <v>25725</v>
          </cell>
          <cell r="BJ47">
            <v>25439</v>
          </cell>
          <cell r="BK47">
            <v>25330</v>
          </cell>
          <cell r="BL47">
            <v>25243</v>
          </cell>
          <cell r="BM47">
            <v>28122</v>
          </cell>
          <cell r="BN47">
            <v>25721</v>
          </cell>
          <cell r="BO47">
            <v>24758</v>
          </cell>
          <cell r="BP47">
            <v>25422</v>
          </cell>
          <cell r="BQ47">
            <v>27000.113988508569</v>
          </cell>
          <cell r="BR47">
            <v>25357.710220110956</v>
          </cell>
          <cell r="BS47">
            <v>25148.795265507597</v>
          </cell>
          <cell r="BT47">
            <v>25596.745149493247</v>
          </cell>
          <cell r="BU47">
            <v>27686.014413238721</v>
          </cell>
          <cell r="BX47">
            <v>0</v>
          </cell>
        </row>
        <row r="48">
          <cell r="A48" t="str">
            <v>% y/y growth</v>
          </cell>
          <cell r="H48">
            <v>-5.15503763612295E-2</v>
          </cell>
          <cell r="I48">
            <v>-6.9644239781572193E-2</v>
          </cell>
          <cell r="J48">
            <v>8.4012264564169881E-2</v>
          </cell>
          <cell r="K48">
            <v>1.9961208986584822E-2</v>
          </cell>
          <cell r="L48">
            <v>1.8916884557482749E-3</v>
          </cell>
          <cell r="M48">
            <v>2.9409147974970073E-2</v>
          </cell>
          <cell r="N48">
            <v>-1.1839418551975567E-2</v>
          </cell>
          <cell r="O48">
            <v>8.631112195161883E-3</v>
          </cell>
          <cell r="P48">
            <v>1.3466422572262049E-2</v>
          </cell>
          <cell r="Q48">
            <v>1.8864941527311441E-2</v>
          </cell>
          <cell r="R48">
            <v>5.7814753472313907E-3</v>
          </cell>
          <cell r="S48">
            <v>5.8388469263304099E-3</v>
          </cell>
          <cell r="T48">
            <v>1.6033365368500974E-2</v>
          </cell>
          <cell r="AT48">
            <v>-0.10514755800487197</v>
          </cell>
          <cell r="AU48">
            <v>-7.9558369865237899E-2</v>
          </cell>
          <cell r="AV48">
            <v>-3.3961318350808289E-2</v>
          </cell>
          <cell r="AW48">
            <v>-5.8272208638956768E-2</v>
          </cell>
          <cell r="AX48">
            <v>7.7383077472331419E-2</v>
          </cell>
          <cell r="AY48">
            <v>6.0239901217145952E-2</v>
          </cell>
          <cell r="AZ48">
            <v>0.10179019285652502</v>
          </cell>
          <cell r="BA48">
            <v>9.597576806577246E-2</v>
          </cell>
          <cell r="BB48">
            <v>2.6137022616187666E-2</v>
          </cell>
          <cell r="BC48">
            <v>4.7042675318193172E-2</v>
          </cell>
          <cell r="BD48">
            <v>-2.2370486656201338E-3</v>
          </cell>
          <cell r="BE48">
            <v>1.0699620972836277E-2</v>
          </cell>
          <cell r="BF48">
            <v>-8.6384370080329065E-3</v>
          </cell>
          <cell r="BG48">
            <v>-1.7796845826878016E-2</v>
          </cell>
          <cell r="BH48">
            <v>2.8596153089721854E-2</v>
          </cell>
          <cell r="BI48">
            <v>4.9220672682526168E-3</v>
          </cell>
          <cell r="BJ48">
            <v>3.5832077853332756E-2</v>
          </cell>
          <cell r="BK48">
            <v>2.4469160768453069E-2</v>
          </cell>
          <cell r="BL48">
            <v>-3.4684512428298286E-2</v>
          </cell>
          <cell r="BM48">
            <v>9.3177842565597579E-2</v>
          </cell>
          <cell r="BN48">
            <v>1.108534140492945E-2</v>
          </cell>
          <cell r="BO48">
            <v>-2.2581918673509671E-2</v>
          </cell>
          <cell r="BP48">
            <v>7.0910747533969865E-3</v>
          </cell>
          <cell r="BQ48">
            <v>-3.9893535719060957E-2</v>
          </cell>
          <cell r="BR48">
            <v>-1.4124247886514674E-2</v>
          </cell>
          <cell r="BS48">
            <v>1.5784605602536361E-2</v>
          </cell>
          <cell r="BT48">
            <v>6.8737766302118253E-3</v>
          </cell>
          <cell r="BU48">
            <v>2.5403612185566304E-2</v>
          </cell>
        </row>
        <row r="49">
          <cell r="A49" t="str">
            <v>% revenues</v>
          </cell>
          <cell r="AT49">
            <v>0.76274763428415826</v>
          </cell>
          <cell r="AU49">
            <v>0.76134837496642493</v>
          </cell>
          <cell r="AV49">
            <v>0.76252967554734896</v>
          </cell>
          <cell r="AW49">
            <v>0.7601473587263996</v>
          </cell>
          <cell r="AX49">
            <v>0.78887690749272943</v>
          </cell>
          <cell r="AY49">
            <v>0.78279555888386021</v>
          </cell>
          <cell r="AZ49">
            <v>0.81661431959489772</v>
          </cell>
          <cell r="BA49">
            <v>0.81901374292643492</v>
          </cell>
          <cell r="BB49">
            <v>0.81337623534819581</v>
          </cell>
          <cell r="BC49">
            <v>0.82227085647089571</v>
          </cell>
          <cell r="BD49">
            <v>0.82719463786035008</v>
          </cell>
          <cell r="BE49">
            <v>0.83362641656897229</v>
          </cell>
          <cell r="BF49">
            <v>0.80442188011791682</v>
          </cell>
          <cell r="BG49">
            <v>0.80255128538042064</v>
          </cell>
          <cell r="BH49">
            <v>0.8280295114150914</v>
          </cell>
          <cell r="BI49">
            <v>0.8202863429099837</v>
          </cell>
          <cell r="BJ49">
            <v>0.81412615611098671</v>
          </cell>
          <cell r="BK49">
            <v>0.80425464359422127</v>
          </cell>
          <cell r="BL49">
            <v>0.80192515407586251</v>
          </cell>
          <cell r="BM49">
            <v>0.86521244192843738</v>
          </cell>
          <cell r="BN49">
            <v>0.808277292439193</v>
          </cell>
          <cell r="BO49">
            <v>0.78410134600158354</v>
          </cell>
          <cell r="BP49">
            <v>0.80809943100543569</v>
          </cell>
          <cell r="BQ49">
            <v>0.84442252254354444</v>
          </cell>
          <cell r="BR49">
            <v>0.80488778876844014</v>
          </cell>
          <cell r="BS49">
            <v>0.79142407474577736</v>
          </cell>
          <cell r="BT49">
            <v>0.79807458391774189</v>
          </cell>
          <cell r="BU49">
            <v>0.85353701478477151</v>
          </cell>
        </row>
        <row r="51">
          <cell r="A51" t="str">
            <v>Operating Income</v>
          </cell>
          <cell r="G51">
            <v>13314</v>
          </cell>
          <cell r="H51">
            <v>18898</v>
          </cell>
          <cell r="I51">
            <v>28572</v>
          </cell>
          <cell r="J51">
            <v>24451</v>
          </cell>
          <cell r="K51">
            <v>21545</v>
          </cell>
          <cell r="L51">
            <v>23121</v>
          </cell>
          <cell r="M51">
            <v>22589</v>
          </cell>
          <cell r="N51">
            <v>23929.535274966347</v>
          </cell>
          <cell r="O51">
            <v>24001.954173607905</v>
          </cell>
          <cell r="P51">
            <v>24901.363301726196</v>
          </cell>
          <cell r="Q51">
            <v>25323.041963315321</v>
          </cell>
          <cell r="R51">
            <v>27109.567023699365</v>
          </cell>
          <cell r="S51">
            <v>28755.365606053689</v>
          </cell>
          <cell r="T51">
            <v>29179.83313054125</v>
          </cell>
          <cell r="AL51">
            <v>3250</v>
          </cell>
          <cell r="AM51">
            <v>3502</v>
          </cell>
          <cell r="AN51">
            <v>3961</v>
          </cell>
          <cell r="AO51">
            <v>2601</v>
          </cell>
          <cell r="AP51">
            <v>3859</v>
          </cell>
          <cell r="AQ51">
            <v>4568</v>
          </cell>
          <cell r="AR51">
            <v>5453</v>
          </cell>
          <cell r="AS51">
            <v>5018</v>
          </cell>
          <cell r="AT51">
            <v>6970</v>
          </cell>
          <cell r="AU51">
            <v>7108</v>
          </cell>
          <cell r="AV51">
            <v>7202</v>
          </cell>
          <cell r="AW51">
            <v>7292</v>
          </cell>
          <cell r="AX51">
            <v>6461</v>
          </cell>
          <cell r="AY51">
            <v>6671</v>
          </cell>
          <cell r="AZ51">
            <v>5722</v>
          </cell>
          <cell r="BA51">
            <v>5597</v>
          </cell>
          <cell r="BB51">
            <v>5684</v>
          </cell>
          <cell r="BC51">
            <v>5441</v>
          </cell>
          <cell r="BD51">
            <v>5311</v>
          </cell>
          <cell r="BE51">
            <v>5109</v>
          </cell>
          <cell r="BF51">
            <v>5971</v>
          </cell>
          <cell r="BG51">
            <v>6083</v>
          </cell>
          <cell r="BH51">
            <v>5431</v>
          </cell>
          <cell r="BI51">
            <v>5636</v>
          </cell>
          <cell r="BJ51">
            <v>5808</v>
          </cell>
          <cell r="BK51">
            <v>6165</v>
          </cell>
          <cell r="BL51">
            <v>6235</v>
          </cell>
          <cell r="BM51">
            <v>4381</v>
          </cell>
          <cell r="BN51">
            <v>6101</v>
          </cell>
          <cell r="BO51">
            <v>6817</v>
          </cell>
          <cell r="BP51">
            <v>6037</v>
          </cell>
          <cell r="BQ51">
            <v>4974.5352749663407</v>
          </cell>
          <cell r="BR51">
            <v>6146.9424457107225</v>
          </cell>
          <cell r="BS51">
            <v>6627.841392387777</v>
          </cell>
          <cell r="BT51">
            <v>6476.378923496306</v>
          </cell>
          <cell r="BU51">
            <v>4750.7914120130954</v>
          </cell>
          <cell r="BX51">
            <v>0</v>
          </cell>
        </row>
        <row r="52">
          <cell r="A52" t="str">
            <v>% y/y growth</v>
          </cell>
          <cell r="H52">
            <v>0.41940814180561814</v>
          </cell>
          <cell r="I52">
            <v>0.51190602180124878</v>
          </cell>
          <cell r="J52">
            <v>-0.14423211535769287</v>
          </cell>
          <cell r="K52">
            <v>-0.1188499447875343</v>
          </cell>
          <cell r="L52">
            <v>7.3149222557437943E-2</v>
          </cell>
          <cell r="M52">
            <v>-2.300938540720554E-2</v>
          </cell>
          <cell r="N52">
            <v>5.9344604673351897E-2</v>
          </cell>
          <cell r="O52">
            <v>3.0263395343625987E-3</v>
          </cell>
          <cell r="P52">
            <v>3.7472329195064713E-2</v>
          </cell>
          <cell r="Q52">
            <v>1.6933958855172238E-2</v>
          </cell>
          <cell r="R52">
            <v>7.0549385929704833E-2</v>
          </cell>
          <cell r="S52">
            <v>6.0709143045905467E-2</v>
          </cell>
          <cell r="T52">
            <v>1.4761332904012825E-2</v>
          </cell>
          <cell r="AP52">
            <v>0.18738461538461548</v>
          </cell>
          <cell r="AQ52">
            <v>0.30439748715019999</v>
          </cell>
          <cell r="AR52">
            <v>0.37667255743499117</v>
          </cell>
          <cell r="AS52">
            <v>0.92925797770088425</v>
          </cell>
          <cell r="AT52">
            <v>0.80616740088105732</v>
          </cell>
          <cell r="AU52">
            <v>0.55604203152364273</v>
          </cell>
          <cell r="AV52">
            <v>0.32074087658169814</v>
          </cell>
          <cell r="AW52">
            <v>0.45316859306496604</v>
          </cell>
          <cell r="AX52">
            <v>-7.3027259684361523E-2</v>
          </cell>
          <cell r="AY52">
            <v>-6.1480022509848076E-2</v>
          </cell>
          <cell r="AZ52">
            <v>-0.20549847264648713</v>
          </cell>
          <cell r="BA52">
            <v>-0.23244651673066374</v>
          </cell>
          <cell r="BB52">
            <v>-0.12026002166847238</v>
          </cell>
          <cell r="BC52">
            <v>-0.1843801529006146</v>
          </cell>
          <cell r="BD52">
            <v>-7.1828032156588617E-2</v>
          </cell>
          <cell r="BE52">
            <v>-8.7189565838842187E-2</v>
          </cell>
          <cell r="BF52">
            <v>5.049261083743839E-2</v>
          </cell>
          <cell r="BG52">
            <v>0.11799301598970779</v>
          </cell>
          <cell r="BH52">
            <v>2.2594614950103509E-2</v>
          </cell>
          <cell r="BI52">
            <v>0.10315130162458397</v>
          </cell>
          <cell r="BJ52">
            <v>-2.729860994808242E-2</v>
          </cell>
          <cell r="BK52">
            <v>1.3480190695380534E-2</v>
          </cell>
          <cell r="BL52">
            <v>0.14803903516847727</v>
          </cell>
          <cell r="BM52">
            <v>-0.22267565649396737</v>
          </cell>
          <cell r="BN52">
            <v>5.0447658402203777E-2</v>
          </cell>
          <cell r="BO52">
            <v>0.10575831305758321</v>
          </cell>
          <cell r="BP52">
            <v>-3.1756214915797942E-2</v>
          </cell>
          <cell r="BQ52">
            <v>0.13547940537921499</v>
          </cell>
          <cell r="BR52">
            <v>7.53031399946269E-3</v>
          </cell>
          <cell r="BS52">
            <v>-2.7748072115626132E-2</v>
          </cell>
          <cell r="BT52">
            <v>7.2781004388985604E-2</v>
          </cell>
          <cell r="BU52">
            <v>-4.4977842267840629E-2</v>
          </cell>
        </row>
        <row r="53">
          <cell r="A53" t="str">
            <v>% q/q growth</v>
          </cell>
          <cell r="AM53">
            <v>7.7538461538461556E-2</v>
          </cell>
          <cell r="AN53">
            <v>0.13106796116504849</v>
          </cell>
          <cell r="AO53">
            <v>-0.3433476394849786</v>
          </cell>
          <cell r="AP53">
            <v>0.48366013071895431</v>
          </cell>
          <cell r="AQ53">
            <v>0.18372635397771453</v>
          </cell>
          <cell r="AR53">
            <v>0.19373905429071803</v>
          </cell>
          <cell r="AS53">
            <v>-7.9772602237300538E-2</v>
          </cell>
          <cell r="AT53">
            <v>0.3889996014348347</v>
          </cell>
          <cell r="AU53">
            <v>1.9799139167862245E-2</v>
          </cell>
          <cell r="AV53">
            <v>1.3224535734383869E-2</v>
          </cell>
          <cell r="AW53">
            <v>1.2496528742016011E-2</v>
          </cell>
          <cell r="AX53">
            <v>-0.11396050466264396</v>
          </cell>
          <cell r="AY53">
            <v>3.2502708559046578E-2</v>
          </cell>
          <cell r="AZ53">
            <v>-0.14225753260380758</v>
          </cell>
          <cell r="BA53">
            <v>-2.1845508563439364E-2</v>
          </cell>
          <cell r="BB53">
            <v>1.5544041450777257E-2</v>
          </cell>
          <cell r="BC53">
            <v>-4.2751583391977488E-2</v>
          </cell>
          <cell r="BD53">
            <v>-2.3892666789193218E-2</v>
          </cell>
          <cell r="BE53">
            <v>-3.8034268499340995E-2</v>
          </cell>
          <cell r="BF53">
            <v>0.16872186337835182</v>
          </cell>
          <cell r="BG53">
            <v>1.8757327080890951E-2</v>
          </cell>
          <cell r="BH53">
            <v>-0.10718395528522107</v>
          </cell>
          <cell r="BI53">
            <v>3.7746271404897724E-2</v>
          </cell>
          <cell r="BJ53">
            <v>3.0518097941802713E-2</v>
          </cell>
          <cell r="BK53">
            <v>6.1466942148760362E-2</v>
          </cell>
          <cell r="BL53">
            <v>1.1354420113544261E-2</v>
          </cell>
          <cell r="BM53">
            <v>-0.29735364875701686</v>
          </cell>
          <cell r="BN53">
            <v>0.39260442821273678</v>
          </cell>
          <cell r="BO53">
            <v>0.11735781019505009</v>
          </cell>
          <cell r="BP53">
            <v>-0.11441983277101364</v>
          </cell>
          <cell r="BQ53">
            <v>-0.17599216912931248</v>
          </cell>
          <cell r="BR53">
            <v>0.23568174833222288</v>
          </cell>
          <cell r="BS53">
            <v>7.8233845676010993E-2</v>
          </cell>
          <cell r="BT53">
            <v>-2.2852458277808019E-2</v>
          </cell>
          <cell r="BU53">
            <v>-0.26644325970841176</v>
          </cell>
        </row>
        <row r="54">
          <cell r="A54" t="str">
            <v>% revenues</v>
          </cell>
          <cell r="I54">
            <v>0.23831448303473127</v>
          </cell>
          <cell r="J54">
            <v>0.1980752250026328</v>
          </cell>
          <cell r="K54">
            <v>0.1758588884444916</v>
          </cell>
          <cell r="L54">
            <v>0.18603958802703571</v>
          </cell>
          <cell r="M54">
            <v>0.17825493398988346</v>
          </cell>
          <cell r="N54">
            <v>0.18867312762276972</v>
          </cell>
          <cell r="O54">
            <v>0.1878216227980368</v>
          </cell>
          <cell r="P54">
            <v>0.1914189331254503</v>
          </cell>
          <cell r="Q54">
            <v>0.19112548739137375</v>
          </cell>
          <cell r="R54">
            <v>0.20095978837767298</v>
          </cell>
          <cell r="S54">
            <v>0.20962444909212635</v>
          </cell>
          <cell r="T54">
            <v>0.20941696746315644</v>
          </cell>
          <cell r="AL54">
            <v>0.11200716845878136</v>
          </cell>
          <cell r="AM54">
            <v>0.1192738666939137</v>
          </cell>
          <cell r="AN54">
            <v>0.13546974930743186</v>
          </cell>
          <cell r="AO54">
            <v>8.9108910891089105E-2</v>
          </cell>
          <cell r="AP54">
            <v>0.13352941176470587</v>
          </cell>
          <cell r="AQ54">
            <v>0.15641692918778249</v>
          </cell>
          <cell r="AR54">
            <v>0.18552667392487751</v>
          </cell>
          <cell r="AS54">
            <v>0.16976791393193044</v>
          </cell>
          <cell r="AT54">
            <v>0.2372523657158418</v>
          </cell>
          <cell r="AU54">
            <v>0.23865162503357507</v>
          </cell>
          <cell r="AV54">
            <v>0.23747032445265101</v>
          </cell>
          <cell r="AW54">
            <v>0.23985264127360043</v>
          </cell>
          <cell r="AX54">
            <v>0.21112309250727052</v>
          </cell>
          <cell r="AY54">
            <v>0.21720444111613973</v>
          </cell>
          <cell r="AZ54">
            <v>0.18338568040510222</v>
          </cell>
          <cell r="BA54">
            <v>0.18098625707356508</v>
          </cell>
          <cell r="BB54">
            <v>0.18662376465180419</v>
          </cell>
          <cell r="BC54">
            <v>0.17772914352910432</v>
          </cell>
          <cell r="BD54">
            <v>0.17280536213964989</v>
          </cell>
          <cell r="BE54">
            <v>0.16637358343102773</v>
          </cell>
          <cell r="BF54">
            <v>0.19557811988208321</v>
          </cell>
          <cell r="BG54">
            <v>0.19744871461957933</v>
          </cell>
          <cell r="BH54">
            <v>0.17197048858490865</v>
          </cell>
          <cell r="BI54">
            <v>0.17971365709001627</v>
          </cell>
          <cell r="BJ54">
            <v>0.18587384388901335</v>
          </cell>
          <cell r="BK54">
            <v>0.1957453564057787</v>
          </cell>
          <cell r="BL54">
            <v>0.19807484592413749</v>
          </cell>
          <cell r="BM54">
            <v>0.13478755807156262</v>
          </cell>
          <cell r="BN54">
            <v>0.19172270756080698</v>
          </cell>
          <cell r="BO54">
            <v>0.21589865399841646</v>
          </cell>
          <cell r="BP54">
            <v>0.19190056899456434</v>
          </cell>
          <cell r="BQ54">
            <v>0.15557747745645556</v>
          </cell>
          <cell r="BR54">
            <v>0.19511221123155978</v>
          </cell>
          <cell r="BS54">
            <v>0.20857592525422264</v>
          </cell>
          <cell r="BT54">
            <v>0.20192541608225817</v>
          </cell>
          <cell r="BU54">
            <v>0.14646298521522852</v>
          </cell>
        </row>
        <row r="56">
          <cell r="A56" t="str">
            <v>Interest Expense</v>
          </cell>
          <cell r="I56">
            <v>3472</v>
          </cell>
          <cell r="J56">
            <v>3369</v>
          </cell>
          <cell r="K56">
            <v>3368</v>
          </cell>
          <cell r="L56">
            <v>2994</v>
          </cell>
          <cell r="M56">
            <v>3535</v>
          </cell>
          <cell r="N56">
            <v>3449.3681839087631</v>
          </cell>
          <cell r="O56">
            <v>3368.6030000000001</v>
          </cell>
          <cell r="P56">
            <v>3587.8560000000002</v>
          </cell>
          <cell r="Q56">
            <v>3731.8560000000002</v>
          </cell>
          <cell r="R56">
            <v>3837.3500000000004</v>
          </cell>
          <cell r="S56">
            <v>3687.3500000000004</v>
          </cell>
          <cell r="T56">
            <v>3612.3500000000004</v>
          </cell>
          <cell r="AL56">
            <v>1012</v>
          </cell>
          <cell r="AM56">
            <v>960</v>
          </cell>
          <cell r="AN56">
            <v>950</v>
          </cell>
          <cell r="AO56">
            <v>945</v>
          </cell>
          <cell r="AP56">
            <v>932</v>
          </cell>
          <cell r="AQ56">
            <v>928</v>
          </cell>
          <cell r="AR56">
            <v>923</v>
          </cell>
          <cell r="AS56">
            <v>884</v>
          </cell>
          <cell r="AT56">
            <v>838</v>
          </cell>
          <cell r="AU56">
            <v>879</v>
          </cell>
          <cell r="AV56">
            <v>887</v>
          </cell>
          <cell r="AW56">
            <v>868</v>
          </cell>
          <cell r="AX56">
            <v>858</v>
          </cell>
          <cell r="AY56">
            <v>849</v>
          </cell>
          <cell r="AZ56">
            <v>853</v>
          </cell>
          <cell r="BA56">
            <v>809</v>
          </cell>
          <cell r="BB56">
            <v>846</v>
          </cell>
          <cell r="BC56">
            <v>876</v>
          </cell>
          <cell r="BD56">
            <v>851</v>
          </cell>
          <cell r="BE56">
            <v>795</v>
          </cell>
          <cell r="BF56">
            <v>765</v>
          </cell>
          <cell r="BG56">
            <v>754</v>
          </cell>
          <cell r="BH56">
            <v>729</v>
          </cell>
          <cell r="BI56">
            <v>746</v>
          </cell>
          <cell r="BJ56">
            <v>846</v>
          </cell>
          <cell r="BK56">
            <v>848</v>
          </cell>
          <cell r="BL56">
            <v>889</v>
          </cell>
          <cell r="BM56">
            <v>952</v>
          </cell>
          <cell r="BN56">
            <v>859</v>
          </cell>
          <cell r="BO56">
            <v>941</v>
          </cell>
          <cell r="BP56">
            <v>824</v>
          </cell>
          <cell r="BQ56">
            <v>825.36818390876283</v>
          </cell>
          <cell r="BR56">
            <v>805.40075000000002</v>
          </cell>
          <cell r="BS56">
            <v>829.90075000000002</v>
          </cell>
          <cell r="BT56">
            <v>854.40075000000002</v>
          </cell>
          <cell r="BU56">
            <v>878.90075000000002</v>
          </cell>
          <cell r="BX56">
            <v>0</v>
          </cell>
          <cell r="BY56" t="str">
            <v>mstag:interestExpense</v>
          </cell>
          <cell r="BZ56">
            <v>6</v>
          </cell>
          <cell r="CA56" t="str">
            <v>ISO4217:USD</v>
          </cell>
          <cell r="CB56" t="b">
            <v>0</v>
          </cell>
          <cell r="CC56" t="b">
            <v>0</v>
          </cell>
        </row>
        <row r="57">
          <cell r="A57" t="str">
            <v>% y/y growth</v>
          </cell>
          <cell r="J57">
            <v>-2.9665898617511566E-2</v>
          </cell>
          <cell r="K57">
            <v>-2.9682398337782523E-4</v>
          </cell>
          <cell r="L57">
            <v>-0.11104513064133015</v>
          </cell>
          <cell r="M57">
            <v>0.18069472277889109</v>
          </cell>
          <cell r="N57">
            <v>-2.4223993236559216E-2</v>
          </cell>
          <cell r="O57">
            <v>-2.3414486248679145E-2</v>
          </cell>
          <cell r="P57">
            <v>6.5087218648205214E-2</v>
          </cell>
          <cell r="Q57">
            <v>4.0135390049099051E-2</v>
          </cell>
          <cell r="R57">
            <v>2.8268507680896615E-2</v>
          </cell>
          <cell r="S57">
            <v>-3.9089475810129337E-2</v>
          </cell>
          <cell r="T57">
            <v>-2.0339810432966732E-2</v>
          </cell>
          <cell r="AX57">
            <v>2.3866348448687402E-2</v>
          </cell>
          <cell r="AY57">
            <v>-3.4129692832764458E-2</v>
          </cell>
          <cell r="AZ57">
            <v>-3.833145434047347E-2</v>
          </cell>
          <cell r="BA57">
            <v>-6.7972350230414702E-2</v>
          </cell>
          <cell r="BB57">
            <v>-1.3986013986013957E-2</v>
          </cell>
          <cell r="BC57">
            <v>3.180212014134276E-2</v>
          </cell>
          <cell r="BD57">
            <v>-2.3446658851113966E-3</v>
          </cell>
          <cell r="BE57">
            <v>-1.7305315203955507E-2</v>
          </cell>
          <cell r="BF57">
            <v>-9.5744680851063801E-2</v>
          </cell>
          <cell r="BG57">
            <v>-0.13926940639269403</v>
          </cell>
          <cell r="BH57">
            <v>-0.14336075205640419</v>
          </cell>
          <cell r="BI57">
            <v>-6.163522012578615E-2</v>
          </cell>
          <cell r="BJ57">
            <v>0.10588235294117654</v>
          </cell>
          <cell r="BK57">
            <v>0.12466843501326252</v>
          </cell>
          <cell r="BL57">
            <v>0.21947873799725648</v>
          </cell>
          <cell r="BM57">
            <v>0.27613941018766752</v>
          </cell>
          <cell r="BN57">
            <v>1.5366430260047359E-2</v>
          </cell>
          <cell r="BO57">
            <v>0.10966981132075482</v>
          </cell>
          <cell r="BP57">
            <v>-7.3115860517435349E-2</v>
          </cell>
          <cell r="BQ57">
            <v>-0.13301661354121552</v>
          </cell>
          <cell r="BR57">
            <v>-6.2397264260768304E-2</v>
          </cell>
          <cell r="BS57">
            <v>-0.11806509032943679</v>
          </cell>
          <cell r="BT57">
            <v>3.6894114077669959E-2</v>
          </cell>
          <cell r="BU57">
            <v>6.4859013389295672E-2</v>
          </cell>
        </row>
        <row r="59">
          <cell r="A59" t="str">
            <v>Other Income (Expense)</v>
          </cell>
          <cell r="I59">
            <v>1011</v>
          </cell>
          <cell r="J59">
            <v>487</v>
          </cell>
          <cell r="K59">
            <v>886</v>
          </cell>
          <cell r="L59">
            <v>1019</v>
          </cell>
          <cell r="M59">
            <v>1033</v>
          </cell>
          <cell r="N59">
            <v>885.99519299195651</v>
          </cell>
          <cell r="O59">
            <v>857.93610008587325</v>
          </cell>
          <cell r="P59">
            <v>857.93610008587325</v>
          </cell>
          <cell r="Q59">
            <v>857.93610008587325</v>
          </cell>
          <cell r="R59">
            <v>857.93610008587325</v>
          </cell>
          <cell r="S59">
            <v>857.93610008587325</v>
          </cell>
          <cell r="T59">
            <v>857.93610008587325</v>
          </cell>
          <cell r="AI59">
            <v>6.8057625434674751E-2</v>
          </cell>
          <cell r="AL59">
            <v>200</v>
          </cell>
          <cell r="AM59">
            <v>-1</v>
          </cell>
          <cell r="AN59">
            <v>383</v>
          </cell>
          <cell r="AO59">
            <v>273</v>
          </cell>
          <cell r="AP59">
            <v>134</v>
          </cell>
          <cell r="AQ59">
            <v>156</v>
          </cell>
          <cell r="AR59">
            <v>182</v>
          </cell>
          <cell r="AS59">
            <v>149</v>
          </cell>
          <cell r="AT59">
            <v>381</v>
          </cell>
          <cell r="AU59">
            <v>337</v>
          </cell>
          <cell r="AV59">
            <v>145</v>
          </cell>
          <cell r="AW59">
            <v>148</v>
          </cell>
          <cell r="AX59">
            <v>334</v>
          </cell>
          <cell r="AY59">
            <v>239</v>
          </cell>
          <cell r="AZ59">
            <v>233</v>
          </cell>
          <cell r="BA59">
            <v>-319</v>
          </cell>
          <cell r="BB59">
            <v>122</v>
          </cell>
          <cell r="BC59">
            <v>262</v>
          </cell>
          <cell r="BD59">
            <v>210</v>
          </cell>
          <cell r="BE59">
            <v>292</v>
          </cell>
          <cell r="BF59">
            <v>195</v>
          </cell>
          <cell r="BG59">
            <v>278</v>
          </cell>
          <cell r="BH59">
            <v>341</v>
          </cell>
          <cell r="BI59">
            <v>205</v>
          </cell>
          <cell r="BJ59">
            <v>308</v>
          </cell>
          <cell r="BK59">
            <v>234</v>
          </cell>
          <cell r="BL59">
            <v>239</v>
          </cell>
          <cell r="BM59">
            <v>252</v>
          </cell>
          <cell r="BN59">
            <v>275</v>
          </cell>
          <cell r="BO59">
            <v>155</v>
          </cell>
          <cell r="BP59">
            <v>229</v>
          </cell>
          <cell r="BQ59">
            <v>226.99519299195654</v>
          </cell>
          <cell r="BR59">
            <v>193.17497452452153</v>
          </cell>
          <cell r="BS59">
            <v>198.5991379266876</v>
          </cell>
          <cell r="BT59">
            <v>216.83240151970108</v>
          </cell>
          <cell r="BU59">
            <v>249.32958611496309</v>
          </cell>
          <cell r="BX59">
            <v>0</v>
          </cell>
          <cell r="BY59" t="str">
            <v>mstag:otherNonOperatingIncomeExpense</v>
          </cell>
          <cell r="BZ59">
            <v>6</v>
          </cell>
          <cell r="CA59" t="str">
            <v>ISO4217:USD</v>
          </cell>
          <cell r="CB59" t="b">
            <v>0</v>
          </cell>
          <cell r="CC59" t="b">
            <v>0</v>
          </cell>
        </row>
        <row r="61">
          <cell r="A61" t="str">
            <v>PBT</v>
          </cell>
          <cell r="I61">
            <v>26111</v>
          </cell>
          <cell r="J61">
            <v>21569</v>
          </cell>
          <cell r="K61">
            <v>19063</v>
          </cell>
          <cell r="L61">
            <v>21146</v>
          </cell>
          <cell r="M61">
            <v>20087</v>
          </cell>
          <cell r="N61">
            <v>21366.16228404954</v>
          </cell>
          <cell r="O61">
            <v>21491.287273693779</v>
          </cell>
          <cell r="P61">
            <v>22171.44340181207</v>
          </cell>
          <cell r="Q61">
            <v>22449.122063401195</v>
          </cell>
          <cell r="R61">
            <v>24130.153123785236</v>
          </cell>
          <cell r="S61">
            <v>25925.951706139564</v>
          </cell>
          <cell r="T61">
            <v>26425.419230627125</v>
          </cell>
          <cell r="AL61">
            <v>2438</v>
          </cell>
          <cell r="AM61">
            <v>2541</v>
          </cell>
          <cell r="AN61">
            <v>3394</v>
          </cell>
          <cell r="AO61">
            <v>1929</v>
          </cell>
          <cell r="AP61">
            <v>3061</v>
          </cell>
          <cell r="AQ61">
            <v>3796</v>
          </cell>
          <cell r="AR61">
            <v>4712</v>
          </cell>
          <cell r="AS61">
            <v>4283</v>
          </cell>
          <cell r="AT61">
            <v>6513</v>
          </cell>
          <cell r="AU61">
            <v>6566</v>
          </cell>
          <cell r="AV61">
            <v>6460</v>
          </cell>
          <cell r="AW61">
            <v>6572</v>
          </cell>
          <cell r="AX61">
            <v>5937</v>
          </cell>
          <cell r="AY61">
            <v>6061</v>
          </cell>
          <cell r="AZ61">
            <v>5102</v>
          </cell>
          <cell r="BA61">
            <v>4469</v>
          </cell>
          <cell r="BB61">
            <v>4960</v>
          </cell>
          <cell r="BC61">
            <v>4827</v>
          </cell>
          <cell r="BD61">
            <v>4670</v>
          </cell>
          <cell r="BE61">
            <v>4606</v>
          </cell>
          <cell r="BF61">
            <v>5401</v>
          </cell>
          <cell r="BG61">
            <v>5607</v>
          </cell>
          <cell r="BH61">
            <v>5043</v>
          </cell>
          <cell r="BI61">
            <v>5095</v>
          </cell>
          <cell r="BJ61">
            <v>5270</v>
          </cell>
          <cell r="BK61">
            <v>5551</v>
          </cell>
          <cell r="BL61">
            <v>5585</v>
          </cell>
          <cell r="BM61">
            <v>3681</v>
          </cell>
          <cell r="BN61">
            <v>5517</v>
          </cell>
          <cell r="BO61">
            <v>6031</v>
          </cell>
          <cell r="BP61">
            <v>5442</v>
          </cell>
          <cell r="BQ61">
            <v>4376.1622840495338</v>
          </cell>
          <cell r="BR61">
            <v>5534.7166702352442</v>
          </cell>
          <cell r="BS61">
            <v>5996.5397803144651</v>
          </cell>
          <cell r="BT61">
            <v>5838.8105750160075</v>
          </cell>
          <cell r="BU61">
            <v>4121.2202481280583</v>
          </cell>
          <cell r="BX61">
            <v>0</v>
          </cell>
        </row>
        <row r="62">
          <cell r="A62" t="str">
            <v>% y/y growth</v>
          </cell>
          <cell r="J62">
            <v>-0.17394967638160164</v>
          </cell>
          <cell r="K62">
            <v>-0.11618526589086187</v>
          </cell>
          <cell r="L62">
            <v>0.10926926506845724</v>
          </cell>
          <cell r="M62">
            <v>-5.0080393455026906E-2</v>
          </cell>
          <cell r="N62">
            <v>6.3681101411337648E-2</v>
          </cell>
          <cell r="O62">
            <v>5.8562220009743537E-3</v>
          </cell>
          <cell r="P62">
            <v>3.1647993880330683E-2</v>
          </cell>
          <cell r="Q62">
            <v>1.2524158060292612E-2</v>
          </cell>
          <cell r="R62">
            <v>7.4881817455330513E-2</v>
          </cell>
          <cell r="S62">
            <v>7.4421350463134806E-2</v>
          </cell>
          <cell r="T62">
            <v>1.926515678764007E-2</v>
          </cell>
        </row>
        <row r="63">
          <cell r="A63" t="str">
            <v>% revenues</v>
          </cell>
          <cell r="I63">
            <v>0.21778767557468387</v>
          </cell>
          <cell r="J63">
            <v>0.17472841716419724</v>
          </cell>
          <cell r="K63">
            <v>0.15559981389730068</v>
          </cell>
          <cell r="L63">
            <v>0.17014805278403605</v>
          </cell>
          <cell r="M63">
            <v>0.15851108322877458</v>
          </cell>
          <cell r="N63">
            <v>0.16846213756789963</v>
          </cell>
          <cell r="O63">
            <v>0.16817499202637642</v>
          </cell>
          <cell r="P63">
            <v>0.17043380277625075</v>
          </cell>
          <cell r="Q63">
            <v>0.16943459644744296</v>
          </cell>
          <cell r="R63">
            <v>0.17887377032017998</v>
          </cell>
          <cell r="S63">
            <v>0.18899823490487783</v>
          </cell>
          <cell r="T63">
            <v>0.18964917086617561</v>
          </cell>
          <cell r="AL63">
            <v>8.4022608216156605E-2</v>
          </cell>
          <cell r="AM63">
            <v>8.6543373863288031E-2</v>
          </cell>
          <cell r="AN63">
            <v>0.11607784123944047</v>
          </cell>
          <cell r="AO63">
            <v>6.6086539449792731E-2</v>
          </cell>
          <cell r="AP63">
            <v>0.10591695501730104</v>
          </cell>
          <cell r="AQ63">
            <v>0.12998219421996987</v>
          </cell>
          <cell r="AR63">
            <v>0.16031573217201961</v>
          </cell>
          <cell r="AS63">
            <v>0.14490154949590636</v>
          </cell>
          <cell r="AT63">
            <v>0.22169650759071413</v>
          </cell>
          <cell r="AU63">
            <v>0.22045393499865701</v>
          </cell>
          <cell r="AV63">
            <v>0.21300448430493274</v>
          </cell>
          <cell r="AW63">
            <v>0.21616998881652522</v>
          </cell>
          <cell r="AX63">
            <v>0.19400058817762963</v>
          </cell>
          <cell r="AY63">
            <v>0.19734314459675056</v>
          </cell>
          <cell r="AZ63">
            <v>0.16351515928466123</v>
          </cell>
          <cell r="BA63">
            <v>0.14451091350040421</v>
          </cell>
          <cell r="BB63">
            <v>0.16285254621269329</v>
          </cell>
          <cell r="BC63">
            <v>0.15767296008362186</v>
          </cell>
          <cell r="BD63">
            <v>0.15194898158391359</v>
          </cell>
          <cell r="BE63">
            <v>0.14999348703920803</v>
          </cell>
          <cell r="BF63">
            <v>0.17690795938421225</v>
          </cell>
          <cell r="BG63">
            <v>0.1819981822903142</v>
          </cell>
          <cell r="BH63">
            <v>0.15968462049966753</v>
          </cell>
          <cell r="BI63">
            <v>0.16246293166671982</v>
          </cell>
          <cell r="BJ63">
            <v>0.16865619099433546</v>
          </cell>
          <cell r="BK63">
            <v>0.17625019844419748</v>
          </cell>
          <cell r="BL63">
            <v>0.17742550352627232</v>
          </cell>
          <cell r="BM63">
            <v>0.11325108451527552</v>
          </cell>
          <cell r="BN63">
            <v>0.17337062409653697</v>
          </cell>
          <cell r="BO63">
            <v>0.1910055423594616</v>
          </cell>
          <cell r="BP63">
            <v>0.17298706252582727</v>
          </cell>
          <cell r="BQ63">
            <v>0.13686349607745302</v>
          </cell>
          <cell r="BR63">
            <v>0.17567934263372054</v>
          </cell>
          <cell r="BS63">
            <v>0.18870907720262259</v>
          </cell>
          <cell r="BT63">
            <v>0.18204683029094676</v>
          </cell>
          <cell r="BU63">
            <v>0.12705382491514372</v>
          </cell>
        </row>
        <row r="65">
          <cell r="A65" t="str">
            <v>Income Taxes</v>
          </cell>
          <cell r="I65">
            <v>9118</v>
          </cell>
          <cell r="J65">
            <v>7208.6299999999992</v>
          </cell>
          <cell r="K65">
            <v>6426</v>
          </cell>
          <cell r="L65">
            <v>7204.94</v>
          </cell>
          <cell r="M65">
            <v>6737.4850000000006</v>
          </cell>
          <cell r="N65">
            <v>7159.8951765768415</v>
          </cell>
          <cell r="O65">
            <v>7307.0376730558837</v>
          </cell>
          <cell r="P65">
            <v>7538.290756616103</v>
          </cell>
          <cell r="Q65">
            <v>7632.7015015564057</v>
          </cell>
          <cell r="R65">
            <v>8204.25206208698</v>
          </cell>
          <cell r="S65">
            <v>8814.82358008745</v>
          </cell>
          <cell r="T65">
            <v>8984.6425384132217</v>
          </cell>
          <cell r="AL65">
            <v>866</v>
          </cell>
          <cell r="AM65">
            <v>867</v>
          </cell>
          <cell r="AN65">
            <v>1174</v>
          </cell>
          <cell r="AO65">
            <v>-275</v>
          </cell>
          <cell r="AP65">
            <v>1079</v>
          </cell>
          <cell r="AQ65">
            <v>1326</v>
          </cell>
          <cell r="AR65">
            <v>1696</v>
          </cell>
          <cell r="AS65">
            <v>1444</v>
          </cell>
          <cell r="AT65">
            <v>2465</v>
          </cell>
          <cell r="AU65">
            <v>2258</v>
          </cell>
          <cell r="AV65">
            <v>2139</v>
          </cell>
          <cell r="AW65">
            <v>2256</v>
          </cell>
          <cell r="AX65">
            <v>2110.38</v>
          </cell>
          <cell r="AY65">
            <v>2149</v>
          </cell>
          <cell r="AZ65">
            <v>1706</v>
          </cell>
          <cell r="BA65">
            <v>1243.2499999999993</v>
          </cell>
          <cell r="BB65">
            <v>1811</v>
          </cell>
          <cell r="BC65">
            <v>1590</v>
          </cell>
          <cell r="BD65">
            <v>1440</v>
          </cell>
          <cell r="BE65">
            <v>1585</v>
          </cell>
          <cell r="BF65">
            <v>1863</v>
          </cell>
          <cell r="BG65">
            <v>1937</v>
          </cell>
          <cell r="BH65">
            <v>1740</v>
          </cell>
          <cell r="BI65">
            <v>1664.9399999999998</v>
          </cell>
          <cell r="BJ65">
            <v>1802</v>
          </cell>
          <cell r="BK65">
            <v>1893</v>
          </cell>
          <cell r="BL65">
            <v>1899</v>
          </cell>
          <cell r="BM65">
            <v>1143.4850000000001</v>
          </cell>
          <cell r="BN65">
            <v>1865</v>
          </cell>
          <cell r="BO65">
            <v>2066</v>
          </cell>
          <cell r="BP65">
            <v>1741</v>
          </cell>
          <cell r="BQ65">
            <v>1487.8951765768415</v>
          </cell>
          <cell r="BR65">
            <v>1881.8036678799831</v>
          </cell>
          <cell r="BS65">
            <v>2038.8235253069183</v>
          </cell>
          <cell r="BT65">
            <v>1985.1955955054427</v>
          </cell>
          <cell r="BU65">
            <v>1401.21488436354</v>
          </cell>
          <cell r="BX65">
            <v>0</v>
          </cell>
          <cell r="BY65" t="str">
            <v>mstag:taxExpenseIncome</v>
          </cell>
          <cell r="BZ65">
            <v>6</v>
          </cell>
          <cell r="CA65" t="str">
            <v>ISO4217:USD</v>
          </cell>
          <cell r="CB65" t="b">
            <v>0</v>
          </cell>
          <cell r="CC65" t="b">
            <v>0</v>
          </cell>
        </row>
        <row r="66">
          <cell r="A66" t="str">
            <v>% y/y growth</v>
          </cell>
          <cell r="J66">
            <v>-0.20940666812897579</v>
          </cell>
          <cell r="K66">
            <v>-0.10856847972499617</v>
          </cell>
          <cell r="L66">
            <v>0.12121693121693111</v>
          </cell>
          <cell r="M66">
            <v>-6.4879790810194016E-2</v>
          </cell>
          <cell r="N66">
            <v>6.2695527571021037E-2</v>
          </cell>
          <cell r="O66">
            <v>2.0550928868401597E-2</v>
          </cell>
          <cell r="P66">
            <v>3.1647993880330905E-2</v>
          </cell>
          <cell r="Q66">
            <v>1.2524158060292612E-2</v>
          </cell>
          <cell r="R66">
            <v>7.4881817455330513E-2</v>
          </cell>
          <cell r="S66">
            <v>7.4421350463134583E-2</v>
          </cell>
          <cell r="T66">
            <v>1.926515678764007E-2</v>
          </cell>
          <cell r="BB66">
            <v>-0.141860707550299</v>
          </cell>
          <cell r="BC66">
            <v>-0.26012098650535131</v>
          </cell>
          <cell r="BD66">
            <v>-0.15592028135990621</v>
          </cell>
          <cell r="BE66">
            <v>0.27488437562839407</v>
          </cell>
          <cell r="BF66">
            <v>2.8713418001104385E-2</v>
          </cell>
          <cell r="BG66">
            <v>0.21823899371069189</v>
          </cell>
          <cell r="BH66">
            <v>0.20833333333333326</v>
          </cell>
          <cell r="BI66">
            <v>5.0435331230283875E-2</v>
          </cell>
          <cell r="BJ66">
            <v>-3.2742887815351618E-2</v>
          </cell>
          <cell r="BK66">
            <v>-2.271553949406302E-2</v>
          </cell>
          <cell r="BL66">
            <v>9.1379310344827491E-2</v>
          </cell>
          <cell r="BM66">
            <v>-0.31319747258159436</v>
          </cell>
          <cell r="BN66">
            <v>3.4961154273029926E-2</v>
          </cell>
          <cell r="BO66">
            <v>9.1389329107237183E-2</v>
          </cell>
          <cell r="BP66">
            <v>-8.3201685097419653E-2</v>
          </cell>
          <cell r="BQ66">
            <v>0.30119343636063567</v>
          </cell>
          <cell r="BR66">
            <v>9.0100095871223917E-3</v>
          </cell>
          <cell r="BS66">
            <v>-1.315415038387302E-2</v>
          </cell>
          <cell r="BT66">
            <v>0.14026168610306877</v>
          </cell>
          <cell r="BU66">
            <v>-5.8256988514960084E-2</v>
          </cell>
        </row>
        <row r="67">
          <cell r="A67" t="str">
            <v>% effective tax rate</v>
          </cell>
          <cell r="I67">
            <v>0.34920148596377004</v>
          </cell>
          <cell r="J67">
            <v>0.33421252723816586</v>
          </cell>
          <cell r="K67">
            <v>0.3370927975659655</v>
          </cell>
          <cell r="L67">
            <v>0.34072354109524255</v>
          </cell>
          <cell r="M67">
            <v>0.3354151939065067</v>
          </cell>
          <cell r="N67">
            <v>0.33510440861538859</v>
          </cell>
          <cell r="O67">
            <v>0.33999999999999997</v>
          </cell>
          <cell r="P67">
            <v>0.33999999999999997</v>
          </cell>
          <cell r="Q67">
            <v>0.33999999999999997</v>
          </cell>
          <cell r="R67">
            <v>0.33999999999999997</v>
          </cell>
          <cell r="S67">
            <v>0.33999999999999997</v>
          </cell>
          <cell r="T67">
            <v>0.33999999999999997</v>
          </cell>
          <cell r="AL67">
            <v>0.35520918785890077</v>
          </cell>
          <cell r="AM67">
            <v>0.34120425029515938</v>
          </cell>
          <cell r="AN67">
            <v>0.34590453741897464</v>
          </cell>
          <cell r="AO67">
            <v>-0.14256091238983928</v>
          </cell>
          <cell r="AP67">
            <v>0.35249918327344004</v>
          </cell>
          <cell r="AQ67">
            <v>0.34931506849315069</v>
          </cell>
          <cell r="AR67">
            <v>0.35993208828522921</v>
          </cell>
          <cell r="AS67">
            <v>0.33714685967779595</v>
          </cell>
          <cell r="AT67">
            <v>0.37847382158759402</v>
          </cell>
          <cell r="AU67">
            <v>0.3438927809929942</v>
          </cell>
          <cell r="AV67">
            <v>0.33111455108359134</v>
          </cell>
          <cell r="AW67">
            <v>0.34327449786975045</v>
          </cell>
          <cell r="AX67">
            <v>0.35546235472460841</v>
          </cell>
          <cell r="AY67">
            <v>0.35456195347302427</v>
          </cell>
          <cell r="AZ67">
            <v>0.33437867502940022</v>
          </cell>
          <cell r="BA67">
            <v>0.27819422689639728</v>
          </cell>
          <cell r="BB67">
            <v>0.36512096774193548</v>
          </cell>
          <cell r="BC67">
            <v>0.32939714108141704</v>
          </cell>
          <cell r="BD67">
            <v>0.30835117773019272</v>
          </cell>
          <cell r="BE67">
            <v>0.34411636995223621</v>
          </cell>
          <cell r="BF67">
            <v>0.34493612294019627</v>
          </cell>
          <cell r="BG67">
            <v>0.34546103085428931</v>
          </cell>
          <cell r="BH67">
            <v>0.34503271861986912</v>
          </cell>
          <cell r="BI67">
            <v>0.3267791952894995</v>
          </cell>
          <cell r="BJ67">
            <v>0.34193548387096773</v>
          </cell>
          <cell r="BK67">
            <v>0.3410196361016033</v>
          </cell>
          <cell r="BL67">
            <v>0.34001790510295432</v>
          </cell>
          <cell r="BM67">
            <v>0.31064520510730781</v>
          </cell>
          <cell r="BN67">
            <v>0.33804603951422874</v>
          </cell>
          <cell r="BO67">
            <v>0.34256342231802356</v>
          </cell>
          <cell r="BP67">
            <v>0.3199191473722896</v>
          </cell>
          <cell r="BQ67">
            <v>0.34</v>
          </cell>
          <cell r="BR67">
            <v>0.34</v>
          </cell>
          <cell r="BS67">
            <v>0.34</v>
          </cell>
          <cell r="BT67">
            <v>0.34</v>
          </cell>
          <cell r="BU67">
            <v>0.34</v>
          </cell>
        </row>
        <row r="68">
          <cell r="A68" t="str">
            <v>% statutory tax rate</v>
          </cell>
          <cell r="I68">
            <v>0.34699999999999998</v>
          </cell>
          <cell r="J68">
            <v>0.34699999999999998</v>
          </cell>
          <cell r="K68">
            <v>0.34699999999999998</v>
          </cell>
          <cell r="L68">
            <v>0.34699999999999998</v>
          </cell>
          <cell r="M68">
            <v>0.34699999999999998</v>
          </cell>
          <cell r="N68">
            <v>0.34699999999999998</v>
          </cell>
          <cell r="O68">
            <v>0.34699999999999998</v>
          </cell>
          <cell r="P68">
            <v>0.34699999999999998</v>
          </cell>
          <cell r="Q68">
            <v>0.34699999999999998</v>
          </cell>
          <cell r="R68">
            <v>0.34699999999999998</v>
          </cell>
          <cell r="S68">
            <v>0.34699999999999998</v>
          </cell>
          <cell r="T68">
            <v>0.34699999999999998</v>
          </cell>
          <cell r="AT68">
            <v>0.34699999999999998</v>
          </cell>
          <cell r="AU68">
            <v>0.34699999999999998</v>
          </cell>
          <cell r="AV68">
            <v>0.34699999999999998</v>
          </cell>
          <cell r="AW68">
            <v>0.34699999999999998</v>
          </cell>
          <cell r="AX68">
            <v>0.34699999999999998</v>
          </cell>
          <cell r="AY68">
            <v>0.35</v>
          </cell>
          <cell r="AZ68">
            <v>0.34699999999999998</v>
          </cell>
          <cell r="BA68">
            <v>0.34699999999999998</v>
          </cell>
          <cell r="BB68">
            <v>0.35</v>
          </cell>
          <cell r="BC68">
            <v>0.34699999999999998</v>
          </cell>
          <cell r="BD68">
            <v>0.35</v>
          </cell>
          <cell r="BE68">
            <v>0.34699999999999998</v>
          </cell>
          <cell r="BF68">
            <v>0.34699999999999998</v>
          </cell>
          <cell r="BG68">
            <v>0.34699999999999998</v>
          </cell>
          <cell r="BH68">
            <v>0.34699999999999998</v>
          </cell>
          <cell r="BI68">
            <v>0.34699999999999998</v>
          </cell>
          <cell r="BJ68">
            <v>0.34699999999999998</v>
          </cell>
          <cell r="BK68">
            <v>0.34699999999999998</v>
          </cell>
          <cell r="BL68">
            <v>0.34699999999999998</v>
          </cell>
          <cell r="BM68">
            <v>0.34699999999999998</v>
          </cell>
          <cell r="BN68">
            <v>0.34699999999999998</v>
          </cell>
          <cell r="BO68">
            <v>0.34699999999999998</v>
          </cell>
          <cell r="BP68">
            <v>0.34699999999999998</v>
          </cell>
          <cell r="BQ68">
            <v>0.34699999999999998</v>
          </cell>
          <cell r="BR68">
            <v>0.34699999999999998</v>
          </cell>
          <cell r="BS68">
            <v>0.34699999999999998</v>
          </cell>
          <cell r="BT68">
            <v>0.34699999999999998</v>
          </cell>
          <cell r="BU68">
            <v>0.34699999999999998</v>
          </cell>
          <cell r="BY68" t="str">
            <v>mstag:statutoryTaxRate</v>
          </cell>
          <cell r="BZ68">
            <v>0</v>
          </cell>
          <cell r="CA68" t="str">
            <v>ms_eqr_gcim_Decimal:ms_eqr_gcim_decimal</v>
          </cell>
          <cell r="CB68" t="b">
            <v>0</v>
          </cell>
          <cell r="CC68" t="b">
            <v>0</v>
          </cell>
        </row>
        <row r="70">
          <cell r="A70" t="str">
            <v>Noncontrolling Interest</v>
          </cell>
          <cell r="J70">
            <v>-261</v>
          </cell>
          <cell r="K70">
            <v>-308</v>
          </cell>
          <cell r="L70">
            <v>-315</v>
          </cell>
          <cell r="M70">
            <v>-240</v>
          </cell>
          <cell r="N70">
            <v>-263</v>
          </cell>
          <cell r="O70">
            <v>-264</v>
          </cell>
          <cell r="P70">
            <v>-824</v>
          </cell>
          <cell r="Q70">
            <v>-824</v>
          </cell>
          <cell r="R70">
            <v>-824</v>
          </cell>
          <cell r="S70">
            <v>-824</v>
          </cell>
          <cell r="T70">
            <v>-824</v>
          </cell>
          <cell r="AT70">
            <v>0</v>
          </cell>
          <cell r="AU70">
            <v>-58</v>
          </cell>
          <cell r="AV70">
            <v>-44</v>
          </cell>
          <cell r="AW70">
            <v>-52</v>
          </cell>
          <cell r="AX70">
            <v>-58</v>
          </cell>
          <cell r="AY70">
            <v>-71</v>
          </cell>
          <cell r="AZ70">
            <v>-59</v>
          </cell>
          <cell r="BA70">
            <v>-73</v>
          </cell>
          <cell r="BB70">
            <v>-75</v>
          </cell>
          <cell r="BC70">
            <v>-77</v>
          </cell>
          <cell r="BD70">
            <v>-82</v>
          </cell>
          <cell r="BE70">
            <v>-74</v>
          </cell>
          <cell r="BF70">
            <v>-87</v>
          </cell>
          <cell r="BG70">
            <v>-79</v>
          </cell>
          <cell r="BH70">
            <v>-77</v>
          </cell>
          <cell r="BI70">
            <v>-72</v>
          </cell>
          <cell r="BJ70">
            <v>-60</v>
          </cell>
          <cell r="BK70">
            <v>-67</v>
          </cell>
          <cell r="BL70">
            <v>-63</v>
          </cell>
          <cell r="BM70">
            <v>-50</v>
          </cell>
          <cell r="BN70">
            <v>-68</v>
          </cell>
          <cell r="BO70">
            <v>-63</v>
          </cell>
          <cell r="BP70">
            <v>-66</v>
          </cell>
          <cell r="BQ70">
            <v>-66</v>
          </cell>
          <cell r="BR70">
            <v>-66</v>
          </cell>
          <cell r="BS70">
            <v>-66</v>
          </cell>
          <cell r="BT70">
            <v>-66</v>
          </cell>
          <cell r="BU70">
            <v>-66</v>
          </cell>
          <cell r="BY70" t="str">
            <v>mstag:minorityInterestsInNetIncome</v>
          </cell>
          <cell r="BZ70">
            <v>6</v>
          </cell>
          <cell r="CA70" t="str">
            <v>ISO4217:USD</v>
          </cell>
          <cell r="CB70" t="b">
            <v>1</v>
          </cell>
          <cell r="CC70" t="b">
            <v>0</v>
          </cell>
        </row>
        <row r="72">
          <cell r="A72" t="str">
            <v>Net Income (Loss)</v>
          </cell>
          <cell r="I72">
            <v>16993</v>
          </cell>
          <cell r="J72">
            <v>14099.37</v>
          </cell>
          <cell r="K72">
            <v>12329</v>
          </cell>
          <cell r="L72">
            <v>13626.060000000001</v>
          </cell>
          <cell r="M72">
            <v>13109.514999999999</v>
          </cell>
          <cell r="N72">
            <v>13943.267107472699</v>
          </cell>
          <cell r="O72">
            <v>13920.249600637895</v>
          </cell>
          <cell r="P72">
            <v>13809.152645195967</v>
          </cell>
          <cell r="Q72">
            <v>13992.420561844789</v>
          </cell>
          <cell r="R72">
            <v>15101.901061698256</v>
          </cell>
          <cell r="S72">
            <v>16287.128126052114</v>
          </cell>
          <cell r="T72">
            <v>16616.776692213905</v>
          </cell>
          <cell r="AL72">
            <v>1953</v>
          </cell>
          <cell r="AM72">
            <v>1674</v>
          </cell>
          <cell r="AN72">
            <v>2220</v>
          </cell>
          <cell r="AO72">
            <v>2204</v>
          </cell>
          <cell r="AP72">
            <v>1982</v>
          </cell>
          <cell r="AQ72">
            <v>2470</v>
          </cell>
          <cell r="AR72">
            <v>3016</v>
          </cell>
          <cell r="AS72">
            <v>2839</v>
          </cell>
          <cell r="AT72">
            <v>4048</v>
          </cell>
          <cell r="AU72">
            <v>4308</v>
          </cell>
          <cell r="AV72">
            <v>4321</v>
          </cell>
          <cell r="AW72">
            <v>4316</v>
          </cell>
          <cell r="AX72">
            <v>3768.62</v>
          </cell>
          <cell r="AY72">
            <v>3841</v>
          </cell>
          <cell r="AZ72">
            <v>3337</v>
          </cell>
          <cell r="BA72">
            <v>3152.7500000000009</v>
          </cell>
          <cell r="BB72">
            <v>3074</v>
          </cell>
          <cell r="BC72">
            <v>3160</v>
          </cell>
          <cell r="BD72">
            <v>3148</v>
          </cell>
          <cell r="BE72">
            <v>2947</v>
          </cell>
          <cell r="BF72">
            <v>3451</v>
          </cell>
          <cell r="BG72">
            <v>3591</v>
          </cell>
          <cell r="BH72">
            <v>3226</v>
          </cell>
          <cell r="BI72">
            <v>3358.0600000000004</v>
          </cell>
          <cell r="BJ72">
            <v>3408</v>
          </cell>
          <cell r="BK72">
            <v>3591</v>
          </cell>
          <cell r="BL72">
            <v>3623</v>
          </cell>
          <cell r="BM72">
            <v>2487.5149999999999</v>
          </cell>
          <cell r="BN72">
            <v>3584</v>
          </cell>
          <cell r="BO72">
            <v>3902</v>
          </cell>
          <cell r="BP72">
            <v>3635</v>
          </cell>
          <cell r="BQ72">
            <v>2822.2671074726923</v>
          </cell>
          <cell r="BR72">
            <v>3586.9130023552611</v>
          </cell>
          <cell r="BS72">
            <v>3891.7162550075468</v>
          </cell>
          <cell r="BT72">
            <v>3787.6149795105648</v>
          </cell>
          <cell r="BU72">
            <v>2654.0053637645183</v>
          </cell>
          <cell r="BX72">
            <v>0</v>
          </cell>
        </row>
        <row r="73">
          <cell r="A73" t="str">
            <v>% y/y growth</v>
          </cell>
          <cell r="J73">
            <v>-0.17028364620726177</v>
          </cell>
          <cell r="K73">
            <v>-0.12556376632431099</v>
          </cell>
          <cell r="L73">
            <v>0.10520399059128893</v>
          </cell>
          <cell r="M73">
            <v>-3.7908610412694665E-2</v>
          </cell>
          <cell r="N73">
            <v>6.3599004804731463E-2</v>
          </cell>
          <cell r="O73">
            <v>-1.6507972383651426E-3</v>
          </cell>
          <cell r="P73">
            <v>-7.9809600135931635E-3</v>
          </cell>
          <cell r="Q73">
            <v>1.3271481701853549E-2</v>
          </cell>
          <cell r="R73">
            <v>7.9291534652614182E-2</v>
          </cell>
          <cell r="S73">
            <v>7.8481977832569383E-2</v>
          </cell>
          <cell r="T73">
            <v>2.0239821508771794E-2</v>
          </cell>
        </row>
        <row r="74">
          <cell r="A74" t="str">
            <v>% revenues</v>
          </cell>
          <cell r="I74">
            <v>0.1417358956394088</v>
          </cell>
          <cell r="J74">
            <v>0.11421765511207603</v>
          </cell>
          <cell r="K74">
            <v>0.10063421840947491</v>
          </cell>
          <cell r="L74">
            <v>0.10964000643707758</v>
          </cell>
          <cell r="M74">
            <v>0.10345016295384421</v>
          </cell>
          <cell r="N74">
            <v>0.10993610131654608</v>
          </cell>
          <cell r="O74">
            <v>0.10892962509779366</v>
          </cell>
          <cell r="P74">
            <v>0.10615215057428853</v>
          </cell>
          <cell r="Q74">
            <v>0.10560769924647478</v>
          </cell>
          <cell r="R74">
            <v>0.11194848072661318</v>
          </cell>
          <cell r="S74">
            <v>0.11873193711012266</v>
          </cell>
          <cell r="T74">
            <v>0.11925479382723767</v>
          </cell>
          <cell r="AP74">
            <v>6.8581314878892727E-2</v>
          </cell>
          <cell r="AQ74">
            <v>8.4577455143131072E-2</v>
          </cell>
          <cell r="AR74">
            <v>0.10261295590636908</v>
          </cell>
          <cell r="AS74">
            <v>9.6048447120914815E-2</v>
          </cell>
          <cell r="AT74">
            <v>0.1377901831302335</v>
          </cell>
          <cell r="AU74">
            <v>0.14464141821112006</v>
          </cell>
          <cell r="AV74">
            <v>0.14247560010551305</v>
          </cell>
          <cell r="AW74">
            <v>0.14196434445102296</v>
          </cell>
          <cell r="AX74">
            <v>0.12314544325719701</v>
          </cell>
          <cell r="AY74">
            <v>0.12506104906717025</v>
          </cell>
          <cell r="AZ74">
            <v>0.10694827254663163</v>
          </cell>
          <cell r="BA74">
            <v>0.10194826192400973</v>
          </cell>
          <cell r="BB74">
            <v>0.10092917884230226</v>
          </cell>
          <cell r="BC74">
            <v>0.10322074867707584</v>
          </cell>
          <cell r="BD74">
            <v>0.10242727923472376</v>
          </cell>
          <cell r="BE74">
            <v>9.596847726976683E-2</v>
          </cell>
          <cell r="BF74">
            <v>0.11303635768096953</v>
          </cell>
          <cell r="BG74">
            <v>0.11656063360166191</v>
          </cell>
          <cell r="BH74">
            <v>0.1021500269149172</v>
          </cell>
          <cell r="BI74">
            <v>0.1070775804342974</v>
          </cell>
          <cell r="BJ74">
            <v>0.10906647038115659</v>
          </cell>
          <cell r="BK74">
            <v>0.11401809811081123</v>
          </cell>
          <cell r="BL74">
            <v>0.11509625770379313</v>
          </cell>
          <cell r="BM74">
            <v>7.6531858597667909E-2</v>
          </cell>
          <cell r="BN74">
            <v>0.11262648482182139</v>
          </cell>
          <cell r="BO74">
            <v>0.12357878068091845</v>
          </cell>
          <cell r="BP74">
            <v>0.11554722019136018</v>
          </cell>
          <cell r="BQ74">
            <v>8.8265772181482779E-2</v>
          </cell>
          <cell r="BR74">
            <v>0.11385343747168432</v>
          </cell>
          <cell r="BS74">
            <v>0.12247099329313672</v>
          </cell>
          <cell r="BT74">
            <v>0.11809311032162011</v>
          </cell>
          <cell r="BU74">
            <v>8.1820798819173327E-2</v>
          </cell>
        </row>
        <row r="76">
          <cell r="A76" t="str">
            <v>Wghd Avg. Diluted  Shrs</v>
          </cell>
          <cell r="I76">
            <v>6171.25</v>
          </cell>
          <cell r="J76">
            <v>5959</v>
          </cell>
          <cell r="K76">
            <v>5917</v>
          </cell>
          <cell r="L76">
            <v>5931.25</v>
          </cell>
          <cell r="M76">
            <v>5946.25</v>
          </cell>
          <cell r="N76">
            <v>5820.25</v>
          </cell>
          <cell r="O76">
            <v>5510.4285714285706</v>
          </cell>
          <cell r="P76">
            <v>5296.1428571428569</v>
          </cell>
          <cell r="Q76">
            <v>5181.8571428571431</v>
          </cell>
          <cell r="R76">
            <v>5139</v>
          </cell>
          <cell r="S76">
            <v>5110.4285714285725</v>
          </cell>
          <cell r="T76">
            <v>5081.8571428571431</v>
          </cell>
          <cell r="AT76">
            <v>6266</v>
          </cell>
          <cell r="AU76">
            <v>6195</v>
          </cell>
          <cell r="AV76">
            <v>6129</v>
          </cell>
          <cell r="AW76">
            <v>6095</v>
          </cell>
          <cell r="AX76">
            <v>6033</v>
          </cell>
          <cell r="AY76">
            <v>5962</v>
          </cell>
          <cell r="AZ76">
            <v>5921</v>
          </cell>
          <cell r="BA76">
            <v>5920</v>
          </cell>
          <cell r="BB76">
            <v>5896</v>
          </cell>
          <cell r="BC76">
            <v>5923</v>
          </cell>
          <cell r="BD76">
            <v>5922</v>
          </cell>
          <cell r="BE76">
            <v>5927</v>
          </cell>
          <cell r="BF76">
            <v>5935</v>
          </cell>
          <cell r="BG76">
            <v>5937</v>
          </cell>
          <cell r="BH76">
            <v>5938</v>
          </cell>
          <cell r="BI76">
            <v>5915</v>
          </cell>
          <cell r="BJ76">
            <v>5945</v>
          </cell>
          <cell r="BK76">
            <v>5953</v>
          </cell>
          <cell r="BL76">
            <v>5954</v>
          </cell>
          <cell r="BM76">
            <v>5933</v>
          </cell>
          <cell r="BN76">
            <v>5940</v>
          </cell>
          <cell r="BO76">
            <v>5876</v>
          </cell>
          <cell r="BP76">
            <v>5792</v>
          </cell>
          <cell r="BQ76">
            <v>5673</v>
          </cell>
          <cell r="BR76">
            <v>5606.8571428571431</v>
          </cell>
          <cell r="BS76">
            <v>5542.5714285714275</v>
          </cell>
          <cell r="BT76">
            <v>5478.2857142857138</v>
          </cell>
          <cell r="BU76">
            <v>5413.9999999999982</v>
          </cell>
          <cell r="BY76" t="str">
            <v>mstag:averageDilutedSharesOutstanding</v>
          </cell>
          <cell r="BZ76">
            <v>6</v>
          </cell>
          <cell r="CA76" t="str">
            <v>ms_eqr_gcim_Decimal:ms_eqr_gcim_decimal</v>
          </cell>
          <cell r="CB76" t="b">
            <v>0</v>
          </cell>
          <cell r="CC76" t="b">
            <v>0</v>
          </cell>
        </row>
        <row r="77">
          <cell r="A77" t="str">
            <v>% growth</v>
          </cell>
        </row>
        <row r="78">
          <cell r="A78" t="str">
            <v>Issuances/(Repurchases)</v>
          </cell>
          <cell r="I78">
            <v>-195</v>
          </cell>
          <cell r="J78">
            <v>-151</v>
          </cell>
          <cell r="K78">
            <v>9</v>
          </cell>
          <cell r="L78">
            <v>9</v>
          </cell>
          <cell r="M78">
            <v>6.7714285714285714</v>
          </cell>
          <cell r="N78">
            <v>-288</v>
          </cell>
          <cell r="O78">
            <v>-257.14285714285717</v>
          </cell>
          <cell r="P78">
            <v>-171.42857142857142</v>
          </cell>
          <cell r="Q78">
            <v>-57.142857142857146</v>
          </cell>
          <cell r="R78">
            <v>-28.571428571428573</v>
          </cell>
          <cell r="S78">
            <v>-28.571428571428573</v>
          </cell>
          <cell r="T78">
            <v>-28.571428571428573</v>
          </cell>
          <cell r="AT78">
            <v>-53</v>
          </cell>
          <cell r="AU78">
            <v>-79</v>
          </cell>
          <cell r="AV78">
            <v>-35</v>
          </cell>
          <cell r="AW78">
            <v>-28</v>
          </cell>
          <cell r="AX78">
            <v>-105</v>
          </cell>
          <cell r="AY78">
            <v>-47</v>
          </cell>
          <cell r="AZ78">
            <v>1</v>
          </cell>
          <cell r="BA78">
            <v>0</v>
          </cell>
          <cell r="BB78">
            <v>7</v>
          </cell>
          <cell r="BC78">
            <v>0</v>
          </cell>
          <cell r="BD78">
            <v>1</v>
          </cell>
          <cell r="BE78">
            <v>1</v>
          </cell>
          <cell r="BF78">
            <v>7</v>
          </cell>
          <cell r="BG78">
            <v>0</v>
          </cell>
          <cell r="BH78">
            <v>1</v>
          </cell>
          <cell r="BI78">
            <v>1</v>
          </cell>
          <cell r="BJ78">
            <v>7</v>
          </cell>
          <cell r="BK78">
            <v>7</v>
          </cell>
          <cell r="BL78">
            <v>1</v>
          </cell>
          <cell r="BM78">
            <v>1</v>
          </cell>
          <cell r="BN78">
            <v>-52</v>
          </cell>
          <cell r="BO78">
            <v>-70</v>
          </cell>
          <cell r="BP78">
            <v>-98</v>
          </cell>
          <cell r="BQ78">
            <v>-68</v>
          </cell>
          <cell r="BR78">
            <v>-64.285714285714292</v>
          </cell>
          <cell r="BS78">
            <v>-64.285714285714292</v>
          </cell>
          <cell r="BT78">
            <v>-64.285714285714292</v>
          </cell>
          <cell r="BU78">
            <v>-64.285714285714292</v>
          </cell>
        </row>
        <row r="79">
          <cell r="A79" t="str">
            <v>% growth</v>
          </cell>
        </row>
        <row r="80">
          <cell r="A80" t="str">
            <v>Period End Basic Shares Outs</v>
          </cell>
          <cell r="H80">
            <v>6239</v>
          </cell>
          <cell r="I80">
            <v>6044</v>
          </cell>
          <cell r="J80">
            <v>5893</v>
          </cell>
          <cell r="K80">
            <v>5902</v>
          </cell>
          <cell r="L80">
            <v>5911</v>
          </cell>
          <cell r="M80">
            <v>5927</v>
          </cell>
          <cell r="N80">
            <v>5639</v>
          </cell>
          <cell r="O80">
            <v>5381.8571428571431</v>
          </cell>
          <cell r="P80">
            <v>5210.4285714285716</v>
          </cell>
          <cell r="Q80">
            <v>5153.2857142857147</v>
          </cell>
          <cell r="R80">
            <v>5124.7142857142862</v>
          </cell>
          <cell r="S80">
            <v>5096.1428571428578</v>
          </cell>
          <cell r="T80">
            <v>5067.5714285714294</v>
          </cell>
          <cell r="AS80">
            <v>6239</v>
          </cell>
          <cell r="AT80">
            <v>6186</v>
          </cell>
          <cell r="AU80">
            <v>6107</v>
          </cell>
          <cell r="AV80">
            <v>6072</v>
          </cell>
          <cell r="AW80">
            <v>6044</v>
          </cell>
          <cell r="AX80">
            <v>5939</v>
          </cell>
          <cell r="AY80">
            <v>5892</v>
          </cell>
          <cell r="AZ80">
            <v>5893</v>
          </cell>
          <cell r="BA80">
            <v>5893</v>
          </cell>
          <cell r="BB80">
            <v>5900</v>
          </cell>
          <cell r="BC80">
            <v>5900</v>
          </cell>
          <cell r="BD80">
            <v>5901</v>
          </cell>
          <cell r="BE80">
            <v>5902</v>
          </cell>
          <cell r="BF80">
            <v>5909</v>
          </cell>
          <cell r="BG80">
            <v>5909</v>
          </cell>
          <cell r="BH80">
            <v>5910</v>
          </cell>
          <cell r="BI80">
            <v>5911</v>
          </cell>
          <cell r="BJ80">
            <v>5918</v>
          </cell>
          <cell r="BK80">
            <v>5925</v>
          </cell>
          <cell r="BL80">
            <v>5926</v>
          </cell>
          <cell r="BM80">
            <v>5927</v>
          </cell>
          <cell r="BN80">
            <v>5875</v>
          </cell>
          <cell r="BO80">
            <v>5805</v>
          </cell>
          <cell r="BP80">
            <v>5707</v>
          </cell>
          <cell r="BQ80">
            <v>5639</v>
          </cell>
          <cell r="BR80">
            <v>5574.7142857142853</v>
          </cell>
          <cell r="BS80">
            <v>5510.4285714285706</v>
          </cell>
          <cell r="BT80">
            <v>5446.142857142856</v>
          </cell>
          <cell r="BU80">
            <v>5381.8571428571413</v>
          </cell>
          <cell r="BV80">
            <v>1.7398794142980189E-2</v>
          </cell>
          <cell r="BY80" t="str">
            <v>mstag:periodEndBasicSharesOutstanding</v>
          </cell>
          <cell r="BZ80">
            <v>6</v>
          </cell>
          <cell r="CA80" t="str">
            <v>ms_eqr_gcim_Decimal:ms_eqr_gcim_decimal</v>
          </cell>
          <cell r="CB80" t="b">
            <v>0</v>
          </cell>
          <cell r="CC80" t="b">
            <v>0</v>
          </cell>
        </row>
        <row r="81">
          <cell r="A81" t="str">
            <v>% growth</v>
          </cell>
          <cell r="I81">
            <v>-3.125500881551535E-2</v>
          </cell>
          <cell r="J81">
            <v>-2.4983454665784222E-2</v>
          </cell>
          <cell r="K81">
            <v>1.5272357033768724E-3</v>
          </cell>
          <cell r="L81">
            <v>1.5249068112503927E-3</v>
          </cell>
          <cell r="M81">
            <v>2.7068177973270657E-3</v>
          </cell>
          <cell r="N81">
            <v>-4.8591192846296649E-2</v>
          </cell>
          <cell r="O81">
            <v>-4.5600790413700465E-2</v>
          </cell>
          <cell r="P81">
            <v>-3.1853051256868326E-2</v>
          </cell>
          <cell r="Q81">
            <v>-1.0967016697282839E-2</v>
          </cell>
          <cell r="R81">
            <v>-5.5443129210211994E-3</v>
          </cell>
          <cell r="S81">
            <v>-5.5752237058511733E-3</v>
          </cell>
          <cell r="T81">
            <v>-5.6064810921424568E-3</v>
          </cell>
          <cell r="AT81">
            <v>-8.4949511139605915E-3</v>
          </cell>
          <cell r="AU81">
            <v>-1.2770772712576761E-2</v>
          </cell>
          <cell r="AV81">
            <v>-5.7311282135255048E-3</v>
          </cell>
          <cell r="AW81">
            <v>-4.6113306982872304E-3</v>
          </cell>
          <cell r="AX81">
            <v>-1.7372600926538695E-2</v>
          </cell>
          <cell r="AY81">
            <v>-7.9137902003704186E-3</v>
          </cell>
          <cell r="AZ81">
            <v>1.6972165648332371E-4</v>
          </cell>
          <cell r="BA81">
            <v>0</v>
          </cell>
          <cell r="BB81">
            <v>1.1878499915154439E-3</v>
          </cell>
          <cell r="BC81">
            <v>0</v>
          </cell>
          <cell r="BD81">
            <v>1.6949152542378165E-4</v>
          </cell>
          <cell r="BE81">
            <v>1.694628029147438E-4</v>
          </cell>
          <cell r="BF81">
            <v>1.1860386309725524E-3</v>
          </cell>
          <cell r="BG81">
            <v>0</v>
          </cell>
          <cell r="BH81">
            <v>1.6923337282115369E-4</v>
          </cell>
          <cell r="BI81">
            <v>1.6920473773263112E-4</v>
          </cell>
          <cell r="BJ81">
            <v>1.184232786330508E-3</v>
          </cell>
          <cell r="BK81">
            <v>1.1828320378506341E-3</v>
          </cell>
          <cell r="BL81">
            <v>1.6877637130807699E-4</v>
          </cell>
          <cell r="BM81">
            <v>1.6874789065135509E-4</v>
          </cell>
          <cell r="BN81">
            <v>-8.7734098194701682E-3</v>
          </cell>
          <cell r="BO81">
            <v>-1.1914893617021249E-2</v>
          </cell>
          <cell r="BP81">
            <v>-1.6881998277347154E-2</v>
          </cell>
          <cell r="BQ81">
            <v>-1.1915191869633746E-2</v>
          </cell>
          <cell r="BR81">
            <v>-1.1400197603425144E-2</v>
          </cell>
          <cell r="BS81">
            <v>-1.1531660815416567E-2</v>
          </cell>
          <cell r="BT81">
            <v>-1.1666191377388446E-2</v>
          </cell>
          <cell r="BU81">
            <v>-1.180389790939862E-2</v>
          </cell>
        </row>
        <row r="82">
          <cell r="A82" t="str">
            <v>Average Common Shares Outs</v>
          </cell>
          <cell r="I82">
            <v>6141.5</v>
          </cell>
          <cell r="J82">
            <v>5968.5</v>
          </cell>
          <cell r="K82">
            <v>5897.5</v>
          </cell>
          <cell r="L82">
            <v>5906.5</v>
          </cell>
          <cell r="M82">
            <v>5919</v>
          </cell>
          <cell r="N82">
            <v>5783</v>
          </cell>
          <cell r="O82">
            <v>5510.4285714285716</v>
          </cell>
          <cell r="P82">
            <v>5296.1428571428569</v>
          </cell>
          <cell r="Q82">
            <v>5181.8571428571431</v>
          </cell>
          <cell r="R82">
            <v>5139</v>
          </cell>
          <cell r="S82">
            <v>5110.4285714285725</v>
          </cell>
          <cell r="T82">
            <v>5081.8571428571431</v>
          </cell>
          <cell r="AT82">
            <v>6224</v>
          </cell>
          <cell r="AU82">
            <v>6145</v>
          </cell>
          <cell r="AV82">
            <v>6088</v>
          </cell>
          <cell r="AW82">
            <v>6054</v>
          </cell>
          <cell r="AX82">
            <v>5997</v>
          </cell>
          <cell r="AY82">
            <v>5926</v>
          </cell>
          <cell r="AZ82">
            <v>5893</v>
          </cell>
          <cell r="BA82">
            <v>5893</v>
          </cell>
          <cell r="BB82">
            <v>5896</v>
          </cell>
          <cell r="BC82">
            <v>5900</v>
          </cell>
          <cell r="BD82">
            <v>5901</v>
          </cell>
          <cell r="BE82">
            <v>5902</v>
          </cell>
          <cell r="BF82">
            <v>5905</v>
          </cell>
          <cell r="BG82">
            <v>5909</v>
          </cell>
          <cell r="BH82">
            <v>5910</v>
          </cell>
          <cell r="BI82">
            <v>5911</v>
          </cell>
          <cell r="BJ82">
            <v>5925</v>
          </cell>
          <cell r="BK82">
            <v>5932</v>
          </cell>
          <cell r="BL82">
            <v>5936</v>
          </cell>
          <cell r="BM82">
            <v>5955</v>
          </cell>
          <cell r="BN82">
            <v>5955</v>
          </cell>
          <cell r="BO82">
            <v>5855</v>
          </cell>
          <cell r="BP82">
            <v>5792</v>
          </cell>
          <cell r="BQ82">
            <v>5673</v>
          </cell>
          <cell r="BR82">
            <v>5606.8571428571431</v>
          </cell>
          <cell r="BS82">
            <v>5542.5714285714275</v>
          </cell>
          <cell r="BT82">
            <v>5478.2857142857138</v>
          </cell>
          <cell r="BU82">
            <v>5413.9999999999982</v>
          </cell>
          <cell r="BY82" t="str">
            <v>mstag:averageBasicSharesOutstanding</v>
          </cell>
          <cell r="BZ82">
            <v>6</v>
          </cell>
          <cell r="CA82" t="str">
            <v>ms_eqr_gcim_Decimal:ms_eqr_gcim_decimal</v>
          </cell>
          <cell r="CB82" t="b">
            <v>0</v>
          </cell>
          <cell r="CC82" t="b">
            <v>0</v>
          </cell>
        </row>
        <row r="83">
          <cell r="A83" t="str">
            <v>Stock options</v>
          </cell>
          <cell r="H83">
            <v>6</v>
          </cell>
          <cell r="I83">
            <v>41</v>
          </cell>
          <cell r="J83">
            <v>27</v>
          </cell>
          <cell r="K83">
            <v>25</v>
          </cell>
          <cell r="L83">
            <v>4</v>
          </cell>
          <cell r="M83">
            <v>-22</v>
          </cell>
          <cell r="N83">
            <v>0</v>
          </cell>
          <cell r="O83">
            <v>0</v>
          </cell>
          <cell r="P83">
            <v>0</v>
          </cell>
          <cell r="Q83">
            <v>0</v>
          </cell>
          <cell r="R83">
            <v>0</v>
          </cell>
          <cell r="S83">
            <v>0</v>
          </cell>
          <cell r="T83">
            <v>0</v>
          </cell>
          <cell r="AS83">
            <v>6</v>
          </cell>
          <cell r="AT83">
            <v>42</v>
          </cell>
          <cell r="AU83">
            <v>50</v>
          </cell>
          <cell r="AV83">
            <v>41</v>
          </cell>
          <cell r="AW83">
            <v>41</v>
          </cell>
          <cell r="AX83">
            <v>36</v>
          </cell>
          <cell r="AY83">
            <v>36</v>
          </cell>
          <cell r="AZ83">
            <v>28</v>
          </cell>
          <cell r="BA83">
            <v>27</v>
          </cell>
          <cell r="BB83">
            <v>0</v>
          </cell>
          <cell r="BC83">
            <v>23</v>
          </cell>
          <cell r="BD83">
            <v>21</v>
          </cell>
          <cell r="BE83">
            <v>25</v>
          </cell>
          <cell r="BF83">
            <v>30</v>
          </cell>
          <cell r="BG83">
            <v>28</v>
          </cell>
          <cell r="BH83">
            <v>28</v>
          </cell>
          <cell r="BI83">
            <v>4</v>
          </cell>
          <cell r="BJ83">
            <v>20</v>
          </cell>
          <cell r="BK83">
            <v>21</v>
          </cell>
          <cell r="BL83">
            <v>18</v>
          </cell>
          <cell r="BM83">
            <v>-22</v>
          </cell>
          <cell r="BN83">
            <v>-15</v>
          </cell>
          <cell r="BO83">
            <v>21</v>
          </cell>
          <cell r="BP83">
            <v>0</v>
          </cell>
          <cell r="BQ83">
            <v>0</v>
          </cell>
          <cell r="BR83">
            <v>0</v>
          </cell>
          <cell r="BS83">
            <v>0</v>
          </cell>
          <cell r="BT83">
            <v>0</v>
          </cell>
          <cell r="BU83">
            <v>0</v>
          </cell>
        </row>
        <row r="84">
          <cell r="A84" t="str">
            <v>Other stock-based comp</v>
          </cell>
          <cell r="H84">
            <v>0</v>
          </cell>
          <cell r="I84">
            <v>0</v>
          </cell>
          <cell r="J84">
            <v>0</v>
          </cell>
          <cell r="K84">
            <v>0</v>
          </cell>
          <cell r="L84">
            <v>0</v>
          </cell>
          <cell r="M84">
            <v>0</v>
          </cell>
          <cell r="N84">
            <v>0</v>
          </cell>
          <cell r="O84">
            <v>0</v>
          </cell>
          <cell r="P84">
            <v>0</v>
          </cell>
          <cell r="Q84">
            <v>0</v>
          </cell>
          <cell r="R84">
            <v>0</v>
          </cell>
          <cell r="S84">
            <v>0</v>
          </cell>
          <cell r="T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row>
        <row r="86">
          <cell r="A86" t="str">
            <v>Earnings per share</v>
          </cell>
        </row>
        <row r="87">
          <cell r="A87" t="str">
            <v>Adjusted EPS</v>
          </cell>
          <cell r="I87">
            <v>2.7535750455742352</v>
          </cell>
          <cell r="J87">
            <v>2.8718559975151576</v>
          </cell>
          <cell r="K87">
            <v>2.4714298387969125</v>
          </cell>
          <cell r="L87">
            <v>2.5704863883140052</v>
          </cell>
          <cell r="M87">
            <v>2.3749570020025255</v>
          </cell>
          <cell r="N87">
            <v>2.5000807632182918</v>
          </cell>
          <cell r="O87">
            <v>2.5918603145062171</v>
          </cell>
          <cell r="P87">
            <v>2.6586634220756089</v>
          </cell>
          <cell r="Q87">
            <v>2.7264693904014599</v>
          </cell>
          <cell r="R87">
            <v>2.938684775578567</v>
          </cell>
          <cell r="S87">
            <v>3.1870376228542412</v>
          </cell>
          <cell r="T87">
            <v>3.2698236540493446</v>
          </cell>
          <cell r="AT87">
            <v>0.64602617299712739</v>
          </cell>
          <cell r="AU87">
            <v>0.69539951573849879</v>
          </cell>
          <cell r="AV87">
            <v>0.70500897373144067</v>
          </cell>
          <cell r="AW87">
            <v>0.70812141099261694</v>
          </cell>
          <cell r="AX87">
            <v>0.62466766119675121</v>
          </cell>
          <cell r="AY87">
            <v>0.64424689701442472</v>
          </cell>
          <cell r="AZ87">
            <v>0.56358723188650561</v>
          </cell>
          <cell r="BA87">
            <v>0.53255912162162178</v>
          </cell>
          <cell r="BB87">
            <v>0.52137042062415195</v>
          </cell>
          <cell r="BC87">
            <v>0.53351342225223708</v>
          </cell>
          <cell r="BD87">
            <v>0.53157716987504222</v>
          </cell>
          <cell r="BE87">
            <v>0.49721612957651423</v>
          </cell>
          <cell r="BF87">
            <v>0.58146588037068236</v>
          </cell>
          <cell r="BG87">
            <v>0.6048509348155634</v>
          </cell>
          <cell r="BH87">
            <v>0.54328056584708662</v>
          </cell>
          <cell r="BI87">
            <v>0.56771935756551151</v>
          </cell>
          <cell r="BJ87">
            <v>0.57325483599663585</v>
          </cell>
          <cell r="BK87">
            <v>0.60322526457248449</v>
          </cell>
          <cell r="BL87">
            <v>0.60849848841115217</v>
          </cell>
          <cell r="BM87">
            <v>0.41926765548626327</v>
          </cell>
          <cell r="BN87">
            <v>0.60336700336700333</v>
          </cell>
          <cell r="BO87">
            <v>0.6640571817562968</v>
          </cell>
          <cell r="BP87">
            <v>0.62758977900552482</v>
          </cell>
          <cell r="BQ87">
            <v>0.49749111712897803</v>
          </cell>
          <cell r="BR87">
            <v>0.63973682777432805</v>
          </cell>
          <cell r="BS87">
            <v>0.70214995064314745</v>
          </cell>
          <cell r="BT87">
            <v>0.69138690040090633</v>
          </cell>
          <cell r="BU87">
            <v>0.49021155592251925</v>
          </cell>
        </row>
        <row r="88">
          <cell r="A88" t="str">
            <v>% growth</v>
          </cell>
          <cell r="J88">
            <v>4.2955412503114188E-2</v>
          </cell>
          <cell r="K88">
            <v>-0.13943114106860144</v>
          </cell>
          <cell r="L88">
            <v>4.0080664222017059E-2</v>
          </cell>
          <cell r="M88">
            <v>-7.6067077110541836E-2</v>
          </cell>
          <cell r="N88">
            <v>5.2684642757853783E-2</v>
          </cell>
          <cell r="O88">
            <v>3.6710634567572953E-2</v>
          </cell>
          <cell r="P88">
            <v>2.5774192843459165E-2</v>
          </cell>
          <cell r="Q88">
            <v>2.5503780494680051E-2</v>
          </cell>
          <cell r="R88">
            <v>7.7835234800072151E-2</v>
          </cell>
          <cell r="S88">
            <v>8.4511564268331174E-2</v>
          </cell>
          <cell r="T88">
            <v>2.5975856262707708E-2</v>
          </cell>
          <cell r="AX88">
            <v>-3.3061372268072375E-2</v>
          </cell>
          <cell r="AY88">
            <v>-7.3558605616443562E-2</v>
          </cell>
          <cell r="AZ88">
            <v>-0.20059566206146884</v>
          </cell>
          <cell r="BA88">
            <v>-0.24792681967474872</v>
          </cell>
          <cell r="BB88">
            <v>-0.16536351565678986</v>
          </cell>
          <cell r="BC88">
            <v>-0.1718804937600007</v>
          </cell>
          <cell r="BD88">
            <v>-5.6796996454862025E-2</v>
          </cell>
          <cell r="BE88">
            <v>-6.636444783349027E-2</v>
          </cell>
          <cell r="BF88">
            <v>0.11526442116640956</v>
          </cell>
          <cell r="BG88">
            <v>0.13371268573182959</v>
          </cell>
          <cell r="BH88">
            <v>2.2016363070662903E-2</v>
          </cell>
          <cell r="BI88">
            <v>0.14179593901960863</v>
          </cell>
          <cell r="BJ88">
            <v>-1.4121283210653757E-2</v>
          </cell>
          <cell r="BK88">
            <v>-2.6877204770703322E-3</v>
          </cell>
          <cell r="BL88">
            <v>0.12004464481879151</v>
          </cell>
          <cell r="BM88">
            <v>-0.26148782862687181</v>
          </cell>
          <cell r="BN88">
            <v>5.2528414030761361E-2</v>
          </cell>
          <cell r="BO88">
            <v>0.10084444527853931</v>
          </cell>
          <cell r="BP88">
            <v>3.1374425669029815E-2</v>
          </cell>
          <cell r="BQ88">
            <v>0.18657165803069597</v>
          </cell>
          <cell r="BR88">
            <v>6.0278112996514643E-2</v>
          </cell>
          <cell r="BS88">
            <v>5.7363687847036049E-2</v>
          </cell>
          <cell r="BT88">
            <v>0.10165417527429166</v>
          </cell>
          <cell r="BU88">
            <v>-1.4632545096421312E-2</v>
          </cell>
        </row>
        <row r="89">
          <cell r="A89" t="str">
            <v>Reported EPS</v>
          </cell>
          <cell r="I89">
            <v>1.9358595037684874</v>
          </cell>
          <cell r="J89">
            <v>2.3660630978352075</v>
          </cell>
          <cell r="K89">
            <v>2.0836572587459861</v>
          </cell>
          <cell r="L89">
            <v>2.2973336143308747</v>
          </cell>
          <cell r="M89">
            <v>2.2046693294092914</v>
          </cell>
          <cell r="N89">
            <v>2.395647456290142</v>
          </cell>
          <cell r="O89">
            <v>2.5261646022986359</v>
          </cell>
          <cell r="P89">
            <v>2.6073980664195444</v>
          </cell>
          <cell r="Q89">
            <v>2.7002713845811903</v>
          </cell>
          <cell r="R89">
            <v>2.938684775578567</v>
          </cell>
          <cell r="S89">
            <v>3.1870376228542412</v>
          </cell>
          <cell r="T89">
            <v>3.2698236540493446</v>
          </cell>
          <cell r="AT89">
            <v>0.45770826683689758</v>
          </cell>
          <cell r="AU89">
            <v>0.46876513317191282</v>
          </cell>
          <cell r="AV89">
            <v>0.49975526186979929</v>
          </cell>
          <cell r="AW89">
            <v>0.51452009844134539</v>
          </cell>
          <cell r="AX89">
            <v>0.62466766119675121</v>
          </cell>
          <cell r="AY89">
            <v>0.64424689701442472</v>
          </cell>
          <cell r="AZ89">
            <v>0.56358723188650561</v>
          </cell>
          <cell r="BA89">
            <v>0.53255912162162178</v>
          </cell>
          <cell r="BB89">
            <v>0.52137042062415195</v>
          </cell>
          <cell r="BC89">
            <v>0.53351342225223708</v>
          </cell>
          <cell r="BD89">
            <v>0.53157716987504222</v>
          </cell>
          <cell r="BE89">
            <v>0.49721612957651423</v>
          </cell>
          <cell r="BF89">
            <v>0.58146588037068236</v>
          </cell>
          <cell r="BG89">
            <v>0.6048509348155634</v>
          </cell>
          <cell r="BH89">
            <v>0.54328056584708662</v>
          </cell>
          <cell r="BI89">
            <v>0.56771935756551151</v>
          </cell>
          <cell r="BJ89">
            <v>0.57325483599663585</v>
          </cell>
          <cell r="BK89">
            <v>0.60322526457248449</v>
          </cell>
          <cell r="BL89">
            <v>0.60849848841115217</v>
          </cell>
          <cell r="BM89">
            <v>0.41926765548626327</v>
          </cell>
          <cell r="BN89">
            <v>0.60336700336700333</v>
          </cell>
          <cell r="BO89">
            <v>0.6640571817562968</v>
          </cell>
          <cell r="BP89">
            <v>0.62758977900552482</v>
          </cell>
          <cell r="BQ89">
            <v>0.49749111712897803</v>
          </cell>
          <cell r="BR89">
            <v>0.63973682777432805</v>
          </cell>
          <cell r="BS89">
            <v>0.70214995064314745</v>
          </cell>
          <cell r="BT89">
            <v>0.69138690040090633</v>
          </cell>
          <cell r="BU89">
            <v>0.49021155592251925</v>
          </cell>
          <cell r="BZ89">
            <v>0</v>
          </cell>
          <cell r="CA89" t="str">
            <v>ISO4217:USD</v>
          </cell>
          <cell r="CB89" t="b">
            <v>0</v>
          </cell>
        </row>
        <row r="90">
          <cell r="A90" t="str">
            <v>% growth</v>
          </cell>
          <cell r="J90">
            <v>0.22222872746149913</v>
          </cell>
          <cell r="K90">
            <v>-0.11935685035094978</v>
          </cell>
          <cell r="L90">
            <v>0.10254870597743415</v>
          </cell>
          <cell r="M90">
            <v>-4.0335580493637946E-2</v>
          </cell>
          <cell r="N90">
            <v>8.6624385949080285E-2</v>
          </cell>
          <cell r="O90">
            <v>5.4480948632821935E-2</v>
          </cell>
          <cell r="P90">
            <v>3.2156837304660124E-2</v>
          </cell>
          <cell r="Q90">
            <v>3.5619155877176345E-2</v>
          </cell>
          <cell r="R90">
            <v>8.8292381409787124E-2</v>
          </cell>
          <cell r="S90">
            <v>8.4511564268331174E-2</v>
          </cell>
          <cell r="T90">
            <v>2.5975856262707708E-2</v>
          </cell>
          <cell r="AX90">
            <v>0.3647725122241432</v>
          </cell>
          <cell r="AY90">
            <v>0.37434901067643289</v>
          </cell>
          <cell r="AZ90">
            <v>0.12772645910296876</v>
          </cell>
          <cell r="BA90">
            <v>3.5059899962941454E-2</v>
          </cell>
          <cell r="BB90">
            <v>-0.16536351565678986</v>
          </cell>
          <cell r="BC90">
            <v>-0.1718804937600007</v>
          </cell>
          <cell r="BD90">
            <v>-5.6796996454862025E-2</v>
          </cell>
          <cell r="BE90">
            <v>-6.636444783349027E-2</v>
          </cell>
          <cell r="BF90">
            <v>0.11526442116640956</v>
          </cell>
          <cell r="BG90">
            <v>0.13371268573182959</v>
          </cell>
          <cell r="BH90">
            <v>2.2016363070662903E-2</v>
          </cell>
          <cell r="BI90">
            <v>0.14179593901960863</v>
          </cell>
          <cell r="BJ90">
            <v>-1.4121283210653757E-2</v>
          </cell>
          <cell r="BK90">
            <v>-2.6877204770703322E-3</v>
          </cell>
          <cell r="BL90">
            <v>0.12004464481879151</v>
          </cell>
          <cell r="BM90">
            <v>-0.26148782862687181</v>
          </cell>
          <cell r="BN90">
            <v>5.2528414030761361E-2</v>
          </cell>
          <cell r="BO90">
            <v>0.10084444527853931</v>
          </cell>
          <cell r="BP90">
            <v>3.1374425669029815E-2</v>
          </cell>
          <cell r="BQ90">
            <v>0.18657165803069597</v>
          </cell>
          <cell r="BR90">
            <v>6.0278112996514643E-2</v>
          </cell>
          <cell r="BS90">
            <v>5.7363687847036049E-2</v>
          </cell>
          <cell r="BT90">
            <v>0.10165417527429166</v>
          </cell>
          <cell r="BU90">
            <v>-1.4632545096421312E-2</v>
          </cell>
        </row>
        <row r="91">
          <cell r="A91" t="str">
            <v>Dividend/common share</v>
          </cell>
          <cell r="I91">
            <v>1.4649999999999999</v>
          </cell>
          <cell r="J91">
            <v>1.61</v>
          </cell>
          <cell r="K91">
            <v>1.6499998999999999</v>
          </cell>
          <cell r="L91">
            <v>1.6900795975999998</v>
          </cell>
          <cell r="M91">
            <v>1.7302114280447995</v>
          </cell>
          <cell r="N91">
            <v>1.7699152057343996</v>
          </cell>
          <cell r="O91">
            <v>1.8135000000000001</v>
          </cell>
          <cell r="P91">
            <v>1.8679050000000001</v>
          </cell>
          <cell r="Q91">
            <v>1.9239421500000002</v>
          </cell>
          <cell r="R91">
            <v>1.9816604145000003</v>
          </cell>
          <cell r="S91">
            <v>2.0411102269350003</v>
          </cell>
          <cell r="T91">
            <v>2.1023435337430505</v>
          </cell>
          <cell r="AT91">
            <v>0.35499999999999998</v>
          </cell>
          <cell r="AU91">
            <v>0.35499999999999998</v>
          </cell>
          <cell r="AV91">
            <v>0.35499999999999998</v>
          </cell>
          <cell r="AW91">
            <v>0.4</v>
          </cell>
          <cell r="AX91">
            <v>0.4</v>
          </cell>
          <cell r="AY91">
            <v>0.4</v>
          </cell>
          <cell r="AZ91">
            <v>0.4</v>
          </cell>
          <cell r="BA91">
            <v>0.41</v>
          </cell>
          <cell r="BB91">
            <v>0.41</v>
          </cell>
          <cell r="BC91">
            <v>0.41</v>
          </cell>
          <cell r="BD91">
            <v>0.41</v>
          </cell>
          <cell r="BE91">
            <v>0.41999989999999993</v>
          </cell>
          <cell r="BF91">
            <v>0.41999989999999993</v>
          </cell>
          <cell r="BG91">
            <v>0.41999989999999993</v>
          </cell>
          <cell r="BH91">
            <v>0.41999989999999993</v>
          </cell>
          <cell r="BI91">
            <v>0.43007989759999993</v>
          </cell>
          <cell r="BJ91">
            <v>0.43007989759999993</v>
          </cell>
          <cell r="BK91">
            <v>0.43007989759999993</v>
          </cell>
          <cell r="BL91">
            <v>0.43007989759999993</v>
          </cell>
          <cell r="BM91">
            <v>0.43997173524479988</v>
          </cell>
          <cell r="BN91">
            <v>0.43997173524479988</v>
          </cell>
          <cell r="BO91">
            <v>0.43997173524479988</v>
          </cell>
          <cell r="BP91">
            <v>0.43997173524479988</v>
          </cell>
          <cell r="BQ91">
            <v>0.45</v>
          </cell>
          <cell r="BR91">
            <v>0.45</v>
          </cell>
          <cell r="BS91">
            <v>0.45</v>
          </cell>
          <cell r="BT91">
            <v>0.45</v>
          </cell>
          <cell r="BU91">
            <v>0.46350000000000002</v>
          </cell>
        </row>
        <row r="92">
          <cell r="A92" t="str">
            <v>% growth</v>
          </cell>
          <cell r="J92">
            <v>9.8976109215017205E-2</v>
          </cell>
          <cell r="K92">
            <v>2.4844658385092977E-2</v>
          </cell>
          <cell r="L92">
            <v>2.4290727290346981E-2</v>
          </cell>
          <cell r="M92">
            <v>2.3745526838966136E-2</v>
          </cell>
          <cell r="N92">
            <v>2.2947356054899393E-2</v>
          </cell>
          <cell r="O92">
            <v>2.4625357262533676E-2</v>
          </cell>
          <cell r="P92">
            <v>0.03</v>
          </cell>
          <cell r="Q92">
            <v>0.03</v>
          </cell>
          <cell r="R92">
            <v>0.03</v>
          </cell>
          <cell r="S92">
            <v>0.03</v>
          </cell>
          <cell r="T92">
            <v>0.03</v>
          </cell>
          <cell r="BA92">
            <v>2.5000000000000001E-2</v>
          </cell>
          <cell r="BE92">
            <v>2.4389999999999998E-2</v>
          </cell>
          <cell r="BF92">
            <v>0</v>
          </cell>
          <cell r="BG92">
            <v>0</v>
          </cell>
          <cell r="BH92">
            <v>0</v>
          </cell>
          <cell r="BI92">
            <v>2.4E-2</v>
          </cell>
          <cell r="BJ92">
            <v>0</v>
          </cell>
          <cell r="BK92">
            <v>0</v>
          </cell>
          <cell r="BL92">
            <v>0</v>
          </cell>
          <cell r="BM92">
            <v>2.3E-2</v>
          </cell>
          <cell r="BN92">
            <v>0</v>
          </cell>
          <cell r="BO92">
            <v>0</v>
          </cell>
          <cell r="BP92">
            <v>0</v>
          </cell>
          <cell r="BQ92">
            <v>2.2792974984223502E-2</v>
          </cell>
          <cell r="BR92">
            <v>0</v>
          </cell>
          <cell r="BS92">
            <v>0</v>
          </cell>
          <cell r="BT92">
            <v>0</v>
          </cell>
          <cell r="BU92">
            <v>0.03</v>
          </cell>
        </row>
        <row r="93">
          <cell r="A93" t="str">
            <v>% payout ratio of NI</v>
          </cell>
          <cell r="I93">
            <v>0.53203561760725004</v>
          </cell>
          <cell r="J93">
            <v>0.6804552260136445</v>
          </cell>
          <cell r="K93">
            <v>0.79187682766647738</v>
          </cell>
          <cell r="L93">
            <v>0.73567007728316169</v>
          </cell>
          <cell r="M93">
            <v>0.7847940754491215</v>
          </cell>
          <cell r="N93">
            <v>0.73880453531975843</v>
          </cell>
          <cell r="O93">
            <v>0.71788671187532271</v>
          </cell>
          <cell r="P93">
            <v>0.71638658632779861</v>
          </cell>
          <cell r="Q93">
            <v>0.71249955133617138</v>
          </cell>
          <cell r="R93">
            <v>0.67433582225907573</v>
          </cell>
          <cell r="S93">
            <v>0.64044120856879838</v>
          </cell>
          <cell r="T93">
            <v>0.64295318530083767</v>
          </cell>
          <cell r="AT93">
            <v>0.77560320781032066</v>
          </cell>
          <cell r="AU93">
            <v>0.75730888429752063</v>
          </cell>
          <cell r="AV93">
            <v>0.71034769833496569</v>
          </cell>
          <cell r="AW93">
            <v>0.77742346938775508</v>
          </cell>
          <cell r="AX93">
            <v>0.64034049599057485</v>
          </cell>
          <cell r="AY93">
            <v>0.62087997917209059</v>
          </cell>
          <cell r="AZ93">
            <v>0.70973928678453713</v>
          </cell>
          <cell r="BA93">
            <v>0.76986757592577881</v>
          </cell>
          <cell r="BB93">
            <v>0.78638906961613531</v>
          </cell>
          <cell r="BC93">
            <v>0.76849050632911386</v>
          </cell>
          <cell r="BD93">
            <v>0.77128970775095296</v>
          </cell>
          <cell r="BE93">
            <v>0.84470288676620287</v>
          </cell>
          <cell r="BF93">
            <v>0.72231220124601558</v>
          </cell>
          <cell r="BG93">
            <v>0.69438579958228897</v>
          </cell>
          <cell r="BH93">
            <v>0.77308103106013615</v>
          </cell>
          <cell r="BI93">
            <v>0.75755721884183103</v>
          </cell>
          <cell r="BJ93">
            <v>0.75024207489201866</v>
          </cell>
          <cell r="BK93">
            <v>0.71296731562595361</v>
          </cell>
          <cell r="BL93">
            <v>0.70678876906166144</v>
          </cell>
          <cell r="BM93">
            <v>1.0493815334610637</v>
          </cell>
          <cell r="BN93">
            <v>0.72919422638228559</v>
          </cell>
          <cell r="BO93">
            <v>0.66255097803650542</v>
          </cell>
          <cell r="BP93">
            <v>0.70104987360051751</v>
          </cell>
          <cell r="BQ93">
            <v>0.9045387636204455</v>
          </cell>
          <cell r="BR93">
            <v>0.70341424858338919</v>
          </cell>
          <cell r="BS93">
            <v>0.64088874404650187</v>
          </cell>
          <cell r="BT93">
            <v>0.65086567266325679</v>
          </cell>
          <cell r="BU93">
            <v>0.94551014638516362</v>
          </cell>
        </row>
        <row r="94">
          <cell r="A94" t="str">
            <v>Dividends paid</v>
          </cell>
          <cell r="I94">
            <v>8997.2974999999988</v>
          </cell>
          <cell r="J94">
            <v>9609.2849999999999</v>
          </cell>
          <cell r="K94">
            <v>9730.8744102499986</v>
          </cell>
          <cell r="L94">
            <v>9982.4551432243989</v>
          </cell>
          <cell r="M94">
            <v>10241.121442597168</v>
          </cell>
          <cell r="N94">
            <v>10235.419634762033</v>
          </cell>
          <cell r="O94">
            <v>9993.1622142857159</v>
          </cell>
          <cell r="P94">
            <v>9892.6917235714282</v>
          </cell>
          <cell r="Q94">
            <v>9969.5933724214301</v>
          </cell>
          <cell r="R94">
            <v>10183.752870115502</v>
          </cell>
          <cell r="S94">
            <v>10430.948021163684</v>
          </cell>
          <cell r="T94">
            <v>10683.809503691649</v>
          </cell>
          <cell r="AT94">
            <v>2218</v>
          </cell>
          <cell r="AU94">
            <v>2196</v>
          </cell>
          <cell r="AV94">
            <v>2170</v>
          </cell>
          <cell r="AW94">
            <v>2159</v>
          </cell>
          <cell r="AX94">
            <v>2422</v>
          </cell>
          <cell r="AY94">
            <v>2370.4</v>
          </cell>
          <cell r="AZ94">
            <v>2357.2000000000003</v>
          </cell>
          <cell r="BA94">
            <v>2416.1299999999997</v>
          </cell>
          <cell r="BB94">
            <v>2417.3599999999997</v>
          </cell>
          <cell r="BC94">
            <v>2419</v>
          </cell>
          <cell r="BD94">
            <v>2419.41</v>
          </cell>
          <cell r="BE94">
            <v>2478.8394097999994</v>
          </cell>
          <cell r="BF94">
            <v>2480.0994094999996</v>
          </cell>
          <cell r="BG94">
            <v>2481.7794090999996</v>
          </cell>
          <cell r="BH94">
            <v>2482.1994089999994</v>
          </cell>
          <cell r="BI94">
            <v>2542.2022747135998</v>
          </cell>
          <cell r="BJ94">
            <v>2548.2233932799995</v>
          </cell>
          <cell r="BK94">
            <v>2551.2339525631996</v>
          </cell>
          <cell r="BL94">
            <v>2552.9542721535995</v>
          </cell>
          <cell r="BM94">
            <v>2620.0316833827833</v>
          </cell>
          <cell r="BN94">
            <v>2620.0316833827833</v>
          </cell>
          <cell r="BO94">
            <v>2576.0345098583034</v>
          </cell>
          <cell r="BP94">
            <v>2548.3162905378808</v>
          </cell>
          <cell r="BQ94">
            <v>2552.85</v>
          </cell>
          <cell r="BR94">
            <v>2523.0857142857144</v>
          </cell>
          <cell r="BS94">
            <v>2494.1571428571424</v>
          </cell>
          <cell r="BT94">
            <v>2465.2285714285713</v>
          </cell>
          <cell r="BU94">
            <v>2509.3889999999992</v>
          </cell>
          <cell r="BW94">
            <v>4.7745358090185673E-2</v>
          </cell>
          <cell r="BY94" t="str">
            <v>mstag:commonDividends</v>
          </cell>
          <cell r="BZ94">
            <v>6</v>
          </cell>
          <cell r="CA94" t="str">
            <v>ISO4217:USD</v>
          </cell>
          <cell r="CB94" t="b">
            <v>0</v>
          </cell>
          <cell r="CC94" t="b">
            <v>0</v>
          </cell>
        </row>
        <row r="95">
          <cell r="A95" t="str">
            <v>% growth</v>
          </cell>
          <cell r="J95">
            <v>6.8019035716002652E-2</v>
          </cell>
          <cell r="K95">
            <v>1.2653325429519358E-2</v>
          </cell>
          <cell r="L95">
            <v>2.5853867018301946E-2</v>
          </cell>
          <cell r="M95">
            <v>2.5912092332149417E-2</v>
          </cell>
          <cell r="N95">
            <v>-5.5675619775574781E-4</v>
          </cell>
          <cell r="O95">
            <v>-2.3668538186118915E-2</v>
          </cell>
          <cell r="P95">
            <v>-1.0053923729033465E-2</v>
          </cell>
          <cell r="Q95">
            <v>7.7735818520219269E-3</v>
          </cell>
          <cell r="R95">
            <v>2.1481267058142572E-2</v>
          </cell>
          <cell r="S95">
            <v>2.4273482889945353E-2</v>
          </cell>
          <cell r="T95">
            <v>2.4241467028205621E-2</v>
          </cell>
        </row>
        <row r="96">
          <cell r="A96" t="str">
            <v>% free cash flow</v>
          </cell>
          <cell r="I96">
            <v>0.55012519107306623</v>
          </cell>
          <cell r="J96">
            <v>0.72136363636363632</v>
          </cell>
          <cell r="K96">
            <v>0.56872439568965505</v>
          </cell>
          <cell r="L96">
            <v>0.67949459827271108</v>
          </cell>
          <cell r="M96">
            <v>0.71237628287403787</v>
          </cell>
          <cell r="N96">
            <v>0.53966397781741782</v>
          </cell>
          <cell r="O96">
            <v>0.82962625133083778</v>
          </cell>
          <cell r="P96">
            <v>0.86727966316574967</v>
          </cell>
          <cell r="Q96">
            <v>0.77410093177706196</v>
          </cell>
          <cell r="R96">
            <v>0.58806583880332719</v>
          </cell>
          <cell r="S96">
            <v>0.5572373576678249</v>
          </cell>
          <cell r="T96">
            <v>0.54845217171083993</v>
          </cell>
          <cell r="AT96">
            <v>1.7396078431372548</v>
          </cell>
          <cell r="AU96">
            <v>0.35046281519310563</v>
          </cell>
          <cell r="AV96">
            <v>0.47639956092206365</v>
          </cell>
          <cell r="AW96">
            <v>0.50692650857008692</v>
          </cell>
          <cell r="AX96">
            <v>3.4112676056338027</v>
          </cell>
          <cell r="AY96">
            <v>0.73660658794282163</v>
          </cell>
          <cell r="AZ96">
            <v>0.58900549725137441</v>
          </cell>
          <cell r="BA96">
            <v>0.44817844555741043</v>
          </cell>
          <cell r="BB96">
            <v>0.53047180162387531</v>
          </cell>
          <cell r="BC96">
            <v>0.6297839104399896</v>
          </cell>
          <cell r="BD96">
            <v>0.44287204832509608</v>
          </cell>
          <cell r="BE96">
            <v>0.76295457365343167</v>
          </cell>
          <cell r="BF96">
            <v>0.63235579028556854</v>
          </cell>
          <cell r="BG96">
            <v>0.67938116865589915</v>
          </cell>
          <cell r="BH96">
            <v>0.61623619885799386</v>
          </cell>
          <cell r="BI96">
            <v>0.82325203196683927</v>
          </cell>
          <cell r="BJ96">
            <v>0.71498972875420863</v>
          </cell>
          <cell r="BK96">
            <v>0.68747883388930198</v>
          </cell>
          <cell r="BL96">
            <v>0.49755491564092758</v>
          </cell>
          <cell r="BM96">
            <v>1.3299653215141032</v>
          </cell>
          <cell r="BN96">
            <v>0.75505235832356865</v>
          </cell>
          <cell r="BO96">
            <v>0.50342671679857409</v>
          </cell>
          <cell r="BP96">
            <v>0.38959123842499327</v>
          </cell>
          <cell r="BQ96">
            <v>0.66510210819400206</v>
          </cell>
          <cell r="BR96">
            <v>2.1422407039509008</v>
          </cell>
          <cell r="BS96">
            <v>0.83138125680333719</v>
          </cell>
          <cell r="BT96">
            <v>0.68951743295094281</v>
          </cell>
          <cell r="BU96">
            <v>0.58462734437310426</v>
          </cell>
        </row>
        <row r="97">
          <cell r="A97" t="str">
            <v>Dividends per share for dividend yield</v>
          </cell>
          <cell r="I97">
            <v>1.4649999999999999</v>
          </cell>
          <cell r="J97">
            <v>1.61</v>
          </cell>
          <cell r="K97">
            <v>1.6499998999999999</v>
          </cell>
          <cell r="L97">
            <v>1.6900795975999998</v>
          </cell>
          <cell r="M97">
            <v>1.7302114280447995</v>
          </cell>
          <cell r="N97">
            <v>1.7699152057343996</v>
          </cell>
          <cell r="O97">
            <v>1.8135000000000001</v>
          </cell>
          <cell r="P97">
            <v>1.8679050000000001</v>
          </cell>
          <cell r="Q97">
            <v>1.9239421500000002</v>
          </cell>
          <cell r="R97">
            <v>1.9816604145000003</v>
          </cell>
          <cell r="S97">
            <v>2.0411102269350003</v>
          </cell>
          <cell r="T97">
            <v>2.1023435337430505</v>
          </cell>
          <cell r="AT97">
            <v>0.35499999999999998</v>
          </cell>
          <cell r="AU97">
            <v>0.35499999999999998</v>
          </cell>
          <cell r="AV97">
            <v>0.35499999999999998</v>
          </cell>
          <cell r="AW97">
            <v>0.4</v>
          </cell>
          <cell r="AX97">
            <v>0.4</v>
          </cell>
          <cell r="AY97">
            <v>0.4</v>
          </cell>
          <cell r="AZ97">
            <v>0.4</v>
          </cell>
          <cell r="BA97">
            <v>0.41</v>
          </cell>
          <cell r="BB97">
            <v>0.41</v>
          </cell>
          <cell r="BC97">
            <v>0.41</v>
          </cell>
          <cell r="BD97">
            <v>0.41</v>
          </cell>
          <cell r="BE97">
            <v>0.41999989999999993</v>
          </cell>
          <cell r="BF97">
            <v>0.41999989999999993</v>
          </cell>
          <cell r="BG97">
            <v>0.41999989999999993</v>
          </cell>
          <cell r="BH97">
            <v>0.41999989999999993</v>
          </cell>
          <cell r="BI97">
            <v>0.43007989759999993</v>
          </cell>
          <cell r="BJ97">
            <v>0.43007989759999993</v>
          </cell>
          <cell r="BK97">
            <v>0.43007989759999993</v>
          </cell>
          <cell r="BL97">
            <v>0.43007989759999993</v>
          </cell>
          <cell r="BM97">
            <v>0.43997173524479988</v>
          </cell>
          <cell r="BN97">
            <v>0.43997173524479988</v>
          </cell>
          <cell r="BO97">
            <v>0.43997173524479988</v>
          </cell>
          <cell r="BP97">
            <v>0.43997173524479988</v>
          </cell>
          <cell r="BQ97">
            <v>0.45</v>
          </cell>
          <cell r="BR97">
            <v>0.45</v>
          </cell>
          <cell r="BS97">
            <v>0.45</v>
          </cell>
          <cell r="BT97">
            <v>0.45</v>
          </cell>
          <cell r="BU97">
            <v>0.46350000000000002</v>
          </cell>
          <cell r="BY97" t="str">
            <v>mstag:dividendsPerShare</v>
          </cell>
          <cell r="BZ97">
            <v>0</v>
          </cell>
          <cell r="CA97" t="str">
            <v>ISO4217:USD</v>
          </cell>
          <cell r="CB97" t="b">
            <v>0</v>
          </cell>
          <cell r="CC97" t="b">
            <v>0</v>
          </cell>
        </row>
        <row r="99">
          <cell r="A99" t="str">
            <v>GAAP vs NON-GAAP RECONCILIATIONS</v>
          </cell>
        </row>
        <row r="100">
          <cell r="A100" t="str">
            <v>Reported Net Income</v>
          </cell>
          <cell r="AT100">
            <v>2848</v>
          </cell>
          <cell r="AU100">
            <v>2904</v>
          </cell>
          <cell r="AV100">
            <v>3063</v>
          </cell>
          <cell r="AW100">
            <v>3136</v>
          </cell>
          <cell r="AX100">
            <v>3461</v>
          </cell>
          <cell r="AY100">
            <v>3772</v>
          </cell>
          <cell r="AZ100">
            <v>3230</v>
          </cell>
          <cell r="BA100">
            <v>2404</v>
          </cell>
          <cell r="BB100">
            <v>3201</v>
          </cell>
          <cell r="BC100">
            <v>3276</v>
          </cell>
          <cell r="BD100">
            <v>3275</v>
          </cell>
          <cell r="BE100">
            <v>3091</v>
          </cell>
          <cell r="BF100">
            <v>2562</v>
          </cell>
          <cell r="BG100">
            <v>4101</v>
          </cell>
          <cell r="BH100">
            <v>12417</v>
          </cell>
          <cell r="BI100">
            <v>1099</v>
          </cell>
          <cell r="BJ100">
            <v>3468</v>
          </cell>
          <cell r="BK100">
            <v>3658</v>
          </cell>
          <cell r="BL100">
            <v>3686</v>
          </cell>
          <cell r="BM100">
            <v>-6628</v>
          </cell>
          <cell r="BN100">
            <v>3652</v>
          </cell>
          <cell r="BO100">
            <v>3965</v>
          </cell>
          <cell r="BP100">
            <v>3701</v>
          </cell>
          <cell r="BQ100">
            <v>2888.2671074726923</v>
          </cell>
          <cell r="BR100">
            <v>3652.9130023552611</v>
          </cell>
          <cell r="BS100">
            <v>3957.7162550075468</v>
          </cell>
          <cell r="BT100">
            <v>3853.6149795105648</v>
          </cell>
          <cell r="BU100">
            <v>2720.0053637645183</v>
          </cell>
        </row>
        <row r="101">
          <cell r="A101" t="str">
            <v>Income/Loss From Discontinued Operations Net Of Tax</v>
          </cell>
          <cell r="I101">
            <v>0</v>
          </cell>
          <cell r="J101">
            <v>0</v>
          </cell>
          <cell r="K101">
            <v>0</v>
          </cell>
          <cell r="L101">
            <v>0</v>
          </cell>
          <cell r="M101">
            <v>0</v>
          </cell>
          <cell r="BY101" t="str">
            <v>mstag:incomeLossFromDiscontinuedOperationsNetOfTax</v>
          </cell>
          <cell r="BZ101">
            <v>6</v>
          </cell>
          <cell r="CA101" t="str">
            <v>ISO4217:USD</v>
          </cell>
          <cell r="CB101" t="b">
            <v>1</v>
          </cell>
          <cell r="CC101" t="b">
            <v>0</v>
          </cell>
        </row>
        <row r="102">
          <cell r="A102" t="str">
            <v xml:space="preserve">Gains/losses From Sale Of Operating Assets One Time </v>
          </cell>
          <cell r="I102">
            <v>0</v>
          </cell>
          <cell r="J102">
            <v>0</v>
          </cell>
          <cell r="K102">
            <v>0</v>
          </cell>
          <cell r="L102">
            <v>-416</v>
          </cell>
          <cell r="M102">
            <v>0</v>
          </cell>
          <cell r="BG102">
            <v>-416</v>
          </cell>
          <cell r="BY102" t="str">
            <v>mstag:gainsLossesFromSaleOfOperatingAssetsOneTimeIncomeStatement</v>
          </cell>
          <cell r="BZ102">
            <v>6</v>
          </cell>
          <cell r="CA102" t="str">
            <v>ISO4217:USD</v>
          </cell>
          <cell r="CB102" t="b">
            <v>1</v>
          </cell>
          <cell r="CC102" t="b">
            <v>0</v>
          </cell>
        </row>
        <row r="103">
          <cell r="A103" t="str">
            <v>Gain/Loss On Redemption And Extinguishment Of Debt</v>
          </cell>
          <cell r="I103">
            <v>0</v>
          </cell>
          <cell r="J103">
            <v>0</v>
          </cell>
          <cell r="K103">
            <v>0</v>
          </cell>
          <cell r="L103">
            <v>0</v>
          </cell>
          <cell r="M103">
            <v>0</v>
          </cell>
          <cell r="BY103" t="str">
            <v>mstag:gainLossOnRedemptionAndExtinguishmentOfDebt</v>
          </cell>
          <cell r="BZ103">
            <v>6</v>
          </cell>
          <cell r="CA103" t="str">
            <v>ISO4217:USD</v>
          </cell>
          <cell r="CB103" t="b">
            <v>0</v>
          </cell>
          <cell r="CC103" t="b">
            <v>0</v>
          </cell>
        </row>
        <row r="104">
          <cell r="A104" t="str">
            <v>Cumulative Effect Of Change In Accounting Principle Net Of Tax</v>
          </cell>
          <cell r="I104">
            <v>0</v>
          </cell>
          <cell r="J104">
            <v>0</v>
          </cell>
          <cell r="K104">
            <v>0</v>
          </cell>
          <cell r="L104">
            <v>0</v>
          </cell>
          <cell r="M104">
            <v>0</v>
          </cell>
          <cell r="BY104" t="str">
            <v>mstag:cumulativeEffectOfChangeInAccountingPrincipleNetOfTax</v>
          </cell>
          <cell r="BZ104">
            <v>6</v>
          </cell>
          <cell r="CA104" t="str">
            <v>ISO4217:USD</v>
          </cell>
          <cell r="CB104" t="b">
            <v>1</v>
          </cell>
          <cell r="CC104" t="b">
            <v>0</v>
          </cell>
        </row>
        <row r="105">
          <cell r="A105" t="str">
            <v>Restructuring Costs/other  One Time</v>
          </cell>
          <cell r="AT105">
            <v>1180</v>
          </cell>
          <cell r="AU105">
            <v>1404</v>
          </cell>
          <cell r="AV105">
            <v>1258</v>
          </cell>
          <cell r="AW105">
            <v>1180</v>
          </cell>
          <cell r="BF105">
            <v>1000</v>
          </cell>
          <cell r="BY105" t="str">
            <v>mstag:restructuringCostsOneTime</v>
          </cell>
          <cell r="BZ105">
            <v>6</v>
          </cell>
          <cell r="CA105" t="str">
            <v>ISO4217:USD</v>
          </cell>
          <cell r="CB105" t="b">
            <v>0</v>
          </cell>
          <cell r="CC105" t="b">
            <v>0</v>
          </cell>
        </row>
        <row r="106">
          <cell r="A106" t="str">
            <v>Normalized Net Income</v>
          </cell>
          <cell r="AT106">
            <v>4028</v>
          </cell>
          <cell r="AU106">
            <v>4308</v>
          </cell>
          <cell r="AV106">
            <v>4321</v>
          </cell>
          <cell r="AW106">
            <v>4316</v>
          </cell>
          <cell r="AX106">
            <v>3461</v>
          </cell>
          <cell r="AY106">
            <v>3772</v>
          </cell>
          <cell r="AZ106">
            <v>3230</v>
          </cell>
          <cell r="BA106">
            <v>2404</v>
          </cell>
          <cell r="BB106">
            <v>3201</v>
          </cell>
          <cell r="BC106">
            <v>3276</v>
          </cell>
          <cell r="BD106">
            <v>3275</v>
          </cell>
          <cell r="BE106">
            <v>3091</v>
          </cell>
          <cell r="BF106">
            <v>3562</v>
          </cell>
          <cell r="BG106">
            <v>3685</v>
          </cell>
          <cell r="BH106">
            <v>12417</v>
          </cell>
          <cell r="BI106">
            <v>1099</v>
          </cell>
          <cell r="BJ106">
            <v>3468</v>
          </cell>
          <cell r="BK106">
            <v>3658</v>
          </cell>
          <cell r="BL106">
            <v>3686</v>
          </cell>
          <cell r="BM106">
            <v>-6628</v>
          </cell>
          <cell r="BN106">
            <v>3652</v>
          </cell>
          <cell r="BO106">
            <v>3965</v>
          </cell>
          <cell r="BP106">
            <v>3701</v>
          </cell>
          <cell r="BQ106">
            <v>2888.2671074726923</v>
          </cell>
          <cell r="BR106">
            <v>3652.9130023552611</v>
          </cell>
          <cell r="BS106">
            <v>3957.7162550075468</v>
          </cell>
          <cell r="BT106">
            <v>3853.6149795105648</v>
          </cell>
          <cell r="BU106">
            <v>2720.0053637645183</v>
          </cell>
        </row>
        <row r="107">
          <cell r="A107" t="str">
            <v xml:space="preserve">check </v>
          </cell>
          <cell r="AT107">
            <v>20</v>
          </cell>
          <cell r="AU107">
            <v>0</v>
          </cell>
          <cell r="AV107">
            <v>0</v>
          </cell>
          <cell r="AW107">
            <v>0</v>
          </cell>
          <cell r="AX107">
            <v>307.61999999999989</v>
          </cell>
          <cell r="AY107">
            <v>69</v>
          </cell>
          <cell r="AZ107">
            <v>107</v>
          </cell>
          <cell r="BA107">
            <v>748.75000000000091</v>
          </cell>
          <cell r="BB107">
            <v>-127</v>
          </cell>
          <cell r="BC107">
            <v>-116</v>
          </cell>
          <cell r="BD107">
            <v>-127</v>
          </cell>
          <cell r="BE107">
            <v>-144</v>
          </cell>
          <cell r="BF107">
            <v>-111</v>
          </cell>
          <cell r="BG107">
            <v>-94</v>
          </cell>
          <cell r="BH107">
            <v>-9191</v>
          </cell>
          <cell r="BI107">
            <v>2259.0600000000004</v>
          </cell>
          <cell r="BJ107">
            <v>-60</v>
          </cell>
          <cell r="BK107">
            <v>-67</v>
          </cell>
          <cell r="BL107">
            <v>-63</v>
          </cell>
          <cell r="BM107">
            <v>9115.5149999999994</v>
          </cell>
          <cell r="BN107">
            <v>0</v>
          </cell>
          <cell r="BO107">
            <v>0</v>
          </cell>
          <cell r="BP107">
            <v>0</v>
          </cell>
          <cell r="BQ107">
            <v>0</v>
          </cell>
          <cell r="BR107">
            <v>0</v>
          </cell>
          <cell r="BS107">
            <v>0</v>
          </cell>
          <cell r="BT107">
            <v>0</v>
          </cell>
          <cell r="BU107">
            <v>0</v>
          </cell>
        </row>
        <row r="108">
          <cell r="A108" t="str">
            <v>Total Charges</v>
          </cell>
          <cell r="AT108">
            <v>1180</v>
          </cell>
          <cell r="AU108">
            <v>1404</v>
          </cell>
          <cell r="AV108">
            <v>1258</v>
          </cell>
          <cell r="AW108">
            <v>1180</v>
          </cell>
          <cell r="AX108">
            <v>0</v>
          </cell>
          <cell r="AY108">
            <v>0</v>
          </cell>
          <cell r="AZ108">
            <v>0</v>
          </cell>
          <cell r="BA108">
            <v>0</v>
          </cell>
          <cell r="BB108">
            <v>0</v>
          </cell>
          <cell r="BC108">
            <v>0</v>
          </cell>
          <cell r="BD108">
            <v>0</v>
          </cell>
          <cell r="BE108">
            <v>0</v>
          </cell>
          <cell r="BF108">
            <v>1000</v>
          </cell>
          <cell r="BG108">
            <v>-416</v>
          </cell>
          <cell r="BH108">
            <v>0</v>
          </cell>
          <cell r="BI108">
            <v>0</v>
          </cell>
          <cell r="BJ108">
            <v>0</v>
          </cell>
          <cell r="BK108">
            <v>0</v>
          </cell>
          <cell r="BL108">
            <v>0</v>
          </cell>
          <cell r="BM108">
            <v>0</v>
          </cell>
          <cell r="BN108">
            <v>0</v>
          </cell>
          <cell r="BO108">
            <v>0</v>
          </cell>
          <cell r="BP108">
            <v>0</v>
          </cell>
        </row>
        <row r="110">
          <cell r="A110" t="str">
            <v>Reconciliation of Consolidated EBITDA to ppt EBITDA</v>
          </cell>
        </row>
        <row r="111">
          <cell r="A111" t="str">
            <v>Consolidated EBITDA</v>
          </cell>
          <cell r="J111" t="e">
            <v>#REF!</v>
          </cell>
          <cell r="K111" t="e">
            <v>#REF!</v>
          </cell>
          <cell r="L111" t="e">
            <v>#REF!</v>
          </cell>
          <cell r="M111" t="e">
            <v>#REF!</v>
          </cell>
          <cell r="N111" t="e">
            <v>#REF!</v>
          </cell>
        </row>
        <row r="112">
          <cell r="A112" t="str">
            <v>Associates: Share of Telmex</v>
          </cell>
          <cell r="J112">
            <v>454.73898566481461</v>
          </cell>
          <cell r="K112">
            <v>415.18268255271818</v>
          </cell>
          <cell r="L112">
            <v>400.00346366292291</v>
          </cell>
          <cell r="M112">
            <v>393.95307473231856</v>
          </cell>
          <cell r="N112">
            <v>389.5718737020664</v>
          </cell>
        </row>
        <row r="113">
          <cell r="A113" t="str">
            <v>Associates: Share of Telemex Int</v>
          </cell>
          <cell r="J113">
            <v>140.97903908000001</v>
          </cell>
          <cell r="K113">
            <v>168.75129346093621</v>
          </cell>
          <cell r="L113">
            <v>231.64172847688562</v>
          </cell>
          <cell r="M113">
            <v>274.11196545203546</v>
          </cell>
          <cell r="N113">
            <v>294.76610726594782</v>
          </cell>
        </row>
        <row r="114">
          <cell r="A114" t="str">
            <v>Associates: Share of American Movil</v>
          </cell>
          <cell r="J114">
            <v>971.9815369219184</v>
          </cell>
          <cell r="K114">
            <v>1124.716936917162</v>
          </cell>
          <cell r="L114">
            <v>1261.7705742922101</v>
          </cell>
          <cell r="M114">
            <v>1382.7064630075593</v>
          </cell>
          <cell r="N114">
            <v>1481.4658704241901</v>
          </cell>
        </row>
        <row r="115">
          <cell r="A115" t="str">
            <v>Less Minority Interest share</v>
          </cell>
          <cell r="J115">
            <v>-522</v>
          </cell>
          <cell r="K115">
            <v>-616</v>
          </cell>
          <cell r="L115">
            <v>-630</v>
          </cell>
          <cell r="M115">
            <v>-480</v>
          </cell>
          <cell r="N115">
            <v>-526</v>
          </cell>
        </row>
        <row r="116">
          <cell r="A116" t="str">
            <v>Proportionate EBITDA</v>
          </cell>
          <cell r="J116" t="e">
            <v>#REF!</v>
          </cell>
          <cell r="K116" t="e">
            <v>#REF!</v>
          </cell>
          <cell r="L116" t="e">
            <v>#REF!</v>
          </cell>
          <cell r="M116" t="e">
            <v>#REF!</v>
          </cell>
          <cell r="N116" t="e">
            <v>#REF!</v>
          </cell>
        </row>
        <row r="117">
          <cell r="A117" t="str">
            <v>Balancing adjustment to global comps</v>
          </cell>
          <cell r="J117" t="e">
            <v>#REF!</v>
          </cell>
          <cell r="K117" t="e">
            <v>#REF!</v>
          </cell>
          <cell r="L117" t="e">
            <v>#REF!</v>
          </cell>
          <cell r="M117" t="e">
            <v>#REF!</v>
          </cell>
          <cell r="N117" t="e">
            <v>#REF!</v>
          </cell>
        </row>
        <row r="124">
          <cell r="I124" t="str">
            <v>2007-FY</v>
          </cell>
          <cell r="J124" t="str">
            <v>2008-FY</v>
          </cell>
          <cell r="K124" t="str">
            <v>2009-FY</v>
          </cell>
          <cell r="L124" t="str">
            <v>2010-FY</v>
          </cell>
          <cell r="M124" t="str">
            <v>2011-FY</v>
          </cell>
          <cell r="N124" t="str">
            <v>2012-FY</v>
          </cell>
          <cell r="O124" t="str">
            <v>2013-FY</v>
          </cell>
          <cell r="P124" t="str">
            <v>2014-FY</v>
          </cell>
          <cell r="Q124" t="str">
            <v>2015-FY</v>
          </cell>
          <cell r="R124" t="str">
            <v>2016-FY</v>
          </cell>
          <cell r="S124" t="str">
            <v>2017-FY</v>
          </cell>
          <cell r="T124" t="str">
            <v>2018-FY</v>
          </cell>
          <cell r="AT124" t="str">
            <v>2007-Q1</v>
          </cell>
          <cell r="AU124" t="str">
            <v>2007-Q2</v>
          </cell>
          <cell r="AV124" t="str">
            <v>2007-Q3</v>
          </cell>
          <cell r="AW124" t="str">
            <v>2007-Q4</v>
          </cell>
          <cell r="AX124" t="str">
            <v>2008-Q1</v>
          </cell>
          <cell r="AY124" t="str">
            <v>2008-Q2</v>
          </cell>
          <cell r="AZ124" t="str">
            <v>2008-Q3</v>
          </cell>
          <cell r="BA124" t="str">
            <v>2008-Q4</v>
          </cell>
          <cell r="BB124" t="str">
            <v>2009-Q1</v>
          </cell>
          <cell r="BC124" t="str">
            <v>2009-Q2</v>
          </cell>
          <cell r="BD124" t="str">
            <v>2009-Q3</v>
          </cell>
          <cell r="BE124" t="str">
            <v>2009-Q4</v>
          </cell>
          <cell r="BF124" t="str">
            <v>2010-Q1</v>
          </cell>
          <cell r="BG124" t="str">
            <v>2010-Q2</v>
          </cell>
          <cell r="BH124" t="str">
            <v>2010-Q3</v>
          </cell>
          <cell r="BI124" t="str">
            <v>2010-Q4</v>
          </cell>
          <cell r="BJ124" t="str">
            <v>2011-Q1</v>
          </cell>
          <cell r="BK124" t="str">
            <v>2011-Q2</v>
          </cell>
          <cell r="BL124" t="str">
            <v>2011-Q3</v>
          </cell>
          <cell r="BM124" t="str">
            <v>2011-Q4</v>
          </cell>
          <cell r="BN124" t="str">
            <v>2012-Q1</v>
          </cell>
          <cell r="BO124" t="str">
            <v>2012-Q2</v>
          </cell>
          <cell r="BP124" t="str">
            <v>2012-Q3</v>
          </cell>
          <cell r="BQ124" t="str">
            <v>2012-Q4</v>
          </cell>
          <cell r="BR124" t="str">
            <v>2013-Q1</v>
          </cell>
          <cell r="BS124" t="str">
            <v>2013-Q2</v>
          </cell>
          <cell r="BT124" t="str">
            <v>2013-Q3</v>
          </cell>
          <cell r="BU124" t="str">
            <v>2013-Q4</v>
          </cell>
        </row>
        <row r="130">
          <cell r="AV130" t="str">
            <v>severance wireless</v>
          </cell>
          <cell r="BA130">
            <v>13</v>
          </cell>
        </row>
        <row r="131">
          <cell r="A131" t="str">
            <v>Consolidated</v>
          </cell>
          <cell r="AV131" t="str">
            <v>severance other</v>
          </cell>
          <cell r="AX131">
            <v>374</v>
          </cell>
          <cell r="AY131">
            <v>0</v>
          </cell>
          <cell r="AZ131">
            <v>0</v>
          </cell>
          <cell r="BA131">
            <v>604</v>
          </cell>
          <cell r="BD131">
            <v>189</v>
          </cell>
          <cell r="BE131">
            <v>330</v>
          </cell>
          <cell r="BI131">
            <v>769</v>
          </cell>
        </row>
        <row r="132">
          <cell r="A132" t="str">
            <v>Other segment</v>
          </cell>
          <cell r="AV132" t="str">
            <v>actuarial g/l</v>
          </cell>
          <cell r="BA132">
            <v>25150</v>
          </cell>
          <cell r="BE132">
            <v>215</v>
          </cell>
          <cell r="BI132">
            <v>2521</v>
          </cell>
        </row>
        <row r="133">
          <cell r="A133" t="str">
            <v>wireless</v>
          </cell>
          <cell r="AV133" t="str">
            <v>new pension adj</v>
          </cell>
          <cell r="AX133" t="str">
            <v>x</v>
          </cell>
          <cell r="AY133">
            <v>0</v>
          </cell>
          <cell r="AZ133">
            <v>0</v>
          </cell>
        </row>
        <row r="134">
          <cell r="A134" t="str">
            <v>wireline</v>
          </cell>
        </row>
        <row r="135">
          <cell r="A135" t="str">
            <v>advertising</v>
          </cell>
        </row>
        <row r="138">
          <cell r="A138" t="str">
            <v>EBITDA</v>
          </cell>
          <cell r="AX138">
            <v>11311</v>
          </cell>
          <cell r="AY138">
            <v>11577</v>
          </cell>
          <cell r="AZ138">
            <v>10647</v>
          </cell>
          <cell r="BA138">
            <v>10589</v>
          </cell>
          <cell r="BD138">
            <v>10360</v>
          </cell>
          <cell r="BE138">
            <v>10075</v>
          </cell>
        </row>
        <row r="139">
          <cell r="AX139">
            <v>0.37</v>
          </cell>
          <cell r="AY139">
            <v>0.377</v>
          </cell>
          <cell r="AZ139">
            <v>0.34100000000000003</v>
          </cell>
          <cell r="BA139">
            <v>0.34200000000000003</v>
          </cell>
        </row>
        <row r="142">
          <cell r="A142" t="str">
            <v>EPS</v>
          </cell>
          <cell r="AX142">
            <v>0.624</v>
          </cell>
          <cell r="AY142">
            <v>0.64400000000000002</v>
          </cell>
          <cell r="AZ142">
            <v>0.56399999999999995</v>
          </cell>
          <cell r="BA142">
            <v>0.54400000000000004</v>
          </cell>
          <cell r="BD142">
            <v>0.52</v>
          </cell>
          <cell r="BE142">
            <v>0.5</v>
          </cell>
        </row>
        <row r="143">
          <cell r="BA143">
            <v>2.3759999999999999</v>
          </cell>
        </row>
        <row r="144">
          <cell r="BA144">
            <v>2.38</v>
          </cell>
          <cell r="BE144">
            <v>2.0699999999999998</v>
          </cell>
        </row>
      </sheetData>
      <sheetData sheetId="6" refreshError="1">
        <row r="1">
          <cell r="A1" t="str">
            <v>AT&amp;T, Inc.</v>
          </cell>
          <cell r="CH1" t="str">
            <v>ElementName</v>
          </cell>
          <cell r="CI1" t="str">
            <v>ScaleOverride</v>
          </cell>
          <cell r="CJ1" t="str">
            <v>UnitOverride</v>
          </cell>
          <cell r="CK1" t="str">
            <v>ReverseSign</v>
          </cell>
          <cell r="CL1" t="str">
            <v>IsDrivingAssumption</v>
          </cell>
          <cell r="CM1" t="str">
            <v>SegmentID</v>
          </cell>
        </row>
        <row r="2">
          <cell r="A2" t="str">
            <v>Morgan Stanley Research</v>
          </cell>
        </row>
        <row r="3">
          <cell r="A3" t="str">
            <v>Simon Flannery 212-761-6432</v>
          </cell>
        </row>
        <row r="5">
          <cell r="N5" t="str">
            <v>Includes Directory Business through 5/8/12</v>
          </cell>
          <cell r="BQ5" t="str">
            <v>Includes Directory Business through 5/8/12</v>
          </cell>
        </row>
        <row r="6">
          <cell r="C6">
            <v>2001</v>
          </cell>
          <cell r="D6">
            <v>2002</v>
          </cell>
          <cell r="E6">
            <v>2003</v>
          </cell>
          <cell r="F6">
            <v>2004</v>
          </cell>
          <cell r="G6">
            <v>2005</v>
          </cell>
          <cell r="H6">
            <v>2006</v>
          </cell>
          <cell r="I6">
            <v>2007</v>
          </cell>
          <cell r="J6">
            <v>2008</v>
          </cell>
          <cell r="K6">
            <v>2009</v>
          </cell>
          <cell r="L6">
            <v>2010</v>
          </cell>
          <cell r="M6">
            <v>2011</v>
          </cell>
          <cell r="N6">
            <v>2012</v>
          </cell>
          <cell r="O6">
            <v>2013</v>
          </cell>
          <cell r="P6">
            <v>2014</v>
          </cell>
          <cell r="Q6">
            <v>2015</v>
          </cell>
          <cell r="R6">
            <v>2016</v>
          </cell>
          <cell r="S6">
            <v>2017</v>
          </cell>
          <cell r="T6">
            <v>2018</v>
          </cell>
          <cell r="V6" t="str">
            <v>1Q01</v>
          </cell>
          <cell r="W6" t="str">
            <v>2Q01</v>
          </cell>
          <cell r="X6" t="str">
            <v>3Q01</v>
          </cell>
          <cell r="Y6" t="str">
            <v>4Q01</v>
          </cell>
          <cell r="Z6" t="str">
            <v>1Q02</v>
          </cell>
          <cell r="AA6" t="str">
            <v>2Q02</v>
          </cell>
          <cell r="AB6" t="str">
            <v>3Q02</v>
          </cell>
          <cell r="AC6" t="str">
            <v>4Q02</v>
          </cell>
          <cell r="AD6" t="str">
            <v>1Q03</v>
          </cell>
          <cell r="AE6" t="str">
            <v>2Q03</v>
          </cell>
          <cell r="AF6" t="str">
            <v>3Q03</v>
          </cell>
          <cell r="AG6" t="str">
            <v>4Q03</v>
          </cell>
          <cell r="AH6" t="str">
            <v>1Q04</v>
          </cell>
          <cell r="AI6" t="str">
            <v>2Q04</v>
          </cell>
          <cell r="AJ6" t="str">
            <v>3Q04</v>
          </cell>
          <cell r="AK6" t="str">
            <v>4Q04</v>
          </cell>
          <cell r="AL6" t="str">
            <v>1Q05</v>
          </cell>
          <cell r="AM6" t="str">
            <v>2Q05</v>
          </cell>
          <cell r="AN6" t="str">
            <v>3Q05</v>
          </cell>
          <cell r="AO6" t="str">
            <v>4Q05</v>
          </cell>
          <cell r="AP6" t="str">
            <v>1Q06</v>
          </cell>
          <cell r="AQ6" t="str">
            <v>2Q06</v>
          </cell>
          <cell r="AR6" t="str">
            <v>3Q06</v>
          </cell>
          <cell r="AS6" t="str">
            <v>4Q06</v>
          </cell>
          <cell r="AT6" t="str">
            <v>1Q07</v>
          </cell>
          <cell r="AU6" t="str">
            <v>2Q07</v>
          </cell>
          <cell r="AV6" t="str">
            <v>3Q07</v>
          </cell>
          <cell r="AW6" t="str">
            <v>4Q07</v>
          </cell>
          <cell r="AX6" t="str">
            <v>1Q08</v>
          </cell>
          <cell r="AY6" t="str">
            <v>2Q08</v>
          </cell>
          <cell r="AZ6" t="str">
            <v>3Q08</v>
          </cell>
          <cell r="BA6" t="str">
            <v>4Q08</v>
          </cell>
          <cell r="BB6" t="str">
            <v>1Q09</v>
          </cell>
          <cell r="BC6" t="str">
            <v>2Q09</v>
          </cell>
          <cell r="BD6" t="str">
            <v>3Q09</v>
          </cell>
          <cell r="BE6" t="str">
            <v>4Q09</v>
          </cell>
          <cell r="BF6" t="str">
            <v>1Q10</v>
          </cell>
          <cell r="BG6" t="str">
            <v>2Q10</v>
          </cell>
          <cell r="BH6" t="str">
            <v>3Q10</v>
          </cell>
          <cell r="BI6" t="str">
            <v>4Q10</v>
          </cell>
          <cell r="BJ6" t="str">
            <v>1Q11</v>
          </cell>
          <cell r="BK6" t="str">
            <v>2Q11</v>
          </cell>
          <cell r="BL6" t="str">
            <v>3Q11</v>
          </cell>
          <cell r="BM6" t="str">
            <v>4Q11</v>
          </cell>
          <cell r="BN6" t="str">
            <v>1Q12</v>
          </cell>
          <cell r="BO6" t="str">
            <v>2Q12</v>
          </cell>
          <cell r="BP6" t="str">
            <v>3Q12</v>
          </cell>
          <cell r="BQ6" t="str">
            <v>4Q12E</v>
          </cell>
          <cell r="BR6" t="str">
            <v>1Q13E</v>
          </cell>
          <cell r="BS6" t="str">
            <v>2Q13E</v>
          </cell>
          <cell r="BT6" t="str">
            <v>3Q13E</v>
          </cell>
          <cell r="BU6" t="str">
            <v>4Q13E</v>
          </cell>
        </row>
        <row r="7">
          <cell r="A7" t="str">
            <v>EPS (at right as reported for AT&amp;T acquisition)</v>
          </cell>
          <cell r="D7">
            <v>0</v>
          </cell>
          <cell r="H7">
            <v>0</v>
          </cell>
          <cell r="I7">
            <v>1.9358595037684874</v>
          </cell>
          <cell r="J7">
            <v>2.3660630978352075</v>
          </cell>
          <cell r="K7">
            <v>2.0836572587459861</v>
          </cell>
          <cell r="L7">
            <v>2.2973336143308747</v>
          </cell>
          <cell r="M7">
            <v>2.2046693294092914</v>
          </cell>
          <cell r="N7">
            <v>2.395647456290142</v>
          </cell>
          <cell r="O7">
            <v>2.5261646022986359</v>
          </cell>
          <cell r="P7">
            <v>2.6073980664195426</v>
          </cell>
          <cell r="Q7">
            <v>2.7002713845811726</v>
          </cell>
          <cell r="R7">
            <v>2.9386847755783063</v>
          </cell>
          <cell r="S7">
            <v>3.1870376228522521</v>
          </cell>
          <cell r="T7">
            <v>3.2698236540371659</v>
          </cell>
          <cell r="Z7">
            <v>0</v>
          </cell>
          <cell r="AA7">
            <v>0</v>
          </cell>
          <cell r="AB7">
            <v>0</v>
          </cell>
          <cell r="AC7">
            <v>0</v>
          </cell>
          <cell r="AD7">
            <v>0</v>
          </cell>
          <cell r="AE7">
            <v>0</v>
          </cell>
          <cell r="AF7">
            <v>0</v>
          </cell>
          <cell r="AG7">
            <v>0</v>
          </cell>
          <cell r="AT7">
            <v>0.45770826683689758</v>
          </cell>
          <cell r="AU7">
            <v>0.46876513317191282</v>
          </cell>
          <cell r="AV7">
            <v>0.49975526186979929</v>
          </cell>
          <cell r="AW7">
            <v>0.51452009844134539</v>
          </cell>
          <cell r="AX7">
            <v>0.62466766119675121</v>
          </cell>
          <cell r="AY7">
            <v>0.64424689701442472</v>
          </cell>
          <cell r="AZ7">
            <v>0.56358723188650561</v>
          </cell>
          <cell r="BA7">
            <v>0.53255912162162178</v>
          </cell>
          <cell r="BB7">
            <v>0.52137042062415195</v>
          </cell>
          <cell r="BC7">
            <v>0.53351342225223708</v>
          </cell>
          <cell r="BD7">
            <v>0.53157716987504222</v>
          </cell>
          <cell r="BE7">
            <v>0.49721612957651423</v>
          </cell>
          <cell r="BF7">
            <v>0.58146588037068236</v>
          </cell>
          <cell r="BG7">
            <v>0.6048509348155634</v>
          </cell>
          <cell r="BH7">
            <v>0.54328056584708662</v>
          </cell>
          <cell r="BI7">
            <v>0.56771935756551151</v>
          </cell>
          <cell r="BJ7">
            <v>0.57325483599663585</v>
          </cell>
          <cell r="BK7">
            <v>0.60322526457248449</v>
          </cell>
          <cell r="BL7">
            <v>0.60849848841115217</v>
          </cell>
          <cell r="BM7">
            <v>0.41926765548626327</v>
          </cell>
          <cell r="BN7">
            <v>0.60336700336700333</v>
          </cell>
          <cell r="BO7">
            <v>0.6640571817562968</v>
          </cell>
          <cell r="BP7">
            <v>0.62758977900552482</v>
          </cell>
          <cell r="BQ7">
            <v>0.49749111712897803</v>
          </cell>
          <cell r="BR7">
            <v>0.63973682777432805</v>
          </cell>
          <cell r="BS7">
            <v>0.70214995064314745</v>
          </cell>
          <cell r="BT7">
            <v>0.69138690040090633</v>
          </cell>
          <cell r="BU7">
            <v>0.49021155592251925</v>
          </cell>
        </row>
        <row r="8">
          <cell r="A8" t="str">
            <v>% y/y growth</v>
          </cell>
          <cell r="H8">
            <v>0.34302325581395343</v>
          </cell>
          <cell r="I8">
            <v>0</v>
          </cell>
          <cell r="J8">
            <v>0.22222872746149913</v>
          </cell>
          <cell r="K8">
            <v>-0.11935685035094978</v>
          </cell>
          <cell r="L8">
            <v>0.10254870597743415</v>
          </cell>
          <cell r="M8">
            <v>-4.0335580493637946E-2</v>
          </cell>
          <cell r="N8">
            <v>8.6624385949080285E-2</v>
          </cell>
          <cell r="O8">
            <v>5.4480948632821935E-2</v>
          </cell>
          <cell r="P8">
            <v>3.2156837304659236E-2</v>
          </cell>
          <cell r="Q8">
            <v>3.5619155877170128E-2</v>
          </cell>
          <cell r="R8">
            <v>8.8292381409697862E-2</v>
          </cell>
          <cell r="S8">
            <v>8.4511564267750527E-2</v>
          </cell>
          <cell r="T8">
            <v>2.5975856259526697E-2</v>
          </cell>
          <cell r="AX8">
            <v>0.3647725122241432</v>
          </cell>
          <cell r="AY8">
            <v>0.37434901067643289</v>
          </cell>
          <cell r="AZ8">
            <v>0.12772645910296876</v>
          </cell>
          <cell r="BA8">
            <v>3.5059899962941454E-2</v>
          </cell>
          <cell r="BB8">
            <v>-0.16536351565678986</v>
          </cell>
          <cell r="BC8">
            <v>-0.1718804937600007</v>
          </cell>
          <cell r="BD8">
            <v>-5.6796996454862025E-2</v>
          </cell>
          <cell r="BE8">
            <v>-6.636444783349027E-2</v>
          </cell>
          <cell r="BF8">
            <v>0.11526442116640956</v>
          </cell>
          <cell r="BG8">
            <v>0.13371268573182959</v>
          </cell>
          <cell r="BH8">
            <v>2.2016363070662903E-2</v>
          </cell>
          <cell r="BI8">
            <v>0.14179593901960863</v>
          </cell>
          <cell r="BJ8">
            <v>-1.4121283210653757E-2</v>
          </cell>
          <cell r="BK8">
            <v>-2.6877204770703322E-3</v>
          </cell>
          <cell r="BL8">
            <v>0.12004464481879151</v>
          </cell>
          <cell r="BM8">
            <v>-0.26148782862687181</v>
          </cell>
          <cell r="BN8">
            <v>5.2528414030761361E-2</v>
          </cell>
          <cell r="BO8">
            <v>0.10084444527853931</v>
          </cell>
          <cell r="BP8">
            <v>3.1374425669029815E-2</v>
          </cell>
          <cell r="BQ8">
            <v>0.18657165803069597</v>
          </cell>
          <cell r="BR8">
            <v>6.0278112996514643E-2</v>
          </cell>
          <cell r="BS8">
            <v>5.7363687847036049E-2</v>
          </cell>
          <cell r="BT8">
            <v>0.10165417527429166</v>
          </cell>
          <cell r="BU8">
            <v>-1.4632545096421312E-2</v>
          </cell>
        </row>
        <row r="9">
          <cell r="A9" t="str">
            <v>BALANCE SHEET</v>
          </cell>
          <cell r="C9">
            <v>2001</v>
          </cell>
          <cell r="D9">
            <v>2002</v>
          </cell>
          <cell r="E9">
            <v>2003</v>
          </cell>
          <cell r="F9">
            <v>2004</v>
          </cell>
          <cell r="G9">
            <v>2005</v>
          </cell>
          <cell r="H9">
            <v>2006</v>
          </cell>
          <cell r="I9">
            <v>2007</v>
          </cell>
          <cell r="J9">
            <v>2008</v>
          </cell>
          <cell r="K9">
            <v>2009</v>
          </cell>
          <cell r="L9">
            <v>2010</v>
          </cell>
          <cell r="M9">
            <v>2011</v>
          </cell>
          <cell r="N9">
            <v>2012</v>
          </cell>
          <cell r="O9">
            <v>2013</v>
          </cell>
          <cell r="P9">
            <v>2014</v>
          </cell>
          <cell r="Q9">
            <v>2015</v>
          </cell>
          <cell r="V9" t="str">
            <v>1Q01</v>
          </cell>
          <cell r="W9" t="str">
            <v>2Q01</v>
          </cell>
          <cell r="X9" t="str">
            <v>3Q01</v>
          </cell>
          <cell r="Y9" t="str">
            <v>4Q01</v>
          </cell>
          <cell r="Z9" t="str">
            <v>1Q02</v>
          </cell>
          <cell r="AA9" t="str">
            <v>2Q02</v>
          </cell>
          <cell r="AB9" t="str">
            <v>3Q02</v>
          </cell>
          <cell r="AC9" t="str">
            <v>4Q02</v>
          </cell>
          <cell r="AD9" t="str">
            <v>1Q03</v>
          </cell>
          <cell r="AE9" t="str">
            <v>2Q03</v>
          </cell>
          <cell r="AF9" t="str">
            <v>3Q03</v>
          </cell>
          <cell r="AG9" t="str">
            <v>4Q03</v>
          </cell>
          <cell r="AH9" t="str">
            <v>1Q04</v>
          </cell>
          <cell r="AI9" t="str">
            <v>2Q04</v>
          </cell>
          <cell r="AJ9" t="str">
            <v>3Q04</v>
          </cell>
          <cell r="AK9" t="str">
            <v>4Q04</v>
          </cell>
          <cell r="AL9" t="str">
            <v>1Q05</v>
          </cell>
          <cell r="AM9" t="str">
            <v>2Q05</v>
          </cell>
          <cell r="AN9" t="str">
            <v>3Q05</v>
          </cell>
          <cell r="AO9" t="str">
            <v>4Q05</v>
          </cell>
          <cell r="AP9" t="str">
            <v>1Q06</v>
          </cell>
          <cell r="AQ9" t="str">
            <v>2Q06</v>
          </cell>
          <cell r="AR9" t="str">
            <v>3Q06</v>
          </cell>
          <cell r="AS9" t="str">
            <v>4Q06</v>
          </cell>
          <cell r="AT9" t="str">
            <v>1Q07</v>
          </cell>
          <cell r="AU9" t="str">
            <v>2Q07</v>
          </cell>
          <cell r="AV9" t="str">
            <v>3Q07</v>
          </cell>
          <cell r="AW9" t="str">
            <v>4Q07</v>
          </cell>
          <cell r="AX9" t="str">
            <v>1Q08</v>
          </cell>
          <cell r="AY9" t="str">
            <v>2Q08</v>
          </cell>
          <cell r="AZ9" t="str">
            <v>3Q08</v>
          </cell>
          <cell r="BA9" t="str">
            <v>4Q08</v>
          </cell>
          <cell r="BB9" t="str">
            <v>1Q09</v>
          </cell>
          <cell r="BC9" t="str">
            <v>2Q09</v>
          </cell>
          <cell r="BD9" t="str">
            <v>3Q09</v>
          </cell>
          <cell r="BE9" t="str">
            <v>4Q09</v>
          </cell>
          <cell r="BF9" t="str">
            <v>1Q10</v>
          </cell>
          <cell r="BG9" t="str">
            <v>2Q10</v>
          </cell>
          <cell r="BH9" t="str">
            <v>3Q10</v>
          </cell>
          <cell r="BI9" t="str">
            <v>4Q10</v>
          </cell>
          <cell r="BJ9" t="str">
            <v>1Q11</v>
          </cell>
          <cell r="BK9" t="str">
            <v>2Q11</v>
          </cell>
          <cell r="BL9" t="str">
            <v>3Q11</v>
          </cell>
          <cell r="BM9" t="str">
            <v>4Q11</v>
          </cell>
          <cell r="BN9" t="str">
            <v>1Q12</v>
          </cell>
          <cell r="BO9" t="str">
            <v>2Q12</v>
          </cell>
          <cell r="BP9" t="str">
            <v>3Q12</v>
          </cell>
          <cell r="BQ9" t="str">
            <v>4Q12E</v>
          </cell>
          <cell r="BR9" t="str">
            <v>1Q13E</v>
          </cell>
          <cell r="BS9" t="str">
            <v>2Q13E</v>
          </cell>
          <cell r="BT9" t="str">
            <v>3Q13E</v>
          </cell>
          <cell r="BU9" t="str">
            <v>4Q13E</v>
          </cell>
        </row>
        <row r="10">
          <cell r="A10" t="str">
            <v>Assets</v>
          </cell>
          <cell r="N10" t="str">
            <v>Includes Directory Biz through 5/8/12</v>
          </cell>
          <cell r="BQ10" t="str">
            <v>Includes Directory Business through 5/8/12</v>
          </cell>
        </row>
        <row r="11">
          <cell r="A11" t="str">
            <v xml:space="preserve"> Cash and cash equivalents</v>
          </cell>
          <cell r="C11">
            <v>703</v>
          </cell>
          <cell r="D11">
            <v>3567</v>
          </cell>
          <cell r="E11">
            <v>4806</v>
          </cell>
          <cell r="F11">
            <v>760</v>
          </cell>
          <cell r="G11">
            <v>1224</v>
          </cell>
          <cell r="H11">
            <v>2418</v>
          </cell>
          <cell r="I11">
            <v>1970</v>
          </cell>
          <cell r="J11">
            <v>1792</v>
          </cell>
          <cell r="K11">
            <v>3802</v>
          </cell>
          <cell r="L11">
            <v>1437</v>
          </cell>
          <cell r="M11">
            <v>3185</v>
          </cell>
          <cell r="N11">
            <v>2122.4328268759077</v>
          </cell>
          <cell r="O11">
            <v>3175.9509024866616</v>
          </cell>
          <cell r="P11">
            <v>2129.8355622020972</v>
          </cell>
          <cell r="Q11">
            <v>4479.1743330797835</v>
          </cell>
          <cell r="R11">
            <v>6052.7900263864249</v>
          </cell>
          <cell r="S11">
            <v>10780.881347484472</v>
          </cell>
          <cell r="T11">
            <v>17017.001096978835</v>
          </cell>
          <cell r="Y11">
            <v>703</v>
          </cell>
          <cell r="Z11">
            <v>830</v>
          </cell>
          <cell r="AA11">
            <v>543</v>
          </cell>
          <cell r="AB11">
            <v>873</v>
          </cell>
          <cell r="AC11">
            <v>3567</v>
          </cell>
          <cell r="AD11">
            <v>4832</v>
          </cell>
          <cell r="AE11">
            <v>5139</v>
          </cell>
          <cell r="AF11">
            <v>4940</v>
          </cell>
          <cell r="AG11">
            <v>4806</v>
          </cell>
          <cell r="AH11">
            <v>7081</v>
          </cell>
          <cell r="AI11">
            <v>11586</v>
          </cell>
          <cell r="AJ11">
            <v>13290</v>
          </cell>
          <cell r="AK11">
            <v>760</v>
          </cell>
          <cell r="AL11">
            <v>427</v>
          </cell>
          <cell r="AM11">
            <v>406</v>
          </cell>
          <cell r="AN11">
            <v>433</v>
          </cell>
          <cell r="AO11">
            <v>1224</v>
          </cell>
          <cell r="AP11">
            <v>1057</v>
          </cell>
          <cell r="AQ11">
            <v>1097</v>
          </cell>
          <cell r="AR11">
            <v>1251</v>
          </cell>
          <cell r="AS11">
            <v>2418</v>
          </cell>
          <cell r="AT11">
            <v>2364</v>
          </cell>
          <cell r="AU11">
            <v>2570</v>
          </cell>
          <cell r="AV11">
            <v>2714</v>
          </cell>
          <cell r="AW11">
            <v>1970</v>
          </cell>
          <cell r="AX11">
            <v>1963</v>
          </cell>
          <cell r="AY11">
            <v>1631</v>
          </cell>
          <cell r="AZ11">
            <v>1594</v>
          </cell>
          <cell r="BA11">
            <v>1792</v>
          </cell>
          <cell r="BB11">
            <v>3812</v>
          </cell>
          <cell r="BC11">
            <v>7348</v>
          </cell>
          <cell r="BD11">
            <v>6167</v>
          </cell>
          <cell r="BE11">
            <v>3802</v>
          </cell>
          <cell r="BF11">
            <v>2617</v>
          </cell>
          <cell r="BG11">
            <v>1377</v>
          </cell>
          <cell r="BH11">
            <v>3246</v>
          </cell>
          <cell r="BI11">
            <v>1437</v>
          </cell>
          <cell r="BJ11">
            <v>1391</v>
          </cell>
          <cell r="BK11">
            <v>3831</v>
          </cell>
          <cell r="BL11">
            <v>10762</v>
          </cell>
          <cell r="BM11">
            <v>3185</v>
          </cell>
          <cell r="BN11">
            <v>2442</v>
          </cell>
          <cell r="BO11">
            <v>2151</v>
          </cell>
          <cell r="BP11">
            <v>2217</v>
          </cell>
          <cell r="BQ11">
            <v>2122.4328268759077</v>
          </cell>
          <cell r="BR11">
            <v>527.12592597583534</v>
          </cell>
          <cell r="BS11">
            <v>782.98486773332843</v>
          </cell>
          <cell r="BT11">
            <v>1643.0517908335601</v>
          </cell>
          <cell r="BU11">
            <v>3175.9509024866625</v>
          </cell>
          <cell r="CH11" t="str">
            <v>mstag:cashAndCashEquivalents</v>
          </cell>
          <cell r="CI11">
            <v>6</v>
          </cell>
          <cell r="CJ11" t="str">
            <v>ISO4217:USD</v>
          </cell>
          <cell r="CK11" t="b">
            <v>0</v>
          </cell>
          <cell r="CL11" t="b">
            <v>0</v>
          </cell>
        </row>
        <row r="12">
          <cell r="A12" t="str">
            <v xml:space="preserve"> Accounts receivable - net</v>
          </cell>
          <cell r="C12">
            <v>9376</v>
          </cell>
          <cell r="D12">
            <v>8540</v>
          </cell>
          <cell r="E12">
            <v>6160</v>
          </cell>
          <cell r="F12">
            <v>5480</v>
          </cell>
          <cell r="G12">
            <v>9351</v>
          </cell>
          <cell r="H12">
            <v>16194</v>
          </cell>
          <cell r="I12">
            <v>16678</v>
          </cell>
          <cell r="J12">
            <v>16047</v>
          </cell>
          <cell r="K12">
            <v>14978</v>
          </cell>
          <cell r="L12">
            <v>13610</v>
          </cell>
          <cell r="M12">
            <v>13606</v>
          </cell>
          <cell r="N12">
            <v>12612.222765037324</v>
          </cell>
          <cell r="O12">
            <v>12794.517853293772</v>
          </cell>
          <cell r="P12">
            <v>13008.829845168231</v>
          </cell>
          <cell r="Q12">
            <v>13249.432249431229</v>
          </cell>
          <cell r="R12">
            <v>13490.045567101552</v>
          </cell>
          <cell r="S12">
            <v>13717.562875222055</v>
          </cell>
          <cell r="T12">
            <v>13933.843796899848</v>
          </cell>
          <cell r="Y12">
            <v>9376</v>
          </cell>
          <cell r="Z12">
            <v>8321</v>
          </cell>
          <cell r="AA12">
            <v>8475</v>
          </cell>
          <cell r="AB12">
            <v>8348</v>
          </cell>
          <cell r="AC12">
            <v>8540</v>
          </cell>
          <cell r="AD12">
            <v>6337</v>
          </cell>
          <cell r="AE12">
            <v>5881</v>
          </cell>
          <cell r="AF12">
            <v>6140</v>
          </cell>
          <cell r="AG12">
            <v>6160</v>
          </cell>
          <cell r="AH12">
            <v>5793</v>
          </cell>
          <cell r="AI12">
            <v>5564</v>
          </cell>
          <cell r="AJ12">
            <v>5685</v>
          </cell>
          <cell r="AK12">
            <v>5480</v>
          </cell>
          <cell r="AL12">
            <v>5268</v>
          </cell>
          <cell r="AM12">
            <v>5220</v>
          </cell>
          <cell r="AN12">
            <v>5229</v>
          </cell>
          <cell r="AO12">
            <v>9351</v>
          </cell>
          <cell r="AP12">
            <v>8647</v>
          </cell>
          <cell r="AQ12">
            <v>8484</v>
          </cell>
          <cell r="AR12">
            <v>8668</v>
          </cell>
          <cell r="AS12">
            <v>16194</v>
          </cell>
          <cell r="AT12">
            <v>15580</v>
          </cell>
          <cell r="AU12">
            <v>15368</v>
          </cell>
          <cell r="AV12">
            <v>16305</v>
          </cell>
          <cell r="AW12">
            <v>16678</v>
          </cell>
          <cell r="AX12">
            <v>15697</v>
          </cell>
          <cell r="AY12">
            <v>15971</v>
          </cell>
          <cell r="AZ12">
            <v>16395</v>
          </cell>
          <cell r="BA12">
            <v>16047</v>
          </cell>
          <cell r="BB12">
            <v>14965</v>
          </cell>
          <cell r="BC12">
            <v>14846</v>
          </cell>
          <cell r="BD12">
            <v>14796</v>
          </cell>
          <cell r="BE12">
            <v>14978</v>
          </cell>
          <cell r="BF12">
            <v>14167</v>
          </cell>
          <cell r="BG12">
            <v>13780</v>
          </cell>
          <cell r="BH12">
            <v>13606</v>
          </cell>
          <cell r="BI12">
            <v>13610</v>
          </cell>
          <cell r="BJ12">
            <v>13246</v>
          </cell>
          <cell r="BK12">
            <v>13608</v>
          </cell>
          <cell r="BL12">
            <v>13377</v>
          </cell>
          <cell r="BM12">
            <v>13606</v>
          </cell>
          <cell r="BN12">
            <v>13167</v>
          </cell>
          <cell r="BO12">
            <v>12430</v>
          </cell>
          <cell r="BP12">
            <v>12398</v>
          </cell>
          <cell r="BQ12">
            <v>12612.222765037324</v>
          </cell>
          <cell r="BR12">
            <v>12426.835218185217</v>
          </cell>
          <cell r="BS12">
            <v>12534.117792836509</v>
          </cell>
          <cell r="BT12">
            <v>12651.0656065681</v>
          </cell>
          <cell r="BU12">
            <v>12794.517853293772</v>
          </cell>
          <cell r="CH12" t="str">
            <v>mstag:tradeReceivables</v>
          </cell>
          <cell r="CI12">
            <v>6</v>
          </cell>
          <cell r="CJ12" t="str">
            <v>ISO4217:USD</v>
          </cell>
          <cell r="CK12" t="b">
            <v>0</v>
          </cell>
          <cell r="CL12" t="b">
            <v>0</v>
          </cell>
        </row>
        <row r="13">
          <cell r="A13" t="str">
            <v xml:space="preserve"> Short-term Investments</v>
          </cell>
          <cell r="E13">
            <v>378</v>
          </cell>
          <cell r="F13">
            <v>99</v>
          </cell>
          <cell r="G13">
            <v>0</v>
          </cell>
          <cell r="H13">
            <v>0</v>
          </cell>
          <cell r="I13">
            <v>0</v>
          </cell>
          <cell r="J13">
            <v>0</v>
          </cell>
          <cell r="K13">
            <v>0</v>
          </cell>
          <cell r="L13">
            <v>0</v>
          </cell>
          <cell r="M13">
            <v>0</v>
          </cell>
          <cell r="N13">
            <v>0</v>
          </cell>
          <cell r="O13">
            <v>0</v>
          </cell>
          <cell r="P13">
            <v>0</v>
          </cell>
          <cell r="Q13">
            <v>0</v>
          </cell>
          <cell r="R13">
            <v>0</v>
          </cell>
          <cell r="S13">
            <v>0</v>
          </cell>
          <cell r="T13">
            <v>0</v>
          </cell>
          <cell r="AG13">
            <v>378</v>
          </cell>
          <cell r="AH13">
            <v>378</v>
          </cell>
          <cell r="AI13">
            <v>346</v>
          </cell>
          <cell r="AJ13">
            <v>204</v>
          </cell>
          <cell r="AK13">
            <v>99</v>
          </cell>
          <cell r="AL13">
            <v>35</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CH13" t="str">
            <v>mstag:shortTermInvestments</v>
          </cell>
          <cell r="CI13">
            <v>6</v>
          </cell>
          <cell r="CJ13" t="str">
            <v>ISO4217:USD</v>
          </cell>
          <cell r="CK13" t="b">
            <v>0</v>
          </cell>
          <cell r="CL13" t="b">
            <v>0</v>
          </cell>
        </row>
        <row r="14">
          <cell r="A14" t="str">
            <v xml:space="preserve"> Prepaid expenses</v>
          </cell>
          <cell r="C14">
            <v>932</v>
          </cell>
          <cell r="D14">
            <v>687</v>
          </cell>
          <cell r="E14">
            <v>760</v>
          </cell>
          <cell r="F14">
            <v>746</v>
          </cell>
          <cell r="G14">
            <v>1029</v>
          </cell>
          <cell r="H14">
            <v>1477</v>
          </cell>
          <cell r="I14">
            <v>1524</v>
          </cell>
          <cell r="J14">
            <v>1538</v>
          </cell>
          <cell r="K14">
            <v>1572</v>
          </cell>
          <cell r="L14">
            <v>1458</v>
          </cell>
          <cell r="M14">
            <v>1155</v>
          </cell>
          <cell r="N14">
            <v>1337</v>
          </cell>
          <cell r="O14">
            <v>1337</v>
          </cell>
          <cell r="P14">
            <v>1337</v>
          </cell>
          <cell r="Q14">
            <v>1337</v>
          </cell>
          <cell r="R14">
            <v>1337</v>
          </cell>
          <cell r="S14">
            <v>1337</v>
          </cell>
          <cell r="T14">
            <v>1337</v>
          </cell>
          <cell r="Y14">
            <v>932</v>
          </cell>
          <cell r="Z14">
            <v>1210</v>
          </cell>
          <cell r="AA14">
            <v>1754</v>
          </cell>
          <cell r="AB14">
            <v>671</v>
          </cell>
          <cell r="AC14">
            <v>687</v>
          </cell>
          <cell r="AD14">
            <v>809</v>
          </cell>
          <cell r="AE14">
            <v>968</v>
          </cell>
          <cell r="AF14">
            <v>1002</v>
          </cell>
          <cell r="AG14">
            <v>760</v>
          </cell>
          <cell r="AH14">
            <v>810</v>
          </cell>
          <cell r="AI14">
            <v>783</v>
          </cell>
          <cell r="AJ14">
            <v>827</v>
          </cell>
          <cell r="AK14">
            <v>746</v>
          </cell>
          <cell r="AL14">
            <v>904</v>
          </cell>
          <cell r="AM14">
            <v>867</v>
          </cell>
          <cell r="AN14">
            <v>1132</v>
          </cell>
          <cell r="AO14">
            <v>1029</v>
          </cell>
          <cell r="AP14">
            <v>1215</v>
          </cell>
          <cell r="AQ14">
            <v>1144</v>
          </cell>
          <cell r="AR14">
            <v>1038</v>
          </cell>
          <cell r="AS14">
            <v>1477</v>
          </cell>
          <cell r="AT14">
            <v>2058</v>
          </cell>
          <cell r="AU14">
            <v>1743</v>
          </cell>
          <cell r="AV14">
            <v>1900</v>
          </cell>
          <cell r="AW14">
            <v>1524</v>
          </cell>
          <cell r="AX14">
            <v>1610</v>
          </cell>
          <cell r="AY14">
            <v>1671</v>
          </cell>
          <cell r="AZ14">
            <v>1657</v>
          </cell>
          <cell r="BA14">
            <v>1538</v>
          </cell>
          <cell r="BB14">
            <v>1704</v>
          </cell>
          <cell r="BC14">
            <v>1786</v>
          </cell>
          <cell r="BD14">
            <v>1791</v>
          </cell>
          <cell r="BE14">
            <v>1572</v>
          </cell>
          <cell r="BF14">
            <v>1820</v>
          </cell>
          <cell r="BG14">
            <v>1666</v>
          </cell>
          <cell r="BH14">
            <v>1686</v>
          </cell>
          <cell r="BI14">
            <v>1458</v>
          </cell>
          <cell r="BJ14">
            <v>1674</v>
          </cell>
          <cell r="BK14">
            <v>1563</v>
          </cell>
          <cell r="BL14">
            <v>1507</v>
          </cell>
          <cell r="BM14">
            <v>1155</v>
          </cell>
          <cell r="BN14">
            <v>1706</v>
          </cell>
          <cell r="BO14">
            <v>1533</v>
          </cell>
          <cell r="BP14">
            <v>1337</v>
          </cell>
          <cell r="BQ14">
            <v>1337</v>
          </cell>
          <cell r="BR14">
            <v>1337</v>
          </cell>
          <cell r="BS14">
            <v>1337</v>
          </cell>
          <cell r="BT14">
            <v>1337</v>
          </cell>
          <cell r="BU14">
            <v>1337</v>
          </cell>
          <cell r="CH14" t="str">
            <v>mstag:prepaidExpensesCurrent</v>
          </cell>
          <cell r="CI14">
            <v>6</v>
          </cell>
          <cell r="CJ14" t="str">
            <v>ISO4217:USD</v>
          </cell>
          <cell r="CK14" t="b">
            <v>0</v>
          </cell>
          <cell r="CL14" t="b">
            <v>0</v>
          </cell>
        </row>
        <row r="15">
          <cell r="A15" t="str">
            <v xml:space="preserve"> Deferred income taxes</v>
          </cell>
          <cell r="C15">
            <v>713</v>
          </cell>
          <cell r="D15">
            <v>704</v>
          </cell>
          <cell r="E15">
            <v>741</v>
          </cell>
          <cell r="F15">
            <v>566</v>
          </cell>
          <cell r="G15">
            <v>2011</v>
          </cell>
          <cell r="H15">
            <v>3034</v>
          </cell>
          <cell r="I15">
            <v>2099</v>
          </cell>
          <cell r="J15">
            <v>1014</v>
          </cell>
          <cell r="K15">
            <v>1274</v>
          </cell>
          <cell r="L15">
            <v>1170</v>
          </cell>
          <cell r="M15">
            <v>1470</v>
          </cell>
          <cell r="N15">
            <v>1312</v>
          </cell>
          <cell r="O15">
            <v>1312</v>
          </cell>
          <cell r="P15">
            <v>1312</v>
          </cell>
          <cell r="Q15">
            <v>1312</v>
          </cell>
          <cell r="R15">
            <v>1312</v>
          </cell>
          <cell r="S15">
            <v>1312</v>
          </cell>
          <cell r="T15">
            <v>1312</v>
          </cell>
          <cell r="Y15">
            <v>713</v>
          </cell>
          <cell r="Z15">
            <v>739</v>
          </cell>
          <cell r="AA15">
            <v>775</v>
          </cell>
          <cell r="AB15">
            <v>730</v>
          </cell>
          <cell r="AC15">
            <v>704</v>
          </cell>
          <cell r="AD15">
            <v>1490</v>
          </cell>
          <cell r="AE15">
            <v>1495</v>
          </cell>
          <cell r="AF15">
            <v>1511</v>
          </cell>
          <cell r="AG15">
            <v>741</v>
          </cell>
          <cell r="AH15">
            <v>644</v>
          </cell>
          <cell r="AI15">
            <v>575</v>
          </cell>
          <cell r="AJ15">
            <v>251</v>
          </cell>
          <cell r="AK15">
            <v>566</v>
          </cell>
          <cell r="AL15">
            <v>552</v>
          </cell>
          <cell r="AM15">
            <v>545</v>
          </cell>
          <cell r="AN15">
            <v>555</v>
          </cell>
          <cell r="AO15">
            <v>2011</v>
          </cell>
          <cell r="AP15">
            <v>1874</v>
          </cell>
          <cell r="AQ15">
            <v>1876</v>
          </cell>
          <cell r="AR15">
            <v>1598</v>
          </cell>
          <cell r="AS15">
            <v>3034</v>
          </cell>
          <cell r="AT15">
            <v>2571</v>
          </cell>
          <cell r="AU15">
            <v>2360</v>
          </cell>
          <cell r="AV15">
            <v>2433</v>
          </cell>
          <cell r="AW15">
            <v>2099</v>
          </cell>
          <cell r="AX15">
            <v>1934</v>
          </cell>
          <cell r="AY15">
            <v>1407</v>
          </cell>
          <cell r="AZ15">
            <v>1560</v>
          </cell>
          <cell r="BA15">
            <v>1014</v>
          </cell>
          <cell r="BB15">
            <v>957</v>
          </cell>
          <cell r="BC15">
            <v>964</v>
          </cell>
          <cell r="BD15">
            <v>991</v>
          </cell>
          <cell r="BE15">
            <v>1274</v>
          </cell>
          <cell r="BF15">
            <v>1293</v>
          </cell>
          <cell r="BG15">
            <v>1225</v>
          </cell>
          <cell r="BH15">
            <v>1059</v>
          </cell>
          <cell r="BI15">
            <v>1170</v>
          </cell>
          <cell r="BJ15">
            <v>1157</v>
          </cell>
          <cell r="BK15">
            <v>1180</v>
          </cell>
          <cell r="BL15">
            <v>1101</v>
          </cell>
          <cell r="BM15">
            <v>1470</v>
          </cell>
          <cell r="BN15">
            <v>1463</v>
          </cell>
          <cell r="BO15">
            <v>1418</v>
          </cell>
          <cell r="BP15">
            <v>1312</v>
          </cell>
          <cell r="BQ15">
            <v>1312</v>
          </cell>
          <cell r="BR15">
            <v>1312</v>
          </cell>
          <cell r="BS15">
            <v>1312</v>
          </cell>
          <cell r="BT15">
            <v>1312</v>
          </cell>
          <cell r="BU15">
            <v>1312</v>
          </cell>
          <cell r="CH15" t="str">
            <v>mstag:deferredTaxAssetsCurrent</v>
          </cell>
          <cell r="CI15">
            <v>6</v>
          </cell>
          <cell r="CJ15" t="str">
            <v>ISO4217:USD</v>
          </cell>
          <cell r="CK15" t="b">
            <v>0</v>
          </cell>
          <cell r="CL15" t="b">
            <v>0</v>
          </cell>
        </row>
        <row r="16">
          <cell r="A16" t="str">
            <v xml:space="preserve"> Deferred charges/Notes receivable</v>
          </cell>
          <cell r="C16">
            <v>0</v>
          </cell>
          <cell r="D16">
            <v>0</v>
          </cell>
          <cell r="E16">
            <v>0</v>
          </cell>
          <cell r="H16">
            <v>0</v>
          </cell>
          <cell r="I16">
            <v>0</v>
          </cell>
          <cell r="J16">
            <v>0</v>
          </cell>
          <cell r="O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CH16" t="str">
            <v>mstag:notesReceivableCurrent</v>
          </cell>
          <cell r="CI16">
            <v>6</v>
          </cell>
          <cell r="CJ16" t="str">
            <v>ISO4217:USD</v>
          </cell>
          <cell r="CK16" t="b">
            <v>0</v>
          </cell>
          <cell r="CL16" t="b">
            <v>0</v>
          </cell>
        </row>
        <row r="17">
          <cell r="A17" t="str">
            <v xml:space="preserve"> Other current assets</v>
          </cell>
          <cell r="C17">
            <v>856</v>
          </cell>
          <cell r="D17">
            <v>591</v>
          </cell>
          <cell r="E17">
            <v>926</v>
          </cell>
          <cell r="F17">
            <v>890</v>
          </cell>
          <cell r="G17">
            <v>1039</v>
          </cell>
          <cell r="H17">
            <v>2430</v>
          </cell>
          <cell r="I17">
            <v>2470</v>
          </cell>
          <cell r="J17">
            <v>2165</v>
          </cell>
          <cell r="K17">
            <v>2708</v>
          </cell>
          <cell r="L17">
            <v>2276</v>
          </cell>
          <cell r="M17">
            <v>3611</v>
          </cell>
          <cell r="N17">
            <v>1721.76661217224</v>
          </cell>
          <cell r="O17">
            <v>1746.6527565395143</v>
          </cell>
          <cell r="P17">
            <v>1778.0492780925185</v>
          </cell>
          <cell r="Q17">
            <v>1810.9348593706873</v>
          </cell>
          <cell r="R17">
            <v>1843.8219322953953</v>
          </cell>
          <cell r="S17">
            <v>1874.9190402037952</v>
          </cell>
          <cell r="T17">
            <v>1904.4803567273734</v>
          </cell>
          <cell r="Y17">
            <v>856</v>
          </cell>
          <cell r="Z17">
            <v>792</v>
          </cell>
          <cell r="AA17">
            <v>781</v>
          </cell>
          <cell r="AB17">
            <v>843</v>
          </cell>
          <cell r="AC17">
            <v>591</v>
          </cell>
          <cell r="AD17">
            <v>1069</v>
          </cell>
          <cell r="AE17">
            <v>1277</v>
          </cell>
          <cell r="AF17">
            <v>1297</v>
          </cell>
          <cell r="AG17">
            <v>926</v>
          </cell>
          <cell r="AH17">
            <v>1112</v>
          </cell>
          <cell r="AI17">
            <v>1103</v>
          </cell>
          <cell r="AJ17">
            <v>855</v>
          </cell>
          <cell r="AK17">
            <v>890</v>
          </cell>
          <cell r="AL17">
            <v>828</v>
          </cell>
          <cell r="AM17">
            <v>784</v>
          </cell>
          <cell r="AN17">
            <v>753</v>
          </cell>
          <cell r="AO17">
            <v>1039</v>
          </cell>
          <cell r="AP17">
            <v>1057</v>
          </cell>
          <cell r="AQ17">
            <v>1034</v>
          </cell>
          <cell r="AR17">
            <v>957</v>
          </cell>
          <cell r="AS17">
            <v>2430</v>
          </cell>
          <cell r="AT17">
            <v>2120</v>
          </cell>
          <cell r="AU17">
            <v>2352</v>
          </cell>
          <cell r="AV17">
            <v>2191</v>
          </cell>
          <cell r="AW17">
            <v>2470</v>
          </cell>
          <cell r="AX17">
            <v>2742</v>
          </cell>
          <cell r="AY17">
            <v>2545</v>
          </cell>
          <cell r="AZ17">
            <v>2239</v>
          </cell>
          <cell r="BA17">
            <v>2165</v>
          </cell>
          <cell r="BB17">
            <v>2083</v>
          </cell>
          <cell r="BC17">
            <v>1996</v>
          </cell>
          <cell r="BD17">
            <v>2176</v>
          </cell>
          <cell r="BE17">
            <v>2708</v>
          </cell>
          <cell r="BF17">
            <v>2465</v>
          </cell>
          <cell r="BG17">
            <v>3344</v>
          </cell>
          <cell r="BH17">
            <v>2380</v>
          </cell>
          <cell r="BI17">
            <v>2276</v>
          </cell>
          <cell r="BJ17">
            <v>2269</v>
          </cell>
          <cell r="BK17">
            <v>2057</v>
          </cell>
          <cell r="BL17">
            <v>1858</v>
          </cell>
          <cell r="BM17">
            <v>3611</v>
          </cell>
          <cell r="BN17">
            <v>1987</v>
          </cell>
          <cell r="BO17">
            <v>1624</v>
          </cell>
          <cell r="BP17">
            <v>1694</v>
          </cell>
          <cell r="BQ17">
            <v>1721.76661217224</v>
          </cell>
          <cell r="BR17">
            <v>1696.4582986077728</v>
          </cell>
          <cell r="BS17">
            <v>1711.1040560245008</v>
          </cell>
          <cell r="BT17">
            <v>1727.0692704677294</v>
          </cell>
          <cell r="BU17">
            <v>1746.6527565395143</v>
          </cell>
          <cell r="CH17" t="str">
            <v>mstag:otherAssetsOperatingCurrent</v>
          </cell>
          <cell r="CI17">
            <v>6</v>
          </cell>
          <cell r="CJ17" t="str">
            <v>ISO4217:USD</v>
          </cell>
          <cell r="CK17" t="b">
            <v>0</v>
          </cell>
          <cell r="CL17" t="b">
            <v>0</v>
          </cell>
        </row>
        <row r="18">
          <cell r="A18" t="str">
            <v>Assets of Discontinued Operations</v>
          </cell>
          <cell r="E18">
            <v>252</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AG18">
            <v>252</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CH18" t="str">
            <v>mstag:assetsOfDiscontinuedOperations</v>
          </cell>
          <cell r="CI18">
            <v>6</v>
          </cell>
          <cell r="CJ18" t="str">
            <v>ISO4217:USD</v>
          </cell>
          <cell r="CK18" t="b">
            <v>0</v>
          </cell>
          <cell r="CL18" t="b">
            <v>0</v>
          </cell>
        </row>
        <row r="19">
          <cell r="A19" t="str">
            <v xml:space="preserve">  Total current assets</v>
          </cell>
          <cell r="C19">
            <v>12580</v>
          </cell>
          <cell r="D19">
            <v>14089</v>
          </cell>
          <cell r="E19">
            <v>14023</v>
          </cell>
          <cell r="F19">
            <v>8541</v>
          </cell>
          <cell r="G19">
            <v>14654</v>
          </cell>
          <cell r="H19">
            <v>25553</v>
          </cell>
          <cell r="I19">
            <v>24741</v>
          </cell>
          <cell r="J19">
            <v>22556</v>
          </cell>
          <cell r="K19">
            <v>24334</v>
          </cell>
          <cell r="L19">
            <v>19951</v>
          </cell>
          <cell r="M19">
            <v>23027</v>
          </cell>
          <cell r="N19">
            <v>19105.422204085469</v>
          </cell>
          <cell r="O19">
            <v>20366.121512319951</v>
          </cell>
          <cell r="P19">
            <v>19565.714685462848</v>
          </cell>
          <cell r="Q19">
            <v>22188.541441881702</v>
          </cell>
          <cell r="R19">
            <v>24035.657525783372</v>
          </cell>
          <cell r="S19">
            <v>29022.363262910323</v>
          </cell>
          <cell r="T19">
            <v>35504.325250606053</v>
          </cell>
          <cell r="Y19">
            <v>12580</v>
          </cell>
          <cell r="Z19">
            <v>11892</v>
          </cell>
          <cell r="AA19">
            <v>12328</v>
          </cell>
          <cell r="AB19">
            <v>11465</v>
          </cell>
          <cell r="AC19">
            <v>14089</v>
          </cell>
          <cell r="AD19">
            <v>14537</v>
          </cell>
          <cell r="AE19">
            <v>14760</v>
          </cell>
          <cell r="AF19">
            <v>14890</v>
          </cell>
          <cell r="AG19">
            <v>14023</v>
          </cell>
          <cell r="AH19">
            <v>15818</v>
          </cell>
          <cell r="AI19">
            <v>19957</v>
          </cell>
          <cell r="AJ19">
            <v>21112</v>
          </cell>
          <cell r="AK19">
            <v>8541</v>
          </cell>
          <cell r="AL19">
            <v>8014</v>
          </cell>
          <cell r="AM19">
            <v>7822</v>
          </cell>
          <cell r="AN19">
            <v>8102</v>
          </cell>
          <cell r="AO19">
            <v>14654</v>
          </cell>
          <cell r="AP19">
            <v>13850</v>
          </cell>
          <cell r="AQ19">
            <v>13635</v>
          </cell>
          <cell r="AR19">
            <v>13512</v>
          </cell>
          <cell r="AS19">
            <v>25553</v>
          </cell>
          <cell r="AT19">
            <v>24693</v>
          </cell>
          <cell r="AU19">
            <v>24393</v>
          </cell>
          <cell r="AV19">
            <v>25543</v>
          </cell>
          <cell r="AW19">
            <v>24741</v>
          </cell>
          <cell r="AX19">
            <v>23946</v>
          </cell>
          <cell r="AY19">
            <v>23225</v>
          </cell>
          <cell r="AZ19">
            <v>23445</v>
          </cell>
          <cell r="BA19">
            <v>22556</v>
          </cell>
          <cell r="BB19">
            <v>23521</v>
          </cell>
          <cell r="BC19">
            <v>26940</v>
          </cell>
          <cell r="BD19">
            <v>25921</v>
          </cell>
          <cell r="BE19">
            <v>24334</v>
          </cell>
          <cell r="BF19">
            <v>22362</v>
          </cell>
          <cell r="BG19">
            <v>21392</v>
          </cell>
          <cell r="BH19">
            <v>21977</v>
          </cell>
          <cell r="BI19">
            <v>19951</v>
          </cell>
          <cell r="BJ19">
            <v>19737</v>
          </cell>
          <cell r="BK19">
            <v>22239</v>
          </cell>
          <cell r="BL19">
            <v>28605</v>
          </cell>
          <cell r="BM19">
            <v>23027</v>
          </cell>
          <cell r="BN19">
            <v>20765</v>
          </cell>
          <cell r="BO19">
            <v>19156</v>
          </cell>
          <cell r="BP19">
            <v>18958</v>
          </cell>
          <cell r="BQ19">
            <v>19105.422204085469</v>
          </cell>
          <cell r="BR19">
            <v>17299.419442768824</v>
          </cell>
          <cell r="BS19">
            <v>17677.206716594337</v>
          </cell>
          <cell r="BT19">
            <v>18670.186667869391</v>
          </cell>
          <cell r="BU19">
            <v>20366.121512319951</v>
          </cell>
        </row>
        <row r="20">
          <cell r="A20" t="str">
            <v xml:space="preserve">check </v>
          </cell>
          <cell r="C20">
            <v>0</v>
          </cell>
          <cell r="D20">
            <v>0</v>
          </cell>
          <cell r="F20">
            <v>0</v>
          </cell>
          <cell r="G20">
            <v>0</v>
          </cell>
          <cell r="H20">
            <v>0</v>
          </cell>
          <cell r="I20">
            <v>0</v>
          </cell>
          <cell r="J20">
            <v>0</v>
          </cell>
          <cell r="K20">
            <v>0</v>
          </cell>
          <cell r="Q20">
            <v>0</v>
          </cell>
          <cell r="R20">
            <v>0</v>
          </cell>
          <cell r="S20">
            <v>0</v>
          </cell>
          <cell r="T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row>
        <row r="22">
          <cell r="A22" t="str">
            <v>PPE - gross</v>
          </cell>
          <cell r="D22">
            <v>131755</v>
          </cell>
          <cell r="E22">
            <v>133923</v>
          </cell>
          <cell r="F22">
            <v>136177</v>
          </cell>
          <cell r="G22">
            <v>149238</v>
          </cell>
          <cell r="H22">
            <v>202149</v>
          </cell>
          <cell r="I22">
            <v>210518</v>
          </cell>
          <cell r="J22">
            <v>218579</v>
          </cell>
          <cell r="K22">
            <v>230552</v>
          </cell>
          <cell r="L22">
            <v>243833</v>
          </cell>
          <cell r="M22">
            <v>260279</v>
          </cell>
          <cell r="N22">
            <v>266179.739623353</v>
          </cell>
          <cell r="O22">
            <v>276583.21017145645</v>
          </cell>
          <cell r="P22">
            <v>289819.68979152048</v>
          </cell>
          <cell r="Q22">
            <v>302902.74177317618</v>
          </cell>
          <cell r="R22">
            <v>305889.49163747422</v>
          </cell>
          <cell r="S22">
            <v>308729.48447307403</v>
          </cell>
          <cell r="T22">
            <v>311499.3430222735</v>
          </cell>
          <cell r="Y22">
            <v>127524</v>
          </cell>
          <cell r="Z22">
            <v>129023</v>
          </cell>
          <cell r="AA22">
            <v>129982</v>
          </cell>
          <cell r="AB22">
            <v>130926</v>
          </cell>
          <cell r="AC22">
            <v>131755</v>
          </cell>
          <cell r="AD22">
            <v>131990</v>
          </cell>
          <cell r="AE22">
            <v>131986</v>
          </cell>
          <cell r="AF22">
            <v>132637</v>
          </cell>
          <cell r="AG22">
            <v>133923</v>
          </cell>
          <cell r="AH22">
            <v>134324</v>
          </cell>
          <cell r="AI22">
            <v>134943</v>
          </cell>
          <cell r="AJ22">
            <v>135454</v>
          </cell>
          <cell r="AK22">
            <v>136177</v>
          </cell>
          <cell r="AL22">
            <v>136770</v>
          </cell>
          <cell r="AM22">
            <v>137498</v>
          </cell>
          <cell r="AN22">
            <v>138139</v>
          </cell>
          <cell r="AO22">
            <v>149238</v>
          </cell>
          <cell r="AP22">
            <v>150516</v>
          </cell>
          <cell r="AQ22">
            <v>151716</v>
          </cell>
          <cell r="AR22">
            <v>152573</v>
          </cell>
          <cell r="AS22">
            <v>202149</v>
          </cell>
          <cell r="AT22">
            <v>204205</v>
          </cell>
          <cell r="AU22">
            <v>203845</v>
          </cell>
          <cell r="AV22">
            <v>206818</v>
          </cell>
          <cell r="AW22">
            <v>210518</v>
          </cell>
          <cell r="AX22">
            <v>209920</v>
          </cell>
          <cell r="AY22">
            <v>212549</v>
          </cell>
          <cell r="AZ22">
            <v>215420</v>
          </cell>
          <cell r="BA22">
            <v>218579</v>
          </cell>
          <cell r="BB22">
            <v>219769</v>
          </cell>
          <cell r="BC22">
            <v>222926</v>
          </cell>
          <cell r="BD22">
            <v>225669</v>
          </cell>
          <cell r="BE22">
            <v>230552</v>
          </cell>
          <cell r="BF22">
            <v>232466</v>
          </cell>
          <cell r="BG22">
            <v>236187</v>
          </cell>
          <cell r="BH22">
            <v>240466</v>
          </cell>
          <cell r="BI22">
            <v>243833</v>
          </cell>
          <cell r="BJ22">
            <v>247446</v>
          </cell>
          <cell r="BK22">
            <v>252050</v>
          </cell>
          <cell r="BL22">
            <v>256626</v>
          </cell>
          <cell r="BM22">
            <v>260279</v>
          </cell>
          <cell r="BN22">
            <v>260211</v>
          </cell>
          <cell r="BO22">
            <v>263648</v>
          </cell>
          <cell r="BP22">
            <v>268894</v>
          </cell>
          <cell r="BQ22">
            <v>266179.739623353</v>
          </cell>
          <cell r="BR22">
            <v>268629.11433130607</v>
          </cell>
          <cell r="BS22">
            <v>271191.67183991178</v>
          </cell>
          <cell r="BT22">
            <v>273853.05669786042</v>
          </cell>
          <cell r="BU22">
            <v>276583.21017145645</v>
          </cell>
          <cell r="CH22" t="str">
            <v>mstag:propertyPlantAndEquipmentGross</v>
          </cell>
          <cell r="CI22">
            <v>6</v>
          </cell>
          <cell r="CJ22" t="str">
            <v>ISO4217:USD</v>
          </cell>
          <cell r="CK22" t="b">
            <v>0</v>
          </cell>
          <cell r="CL22" t="b">
            <v>0</v>
          </cell>
        </row>
        <row r="23">
          <cell r="A23" t="str">
            <v>less: accumulated depreciation</v>
          </cell>
          <cell r="D23">
            <v>83265</v>
          </cell>
          <cell r="E23">
            <v>81795</v>
          </cell>
          <cell r="F23">
            <v>86131</v>
          </cell>
          <cell r="G23">
            <v>90511</v>
          </cell>
          <cell r="H23">
            <v>107553</v>
          </cell>
          <cell r="I23">
            <v>114628</v>
          </cell>
          <cell r="J23">
            <v>119491</v>
          </cell>
          <cell r="K23">
            <v>130459</v>
          </cell>
          <cell r="L23">
            <v>140637</v>
          </cell>
          <cell r="M23">
            <v>153192</v>
          </cell>
          <cell r="N23">
            <v>156897.62983672557</v>
          </cell>
          <cell r="O23">
            <v>164063.58602780261</v>
          </cell>
          <cell r="P23">
            <v>174521.15263534029</v>
          </cell>
          <cell r="Q23">
            <v>185453.13252320714</v>
          </cell>
          <cell r="R23">
            <v>190466.67866006657</v>
          </cell>
          <cell r="S23">
            <v>195523.8258037077</v>
          </cell>
          <cell r="T23">
            <v>200624.72997393957</v>
          </cell>
          <cell r="Y23">
            <v>77697</v>
          </cell>
          <cell r="Z23">
            <v>79454</v>
          </cell>
          <cell r="AA23">
            <v>80712</v>
          </cell>
          <cell r="AB23">
            <v>82190</v>
          </cell>
          <cell r="AC23">
            <v>83265</v>
          </cell>
          <cell r="AD23">
            <v>78591</v>
          </cell>
          <cell r="AE23">
            <v>79452</v>
          </cell>
          <cell r="AF23">
            <v>80654</v>
          </cell>
          <cell r="AG23">
            <v>81795</v>
          </cell>
          <cell r="AH23">
            <v>83122</v>
          </cell>
          <cell r="AI23">
            <v>84387</v>
          </cell>
          <cell r="AJ23">
            <v>85398</v>
          </cell>
          <cell r="AK23">
            <v>86131</v>
          </cell>
          <cell r="AL23">
            <v>87459</v>
          </cell>
          <cell r="AM23">
            <v>88700</v>
          </cell>
          <cell r="AN23">
            <v>89699</v>
          </cell>
          <cell r="AO23">
            <v>90511</v>
          </cell>
          <cell r="AP23">
            <v>92149</v>
          </cell>
          <cell r="AQ23">
            <v>93365</v>
          </cell>
          <cell r="AR23">
            <v>94922</v>
          </cell>
          <cell r="AS23">
            <v>107553</v>
          </cell>
          <cell r="AT23">
            <v>110613</v>
          </cell>
          <cell r="AU23">
            <v>109790</v>
          </cell>
          <cell r="AV23">
            <v>112372</v>
          </cell>
          <cell r="AW23">
            <v>114628</v>
          </cell>
          <cell r="AX23">
            <v>113682</v>
          </cell>
          <cell r="AY23">
            <v>115181</v>
          </cell>
          <cell r="AZ23">
            <v>117649</v>
          </cell>
          <cell r="BA23">
            <v>119491</v>
          </cell>
          <cell r="BB23">
            <v>121430</v>
          </cell>
          <cell r="BC23">
            <v>124697</v>
          </cell>
          <cell r="BD23">
            <v>127348</v>
          </cell>
          <cell r="BE23">
            <v>130459</v>
          </cell>
          <cell r="BF23">
            <v>133106</v>
          </cell>
          <cell r="BG23">
            <v>135885</v>
          </cell>
          <cell r="BH23">
            <v>138991</v>
          </cell>
          <cell r="BI23">
            <v>140637</v>
          </cell>
          <cell r="BJ23">
            <v>144077</v>
          </cell>
          <cell r="BK23">
            <v>147444</v>
          </cell>
          <cell r="BL23">
            <v>150840</v>
          </cell>
          <cell r="BM23">
            <v>153192</v>
          </cell>
          <cell r="BN23">
            <v>152980</v>
          </cell>
          <cell r="BO23">
            <v>156165</v>
          </cell>
          <cell r="BP23">
            <v>160677</v>
          </cell>
          <cell r="BQ23">
            <v>156897.62983672557</v>
          </cell>
          <cell r="BR23">
            <v>158663.05805269946</v>
          </cell>
          <cell r="BS23">
            <v>160445.48202669781</v>
          </cell>
          <cell r="BT23">
            <v>162245.52498162462</v>
          </cell>
          <cell r="BU23">
            <v>164063.58602780261</v>
          </cell>
          <cell r="CH23" t="str">
            <v>mstag:accumulatedDepreciation</v>
          </cell>
          <cell r="CI23">
            <v>6</v>
          </cell>
          <cell r="CJ23" t="str">
            <v>ISO4217:USD</v>
          </cell>
          <cell r="CK23" t="b">
            <v>0</v>
          </cell>
          <cell r="CL23" t="b">
            <v>0</v>
          </cell>
        </row>
        <row r="24">
          <cell r="A24" t="str">
            <v xml:space="preserve">PPE - net </v>
          </cell>
          <cell r="C24">
            <v>49827</v>
          </cell>
          <cell r="D24">
            <v>48490</v>
          </cell>
          <cell r="E24">
            <v>52128</v>
          </cell>
          <cell r="F24">
            <v>50046</v>
          </cell>
          <cell r="G24">
            <v>58727</v>
          </cell>
          <cell r="H24">
            <v>94596</v>
          </cell>
          <cell r="I24">
            <v>95890</v>
          </cell>
          <cell r="J24">
            <v>99088</v>
          </cell>
          <cell r="K24">
            <v>100093</v>
          </cell>
          <cell r="L24">
            <v>103196</v>
          </cell>
          <cell r="M24">
            <v>107087</v>
          </cell>
          <cell r="N24">
            <v>109282.10978662744</v>
          </cell>
          <cell r="O24">
            <v>112519.62414365384</v>
          </cell>
          <cell r="P24">
            <v>115298.53715618019</v>
          </cell>
          <cell r="Q24">
            <v>117449.60924996904</v>
          </cell>
          <cell r="R24">
            <v>115422.81297740765</v>
          </cell>
          <cell r="S24">
            <v>113205.65866936633</v>
          </cell>
          <cell r="T24">
            <v>110874.61304833394</v>
          </cell>
          <cell r="Y24">
            <v>49827</v>
          </cell>
          <cell r="Z24">
            <v>49569</v>
          </cell>
          <cell r="AA24">
            <v>49270</v>
          </cell>
          <cell r="AB24">
            <v>48736</v>
          </cell>
          <cell r="AC24">
            <v>48490</v>
          </cell>
          <cell r="AD24">
            <v>53399</v>
          </cell>
          <cell r="AE24">
            <v>52534</v>
          </cell>
          <cell r="AF24">
            <v>51983</v>
          </cell>
          <cell r="AG24">
            <v>52128</v>
          </cell>
          <cell r="AH24">
            <v>51202</v>
          </cell>
          <cell r="AI24">
            <v>50556</v>
          </cell>
          <cell r="AJ24">
            <v>50056</v>
          </cell>
          <cell r="AK24">
            <v>50046</v>
          </cell>
          <cell r="AL24">
            <v>49311</v>
          </cell>
          <cell r="AM24">
            <v>48798</v>
          </cell>
          <cell r="AN24">
            <v>48440</v>
          </cell>
          <cell r="AO24">
            <v>58727</v>
          </cell>
          <cell r="AP24">
            <v>58367</v>
          </cell>
          <cell r="AQ24">
            <v>58351</v>
          </cell>
          <cell r="AR24">
            <v>57651</v>
          </cell>
          <cell r="AS24">
            <v>94596</v>
          </cell>
          <cell r="AT24">
            <v>93592</v>
          </cell>
          <cell r="AU24">
            <v>94055</v>
          </cell>
          <cell r="AV24">
            <v>94446</v>
          </cell>
          <cell r="AW24">
            <v>95890</v>
          </cell>
          <cell r="AX24">
            <v>96238</v>
          </cell>
          <cell r="AY24">
            <v>97368</v>
          </cell>
          <cell r="AZ24">
            <v>97771</v>
          </cell>
          <cell r="BA24">
            <v>99088</v>
          </cell>
          <cell r="BB24">
            <v>98339</v>
          </cell>
          <cell r="BC24">
            <v>98229</v>
          </cell>
          <cell r="BD24">
            <v>98321</v>
          </cell>
          <cell r="BE24">
            <v>100093</v>
          </cell>
          <cell r="BF24">
            <v>99360</v>
          </cell>
          <cell r="BG24">
            <v>100302</v>
          </cell>
          <cell r="BH24">
            <v>101475</v>
          </cell>
          <cell r="BI24">
            <v>103196</v>
          </cell>
          <cell r="BJ24">
            <v>103369</v>
          </cell>
          <cell r="BK24">
            <v>104606</v>
          </cell>
          <cell r="BL24">
            <v>105786</v>
          </cell>
          <cell r="BM24">
            <v>107087</v>
          </cell>
          <cell r="BN24">
            <v>107231</v>
          </cell>
          <cell r="BO24">
            <v>107483</v>
          </cell>
          <cell r="BP24">
            <v>108217</v>
          </cell>
          <cell r="BQ24">
            <v>109282.10978662744</v>
          </cell>
          <cell r="BR24">
            <v>109966.05627860661</v>
          </cell>
          <cell r="BS24">
            <v>110746.18981321398</v>
          </cell>
          <cell r="BT24">
            <v>111607.5317162358</v>
          </cell>
          <cell r="BU24">
            <v>112519.62414365384</v>
          </cell>
        </row>
        <row r="25">
          <cell r="A25" t="str">
            <v>Goodwill - Net</v>
          </cell>
          <cell r="C25">
            <v>3577</v>
          </cell>
          <cell r="D25">
            <v>1643</v>
          </cell>
          <cell r="E25">
            <v>1611</v>
          </cell>
          <cell r="F25">
            <v>1625</v>
          </cell>
          <cell r="G25">
            <v>14055</v>
          </cell>
          <cell r="H25">
            <v>67657</v>
          </cell>
          <cell r="I25">
            <v>70713</v>
          </cell>
          <cell r="J25">
            <v>71829</v>
          </cell>
          <cell r="K25">
            <v>73259</v>
          </cell>
          <cell r="L25">
            <v>73601</v>
          </cell>
          <cell r="M25">
            <v>70842</v>
          </cell>
          <cell r="N25">
            <v>69762</v>
          </cell>
          <cell r="O25">
            <v>69762</v>
          </cell>
          <cell r="P25">
            <v>69762</v>
          </cell>
          <cell r="Q25">
            <v>69762</v>
          </cell>
          <cell r="R25">
            <v>69762</v>
          </cell>
          <cell r="S25">
            <v>69762</v>
          </cell>
          <cell r="T25">
            <v>69762</v>
          </cell>
          <cell r="Y25">
            <v>3577</v>
          </cell>
          <cell r="Z25">
            <v>1656</v>
          </cell>
          <cell r="AA25">
            <v>1658</v>
          </cell>
          <cell r="AB25">
            <v>1658</v>
          </cell>
          <cell r="AC25">
            <v>1643</v>
          </cell>
          <cell r="AD25">
            <v>1643</v>
          </cell>
          <cell r="AE25">
            <v>1643</v>
          </cell>
          <cell r="AF25">
            <v>1622</v>
          </cell>
          <cell r="AG25">
            <v>1611</v>
          </cell>
          <cell r="AH25">
            <v>1621</v>
          </cell>
          <cell r="AI25">
            <v>1625</v>
          </cell>
          <cell r="AJ25">
            <v>1625</v>
          </cell>
          <cell r="AK25">
            <v>1625</v>
          </cell>
          <cell r="AL25">
            <v>1768</v>
          </cell>
          <cell r="AM25">
            <v>1769</v>
          </cell>
          <cell r="AN25">
            <v>1723</v>
          </cell>
          <cell r="AO25">
            <v>14055</v>
          </cell>
          <cell r="AP25">
            <v>13402</v>
          </cell>
          <cell r="AQ25">
            <v>13433</v>
          </cell>
          <cell r="AR25">
            <v>13385</v>
          </cell>
          <cell r="AS25">
            <v>67657</v>
          </cell>
          <cell r="AT25">
            <v>67235</v>
          </cell>
          <cell r="AU25">
            <v>67072</v>
          </cell>
          <cell r="AV25">
            <v>66847</v>
          </cell>
          <cell r="AW25">
            <v>70713</v>
          </cell>
          <cell r="AX25">
            <v>70815</v>
          </cell>
          <cell r="AY25">
            <v>71528</v>
          </cell>
          <cell r="AZ25">
            <v>71537</v>
          </cell>
          <cell r="BA25">
            <v>71829</v>
          </cell>
          <cell r="BB25">
            <v>71694</v>
          </cell>
          <cell r="BC25">
            <v>71691</v>
          </cell>
          <cell r="BD25">
            <v>71727</v>
          </cell>
          <cell r="BE25">
            <v>73259</v>
          </cell>
          <cell r="BF25">
            <v>73052</v>
          </cell>
          <cell r="BG25">
            <v>73484</v>
          </cell>
          <cell r="BH25">
            <v>73447</v>
          </cell>
          <cell r="BI25">
            <v>73601</v>
          </cell>
          <cell r="BJ25">
            <v>73602</v>
          </cell>
          <cell r="BK25">
            <v>73591</v>
          </cell>
          <cell r="BL25">
            <v>73590</v>
          </cell>
          <cell r="BM25">
            <v>70842</v>
          </cell>
          <cell r="BN25">
            <v>70929</v>
          </cell>
          <cell r="BO25">
            <v>69763</v>
          </cell>
          <cell r="BP25">
            <v>69762</v>
          </cell>
          <cell r="BQ25">
            <v>69762</v>
          </cell>
          <cell r="BR25">
            <v>69762</v>
          </cell>
          <cell r="BS25">
            <v>69762</v>
          </cell>
          <cell r="BT25">
            <v>69762</v>
          </cell>
          <cell r="BU25">
            <v>69762</v>
          </cell>
          <cell r="CH25" t="str">
            <v>mstag:goodwill</v>
          </cell>
          <cell r="CI25">
            <v>6</v>
          </cell>
          <cell r="CJ25" t="str">
            <v>ISO4217:USD</v>
          </cell>
          <cell r="CK25" t="b">
            <v>0</v>
          </cell>
          <cell r="CL25" t="b">
            <v>0</v>
          </cell>
        </row>
        <row r="26">
          <cell r="A26" t="str">
            <v>Unrecorded Goodwill</v>
          </cell>
          <cell r="C26">
            <v>82971</v>
          </cell>
          <cell r="D26">
            <v>82971</v>
          </cell>
          <cell r="E26">
            <v>82971</v>
          </cell>
          <cell r="F26">
            <v>82971</v>
          </cell>
          <cell r="G26">
            <v>82971</v>
          </cell>
          <cell r="H26">
            <v>82971</v>
          </cell>
          <cell r="I26">
            <v>82971</v>
          </cell>
          <cell r="J26">
            <v>82971</v>
          </cell>
          <cell r="K26">
            <v>82971</v>
          </cell>
          <cell r="L26">
            <v>82971</v>
          </cell>
          <cell r="M26">
            <v>82971</v>
          </cell>
          <cell r="N26">
            <v>82971</v>
          </cell>
          <cell r="O26">
            <v>82971</v>
          </cell>
          <cell r="P26">
            <v>82971</v>
          </cell>
          <cell r="Q26">
            <v>82971</v>
          </cell>
          <cell r="R26">
            <v>82971</v>
          </cell>
          <cell r="S26">
            <v>82971</v>
          </cell>
          <cell r="T26">
            <v>82971</v>
          </cell>
          <cell r="CH26" t="str">
            <v>mstag:unrecordedGoodwillFromPoolings</v>
          </cell>
          <cell r="CI26">
            <v>6</v>
          </cell>
          <cell r="CJ26" t="str">
            <v>ISO4217:USD</v>
          </cell>
          <cell r="CK26" t="b">
            <v>0</v>
          </cell>
          <cell r="CL26" t="b">
            <v>0</v>
          </cell>
        </row>
        <row r="27">
          <cell r="A27" t="str">
            <v>Cumulative Goodwill Impairments Reported</v>
          </cell>
          <cell r="D27">
            <v>1791</v>
          </cell>
          <cell r="E27">
            <v>1791</v>
          </cell>
          <cell r="F27">
            <v>1791</v>
          </cell>
          <cell r="G27">
            <v>1791</v>
          </cell>
          <cell r="H27">
            <v>1791</v>
          </cell>
          <cell r="I27">
            <v>1791</v>
          </cell>
          <cell r="J27">
            <v>1791</v>
          </cell>
          <cell r="K27">
            <v>1791</v>
          </cell>
          <cell r="L27">
            <v>1791</v>
          </cell>
          <cell r="M27">
            <v>1791</v>
          </cell>
          <cell r="N27">
            <v>1791</v>
          </cell>
          <cell r="O27">
            <v>1791</v>
          </cell>
          <cell r="P27">
            <v>1791</v>
          </cell>
          <cell r="Q27">
            <v>1791</v>
          </cell>
          <cell r="R27">
            <v>1791</v>
          </cell>
          <cell r="S27">
            <v>1791</v>
          </cell>
          <cell r="T27">
            <v>1791</v>
          </cell>
          <cell r="CH27" t="str">
            <v>mstag:cumulativeGoodwillImpairmentsReported</v>
          </cell>
          <cell r="CI27">
            <v>6</v>
          </cell>
          <cell r="CJ27" t="str">
            <v>ISO4217:USD</v>
          </cell>
          <cell r="CK27" t="b">
            <v>0</v>
          </cell>
          <cell r="CL27" t="b">
            <v>0</v>
          </cell>
        </row>
        <row r="28">
          <cell r="A28" t="str">
            <v>Accumulated Amortization</v>
          </cell>
          <cell r="C28">
            <v>771</v>
          </cell>
          <cell r="D28">
            <v>493</v>
          </cell>
          <cell r="E28">
            <v>691</v>
          </cell>
          <cell r="F28">
            <v>719</v>
          </cell>
          <cell r="G28">
            <v>719</v>
          </cell>
          <cell r="H28">
            <v>719</v>
          </cell>
          <cell r="I28">
            <v>719</v>
          </cell>
          <cell r="J28">
            <v>719</v>
          </cell>
          <cell r="K28">
            <v>719</v>
          </cell>
          <cell r="L28">
            <v>719</v>
          </cell>
          <cell r="M28">
            <v>719</v>
          </cell>
          <cell r="N28">
            <v>719</v>
          </cell>
          <cell r="O28">
            <v>719</v>
          </cell>
          <cell r="P28">
            <v>719</v>
          </cell>
          <cell r="Q28">
            <v>719</v>
          </cell>
          <cell r="R28">
            <v>719</v>
          </cell>
          <cell r="S28">
            <v>719</v>
          </cell>
          <cell r="T28">
            <v>719</v>
          </cell>
          <cell r="CH28" t="str">
            <v>mstag:cumulativeAmortization</v>
          </cell>
          <cell r="CI28">
            <v>6</v>
          </cell>
          <cell r="CJ28" t="str">
            <v>ISO4217:USD</v>
          </cell>
          <cell r="CK28" t="b">
            <v>0</v>
          </cell>
          <cell r="CL28" t="b">
            <v>0</v>
          </cell>
        </row>
        <row r="29">
          <cell r="A29" t="str">
            <v>Intangible Assets</v>
          </cell>
          <cell r="H29">
            <v>59740</v>
          </cell>
          <cell r="I29">
            <v>58402</v>
          </cell>
          <cell r="J29">
            <v>63712</v>
          </cell>
          <cell r="K29">
            <v>61823</v>
          </cell>
          <cell r="L29">
            <v>60520</v>
          </cell>
          <cell r="M29">
            <v>59343</v>
          </cell>
          <cell r="N29">
            <v>58513.457367696334</v>
          </cell>
          <cell r="O29">
            <v>57964.95505016754</v>
          </cell>
          <cell r="P29">
            <v>57553.578312020945</v>
          </cell>
          <cell r="Q29">
            <v>57347.889942947644</v>
          </cell>
          <cell r="R29">
            <v>57347.889942947644</v>
          </cell>
          <cell r="S29">
            <v>57347.889942947644</v>
          </cell>
          <cell r="T29">
            <v>57347.889942947644</v>
          </cell>
          <cell r="AS29">
            <v>59740</v>
          </cell>
          <cell r="AT29">
            <v>53554</v>
          </cell>
          <cell r="AU29">
            <v>58117</v>
          </cell>
          <cell r="AV29">
            <v>57049</v>
          </cell>
          <cell r="AW29">
            <v>58402</v>
          </cell>
          <cell r="AX29">
            <v>60280</v>
          </cell>
          <cell r="AY29">
            <v>65183</v>
          </cell>
          <cell r="AZ29">
            <v>64242</v>
          </cell>
          <cell r="BA29">
            <v>63712</v>
          </cell>
          <cell r="BB29">
            <v>62863</v>
          </cell>
          <cell r="BC29">
            <v>62129</v>
          </cell>
          <cell r="BD29">
            <v>61416</v>
          </cell>
          <cell r="BE29">
            <v>61823</v>
          </cell>
          <cell r="BF29">
            <v>61332</v>
          </cell>
          <cell r="BG29">
            <v>61543</v>
          </cell>
          <cell r="BH29">
            <v>61007</v>
          </cell>
          <cell r="BI29">
            <v>60520</v>
          </cell>
          <cell r="BJ29">
            <v>59973</v>
          </cell>
          <cell r="BK29">
            <v>59453</v>
          </cell>
          <cell r="BL29">
            <v>58975</v>
          </cell>
          <cell r="BM29">
            <v>59343</v>
          </cell>
          <cell r="BN29">
            <v>59370</v>
          </cell>
          <cell r="BO29">
            <v>58907</v>
          </cell>
          <cell r="BP29">
            <v>58742</v>
          </cell>
          <cell r="BQ29">
            <v>58513.457367696334</v>
          </cell>
          <cell r="BR29">
            <v>58376.331788314135</v>
          </cell>
          <cell r="BS29">
            <v>58239.206208931937</v>
          </cell>
          <cell r="BT29">
            <v>58102.080629549739</v>
          </cell>
          <cell r="BU29">
            <v>57964.95505016754</v>
          </cell>
          <cell r="CH29" t="str">
            <v>mstag:otherIntangibleAssets</v>
          </cell>
          <cell r="CI29">
            <v>6</v>
          </cell>
          <cell r="CJ29" t="str">
            <v>ISO4217:USD</v>
          </cell>
          <cell r="CK29" t="b">
            <v>0</v>
          </cell>
        </row>
        <row r="30">
          <cell r="A30" t="str">
            <v>Investments in and Advances to Cingular</v>
          </cell>
          <cell r="C30">
            <v>11967</v>
          </cell>
          <cell r="D30">
            <v>10470</v>
          </cell>
          <cell r="E30">
            <v>11003</v>
          </cell>
          <cell r="F30">
            <v>33792</v>
          </cell>
          <cell r="G30">
            <v>31404</v>
          </cell>
          <cell r="H30">
            <v>0</v>
          </cell>
          <cell r="I30">
            <v>0</v>
          </cell>
          <cell r="J30">
            <v>0</v>
          </cell>
          <cell r="K30">
            <v>0</v>
          </cell>
          <cell r="Q30">
            <v>0</v>
          </cell>
          <cell r="R30">
            <v>0</v>
          </cell>
          <cell r="S30">
            <v>0</v>
          </cell>
          <cell r="T30">
            <v>0</v>
          </cell>
          <cell r="Y30">
            <v>11967</v>
          </cell>
          <cell r="Z30">
            <v>12556</v>
          </cell>
          <cell r="AA30">
            <v>9610</v>
          </cell>
          <cell r="AB30">
            <v>10561</v>
          </cell>
          <cell r="AC30">
            <v>10470</v>
          </cell>
          <cell r="AD30">
            <v>10949</v>
          </cell>
          <cell r="AE30">
            <v>11496</v>
          </cell>
          <cell r="AF30">
            <v>11800</v>
          </cell>
          <cell r="AG30">
            <v>11003</v>
          </cell>
          <cell r="AH30">
            <v>11142</v>
          </cell>
          <cell r="AI30">
            <v>11351</v>
          </cell>
          <cell r="AJ30">
            <v>11398</v>
          </cell>
          <cell r="AK30">
            <v>33792</v>
          </cell>
          <cell r="AL30">
            <v>32949</v>
          </cell>
          <cell r="AM30">
            <v>32414</v>
          </cell>
          <cell r="AN30">
            <v>31117</v>
          </cell>
          <cell r="AO30">
            <v>31404</v>
          </cell>
          <cell r="AP30">
            <v>32316</v>
          </cell>
          <cell r="AQ30">
            <v>32656</v>
          </cell>
          <cell r="AR30">
            <v>33029</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CH30" t="str">
            <v>mstag:investmentsUnderTheEquityMethodOperating</v>
          </cell>
          <cell r="CI30">
            <v>6</v>
          </cell>
          <cell r="CJ30" t="str">
            <v>ISO4217:USD</v>
          </cell>
          <cell r="CK30" t="b">
            <v>0</v>
          </cell>
          <cell r="CL30" t="b">
            <v>0</v>
          </cell>
        </row>
        <row r="31">
          <cell r="A31" t="str">
            <v>Investments in Equity Affiliates</v>
          </cell>
          <cell r="C31">
            <v>5924</v>
          </cell>
          <cell r="D31">
            <v>5922</v>
          </cell>
          <cell r="E31">
            <v>6924</v>
          </cell>
          <cell r="F31">
            <v>1798</v>
          </cell>
          <cell r="G31">
            <v>2031</v>
          </cell>
          <cell r="H31">
            <v>1995</v>
          </cell>
          <cell r="I31">
            <v>2270</v>
          </cell>
          <cell r="J31">
            <v>2332</v>
          </cell>
          <cell r="K31">
            <v>2921</v>
          </cell>
          <cell r="L31">
            <v>4515</v>
          </cell>
          <cell r="M31">
            <v>3718</v>
          </cell>
          <cell r="N31">
            <v>4563</v>
          </cell>
          <cell r="O31">
            <v>4563</v>
          </cell>
          <cell r="P31">
            <v>4563</v>
          </cell>
          <cell r="Q31">
            <v>4563</v>
          </cell>
          <cell r="R31">
            <v>4563</v>
          </cell>
          <cell r="S31">
            <v>4563</v>
          </cell>
          <cell r="T31">
            <v>4563</v>
          </cell>
          <cell r="Y31">
            <v>5924</v>
          </cell>
          <cell r="Z31">
            <v>5912</v>
          </cell>
          <cell r="AA31">
            <v>5905</v>
          </cell>
          <cell r="AB31">
            <v>5921</v>
          </cell>
          <cell r="AC31">
            <v>5922</v>
          </cell>
          <cell r="AD31">
            <v>5922</v>
          </cell>
          <cell r="AE31">
            <v>5885</v>
          </cell>
          <cell r="AF31">
            <v>5885</v>
          </cell>
          <cell r="AG31">
            <v>6924</v>
          </cell>
          <cell r="AH31">
            <v>6021</v>
          </cell>
          <cell r="AI31">
            <v>2074</v>
          </cell>
          <cell r="AJ31">
            <v>2182</v>
          </cell>
          <cell r="AK31">
            <v>1798</v>
          </cell>
          <cell r="AL31">
            <v>1867</v>
          </cell>
          <cell r="AM31">
            <v>1768</v>
          </cell>
          <cell r="AN31">
            <v>1828</v>
          </cell>
          <cell r="AO31">
            <v>2031</v>
          </cell>
          <cell r="AP31">
            <v>2090</v>
          </cell>
          <cell r="AQ31">
            <v>2147</v>
          </cell>
          <cell r="AR31">
            <v>2222</v>
          </cell>
          <cell r="AS31">
            <v>1995</v>
          </cell>
          <cell r="AT31">
            <v>2110</v>
          </cell>
          <cell r="AU31">
            <v>2342</v>
          </cell>
          <cell r="AV31">
            <v>2403</v>
          </cell>
          <cell r="AW31">
            <v>2270</v>
          </cell>
          <cell r="AX31">
            <v>2578</v>
          </cell>
          <cell r="AY31">
            <v>2838</v>
          </cell>
          <cell r="AZ31">
            <v>2839</v>
          </cell>
          <cell r="BA31">
            <v>2332</v>
          </cell>
          <cell r="BB31">
            <v>2413</v>
          </cell>
          <cell r="BC31">
            <v>2749</v>
          </cell>
          <cell r="BD31">
            <v>2813</v>
          </cell>
          <cell r="BE31">
            <v>2921</v>
          </cell>
          <cell r="BF31">
            <v>3278</v>
          </cell>
          <cell r="BG31">
            <v>4346</v>
          </cell>
          <cell r="BH31">
            <v>4544</v>
          </cell>
          <cell r="BI31">
            <v>4515</v>
          </cell>
          <cell r="BJ31">
            <v>4845</v>
          </cell>
          <cell r="BK31">
            <v>5207</v>
          </cell>
          <cell r="BL31">
            <v>4483</v>
          </cell>
          <cell r="BM31">
            <v>3718</v>
          </cell>
          <cell r="BN31">
            <v>4302</v>
          </cell>
          <cell r="BO31">
            <v>4388</v>
          </cell>
          <cell r="BP31">
            <v>4563</v>
          </cell>
          <cell r="BQ31">
            <v>4563</v>
          </cell>
          <cell r="BR31">
            <v>4563</v>
          </cell>
          <cell r="BS31">
            <v>4563</v>
          </cell>
          <cell r="BT31">
            <v>4563</v>
          </cell>
          <cell r="BU31">
            <v>4563</v>
          </cell>
          <cell r="CH31" t="str">
            <v>mstag:investmentsUnderTheEquityMethodOperating</v>
          </cell>
          <cell r="CI31">
            <v>6</v>
          </cell>
          <cell r="CJ31" t="str">
            <v>ISO4217:USD</v>
          </cell>
          <cell r="CK31" t="b">
            <v>0</v>
          </cell>
          <cell r="CL31" t="b">
            <v>0</v>
          </cell>
        </row>
        <row r="32">
          <cell r="A32" t="str">
            <v>Other Assets</v>
          </cell>
          <cell r="C32">
            <v>5110</v>
          </cell>
          <cell r="D32">
            <v>5313</v>
          </cell>
          <cell r="E32">
            <v>5158</v>
          </cell>
          <cell r="F32">
            <v>3798</v>
          </cell>
          <cell r="G32">
            <v>15412</v>
          </cell>
          <cell r="H32" t="e">
            <v>#REF!</v>
          </cell>
          <cell r="I32">
            <v>7247</v>
          </cell>
          <cell r="J32">
            <v>5728</v>
          </cell>
          <cell r="K32">
            <v>6322</v>
          </cell>
          <cell r="L32">
            <v>6705</v>
          </cell>
          <cell r="M32">
            <v>6327</v>
          </cell>
          <cell r="N32">
            <v>6607</v>
          </cell>
          <cell r="O32">
            <v>6607</v>
          </cell>
          <cell r="P32">
            <v>6607</v>
          </cell>
          <cell r="Q32">
            <v>6607</v>
          </cell>
          <cell r="R32">
            <v>6607</v>
          </cell>
          <cell r="S32">
            <v>6607</v>
          </cell>
          <cell r="T32">
            <v>6607</v>
          </cell>
          <cell r="Y32">
            <v>12447</v>
          </cell>
          <cell r="Z32">
            <v>12627</v>
          </cell>
          <cell r="AA32">
            <v>15555</v>
          </cell>
          <cell r="AB32">
            <v>15522</v>
          </cell>
          <cell r="AC32">
            <v>14443</v>
          </cell>
          <cell r="AD32">
            <v>14348</v>
          </cell>
          <cell r="AE32">
            <v>14333</v>
          </cell>
          <cell r="AF32">
            <v>15128</v>
          </cell>
          <cell r="AG32">
            <v>14507</v>
          </cell>
          <cell r="AH32">
            <v>14615</v>
          </cell>
          <cell r="AI32">
            <v>14859</v>
          </cell>
          <cell r="AJ32">
            <v>15613</v>
          </cell>
          <cell r="AK32">
            <v>13147</v>
          </cell>
          <cell r="AL32">
            <v>13037</v>
          </cell>
          <cell r="AM32">
            <v>13072</v>
          </cell>
          <cell r="AN32">
            <v>12894</v>
          </cell>
          <cell r="AO32">
            <v>24761</v>
          </cell>
          <cell r="AP32">
            <v>24412</v>
          </cell>
          <cell r="AQ32">
            <v>24128</v>
          </cell>
          <cell r="AR32">
            <v>24093</v>
          </cell>
          <cell r="AS32">
            <v>21093</v>
          </cell>
          <cell r="AT32">
            <v>27092</v>
          </cell>
          <cell r="AU32">
            <v>21367</v>
          </cell>
          <cell r="AV32">
            <v>21680</v>
          </cell>
          <cell r="AW32">
            <v>24538</v>
          </cell>
          <cell r="AX32">
            <v>24342</v>
          </cell>
          <cell r="AY32">
            <v>24366</v>
          </cell>
          <cell r="AZ32">
            <v>24694</v>
          </cell>
          <cell r="BA32">
            <v>5728</v>
          </cell>
          <cell r="BB32">
            <v>5528</v>
          </cell>
          <cell r="BC32">
            <v>6180</v>
          </cell>
          <cell r="BD32">
            <v>6370</v>
          </cell>
          <cell r="BE32">
            <v>6322</v>
          </cell>
          <cell r="BF32">
            <v>6317</v>
          </cell>
          <cell r="BG32">
            <v>6489</v>
          </cell>
          <cell r="BH32">
            <v>6802</v>
          </cell>
          <cell r="BI32">
            <v>6705</v>
          </cell>
          <cell r="BJ32">
            <v>6559</v>
          </cell>
          <cell r="BK32">
            <v>6918</v>
          </cell>
          <cell r="BL32">
            <v>6214</v>
          </cell>
          <cell r="BM32">
            <v>6327</v>
          </cell>
          <cell r="BN32">
            <v>6759</v>
          </cell>
          <cell r="BO32">
            <v>6597</v>
          </cell>
          <cell r="BP32">
            <v>6607</v>
          </cell>
          <cell r="BQ32">
            <v>6607</v>
          </cell>
          <cell r="BR32">
            <v>6607</v>
          </cell>
          <cell r="BS32">
            <v>6607</v>
          </cell>
          <cell r="BT32">
            <v>6607</v>
          </cell>
          <cell r="BU32">
            <v>6607</v>
          </cell>
          <cell r="CH32" t="str">
            <v>mstag:otherAssetsOperatingNonCurrent</v>
          </cell>
          <cell r="CI32">
            <v>6</v>
          </cell>
          <cell r="CJ32" t="str">
            <v>ISO4217:USD</v>
          </cell>
          <cell r="CK32" t="b">
            <v>0</v>
          </cell>
          <cell r="CL32" t="b">
            <v>0</v>
          </cell>
        </row>
        <row r="33">
          <cell r="A33" t="str">
            <v>Prepaid Pension Credit</v>
          </cell>
          <cell r="B33">
            <v>5122</v>
          </cell>
          <cell r="C33">
            <v>7337</v>
          </cell>
          <cell r="D33">
            <v>9130</v>
          </cell>
          <cell r="E33">
            <v>9349</v>
          </cell>
          <cell r="F33">
            <v>9349</v>
          </cell>
          <cell r="G33">
            <v>9349</v>
          </cell>
          <cell r="H33" t="e">
            <v>#REF!</v>
          </cell>
          <cell r="I33">
            <v>17291</v>
          </cell>
          <cell r="J33">
            <v>0</v>
          </cell>
          <cell r="K33">
            <v>0</v>
          </cell>
          <cell r="L33">
            <v>0</v>
          </cell>
          <cell r="M33">
            <v>0</v>
          </cell>
          <cell r="N33">
            <v>0</v>
          </cell>
          <cell r="O33">
            <v>0</v>
          </cell>
          <cell r="P33">
            <v>0</v>
          </cell>
          <cell r="Q33">
            <v>0</v>
          </cell>
          <cell r="R33">
            <v>0</v>
          </cell>
          <cell r="S33">
            <v>0</v>
          </cell>
          <cell r="T33">
            <v>0</v>
          </cell>
          <cell r="BM33">
            <v>0</v>
          </cell>
          <cell r="BN33">
            <v>0</v>
          </cell>
          <cell r="BO33">
            <v>0</v>
          </cell>
          <cell r="BP33">
            <v>0</v>
          </cell>
          <cell r="BQ33">
            <v>0</v>
          </cell>
          <cell r="BR33">
            <v>0</v>
          </cell>
          <cell r="BS33">
            <v>0</v>
          </cell>
          <cell r="BT33">
            <v>0</v>
          </cell>
          <cell r="BU33">
            <v>0</v>
          </cell>
          <cell r="CH33" t="str">
            <v>mstag:pensionAndOtherPostRetirementAssets</v>
          </cell>
          <cell r="CI33">
            <v>6</v>
          </cell>
          <cell r="CJ33" t="str">
            <v>ISO4217:USD</v>
          </cell>
          <cell r="CK33" t="b">
            <v>0</v>
          </cell>
          <cell r="CL33" t="b">
            <v>0</v>
          </cell>
        </row>
        <row r="34">
          <cell r="A34" t="str">
            <v xml:space="preserve">   Total Assets</v>
          </cell>
          <cell r="C34">
            <v>96322</v>
          </cell>
          <cell r="D34">
            <v>95057</v>
          </cell>
          <cell r="E34">
            <v>100196</v>
          </cell>
          <cell r="F34">
            <v>108949</v>
          </cell>
          <cell r="G34">
            <v>145632</v>
          </cell>
          <cell r="H34" t="e">
            <v>#REF!</v>
          </cell>
          <cell r="I34">
            <v>276554</v>
          </cell>
          <cell r="J34">
            <v>265245</v>
          </cell>
          <cell r="K34">
            <v>268752</v>
          </cell>
          <cell r="L34">
            <v>268488</v>
          </cell>
          <cell r="M34">
            <v>270344</v>
          </cell>
          <cell r="N34">
            <v>267832.98935840925</v>
          </cell>
          <cell r="O34">
            <v>271782.7007061413</v>
          </cell>
          <cell r="P34">
            <v>273349.83015366399</v>
          </cell>
          <cell r="Q34">
            <v>277918.04063479841</v>
          </cell>
          <cell r="R34">
            <v>277738.36044613866</v>
          </cell>
          <cell r="S34">
            <v>280507.91187522432</v>
          </cell>
          <cell r="T34">
            <v>284658.82824188762</v>
          </cell>
          <cell r="Y34">
            <v>96322</v>
          </cell>
          <cell r="Z34">
            <v>94212</v>
          </cell>
          <cell r="AA34">
            <v>94326</v>
          </cell>
          <cell r="AB34">
            <v>93863</v>
          </cell>
          <cell r="AC34">
            <v>95057</v>
          </cell>
          <cell r="AD34">
            <v>100798</v>
          </cell>
          <cell r="AE34">
            <v>100651</v>
          </cell>
          <cell r="AF34">
            <v>101308</v>
          </cell>
          <cell r="AG34">
            <v>100196</v>
          </cell>
          <cell r="AH34">
            <v>100419</v>
          </cell>
          <cell r="AI34">
            <v>100422</v>
          </cell>
          <cell r="AJ34">
            <v>101986</v>
          </cell>
          <cell r="AK34">
            <v>108949</v>
          </cell>
          <cell r="AL34">
            <v>106946</v>
          </cell>
          <cell r="AM34">
            <v>105643</v>
          </cell>
          <cell r="AN34">
            <v>104104</v>
          </cell>
          <cell r="AO34">
            <v>145632</v>
          </cell>
          <cell r="AP34">
            <v>144437</v>
          </cell>
          <cell r="AQ34">
            <v>144350</v>
          </cell>
          <cell r="AR34">
            <v>143892</v>
          </cell>
          <cell r="AS34">
            <v>270634</v>
          </cell>
          <cell r="AT34">
            <v>268276</v>
          </cell>
          <cell r="AU34">
            <v>267346</v>
          </cell>
          <cell r="AV34">
            <v>267968</v>
          </cell>
          <cell r="AW34">
            <v>276554</v>
          </cell>
          <cell r="AX34">
            <v>278199</v>
          </cell>
          <cell r="AY34">
            <v>284508</v>
          </cell>
          <cell r="AZ34">
            <v>284528</v>
          </cell>
          <cell r="BA34">
            <v>265245</v>
          </cell>
          <cell r="BB34">
            <v>264358</v>
          </cell>
          <cell r="BC34">
            <v>267918</v>
          </cell>
          <cell r="BD34">
            <v>266568</v>
          </cell>
          <cell r="BE34">
            <v>268752</v>
          </cell>
          <cell r="BF34">
            <v>265701</v>
          </cell>
          <cell r="BG34">
            <v>267556</v>
          </cell>
          <cell r="BH34">
            <v>269252</v>
          </cell>
          <cell r="BI34">
            <v>268488</v>
          </cell>
          <cell r="BJ34">
            <v>268085</v>
          </cell>
          <cell r="BK34">
            <v>272014</v>
          </cell>
          <cell r="BL34">
            <v>277653</v>
          </cell>
          <cell r="BM34">
            <v>270344</v>
          </cell>
          <cell r="BN34">
            <v>269356</v>
          </cell>
          <cell r="BO34">
            <v>266294</v>
          </cell>
          <cell r="BP34">
            <v>266849</v>
          </cell>
          <cell r="BQ34">
            <v>267832.98935840925</v>
          </cell>
          <cell r="BR34">
            <v>266573.80750968959</v>
          </cell>
          <cell r="BS34">
            <v>267594.60273874027</v>
          </cell>
          <cell r="BT34">
            <v>269311.79901365493</v>
          </cell>
          <cell r="BU34">
            <v>271782.7007061413</v>
          </cell>
        </row>
        <row r="35">
          <cell r="A35" t="str">
            <v xml:space="preserve">check </v>
          </cell>
          <cell r="C35">
            <v>0</v>
          </cell>
          <cell r="D35">
            <v>0</v>
          </cell>
          <cell r="E35">
            <v>0</v>
          </cell>
          <cell r="F35">
            <v>0</v>
          </cell>
          <cell r="G35">
            <v>0</v>
          </cell>
          <cell r="H35" t="e">
            <v>#REF!</v>
          </cell>
          <cell r="I35">
            <v>0</v>
          </cell>
          <cell r="J35">
            <v>0</v>
          </cell>
          <cell r="K35">
            <v>0</v>
          </cell>
          <cell r="L35">
            <v>0</v>
          </cell>
          <cell r="M35">
            <v>0</v>
          </cell>
          <cell r="N35">
            <v>0</v>
          </cell>
          <cell r="O35">
            <v>0</v>
          </cell>
          <cell r="P35">
            <v>-5.8207660913467407E-11</v>
          </cell>
          <cell r="Q35">
            <v>0</v>
          </cell>
          <cell r="R35">
            <v>0</v>
          </cell>
          <cell r="S35">
            <v>0</v>
          </cell>
          <cell r="T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7">
          <cell r="A37" t="str">
            <v>Liabilities and SE</v>
          </cell>
          <cell r="I37">
            <v>0</v>
          </cell>
          <cell r="J37">
            <v>0</v>
          </cell>
          <cell r="K37">
            <v>0</v>
          </cell>
        </row>
        <row r="38">
          <cell r="A38" t="str">
            <v>Debt maturing within one year</v>
          </cell>
          <cell r="C38">
            <v>9033</v>
          </cell>
          <cell r="D38">
            <v>3505</v>
          </cell>
          <cell r="E38">
            <v>1879</v>
          </cell>
          <cell r="F38">
            <v>5734</v>
          </cell>
          <cell r="G38">
            <v>4455</v>
          </cell>
          <cell r="H38">
            <v>9733</v>
          </cell>
          <cell r="I38">
            <v>6860</v>
          </cell>
          <cell r="J38">
            <v>14119</v>
          </cell>
          <cell r="K38">
            <v>7361</v>
          </cell>
          <cell r="L38">
            <v>7196</v>
          </cell>
          <cell r="M38">
            <v>3453</v>
          </cell>
          <cell r="N38">
            <v>3433</v>
          </cell>
          <cell r="O38">
            <v>3433</v>
          </cell>
          <cell r="P38">
            <v>3433</v>
          </cell>
          <cell r="Q38">
            <v>3433</v>
          </cell>
          <cell r="R38">
            <v>3433</v>
          </cell>
          <cell r="S38">
            <v>3433</v>
          </cell>
          <cell r="T38">
            <v>3433</v>
          </cell>
          <cell r="Y38">
            <v>9033</v>
          </cell>
          <cell r="Z38">
            <v>8489</v>
          </cell>
          <cell r="AA38">
            <v>6992</v>
          </cell>
          <cell r="AB38">
            <v>5134</v>
          </cell>
          <cell r="AC38">
            <v>3505</v>
          </cell>
          <cell r="AD38">
            <v>1805</v>
          </cell>
          <cell r="AE38">
            <v>1790</v>
          </cell>
          <cell r="AF38">
            <v>1900</v>
          </cell>
          <cell r="AG38">
            <v>1879</v>
          </cell>
          <cell r="AH38">
            <v>2070</v>
          </cell>
          <cell r="AI38">
            <v>2460</v>
          </cell>
          <cell r="AJ38">
            <v>1703</v>
          </cell>
          <cell r="AK38">
            <v>5734</v>
          </cell>
          <cell r="AL38">
            <v>6175</v>
          </cell>
          <cell r="AM38">
            <v>6890</v>
          </cell>
          <cell r="AN38">
            <v>5386</v>
          </cell>
          <cell r="AO38">
            <v>4455</v>
          </cell>
          <cell r="AP38">
            <v>5712</v>
          </cell>
          <cell r="AQ38">
            <v>3314</v>
          </cell>
          <cell r="AR38">
            <v>4713</v>
          </cell>
          <cell r="AS38">
            <v>9733</v>
          </cell>
          <cell r="AT38">
            <v>7119</v>
          </cell>
          <cell r="AU38">
            <v>7701</v>
          </cell>
          <cell r="AV38">
            <v>6026</v>
          </cell>
          <cell r="AW38">
            <v>6860</v>
          </cell>
          <cell r="AX38">
            <v>13301</v>
          </cell>
          <cell r="AY38">
            <v>16472</v>
          </cell>
          <cell r="AZ38">
            <v>17419</v>
          </cell>
          <cell r="BA38">
            <v>14119</v>
          </cell>
          <cell r="BB38">
            <v>10790</v>
          </cell>
          <cell r="BC38">
            <v>10155</v>
          </cell>
          <cell r="BD38">
            <v>6755</v>
          </cell>
          <cell r="BE38">
            <v>7361</v>
          </cell>
          <cell r="BF38">
            <v>9437</v>
          </cell>
          <cell r="BG38">
            <v>9721</v>
          </cell>
          <cell r="BH38">
            <v>6426</v>
          </cell>
          <cell r="BI38">
            <v>7196</v>
          </cell>
          <cell r="BJ38">
            <v>6902</v>
          </cell>
          <cell r="BK38">
            <v>7910</v>
          </cell>
          <cell r="BL38">
            <v>8900</v>
          </cell>
          <cell r="BM38">
            <v>3453</v>
          </cell>
          <cell r="BN38">
            <v>6775</v>
          </cell>
          <cell r="BO38">
            <v>3402</v>
          </cell>
          <cell r="BP38">
            <v>3433</v>
          </cell>
          <cell r="BQ38">
            <v>3433</v>
          </cell>
          <cell r="BR38">
            <v>3433</v>
          </cell>
          <cell r="BS38">
            <v>3433</v>
          </cell>
          <cell r="BT38">
            <v>3433</v>
          </cell>
          <cell r="BU38">
            <v>3433</v>
          </cell>
          <cell r="CH38" t="str">
            <v>mstag:shortTermBorrowings</v>
          </cell>
          <cell r="CI38">
            <v>6</v>
          </cell>
          <cell r="CJ38" t="str">
            <v>ISO4217:USD</v>
          </cell>
          <cell r="CK38" t="b">
            <v>0</v>
          </cell>
          <cell r="CL38" t="b">
            <v>0</v>
          </cell>
        </row>
        <row r="39">
          <cell r="A39" t="str">
            <v>A/P</v>
          </cell>
          <cell r="C39">
            <v>14057</v>
          </cell>
          <cell r="D39">
            <v>9413</v>
          </cell>
          <cell r="E39">
            <v>11030</v>
          </cell>
          <cell r="F39">
            <v>11525</v>
          </cell>
          <cell r="G39">
            <v>19674</v>
          </cell>
          <cell r="H39">
            <v>28534</v>
          </cell>
          <cell r="I39">
            <v>29997</v>
          </cell>
          <cell r="J39">
            <v>25755</v>
          </cell>
          <cell r="K39">
            <v>26865</v>
          </cell>
          <cell r="L39">
            <v>24213</v>
          </cell>
          <cell r="M39">
            <v>24733</v>
          </cell>
          <cell r="N39">
            <v>26731.122250936522</v>
          </cell>
          <cell r="O39">
            <v>27079.816726602134</v>
          </cell>
          <cell r="P39">
            <v>26284.040291400277</v>
          </cell>
          <cell r="Q39">
            <v>26686.923260650667</v>
          </cell>
          <cell r="R39">
            <v>26776.50721221642</v>
          </cell>
          <cell r="S39">
            <v>26909.862656313231</v>
          </cell>
          <cell r="T39">
            <v>27384.263635858653</v>
          </cell>
          <cell r="Y39">
            <v>14057</v>
          </cell>
          <cell r="Z39">
            <v>11684</v>
          </cell>
          <cell r="AA39">
            <v>12147</v>
          </cell>
          <cell r="AB39">
            <v>12555</v>
          </cell>
          <cell r="AC39">
            <v>10283</v>
          </cell>
          <cell r="AD39">
            <v>10555</v>
          </cell>
          <cell r="AE39">
            <v>11937</v>
          </cell>
          <cell r="AF39">
            <v>12552</v>
          </cell>
          <cell r="AG39">
            <v>11030</v>
          </cell>
          <cell r="AH39">
            <v>10366</v>
          </cell>
          <cell r="AI39">
            <v>10293</v>
          </cell>
          <cell r="AJ39">
            <v>9969</v>
          </cell>
          <cell r="AK39">
            <v>11525</v>
          </cell>
          <cell r="AL39">
            <v>10350</v>
          </cell>
          <cell r="AM39">
            <v>10970</v>
          </cell>
          <cell r="AN39">
            <v>11850</v>
          </cell>
          <cell r="AO39">
            <v>19674</v>
          </cell>
          <cell r="AP39">
            <v>17750</v>
          </cell>
          <cell r="AQ39">
            <v>18427</v>
          </cell>
          <cell r="AR39">
            <v>17911</v>
          </cell>
          <cell r="AS39">
            <v>28534</v>
          </cell>
          <cell r="AT39">
            <v>25430</v>
          </cell>
          <cell r="AU39">
            <v>28670</v>
          </cell>
          <cell r="AV39">
            <v>29992</v>
          </cell>
          <cell r="AW39">
            <v>29997</v>
          </cell>
          <cell r="AX39">
            <v>26453</v>
          </cell>
          <cell r="AY39">
            <v>26282</v>
          </cell>
          <cell r="AZ39">
            <v>25562</v>
          </cell>
          <cell r="BA39">
            <v>25755</v>
          </cell>
          <cell r="BB39">
            <v>23823</v>
          </cell>
          <cell r="BC39">
            <v>23645</v>
          </cell>
          <cell r="BD39">
            <v>24094</v>
          </cell>
          <cell r="BE39">
            <v>26865</v>
          </cell>
          <cell r="BF39">
            <v>24787</v>
          </cell>
          <cell r="BG39">
            <v>23979</v>
          </cell>
          <cell r="BH39">
            <v>23766</v>
          </cell>
          <cell r="BI39">
            <v>24213</v>
          </cell>
          <cell r="BJ39">
            <v>23807</v>
          </cell>
          <cell r="BK39">
            <v>23079</v>
          </cell>
          <cell r="BL39">
            <v>22583</v>
          </cell>
          <cell r="BM39">
            <v>24733</v>
          </cell>
          <cell r="BN39">
            <v>23160</v>
          </cell>
          <cell r="BO39">
            <v>23746</v>
          </cell>
          <cell r="BP39">
            <v>24854</v>
          </cell>
          <cell r="BQ39">
            <v>26731.122250936522</v>
          </cell>
          <cell r="BR39">
            <v>24489.956189147328</v>
          </cell>
          <cell r="BS39">
            <v>24195.03538104759</v>
          </cell>
          <cell r="BT39">
            <v>24671.688322880251</v>
          </cell>
          <cell r="BU39">
            <v>27079.816726602134</v>
          </cell>
          <cell r="CH39" t="str">
            <v>mstag:tradeAndOtherPayablesCurrent</v>
          </cell>
          <cell r="CI39">
            <v>6</v>
          </cell>
          <cell r="CJ39" t="str">
            <v>ISO4217:USD</v>
          </cell>
          <cell r="CK39" t="b">
            <v>0</v>
          </cell>
          <cell r="CL39" t="b">
            <v>0</v>
          </cell>
        </row>
        <row r="40">
          <cell r="A40" t="str">
            <v>Accrued Income Taxes</v>
          </cell>
          <cell r="C40">
            <v>0</v>
          </cell>
          <cell r="D40">
            <v>870</v>
          </cell>
          <cell r="E40">
            <v>0</v>
          </cell>
          <cell r="F40">
            <v>0</v>
          </cell>
          <cell r="G40">
            <v>0</v>
          </cell>
          <cell r="H40">
            <v>0</v>
          </cell>
          <cell r="I40">
            <v>0</v>
          </cell>
          <cell r="J40">
            <v>0</v>
          </cell>
          <cell r="CH40" t="str">
            <v>mstag:incomeTaxPayable</v>
          </cell>
          <cell r="CI40">
            <v>6</v>
          </cell>
          <cell r="CJ40" t="str">
            <v>ISO4217:USD</v>
          </cell>
          <cell r="CK40" t="b">
            <v>0</v>
          </cell>
          <cell r="CL40" t="b">
            <v>0</v>
          </cell>
        </row>
        <row r="41">
          <cell r="A41" t="str">
            <v>Dividends payable</v>
          </cell>
          <cell r="C41">
            <v>858</v>
          </cell>
          <cell r="D41">
            <v>895</v>
          </cell>
          <cell r="E41">
            <v>1033</v>
          </cell>
          <cell r="F41">
            <v>1065</v>
          </cell>
          <cell r="G41">
            <v>1289</v>
          </cell>
          <cell r="H41">
            <v>2215</v>
          </cell>
          <cell r="I41">
            <v>2417</v>
          </cell>
          <cell r="J41">
            <v>2416</v>
          </cell>
          <cell r="K41">
            <v>2479</v>
          </cell>
          <cell r="L41">
            <v>2542</v>
          </cell>
          <cell r="M41">
            <v>2608</v>
          </cell>
          <cell r="N41">
            <v>2511</v>
          </cell>
          <cell r="O41">
            <v>2511</v>
          </cell>
          <cell r="P41">
            <v>2511</v>
          </cell>
          <cell r="Q41">
            <v>2511</v>
          </cell>
          <cell r="R41">
            <v>2511</v>
          </cell>
          <cell r="S41">
            <v>2511</v>
          </cell>
          <cell r="T41">
            <v>2511</v>
          </cell>
          <cell r="Y41">
            <v>858</v>
          </cell>
          <cell r="Z41">
            <v>900</v>
          </cell>
          <cell r="AA41">
            <v>896</v>
          </cell>
          <cell r="AB41">
            <v>898</v>
          </cell>
          <cell r="AC41">
            <v>895</v>
          </cell>
          <cell r="AD41">
            <v>1103</v>
          </cell>
          <cell r="AE41">
            <v>1272</v>
          </cell>
          <cell r="AF41">
            <v>1267</v>
          </cell>
          <cell r="AG41">
            <v>1033</v>
          </cell>
          <cell r="AH41">
            <v>1035</v>
          </cell>
          <cell r="AI41">
            <v>1035</v>
          </cell>
          <cell r="AJ41">
            <v>1036</v>
          </cell>
          <cell r="AK41">
            <v>1065</v>
          </cell>
          <cell r="AL41">
            <v>1066</v>
          </cell>
          <cell r="AM41">
            <v>1066</v>
          </cell>
          <cell r="AN41">
            <v>1060</v>
          </cell>
          <cell r="AO41">
            <v>1289</v>
          </cell>
          <cell r="AP41">
            <v>1293</v>
          </cell>
          <cell r="AQ41">
            <v>1291</v>
          </cell>
          <cell r="AR41">
            <v>1281</v>
          </cell>
          <cell r="AS41">
            <v>2215</v>
          </cell>
          <cell r="AT41">
            <v>2197</v>
          </cell>
          <cell r="AU41">
            <v>2168</v>
          </cell>
          <cell r="AV41">
            <v>2156</v>
          </cell>
          <cell r="AW41">
            <v>2417</v>
          </cell>
          <cell r="AX41">
            <v>2375</v>
          </cell>
          <cell r="AY41">
            <v>2357</v>
          </cell>
          <cell r="AZ41">
            <v>2357</v>
          </cell>
          <cell r="BA41">
            <v>2416</v>
          </cell>
          <cell r="BB41">
            <v>2419</v>
          </cell>
          <cell r="BC41">
            <v>2419</v>
          </cell>
          <cell r="BD41">
            <v>2419</v>
          </cell>
          <cell r="BE41">
            <v>2479</v>
          </cell>
          <cell r="BF41">
            <v>2482</v>
          </cell>
          <cell r="BG41">
            <v>2482</v>
          </cell>
          <cell r="BH41">
            <v>2482</v>
          </cell>
          <cell r="BI41">
            <v>2542</v>
          </cell>
          <cell r="BJ41">
            <v>2545</v>
          </cell>
          <cell r="BK41">
            <v>2548</v>
          </cell>
          <cell r="BL41">
            <v>2548</v>
          </cell>
          <cell r="BM41">
            <v>2608</v>
          </cell>
          <cell r="BN41">
            <v>2585</v>
          </cell>
          <cell r="BO41">
            <v>2554</v>
          </cell>
          <cell r="BP41">
            <v>2511</v>
          </cell>
          <cell r="BQ41">
            <v>2511</v>
          </cell>
          <cell r="BR41">
            <v>2511</v>
          </cell>
          <cell r="BS41">
            <v>2511</v>
          </cell>
          <cell r="BT41">
            <v>2511</v>
          </cell>
          <cell r="BU41">
            <v>2511</v>
          </cell>
          <cell r="CH41" t="str">
            <v>mstag:dividendsPayable</v>
          </cell>
          <cell r="CI41">
            <v>6</v>
          </cell>
          <cell r="CJ41" t="str">
            <v>ISO4217:USD</v>
          </cell>
          <cell r="CK41" t="b">
            <v>0</v>
          </cell>
          <cell r="CL41" t="b">
            <v>0</v>
          </cell>
        </row>
        <row r="42">
          <cell r="A42" t="str">
            <v>Liabilities of Discontinued Operations</v>
          </cell>
          <cell r="E42">
            <v>358</v>
          </cell>
          <cell r="F42">
            <v>610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AG42">
            <v>358</v>
          </cell>
          <cell r="AH42">
            <v>0</v>
          </cell>
          <cell r="AI42">
            <v>0</v>
          </cell>
          <cell r="AJ42">
            <v>697</v>
          </cell>
          <cell r="AK42">
            <v>610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CH42" t="str">
            <v>mstag:liabilitiesOfDiscontinuedOperations</v>
          </cell>
          <cell r="CI42">
            <v>6</v>
          </cell>
          <cell r="CJ42" t="str">
            <v>ISO4217:USD</v>
          </cell>
          <cell r="CK42" t="b">
            <v>0</v>
          </cell>
          <cell r="CL42" t="b">
            <v>0</v>
          </cell>
        </row>
        <row r="43">
          <cell r="A43" t="str">
            <v xml:space="preserve">  Total current liabilities</v>
          </cell>
          <cell r="C43">
            <v>23948</v>
          </cell>
          <cell r="D43">
            <v>14683</v>
          </cell>
          <cell r="E43">
            <v>14300</v>
          </cell>
          <cell r="F43">
            <v>18934</v>
          </cell>
          <cell r="G43">
            <v>25418</v>
          </cell>
          <cell r="H43">
            <v>40482</v>
          </cell>
          <cell r="I43">
            <v>39274</v>
          </cell>
          <cell r="J43">
            <v>42290</v>
          </cell>
          <cell r="K43">
            <v>36705</v>
          </cell>
          <cell r="L43">
            <v>33951</v>
          </cell>
          <cell r="M43">
            <v>30794</v>
          </cell>
          <cell r="N43">
            <v>32675.122250936522</v>
          </cell>
          <cell r="O43">
            <v>33023.816726602134</v>
          </cell>
          <cell r="P43">
            <v>32228.040291400277</v>
          </cell>
          <cell r="Q43">
            <v>32630.923260650667</v>
          </cell>
          <cell r="R43">
            <v>32720.50721221642</v>
          </cell>
          <cell r="S43">
            <v>32853.862656313227</v>
          </cell>
          <cell r="T43">
            <v>33328.263635858653</v>
          </cell>
          <cell r="Y43">
            <v>23948</v>
          </cell>
          <cell r="Z43">
            <v>21073</v>
          </cell>
          <cell r="AA43">
            <v>20035</v>
          </cell>
          <cell r="AB43">
            <v>18587</v>
          </cell>
          <cell r="AC43">
            <v>14683</v>
          </cell>
          <cell r="AD43">
            <v>13463</v>
          </cell>
          <cell r="AE43">
            <v>14999</v>
          </cell>
          <cell r="AF43">
            <v>15719</v>
          </cell>
          <cell r="AG43">
            <v>14300</v>
          </cell>
          <cell r="AH43">
            <v>13471</v>
          </cell>
          <cell r="AI43">
            <v>13788</v>
          </cell>
          <cell r="AJ43">
            <v>13405</v>
          </cell>
          <cell r="AK43">
            <v>18934</v>
          </cell>
          <cell r="AL43">
            <v>17591</v>
          </cell>
          <cell r="AM43">
            <v>18926</v>
          </cell>
          <cell r="AN43">
            <v>18296</v>
          </cell>
          <cell r="AO43">
            <v>25418</v>
          </cell>
          <cell r="AP43">
            <v>24755</v>
          </cell>
          <cell r="AQ43">
            <v>23032</v>
          </cell>
          <cell r="AR43">
            <v>23905</v>
          </cell>
          <cell r="AS43">
            <v>40482</v>
          </cell>
          <cell r="AT43">
            <v>34746</v>
          </cell>
          <cell r="AU43">
            <v>38539</v>
          </cell>
          <cell r="AV43">
            <v>38174</v>
          </cell>
          <cell r="AW43">
            <v>39274</v>
          </cell>
          <cell r="AX43">
            <v>42129</v>
          </cell>
          <cell r="AY43">
            <v>45111</v>
          </cell>
          <cell r="AZ43">
            <v>45338</v>
          </cell>
          <cell r="BA43">
            <v>42290</v>
          </cell>
          <cell r="BB43">
            <v>37032</v>
          </cell>
          <cell r="BC43">
            <v>36219</v>
          </cell>
          <cell r="BD43">
            <v>33268</v>
          </cell>
          <cell r="BE43">
            <v>36705</v>
          </cell>
          <cell r="BF43">
            <v>36706</v>
          </cell>
          <cell r="BG43">
            <v>36182</v>
          </cell>
          <cell r="BH43">
            <v>32674</v>
          </cell>
          <cell r="BI43">
            <v>33951</v>
          </cell>
          <cell r="BJ43">
            <v>33254</v>
          </cell>
          <cell r="BK43">
            <v>33537</v>
          </cell>
          <cell r="BL43">
            <v>34031</v>
          </cell>
          <cell r="BM43">
            <v>30794</v>
          </cell>
          <cell r="BN43">
            <v>32520</v>
          </cell>
          <cell r="BO43">
            <v>29702</v>
          </cell>
          <cell r="BP43">
            <v>30798</v>
          </cell>
          <cell r="BQ43">
            <v>32675.122250936522</v>
          </cell>
          <cell r="BR43">
            <v>30433.956189147328</v>
          </cell>
          <cell r="BS43">
            <v>30139.03538104759</v>
          </cell>
          <cell r="BT43">
            <v>30615.688322880251</v>
          </cell>
          <cell r="BU43">
            <v>33023.816726602134</v>
          </cell>
        </row>
        <row r="45">
          <cell r="A45" t="str">
            <v>Long-Term Debt</v>
          </cell>
          <cell r="C45">
            <v>17133</v>
          </cell>
          <cell r="D45">
            <v>18536</v>
          </cell>
          <cell r="E45">
            <v>16060</v>
          </cell>
          <cell r="F45">
            <v>21231</v>
          </cell>
          <cell r="G45">
            <v>26115</v>
          </cell>
          <cell r="H45">
            <v>50063</v>
          </cell>
          <cell r="I45">
            <v>57255</v>
          </cell>
          <cell r="J45">
            <v>60872</v>
          </cell>
          <cell r="K45">
            <v>64720</v>
          </cell>
          <cell r="L45">
            <v>58971</v>
          </cell>
          <cell r="M45">
            <v>61300</v>
          </cell>
          <cell r="N45">
            <v>61314</v>
          </cell>
          <cell r="O45">
            <v>69314</v>
          </cell>
          <cell r="P45">
            <v>73314</v>
          </cell>
          <cell r="Q45">
            <v>75314</v>
          </cell>
          <cell r="R45">
            <v>71314</v>
          </cell>
          <cell r="S45">
            <v>69314</v>
          </cell>
          <cell r="T45">
            <v>68314</v>
          </cell>
          <cell r="Y45">
            <v>17133</v>
          </cell>
          <cell r="Z45">
            <v>19062</v>
          </cell>
          <cell r="AA45">
            <v>18807</v>
          </cell>
          <cell r="AB45">
            <v>18933</v>
          </cell>
          <cell r="AC45">
            <v>18536</v>
          </cell>
          <cell r="AD45">
            <v>18469</v>
          </cell>
          <cell r="AE45">
            <v>16738</v>
          </cell>
          <cell r="AF45">
            <v>16357</v>
          </cell>
          <cell r="AG45">
            <v>16060</v>
          </cell>
          <cell r="AH45">
            <v>15854</v>
          </cell>
          <cell r="AI45">
            <v>15162</v>
          </cell>
          <cell r="AJ45">
            <v>16539</v>
          </cell>
          <cell r="AK45">
            <v>21231</v>
          </cell>
          <cell r="AL45">
            <v>20937</v>
          </cell>
          <cell r="AM45">
            <v>18216</v>
          </cell>
          <cell r="AN45">
            <v>17822</v>
          </cell>
          <cell r="AO45">
            <v>26115</v>
          </cell>
          <cell r="AP45">
            <v>25829</v>
          </cell>
          <cell r="AQ45">
            <v>27159</v>
          </cell>
          <cell r="AR45">
            <v>26799</v>
          </cell>
          <cell r="AS45">
            <v>50063</v>
          </cell>
          <cell r="AT45">
            <v>55467</v>
          </cell>
          <cell r="AU45">
            <v>53970</v>
          </cell>
          <cell r="AV45">
            <v>54585</v>
          </cell>
          <cell r="AW45">
            <v>57255</v>
          </cell>
          <cell r="AX45">
            <v>60189</v>
          </cell>
          <cell r="AY45">
            <v>63675</v>
          </cell>
          <cell r="AZ45">
            <v>59355</v>
          </cell>
          <cell r="BA45">
            <v>60872</v>
          </cell>
          <cell r="BB45">
            <v>63560</v>
          </cell>
          <cell r="BC45">
            <v>66565</v>
          </cell>
          <cell r="BD45">
            <v>65909</v>
          </cell>
          <cell r="BE45">
            <v>64720</v>
          </cell>
          <cell r="BF45">
            <v>60024</v>
          </cell>
          <cell r="BG45">
            <v>60277</v>
          </cell>
          <cell r="BH45">
            <v>62540</v>
          </cell>
          <cell r="BI45">
            <v>58971</v>
          </cell>
          <cell r="BJ45">
            <v>58126</v>
          </cell>
          <cell r="BK45">
            <v>58663</v>
          </cell>
          <cell r="BL45">
            <v>62326</v>
          </cell>
          <cell r="BM45">
            <v>61300</v>
          </cell>
          <cell r="BN45">
            <v>58934</v>
          </cell>
          <cell r="BO45">
            <v>61132</v>
          </cell>
          <cell r="BP45">
            <v>60314</v>
          </cell>
          <cell r="BQ45">
            <v>61314</v>
          </cell>
          <cell r="BR45">
            <v>63314</v>
          </cell>
          <cell r="BS45">
            <v>65314</v>
          </cell>
          <cell r="BT45">
            <v>67314</v>
          </cell>
          <cell r="BU45">
            <v>69314</v>
          </cell>
          <cell r="CH45" t="str">
            <v>mstag:longTermDebt</v>
          </cell>
          <cell r="CI45">
            <v>6</v>
          </cell>
          <cell r="CJ45" t="str">
            <v>ISO4217:USD</v>
          </cell>
          <cell r="CK45" t="b">
            <v>0</v>
          </cell>
          <cell r="CL45" t="b">
            <v>0</v>
          </cell>
        </row>
        <row r="46">
          <cell r="A46" t="str">
            <v>Deferred income taxes</v>
          </cell>
          <cell r="C46">
            <v>8150</v>
          </cell>
          <cell r="D46">
            <v>10726</v>
          </cell>
          <cell r="E46">
            <v>15070</v>
          </cell>
          <cell r="F46">
            <v>15660</v>
          </cell>
          <cell r="G46">
            <v>15713</v>
          </cell>
          <cell r="H46">
            <v>27406</v>
          </cell>
          <cell r="I46">
            <v>24994</v>
          </cell>
          <cell r="J46">
            <v>19196</v>
          </cell>
          <cell r="K46">
            <v>23803</v>
          </cell>
          <cell r="L46">
            <v>22070</v>
          </cell>
          <cell r="M46">
            <v>25748</v>
          </cell>
          <cell r="N46">
            <v>28933.8</v>
          </cell>
          <cell r="O46">
            <v>31732.169699999995</v>
          </cell>
          <cell r="P46">
            <v>31628.868567099995</v>
          </cell>
          <cell r="Q46">
            <v>31689.229931928799</v>
          </cell>
          <cell r="R46">
            <v>31927.236572132253</v>
          </cell>
          <cell r="S46">
            <v>32182.78186745592</v>
          </cell>
          <cell r="T46">
            <v>32457.963606634297</v>
          </cell>
          <cell r="Y46">
            <v>8150</v>
          </cell>
          <cell r="Z46">
            <v>8887</v>
          </cell>
          <cell r="AA46">
            <v>9381</v>
          </cell>
          <cell r="AB46">
            <v>9635</v>
          </cell>
          <cell r="AC46">
            <v>10726</v>
          </cell>
          <cell r="AD46">
            <v>13465</v>
          </cell>
          <cell r="AE46">
            <v>12728</v>
          </cell>
          <cell r="AF46">
            <v>13186</v>
          </cell>
          <cell r="AG46">
            <v>15070</v>
          </cell>
          <cell r="AH46">
            <v>15526</v>
          </cell>
          <cell r="AI46">
            <v>15681</v>
          </cell>
          <cell r="AJ46">
            <v>15928</v>
          </cell>
          <cell r="AK46">
            <v>15660</v>
          </cell>
          <cell r="AL46">
            <v>15380</v>
          </cell>
          <cell r="AM46">
            <v>15157</v>
          </cell>
          <cell r="AN46">
            <v>14941</v>
          </cell>
          <cell r="AO46">
            <v>15713</v>
          </cell>
          <cell r="AP46">
            <v>14902</v>
          </cell>
          <cell r="AQ46">
            <v>14886</v>
          </cell>
          <cell r="AR46">
            <v>14368</v>
          </cell>
          <cell r="AS46">
            <v>27406</v>
          </cell>
          <cell r="AT46">
            <v>20993</v>
          </cell>
          <cell r="AU46">
            <v>20475</v>
          </cell>
          <cell r="AV46">
            <v>22595</v>
          </cell>
          <cell r="AW46">
            <v>24994</v>
          </cell>
          <cell r="AX46">
            <v>25203</v>
          </cell>
          <cell r="AY46">
            <v>25136</v>
          </cell>
          <cell r="AZ46">
            <v>27776</v>
          </cell>
          <cell r="BA46">
            <v>19196</v>
          </cell>
          <cell r="BB46">
            <v>19376</v>
          </cell>
          <cell r="BC46">
            <v>20354</v>
          </cell>
          <cell r="BD46">
            <v>22279</v>
          </cell>
          <cell r="BE46">
            <v>23803</v>
          </cell>
          <cell r="BF46">
            <v>25520</v>
          </cell>
          <cell r="BG46">
            <v>25615</v>
          </cell>
          <cell r="BH46">
            <v>20651</v>
          </cell>
          <cell r="BI46">
            <v>22070</v>
          </cell>
          <cell r="BJ46">
            <v>23149</v>
          </cell>
          <cell r="BK46">
            <v>25065</v>
          </cell>
          <cell r="BL46">
            <v>26446</v>
          </cell>
          <cell r="BM46">
            <v>25748</v>
          </cell>
          <cell r="BN46">
            <v>26136</v>
          </cell>
          <cell r="BO46">
            <v>26011</v>
          </cell>
          <cell r="BP46">
            <v>29092</v>
          </cell>
          <cell r="BQ46">
            <v>28933.8</v>
          </cell>
          <cell r="BR46">
            <v>29633.392424999998</v>
          </cell>
          <cell r="BS46">
            <v>30332.984849999997</v>
          </cell>
          <cell r="BT46">
            <v>31032.577274999996</v>
          </cell>
          <cell r="BU46">
            <v>31732.169699999995</v>
          </cell>
          <cell r="CH46" t="str">
            <v>mstag:deferredTaxLiabilitiesNonCurrent</v>
          </cell>
          <cell r="CI46">
            <v>6</v>
          </cell>
          <cell r="CJ46" t="str">
            <v>ISO4217:USD</v>
          </cell>
          <cell r="CK46" t="b">
            <v>0</v>
          </cell>
          <cell r="CL46" t="b">
            <v>0</v>
          </cell>
        </row>
        <row r="47">
          <cell r="A47" t="str">
            <v>Postemployment benefit obligation</v>
          </cell>
          <cell r="C47">
            <v>9839</v>
          </cell>
          <cell r="D47">
            <v>14094</v>
          </cell>
          <cell r="E47">
            <v>12691</v>
          </cell>
          <cell r="F47">
            <v>9076</v>
          </cell>
          <cell r="G47">
            <v>18133</v>
          </cell>
          <cell r="H47">
            <v>28901</v>
          </cell>
          <cell r="I47">
            <v>24866</v>
          </cell>
          <cell r="J47">
            <v>31930</v>
          </cell>
          <cell r="K47">
            <v>27849</v>
          </cell>
          <cell r="L47">
            <v>28803</v>
          </cell>
          <cell r="M47">
            <v>34011</v>
          </cell>
          <cell r="N47">
            <v>34294</v>
          </cell>
          <cell r="O47">
            <v>26298.657999999996</v>
          </cell>
          <cell r="P47">
            <v>26593.804093999992</v>
          </cell>
          <cell r="Q47">
            <v>26421.343051631986</v>
          </cell>
          <cell r="R47">
            <v>25741.324079622114</v>
          </cell>
          <cell r="S47">
            <v>25011.194664411632</v>
          </cell>
          <cell r="T47">
            <v>24224.961123901983</v>
          </cell>
          <cell r="Y47">
            <v>9839</v>
          </cell>
          <cell r="Z47">
            <v>10086</v>
          </cell>
          <cell r="AA47">
            <v>10264</v>
          </cell>
          <cell r="AB47">
            <v>10409</v>
          </cell>
          <cell r="AC47">
            <v>14094</v>
          </cell>
          <cell r="AD47">
            <v>13923</v>
          </cell>
          <cell r="AE47">
            <v>14141</v>
          </cell>
          <cell r="AF47">
            <v>14340</v>
          </cell>
          <cell r="AG47">
            <v>12691</v>
          </cell>
          <cell r="AH47">
            <v>12472</v>
          </cell>
          <cell r="AI47">
            <v>12663</v>
          </cell>
          <cell r="AJ47">
            <v>11746</v>
          </cell>
          <cell r="AK47">
            <v>9076</v>
          </cell>
          <cell r="AL47">
            <v>9233</v>
          </cell>
          <cell r="AM47">
            <v>9347</v>
          </cell>
          <cell r="AN47">
            <v>9340</v>
          </cell>
          <cell r="AO47">
            <v>18133</v>
          </cell>
          <cell r="AP47">
            <v>18278</v>
          </cell>
          <cell r="AQ47">
            <v>18461</v>
          </cell>
          <cell r="AR47">
            <v>18150</v>
          </cell>
          <cell r="AS47">
            <v>28901</v>
          </cell>
          <cell r="AT47">
            <v>28352</v>
          </cell>
          <cell r="AU47">
            <v>28609</v>
          </cell>
          <cell r="AV47">
            <v>28756</v>
          </cell>
          <cell r="AW47">
            <v>24866</v>
          </cell>
          <cell r="AX47">
            <v>24510</v>
          </cell>
          <cell r="AY47">
            <v>24832</v>
          </cell>
          <cell r="AZ47">
            <v>25493</v>
          </cell>
          <cell r="BA47">
            <v>31930</v>
          </cell>
          <cell r="BB47">
            <v>32032</v>
          </cell>
          <cell r="BC47">
            <v>31985</v>
          </cell>
          <cell r="BD47">
            <v>31750</v>
          </cell>
          <cell r="BE47">
            <v>27849</v>
          </cell>
          <cell r="BF47">
            <v>27709</v>
          </cell>
          <cell r="BG47">
            <v>27421</v>
          </cell>
          <cell r="BH47">
            <v>27071</v>
          </cell>
          <cell r="BI47">
            <v>28803</v>
          </cell>
          <cell r="BJ47">
            <v>28510</v>
          </cell>
          <cell r="BK47">
            <v>28350</v>
          </cell>
          <cell r="BL47">
            <v>28190</v>
          </cell>
          <cell r="BM47">
            <v>34011</v>
          </cell>
          <cell r="BN47">
            <v>34113</v>
          </cell>
          <cell r="BO47">
            <v>34021</v>
          </cell>
          <cell r="BP47">
            <v>33842</v>
          </cell>
          <cell r="BQ47">
            <v>34294</v>
          </cell>
          <cell r="BR47">
            <v>32295.164499999999</v>
          </cell>
          <cell r="BS47">
            <v>30296.328999999998</v>
          </cell>
          <cell r="BT47">
            <v>28297.493499999997</v>
          </cell>
          <cell r="BU47">
            <v>26298.657999999996</v>
          </cell>
          <cell r="CH47" t="str">
            <v>mstag:pensionAndOtherPostRetirementObligations</v>
          </cell>
          <cell r="CI47">
            <v>6</v>
          </cell>
          <cell r="CJ47" t="str">
            <v>ISO4217:USD</v>
          </cell>
          <cell r="CK47" t="b">
            <v>0</v>
          </cell>
          <cell r="CL47" t="b">
            <v>0</v>
          </cell>
        </row>
        <row r="48">
          <cell r="A48" t="str">
            <v xml:space="preserve">Pension Liability </v>
          </cell>
          <cell r="C48">
            <v>0</v>
          </cell>
          <cell r="D48">
            <v>3455</v>
          </cell>
          <cell r="E48">
            <v>2720</v>
          </cell>
          <cell r="F48">
            <v>2720</v>
          </cell>
          <cell r="G48">
            <v>2720</v>
          </cell>
          <cell r="H48">
            <v>2720</v>
          </cell>
          <cell r="I48">
            <v>2720</v>
          </cell>
          <cell r="J48">
            <v>2720</v>
          </cell>
          <cell r="K48">
            <v>2720</v>
          </cell>
          <cell r="L48">
            <v>2720</v>
          </cell>
          <cell r="M48">
            <v>2720</v>
          </cell>
          <cell r="N48">
            <v>2720</v>
          </cell>
        </row>
        <row r="49">
          <cell r="A49" t="str">
            <v>OPEB Liability</v>
          </cell>
          <cell r="C49">
            <v>0</v>
          </cell>
          <cell r="D49">
            <v>10421</v>
          </cell>
          <cell r="E49">
            <v>10139</v>
          </cell>
          <cell r="F49">
            <v>6356</v>
          </cell>
          <cell r="G49">
            <v>6356</v>
          </cell>
          <cell r="H49">
            <v>6356</v>
          </cell>
          <cell r="I49">
            <v>6356</v>
          </cell>
          <cell r="J49">
            <v>6356</v>
          </cell>
          <cell r="K49">
            <v>6356</v>
          </cell>
          <cell r="L49">
            <v>6356</v>
          </cell>
          <cell r="M49">
            <v>6356</v>
          </cell>
          <cell r="N49">
            <v>6356</v>
          </cell>
        </row>
        <row r="50">
          <cell r="A50" t="str">
            <v>Other</v>
          </cell>
          <cell r="C50">
            <v>0</v>
          </cell>
          <cell r="D50">
            <v>218</v>
          </cell>
          <cell r="E50">
            <v>-168</v>
          </cell>
          <cell r="F50">
            <v>0</v>
          </cell>
          <cell r="G50">
            <v>9057</v>
          </cell>
          <cell r="H50">
            <v>9057</v>
          </cell>
          <cell r="I50">
            <v>15790</v>
          </cell>
          <cell r="J50">
            <v>22854</v>
          </cell>
          <cell r="K50">
            <v>18773</v>
          </cell>
          <cell r="L50">
            <v>19727</v>
          </cell>
          <cell r="M50">
            <v>24935</v>
          </cell>
          <cell r="N50">
            <v>24935</v>
          </cell>
        </row>
        <row r="51">
          <cell r="A51" t="str">
            <v>Unamortized investment tax credits</v>
          </cell>
          <cell r="C51">
            <v>274</v>
          </cell>
          <cell r="D51">
            <v>244</v>
          </cell>
          <cell r="E51">
            <v>220</v>
          </cell>
          <cell r="F51">
            <v>188</v>
          </cell>
          <cell r="G51">
            <v>209</v>
          </cell>
          <cell r="H51">
            <v>181</v>
          </cell>
          <cell r="I51">
            <v>150</v>
          </cell>
          <cell r="J51">
            <v>0</v>
          </cell>
          <cell r="K51">
            <v>0</v>
          </cell>
          <cell r="L51">
            <v>0</v>
          </cell>
          <cell r="M51">
            <v>0</v>
          </cell>
          <cell r="N51">
            <v>0</v>
          </cell>
          <cell r="O51">
            <v>0</v>
          </cell>
          <cell r="P51">
            <v>0</v>
          </cell>
          <cell r="Q51">
            <v>0</v>
          </cell>
          <cell r="R51">
            <v>0</v>
          </cell>
          <cell r="S51">
            <v>0</v>
          </cell>
          <cell r="T51">
            <v>0</v>
          </cell>
          <cell r="Y51">
            <v>274</v>
          </cell>
          <cell r="Z51">
            <v>265</v>
          </cell>
          <cell r="AA51">
            <v>257</v>
          </cell>
          <cell r="AB51">
            <v>248</v>
          </cell>
          <cell r="AC51">
            <v>244</v>
          </cell>
          <cell r="AD51">
            <v>235</v>
          </cell>
          <cell r="AE51">
            <v>225</v>
          </cell>
          <cell r="AF51">
            <v>216</v>
          </cell>
          <cell r="AG51">
            <v>220</v>
          </cell>
          <cell r="AH51">
            <v>212</v>
          </cell>
          <cell r="AI51">
            <v>205</v>
          </cell>
          <cell r="AJ51">
            <v>198</v>
          </cell>
          <cell r="AK51">
            <v>188</v>
          </cell>
          <cell r="AL51">
            <v>182</v>
          </cell>
          <cell r="AM51">
            <v>177</v>
          </cell>
          <cell r="AN51">
            <v>171</v>
          </cell>
          <cell r="AO51">
            <v>209</v>
          </cell>
          <cell r="AP51">
            <v>202</v>
          </cell>
          <cell r="AQ51">
            <v>195</v>
          </cell>
          <cell r="AR51">
            <v>188</v>
          </cell>
          <cell r="AS51">
            <v>181</v>
          </cell>
          <cell r="AT51">
            <v>173</v>
          </cell>
          <cell r="AU51">
            <v>166</v>
          </cell>
          <cell r="AV51">
            <v>158</v>
          </cell>
          <cell r="AW51">
            <v>150</v>
          </cell>
          <cell r="AX51">
            <v>144</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CH51" t="str">
            <v>mstag:otherLiabilitiesNonOperatingNonCurrent</v>
          </cell>
          <cell r="CI51">
            <v>6</v>
          </cell>
          <cell r="CJ51" t="str">
            <v>ISO4217:USD</v>
          </cell>
          <cell r="CK51" t="b">
            <v>0</v>
          </cell>
          <cell r="CL51" t="b">
            <v>0</v>
          </cell>
        </row>
        <row r="52">
          <cell r="A52" t="str">
            <v>Other noncurrent liabilities</v>
          </cell>
          <cell r="C52">
            <v>4059</v>
          </cell>
          <cell r="D52">
            <v>3575</v>
          </cell>
          <cell r="E52">
            <v>3607</v>
          </cell>
          <cell r="F52">
            <v>3290</v>
          </cell>
          <cell r="G52">
            <v>5354</v>
          </cell>
          <cell r="H52">
            <v>8061</v>
          </cell>
          <cell r="I52">
            <v>14648</v>
          </cell>
          <cell r="J52">
            <v>14207</v>
          </cell>
          <cell r="K52">
            <v>13350</v>
          </cell>
          <cell r="L52">
            <v>12743</v>
          </cell>
          <cell r="M52">
            <v>12694</v>
          </cell>
          <cell r="N52">
            <v>11529</v>
          </cell>
          <cell r="O52">
            <v>11529</v>
          </cell>
          <cell r="P52">
            <v>11529</v>
          </cell>
          <cell r="Q52">
            <v>11529</v>
          </cell>
          <cell r="R52">
            <v>11529</v>
          </cell>
          <cell r="S52">
            <v>11529</v>
          </cell>
          <cell r="T52">
            <v>11529</v>
          </cell>
          <cell r="Y52">
            <v>4059</v>
          </cell>
          <cell r="Z52">
            <v>3901</v>
          </cell>
          <cell r="AA52">
            <v>3854</v>
          </cell>
          <cell r="AB52">
            <v>3662</v>
          </cell>
          <cell r="AC52">
            <v>3575</v>
          </cell>
          <cell r="AD52">
            <v>3604</v>
          </cell>
          <cell r="AE52">
            <v>3637</v>
          </cell>
          <cell r="AF52">
            <v>3598</v>
          </cell>
          <cell r="AG52">
            <v>3607</v>
          </cell>
          <cell r="AH52">
            <v>3475</v>
          </cell>
          <cell r="AI52">
            <v>3643</v>
          </cell>
          <cell r="AJ52">
            <v>3960</v>
          </cell>
          <cell r="AK52">
            <v>3290</v>
          </cell>
          <cell r="AL52">
            <v>3219</v>
          </cell>
          <cell r="AM52">
            <v>3334</v>
          </cell>
          <cell r="AN52">
            <v>3355</v>
          </cell>
          <cell r="AO52">
            <v>5354</v>
          </cell>
          <cell r="AP52">
            <v>5382</v>
          </cell>
          <cell r="AQ52">
            <v>5148</v>
          </cell>
          <cell r="AR52">
            <v>5081</v>
          </cell>
          <cell r="AS52">
            <v>8061</v>
          </cell>
          <cell r="AT52">
            <v>14539</v>
          </cell>
          <cell r="AU52">
            <v>13926</v>
          </cell>
          <cell r="AV52">
            <v>12526</v>
          </cell>
          <cell r="AW52">
            <v>14648</v>
          </cell>
          <cell r="AX52">
            <v>13766</v>
          </cell>
          <cell r="AY52">
            <v>13817</v>
          </cell>
          <cell r="AZ52">
            <v>14048</v>
          </cell>
          <cell r="BA52">
            <v>14207</v>
          </cell>
          <cell r="BB52">
            <v>14663</v>
          </cell>
          <cell r="BC52">
            <v>13783</v>
          </cell>
          <cell r="BD52">
            <v>13361</v>
          </cell>
          <cell r="BE52">
            <v>13350</v>
          </cell>
          <cell r="BF52">
            <v>13276</v>
          </cell>
          <cell r="BG52">
            <v>14578</v>
          </cell>
          <cell r="BH52">
            <v>13023</v>
          </cell>
          <cell r="BI52">
            <v>12743</v>
          </cell>
          <cell r="BJ52">
            <v>12203</v>
          </cell>
          <cell r="BK52">
            <v>12290</v>
          </cell>
          <cell r="BL52">
            <v>12778</v>
          </cell>
          <cell r="BM52">
            <v>12694</v>
          </cell>
          <cell r="BN52">
            <v>12466</v>
          </cell>
          <cell r="BO52">
            <v>11849</v>
          </cell>
          <cell r="BP52">
            <v>11529</v>
          </cell>
          <cell r="BQ52">
            <v>11529</v>
          </cell>
          <cell r="BR52">
            <v>11529</v>
          </cell>
          <cell r="BS52">
            <v>11529</v>
          </cell>
          <cell r="BT52">
            <v>11529</v>
          </cell>
          <cell r="BU52">
            <v>11529</v>
          </cell>
          <cell r="CH52" t="str">
            <v>mstag:otherLiabilitiesNonOperatingNonCurrent</v>
          </cell>
          <cell r="CI52">
            <v>6</v>
          </cell>
          <cell r="CJ52" t="str">
            <v>ISO4217:USD</v>
          </cell>
          <cell r="CK52" t="b">
            <v>0</v>
          </cell>
          <cell r="CL52" t="b">
            <v>0</v>
          </cell>
        </row>
        <row r="53">
          <cell r="A53" t="str">
            <v xml:space="preserve">  Total deferred credits and ONL</v>
          </cell>
          <cell r="C53">
            <v>22322</v>
          </cell>
          <cell r="D53">
            <v>28639</v>
          </cell>
          <cell r="E53">
            <v>31588</v>
          </cell>
          <cell r="F53">
            <v>28214</v>
          </cell>
          <cell r="G53">
            <v>39409</v>
          </cell>
          <cell r="H53">
            <v>64549</v>
          </cell>
          <cell r="I53">
            <v>64658</v>
          </cell>
          <cell r="J53">
            <v>65333</v>
          </cell>
          <cell r="K53">
            <v>65002</v>
          </cell>
          <cell r="L53">
            <v>63616</v>
          </cell>
          <cell r="M53">
            <v>72453</v>
          </cell>
          <cell r="N53">
            <v>74756.800000000003</v>
          </cell>
          <cell r="O53">
            <v>69559.827699999994</v>
          </cell>
          <cell r="P53">
            <v>69751.67266109999</v>
          </cell>
          <cell r="Q53">
            <v>69639.572983560793</v>
          </cell>
          <cell r="R53">
            <v>69197.560651754364</v>
          </cell>
          <cell r="S53">
            <v>68722.976531867549</v>
          </cell>
          <cell r="T53">
            <v>68211.924730536281</v>
          </cell>
          <cell r="Y53">
            <v>22322</v>
          </cell>
          <cell r="Z53">
            <v>23139</v>
          </cell>
          <cell r="AA53">
            <v>23756</v>
          </cell>
          <cell r="AB53">
            <v>23954</v>
          </cell>
          <cell r="AC53">
            <v>28639</v>
          </cell>
          <cell r="AD53">
            <v>31227</v>
          </cell>
          <cell r="AE53">
            <v>30731</v>
          </cell>
          <cell r="AF53">
            <v>31340</v>
          </cell>
          <cell r="AG53">
            <v>31588</v>
          </cell>
          <cell r="AH53">
            <v>31685</v>
          </cell>
          <cell r="AI53">
            <v>32192</v>
          </cell>
          <cell r="AJ53">
            <v>31832</v>
          </cell>
          <cell r="AK53">
            <v>28214</v>
          </cell>
          <cell r="AL53">
            <v>28014</v>
          </cell>
          <cell r="AM53">
            <v>28015</v>
          </cell>
          <cell r="AN53">
            <v>27807</v>
          </cell>
          <cell r="AO53">
            <v>39409</v>
          </cell>
          <cell r="AP53">
            <v>38764</v>
          </cell>
          <cell r="AQ53">
            <v>38690</v>
          </cell>
          <cell r="AR53">
            <v>37787</v>
          </cell>
          <cell r="AS53">
            <v>64549</v>
          </cell>
          <cell r="AT53">
            <v>64057</v>
          </cell>
          <cell r="AU53">
            <v>63176</v>
          </cell>
          <cell r="AV53">
            <v>64035</v>
          </cell>
          <cell r="AW53">
            <v>64658</v>
          </cell>
          <cell r="AX53">
            <v>63623</v>
          </cell>
          <cell r="AY53">
            <v>63785</v>
          </cell>
          <cell r="AZ53">
            <v>67317</v>
          </cell>
          <cell r="BA53">
            <v>65333</v>
          </cell>
          <cell r="BB53">
            <v>66071</v>
          </cell>
          <cell r="BC53">
            <v>66122</v>
          </cell>
          <cell r="BD53">
            <v>67390</v>
          </cell>
          <cell r="BE53">
            <v>65002</v>
          </cell>
          <cell r="BF53">
            <v>66505</v>
          </cell>
          <cell r="BG53">
            <v>67614</v>
          </cell>
          <cell r="BH53">
            <v>60745</v>
          </cell>
          <cell r="BI53">
            <v>63616</v>
          </cell>
          <cell r="BJ53">
            <v>63862</v>
          </cell>
          <cell r="BK53">
            <v>65705</v>
          </cell>
          <cell r="BL53">
            <v>67414</v>
          </cell>
          <cell r="BM53">
            <v>72453</v>
          </cell>
          <cell r="BN53">
            <v>72715</v>
          </cell>
          <cell r="BO53">
            <v>71881</v>
          </cell>
          <cell r="BP53">
            <v>74463</v>
          </cell>
          <cell r="BQ53">
            <v>74756.800000000003</v>
          </cell>
          <cell r="BR53">
            <v>73457.556924999997</v>
          </cell>
          <cell r="BS53">
            <v>72158.313849999991</v>
          </cell>
          <cell r="BT53">
            <v>70859.070775</v>
          </cell>
          <cell r="BU53">
            <v>69559.827699999994</v>
          </cell>
        </row>
        <row r="54">
          <cell r="A54" t="str">
            <v>Total Liabilities</v>
          </cell>
          <cell r="C54">
            <v>63403</v>
          </cell>
          <cell r="D54">
            <v>61858</v>
          </cell>
          <cell r="E54">
            <v>61948</v>
          </cell>
          <cell r="F54">
            <v>68379</v>
          </cell>
          <cell r="G54">
            <v>90942</v>
          </cell>
          <cell r="H54">
            <v>155094</v>
          </cell>
          <cell r="I54">
            <v>161187</v>
          </cell>
          <cell r="J54">
            <v>168495</v>
          </cell>
          <cell r="K54">
            <v>166427</v>
          </cell>
          <cell r="L54">
            <v>156538</v>
          </cell>
          <cell r="M54">
            <v>164547</v>
          </cell>
          <cell r="N54">
            <v>168745.92225093651</v>
          </cell>
          <cell r="O54">
            <v>171897.64442660211</v>
          </cell>
          <cell r="P54">
            <v>175293.71295250027</v>
          </cell>
          <cell r="Q54">
            <v>177584.49624421145</v>
          </cell>
          <cell r="R54">
            <v>173232.06786397076</v>
          </cell>
          <cell r="S54">
            <v>170890.83918818078</v>
          </cell>
          <cell r="T54">
            <v>169854.18836639496</v>
          </cell>
          <cell r="Y54">
            <v>63403</v>
          </cell>
          <cell r="Z54">
            <v>63274</v>
          </cell>
          <cell r="AA54">
            <v>62598</v>
          </cell>
          <cell r="AB54">
            <v>61474</v>
          </cell>
          <cell r="AC54">
            <v>61858</v>
          </cell>
          <cell r="AD54">
            <v>63159</v>
          </cell>
          <cell r="AE54">
            <v>62468</v>
          </cell>
          <cell r="AF54">
            <v>63416</v>
          </cell>
          <cell r="AG54">
            <v>61948</v>
          </cell>
          <cell r="AH54">
            <v>61010</v>
          </cell>
          <cell r="AI54">
            <v>61142</v>
          </cell>
          <cell r="AJ54">
            <v>61776</v>
          </cell>
          <cell r="AK54">
            <v>68379</v>
          </cell>
          <cell r="AL54">
            <v>66542</v>
          </cell>
          <cell r="AM54">
            <v>65157</v>
          </cell>
          <cell r="AN54">
            <v>63925</v>
          </cell>
          <cell r="AO54">
            <v>90942</v>
          </cell>
          <cell r="AP54">
            <v>89348</v>
          </cell>
          <cell r="AQ54">
            <v>88881</v>
          </cell>
          <cell r="AR54">
            <v>88491</v>
          </cell>
          <cell r="AS54">
            <v>155094</v>
          </cell>
          <cell r="AT54">
            <v>154270</v>
          </cell>
          <cell r="AU54">
            <v>155685</v>
          </cell>
          <cell r="AV54">
            <v>156794</v>
          </cell>
          <cell r="AW54">
            <v>161187</v>
          </cell>
          <cell r="AX54">
            <v>165941</v>
          </cell>
          <cell r="AY54">
            <v>172571</v>
          </cell>
          <cell r="AZ54">
            <v>172010</v>
          </cell>
          <cell r="BA54">
            <v>168495</v>
          </cell>
          <cell r="BB54">
            <v>166663</v>
          </cell>
          <cell r="BC54">
            <v>168906</v>
          </cell>
          <cell r="BD54">
            <v>166567</v>
          </cell>
          <cell r="BE54">
            <v>166427</v>
          </cell>
          <cell r="BF54">
            <v>163235</v>
          </cell>
          <cell r="BG54">
            <v>164073</v>
          </cell>
          <cell r="BH54">
            <v>155959</v>
          </cell>
          <cell r="BI54">
            <v>156538</v>
          </cell>
          <cell r="BJ54">
            <v>155242</v>
          </cell>
          <cell r="BK54">
            <v>157905</v>
          </cell>
          <cell r="BL54">
            <v>163771</v>
          </cell>
          <cell r="BM54">
            <v>164547</v>
          </cell>
          <cell r="BN54">
            <v>164169</v>
          </cell>
          <cell r="BO54">
            <v>162715</v>
          </cell>
          <cell r="BP54">
            <v>165575</v>
          </cell>
          <cell r="BQ54">
            <v>168745.92225093651</v>
          </cell>
          <cell r="BR54">
            <v>167205.51311414732</v>
          </cell>
          <cell r="BS54">
            <v>167611.34923104758</v>
          </cell>
          <cell r="BT54">
            <v>168788.75909788025</v>
          </cell>
          <cell r="BU54">
            <v>171897.64442660211</v>
          </cell>
        </row>
        <row r="56">
          <cell r="A56" t="str">
            <v xml:space="preserve"> Mandatorily Redeemable Preferred Securities </v>
          </cell>
          <cell r="C56">
            <v>0</v>
          </cell>
          <cell r="D56">
            <v>0</v>
          </cell>
          <cell r="AA56">
            <v>0</v>
          </cell>
          <cell r="AB56">
            <v>0</v>
          </cell>
          <cell r="AC56">
            <v>0</v>
          </cell>
          <cell r="AD56">
            <v>0</v>
          </cell>
          <cell r="AE56">
            <v>0</v>
          </cell>
        </row>
        <row r="58">
          <cell r="A58" t="str">
            <v>Shareowners' Equity</v>
          </cell>
          <cell r="C58">
            <v>0</v>
          </cell>
        </row>
        <row r="59">
          <cell r="A59" t="str">
            <v xml:space="preserve"> Common shares issued </v>
          </cell>
          <cell r="C59">
            <v>3433</v>
          </cell>
          <cell r="D59">
            <v>3433</v>
          </cell>
          <cell r="E59">
            <v>3433</v>
          </cell>
          <cell r="F59">
            <v>3433</v>
          </cell>
          <cell r="G59">
            <v>4065</v>
          </cell>
          <cell r="H59">
            <v>6495</v>
          </cell>
          <cell r="I59">
            <v>6495</v>
          </cell>
          <cell r="J59">
            <v>6495</v>
          </cell>
          <cell r="K59">
            <v>6495</v>
          </cell>
          <cell r="L59">
            <v>6495</v>
          </cell>
          <cell r="M59">
            <v>6495</v>
          </cell>
          <cell r="N59">
            <v>6495</v>
          </cell>
          <cell r="O59">
            <v>6495</v>
          </cell>
          <cell r="P59">
            <v>6495</v>
          </cell>
          <cell r="Q59">
            <v>6495</v>
          </cell>
          <cell r="R59">
            <v>6495</v>
          </cell>
          <cell r="S59">
            <v>6495</v>
          </cell>
          <cell r="T59">
            <v>6495</v>
          </cell>
          <cell r="Y59">
            <v>3433</v>
          </cell>
          <cell r="Z59">
            <v>3433</v>
          </cell>
          <cell r="AA59">
            <v>3433</v>
          </cell>
          <cell r="AB59">
            <v>3433</v>
          </cell>
          <cell r="AC59">
            <v>3433</v>
          </cell>
          <cell r="AD59">
            <v>3433</v>
          </cell>
          <cell r="AE59">
            <v>3433</v>
          </cell>
          <cell r="AF59">
            <v>3433</v>
          </cell>
          <cell r="AG59">
            <v>3433</v>
          </cell>
          <cell r="AH59">
            <v>3433</v>
          </cell>
          <cell r="AI59">
            <v>3433</v>
          </cell>
          <cell r="AJ59">
            <v>3433</v>
          </cell>
          <cell r="AK59">
            <v>3433</v>
          </cell>
          <cell r="AL59">
            <v>3433</v>
          </cell>
          <cell r="AM59">
            <v>3433</v>
          </cell>
          <cell r="AN59">
            <v>3433</v>
          </cell>
          <cell r="AO59">
            <v>4065</v>
          </cell>
          <cell r="AP59">
            <v>4065</v>
          </cell>
          <cell r="AQ59">
            <v>4065</v>
          </cell>
          <cell r="AR59">
            <v>4065</v>
          </cell>
          <cell r="AS59">
            <v>6495</v>
          </cell>
          <cell r="AT59">
            <v>6495</v>
          </cell>
          <cell r="AU59">
            <v>6495</v>
          </cell>
          <cell r="AV59">
            <v>6495</v>
          </cell>
          <cell r="AW59">
            <v>6495</v>
          </cell>
          <cell r="AX59">
            <v>6495</v>
          </cell>
          <cell r="AY59">
            <v>6495</v>
          </cell>
          <cell r="AZ59">
            <v>6495</v>
          </cell>
          <cell r="BA59">
            <v>6495</v>
          </cell>
          <cell r="BB59">
            <v>6495</v>
          </cell>
          <cell r="BC59">
            <v>6495</v>
          </cell>
          <cell r="BD59">
            <v>6495</v>
          </cell>
          <cell r="BE59">
            <v>6495</v>
          </cell>
          <cell r="BF59">
            <v>6495</v>
          </cell>
          <cell r="BG59">
            <v>6495</v>
          </cell>
          <cell r="BH59">
            <v>6495</v>
          </cell>
          <cell r="BI59">
            <v>6495</v>
          </cell>
          <cell r="BJ59">
            <v>6495</v>
          </cell>
          <cell r="BK59">
            <v>6495</v>
          </cell>
          <cell r="BL59">
            <v>6495</v>
          </cell>
          <cell r="BM59">
            <v>6495</v>
          </cell>
          <cell r="BN59">
            <v>6495</v>
          </cell>
          <cell r="BO59">
            <v>6495</v>
          </cell>
          <cell r="BP59">
            <v>6495</v>
          </cell>
          <cell r="BQ59">
            <v>6495</v>
          </cell>
          <cell r="BR59">
            <v>6495</v>
          </cell>
          <cell r="BS59">
            <v>6495</v>
          </cell>
          <cell r="BT59">
            <v>6495</v>
          </cell>
          <cell r="BU59">
            <v>6495</v>
          </cell>
          <cell r="CH59" t="str">
            <v>mstag:commonStock</v>
          </cell>
          <cell r="CI59">
            <v>6</v>
          </cell>
          <cell r="CJ59" t="str">
            <v>ISO4217:USD</v>
          </cell>
          <cell r="CK59" t="b">
            <v>0</v>
          </cell>
          <cell r="CL59" t="b">
            <v>0</v>
          </cell>
        </row>
        <row r="60">
          <cell r="A60" t="str">
            <v xml:space="preserve"> Capital in excess of par value</v>
          </cell>
          <cell r="C60">
            <v>12820</v>
          </cell>
          <cell r="D60">
            <v>12999</v>
          </cell>
          <cell r="E60">
            <v>13010</v>
          </cell>
          <cell r="F60">
            <v>12804</v>
          </cell>
          <cell r="G60">
            <v>27499</v>
          </cell>
          <cell r="H60">
            <v>91352</v>
          </cell>
          <cell r="I60">
            <v>91638</v>
          </cell>
          <cell r="J60">
            <v>91728</v>
          </cell>
          <cell r="K60">
            <v>91707</v>
          </cell>
          <cell r="L60">
            <v>91731</v>
          </cell>
          <cell r="M60">
            <v>91156</v>
          </cell>
          <cell r="N60">
            <v>90982</v>
          </cell>
          <cell r="O60">
            <v>90982</v>
          </cell>
          <cell r="P60">
            <v>90982</v>
          </cell>
          <cell r="Q60">
            <v>90982</v>
          </cell>
          <cell r="R60">
            <v>90982</v>
          </cell>
          <cell r="S60">
            <v>90982</v>
          </cell>
          <cell r="T60">
            <v>90982</v>
          </cell>
          <cell r="Y60">
            <v>12820</v>
          </cell>
          <cell r="Z60">
            <v>11955</v>
          </cell>
          <cell r="AA60">
            <v>11896</v>
          </cell>
          <cell r="AB60">
            <v>11857</v>
          </cell>
          <cell r="AC60">
            <v>12999</v>
          </cell>
          <cell r="AD60">
            <v>12991</v>
          </cell>
          <cell r="AE60">
            <v>12986</v>
          </cell>
          <cell r="AF60">
            <v>13015</v>
          </cell>
          <cell r="AG60">
            <v>13010</v>
          </cell>
          <cell r="AH60">
            <v>12955</v>
          </cell>
          <cell r="AI60">
            <v>12941</v>
          </cell>
          <cell r="AJ60">
            <v>12890</v>
          </cell>
          <cell r="AK60">
            <v>12804</v>
          </cell>
          <cell r="AL60">
            <v>12726</v>
          </cell>
          <cell r="AM60">
            <v>12557</v>
          </cell>
          <cell r="AN60">
            <v>13001</v>
          </cell>
          <cell r="AO60">
            <v>27499</v>
          </cell>
          <cell r="AP60">
            <v>27262</v>
          </cell>
          <cell r="AQ60">
            <v>27217</v>
          </cell>
          <cell r="AR60">
            <v>27116</v>
          </cell>
          <cell r="AS60">
            <v>91352</v>
          </cell>
          <cell r="AT60">
            <v>91109</v>
          </cell>
          <cell r="AU60">
            <v>91277</v>
          </cell>
          <cell r="AV60">
            <v>91534</v>
          </cell>
          <cell r="AW60">
            <v>91638</v>
          </cell>
          <cell r="AX60">
            <v>91598</v>
          </cell>
          <cell r="AY60">
            <v>91647</v>
          </cell>
          <cell r="AZ60">
            <v>91684</v>
          </cell>
          <cell r="BA60">
            <v>91728</v>
          </cell>
          <cell r="BB60">
            <v>91638</v>
          </cell>
          <cell r="BC60">
            <v>91637</v>
          </cell>
          <cell r="BD60">
            <v>91678</v>
          </cell>
          <cell r="BE60">
            <v>91707</v>
          </cell>
          <cell r="BF60">
            <v>91557</v>
          </cell>
          <cell r="BG60">
            <v>91628</v>
          </cell>
          <cell r="BH60">
            <v>91748</v>
          </cell>
          <cell r="BI60">
            <v>91731</v>
          </cell>
          <cell r="BJ60">
            <v>91636</v>
          </cell>
          <cell r="BK60">
            <v>91687</v>
          </cell>
          <cell r="BL60">
            <v>91455</v>
          </cell>
          <cell r="BM60">
            <v>91156</v>
          </cell>
          <cell r="BN60">
            <v>91032</v>
          </cell>
          <cell r="BO60">
            <v>90927</v>
          </cell>
          <cell r="BP60">
            <v>90982</v>
          </cell>
          <cell r="BQ60">
            <v>90982</v>
          </cell>
          <cell r="BR60">
            <v>90982</v>
          </cell>
          <cell r="BS60">
            <v>90982</v>
          </cell>
          <cell r="BT60">
            <v>90982</v>
          </cell>
          <cell r="BU60">
            <v>90982</v>
          </cell>
          <cell r="CH60" t="str">
            <v>mstag:additionalPaidInCapital</v>
          </cell>
          <cell r="CI60">
            <v>6</v>
          </cell>
          <cell r="CJ60" t="str">
            <v>ISO4217:USD</v>
          </cell>
          <cell r="CK60" t="b">
            <v>0</v>
          </cell>
          <cell r="CL60" t="b">
            <v>0</v>
          </cell>
        </row>
        <row r="61">
          <cell r="A61" t="str">
            <v xml:space="preserve"> Retained earnings</v>
          </cell>
          <cell r="C61">
            <v>21737</v>
          </cell>
          <cell r="D61">
            <v>23802</v>
          </cell>
          <cell r="E61">
            <v>27635</v>
          </cell>
          <cell r="F61">
            <v>29418</v>
          </cell>
          <cell r="G61">
            <v>29106</v>
          </cell>
          <cell r="H61">
            <v>30375</v>
          </cell>
          <cell r="I61">
            <v>33297</v>
          </cell>
          <cell r="J61">
            <v>36591</v>
          </cell>
          <cell r="K61">
            <v>39366</v>
          </cell>
          <cell r="L61">
            <v>31792</v>
          </cell>
          <cell r="M61">
            <v>25453</v>
          </cell>
          <cell r="N61">
            <v>29176.417107472695</v>
          </cell>
          <cell r="O61">
            <v>33104.80627953916</v>
          </cell>
          <cell r="P61">
            <v>37021.26720116369</v>
          </cell>
          <cell r="Q61">
            <v>41044.094390586994</v>
          </cell>
          <cell r="R61">
            <v>45962.24258216891</v>
          </cell>
          <cell r="S61">
            <v>51818.422687051061</v>
          </cell>
          <cell r="T61">
            <v>57751.389875535679</v>
          </cell>
          <cell r="Y61">
            <v>21737</v>
          </cell>
          <cell r="Z61">
            <v>21159</v>
          </cell>
          <cell r="AA61">
            <v>22088</v>
          </cell>
          <cell r="AB61">
            <v>22957</v>
          </cell>
          <cell r="AC61">
            <v>23802</v>
          </cell>
          <cell r="AD61">
            <v>27702</v>
          </cell>
          <cell r="AE61">
            <v>27819</v>
          </cell>
          <cell r="AF61">
            <v>27769</v>
          </cell>
          <cell r="AG61">
            <v>27635</v>
          </cell>
          <cell r="AH61">
            <v>28548</v>
          </cell>
          <cell r="AI61">
            <v>28670</v>
          </cell>
          <cell r="AJ61">
            <v>29728</v>
          </cell>
          <cell r="AK61">
            <v>29418</v>
          </cell>
          <cell r="AL61">
            <v>29171</v>
          </cell>
          <cell r="AM61">
            <v>29105</v>
          </cell>
          <cell r="AN61">
            <v>28742</v>
          </cell>
          <cell r="AO61">
            <v>29106</v>
          </cell>
          <cell r="AP61">
            <v>29257</v>
          </cell>
          <cell r="AQ61">
            <v>29771</v>
          </cell>
          <cell r="AR61">
            <v>30653</v>
          </cell>
          <cell r="AS61">
            <v>30375</v>
          </cell>
          <cell r="AT61">
            <v>30972</v>
          </cell>
          <cell r="AU61">
            <v>31706</v>
          </cell>
          <cell r="AV61">
            <v>32606</v>
          </cell>
          <cell r="AW61">
            <v>33297</v>
          </cell>
          <cell r="AX61">
            <v>34311</v>
          </cell>
          <cell r="AY61">
            <v>35719</v>
          </cell>
          <cell r="AZ61">
            <v>36613</v>
          </cell>
          <cell r="BA61">
            <v>36591</v>
          </cell>
          <cell r="BB61">
            <v>37296</v>
          </cell>
          <cell r="BC61">
            <v>38069</v>
          </cell>
          <cell r="BD61">
            <v>38841</v>
          </cell>
          <cell r="BE61">
            <v>39366</v>
          </cell>
          <cell r="BF61">
            <v>39373</v>
          </cell>
          <cell r="BG61">
            <v>40909</v>
          </cell>
          <cell r="BH61">
            <v>50751</v>
          </cell>
          <cell r="BI61">
            <v>31792</v>
          </cell>
          <cell r="BJ61">
            <v>32649</v>
          </cell>
          <cell r="BK61">
            <v>33687</v>
          </cell>
          <cell r="BL61">
            <v>34758</v>
          </cell>
          <cell r="BM61">
            <v>25453</v>
          </cell>
          <cell r="BN61">
            <v>26446</v>
          </cell>
          <cell r="BO61">
            <v>27788</v>
          </cell>
          <cell r="BP61">
            <v>28907</v>
          </cell>
          <cell r="BQ61">
            <v>29176.417107472695</v>
          </cell>
          <cell r="BR61">
            <v>30240.244395542242</v>
          </cell>
          <cell r="BS61">
            <v>31637.803507692646</v>
          </cell>
          <cell r="BT61">
            <v>32960.189915774645</v>
          </cell>
          <cell r="BU61">
            <v>33104.80627953916</v>
          </cell>
          <cell r="CH61" t="str">
            <v>mstag:retainedEarnings</v>
          </cell>
          <cell r="CI61">
            <v>6</v>
          </cell>
          <cell r="CJ61" t="str">
            <v>ISO4217:USD</v>
          </cell>
          <cell r="CK61" t="b">
            <v>0</v>
          </cell>
          <cell r="CL61" t="b">
            <v>0</v>
          </cell>
        </row>
        <row r="62">
          <cell r="A62" t="str">
            <v xml:space="preserve"> Guaranteed obligations of employee stock ownership plans</v>
          </cell>
          <cell r="C62">
            <v>0</v>
          </cell>
          <cell r="D62">
            <v>0</v>
          </cell>
          <cell r="E62">
            <v>0</v>
          </cell>
          <cell r="F62">
            <v>0</v>
          </cell>
          <cell r="G62">
            <v>0</v>
          </cell>
          <cell r="AA62">
            <v>0</v>
          </cell>
          <cell r="AB62">
            <v>0</v>
          </cell>
          <cell r="AC62">
            <v>0</v>
          </cell>
          <cell r="AD62">
            <v>0</v>
          </cell>
          <cell r="CH62" t="str">
            <v>mstag:accumulatedOtherComprehensiveIncomeLossAndReserves</v>
          </cell>
          <cell r="CI62">
            <v>6</v>
          </cell>
          <cell r="CJ62" t="str">
            <v>ISO4217:USD</v>
          </cell>
          <cell r="CK62" t="b">
            <v>0</v>
          </cell>
          <cell r="CL62" t="b">
            <v>0</v>
          </cell>
        </row>
        <row r="63">
          <cell r="A63" t="str">
            <v xml:space="preserve"> Deferred Compensation - LESOP</v>
          </cell>
          <cell r="C63">
            <v>0</v>
          </cell>
          <cell r="D63">
            <v>0</v>
          </cell>
          <cell r="E63">
            <v>0</v>
          </cell>
          <cell r="F63">
            <v>0</v>
          </cell>
          <cell r="G63">
            <v>0</v>
          </cell>
          <cell r="CH63" t="str">
            <v>mstag:accumulatedOtherComprehensiveIncomeLossAndReserves</v>
          </cell>
          <cell r="CI63">
            <v>6</v>
          </cell>
          <cell r="CJ63" t="str">
            <v>ISO4217:USD</v>
          </cell>
          <cell r="CK63" t="b">
            <v>0</v>
          </cell>
          <cell r="CL63" t="b">
            <v>0</v>
          </cell>
        </row>
        <row r="64">
          <cell r="A64" t="str">
            <v xml:space="preserve"> Treasury shares (at cost)</v>
          </cell>
          <cell r="C64">
            <v>-3482</v>
          </cell>
          <cell r="D64">
            <v>-4584</v>
          </cell>
          <cell r="E64">
            <v>-4698</v>
          </cell>
          <cell r="F64">
            <v>-4535</v>
          </cell>
          <cell r="G64">
            <v>-5406</v>
          </cell>
          <cell r="H64">
            <v>-7368</v>
          </cell>
          <cell r="I64">
            <v>-15683</v>
          </cell>
          <cell r="J64">
            <v>-21410</v>
          </cell>
          <cell r="K64">
            <v>-21260</v>
          </cell>
          <cell r="L64">
            <v>-21083</v>
          </cell>
          <cell r="M64">
            <v>-20750</v>
          </cell>
          <cell r="N64">
            <v>-30913</v>
          </cell>
          <cell r="O64">
            <v>-39913</v>
          </cell>
          <cell r="P64">
            <v>-45913</v>
          </cell>
          <cell r="Q64">
            <v>-47913</v>
          </cell>
          <cell r="R64">
            <v>-48913</v>
          </cell>
          <cell r="S64">
            <v>-49913</v>
          </cell>
          <cell r="T64">
            <v>-50913</v>
          </cell>
          <cell r="Y64">
            <v>-3482</v>
          </cell>
          <cell r="Z64">
            <v>-3967</v>
          </cell>
          <cell r="AA64">
            <v>-4447</v>
          </cell>
          <cell r="AB64">
            <v>-4548</v>
          </cell>
          <cell r="AC64">
            <v>-4584</v>
          </cell>
          <cell r="AD64">
            <v>-4389</v>
          </cell>
          <cell r="AE64">
            <v>-4342</v>
          </cell>
          <cell r="AF64">
            <v>-4596</v>
          </cell>
          <cell r="AG64">
            <v>-4698</v>
          </cell>
          <cell r="AH64">
            <v>-4460</v>
          </cell>
          <cell r="AI64">
            <v>-4390</v>
          </cell>
          <cell r="AJ64">
            <v>-4252</v>
          </cell>
          <cell r="AK64">
            <v>-4535</v>
          </cell>
          <cell r="AL64">
            <v>-4332</v>
          </cell>
          <cell r="AM64">
            <v>-4034</v>
          </cell>
          <cell r="AN64">
            <v>-4418</v>
          </cell>
          <cell r="AO64">
            <v>-5406</v>
          </cell>
          <cell r="AP64">
            <v>-4927</v>
          </cell>
          <cell r="AQ64">
            <v>-5002</v>
          </cell>
          <cell r="AR64">
            <v>-5867</v>
          </cell>
          <cell r="AS64">
            <v>-7368</v>
          </cell>
          <cell r="AT64">
            <v>-9384</v>
          </cell>
          <cell r="AU64">
            <v>-12751</v>
          </cell>
          <cell r="AV64">
            <v>-14411</v>
          </cell>
          <cell r="AW64">
            <v>-15683</v>
          </cell>
          <cell r="AX64">
            <v>-19590</v>
          </cell>
          <cell r="AY64">
            <v>-21420</v>
          </cell>
          <cell r="AZ64">
            <v>-21412</v>
          </cell>
          <cell r="BA64">
            <v>-21410</v>
          </cell>
          <cell r="BB64">
            <v>-21283</v>
          </cell>
          <cell r="BC64">
            <v>-21284</v>
          </cell>
          <cell r="BD64">
            <v>-21280</v>
          </cell>
          <cell r="BE64">
            <v>-21260</v>
          </cell>
          <cell r="BF64">
            <v>-21137</v>
          </cell>
          <cell r="BG64">
            <v>-21134</v>
          </cell>
          <cell r="BH64">
            <v>-21112</v>
          </cell>
          <cell r="BI64">
            <v>-21083</v>
          </cell>
          <cell r="BJ64">
            <v>-20949</v>
          </cell>
          <cell r="BK64">
            <v>-20786</v>
          </cell>
          <cell r="BL64">
            <v>-20770</v>
          </cell>
          <cell r="BM64">
            <v>-20750</v>
          </cell>
          <cell r="BN64">
            <v>-22460</v>
          </cell>
          <cell r="BO64">
            <v>-24869</v>
          </cell>
          <cell r="BP64">
            <v>-28533</v>
          </cell>
          <cell r="BQ64">
            <v>-30913</v>
          </cell>
          <cell r="BR64">
            <v>-33163</v>
          </cell>
          <cell r="BS64">
            <v>-35413</v>
          </cell>
          <cell r="BT64">
            <v>-37663</v>
          </cell>
          <cell r="BU64">
            <v>-39913</v>
          </cell>
          <cell r="CH64" t="str">
            <v>mstag:treasuryStockAndInvestmentInOwnShares</v>
          </cell>
          <cell r="CI64">
            <v>6</v>
          </cell>
          <cell r="CJ64" t="str">
            <v>ISO4217:USD</v>
          </cell>
          <cell r="CK64" t="b">
            <v>1</v>
          </cell>
          <cell r="CL64" t="b">
            <v>0</v>
          </cell>
        </row>
        <row r="65">
          <cell r="A65" t="str">
            <v xml:space="preserve"> Additional minimum pension liability</v>
          </cell>
          <cell r="C65">
            <v>0</v>
          </cell>
          <cell r="D65">
            <v>-1473</v>
          </cell>
          <cell r="E65">
            <v>-1132</v>
          </cell>
          <cell r="F65">
            <v>-190</v>
          </cell>
          <cell r="G65">
            <v>-218</v>
          </cell>
          <cell r="H65">
            <v>0</v>
          </cell>
          <cell r="I65">
            <v>0</v>
          </cell>
          <cell r="J65">
            <v>0</v>
          </cell>
          <cell r="K65">
            <v>0</v>
          </cell>
          <cell r="L65">
            <v>0</v>
          </cell>
          <cell r="M65">
            <v>0</v>
          </cell>
          <cell r="N65">
            <v>0</v>
          </cell>
          <cell r="O65">
            <v>0</v>
          </cell>
          <cell r="P65">
            <v>0</v>
          </cell>
          <cell r="Q65">
            <v>0</v>
          </cell>
          <cell r="R65">
            <v>0</v>
          </cell>
          <cell r="S65">
            <v>0</v>
          </cell>
          <cell r="T65">
            <v>0</v>
          </cell>
          <cell r="AC65">
            <v>-1473</v>
          </cell>
          <cell r="AD65">
            <v>-1473</v>
          </cell>
          <cell r="AE65">
            <v>-1473</v>
          </cell>
          <cell r="AF65">
            <v>-1473</v>
          </cell>
          <cell r="AG65">
            <v>-1132</v>
          </cell>
          <cell r="AH65">
            <v>-1132</v>
          </cell>
          <cell r="AI65">
            <v>-1132</v>
          </cell>
          <cell r="AJ65">
            <v>-1132</v>
          </cell>
          <cell r="AK65">
            <v>-190</v>
          </cell>
          <cell r="AL65">
            <v>-190</v>
          </cell>
          <cell r="AM65">
            <v>-190</v>
          </cell>
          <cell r="AN65">
            <v>-190</v>
          </cell>
          <cell r="AO65">
            <v>-218</v>
          </cell>
          <cell r="AP65">
            <v>-218</v>
          </cell>
          <cell r="AQ65">
            <v>-218</v>
          </cell>
          <cell r="AR65">
            <v>-218</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CH65" t="str">
            <v>mstag:accumulatedOtherComprehensiveIncomeLossAndReserves</v>
          </cell>
          <cell r="CI65">
            <v>6</v>
          </cell>
          <cell r="CJ65" t="str">
            <v>ISO4217:USD</v>
          </cell>
          <cell r="CK65" t="b">
            <v>0</v>
          </cell>
          <cell r="CL65" t="b">
            <v>0</v>
          </cell>
        </row>
        <row r="66">
          <cell r="A66" t="str">
            <v xml:space="preserve"> Acc OCI</v>
          </cell>
          <cell r="C66">
            <v>-1589</v>
          </cell>
          <cell r="D66">
            <v>-978</v>
          </cell>
          <cell r="E66">
            <v>0</v>
          </cell>
          <cell r="F66">
            <v>-360</v>
          </cell>
          <cell r="G66">
            <v>-356</v>
          </cell>
          <cell r="H66">
            <v>-5314</v>
          </cell>
          <cell r="I66">
            <v>-380</v>
          </cell>
          <cell r="J66">
            <v>-17057</v>
          </cell>
          <cell r="K66">
            <v>-14408</v>
          </cell>
          <cell r="L66">
            <v>2712</v>
          </cell>
          <cell r="M66">
            <v>3180</v>
          </cell>
          <cell r="N66">
            <v>2963.65</v>
          </cell>
          <cell r="O66">
            <v>8569.25</v>
          </cell>
          <cell r="P66">
            <v>7999.85</v>
          </cell>
          <cell r="Q66">
            <v>7430.4500000000007</v>
          </cell>
          <cell r="R66">
            <v>6861.0500000000011</v>
          </cell>
          <cell r="S66">
            <v>6291.6500000000015</v>
          </cell>
          <cell r="T66">
            <v>5722.2500000000018</v>
          </cell>
          <cell r="Y66">
            <v>-1589</v>
          </cell>
          <cell r="Z66">
            <v>-1642</v>
          </cell>
          <cell r="AA66">
            <v>-1242</v>
          </cell>
          <cell r="AB66">
            <v>-1310</v>
          </cell>
          <cell r="AC66">
            <v>-978</v>
          </cell>
          <cell r="AD66">
            <v>-625</v>
          </cell>
          <cell r="AE66">
            <v>-240</v>
          </cell>
          <cell r="AF66">
            <v>-256</v>
          </cell>
          <cell r="AG66">
            <v>0</v>
          </cell>
          <cell r="AH66">
            <v>65</v>
          </cell>
          <cell r="AI66">
            <v>-242</v>
          </cell>
          <cell r="AJ66">
            <v>-457</v>
          </cell>
          <cell r="AK66">
            <v>-360</v>
          </cell>
          <cell r="AL66">
            <v>-404</v>
          </cell>
          <cell r="AM66">
            <v>-385</v>
          </cell>
          <cell r="AN66">
            <v>-389</v>
          </cell>
          <cell r="AO66">
            <v>-356</v>
          </cell>
          <cell r="AP66">
            <v>-350</v>
          </cell>
          <cell r="AQ66">
            <v>-364</v>
          </cell>
          <cell r="AR66">
            <v>-348</v>
          </cell>
          <cell r="AS66">
            <v>-5314</v>
          </cell>
          <cell r="AT66">
            <v>-5186</v>
          </cell>
          <cell r="AU66">
            <v>-5066</v>
          </cell>
          <cell r="AV66">
            <v>-5050</v>
          </cell>
          <cell r="AW66">
            <v>-380</v>
          </cell>
          <cell r="AX66">
            <v>-556</v>
          </cell>
          <cell r="AY66">
            <v>-504</v>
          </cell>
          <cell r="AZ66">
            <v>-862</v>
          </cell>
          <cell r="BA66">
            <v>-17057</v>
          </cell>
          <cell r="BB66">
            <v>-16855</v>
          </cell>
          <cell r="BC66">
            <v>-16308</v>
          </cell>
          <cell r="BD66">
            <v>-16161</v>
          </cell>
          <cell r="BE66">
            <v>-14408</v>
          </cell>
          <cell r="BF66">
            <v>-14265</v>
          </cell>
          <cell r="BG66">
            <v>-14852</v>
          </cell>
          <cell r="BH66">
            <v>-14888</v>
          </cell>
          <cell r="BI66">
            <v>2712</v>
          </cell>
          <cell r="BJ66">
            <v>2713</v>
          </cell>
          <cell r="BK66">
            <v>2720</v>
          </cell>
          <cell r="BL66">
            <v>1677</v>
          </cell>
          <cell r="BM66">
            <v>3180</v>
          </cell>
          <cell r="BN66">
            <v>3386</v>
          </cell>
          <cell r="BO66">
            <v>2939</v>
          </cell>
          <cell r="BP66">
            <v>3106</v>
          </cell>
          <cell r="BQ66">
            <v>2963.65</v>
          </cell>
          <cell r="BR66">
            <v>4365.05</v>
          </cell>
          <cell r="BS66">
            <v>5766.4500000000007</v>
          </cell>
          <cell r="BT66">
            <v>7167.85</v>
          </cell>
          <cell r="BU66">
            <v>8569.25</v>
          </cell>
          <cell r="CH66" t="str">
            <v>mstag:accumulatedOtherComprehensiveIncomeLossAndReserves</v>
          </cell>
          <cell r="CI66">
            <v>6</v>
          </cell>
          <cell r="CJ66" t="str">
            <v>ISO4217:USD</v>
          </cell>
          <cell r="CK66" t="b">
            <v>0</v>
          </cell>
          <cell r="CL66" t="b">
            <v>0</v>
          </cell>
        </row>
        <row r="67">
          <cell r="A67" t="str">
            <v xml:space="preserve">    Noncontrolling Interest</v>
          </cell>
          <cell r="J67">
            <v>403</v>
          </cell>
          <cell r="K67">
            <v>425</v>
          </cell>
          <cell r="L67">
            <v>303</v>
          </cell>
          <cell r="M67">
            <v>263</v>
          </cell>
          <cell r="N67">
            <v>383</v>
          </cell>
          <cell r="O67">
            <v>647</v>
          </cell>
          <cell r="P67">
            <v>1471</v>
          </cell>
          <cell r="Q67">
            <v>2295</v>
          </cell>
          <cell r="R67">
            <v>3119</v>
          </cell>
          <cell r="S67">
            <v>3943</v>
          </cell>
          <cell r="T67">
            <v>4767</v>
          </cell>
          <cell r="BA67">
            <v>403</v>
          </cell>
          <cell r="BB67">
            <v>404</v>
          </cell>
          <cell r="BC67">
            <v>403</v>
          </cell>
          <cell r="BD67">
            <v>428</v>
          </cell>
          <cell r="BE67">
            <v>425</v>
          </cell>
          <cell r="BF67">
            <v>443</v>
          </cell>
          <cell r="BG67">
            <v>437</v>
          </cell>
          <cell r="BH67">
            <v>299</v>
          </cell>
          <cell r="BI67">
            <v>303</v>
          </cell>
          <cell r="BJ67">
            <v>299</v>
          </cell>
          <cell r="BK67">
            <v>306</v>
          </cell>
          <cell r="BL67">
            <v>267</v>
          </cell>
          <cell r="BM67">
            <v>263</v>
          </cell>
          <cell r="BN67">
            <v>288</v>
          </cell>
          <cell r="BO67">
            <v>299</v>
          </cell>
          <cell r="BP67">
            <v>317</v>
          </cell>
          <cell r="BQ67">
            <v>383</v>
          </cell>
          <cell r="BR67">
            <v>449</v>
          </cell>
          <cell r="BS67">
            <v>515</v>
          </cell>
          <cell r="BT67">
            <v>581</v>
          </cell>
          <cell r="BU67">
            <v>647</v>
          </cell>
          <cell r="CH67" t="str">
            <v>mstag:minorityInterestsInEquity</v>
          </cell>
          <cell r="CI67">
            <v>6</v>
          </cell>
          <cell r="CJ67" t="str">
            <v>ISO4217:USD</v>
          </cell>
          <cell r="CK67" t="b">
            <v>0</v>
          </cell>
        </row>
        <row r="68">
          <cell r="A68" t="str">
            <v xml:space="preserve">  Total shareowners' equity</v>
          </cell>
          <cell r="C68">
            <v>32919</v>
          </cell>
          <cell r="D68">
            <v>33199</v>
          </cell>
          <cell r="E68">
            <v>38248</v>
          </cell>
          <cell r="F68">
            <v>40570</v>
          </cell>
          <cell r="G68">
            <v>54690</v>
          </cell>
          <cell r="H68">
            <v>115540</v>
          </cell>
          <cell r="I68">
            <v>115367</v>
          </cell>
          <cell r="J68">
            <v>96750</v>
          </cell>
          <cell r="K68">
            <v>102325</v>
          </cell>
          <cell r="L68">
            <v>111950</v>
          </cell>
          <cell r="M68">
            <v>105797</v>
          </cell>
          <cell r="N68">
            <v>99087.067107472685</v>
          </cell>
          <cell r="O68">
            <v>99885.05627953916</v>
          </cell>
          <cell r="P68">
            <v>98056.117201163695</v>
          </cell>
          <cell r="Q68">
            <v>100333.54439058701</v>
          </cell>
          <cell r="R68">
            <v>104506.2925821689</v>
          </cell>
          <cell r="S68">
            <v>109617.07268705106</v>
          </cell>
          <cell r="T68">
            <v>114804.63987553568</v>
          </cell>
          <cell r="Y68">
            <v>32919</v>
          </cell>
          <cell r="Z68">
            <v>30938</v>
          </cell>
          <cell r="AA68">
            <v>31728</v>
          </cell>
          <cell r="AB68">
            <v>32389</v>
          </cell>
          <cell r="AC68">
            <v>33199</v>
          </cell>
          <cell r="AD68">
            <v>37639</v>
          </cell>
          <cell r="AE68">
            <v>38183</v>
          </cell>
          <cell r="AF68">
            <v>37892</v>
          </cell>
          <cell r="AG68">
            <v>38248</v>
          </cell>
          <cell r="AH68">
            <v>39409</v>
          </cell>
          <cell r="AI68">
            <v>39280</v>
          </cell>
          <cell r="AJ68">
            <v>40210</v>
          </cell>
          <cell r="AK68">
            <v>40570</v>
          </cell>
          <cell r="AL68">
            <v>40404</v>
          </cell>
          <cell r="AM68">
            <v>40486</v>
          </cell>
          <cell r="AN68">
            <v>40179</v>
          </cell>
          <cell r="AO68">
            <v>54690</v>
          </cell>
          <cell r="AP68">
            <v>55089</v>
          </cell>
          <cell r="AQ68">
            <v>55469</v>
          </cell>
          <cell r="AR68">
            <v>55401</v>
          </cell>
          <cell r="AS68">
            <v>115540</v>
          </cell>
          <cell r="AT68">
            <v>114006</v>
          </cell>
          <cell r="AU68">
            <v>111661</v>
          </cell>
          <cell r="AV68">
            <v>111174</v>
          </cell>
          <cell r="AW68">
            <v>115367</v>
          </cell>
          <cell r="AX68">
            <v>112258</v>
          </cell>
          <cell r="AY68">
            <v>111937</v>
          </cell>
          <cell r="AZ68">
            <v>112518</v>
          </cell>
          <cell r="BA68">
            <v>96750</v>
          </cell>
          <cell r="BB68">
            <v>97695</v>
          </cell>
          <cell r="BC68">
            <v>99012</v>
          </cell>
          <cell r="BD68">
            <v>100001</v>
          </cell>
          <cell r="BE68">
            <v>102325</v>
          </cell>
          <cell r="BF68">
            <v>102466</v>
          </cell>
          <cell r="BG68">
            <v>103483</v>
          </cell>
          <cell r="BH68">
            <v>113293</v>
          </cell>
          <cell r="BI68">
            <v>111950</v>
          </cell>
          <cell r="BJ68">
            <v>112843</v>
          </cell>
          <cell r="BK68">
            <v>114109</v>
          </cell>
          <cell r="BL68">
            <v>113882</v>
          </cell>
          <cell r="BM68">
            <v>105797</v>
          </cell>
          <cell r="BN68">
            <v>105187</v>
          </cell>
          <cell r="BO68">
            <v>103579</v>
          </cell>
          <cell r="BP68">
            <v>101274</v>
          </cell>
          <cell r="BQ68">
            <v>99087.067107472685</v>
          </cell>
          <cell r="BR68">
            <v>99368.294395542252</v>
          </cell>
          <cell r="BS68">
            <v>99983.253507692643</v>
          </cell>
          <cell r="BT68">
            <v>100523.03991577466</v>
          </cell>
          <cell r="BU68">
            <v>99885.05627953916</v>
          </cell>
        </row>
        <row r="69">
          <cell r="A69" t="str">
            <v xml:space="preserve">   Total Liabilities and SE</v>
          </cell>
          <cell r="C69">
            <v>96322</v>
          </cell>
          <cell r="D69">
            <v>95057</v>
          </cell>
          <cell r="E69">
            <v>100196</v>
          </cell>
          <cell r="F69">
            <v>108949</v>
          </cell>
          <cell r="G69">
            <v>145632</v>
          </cell>
          <cell r="H69">
            <v>270634</v>
          </cell>
          <cell r="I69">
            <v>276554</v>
          </cell>
          <cell r="J69">
            <v>265245</v>
          </cell>
          <cell r="K69">
            <v>268752</v>
          </cell>
          <cell r="L69">
            <v>268488</v>
          </cell>
          <cell r="M69">
            <v>270344</v>
          </cell>
          <cell r="N69">
            <v>267832.98935840919</v>
          </cell>
          <cell r="O69">
            <v>271782.7007061413</v>
          </cell>
          <cell r="P69">
            <v>273349.83015366399</v>
          </cell>
          <cell r="Q69">
            <v>277918.04063479847</v>
          </cell>
          <cell r="R69">
            <v>277738.36044613965</v>
          </cell>
          <cell r="S69">
            <v>280507.91187523183</v>
          </cell>
          <cell r="T69">
            <v>284658.82824193063</v>
          </cell>
          <cell r="Y69">
            <v>96322</v>
          </cell>
          <cell r="Z69">
            <v>94212</v>
          </cell>
          <cell r="AA69">
            <v>94326</v>
          </cell>
          <cell r="AB69">
            <v>93863</v>
          </cell>
          <cell r="AC69">
            <v>95057</v>
          </cell>
          <cell r="AD69">
            <v>100798</v>
          </cell>
          <cell r="AE69">
            <v>100651</v>
          </cell>
          <cell r="AF69">
            <v>101308</v>
          </cell>
          <cell r="AG69">
            <v>100196</v>
          </cell>
          <cell r="AH69">
            <v>100419</v>
          </cell>
          <cell r="AI69">
            <v>100422</v>
          </cell>
          <cell r="AJ69">
            <v>101986</v>
          </cell>
          <cell r="AK69">
            <v>108949</v>
          </cell>
          <cell r="AL69">
            <v>106946</v>
          </cell>
          <cell r="AM69">
            <v>105643</v>
          </cell>
          <cell r="AN69">
            <v>104104</v>
          </cell>
          <cell r="AO69">
            <v>145632</v>
          </cell>
          <cell r="AP69">
            <v>144437</v>
          </cell>
          <cell r="AQ69">
            <v>144350</v>
          </cell>
          <cell r="AR69">
            <v>143892</v>
          </cell>
          <cell r="AS69">
            <v>270634</v>
          </cell>
          <cell r="AT69">
            <v>268276</v>
          </cell>
          <cell r="AU69">
            <v>267346</v>
          </cell>
          <cell r="AV69">
            <v>267968</v>
          </cell>
          <cell r="AW69">
            <v>276554</v>
          </cell>
          <cell r="AX69">
            <v>278199</v>
          </cell>
          <cell r="AY69">
            <v>284508</v>
          </cell>
          <cell r="AZ69">
            <v>284528</v>
          </cell>
          <cell r="BA69">
            <v>265245</v>
          </cell>
          <cell r="BB69">
            <v>264358</v>
          </cell>
          <cell r="BC69">
            <v>267918</v>
          </cell>
          <cell r="BD69">
            <v>266568</v>
          </cell>
          <cell r="BE69">
            <v>268752</v>
          </cell>
          <cell r="BF69">
            <v>265701</v>
          </cell>
          <cell r="BG69">
            <v>267556</v>
          </cell>
          <cell r="BH69">
            <v>269252</v>
          </cell>
          <cell r="BI69">
            <v>268488</v>
          </cell>
          <cell r="BJ69">
            <v>268085</v>
          </cell>
          <cell r="BK69">
            <v>272014</v>
          </cell>
          <cell r="BL69">
            <v>277653</v>
          </cell>
          <cell r="BM69">
            <v>270344</v>
          </cell>
          <cell r="BN69">
            <v>269356</v>
          </cell>
          <cell r="BO69">
            <v>266294</v>
          </cell>
          <cell r="BP69">
            <v>266849</v>
          </cell>
          <cell r="BQ69">
            <v>267832.98935840919</v>
          </cell>
          <cell r="BR69">
            <v>266573.80750968959</v>
          </cell>
          <cell r="BS69">
            <v>267594.60273874021</v>
          </cell>
          <cell r="BT69">
            <v>269311.79901365493</v>
          </cell>
          <cell r="BU69">
            <v>271782.7007061413</v>
          </cell>
        </row>
        <row r="71">
          <cell r="A71" t="str">
            <v>Check</v>
          </cell>
          <cell r="C71">
            <v>0</v>
          </cell>
          <cell r="D71">
            <v>0</v>
          </cell>
          <cell r="E71">
            <v>0</v>
          </cell>
          <cell r="F71">
            <v>0</v>
          </cell>
          <cell r="G71">
            <v>0</v>
          </cell>
          <cell r="H71" t="e">
            <v>#REF!</v>
          </cell>
          <cell r="I71">
            <v>0</v>
          </cell>
          <cell r="J71">
            <v>0</v>
          </cell>
          <cell r="K71">
            <v>0</v>
          </cell>
          <cell r="L71">
            <v>0</v>
          </cell>
          <cell r="M71">
            <v>0</v>
          </cell>
          <cell r="N71">
            <v>0</v>
          </cell>
          <cell r="O71">
            <v>0</v>
          </cell>
          <cell r="P71">
            <v>0</v>
          </cell>
          <cell r="Q71">
            <v>0</v>
          </cell>
          <cell r="R71">
            <v>0</v>
          </cell>
          <cell r="S71">
            <v>0</v>
          </cell>
          <cell r="T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row>
        <row r="72">
          <cell r="BD72">
            <v>0</v>
          </cell>
          <cell r="BE72">
            <v>0</v>
          </cell>
          <cell r="BF72">
            <v>0</v>
          </cell>
        </row>
        <row r="73">
          <cell r="A73" t="str">
            <v>BALANCE SHEET ASSUMPTIONS AND RATIOS</v>
          </cell>
        </row>
        <row r="75">
          <cell r="A75" t="str">
            <v>Working capital assumptions</v>
          </cell>
        </row>
        <row r="76">
          <cell r="A76" t="str">
            <v>Receivable days (based on revenues)</v>
          </cell>
          <cell r="H76">
            <v>49.804705520528984</v>
          </cell>
          <cell r="I76">
            <v>50.079071164047647</v>
          </cell>
          <cell r="J76">
            <v>46.798279367805385</v>
          </cell>
          <cell r="K76">
            <v>44.012308897831254</v>
          </cell>
          <cell r="L76">
            <v>39.423881557772773</v>
          </cell>
          <cell r="M76">
            <v>38.652494022395302</v>
          </cell>
          <cell r="N76">
            <v>35.798919439269916</v>
          </cell>
          <cell r="O76">
            <v>36.043371799948382</v>
          </cell>
          <cell r="P76">
            <v>36</v>
          </cell>
          <cell r="Q76">
            <v>36</v>
          </cell>
          <cell r="R76">
            <v>36</v>
          </cell>
          <cell r="S76">
            <v>36</v>
          </cell>
          <cell r="T76">
            <v>36</v>
          </cell>
          <cell r="Y76">
            <v>70.893052171721422</v>
          </cell>
          <cell r="Z76">
            <v>71.173731229804218</v>
          </cell>
          <cell r="AA76">
            <v>70.041322314049594</v>
          </cell>
          <cell r="AB76">
            <v>70.932779456193344</v>
          </cell>
          <cell r="AC76">
            <v>69.075222431922342</v>
          </cell>
          <cell r="AD76">
            <v>55.614822038030226</v>
          </cell>
          <cell r="AE76">
            <v>52.316892359395077</v>
          </cell>
          <cell r="AF76">
            <v>54.443349753694577</v>
          </cell>
          <cell r="AG76">
            <v>55.57337610264635</v>
          </cell>
          <cell r="AH76">
            <v>52.074510587295244</v>
          </cell>
          <cell r="AI76">
            <v>49.113377795213808</v>
          </cell>
          <cell r="AJ76">
            <v>49.713369607462106</v>
          </cell>
          <cell r="AK76">
            <v>47.944006999125115</v>
          </cell>
          <cell r="AL76">
            <v>46.264637002341921</v>
          </cell>
          <cell r="AM76">
            <v>45.487993803253296</v>
          </cell>
          <cell r="AN76">
            <v>45.60174418604651</v>
          </cell>
          <cell r="AO76">
            <v>64.907450254511801</v>
          </cell>
          <cell r="AP76">
            <v>49.146195137353956</v>
          </cell>
          <cell r="AQ76">
            <v>48.296015180265655</v>
          </cell>
          <cell r="AR76">
            <v>49.886174702647395</v>
          </cell>
          <cell r="AS76">
            <v>91.716065697564659</v>
          </cell>
          <cell r="AT76">
            <v>47.729593573422285</v>
          </cell>
          <cell r="AU76">
            <v>46.438356164383563</v>
          </cell>
          <cell r="AV76">
            <v>48.385979952519122</v>
          </cell>
          <cell r="AW76">
            <v>49.372409709887513</v>
          </cell>
          <cell r="AX76">
            <v>46.16312126262131</v>
          </cell>
          <cell r="AY76">
            <v>46.800703285253803</v>
          </cell>
          <cell r="AZ76">
            <v>47.290237805268887</v>
          </cell>
          <cell r="BA76">
            <v>46.701050929668554</v>
          </cell>
          <cell r="BB76">
            <v>44.221361263420562</v>
          </cell>
          <cell r="BC76">
            <v>43.644737701705104</v>
          </cell>
          <cell r="BD76">
            <v>43.327910457473806</v>
          </cell>
          <cell r="BE76">
            <v>43.898007033997651</v>
          </cell>
          <cell r="BF76">
            <v>41.763183753684899</v>
          </cell>
          <cell r="BG76">
            <v>40.255777720072707</v>
          </cell>
          <cell r="BH76">
            <v>38.774579652322601</v>
          </cell>
          <cell r="BI76">
            <v>39.058065750454389</v>
          </cell>
          <cell r="BJ76">
            <v>38.152142605690145</v>
          </cell>
          <cell r="BK76">
            <v>38.886172408318778</v>
          </cell>
          <cell r="BL76">
            <v>38.246711989325881</v>
          </cell>
          <cell r="BM76">
            <v>37.674676183736885</v>
          </cell>
          <cell r="BN76">
            <v>37.239331280246368</v>
          </cell>
          <cell r="BO76">
            <v>35.429928741092638</v>
          </cell>
          <cell r="BP76">
            <v>35.469023173018847</v>
          </cell>
          <cell r="BQ76">
            <v>35.5</v>
          </cell>
          <cell r="BR76">
            <v>35.5</v>
          </cell>
          <cell r="BS76">
            <v>35.5</v>
          </cell>
          <cell r="BT76">
            <v>35.5</v>
          </cell>
          <cell r="BU76">
            <v>35.5</v>
          </cell>
        </row>
        <row r="77">
          <cell r="A77" t="str">
            <v>Other current assets (based on revenues)</v>
          </cell>
          <cell r="H77">
            <v>7.4734737813316929</v>
          </cell>
          <cell r="I77">
            <v>7.4166750075067558</v>
          </cell>
          <cell r="J77">
            <v>6.3138452565151528</v>
          </cell>
          <cell r="K77">
            <v>7.9573596271416092</v>
          </cell>
          <cell r="L77">
            <v>6.5928548439008683</v>
          </cell>
          <cell r="M77">
            <v>10.258279870268224</v>
          </cell>
          <cell r="N77">
            <v>4.8871150938790366</v>
          </cell>
          <cell r="O77">
            <v>4.9204866827515099</v>
          </cell>
          <cell r="P77">
            <v>4.9204866827515099</v>
          </cell>
          <cell r="Q77">
            <v>4.9204866827515099</v>
          </cell>
          <cell r="R77">
            <v>4.9204866827515099</v>
          </cell>
          <cell r="S77">
            <v>4.9204866827515099</v>
          </cell>
          <cell r="T77">
            <v>4.9204866827515099</v>
          </cell>
          <cell r="Y77">
            <v>6.4723179030496514</v>
          </cell>
          <cell r="Z77">
            <v>6.7743774947728568</v>
          </cell>
          <cell r="AA77">
            <v>6.454545454545455</v>
          </cell>
          <cell r="AB77">
            <v>7.1629531722054383</v>
          </cell>
          <cell r="AC77">
            <v>4.780264222162308</v>
          </cell>
          <cell r="AD77">
            <v>9.3817649926864952</v>
          </cell>
          <cell r="AE77">
            <v>11.360086982307008</v>
          </cell>
          <cell r="AF77">
            <v>11.500492610837439</v>
          </cell>
          <cell r="AG77">
            <v>8.3540497193263832</v>
          </cell>
          <cell r="AH77">
            <v>9.9960047942469039</v>
          </cell>
          <cell r="AI77">
            <v>9.7361710474695951</v>
          </cell>
          <cell r="AJ77">
            <v>7.4766809172172568</v>
          </cell>
          <cell r="AK77">
            <v>7.78652668416448</v>
          </cell>
          <cell r="AL77">
            <v>7.2716627634660425</v>
          </cell>
          <cell r="AM77">
            <v>6.8319132455460876</v>
          </cell>
          <cell r="AN77">
            <v>6.566860465116279</v>
          </cell>
          <cell r="AO77">
            <v>7.211938917167978</v>
          </cell>
          <cell r="AP77">
            <v>6.0075781496684559</v>
          </cell>
          <cell r="AQ77">
            <v>5.8861480075901325</v>
          </cell>
          <cell r="AR77">
            <v>5.5077375623481268</v>
          </cell>
          <cell r="AS77">
            <v>13.762507079478951</v>
          </cell>
          <cell r="AT77">
            <v>6.4946558649329438</v>
          </cell>
          <cell r="AU77">
            <v>7.1071716357775987</v>
          </cell>
          <cell r="AV77">
            <v>6.5019124241624908</v>
          </cell>
          <cell r="AW77">
            <v>7.3120189461219658</v>
          </cell>
          <cell r="AX77">
            <v>8.0639153024213321</v>
          </cell>
          <cell r="AY77">
            <v>7.4577540455181843</v>
          </cell>
          <cell r="AZ77">
            <v>6.4582398564194605</v>
          </cell>
          <cell r="BA77">
            <v>6.3007275666936131</v>
          </cell>
          <cell r="BB77">
            <v>6.1552352496962932</v>
          </cell>
          <cell r="BC77">
            <v>5.8679035735284506</v>
          </cell>
          <cell r="BD77">
            <v>6.3720960499772241</v>
          </cell>
          <cell r="BE77">
            <v>7.9366940211019923</v>
          </cell>
          <cell r="BF77">
            <v>7.2666229937766129</v>
          </cell>
          <cell r="BG77">
            <v>9.7688911970916639</v>
          </cell>
          <cell r="BH77">
            <v>6.7825591336563118</v>
          </cell>
          <cell r="BI77">
            <v>6.5316794745065527</v>
          </cell>
          <cell r="BJ77">
            <v>6.5353473933497614</v>
          </cell>
          <cell r="BK77">
            <v>5.8780758850611212</v>
          </cell>
          <cell r="BL77">
            <v>5.3122815934938687</v>
          </cell>
          <cell r="BM77">
            <v>9.9987693443682115</v>
          </cell>
          <cell r="BN77">
            <v>5.6196970649236375</v>
          </cell>
          <cell r="BO77">
            <v>4.6289786223277911</v>
          </cell>
          <cell r="BP77">
            <v>4.8463078928128676</v>
          </cell>
          <cell r="BQ77">
            <v>4.8463078928128676</v>
          </cell>
          <cell r="BR77">
            <v>4.8463078928128676</v>
          </cell>
          <cell r="BS77">
            <v>4.8463078928128676</v>
          </cell>
          <cell r="BT77">
            <v>4.8463078928128676</v>
          </cell>
          <cell r="BU77">
            <v>4.8463078928128676</v>
          </cell>
        </row>
        <row r="78">
          <cell r="A78" t="str">
            <v>Other long term assets (based on operating expenses)</v>
          </cell>
          <cell r="H78" t="e">
            <v>#REF!</v>
          </cell>
          <cell r="I78">
            <v>34.335575062843006</v>
          </cell>
          <cell r="J78">
            <v>25.997302033560686</v>
          </cell>
          <cell r="K78">
            <v>27.941512283157159</v>
          </cell>
          <cell r="L78">
            <v>29.484047491083206</v>
          </cell>
          <cell r="M78">
            <v>26.560164184847885</v>
          </cell>
          <cell r="N78">
            <v>28.043914826774731</v>
          </cell>
          <cell r="O78">
            <v>27.891932656790445</v>
          </cell>
          <cell r="P78">
            <v>28</v>
          </cell>
          <cell r="Q78">
            <v>28</v>
          </cell>
          <cell r="R78">
            <v>28</v>
          </cell>
          <cell r="S78">
            <v>28</v>
          </cell>
          <cell r="T78">
            <v>28</v>
          </cell>
          <cell r="Y78">
            <v>151.09657404909632</v>
          </cell>
          <cell r="Z78">
            <v>183.1769825918762</v>
          </cell>
          <cell r="AA78">
            <v>225.18095544474826</v>
          </cell>
          <cell r="AB78">
            <v>224.92030268877795</v>
          </cell>
          <cell r="AC78">
            <v>209.48751007252216</v>
          </cell>
          <cell r="AD78">
            <v>201.61124121779858</v>
          </cell>
          <cell r="AE78">
            <v>200.2748020493712</v>
          </cell>
          <cell r="AF78">
            <v>205.14087690221487</v>
          </cell>
          <cell r="AG78">
            <v>190.29733275032791</v>
          </cell>
          <cell r="AH78">
            <v>200.11410314924689</v>
          </cell>
          <cell r="AI78">
            <v>202.46934140802421</v>
          </cell>
          <cell r="AJ78">
            <v>209.57046979865774</v>
          </cell>
          <cell r="AK78">
            <v>168.71952088977613</v>
          </cell>
          <cell r="AL78">
            <v>170.86500655307995</v>
          </cell>
          <cell r="AM78">
            <v>173.90687361419069</v>
          </cell>
          <cell r="AN78">
            <v>177.03432494279176</v>
          </cell>
          <cell r="AO78">
            <v>257.45032347504622</v>
          </cell>
          <cell r="AP78">
            <v>201.82619878743341</v>
          </cell>
          <cell r="AQ78">
            <v>205.55850056796669</v>
          </cell>
          <cell r="AR78">
            <v>207.57897759908099</v>
          </cell>
          <cell r="AS78">
            <v>177.23555223601903</v>
          </cell>
          <cell r="AT78">
            <v>131.42949547218629</v>
          </cell>
          <cell r="AU78">
            <v>101.67768201765981</v>
          </cell>
          <cell r="AV78">
            <v>101.37157107231921</v>
          </cell>
          <cell r="AW78">
            <v>114.60404774260509</v>
          </cell>
          <cell r="AX78">
            <v>113.5589881816297</v>
          </cell>
          <cell r="AY78">
            <v>114.59761705685618</v>
          </cell>
          <cell r="AZ78">
            <v>108.12259790805156</v>
          </cell>
          <cell r="BA78">
            <v>25.350118017309207</v>
          </cell>
          <cell r="BB78">
            <v>24.954607012088079</v>
          </cell>
          <cell r="BC78">
            <v>27.372047244094489</v>
          </cell>
          <cell r="BD78">
            <v>27.880173126489325</v>
          </cell>
          <cell r="BE78">
            <v>27.576212862889545</v>
          </cell>
          <cell r="BF78">
            <v>28.744122554224177</v>
          </cell>
          <cell r="BG78">
            <v>29.338390435044708</v>
          </cell>
          <cell r="BH78">
            <v>28.771913333646662</v>
          </cell>
          <cell r="BI78">
            <v>28.864919161963073</v>
          </cell>
          <cell r="BJ78">
            <v>28.305442339966437</v>
          </cell>
          <cell r="BK78">
            <v>30.037630258587416</v>
          </cell>
          <cell r="BL78">
            <v>27.115636363636362</v>
          </cell>
          <cell r="BM78">
            <v>24.18064461335938</v>
          </cell>
          <cell r="BN78">
            <v>28.746751098719344</v>
          </cell>
          <cell r="BO78">
            <v>29.306974677920927</v>
          </cell>
          <cell r="BP78">
            <v>28.437589670014347</v>
          </cell>
          <cell r="BQ78">
            <v>28.487589670014348</v>
          </cell>
          <cell r="BR78">
            <v>28.537589670014349</v>
          </cell>
          <cell r="BS78">
            <v>28.587589670014349</v>
          </cell>
          <cell r="BT78">
            <v>28.63758967001435</v>
          </cell>
          <cell r="BU78">
            <v>28.687589670014351</v>
          </cell>
        </row>
        <row r="79">
          <cell r="A79" t="str">
            <v>Payable days (based on operating expenses)</v>
          </cell>
          <cell r="H79">
            <v>134.03235908141963</v>
          </cell>
          <cell r="I79">
            <v>142.12284326757302</v>
          </cell>
          <cell r="J79">
            <v>116.89254781326036</v>
          </cell>
          <cell r="K79">
            <v>118.73595815992044</v>
          </cell>
          <cell r="L79">
            <v>106.47237015683784</v>
          </cell>
          <cell r="M79">
            <v>103.82685961495855</v>
          </cell>
          <cell r="N79">
            <v>113.46228479330509</v>
          </cell>
          <cell r="O79">
            <v>114.3194225059201</v>
          </cell>
          <cell r="P79">
            <v>110</v>
          </cell>
          <cell r="Q79">
            <v>110</v>
          </cell>
          <cell r="R79">
            <v>110</v>
          </cell>
          <cell r="S79">
            <v>110</v>
          </cell>
          <cell r="T79">
            <v>110</v>
          </cell>
          <cell r="Y79">
            <v>170.64067979498245</v>
          </cell>
          <cell r="Z79">
            <v>169.49709864603483</v>
          </cell>
          <cell r="AA79">
            <v>175.84526298857969</v>
          </cell>
          <cell r="AB79">
            <v>181.92722588955078</v>
          </cell>
          <cell r="AC79">
            <v>149.14907332796133</v>
          </cell>
          <cell r="AD79">
            <v>148.31381733021078</v>
          </cell>
          <cell r="AE79">
            <v>166.79552864462039</v>
          </cell>
          <cell r="AF79">
            <v>170.20943197227663</v>
          </cell>
          <cell r="AG79">
            <v>144.68736335811107</v>
          </cell>
          <cell r="AH79">
            <v>141.93518941122775</v>
          </cell>
          <cell r="AI79">
            <v>140.25283875851628</v>
          </cell>
          <cell r="AJ79">
            <v>133.81208053691276</v>
          </cell>
          <cell r="AK79">
            <v>147.90389277056894</v>
          </cell>
          <cell r="AL79">
            <v>135.64875491480996</v>
          </cell>
          <cell r="AM79">
            <v>145.94235033259423</v>
          </cell>
          <cell r="AN79">
            <v>162.70022883295195</v>
          </cell>
          <cell r="AO79">
            <v>204.55868761552682</v>
          </cell>
          <cell r="AP79">
            <v>146.74811684732683</v>
          </cell>
          <cell r="AQ79">
            <v>156.98882998864065</v>
          </cell>
          <cell r="AR79">
            <v>154.31648477886273</v>
          </cell>
          <cell r="AS79">
            <v>239.75912613201379</v>
          </cell>
          <cell r="AT79">
            <v>123.36675291073738</v>
          </cell>
          <cell r="AU79">
            <v>136.429968804526</v>
          </cell>
          <cell r="AV79">
            <v>140.23690773067332</v>
          </cell>
          <cell r="AW79">
            <v>140.10015568240789</v>
          </cell>
          <cell r="AX79">
            <v>123.40711175616835</v>
          </cell>
          <cell r="AY79">
            <v>123.60890468227424</v>
          </cell>
          <cell r="AZ79">
            <v>111.92313305765022</v>
          </cell>
          <cell r="BA79">
            <v>113.9825924468922</v>
          </cell>
          <cell r="BB79">
            <v>107.54225811305612</v>
          </cell>
          <cell r="BC79">
            <v>104.72687007874016</v>
          </cell>
          <cell r="BD79">
            <v>105.4544570344794</v>
          </cell>
          <cell r="BE79">
            <v>117.18363786167789</v>
          </cell>
          <cell r="BF79">
            <v>112.78780524799029</v>
          </cell>
          <cell r="BG79">
            <v>108.41505073847082</v>
          </cell>
          <cell r="BH79">
            <v>100.52826996287071</v>
          </cell>
          <cell r="BI79">
            <v>104.2365827991964</v>
          </cell>
          <cell r="BJ79">
            <v>102.73939103332535</v>
          </cell>
          <cell r="BK79">
            <v>100.20793130065611</v>
          </cell>
          <cell r="BL79">
            <v>98.543999999999997</v>
          </cell>
          <cell r="BM79">
            <v>94.525032910102325</v>
          </cell>
          <cell r="BN79">
            <v>98.501961154954856</v>
          </cell>
          <cell r="BO79">
            <v>105.49089293647268</v>
          </cell>
          <cell r="BP79">
            <v>106.97560975609757</v>
          </cell>
          <cell r="BQ79">
            <v>107</v>
          </cell>
          <cell r="BR79">
            <v>106</v>
          </cell>
          <cell r="BS79">
            <v>106</v>
          </cell>
          <cell r="BT79">
            <v>106</v>
          </cell>
          <cell r="BU79">
            <v>106</v>
          </cell>
        </row>
        <row r="81">
          <cell r="A81" t="str">
            <v>Net working capital (CA-CL)</v>
          </cell>
          <cell r="H81">
            <v>-7614</v>
          </cell>
          <cell r="I81">
            <v>-9643</v>
          </cell>
          <cell r="J81">
            <v>-7407</v>
          </cell>
          <cell r="K81">
            <v>-8812</v>
          </cell>
          <cell r="L81">
            <v>-8241</v>
          </cell>
          <cell r="M81">
            <v>-7499</v>
          </cell>
          <cell r="N81">
            <v>-12259.132873726961</v>
          </cell>
          <cell r="O81">
            <v>-12400.646116768843</v>
          </cell>
          <cell r="P81">
            <v>-11359.161168139526</v>
          </cell>
          <cell r="Q81">
            <v>-11488.556151848748</v>
          </cell>
          <cell r="R81">
            <v>-11304.639712819473</v>
          </cell>
          <cell r="S81">
            <v>-11179.380740887376</v>
          </cell>
          <cell r="T81">
            <v>-11407.939482231435</v>
          </cell>
          <cell r="Y81">
            <v>-3038</v>
          </cell>
          <cell r="Z81">
            <v>-1522</v>
          </cell>
          <cell r="AA81">
            <v>-1258</v>
          </cell>
          <cell r="AB81">
            <v>-2861</v>
          </cell>
          <cell r="AC81">
            <v>-656</v>
          </cell>
          <cell r="AD81">
            <v>-1953</v>
          </cell>
          <cell r="AE81">
            <v>-3588</v>
          </cell>
          <cell r="AF81">
            <v>-3869</v>
          </cell>
          <cell r="AG81">
            <v>-3204</v>
          </cell>
          <cell r="AH81">
            <v>-2664</v>
          </cell>
          <cell r="AI81">
            <v>-2957</v>
          </cell>
          <cell r="AJ81">
            <v>-3880</v>
          </cell>
          <cell r="AK81">
            <v>-5419</v>
          </cell>
          <cell r="AL81">
            <v>-3829</v>
          </cell>
          <cell r="AM81">
            <v>-4620</v>
          </cell>
          <cell r="AN81">
            <v>-5241</v>
          </cell>
          <cell r="AO81">
            <v>-7533</v>
          </cell>
          <cell r="AP81">
            <v>-6250</v>
          </cell>
          <cell r="AQ81">
            <v>-7180</v>
          </cell>
          <cell r="AR81">
            <v>-6931</v>
          </cell>
          <cell r="AS81">
            <v>-7614</v>
          </cell>
          <cell r="AT81">
            <v>-5298</v>
          </cell>
          <cell r="AU81">
            <v>-9015</v>
          </cell>
          <cell r="AV81">
            <v>-9319</v>
          </cell>
          <cell r="AW81">
            <v>-9643</v>
          </cell>
          <cell r="AX81">
            <v>-6845</v>
          </cell>
          <cell r="AY81">
            <v>-7045</v>
          </cell>
          <cell r="AZ81">
            <v>-6068</v>
          </cell>
          <cell r="BA81">
            <v>-7407</v>
          </cell>
          <cell r="BB81">
            <v>-6533</v>
          </cell>
          <cell r="BC81">
            <v>-6472</v>
          </cell>
          <cell r="BD81">
            <v>-6759</v>
          </cell>
          <cell r="BE81">
            <v>-8812</v>
          </cell>
          <cell r="BF81">
            <v>-7524</v>
          </cell>
          <cell r="BG81">
            <v>-6446</v>
          </cell>
          <cell r="BH81">
            <v>-7517</v>
          </cell>
          <cell r="BI81">
            <v>-8241</v>
          </cell>
          <cell r="BJ81">
            <v>-8006</v>
          </cell>
          <cell r="BK81">
            <v>-7219</v>
          </cell>
          <cell r="BL81">
            <v>-7288</v>
          </cell>
          <cell r="BM81">
            <v>-7499</v>
          </cell>
          <cell r="BN81">
            <v>-7422</v>
          </cell>
          <cell r="BO81">
            <v>-9295</v>
          </cell>
          <cell r="BP81">
            <v>-10624</v>
          </cell>
          <cell r="BQ81">
            <v>-12259.132873726961</v>
          </cell>
          <cell r="BR81">
            <v>-10228.662672354338</v>
          </cell>
          <cell r="BS81">
            <v>-9811.8135321865811</v>
          </cell>
          <cell r="BT81">
            <v>-10155.55344584442</v>
          </cell>
          <cell r="BU81">
            <v>-12400.646116768847</v>
          </cell>
        </row>
        <row r="82">
          <cell r="A82" t="str">
            <v xml:space="preserve">   Increase (Decrease) in net working capital</v>
          </cell>
          <cell r="H82">
            <v>-7614</v>
          </cell>
          <cell r="I82">
            <v>-2029</v>
          </cell>
          <cell r="J82">
            <v>2236</v>
          </cell>
          <cell r="K82">
            <v>-1405</v>
          </cell>
          <cell r="L82">
            <v>571</v>
          </cell>
          <cell r="M82">
            <v>742</v>
          </cell>
          <cell r="N82">
            <v>-4760.1328737269614</v>
          </cell>
          <cell r="O82">
            <v>-141.51324304188165</v>
          </cell>
          <cell r="P82">
            <v>1041.4849486293169</v>
          </cell>
          <cell r="Q82">
            <v>-129.39498370922229</v>
          </cell>
          <cell r="R82">
            <v>183.91643902927535</v>
          </cell>
          <cell r="S82">
            <v>125.25897193209676</v>
          </cell>
          <cell r="T82">
            <v>-228.55874134405894</v>
          </cell>
          <cell r="Y82">
            <v>-3038</v>
          </cell>
          <cell r="Z82">
            <v>1516</v>
          </cell>
          <cell r="AA82">
            <v>264</v>
          </cell>
          <cell r="AB82">
            <v>-1603</v>
          </cell>
          <cell r="AC82">
            <v>2205</v>
          </cell>
          <cell r="AD82">
            <v>-1297</v>
          </cell>
          <cell r="AE82">
            <v>-1635</v>
          </cell>
          <cell r="AF82">
            <v>-281</v>
          </cell>
          <cell r="AG82">
            <v>665</v>
          </cell>
          <cell r="AH82">
            <v>540</v>
          </cell>
          <cell r="AI82">
            <v>-293</v>
          </cell>
          <cell r="AJ82">
            <v>-923</v>
          </cell>
          <cell r="AK82">
            <v>-1539</v>
          </cell>
          <cell r="AL82">
            <v>1590</v>
          </cell>
          <cell r="AM82">
            <v>-791</v>
          </cell>
          <cell r="AN82">
            <v>-621</v>
          </cell>
          <cell r="AO82">
            <v>-2292</v>
          </cell>
          <cell r="AP82">
            <v>1283</v>
          </cell>
          <cell r="AQ82">
            <v>-930</v>
          </cell>
          <cell r="AR82">
            <v>249</v>
          </cell>
          <cell r="AS82">
            <v>-683</v>
          </cell>
          <cell r="AT82">
            <v>2316</v>
          </cell>
          <cell r="AU82">
            <v>-3717</v>
          </cell>
          <cell r="AV82">
            <v>-304</v>
          </cell>
          <cell r="AW82">
            <v>-324</v>
          </cell>
          <cell r="AX82">
            <v>2798</v>
          </cell>
          <cell r="AY82">
            <v>-200</v>
          </cell>
          <cell r="AZ82">
            <v>977</v>
          </cell>
          <cell r="BA82">
            <v>-1339</v>
          </cell>
          <cell r="BB82">
            <v>874</v>
          </cell>
          <cell r="BC82">
            <v>61</v>
          </cell>
          <cell r="BD82">
            <v>-287</v>
          </cell>
          <cell r="BE82">
            <v>-2053</v>
          </cell>
          <cell r="BF82">
            <v>1288</v>
          </cell>
          <cell r="BG82">
            <v>1078</v>
          </cell>
          <cell r="BH82">
            <v>-1071</v>
          </cell>
          <cell r="BI82">
            <v>-724</v>
          </cell>
          <cell r="BJ82">
            <v>235</v>
          </cell>
          <cell r="BK82">
            <v>787</v>
          </cell>
          <cell r="BL82">
            <v>-69</v>
          </cell>
          <cell r="BM82">
            <v>-211</v>
          </cell>
          <cell r="BN82">
            <v>77</v>
          </cell>
          <cell r="BO82">
            <v>-1873</v>
          </cell>
          <cell r="BP82">
            <v>-1329</v>
          </cell>
          <cell r="BQ82">
            <v>-1635.1328737269614</v>
          </cell>
          <cell r="BR82">
            <v>2030.4702013726237</v>
          </cell>
          <cell r="BS82">
            <v>416.84914016775656</v>
          </cell>
          <cell r="BT82">
            <v>-343.73991365783877</v>
          </cell>
          <cell r="BU82">
            <v>-2245.0926709244268</v>
          </cell>
        </row>
        <row r="84">
          <cell r="A84" t="str">
            <v>Financial ratios</v>
          </cell>
        </row>
        <row r="85">
          <cell r="A85" t="str">
            <v xml:space="preserve">Total debt calculation </v>
          </cell>
          <cell r="H85">
            <v>59796</v>
          </cell>
          <cell r="I85">
            <v>64115</v>
          </cell>
          <cell r="J85">
            <v>74991</v>
          </cell>
          <cell r="K85">
            <v>72081</v>
          </cell>
          <cell r="L85">
            <v>66167</v>
          </cell>
          <cell r="M85">
            <v>64753</v>
          </cell>
          <cell r="N85">
            <v>64747</v>
          </cell>
          <cell r="O85">
            <v>72747</v>
          </cell>
          <cell r="P85">
            <v>76747</v>
          </cell>
          <cell r="Q85">
            <v>78747</v>
          </cell>
          <cell r="R85">
            <v>74747</v>
          </cell>
          <cell r="S85">
            <v>72747</v>
          </cell>
          <cell r="T85">
            <v>71747</v>
          </cell>
          <cell r="AT85">
            <v>62586</v>
          </cell>
          <cell r="AU85">
            <v>61671</v>
          </cell>
          <cell r="AV85">
            <v>60611</v>
          </cell>
          <cell r="AW85">
            <v>64115</v>
          </cell>
          <cell r="AX85">
            <v>73490</v>
          </cell>
          <cell r="AY85">
            <v>80147</v>
          </cell>
          <cell r="AZ85">
            <v>76774</v>
          </cell>
          <cell r="BA85">
            <v>74991</v>
          </cell>
          <cell r="BB85">
            <v>74350</v>
          </cell>
          <cell r="BC85">
            <v>76720</v>
          </cell>
          <cell r="BD85">
            <v>72664</v>
          </cell>
          <cell r="BE85">
            <v>72081</v>
          </cell>
          <cell r="BF85">
            <v>69461</v>
          </cell>
          <cell r="BG85">
            <v>69998</v>
          </cell>
          <cell r="BH85">
            <v>68966</v>
          </cell>
          <cell r="BI85">
            <v>66167</v>
          </cell>
          <cell r="BJ85">
            <v>65028</v>
          </cell>
          <cell r="BK85">
            <v>66573</v>
          </cell>
          <cell r="BL85">
            <v>71226</v>
          </cell>
          <cell r="BM85">
            <v>64753</v>
          </cell>
          <cell r="BN85">
            <v>65709</v>
          </cell>
          <cell r="BO85">
            <v>64534</v>
          </cell>
          <cell r="BP85">
            <v>63747</v>
          </cell>
          <cell r="BQ85">
            <v>64747</v>
          </cell>
          <cell r="BR85">
            <v>66747</v>
          </cell>
          <cell r="BS85">
            <v>68747</v>
          </cell>
          <cell r="BT85">
            <v>70747</v>
          </cell>
          <cell r="BU85">
            <v>72747</v>
          </cell>
        </row>
        <row r="86">
          <cell r="A86" t="str">
            <v xml:space="preserve">   Average total debt calculation</v>
          </cell>
          <cell r="H86">
            <v>59796</v>
          </cell>
          <cell r="I86">
            <v>61955.5</v>
          </cell>
          <cell r="J86">
            <v>69553</v>
          </cell>
          <cell r="K86">
            <v>73536</v>
          </cell>
          <cell r="L86">
            <v>69124</v>
          </cell>
          <cell r="M86">
            <v>65460</v>
          </cell>
          <cell r="N86">
            <v>64750</v>
          </cell>
          <cell r="O86">
            <v>68747</v>
          </cell>
          <cell r="P86">
            <v>74747</v>
          </cell>
          <cell r="Q86">
            <v>77747</v>
          </cell>
          <cell r="R86">
            <v>76747</v>
          </cell>
          <cell r="S86">
            <v>73747</v>
          </cell>
          <cell r="T86">
            <v>72247</v>
          </cell>
          <cell r="AT86">
            <v>62586</v>
          </cell>
          <cell r="AU86">
            <v>62128.5</v>
          </cell>
          <cell r="AV86">
            <v>61141</v>
          </cell>
          <cell r="AW86">
            <v>62363</v>
          </cell>
          <cell r="AX86">
            <v>68802.5</v>
          </cell>
          <cell r="AY86">
            <v>76818.5</v>
          </cell>
          <cell r="AZ86">
            <v>78460.5</v>
          </cell>
          <cell r="BA86">
            <v>75882.5</v>
          </cell>
          <cell r="BB86">
            <v>74670.5</v>
          </cell>
          <cell r="BC86">
            <v>75535</v>
          </cell>
          <cell r="BD86">
            <v>74692</v>
          </cell>
          <cell r="BE86">
            <v>72372.5</v>
          </cell>
          <cell r="BF86">
            <v>70771</v>
          </cell>
          <cell r="BG86">
            <v>69729.5</v>
          </cell>
          <cell r="BH86">
            <v>69482</v>
          </cell>
          <cell r="BI86">
            <v>67566.5</v>
          </cell>
          <cell r="BJ86">
            <v>65597.5</v>
          </cell>
          <cell r="BK86">
            <v>65800.5</v>
          </cell>
          <cell r="BL86">
            <v>68899.5</v>
          </cell>
          <cell r="BM86">
            <v>67989.5</v>
          </cell>
          <cell r="BN86">
            <v>65231</v>
          </cell>
          <cell r="BO86">
            <v>65121.5</v>
          </cell>
          <cell r="BP86">
            <v>64140.5</v>
          </cell>
          <cell r="BQ86">
            <v>64247</v>
          </cell>
          <cell r="BR86">
            <v>65747</v>
          </cell>
          <cell r="BS86">
            <v>67747</v>
          </cell>
          <cell r="BT86">
            <v>69747</v>
          </cell>
          <cell r="BU86">
            <v>71747</v>
          </cell>
        </row>
        <row r="87">
          <cell r="A87" t="str">
            <v>Interest rate (period average)</v>
          </cell>
          <cell r="H87">
            <v>0</v>
          </cell>
          <cell r="I87">
            <v>5.6040222417703026E-2</v>
          </cell>
          <cell r="J87">
            <v>4.8437881903009218E-2</v>
          </cell>
          <cell r="K87">
            <v>4.580069625761532E-2</v>
          </cell>
          <cell r="L87">
            <v>4.3313465655922687E-2</v>
          </cell>
          <cell r="M87">
            <v>5.4002444240757716E-2</v>
          </cell>
          <cell r="N87">
            <v>5.3272095504382444E-2</v>
          </cell>
          <cell r="O87">
            <v>4.9000000000000002E-2</v>
          </cell>
          <cell r="P87">
            <v>4.8000000000000001E-2</v>
          </cell>
          <cell r="Q87">
            <v>4.8000000000000001E-2</v>
          </cell>
          <cell r="R87">
            <v>0.05</v>
          </cell>
          <cell r="S87">
            <v>0.05</v>
          </cell>
          <cell r="T87">
            <v>0.05</v>
          </cell>
          <cell r="AT87">
            <v>5.3558303774006964E-2</v>
          </cell>
          <cell r="AU87">
            <v>5.6592385137255848E-2</v>
          </cell>
          <cell r="AV87">
            <v>5.8029799970559855E-2</v>
          </cell>
          <cell r="AW87">
            <v>5.567403749017847E-2</v>
          </cell>
          <cell r="AX87">
            <v>4.9881908360888051E-2</v>
          </cell>
          <cell r="AY87">
            <v>4.4208100913191481E-2</v>
          </cell>
          <cell r="AZ87">
            <v>4.3486850071054864E-2</v>
          </cell>
          <cell r="BA87">
            <v>4.2644878595196521E-2</v>
          </cell>
          <cell r="BB87">
            <v>4.5319101921106726E-2</v>
          </cell>
          <cell r="BC87">
            <v>4.6389091149798105E-2</v>
          </cell>
          <cell r="BD87">
            <v>4.5573823167139718E-2</v>
          </cell>
          <cell r="BE87">
            <v>4.393934160074614E-2</v>
          </cell>
          <cell r="BF87">
            <v>4.3238049483545517E-2</v>
          </cell>
          <cell r="BG87">
            <v>4.3252855678012896E-2</v>
          </cell>
          <cell r="BH87">
            <v>4.1967703865749405E-2</v>
          </cell>
          <cell r="BI87">
            <v>4.4163897789585078E-2</v>
          </cell>
          <cell r="BJ87">
            <v>5.1587331834292469E-2</v>
          </cell>
          <cell r="BK87">
            <v>5.1549760260180391E-2</v>
          </cell>
          <cell r="BL87">
            <v>5.1611405017452955E-2</v>
          </cell>
          <cell r="BM87">
            <v>5.6008648394237345E-2</v>
          </cell>
          <cell r="BN87">
            <v>5.2674341953978937E-2</v>
          </cell>
          <cell r="BO87">
            <v>5.7799651420805724E-2</v>
          </cell>
          <cell r="BP87">
            <v>5.1387189061513398E-2</v>
          </cell>
          <cell r="BQ87">
            <v>5.1387189061513398E-2</v>
          </cell>
          <cell r="BR87">
            <v>4.9000000000000002E-2</v>
          </cell>
          <cell r="BS87">
            <v>4.9000000000000002E-2</v>
          </cell>
          <cell r="BT87">
            <v>4.9000000000000002E-2</v>
          </cell>
          <cell r="BU87">
            <v>4.9000000000000002E-2</v>
          </cell>
        </row>
        <row r="88">
          <cell r="A88" t="str">
            <v>Interest Expense</v>
          </cell>
          <cell r="H88">
            <v>0</v>
          </cell>
          <cell r="I88">
            <v>3472</v>
          </cell>
          <cell r="J88">
            <v>3369</v>
          </cell>
          <cell r="K88">
            <v>3368</v>
          </cell>
          <cell r="L88">
            <v>2994</v>
          </cell>
          <cell r="M88">
            <v>3535</v>
          </cell>
          <cell r="N88">
            <v>3449.3681839087631</v>
          </cell>
          <cell r="O88">
            <v>3368.6030000000001</v>
          </cell>
          <cell r="P88">
            <v>3587.8560000000002</v>
          </cell>
          <cell r="Q88">
            <v>3731.8560000000002</v>
          </cell>
          <cell r="R88">
            <v>3837.3500000000004</v>
          </cell>
          <cell r="S88">
            <v>3687.3500000000004</v>
          </cell>
          <cell r="T88">
            <v>3612.3500000000004</v>
          </cell>
          <cell r="AT88">
            <v>838</v>
          </cell>
          <cell r="AU88">
            <v>879</v>
          </cell>
          <cell r="AV88">
            <v>887</v>
          </cell>
          <cell r="AW88">
            <v>868</v>
          </cell>
          <cell r="AX88">
            <v>858</v>
          </cell>
          <cell r="AY88">
            <v>849</v>
          </cell>
          <cell r="AZ88">
            <v>853</v>
          </cell>
          <cell r="BA88">
            <v>809</v>
          </cell>
          <cell r="BB88">
            <v>846</v>
          </cell>
          <cell r="BC88">
            <v>876</v>
          </cell>
          <cell r="BD88">
            <v>851</v>
          </cell>
          <cell r="BE88">
            <v>795</v>
          </cell>
          <cell r="BF88">
            <v>765</v>
          </cell>
          <cell r="BG88">
            <v>754</v>
          </cell>
          <cell r="BH88">
            <v>729</v>
          </cell>
          <cell r="BI88">
            <v>746</v>
          </cell>
          <cell r="BJ88">
            <v>846</v>
          </cell>
          <cell r="BK88">
            <v>848</v>
          </cell>
          <cell r="BL88">
            <v>889</v>
          </cell>
          <cell r="BM88">
            <v>952</v>
          </cell>
          <cell r="BN88">
            <v>859</v>
          </cell>
          <cell r="BO88">
            <v>941</v>
          </cell>
          <cell r="BP88">
            <v>824</v>
          </cell>
          <cell r="BQ88">
            <v>825.36818390876283</v>
          </cell>
          <cell r="BR88">
            <v>805.40075000000002</v>
          </cell>
          <cell r="BS88">
            <v>829.90075000000002</v>
          </cell>
          <cell r="BT88">
            <v>854.40075000000002</v>
          </cell>
          <cell r="BU88">
            <v>878.90075000000002</v>
          </cell>
        </row>
        <row r="89">
          <cell r="A89" t="str">
            <v>Total debt/total cap</v>
          </cell>
          <cell r="H89">
            <v>0.34103663822603458</v>
          </cell>
          <cell r="I89">
            <v>0.35722245127645114</v>
          </cell>
          <cell r="J89">
            <v>0.43665170227260819</v>
          </cell>
          <cell r="K89">
            <v>0.41329426739905739</v>
          </cell>
          <cell r="L89">
            <v>0.37148054368757616</v>
          </cell>
          <cell r="M89">
            <v>0.37967165054236296</v>
          </cell>
          <cell r="N89">
            <v>0.3951986369082014</v>
          </cell>
          <cell r="O89">
            <v>0.42139913969513543</v>
          </cell>
          <cell r="P89">
            <v>0.43904823454423547</v>
          </cell>
          <cell r="Q89">
            <v>0.43972950980228964</v>
          </cell>
          <cell r="R89">
            <v>0.4169909457352719</v>
          </cell>
          <cell r="S89">
            <v>0.39891081027148761</v>
          </cell>
          <cell r="T89">
            <v>0.38459592232943368</v>
          </cell>
          <cell r="AT89">
            <v>0.35441016580592555</v>
          </cell>
          <cell r="AU89">
            <v>0.35579696766898206</v>
          </cell>
          <cell r="AV89">
            <v>0.35283057310009602</v>
          </cell>
          <cell r="AW89">
            <v>0.35722245127645114</v>
          </cell>
          <cell r="AX89">
            <v>0.39564356009216789</v>
          </cell>
          <cell r="AY89">
            <v>0.41724974490327149</v>
          </cell>
          <cell r="AZ89">
            <v>0.40558502208228558</v>
          </cell>
          <cell r="BA89">
            <v>0.43665170227260819</v>
          </cell>
          <cell r="BB89">
            <v>0.43215437821500191</v>
          </cell>
          <cell r="BC89">
            <v>0.43657387385336766</v>
          </cell>
          <cell r="BD89">
            <v>0.42083803897721023</v>
          </cell>
          <cell r="BE89">
            <v>0.41329426739905739</v>
          </cell>
          <cell r="BF89">
            <v>0.40401449452383859</v>
          </cell>
          <cell r="BG89">
            <v>0.403490872199261</v>
          </cell>
          <cell r="BH89">
            <v>0.37839557991649247</v>
          </cell>
          <cell r="BI89">
            <v>0.37148054368757616</v>
          </cell>
          <cell r="BJ89">
            <v>0.36559079332774874</v>
          </cell>
          <cell r="BK89">
            <v>0.36845396885135212</v>
          </cell>
          <cell r="BL89">
            <v>0.38478077662769844</v>
          </cell>
          <cell r="BM89">
            <v>0.37967165054236296</v>
          </cell>
          <cell r="BN89">
            <v>0.38449700402584025</v>
          </cell>
          <cell r="BO89">
            <v>0.3838727522559231</v>
          </cell>
          <cell r="BP89">
            <v>0.38629628956314649</v>
          </cell>
          <cell r="BQ89">
            <v>0.3951986369082014</v>
          </cell>
          <cell r="BR89">
            <v>0.40181128560665019</v>
          </cell>
          <cell r="BS89">
            <v>0.40743730641562587</v>
          </cell>
          <cell r="BT89">
            <v>0.41307282951992769</v>
          </cell>
          <cell r="BU89">
            <v>0.42139913969513543</v>
          </cell>
        </row>
        <row r="90">
          <cell r="A90" t="str">
            <v>Total debt/EBITDA</v>
          </cell>
          <cell r="H90" t="e">
            <v>#REF!</v>
          </cell>
          <cell r="I90">
            <v>1.4601790065817941</v>
          </cell>
          <cell r="J90">
            <v>1.699551264617895</v>
          </cell>
          <cell r="K90">
            <v>1.7555041402825133</v>
          </cell>
          <cell r="L90">
            <v>1.5601009148354239</v>
          </cell>
          <cell r="M90">
            <v>1.5806522482058292</v>
          </cell>
          <cell r="N90">
            <v>1.5409888316926121</v>
          </cell>
          <cell r="O90">
            <v>1.7110922758800025</v>
          </cell>
          <cell r="P90">
            <v>1.7415662878094949</v>
          </cell>
          <cell r="Q90">
            <v>1.7439148539830331</v>
          </cell>
          <cell r="R90">
            <v>1.5813363009188022</v>
          </cell>
          <cell r="S90">
            <v>1.4813981462317982</v>
          </cell>
          <cell r="T90">
            <v>1.4431018514550311</v>
          </cell>
          <cell r="AT90">
            <v>1.4452706447441346</v>
          </cell>
          <cell r="AU90">
            <v>1.4182457915555147</v>
          </cell>
          <cell r="AV90">
            <v>1.3675767148014439</v>
          </cell>
          <cell r="AW90">
            <v>1.4398805246137263</v>
          </cell>
          <cell r="AX90">
            <v>1.6243037750861993</v>
          </cell>
          <cell r="AY90">
            <v>1.7307376695171461</v>
          </cell>
          <cell r="AZ90">
            <v>1.8027143796374565</v>
          </cell>
          <cell r="BA90">
            <v>1.7704929643970158</v>
          </cell>
          <cell r="BB90">
            <v>1.7668726235741445</v>
          </cell>
          <cell r="BC90">
            <v>1.8632212939576451</v>
          </cell>
          <cell r="BD90">
            <v>1.786058401337135</v>
          </cell>
          <cell r="BE90">
            <v>1.7886104218362282</v>
          </cell>
          <cell r="BF90">
            <v>1.6152218398288531</v>
          </cell>
          <cell r="BG90">
            <v>1.6051641900568703</v>
          </cell>
          <cell r="BH90">
            <v>1.6732822204968945</v>
          </cell>
          <cell r="BI90">
            <v>1.5821855571496892</v>
          </cell>
          <cell r="BJ90">
            <v>1.5643764434180139</v>
          </cell>
          <cell r="BK90">
            <v>1.5457648370019503</v>
          </cell>
          <cell r="BL90">
            <v>1.6406984243987837</v>
          </cell>
          <cell r="BM90">
            <v>1.8079350011168194</v>
          </cell>
          <cell r="BN90">
            <v>1.5408732764281023</v>
          </cell>
          <cell r="BO90">
            <v>1.4257246376811594</v>
          </cell>
          <cell r="BP90">
            <v>1.5107356147502133</v>
          </cell>
          <cell r="BQ90">
            <v>1.7055690090828655</v>
          </cell>
          <cell r="BR90">
            <v>1.5578650502018789</v>
          </cell>
          <cell r="BS90">
            <v>1.5299302458189308</v>
          </cell>
          <cell r="BT90">
            <v>1.5897538942985492</v>
          </cell>
          <cell r="BU90">
            <v>1.9256428006465771</v>
          </cell>
        </row>
        <row r="92">
          <cell r="A92" t="str">
            <v>Net debt calculation</v>
          </cell>
          <cell r="H92">
            <v>57378</v>
          </cell>
          <cell r="I92">
            <v>62145</v>
          </cell>
          <cell r="J92">
            <v>73199</v>
          </cell>
          <cell r="K92">
            <v>68279</v>
          </cell>
          <cell r="L92">
            <v>64730</v>
          </cell>
          <cell r="M92">
            <v>61568</v>
          </cell>
          <cell r="N92">
            <v>62624.567173124095</v>
          </cell>
          <cell r="O92">
            <v>69571.049097513343</v>
          </cell>
          <cell r="P92">
            <v>74617.16443779791</v>
          </cell>
          <cell r="Q92">
            <v>74267.825666920224</v>
          </cell>
          <cell r="R92">
            <v>68694.209973613571</v>
          </cell>
          <cell r="S92">
            <v>61966.118652515528</v>
          </cell>
          <cell r="T92">
            <v>54729.998903021165</v>
          </cell>
          <cell r="AT92">
            <v>60222</v>
          </cell>
          <cell r="AU92">
            <v>59101</v>
          </cell>
          <cell r="AV92">
            <v>57897</v>
          </cell>
          <cell r="AW92">
            <v>62145</v>
          </cell>
          <cell r="AX92">
            <v>71527</v>
          </cell>
          <cell r="AY92">
            <v>78516</v>
          </cell>
          <cell r="AZ92">
            <v>75180</v>
          </cell>
          <cell r="BA92">
            <v>73199</v>
          </cell>
          <cell r="BB92">
            <v>70538</v>
          </cell>
          <cell r="BC92">
            <v>69372</v>
          </cell>
          <cell r="BD92">
            <v>66497</v>
          </cell>
          <cell r="BE92">
            <v>68279</v>
          </cell>
          <cell r="BF92">
            <v>66844</v>
          </cell>
          <cell r="BG92">
            <v>68621</v>
          </cell>
          <cell r="BH92">
            <v>65720</v>
          </cell>
          <cell r="BI92">
            <v>64730</v>
          </cell>
          <cell r="BJ92">
            <v>63637</v>
          </cell>
          <cell r="BK92">
            <v>62742</v>
          </cell>
          <cell r="BL92">
            <v>60464</v>
          </cell>
          <cell r="BM92">
            <v>61568</v>
          </cell>
          <cell r="BN92">
            <v>63267</v>
          </cell>
          <cell r="BO92">
            <v>62383</v>
          </cell>
          <cell r="BP92">
            <v>61530</v>
          </cell>
          <cell r="BQ92">
            <v>62624.567173124095</v>
          </cell>
          <cell r="BR92">
            <v>66219.874074024163</v>
          </cell>
          <cell r="BS92">
            <v>67964.015132266679</v>
          </cell>
          <cell r="BT92">
            <v>69103.948209166439</v>
          </cell>
          <cell r="BU92">
            <v>69571.049097513343</v>
          </cell>
        </row>
        <row r="93">
          <cell r="A93" t="str">
            <v>Net debt/net total cap</v>
          </cell>
          <cell r="H93">
            <v>0.33182201968563135</v>
          </cell>
          <cell r="I93">
            <v>0.35008900806706028</v>
          </cell>
          <cell r="J93">
            <v>0.43071156641109981</v>
          </cell>
          <cell r="K93">
            <v>0.4002192211202551</v>
          </cell>
          <cell r="L93">
            <v>0.36636857595653161</v>
          </cell>
          <cell r="M93">
            <v>0.36786663878349712</v>
          </cell>
          <cell r="N93">
            <v>0.38726074009282463</v>
          </cell>
          <cell r="O93">
            <v>0.41055498674841229</v>
          </cell>
          <cell r="P93">
            <v>0.4321291848371373</v>
          </cell>
          <cell r="Q93">
            <v>0.42535648856855557</v>
          </cell>
          <cell r="R93">
            <v>0.3966166896743808</v>
          </cell>
          <cell r="S93">
            <v>0.36114329246786964</v>
          </cell>
          <cell r="T93">
            <v>0.3228248769533672</v>
          </cell>
          <cell r="AT93">
            <v>0.34565052689579173</v>
          </cell>
          <cell r="AU93">
            <v>0.34610159168901744</v>
          </cell>
          <cell r="AV93">
            <v>0.34244193267917028</v>
          </cell>
          <cell r="AW93">
            <v>0.35008900806706028</v>
          </cell>
          <cell r="AX93">
            <v>0.38918845389993745</v>
          </cell>
          <cell r="AY93">
            <v>0.4122591925566938</v>
          </cell>
          <cell r="AZ93">
            <v>0.4005370328932647</v>
          </cell>
          <cell r="BA93">
            <v>0.43071156641109981</v>
          </cell>
          <cell r="BB93">
            <v>0.4192875357391237</v>
          </cell>
          <cell r="BC93">
            <v>0.41198688711516535</v>
          </cell>
          <cell r="BD93">
            <v>0.39938617881295874</v>
          </cell>
          <cell r="BE93">
            <v>0.4002192211202551</v>
          </cell>
          <cell r="BF93">
            <v>0.39480243340617804</v>
          </cell>
          <cell r="BG93">
            <v>0.39871821689211173</v>
          </cell>
          <cell r="BH93">
            <v>0.36712417533922115</v>
          </cell>
          <cell r="BI93">
            <v>0.36636857595653161</v>
          </cell>
          <cell r="BJ93">
            <v>0.36059043517679057</v>
          </cell>
          <cell r="BK93">
            <v>0.35477322717994242</v>
          </cell>
          <cell r="BL93">
            <v>0.34680462987392885</v>
          </cell>
          <cell r="BM93">
            <v>0.36786663878349712</v>
          </cell>
          <cell r="BN93">
            <v>0.37557434076958696</v>
          </cell>
          <cell r="BO93">
            <v>0.37588725129848999</v>
          </cell>
          <cell r="BP93">
            <v>0.37793911697501292</v>
          </cell>
          <cell r="BQ93">
            <v>0.38726074009282463</v>
          </cell>
          <cell r="BR93">
            <v>0.39990703856474363</v>
          </cell>
          <cell r="BS93">
            <v>0.40467472726791431</v>
          </cell>
          <cell r="BT93">
            <v>0.40738769798982088</v>
          </cell>
          <cell r="BU93">
            <v>0.41055498674841229</v>
          </cell>
        </row>
        <row r="94">
          <cell r="A94" t="str">
            <v>Net debt/EBITDA</v>
          </cell>
          <cell r="H94" t="e">
            <v>#REF!</v>
          </cell>
          <cell r="I94">
            <v>1.4153134892618826</v>
          </cell>
          <cell r="J94">
            <v>1.6589384461970809</v>
          </cell>
          <cell r="K94">
            <v>1.6629079396005846</v>
          </cell>
          <cell r="L94">
            <v>1.5262189946241629</v>
          </cell>
          <cell r="M94">
            <v>1.5029048479226677</v>
          </cell>
          <cell r="N94">
            <v>1.4904745950139466</v>
          </cell>
          <cell r="O94">
            <v>1.6363902942475084</v>
          </cell>
          <cell r="P94">
            <v>1.6932354108539274</v>
          </cell>
          <cell r="Q94">
            <v>1.6447199811239102</v>
          </cell>
          <cell r="R94">
            <v>1.4532843845801646</v>
          </cell>
          <cell r="S94">
            <v>1.2618595034986482</v>
          </cell>
          <cell r="T94">
            <v>1.1008259961682254</v>
          </cell>
          <cell r="AT94">
            <v>5.5627193792721226</v>
          </cell>
          <cell r="AU94">
            <v>5.4365743721828714</v>
          </cell>
          <cell r="AV94">
            <v>5.2253610108303246</v>
          </cell>
          <cell r="AW94">
            <v>5.5825547969816744</v>
          </cell>
          <cell r="AX94">
            <v>1.6111861963328378</v>
          </cell>
          <cell r="AY94">
            <v>1.7409312638580932</v>
          </cell>
          <cell r="AZ94">
            <v>1.6831217677480019</v>
          </cell>
          <cell r="BA94">
            <v>1.6589384461970809</v>
          </cell>
          <cell r="BB94">
            <v>1.6278125216347819</v>
          </cell>
          <cell r="BC94">
            <v>1.6497502972651605</v>
          </cell>
          <cell r="BD94">
            <v>1.5994852552075816</v>
          </cell>
          <cell r="BE94">
            <v>1.6629079396005846</v>
          </cell>
          <cell r="BF94">
            <v>1.6188515657164999</v>
          </cell>
          <cell r="BG94">
            <v>1.6377717845294637</v>
          </cell>
          <cell r="BH94">
            <v>1.5635706128663875</v>
          </cell>
          <cell r="BI94">
            <v>1.5262189946241629</v>
          </cell>
          <cell r="BJ94">
            <v>1.5132570803509857</v>
          </cell>
          <cell r="BK94">
            <v>1.4967794264993559</v>
          </cell>
          <cell r="BL94">
            <v>1.4237878823557115</v>
          </cell>
          <cell r="BM94">
            <v>1.5029048479226677</v>
          </cell>
          <cell r="BN94">
            <v>1.5343033830483812</v>
          </cell>
          <cell r="BO94">
            <v>1.4929877465058397</v>
          </cell>
          <cell r="BP94">
            <v>1.4833654773384763</v>
          </cell>
          <cell r="BQ94">
            <v>1.4904745950139471</v>
          </cell>
          <cell r="BR94">
            <v>1.5741592043240829</v>
          </cell>
          <cell r="BS94">
            <v>1.6187881126239705</v>
          </cell>
          <cell r="BT94">
            <v>1.623646078326803</v>
          </cell>
          <cell r="BU94">
            <v>1.6363902942475086</v>
          </cell>
        </row>
        <row r="96">
          <cell r="A96" t="str">
            <v>EBITDA/Interest expense</v>
          </cell>
          <cell r="H96" t="e">
            <v>#REF!</v>
          </cell>
          <cell r="I96">
            <v>12.646601382488479</v>
          </cell>
          <cell r="J96">
            <v>13.097061442564559</v>
          </cell>
          <cell r="K96">
            <v>12.191211401425178</v>
          </cell>
          <cell r="L96">
            <v>14.165664662658651</v>
          </cell>
          <cell r="M96">
            <v>11.588684582743989</v>
          </cell>
          <cell r="N96">
            <v>12.180934450547175</v>
          </cell>
          <cell r="O96">
            <v>12.620943609899438</v>
          </cell>
          <cell r="P96">
            <v>12.282489306302743</v>
          </cell>
          <cell r="Q96">
            <v>12.099958013921492</v>
          </cell>
          <cell r="R96">
            <v>12.317940831359227</v>
          </cell>
          <cell r="S96">
            <v>13.317690843440158</v>
          </cell>
          <cell r="T96">
            <v>13.763121382028364</v>
          </cell>
          <cell r="AT96">
            <v>12.918854415274463</v>
          </cell>
          <cell r="AU96">
            <v>12.367463026166098</v>
          </cell>
          <cell r="AV96">
            <v>12.491544532130778</v>
          </cell>
          <cell r="AW96">
            <v>12.824884792626728</v>
          </cell>
          <cell r="AX96">
            <v>13.182983682983682</v>
          </cell>
          <cell r="AY96">
            <v>13.636042402826854</v>
          </cell>
          <cell r="AZ96">
            <v>12.481828839390387</v>
          </cell>
          <cell r="BA96">
            <v>13.088998763906057</v>
          </cell>
          <cell r="BB96">
            <v>12.43498817966903</v>
          </cell>
          <cell r="BC96">
            <v>11.751141552511415</v>
          </cell>
          <cell r="BD96">
            <v>11.951821386603996</v>
          </cell>
          <cell r="BE96">
            <v>12.672955974842766</v>
          </cell>
          <cell r="BF96">
            <v>14.05359477124183</v>
          </cell>
          <cell r="BG96">
            <v>14.458885941644562</v>
          </cell>
          <cell r="BH96">
            <v>14.13443072702332</v>
          </cell>
          <cell r="BI96">
            <v>14.014745308310992</v>
          </cell>
          <cell r="BJ96">
            <v>12.283687943262411</v>
          </cell>
          <cell r="BK96">
            <v>12.696933962264151</v>
          </cell>
          <cell r="BL96">
            <v>12.208098987626547</v>
          </cell>
          <cell r="BM96">
            <v>9.405462184873949</v>
          </cell>
          <cell r="BN96">
            <v>12.410942956926659</v>
          </cell>
          <cell r="BO96">
            <v>12.025504782146653</v>
          </cell>
          <cell r="BP96">
            <v>12.802184466019417</v>
          </cell>
          <cell r="BQ96">
            <v>11.498538384470468</v>
          </cell>
          <cell r="BR96">
            <v>13.299334073503612</v>
          </cell>
          <cell r="BS96">
            <v>13.536175366851257</v>
          </cell>
          <cell r="BT96">
            <v>13.021365180454762</v>
          </cell>
          <cell r="BU96">
            <v>10.745819257239104</v>
          </cell>
        </row>
        <row r="97">
          <cell r="A97" t="str">
            <v>(EBITDA-capex)/interest expense</v>
          </cell>
          <cell r="H97" t="e">
            <v>#REF!</v>
          </cell>
          <cell r="I97">
            <v>7.4945276497695854</v>
          </cell>
          <cell r="J97">
            <v>7.0688631641436626</v>
          </cell>
          <cell r="K97">
            <v>7.0564133016627082</v>
          </cell>
          <cell r="L97">
            <v>7.3847695390781567</v>
          </cell>
          <cell r="M97">
            <v>5.8540311173974544</v>
          </cell>
          <cell r="N97">
            <v>6.6255519568064472</v>
          </cell>
          <cell r="O97">
            <v>6.3269379425566949</v>
          </cell>
          <cell r="P97">
            <v>6.2805828961213637</v>
          </cell>
          <cell r="Q97">
            <v>6.264351635915113</v>
          </cell>
          <cell r="R97">
            <v>7.5928344550950504</v>
          </cell>
          <cell r="S97">
            <v>8.39966911578286</v>
          </cell>
          <cell r="T97">
            <v>8.7230968072018626</v>
          </cell>
          <cell r="AT97">
            <v>8.8937947494033409</v>
          </cell>
          <cell r="AU97">
            <v>7.6291240045506257</v>
          </cell>
          <cell r="AV97">
            <v>7.1803833145434046</v>
          </cell>
          <cell r="AW97">
            <v>6.3283410138248852</v>
          </cell>
          <cell r="AX97">
            <v>8.2319347319347322</v>
          </cell>
          <cell r="AY97">
            <v>7.3592461719670199</v>
          </cell>
          <cell r="AZ97">
            <v>6.3259085580304806</v>
          </cell>
          <cell r="BA97">
            <v>6.3139678615574786</v>
          </cell>
          <cell r="BB97">
            <v>8.4775413711583916</v>
          </cell>
          <cell r="BC97">
            <v>7.1426940639269407</v>
          </cell>
          <cell r="BD97">
            <v>7.0141010575793183</v>
          </cell>
          <cell r="BE97">
            <v>5.4943396226415091</v>
          </cell>
          <cell r="BF97">
            <v>9.6993464052287575</v>
          </cell>
          <cell r="BG97">
            <v>7.9549071618037139</v>
          </cell>
          <cell r="BH97">
            <v>6.5733882030178323</v>
          </cell>
          <cell r="BI97">
            <v>5.2278820375335124</v>
          </cell>
          <cell r="BJ97">
            <v>7.3569739952718676</v>
          </cell>
          <cell r="BK97">
            <v>6.430424528301887</v>
          </cell>
          <cell r="BL97">
            <v>6.2890888638920135</v>
          </cell>
          <cell r="BM97">
            <v>3.5987394957983194</v>
          </cell>
          <cell r="BN97">
            <v>7.3748544819557624</v>
          </cell>
          <cell r="BO97">
            <v>7.2008501594048884</v>
          </cell>
          <cell r="BP97">
            <v>6.8021844660194173</v>
          </cell>
          <cell r="BQ97">
            <v>5.0134814999120625</v>
          </cell>
          <cell r="BR97">
            <v>6.9532112220080808</v>
          </cell>
          <cell r="BS97">
            <v>7.2115050349847545</v>
          </cell>
          <cell r="BT97">
            <v>6.732394136892677</v>
          </cell>
          <cell r="BU97">
            <v>4.523633145127314</v>
          </cell>
        </row>
        <row r="99">
          <cell r="A99" t="str">
            <v>Assumed interest income on cash balance</v>
          </cell>
          <cell r="I99">
            <v>58</v>
          </cell>
          <cell r="J99">
            <v>-332</v>
          </cell>
          <cell r="K99">
            <v>152</v>
          </cell>
          <cell r="L99">
            <v>257</v>
          </cell>
          <cell r="M99">
            <v>249</v>
          </cell>
          <cell r="N99">
            <v>166.99519299195654</v>
          </cell>
          <cell r="O99">
            <v>129.93610008587331</v>
          </cell>
          <cell r="P99">
            <v>124.68598192018584</v>
          </cell>
          <cell r="Q99">
            <v>155.31173253912419</v>
          </cell>
          <cell r="R99">
            <v>247.5011624474559</v>
          </cell>
          <cell r="S99">
            <v>395.5912772859661</v>
          </cell>
          <cell r="T99">
            <v>653.25023744488772</v>
          </cell>
          <cell r="AT99">
            <v>35</v>
          </cell>
          <cell r="AU99">
            <v>39</v>
          </cell>
          <cell r="AV99">
            <v>-17</v>
          </cell>
          <cell r="AW99">
            <v>1</v>
          </cell>
          <cell r="AX99">
            <v>91</v>
          </cell>
          <cell r="AY99">
            <v>27</v>
          </cell>
          <cell r="AZ99">
            <v>-24</v>
          </cell>
          <cell r="BA99">
            <v>-426</v>
          </cell>
          <cell r="BB99">
            <v>-15</v>
          </cell>
          <cell r="BC99">
            <v>31</v>
          </cell>
          <cell r="BD99">
            <v>29</v>
          </cell>
          <cell r="BE99">
            <v>107</v>
          </cell>
          <cell r="BF99">
            <v>-22</v>
          </cell>
          <cell r="BG99">
            <v>83</v>
          </cell>
          <cell r="BH99">
            <v>124</v>
          </cell>
          <cell r="BI99">
            <v>72</v>
          </cell>
          <cell r="BJ99">
            <v>59</v>
          </cell>
          <cell r="BK99">
            <v>27</v>
          </cell>
          <cell r="BL99">
            <v>46</v>
          </cell>
          <cell r="BM99">
            <v>117</v>
          </cell>
          <cell r="BN99">
            <v>52</v>
          </cell>
          <cell r="BO99">
            <v>23</v>
          </cell>
          <cell r="BP99">
            <v>47</v>
          </cell>
          <cell r="BQ99">
            <v>44.995192991956543</v>
          </cell>
          <cell r="BR99">
            <v>11.174974524521543</v>
          </cell>
          <cell r="BS99">
            <v>16.599137926687611</v>
          </cell>
          <cell r="BT99">
            <v>34.832401519701094</v>
          </cell>
          <cell r="BU99">
            <v>67.329586114963078</v>
          </cell>
        </row>
        <row r="100">
          <cell r="A100" t="str">
            <v xml:space="preserve"> Assumed interest rate</v>
          </cell>
          <cell r="I100">
            <v>2.6435733819507749E-2</v>
          </cell>
          <cell r="J100">
            <v>-0.17650186071238702</v>
          </cell>
          <cell r="K100">
            <v>5.4343939935645333E-2</v>
          </cell>
          <cell r="L100">
            <v>9.8110326398167594E-2</v>
          </cell>
          <cell r="M100">
            <v>0.10774556469061013</v>
          </cell>
          <cell r="N100">
            <v>6.2928801339254728E-2</v>
          </cell>
          <cell r="O100">
            <v>4.9047447947491517E-2</v>
          </cell>
          <cell r="P100">
            <v>4.7E-2</v>
          </cell>
          <cell r="Q100">
            <v>4.7E-2</v>
          </cell>
          <cell r="R100">
            <v>4.7E-2</v>
          </cell>
          <cell r="S100">
            <v>4.7E-2</v>
          </cell>
          <cell r="T100">
            <v>4.7E-2</v>
          </cell>
          <cell r="AT100">
            <v>5.9221658206429779E-2</v>
          </cell>
          <cell r="AU100">
            <v>6.0700389105058365E-2</v>
          </cell>
          <cell r="AV100">
            <v>-2.5055268975681652E-2</v>
          </cell>
          <cell r="AW100">
            <v>2.0304568527918783E-3</v>
          </cell>
          <cell r="AX100">
            <v>0.18543046357615894</v>
          </cell>
          <cell r="AY100">
            <v>6.6217044757817284E-2</v>
          </cell>
          <cell r="AZ100">
            <v>-6.0225846925972396E-2</v>
          </cell>
          <cell r="BA100">
            <v>-0.9508928571428571</v>
          </cell>
          <cell r="BB100">
            <v>-1.5739769150052464E-2</v>
          </cell>
          <cell r="BC100">
            <v>1.6875340228633642E-2</v>
          </cell>
          <cell r="BD100">
            <v>1.8809794065185667E-2</v>
          </cell>
          <cell r="BE100">
            <v>0.11257233035244608</v>
          </cell>
          <cell r="BF100">
            <v>-3.3626289644631255E-2</v>
          </cell>
          <cell r="BG100">
            <v>0.24110384894698619</v>
          </cell>
          <cell r="BH100">
            <v>0.15280345040049292</v>
          </cell>
          <cell r="BI100">
            <v>0.20041753653444677</v>
          </cell>
          <cell r="BJ100">
            <v>0.16966211358734723</v>
          </cell>
          <cell r="BK100">
            <v>2.8191072826938137E-2</v>
          </cell>
          <cell r="BL100">
            <v>1.7097193830143097E-2</v>
          </cell>
          <cell r="BM100">
            <v>0.14693877551020409</v>
          </cell>
          <cell r="BN100">
            <v>8.5176085176085173E-2</v>
          </cell>
          <cell r="BO100">
            <v>4.2770804277080431E-2</v>
          </cell>
          <cell r="BP100">
            <v>8.479927830401443E-2</v>
          </cell>
          <cell r="BQ100">
            <v>8.479927830401443E-2</v>
          </cell>
          <cell r="BR100">
            <v>8.479927830401443E-2</v>
          </cell>
          <cell r="BS100">
            <v>8.479927830401443E-2</v>
          </cell>
          <cell r="BT100">
            <v>8.479927830401443E-2</v>
          </cell>
          <cell r="BU100">
            <v>8.479927830401443E-2</v>
          </cell>
        </row>
        <row r="101">
          <cell r="A101" t="str">
            <v>Other income</v>
          </cell>
          <cell r="I101">
            <v>1011</v>
          </cell>
          <cell r="J101">
            <v>487</v>
          </cell>
          <cell r="K101">
            <v>886</v>
          </cell>
          <cell r="L101">
            <v>1019</v>
          </cell>
          <cell r="M101">
            <v>1033</v>
          </cell>
          <cell r="N101">
            <v>885.99519299195651</v>
          </cell>
          <cell r="O101">
            <v>857.93610008587325</v>
          </cell>
          <cell r="P101">
            <v>857.93610008587325</v>
          </cell>
          <cell r="Q101">
            <v>857.93610008587325</v>
          </cell>
          <cell r="R101">
            <v>857.93610008587325</v>
          </cell>
          <cell r="S101">
            <v>857.93610008587325</v>
          </cell>
          <cell r="T101">
            <v>857.93610008587325</v>
          </cell>
          <cell r="AT101">
            <v>381</v>
          </cell>
          <cell r="AU101">
            <v>337</v>
          </cell>
          <cell r="AV101">
            <v>145</v>
          </cell>
          <cell r="AW101">
            <v>148</v>
          </cell>
          <cell r="AX101">
            <v>334</v>
          </cell>
          <cell r="AY101">
            <v>239</v>
          </cell>
          <cell r="AZ101">
            <v>233</v>
          </cell>
          <cell r="BA101">
            <v>-319</v>
          </cell>
          <cell r="BB101">
            <v>122</v>
          </cell>
          <cell r="BC101">
            <v>262</v>
          </cell>
          <cell r="BD101">
            <v>210</v>
          </cell>
          <cell r="BE101">
            <v>292</v>
          </cell>
          <cell r="BF101">
            <v>195</v>
          </cell>
          <cell r="BG101">
            <v>278</v>
          </cell>
          <cell r="BH101">
            <v>341</v>
          </cell>
          <cell r="BI101">
            <v>205</v>
          </cell>
          <cell r="BJ101">
            <v>308</v>
          </cell>
          <cell r="BK101">
            <v>234</v>
          </cell>
          <cell r="BL101">
            <v>239</v>
          </cell>
          <cell r="BM101">
            <v>252</v>
          </cell>
          <cell r="BN101">
            <v>275</v>
          </cell>
          <cell r="BO101">
            <v>155</v>
          </cell>
          <cell r="BP101">
            <v>229</v>
          </cell>
          <cell r="BQ101">
            <v>226.99519299195654</v>
          </cell>
          <cell r="BR101">
            <v>193.17497452452153</v>
          </cell>
          <cell r="BS101">
            <v>198.5991379266876</v>
          </cell>
          <cell r="BT101">
            <v>216.83240151970108</v>
          </cell>
          <cell r="BU101">
            <v>249.32958611496309</v>
          </cell>
        </row>
        <row r="102">
          <cell r="A102" t="str">
            <v>Equity in Net Income of Affiliates</v>
          </cell>
          <cell r="AT102">
            <v>173</v>
          </cell>
          <cell r="AU102">
            <v>210</v>
          </cell>
          <cell r="AV102">
            <v>162</v>
          </cell>
          <cell r="AW102">
            <v>147</v>
          </cell>
          <cell r="AX102">
            <v>243</v>
          </cell>
          <cell r="AY102">
            <v>212</v>
          </cell>
          <cell r="AZ102">
            <v>257</v>
          </cell>
          <cell r="BA102">
            <v>107</v>
          </cell>
          <cell r="BB102">
            <v>137</v>
          </cell>
          <cell r="BC102">
            <v>231</v>
          </cell>
          <cell r="BD102">
            <v>181</v>
          </cell>
          <cell r="BE102">
            <v>185</v>
          </cell>
          <cell r="BF102">
            <v>217</v>
          </cell>
          <cell r="BG102">
            <v>195</v>
          </cell>
          <cell r="BH102">
            <v>217</v>
          </cell>
          <cell r="BI102">
            <v>133</v>
          </cell>
          <cell r="BJ102">
            <v>249</v>
          </cell>
          <cell r="BK102">
            <v>207</v>
          </cell>
          <cell r="BL102">
            <v>193</v>
          </cell>
          <cell r="BM102">
            <v>135</v>
          </cell>
          <cell r="BN102">
            <v>223</v>
          </cell>
          <cell r="BO102">
            <v>132</v>
          </cell>
          <cell r="BP102">
            <v>182</v>
          </cell>
          <cell r="BQ102">
            <v>182</v>
          </cell>
          <cell r="BR102">
            <v>182</v>
          </cell>
          <cell r="BS102">
            <v>182</v>
          </cell>
          <cell r="BT102">
            <v>182</v>
          </cell>
          <cell r="BU102">
            <v>182</v>
          </cell>
        </row>
        <row r="103">
          <cell r="A103" t="str">
            <v>Other Income (Expense) – Net</v>
          </cell>
          <cell r="AT103">
            <v>381</v>
          </cell>
          <cell r="AU103">
            <v>337</v>
          </cell>
          <cell r="AV103">
            <v>145</v>
          </cell>
          <cell r="AW103">
            <v>148</v>
          </cell>
          <cell r="AX103">
            <v>334</v>
          </cell>
          <cell r="AY103">
            <v>239</v>
          </cell>
          <cell r="AZ103">
            <v>233</v>
          </cell>
          <cell r="BA103">
            <v>-319</v>
          </cell>
          <cell r="BB103">
            <v>122</v>
          </cell>
          <cell r="BC103">
            <v>262</v>
          </cell>
          <cell r="BD103">
            <v>210</v>
          </cell>
          <cell r="BE103">
            <v>292</v>
          </cell>
          <cell r="BF103">
            <v>195</v>
          </cell>
          <cell r="BG103">
            <v>278</v>
          </cell>
          <cell r="BH103">
            <v>341</v>
          </cell>
          <cell r="BI103">
            <v>205</v>
          </cell>
          <cell r="BJ103">
            <v>308</v>
          </cell>
          <cell r="BK103">
            <v>234</v>
          </cell>
          <cell r="BL103">
            <v>239</v>
          </cell>
          <cell r="BM103">
            <v>252</v>
          </cell>
          <cell r="BN103">
            <v>275</v>
          </cell>
          <cell r="BO103">
            <v>155</v>
          </cell>
          <cell r="BP103">
            <v>229</v>
          </cell>
        </row>
        <row r="105">
          <cell r="A105" t="str">
            <v>Interest Income on Cash Balance</v>
          </cell>
          <cell r="D105">
            <v>-165.22599999999994</v>
          </cell>
          <cell r="E105">
            <v>158.75400000000002</v>
          </cell>
          <cell r="F105">
            <v>62.99799999999999</v>
          </cell>
          <cell r="G105">
            <v>-127.17925</v>
          </cell>
          <cell r="H105">
            <v>-239</v>
          </cell>
          <cell r="I105">
            <v>767.9</v>
          </cell>
          <cell r="J105">
            <v>-75.239999999999995</v>
          </cell>
          <cell r="K105">
            <v>-55.94</v>
          </cell>
          <cell r="L105">
            <v>-31.434000000000001</v>
          </cell>
          <cell r="M105">
            <v>2283.268</v>
          </cell>
          <cell r="N105">
            <v>5275.5882299146515</v>
          </cell>
          <cell r="O105">
            <v>5266.5934269863938</v>
          </cell>
          <cell r="P105">
            <v>5273.9517459006265</v>
          </cell>
          <cell r="Q105">
            <v>6569.3558359101899</v>
          </cell>
          <cell r="R105">
            <v>10468.77257330941</v>
          </cell>
          <cell r="S105">
            <v>16732.66934562767</v>
          </cell>
          <cell r="T105">
            <v>27631.095149796525</v>
          </cell>
          <cell r="Y105">
            <v>121</v>
          </cell>
          <cell r="Z105">
            <v>-35</v>
          </cell>
          <cell r="AA105">
            <v>-50.8</v>
          </cell>
          <cell r="AB105">
            <v>-45.298999999999992</v>
          </cell>
          <cell r="AC105">
            <v>-45.937999999999988</v>
          </cell>
          <cell r="AD105">
            <v>13.066000000000017</v>
          </cell>
          <cell r="AE105">
            <v>20.945</v>
          </cell>
          <cell r="AF105">
            <v>8.2590000000000003</v>
          </cell>
          <cell r="AG105">
            <v>77.262000000000015</v>
          </cell>
          <cell r="AH105">
            <v>15.149000000000001</v>
          </cell>
          <cell r="AI105">
            <v>15.083999999999989</v>
          </cell>
          <cell r="AJ105">
            <v>18.683999999999997</v>
          </cell>
          <cell r="AK105">
            <v>14.081000000000003</v>
          </cell>
          <cell r="AL105">
            <v>14.661000000000001</v>
          </cell>
          <cell r="AM105">
            <v>-30.191000000000003</v>
          </cell>
          <cell r="AN105">
            <v>-40.219750000000005</v>
          </cell>
          <cell r="AO105">
            <v>-71.42949999999999</v>
          </cell>
          <cell r="AP105">
            <v>-58</v>
          </cell>
          <cell r="AQ105">
            <v>-51</v>
          </cell>
          <cell r="AR105">
            <v>-65</v>
          </cell>
          <cell r="AS105">
            <v>-65</v>
          </cell>
          <cell r="AT105">
            <v>-64</v>
          </cell>
          <cell r="AU105">
            <v>-64</v>
          </cell>
          <cell r="AV105">
            <v>-62</v>
          </cell>
          <cell r="AW105">
            <v>-61</v>
          </cell>
        </row>
        <row r="106">
          <cell r="A106" t="str">
            <v>Implied Interest Rate</v>
          </cell>
          <cell r="D106">
            <v>-4.6320717689935502E-2</v>
          </cell>
          <cell r="E106">
            <v>3.3032459425717857E-2</v>
          </cell>
          <cell r="F106">
            <v>8.2892105263157878E-2</v>
          </cell>
          <cell r="G106">
            <v>-0.1039046160130719</v>
          </cell>
          <cell r="H106">
            <v>-9.8842018196856909E-2</v>
          </cell>
          <cell r="I106">
            <v>0.35</v>
          </cell>
          <cell r="J106">
            <v>-0.04</v>
          </cell>
          <cell r="K106">
            <v>-0.02</v>
          </cell>
          <cell r="L106">
            <v>-1.2E-2</v>
          </cell>
          <cell r="M106">
            <v>0.98799999999999999</v>
          </cell>
          <cell r="N106">
            <v>1.988</v>
          </cell>
          <cell r="O106">
            <v>1.988</v>
          </cell>
          <cell r="P106">
            <v>1.988</v>
          </cell>
          <cell r="Q106">
            <v>1.988</v>
          </cell>
          <cell r="R106">
            <v>1.988</v>
          </cell>
          <cell r="S106">
            <v>1.988</v>
          </cell>
          <cell r="T106">
            <v>1.988</v>
          </cell>
          <cell r="AD106">
            <v>1.0816225165562928E-2</v>
          </cell>
          <cell r="AE106">
            <v>1.6302782642537452E-2</v>
          </cell>
          <cell r="AF106">
            <v>6.6874493927125507E-3</v>
          </cell>
          <cell r="AG106">
            <v>6.4304619225967558E-2</v>
          </cell>
          <cell r="AH106">
            <v>8.5575483688744534E-3</v>
          </cell>
          <cell r="AI106">
            <v>5.2076644225789708E-3</v>
          </cell>
          <cell r="AJ106">
            <v>5.6234762979683961E-3</v>
          </cell>
          <cell r="AK106">
            <v>7.4110526315789488E-2</v>
          </cell>
          <cell r="AL106">
            <v>0.13733957845433256</v>
          </cell>
          <cell r="AM106">
            <v>-0.29744827586206901</v>
          </cell>
          <cell r="AN106">
            <v>-0.37154503464203237</v>
          </cell>
          <cell r="AO106">
            <v>-0.23342973856209148</v>
          </cell>
          <cell r="AP106">
            <v>-0.22</v>
          </cell>
          <cell r="AQ106">
            <v>-0.187</v>
          </cell>
          <cell r="AR106">
            <v>-0.20783373301358912</v>
          </cell>
          <cell r="AS106">
            <v>-0.10752688172043011</v>
          </cell>
          <cell r="AT106">
            <v>-0.10829103214890017</v>
          </cell>
          <cell r="AU106">
            <v>-9.9610894941634248E-2</v>
          </cell>
          <cell r="AV106">
            <v>-9.1378039793662491E-2</v>
          </cell>
          <cell r="AW106">
            <v>-0.12385786802030457</v>
          </cell>
        </row>
        <row r="107">
          <cell r="A107" t="str">
            <v>Implied other other income</v>
          </cell>
          <cell r="AX107">
            <v>0.18543046357615894</v>
          </cell>
        </row>
        <row r="108">
          <cell r="A108" t="str">
            <v>Interest Income From Cingular</v>
          </cell>
          <cell r="C108">
            <v>0</v>
          </cell>
          <cell r="D108">
            <v>479.22599999999994</v>
          </cell>
          <cell r="E108">
            <v>444.24599999999998</v>
          </cell>
          <cell r="F108">
            <v>435.76499999999999</v>
          </cell>
          <cell r="G108">
            <v>518.0625</v>
          </cell>
          <cell r="H108">
            <v>521</v>
          </cell>
          <cell r="I108">
            <v>530</v>
          </cell>
          <cell r="J108">
            <v>406.16362655440548</v>
          </cell>
          <cell r="K108">
            <v>406.16362655440548</v>
          </cell>
          <cell r="L108">
            <v>406.16362655440548</v>
          </cell>
          <cell r="M108">
            <v>406.16362655440548</v>
          </cell>
          <cell r="N108">
            <v>406.16362655440548</v>
          </cell>
          <cell r="O108">
            <v>406.16362655440548</v>
          </cell>
          <cell r="P108">
            <v>406.16362655440548</v>
          </cell>
          <cell r="Q108">
            <v>406.16362655440548</v>
          </cell>
          <cell r="R108">
            <v>406.16362655440548</v>
          </cell>
          <cell r="S108">
            <v>406.16362655440548</v>
          </cell>
          <cell r="T108">
            <v>406.16362655440548</v>
          </cell>
          <cell r="Y108">
            <v>0</v>
          </cell>
          <cell r="Z108">
            <v>120</v>
          </cell>
          <cell r="AA108">
            <v>136.80000000000001</v>
          </cell>
          <cell r="AB108">
            <v>118.29899999999999</v>
          </cell>
          <cell r="AC108">
            <v>115.93799999999999</v>
          </cell>
          <cell r="AD108">
            <v>122.93399999999998</v>
          </cell>
          <cell r="AE108">
            <v>122.05500000000001</v>
          </cell>
          <cell r="AF108">
            <v>117.741</v>
          </cell>
          <cell r="AG108">
            <v>120.73799999999999</v>
          </cell>
          <cell r="AH108">
            <v>100.851</v>
          </cell>
          <cell r="AI108">
            <v>104.91600000000001</v>
          </cell>
          <cell r="AJ108">
            <v>101.316</v>
          </cell>
          <cell r="AK108">
            <v>101.919</v>
          </cell>
          <cell r="AL108">
            <v>102.339</v>
          </cell>
          <cell r="AM108">
            <v>130.191</v>
          </cell>
          <cell r="AN108">
            <v>141.21975</v>
          </cell>
          <cell r="AO108">
            <v>136.42949999999999</v>
          </cell>
          <cell r="AP108">
            <v>123.20474999999999</v>
          </cell>
          <cell r="AQ108">
            <v>117.20849999999999</v>
          </cell>
          <cell r="AR108">
            <v>130</v>
          </cell>
          <cell r="AS108">
            <v>130</v>
          </cell>
          <cell r="AT108">
            <v>131</v>
          </cell>
          <cell r="AU108">
            <v>130</v>
          </cell>
          <cell r="AV108">
            <v>131</v>
          </cell>
          <cell r="AW108">
            <v>132</v>
          </cell>
        </row>
        <row r="109">
          <cell r="A109" t="str">
            <v>Proportionate Share of Cingular Net Debt</v>
          </cell>
          <cell r="D109">
            <v>1720.8</v>
          </cell>
          <cell r="E109">
            <v>1748.3999999999999</v>
          </cell>
          <cell r="F109">
            <v>8537.4</v>
          </cell>
          <cell r="G109">
            <v>7573.7999999999993</v>
          </cell>
          <cell r="H109">
            <v>7125.5999999999995</v>
          </cell>
          <cell r="I109">
            <v>7125.5999999999995</v>
          </cell>
          <cell r="J109">
            <v>7125.5999999999995</v>
          </cell>
          <cell r="K109">
            <v>7125.5999999999995</v>
          </cell>
          <cell r="L109">
            <v>7125.5999999999995</v>
          </cell>
          <cell r="M109">
            <v>7125.5999999999995</v>
          </cell>
          <cell r="N109">
            <v>7125.5999999999995</v>
          </cell>
          <cell r="O109">
            <v>0</v>
          </cell>
          <cell r="P109">
            <v>0</v>
          </cell>
          <cell r="Q109">
            <v>0</v>
          </cell>
          <cell r="R109">
            <v>0</v>
          </cell>
          <cell r="S109">
            <v>0</v>
          </cell>
          <cell r="T109">
            <v>0</v>
          </cell>
        </row>
        <row r="110">
          <cell r="F110">
            <v>498.76299999999998</v>
          </cell>
          <cell r="G110">
            <v>390.88324999999998</v>
          </cell>
          <cell r="H110">
            <v>282</v>
          </cell>
          <cell r="I110">
            <v>1297.9000000000001</v>
          </cell>
          <cell r="J110">
            <v>330.92362655440547</v>
          </cell>
          <cell r="K110">
            <v>350.22362655440548</v>
          </cell>
          <cell r="L110">
            <v>374.72962655440546</v>
          </cell>
          <cell r="M110">
            <v>2689.4316265544057</v>
          </cell>
          <cell r="N110">
            <v>5681.7518564690572</v>
          </cell>
          <cell r="O110">
            <v>5672.7570535407995</v>
          </cell>
          <cell r="P110">
            <v>5680.1153724550322</v>
          </cell>
          <cell r="Q110">
            <v>6975.5194624645956</v>
          </cell>
          <cell r="R110">
            <v>10874.936199863816</v>
          </cell>
          <cell r="S110">
            <v>17138.832972182074</v>
          </cell>
          <cell r="T110">
            <v>28037.258776350929</v>
          </cell>
        </row>
        <row r="111">
          <cell r="A111" t="str">
            <v>Profitability metrics</v>
          </cell>
        </row>
        <row r="113">
          <cell r="A113" t="str">
            <v>ROIC</v>
          </cell>
          <cell r="C113">
            <v>0.15237598068326394</v>
          </cell>
          <cell r="D113">
            <v>0.12998022908754936</v>
          </cell>
          <cell r="E113">
            <v>7.865503178729942E-2</v>
          </cell>
          <cell r="F113">
            <v>8.6669005146839784E-2</v>
          </cell>
          <cell r="G113">
            <v>7.0615514144509103E-2</v>
          </cell>
          <cell r="H113">
            <v>0.12220720516816586</v>
          </cell>
          <cell r="I113">
            <v>0.11846722185934737</v>
          </cell>
          <cell r="J113">
            <v>9.9560696572072699E-2</v>
          </cell>
          <cell r="K113">
            <v>8.6801602506632269E-2</v>
          </cell>
          <cell r="L113">
            <v>9.0433630403764315E-2</v>
          </cell>
          <cell r="M113">
            <v>8.8084880507222449E-2</v>
          </cell>
          <cell r="N113">
            <v>9.5396137006492077E-2</v>
          </cell>
          <cell r="O113">
            <v>9.3249343973485999E-2</v>
          </cell>
          <cell r="P113">
            <v>9.4615829527284936E-2</v>
          </cell>
          <cell r="Q113">
            <v>9.5111070523317701E-2</v>
          </cell>
          <cell r="R113">
            <v>0.10290025538687503</v>
          </cell>
          <cell r="S113">
            <v>0.1104763464005753</v>
          </cell>
          <cell r="T113">
            <v>0.11380275848212185</v>
          </cell>
          <cell r="Y113">
            <v>0.10752255168203496</v>
          </cell>
          <cell r="Z113">
            <v>0.11771990725859276</v>
          </cell>
          <cell r="AA113">
            <v>0.13582202289965661</v>
          </cell>
          <cell r="AB113">
            <v>0.12599939815098715</v>
          </cell>
          <cell r="AC113">
            <v>0.15117271952132058</v>
          </cell>
          <cell r="AD113">
            <v>9.3764490077014637E-2</v>
          </cell>
          <cell r="AE113">
            <v>9.0220749862477995E-2</v>
          </cell>
          <cell r="AF113">
            <v>8.4359115848393409E-2</v>
          </cell>
          <cell r="AG113">
            <v>6.2728348999798275E-2</v>
          </cell>
          <cell r="AH113">
            <v>8.0938547621952017E-2</v>
          </cell>
          <cell r="AI113">
            <v>9.4838670871348313E-2</v>
          </cell>
          <cell r="AJ113">
            <v>9.5517563239916878E-2</v>
          </cell>
          <cell r="AK113">
            <v>0.1038680323991976</v>
          </cell>
          <cell r="AL113">
            <v>9.6165137047680843E-2</v>
          </cell>
          <cell r="AM113">
            <v>0.10854522183164825</v>
          </cell>
          <cell r="AN113">
            <v>0.11725391004681929</v>
          </cell>
          <cell r="AO113">
            <v>8.882050455633661E-2</v>
          </cell>
          <cell r="AP113">
            <v>0</v>
          </cell>
          <cell r="AQ113">
            <v>0</v>
          </cell>
          <cell r="AR113">
            <v>0</v>
          </cell>
          <cell r="AS113">
            <v>0</v>
          </cell>
          <cell r="AT113">
            <v>0</v>
          </cell>
          <cell r="AU113">
            <v>0</v>
          </cell>
          <cell r="AV113">
            <v>0</v>
          </cell>
          <cell r="AW113">
            <v>-4.2048929663831065E-6</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row>
        <row r="114">
          <cell r="A114" t="str">
            <v xml:space="preserve">   EBITA</v>
          </cell>
          <cell r="C114">
            <v>11132</v>
          </cell>
          <cell r="D114">
            <v>9716</v>
          </cell>
          <cell r="E114">
            <v>6284</v>
          </cell>
          <cell r="F114">
            <v>6327</v>
          </cell>
          <cell r="G114">
            <v>7375.8349999999991</v>
          </cell>
          <cell r="H114">
            <v>18898</v>
          </cell>
          <cell r="I114">
            <v>28572</v>
          </cell>
          <cell r="J114">
            <v>24451</v>
          </cell>
          <cell r="K114">
            <v>21545</v>
          </cell>
          <cell r="L114">
            <v>23121</v>
          </cell>
          <cell r="M114">
            <v>22589</v>
          </cell>
          <cell r="N114">
            <v>23929.535274966347</v>
          </cell>
          <cell r="O114">
            <v>24001.954173607905</v>
          </cell>
          <cell r="P114">
            <v>24901.363301726182</v>
          </cell>
          <cell r="Q114">
            <v>25323.041963315238</v>
          </cell>
          <cell r="R114">
            <v>27109.567023698099</v>
          </cell>
          <cell r="S114">
            <v>28755.365606044179</v>
          </cell>
          <cell r="T114">
            <v>29179.833130484229</v>
          </cell>
          <cell r="Y114">
            <v>2234</v>
          </cell>
          <cell r="Z114">
            <v>2182</v>
          </cell>
          <cell r="AA114">
            <v>2517</v>
          </cell>
          <cell r="AB114">
            <v>2233</v>
          </cell>
          <cell r="AC114">
            <v>2784</v>
          </cell>
          <cell r="AD114">
            <v>1854</v>
          </cell>
          <cell r="AE114">
            <v>1699</v>
          </cell>
          <cell r="AF114">
            <v>1561</v>
          </cell>
          <cell r="AG114">
            <v>1170</v>
          </cell>
          <cell r="AH114">
            <v>1516</v>
          </cell>
          <cell r="AI114">
            <v>1703</v>
          </cell>
          <cell r="AJ114">
            <v>1698</v>
          </cell>
          <cell r="AK114">
            <v>1410</v>
          </cell>
          <cell r="AL114">
            <v>1556</v>
          </cell>
          <cell r="AM114">
            <v>1754</v>
          </cell>
          <cell r="AN114">
            <v>1962</v>
          </cell>
          <cell r="AO114">
            <v>2104</v>
          </cell>
          <cell r="AP114">
            <v>0</v>
          </cell>
          <cell r="AQ114">
            <v>0</v>
          </cell>
          <cell r="AR114">
            <v>0</v>
          </cell>
          <cell r="AS114">
            <v>0</v>
          </cell>
          <cell r="AT114">
            <v>0</v>
          </cell>
          <cell r="AU114">
            <v>0</v>
          </cell>
          <cell r="AV114">
            <v>0</v>
          </cell>
          <cell r="AW114">
            <v>-0.16500000000087311</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row>
        <row r="115">
          <cell r="A115" t="str">
            <v xml:space="preserve">   Tax rate</v>
          </cell>
          <cell r="C115">
            <v>0.2690004606172271</v>
          </cell>
          <cell r="D115">
            <v>0.32932288752098487</v>
          </cell>
          <cell r="E115">
            <v>0.32736429770565195</v>
          </cell>
          <cell r="F115">
            <v>0.29219627549512267</v>
          </cell>
          <cell r="G115">
            <v>0.30319233680448887</v>
          </cell>
          <cell r="H115">
            <v>0</v>
          </cell>
          <cell r="I115">
            <v>0.34920148596377004</v>
          </cell>
          <cell r="J115">
            <v>0.33421252723816586</v>
          </cell>
          <cell r="K115">
            <v>0.3370927975659655</v>
          </cell>
          <cell r="L115">
            <v>0.34072354109524255</v>
          </cell>
          <cell r="M115">
            <v>0.3354151939065067</v>
          </cell>
          <cell r="N115">
            <v>0.33510440861538859</v>
          </cell>
          <cell r="O115">
            <v>0.33999999999999997</v>
          </cell>
          <cell r="P115">
            <v>0.33999999999999997</v>
          </cell>
          <cell r="Q115">
            <v>0.33999999999999997</v>
          </cell>
          <cell r="R115">
            <v>0.33999999999999997</v>
          </cell>
          <cell r="S115">
            <v>0.33999999999999997</v>
          </cell>
          <cell r="T115">
            <v>0.33999999999999997</v>
          </cell>
          <cell r="Y115">
            <v>0.39397036280020442</v>
          </cell>
          <cell r="Z115">
            <v>0.3296250515039143</v>
          </cell>
          <cell r="AA115">
            <v>0.32992849846782429</v>
          </cell>
          <cell r="AB115">
            <v>0.32947498966515087</v>
          </cell>
          <cell r="AC115">
            <v>0.32834297380061245</v>
          </cell>
          <cell r="AD115">
            <v>0.32876712328767121</v>
          </cell>
          <cell r="AE115">
            <v>0.32840236686390534</v>
          </cell>
          <cell r="AF115">
            <v>0.32804532577903683</v>
          </cell>
          <cell r="AG115">
            <v>0.32265446224256294</v>
          </cell>
          <cell r="AH115">
            <v>0.33050847457627119</v>
          </cell>
          <cell r="AI115">
            <v>0.31468897020386827</v>
          </cell>
          <cell r="AJ115">
            <v>0.32776280323450135</v>
          </cell>
          <cell r="AK115">
            <v>0.1482084690553746</v>
          </cell>
          <cell r="AL115">
            <v>0.2699545749513303</v>
          </cell>
          <cell r="AM115">
            <v>0.28914947156517362</v>
          </cell>
          <cell r="AN115">
            <v>0.32883790174270949</v>
          </cell>
          <cell r="AO115">
            <v>0.31137724550898205</v>
          </cell>
          <cell r="AP115">
            <v>0</v>
          </cell>
          <cell r="AQ115">
            <v>0</v>
          </cell>
          <cell r="AR115">
            <v>0</v>
          </cell>
          <cell r="AS115">
            <v>0</v>
          </cell>
          <cell r="AT115">
            <v>0</v>
          </cell>
          <cell r="AU115">
            <v>0</v>
          </cell>
          <cell r="AV115">
            <v>0</v>
          </cell>
          <cell r="AW115">
            <v>0</v>
          </cell>
          <cell r="AX115">
            <v>0</v>
          </cell>
          <cell r="AY115">
            <v>0</v>
          </cell>
          <cell r="AZ115">
            <v>0.33437867502940022</v>
          </cell>
          <cell r="BA115">
            <v>0.27819422689639728</v>
          </cell>
          <cell r="BB115">
            <v>0.36512096774193548</v>
          </cell>
          <cell r="BC115">
            <v>0.32939714108141704</v>
          </cell>
          <cell r="BD115">
            <v>0.30835117773019272</v>
          </cell>
          <cell r="BE115">
            <v>0.34411636995223621</v>
          </cell>
          <cell r="BF115">
            <v>0.34493612294019627</v>
          </cell>
          <cell r="BG115">
            <v>0.34546103085428931</v>
          </cell>
          <cell r="BH115">
            <v>0.34503271861986912</v>
          </cell>
          <cell r="BI115">
            <v>0.3267791952894995</v>
          </cell>
          <cell r="BJ115">
            <v>0.34193548387096773</v>
          </cell>
          <cell r="BK115">
            <v>0.3410196361016033</v>
          </cell>
          <cell r="BL115">
            <v>0.34001790510295432</v>
          </cell>
          <cell r="BM115">
            <v>0.31064520510730781</v>
          </cell>
          <cell r="BN115">
            <v>0.33804603951422874</v>
          </cell>
          <cell r="BO115">
            <v>0.34256342231802356</v>
          </cell>
          <cell r="BP115">
            <v>0.3199191473722896</v>
          </cell>
          <cell r="BQ115">
            <v>0.34</v>
          </cell>
          <cell r="BR115">
            <v>0.34</v>
          </cell>
          <cell r="BS115">
            <v>0.34</v>
          </cell>
          <cell r="BT115">
            <v>0.34</v>
          </cell>
          <cell r="BU115">
            <v>0.34</v>
          </cell>
        </row>
        <row r="116">
          <cell r="A116" t="str">
            <v xml:space="preserve">   Net PPE</v>
          </cell>
          <cell r="C116">
            <v>49827</v>
          </cell>
          <cell r="D116">
            <v>48490</v>
          </cell>
          <cell r="E116">
            <v>52128</v>
          </cell>
          <cell r="F116">
            <v>50046</v>
          </cell>
          <cell r="G116">
            <v>58727</v>
          </cell>
          <cell r="H116">
            <v>94596</v>
          </cell>
          <cell r="I116">
            <v>95890</v>
          </cell>
          <cell r="J116">
            <v>99088</v>
          </cell>
          <cell r="K116">
            <v>100093</v>
          </cell>
          <cell r="L116">
            <v>103196</v>
          </cell>
          <cell r="M116">
            <v>107087</v>
          </cell>
          <cell r="N116">
            <v>109282.10978662744</v>
          </cell>
          <cell r="O116">
            <v>112519.62414365384</v>
          </cell>
          <cell r="P116">
            <v>115298.53715618019</v>
          </cell>
          <cell r="Q116">
            <v>117449.60924996904</v>
          </cell>
          <cell r="R116">
            <v>115422.81297740765</v>
          </cell>
          <cell r="S116">
            <v>113205.65866936633</v>
          </cell>
          <cell r="T116">
            <v>110874.61304833394</v>
          </cell>
          <cell r="Y116">
            <v>49827</v>
          </cell>
          <cell r="Z116">
            <v>49569</v>
          </cell>
          <cell r="AA116">
            <v>49270</v>
          </cell>
          <cell r="AB116">
            <v>48736</v>
          </cell>
          <cell r="AC116">
            <v>48490</v>
          </cell>
          <cell r="AD116">
            <v>53399</v>
          </cell>
          <cell r="AE116">
            <v>52534</v>
          </cell>
          <cell r="AF116">
            <v>51983</v>
          </cell>
          <cell r="AG116">
            <v>52128</v>
          </cell>
          <cell r="AH116">
            <v>51202</v>
          </cell>
          <cell r="AI116">
            <v>50556</v>
          </cell>
          <cell r="AJ116">
            <v>50056</v>
          </cell>
          <cell r="AK116">
            <v>50046</v>
          </cell>
          <cell r="AL116">
            <v>49311</v>
          </cell>
          <cell r="AM116">
            <v>48798</v>
          </cell>
          <cell r="AN116">
            <v>48440</v>
          </cell>
          <cell r="AO116">
            <v>58727</v>
          </cell>
          <cell r="AP116">
            <v>58367</v>
          </cell>
          <cell r="AQ116">
            <v>58351</v>
          </cell>
          <cell r="AR116">
            <v>57651</v>
          </cell>
          <cell r="AS116">
            <v>94596</v>
          </cell>
          <cell r="AT116">
            <v>93592</v>
          </cell>
          <cell r="AU116">
            <v>94055</v>
          </cell>
          <cell r="AV116">
            <v>94446</v>
          </cell>
          <cell r="AW116">
            <v>95890</v>
          </cell>
          <cell r="AX116">
            <v>96238</v>
          </cell>
          <cell r="AY116">
            <v>97368</v>
          </cell>
          <cell r="AZ116">
            <v>97771</v>
          </cell>
          <cell r="BA116">
            <v>99088</v>
          </cell>
          <cell r="BB116">
            <v>98339</v>
          </cell>
          <cell r="BC116">
            <v>98229</v>
          </cell>
          <cell r="BD116">
            <v>98321</v>
          </cell>
          <cell r="BE116">
            <v>100093</v>
          </cell>
          <cell r="BF116">
            <v>99360</v>
          </cell>
          <cell r="BG116">
            <v>100302</v>
          </cell>
          <cell r="BH116">
            <v>101475</v>
          </cell>
          <cell r="BI116">
            <v>103196</v>
          </cell>
          <cell r="BJ116">
            <v>103369</v>
          </cell>
          <cell r="BK116">
            <v>104606</v>
          </cell>
          <cell r="BL116">
            <v>105786</v>
          </cell>
          <cell r="BM116">
            <v>107087</v>
          </cell>
          <cell r="BN116">
            <v>107231</v>
          </cell>
          <cell r="BO116">
            <v>107483</v>
          </cell>
          <cell r="BP116">
            <v>108217</v>
          </cell>
          <cell r="BQ116">
            <v>109282.10978662744</v>
          </cell>
          <cell r="BR116">
            <v>109966.05627860661</v>
          </cell>
          <cell r="BS116">
            <v>110746.18981321398</v>
          </cell>
          <cell r="BT116">
            <v>111607.5317162358</v>
          </cell>
          <cell r="BU116">
            <v>112519.62414365384</v>
          </cell>
        </row>
        <row r="117">
          <cell r="A117" t="str">
            <v xml:space="preserve">   Net working capital  (CA-CL)</v>
          </cell>
          <cell r="C117">
            <v>0</v>
          </cell>
          <cell r="D117">
            <v>0</v>
          </cell>
          <cell r="E117">
            <v>0</v>
          </cell>
          <cell r="F117">
            <v>0</v>
          </cell>
          <cell r="G117">
            <v>0</v>
          </cell>
          <cell r="H117">
            <v>-7614</v>
          </cell>
          <cell r="I117">
            <v>-9643</v>
          </cell>
          <cell r="J117">
            <v>-7407</v>
          </cell>
          <cell r="K117">
            <v>-8812</v>
          </cell>
          <cell r="L117">
            <v>-8241</v>
          </cell>
          <cell r="M117">
            <v>-7499</v>
          </cell>
          <cell r="N117">
            <v>-12259.132873726961</v>
          </cell>
          <cell r="O117">
            <v>-12400.646116768843</v>
          </cell>
          <cell r="P117">
            <v>-11359.161168139526</v>
          </cell>
          <cell r="Q117">
            <v>-11488.556151848748</v>
          </cell>
          <cell r="R117">
            <v>-11304.639712819473</v>
          </cell>
          <cell r="S117">
            <v>-11179.380740887376</v>
          </cell>
          <cell r="T117">
            <v>-11407.939482231435</v>
          </cell>
          <cell r="Y117">
            <v>-3038</v>
          </cell>
          <cell r="Z117">
            <v>-1522</v>
          </cell>
          <cell r="AA117">
            <v>-1258</v>
          </cell>
          <cell r="AB117">
            <v>-2861</v>
          </cell>
          <cell r="AC117">
            <v>-656</v>
          </cell>
          <cell r="AD117">
            <v>-1953</v>
          </cell>
          <cell r="AE117">
            <v>-3588</v>
          </cell>
          <cell r="AF117">
            <v>-3869</v>
          </cell>
          <cell r="AG117">
            <v>-3204</v>
          </cell>
          <cell r="AH117">
            <v>-2664</v>
          </cell>
          <cell r="AI117">
            <v>-2957</v>
          </cell>
          <cell r="AJ117">
            <v>-3880</v>
          </cell>
          <cell r="AK117">
            <v>-5419</v>
          </cell>
          <cell r="AL117">
            <v>-3829</v>
          </cell>
          <cell r="AM117">
            <v>-4620</v>
          </cell>
          <cell r="AN117">
            <v>-5241</v>
          </cell>
          <cell r="AO117">
            <v>-7533</v>
          </cell>
          <cell r="AP117">
            <v>-6250</v>
          </cell>
          <cell r="AQ117">
            <v>-7180</v>
          </cell>
          <cell r="AR117">
            <v>-6931</v>
          </cell>
          <cell r="AS117">
            <v>-7614</v>
          </cell>
          <cell r="AT117">
            <v>-5298</v>
          </cell>
          <cell r="AU117">
            <v>-9015</v>
          </cell>
          <cell r="AV117">
            <v>-9319</v>
          </cell>
          <cell r="AW117">
            <v>-9643</v>
          </cell>
          <cell r="AX117">
            <v>-6845</v>
          </cell>
          <cell r="AY117">
            <v>-7045</v>
          </cell>
          <cell r="AZ117">
            <v>-6068</v>
          </cell>
          <cell r="BA117">
            <v>-7407</v>
          </cell>
          <cell r="BB117">
            <v>-6533</v>
          </cell>
          <cell r="BC117">
            <v>-6472</v>
          </cell>
          <cell r="BD117">
            <v>-6759</v>
          </cell>
          <cell r="BE117">
            <v>-8812</v>
          </cell>
          <cell r="BF117">
            <v>-7524</v>
          </cell>
          <cell r="BG117">
            <v>-6446</v>
          </cell>
          <cell r="BH117">
            <v>-7517</v>
          </cell>
          <cell r="BI117">
            <v>-8241</v>
          </cell>
          <cell r="BJ117">
            <v>-8006</v>
          </cell>
          <cell r="BK117">
            <v>-7219</v>
          </cell>
          <cell r="BL117">
            <v>-7288</v>
          </cell>
          <cell r="BM117">
            <v>-7499</v>
          </cell>
          <cell r="BN117">
            <v>-7422</v>
          </cell>
          <cell r="BO117">
            <v>-9295</v>
          </cell>
          <cell r="BP117">
            <v>-10624</v>
          </cell>
          <cell r="BQ117">
            <v>-12259.132873726961</v>
          </cell>
          <cell r="BR117">
            <v>-10228.662672354338</v>
          </cell>
          <cell r="BS117">
            <v>-9811.8135321865811</v>
          </cell>
          <cell r="BT117">
            <v>-10155.55344584442</v>
          </cell>
          <cell r="BU117">
            <v>-12400.646116768847</v>
          </cell>
        </row>
        <row r="118">
          <cell r="A118" t="str">
            <v xml:space="preserve">   Net intangible assets (Goodwill)</v>
          </cell>
          <cell r="C118">
            <v>3577</v>
          </cell>
          <cell r="D118">
            <v>1643</v>
          </cell>
          <cell r="E118">
            <v>1611</v>
          </cell>
          <cell r="F118">
            <v>1625</v>
          </cell>
          <cell r="G118">
            <v>14055</v>
          </cell>
          <cell r="H118">
            <v>67657</v>
          </cell>
          <cell r="I118">
            <v>70713</v>
          </cell>
          <cell r="J118">
            <v>71829</v>
          </cell>
          <cell r="K118">
            <v>73259</v>
          </cell>
          <cell r="L118">
            <v>73601</v>
          </cell>
          <cell r="M118">
            <v>70842</v>
          </cell>
          <cell r="N118">
            <v>69762</v>
          </cell>
          <cell r="O118">
            <v>69762</v>
          </cell>
          <cell r="P118">
            <v>69762</v>
          </cell>
          <cell r="Q118">
            <v>69762</v>
          </cell>
          <cell r="R118">
            <v>69762</v>
          </cell>
          <cell r="S118">
            <v>69762</v>
          </cell>
          <cell r="T118">
            <v>69762</v>
          </cell>
          <cell r="Y118">
            <v>3577</v>
          </cell>
          <cell r="Z118">
            <v>1656</v>
          </cell>
          <cell r="AA118">
            <v>1658</v>
          </cell>
          <cell r="AB118">
            <v>1658</v>
          </cell>
          <cell r="AC118">
            <v>1643</v>
          </cell>
          <cell r="AD118">
            <v>1643</v>
          </cell>
          <cell r="AE118">
            <v>1643</v>
          </cell>
          <cell r="AF118">
            <v>1622</v>
          </cell>
          <cell r="AG118">
            <v>1611</v>
          </cell>
          <cell r="AH118">
            <v>1621</v>
          </cell>
          <cell r="AI118">
            <v>1625</v>
          </cell>
          <cell r="AJ118">
            <v>1625</v>
          </cell>
          <cell r="AK118">
            <v>1625</v>
          </cell>
          <cell r="AL118">
            <v>1768</v>
          </cell>
          <cell r="AM118">
            <v>1769</v>
          </cell>
          <cell r="AN118">
            <v>1723</v>
          </cell>
          <cell r="AO118">
            <v>14055</v>
          </cell>
          <cell r="AP118">
            <v>13402</v>
          </cell>
          <cell r="AQ118">
            <v>13433</v>
          </cell>
          <cell r="AR118">
            <v>13385</v>
          </cell>
          <cell r="AS118">
            <v>67657</v>
          </cell>
          <cell r="AT118">
            <v>67235</v>
          </cell>
          <cell r="AU118">
            <v>67072</v>
          </cell>
          <cell r="AV118">
            <v>66847</v>
          </cell>
          <cell r="AW118">
            <v>70713</v>
          </cell>
          <cell r="AX118">
            <v>70815</v>
          </cell>
          <cell r="AY118">
            <v>71528</v>
          </cell>
          <cell r="AZ118">
            <v>71537</v>
          </cell>
          <cell r="BA118">
            <v>71829</v>
          </cell>
          <cell r="BB118">
            <v>71694</v>
          </cell>
          <cell r="BC118">
            <v>71691</v>
          </cell>
          <cell r="BD118">
            <v>71727</v>
          </cell>
          <cell r="BE118">
            <v>73259</v>
          </cell>
          <cell r="BF118">
            <v>73052</v>
          </cell>
          <cell r="BG118">
            <v>73484</v>
          </cell>
          <cell r="BH118">
            <v>73447</v>
          </cell>
          <cell r="BI118">
            <v>73601</v>
          </cell>
          <cell r="BJ118">
            <v>73602</v>
          </cell>
          <cell r="BK118">
            <v>73591</v>
          </cell>
          <cell r="BL118">
            <v>73590</v>
          </cell>
          <cell r="BM118">
            <v>70842</v>
          </cell>
          <cell r="BN118">
            <v>70929</v>
          </cell>
          <cell r="BO118">
            <v>69763</v>
          </cell>
          <cell r="BP118">
            <v>69762</v>
          </cell>
          <cell r="BQ118">
            <v>69762</v>
          </cell>
          <cell r="BR118">
            <v>69762</v>
          </cell>
          <cell r="BS118">
            <v>69762</v>
          </cell>
          <cell r="BT118">
            <v>69762</v>
          </cell>
          <cell r="BU118">
            <v>69762</v>
          </cell>
        </row>
        <row r="120">
          <cell r="A120" t="str">
            <v>RONTA</v>
          </cell>
          <cell r="C120">
            <v>0.16331480667929091</v>
          </cell>
          <cell r="D120">
            <v>0.13438438492155313</v>
          </cell>
          <cell r="E120">
            <v>8.1085841643985648E-2</v>
          </cell>
          <cell r="F120">
            <v>8.9483158792757839E-2</v>
          </cell>
          <cell r="G120">
            <v>8.7515765328820855E-2</v>
          </cell>
          <cell r="H120">
            <v>0.21726334184084065</v>
          </cell>
          <cell r="I120">
            <v>0.2155972398233349</v>
          </cell>
          <cell r="J120">
            <v>0.17756317553800249</v>
          </cell>
          <cell r="K120">
            <v>0.15646559170518809</v>
          </cell>
          <cell r="L120">
            <v>0.16053005114356167</v>
          </cell>
          <cell r="M120">
            <v>0.15074412765439532</v>
          </cell>
          <cell r="N120">
            <v>0.16398839753691521</v>
          </cell>
          <cell r="O120">
            <v>0.15822464498516303</v>
          </cell>
          <cell r="P120">
            <v>0.1581200543385049</v>
          </cell>
          <cell r="Q120">
            <v>0.15772972433854102</v>
          </cell>
          <cell r="R120">
            <v>0.17184621737620867</v>
          </cell>
          <cell r="S120">
            <v>0.18601620764102358</v>
          </cell>
          <cell r="T120">
            <v>0.19361952275696265</v>
          </cell>
          <cell r="Y120">
            <v>0.11574260698064444</v>
          </cell>
          <cell r="Z120">
            <v>0.12177727122346527</v>
          </cell>
          <cell r="AA120">
            <v>0.14051236935403533</v>
          </cell>
          <cell r="AB120">
            <v>0.13055322926018251</v>
          </cell>
          <cell r="AC120">
            <v>0.15636519303751262</v>
          </cell>
          <cell r="AD120">
            <v>9.6758990275213438E-2</v>
          </cell>
          <cell r="AE120">
            <v>9.3249244367116804E-2</v>
          </cell>
          <cell r="AF120">
            <v>8.7202996754285542E-2</v>
          </cell>
          <cell r="AG120">
            <v>6.4793907217414876E-2</v>
          </cell>
          <cell r="AH120">
            <v>8.3641612966531206E-2</v>
          </cell>
          <cell r="AI120">
            <v>9.8076403600311973E-2</v>
          </cell>
          <cell r="AJ120">
            <v>9.8878963973303591E-2</v>
          </cell>
          <cell r="AK120">
            <v>0.10765017219458371</v>
          </cell>
          <cell r="AL120">
            <v>9.9903318356776752E-2</v>
          </cell>
          <cell r="AM120">
            <v>0.11289164985963017</v>
          </cell>
          <cell r="AN120">
            <v>0.12193060365108489</v>
          </cell>
          <cell r="AO120">
            <v>0.11320563155440887</v>
          </cell>
          <cell r="AP120">
            <v>0</v>
          </cell>
          <cell r="AQ120">
            <v>0</v>
          </cell>
          <cell r="AR120">
            <v>0</v>
          </cell>
          <cell r="AS120">
            <v>0</v>
          </cell>
          <cell r="AT120">
            <v>0</v>
          </cell>
          <cell r="AU120">
            <v>0</v>
          </cell>
          <cell r="AV120">
            <v>0</v>
          </cell>
          <cell r="AW120">
            <v>-7.6524400849130108E-6</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row>
        <row r="121">
          <cell r="A121" t="str">
            <v xml:space="preserve">   EBITA</v>
          </cell>
          <cell r="C121">
            <v>11132</v>
          </cell>
          <cell r="D121">
            <v>9716</v>
          </cell>
          <cell r="E121">
            <v>6284</v>
          </cell>
          <cell r="F121">
            <v>6327</v>
          </cell>
          <cell r="G121">
            <v>7375.8349999999991</v>
          </cell>
          <cell r="H121">
            <v>18898</v>
          </cell>
          <cell r="I121">
            <v>28572</v>
          </cell>
          <cell r="J121">
            <v>24451</v>
          </cell>
          <cell r="K121">
            <v>21545</v>
          </cell>
          <cell r="L121">
            <v>23121</v>
          </cell>
          <cell r="M121">
            <v>22589</v>
          </cell>
          <cell r="N121">
            <v>23929.535274966347</v>
          </cell>
          <cell r="O121">
            <v>24001.954173607905</v>
          </cell>
          <cell r="P121">
            <v>24901.363301726182</v>
          </cell>
          <cell r="Q121">
            <v>25323.041963315238</v>
          </cell>
          <cell r="R121">
            <v>27109.567023698099</v>
          </cell>
          <cell r="S121">
            <v>28755.365606044179</v>
          </cell>
          <cell r="T121">
            <v>29179.833130484229</v>
          </cell>
          <cell r="Y121">
            <v>2234</v>
          </cell>
          <cell r="Z121">
            <v>2182</v>
          </cell>
          <cell r="AA121">
            <v>2517</v>
          </cell>
          <cell r="AB121">
            <v>2233</v>
          </cell>
          <cell r="AC121">
            <v>2784</v>
          </cell>
          <cell r="AD121">
            <v>1854</v>
          </cell>
          <cell r="AE121">
            <v>1699</v>
          </cell>
          <cell r="AF121">
            <v>1561</v>
          </cell>
          <cell r="AG121">
            <v>1170</v>
          </cell>
          <cell r="AH121">
            <v>1516</v>
          </cell>
          <cell r="AI121">
            <v>1703</v>
          </cell>
          <cell r="AJ121">
            <v>1698</v>
          </cell>
          <cell r="AK121">
            <v>1410</v>
          </cell>
          <cell r="AL121">
            <v>1556</v>
          </cell>
          <cell r="AM121">
            <v>1754</v>
          </cell>
          <cell r="AN121">
            <v>1962</v>
          </cell>
          <cell r="AO121">
            <v>2104</v>
          </cell>
          <cell r="AP121">
            <v>0</v>
          </cell>
          <cell r="AQ121">
            <v>0</v>
          </cell>
          <cell r="AR121">
            <v>0</v>
          </cell>
          <cell r="AS121">
            <v>0</v>
          </cell>
          <cell r="AT121">
            <v>0</v>
          </cell>
          <cell r="AU121">
            <v>0</v>
          </cell>
          <cell r="AV121">
            <v>0</v>
          </cell>
          <cell r="AW121">
            <v>-0.16500000000087311</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row>
        <row r="122">
          <cell r="A122" t="str">
            <v xml:space="preserve">   Tax rate</v>
          </cell>
          <cell r="C122">
            <v>0.2690004606172271</v>
          </cell>
          <cell r="D122">
            <v>0.32932288752098487</v>
          </cell>
          <cell r="E122">
            <v>0.32736429770565195</v>
          </cell>
          <cell r="F122">
            <v>0.29219627549512267</v>
          </cell>
          <cell r="G122">
            <v>0.30319233680448887</v>
          </cell>
          <cell r="H122">
            <v>0</v>
          </cell>
          <cell r="I122">
            <v>0.34920148596377004</v>
          </cell>
          <cell r="J122">
            <v>0.33421252723816586</v>
          </cell>
          <cell r="K122">
            <v>0.3370927975659655</v>
          </cell>
          <cell r="L122">
            <v>0.34072354109524255</v>
          </cell>
          <cell r="M122">
            <v>0.3354151939065067</v>
          </cell>
          <cell r="N122">
            <v>0.33510440861538859</v>
          </cell>
          <cell r="O122">
            <v>0.33999999999999997</v>
          </cell>
          <cell r="P122">
            <v>0.33999999999999997</v>
          </cell>
          <cell r="Q122">
            <v>0.33999999999999997</v>
          </cell>
          <cell r="R122">
            <v>0.33999999999999997</v>
          </cell>
          <cell r="S122">
            <v>0.33999999999999997</v>
          </cell>
          <cell r="T122">
            <v>0.33999999999999997</v>
          </cell>
          <cell r="Y122">
            <v>0.39397036280020442</v>
          </cell>
          <cell r="Z122">
            <v>0.3296250515039143</v>
          </cell>
          <cell r="AA122">
            <v>0.32992849846782429</v>
          </cell>
          <cell r="AB122">
            <v>0.32947498966515087</v>
          </cell>
          <cell r="AC122">
            <v>0.32834297380061245</v>
          </cell>
          <cell r="AD122">
            <v>0.32876712328767121</v>
          </cell>
          <cell r="AE122">
            <v>0.32840236686390534</v>
          </cell>
          <cell r="AF122">
            <v>0.32804532577903683</v>
          </cell>
          <cell r="AG122">
            <v>0.32265446224256294</v>
          </cell>
          <cell r="AH122">
            <v>0.33050847457627119</v>
          </cell>
          <cell r="AI122">
            <v>0.31468897020386827</v>
          </cell>
          <cell r="AJ122">
            <v>0.32776280323450135</v>
          </cell>
          <cell r="AK122">
            <v>0.1482084690553746</v>
          </cell>
          <cell r="AL122">
            <v>0.2699545749513303</v>
          </cell>
          <cell r="AM122">
            <v>0.28914947156517362</v>
          </cell>
          <cell r="AN122">
            <v>0.32883790174270949</v>
          </cell>
          <cell r="AO122">
            <v>0.31137724550898205</v>
          </cell>
          <cell r="AP122">
            <v>0</v>
          </cell>
          <cell r="AQ122">
            <v>0</v>
          </cell>
          <cell r="AR122">
            <v>0</v>
          </cell>
          <cell r="AS122">
            <v>0</v>
          </cell>
          <cell r="AT122">
            <v>0</v>
          </cell>
          <cell r="AU122">
            <v>0</v>
          </cell>
          <cell r="AV122">
            <v>0</v>
          </cell>
          <cell r="AW122">
            <v>0</v>
          </cell>
          <cell r="AX122">
            <v>0</v>
          </cell>
          <cell r="AY122">
            <v>0</v>
          </cell>
          <cell r="AZ122">
            <v>0.33437867502940022</v>
          </cell>
          <cell r="BA122">
            <v>0.27819422689639728</v>
          </cell>
          <cell r="BB122">
            <v>0.36512096774193548</v>
          </cell>
          <cell r="BC122">
            <v>0.32939714108141704</v>
          </cell>
          <cell r="BD122">
            <v>0.30835117773019272</v>
          </cell>
          <cell r="BE122">
            <v>0.34411636995223621</v>
          </cell>
          <cell r="BF122">
            <v>0.34493612294019627</v>
          </cell>
          <cell r="BG122">
            <v>0.34546103085428931</v>
          </cell>
          <cell r="BH122">
            <v>0.34503271861986912</v>
          </cell>
          <cell r="BI122">
            <v>0.3267791952894995</v>
          </cell>
          <cell r="BJ122">
            <v>0.34193548387096773</v>
          </cell>
          <cell r="BK122">
            <v>0.3410196361016033</v>
          </cell>
          <cell r="BL122">
            <v>0.34001790510295432</v>
          </cell>
          <cell r="BM122">
            <v>0.31064520510730781</v>
          </cell>
          <cell r="BN122">
            <v>0.33804603951422874</v>
          </cell>
          <cell r="BO122">
            <v>0.34256342231802356</v>
          </cell>
          <cell r="BP122">
            <v>0.3199191473722896</v>
          </cell>
          <cell r="BQ122">
            <v>0.34</v>
          </cell>
          <cell r="BR122">
            <v>0.34</v>
          </cell>
          <cell r="BS122">
            <v>0.34</v>
          </cell>
          <cell r="BT122">
            <v>0.34</v>
          </cell>
          <cell r="BU122">
            <v>0.34</v>
          </cell>
        </row>
        <row r="123">
          <cell r="A123" t="str">
            <v xml:space="preserve">   Net PPE</v>
          </cell>
          <cell r="C123">
            <v>49827</v>
          </cell>
          <cell r="D123">
            <v>48490</v>
          </cell>
          <cell r="E123">
            <v>52128</v>
          </cell>
          <cell r="F123">
            <v>50046</v>
          </cell>
          <cell r="G123">
            <v>58727</v>
          </cell>
          <cell r="H123">
            <v>94596</v>
          </cell>
          <cell r="I123">
            <v>95890</v>
          </cell>
          <cell r="J123">
            <v>99088</v>
          </cell>
          <cell r="K123">
            <v>100093</v>
          </cell>
          <cell r="L123">
            <v>103196</v>
          </cell>
          <cell r="M123">
            <v>107087</v>
          </cell>
          <cell r="N123">
            <v>109282.10978662744</v>
          </cell>
          <cell r="O123">
            <v>112519.62414365384</v>
          </cell>
          <cell r="P123">
            <v>115298.53715618019</v>
          </cell>
          <cell r="Q123">
            <v>117449.60924996904</v>
          </cell>
          <cell r="R123">
            <v>115422.81297740765</v>
          </cell>
          <cell r="S123">
            <v>113205.65866936633</v>
          </cell>
          <cell r="T123">
            <v>110874.61304833394</v>
          </cell>
          <cell r="Y123">
            <v>49827</v>
          </cell>
          <cell r="Z123">
            <v>49569</v>
          </cell>
          <cell r="AA123">
            <v>49270</v>
          </cell>
          <cell r="AB123">
            <v>48736</v>
          </cell>
          <cell r="AC123">
            <v>48490</v>
          </cell>
          <cell r="AD123">
            <v>53399</v>
          </cell>
          <cell r="AE123">
            <v>52534</v>
          </cell>
          <cell r="AF123">
            <v>51983</v>
          </cell>
          <cell r="AG123">
            <v>52128</v>
          </cell>
          <cell r="AH123">
            <v>51202</v>
          </cell>
          <cell r="AI123">
            <v>50556</v>
          </cell>
          <cell r="AJ123">
            <v>50056</v>
          </cell>
          <cell r="AK123">
            <v>50046</v>
          </cell>
          <cell r="AL123">
            <v>49311</v>
          </cell>
          <cell r="AM123">
            <v>48798</v>
          </cell>
          <cell r="AN123">
            <v>48440</v>
          </cell>
          <cell r="AO123">
            <v>58727</v>
          </cell>
          <cell r="AP123">
            <v>58367</v>
          </cell>
          <cell r="AQ123">
            <v>58351</v>
          </cell>
          <cell r="AR123">
            <v>57651</v>
          </cell>
          <cell r="AS123">
            <v>94596</v>
          </cell>
          <cell r="AT123">
            <v>93592</v>
          </cell>
          <cell r="AU123">
            <v>94055</v>
          </cell>
          <cell r="AV123">
            <v>94446</v>
          </cell>
          <cell r="AW123">
            <v>95890</v>
          </cell>
          <cell r="AX123">
            <v>96238</v>
          </cell>
          <cell r="AY123">
            <v>97368</v>
          </cell>
          <cell r="AZ123">
            <v>97771</v>
          </cell>
          <cell r="BA123">
            <v>99088</v>
          </cell>
          <cell r="BB123">
            <v>98339</v>
          </cell>
          <cell r="BC123">
            <v>98229</v>
          </cell>
          <cell r="BD123">
            <v>98321</v>
          </cell>
          <cell r="BE123">
            <v>100093</v>
          </cell>
          <cell r="BF123">
            <v>99360</v>
          </cell>
          <cell r="BG123">
            <v>100302</v>
          </cell>
          <cell r="BH123">
            <v>101475</v>
          </cell>
          <cell r="BI123">
            <v>103196</v>
          </cell>
          <cell r="BJ123">
            <v>103369</v>
          </cell>
          <cell r="BK123">
            <v>104606</v>
          </cell>
          <cell r="BL123">
            <v>105786</v>
          </cell>
          <cell r="BM123">
            <v>107087</v>
          </cell>
          <cell r="BN123">
            <v>107231</v>
          </cell>
          <cell r="BO123">
            <v>107483</v>
          </cell>
          <cell r="BP123">
            <v>108217</v>
          </cell>
          <cell r="BQ123">
            <v>109282.10978662744</v>
          </cell>
          <cell r="BR123">
            <v>109966.05627860661</v>
          </cell>
          <cell r="BS123">
            <v>110746.18981321398</v>
          </cell>
          <cell r="BT123">
            <v>111607.5317162358</v>
          </cell>
          <cell r="BU123">
            <v>112519.62414365384</v>
          </cell>
        </row>
        <row r="124">
          <cell r="A124" t="str">
            <v xml:space="preserve">   Net working capital  (CA-CL)</v>
          </cell>
          <cell r="C124">
            <v>0</v>
          </cell>
          <cell r="D124">
            <v>0</v>
          </cell>
          <cell r="E124">
            <v>0</v>
          </cell>
          <cell r="F124">
            <v>0</v>
          </cell>
          <cell r="G124">
            <v>0</v>
          </cell>
          <cell r="H124">
            <v>-7614</v>
          </cell>
          <cell r="I124">
            <v>-9643</v>
          </cell>
          <cell r="J124">
            <v>-7407</v>
          </cell>
          <cell r="K124">
            <v>-8812</v>
          </cell>
          <cell r="L124">
            <v>-8241</v>
          </cell>
          <cell r="M124">
            <v>-7499</v>
          </cell>
          <cell r="N124">
            <v>-12259.132873726961</v>
          </cell>
          <cell r="O124">
            <v>-12400.646116768843</v>
          </cell>
          <cell r="P124">
            <v>-11359.161168139526</v>
          </cell>
          <cell r="Q124">
            <v>-11488.556151848748</v>
          </cell>
          <cell r="R124">
            <v>-11304.639712819473</v>
          </cell>
          <cell r="S124">
            <v>-11179.380740887376</v>
          </cell>
          <cell r="T124">
            <v>-11407.939482231435</v>
          </cell>
          <cell r="Y124">
            <v>-3038</v>
          </cell>
          <cell r="Z124">
            <v>-1522</v>
          </cell>
          <cell r="AA124">
            <v>-1258</v>
          </cell>
          <cell r="AB124">
            <v>-2861</v>
          </cell>
          <cell r="AC124">
            <v>-656</v>
          </cell>
          <cell r="AD124">
            <v>-1953</v>
          </cell>
          <cell r="AE124">
            <v>-3588</v>
          </cell>
          <cell r="AF124">
            <v>-3869</v>
          </cell>
          <cell r="AG124">
            <v>-3204</v>
          </cell>
          <cell r="AH124">
            <v>-2664</v>
          </cell>
          <cell r="AI124">
            <v>-2957</v>
          </cell>
          <cell r="AJ124">
            <v>-3880</v>
          </cell>
          <cell r="AK124">
            <v>-5419</v>
          </cell>
          <cell r="AL124">
            <v>-3829</v>
          </cell>
          <cell r="AM124">
            <v>-4620</v>
          </cell>
          <cell r="AN124">
            <v>-5241</v>
          </cell>
          <cell r="AO124">
            <v>-7533</v>
          </cell>
          <cell r="AP124">
            <v>-6250</v>
          </cell>
          <cell r="AQ124">
            <v>-7180</v>
          </cell>
          <cell r="AR124">
            <v>-6931</v>
          </cell>
          <cell r="AS124">
            <v>-7614</v>
          </cell>
          <cell r="AT124">
            <v>-5298</v>
          </cell>
          <cell r="AU124">
            <v>-9015</v>
          </cell>
          <cell r="AV124">
            <v>-9319</v>
          </cell>
          <cell r="AW124">
            <v>-9643</v>
          </cell>
          <cell r="AX124">
            <v>-6845</v>
          </cell>
          <cell r="AY124">
            <v>-7045</v>
          </cell>
          <cell r="AZ124">
            <v>-6068</v>
          </cell>
          <cell r="BA124">
            <v>-7407</v>
          </cell>
          <cell r="BB124">
            <v>-6533</v>
          </cell>
          <cell r="BC124">
            <v>-6472</v>
          </cell>
          <cell r="BD124">
            <v>-6759</v>
          </cell>
          <cell r="BE124">
            <v>-8812</v>
          </cell>
          <cell r="BF124">
            <v>-7524</v>
          </cell>
          <cell r="BG124">
            <v>-6446</v>
          </cell>
          <cell r="BH124">
            <v>-7517</v>
          </cell>
          <cell r="BI124">
            <v>-8241</v>
          </cell>
          <cell r="BJ124">
            <v>-8006</v>
          </cell>
          <cell r="BK124">
            <v>-7219</v>
          </cell>
          <cell r="BL124">
            <v>-7288</v>
          </cell>
          <cell r="BM124">
            <v>-7499</v>
          </cell>
          <cell r="BN124">
            <v>-7422</v>
          </cell>
          <cell r="BO124">
            <v>-9295</v>
          </cell>
          <cell r="BP124">
            <v>-10624</v>
          </cell>
          <cell r="BQ124">
            <v>-12259.132873726961</v>
          </cell>
          <cell r="BR124">
            <v>-10228.662672354338</v>
          </cell>
          <cell r="BS124">
            <v>-9811.8135321865811</v>
          </cell>
          <cell r="BT124">
            <v>-10155.55344584442</v>
          </cell>
          <cell r="BU124">
            <v>-12400.646116768847</v>
          </cell>
        </row>
        <row r="126">
          <cell r="A126" t="str">
            <v>Unrecorded Goodwill</v>
          </cell>
        </row>
        <row r="127">
          <cell r="A127" t="str">
            <v>Acquisition</v>
          </cell>
          <cell r="D127" t="str">
            <v>Value</v>
          </cell>
          <cell r="E127" t="str">
            <v>Book Value</v>
          </cell>
          <cell r="F127" t="str">
            <v>Unrecorded Goodwill</v>
          </cell>
          <cell r="G127" t="str">
            <v>Multiple of Book</v>
          </cell>
        </row>
        <row r="128">
          <cell r="A128" t="str">
            <v xml:space="preserve">Pacific Telesis - </v>
          </cell>
          <cell r="D128">
            <v>16549.2</v>
          </cell>
          <cell r="E128">
            <v>2072</v>
          </cell>
          <cell r="F128">
            <v>14477.2</v>
          </cell>
          <cell r="G128">
            <v>7.987065637065637</v>
          </cell>
        </row>
        <row r="129">
          <cell r="A129" t="str">
            <v>Southern New England Telephone</v>
          </cell>
          <cell r="D129">
            <v>5362.5</v>
          </cell>
          <cell r="E129">
            <v>588.20000000000005</v>
          </cell>
          <cell r="F129">
            <v>4774.3</v>
          </cell>
          <cell r="G129">
            <v>9.1167970078204679</v>
          </cell>
        </row>
        <row r="130">
          <cell r="A130" t="str">
            <v>Ameritech - 10/31/99</v>
          </cell>
          <cell r="D130">
            <v>75192</v>
          </cell>
          <cell r="E130">
            <v>11473</v>
          </cell>
          <cell r="F130">
            <v>63719</v>
          </cell>
          <cell r="G130">
            <v>6.5538220169092654</v>
          </cell>
        </row>
        <row r="131">
          <cell r="A131" t="str">
            <v xml:space="preserve">Total </v>
          </cell>
          <cell r="F131">
            <v>82970.5</v>
          </cell>
        </row>
        <row r="133">
          <cell r="A133" t="str">
            <v>Depreciation Forecast</v>
          </cell>
        </row>
        <row r="134">
          <cell r="A134" t="str">
            <v>Gross PP&amp;E</v>
          </cell>
          <cell r="E134">
            <v>133923</v>
          </cell>
          <cell r="F134">
            <v>136177</v>
          </cell>
          <cell r="G134">
            <v>149238</v>
          </cell>
          <cell r="H134">
            <v>202149</v>
          </cell>
          <cell r="I134">
            <v>210518</v>
          </cell>
          <cell r="J134">
            <v>218579</v>
          </cell>
          <cell r="K134">
            <v>230552</v>
          </cell>
          <cell r="L134">
            <v>243833</v>
          </cell>
          <cell r="M134">
            <v>260279</v>
          </cell>
          <cell r="N134">
            <v>266179.739623353</v>
          </cell>
          <cell r="O134">
            <v>276583.21017145645</v>
          </cell>
          <cell r="P134">
            <v>289819.68979152048</v>
          </cell>
          <cell r="Q134">
            <v>302902.74177317624</v>
          </cell>
          <cell r="R134">
            <v>305889.49163747439</v>
          </cell>
          <cell r="S134">
            <v>308729.48447307519</v>
          </cell>
          <cell r="T134">
            <v>311499.3430222802</v>
          </cell>
          <cell r="AD134">
            <v>131990</v>
          </cell>
          <cell r="AE134">
            <v>131986</v>
          </cell>
          <cell r="AF134">
            <v>132637</v>
          </cell>
          <cell r="AG134">
            <v>133923</v>
          </cell>
          <cell r="AH134">
            <v>134324</v>
          </cell>
          <cell r="AI134">
            <v>134943</v>
          </cell>
          <cell r="AJ134">
            <v>135454</v>
          </cell>
          <cell r="AK134">
            <v>136177</v>
          </cell>
          <cell r="AL134">
            <v>136770</v>
          </cell>
          <cell r="AM134">
            <v>137498</v>
          </cell>
          <cell r="AN134">
            <v>138139</v>
          </cell>
          <cell r="AO134">
            <v>149238</v>
          </cell>
          <cell r="AP134">
            <v>150516</v>
          </cell>
          <cell r="AQ134">
            <v>151716</v>
          </cell>
          <cell r="AR134">
            <v>152573</v>
          </cell>
          <cell r="AS134">
            <v>202149</v>
          </cell>
          <cell r="AT134">
            <v>204205</v>
          </cell>
          <cell r="AU134">
            <v>203845</v>
          </cell>
          <cell r="AV134">
            <v>206818</v>
          </cell>
          <cell r="AW134">
            <v>210518</v>
          </cell>
          <cell r="AX134">
            <v>209920</v>
          </cell>
          <cell r="AY134">
            <v>212549</v>
          </cell>
          <cell r="AZ134">
            <v>215420</v>
          </cell>
          <cell r="BA134">
            <v>218579</v>
          </cell>
          <cell r="BB134">
            <v>219769</v>
          </cell>
          <cell r="BC134">
            <v>222926</v>
          </cell>
          <cell r="BD134">
            <v>225669</v>
          </cell>
          <cell r="BE134">
            <v>230552</v>
          </cell>
          <cell r="BF134">
            <v>232466</v>
          </cell>
          <cell r="BG134">
            <v>236187</v>
          </cell>
          <cell r="BH134">
            <v>240466</v>
          </cell>
          <cell r="BI134">
            <v>243833</v>
          </cell>
          <cell r="BJ134">
            <v>247446</v>
          </cell>
          <cell r="BK134">
            <v>252050</v>
          </cell>
          <cell r="BL134">
            <v>256626</v>
          </cell>
          <cell r="BM134">
            <v>260279</v>
          </cell>
          <cell r="BN134">
            <v>260211</v>
          </cell>
          <cell r="BO134">
            <v>263648</v>
          </cell>
          <cell r="BP134">
            <v>268894</v>
          </cell>
          <cell r="BQ134">
            <v>266179.739623353</v>
          </cell>
          <cell r="BR134">
            <v>268629.11433130607</v>
          </cell>
          <cell r="BS134">
            <v>271191.67183991178</v>
          </cell>
          <cell r="BT134">
            <v>273853.05669786042</v>
          </cell>
          <cell r="BU134">
            <v>276583.21017145645</v>
          </cell>
        </row>
        <row r="135">
          <cell r="A135" t="str">
            <v>Accumulated Depreciation</v>
          </cell>
          <cell r="E135">
            <v>81795</v>
          </cell>
          <cell r="F135">
            <v>86131</v>
          </cell>
          <cell r="G135">
            <v>90511</v>
          </cell>
          <cell r="H135">
            <v>107553</v>
          </cell>
          <cell r="I135">
            <v>114628</v>
          </cell>
          <cell r="J135">
            <v>119491</v>
          </cell>
          <cell r="K135">
            <v>130459</v>
          </cell>
          <cell r="L135">
            <v>140637</v>
          </cell>
          <cell r="M135">
            <v>153192</v>
          </cell>
          <cell r="N135">
            <v>156897.62983672557</v>
          </cell>
          <cell r="O135">
            <v>164063.58602780264</v>
          </cell>
          <cell r="P135">
            <v>174521.15263534029</v>
          </cell>
          <cell r="Q135">
            <v>185453.13252320714</v>
          </cell>
          <cell r="R135">
            <v>190466.67866006657</v>
          </cell>
          <cell r="S135">
            <v>195523.82580370773</v>
          </cell>
          <cell r="T135">
            <v>200624.72997393995</v>
          </cell>
          <cell r="AD135">
            <v>78591</v>
          </cell>
          <cell r="AE135">
            <v>79452</v>
          </cell>
          <cell r="AF135">
            <v>80654</v>
          </cell>
          <cell r="AG135">
            <v>81795</v>
          </cell>
          <cell r="AH135">
            <v>83122</v>
          </cell>
          <cell r="AI135">
            <v>84387</v>
          </cell>
          <cell r="AJ135">
            <v>85398</v>
          </cell>
          <cell r="AK135">
            <v>86131</v>
          </cell>
          <cell r="AL135">
            <v>87459</v>
          </cell>
          <cell r="AM135">
            <v>88700</v>
          </cell>
          <cell r="AN135">
            <v>89699</v>
          </cell>
          <cell r="AO135">
            <v>90511</v>
          </cell>
          <cell r="AP135">
            <v>92149</v>
          </cell>
          <cell r="AQ135">
            <v>93365</v>
          </cell>
          <cell r="AR135">
            <v>94922</v>
          </cell>
          <cell r="AS135">
            <v>107553</v>
          </cell>
          <cell r="AT135">
            <v>110613</v>
          </cell>
          <cell r="AU135">
            <v>109790</v>
          </cell>
          <cell r="AV135">
            <v>112372</v>
          </cell>
          <cell r="AW135">
            <v>114628</v>
          </cell>
          <cell r="AX135">
            <v>113682</v>
          </cell>
          <cell r="AY135">
            <v>115181</v>
          </cell>
          <cell r="AZ135">
            <v>117649</v>
          </cell>
          <cell r="BA135">
            <v>119491</v>
          </cell>
          <cell r="BB135">
            <v>121430</v>
          </cell>
          <cell r="BC135">
            <v>124697</v>
          </cell>
          <cell r="BD135">
            <v>127348</v>
          </cell>
          <cell r="BE135">
            <v>130459</v>
          </cell>
          <cell r="BF135">
            <v>133106</v>
          </cell>
          <cell r="BG135">
            <v>135885</v>
          </cell>
          <cell r="BH135">
            <v>138991</v>
          </cell>
          <cell r="BI135">
            <v>140637</v>
          </cell>
          <cell r="BJ135">
            <v>144077</v>
          </cell>
          <cell r="BK135">
            <v>147444</v>
          </cell>
          <cell r="BL135">
            <v>150840</v>
          </cell>
          <cell r="BM135">
            <v>153192</v>
          </cell>
          <cell r="BN135">
            <v>152980</v>
          </cell>
          <cell r="BO135">
            <v>156165</v>
          </cell>
          <cell r="BP135">
            <v>160677</v>
          </cell>
          <cell r="BQ135">
            <v>156897.62983672557</v>
          </cell>
          <cell r="BR135">
            <v>158663.05805269946</v>
          </cell>
          <cell r="BS135">
            <v>160445.48202669781</v>
          </cell>
          <cell r="BT135">
            <v>162245.52498162462</v>
          </cell>
          <cell r="BU135">
            <v>164063.58602780261</v>
          </cell>
        </row>
        <row r="136">
          <cell r="A136" t="str">
            <v xml:space="preserve">Net Prop., Plant, &amp; Equip. </v>
          </cell>
          <cell r="E136">
            <v>52128</v>
          </cell>
          <cell r="F136">
            <v>50046</v>
          </cell>
          <cell r="G136">
            <v>58727</v>
          </cell>
          <cell r="H136">
            <v>94596</v>
          </cell>
          <cell r="I136">
            <v>95890</v>
          </cell>
          <cell r="J136">
            <v>99088</v>
          </cell>
          <cell r="K136">
            <v>100093</v>
          </cell>
          <cell r="L136">
            <v>103196</v>
          </cell>
          <cell r="M136">
            <v>107087</v>
          </cell>
          <cell r="N136">
            <v>109282.10978662744</v>
          </cell>
          <cell r="O136">
            <v>112519.62414365381</v>
          </cell>
          <cell r="P136">
            <v>115298.53715618019</v>
          </cell>
          <cell r="Q136">
            <v>117449.6092499691</v>
          </cell>
          <cell r="R136">
            <v>115422.81297740783</v>
          </cell>
          <cell r="S136">
            <v>113205.65866936746</v>
          </cell>
          <cell r="T136">
            <v>110874.61304834025</v>
          </cell>
          <cell r="AD136">
            <v>53399</v>
          </cell>
          <cell r="AE136">
            <v>52534</v>
          </cell>
          <cell r="AF136">
            <v>51983</v>
          </cell>
          <cell r="AG136">
            <v>52128</v>
          </cell>
          <cell r="AH136">
            <v>51202</v>
          </cell>
          <cell r="AI136">
            <v>50556</v>
          </cell>
          <cell r="AJ136">
            <v>50056</v>
          </cell>
          <cell r="AK136">
            <v>50046</v>
          </cell>
          <cell r="AL136">
            <v>49311</v>
          </cell>
          <cell r="AM136">
            <v>48798</v>
          </cell>
          <cell r="AN136">
            <v>48440</v>
          </cell>
          <cell r="AO136">
            <v>58727</v>
          </cell>
          <cell r="AP136">
            <v>58367</v>
          </cell>
          <cell r="AQ136">
            <v>58351</v>
          </cell>
          <cell r="AR136">
            <v>57651</v>
          </cell>
          <cell r="AS136">
            <v>94596</v>
          </cell>
          <cell r="AT136">
            <v>93592</v>
          </cell>
          <cell r="AU136">
            <v>94055</v>
          </cell>
          <cell r="AV136">
            <v>94446</v>
          </cell>
          <cell r="AW136">
            <v>95890</v>
          </cell>
          <cell r="AX136">
            <v>96238</v>
          </cell>
          <cell r="AY136">
            <v>97368</v>
          </cell>
          <cell r="AZ136">
            <v>97771</v>
          </cell>
          <cell r="BA136">
            <v>99088</v>
          </cell>
          <cell r="BB136">
            <v>98339</v>
          </cell>
          <cell r="BC136">
            <v>98229</v>
          </cell>
          <cell r="BD136">
            <v>98321</v>
          </cell>
          <cell r="BE136">
            <v>100093</v>
          </cell>
          <cell r="BF136">
            <v>99360</v>
          </cell>
          <cell r="BG136">
            <v>100302</v>
          </cell>
          <cell r="BH136">
            <v>101475</v>
          </cell>
          <cell r="BI136">
            <v>103196</v>
          </cell>
          <cell r="BJ136">
            <v>103369</v>
          </cell>
          <cell r="BK136">
            <v>104606</v>
          </cell>
          <cell r="BL136">
            <v>105786</v>
          </cell>
          <cell r="BM136">
            <v>107087</v>
          </cell>
          <cell r="BN136">
            <v>107231</v>
          </cell>
          <cell r="BO136">
            <v>107483</v>
          </cell>
          <cell r="BP136">
            <v>108217</v>
          </cell>
          <cell r="BQ136">
            <v>109282.10978662744</v>
          </cell>
          <cell r="BR136">
            <v>109966.05627860661</v>
          </cell>
          <cell r="BS136">
            <v>110746.18981321398</v>
          </cell>
          <cell r="BT136">
            <v>111607.5317162358</v>
          </cell>
          <cell r="BU136">
            <v>112519.62414365384</v>
          </cell>
        </row>
        <row r="137">
          <cell r="J137">
            <v>0.14776768075859348</v>
          </cell>
          <cell r="K137">
            <v>-0.14752889107450207</v>
          </cell>
          <cell r="L137">
            <v>0.17115661955581185</v>
          </cell>
          <cell r="M137">
            <v>-1.47768692739636E-3</v>
          </cell>
          <cell r="N137">
            <v>-5.4431747072169023E-2</v>
          </cell>
          <cell r="O137">
            <v>0.10608239688481524</v>
          </cell>
          <cell r="P137">
            <v>1.5657459314901034E-2</v>
          </cell>
          <cell r="Q137">
            <v>1.1315455679895559E-2</v>
          </cell>
          <cell r="R137">
            <v>-0.16740818906732924</v>
          </cell>
          <cell r="S137">
            <v>1.4231638021833248E-4</v>
          </cell>
          <cell r="T137">
            <v>3.9629151345204061E-3</v>
          </cell>
        </row>
        <row r="138">
          <cell r="A138" t="str">
            <v>Beginning Gross PP&amp;E</v>
          </cell>
          <cell r="F138">
            <v>133923</v>
          </cell>
          <cell r="G138">
            <v>136177</v>
          </cell>
          <cell r="H138">
            <v>149238</v>
          </cell>
          <cell r="I138">
            <v>202149</v>
          </cell>
          <cell r="J138">
            <v>210518</v>
          </cell>
          <cell r="K138">
            <v>218579</v>
          </cell>
          <cell r="L138">
            <v>230552</v>
          </cell>
          <cell r="M138">
            <v>243833</v>
          </cell>
          <cell r="N138">
            <v>260279</v>
          </cell>
          <cell r="O138">
            <v>266179.739623353</v>
          </cell>
          <cell r="P138">
            <v>276583.21017145645</v>
          </cell>
          <cell r="Q138">
            <v>289819.68979152048</v>
          </cell>
          <cell r="R138">
            <v>302902.74177317624</v>
          </cell>
          <cell r="S138">
            <v>305889.49163747439</v>
          </cell>
          <cell r="T138">
            <v>308729.48447307519</v>
          </cell>
          <cell r="AE138">
            <v>131990</v>
          </cell>
          <cell r="AF138">
            <v>131986</v>
          </cell>
          <cell r="AG138">
            <v>132637</v>
          </cell>
          <cell r="AH138">
            <v>133923</v>
          </cell>
          <cell r="AI138">
            <v>134324</v>
          </cell>
          <cell r="AJ138">
            <v>134943</v>
          </cell>
          <cell r="AK138">
            <v>135454</v>
          </cell>
          <cell r="AL138">
            <v>136177</v>
          </cell>
          <cell r="AM138">
            <v>136770</v>
          </cell>
          <cell r="AN138">
            <v>137498</v>
          </cell>
          <cell r="AO138">
            <v>138139</v>
          </cell>
          <cell r="AP138">
            <v>149238</v>
          </cell>
          <cell r="AQ138">
            <v>150516</v>
          </cell>
          <cell r="AR138">
            <v>151716</v>
          </cell>
          <cell r="AS138">
            <v>152573</v>
          </cell>
          <cell r="AT138">
            <v>202149</v>
          </cell>
          <cell r="AU138">
            <v>204205</v>
          </cell>
          <cell r="AV138">
            <v>203845</v>
          </cell>
          <cell r="AW138">
            <v>206818</v>
          </cell>
          <cell r="AX138">
            <v>210518</v>
          </cell>
          <cell r="AY138">
            <v>209920</v>
          </cell>
          <cell r="AZ138">
            <v>212549</v>
          </cell>
          <cell r="BA138">
            <v>215420</v>
          </cell>
          <cell r="BB138">
            <v>218579</v>
          </cell>
          <cell r="BC138">
            <v>219769</v>
          </cell>
          <cell r="BD138">
            <v>222926</v>
          </cell>
          <cell r="BE138">
            <v>225669</v>
          </cell>
          <cell r="BF138">
            <v>230552</v>
          </cell>
          <cell r="BG138">
            <v>232466</v>
          </cell>
          <cell r="BH138">
            <v>236187</v>
          </cell>
          <cell r="BI138">
            <v>240466</v>
          </cell>
          <cell r="BJ138">
            <v>243833</v>
          </cell>
          <cell r="BK138">
            <v>247446</v>
          </cell>
          <cell r="BL138">
            <v>252050</v>
          </cell>
          <cell r="BM138">
            <v>256626</v>
          </cell>
          <cell r="BN138">
            <v>260279</v>
          </cell>
          <cell r="BO138">
            <v>260211</v>
          </cell>
          <cell r="BP138">
            <v>263648</v>
          </cell>
          <cell r="BQ138">
            <v>268894</v>
          </cell>
          <cell r="BR138">
            <v>266179.739623353</v>
          </cell>
          <cell r="BS138">
            <v>268629.11433130607</v>
          </cell>
          <cell r="BT138">
            <v>271191.67183991178</v>
          </cell>
          <cell r="BU138">
            <v>273853.05669786042</v>
          </cell>
        </row>
        <row r="139">
          <cell r="A139" t="str">
            <v>Additions (capex)</v>
          </cell>
          <cell r="F139">
            <v>5099</v>
          </cell>
          <cell r="G139">
            <v>5576</v>
          </cell>
          <cell r="H139">
            <v>8320</v>
          </cell>
          <cell r="I139">
            <v>17717</v>
          </cell>
          <cell r="J139">
            <v>20335</v>
          </cell>
          <cell r="K139">
            <v>17335</v>
          </cell>
          <cell r="L139">
            <v>20302</v>
          </cell>
          <cell r="M139">
            <v>20272</v>
          </cell>
          <cell r="N139">
            <v>19168.55962335299</v>
          </cell>
          <cell r="O139">
            <v>21202.006373027765</v>
          </cell>
          <cell r="P139">
            <v>21533.975925207724</v>
          </cell>
          <cell r="Q139">
            <v>21777.642675401381</v>
          </cell>
          <cell r="R139">
            <v>18131.886952957339</v>
          </cell>
          <cell r="S139">
            <v>18134.467417477132</v>
          </cell>
          <cell r="T139">
            <v>18206.332772874521</v>
          </cell>
          <cell r="AD139">
            <v>897</v>
          </cell>
          <cell r="AE139">
            <v>1072</v>
          </cell>
          <cell r="AF139">
            <v>1266</v>
          </cell>
          <cell r="AG139">
            <v>1984</v>
          </cell>
          <cell r="AH139">
            <v>936</v>
          </cell>
          <cell r="AI139">
            <v>1202</v>
          </cell>
          <cell r="AJ139">
            <v>1324</v>
          </cell>
          <cell r="AK139">
            <v>1637</v>
          </cell>
          <cell r="AL139">
            <v>1050</v>
          </cell>
          <cell r="AM139">
            <v>1279</v>
          </cell>
          <cell r="AN139">
            <v>1414</v>
          </cell>
          <cell r="AO139">
            <v>1833</v>
          </cell>
          <cell r="AP139">
            <v>1821</v>
          </cell>
          <cell r="AQ139">
            <v>2221</v>
          </cell>
          <cell r="AR139">
            <v>2116</v>
          </cell>
          <cell r="AS139">
            <v>2162</v>
          </cell>
          <cell r="AT139">
            <v>3338</v>
          </cell>
          <cell r="AU139">
            <v>4122</v>
          </cell>
          <cell r="AV139">
            <v>4664</v>
          </cell>
          <cell r="AW139">
            <v>5593</v>
          </cell>
          <cell r="AX139">
            <v>4247</v>
          </cell>
          <cell r="AY139">
            <v>5330</v>
          </cell>
          <cell r="AZ139">
            <v>5266</v>
          </cell>
          <cell r="BA139">
            <v>5492</v>
          </cell>
          <cell r="BB139">
            <v>3358</v>
          </cell>
          <cell r="BC139">
            <v>4046</v>
          </cell>
          <cell r="BD139">
            <v>4216</v>
          </cell>
          <cell r="BE139">
            <v>5715</v>
          </cell>
          <cell r="BF139">
            <v>3331</v>
          </cell>
          <cell r="BG139">
            <v>4904</v>
          </cell>
          <cell r="BH139">
            <v>5512</v>
          </cell>
          <cell r="BI139">
            <v>6555</v>
          </cell>
          <cell r="BJ139">
            <v>4168</v>
          </cell>
          <cell r="BK139">
            <v>5314</v>
          </cell>
          <cell r="BL139">
            <v>5262</v>
          </cell>
          <cell r="BM139">
            <v>5528</v>
          </cell>
          <cell r="BN139">
            <v>4326</v>
          </cell>
          <cell r="BO139">
            <v>4546</v>
          </cell>
          <cell r="BP139">
            <v>4944</v>
          </cell>
          <cell r="BQ139">
            <v>5352.5596233529905</v>
          </cell>
          <cell r="BR139">
            <v>5111.1721041866404</v>
          </cell>
          <cell r="BS139">
            <v>5248.8486519187591</v>
          </cell>
          <cell r="BT139">
            <v>5373.3015763477279</v>
          </cell>
          <cell r="BU139">
            <v>5468.6840405746361</v>
          </cell>
        </row>
        <row r="140">
          <cell r="A140" t="str">
            <v>Retirements</v>
          </cell>
          <cell r="F140">
            <v>-2845</v>
          </cell>
          <cell r="G140">
            <v>-2515</v>
          </cell>
          <cell r="H140">
            <v>-6707</v>
          </cell>
          <cell r="I140">
            <v>-9348</v>
          </cell>
          <cell r="J140">
            <v>-12274</v>
          </cell>
          <cell r="K140">
            <v>-5362</v>
          </cell>
          <cell r="L140">
            <v>-7021</v>
          </cell>
          <cell r="M140">
            <v>-3826</v>
          </cell>
          <cell r="N140">
            <v>-13267.82</v>
          </cell>
          <cell r="O140">
            <v>-10798.535824924313</v>
          </cell>
          <cell r="P140">
            <v>-8297.4963051436935</v>
          </cell>
          <cell r="Q140">
            <v>-8694.5906937456148</v>
          </cell>
          <cell r="R140">
            <v>-15145.137088658812</v>
          </cell>
          <cell r="S140">
            <v>-15294.474581873721</v>
          </cell>
          <cell r="T140">
            <v>-15436.47422365376</v>
          </cell>
          <cell r="AE140">
            <v>-1076</v>
          </cell>
          <cell r="AF140">
            <v>-615</v>
          </cell>
          <cell r="AG140">
            <v>-698</v>
          </cell>
          <cell r="AH140">
            <v>-535</v>
          </cell>
          <cell r="AI140">
            <v>-583</v>
          </cell>
          <cell r="AJ140">
            <v>-813</v>
          </cell>
          <cell r="AK140">
            <v>-914</v>
          </cell>
          <cell r="AL140">
            <v>-457</v>
          </cell>
          <cell r="AM140">
            <v>-551</v>
          </cell>
          <cell r="AN140">
            <v>-773</v>
          </cell>
          <cell r="AO140">
            <v>-734</v>
          </cell>
          <cell r="AP140">
            <v>-543</v>
          </cell>
          <cell r="AQ140">
            <v>-1021</v>
          </cell>
          <cell r="AR140">
            <v>-1259</v>
          </cell>
          <cell r="AS140">
            <v>-3884</v>
          </cell>
          <cell r="AT140">
            <v>-1282</v>
          </cell>
          <cell r="AU140">
            <v>-4482</v>
          </cell>
          <cell r="AV140">
            <v>-1691</v>
          </cell>
          <cell r="AW140">
            <v>-1893</v>
          </cell>
          <cell r="AX140">
            <v>-4845</v>
          </cell>
          <cell r="AY140">
            <v>-2701</v>
          </cell>
          <cell r="AZ140">
            <v>-2395</v>
          </cell>
          <cell r="BA140">
            <v>-2333</v>
          </cell>
          <cell r="BB140">
            <v>-2168</v>
          </cell>
          <cell r="BC140">
            <v>-889</v>
          </cell>
          <cell r="BD140">
            <v>-1473</v>
          </cell>
          <cell r="BE140">
            <v>-832</v>
          </cell>
          <cell r="BF140">
            <v>-1417</v>
          </cell>
          <cell r="BG140">
            <v>-1183</v>
          </cell>
          <cell r="BH140">
            <v>-1233</v>
          </cell>
          <cell r="BI140">
            <v>-3188</v>
          </cell>
          <cell r="BJ140">
            <v>-555</v>
          </cell>
          <cell r="BK140">
            <v>-710</v>
          </cell>
          <cell r="BL140">
            <v>-686</v>
          </cell>
          <cell r="BM140">
            <v>-1875</v>
          </cell>
          <cell r="BN140">
            <v>-4394</v>
          </cell>
          <cell r="BO140">
            <v>-1109</v>
          </cell>
          <cell r="BP140">
            <v>302</v>
          </cell>
          <cell r="BQ140">
            <v>-8066.82</v>
          </cell>
          <cell r="BR140">
            <v>-2661.79739623353</v>
          </cell>
          <cell r="BS140">
            <v>-2686.2911433130607</v>
          </cell>
          <cell r="BT140">
            <v>-2711.9167183991181</v>
          </cell>
          <cell r="BU140">
            <v>-2738.5305669786044</v>
          </cell>
        </row>
        <row r="141">
          <cell r="A141" t="str">
            <v>Acquisitions and Other (Sales)</v>
          </cell>
          <cell r="F141">
            <v>0</v>
          </cell>
          <cell r="G141">
            <v>10000</v>
          </cell>
          <cell r="H141">
            <v>51298</v>
          </cell>
          <cell r="I141">
            <v>0</v>
          </cell>
          <cell r="AO141">
            <v>10000</v>
          </cell>
          <cell r="AS141">
            <v>51298</v>
          </cell>
        </row>
        <row r="142">
          <cell r="A142" t="str">
            <v>Ending Gross PP&amp;E</v>
          </cell>
          <cell r="E142">
            <v>133923</v>
          </cell>
          <cell r="F142">
            <v>136177</v>
          </cell>
          <cell r="G142">
            <v>149238</v>
          </cell>
          <cell r="H142">
            <v>202149</v>
          </cell>
          <cell r="I142">
            <v>210518</v>
          </cell>
          <cell r="J142">
            <v>218579</v>
          </cell>
          <cell r="K142">
            <v>230552</v>
          </cell>
          <cell r="L142">
            <v>243833</v>
          </cell>
          <cell r="M142">
            <v>260279</v>
          </cell>
          <cell r="N142">
            <v>266179.739623353</v>
          </cell>
          <cell r="O142">
            <v>276583.21017145645</v>
          </cell>
          <cell r="P142">
            <v>289819.68979152048</v>
          </cell>
          <cell r="Q142">
            <v>302902.7417731763</v>
          </cell>
          <cell r="R142">
            <v>305889.49163747474</v>
          </cell>
          <cell r="S142">
            <v>308729.48447307775</v>
          </cell>
          <cell r="T142">
            <v>311499.34302229591</v>
          </cell>
          <cell r="AD142">
            <v>131990</v>
          </cell>
          <cell r="AE142">
            <v>131986</v>
          </cell>
          <cell r="AF142">
            <v>132637</v>
          </cell>
          <cell r="AG142">
            <v>133923</v>
          </cell>
          <cell r="AH142">
            <v>134324</v>
          </cell>
          <cell r="AI142">
            <v>134943</v>
          </cell>
          <cell r="AJ142">
            <v>135454</v>
          </cell>
          <cell r="AK142">
            <v>136177</v>
          </cell>
          <cell r="AL142">
            <v>136770</v>
          </cell>
          <cell r="AM142">
            <v>137498</v>
          </cell>
          <cell r="AN142">
            <v>138139</v>
          </cell>
          <cell r="AO142">
            <v>149238</v>
          </cell>
          <cell r="AP142">
            <v>150516</v>
          </cell>
          <cell r="AQ142">
            <v>151716</v>
          </cell>
          <cell r="AR142">
            <v>152573</v>
          </cell>
          <cell r="AS142">
            <v>202149</v>
          </cell>
          <cell r="AT142">
            <v>204205</v>
          </cell>
          <cell r="AU142">
            <v>203845</v>
          </cell>
          <cell r="AV142">
            <v>206818</v>
          </cell>
          <cell r="AW142">
            <v>210518</v>
          </cell>
          <cell r="AX142">
            <v>209920</v>
          </cell>
          <cell r="AY142">
            <v>212549</v>
          </cell>
          <cell r="AZ142">
            <v>215420</v>
          </cell>
          <cell r="BA142">
            <v>218579</v>
          </cell>
          <cell r="BB142">
            <v>219769</v>
          </cell>
          <cell r="BC142">
            <v>222926</v>
          </cell>
          <cell r="BD142">
            <v>225669</v>
          </cell>
          <cell r="BE142">
            <v>230552</v>
          </cell>
          <cell r="BF142">
            <v>232466</v>
          </cell>
          <cell r="BG142">
            <v>236187</v>
          </cell>
          <cell r="BH142">
            <v>240466</v>
          </cell>
          <cell r="BI142">
            <v>243833</v>
          </cell>
          <cell r="BJ142">
            <v>247446</v>
          </cell>
          <cell r="BK142">
            <v>252050</v>
          </cell>
          <cell r="BL142">
            <v>256626</v>
          </cell>
          <cell r="BM142">
            <v>260279</v>
          </cell>
          <cell r="BN142">
            <v>260211</v>
          </cell>
          <cell r="BO142">
            <v>263648</v>
          </cell>
          <cell r="BP142">
            <v>268894</v>
          </cell>
          <cell r="BQ142">
            <v>266179.739623353</v>
          </cell>
          <cell r="BR142">
            <v>268629.11433130607</v>
          </cell>
          <cell r="BS142">
            <v>271191.67183991178</v>
          </cell>
          <cell r="BT142">
            <v>273853.05669786042</v>
          </cell>
          <cell r="BU142">
            <v>276583.21017145645</v>
          </cell>
        </row>
        <row r="143">
          <cell r="A143" t="str">
            <v>Average Gross PP&amp;E</v>
          </cell>
          <cell r="F143">
            <v>135050</v>
          </cell>
          <cell r="G143">
            <v>142707.5</v>
          </cell>
          <cell r="H143">
            <v>175693.5</v>
          </cell>
          <cell r="I143">
            <v>206333.5</v>
          </cell>
          <cell r="J143">
            <v>214548.5</v>
          </cell>
          <cell r="K143">
            <v>224565.5</v>
          </cell>
          <cell r="L143">
            <v>237192.5</v>
          </cell>
          <cell r="M143">
            <v>252056</v>
          </cell>
          <cell r="N143">
            <v>263229.3698116765</v>
          </cell>
          <cell r="O143">
            <v>271381.47489740473</v>
          </cell>
          <cell r="P143">
            <v>283201.44998148846</v>
          </cell>
          <cell r="Q143">
            <v>296361.21578234842</v>
          </cell>
          <cell r="R143">
            <v>304396.11670532555</v>
          </cell>
          <cell r="S143">
            <v>307309.48805527622</v>
          </cell>
          <cell r="T143">
            <v>310114.41374768683</v>
          </cell>
          <cell r="AE143">
            <v>131988</v>
          </cell>
          <cell r="AF143">
            <v>132311.5</v>
          </cell>
          <cell r="AG143">
            <v>133280</v>
          </cell>
          <cell r="AH143">
            <v>134123.5</v>
          </cell>
          <cell r="AI143">
            <v>134633.5</v>
          </cell>
          <cell r="AJ143">
            <v>135198.5</v>
          </cell>
          <cell r="AK143">
            <v>135815.5</v>
          </cell>
          <cell r="AL143">
            <v>136473.5</v>
          </cell>
          <cell r="AM143">
            <v>137134</v>
          </cell>
          <cell r="AN143">
            <v>137818.5</v>
          </cell>
          <cell r="AO143">
            <v>143688.5</v>
          </cell>
          <cell r="AP143">
            <v>149877</v>
          </cell>
          <cell r="AQ143">
            <v>151116</v>
          </cell>
          <cell r="AR143">
            <v>152144.5</v>
          </cell>
          <cell r="AS143">
            <v>177361</v>
          </cell>
          <cell r="AT143">
            <v>203177</v>
          </cell>
          <cell r="AU143">
            <v>204025</v>
          </cell>
          <cell r="AV143">
            <v>205331.5</v>
          </cell>
          <cell r="AW143">
            <v>208668</v>
          </cell>
          <cell r="AX143">
            <v>210219</v>
          </cell>
          <cell r="AY143">
            <v>211234.5</v>
          </cell>
          <cell r="AZ143">
            <v>213984.5</v>
          </cell>
          <cell r="BA143">
            <v>216999.5</v>
          </cell>
          <cell r="BB143">
            <v>219174</v>
          </cell>
          <cell r="BC143">
            <v>221347.5</v>
          </cell>
          <cell r="BD143">
            <v>224297.5</v>
          </cell>
          <cell r="BE143">
            <v>228110.5</v>
          </cell>
          <cell r="BF143">
            <v>231509</v>
          </cell>
          <cell r="BG143">
            <v>234326.5</v>
          </cell>
          <cell r="BH143">
            <v>238326.5</v>
          </cell>
          <cell r="BI143">
            <v>242149.5</v>
          </cell>
          <cell r="BJ143">
            <v>245639.5</v>
          </cell>
          <cell r="BK143">
            <v>249748</v>
          </cell>
          <cell r="BL143">
            <v>254338</v>
          </cell>
          <cell r="BM143">
            <v>258452.5</v>
          </cell>
          <cell r="BN143">
            <v>260245</v>
          </cell>
          <cell r="BO143">
            <v>261929.5</v>
          </cell>
          <cell r="BP143">
            <v>266271</v>
          </cell>
          <cell r="BQ143">
            <v>267536.8698116765</v>
          </cell>
          <cell r="BR143">
            <v>267404.42697732954</v>
          </cell>
          <cell r="BS143">
            <v>269910.39308560896</v>
          </cell>
          <cell r="BT143">
            <v>272522.3642688861</v>
          </cell>
          <cell r="BU143">
            <v>275218.1334346584</v>
          </cell>
        </row>
        <row r="145">
          <cell r="A145" t="str">
            <v>Additions as % Average Gross PP&amp;E</v>
          </cell>
          <cell r="F145">
            <v>3.7756386523509808E-2</v>
          </cell>
          <cell r="G145">
            <v>3.9072928893015432E-2</v>
          </cell>
          <cell r="H145">
            <v>4.735519526903386E-2</v>
          </cell>
          <cell r="I145">
            <v>8.5865843404003717E-2</v>
          </cell>
          <cell r="J145">
            <v>9.4780434260784863E-2</v>
          </cell>
          <cell r="K145">
            <v>7.7193513696449362E-2</v>
          </cell>
          <cell r="L145">
            <v>8.5592925577326437E-2</v>
          </cell>
          <cell r="M145">
            <v>8.042657187291713E-2</v>
          </cell>
          <cell r="N145">
            <v>7.2820748068754063E-2</v>
          </cell>
          <cell r="O145">
            <v>7.812621101364102E-2</v>
          </cell>
          <cell r="P145">
            <v>7.6037661271209228E-2</v>
          </cell>
          <cell r="Q145">
            <v>7.3483443567039383E-2</v>
          </cell>
          <cell r="R145">
            <v>5.9566748581454929E-2</v>
          </cell>
          <cell r="S145">
            <v>5.9010437758482935E-2</v>
          </cell>
          <cell r="T145">
            <v>5.8708437808013117E-2</v>
          </cell>
          <cell r="AE145">
            <v>8.1219504803466975E-3</v>
          </cell>
          <cell r="AF145">
            <v>9.568329283546782E-3</v>
          </cell>
          <cell r="AG145">
            <v>1.48859543817527E-2</v>
          </cell>
          <cell r="AH145">
            <v>6.9786428179998286E-3</v>
          </cell>
          <cell r="AI145">
            <v>8.9279414113129351E-3</v>
          </cell>
          <cell r="AJ145">
            <v>9.7930080585213585E-3</v>
          </cell>
          <cell r="AK145">
            <v>1.2053116175988749E-2</v>
          </cell>
          <cell r="AL145">
            <v>7.6938013607037265E-3</v>
          </cell>
          <cell r="AM145">
            <v>9.326644012425802E-3</v>
          </cell>
          <cell r="AN145">
            <v>1.025987077206616E-2</v>
          </cell>
          <cell r="AO145">
            <v>1.2756762023404795E-2</v>
          </cell>
          <cell r="AP145">
            <v>1.2149962969635102E-2</v>
          </cell>
          <cell r="AQ145">
            <v>1.4697318616162419E-2</v>
          </cell>
          <cell r="AR145">
            <v>1.3907831042200013E-2</v>
          </cell>
          <cell r="AS145">
            <v>1.2189827526908396E-2</v>
          </cell>
          <cell r="AT145">
            <v>1.6429024938846425E-2</v>
          </cell>
          <cell r="AU145">
            <v>2.0203406445288567E-2</v>
          </cell>
          <cell r="AV145">
            <v>2.271448852221895E-2</v>
          </cell>
          <cell r="AW145">
            <v>2.6803343109628692E-2</v>
          </cell>
          <cell r="AX145">
            <v>2.0202740951103373E-2</v>
          </cell>
          <cell r="AY145">
            <v>2.5232620618317558E-2</v>
          </cell>
          <cell r="AZ145">
            <v>2.4609259081849386E-2</v>
          </cell>
          <cell r="BA145">
            <v>2.530881407560847E-2</v>
          </cell>
          <cell r="BB145">
            <v>1.5321160356611642E-2</v>
          </cell>
          <cell r="BC145">
            <v>1.8278950518980337E-2</v>
          </cell>
          <cell r="BD145">
            <v>1.8796464516991941E-2</v>
          </cell>
          <cell r="BE145">
            <v>2.5053647245523551E-2</v>
          </cell>
          <cell r="BF145">
            <v>1.4388209529651115E-2</v>
          </cell>
          <cell r="BG145">
            <v>2.0928064047386872E-2</v>
          </cell>
          <cell r="BH145">
            <v>2.312793583592257E-2</v>
          </cell>
          <cell r="BI145">
            <v>2.7070053830381646E-2</v>
          </cell>
          <cell r="BJ145">
            <v>1.6967955072372316E-2</v>
          </cell>
          <cell r="BK145">
            <v>2.1277447667248588E-2</v>
          </cell>
          <cell r="BL145">
            <v>2.0689004395725373E-2</v>
          </cell>
          <cell r="BM145">
            <v>2.1388843211034909E-2</v>
          </cell>
          <cell r="BN145">
            <v>1.6622797748275662E-2</v>
          </cell>
          <cell r="BO145">
            <v>1.735581520981791E-2</v>
          </cell>
          <cell r="BP145">
            <v>1.8567549601721554E-2</v>
          </cell>
          <cell r="BQ145">
            <v>2.0006811125213294E-2</v>
          </cell>
          <cell r="BR145">
            <v>1.9114014535817552E-2</v>
          </cell>
          <cell r="BS145">
            <v>1.9446634091833406E-2</v>
          </cell>
          <cell r="BT145">
            <v>1.9716919713224423E-2</v>
          </cell>
          <cell r="BU145">
            <v>1.9870362364306192E-2</v>
          </cell>
        </row>
        <row r="146">
          <cell r="A146" t="str">
            <v>Retirements as % Beg. Gross PP&amp;E</v>
          </cell>
          <cell r="F146">
            <v>-2.1243550398363238E-2</v>
          </cell>
          <cell r="G146">
            <v>-1.8468610705185164E-2</v>
          </cell>
          <cell r="H146">
            <v>-4.4941636848523835E-2</v>
          </cell>
          <cell r="I146">
            <v>-4.6243117700310164E-2</v>
          </cell>
          <cell r="J146">
            <v>-5.8303803000218507E-2</v>
          </cell>
          <cell r="K146">
            <v>-2.4531176371014599E-2</v>
          </cell>
          <cell r="L146">
            <v>-3.0452999757104689E-2</v>
          </cell>
          <cell r="M146">
            <v>-1.5691067246845176E-2</v>
          </cell>
          <cell r="N146">
            <v>-5.0975376422992248E-2</v>
          </cell>
          <cell r="O146">
            <v>-4.0568586625730228E-2</v>
          </cell>
          <cell r="P146">
            <v>-0.03</v>
          </cell>
          <cell r="Q146">
            <v>-0.03</v>
          </cell>
          <cell r="R146">
            <v>-0.05</v>
          </cell>
          <cell r="S146">
            <v>-0.05</v>
          </cell>
          <cell r="T146">
            <v>-0.05</v>
          </cell>
          <cell r="AE146">
            <v>-8.1521327373285848E-3</v>
          </cell>
          <cell r="AF146">
            <v>-4.6595851075114025E-3</v>
          </cell>
          <cell r="AG146">
            <v>-5.2624833191341784E-3</v>
          </cell>
          <cell r="AH146">
            <v>-3.9948328517132982E-3</v>
          </cell>
          <cell r="AI146">
            <v>-4.3402519281736697E-3</v>
          </cell>
          <cell r="AJ146">
            <v>-6.0247660123163111E-3</v>
          </cell>
          <cell r="AK146">
            <v>-6.7476781785698464E-3</v>
          </cell>
          <cell r="AL146">
            <v>-3.35592647803961E-3</v>
          </cell>
          <cell r="AM146">
            <v>-4.0286612561234187E-3</v>
          </cell>
          <cell r="AN146">
            <v>-5.621899954908435E-3</v>
          </cell>
          <cell r="AO146">
            <v>-5.3134885875820732E-3</v>
          </cell>
          <cell r="AP146">
            <v>-3.6384834961604951E-3</v>
          </cell>
          <cell r="AQ146">
            <v>-6.783332004570943E-3</v>
          </cell>
          <cell r="AR146">
            <v>-8.2983996414353126E-3</v>
          </cell>
          <cell r="AS146">
            <v>-2.5456666644819201E-2</v>
          </cell>
          <cell r="AT146">
            <v>-6.341856749229529E-3</v>
          </cell>
          <cell r="AU146">
            <v>-2.194853211233809E-2</v>
          </cell>
          <cell r="AV146">
            <v>-8.295518653879173E-3</v>
          </cell>
          <cell r="AW146">
            <v>-9.152975079538531E-3</v>
          </cell>
          <cell r="AX146">
            <v>-2.3014659079033623E-2</v>
          </cell>
          <cell r="AY146">
            <v>-1.2866806402439025E-2</v>
          </cell>
          <cell r="AZ146">
            <v>-1.1267989969371768E-2</v>
          </cell>
          <cell r="BA146">
            <v>-1.0830006498932319E-2</v>
          </cell>
          <cell r="BB146">
            <v>-9.9186106625064625E-3</v>
          </cell>
          <cell r="BC146">
            <v>-4.0451565052395926E-3</v>
          </cell>
          <cell r="BD146">
            <v>-6.6075738137319111E-3</v>
          </cell>
          <cell r="BE146">
            <v>-3.6868156459238972E-3</v>
          </cell>
          <cell r="BF146">
            <v>-6.1461188799056179E-3</v>
          </cell>
          <cell r="BG146">
            <v>-5.088916228609775E-3</v>
          </cell>
          <cell r="BH146">
            <v>-5.2204397363106352E-3</v>
          </cell>
          <cell r="BI146">
            <v>-1.3257591509818437E-2</v>
          </cell>
          <cell r="BJ146">
            <v>-2.2761480193411064E-3</v>
          </cell>
          <cell r="BK146">
            <v>-2.8693129005924523E-3</v>
          </cell>
          <cell r="BL146">
            <v>-2.7216822059115257E-3</v>
          </cell>
          <cell r="BM146">
            <v>-7.3063524350611394E-3</v>
          </cell>
          <cell r="BN146">
            <v>-1.6881884439390038E-2</v>
          </cell>
          <cell r="BO146">
            <v>-4.2619258985976769E-3</v>
          </cell>
          <cell r="BP146">
            <v>1.1454666828498604E-3</v>
          </cell>
          <cell r="BQ146">
            <v>-0.03</v>
          </cell>
          <cell r="BR146">
            <v>-0.01</v>
          </cell>
          <cell r="BS146">
            <v>-0.01</v>
          </cell>
          <cell r="BT146">
            <v>-0.01</v>
          </cell>
          <cell r="BU146">
            <v>-0.01</v>
          </cell>
        </row>
        <row r="148">
          <cell r="A148" t="str">
            <v>Beginning Acc. Depreciation</v>
          </cell>
          <cell r="F148">
            <v>81795</v>
          </cell>
          <cell r="G148">
            <v>86131</v>
          </cell>
          <cell r="H148">
            <v>90511</v>
          </cell>
          <cell r="I148">
            <v>107553</v>
          </cell>
          <cell r="J148">
            <v>114628</v>
          </cell>
          <cell r="K148">
            <v>119491</v>
          </cell>
          <cell r="L148">
            <v>130459</v>
          </cell>
          <cell r="M148">
            <v>140637</v>
          </cell>
          <cell r="N148">
            <v>153192</v>
          </cell>
          <cell r="O148">
            <v>156897.62983672557</v>
          </cell>
          <cell r="P148">
            <v>164063.58602780264</v>
          </cell>
          <cell r="Q148">
            <v>174521.15263534029</v>
          </cell>
          <cell r="R148">
            <v>185453.13252320714</v>
          </cell>
          <cell r="S148">
            <v>190466.67866006657</v>
          </cell>
          <cell r="T148">
            <v>195523.82580370773</v>
          </cell>
          <cell r="AE148">
            <v>78591</v>
          </cell>
          <cell r="AF148">
            <v>79452</v>
          </cell>
          <cell r="AG148">
            <v>80654</v>
          </cell>
          <cell r="AH148">
            <v>81795</v>
          </cell>
          <cell r="AI148">
            <v>83122</v>
          </cell>
          <cell r="AJ148">
            <v>84387</v>
          </cell>
          <cell r="AK148">
            <v>85398</v>
          </cell>
          <cell r="AL148">
            <v>86131</v>
          </cell>
          <cell r="AM148">
            <v>87459</v>
          </cell>
          <cell r="AN148">
            <v>88700</v>
          </cell>
          <cell r="AO148">
            <v>89699</v>
          </cell>
          <cell r="AP148">
            <v>90511</v>
          </cell>
          <cell r="AQ148">
            <v>92149</v>
          </cell>
          <cell r="AR148">
            <v>93365</v>
          </cell>
          <cell r="AS148">
            <v>94922</v>
          </cell>
          <cell r="AT148">
            <v>107553</v>
          </cell>
          <cell r="AU148">
            <v>110613</v>
          </cell>
          <cell r="AV148">
            <v>109790</v>
          </cell>
          <cell r="AW148">
            <v>112372</v>
          </cell>
          <cell r="AX148">
            <v>114628</v>
          </cell>
          <cell r="AY148">
            <v>113682</v>
          </cell>
          <cell r="AZ148">
            <v>115181</v>
          </cell>
          <cell r="BA148">
            <v>117649</v>
          </cell>
          <cell r="BB148">
            <v>119491</v>
          </cell>
          <cell r="BC148">
            <v>121430</v>
          </cell>
          <cell r="BD148">
            <v>124697</v>
          </cell>
          <cell r="BE148">
            <v>127348</v>
          </cell>
          <cell r="BF148">
            <v>130459</v>
          </cell>
          <cell r="BG148">
            <v>133106</v>
          </cell>
          <cell r="BH148">
            <v>135885</v>
          </cell>
          <cell r="BI148">
            <v>138991</v>
          </cell>
          <cell r="BJ148">
            <v>140637</v>
          </cell>
          <cell r="BK148">
            <v>144077</v>
          </cell>
          <cell r="BL148">
            <v>147444</v>
          </cell>
          <cell r="BM148">
            <v>150840</v>
          </cell>
          <cell r="BN148">
            <v>153192</v>
          </cell>
          <cell r="BO148">
            <v>152980</v>
          </cell>
          <cell r="BP148">
            <v>156165</v>
          </cell>
          <cell r="BQ148">
            <v>160677</v>
          </cell>
          <cell r="BR148">
            <v>156897.62983672557</v>
          </cell>
          <cell r="BS148">
            <v>158663.05805269946</v>
          </cell>
          <cell r="BT148">
            <v>160445.48202669781</v>
          </cell>
          <cell r="BU148">
            <v>162245.52498162462</v>
          </cell>
        </row>
        <row r="149">
          <cell r="A149" t="str">
            <v>Additions - Depreciation Expense</v>
          </cell>
          <cell r="F149">
            <v>7564</v>
          </cell>
          <cell r="G149">
            <v>7643</v>
          </cell>
          <cell r="H149">
            <v>9045</v>
          </cell>
          <cell r="I149">
            <v>15337</v>
          </cell>
          <cell r="J149">
            <v>19673</v>
          </cell>
          <cell r="K149">
            <v>19515</v>
          </cell>
          <cell r="L149">
            <v>19291</v>
          </cell>
          <cell r="M149">
            <v>18377</v>
          </cell>
          <cell r="N149">
            <v>17858.449836725584</v>
          </cell>
          <cell r="O149">
            <v>17964.492016001375</v>
          </cell>
          <cell r="P149">
            <v>18755.062912681355</v>
          </cell>
          <cell r="Q149">
            <v>19626.570581612479</v>
          </cell>
          <cell r="R149">
            <v>20158.683225518249</v>
          </cell>
          <cell r="S149">
            <v>20351.621725514982</v>
          </cell>
          <cell r="T149">
            <v>20537.378393886545</v>
          </cell>
          <cell r="AE149">
            <v>1977</v>
          </cell>
          <cell r="AF149">
            <v>1952</v>
          </cell>
          <cell r="AG149">
            <v>1945</v>
          </cell>
          <cell r="AH149">
            <v>1923</v>
          </cell>
          <cell r="AI149">
            <v>1888</v>
          </cell>
          <cell r="AJ149">
            <v>1889</v>
          </cell>
          <cell r="AK149">
            <v>1864</v>
          </cell>
          <cell r="AL149">
            <v>1825</v>
          </cell>
          <cell r="AM149">
            <v>1809</v>
          </cell>
          <cell r="AN149">
            <v>1803</v>
          </cell>
          <cell r="AO149">
            <v>2206</v>
          </cell>
          <cell r="AP149">
            <v>2229</v>
          </cell>
          <cell r="AQ149">
            <v>2245</v>
          </cell>
          <cell r="AR149">
            <v>2282</v>
          </cell>
          <cell r="AS149">
            <v>2289</v>
          </cell>
          <cell r="AT149">
            <v>3856</v>
          </cell>
          <cell r="AU149">
            <v>3763</v>
          </cell>
          <cell r="AV149">
            <v>3878</v>
          </cell>
          <cell r="AW149">
            <v>3840</v>
          </cell>
          <cell r="AX149">
            <v>4850</v>
          </cell>
          <cell r="AY149">
            <v>4906</v>
          </cell>
          <cell r="AZ149">
            <v>4925</v>
          </cell>
          <cell r="BA149">
            <v>4992</v>
          </cell>
          <cell r="BB149">
            <v>4836</v>
          </cell>
          <cell r="BC149">
            <v>4853</v>
          </cell>
          <cell r="BD149">
            <v>4860</v>
          </cell>
          <cell r="BE149">
            <v>4966</v>
          </cell>
          <cell r="BF149">
            <v>4780</v>
          </cell>
          <cell r="BG149">
            <v>4819</v>
          </cell>
          <cell r="BH149">
            <v>4873</v>
          </cell>
          <cell r="BI149">
            <v>4819</v>
          </cell>
          <cell r="BJ149">
            <v>4584</v>
          </cell>
          <cell r="BK149">
            <v>4602</v>
          </cell>
          <cell r="BL149">
            <v>4618</v>
          </cell>
          <cell r="BM149">
            <v>4573</v>
          </cell>
          <cell r="BN149">
            <v>4560</v>
          </cell>
          <cell r="BO149">
            <v>4499</v>
          </cell>
          <cell r="BP149">
            <v>4512</v>
          </cell>
          <cell r="BQ149">
            <v>4287.4498367255846</v>
          </cell>
          <cell r="BR149">
            <v>4427.2256122074432</v>
          </cell>
          <cell r="BS149">
            <v>4468.7151173114071</v>
          </cell>
          <cell r="BT149">
            <v>4511.9596733259286</v>
          </cell>
          <cell r="BU149">
            <v>4556.5916131565964</v>
          </cell>
        </row>
        <row r="150">
          <cell r="A150" t="str">
            <v>Retirements</v>
          </cell>
          <cell r="F150">
            <v>-3228</v>
          </cell>
          <cell r="G150">
            <v>-3263</v>
          </cell>
          <cell r="H150">
            <v>7997</v>
          </cell>
          <cell r="I150">
            <v>-8262</v>
          </cell>
          <cell r="J150">
            <v>-14810</v>
          </cell>
          <cell r="K150">
            <v>-8547</v>
          </cell>
          <cell r="L150">
            <v>-9113</v>
          </cell>
          <cell r="M150">
            <v>-5822</v>
          </cell>
          <cell r="N150">
            <v>-14152.82</v>
          </cell>
          <cell r="O150">
            <v>-10798.535824924313</v>
          </cell>
          <cell r="P150">
            <v>-8297.4963051436935</v>
          </cell>
          <cell r="Q150">
            <v>-8694.5906937456148</v>
          </cell>
          <cell r="R150">
            <v>-15145.137088658812</v>
          </cell>
          <cell r="S150">
            <v>-15294.474581873721</v>
          </cell>
          <cell r="T150">
            <v>-15436.47422365376</v>
          </cell>
          <cell r="AE150">
            <v>-1116</v>
          </cell>
          <cell r="AF150">
            <v>-750</v>
          </cell>
          <cell r="AG150">
            <v>-804</v>
          </cell>
          <cell r="AH150">
            <v>-596</v>
          </cell>
          <cell r="AI150">
            <v>-623</v>
          </cell>
          <cell r="AJ150">
            <v>-878</v>
          </cell>
          <cell r="AK150">
            <v>-1131</v>
          </cell>
          <cell r="AL150">
            <v>-497</v>
          </cell>
          <cell r="AM150">
            <v>-568</v>
          </cell>
          <cell r="AN150">
            <v>-804</v>
          </cell>
          <cell r="AO150">
            <v>-1394</v>
          </cell>
          <cell r="AP150">
            <v>-591</v>
          </cell>
          <cell r="AQ150">
            <v>-1029</v>
          </cell>
          <cell r="AR150">
            <v>-725</v>
          </cell>
          <cell r="AS150">
            <v>10342</v>
          </cell>
          <cell r="AT150">
            <v>-796</v>
          </cell>
          <cell r="AU150">
            <v>-4586</v>
          </cell>
          <cell r="AV150">
            <v>-1296</v>
          </cell>
          <cell r="AW150">
            <v>-1584</v>
          </cell>
          <cell r="AX150">
            <v>-5796</v>
          </cell>
          <cell r="AY150">
            <v>-3407</v>
          </cell>
          <cell r="AZ150">
            <v>-2457</v>
          </cell>
          <cell r="BA150">
            <v>-3150</v>
          </cell>
          <cell r="BB150">
            <v>-2897</v>
          </cell>
          <cell r="BC150">
            <v>-1586</v>
          </cell>
          <cell r="BD150">
            <v>-2209</v>
          </cell>
          <cell r="BE150">
            <v>-1855</v>
          </cell>
          <cell r="BF150">
            <v>-2133</v>
          </cell>
          <cell r="BG150">
            <v>-2040</v>
          </cell>
          <cell r="BH150">
            <v>-1767</v>
          </cell>
          <cell r="BI150">
            <v>-3173</v>
          </cell>
          <cell r="BJ150">
            <v>-1144</v>
          </cell>
          <cell r="BK150">
            <v>-1235</v>
          </cell>
          <cell r="BL150">
            <v>-1222</v>
          </cell>
          <cell r="BM150">
            <v>-2221</v>
          </cell>
          <cell r="BN150">
            <v>-4772</v>
          </cell>
          <cell r="BO150">
            <v>-1314</v>
          </cell>
          <cell r="BP150">
            <v>0</v>
          </cell>
          <cell r="BQ150">
            <v>-8066.82</v>
          </cell>
          <cell r="BR150">
            <v>-2661.79739623353</v>
          </cell>
          <cell r="BS150">
            <v>-2686.2911433130607</v>
          </cell>
          <cell r="BT150">
            <v>-2711.9167183991181</v>
          </cell>
          <cell r="BU150">
            <v>-2738.5305669786044</v>
          </cell>
        </row>
        <row r="151">
          <cell r="A151" t="str">
            <v>Acquisitions and Other</v>
          </cell>
          <cell r="F151">
            <v>0</v>
          </cell>
          <cell r="G151">
            <v>0</v>
          </cell>
          <cell r="H151">
            <v>0</v>
          </cell>
          <cell r="I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row>
        <row r="152">
          <cell r="A152" t="str">
            <v>Ending Acc. Depreciation</v>
          </cell>
          <cell r="E152">
            <v>81795</v>
          </cell>
          <cell r="F152">
            <v>86131</v>
          </cell>
          <cell r="G152">
            <v>90511</v>
          </cell>
          <cell r="H152">
            <v>107553</v>
          </cell>
          <cell r="I152">
            <v>114628</v>
          </cell>
          <cell r="J152">
            <v>119491</v>
          </cell>
          <cell r="K152">
            <v>130459</v>
          </cell>
          <cell r="L152">
            <v>140637</v>
          </cell>
          <cell r="M152">
            <v>153192</v>
          </cell>
          <cell r="N152">
            <v>156897.62983672557</v>
          </cell>
          <cell r="O152">
            <v>164063.58602780264</v>
          </cell>
          <cell r="P152">
            <v>174521.15263534029</v>
          </cell>
          <cell r="Q152">
            <v>185453.13252320714</v>
          </cell>
          <cell r="R152">
            <v>190466.67866006657</v>
          </cell>
          <cell r="S152">
            <v>195523.82580370785</v>
          </cell>
          <cell r="T152">
            <v>200624.72997394053</v>
          </cell>
          <cell r="AE152">
            <v>79452</v>
          </cell>
          <cell r="AF152">
            <v>80654</v>
          </cell>
          <cell r="AG152">
            <v>81795</v>
          </cell>
          <cell r="AH152">
            <v>83122</v>
          </cell>
          <cell r="AI152">
            <v>84387</v>
          </cell>
          <cell r="AJ152">
            <v>85398</v>
          </cell>
          <cell r="AK152">
            <v>86131</v>
          </cell>
          <cell r="AL152">
            <v>87459</v>
          </cell>
          <cell r="AM152">
            <v>88700</v>
          </cell>
          <cell r="AN152">
            <v>89699</v>
          </cell>
          <cell r="AO152">
            <v>90511</v>
          </cell>
          <cell r="AP152">
            <v>92149</v>
          </cell>
          <cell r="AQ152">
            <v>93365</v>
          </cell>
          <cell r="AR152">
            <v>94922</v>
          </cell>
          <cell r="AS152">
            <v>107553</v>
          </cell>
          <cell r="AT152">
            <v>110613</v>
          </cell>
          <cell r="AU152">
            <v>109790</v>
          </cell>
          <cell r="AV152">
            <v>112372</v>
          </cell>
          <cell r="AW152">
            <v>114628</v>
          </cell>
          <cell r="AX152">
            <v>113682</v>
          </cell>
          <cell r="AY152">
            <v>115181</v>
          </cell>
          <cell r="AZ152">
            <v>117649</v>
          </cell>
          <cell r="BA152">
            <v>119491</v>
          </cell>
          <cell r="BB152">
            <v>121430</v>
          </cell>
          <cell r="BC152">
            <v>124697</v>
          </cell>
          <cell r="BD152">
            <v>127348</v>
          </cell>
          <cell r="BE152">
            <v>130459</v>
          </cell>
          <cell r="BF152">
            <v>133106</v>
          </cell>
          <cell r="BG152">
            <v>135885</v>
          </cell>
          <cell r="BH152">
            <v>138991</v>
          </cell>
          <cell r="BI152">
            <v>140637</v>
          </cell>
          <cell r="BJ152">
            <v>144077</v>
          </cell>
          <cell r="BK152">
            <v>147444</v>
          </cell>
          <cell r="BL152">
            <v>150840</v>
          </cell>
          <cell r="BM152">
            <v>153192</v>
          </cell>
          <cell r="BN152">
            <v>152980</v>
          </cell>
          <cell r="BO152">
            <v>156165</v>
          </cell>
          <cell r="BP152">
            <v>160677</v>
          </cell>
          <cell r="BQ152">
            <v>156897.62983672557</v>
          </cell>
          <cell r="BR152">
            <v>158663.05805269946</v>
          </cell>
          <cell r="BS152">
            <v>160445.48202669781</v>
          </cell>
          <cell r="BT152">
            <v>162245.52498162462</v>
          </cell>
          <cell r="BU152">
            <v>164063.58602780261</v>
          </cell>
        </row>
        <row r="153">
          <cell r="A153" t="str">
            <v>Average Acc. Depreciation</v>
          </cell>
          <cell r="F153">
            <v>83963</v>
          </cell>
          <cell r="G153">
            <v>88321</v>
          </cell>
          <cell r="H153">
            <v>99032</v>
          </cell>
          <cell r="I153">
            <v>111090.5</v>
          </cell>
          <cell r="J153">
            <v>117059.5</v>
          </cell>
          <cell r="K153">
            <v>124975</v>
          </cell>
          <cell r="L153">
            <v>135548</v>
          </cell>
          <cell r="M153">
            <v>146914.5</v>
          </cell>
          <cell r="N153">
            <v>155044.81491836277</v>
          </cell>
          <cell r="O153">
            <v>160480.6079322641</v>
          </cell>
          <cell r="P153">
            <v>169292.36933157145</v>
          </cell>
          <cell r="Q153">
            <v>179987.14257927373</v>
          </cell>
          <cell r="R153">
            <v>187959.90559163684</v>
          </cell>
          <cell r="S153">
            <v>192995.25223188719</v>
          </cell>
          <cell r="T153">
            <v>198074.27788882417</v>
          </cell>
          <cell r="AE153">
            <v>79452</v>
          </cell>
          <cell r="AF153">
            <v>80053</v>
          </cell>
          <cell r="AG153">
            <v>81224.5</v>
          </cell>
          <cell r="AH153">
            <v>82458.5</v>
          </cell>
          <cell r="AI153">
            <v>83754.5</v>
          </cell>
          <cell r="AJ153">
            <v>84892.5</v>
          </cell>
          <cell r="AK153">
            <v>85764.5</v>
          </cell>
          <cell r="AL153">
            <v>86795</v>
          </cell>
          <cell r="AM153">
            <v>88079.5</v>
          </cell>
          <cell r="AN153">
            <v>89199.5</v>
          </cell>
          <cell r="AO153">
            <v>90105</v>
          </cell>
          <cell r="AP153">
            <v>91330</v>
          </cell>
          <cell r="AQ153">
            <v>92757</v>
          </cell>
          <cell r="AR153">
            <v>94143.5</v>
          </cell>
          <cell r="AS153">
            <v>101237.5</v>
          </cell>
          <cell r="AT153">
            <v>109083</v>
          </cell>
          <cell r="AU153">
            <v>110201.5</v>
          </cell>
          <cell r="AV153">
            <v>111081</v>
          </cell>
          <cell r="AW153">
            <v>113500</v>
          </cell>
          <cell r="AX153">
            <v>114155</v>
          </cell>
          <cell r="AY153">
            <v>114431.5</v>
          </cell>
          <cell r="AZ153">
            <v>116415</v>
          </cell>
          <cell r="BA153">
            <v>118570</v>
          </cell>
          <cell r="BB153">
            <v>120460.5</v>
          </cell>
          <cell r="BC153">
            <v>123063.5</v>
          </cell>
          <cell r="BD153">
            <v>126022.5</v>
          </cell>
          <cell r="BE153">
            <v>128903.5</v>
          </cell>
          <cell r="BF153">
            <v>131782.5</v>
          </cell>
          <cell r="BG153">
            <v>134495.5</v>
          </cell>
          <cell r="BH153">
            <v>137438</v>
          </cell>
          <cell r="BI153">
            <v>139814</v>
          </cell>
          <cell r="BJ153">
            <v>142357</v>
          </cell>
          <cell r="BK153">
            <v>145760.5</v>
          </cell>
          <cell r="BL153">
            <v>149142</v>
          </cell>
          <cell r="BM153">
            <v>152016</v>
          </cell>
          <cell r="BN153">
            <v>153086</v>
          </cell>
          <cell r="BO153">
            <v>154572.5</v>
          </cell>
          <cell r="BP153">
            <v>158421</v>
          </cell>
          <cell r="BQ153">
            <v>158787.31491836277</v>
          </cell>
          <cell r="BR153">
            <v>157780.34394471251</v>
          </cell>
          <cell r="BS153">
            <v>159554.27003969863</v>
          </cell>
          <cell r="BT153">
            <v>161345.5035041612</v>
          </cell>
          <cell r="BU153">
            <v>163154.55550471361</v>
          </cell>
        </row>
        <row r="155">
          <cell r="A155" t="str">
            <v>Additions as % Avg. Gross PP&amp;E</v>
          </cell>
          <cell r="F155">
            <v>5.6008885597926696E-2</v>
          </cell>
          <cell r="G155">
            <v>5.3557101063363872E-2</v>
          </cell>
          <cell r="H155">
            <v>5.1481699664472504E-2</v>
          </cell>
          <cell r="I155">
            <v>7.4331119280194438E-2</v>
          </cell>
          <cell r="J155">
            <v>9.1694884839558427E-2</v>
          </cell>
          <cell r="K155">
            <v>8.6901149107944012E-2</v>
          </cell>
          <cell r="L155">
            <v>8.1330564836577884E-2</v>
          </cell>
          <cell r="M155">
            <v>7.290840130764592E-2</v>
          </cell>
          <cell r="N155">
            <v>6.7843682676831024E-2</v>
          </cell>
          <cell r="O155">
            <v>6.6196456566509632E-2</v>
          </cell>
          <cell r="P155">
            <v>6.6225165562913912E-2</v>
          </cell>
          <cell r="Q155">
            <v>6.6225165562913912E-2</v>
          </cell>
          <cell r="R155">
            <v>6.6225165562913912E-2</v>
          </cell>
          <cell r="S155">
            <v>6.6225165562913912E-2</v>
          </cell>
          <cell r="T155">
            <v>6.6225165562913912E-2</v>
          </cell>
          <cell r="AE155">
            <v>1.4978634421311029E-2</v>
          </cell>
          <cell r="AF155">
            <v>1.4753063792640851E-2</v>
          </cell>
          <cell r="AG155">
            <v>1.4593337334933974E-2</v>
          </cell>
          <cell r="AH155">
            <v>1.4337532199800929E-2</v>
          </cell>
          <cell r="AI155">
            <v>1.4023255727586373E-2</v>
          </cell>
          <cell r="AJ155">
            <v>1.3972048506455323E-2</v>
          </cell>
          <cell r="AK155">
            <v>1.3724501253538808E-2</v>
          </cell>
          <cell r="AL155">
            <v>1.3372559507889811E-2</v>
          </cell>
          <cell r="AM155">
            <v>1.3191476949552992E-2</v>
          </cell>
          <cell r="AN155">
            <v>1.3082423622372904E-2</v>
          </cell>
          <cell r="AO155">
            <v>1.5352655222930158E-2</v>
          </cell>
          <cell r="AP155">
            <v>1.4872195200064053E-2</v>
          </cell>
          <cell r="AQ155">
            <v>1.4856137007332116E-2</v>
          </cell>
          <cell r="AR155">
            <v>1.499889907292081E-2</v>
          </cell>
          <cell r="AS155">
            <v>1.2905881225297558E-2</v>
          </cell>
          <cell r="AT155">
            <v>1.8978526112699765E-2</v>
          </cell>
          <cell r="AU155">
            <v>1.8443818159539271E-2</v>
          </cell>
          <cell r="AV155">
            <v>1.8886532266116012E-2</v>
          </cell>
          <cell r="AW155">
            <v>1.8402438323077808E-2</v>
          </cell>
          <cell r="AX155">
            <v>2.3071178152307831E-2</v>
          </cell>
          <cell r="AY155">
            <v>2.3225372749243141E-2</v>
          </cell>
          <cell r="AZ155">
            <v>2.3015685715554166E-2</v>
          </cell>
          <cell r="BA155">
            <v>2.3004661301062906E-2</v>
          </cell>
          <cell r="BB155">
            <v>2.2064660954310273E-2</v>
          </cell>
          <cell r="BC155">
            <v>2.1924801499903997E-2</v>
          </cell>
          <cell r="BD155">
            <v>2.1667651222149156E-2</v>
          </cell>
          <cell r="BE155">
            <v>2.177015086986351E-2</v>
          </cell>
          <cell r="BF155">
            <v>2.064714546734684E-2</v>
          </cell>
          <cell r="BG155">
            <v>2.0565322317364874E-2</v>
          </cell>
          <cell r="BH155">
            <v>2.0446740081358977E-2</v>
          </cell>
          <cell r="BI155">
            <v>1.9900928971565087E-2</v>
          </cell>
          <cell r="BJ155">
            <v>1.8661493774413316E-2</v>
          </cell>
          <cell r="BK155">
            <v>1.842657398657847E-2</v>
          </cell>
          <cell r="BL155">
            <v>1.8156940763865408E-2</v>
          </cell>
          <cell r="BM155">
            <v>1.7693773517377467E-2</v>
          </cell>
          <cell r="BN155">
            <v>1.7521950469749657E-2</v>
          </cell>
          <cell r="BO155">
            <v>1.7176377613060002E-2</v>
          </cell>
          <cell r="BP155">
            <v>1.6945142354969186E-2</v>
          </cell>
          <cell r="BQ155">
            <v>1.6025641025641024E-2</v>
          </cell>
          <cell r="BR155">
            <v>1.6556291390728478E-2</v>
          </cell>
          <cell r="BS155">
            <v>1.6556291390728478E-2</v>
          </cell>
          <cell r="BT155">
            <v>1.6556291390728475E-2</v>
          </cell>
          <cell r="BU155">
            <v>1.6556291390728478E-2</v>
          </cell>
        </row>
        <row r="156">
          <cell r="A156" t="str">
            <v>Retire. as % Avg. Gross PP&amp;E</v>
          </cell>
          <cell r="F156">
            <v>-2.3902258422806369E-2</v>
          </cell>
          <cell r="G156">
            <v>-2.2864951036210432E-2</v>
          </cell>
          <cell r="H156">
            <v>4.5516766414238435E-2</v>
          </cell>
          <cell r="I156">
            <v>-4.0041970886937894E-2</v>
          </cell>
          <cell r="J156">
            <v>-6.9028681160669972E-2</v>
          </cell>
          <cell r="K156">
            <v>-3.8060165074332436E-2</v>
          </cell>
          <cell r="L156">
            <v>-3.8420270455431768E-2</v>
          </cell>
          <cell r="M156">
            <v>-2.3098041705017933E-2</v>
          </cell>
          <cell r="N156">
            <v>-5.3766112839632681E-2</v>
          </cell>
          <cell r="O156">
            <v>-3.9790983629249856E-2</v>
          </cell>
          <cell r="P156">
            <v>-2.9298918863890216E-2</v>
          </cell>
          <cell r="Q156">
            <v>-2.9337815580197366E-2</v>
          </cell>
          <cell r="R156">
            <v>-4.9754698754321661E-2</v>
          </cell>
          <cell r="S156">
            <v>-4.976896313439786E-2</v>
          </cell>
          <cell r="T156">
            <v>-4.9776706722871253E-2</v>
          </cell>
          <cell r="AE156">
            <v>-8.4553141194654065E-3</v>
          </cell>
          <cell r="AF156">
            <v>-5.668441518688852E-3</v>
          </cell>
          <cell r="AG156">
            <v>-6.0324129651860743E-3</v>
          </cell>
          <cell r="AH156">
            <v>-4.4436657259913437E-3</v>
          </cell>
          <cell r="AI156">
            <v>-4.6273772872279188E-3</v>
          </cell>
          <cell r="AJ156">
            <v>-6.4941548907717171E-3</v>
          </cell>
          <cell r="AK156">
            <v>-8.3274736683220992E-3</v>
          </cell>
          <cell r="AL156">
            <v>-3.6417326440664304E-3</v>
          </cell>
          <cell r="AM156">
            <v>-4.1419341665815913E-3</v>
          </cell>
          <cell r="AN156">
            <v>-5.8337596186288487E-3</v>
          </cell>
          <cell r="AO156">
            <v>-9.7015418770465284E-3</v>
          </cell>
          <cell r="AP156">
            <v>-3.9432334514301727E-3</v>
          </cell>
          <cell r="AQ156">
            <v>-6.8093385214007783E-3</v>
          </cell>
          <cell r="AR156">
            <v>-4.7652067606781708E-3</v>
          </cell>
          <cell r="AS156">
            <v>5.8310451564887435E-2</v>
          </cell>
          <cell r="AT156">
            <v>-3.917766282600885E-3</v>
          </cell>
          <cell r="AU156">
            <v>-2.2477637544418574E-2</v>
          </cell>
          <cell r="AV156">
            <v>-6.3117446665514063E-3</v>
          </cell>
          <cell r="AW156">
            <v>-7.5910058082695958E-3</v>
          </cell>
          <cell r="AX156">
            <v>-2.757124712799509E-2</v>
          </cell>
          <cell r="AY156">
            <v>-1.6128994080039007E-2</v>
          </cell>
          <cell r="AZ156">
            <v>-1.1482140061546514E-2</v>
          </cell>
          <cell r="BA156">
            <v>-1.451616247963705E-2</v>
          </cell>
          <cell r="BB156">
            <v>-1.3217808681686696E-2</v>
          </cell>
          <cell r="BC156">
            <v>-7.1652040343803299E-3</v>
          </cell>
          <cell r="BD156">
            <v>-9.8485270678451611E-3</v>
          </cell>
          <cell r="BE156">
            <v>-8.132023734111319E-3</v>
          </cell>
          <cell r="BF156">
            <v>-9.2134647033160696E-3</v>
          </cell>
          <cell r="BG156">
            <v>-8.705801520527981E-3</v>
          </cell>
          <cell r="BH156">
            <v>-7.4141985889105907E-3</v>
          </cell>
          <cell r="BI156">
            <v>-1.3103475332387636E-2</v>
          </cell>
          <cell r="BJ156">
            <v>-4.6572314306127472E-3</v>
          </cell>
          <cell r="BK156">
            <v>-4.9449845444207762E-3</v>
          </cell>
          <cell r="BL156">
            <v>-4.8046300592125436E-3</v>
          </cell>
          <cell r="BM156">
            <v>-8.5934552770818625E-3</v>
          </cell>
          <cell r="BN156">
            <v>-1.833656746527311E-2</v>
          </cell>
          <cell r="BO156">
            <v>-5.0166170668061441E-3</v>
          </cell>
          <cell r="BP156">
            <v>0</v>
          </cell>
          <cell r="BQ156">
            <v>-3.0152180541240404E-2</v>
          </cell>
          <cell r="BR156">
            <v>-9.954200931980817E-3</v>
          </cell>
          <cell r="BS156">
            <v>-9.9525294769254591E-3</v>
          </cell>
          <cell r="BT156">
            <v>-9.9511712577224909E-3</v>
          </cell>
          <cell r="BU156">
            <v>-9.9504001891240913E-3</v>
          </cell>
        </row>
        <row r="157">
          <cell r="A157" t="str">
            <v>Depreciation. as % Cap Ex.</v>
          </cell>
          <cell r="F157">
            <v>1.4834281231614042</v>
          </cell>
          <cell r="G157">
            <v>1.3706958393113342</v>
          </cell>
          <cell r="H157">
            <v>1.0871394230769231</v>
          </cell>
          <cell r="I157">
            <v>0.86566574476491509</v>
          </cell>
          <cell r="J157">
            <v>0.96744529136955992</v>
          </cell>
          <cell r="K157">
            <v>1.1257571387366598</v>
          </cell>
          <cell r="L157">
            <v>0.95020195054674417</v>
          </cell>
          <cell r="M157">
            <v>0.90652131018153115</v>
          </cell>
          <cell r="N157">
            <v>0.93165319604758912</v>
          </cell>
          <cell r="O157">
            <v>0.84730151005213317</v>
          </cell>
          <cell r="P157">
            <v>0.87095216312221435</v>
          </cell>
          <cell r="Q157">
            <v>0.90122566864325426</v>
          </cell>
          <cell r="R157">
            <v>1.1117807693054438</v>
          </cell>
          <cell r="S157">
            <v>1.1222618926156642</v>
          </cell>
          <cell r="T157">
            <v>1.1280348794066333</v>
          </cell>
          <cell r="AE157">
            <v>1.8442164179104477</v>
          </cell>
          <cell r="AF157">
            <v>1.5418641390205372</v>
          </cell>
          <cell r="AG157">
            <v>0.98034274193548387</v>
          </cell>
          <cell r="AH157">
            <v>2.0544871794871793</v>
          </cell>
          <cell r="AI157">
            <v>1.5707154742096505</v>
          </cell>
          <cell r="AJ157">
            <v>1.4267371601208458</v>
          </cell>
          <cell r="AK157">
            <v>1.1386682956627978</v>
          </cell>
          <cell r="AL157">
            <v>1.7380952380952381</v>
          </cell>
          <cell r="AM157">
            <v>1.4143862392494135</v>
          </cell>
          <cell r="AN157">
            <v>1.275106082036775</v>
          </cell>
          <cell r="AO157">
            <v>1.2034915439170759</v>
          </cell>
          <cell r="AP157">
            <v>1.2240527182866556</v>
          </cell>
          <cell r="AQ157">
            <v>1.0108059432687979</v>
          </cell>
          <cell r="AR157">
            <v>1.0784499054820416</v>
          </cell>
          <cell r="AS157">
            <v>1.0587419056429233</v>
          </cell>
          <cell r="AT157">
            <v>1.1551827441581786</v>
          </cell>
          <cell r="AU157">
            <v>0.91290635613779714</v>
          </cell>
          <cell r="AV157">
            <v>0.83147512864494</v>
          </cell>
          <cell r="AW157">
            <v>0.68657250134096193</v>
          </cell>
          <cell r="AX157">
            <v>1.1419825759359548</v>
          </cell>
          <cell r="AY157">
            <v>0.92045028142589114</v>
          </cell>
          <cell r="AZ157">
            <v>0.9352449677174326</v>
          </cell>
          <cell r="BA157">
            <v>0.90895848506919152</v>
          </cell>
          <cell r="BB157">
            <v>1.4401429422275165</v>
          </cell>
          <cell r="BC157">
            <v>1.199456253089471</v>
          </cell>
          <cell r="BD157">
            <v>1.1527514231499052</v>
          </cell>
          <cell r="BE157">
            <v>0.86894138232720908</v>
          </cell>
          <cell r="BF157">
            <v>1.4350045031522065</v>
          </cell>
          <cell r="BG157">
            <v>0.9826672104404568</v>
          </cell>
          <cell r="BH157">
            <v>0.88407111756168355</v>
          </cell>
          <cell r="BI157">
            <v>0.73516399694889401</v>
          </cell>
          <cell r="BJ157">
            <v>1.0998080614203456</v>
          </cell>
          <cell r="BK157">
            <v>0.86601430184418515</v>
          </cell>
          <cell r="BL157">
            <v>0.87761307487647278</v>
          </cell>
          <cell r="BM157">
            <v>0.82724312590448623</v>
          </cell>
          <cell r="BN157">
            <v>1.0540915395284327</v>
          </cell>
          <cell r="BO157">
            <v>0.98966124065112182</v>
          </cell>
          <cell r="BP157">
            <v>0.91262135922330101</v>
          </cell>
          <cell r="BQ157">
            <v>0.801009262562835</v>
          </cell>
          <cell r="BR157">
            <v>0.86618597886403281</v>
          </cell>
          <cell r="BS157">
            <v>0.85137054117150668</v>
          </cell>
          <cell r="BT157">
            <v>0.83969969100315056</v>
          </cell>
          <cell r="BU157">
            <v>0.83321537308595373</v>
          </cell>
        </row>
        <row r="158">
          <cell r="A158" t="str">
            <v>Acc. Dep. Retire. as % Gross Retire.</v>
          </cell>
        </row>
        <row r="159">
          <cell r="A159" t="str">
            <v>Average Life of Gross PP&amp;E</v>
          </cell>
          <cell r="F159">
            <v>17.854309888947647</v>
          </cell>
          <cell r="G159">
            <v>18.671660342797331</v>
          </cell>
          <cell r="H159">
            <v>19.424378109452736</v>
          </cell>
          <cell r="I159">
            <v>13.453315511508118</v>
          </cell>
          <cell r="J159">
            <v>10.905733746759518</v>
          </cell>
          <cell r="K159">
            <v>11.507327696643607</v>
          </cell>
          <cell r="L159">
            <v>12.295500492457622</v>
          </cell>
          <cell r="M159">
            <v>13.715840452739839</v>
          </cell>
          <cell r="N159">
            <v>14.739765893361584</v>
          </cell>
          <cell r="O159">
            <v>15.10654877720334</v>
          </cell>
          <cell r="P159">
            <v>15.1</v>
          </cell>
          <cell r="Q159">
            <v>15.1</v>
          </cell>
          <cell r="R159">
            <v>15.1</v>
          </cell>
          <cell r="S159">
            <v>15.1</v>
          </cell>
          <cell r="T159">
            <v>15.1</v>
          </cell>
          <cell r="AE159">
            <v>16.690440060698027</v>
          </cell>
          <cell r="AF159">
            <v>16.945632684426229</v>
          </cell>
          <cell r="AG159">
            <v>17.131105398457585</v>
          </cell>
          <cell r="AH159">
            <v>17.436752470098803</v>
          </cell>
          <cell r="AI159">
            <v>17.827529131355931</v>
          </cell>
          <cell r="AJ159">
            <v>17.892866596082584</v>
          </cell>
          <cell r="AK159">
            <v>18.215598175965667</v>
          </cell>
          <cell r="AL159">
            <v>18.695</v>
          </cell>
          <cell r="AM159">
            <v>18.951630735212824</v>
          </cell>
          <cell r="AN159">
            <v>19.109608985024959</v>
          </cell>
          <cell r="AO159">
            <v>16.283828195829557</v>
          </cell>
          <cell r="AP159">
            <v>16.809892328398384</v>
          </cell>
          <cell r="AQ159">
            <v>16.828062360801781</v>
          </cell>
          <cell r="AR159">
            <v>16.667890008764243</v>
          </cell>
          <cell r="AS159">
            <v>19.371013543031893</v>
          </cell>
          <cell r="AT159">
            <v>13.172782676348548</v>
          </cell>
          <cell r="AU159">
            <v>13.554677119319692</v>
          </cell>
          <cell r="AV159">
            <v>13.236945590510572</v>
          </cell>
          <cell r="AW159">
            <v>13.585156250000001</v>
          </cell>
          <cell r="AX159">
            <v>10.836030927835052</v>
          </cell>
          <cell r="AY159">
            <v>10.764089889930696</v>
          </cell>
          <cell r="AZ159">
            <v>10.862157360406091</v>
          </cell>
          <cell r="BA159">
            <v>10.867362780448717</v>
          </cell>
          <cell r="BB159">
            <v>11.330334987593051</v>
          </cell>
          <cell r="BC159">
            <v>11.402611786523799</v>
          </cell>
          <cell r="BD159">
            <v>11.537937242798353</v>
          </cell>
          <cell r="BE159">
            <v>11.483613572291583</v>
          </cell>
          <cell r="BF159">
            <v>12.108211297071129</v>
          </cell>
          <cell r="BG159">
            <v>12.156386179705333</v>
          </cell>
          <cell r="BH159">
            <v>12.226887954032424</v>
          </cell>
          <cell r="BI159">
            <v>12.562227640589334</v>
          </cell>
          <cell r="BJ159">
            <v>13.396569589877837</v>
          </cell>
          <cell r="BK159">
            <v>13.56736201651456</v>
          </cell>
          <cell r="BL159">
            <v>13.768839324382849</v>
          </cell>
          <cell r="BM159">
            <v>14.129264159195277</v>
          </cell>
          <cell r="BN159">
            <v>14.26781798245614</v>
          </cell>
          <cell r="BO159">
            <v>14.554873305178928</v>
          </cell>
          <cell r="BP159">
            <v>14.753490691489361</v>
          </cell>
          <cell r="BQ159">
            <v>15.6</v>
          </cell>
          <cell r="BR159">
            <v>15.1</v>
          </cell>
          <cell r="BS159">
            <v>15.1</v>
          </cell>
          <cell r="BT159">
            <v>15.1</v>
          </cell>
          <cell r="BU159">
            <v>15.1</v>
          </cell>
        </row>
        <row r="161">
          <cell r="A161" t="str">
            <v>Growth in Depreciation</v>
          </cell>
          <cell r="G161">
            <v>1.0444209413009053E-2</v>
          </cell>
          <cell r="H161">
            <v>0.18343582362946487</v>
          </cell>
          <cell r="I161">
            <v>0.69563294637921502</v>
          </cell>
          <cell r="J161">
            <v>0.28271500293408103</v>
          </cell>
          <cell r="K161">
            <v>-8.0313119503888641E-3</v>
          </cell>
          <cell r="L161">
            <v>-1.1478349987189329E-2</v>
          </cell>
          <cell r="M161">
            <v>-4.7379607070654695E-2</v>
          </cell>
          <cell r="N161">
            <v>-2.8217345773217439E-2</v>
          </cell>
          <cell r="O161">
            <v>5.9379274374484758E-3</v>
          </cell>
          <cell r="P161">
            <v>4.4007417297177165E-2</v>
          </cell>
          <cell r="Q161">
            <v>4.6467861664268195E-2</v>
          </cell>
          <cell r="R161">
            <v>2.7111850320110875E-2</v>
          </cell>
          <cell r="S161">
            <v>9.5709872434772691E-3</v>
          </cell>
          <cell r="T161">
            <v>9.1273644369420648E-3</v>
          </cell>
          <cell r="AI161">
            <v>-4.5017703591299973E-2</v>
          </cell>
          <cell r="AJ161">
            <v>-3.2274590163934413E-2</v>
          </cell>
          <cell r="AK161">
            <v>-4.1645244215938293E-2</v>
          </cell>
          <cell r="AL161">
            <v>-5.096203848153924E-2</v>
          </cell>
          <cell r="AM161">
            <v>-4.1843220338983023E-2</v>
          </cell>
          <cell r="AN161">
            <v>-4.5526733721545809E-2</v>
          </cell>
          <cell r="AO161">
            <v>0.18347639484978551</v>
          </cell>
          <cell r="AP161">
            <v>0.22136986301369865</v>
          </cell>
          <cell r="AQ161">
            <v>0.24101713653952461</v>
          </cell>
          <cell r="AR161">
            <v>0.26566833056017747</v>
          </cell>
          <cell r="AS161">
            <v>3.7624660018132472E-2</v>
          </cell>
          <cell r="AT161">
            <v>0.72992373261552257</v>
          </cell>
          <cell r="AU161">
            <v>0.67616926503340746</v>
          </cell>
          <cell r="AV161">
            <v>0.69938650306748462</v>
          </cell>
          <cell r="AW161">
            <v>0.67758846657929217</v>
          </cell>
          <cell r="AX161">
            <v>0.25778008298755184</v>
          </cell>
          <cell r="AY161">
            <v>0.30374701036407115</v>
          </cell>
          <cell r="AZ161">
            <v>0.26998452810727169</v>
          </cell>
          <cell r="BA161">
            <v>0.30000000000000004</v>
          </cell>
          <cell r="BB161">
            <v>-2.8865979381442752E-3</v>
          </cell>
          <cell r="BC161">
            <v>-1.0803098247044396E-2</v>
          </cell>
          <cell r="BD161">
            <v>-1.3197969543147225E-2</v>
          </cell>
          <cell r="BE161">
            <v>-5.2083333333333703E-3</v>
          </cell>
          <cell r="BF161">
            <v>-1.1579818031430933E-2</v>
          </cell>
          <cell r="BG161">
            <v>-7.005975685143162E-3</v>
          </cell>
          <cell r="BH161">
            <v>2.6748971193415461E-3</v>
          </cell>
          <cell r="BI161">
            <v>-2.960128876359247E-2</v>
          </cell>
          <cell r="BJ161">
            <v>-4.1004184100418395E-2</v>
          </cell>
          <cell r="BK161">
            <v>-4.5030089230130743E-2</v>
          </cell>
          <cell r="BL161">
            <v>-5.2329160681305109E-2</v>
          </cell>
          <cell r="BM161">
            <v>-5.1047935256277266E-2</v>
          </cell>
          <cell r="BN161">
            <v>-5.2356020942407877E-3</v>
          </cell>
          <cell r="BO161">
            <v>-2.2381573229030893E-2</v>
          </cell>
          <cell r="BP161">
            <v>-2.2953659592897413E-2</v>
          </cell>
          <cell r="BQ161">
            <v>-6.2442633560991778E-2</v>
          </cell>
          <cell r="BR161">
            <v>-2.9117190305385288E-2</v>
          </cell>
          <cell r="BS161">
            <v>-6.7314698129791184E-3</v>
          </cell>
          <cell r="BT161">
            <v>-8.9376493952464386E-6</v>
          </cell>
          <cell r="BU161">
            <v>6.2774326623156629E-2</v>
          </cell>
        </row>
        <row r="166">
          <cell r="A166" t="str">
            <v>Amortization of Intangibles</v>
          </cell>
          <cell r="I166">
            <v>5921</v>
          </cell>
          <cell r="J166">
            <v>4527</v>
          </cell>
          <cell r="K166">
            <v>3461.1938861678773</v>
          </cell>
          <cell r="L166">
            <v>2457.4476591791927</v>
          </cell>
          <cell r="M166">
            <v>1523.6175486910995</v>
          </cell>
          <cell r="N166">
            <v>914.17052921465972</v>
          </cell>
          <cell r="O166">
            <v>548.50231752879586</v>
          </cell>
          <cell r="P166">
            <v>411.37673814659689</v>
          </cell>
          <cell r="Q166">
            <v>205.68836907329845</v>
          </cell>
          <cell r="R166">
            <v>0</v>
          </cell>
          <cell r="AT166">
            <v>1675</v>
          </cell>
          <cell r="AU166">
            <v>1570</v>
          </cell>
          <cell r="AV166">
            <v>1361</v>
          </cell>
          <cell r="AW166">
            <v>1315</v>
          </cell>
          <cell r="AX166">
            <v>1208</v>
          </cell>
          <cell r="AY166">
            <v>1169</v>
          </cell>
          <cell r="AZ166">
            <v>1096</v>
          </cell>
          <cell r="BA166">
            <v>1054</v>
          </cell>
          <cell r="BB166">
            <v>999</v>
          </cell>
          <cell r="BC166">
            <v>900.33333333333337</v>
          </cell>
          <cell r="BD166">
            <v>933.22222222222217</v>
          </cell>
          <cell r="BE166">
            <v>922.25925925925924</v>
          </cell>
          <cell r="BF166">
            <v>614.36191479479817</v>
          </cell>
          <cell r="BG166">
            <v>614.36191479479817</v>
          </cell>
          <cell r="BH166">
            <v>614.36191479479817</v>
          </cell>
          <cell r="BI166">
            <v>614.36191479479817</v>
          </cell>
          <cell r="BJ166">
            <v>380.90438717277488</v>
          </cell>
          <cell r="BK166">
            <v>380.90438717277488</v>
          </cell>
          <cell r="BL166">
            <v>380.90438717277488</v>
          </cell>
          <cell r="BM166">
            <v>380.90438717277488</v>
          </cell>
          <cell r="BN166">
            <v>380.90438717277488</v>
          </cell>
          <cell r="BO166">
            <v>380.90438717277488</v>
          </cell>
          <cell r="BP166">
            <v>380.90438717277488</v>
          </cell>
          <cell r="BQ166">
            <v>228.54263230366493</v>
          </cell>
          <cell r="BR166">
            <v>137.12557938219896</v>
          </cell>
          <cell r="BS166">
            <v>137.12557938219896</v>
          </cell>
          <cell r="BT166">
            <v>137.12557938219896</v>
          </cell>
          <cell r="BU166">
            <v>137.12557938219896</v>
          </cell>
        </row>
        <row r="167">
          <cell r="A167" t="str">
            <v>% y/y growth</v>
          </cell>
          <cell r="J167">
            <v>-0.23543320385070088</v>
          </cell>
          <cell r="K167">
            <v>-0.23543320385070088</v>
          </cell>
          <cell r="L167">
            <v>-0.28999999999999998</v>
          </cell>
          <cell r="M167">
            <v>-0.38</v>
          </cell>
          <cell r="N167">
            <v>-0.4</v>
          </cell>
          <cell r="O167">
            <v>-0.4</v>
          </cell>
          <cell r="P167">
            <v>-0.25</v>
          </cell>
          <cell r="Q167">
            <v>-0.5</v>
          </cell>
          <cell r="R167">
            <v>-1</v>
          </cell>
          <cell r="AX167">
            <v>-0.27880597014925368</v>
          </cell>
          <cell r="AY167">
            <v>-0.25541401273885356</v>
          </cell>
          <cell r="AZ167">
            <v>-0.19470977222630415</v>
          </cell>
          <cell r="BA167">
            <v>-0.19847908745247145</v>
          </cell>
          <cell r="BB167">
            <v>-0.17301324503311255</v>
          </cell>
          <cell r="BC167">
            <v>-0.22982606216139145</v>
          </cell>
          <cell r="BD167">
            <v>-0.14851987023519875</v>
          </cell>
          <cell r="BE167">
            <v>-0.12499121512404243</v>
          </cell>
          <cell r="BF167">
            <v>-0.38502310831351538</v>
          </cell>
          <cell r="BG167">
            <v>-0.31762838045746222</v>
          </cell>
          <cell r="BH167">
            <v>-0.34167671947217715</v>
          </cell>
          <cell r="BI167">
            <v>-0.33385118270513026</v>
          </cell>
          <cell r="BJ167">
            <v>-0.38</v>
          </cell>
          <cell r="BK167">
            <v>-0.38</v>
          </cell>
          <cell r="BL167">
            <v>-0.38</v>
          </cell>
          <cell r="BM167">
            <v>-0.38</v>
          </cell>
          <cell r="BN167">
            <v>0</v>
          </cell>
          <cell r="BO167">
            <v>0</v>
          </cell>
          <cell r="BP167">
            <v>0</v>
          </cell>
          <cell r="BQ167">
            <v>-0.4</v>
          </cell>
          <cell r="BR167">
            <v>-0.6399999999999999</v>
          </cell>
          <cell r="BS167">
            <v>-0.6399999999999999</v>
          </cell>
          <cell r="BT167">
            <v>-0.6399999999999999</v>
          </cell>
          <cell r="BU167">
            <v>-0.4</v>
          </cell>
        </row>
        <row r="168">
          <cell r="A168" t="str">
            <v>Average Common Shares Outs</v>
          </cell>
          <cell r="I168">
            <v>6171.25</v>
          </cell>
          <cell r="J168">
            <v>5959</v>
          </cell>
          <cell r="K168">
            <v>5917</v>
          </cell>
          <cell r="L168">
            <v>5931.25</v>
          </cell>
          <cell r="M168">
            <v>5946.25</v>
          </cell>
          <cell r="N168">
            <v>5820.25</v>
          </cell>
          <cell r="O168">
            <v>5510.4285714285706</v>
          </cell>
          <cell r="P168">
            <v>5296.1428571428569</v>
          </cell>
          <cell r="Q168">
            <v>5181.8571428571431</v>
          </cell>
          <cell r="R168">
            <v>5139</v>
          </cell>
          <cell r="AT168">
            <v>6266</v>
          </cell>
          <cell r="AU168">
            <v>6195</v>
          </cell>
          <cell r="AV168">
            <v>6129</v>
          </cell>
          <cell r="AW168">
            <v>6095</v>
          </cell>
          <cell r="AX168">
            <v>6033</v>
          </cell>
          <cell r="AY168">
            <v>5962</v>
          </cell>
          <cell r="AZ168">
            <v>5921</v>
          </cell>
          <cell r="BA168">
            <v>5920</v>
          </cell>
          <cell r="BB168">
            <v>5896</v>
          </cell>
          <cell r="BC168">
            <v>5923</v>
          </cell>
          <cell r="BD168">
            <v>5922</v>
          </cell>
          <cell r="BE168">
            <v>5927</v>
          </cell>
          <cell r="BF168">
            <v>5935</v>
          </cell>
          <cell r="BG168">
            <v>5937</v>
          </cell>
          <cell r="BH168">
            <v>5938</v>
          </cell>
          <cell r="BI168">
            <v>5915</v>
          </cell>
          <cell r="BJ168">
            <v>5945</v>
          </cell>
          <cell r="BK168">
            <v>5953</v>
          </cell>
          <cell r="BL168">
            <v>5954</v>
          </cell>
          <cell r="BM168">
            <v>5933</v>
          </cell>
          <cell r="BN168">
            <v>5940</v>
          </cell>
          <cell r="BO168">
            <v>5876</v>
          </cell>
          <cell r="BP168">
            <v>5792</v>
          </cell>
          <cell r="BQ168">
            <v>5673</v>
          </cell>
          <cell r="BR168">
            <v>5606.8571428571431</v>
          </cell>
          <cell r="BS168">
            <v>5542.5714285714275</v>
          </cell>
          <cell r="BT168">
            <v>5478.2857142857138</v>
          </cell>
          <cell r="BU168">
            <v>5413.9999999999982</v>
          </cell>
        </row>
        <row r="169">
          <cell r="A169" t="str">
            <v>EPS Impact</v>
          </cell>
          <cell r="J169">
            <v>0.50579289967995011</v>
          </cell>
          <cell r="K169">
            <v>0.38777258005092646</v>
          </cell>
          <cell r="L169">
            <v>0.27315277398313059</v>
          </cell>
          <cell r="M169">
            <v>0.17028767259323405</v>
          </cell>
          <cell r="N169">
            <v>0.10443330692814989</v>
          </cell>
          <cell r="O169">
            <v>6.56957122075814E-2</v>
          </cell>
          <cell r="P169">
            <v>5.1265355656064465E-2</v>
          </cell>
          <cell r="Q169">
            <v>2.6198005820269592E-2</v>
          </cell>
          <cell r="R169">
            <v>0</v>
          </cell>
          <cell r="AT169">
            <v>0.16614368797331311</v>
          </cell>
          <cell r="AU169">
            <v>0.16627737430847445</v>
          </cell>
          <cell r="AV169">
            <v>0.14853207635425555</v>
          </cell>
          <cell r="AW169">
            <v>0.14168893114048864</v>
          </cell>
          <cell r="AX169">
            <v>0.12905709854014139</v>
          </cell>
          <cell r="AY169">
            <v>0.12655435699262574</v>
          </cell>
          <cell r="AZ169">
            <v>0.12320908160239442</v>
          </cell>
          <cell r="BA169">
            <v>0.1285106900086482</v>
          </cell>
          <cell r="BB169">
            <v>0.10757193914956012</v>
          </cell>
          <cell r="BC169">
            <v>0.10193586144066027</v>
          </cell>
          <cell r="BD169">
            <v>0.10899392957041748</v>
          </cell>
          <cell r="BE169">
            <v>0.10205749127857679</v>
          </cell>
          <cell r="BF169">
            <v>6.7808980256674853E-2</v>
          </cell>
          <cell r="BG169">
            <v>6.7731819840352384E-2</v>
          </cell>
          <cell r="BH169">
            <v>6.7764727705732664E-2</v>
          </cell>
          <cell r="BI169">
            <v>6.9924128936878771E-2</v>
          </cell>
          <cell r="BJ169">
            <v>4.2163105338314154E-2</v>
          </cell>
          <cell r="BK169">
            <v>4.2165044795835875E-2</v>
          </cell>
          <cell r="BL169">
            <v>4.2222048270366699E-2</v>
          </cell>
          <cell r="BM169">
            <v>4.4257250243252118E-2</v>
          </cell>
          <cell r="BN169">
            <v>4.244800802279864E-2</v>
          </cell>
          <cell r="BO169">
            <v>4.2617507952164672E-2</v>
          </cell>
          <cell r="BP169">
            <v>4.4724754902986233E-2</v>
          </cell>
          <cell r="BQ169">
            <v>2.6588777951774872E-2</v>
          </cell>
          <cell r="BR169">
            <v>1.6141463940729697E-2</v>
          </cell>
          <cell r="BS169">
            <v>1.6328681291452117E-2</v>
          </cell>
          <cell r="BT169">
            <v>1.6520292498846335E-2</v>
          </cell>
          <cell r="BU169">
            <v>1.6716454080578379E-2</v>
          </cell>
        </row>
        <row r="171">
          <cell r="A171" t="str">
            <v>Depreciation Expense</v>
          </cell>
          <cell r="J171">
            <v>19673</v>
          </cell>
          <cell r="K171">
            <v>15760.185185185184</v>
          </cell>
          <cell r="L171">
            <v>19291</v>
          </cell>
          <cell r="M171">
            <v>18377</v>
          </cell>
          <cell r="N171">
            <v>17858.449836725584</v>
          </cell>
          <cell r="O171">
            <v>17964.492016001375</v>
          </cell>
          <cell r="P171">
            <v>18755.062912681355</v>
          </cell>
          <cell r="Q171">
            <v>19626.570581612479</v>
          </cell>
          <cell r="R171">
            <v>20158.683225518249</v>
          </cell>
          <cell r="S171">
            <v>20351.621725514982</v>
          </cell>
          <cell r="T171">
            <v>20537.378393886545</v>
          </cell>
          <cell r="AX171">
            <v>4850</v>
          </cell>
          <cell r="AY171">
            <v>4906</v>
          </cell>
          <cell r="AZ171">
            <v>4925</v>
          </cell>
          <cell r="BA171">
            <v>4992</v>
          </cell>
          <cell r="BB171">
            <v>3837</v>
          </cell>
          <cell r="BC171">
            <v>3952.6666666666665</v>
          </cell>
          <cell r="BD171">
            <v>3926.7777777777778</v>
          </cell>
          <cell r="BE171">
            <v>4043.7407407407409</v>
          </cell>
          <cell r="BF171">
            <v>4165.6380852052016</v>
          </cell>
          <cell r="BG171">
            <v>4204.6380852052016</v>
          </cell>
          <cell r="BH171">
            <v>4258.6380852052016</v>
          </cell>
          <cell r="BI171">
            <v>4204.6380852052016</v>
          </cell>
          <cell r="BJ171">
            <v>4203.0956128272255</v>
          </cell>
          <cell r="BK171">
            <v>4221.0956128272255</v>
          </cell>
          <cell r="BL171">
            <v>4237.0956128272255</v>
          </cell>
          <cell r="BM171">
            <v>4192.0956128272255</v>
          </cell>
          <cell r="BN171">
            <v>4179.0956128272255</v>
          </cell>
          <cell r="BO171">
            <v>4118.0956128272255</v>
          </cell>
          <cell r="BP171">
            <v>4131.0956128272255</v>
          </cell>
          <cell r="BQ171">
            <v>4287.4498367255846</v>
          </cell>
          <cell r="BR171">
            <v>4427.2256122074432</v>
          </cell>
          <cell r="BS171">
            <v>4468.7151173114071</v>
          </cell>
          <cell r="BT171">
            <v>4511.9596733259286</v>
          </cell>
          <cell r="BU171">
            <v>4556.5916131565964</v>
          </cell>
        </row>
        <row r="172">
          <cell r="A172" t="str">
            <v>Average Life of Gross PP&amp;E</v>
          </cell>
          <cell r="K172">
            <v>14.248912519828448</v>
          </cell>
          <cell r="L172">
            <v>12.295500492457622</v>
          </cell>
          <cell r="M172">
            <v>13.715840452739839</v>
          </cell>
          <cell r="N172">
            <v>14.739765893361584</v>
          </cell>
          <cell r="O172">
            <v>15.10654877720334</v>
          </cell>
          <cell r="P172">
            <v>15.1</v>
          </cell>
          <cell r="Q172">
            <v>15.1</v>
          </cell>
          <cell r="R172">
            <v>15.1</v>
          </cell>
          <cell r="S172">
            <v>15.1</v>
          </cell>
          <cell r="T172">
            <v>15.1</v>
          </cell>
        </row>
        <row r="173">
          <cell r="A173" t="str">
            <v>Growth in Depreciation</v>
          </cell>
          <cell r="L173">
            <v>0.22403384054990894</v>
          </cell>
          <cell r="M173">
            <v>-4.7379607070654695E-2</v>
          </cell>
          <cell r="N173">
            <v>-2.8217345773217439E-2</v>
          </cell>
          <cell r="O173">
            <v>5.9379274374484758E-3</v>
          </cell>
          <cell r="P173">
            <v>4.4007417297177165E-2</v>
          </cell>
          <cell r="Q173">
            <v>4.6467861664268195E-2</v>
          </cell>
          <cell r="R173">
            <v>2.7111850320110875E-2</v>
          </cell>
          <cell r="S173">
            <v>9.5709872434772691E-3</v>
          </cell>
          <cell r="T173">
            <v>9.1273644369420648E-3</v>
          </cell>
        </row>
        <row r="174">
          <cell r="A174" t="str">
            <v>Depreciation. as % Cap Ex.</v>
          </cell>
          <cell r="K174">
            <v>0.90915403433430542</v>
          </cell>
          <cell r="L174">
            <v>0.95020195054674417</v>
          </cell>
          <cell r="M174">
            <v>0.90652131018153115</v>
          </cell>
          <cell r="N174">
            <v>0.93165319604758912</v>
          </cell>
          <cell r="O174">
            <v>0.84730151005213317</v>
          </cell>
          <cell r="P174">
            <v>0.87095216312221435</v>
          </cell>
          <cell r="Q174">
            <v>0.90122566864325426</v>
          </cell>
          <cell r="R174">
            <v>1.1117807693054438</v>
          </cell>
          <cell r="S174">
            <v>1.1222618926156642</v>
          </cell>
          <cell r="T174">
            <v>1.1280348794066333</v>
          </cell>
        </row>
        <row r="175">
          <cell r="A175" t="str">
            <v>D&amp;A</v>
          </cell>
          <cell r="J175">
            <v>24200</v>
          </cell>
          <cell r="K175">
            <v>19221.379071353062</v>
          </cell>
          <cell r="L175">
            <v>21748.447659179194</v>
          </cell>
          <cell r="M175">
            <v>19900.617548691098</v>
          </cell>
          <cell r="N175">
            <v>18772.620365940242</v>
          </cell>
          <cell r="O175">
            <v>18512.994333530172</v>
          </cell>
          <cell r="P175">
            <v>19166.439650827953</v>
          </cell>
          <cell r="Q175">
            <v>19832.258950685777</v>
          </cell>
          <cell r="R175">
            <v>20158.683225518249</v>
          </cell>
          <cell r="S175">
            <v>20351.621725514982</v>
          </cell>
          <cell r="T175">
            <v>20537.378393886545</v>
          </cell>
          <cell r="AZ175">
            <v>6021</v>
          </cell>
          <cell r="BA175">
            <v>6046</v>
          </cell>
          <cell r="BB175">
            <v>4836</v>
          </cell>
          <cell r="BC175">
            <v>4853</v>
          </cell>
          <cell r="BD175">
            <v>4860</v>
          </cell>
          <cell r="BE175">
            <v>4966</v>
          </cell>
          <cell r="BF175">
            <v>4780</v>
          </cell>
          <cell r="BG175">
            <v>4819</v>
          </cell>
          <cell r="BH175">
            <v>4873</v>
          </cell>
          <cell r="BI175">
            <v>4819</v>
          </cell>
          <cell r="BJ175">
            <v>4584</v>
          </cell>
          <cell r="BK175">
            <v>4602</v>
          </cell>
          <cell r="BL175">
            <v>4618</v>
          </cell>
          <cell r="BM175">
            <v>4573</v>
          </cell>
          <cell r="BN175">
            <v>4560</v>
          </cell>
          <cell r="BO175">
            <v>4499</v>
          </cell>
          <cell r="BP175">
            <v>4512</v>
          </cell>
          <cell r="BQ175">
            <v>4515.9924690292492</v>
          </cell>
          <cell r="BR175">
            <v>4564.3511915896424</v>
          </cell>
          <cell r="BS175">
            <v>4605.8406966936063</v>
          </cell>
          <cell r="BT175">
            <v>4649.0852527081279</v>
          </cell>
          <cell r="BU175">
            <v>4693.7171925387956</v>
          </cell>
        </row>
        <row r="176">
          <cell r="L176">
            <v>0.13147176268909844</v>
          </cell>
          <cell r="M176">
            <v>-8.4963770262848959E-2</v>
          </cell>
          <cell r="N176">
            <v>-5.6681516540427523E-2</v>
          </cell>
          <cell r="O176">
            <v>-1.3830036902100051E-2</v>
          </cell>
          <cell r="P176">
            <v>3.5296576314199024E-2</v>
          </cell>
          <cell r="Q176">
            <v>3.4738809710496366E-2</v>
          </cell>
          <cell r="R176">
            <v>1.6459258405416621E-2</v>
          </cell>
          <cell r="S176">
            <v>9.5709872434772691E-3</v>
          </cell>
          <cell r="T176">
            <v>9.1273644369420648E-3</v>
          </cell>
          <cell r="BD176">
            <v>-0.19282511210762332</v>
          </cell>
          <cell r="BE176">
            <v>-0.17863049950380416</v>
          </cell>
          <cell r="BF176">
            <v>-1.1579818031430933E-2</v>
          </cell>
          <cell r="BG176">
            <v>-7.005975685143162E-3</v>
          </cell>
          <cell r="BH176">
            <v>2.6748971193415461E-3</v>
          </cell>
          <cell r="BI176">
            <v>-2.960128876359247E-2</v>
          </cell>
          <cell r="BJ176">
            <v>-4.1004184100418395E-2</v>
          </cell>
          <cell r="BK176">
            <v>-4.5030089230130743E-2</v>
          </cell>
          <cell r="BL176">
            <v>-5.2329160681305109E-2</v>
          </cell>
          <cell r="BM176">
            <v>-5.1047935256277266E-2</v>
          </cell>
          <cell r="BN176">
            <v>-5.2356020942407877E-3</v>
          </cell>
          <cell r="BO176">
            <v>-2.2381573229030893E-2</v>
          </cell>
          <cell r="BP176">
            <v>-2.2953659592897413E-2</v>
          </cell>
          <cell r="BQ176">
            <v>-1.246611217379201E-2</v>
          </cell>
          <cell r="BR176">
            <v>9.5420868193918373E-4</v>
          </cell>
          <cell r="BS176">
            <v>2.3747654299534737E-2</v>
          </cell>
          <cell r="BT176">
            <v>3.0382369837794299E-2</v>
          </cell>
          <cell r="BU176">
            <v>3.9354521675663889E-2</v>
          </cell>
        </row>
        <row r="179">
          <cell r="A179" t="str">
            <v>Reconciliation of Consolidated Net Debt to ppt Net Debt</v>
          </cell>
        </row>
        <row r="180">
          <cell r="A180" t="str">
            <v>Consolidated Net Debt</v>
          </cell>
          <cell r="J180">
            <v>73199</v>
          </cell>
          <cell r="K180">
            <v>68279</v>
          </cell>
          <cell r="L180">
            <v>64730</v>
          </cell>
          <cell r="M180">
            <v>61568</v>
          </cell>
          <cell r="N180">
            <v>62624.567173124095</v>
          </cell>
        </row>
        <row r="181">
          <cell r="A181" t="str">
            <v>Associates: Share of Telmex</v>
          </cell>
          <cell r="J181">
            <v>737.17159970781609</v>
          </cell>
          <cell r="K181">
            <v>616.65050919548707</v>
          </cell>
          <cell r="L181">
            <v>544.58946250401698</v>
          </cell>
          <cell r="M181">
            <v>476.08629738943102</v>
          </cell>
          <cell r="N181">
            <v>404.91292449091003</v>
          </cell>
        </row>
        <row r="182">
          <cell r="A182" t="str">
            <v>Associates: Share of Telemex Int</v>
          </cell>
          <cell r="J182">
            <v>132.298707085464</v>
          </cell>
          <cell r="K182">
            <v>170.26710256661701</v>
          </cell>
          <cell r="L182">
            <v>171.91727975644801</v>
          </cell>
          <cell r="M182">
            <v>147.58054306843002</v>
          </cell>
          <cell r="N182">
            <v>97.780763459442596</v>
          </cell>
        </row>
        <row r="183">
          <cell r="A183" t="str">
            <v>Associates: Share of American Movil</v>
          </cell>
          <cell r="J183">
            <v>798.7519262235212</v>
          </cell>
          <cell r="K183">
            <v>493.98178874306308</v>
          </cell>
          <cell r="L183">
            <v>150.8138210191284</v>
          </cell>
          <cell r="M183">
            <v>-129.91819865448329</v>
          </cell>
          <cell r="N183">
            <v>-455.38645287564987</v>
          </cell>
        </row>
        <row r="184">
          <cell r="A184" t="str">
            <v>Less Minority Interest share of Net Debt</v>
          </cell>
          <cell r="J184">
            <v>-522</v>
          </cell>
          <cell r="K184">
            <v>-616</v>
          </cell>
          <cell r="L184">
            <v>-630</v>
          </cell>
          <cell r="M184">
            <v>-480</v>
          </cell>
          <cell r="N184">
            <v>-526</v>
          </cell>
        </row>
        <row r="185">
          <cell r="A185" t="str">
            <v>Proportionate Net Debt</v>
          </cell>
          <cell r="J185">
            <v>74345.222233016786</v>
          </cell>
          <cell r="K185">
            <v>68943.899400505179</v>
          </cell>
          <cell r="L185">
            <v>64967.320563279587</v>
          </cell>
          <cell r="M185">
            <v>61581.748641803373</v>
          </cell>
          <cell r="N185">
            <v>62145.874408198797</v>
          </cell>
        </row>
        <row r="186">
          <cell r="A186" t="str">
            <v>Balancing adjustment to global comps</v>
          </cell>
          <cell r="J186">
            <v>1146.222233016786</v>
          </cell>
          <cell r="K186">
            <v>664.89940050517907</v>
          </cell>
          <cell r="L186">
            <v>237.32056327958708</v>
          </cell>
          <cell r="M186">
            <v>13.748641803373175</v>
          </cell>
          <cell r="N186">
            <v>-478.69276492529752</v>
          </cell>
        </row>
        <row r="210">
          <cell r="I210" t="str">
            <v>2007-FY</v>
          </cell>
          <cell r="J210" t="str">
            <v>2008-FY</v>
          </cell>
          <cell r="K210" t="str">
            <v>2009-FY</v>
          </cell>
          <cell r="L210" t="str">
            <v>2010-FY</v>
          </cell>
          <cell r="M210" t="str">
            <v>2011-FY</v>
          </cell>
          <cell r="N210" t="str">
            <v>2012-FY</v>
          </cell>
          <cell r="O210" t="str">
            <v>2013-FY</v>
          </cell>
          <cell r="P210" t="str">
            <v>2014-FY</v>
          </cell>
          <cell r="Q210" t="str">
            <v>2015-FY</v>
          </cell>
          <cell r="R210" t="str">
            <v>2016-FY</v>
          </cell>
          <cell r="S210" t="str">
            <v>2017-FY</v>
          </cell>
          <cell r="T210" t="str">
            <v>2018-FY</v>
          </cell>
          <cell r="AT210" t="str">
            <v>2007-Q1</v>
          </cell>
          <cell r="AU210" t="str">
            <v>2007-Q2</v>
          </cell>
          <cell r="AV210" t="str">
            <v>2007-Q3</v>
          </cell>
          <cell r="AW210" t="str">
            <v>2007-Q4</v>
          </cell>
          <cell r="AX210" t="str">
            <v>2008-Q1</v>
          </cell>
          <cell r="AY210" t="str">
            <v>2008-Q2</v>
          </cell>
          <cell r="AZ210" t="str">
            <v>2008-Q3</v>
          </cell>
          <cell r="BA210" t="str">
            <v>2008-Q4</v>
          </cell>
          <cell r="BB210" t="str">
            <v>2009-Q1</v>
          </cell>
          <cell r="BC210" t="str">
            <v>2009-Q2</v>
          </cell>
          <cell r="BD210" t="str">
            <v>2009-Q3</v>
          </cell>
          <cell r="BE210" t="str">
            <v>2009-Q4</v>
          </cell>
          <cell r="BF210" t="str">
            <v>2010-Q1</v>
          </cell>
          <cell r="BG210" t="str">
            <v>2010-Q2</v>
          </cell>
          <cell r="BH210" t="str">
            <v>2010-Q3</v>
          </cell>
          <cell r="BI210" t="str">
            <v>2010-Q4</v>
          </cell>
          <cell r="BJ210" t="str">
            <v>2011-Q1</v>
          </cell>
          <cell r="BK210" t="str">
            <v>2011-Q2</v>
          </cell>
          <cell r="BL210" t="str">
            <v>2011-Q3</v>
          </cell>
          <cell r="BM210" t="str">
            <v>2011-Q4</v>
          </cell>
          <cell r="BN210" t="str">
            <v>2012-Q1</v>
          </cell>
          <cell r="BO210" t="str">
            <v>2012-Q2</v>
          </cell>
          <cell r="BP210" t="str">
            <v>2012-Q3</v>
          </cell>
          <cell r="BQ210" t="str">
            <v>2012-Q4</v>
          </cell>
          <cell r="BR210" t="str">
            <v>2013-Q1</v>
          </cell>
          <cell r="BS210" t="str">
            <v>2013-Q2</v>
          </cell>
          <cell r="BT210" t="str">
            <v>2013-Q3</v>
          </cell>
          <cell r="BU210" t="str">
            <v>2013-Q4</v>
          </cell>
        </row>
      </sheetData>
      <sheetData sheetId="7" refreshError="1">
        <row r="1">
          <cell r="A1" t="str">
            <v>AT&amp;T, Inc.</v>
          </cell>
          <cell r="CX1" t="str">
            <v>ElementName</v>
          </cell>
          <cell r="CY1" t="str">
            <v>ScaleOverride</v>
          </cell>
          <cell r="CZ1" t="str">
            <v>UnitOverride</v>
          </cell>
          <cell r="DA1" t="str">
            <v>ReverseSign</v>
          </cell>
          <cell r="DB1" t="str">
            <v>IsDrivingAssumption</v>
          </cell>
          <cell r="DC1" t="str">
            <v>SegmentID</v>
          </cell>
        </row>
        <row r="2">
          <cell r="A2" t="str">
            <v>Morgan Stanley Research</v>
          </cell>
        </row>
        <row r="3">
          <cell r="A3" t="str">
            <v>Simon Flannery 212-761-6432</v>
          </cell>
        </row>
        <row r="5">
          <cell r="N5" t="str">
            <v>Includes directory biz through 5/8/12</v>
          </cell>
          <cell r="BQ5" t="str">
            <v>Includes Directory Business through 5/8/12</v>
          </cell>
        </row>
        <row r="6">
          <cell r="C6">
            <v>2001</v>
          </cell>
          <cell r="D6">
            <v>2002</v>
          </cell>
          <cell r="E6">
            <v>2003</v>
          </cell>
          <cell r="F6">
            <v>2004</v>
          </cell>
          <cell r="G6">
            <v>2005</v>
          </cell>
          <cell r="H6">
            <v>2006</v>
          </cell>
          <cell r="I6">
            <v>2007</v>
          </cell>
          <cell r="J6">
            <v>2008</v>
          </cell>
          <cell r="K6">
            <v>2009</v>
          </cell>
          <cell r="L6">
            <v>2010</v>
          </cell>
          <cell r="M6">
            <v>2011</v>
          </cell>
          <cell r="N6">
            <v>2012</v>
          </cell>
          <cell r="O6">
            <v>2013</v>
          </cell>
          <cell r="P6">
            <v>2014</v>
          </cell>
          <cell r="Q6">
            <v>2015</v>
          </cell>
          <cell r="R6">
            <v>2016</v>
          </cell>
          <cell r="S6">
            <v>2017</v>
          </cell>
          <cell r="T6">
            <v>2018</v>
          </cell>
          <cell r="V6" t="str">
            <v>1Q01</v>
          </cell>
          <cell r="W6" t="str">
            <v>2Q01</v>
          </cell>
          <cell r="X6" t="str">
            <v>3Q01</v>
          </cell>
          <cell r="Y6" t="str">
            <v>4Q01</v>
          </cell>
          <cell r="Z6" t="str">
            <v>1Q02</v>
          </cell>
          <cell r="AA6" t="str">
            <v>2Q02</v>
          </cell>
          <cell r="AB6" t="str">
            <v>3Q02</v>
          </cell>
          <cell r="AC6" t="str">
            <v>4Q02</v>
          </cell>
          <cell r="AD6" t="str">
            <v>1Q03</v>
          </cell>
          <cell r="AE6" t="str">
            <v>2Q03</v>
          </cell>
          <cell r="AF6" t="str">
            <v>3Q03</v>
          </cell>
          <cell r="AG6" t="str">
            <v>4Q03</v>
          </cell>
          <cell r="AH6" t="str">
            <v>1Q04</v>
          </cell>
          <cell r="AI6" t="str">
            <v>2Q04</v>
          </cell>
          <cell r="AJ6" t="str">
            <v>3Q04</v>
          </cell>
          <cell r="AK6" t="str">
            <v>4Q04</v>
          </cell>
          <cell r="AL6" t="str">
            <v>1Q05</v>
          </cell>
          <cell r="AM6" t="str">
            <v>2Q05</v>
          </cell>
          <cell r="AN6" t="str">
            <v>3Q05</v>
          </cell>
          <cell r="AO6" t="str">
            <v>4Q05</v>
          </cell>
          <cell r="AP6" t="str">
            <v>1Q06</v>
          </cell>
          <cell r="AQ6" t="str">
            <v>2Q06</v>
          </cell>
          <cell r="AR6" t="str">
            <v>3Q06</v>
          </cell>
          <cell r="AS6" t="str">
            <v>4Q06</v>
          </cell>
          <cell r="AT6" t="str">
            <v>1Q07</v>
          </cell>
          <cell r="AU6" t="str">
            <v>2Q07</v>
          </cell>
          <cell r="AV6" t="str">
            <v>3Q07</v>
          </cell>
          <cell r="AW6" t="str">
            <v>4Q07</v>
          </cell>
          <cell r="AX6" t="str">
            <v>1Q08</v>
          </cell>
          <cell r="AY6" t="str">
            <v>2Q08</v>
          </cell>
          <cell r="AZ6" t="str">
            <v>3Q08</v>
          </cell>
          <cell r="BA6" t="str">
            <v>4Q08</v>
          </cell>
          <cell r="BB6" t="str">
            <v>1Q09</v>
          </cell>
          <cell r="BC6" t="str">
            <v>2Q09</v>
          </cell>
          <cell r="BD6" t="str">
            <v>3Q09</v>
          </cell>
          <cell r="BE6" t="str">
            <v>4Q09</v>
          </cell>
          <cell r="BF6" t="str">
            <v>1Q10</v>
          </cell>
          <cell r="BG6" t="str">
            <v>2Q10</v>
          </cell>
          <cell r="BH6" t="str">
            <v>3Q10</v>
          </cell>
          <cell r="BI6" t="str">
            <v>4Q10</v>
          </cell>
          <cell r="BJ6" t="str">
            <v>1Q11</v>
          </cell>
          <cell r="BK6" t="str">
            <v>2Q11</v>
          </cell>
          <cell r="BL6" t="str">
            <v>3Q11</v>
          </cell>
          <cell r="BM6" t="str">
            <v>4Q11</v>
          </cell>
          <cell r="BN6" t="str">
            <v>1Q12</v>
          </cell>
          <cell r="BO6" t="str">
            <v>2Q12</v>
          </cell>
          <cell r="BP6" t="str">
            <v>3Q12</v>
          </cell>
          <cell r="BQ6" t="str">
            <v>4Q12E</v>
          </cell>
          <cell r="BR6" t="str">
            <v>1Q13E</v>
          </cell>
          <cell r="BS6" t="str">
            <v>2Q13E</v>
          </cell>
          <cell r="BT6" t="str">
            <v>3Q13E</v>
          </cell>
          <cell r="BU6" t="str">
            <v>4Q13E</v>
          </cell>
        </row>
        <row r="7">
          <cell r="A7" t="str">
            <v>EPS (at right as reported for AT&amp;T acquisition)</v>
          </cell>
          <cell r="D7">
            <v>0</v>
          </cell>
          <cell r="E7">
            <v>0</v>
          </cell>
          <cell r="F7">
            <v>0</v>
          </cell>
          <cell r="G7">
            <v>0</v>
          </cell>
          <cell r="H7">
            <v>0</v>
          </cell>
          <cell r="I7">
            <v>1.9358595037684874</v>
          </cell>
          <cell r="J7">
            <v>2.3660630978352075</v>
          </cell>
          <cell r="K7">
            <v>2.0836572587459861</v>
          </cell>
          <cell r="L7">
            <v>2.2973336143308747</v>
          </cell>
          <cell r="M7">
            <v>2.2046693294092914</v>
          </cell>
          <cell r="N7">
            <v>2.395647456290142</v>
          </cell>
          <cell r="O7">
            <v>2.5261646022986359</v>
          </cell>
          <cell r="P7">
            <v>2.6073980664195426</v>
          </cell>
          <cell r="Q7">
            <v>2.7002713845811726</v>
          </cell>
          <cell r="R7">
            <v>2.9386847755783063</v>
          </cell>
          <cell r="S7">
            <v>3.1870376228522521</v>
          </cell>
          <cell r="T7">
            <v>3.2698236540371659</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0.45770826683689758</v>
          </cell>
          <cell r="AU7">
            <v>0.46876513317191282</v>
          </cell>
          <cell r="AV7">
            <v>0.49975526186979929</v>
          </cell>
          <cell r="AW7">
            <v>0.51452009844134539</v>
          </cell>
          <cell r="AX7">
            <v>0.62466766119675121</v>
          </cell>
          <cell r="AY7">
            <v>0.64424689701442472</v>
          </cell>
          <cell r="AZ7">
            <v>0.56358723188650561</v>
          </cell>
          <cell r="BA7">
            <v>0.53255912162162178</v>
          </cell>
          <cell r="BB7">
            <v>0.52137042062415195</v>
          </cell>
          <cell r="BC7">
            <v>0.53351342225223708</v>
          </cell>
          <cell r="BD7">
            <v>0.53157716987504222</v>
          </cell>
          <cell r="BE7">
            <v>0.49721612957651423</v>
          </cell>
          <cell r="BF7">
            <v>0.58146588037068236</v>
          </cell>
          <cell r="BG7">
            <v>0.6048509348155634</v>
          </cell>
          <cell r="BH7">
            <v>0.54328056584708662</v>
          </cell>
          <cell r="BI7">
            <v>0.56771935756551151</v>
          </cell>
          <cell r="BJ7">
            <v>0.57325483599663585</v>
          </cell>
          <cell r="BK7">
            <v>0.60322526457248449</v>
          </cell>
          <cell r="BL7">
            <v>0.60849848841115217</v>
          </cell>
          <cell r="BM7">
            <v>0.41926765548626327</v>
          </cell>
          <cell r="BN7">
            <v>0.60336700336700333</v>
          </cell>
          <cell r="BO7">
            <v>0.6640571817562968</v>
          </cell>
          <cell r="BP7">
            <v>0.62758977900552482</v>
          </cell>
          <cell r="BQ7">
            <v>0.49749111712897803</v>
          </cell>
          <cell r="BR7">
            <v>0.63973682777432805</v>
          </cell>
          <cell r="BS7">
            <v>0.70214995064314745</v>
          </cell>
          <cell r="BT7">
            <v>0.69138690040090633</v>
          </cell>
          <cell r="BU7">
            <v>0.49021155592251925</v>
          </cell>
        </row>
        <row r="8">
          <cell r="A8" t="str">
            <v>% y/y growth</v>
          </cell>
          <cell r="E8" t="e">
            <v>#DIV/0!</v>
          </cell>
          <cell r="F8" t="e">
            <v>#DIV/0!</v>
          </cell>
          <cell r="G8" t="e">
            <v>#DIV/0!</v>
          </cell>
          <cell r="H8">
            <v>0.34302325581395343</v>
          </cell>
          <cell r="I8">
            <v>0</v>
          </cell>
          <cell r="J8">
            <v>0.22222872746149913</v>
          </cell>
          <cell r="K8">
            <v>-0.11935685035094978</v>
          </cell>
          <cell r="L8">
            <v>0.10254870597743415</v>
          </cell>
          <cell r="M8">
            <v>-4.0335580493637946E-2</v>
          </cell>
          <cell r="N8">
            <v>8.6624385949080285E-2</v>
          </cell>
          <cell r="O8">
            <v>5.4480948632821935E-2</v>
          </cell>
          <cell r="P8">
            <v>3.2156837304659236E-2</v>
          </cell>
          <cell r="Q8">
            <v>3.5619155877170128E-2</v>
          </cell>
          <cell r="R8">
            <v>8.8292381409697862E-2</v>
          </cell>
          <cell r="S8">
            <v>8.4511564267750527E-2</v>
          </cell>
          <cell r="T8">
            <v>2.5975856259526697E-2</v>
          </cell>
          <cell r="AD8">
            <v>-0.14583333333333337</v>
          </cell>
          <cell r="AE8">
            <v>-0.30508474576271183</v>
          </cell>
          <cell r="AF8">
            <v>-0.26530612244897955</v>
          </cell>
          <cell r="AG8">
            <v>-0.54237288135593209</v>
          </cell>
          <cell r="AH8">
            <v>-0.12195121951219512</v>
          </cell>
          <cell r="AI8">
            <v>-4.8780487804877981E-2</v>
          </cell>
          <cell r="AJ8">
            <v>5.555555555555558E-2</v>
          </cell>
          <cell r="AK8">
            <v>0.2592592592592593</v>
          </cell>
          <cell r="AL8">
            <v>-5.5555555555555469E-2</v>
          </cell>
          <cell r="AM8">
            <v>0.10256410256410242</v>
          </cell>
          <cell r="AN8">
            <v>0.21052631578947367</v>
          </cell>
          <cell r="AO8">
            <v>0.41176470588235281</v>
          </cell>
          <cell r="AP8">
            <v>0.52941176470588225</v>
          </cell>
          <cell r="AQ8">
            <v>0.34883720930232553</v>
          </cell>
          <cell r="AR8">
            <v>0.30434782608695632</v>
          </cell>
          <cell r="AS8">
            <v>0.27083333333333326</v>
          </cell>
          <cell r="AT8">
            <v>0</v>
          </cell>
          <cell r="AU8">
            <v>0</v>
          </cell>
          <cell r="AV8">
            <v>0</v>
          </cell>
          <cell r="AW8">
            <v>0</v>
          </cell>
          <cell r="AX8">
            <v>0.3647725122241432</v>
          </cell>
          <cell r="AY8">
            <v>0.37434901067643289</v>
          </cell>
          <cell r="AZ8">
            <v>0.12772645910296876</v>
          </cell>
          <cell r="BA8">
            <v>3.5059899962941454E-2</v>
          </cell>
          <cell r="BB8">
            <v>-0.16536351565678986</v>
          </cell>
          <cell r="BC8">
            <v>-0.1718804937600007</v>
          </cell>
          <cell r="BD8">
            <v>-5.6796996454862025E-2</v>
          </cell>
          <cell r="BE8">
            <v>-6.636444783349027E-2</v>
          </cell>
          <cell r="BF8">
            <v>0.11526442116640956</v>
          </cell>
          <cell r="BG8">
            <v>0.13371268573182959</v>
          </cell>
          <cell r="BH8">
            <v>2.2016363070662903E-2</v>
          </cell>
          <cell r="BI8">
            <v>0.14179593901960863</v>
          </cell>
          <cell r="BJ8">
            <v>-1.4121283210653757E-2</v>
          </cell>
          <cell r="BK8">
            <v>-2.6877204770703322E-3</v>
          </cell>
          <cell r="BL8">
            <v>0.12004464481879151</v>
          </cell>
          <cell r="BM8">
            <v>-0.26148782862687181</v>
          </cell>
          <cell r="BN8">
            <v>5.2528414030761361E-2</v>
          </cell>
          <cell r="BO8">
            <v>0.10084444527853931</v>
          </cell>
          <cell r="BP8">
            <v>3.1374425669029815E-2</v>
          </cell>
          <cell r="BQ8">
            <v>0.18657165803069597</v>
          </cell>
          <cell r="BR8">
            <v>6.0278112996514643E-2</v>
          </cell>
          <cell r="BS8">
            <v>5.7363687847036049E-2</v>
          </cell>
          <cell r="BT8">
            <v>0.10165417527429166</v>
          </cell>
          <cell r="BU8">
            <v>-1.4632545096421312E-2</v>
          </cell>
        </row>
        <row r="9">
          <cell r="A9" t="str">
            <v>CASH FLOW STATEMENT</v>
          </cell>
          <cell r="C9">
            <v>2001</v>
          </cell>
          <cell r="D9">
            <v>2002</v>
          </cell>
          <cell r="E9">
            <v>2003</v>
          </cell>
          <cell r="F9">
            <v>2004</v>
          </cell>
          <cell r="G9">
            <v>2005</v>
          </cell>
          <cell r="H9">
            <v>2006</v>
          </cell>
          <cell r="I9">
            <v>2007</v>
          </cell>
          <cell r="J9">
            <v>2008</v>
          </cell>
          <cell r="K9">
            <v>2009</v>
          </cell>
          <cell r="L9">
            <v>2010</v>
          </cell>
          <cell r="M9">
            <v>2011</v>
          </cell>
          <cell r="N9">
            <v>2012</v>
          </cell>
          <cell r="O9">
            <v>2013</v>
          </cell>
          <cell r="P9">
            <v>2014</v>
          </cell>
          <cell r="Q9">
            <v>2015</v>
          </cell>
          <cell r="R9">
            <v>2016</v>
          </cell>
          <cell r="S9">
            <v>2017</v>
          </cell>
          <cell r="T9">
            <v>2018</v>
          </cell>
          <cell r="V9" t="str">
            <v>1Q01</v>
          </cell>
          <cell r="W9" t="str">
            <v>2Q01</v>
          </cell>
          <cell r="X9" t="str">
            <v>3Q01</v>
          </cell>
          <cell r="Y9" t="str">
            <v>4Q01</v>
          </cell>
          <cell r="Z9" t="str">
            <v>1Q02</v>
          </cell>
          <cell r="AA9" t="str">
            <v>2Q02</v>
          </cell>
          <cell r="AB9" t="str">
            <v>3Q02</v>
          </cell>
          <cell r="AC9" t="str">
            <v>4Q02</v>
          </cell>
          <cell r="AD9" t="str">
            <v>1Q03</v>
          </cell>
          <cell r="AE9" t="str">
            <v>2Q03</v>
          </cell>
          <cell r="AF9" t="str">
            <v>3Q03</v>
          </cell>
          <cell r="AG9" t="str">
            <v>4Q03</v>
          </cell>
          <cell r="AH9" t="str">
            <v>1Q04</v>
          </cell>
          <cell r="AI9" t="str">
            <v>2Q04</v>
          </cell>
          <cell r="AJ9" t="str">
            <v>3Q04</v>
          </cell>
          <cell r="AK9" t="str">
            <v>4Q04</v>
          </cell>
          <cell r="AL9" t="str">
            <v>1Q05</v>
          </cell>
          <cell r="AM9" t="str">
            <v>2Q05</v>
          </cell>
          <cell r="AN9" t="str">
            <v>3Q05</v>
          </cell>
          <cell r="AO9" t="str">
            <v>4Q05</v>
          </cell>
          <cell r="AP9" t="str">
            <v>1Q06</v>
          </cell>
          <cell r="AQ9" t="str">
            <v>2Q06</v>
          </cell>
          <cell r="AR9" t="str">
            <v>3Q06</v>
          </cell>
          <cell r="AS9" t="str">
            <v>4Q06</v>
          </cell>
          <cell r="AT9" t="str">
            <v>1Q07</v>
          </cell>
          <cell r="AU9" t="str">
            <v>2Q07</v>
          </cell>
          <cell r="AV9" t="str">
            <v>3Q07</v>
          </cell>
          <cell r="AW9" t="str">
            <v>4Q07</v>
          </cell>
          <cell r="AX9" t="str">
            <v>1Q08</v>
          </cell>
          <cell r="AY9" t="str">
            <v>2Q08</v>
          </cell>
          <cell r="AZ9" t="str">
            <v>3Q08</v>
          </cell>
          <cell r="BA9" t="str">
            <v>4Q08</v>
          </cell>
          <cell r="BB9" t="str">
            <v>1Q09</v>
          </cell>
          <cell r="BC9" t="str">
            <v>2Q09</v>
          </cell>
          <cell r="BD9" t="str">
            <v>3Q09</v>
          </cell>
          <cell r="BE9" t="str">
            <v>4Q09</v>
          </cell>
          <cell r="BF9" t="str">
            <v>1Q10</v>
          </cell>
          <cell r="BG9" t="str">
            <v>2Q10</v>
          </cell>
          <cell r="BH9" t="str">
            <v>3Q10</v>
          </cell>
          <cell r="BI9" t="str">
            <v>4Q10</v>
          </cell>
          <cell r="BJ9" t="str">
            <v>1Q11</v>
          </cell>
          <cell r="BK9" t="str">
            <v>2Q11</v>
          </cell>
          <cell r="BL9" t="str">
            <v>3Q11</v>
          </cell>
          <cell r="BM9" t="str">
            <v>4Q11</v>
          </cell>
          <cell r="BN9" t="str">
            <v>1Q12</v>
          </cell>
          <cell r="BO9" t="str">
            <v>2Q12</v>
          </cell>
          <cell r="BP9" t="str">
            <v>3Q12</v>
          </cell>
          <cell r="BQ9" t="str">
            <v>4Q12E</v>
          </cell>
          <cell r="BR9" t="str">
            <v>1Q13E</v>
          </cell>
          <cell r="BS9" t="str">
            <v>2Q13E</v>
          </cell>
          <cell r="BT9" t="str">
            <v>3Q13E</v>
          </cell>
          <cell r="BU9" t="str">
            <v>4Q13E</v>
          </cell>
        </row>
        <row r="10">
          <cell r="A10" t="str">
            <v>Operating Activities</v>
          </cell>
          <cell r="N10" t="str">
            <v>Includes directory biz through 5/8/12</v>
          </cell>
          <cell r="BQ10" t="str">
            <v>Includes Directory Business through 5/8/12</v>
          </cell>
        </row>
        <row r="11">
          <cell r="A11" t="str">
            <v>Net Income</v>
          </cell>
          <cell r="B11">
            <v>7800</v>
          </cell>
          <cell r="C11">
            <v>7008</v>
          </cell>
          <cell r="D11">
            <v>5653</v>
          </cell>
          <cell r="E11">
            <v>8505</v>
          </cell>
          <cell r="F11">
            <v>5045</v>
          </cell>
          <cell r="G11">
            <v>4786</v>
          </cell>
          <cell r="H11">
            <v>7356</v>
          </cell>
          <cell r="I11">
            <v>11951</v>
          </cell>
          <cell r="J11">
            <v>12867</v>
          </cell>
          <cell r="K11">
            <v>12843</v>
          </cell>
          <cell r="L11">
            <v>20179</v>
          </cell>
          <cell r="M11">
            <v>4184</v>
          </cell>
          <cell r="N11">
            <v>14206.267107472693</v>
          </cell>
          <cell r="O11">
            <v>14184.24960063789</v>
          </cell>
          <cell r="P11">
            <v>14633.152645195958</v>
          </cell>
          <cell r="Q11">
            <v>14816.420561844734</v>
          </cell>
          <cell r="R11">
            <v>15925.901061697421</v>
          </cell>
          <cell r="S11">
            <v>17111.128126045835</v>
          </cell>
          <cell r="T11">
            <v>17440.776692176267</v>
          </cell>
          <cell r="AD11">
            <v>5003</v>
          </cell>
          <cell r="AE11">
            <v>1388</v>
          </cell>
          <cell r="AF11">
            <v>1216</v>
          </cell>
          <cell r="AG11">
            <v>898</v>
          </cell>
          <cell r="AH11">
            <v>1948</v>
          </cell>
          <cell r="AI11">
            <v>1157</v>
          </cell>
          <cell r="AJ11">
            <v>2094</v>
          </cell>
          <cell r="AK11">
            <v>-154</v>
          </cell>
          <cell r="AL11">
            <v>885</v>
          </cell>
          <cell r="AM11">
            <v>1000</v>
          </cell>
          <cell r="AN11">
            <v>1246</v>
          </cell>
          <cell r="AO11">
            <v>1655</v>
          </cell>
          <cell r="AP11">
            <v>1445</v>
          </cell>
          <cell r="AQ11">
            <v>1808</v>
          </cell>
          <cell r="AR11">
            <v>2165</v>
          </cell>
          <cell r="AS11">
            <v>1938</v>
          </cell>
          <cell r="AT11">
            <v>2848</v>
          </cell>
          <cell r="AU11">
            <v>2904</v>
          </cell>
          <cell r="AV11">
            <v>3063</v>
          </cell>
          <cell r="AW11">
            <v>3136</v>
          </cell>
          <cell r="AX11">
            <v>3461</v>
          </cell>
          <cell r="AY11">
            <v>3772</v>
          </cell>
          <cell r="AZ11">
            <v>3230</v>
          </cell>
          <cell r="BA11">
            <v>2404</v>
          </cell>
          <cell r="BB11">
            <v>3201</v>
          </cell>
          <cell r="BC11">
            <v>3276</v>
          </cell>
          <cell r="BD11">
            <v>3275</v>
          </cell>
          <cell r="BE11">
            <v>3091</v>
          </cell>
          <cell r="BF11">
            <v>2562</v>
          </cell>
          <cell r="BG11">
            <v>4101</v>
          </cell>
          <cell r="BH11">
            <v>12417</v>
          </cell>
          <cell r="BI11">
            <v>1099</v>
          </cell>
          <cell r="BJ11">
            <v>3468</v>
          </cell>
          <cell r="BK11">
            <v>3658</v>
          </cell>
          <cell r="BL11">
            <v>3686</v>
          </cell>
          <cell r="BM11">
            <v>-6628</v>
          </cell>
          <cell r="BN11">
            <v>3652</v>
          </cell>
          <cell r="BO11">
            <v>3965</v>
          </cell>
          <cell r="BP11">
            <v>3701</v>
          </cell>
          <cell r="BQ11">
            <v>2888.2671074726923</v>
          </cell>
          <cell r="BR11">
            <v>3652.9130023552611</v>
          </cell>
          <cell r="BS11">
            <v>3957.7162550075468</v>
          </cell>
          <cell r="BT11">
            <v>3853.6149795105648</v>
          </cell>
          <cell r="BU11">
            <v>2720.0053637645183</v>
          </cell>
          <cell r="CX11" t="str">
            <v>mstag:netIncomeReported</v>
          </cell>
          <cell r="CY11">
            <v>6</v>
          </cell>
          <cell r="CZ11" t="str">
            <v>ISO4217:USD</v>
          </cell>
          <cell r="DA11" t="b">
            <v>0</v>
          </cell>
          <cell r="DB11" t="b">
            <v>0</v>
          </cell>
        </row>
        <row r="12">
          <cell r="A12" t="str">
            <v>Adjustments</v>
          </cell>
          <cell r="E12">
            <v>0</v>
          </cell>
          <cell r="F12">
            <v>0</v>
          </cell>
          <cell r="G12">
            <v>0</v>
          </cell>
          <cell r="H12">
            <v>0</v>
          </cell>
          <cell r="I12">
            <v>0</v>
          </cell>
          <cell r="CX12" t="str">
            <v>mstag:otherCashFlow</v>
          </cell>
          <cell r="CY12">
            <v>6</v>
          </cell>
          <cell r="CZ12" t="str">
            <v>ISO4217:USD</v>
          </cell>
          <cell r="DA12" t="b">
            <v>0</v>
          </cell>
          <cell r="DB12" t="b">
            <v>0</v>
          </cell>
        </row>
        <row r="13">
          <cell r="A13" t="str">
            <v>Depreciation</v>
          </cell>
          <cell r="B13">
            <v>9748</v>
          </cell>
          <cell r="C13">
            <v>9077</v>
          </cell>
          <cell r="D13">
            <v>8379</v>
          </cell>
          <cell r="E13">
            <v>7667</v>
          </cell>
          <cell r="F13">
            <v>7564</v>
          </cell>
          <cell r="G13">
            <v>7643</v>
          </cell>
          <cell r="H13">
            <v>9907</v>
          </cell>
          <cell r="I13">
            <v>21577</v>
          </cell>
          <cell r="J13">
            <v>19883</v>
          </cell>
          <cell r="K13">
            <v>19714</v>
          </cell>
          <cell r="L13">
            <v>19379</v>
          </cell>
          <cell r="M13">
            <v>18377</v>
          </cell>
          <cell r="N13">
            <v>17858.449836725584</v>
          </cell>
          <cell r="O13">
            <v>17964.492016001375</v>
          </cell>
          <cell r="P13">
            <v>18755.062912681355</v>
          </cell>
          <cell r="Q13">
            <v>19626.570581612479</v>
          </cell>
          <cell r="R13">
            <v>20158.683225518249</v>
          </cell>
          <cell r="S13">
            <v>20351.621725514982</v>
          </cell>
          <cell r="T13">
            <v>20537.378393886545</v>
          </cell>
          <cell r="AD13">
            <v>1945.25</v>
          </cell>
          <cell r="AE13">
            <v>1926.25</v>
          </cell>
          <cell r="AF13">
            <v>1901.25</v>
          </cell>
          <cell r="AG13">
            <v>1894.25</v>
          </cell>
          <cell r="AH13">
            <v>1923</v>
          </cell>
          <cell r="AI13">
            <v>1888</v>
          </cell>
          <cell r="AJ13">
            <v>1889</v>
          </cell>
          <cell r="AK13">
            <v>1864</v>
          </cell>
          <cell r="AL13">
            <v>1825</v>
          </cell>
          <cell r="AM13">
            <v>1809</v>
          </cell>
          <cell r="AN13">
            <v>1803</v>
          </cell>
          <cell r="AO13">
            <v>2206</v>
          </cell>
          <cell r="AP13">
            <v>2492</v>
          </cell>
          <cell r="AQ13">
            <v>2486</v>
          </cell>
          <cell r="AR13">
            <v>2437</v>
          </cell>
          <cell r="AS13">
            <v>2492</v>
          </cell>
          <cell r="AT13">
            <v>5616</v>
          </cell>
          <cell r="AU13">
            <v>5416</v>
          </cell>
          <cell r="AV13">
            <v>5322</v>
          </cell>
          <cell r="AW13">
            <v>5223</v>
          </cell>
          <cell r="AX13">
            <v>4903</v>
          </cell>
          <cell r="AY13">
            <v>4958</v>
          </cell>
          <cell r="AZ13">
            <v>4978</v>
          </cell>
          <cell r="BA13">
            <v>5044</v>
          </cell>
          <cell r="BB13">
            <v>4886</v>
          </cell>
          <cell r="BC13">
            <v>4903</v>
          </cell>
          <cell r="BD13">
            <v>4910</v>
          </cell>
          <cell r="BE13">
            <v>5015</v>
          </cell>
          <cell r="BF13">
            <v>4826</v>
          </cell>
          <cell r="BG13">
            <v>4812</v>
          </cell>
          <cell r="BH13">
            <v>4891</v>
          </cell>
          <cell r="BI13">
            <v>4850</v>
          </cell>
          <cell r="BJ13">
            <v>4584</v>
          </cell>
          <cell r="BK13">
            <v>4602</v>
          </cell>
          <cell r="BL13">
            <v>4618</v>
          </cell>
          <cell r="BM13">
            <v>4573</v>
          </cell>
          <cell r="BN13">
            <v>4560</v>
          </cell>
          <cell r="BO13">
            <v>4499</v>
          </cell>
          <cell r="BP13">
            <v>4512</v>
          </cell>
          <cell r="BQ13">
            <v>4287.4498367255846</v>
          </cell>
          <cell r="BR13">
            <v>4427.2256122074432</v>
          </cell>
          <cell r="BS13">
            <v>4468.7151173114071</v>
          </cell>
          <cell r="BT13">
            <v>4511.9596733259286</v>
          </cell>
          <cell r="BU13">
            <v>4556.5916131565964</v>
          </cell>
          <cell r="CX13" t="str">
            <v>mstag:depreciation</v>
          </cell>
          <cell r="CY13">
            <v>6</v>
          </cell>
          <cell r="CZ13" t="str">
            <v>ISO4217:USD</v>
          </cell>
          <cell r="DA13" t="b">
            <v>0</v>
          </cell>
          <cell r="DB13" t="b">
            <v>0</v>
          </cell>
        </row>
        <row r="14">
          <cell r="A14" t="str">
            <v>Amortization</v>
          </cell>
          <cell r="D14">
            <v>199</v>
          </cell>
          <cell r="E14">
            <v>203</v>
          </cell>
          <cell r="F14">
            <v>0</v>
          </cell>
          <cell r="G14">
            <v>0</v>
          </cell>
          <cell r="H14">
            <v>0</v>
          </cell>
          <cell r="I14">
            <v>0</v>
          </cell>
          <cell r="J14">
            <v>0</v>
          </cell>
          <cell r="K14">
            <v>0</v>
          </cell>
          <cell r="L14">
            <v>0</v>
          </cell>
          <cell r="M14">
            <v>0</v>
          </cell>
          <cell r="N14">
            <v>228.54263230366493</v>
          </cell>
          <cell r="O14">
            <v>548.50231752879586</v>
          </cell>
          <cell r="P14">
            <v>411.37673814659689</v>
          </cell>
          <cell r="Q14">
            <v>205.68836907329845</v>
          </cell>
          <cell r="R14">
            <v>0</v>
          </cell>
          <cell r="S14">
            <v>0</v>
          </cell>
          <cell r="T14">
            <v>0</v>
          </cell>
          <cell r="AD14">
            <v>50.75</v>
          </cell>
          <cell r="AE14">
            <v>50.75</v>
          </cell>
          <cell r="AF14">
            <v>50.75</v>
          </cell>
          <cell r="AG14">
            <v>50.75</v>
          </cell>
          <cell r="AH14">
            <v>0</v>
          </cell>
          <cell r="AI14">
            <v>0</v>
          </cell>
          <cell r="AL14">
            <v>0</v>
          </cell>
          <cell r="AM14">
            <v>0</v>
          </cell>
          <cell r="AN14">
            <v>0</v>
          </cell>
          <cell r="AO14">
            <v>0</v>
          </cell>
          <cell r="AP14">
            <v>0</v>
          </cell>
          <cell r="AQ14">
            <v>0</v>
          </cell>
          <cell r="AR14">
            <v>0</v>
          </cell>
          <cell r="AS14">
            <v>0</v>
          </cell>
          <cell r="AT14">
            <v>0</v>
          </cell>
          <cell r="AU14">
            <v>0</v>
          </cell>
          <cell r="AV14">
            <v>0</v>
          </cell>
          <cell r="AW14">
            <v>0</v>
          </cell>
          <cell r="BQ14">
            <v>228.54263230366493</v>
          </cell>
          <cell r="BR14">
            <v>137.12557938219896</v>
          </cell>
          <cell r="BS14">
            <v>137.12557938219896</v>
          </cell>
          <cell r="BT14">
            <v>137.12557938219896</v>
          </cell>
          <cell r="BU14">
            <v>137.12557938219896</v>
          </cell>
          <cell r="CX14" t="str">
            <v>mstag:amortizationOfOtherIntangibles</v>
          </cell>
          <cell r="CY14">
            <v>6</v>
          </cell>
          <cell r="CZ14" t="str">
            <v>ISO4217:USD</v>
          </cell>
          <cell r="DA14" t="b">
            <v>0</v>
          </cell>
          <cell r="DB14" t="b">
            <v>0</v>
          </cell>
        </row>
        <row r="15">
          <cell r="A15" t="str">
            <v>Undistributed Earnings from Inv. in Equity Affiliates</v>
          </cell>
          <cell r="B15">
            <v>-521</v>
          </cell>
          <cell r="C15">
            <v>-755</v>
          </cell>
          <cell r="D15">
            <v>-1586</v>
          </cell>
          <cell r="E15">
            <v>-965</v>
          </cell>
          <cell r="F15">
            <v>-647</v>
          </cell>
          <cell r="G15">
            <v>-451</v>
          </cell>
          <cell r="H15">
            <v>-1946</v>
          </cell>
          <cell r="I15">
            <v>-297</v>
          </cell>
          <cell r="J15">
            <v>-654</v>
          </cell>
          <cell r="K15">
            <v>-419</v>
          </cell>
          <cell r="L15">
            <v>-603</v>
          </cell>
          <cell r="M15">
            <v>-623</v>
          </cell>
          <cell r="N15">
            <v>-483</v>
          </cell>
          <cell r="O15">
            <v>0</v>
          </cell>
          <cell r="AD15">
            <v>-345</v>
          </cell>
          <cell r="AE15">
            <v>-248</v>
          </cell>
          <cell r="AF15">
            <v>-320</v>
          </cell>
          <cell r="AG15">
            <v>-52</v>
          </cell>
          <cell r="AH15">
            <v>-496</v>
          </cell>
          <cell r="AI15">
            <v>-175</v>
          </cell>
          <cell r="AJ15">
            <v>-185</v>
          </cell>
          <cell r="AK15">
            <v>209</v>
          </cell>
          <cell r="AL15">
            <v>74</v>
          </cell>
          <cell r="AM15">
            <v>-161</v>
          </cell>
          <cell r="AN15">
            <v>-198</v>
          </cell>
          <cell r="AO15">
            <v>-166</v>
          </cell>
          <cell r="AP15">
            <v>-313</v>
          </cell>
          <cell r="AQ15">
            <v>-439</v>
          </cell>
          <cell r="AR15">
            <v>-607</v>
          </cell>
          <cell r="AS15">
            <v>-587</v>
          </cell>
          <cell r="AT15">
            <v>-156</v>
          </cell>
          <cell r="AU15">
            <v>-188</v>
          </cell>
          <cell r="AV15">
            <v>-90</v>
          </cell>
          <cell r="AW15">
            <v>137</v>
          </cell>
          <cell r="AX15">
            <v>-225</v>
          </cell>
          <cell r="AY15">
            <v>-190</v>
          </cell>
          <cell r="AZ15">
            <v>-157</v>
          </cell>
          <cell r="BA15">
            <v>-82</v>
          </cell>
          <cell r="BC15">
            <v>0</v>
          </cell>
          <cell r="BD15">
            <v>0</v>
          </cell>
          <cell r="BE15">
            <v>-419</v>
          </cell>
          <cell r="BF15">
            <v>-201</v>
          </cell>
          <cell r="BG15">
            <v>-177</v>
          </cell>
          <cell r="BH15">
            <v>-153</v>
          </cell>
          <cell r="BI15">
            <v>-72</v>
          </cell>
          <cell r="BJ15">
            <v>-233</v>
          </cell>
          <cell r="BK15">
            <v>-184</v>
          </cell>
          <cell r="BL15">
            <v>-122</v>
          </cell>
          <cell r="BM15">
            <v>-84</v>
          </cell>
          <cell r="BN15">
            <v>-223</v>
          </cell>
          <cell r="BO15">
            <v>-132</v>
          </cell>
          <cell r="BP15">
            <v>-128</v>
          </cell>
          <cell r="CX15" t="str">
            <v>mstag:incomeLossFromInvestmentsAccountedForUnderTheEquityMethodOperating</v>
          </cell>
          <cell r="CY15">
            <v>6</v>
          </cell>
          <cell r="CZ15" t="str">
            <v>ISO4217:USD</v>
          </cell>
          <cell r="DA15" t="b">
            <v>1</v>
          </cell>
          <cell r="DB15" t="b">
            <v>0</v>
          </cell>
        </row>
        <row r="16">
          <cell r="A16" t="str">
            <v>Provision for Uncollectible Accounts</v>
          </cell>
          <cell r="B16">
            <v>885</v>
          </cell>
          <cell r="C16">
            <v>1384</v>
          </cell>
          <cell r="D16">
            <v>1407</v>
          </cell>
          <cell r="E16">
            <v>869</v>
          </cell>
          <cell r="F16">
            <v>761</v>
          </cell>
          <cell r="G16">
            <v>744</v>
          </cell>
          <cell r="H16">
            <v>586</v>
          </cell>
          <cell r="I16">
            <v>1617</v>
          </cell>
          <cell r="J16">
            <v>1796</v>
          </cell>
          <cell r="K16">
            <v>1763</v>
          </cell>
          <cell r="L16">
            <v>1334</v>
          </cell>
          <cell r="M16">
            <v>1136</v>
          </cell>
          <cell r="N16">
            <v>1085</v>
          </cell>
          <cell r="O16">
            <v>1000</v>
          </cell>
          <cell r="P16">
            <v>1000</v>
          </cell>
          <cell r="Q16">
            <v>1000</v>
          </cell>
          <cell r="R16">
            <v>1000</v>
          </cell>
          <cell r="S16">
            <v>1000</v>
          </cell>
          <cell r="T16">
            <v>1000</v>
          </cell>
          <cell r="AD16">
            <v>282</v>
          </cell>
          <cell r="AE16">
            <v>294</v>
          </cell>
          <cell r="AF16">
            <v>142</v>
          </cell>
          <cell r="AG16">
            <v>151</v>
          </cell>
          <cell r="AH16">
            <v>236</v>
          </cell>
          <cell r="AI16">
            <v>156</v>
          </cell>
          <cell r="AJ16">
            <v>157</v>
          </cell>
          <cell r="AK16">
            <v>212</v>
          </cell>
          <cell r="AL16">
            <v>239</v>
          </cell>
          <cell r="AM16">
            <v>174</v>
          </cell>
          <cell r="AN16">
            <v>148</v>
          </cell>
          <cell r="AO16">
            <v>183</v>
          </cell>
          <cell r="AP16">
            <v>193</v>
          </cell>
          <cell r="AQ16">
            <v>127</v>
          </cell>
          <cell r="AR16">
            <v>130</v>
          </cell>
          <cell r="AS16">
            <v>136</v>
          </cell>
          <cell r="AT16">
            <v>376</v>
          </cell>
          <cell r="AU16">
            <v>362</v>
          </cell>
          <cell r="AV16">
            <v>404</v>
          </cell>
          <cell r="AW16">
            <v>475</v>
          </cell>
          <cell r="AX16">
            <v>480</v>
          </cell>
          <cell r="AY16">
            <v>380</v>
          </cell>
          <cell r="AZ16">
            <v>437</v>
          </cell>
          <cell r="BA16">
            <v>499</v>
          </cell>
          <cell r="BB16">
            <v>509</v>
          </cell>
          <cell r="BC16">
            <v>467</v>
          </cell>
          <cell r="BD16">
            <v>408</v>
          </cell>
          <cell r="BE16">
            <v>379</v>
          </cell>
          <cell r="BF16">
            <v>350</v>
          </cell>
          <cell r="BG16">
            <v>321</v>
          </cell>
          <cell r="BH16">
            <v>302</v>
          </cell>
          <cell r="BI16">
            <v>361</v>
          </cell>
          <cell r="BJ16">
            <v>292</v>
          </cell>
          <cell r="BK16">
            <v>231</v>
          </cell>
          <cell r="BL16">
            <v>282</v>
          </cell>
          <cell r="BM16">
            <v>331</v>
          </cell>
          <cell r="BN16">
            <v>328</v>
          </cell>
          <cell r="BO16">
            <v>244</v>
          </cell>
          <cell r="BP16">
            <v>263</v>
          </cell>
          <cell r="BQ16">
            <v>250</v>
          </cell>
          <cell r="BR16">
            <v>250</v>
          </cell>
          <cell r="BS16">
            <v>250</v>
          </cell>
          <cell r="BT16">
            <v>250</v>
          </cell>
          <cell r="BU16">
            <v>250</v>
          </cell>
          <cell r="CX16" t="str">
            <v>mstag:netDecreaseInUnbilledReceivables</v>
          </cell>
          <cell r="CY16">
            <v>6</v>
          </cell>
          <cell r="CZ16" t="str">
            <v>ISO4217:USD</v>
          </cell>
          <cell r="DA16" t="b">
            <v>0</v>
          </cell>
          <cell r="DB16" t="b">
            <v>0</v>
          </cell>
        </row>
        <row r="17">
          <cell r="A17" t="str">
            <v>Amortization of Investment Tax Credits</v>
          </cell>
          <cell r="B17">
            <v>-71</v>
          </cell>
          <cell r="C17">
            <v>-44</v>
          </cell>
          <cell r="D17">
            <v>-30</v>
          </cell>
          <cell r="E17">
            <v>-25</v>
          </cell>
          <cell r="F17">
            <v>-32</v>
          </cell>
          <cell r="G17">
            <v>-21</v>
          </cell>
          <cell r="H17">
            <v>-28</v>
          </cell>
          <cell r="I17">
            <v>-31</v>
          </cell>
          <cell r="J17">
            <v>0</v>
          </cell>
          <cell r="AD17">
            <v>-9</v>
          </cell>
          <cell r="AE17">
            <v>-10</v>
          </cell>
          <cell r="AF17">
            <v>-9</v>
          </cell>
          <cell r="AG17">
            <v>3</v>
          </cell>
          <cell r="AH17">
            <v>-8</v>
          </cell>
          <cell r="AI17">
            <v>-7</v>
          </cell>
          <cell r="AJ17">
            <v>-7</v>
          </cell>
          <cell r="AK17">
            <v>-10</v>
          </cell>
          <cell r="AL17">
            <v>-6</v>
          </cell>
          <cell r="AM17">
            <v>-5</v>
          </cell>
          <cell r="AN17">
            <v>-6</v>
          </cell>
          <cell r="AO17">
            <v>-4</v>
          </cell>
          <cell r="AP17">
            <v>-7</v>
          </cell>
          <cell r="AQ17">
            <v>-7</v>
          </cell>
          <cell r="AR17">
            <v>-7</v>
          </cell>
          <cell r="AS17">
            <v>-7</v>
          </cell>
          <cell r="AT17">
            <v>-8</v>
          </cell>
          <cell r="AU17">
            <v>-7</v>
          </cell>
          <cell r="AV17">
            <v>-8</v>
          </cell>
          <cell r="AW17">
            <v>-8</v>
          </cell>
          <cell r="CX17" t="str">
            <v>mstag:deferredTax</v>
          </cell>
          <cell r="CY17">
            <v>6</v>
          </cell>
          <cell r="CZ17" t="str">
            <v>ISO4217:USD</v>
          </cell>
          <cell r="DA17" t="b">
            <v>0</v>
          </cell>
          <cell r="DB17" t="b">
            <v>0</v>
          </cell>
        </row>
        <row r="18">
          <cell r="A18" t="str">
            <v>Deferred Income Tax Expense</v>
          </cell>
          <cell r="B18">
            <v>1059</v>
          </cell>
          <cell r="C18">
            <v>1971</v>
          </cell>
          <cell r="D18">
            <v>2470</v>
          </cell>
          <cell r="E18">
            <v>3444</v>
          </cell>
          <cell r="F18">
            <v>685</v>
          </cell>
          <cell r="G18">
            <v>-658</v>
          </cell>
          <cell r="H18">
            <v>-87</v>
          </cell>
          <cell r="I18">
            <v>-240</v>
          </cell>
          <cell r="J18">
            <v>5889</v>
          </cell>
          <cell r="K18">
            <v>2104</v>
          </cell>
          <cell r="L18">
            <v>-3280</v>
          </cell>
          <cell r="M18">
            <v>2937</v>
          </cell>
          <cell r="N18">
            <v>3282.7999999999993</v>
          </cell>
          <cell r="O18">
            <v>2798.3696999999956</v>
          </cell>
          <cell r="P18">
            <v>-103.30113290000008</v>
          </cell>
          <cell r="Q18">
            <v>60.361364828804653</v>
          </cell>
          <cell r="R18">
            <v>238.00664020345357</v>
          </cell>
          <cell r="S18">
            <v>255.54529532366723</v>
          </cell>
          <cell r="T18">
            <v>275.18173917837703</v>
          </cell>
          <cell r="AD18">
            <v>215</v>
          </cell>
          <cell r="AE18">
            <v>429</v>
          </cell>
          <cell r="AF18">
            <v>466</v>
          </cell>
          <cell r="AG18">
            <v>2334</v>
          </cell>
          <cell r="AH18">
            <v>466</v>
          </cell>
          <cell r="AI18">
            <v>415</v>
          </cell>
          <cell r="AJ18">
            <v>715</v>
          </cell>
          <cell r="AK18">
            <v>-911</v>
          </cell>
          <cell r="AL18">
            <v>-37</v>
          </cell>
          <cell r="AM18">
            <v>-227</v>
          </cell>
          <cell r="AN18">
            <v>-51</v>
          </cell>
          <cell r="AO18">
            <v>-343</v>
          </cell>
          <cell r="AP18">
            <v>66</v>
          </cell>
          <cell r="AQ18">
            <v>-1</v>
          </cell>
          <cell r="AR18">
            <v>-334</v>
          </cell>
          <cell r="AS18">
            <v>182</v>
          </cell>
          <cell r="AT18">
            <v>65</v>
          </cell>
          <cell r="AU18">
            <v>-611</v>
          </cell>
          <cell r="AV18">
            <v>1032</v>
          </cell>
          <cell r="AW18">
            <v>-726</v>
          </cell>
          <cell r="AX18">
            <v>563</v>
          </cell>
          <cell r="AY18">
            <v>821</v>
          </cell>
          <cell r="AZ18">
            <v>2679</v>
          </cell>
          <cell r="BA18">
            <v>1826</v>
          </cell>
          <cell r="BB18">
            <v>126</v>
          </cell>
          <cell r="BC18">
            <v>618</v>
          </cell>
          <cell r="BD18">
            <v>1830</v>
          </cell>
          <cell r="BE18">
            <v>-470</v>
          </cell>
          <cell r="BF18">
            <v>1612</v>
          </cell>
          <cell r="BG18">
            <v>464</v>
          </cell>
          <cell r="BH18">
            <v>-6222</v>
          </cell>
          <cell r="BI18">
            <v>866</v>
          </cell>
          <cell r="BJ18">
            <v>731</v>
          </cell>
          <cell r="BK18">
            <v>2087</v>
          </cell>
          <cell r="BL18">
            <v>2124</v>
          </cell>
          <cell r="BM18">
            <v>-2005</v>
          </cell>
          <cell r="BN18">
            <v>337</v>
          </cell>
          <cell r="BO18">
            <v>-976</v>
          </cell>
          <cell r="BP18">
            <v>4080</v>
          </cell>
          <cell r="BQ18">
            <v>-158.20000000000073</v>
          </cell>
          <cell r="BR18">
            <v>699.59242499999891</v>
          </cell>
          <cell r="BS18">
            <v>699.59242499999891</v>
          </cell>
          <cell r="BT18">
            <v>699.59242499999891</v>
          </cell>
          <cell r="BU18">
            <v>699.59242499999891</v>
          </cell>
          <cell r="CX18" t="str">
            <v>mstag:deferredTax</v>
          </cell>
          <cell r="CY18">
            <v>6</v>
          </cell>
          <cell r="CZ18" t="str">
            <v>ISO4217:USD</v>
          </cell>
          <cell r="DA18" t="b">
            <v>0</v>
          </cell>
          <cell r="DB18" t="b">
            <v>0</v>
          </cell>
        </row>
        <row r="19">
          <cell r="A19" t="str">
            <v>Gain on Sale of Investments</v>
          </cell>
          <cell r="B19">
            <v>-2902</v>
          </cell>
          <cell r="C19">
            <v>-498</v>
          </cell>
          <cell r="D19">
            <v>-794</v>
          </cell>
          <cell r="E19">
            <v>-1775</v>
          </cell>
          <cell r="F19">
            <v>-939</v>
          </cell>
          <cell r="G19">
            <v>-135</v>
          </cell>
          <cell r="H19">
            <v>-10</v>
          </cell>
          <cell r="I19">
            <v>-420</v>
          </cell>
          <cell r="J19">
            <v>517</v>
          </cell>
          <cell r="K19">
            <v>0</v>
          </cell>
          <cell r="L19">
            <v>-802</v>
          </cell>
          <cell r="M19">
            <v>-89</v>
          </cell>
          <cell r="N19">
            <v>-27</v>
          </cell>
          <cell r="O19">
            <v>0</v>
          </cell>
          <cell r="AD19">
            <v>-1574</v>
          </cell>
          <cell r="AE19">
            <v>-73</v>
          </cell>
          <cell r="AF19">
            <v>-31</v>
          </cell>
          <cell r="AG19">
            <v>-97</v>
          </cell>
          <cell r="AH19">
            <v>-889</v>
          </cell>
          <cell r="AI19">
            <v>40</v>
          </cell>
          <cell r="AJ19">
            <v>-51</v>
          </cell>
          <cell r="AK19">
            <v>-39</v>
          </cell>
          <cell r="AL19">
            <v>-66</v>
          </cell>
          <cell r="AM19">
            <v>-9</v>
          </cell>
          <cell r="AN19">
            <v>-29</v>
          </cell>
          <cell r="AO19">
            <v>-31</v>
          </cell>
          <cell r="AP19">
            <v>-8</v>
          </cell>
          <cell r="AQ19">
            <v>-2</v>
          </cell>
          <cell r="AR19">
            <v>0</v>
          </cell>
          <cell r="AS19">
            <v>0</v>
          </cell>
          <cell r="AT19">
            <v>-409</v>
          </cell>
          <cell r="AU19">
            <v>-64</v>
          </cell>
          <cell r="AV19">
            <v>35</v>
          </cell>
          <cell r="AW19">
            <v>18</v>
          </cell>
          <cell r="AX19">
            <v>-46</v>
          </cell>
          <cell r="AY19">
            <v>19</v>
          </cell>
          <cell r="AZ19">
            <v>25</v>
          </cell>
          <cell r="BA19">
            <v>519</v>
          </cell>
          <cell r="BB19">
            <v>82</v>
          </cell>
          <cell r="BC19">
            <v>-8</v>
          </cell>
          <cell r="BD19">
            <v>15</v>
          </cell>
          <cell r="BE19">
            <v>-89</v>
          </cell>
          <cell r="BF19">
            <v>50</v>
          </cell>
          <cell r="BG19">
            <v>-691</v>
          </cell>
          <cell r="BH19">
            <v>-105</v>
          </cell>
          <cell r="BI19">
            <v>-56</v>
          </cell>
          <cell r="BJ19">
            <v>-41</v>
          </cell>
          <cell r="BK19">
            <v>-3</v>
          </cell>
          <cell r="BL19">
            <v>-13</v>
          </cell>
          <cell r="BM19">
            <v>-32</v>
          </cell>
          <cell r="BN19">
            <v>-9</v>
          </cell>
          <cell r="BO19">
            <v>11</v>
          </cell>
          <cell r="BP19">
            <v>-29</v>
          </cell>
          <cell r="BQ19">
            <v>0</v>
          </cell>
          <cell r="BR19">
            <v>0</v>
          </cell>
          <cell r="BS19">
            <v>0</v>
          </cell>
          <cell r="BT19">
            <v>0</v>
          </cell>
          <cell r="BU19">
            <v>0</v>
          </cell>
          <cell r="CX19" t="str">
            <v>mstag:gainsLossesFromSaleOfOperatingAssetsOneTime</v>
          </cell>
          <cell r="CY19">
            <v>6</v>
          </cell>
          <cell r="CZ19" t="str">
            <v>ISO4217:USD</v>
          </cell>
          <cell r="DA19" t="b">
            <v>1</v>
          </cell>
          <cell r="DB19" t="b">
            <v>0</v>
          </cell>
        </row>
        <row r="20">
          <cell r="A20" t="str">
            <v>Extraordinary Item, Net of Tax</v>
          </cell>
          <cell r="B20">
            <v>0</v>
          </cell>
          <cell r="C20">
            <v>18</v>
          </cell>
          <cell r="D20">
            <v>0</v>
          </cell>
          <cell r="E20">
            <v>7</v>
          </cell>
          <cell r="F20">
            <v>0</v>
          </cell>
          <cell r="G20">
            <v>0</v>
          </cell>
          <cell r="H20">
            <v>0</v>
          </cell>
          <cell r="I20">
            <v>0</v>
          </cell>
          <cell r="J20">
            <v>0</v>
          </cell>
          <cell r="AG20">
            <v>7</v>
          </cell>
          <cell r="AK20">
            <v>0</v>
          </cell>
          <cell r="CX20" t="str">
            <v>mstag:restructuringCostsOneTimeCashFlowStatement</v>
          </cell>
          <cell r="CY20">
            <v>6</v>
          </cell>
          <cell r="CZ20" t="str">
            <v>ISO4217:USD</v>
          </cell>
          <cell r="DA20" t="b">
            <v>0</v>
          </cell>
          <cell r="DB20" t="b">
            <v>0</v>
          </cell>
        </row>
        <row r="21">
          <cell r="A21" t="str">
            <v>Cumulative Effect of Accounting Change, Net of Tax</v>
          </cell>
          <cell r="B21">
            <v>0</v>
          </cell>
          <cell r="D21">
            <v>1820</v>
          </cell>
          <cell r="E21">
            <v>-2541</v>
          </cell>
          <cell r="F21">
            <v>0</v>
          </cell>
          <cell r="G21">
            <v>0</v>
          </cell>
          <cell r="H21">
            <v>0</v>
          </cell>
          <cell r="I21">
            <v>0</v>
          </cell>
          <cell r="J21">
            <v>0</v>
          </cell>
          <cell r="AD21">
            <v>-2548</v>
          </cell>
          <cell r="AE21">
            <v>0</v>
          </cell>
          <cell r="AG21">
            <v>7</v>
          </cell>
          <cell r="AH21">
            <v>0</v>
          </cell>
          <cell r="AJ21">
            <v>0</v>
          </cell>
          <cell r="AK21">
            <v>0</v>
          </cell>
          <cell r="CX21" t="str">
            <v>mstag:restructuringCostsOneTimeCashFlowStatement</v>
          </cell>
          <cell r="CY21">
            <v>6</v>
          </cell>
          <cell r="CZ21" t="str">
            <v>ISO4217:USD</v>
          </cell>
          <cell r="DA21" t="b">
            <v>0</v>
          </cell>
          <cell r="DB21" t="b">
            <v>0</v>
          </cell>
        </row>
        <row r="22">
          <cell r="A22" t="str">
            <v>Retirement Funding Benefit</v>
          </cell>
          <cell r="E22">
            <v>-1645</v>
          </cell>
          <cell r="F22">
            <v>-2232</v>
          </cell>
          <cell r="G22">
            <v>0</v>
          </cell>
          <cell r="H22">
            <v>0</v>
          </cell>
          <cell r="I22">
            <v>0</v>
          </cell>
          <cell r="J22">
            <v>0</v>
          </cell>
          <cell r="AE22">
            <v>-445</v>
          </cell>
          <cell r="AF22">
            <v>-500</v>
          </cell>
          <cell r="AG22">
            <v>-700</v>
          </cell>
          <cell r="AH22">
            <v>-232</v>
          </cell>
          <cell r="AI22">
            <v>0</v>
          </cell>
          <cell r="AJ22">
            <v>-2000</v>
          </cell>
          <cell r="AK22">
            <v>0</v>
          </cell>
          <cell r="CX22" t="str">
            <v>mstag:contributionToPensionAndOtherPostRetirementPlanAssets</v>
          </cell>
          <cell r="CY22">
            <v>6</v>
          </cell>
          <cell r="CZ22" t="str">
            <v>ISO4217:USD</v>
          </cell>
          <cell r="DA22" t="b">
            <v>0</v>
          </cell>
          <cell r="DB22" t="b">
            <v>0</v>
          </cell>
        </row>
        <row r="23">
          <cell r="A23" t="str">
            <v>Changes in Operating Assets and Liabilities:</v>
          </cell>
          <cell r="E23">
            <v>0</v>
          </cell>
          <cell r="F23">
            <v>0</v>
          </cell>
          <cell r="G23">
            <v>0</v>
          </cell>
          <cell r="H23">
            <v>0</v>
          </cell>
          <cell r="I23">
            <v>0</v>
          </cell>
          <cell r="J23">
            <v>0</v>
          </cell>
        </row>
        <row r="24">
          <cell r="A24" t="str">
            <v>Accounts Receivable</v>
          </cell>
          <cell r="B24">
            <v>-1892</v>
          </cell>
          <cell r="C24">
            <v>-672</v>
          </cell>
          <cell r="D24">
            <v>-571</v>
          </cell>
          <cell r="E24">
            <v>-154</v>
          </cell>
          <cell r="F24">
            <v>-81</v>
          </cell>
          <cell r="G24">
            <v>-94</v>
          </cell>
          <cell r="H24">
            <v>519</v>
          </cell>
          <cell r="I24">
            <v>-1984</v>
          </cell>
          <cell r="J24">
            <v>-1421</v>
          </cell>
          <cell r="K24">
            <v>-454</v>
          </cell>
          <cell r="L24">
            <v>-99</v>
          </cell>
          <cell r="M24">
            <v>-1133</v>
          </cell>
          <cell r="N24">
            <v>-914.22276503732428</v>
          </cell>
          <cell r="O24">
            <v>-1182.2950882564473</v>
          </cell>
          <cell r="P24">
            <v>-1214.3119918744596</v>
          </cell>
          <cell r="Q24">
            <v>-1240.6024042629979</v>
          </cell>
          <cell r="R24">
            <v>-1240.6133176703224</v>
          </cell>
          <cell r="S24">
            <v>-1227.517308120503</v>
          </cell>
          <cell r="T24">
            <v>-1216.2809216777932</v>
          </cell>
          <cell r="AD24">
            <v>311</v>
          </cell>
          <cell r="AE24">
            <v>162</v>
          </cell>
          <cell r="AF24">
            <v>-438</v>
          </cell>
          <cell r="AG24">
            <v>-189</v>
          </cell>
          <cell r="AH24">
            <v>149</v>
          </cell>
          <cell r="AI24">
            <v>73</v>
          </cell>
          <cell r="AJ24">
            <v>-297</v>
          </cell>
          <cell r="AK24">
            <v>-6</v>
          </cell>
          <cell r="AL24">
            <v>-27</v>
          </cell>
          <cell r="AM24">
            <v>-126</v>
          </cell>
          <cell r="AN24">
            <v>-156</v>
          </cell>
          <cell r="AO24">
            <v>215</v>
          </cell>
          <cell r="AP24">
            <v>509</v>
          </cell>
          <cell r="AQ24">
            <v>36</v>
          </cell>
          <cell r="AR24">
            <v>-296</v>
          </cell>
          <cell r="AS24">
            <v>270</v>
          </cell>
          <cell r="AT24">
            <v>237</v>
          </cell>
          <cell r="AU24">
            <v>-150</v>
          </cell>
          <cell r="AV24">
            <v>-1340</v>
          </cell>
          <cell r="AW24">
            <v>-731</v>
          </cell>
          <cell r="AX24">
            <v>-150</v>
          </cell>
          <cell r="AY24">
            <v>-626</v>
          </cell>
          <cell r="AZ24">
            <v>-821</v>
          </cell>
          <cell r="BA24">
            <v>176</v>
          </cell>
          <cell r="BB24">
            <v>573</v>
          </cell>
          <cell r="BC24">
            <v>-347</v>
          </cell>
          <cell r="BD24">
            <v>-359</v>
          </cell>
          <cell r="BE24">
            <v>-321</v>
          </cell>
          <cell r="BF24">
            <v>461</v>
          </cell>
          <cell r="BG24">
            <v>-67</v>
          </cell>
          <cell r="BH24">
            <v>-128</v>
          </cell>
          <cell r="BI24">
            <v>-365</v>
          </cell>
          <cell r="BJ24">
            <v>72</v>
          </cell>
          <cell r="BK24">
            <v>-593</v>
          </cell>
          <cell r="BL24">
            <v>-52</v>
          </cell>
          <cell r="BM24">
            <v>-560</v>
          </cell>
          <cell r="BN24">
            <v>111</v>
          </cell>
          <cell r="BO24">
            <v>-331</v>
          </cell>
          <cell r="BP24">
            <v>-230</v>
          </cell>
          <cell r="BQ24">
            <v>-464.22276503732428</v>
          </cell>
          <cell r="BR24">
            <v>-64.612453147892666</v>
          </cell>
          <cell r="BS24">
            <v>-357.28257465129172</v>
          </cell>
          <cell r="BT24">
            <v>-366.94781373159094</v>
          </cell>
          <cell r="BU24">
            <v>-393.45224672567201</v>
          </cell>
          <cell r="CX24" t="str">
            <v>mstag:netDecreaseInTradeReceivables</v>
          </cell>
          <cell r="CY24">
            <v>6</v>
          </cell>
          <cell r="CZ24" t="str">
            <v>ISO4217:USD</v>
          </cell>
          <cell r="DA24" t="b">
            <v>0</v>
          </cell>
          <cell r="DB24" t="b">
            <v>0</v>
          </cell>
        </row>
        <row r="25">
          <cell r="A25" t="str">
            <v>Other Current Assets</v>
          </cell>
          <cell r="B25">
            <v>-446</v>
          </cell>
          <cell r="C25">
            <v>-61</v>
          </cell>
          <cell r="D25">
            <v>486</v>
          </cell>
          <cell r="E25">
            <v>-148</v>
          </cell>
          <cell r="F25">
            <v>-102</v>
          </cell>
          <cell r="G25">
            <v>34</v>
          </cell>
          <cell r="H25">
            <v>30</v>
          </cell>
          <cell r="I25">
            <v>-527</v>
          </cell>
          <cell r="J25">
            <v>827</v>
          </cell>
          <cell r="K25">
            <v>-355</v>
          </cell>
          <cell r="L25">
            <v>717</v>
          </cell>
          <cell r="M25">
            <v>-428</v>
          </cell>
          <cell r="N25">
            <v>1431.23338782776</v>
          </cell>
          <cell r="O25">
            <v>-24.886144367274255</v>
          </cell>
          <cell r="P25">
            <v>-31.396521553004277</v>
          </cell>
          <cell r="Q25">
            <v>-32.885581278168729</v>
          </cell>
          <cell r="R25">
            <v>-32.887072924708036</v>
          </cell>
          <cell r="S25">
            <v>-31.097107908399948</v>
          </cell>
          <cell r="T25">
            <v>-29.561316523578171</v>
          </cell>
          <cell r="AD25">
            <v>-126</v>
          </cell>
          <cell r="AE25">
            <v>-87</v>
          </cell>
          <cell r="AF25">
            <v>-77</v>
          </cell>
          <cell r="AG25">
            <v>142</v>
          </cell>
          <cell r="AH25">
            <v>-29</v>
          </cell>
          <cell r="AI25">
            <v>37</v>
          </cell>
          <cell r="AJ25">
            <v>-3</v>
          </cell>
          <cell r="AK25">
            <v>-107</v>
          </cell>
          <cell r="AL25">
            <v>-97</v>
          </cell>
          <cell r="AM25">
            <v>83</v>
          </cell>
          <cell r="AN25">
            <v>-235</v>
          </cell>
          <cell r="AO25">
            <v>283</v>
          </cell>
          <cell r="AP25">
            <v>-189</v>
          </cell>
          <cell r="AQ25">
            <v>105</v>
          </cell>
          <cell r="AR25">
            <v>126</v>
          </cell>
          <cell r="AS25">
            <v>-12</v>
          </cell>
          <cell r="AT25">
            <v>-748</v>
          </cell>
          <cell r="AU25">
            <v>83</v>
          </cell>
          <cell r="AV25">
            <v>4</v>
          </cell>
          <cell r="AW25">
            <v>134</v>
          </cell>
          <cell r="AX25">
            <v>142</v>
          </cell>
          <cell r="AY25">
            <v>132</v>
          </cell>
          <cell r="AZ25">
            <v>342</v>
          </cell>
          <cell r="BA25">
            <v>211</v>
          </cell>
          <cell r="BB25">
            <v>-108</v>
          </cell>
          <cell r="BC25">
            <v>3</v>
          </cell>
          <cell r="BD25">
            <v>-183</v>
          </cell>
          <cell r="BE25">
            <v>-67</v>
          </cell>
          <cell r="BF25">
            <v>88</v>
          </cell>
          <cell r="BG25">
            <v>301</v>
          </cell>
          <cell r="BH25">
            <v>106</v>
          </cell>
          <cell r="BI25">
            <v>222</v>
          </cell>
          <cell r="BJ25">
            <v>708</v>
          </cell>
          <cell r="BK25">
            <v>-604</v>
          </cell>
          <cell r="BL25">
            <v>335</v>
          </cell>
          <cell r="BM25">
            <v>-867</v>
          </cell>
          <cell r="BN25">
            <v>1082</v>
          </cell>
          <cell r="BO25">
            <v>146</v>
          </cell>
          <cell r="BP25">
            <v>231</v>
          </cell>
          <cell r="BQ25">
            <v>-27.766612172240002</v>
          </cell>
          <cell r="BR25">
            <v>25.308313564467198</v>
          </cell>
          <cell r="BS25">
            <v>-14.645757416727974</v>
          </cell>
          <cell r="BT25">
            <v>-15.96521444322866</v>
          </cell>
          <cell r="BU25">
            <v>-19.583486071784819</v>
          </cell>
          <cell r="CX25" t="str">
            <v>mstag:otherCashFlow</v>
          </cell>
          <cell r="CY25">
            <v>6</v>
          </cell>
          <cell r="CZ25" t="str">
            <v>ISO4217:USD</v>
          </cell>
          <cell r="DA25" t="b">
            <v>0</v>
          </cell>
          <cell r="DB25" t="b">
            <v>0</v>
          </cell>
        </row>
        <row r="26">
          <cell r="A26" t="str">
            <v>Accounts Payable and Accrued Liabilities</v>
          </cell>
          <cell r="B26">
            <v>1405</v>
          </cell>
          <cell r="C26">
            <v>-2364</v>
          </cell>
          <cell r="D26">
            <v>-1943</v>
          </cell>
          <cell r="E26">
            <v>521</v>
          </cell>
          <cell r="F26">
            <v>477</v>
          </cell>
          <cell r="G26">
            <v>81</v>
          </cell>
          <cell r="H26">
            <v>-2213</v>
          </cell>
          <cell r="I26">
            <v>672</v>
          </cell>
          <cell r="J26">
            <v>-5563</v>
          </cell>
          <cell r="K26">
            <v>2372</v>
          </cell>
          <cell r="L26">
            <v>-2414</v>
          </cell>
          <cell r="M26">
            <v>-383</v>
          </cell>
          <cell r="N26">
            <v>2264.1222509365216</v>
          </cell>
          <cell r="O26">
            <v>348.69447566561212</v>
          </cell>
          <cell r="P26">
            <v>-795.77643520185666</v>
          </cell>
          <cell r="Q26">
            <v>402.88296925038958</v>
          </cell>
          <cell r="R26">
            <v>89.583951565753523</v>
          </cell>
          <cell r="S26">
            <v>133.35544409681097</v>
          </cell>
          <cell r="T26">
            <v>474.40097954542216</v>
          </cell>
          <cell r="AD26">
            <v>-276</v>
          </cell>
          <cell r="AE26">
            <v>1382</v>
          </cell>
          <cell r="AF26">
            <v>617</v>
          </cell>
          <cell r="AG26">
            <v>-1202</v>
          </cell>
          <cell r="AH26">
            <v>-975</v>
          </cell>
          <cell r="AI26">
            <v>-73</v>
          </cell>
          <cell r="AJ26">
            <v>-56</v>
          </cell>
          <cell r="AK26">
            <v>1581</v>
          </cell>
          <cell r="AL26">
            <v>-1469</v>
          </cell>
          <cell r="AM26">
            <v>716</v>
          </cell>
          <cell r="AN26">
            <v>826</v>
          </cell>
          <cell r="AO26">
            <v>8</v>
          </cell>
          <cell r="AP26">
            <v>-2057</v>
          </cell>
          <cell r="AQ26">
            <v>626</v>
          </cell>
          <cell r="AR26">
            <v>-388</v>
          </cell>
          <cell r="AS26">
            <v>-394</v>
          </cell>
          <cell r="AT26">
            <v>-3232</v>
          </cell>
          <cell r="AU26">
            <v>2945</v>
          </cell>
          <cell r="AV26">
            <v>241</v>
          </cell>
          <cell r="AW26">
            <v>718</v>
          </cell>
          <cell r="AX26">
            <v>-4654</v>
          </cell>
          <cell r="AY26">
            <v>-463</v>
          </cell>
          <cell r="AZ26">
            <v>-841</v>
          </cell>
          <cell r="BA26">
            <v>395</v>
          </cell>
          <cell r="BB26">
            <v>-1347</v>
          </cell>
          <cell r="BC26">
            <v>460</v>
          </cell>
          <cell r="BD26">
            <v>526</v>
          </cell>
          <cell r="BE26">
            <v>2733</v>
          </cell>
          <cell r="BF26">
            <v>-2084</v>
          </cell>
          <cell r="BG26">
            <v>-979</v>
          </cell>
          <cell r="BH26">
            <v>202</v>
          </cell>
          <cell r="BI26">
            <v>447</v>
          </cell>
          <cell r="BJ26">
            <v>-1309</v>
          </cell>
          <cell r="BK26">
            <v>176</v>
          </cell>
          <cell r="BL26">
            <v>-497</v>
          </cell>
          <cell r="BM26">
            <v>1247</v>
          </cell>
          <cell r="BN26">
            <v>-1573</v>
          </cell>
          <cell r="BO26">
            <v>2014</v>
          </cell>
          <cell r="BP26">
            <v>-54</v>
          </cell>
          <cell r="BQ26">
            <v>1877.1222509365216</v>
          </cell>
          <cell r="BR26">
            <v>-2241.1660617891939</v>
          </cell>
          <cell r="BS26">
            <v>-294.92080809973777</v>
          </cell>
          <cell r="BT26">
            <v>476.65294183266087</v>
          </cell>
          <cell r="BU26">
            <v>2408.1284037218829</v>
          </cell>
          <cell r="CX26" t="str">
            <v>mstag:netIncreaseInTradeAndOtherPayables</v>
          </cell>
          <cell r="CY26">
            <v>6</v>
          </cell>
          <cell r="CZ26" t="str">
            <v>ISO4217:USD</v>
          </cell>
          <cell r="DA26" t="b">
            <v>0</v>
          </cell>
          <cell r="DB26" t="b">
            <v>0</v>
          </cell>
        </row>
        <row r="27">
          <cell r="A27" t="str">
            <v>Other – Net</v>
          </cell>
          <cell r="B27">
            <v>-999</v>
          </cell>
          <cell r="C27">
            <v>-259</v>
          </cell>
          <cell r="D27">
            <v>-280</v>
          </cell>
          <cell r="E27">
            <v>-446</v>
          </cell>
          <cell r="F27">
            <v>156</v>
          </cell>
          <cell r="G27">
            <v>1045</v>
          </cell>
          <cell r="H27">
            <v>1501</v>
          </cell>
          <cell r="I27">
            <v>1754</v>
          </cell>
          <cell r="J27">
            <v>-485</v>
          </cell>
          <cell r="K27">
            <v>-3123</v>
          </cell>
          <cell r="L27">
            <v>582</v>
          </cell>
          <cell r="M27">
            <v>10670</v>
          </cell>
          <cell r="N27">
            <v>-797.34999999999991</v>
          </cell>
          <cell r="O27">
            <v>-2389.7420000000043</v>
          </cell>
          <cell r="P27">
            <v>285.74609399999645</v>
          </cell>
          <cell r="Q27">
            <v>-181.86104236800566</v>
          </cell>
          <cell r="R27">
            <v>-689.41897200987114</v>
          </cell>
          <cell r="S27">
            <v>-739.5294152104816</v>
          </cell>
          <cell r="T27">
            <v>-795.63354050964881</v>
          </cell>
          <cell r="AD27">
            <v>-294</v>
          </cell>
          <cell r="AE27">
            <v>-597</v>
          </cell>
          <cell r="AF27">
            <v>258</v>
          </cell>
          <cell r="AG27">
            <v>187</v>
          </cell>
          <cell r="AH27">
            <v>-49</v>
          </cell>
          <cell r="AI27">
            <v>236</v>
          </cell>
          <cell r="AJ27">
            <v>-512</v>
          </cell>
          <cell r="AK27">
            <v>481</v>
          </cell>
          <cell r="AL27">
            <v>-65</v>
          </cell>
          <cell r="AM27">
            <v>530</v>
          </cell>
          <cell r="AN27">
            <v>-5</v>
          </cell>
          <cell r="AO27">
            <v>585</v>
          </cell>
          <cell r="AP27">
            <v>327</v>
          </cell>
          <cell r="AQ27">
            <v>-44</v>
          </cell>
          <cell r="AR27">
            <v>214</v>
          </cell>
          <cell r="AS27">
            <v>1004</v>
          </cell>
          <cell r="AT27">
            <v>24</v>
          </cell>
          <cell r="AU27">
            <v>-302</v>
          </cell>
          <cell r="AV27">
            <v>556</v>
          </cell>
          <cell r="AW27">
            <v>1476</v>
          </cell>
          <cell r="AX27">
            <v>483</v>
          </cell>
          <cell r="AY27">
            <v>-255</v>
          </cell>
          <cell r="AZ27">
            <v>-604</v>
          </cell>
          <cell r="BA27">
            <v>-109</v>
          </cell>
          <cell r="BB27">
            <v>-7</v>
          </cell>
          <cell r="BC27">
            <v>-1485</v>
          </cell>
          <cell r="BD27">
            <v>-743</v>
          </cell>
          <cell r="BE27">
            <v>-888</v>
          </cell>
          <cell r="BF27">
            <v>-411</v>
          </cell>
          <cell r="BG27">
            <v>472</v>
          </cell>
          <cell r="BH27">
            <v>-1770</v>
          </cell>
          <cell r="BI27">
            <v>2291</v>
          </cell>
          <cell r="BJ27">
            <v>-540</v>
          </cell>
          <cell r="BK27">
            <v>-345</v>
          </cell>
          <cell r="BL27">
            <v>32</v>
          </cell>
          <cell r="BM27">
            <v>11523</v>
          </cell>
          <cell r="BN27">
            <v>-469</v>
          </cell>
          <cell r="BO27">
            <v>223</v>
          </cell>
          <cell r="BP27">
            <v>-861</v>
          </cell>
          <cell r="BQ27">
            <v>309.65000000000009</v>
          </cell>
          <cell r="BR27">
            <v>-597.43550000000096</v>
          </cell>
          <cell r="BS27">
            <v>-597.4355000000005</v>
          </cell>
          <cell r="BT27">
            <v>-597.43550000000141</v>
          </cell>
          <cell r="BU27">
            <v>-597.43550000000141</v>
          </cell>
          <cell r="CX27" t="str">
            <v>mstag:otherCashFlow</v>
          </cell>
          <cell r="CY27">
            <v>6</v>
          </cell>
          <cell r="CZ27" t="str">
            <v>ISO4217:USD</v>
          </cell>
          <cell r="DA27" t="b">
            <v>0</v>
          </cell>
          <cell r="DB27" t="b">
            <v>0</v>
          </cell>
        </row>
        <row r="28">
          <cell r="A28" t="str">
            <v>Contribution to Pension and OPEB Plan Assets</v>
          </cell>
          <cell r="F28">
            <v>0</v>
          </cell>
          <cell r="G28">
            <v>0</v>
          </cell>
          <cell r="H28">
            <v>0</v>
          </cell>
          <cell r="I28">
            <v>0</v>
          </cell>
          <cell r="J28">
            <v>0</v>
          </cell>
          <cell r="K28">
            <v>0</v>
          </cell>
          <cell r="L28">
            <v>0</v>
          </cell>
          <cell r="M28">
            <v>0</v>
          </cell>
          <cell r="N28">
            <v>0</v>
          </cell>
          <cell r="O28">
            <v>0</v>
          </cell>
          <cell r="CX28" t="str">
            <v>mstag:contributionToPensionAndOtherPostRetirementPlanAssets</v>
          </cell>
          <cell r="CY28">
            <v>6</v>
          </cell>
          <cell r="CZ28" t="str">
            <v>ISO4217:USD</v>
          </cell>
          <cell r="DA28" t="b">
            <v>0</v>
          </cell>
          <cell r="DB28" t="b">
            <v>0</v>
          </cell>
        </row>
        <row r="29">
          <cell r="A29" t="str">
            <v>Total Adjustments</v>
          </cell>
          <cell r="B29">
            <v>6266</v>
          </cell>
          <cell r="C29">
            <v>7797</v>
          </cell>
          <cell r="D29">
            <v>9557</v>
          </cell>
          <cell r="E29">
            <v>5012</v>
          </cell>
          <cell r="F29">
            <v>5610</v>
          </cell>
          <cell r="G29">
            <v>8188</v>
          </cell>
          <cell r="H29">
            <v>8259</v>
          </cell>
          <cell r="I29">
            <v>22121</v>
          </cell>
          <cell r="J29">
            <v>20789</v>
          </cell>
          <cell r="K29">
            <v>21602</v>
          </cell>
          <cell r="L29">
            <v>14814</v>
          </cell>
          <cell r="M29">
            <v>30464</v>
          </cell>
          <cell r="N29">
            <v>23928.575342756209</v>
          </cell>
          <cell r="O29">
            <v>19063.135276572055</v>
          </cell>
          <cell r="P29">
            <v>18307.399663298631</v>
          </cell>
          <cell r="Q29">
            <v>19840.1542568558</v>
          </cell>
          <cell r="R29">
            <v>19523.354454682558</v>
          </cell>
          <cell r="S29">
            <v>19742.378633696077</v>
          </cell>
          <cell r="T29">
            <v>20245.485333899327</v>
          </cell>
          <cell r="AD29">
            <v>-2368</v>
          </cell>
          <cell r="AE29">
            <v>2784</v>
          </cell>
          <cell r="AF29">
            <v>2060</v>
          </cell>
          <cell r="AG29">
            <v>2536</v>
          </cell>
          <cell r="AH29">
            <v>96</v>
          </cell>
          <cell r="AI29">
            <v>2590</v>
          </cell>
          <cell r="AJ29">
            <v>-350</v>
          </cell>
          <cell r="AK29">
            <v>3274</v>
          </cell>
          <cell r="AL29">
            <v>371</v>
          </cell>
          <cell r="AM29">
            <v>2784</v>
          </cell>
          <cell r="AN29">
            <v>2097</v>
          </cell>
          <cell r="AO29">
            <v>2936</v>
          </cell>
          <cell r="AP29">
            <v>1013</v>
          </cell>
          <cell r="AQ29">
            <v>2887</v>
          </cell>
          <cell r="AR29">
            <v>1275</v>
          </cell>
          <cell r="AS29">
            <v>3084</v>
          </cell>
          <cell r="AT29">
            <v>1765</v>
          </cell>
          <cell r="AU29">
            <v>7484</v>
          </cell>
          <cell r="AV29">
            <v>6156</v>
          </cell>
          <cell r="AW29">
            <v>6716</v>
          </cell>
          <cell r="AX29">
            <v>1496</v>
          </cell>
          <cell r="AY29">
            <v>4776</v>
          </cell>
          <cell r="AZ29">
            <v>6038</v>
          </cell>
          <cell r="BA29">
            <v>8479</v>
          </cell>
          <cell r="BB29">
            <v>4714</v>
          </cell>
          <cell r="BC29">
            <v>4611</v>
          </cell>
          <cell r="BD29">
            <v>6404</v>
          </cell>
          <cell r="BE29">
            <v>5873</v>
          </cell>
          <cell r="BF29">
            <v>4691</v>
          </cell>
          <cell r="BG29">
            <v>4456</v>
          </cell>
          <cell r="BH29">
            <v>-2877</v>
          </cell>
          <cell r="BI29">
            <v>8544</v>
          </cell>
          <cell r="BJ29">
            <v>4264</v>
          </cell>
          <cell r="BK29">
            <v>5367</v>
          </cell>
          <cell r="BL29">
            <v>6707</v>
          </cell>
          <cell r="BM29">
            <v>14126</v>
          </cell>
          <cell r="BN29">
            <v>4144</v>
          </cell>
          <cell r="BO29">
            <v>5698</v>
          </cell>
          <cell r="BP29">
            <v>7784</v>
          </cell>
          <cell r="BQ29">
            <v>6302.5753427562049</v>
          </cell>
          <cell r="BR29">
            <v>2636.0379152170212</v>
          </cell>
          <cell r="BS29">
            <v>4291.1484815258473</v>
          </cell>
          <cell r="BT29">
            <v>5094.9820913659669</v>
          </cell>
          <cell r="BU29">
            <v>7040.966788463219</v>
          </cell>
        </row>
        <row r="31">
          <cell r="A31" t="str">
            <v>Net Cash Provided by Operating Activities</v>
          </cell>
          <cell r="B31">
            <v>14066</v>
          </cell>
          <cell r="C31">
            <v>14805</v>
          </cell>
          <cell r="D31">
            <v>15210</v>
          </cell>
          <cell r="E31">
            <v>13517</v>
          </cell>
          <cell r="F31">
            <v>10655</v>
          </cell>
          <cell r="G31">
            <v>12974</v>
          </cell>
          <cell r="H31">
            <v>15615</v>
          </cell>
          <cell r="I31">
            <v>34072</v>
          </cell>
          <cell r="J31">
            <v>33656</v>
          </cell>
          <cell r="K31">
            <v>34445</v>
          </cell>
          <cell r="L31">
            <v>34993</v>
          </cell>
          <cell r="M31">
            <v>34648</v>
          </cell>
          <cell r="N31">
            <v>38134.842450228898</v>
          </cell>
          <cell r="O31">
            <v>33247.384877209945</v>
          </cell>
          <cell r="P31">
            <v>32940.552308494589</v>
          </cell>
          <cell r="Q31">
            <v>34656.574818700537</v>
          </cell>
          <cell r="R31">
            <v>35449.255516379977</v>
          </cell>
          <cell r="S31">
            <v>36853.506759741911</v>
          </cell>
          <cell r="T31">
            <v>37686.262026075594</v>
          </cell>
          <cell r="AD31">
            <v>2635</v>
          </cell>
          <cell r="AE31">
            <v>4172</v>
          </cell>
          <cell r="AF31">
            <v>3276</v>
          </cell>
          <cell r="AG31">
            <v>3434</v>
          </cell>
          <cell r="AH31">
            <v>2044</v>
          </cell>
          <cell r="AI31">
            <v>3747</v>
          </cell>
          <cell r="AJ31">
            <v>1744</v>
          </cell>
          <cell r="AK31">
            <v>3120</v>
          </cell>
          <cell r="AL31">
            <v>1256</v>
          </cell>
          <cell r="AM31">
            <v>3784</v>
          </cell>
          <cell r="AN31">
            <v>3343</v>
          </cell>
          <cell r="AO31">
            <v>4591</v>
          </cell>
          <cell r="AP31">
            <v>2458</v>
          </cell>
          <cell r="AQ31">
            <v>4695</v>
          </cell>
          <cell r="AR31">
            <v>3440</v>
          </cell>
          <cell r="AS31">
            <v>5022</v>
          </cell>
          <cell r="AT31">
            <v>4613</v>
          </cell>
          <cell r="AU31">
            <v>10388</v>
          </cell>
          <cell r="AV31">
            <v>9219</v>
          </cell>
          <cell r="AW31">
            <v>9852</v>
          </cell>
          <cell r="AX31">
            <v>4957</v>
          </cell>
          <cell r="AY31">
            <v>8548</v>
          </cell>
          <cell r="AZ31">
            <v>9268</v>
          </cell>
          <cell r="BA31">
            <v>10883</v>
          </cell>
          <cell r="BB31">
            <v>7915</v>
          </cell>
          <cell r="BC31">
            <v>7887</v>
          </cell>
          <cell r="BD31">
            <v>9679</v>
          </cell>
          <cell r="BE31">
            <v>8964</v>
          </cell>
          <cell r="BF31">
            <v>7253</v>
          </cell>
          <cell r="BG31">
            <v>8557</v>
          </cell>
          <cell r="BH31">
            <v>9540</v>
          </cell>
          <cell r="BI31">
            <v>9643</v>
          </cell>
          <cell r="BJ31">
            <v>7732</v>
          </cell>
          <cell r="BK31">
            <v>9025</v>
          </cell>
          <cell r="BL31">
            <v>10393</v>
          </cell>
          <cell r="BM31">
            <v>7498</v>
          </cell>
          <cell r="BN31">
            <v>7796</v>
          </cell>
          <cell r="BO31">
            <v>9663</v>
          </cell>
          <cell r="BP31">
            <v>11485</v>
          </cell>
          <cell r="BQ31">
            <v>9190.8424502288981</v>
          </cell>
          <cell r="BR31">
            <v>6288.9509175722824</v>
          </cell>
          <cell r="BS31">
            <v>8248.8647365333945</v>
          </cell>
          <cell r="BT31">
            <v>8948.5970708765308</v>
          </cell>
          <cell r="BU31">
            <v>9760.9721522277378</v>
          </cell>
        </row>
        <row r="32">
          <cell r="BK32">
            <v>3711</v>
          </cell>
        </row>
        <row r="33">
          <cell r="A33" t="str">
            <v>Investing Activities</v>
          </cell>
        </row>
        <row r="34">
          <cell r="A34" t="str">
            <v>Construction and Capital Expenditures</v>
          </cell>
          <cell r="B34">
            <v>-13124</v>
          </cell>
          <cell r="C34">
            <v>-11189</v>
          </cell>
          <cell r="D34">
            <v>-6808</v>
          </cell>
          <cell r="E34">
            <v>-5219</v>
          </cell>
          <cell r="F34">
            <v>-5099</v>
          </cell>
          <cell r="G34">
            <v>-5576</v>
          </cell>
          <cell r="H34">
            <v>-8320</v>
          </cell>
          <cell r="I34">
            <v>-17717</v>
          </cell>
          <cell r="J34">
            <v>-20335</v>
          </cell>
          <cell r="K34">
            <v>-17335</v>
          </cell>
          <cell r="L34">
            <v>-20302</v>
          </cell>
          <cell r="M34">
            <v>-20272</v>
          </cell>
          <cell r="N34">
            <v>-19168.55962335299</v>
          </cell>
          <cell r="O34">
            <v>-21202.006373027765</v>
          </cell>
          <cell r="P34">
            <v>-21533.975925207724</v>
          </cell>
          <cell r="Q34">
            <v>-21777.642675401381</v>
          </cell>
          <cell r="R34">
            <v>-18131.886952957339</v>
          </cell>
          <cell r="S34">
            <v>-18134.467417477132</v>
          </cell>
          <cell r="T34">
            <v>-18206.332772874521</v>
          </cell>
          <cell r="AD34">
            <v>-897</v>
          </cell>
          <cell r="AE34">
            <v>-1072</v>
          </cell>
          <cell r="AF34">
            <v>-1266</v>
          </cell>
          <cell r="AG34">
            <v>-1984</v>
          </cell>
          <cell r="AH34">
            <v>-936</v>
          </cell>
          <cell r="AI34">
            <v>-1202</v>
          </cell>
          <cell r="AJ34">
            <v>-1324</v>
          </cell>
          <cell r="AK34">
            <v>-1637</v>
          </cell>
          <cell r="AL34">
            <v>-1050</v>
          </cell>
          <cell r="AM34">
            <v>-1279</v>
          </cell>
          <cell r="AN34">
            <v>-1414</v>
          </cell>
          <cell r="AO34">
            <v>-1833</v>
          </cell>
          <cell r="AP34">
            <v>-1821</v>
          </cell>
          <cell r="AQ34">
            <v>-2221</v>
          </cell>
          <cell r="AR34">
            <v>-2116</v>
          </cell>
          <cell r="AS34">
            <v>-2162</v>
          </cell>
          <cell r="AT34">
            <v>-3338</v>
          </cell>
          <cell r="AU34">
            <v>-4122</v>
          </cell>
          <cell r="AV34">
            <v>-4664</v>
          </cell>
          <cell r="AW34">
            <v>-5593</v>
          </cell>
          <cell r="AX34">
            <v>-4247</v>
          </cell>
          <cell r="AY34">
            <v>-5330</v>
          </cell>
          <cell r="AZ34">
            <v>-5266</v>
          </cell>
          <cell r="BA34">
            <v>-5492</v>
          </cell>
          <cell r="BB34">
            <v>-3358</v>
          </cell>
          <cell r="BC34">
            <v>-4046</v>
          </cell>
          <cell r="BD34">
            <v>-4216</v>
          </cell>
          <cell r="BE34">
            <v>-5715</v>
          </cell>
          <cell r="BF34">
            <v>-3331</v>
          </cell>
          <cell r="BG34">
            <v>-4904</v>
          </cell>
          <cell r="BH34">
            <v>-5512</v>
          </cell>
          <cell r="BI34">
            <v>-6555</v>
          </cell>
          <cell r="BJ34">
            <v>-4168</v>
          </cell>
          <cell r="BK34">
            <v>-5314</v>
          </cell>
          <cell r="BL34">
            <v>-5262</v>
          </cell>
          <cell r="BM34">
            <v>-5528</v>
          </cell>
          <cell r="BN34">
            <v>-4326</v>
          </cell>
          <cell r="BO34">
            <v>-4546</v>
          </cell>
          <cell r="BP34">
            <v>-4944</v>
          </cell>
          <cell r="BQ34">
            <v>-5352.5596233529905</v>
          </cell>
          <cell r="BR34">
            <v>-5111.1721041866404</v>
          </cell>
          <cell r="BS34">
            <v>-5248.8486519187591</v>
          </cell>
          <cell r="BT34">
            <v>-5373.3015763477288</v>
          </cell>
          <cell r="BU34">
            <v>-5468.6840405746361</v>
          </cell>
          <cell r="CX34" t="str">
            <v>mstag:capitalExpenditures</v>
          </cell>
          <cell r="CY34">
            <v>6</v>
          </cell>
          <cell r="CZ34" t="str">
            <v>ISO4217:USD</v>
          </cell>
          <cell r="DA34" t="b">
            <v>1</v>
          </cell>
          <cell r="DB34" t="b">
            <v>0</v>
          </cell>
        </row>
        <row r="35">
          <cell r="A35" t="str">
            <v>Investments in Affiliates</v>
          </cell>
          <cell r="B35">
            <v>139</v>
          </cell>
          <cell r="C35">
            <v>1482</v>
          </cell>
          <cell r="D35">
            <v>-139</v>
          </cell>
          <cell r="E35">
            <v>0</v>
          </cell>
          <cell r="F35">
            <v>-22660</v>
          </cell>
          <cell r="G35">
            <v>2436</v>
          </cell>
          <cell r="H35">
            <v>-1104</v>
          </cell>
          <cell r="I35">
            <v>0</v>
          </cell>
          <cell r="J35">
            <v>0</v>
          </cell>
          <cell r="K35">
            <v>0</v>
          </cell>
          <cell r="L35">
            <v>0</v>
          </cell>
          <cell r="M35">
            <v>0</v>
          </cell>
          <cell r="N35">
            <v>0</v>
          </cell>
          <cell r="Q35">
            <v>0</v>
          </cell>
          <cell r="R35">
            <v>0</v>
          </cell>
          <cell r="S35">
            <v>0</v>
          </cell>
          <cell r="T35">
            <v>0</v>
          </cell>
          <cell r="AK35">
            <v>-22660</v>
          </cell>
          <cell r="AL35">
            <v>596</v>
          </cell>
          <cell r="AM35">
            <v>583</v>
          </cell>
          <cell r="AN35">
            <v>1424</v>
          </cell>
          <cell r="AO35">
            <v>-167</v>
          </cell>
          <cell r="AP35">
            <v>-699</v>
          </cell>
          <cell r="AQ35">
            <v>-18</v>
          </cell>
          <cell r="AR35">
            <v>84</v>
          </cell>
          <cell r="AS35">
            <v>-471</v>
          </cell>
          <cell r="AT35">
            <v>0</v>
          </cell>
          <cell r="AU35">
            <v>0</v>
          </cell>
          <cell r="AV35">
            <v>0</v>
          </cell>
          <cell r="AW35">
            <v>0</v>
          </cell>
          <cell r="AX35">
            <v>0</v>
          </cell>
          <cell r="AY35">
            <v>0</v>
          </cell>
          <cell r="BN35">
            <v>0</v>
          </cell>
          <cell r="BO35">
            <v>0</v>
          </cell>
          <cell r="BP35">
            <v>0</v>
          </cell>
          <cell r="BQ35">
            <v>0</v>
          </cell>
          <cell r="BR35">
            <v>0</v>
          </cell>
          <cell r="BS35">
            <v>0</v>
          </cell>
          <cell r="BT35">
            <v>0</v>
          </cell>
          <cell r="BU35">
            <v>0</v>
          </cell>
          <cell r="CX35" t="str">
            <v>mstag:proceedsFromDivestituresOfFundsUsedTopurchaseInterestInEquityMethodInvestmentsOperating</v>
          </cell>
          <cell r="CY35">
            <v>6</v>
          </cell>
          <cell r="CZ35" t="str">
            <v>ISO4217:USD</v>
          </cell>
          <cell r="DA35" t="b">
            <v>0</v>
          </cell>
          <cell r="DB35" t="b">
            <v>0</v>
          </cell>
        </row>
        <row r="36">
          <cell r="A36" t="str">
            <v>Purchase of Short-Term Investments</v>
          </cell>
          <cell r="B36">
            <v>-539</v>
          </cell>
          <cell r="C36">
            <v>0</v>
          </cell>
          <cell r="E36">
            <v>-710</v>
          </cell>
          <cell r="F36">
            <v>-135</v>
          </cell>
          <cell r="G36">
            <v>0</v>
          </cell>
          <cell r="H36">
            <v>0</v>
          </cell>
          <cell r="I36">
            <v>0</v>
          </cell>
          <cell r="J36">
            <v>0</v>
          </cell>
          <cell r="L36">
            <v>0</v>
          </cell>
          <cell r="M36">
            <v>0</v>
          </cell>
          <cell r="N36">
            <v>0</v>
          </cell>
          <cell r="AD36">
            <v>-5</v>
          </cell>
          <cell r="AE36">
            <v>-280</v>
          </cell>
          <cell r="AF36">
            <v>-293</v>
          </cell>
          <cell r="AG36">
            <v>-132</v>
          </cell>
          <cell r="AH36">
            <v>-79</v>
          </cell>
          <cell r="AI36">
            <v>-56</v>
          </cell>
          <cell r="AJ36">
            <v>1</v>
          </cell>
          <cell r="AK36">
            <v>-1</v>
          </cell>
          <cell r="CX36" t="str">
            <v>mstag:netDecreaseInInvestmentsNonOperating</v>
          </cell>
          <cell r="CY36">
            <v>6</v>
          </cell>
          <cell r="CZ36" t="str">
            <v>ISO4217:USD</v>
          </cell>
          <cell r="DA36" t="b">
            <v>0</v>
          </cell>
          <cell r="DB36" t="b">
            <v>0</v>
          </cell>
        </row>
        <row r="37">
          <cell r="A37" t="str">
            <v>Proceeds From Short-Term Investments</v>
          </cell>
          <cell r="B37">
            <v>0</v>
          </cell>
          <cell r="C37">
            <v>510</v>
          </cell>
          <cell r="E37">
            <v>248</v>
          </cell>
          <cell r="F37">
            <v>499</v>
          </cell>
          <cell r="G37">
            <v>99</v>
          </cell>
          <cell r="H37">
            <v>0</v>
          </cell>
          <cell r="I37">
            <v>454</v>
          </cell>
          <cell r="J37">
            <v>68</v>
          </cell>
          <cell r="K37">
            <v>55</v>
          </cell>
          <cell r="L37">
            <v>-100</v>
          </cell>
          <cell r="M37">
            <v>62</v>
          </cell>
          <cell r="N37">
            <v>311</v>
          </cell>
          <cell r="AF37">
            <v>164</v>
          </cell>
          <cell r="AG37">
            <v>84</v>
          </cell>
          <cell r="AH37">
            <v>130</v>
          </cell>
          <cell r="AI37">
            <v>107</v>
          </cell>
          <cell r="AJ37">
            <v>156</v>
          </cell>
          <cell r="AK37">
            <v>106</v>
          </cell>
          <cell r="AL37">
            <v>64</v>
          </cell>
          <cell r="AM37">
            <v>34</v>
          </cell>
          <cell r="AN37">
            <v>0</v>
          </cell>
          <cell r="AO37">
            <v>1</v>
          </cell>
          <cell r="AP37">
            <v>0</v>
          </cell>
          <cell r="AQ37">
            <v>3</v>
          </cell>
          <cell r="AR37">
            <v>0</v>
          </cell>
          <cell r="AS37">
            <v>-3</v>
          </cell>
          <cell r="AT37">
            <v>518</v>
          </cell>
          <cell r="AU37">
            <v>-9</v>
          </cell>
          <cell r="AV37">
            <v>75</v>
          </cell>
          <cell r="AW37">
            <v>-130</v>
          </cell>
          <cell r="AX37">
            <v>131</v>
          </cell>
          <cell r="AY37">
            <v>-204</v>
          </cell>
          <cell r="AZ37">
            <v>-30</v>
          </cell>
          <cell r="BA37">
            <v>171</v>
          </cell>
          <cell r="BB37">
            <v>-10</v>
          </cell>
          <cell r="BC37">
            <v>-11</v>
          </cell>
          <cell r="BD37">
            <v>7</v>
          </cell>
          <cell r="BE37">
            <v>69</v>
          </cell>
          <cell r="BF37">
            <v>-20</v>
          </cell>
          <cell r="BG37">
            <v>-525</v>
          </cell>
          <cell r="BH37">
            <v>108</v>
          </cell>
          <cell r="BI37">
            <v>337</v>
          </cell>
          <cell r="BJ37">
            <v>127</v>
          </cell>
          <cell r="BK37">
            <v>-82</v>
          </cell>
          <cell r="BL37">
            <v>0</v>
          </cell>
          <cell r="BM37">
            <v>17</v>
          </cell>
          <cell r="BN37">
            <v>5</v>
          </cell>
          <cell r="BO37">
            <v>119</v>
          </cell>
          <cell r="BP37">
            <v>187</v>
          </cell>
          <cell r="CX37" t="str">
            <v>mstag:netDecreaseInInvestmentsNonOperating</v>
          </cell>
          <cell r="CY37">
            <v>6</v>
          </cell>
          <cell r="CZ37" t="str">
            <v>ISO4217:USD</v>
          </cell>
          <cell r="DA37" t="b">
            <v>0</v>
          </cell>
          <cell r="DB37" t="b">
            <v>0</v>
          </cell>
        </row>
        <row r="38">
          <cell r="A38" t="str">
            <v>Dispositions</v>
          </cell>
          <cell r="B38">
            <v>4476</v>
          </cell>
          <cell r="C38">
            <v>1254</v>
          </cell>
          <cell r="D38">
            <v>4349</v>
          </cell>
          <cell r="E38">
            <v>3020</v>
          </cell>
          <cell r="F38">
            <v>6622</v>
          </cell>
          <cell r="G38">
            <v>526</v>
          </cell>
          <cell r="H38">
            <v>756</v>
          </cell>
          <cell r="I38">
            <v>1594</v>
          </cell>
          <cell r="J38">
            <v>1615</v>
          </cell>
          <cell r="K38">
            <v>287</v>
          </cell>
          <cell r="L38">
            <v>1830</v>
          </cell>
          <cell r="M38">
            <v>1301</v>
          </cell>
          <cell r="N38">
            <v>807</v>
          </cell>
          <cell r="AD38">
            <v>2270</v>
          </cell>
          <cell r="AE38">
            <v>350</v>
          </cell>
          <cell r="AF38">
            <v>235</v>
          </cell>
          <cell r="AG38">
            <v>165</v>
          </cell>
          <cell r="AH38">
            <v>2179</v>
          </cell>
          <cell r="AI38">
            <v>3000</v>
          </cell>
          <cell r="AJ38">
            <v>54</v>
          </cell>
          <cell r="AK38">
            <v>1389</v>
          </cell>
          <cell r="AL38">
            <v>73</v>
          </cell>
          <cell r="AM38">
            <v>13</v>
          </cell>
          <cell r="AN38">
            <v>40</v>
          </cell>
          <cell r="AO38">
            <v>400</v>
          </cell>
          <cell r="AP38">
            <v>27</v>
          </cell>
          <cell r="AQ38">
            <v>28</v>
          </cell>
          <cell r="AR38">
            <v>17</v>
          </cell>
          <cell r="AS38">
            <v>684</v>
          </cell>
          <cell r="AT38">
            <v>209</v>
          </cell>
          <cell r="AU38">
            <v>311</v>
          </cell>
          <cell r="AV38">
            <v>473</v>
          </cell>
          <cell r="AW38">
            <v>601</v>
          </cell>
          <cell r="AX38">
            <v>47</v>
          </cell>
          <cell r="AY38">
            <v>576</v>
          </cell>
          <cell r="AZ38">
            <v>821</v>
          </cell>
          <cell r="BA38">
            <v>171</v>
          </cell>
          <cell r="BB38">
            <v>181</v>
          </cell>
          <cell r="BC38">
            <v>18</v>
          </cell>
          <cell r="BD38">
            <v>6</v>
          </cell>
          <cell r="BE38">
            <v>82</v>
          </cell>
          <cell r="BF38">
            <v>1</v>
          </cell>
          <cell r="BG38">
            <v>13</v>
          </cell>
          <cell r="BH38">
            <v>1807</v>
          </cell>
          <cell r="BI38">
            <v>9</v>
          </cell>
          <cell r="BJ38">
            <v>11</v>
          </cell>
          <cell r="BK38">
            <v>19</v>
          </cell>
          <cell r="BL38">
            <v>46</v>
          </cell>
          <cell r="BM38">
            <v>1225</v>
          </cell>
          <cell r="BN38">
            <v>16</v>
          </cell>
          <cell r="BO38">
            <v>784</v>
          </cell>
          <cell r="BP38">
            <v>7</v>
          </cell>
          <cell r="CX38" t="str">
            <v>mstag:netDisposalsAcquisitions</v>
          </cell>
          <cell r="CY38">
            <v>6</v>
          </cell>
          <cell r="CZ38" t="str">
            <v>ISO4217:USD</v>
          </cell>
          <cell r="DA38" t="b">
            <v>0</v>
          </cell>
          <cell r="DB38" t="b">
            <v>0</v>
          </cell>
        </row>
        <row r="39">
          <cell r="A39" t="str">
            <v xml:space="preserve">  Acquisitions less goodwill (calculated)</v>
          </cell>
          <cell r="B39">
            <v>-5121</v>
          </cell>
          <cell r="C39">
            <v>3132</v>
          </cell>
          <cell r="D39">
            <v>-731</v>
          </cell>
          <cell r="E39">
            <v>-8</v>
          </cell>
          <cell r="F39">
            <v>-60</v>
          </cell>
          <cell r="G39">
            <v>13980</v>
          </cell>
          <cell r="H39">
            <v>-62</v>
          </cell>
          <cell r="I39">
            <v>0</v>
          </cell>
          <cell r="L39">
            <v>0</v>
          </cell>
          <cell r="M39">
            <v>0</v>
          </cell>
          <cell r="N39">
            <v>0</v>
          </cell>
          <cell r="AD39">
            <v>0</v>
          </cell>
          <cell r="AE39">
            <v>0</v>
          </cell>
          <cell r="AF39">
            <v>0</v>
          </cell>
          <cell r="AG39">
            <v>-8</v>
          </cell>
          <cell r="AH39">
            <v>10</v>
          </cell>
          <cell r="AI39">
            <v>-5</v>
          </cell>
          <cell r="AJ39">
            <v>0</v>
          </cell>
          <cell r="AK39">
            <v>-65</v>
          </cell>
          <cell r="AL39">
            <v>-26</v>
          </cell>
          <cell r="AM39">
            <v>1</v>
          </cell>
          <cell r="AN39">
            <v>0</v>
          </cell>
          <cell r="AO39">
            <v>14005</v>
          </cell>
          <cell r="AP39">
            <v>-62</v>
          </cell>
        </row>
        <row r="40">
          <cell r="A40" t="str">
            <v xml:space="preserve">  Premium (Goodwill) on Acquisitions (calculated)</v>
          </cell>
          <cell r="C40">
            <v>-3577</v>
          </cell>
          <cell r="D40">
            <v>0</v>
          </cell>
          <cell r="E40">
            <v>0</v>
          </cell>
          <cell r="F40">
            <v>-14</v>
          </cell>
          <cell r="G40">
            <v>-12476</v>
          </cell>
          <cell r="H40">
            <v>0</v>
          </cell>
          <cell r="I40">
            <v>0</v>
          </cell>
          <cell r="L40">
            <v>0</v>
          </cell>
          <cell r="M40">
            <v>0</v>
          </cell>
          <cell r="N40">
            <v>0</v>
          </cell>
          <cell r="AD40">
            <v>0</v>
          </cell>
          <cell r="AE40">
            <v>0</v>
          </cell>
          <cell r="AF40">
            <v>0</v>
          </cell>
          <cell r="AG40">
            <v>0</v>
          </cell>
          <cell r="AH40">
            <v>-10</v>
          </cell>
          <cell r="AI40">
            <v>-4</v>
          </cell>
          <cell r="AJ40">
            <v>0</v>
          </cell>
          <cell r="AK40">
            <v>0</v>
          </cell>
          <cell r="AL40">
            <v>-143</v>
          </cell>
          <cell r="AM40">
            <v>-1</v>
          </cell>
          <cell r="AN40">
            <v>0</v>
          </cell>
          <cell r="AO40">
            <v>-12332</v>
          </cell>
          <cell r="AP40">
            <v>0</v>
          </cell>
        </row>
        <row r="41">
          <cell r="A41" t="str">
            <v>Acquisitions</v>
          </cell>
          <cell r="B41">
            <v>-5121</v>
          </cell>
          <cell r="C41">
            <v>-445</v>
          </cell>
          <cell r="D41">
            <v>-731</v>
          </cell>
          <cell r="E41">
            <v>-8</v>
          </cell>
          <cell r="F41">
            <v>-74</v>
          </cell>
          <cell r="G41">
            <v>1504</v>
          </cell>
          <cell r="H41">
            <v>368</v>
          </cell>
          <cell r="I41">
            <v>-2873</v>
          </cell>
          <cell r="J41">
            <v>-10972</v>
          </cell>
          <cell r="K41">
            <v>-983</v>
          </cell>
          <cell r="L41">
            <v>-2906</v>
          </cell>
          <cell r="M41">
            <v>-2368</v>
          </cell>
          <cell r="N41">
            <v>-551</v>
          </cell>
          <cell r="AG41">
            <v>-8</v>
          </cell>
          <cell r="AI41">
            <v>-9</v>
          </cell>
          <cell r="AJ41">
            <v>0</v>
          </cell>
          <cell r="AK41">
            <v>-65</v>
          </cell>
          <cell r="AL41">
            <v>-169</v>
          </cell>
          <cell r="AM41">
            <v>0</v>
          </cell>
          <cell r="AN41">
            <v>0</v>
          </cell>
          <cell r="AO41">
            <v>1673</v>
          </cell>
          <cell r="AP41">
            <v>-62</v>
          </cell>
          <cell r="AQ41">
            <v>-53</v>
          </cell>
          <cell r="AR41">
            <v>0</v>
          </cell>
          <cell r="AS41">
            <v>483</v>
          </cell>
          <cell r="AT41">
            <v>-198</v>
          </cell>
          <cell r="AU41">
            <v>-23</v>
          </cell>
          <cell r="AV41">
            <v>-12</v>
          </cell>
          <cell r="AW41">
            <v>-2640</v>
          </cell>
          <cell r="AX41">
            <v>-3662</v>
          </cell>
          <cell r="AY41">
            <v>-6425</v>
          </cell>
          <cell r="AZ41">
            <v>1</v>
          </cell>
          <cell r="BA41">
            <v>-886</v>
          </cell>
          <cell r="BC41">
            <v>-55</v>
          </cell>
          <cell r="BD41">
            <v>-129</v>
          </cell>
          <cell r="BE41">
            <v>-799</v>
          </cell>
          <cell r="BF41">
            <v>-178</v>
          </cell>
          <cell r="BG41">
            <v>-2376</v>
          </cell>
          <cell r="BH41">
            <v>-61</v>
          </cell>
          <cell r="BI41">
            <v>-291</v>
          </cell>
          <cell r="BJ41">
            <v>-54</v>
          </cell>
          <cell r="BK41">
            <v>-8</v>
          </cell>
          <cell r="BL41">
            <v>-368</v>
          </cell>
          <cell r="BM41">
            <v>-1938</v>
          </cell>
          <cell r="BN41">
            <v>-433</v>
          </cell>
          <cell r="BO41">
            <v>-44</v>
          </cell>
          <cell r="BP41">
            <v>-74</v>
          </cell>
          <cell r="CX41" t="str">
            <v>mstag:netDisposalsAcquisitions</v>
          </cell>
          <cell r="CY41">
            <v>6</v>
          </cell>
          <cell r="CZ41" t="str">
            <v>ISO4217:USD</v>
          </cell>
          <cell r="DA41" t="b">
            <v>0</v>
          </cell>
          <cell r="DB41" t="b">
            <v>0</v>
          </cell>
        </row>
        <row r="42">
          <cell r="A42" t="str">
            <v>Other</v>
          </cell>
          <cell r="B42">
            <v>-1</v>
          </cell>
          <cell r="C42">
            <v>1</v>
          </cell>
          <cell r="D42">
            <v>1</v>
          </cell>
          <cell r="E42">
            <v>-436</v>
          </cell>
          <cell r="F42">
            <v>100</v>
          </cell>
          <cell r="G42">
            <v>37</v>
          </cell>
          <cell r="H42">
            <v>7</v>
          </cell>
          <cell r="I42">
            <v>36</v>
          </cell>
          <cell r="J42">
            <v>481</v>
          </cell>
          <cell r="K42">
            <v>51</v>
          </cell>
          <cell r="L42">
            <v>-32</v>
          </cell>
          <cell r="M42">
            <v>27</v>
          </cell>
          <cell r="N42">
            <v>-2</v>
          </cell>
          <cell r="AD42">
            <v>0</v>
          </cell>
          <cell r="AE42">
            <v>0</v>
          </cell>
          <cell r="AF42">
            <v>-436</v>
          </cell>
          <cell r="AG42">
            <v>0</v>
          </cell>
          <cell r="AH42">
            <v>50</v>
          </cell>
          <cell r="AI42">
            <v>0</v>
          </cell>
          <cell r="AJ42">
            <v>50</v>
          </cell>
          <cell r="AK42">
            <v>0</v>
          </cell>
          <cell r="AL42">
            <v>37</v>
          </cell>
          <cell r="AM42">
            <v>0</v>
          </cell>
          <cell r="AN42">
            <v>0</v>
          </cell>
          <cell r="AO42">
            <v>0</v>
          </cell>
          <cell r="AP42">
            <v>0</v>
          </cell>
          <cell r="AQ42">
            <v>4</v>
          </cell>
          <cell r="AR42">
            <v>1</v>
          </cell>
          <cell r="AS42">
            <v>2</v>
          </cell>
          <cell r="AT42">
            <v>7</v>
          </cell>
          <cell r="AU42">
            <v>10</v>
          </cell>
          <cell r="AV42">
            <v>11</v>
          </cell>
          <cell r="AW42">
            <v>8</v>
          </cell>
          <cell r="AX42">
            <v>32</v>
          </cell>
          <cell r="AY42">
            <v>9</v>
          </cell>
          <cell r="AZ42">
            <v>428</v>
          </cell>
          <cell r="BA42">
            <v>12</v>
          </cell>
          <cell r="BB42">
            <v>30</v>
          </cell>
          <cell r="BC42">
            <v>8</v>
          </cell>
          <cell r="BD42">
            <v>6</v>
          </cell>
          <cell r="BE42">
            <v>7</v>
          </cell>
          <cell r="BF42">
            <v>-1</v>
          </cell>
          <cell r="BG42">
            <v>-43</v>
          </cell>
          <cell r="BH42">
            <v>5</v>
          </cell>
          <cell r="BI42">
            <v>7</v>
          </cell>
          <cell r="BJ42">
            <v>9</v>
          </cell>
          <cell r="BK42">
            <v>10</v>
          </cell>
          <cell r="BL42">
            <v>9</v>
          </cell>
          <cell r="BM42">
            <v>-1</v>
          </cell>
          <cell r="BN42">
            <v>1</v>
          </cell>
          <cell r="BO42">
            <v>-1</v>
          </cell>
          <cell r="BP42">
            <v>-2</v>
          </cell>
          <cell r="CX42" t="str">
            <v>mstag:netDecreaseInInvestmentsNonOperating</v>
          </cell>
          <cell r="CY42">
            <v>6</v>
          </cell>
          <cell r="CZ42" t="str">
            <v>ISO4217:USD</v>
          </cell>
          <cell r="DA42" t="b">
            <v>0</v>
          </cell>
          <cell r="DB42" t="b">
            <v>0</v>
          </cell>
        </row>
        <row r="43">
          <cell r="A43" t="str">
            <v>Net Cash Used in Investing Activities</v>
          </cell>
          <cell r="B43">
            <v>-14170</v>
          </cell>
          <cell r="C43">
            <v>-8387</v>
          </cell>
          <cell r="D43">
            <v>-3328</v>
          </cell>
          <cell r="E43">
            <v>-3105</v>
          </cell>
          <cell r="F43">
            <v>-20747</v>
          </cell>
          <cell r="G43">
            <v>-974</v>
          </cell>
          <cell r="H43">
            <v>-8293</v>
          </cell>
          <cell r="I43">
            <v>-18506</v>
          </cell>
          <cell r="J43">
            <v>-29143</v>
          </cell>
          <cell r="K43">
            <v>-17925</v>
          </cell>
          <cell r="L43">
            <v>-21510</v>
          </cell>
          <cell r="M43">
            <v>-21250</v>
          </cell>
          <cell r="N43">
            <v>-18603.55962335299</v>
          </cell>
          <cell r="O43">
            <v>-21202.006373027765</v>
          </cell>
          <cell r="P43">
            <v>-21533.975925207724</v>
          </cell>
          <cell r="Q43">
            <v>-21777.642675401381</v>
          </cell>
          <cell r="R43">
            <v>-18131.886952957339</v>
          </cell>
          <cell r="S43">
            <v>-18134.467417477132</v>
          </cell>
          <cell r="T43">
            <v>-18206.332772874521</v>
          </cell>
          <cell r="AD43">
            <v>1368</v>
          </cell>
          <cell r="AE43">
            <v>-1002</v>
          </cell>
          <cell r="AF43">
            <v>-1596</v>
          </cell>
          <cell r="AG43">
            <v>-1875</v>
          </cell>
          <cell r="AH43">
            <v>1344</v>
          </cell>
          <cell r="AI43">
            <v>1840</v>
          </cell>
          <cell r="AJ43">
            <v>-1063</v>
          </cell>
          <cell r="AK43">
            <v>-22868</v>
          </cell>
          <cell r="AL43">
            <v>-449</v>
          </cell>
          <cell r="AM43">
            <v>-649</v>
          </cell>
          <cell r="AN43">
            <v>50</v>
          </cell>
          <cell r="AO43">
            <v>74</v>
          </cell>
          <cell r="AP43">
            <v>-2555</v>
          </cell>
          <cell r="AQ43">
            <v>-2257</v>
          </cell>
          <cell r="AR43">
            <v>-2014</v>
          </cell>
          <cell r="AS43">
            <v>-1467</v>
          </cell>
          <cell r="AT43">
            <v>-2802</v>
          </cell>
          <cell r="AU43">
            <v>-3833</v>
          </cell>
          <cell r="AV43">
            <v>-4117</v>
          </cell>
          <cell r="AW43">
            <v>-7754</v>
          </cell>
          <cell r="AX43">
            <v>-7699</v>
          </cell>
          <cell r="AY43">
            <v>-11374</v>
          </cell>
          <cell r="AZ43">
            <v>-4046</v>
          </cell>
          <cell r="BA43">
            <v>-6024</v>
          </cell>
          <cell r="BB43">
            <v>-3157</v>
          </cell>
          <cell r="BC43">
            <v>-4086</v>
          </cell>
          <cell r="BD43">
            <v>-4326</v>
          </cell>
          <cell r="BE43">
            <v>-6356</v>
          </cell>
          <cell r="BF43">
            <v>-3529</v>
          </cell>
          <cell r="BG43">
            <v>-7835</v>
          </cell>
          <cell r="BH43">
            <v>-3653</v>
          </cell>
          <cell r="BI43">
            <v>-6493</v>
          </cell>
          <cell r="BJ43">
            <v>-4075</v>
          </cell>
          <cell r="BK43">
            <v>-5375</v>
          </cell>
          <cell r="BL43">
            <v>-5575</v>
          </cell>
          <cell r="BM43">
            <v>-6225</v>
          </cell>
          <cell r="BN43">
            <v>-4737</v>
          </cell>
          <cell r="BO43">
            <v>-3688</v>
          </cell>
          <cell r="BP43">
            <v>-4826</v>
          </cell>
          <cell r="BQ43">
            <v>-5352.5596233529905</v>
          </cell>
          <cell r="BR43">
            <v>-5111.1721041866404</v>
          </cell>
          <cell r="BS43">
            <v>-5248.8486519187591</v>
          </cell>
          <cell r="BT43">
            <v>-5373.3015763477288</v>
          </cell>
          <cell r="BU43">
            <v>-5468.6840405746361</v>
          </cell>
        </row>
        <row r="45">
          <cell r="A45" t="str">
            <v>Financing Activities</v>
          </cell>
        </row>
        <row r="46">
          <cell r="A46" t="str">
            <v>Net Change in ST Borrowings</v>
          </cell>
          <cell r="B46">
            <v>5169</v>
          </cell>
          <cell r="C46">
            <v>-2733</v>
          </cell>
          <cell r="D46">
            <v>-1791</v>
          </cell>
          <cell r="E46">
            <v>-78</v>
          </cell>
          <cell r="F46">
            <v>3398</v>
          </cell>
          <cell r="G46">
            <v>-4119</v>
          </cell>
          <cell r="H46">
            <v>3649</v>
          </cell>
          <cell r="I46">
            <v>-3411</v>
          </cell>
          <cell r="J46">
            <v>2017</v>
          </cell>
          <cell r="K46">
            <v>-3910</v>
          </cell>
          <cell r="L46">
            <v>1592</v>
          </cell>
          <cell r="M46">
            <v>-1625</v>
          </cell>
          <cell r="N46">
            <v>0</v>
          </cell>
          <cell r="O46">
            <v>0</v>
          </cell>
          <cell r="P46">
            <v>0</v>
          </cell>
          <cell r="Q46">
            <v>0</v>
          </cell>
          <cell r="R46">
            <v>0</v>
          </cell>
          <cell r="S46">
            <v>0</v>
          </cell>
          <cell r="T46">
            <v>0</v>
          </cell>
          <cell r="AD46">
            <v>49</v>
          </cell>
          <cell r="AE46">
            <v>-127</v>
          </cell>
          <cell r="AF46">
            <v>1</v>
          </cell>
          <cell r="AG46">
            <v>-1</v>
          </cell>
          <cell r="AH46">
            <v>0</v>
          </cell>
          <cell r="AI46">
            <v>-35</v>
          </cell>
          <cell r="AJ46">
            <v>-575</v>
          </cell>
          <cell r="AK46">
            <v>4008</v>
          </cell>
          <cell r="AL46">
            <v>761</v>
          </cell>
          <cell r="AM46">
            <v>-1643</v>
          </cell>
          <cell r="AN46">
            <v>-774</v>
          </cell>
          <cell r="AO46">
            <v>-2463</v>
          </cell>
          <cell r="AP46">
            <v>1271</v>
          </cell>
          <cell r="AQ46">
            <v>-251</v>
          </cell>
          <cell r="AR46">
            <v>1316</v>
          </cell>
          <cell r="AS46">
            <v>1313</v>
          </cell>
          <cell r="AT46">
            <v>-2989</v>
          </cell>
          <cell r="AU46">
            <v>996</v>
          </cell>
          <cell r="AV46">
            <v>-2286</v>
          </cell>
          <cell r="AW46">
            <v>868</v>
          </cell>
          <cell r="AX46">
            <v>5786</v>
          </cell>
          <cell r="AY46">
            <v>804</v>
          </cell>
          <cell r="AZ46">
            <v>-1402</v>
          </cell>
          <cell r="BA46">
            <v>-3171</v>
          </cell>
          <cell r="BB46">
            <v>-3909</v>
          </cell>
          <cell r="BC46">
            <v>-6</v>
          </cell>
          <cell r="BD46">
            <v>-3</v>
          </cell>
          <cell r="BE46">
            <v>8</v>
          </cell>
          <cell r="BF46">
            <v>323</v>
          </cell>
          <cell r="BG46">
            <v>2957</v>
          </cell>
          <cell r="BH46">
            <v>-3313</v>
          </cell>
          <cell r="BI46">
            <v>1625</v>
          </cell>
          <cell r="BJ46">
            <v>-36</v>
          </cell>
          <cell r="BK46">
            <v>-1567</v>
          </cell>
          <cell r="BL46">
            <v>-17</v>
          </cell>
          <cell r="BM46">
            <v>-5</v>
          </cell>
          <cell r="BN46">
            <v>0</v>
          </cell>
          <cell r="BO46">
            <v>0</v>
          </cell>
          <cell r="BP46">
            <v>0</v>
          </cell>
          <cell r="BQ46">
            <v>0</v>
          </cell>
          <cell r="BR46">
            <v>0</v>
          </cell>
          <cell r="BS46">
            <v>0</v>
          </cell>
          <cell r="BT46">
            <v>0</v>
          </cell>
          <cell r="BU46">
            <v>0</v>
          </cell>
          <cell r="CX46" t="str">
            <v>mstag:proceedsFromIssuanceAndCashUsedToRepayShortTermBorrowings</v>
          </cell>
          <cell r="CY46">
            <v>6</v>
          </cell>
          <cell r="CZ46" t="str">
            <v>ISO4217:USD</v>
          </cell>
          <cell r="DA46" t="b">
            <v>0</v>
          </cell>
          <cell r="DB46" t="b">
            <v>0</v>
          </cell>
        </row>
        <row r="47">
          <cell r="A47" t="str">
            <v>Issuance of Other Short-Term Borrowings</v>
          </cell>
          <cell r="C47">
            <v>7481</v>
          </cell>
          <cell r="D47">
            <v>4618</v>
          </cell>
          <cell r="E47">
            <v>0</v>
          </cell>
          <cell r="F47">
            <v>0</v>
          </cell>
          <cell r="G47">
            <v>0</v>
          </cell>
          <cell r="H47">
            <v>0</v>
          </cell>
          <cell r="I47">
            <v>0</v>
          </cell>
          <cell r="J47">
            <v>0</v>
          </cell>
          <cell r="CX47" t="str">
            <v>mstag:proceedsFromIssuanceAndCashUsedToRepayShortTermBorrowings</v>
          </cell>
          <cell r="CY47">
            <v>6</v>
          </cell>
          <cell r="CZ47" t="str">
            <v>ISO4217:USD</v>
          </cell>
          <cell r="DA47" t="b">
            <v>0</v>
          </cell>
          <cell r="DB47" t="b">
            <v>0</v>
          </cell>
        </row>
        <row r="48">
          <cell r="A48" t="str">
            <v>Repayment of Other Short-Term borrowings</v>
          </cell>
          <cell r="C48">
            <v>-4170</v>
          </cell>
          <cell r="D48">
            <v>-7718</v>
          </cell>
          <cell r="E48">
            <v>-1070</v>
          </cell>
          <cell r="F48">
            <v>0</v>
          </cell>
          <cell r="G48">
            <v>0</v>
          </cell>
          <cell r="H48">
            <v>-2</v>
          </cell>
          <cell r="I48">
            <v>0</v>
          </cell>
          <cell r="J48">
            <v>0</v>
          </cell>
          <cell r="AD48">
            <v>-1070</v>
          </cell>
          <cell r="AE48">
            <v>0</v>
          </cell>
          <cell r="AF48">
            <v>0</v>
          </cell>
          <cell r="AG48">
            <v>0</v>
          </cell>
          <cell r="AH48">
            <v>0</v>
          </cell>
          <cell r="AI48">
            <v>0</v>
          </cell>
          <cell r="AJ48">
            <v>0</v>
          </cell>
          <cell r="AK48">
            <v>0</v>
          </cell>
          <cell r="AP48">
            <v>-2</v>
          </cell>
          <cell r="AQ48">
            <v>-1</v>
          </cell>
          <cell r="AR48">
            <v>0</v>
          </cell>
          <cell r="AS48">
            <v>1</v>
          </cell>
          <cell r="AT48">
            <v>0</v>
          </cell>
          <cell r="AU48">
            <v>0</v>
          </cell>
          <cell r="AV48">
            <v>0</v>
          </cell>
          <cell r="AX48">
            <v>0</v>
          </cell>
          <cell r="BB48">
            <v>0</v>
          </cell>
          <cell r="CX48" t="str">
            <v>mstag:proceedsFromIssuanceAndCashUsedToRepayShortTermBorrowings</v>
          </cell>
          <cell r="CY48">
            <v>6</v>
          </cell>
          <cell r="CZ48" t="str">
            <v>ISO4217:USD</v>
          </cell>
          <cell r="DA48" t="b">
            <v>0</v>
          </cell>
          <cell r="DB48" t="b">
            <v>0</v>
          </cell>
        </row>
        <row r="49">
          <cell r="A49" t="str">
            <v>Issuance of Long-Term Debt</v>
          </cell>
          <cell r="B49">
            <v>1087</v>
          </cell>
          <cell r="C49">
            <v>3732</v>
          </cell>
          <cell r="D49">
            <v>2251</v>
          </cell>
          <cell r="E49">
            <v>0</v>
          </cell>
          <cell r="F49">
            <v>6461</v>
          </cell>
          <cell r="G49">
            <v>1973</v>
          </cell>
          <cell r="H49">
            <v>1491</v>
          </cell>
          <cell r="I49">
            <v>11367</v>
          </cell>
          <cell r="J49">
            <v>12416</v>
          </cell>
          <cell r="K49">
            <v>8161</v>
          </cell>
          <cell r="L49">
            <v>2235</v>
          </cell>
          <cell r="M49">
            <v>7936</v>
          </cell>
          <cell r="N49">
            <v>7935</v>
          </cell>
          <cell r="O49">
            <v>8000</v>
          </cell>
          <cell r="P49">
            <v>4000</v>
          </cell>
          <cell r="Q49">
            <v>2000</v>
          </cell>
          <cell r="AJ49">
            <v>1487</v>
          </cell>
          <cell r="AK49">
            <v>4974</v>
          </cell>
          <cell r="AO49">
            <v>1973</v>
          </cell>
          <cell r="AQ49">
            <v>1491</v>
          </cell>
          <cell r="AR49">
            <v>0</v>
          </cell>
          <cell r="AS49">
            <v>0</v>
          </cell>
          <cell r="AT49">
            <v>5924</v>
          </cell>
          <cell r="AU49">
            <v>0</v>
          </cell>
          <cell r="AV49">
            <v>1974</v>
          </cell>
          <cell r="AW49">
            <v>3469</v>
          </cell>
          <cell r="AX49">
            <v>3972</v>
          </cell>
          <cell r="AY49">
            <v>6952</v>
          </cell>
          <cell r="AZ49">
            <v>0</v>
          </cell>
          <cell r="BA49">
            <v>1492</v>
          </cell>
          <cell r="BB49">
            <v>5450</v>
          </cell>
          <cell r="BC49">
            <v>2711</v>
          </cell>
          <cell r="BD49">
            <v>0</v>
          </cell>
          <cell r="BE49">
            <v>0</v>
          </cell>
          <cell r="BG49">
            <v>0</v>
          </cell>
          <cell r="BH49">
            <v>2235</v>
          </cell>
          <cell r="BI49">
            <v>0</v>
          </cell>
          <cell r="BK49">
            <v>2985</v>
          </cell>
          <cell r="BL49">
            <v>4950</v>
          </cell>
          <cell r="BM49">
            <v>1</v>
          </cell>
          <cell r="BN49">
            <v>2986</v>
          </cell>
          <cell r="BO49">
            <v>3949</v>
          </cell>
          <cell r="BP49">
            <v>0</v>
          </cell>
          <cell r="BQ49">
            <v>1000</v>
          </cell>
          <cell r="BR49">
            <v>2000</v>
          </cell>
          <cell r="BS49">
            <v>2000</v>
          </cell>
          <cell r="BT49">
            <v>2000</v>
          </cell>
          <cell r="BU49">
            <v>2000</v>
          </cell>
          <cell r="CX49" t="str">
            <v>mstag:proceedsFromIssuanceAndCashUsedToRepayLongTermDebt</v>
          </cell>
          <cell r="CY49">
            <v>6</v>
          </cell>
          <cell r="CZ49" t="str">
            <v>ISO4217:USD</v>
          </cell>
          <cell r="DA49" t="b">
            <v>0</v>
          </cell>
          <cell r="DB49" t="b">
            <v>0</v>
          </cell>
        </row>
        <row r="50">
          <cell r="A50" t="str">
            <v>Repayment of Long-Term Debt</v>
          </cell>
          <cell r="B50">
            <v>-1128</v>
          </cell>
          <cell r="C50">
            <v>-4036</v>
          </cell>
          <cell r="D50">
            <v>-1499</v>
          </cell>
          <cell r="E50">
            <v>-3098</v>
          </cell>
          <cell r="F50">
            <v>-881</v>
          </cell>
          <cell r="G50">
            <v>-2682</v>
          </cell>
          <cell r="H50">
            <v>-4242</v>
          </cell>
          <cell r="I50">
            <v>-6772</v>
          </cell>
          <cell r="J50">
            <v>-4010</v>
          </cell>
          <cell r="K50">
            <v>-8654</v>
          </cell>
          <cell r="L50">
            <v>-9294</v>
          </cell>
          <cell r="M50">
            <v>-7574</v>
          </cell>
          <cell r="N50">
            <v>-8042</v>
          </cell>
          <cell r="O50">
            <v>0</v>
          </cell>
          <cell r="P50">
            <v>0</v>
          </cell>
          <cell r="Q50">
            <v>0</v>
          </cell>
          <cell r="R50">
            <v>-4000</v>
          </cell>
          <cell r="S50">
            <v>-2000</v>
          </cell>
          <cell r="T50">
            <v>-1000</v>
          </cell>
          <cell r="AD50">
            <v>-841</v>
          </cell>
          <cell r="AE50">
            <v>-1655</v>
          </cell>
          <cell r="AF50">
            <v>-330</v>
          </cell>
          <cell r="AG50">
            <v>-272</v>
          </cell>
          <cell r="AH50">
            <v>-142</v>
          </cell>
          <cell r="AI50">
            <v>-42</v>
          </cell>
          <cell r="AJ50">
            <v>-439</v>
          </cell>
          <cell r="AK50">
            <v>-258</v>
          </cell>
          <cell r="AL50">
            <v>-572</v>
          </cell>
          <cell r="AM50">
            <v>-465</v>
          </cell>
          <cell r="AN50">
            <v>-1086</v>
          </cell>
          <cell r="AO50">
            <v>-559</v>
          </cell>
          <cell r="AP50">
            <v>-259</v>
          </cell>
          <cell r="AQ50">
            <v>-2281</v>
          </cell>
          <cell r="AR50">
            <v>-342</v>
          </cell>
          <cell r="AS50">
            <v>-1360</v>
          </cell>
          <cell r="AT50">
            <v>-227</v>
          </cell>
          <cell r="AU50">
            <v>-1838</v>
          </cell>
          <cell r="AV50">
            <v>-943</v>
          </cell>
          <cell r="AW50">
            <v>-3764</v>
          </cell>
          <cell r="AX50">
            <v>-613</v>
          </cell>
          <cell r="AY50">
            <v>-992</v>
          </cell>
          <cell r="AZ50">
            <v>-1538</v>
          </cell>
          <cell r="BA50">
            <v>-867</v>
          </cell>
          <cell r="BB50">
            <v>-1261</v>
          </cell>
          <cell r="BC50">
            <v>-776</v>
          </cell>
          <cell r="BD50">
            <v>-4133</v>
          </cell>
          <cell r="BE50">
            <v>-2484</v>
          </cell>
          <cell r="BF50">
            <v>-2512</v>
          </cell>
          <cell r="BG50">
            <v>-2149</v>
          </cell>
          <cell r="BH50">
            <v>-619</v>
          </cell>
          <cell r="BI50">
            <v>-4014</v>
          </cell>
          <cell r="BJ50">
            <v>-1264</v>
          </cell>
          <cell r="BK50">
            <v>-26</v>
          </cell>
          <cell r="BL50">
            <v>-8</v>
          </cell>
          <cell r="BM50">
            <v>-6276</v>
          </cell>
          <cell r="BN50">
            <v>-2204</v>
          </cell>
          <cell r="BO50">
            <v>-4831</v>
          </cell>
          <cell r="BP50">
            <v>-1007</v>
          </cell>
          <cell r="CX50" t="str">
            <v>mstag:proceedsFromIssuanceAndCashUsedToRepayLongTermDebt</v>
          </cell>
          <cell r="CY50">
            <v>6</v>
          </cell>
          <cell r="CZ50" t="str">
            <v>ISO4217:USD</v>
          </cell>
          <cell r="DA50" t="b">
            <v>0</v>
          </cell>
          <cell r="DB50" t="b">
            <v>0</v>
          </cell>
        </row>
        <row r="51">
          <cell r="A51" t="str">
            <v xml:space="preserve">Early Extinguishment of Debt </v>
          </cell>
          <cell r="E51">
            <v>0</v>
          </cell>
          <cell r="F51">
            <v>0</v>
          </cell>
          <cell r="G51">
            <v>0</v>
          </cell>
          <cell r="H51">
            <v>0</v>
          </cell>
          <cell r="I51">
            <v>0</v>
          </cell>
          <cell r="J51">
            <v>0</v>
          </cell>
          <cell r="L51">
            <v>0</v>
          </cell>
          <cell r="M51">
            <v>0</v>
          </cell>
          <cell r="N51">
            <v>0</v>
          </cell>
          <cell r="O51">
            <v>0</v>
          </cell>
          <cell r="CX51" t="str">
            <v>mstag:proceedsFromIssuanceAndCashUsedToRepayLongTermDebt</v>
          </cell>
          <cell r="CY51">
            <v>6</v>
          </cell>
          <cell r="CZ51" t="str">
            <v>ISO4217:USD</v>
          </cell>
          <cell r="DA51" t="b">
            <v>0</v>
          </cell>
          <cell r="DB51" t="b">
            <v>0</v>
          </cell>
        </row>
        <row r="52">
          <cell r="A52" t="str">
            <v>Early Extinguishment of Corporation-Obligated Mandatorily Redeemable Preferred Securities of Subsidiary Trusts</v>
          </cell>
          <cell r="C52">
            <v>-1000</v>
          </cell>
          <cell r="E52">
            <v>0</v>
          </cell>
          <cell r="F52">
            <v>0</v>
          </cell>
          <cell r="G52">
            <v>0</v>
          </cell>
          <cell r="H52">
            <v>0</v>
          </cell>
          <cell r="I52">
            <v>0</v>
          </cell>
          <cell r="J52">
            <v>0</v>
          </cell>
          <cell r="CX52" t="str">
            <v>mstag:redemptionsRetirementsAndRepurchasesOfPreferredStock</v>
          </cell>
          <cell r="CY52">
            <v>6</v>
          </cell>
          <cell r="CZ52" t="str">
            <v>ISO4217:USD</v>
          </cell>
          <cell r="DA52" t="b">
            <v>1</v>
          </cell>
          <cell r="DB52" t="b">
            <v>0</v>
          </cell>
        </row>
        <row r="53">
          <cell r="A53" t="str">
            <v>Purchase of Treasury Shares</v>
          </cell>
          <cell r="B53">
            <v>-2255</v>
          </cell>
          <cell r="C53">
            <v>-2068</v>
          </cell>
          <cell r="D53">
            <v>-1456</v>
          </cell>
          <cell r="E53">
            <v>-490</v>
          </cell>
          <cell r="F53">
            <v>-448</v>
          </cell>
          <cell r="G53">
            <v>-1843</v>
          </cell>
          <cell r="H53">
            <v>-2678</v>
          </cell>
          <cell r="I53">
            <v>-10390</v>
          </cell>
          <cell r="J53">
            <v>-6077</v>
          </cell>
          <cell r="K53">
            <v>0</v>
          </cell>
          <cell r="L53">
            <v>0</v>
          </cell>
          <cell r="M53">
            <v>0</v>
          </cell>
          <cell r="N53">
            <v>-10754</v>
          </cell>
          <cell r="O53">
            <v>-9000</v>
          </cell>
          <cell r="P53">
            <v>-6000</v>
          </cell>
          <cell r="Q53">
            <v>-2000</v>
          </cell>
          <cell r="R53">
            <v>-1000</v>
          </cell>
          <cell r="S53">
            <v>-1000</v>
          </cell>
          <cell r="T53">
            <v>-1000</v>
          </cell>
          <cell r="AF53">
            <v>-299</v>
          </cell>
          <cell r="AG53">
            <v>-191</v>
          </cell>
          <cell r="AH53">
            <v>63</v>
          </cell>
          <cell r="AI53">
            <v>-63</v>
          </cell>
          <cell r="AK53">
            <v>-448</v>
          </cell>
          <cell r="AM53">
            <v>-235</v>
          </cell>
          <cell r="AN53">
            <v>-507</v>
          </cell>
          <cell r="AO53">
            <v>-1101</v>
          </cell>
          <cell r="AQ53">
            <v>-148</v>
          </cell>
          <cell r="AR53">
            <v>-1211</v>
          </cell>
          <cell r="AS53">
            <v>-1319</v>
          </cell>
          <cell r="AT53">
            <v>-3005</v>
          </cell>
          <cell r="AU53">
            <v>-3899</v>
          </cell>
          <cell r="AV53">
            <v>-2008</v>
          </cell>
          <cell r="AW53">
            <v>-1478</v>
          </cell>
          <cell r="AX53">
            <v>-4071</v>
          </cell>
          <cell r="AY53">
            <v>-2006</v>
          </cell>
          <cell r="AZ53">
            <v>0</v>
          </cell>
          <cell r="BA53">
            <v>0</v>
          </cell>
          <cell r="BI53">
            <v>0</v>
          </cell>
          <cell r="BN53">
            <v>-2066</v>
          </cell>
          <cell r="BO53">
            <v>-2557</v>
          </cell>
          <cell r="BP53">
            <v>-3751</v>
          </cell>
          <cell r="BQ53">
            <v>-2380</v>
          </cell>
          <cell r="BR53">
            <v>-2250</v>
          </cell>
          <cell r="BS53">
            <v>-2250</v>
          </cell>
          <cell r="BT53">
            <v>-2250</v>
          </cell>
          <cell r="BU53">
            <v>-2250</v>
          </cell>
          <cell r="CX53" t="str">
            <v>mstag:proceedsFromIssuanceFundsUsedToRepurchaseCommonStock</v>
          </cell>
          <cell r="CY53">
            <v>6</v>
          </cell>
          <cell r="CZ53" t="str">
            <v>ISO4217:USD</v>
          </cell>
          <cell r="DA53" t="b">
            <v>0</v>
          </cell>
          <cell r="DB53" t="b">
            <v>0</v>
          </cell>
        </row>
        <row r="54">
          <cell r="A54" t="str">
            <v>Issuance of Treasury Shares</v>
          </cell>
          <cell r="B54">
            <v>732</v>
          </cell>
          <cell r="C54">
            <v>323</v>
          </cell>
          <cell r="D54">
            <v>147</v>
          </cell>
          <cell r="E54">
            <v>102</v>
          </cell>
          <cell r="F54">
            <v>216</v>
          </cell>
          <cell r="G54">
            <v>432</v>
          </cell>
          <cell r="H54">
            <v>589</v>
          </cell>
          <cell r="I54">
            <v>1986</v>
          </cell>
          <cell r="J54">
            <v>319</v>
          </cell>
          <cell r="K54">
            <v>28</v>
          </cell>
          <cell r="L54">
            <v>50</v>
          </cell>
          <cell r="M54">
            <v>237</v>
          </cell>
          <cell r="N54">
            <v>460</v>
          </cell>
          <cell r="O54">
            <v>0</v>
          </cell>
          <cell r="AD54">
            <v>21</v>
          </cell>
          <cell r="AE54">
            <v>21</v>
          </cell>
          <cell r="AF54">
            <v>21</v>
          </cell>
          <cell r="AG54">
            <v>39</v>
          </cell>
          <cell r="AI54">
            <v>93</v>
          </cell>
          <cell r="AJ54">
            <v>58</v>
          </cell>
          <cell r="AK54">
            <v>65</v>
          </cell>
          <cell r="AL54">
            <v>47</v>
          </cell>
          <cell r="AM54">
            <v>251</v>
          </cell>
          <cell r="AN54">
            <v>64</v>
          </cell>
          <cell r="AO54">
            <v>70</v>
          </cell>
          <cell r="AP54">
            <v>201</v>
          </cell>
          <cell r="AQ54">
            <v>35</v>
          </cell>
          <cell r="AR54">
            <v>227</v>
          </cell>
          <cell r="AS54">
            <v>126</v>
          </cell>
          <cell r="AT54">
            <v>687</v>
          </cell>
          <cell r="AU54">
            <v>565</v>
          </cell>
          <cell r="AV54">
            <v>484</v>
          </cell>
          <cell r="AW54">
            <v>250</v>
          </cell>
          <cell r="AX54">
            <v>103</v>
          </cell>
          <cell r="AY54">
            <v>207</v>
          </cell>
          <cell r="AZ54">
            <v>7</v>
          </cell>
          <cell r="BA54">
            <v>2</v>
          </cell>
          <cell r="BB54">
            <v>1</v>
          </cell>
          <cell r="BC54">
            <v>3</v>
          </cell>
          <cell r="BD54">
            <v>4</v>
          </cell>
          <cell r="BE54">
            <v>20</v>
          </cell>
          <cell r="BF54">
            <v>3</v>
          </cell>
          <cell r="BG54">
            <v>2</v>
          </cell>
          <cell r="BH54">
            <v>19</v>
          </cell>
          <cell r="BI54">
            <v>26</v>
          </cell>
          <cell r="BJ54">
            <v>18</v>
          </cell>
          <cell r="BK54">
            <v>181</v>
          </cell>
          <cell r="BL54">
            <v>17</v>
          </cell>
          <cell r="BM54">
            <v>21</v>
          </cell>
          <cell r="BN54">
            <v>218</v>
          </cell>
          <cell r="BO54">
            <v>158</v>
          </cell>
          <cell r="BP54">
            <v>84</v>
          </cell>
          <cell r="CX54" t="str">
            <v>mstag:proceedsFromIssuanceFundsUsedToRepurchaseCommonStock</v>
          </cell>
          <cell r="CY54">
            <v>6</v>
          </cell>
          <cell r="CZ54" t="str">
            <v>ISO4217:USD</v>
          </cell>
          <cell r="DA54" t="b">
            <v>0</v>
          </cell>
          <cell r="DB54" t="b">
            <v>0</v>
          </cell>
        </row>
        <row r="55">
          <cell r="A55" t="str">
            <v>Redemption of Preferred Shares of Subsidiaries</v>
          </cell>
          <cell r="C55">
            <v>-470</v>
          </cell>
          <cell r="E55">
            <v>0</v>
          </cell>
          <cell r="F55">
            <v>0</v>
          </cell>
          <cell r="G55">
            <v>-728</v>
          </cell>
          <cell r="H55">
            <v>0</v>
          </cell>
          <cell r="I55">
            <v>0</v>
          </cell>
          <cell r="J55">
            <v>0</v>
          </cell>
          <cell r="L55">
            <v>0</v>
          </cell>
          <cell r="M55">
            <v>0</v>
          </cell>
          <cell r="N55">
            <v>0</v>
          </cell>
          <cell r="O55">
            <v>0</v>
          </cell>
          <cell r="AO55">
            <v>-728</v>
          </cell>
          <cell r="CX55" t="str">
            <v>mstag:redemptionsRetirementsAndRepurchasesOfPreferredStock</v>
          </cell>
          <cell r="CY55">
            <v>6</v>
          </cell>
          <cell r="CZ55" t="str">
            <v>ISO4217:USD</v>
          </cell>
          <cell r="DA55" t="b">
            <v>1</v>
          </cell>
          <cell r="DB55" t="b">
            <v>0</v>
          </cell>
        </row>
        <row r="56">
          <cell r="A56" t="str">
            <v>Issuance of Preferred Shares of Subsidiaries</v>
          </cell>
          <cell r="B56">
            <v>0</v>
          </cell>
          <cell r="D56">
            <v>43</v>
          </cell>
          <cell r="E56">
            <v>0</v>
          </cell>
          <cell r="F56">
            <v>0</v>
          </cell>
          <cell r="G56">
            <v>0</v>
          </cell>
          <cell r="H56">
            <v>0</v>
          </cell>
          <cell r="I56">
            <v>0</v>
          </cell>
          <cell r="J56">
            <v>0</v>
          </cell>
          <cell r="L56">
            <v>0</v>
          </cell>
          <cell r="M56">
            <v>0</v>
          </cell>
          <cell r="N56">
            <v>0</v>
          </cell>
          <cell r="O56">
            <v>0</v>
          </cell>
          <cell r="CX56" t="str">
            <v>mstag:issuancesOfPreferredStock</v>
          </cell>
          <cell r="CY56">
            <v>6</v>
          </cell>
          <cell r="CZ56" t="str">
            <v>ISO4217:USD</v>
          </cell>
          <cell r="DA56" t="b">
            <v>0</v>
          </cell>
          <cell r="DB56" t="b">
            <v>0</v>
          </cell>
        </row>
        <row r="57">
          <cell r="A57" t="str">
            <v>Dividends Paid</v>
          </cell>
          <cell r="B57">
            <v>-3418</v>
          </cell>
          <cell r="C57">
            <v>-3456</v>
          </cell>
          <cell r="D57">
            <v>-3557</v>
          </cell>
          <cell r="E57">
            <v>-4539</v>
          </cell>
          <cell r="F57">
            <v>-4141</v>
          </cell>
          <cell r="G57">
            <v>-4256</v>
          </cell>
          <cell r="H57">
            <v>-5153</v>
          </cell>
          <cell r="I57">
            <v>-8743</v>
          </cell>
          <cell r="J57">
            <v>-9507</v>
          </cell>
          <cell r="K57">
            <v>-9670</v>
          </cell>
          <cell r="L57">
            <v>-9916</v>
          </cell>
          <cell r="M57">
            <v>-10172</v>
          </cell>
          <cell r="N57">
            <v>-10290.85</v>
          </cell>
          <cell r="O57">
            <v>-9991.8604285714282</v>
          </cell>
          <cell r="P57">
            <v>-9892.6917235714282</v>
          </cell>
          <cell r="Q57">
            <v>-9969.5933724214301</v>
          </cell>
          <cell r="R57">
            <v>-10183.752870115502</v>
          </cell>
          <cell r="S57">
            <v>-10430.948021163684</v>
          </cell>
          <cell r="T57">
            <v>-10683.809503691649</v>
          </cell>
          <cell r="AD57">
            <v>-897</v>
          </cell>
          <cell r="AE57">
            <v>-1102</v>
          </cell>
          <cell r="AF57">
            <v>-1272</v>
          </cell>
          <cell r="AG57">
            <v>-1268</v>
          </cell>
          <cell r="AH57">
            <v>-1034</v>
          </cell>
          <cell r="AI57">
            <v>-1035</v>
          </cell>
          <cell r="AJ57">
            <v>-1036</v>
          </cell>
          <cell r="AK57">
            <v>-1036</v>
          </cell>
          <cell r="AL57">
            <v>-1066</v>
          </cell>
          <cell r="AM57">
            <v>-1064</v>
          </cell>
          <cell r="AN57">
            <v>-1066</v>
          </cell>
          <cell r="AO57">
            <v>-1060</v>
          </cell>
          <cell r="AP57">
            <v>-1289</v>
          </cell>
          <cell r="AQ57">
            <v>-1292</v>
          </cell>
          <cell r="AR57">
            <v>-1292</v>
          </cell>
          <cell r="AS57">
            <v>-1280</v>
          </cell>
          <cell r="AT57">
            <v>-2218</v>
          </cell>
          <cell r="AU57">
            <v>-2196</v>
          </cell>
          <cell r="AV57">
            <v>-2170</v>
          </cell>
          <cell r="AW57">
            <v>-2159</v>
          </cell>
          <cell r="AX57">
            <v>-2422</v>
          </cell>
          <cell r="AY57">
            <v>-2380</v>
          </cell>
          <cell r="AZ57">
            <v>-2348</v>
          </cell>
          <cell r="BA57">
            <v>-2357</v>
          </cell>
          <cell r="BB57">
            <v>-2416</v>
          </cell>
          <cell r="BC57">
            <v>-2418</v>
          </cell>
          <cell r="BD57">
            <v>-2418</v>
          </cell>
          <cell r="BE57">
            <v>-2418</v>
          </cell>
          <cell r="BF57">
            <v>-2479</v>
          </cell>
          <cell r="BG57">
            <v>-2481</v>
          </cell>
          <cell r="BH57">
            <v>-2476</v>
          </cell>
          <cell r="BI57">
            <v>-2480</v>
          </cell>
          <cell r="BJ57">
            <v>-2540</v>
          </cell>
          <cell r="BK57">
            <v>-2542</v>
          </cell>
          <cell r="BL57">
            <v>-2545</v>
          </cell>
          <cell r="BM57">
            <v>-2545</v>
          </cell>
          <cell r="BN57">
            <v>-2606</v>
          </cell>
          <cell r="BO57">
            <v>-2581</v>
          </cell>
          <cell r="BP57">
            <v>-2551</v>
          </cell>
          <cell r="BQ57">
            <v>-2552.85</v>
          </cell>
          <cell r="BR57">
            <v>-2523.0857142857144</v>
          </cell>
          <cell r="BS57">
            <v>-2494.1571428571424</v>
          </cell>
          <cell r="BT57">
            <v>-2465.2285714285713</v>
          </cell>
          <cell r="BU57">
            <v>-2509.3889999999992</v>
          </cell>
          <cell r="CX57" t="str">
            <v>mstag:cashDividendsPaid</v>
          </cell>
          <cell r="CY57">
            <v>6</v>
          </cell>
          <cell r="CZ57" t="str">
            <v>ISO4217:USD</v>
          </cell>
          <cell r="DA57" t="b">
            <v>1</v>
          </cell>
          <cell r="DB57" t="b">
            <v>0</v>
          </cell>
        </row>
        <row r="58">
          <cell r="A58" t="str">
            <v>Other</v>
          </cell>
          <cell r="B58">
            <v>65</v>
          </cell>
          <cell r="C58">
            <v>39</v>
          </cell>
          <cell r="D58">
            <v>-56</v>
          </cell>
          <cell r="E58">
            <v>0</v>
          </cell>
          <cell r="F58">
            <v>0</v>
          </cell>
          <cell r="G58">
            <v>-3</v>
          </cell>
          <cell r="H58">
            <v>218</v>
          </cell>
          <cell r="I58">
            <v>-51</v>
          </cell>
          <cell r="J58">
            <v>151</v>
          </cell>
          <cell r="K58">
            <v>-465</v>
          </cell>
          <cell r="L58">
            <v>-515</v>
          </cell>
          <cell r="M58">
            <v>-452</v>
          </cell>
          <cell r="N58">
            <v>98</v>
          </cell>
          <cell r="O58">
            <v>0</v>
          </cell>
          <cell r="P58">
            <v>-560</v>
          </cell>
          <cell r="Q58">
            <v>-560</v>
          </cell>
          <cell r="R58">
            <v>-560</v>
          </cell>
          <cell r="S58">
            <v>-560</v>
          </cell>
          <cell r="T58">
            <v>-560</v>
          </cell>
          <cell r="AN58">
            <v>3</v>
          </cell>
          <cell r="AO58">
            <v>-6</v>
          </cell>
          <cell r="AP58">
            <v>8</v>
          </cell>
          <cell r="AQ58">
            <v>49</v>
          </cell>
          <cell r="AR58">
            <v>30</v>
          </cell>
          <cell r="AS58">
            <v>131</v>
          </cell>
          <cell r="AT58">
            <v>-37</v>
          </cell>
          <cell r="AU58">
            <v>23</v>
          </cell>
          <cell r="AV58">
            <v>-9</v>
          </cell>
          <cell r="AW58">
            <v>-28</v>
          </cell>
          <cell r="AX58">
            <v>-20</v>
          </cell>
          <cell r="AY58">
            <v>-91</v>
          </cell>
          <cell r="AZ58">
            <v>22</v>
          </cell>
          <cell r="BA58">
            <v>240</v>
          </cell>
          <cell r="BB58">
            <v>-603</v>
          </cell>
          <cell r="BC58">
            <v>221</v>
          </cell>
          <cell r="BD58">
            <v>16</v>
          </cell>
          <cell r="BE58">
            <v>-99</v>
          </cell>
          <cell r="BF58">
            <v>-244</v>
          </cell>
          <cell r="BG58">
            <v>-291</v>
          </cell>
          <cell r="BH58">
            <v>136</v>
          </cell>
          <cell r="BI58">
            <v>-116</v>
          </cell>
          <cell r="BJ58">
            <v>119</v>
          </cell>
          <cell r="BK58">
            <v>-241</v>
          </cell>
          <cell r="BL58">
            <v>-284</v>
          </cell>
          <cell r="BM58">
            <v>-46</v>
          </cell>
          <cell r="BN58">
            <v>-130</v>
          </cell>
          <cell r="BO58">
            <v>-404</v>
          </cell>
          <cell r="BP58">
            <v>632</v>
          </cell>
          <cell r="CX58" t="str">
            <v>mstag:otherCashFlowsFromUsedInFinancingActivities</v>
          </cell>
          <cell r="CY58">
            <v>6</v>
          </cell>
          <cell r="CZ58" t="str">
            <v>ISO4217:USD</v>
          </cell>
          <cell r="DA58" t="b">
            <v>0</v>
          </cell>
          <cell r="DB58" t="b">
            <v>0</v>
          </cell>
        </row>
        <row r="59">
          <cell r="A59" t="str">
            <v>Net Cash Provided/Used in Financing Activities</v>
          </cell>
          <cell r="B59">
            <v>252</v>
          </cell>
          <cell r="C59">
            <v>-6358</v>
          </cell>
          <cell r="D59">
            <v>-9018</v>
          </cell>
          <cell r="E59">
            <v>-9173</v>
          </cell>
          <cell r="F59">
            <v>4605</v>
          </cell>
          <cell r="G59">
            <v>-11226</v>
          </cell>
          <cell r="H59">
            <v>-6128</v>
          </cell>
          <cell r="I59">
            <v>-16014</v>
          </cell>
          <cell r="J59">
            <v>-4691</v>
          </cell>
          <cell r="K59">
            <v>-14510</v>
          </cell>
          <cell r="L59">
            <v>-15848</v>
          </cell>
          <cell r="M59">
            <v>-11650</v>
          </cell>
          <cell r="N59">
            <v>-20593.849999999999</v>
          </cell>
          <cell r="O59">
            <v>-10991.860428571428</v>
          </cell>
          <cell r="P59">
            <v>-12452.691723571428</v>
          </cell>
          <cell r="Q59">
            <v>-10529.59337242143</v>
          </cell>
          <cell r="R59">
            <v>-15743.752870115502</v>
          </cell>
          <cell r="S59">
            <v>-13990.948021163684</v>
          </cell>
          <cell r="T59">
            <v>-13243.809503691649</v>
          </cell>
          <cell r="AD59">
            <v>-2738</v>
          </cell>
          <cell r="AE59">
            <v>-2863</v>
          </cell>
          <cell r="AF59">
            <v>-1879</v>
          </cell>
          <cell r="AG59">
            <v>-1693</v>
          </cell>
          <cell r="AH59">
            <v>-1113</v>
          </cell>
          <cell r="AI59">
            <v>-1082</v>
          </cell>
          <cell r="AJ59">
            <v>-505</v>
          </cell>
          <cell r="AK59">
            <v>7305</v>
          </cell>
          <cell r="AL59">
            <v>-830</v>
          </cell>
          <cell r="AM59">
            <v>-3156</v>
          </cell>
          <cell r="AN59">
            <v>-3366</v>
          </cell>
          <cell r="AO59">
            <v>-3874</v>
          </cell>
          <cell r="AP59">
            <v>-70</v>
          </cell>
          <cell r="AQ59">
            <v>-2398</v>
          </cell>
          <cell r="AR59">
            <v>-1272</v>
          </cell>
          <cell r="AS59">
            <v>-2388</v>
          </cell>
          <cell r="AT59">
            <v>-1865</v>
          </cell>
          <cell r="AU59">
            <v>-6349</v>
          </cell>
          <cell r="AV59">
            <v>-4958</v>
          </cell>
          <cell r="AW59">
            <v>-2842</v>
          </cell>
          <cell r="AX59">
            <v>2735</v>
          </cell>
          <cell r="AY59">
            <v>2494</v>
          </cell>
          <cell r="AZ59">
            <v>-5259</v>
          </cell>
          <cell r="BA59">
            <v>-4661</v>
          </cell>
          <cell r="BB59">
            <v>-2738</v>
          </cell>
          <cell r="BC59">
            <v>-265</v>
          </cell>
          <cell r="BD59">
            <v>-6534</v>
          </cell>
          <cell r="BE59">
            <v>-4973</v>
          </cell>
          <cell r="BF59">
            <v>-4909</v>
          </cell>
          <cell r="BG59">
            <v>-1962</v>
          </cell>
          <cell r="BH59">
            <v>-4018</v>
          </cell>
          <cell r="BI59">
            <v>-4959</v>
          </cell>
          <cell r="BJ59">
            <v>-3703</v>
          </cell>
          <cell r="BK59">
            <v>-1210</v>
          </cell>
          <cell r="BL59">
            <v>2113</v>
          </cell>
          <cell r="BM59">
            <v>-8850</v>
          </cell>
          <cell r="BN59">
            <v>-3802</v>
          </cell>
          <cell r="BO59">
            <v>-6266</v>
          </cell>
          <cell r="BP59">
            <v>-6593</v>
          </cell>
          <cell r="BQ59">
            <v>-3932.85</v>
          </cell>
          <cell r="BR59">
            <v>-2773.0857142857144</v>
          </cell>
          <cell r="BS59">
            <v>-2744.1571428571424</v>
          </cell>
          <cell r="BT59">
            <v>-2715.2285714285713</v>
          </cell>
          <cell r="BU59">
            <v>-2759.3889999999992</v>
          </cell>
        </row>
        <row r="61">
          <cell r="A61" t="str">
            <v>Net Increase (Decrease) in Cash and Cash Equivalents</v>
          </cell>
          <cell r="B61">
            <v>148</v>
          </cell>
          <cell r="C61">
            <v>60</v>
          </cell>
          <cell r="D61">
            <v>2864</v>
          </cell>
          <cell r="E61">
            <v>1239</v>
          </cell>
          <cell r="F61">
            <v>-5487</v>
          </cell>
          <cell r="G61">
            <v>774</v>
          </cell>
          <cell r="H61">
            <v>1194</v>
          </cell>
          <cell r="I61">
            <v>-448</v>
          </cell>
          <cell r="J61">
            <v>-178</v>
          </cell>
          <cell r="K61">
            <v>2010</v>
          </cell>
          <cell r="L61">
            <v>-2365</v>
          </cell>
          <cell r="M61">
            <v>1748</v>
          </cell>
          <cell r="N61">
            <v>-1062.5671731240909</v>
          </cell>
          <cell r="O61">
            <v>1053.5180756107511</v>
          </cell>
          <cell r="P61">
            <v>-1046.115340284563</v>
          </cell>
          <cell r="Q61">
            <v>2349.3387708777263</v>
          </cell>
          <cell r="R61">
            <v>1573.6156933071361</v>
          </cell>
          <cell r="S61">
            <v>4728.0913211010957</v>
          </cell>
          <cell r="T61">
            <v>6236.1197495094239</v>
          </cell>
          <cell r="AD61">
            <v>1265</v>
          </cell>
          <cell r="AE61">
            <v>307</v>
          </cell>
          <cell r="AF61">
            <v>-199</v>
          </cell>
          <cell r="AG61">
            <v>-134</v>
          </cell>
          <cell r="AH61">
            <v>2275</v>
          </cell>
          <cell r="AI61">
            <v>4505</v>
          </cell>
          <cell r="AJ61">
            <v>176</v>
          </cell>
          <cell r="AK61">
            <v>-12443</v>
          </cell>
          <cell r="AL61">
            <v>-23</v>
          </cell>
          <cell r="AM61">
            <v>-21</v>
          </cell>
          <cell r="AN61">
            <v>27</v>
          </cell>
          <cell r="AO61">
            <v>791</v>
          </cell>
          <cell r="AP61">
            <v>-167</v>
          </cell>
          <cell r="AQ61">
            <v>40</v>
          </cell>
          <cell r="AR61">
            <v>154</v>
          </cell>
          <cell r="AS61">
            <v>1167</v>
          </cell>
          <cell r="AT61">
            <v>-54</v>
          </cell>
          <cell r="AU61">
            <v>206</v>
          </cell>
          <cell r="AV61">
            <v>144</v>
          </cell>
          <cell r="AW61">
            <v>-744</v>
          </cell>
          <cell r="AX61">
            <v>-7</v>
          </cell>
          <cell r="AY61">
            <v>-332</v>
          </cell>
          <cell r="AZ61">
            <v>-37</v>
          </cell>
          <cell r="BA61">
            <v>198</v>
          </cell>
          <cell r="BB61">
            <v>2020</v>
          </cell>
          <cell r="BC61">
            <v>3536</v>
          </cell>
          <cell r="BD61">
            <v>-1181</v>
          </cell>
          <cell r="BE61">
            <v>-2365</v>
          </cell>
          <cell r="BF61">
            <v>-1185</v>
          </cell>
          <cell r="BG61">
            <v>-1240</v>
          </cell>
          <cell r="BH61">
            <v>1869</v>
          </cell>
          <cell r="BI61">
            <v>-1809</v>
          </cell>
          <cell r="BJ61">
            <v>-46</v>
          </cell>
          <cell r="BK61">
            <v>2440</v>
          </cell>
          <cell r="BL61">
            <v>6931</v>
          </cell>
          <cell r="BM61">
            <v>-7577</v>
          </cell>
          <cell r="BN61">
            <v>-743</v>
          </cell>
          <cell r="BO61">
            <v>-291</v>
          </cell>
          <cell r="BP61">
            <v>66</v>
          </cell>
          <cell r="BQ61">
            <v>-94.567173124092278</v>
          </cell>
          <cell r="BR61">
            <v>-1595.3069009000724</v>
          </cell>
          <cell r="BS61">
            <v>255.85894175749308</v>
          </cell>
          <cell r="BT61">
            <v>860.06692310023072</v>
          </cell>
          <cell r="BU61">
            <v>1532.8991116531024</v>
          </cell>
        </row>
        <row r="62">
          <cell r="A62" t="str">
            <v>Net Increase (Decrease) in Cash and Cash Equivalents from Discontinued Operations</v>
          </cell>
          <cell r="F62">
            <v>1441</v>
          </cell>
          <cell r="G62">
            <v>-310</v>
          </cell>
          <cell r="AJ62">
            <v>1528</v>
          </cell>
          <cell r="AK62">
            <v>-87</v>
          </cell>
          <cell r="AL62">
            <v>-310</v>
          </cell>
          <cell r="AM62">
            <v>0</v>
          </cell>
          <cell r="AN62">
            <v>0</v>
          </cell>
          <cell r="AO62">
            <v>0</v>
          </cell>
          <cell r="AP62">
            <v>0</v>
          </cell>
          <cell r="AQ62">
            <v>0</v>
          </cell>
          <cell r="CX62" t="str">
            <v>mstag:netCashFlowFromDiscontinuedOperations</v>
          </cell>
          <cell r="CY62">
            <v>6</v>
          </cell>
          <cell r="CZ62" t="str">
            <v>ISO4217:USD</v>
          </cell>
          <cell r="DA62" t="b">
            <v>0</v>
          </cell>
          <cell r="DB62" t="b">
            <v>0</v>
          </cell>
        </row>
        <row r="63">
          <cell r="A63" t="str">
            <v>Cash and Cash Equivalents Beginning of Year</v>
          </cell>
          <cell r="B63">
            <v>495</v>
          </cell>
          <cell r="C63">
            <v>643</v>
          </cell>
          <cell r="D63">
            <v>703</v>
          </cell>
          <cell r="E63">
            <v>3567</v>
          </cell>
          <cell r="F63">
            <v>4806</v>
          </cell>
          <cell r="G63">
            <v>760</v>
          </cell>
          <cell r="H63">
            <v>1224</v>
          </cell>
          <cell r="I63">
            <v>2418</v>
          </cell>
          <cell r="J63">
            <v>1970</v>
          </cell>
          <cell r="K63">
            <v>1792</v>
          </cell>
          <cell r="L63">
            <v>3802</v>
          </cell>
          <cell r="M63">
            <v>1437</v>
          </cell>
          <cell r="N63">
            <v>3185</v>
          </cell>
          <cell r="O63">
            <v>2122.4328268759091</v>
          </cell>
          <cell r="P63">
            <v>3175.9509024866602</v>
          </cell>
          <cell r="Q63">
            <v>2129.8355622020972</v>
          </cell>
          <cell r="R63">
            <v>4479.1743330797835</v>
          </cell>
          <cell r="S63">
            <v>6052.7900263864249</v>
          </cell>
          <cell r="T63">
            <v>10780.881347484472</v>
          </cell>
          <cell r="AD63">
            <v>3567</v>
          </cell>
          <cell r="AE63">
            <v>4832</v>
          </cell>
          <cell r="AF63">
            <v>5139</v>
          </cell>
          <cell r="AG63">
            <v>4940</v>
          </cell>
          <cell r="AH63">
            <v>4806</v>
          </cell>
          <cell r="AI63">
            <v>7081</v>
          </cell>
          <cell r="AJ63">
            <v>11586</v>
          </cell>
          <cell r="AK63">
            <v>13290</v>
          </cell>
          <cell r="AL63">
            <v>760</v>
          </cell>
          <cell r="AM63">
            <v>427</v>
          </cell>
          <cell r="AN63">
            <v>406</v>
          </cell>
          <cell r="AO63">
            <v>433</v>
          </cell>
          <cell r="AP63">
            <v>1224</v>
          </cell>
          <cell r="AQ63">
            <v>1057</v>
          </cell>
          <cell r="AR63">
            <v>1097</v>
          </cell>
          <cell r="AS63">
            <v>1251</v>
          </cell>
          <cell r="AT63">
            <v>2418</v>
          </cell>
          <cell r="AU63">
            <v>2364</v>
          </cell>
          <cell r="AV63">
            <v>2570</v>
          </cell>
          <cell r="AW63">
            <v>2714</v>
          </cell>
          <cell r="AX63">
            <v>1970</v>
          </cell>
          <cell r="AY63">
            <v>1963</v>
          </cell>
          <cell r="AZ63">
            <v>1631</v>
          </cell>
          <cell r="BA63">
            <v>1594</v>
          </cell>
          <cell r="BB63">
            <v>1792</v>
          </cell>
          <cell r="BC63">
            <v>3812</v>
          </cell>
          <cell r="BD63">
            <v>7348</v>
          </cell>
          <cell r="BE63">
            <v>6167</v>
          </cell>
          <cell r="BF63">
            <v>3802</v>
          </cell>
          <cell r="BG63">
            <v>2617</v>
          </cell>
          <cell r="BH63">
            <v>1377</v>
          </cell>
          <cell r="BI63">
            <v>3246</v>
          </cell>
          <cell r="BJ63">
            <v>1437</v>
          </cell>
          <cell r="BK63">
            <v>1391</v>
          </cell>
          <cell r="BL63">
            <v>3831</v>
          </cell>
          <cell r="BM63">
            <v>10762</v>
          </cell>
          <cell r="BN63">
            <v>3185</v>
          </cell>
          <cell r="BO63">
            <v>2442</v>
          </cell>
          <cell r="BP63">
            <v>2151</v>
          </cell>
          <cell r="BQ63">
            <v>2217</v>
          </cell>
          <cell r="BR63">
            <v>2122.4328268759077</v>
          </cell>
          <cell r="BS63">
            <v>527.12592597583534</v>
          </cell>
          <cell r="BT63">
            <v>782.98486773332843</v>
          </cell>
          <cell r="BU63">
            <v>1643.0517908335601</v>
          </cell>
        </row>
        <row r="64">
          <cell r="A64" t="str">
            <v>Cash and Cash Equivalents End of Period</v>
          </cell>
          <cell r="B64">
            <v>643</v>
          </cell>
          <cell r="C64">
            <v>703</v>
          </cell>
          <cell r="D64">
            <v>3567</v>
          </cell>
          <cell r="E64">
            <v>4806</v>
          </cell>
          <cell r="F64">
            <v>760</v>
          </cell>
          <cell r="G64">
            <v>1224</v>
          </cell>
          <cell r="H64">
            <v>2418</v>
          </cell>
          <cell r="I64">
            <v>1970</v>
          </cell>
          <cell r="J64">
            <v>1792</v>
          </cell>
          <cell r="K64">
            <v>3802</v>
          </cell>
          <cell r="L64">
            <v>1437</v>
          </cell>
          <cell r="M64">
            <v>3185</v>
          </cell>
          <cell r="N64">
            <v>2122.4328268759091</v>
          </cell>
          <cell r="O64">
            <v>3175.9509024866602</v>
          </cell>
          <cell r="P64">
            <v>2129.8355622020972</v>
          </cell>
          <cell r="Q64">
            <v>4479.1743330798236</v>
          </cell>
          <cell r="R64">
            <v>6052.7900263869196</v>
          </cell>
          <cell r="S64">
            <v>10780.881347487521</v>
          </cell>
          <cell r="T64">
            <v>17017.001096993896</v>
          </cell>
          <cell r="AD64">
            <v>4832</v>
          </cell>
          <cell r="AE64">
            <v>5139</v>
          </cell>
          <cell r="AF64">
            <v>4940</v>
          </cell>
          <cell r="AG64">
            <v>4806</v>
          </cell>
          <cell r="AH64">
            <v>7081</v>
          </cell>
          <cell r="AI64">
            <v>11586</v>
          </cell>
          <cell r="AJ64">
            <v>13290</v>
          </cell>
          <cell r="AK64">
            <v>760</v>
          </cell>
          <cell r="AL64">
            <v>427</v>
          </cell>
          <cell r="AM64">
            <v>406</v>
          </cell>
          <cell r="AN64">
            <v>433</v>
          </cell>
          <cell r="AO64">
            <v>1224</v>
          </cell>
          <cell r="AP64">
            <v>1057</v>
          </cell>
          <cell r="AQ64">
            <v>1097</v>
          </cell>
          <cell r="AR64">
            <v>1251</v>
          </cell>
          <cell r="AS64">
            <v>2418</v>
          </cell>
          <cell r="AT64">
            <v>2364</v>
          </cell>
          <cell r="AU64">
            <v>2570</v>
          </cell>
          <cell r="AV64">
            <v>2714</v>
          </cell>
          <cell r="AW64">
            <v>1970</v>
          </cell>
          <cell r="AX64">
            <v>1963</v>
          </cell>
          <cell r="AY64">
            <v>1631</v>
          </cell>
          <cell r="AZ64">
            <v>1594</v>
          </cell>
          <cell r="BA64">
            <v>1792</v>
          </cell>
          <cell r="BB64">
            <v>3812</v>
          </cell>
          <cell r="BC64">
            <v>7348</v>
          </cell>
          <cell r="BD64">
            <v>6167</v>
          </cell>
          <cell r="BE64">
            <v>3802</v>
          </cell>
          <cell r="BF64">
            <v>2617</v>
          </cell>
          <cell r="BG64">
            <v>1377</v>
          </cell>
          <cell r="BH64">
            <v>3246</v>
          </cell>
          <cell r="BI64">
            <v>1437</v>
          </cell>
          <cell r="BJ64">
            <v>1391</v>
          </cell>
          <cell r="BK64">
            <v>3831</v>
          </cell>
          <cell r="BL64">
            <v>10762</v>
          </cell>
          <cell r="BM64">
            <v>3185</v>
          </cell>
          <cell r="BN64">
            <v>2442</v>
          </cell>
          <cell r="BO64">
            <v>2151</v>
          </cell>
          <cell r="BP64">
            <v>2217</v>
          </cell>
          <cell r="BQ64">
            <v>2122.4328268759077</v>
          </cell>
          <cell r="BR64">
            <v>527.12592597583534</v>
          </cell>
          <cell r="BS64">
            <v>782.98486773332843</v>
          </cell>
          <cell r="BT64">
            <v>1643.0517908335592</v>
          </cell>
          <cell r="BU64">
            <v>3175.9509024866625</v>
          </cell>
        </row>
        <row r="65">
          <cell r="A65" t="str">
            <v xml:space="preserve">  check</v>
          </cell>
          <cell r="G65">
            <v>0</v>
          </cell>
          <cell r="H65">
            <v>0</v>
          </cell>
          <cell r="I65">
            <v>0</v>
          </cell>
          <cell r="J65">
            <v>0</v>
          </cell>
          <cell r="K65">
            <v>0</v>
          </cell>
          <cell r="L65">
            <v>0</v>
          </cell>
          <cell r="M65">
            <v>0</v>
          </cell>
          <cell r="N65">
            <v>0</v>
          </cell>
          <cell r="O65">
            <v>0</v>
          </cell>
          <cell r="P65">
            <v>0</v>
          </cell>
          <cell r="Q65">
            <v>4.0017766878008842E-11</v>
          </cell>
          <cell r="R65">
            <v>4.9476511776447296E-10</v>
          </cell>
          <cell r="S65">
            <v>3.0486262403428555E-9</v>
          </cell>
          <cell r="T65">
            <v>1.5061232261359692E-8</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row>
        <row r="66">
          <cell r="A66" t="str">
            <v>Free cash flow yield</v>
          </cell>
        </row>
        <row r="67">
          <cell r="A67" t="str">
            <v xml:space="preserve">Levered Free Cash Flow (OCF - capex) </v>
          </cell>
          <cell r="B67">
            <v>942</v>
          </cell>
          <cell r="C67">
            <v>3616</v>
          </cell>
          <cell r="D67">
            <v>8402</v>
          </cell>
          <cell r="E67">
            <v>8298</v>
          </cell>
          <cell r="F67">
            <v>5556</v>
          </cell>
          <cell r="G67">
            <v>7398</v>
          </cell>
          <cell r="H67">
            <v>7295</v>
          </cell>
          <cell r="I67">
            <v>16355</v>
          </cell>
          <cell r="J67">
            <v>13321</v>
          </cell>
          <cell r="K67">
            <v>17110</v>
          </cell>
          <cell r="L67">
            <v>14691</v>
          </cell>
          <cell r="M67">
            <v>14376</v>
          </cell>
          <cell r="N67">
            <v>18966.282826875908</v>
          </cell>
          <cell r="O67">
            <v>12045.378504182179</v>
          </cell>
          <cell r="P67">
            <v>11406.576383286865</v>
          </cell>
          <cell r="Q67">
            <v>12878.932143299156</v>
          </cell>
          <cell r="R67">
            <v>17317.368563422639</v>
          </cell>
          <cell r="S67">
            <v>18719.039342264779</v>
          </cell>
          <cell r="T67">
            <v>19479.929253201073</v>
          </cell>
          <cell r="AD67">
            <v>1738</v>
          </cell>
          <cell r="AE67">
            <v>3100</v>
          </cell>
          <cell r="AF67">
            <v>2010</v>
          </cell>
          <cell r="AG67">
            <v>1450</v>
          </cell>
          <cell r="AH67">
            <v>1108</v>
          </cell>
          <cell r="AI67">
            <v>2545</v>
          </cell>
          <cell r="AJ67">
            <v>420</v>
          </cell>
          <cell r="AK67">
            <v>1483</v>
          </cell>
          <cell r="AL67">
            <v>206</v>
          </cell>
          <cell r="AM67">
            <v>2505</v>
          </cell>
          <cell r="AN67">
            <v>1929</v>
          </cell>
          <cell r="AO67">
            <v>2758</v>
          </cell>
          <cell r="AP67">
            <v>637</v>
          </cell>
          <cell r="AQ67">
            <v>2474</v>
          </cell>
          <cell r="AR67">
            <v>1324</v>
          </cell>
          <cell r="AS67">
            <v>2860</v>
          </cell>
          <cell r="AT67">
            <v>1275</v>
          </cell>
          <cell r="AU67">
            <v>6266</v>
          </cell>
          <cell r="AV67">
            <v>4555</v>
          </cell>
          <cell r="AW67">
            <v>4259</v>
          </cell>
          <cell r="AX67">
            <v>710</v>
          </cell>
          <cell r="AY67">
            <v>3218</v>
          </cell>
          <cell r="AZ67">
            <v>4002</v>
          </cell>
          <cell r="BA67">
            <v>5391</v>
          </cell>
          <cell r="BB67">
            <v>4557</v>
          </cell>
          <cell r="BC67">
            <v>3841</v>
          </cell>
          <cell r="BD67">
            <v>5463</v>
          </cell>
          <cell r="BE67">
            <v>3249</v>
          </cell>
          <cell r="BF67">
            <v>3922</v>
          </cell>
          <cell r="BG67">
            <v>3653</v>
          </cell>
          <cell r="BH67">
            <v>4028</v>
          </cell>
          <cell r="BI67">
            <v>3088</v>
          </cell>
          <cell r="BJ67">
            <v>3564</v>
          </cell>
          <cell r="BK67">
            <v>3711</v>
          </cell>
          <cell r="BL67">
            <v>5131</v>
          </cell>
          <cell r="BM67">
            <v>1970</v>
          </cell>
          <cell r="BN67">
            <v>3470</v>
          </cell>
          <cell r="BO67">
            <v>5117</v>
          </cell>
          <cell r="BP67">
            <v>6541</v>
          </cell>
          <cell r="BQ67">
            <v>3838.2828268759076</v>
          </cell>
          <cell r="BR67">
            <v>1177.778813385642</v>
          </cell>
          <cell r="BS67">
            <v>3000.0160846146355</v>
          </cell>
          <cell r="BT67">
            <v>3575.295494528802</v>
          </cell>
          <cell r="BU67">
            <v>4292.2881116531016</v>
          </cell>
        </row>
        <row r="68">
          <cell r="A68" t="str">
            <v xml:space="preserve">   per share </v>
          </cell>
          <cell r="I68">
            <v>2.6501924245493216</v>
          </cell>
          <cell r="J68">
            <v>2.2354421882866253</v>
          </cell>
          <cell r="K68">
            <v>2.8916680750380261</v>
          </cell>
          <cell r="L68">
            <v>2.4768809272918864</v>
          </cell>
          <cell r="M68">
            <v>2.4176581879335717</v>
          </cell>
          <cell r="N68">
            <v>3.2586715049827597</v>
          </cell>
          <cell r="O68">
            <v>2.1859240797779602</v>
          </cell>
          <cell r="P68">
            <v>2.1537516435952866</v>
          </cell>
          <cell r="Q68">
            <v>2.4853892703414133</v>
          </cell>
          <cell r="R68">
            <v>3.3697934546453858</v>
          </cell>
          <cell r="S68">
            <v>3.6629098872292909</v>
          </cell>
          <cell r="T68">
            <v>3.8332303930623648</v>
          </cell>
          <cell r="AD68">
            <v>0.52317880794701987</v>
          </cell>
          <cell r="AE68">
            <v>0.93289196509178451</v>
          </cell>
          <cell r="AF68">
            <v>0.60688405797101452</v>
          </cell>
          <cell r="AG68">
            <v>0.43872919818456885</v>
          </cell>
          <cell r="AH68">
            <v>0.33464210208396256</v>
          </cell>
          <cell r="AI68">
            <v>0.76841787439613529</v>
          </cell>
          <cell r="AJ68">
            <v>0.12669683257918551</v>
          </cell>
          <cell r="AK68">
            <v>0.4492578006664647</v>
          </cell>
          <cell r="AL68">
            <v>6.2329803328290467E-2</v>
          </cell>
          <cell r="AM68">
            <v>0.75771324863883849</v>
          </cell>
          <cell r="AN68">
            <v>0.58667883211678828</v>
          </cell>
          <cell r="AO68">
            <v>0.7727654805267582</v>
          </cell>
          <cell r="AP68" t="e">
            <v>#REF!</v>
          </cell>
          <cell r="AQ68" t="e">
            <v>#REF!</v>
          </cell>
          <cell r="AR68" t="e">
            <v>#REF!</v>
          </cell>
          <cell r="AS68" t="e">
            <v>#REF!</v>
          </cell>
          <cell r="AT68">
            <v>0.2034790935205873</v>
          </cell>
          <cell r="AU68">
            <v>1.0114608555286522</v>
          </cell>
          <cell r="AV68">
            <v>0.74318812204274765</v>
          </cell>
          <cell r="AW68">
            <v>0.69876948318293686</v>
          </cell>
          <cell r="AX68">
            <v>0.11768606000331511</v>
          </cell>
          <cell r="AY68">
            <v>0.53975176115397516</v>
          </cell>
          <cell r="AZ68">
            <v>0.67589934132747842</v>
          </cell>
          <cell r="BA68">
            <v>0.91064189189189193</v>
          </cell>
          <cell r="BB68">
            <v>0.77289687924016282</v>
          </cell>
          <cell r="BC68">
            <v>0.64848894141482361</v>
          </cell>
          <cell r="BD68">
            <v>0.92249240121580545</v>
          </cell>
          <cell r="BE68">
            <v>0.54816939429728362</v>
          </cell>
          <cell r="BF68">
            <v>0.66082561078348778</v>
          </cell>
          <cell r="BG68">
            <v>0.61529391948795686</v>
          </cell>
          <cell r="BH68">
            <v>0.67834287638935664</v>
          </cell>
          <cell r="BI68">
            <v>0.5220625528317836</v>
          </cell>
          <cell r="BJ68">
            <v>0.5994953742640875</v>
          </cell>
          <cell r="BK68">
            <v>0.62338316815051231</v>
          </cell>
          <cell r="BL68">
            <v>0.86177359758145788</v>
          </cell>
          <cell r="BM68">
            <v>0.33204112590594975</v>
          </cell>
          <cell r="BN68">
            <v>0.58417508417508412</v>
          </cell>
          <cell r="BO68">
            <v>0.87083049693669168</v>
          </cell>
          <cell r="BP68">
            <v>1.1293162983425415</v>
          </cell>
          <cell r="BQ68">
            <v>0.67658784186072762</v>
          </cell>
          <cell r="BR68">
            <v>0.21006042839633851</v>
          </cell>
          <cell r="BS68">
            <v>0.54126791567355148</v>
          </cell>
          <cell r="BT68">
            <v>0.65263034478203863</v>
          </cell>
          <cell r="BU68">
            <v>0.79281272841764006</v>
          </cell>
        </row>
        <row r="69">
          <cell r="A69" t="str">
            <v>Current T price - US$</v>
          </cell>
        </row>
        <row r="70">
          <cell r="A70">
            <v>35</v>
          </cell>
        </row>
        <row r="71">
          <cell r="A71" t="str">
            <v xml:space="preserve">FCF yield </v>
          </cell>
          <cell r="I71">
            <v>7.5719783558552051E-2</v>
          </cell>
          <cell r="J71">
            <v>6.3869776808189296E-2</v>
          </cell>
          <cell r="K71">
            <v>8.2619087858229315E-2</v>
          </cell>
          <cell r="L71">
            <v>7.0768026494053893E-2</v>
          </cell>
          <cell r="M71">
            <v>6.907594822667347E-2</v>
          </cell>
          <cell r="N71">
            <v>9.3104900142364569E-2</v>
          </cell>
          <cell r="O71">
            <v>6.2454973707941723E-2</v>
          </cell>
          <cell r="P71">
            <v>6.1535761245579614E-2</v>
          </cell>
          <cell r="Q71">
            <v>7.1011122009754665E-2</v>
          </cell>
          <cell r="R71">
            <v>9.6279812989868166E-2</v>
          </cell>
          <cell r="S71">
            <v>0.10465456820655117</v>
          </cell>
          <cell r="T71">
            <v>0.10952086837321043</v>
          </cell>
          <cell r="AD71">
            <v>5.9791863765373703E-2</v>
          </cell>
          <cell r="AE71">
            <v>0.10661622458191823</v>
          </cell>
          <cell r="AF71">
            <v>6.9358178053830224E-2</v>
          </cell>
          <cell r="AG71">
            <v>5.0140479792522154E-2</v>
          </cell>
          <cell r="AH71">
            <v>3.8244811666738578E-2</v>
          </cell>
          <cell r="AI71">
            <v>8.7819185645272607E-2</v>
          </cell>
          <cell r="AJ71">
            <v>1.4479638009049773E-2</v>
          </cell>
          <cell r="AK71">
            <v>5.1343748647595965E-2</v>
          </cell>
          <cell r="AL71">
            <v>7.1234060946617677E-3</v>
          </cell>
          <cell r="AM71">
            <v>8.6595799844438687E-2</v>
          </cell>
          <cell r="AN71">
            <v>6.7049009384775801E-2</v>
          </cell>
          <cell r="AO71">
            <v>8.8316054917343789E-2</v>
          </cell>
          <cell r="AP71" t="e">
            <v>#REF!</v>
          </cell>
          <cell r="AQ71" t="e">
            <v>#REF!</v>
          </cell>
          <cell r="AR71" t="e">
            <v>#REF!</v>
          </cell>
          <cell r="AS71" t="e">
            <v>#REF!</v>
          </cell>
          <cell r="AT71">
            <v>2.3254753545209977E-2</v>
          </cell>
          <cell r="AU71">
            <v>0.11559552634613168</v>
          </cell>
          <cell r="AV71">
            <v>8.4935785376314021E-2</v>
          </cell>
          <cell r="AW71">
            <v>7.9859369506621355E-2</v>
          </cell>
          <cell r="AX71">
            <v>1.3449835428950297E-2</v>
          </cell>
          <cell r="AY71">
            <v>6.1685915560454302E-2</v>
          </cell>
          <cell r="AZ71">
            <v>7.7245639008854672E-2</v>
          </cell>
          <cell r="BA71">
            <v>0.10407335907335907</v>
          </cell>
          <cell r="BB71">
            <v>8.833107191316146E-2</v>
          </cell>
          <cell r="BC71">
            <v>7.4113021875979845E-2</v>
          </cell>
          <cell r="BD71">
            <v>0.10542770299609205</v>
          </cell>
          <cell r="BE71">
            <v>6.2647930776832408E-2</v>
          </cell>
          <cell r="BF71">
            <v>7.5522926946684318E-2</v>
          </cell>
          <cell r="BG71">
            <v>7.0319305084337924E-2</v>
          </cell>
          <cell r="BH71">
            <v>7.7524900158783619E-2</v>
          </cell>
          <cell r="BI71">
            <v>5.9664291752203842E-2</v>
          </cell>
          <cell r="BJ71">
            <v>6.8513757058752858E-2</v>
          </cell>
          <cell r="BK71">
            <v>7.1243790645772839E-2</v>
          </cell>
          <cell r="BL71">
            <v>9.8488411152166611E-2</v>
          </cell>
          <cell r="BM71">
            <v>3.7947557246394259E-2</v>
          </cell>
          <cell r="BN71">
            <v>6.676286676286676E-2</v>
          </cell>
          <cell r="BO71">
            <v>9.9523485364193337E-2</v>
          </cell>
          <cell r="BP71">
            <v>0.12906471981057618</v>
          </cell>
          <cell r="BQ71">
            <v>7.7324324784083159E-2</v>
          </cell>
          <cell r="BR71">
            <v>2.4006906102438687E-2</v>
          </cell>
          <cell r="BS71">
            <v>6.18591903626916E-2</v>
          </cell>
          <cell r="BT71">
            <v>7.4586325117947272E-2</v>
          </cell>
          <cell r="BU71">
            <v>9.060716896201601E-2</v>
          </cell>
        </row>
        <row r="73">
          <cell r="A73" t="str">
            <v>Levered OFCF, less dividends</v>
          </cell>
          <cell r="I73">
            <v>7612</v>
          </cell>
          <cell r="J73">
            <v>3814</v>
          </cell>
          <cell r="K73">
            <v>7440</v>
          </cell>
          <cell r="L73">
            <v>4775</v>
          </cell>
          <cell r="M73">
            <v>4204</v>
          </cell>
          <cell r="N73">
            <v>8675.4328268759073</v>
          </cell>
          <cell r="O73">
            <v>2053.5180756107511</v>
          </cell>
          <cell r="P73">
            <v>1513.884659715437</v>
          </cell>
          <cell r="Q73">
            <v>2909.3387708777263</v>
          </cell>
          <cell r="R73">
            <v>7133.6156933071361</v>
          </cell>
          <cell r="S73">
            <v>8288.0913211010957</v>
          </cell>
          <cell r="T73">
            <v>8796.1197495094239</v>
          </cell>
          <cell r="AD73">
            <v>841</v>
          </cell>
          <cell r="AE73">
            <v>1998</v>
          </cell>
          <cell r="AF73">
            <v>738</v>
          </cell>
          <cell r="AG73">
            <v>182</v>
          </cell>
          <cell r="AH73">
            <v>74</v>
          </cell>
          <cell r="AI73">
            <v>1510</v>
          </cell>
          <cell r="AJ73">
            <v>-616</v>
          </cell>
          <cell r="AK73">
            <v>447</v>
          </cell>
          <cell r="AL73">
            <v>-860</v>
          </cell>
          <cell r="AM73">
            <v>1441</v>
          </cell>
          <cell r="AN73">
            <v>863</v>
          </cell>
          <cell r="AO73">
            <v>1698</v>
          </cell>
          <cell r="AP73">
            <v>-652</v>
          </cell>
          <cell r="AQ73">
            <v>1182</v>
          </cell>
          <cell r="AR73">
            <v>32</v>
          </cell>
          <cell r="AS73">
            <v>1580</v>
          </cell>
          <cell r="AT73">
            <v>-943</v>
          </cell>
          <cell r="AU73">
            <v>4070</v>
          </cell>
          <cell r="AV73">
            <v>2385</v>
          </cell>
          <cell r="AW73">
            <v>2100</v>
          </cell>
          <cell r="AX73">
            <v>-1712</v>
          </cell>
          <cell r="AY73">
            <v>838</v>
          </cell>
          <cell r="AZ73">
            <v>1654</v>
          </cell>
          <cell r="BA73">
            <v>3034</v>
          </cell>
          <cell r="BB73">
            <v>2141</v>
          </cell>
          <cell r="BC73">
            <v>1423</v>
          </cell>
          <cell r="BD73">
            <v>3045</v>
          </cell>
          <cell r="BE73">
            <v>831</v>
          </cell>
          <cell r="BF73">
            <v>1443</v>
          </cell>
          <cell r="BG73">
            <v>1172</v>
          </cell>
          <cell r="BH73">
            <v>1552</v>
          </cell>
          <cell r="BI73">
            <v>608</v>
          </cell>
          <cell r="BJ73">
            <v>1024</v>
          </cell>
          <cell r="BK73">
            <v>1169</v>
          </cell>
          <cell r="BL73">
            <v>2586</v>
          </cell>
          <cell r="BM73">
            <v>-575</v>
          </cell>
          <cell r="BN73">
            <v>864</v>
          </cell>
          <cell r="BO73">
            <v>2536</v>
          </cell>
          <cell r="BP73">
            <v>3990</v>
          </cell>
          <cell r="BQ73">
            <v>1285.4328268759077</v>
          </cell>
          <cell r="BR73">
            <v>-1345.3069009000724</v>
          </cell>
          <cell r="BS73">
            <v>505.85894175749308</v>
          </cell>
          <cell r="BT73">
            <v>1110.0669231002307</v>
          </cell>
          <cell r="BU73">
            <v>1782.8991116531024</v>
          </cell>
        </row>
        <row r="74">
          <cell r="BP74">
            <v>-0.39000152881822353</v>
          </cell>
        </row>
        <row r="75">
          <cell r="A75" t="str">
            <v>Comparative FCF (net income+D&amp;A-capex-div)</v>
          </cell>
        </row>
        <row r="76">
          <cell r="A76" t="str">
            <v>Net income</v>
          </cell>
          <cell r="C76">
            <v>7954</v>
          </cell>
          <cell r="D76">
            <v>7219</v>
          </cell>
          <cell r="E76">
            <v>4808</v>
          </cell>
          <cell r="F76">
            <v>4852</v>
          </cell>
          <cell r="G76">
            <v>5795.0949999999984</v>
          </cell>
          <cell r="I76">
            <v>16993</v>
          </cell>
          <cell r="J76">
            <v>14099.37</v>
          </cell>
          <cell r="K76">
            <v>12329</v>
          </cell>
          <cell r="L76">
            <v>13626.060000000001</v>
          </cell>
          <cell r="M76">
            <v>13109.514999999999</v>
          </cell>
          <cell r="N76">
            <v>13943.267107472699</v>
          </cell>
          <cell r="O76">
            <v>13920.249600637895</v>
          </cell>
          <cell r="P76">
            <v>13809.152645195958</v>
          </cell>
          <cell r="Q76">
            <v>13992.420561844734</v>
          </cell>
          <cell r="R76">
            <v>15101.901061697421</v>
          </cell>
          <cell r="S76">
            <v>16287.128126045835</v>
          </cell>
          <cell r="T76">
            <v>16616.776692176267</v>
          </cell>
          <cell r="AT76">
            <v>4048</v>
          </cell>
          <cell r="AU76">
            <v>4308</v>
          </cell>
          <cell r="AV76">
            <v>4321</v>
          </cell>
          <cell r="AW76">
            <v>4316</v>
          </cell>
          <cell r="AX76">
            <v>3768.62</v>
          </cell>
          <cell r="AY76">
            <v>3841</v>
          </cell>
          <cell r="AZ76">
            <v>3337</v>
          </cell>
          <cell r="BA76">
            <v>3152.7500000000009</v>
          </cell>
          <cell r="BB76">
            <v>3074</v>
          </cell>
          <cell r="BC76">
            <v>3160</v>
          </cell>
          <cell r="BD76">
            <v>3148</v>
          </cell>
          <cell r="BE76">
            <v>2947</v>
          </cell>
          <cell r="BF76">
            <v>3451</v>
          </cell>
          <cell r="BG76">
            <v>3591</v>
          </cell>
          <cell r="BH76">
            <v>3226</v>
          </cell>
          <cell r="BI76">
            <v>3358.0600000000004</v>
          </cell>
          <cell r="BJ76">
            <v>3408</v>
          </cell>
          <cell r="BK76">
            <v>3591</v>
          </cell>
          <cell r="BL76">
            <v>3623</v>
          </cell>
          <cell r="BM76">
            <v>2487.5149999999999</v>
          </cell>
          <cell r="BN76">
            <v>3584</v>
          </cell>
          <cell r="BO76">
            <v>3902</v>
          </cell>
          <cell r="BP76">
            <v>3635</v>
          </cell>
          <cell r="BQ76">
            <v>2822.2671074726923</v>
          </cell>
          <cell r="BR76">
            <v>3586.9130023552611</v>
          </cell>
          <cell r="BS76">
            <v>3891.7162550075468</v>
          </cell>
          <cell r="BT76">
            <v>3787.6149795105648</v>
          </cell>
          <cell r="BU76">
            <v>2654.0053637645183</v>
          </cell>
        </row>
        <row r="77">
          <cell r="A77" t="str">
            <v xml:space="preserve">  Less:  Equity earnings in unconsolidated partnerships</v>
          </cell>
          <cell r="C77">
            <v>1382</v>
          </cell>
          <cell r="D77">
            <v>1548</v>
          </cell>
          <cell r="E77">
            <v>1253</v>
          </cell>
          <cell r="F77">
            <v>880</v>
          </cell>
          <cell r="G77">
            <v>1999.8</v>
          </cell>
          <cell r="I77">
            <v>0</v>
          </cell>
          <cell r="J77">
            <v>-261</v>
          </cell>
          <cell r="K77">
            <v>-308</v>
          </cell>
          <cell r="L77">
            <v>-315</v>
          </cell>
          <cell r="M77">
            <v>-240</v>
          </cell>
          <cell r="N77">
            <v>-263</v>
          </cell>
          <cell r="O77">
            <v>-264</v>
          </cell>
          <cell r="P77">
            <v>-824</v>
          </cell>
          <cell r="Q77">
            <v>-824</v>
          </cell>
          <cell r="R77">
            <v>-824</v>
          </cell>
          <cell r="S77">
            <v>-824</v>
          </cell>
          <cell r="T77">
            <v>-824</v>
          </cell>
          <cell r="AT77">
            <v>0</v>
          </cell>
          <cell r="AU77">
            <v>-58</v>
          </cell>
          <cell r="AV77">
            <v>-44</v>
          </cell>
          <cell r="AW77">
            <v>-52</v>
          </cell>
          <cell r="AX77">
            <v>-58</v>
          </cell>
          <cell r="AY77">
            <v>-71</v>
          </cell>
          <cell r="AZ77">
            <v>-59</v>
          </cell>
          <cell r="BA77">
            <v>-73</v>
          </cell>
          <cell r="BB77">
            <v>-75</v>
          </cell>
          <cell r="BC77">
            <v>-77</v>
          </cell>
          <cell r="BD77">
            <v>-82</v>
          </cell>
          <cell r="BE77">
            <v>-74</v>
          </cell>
          <cell r="BF77">
            <v>-87</v>
          </cell>
          <cell r="BG77">
            <v>-79</v>
          </cell>
          <cell r="BH77">
            <v>-77</v>
          </cell>
          <cell r="BI77">
            <v>-72</v>
          </cell>
          <cell r="BJ77">
            <v>-60</v>
          </cell>
          <cell r="BK77">
            <v>-67</v>
          </cell>
          <cell r="BL77">
            <v>-63</v>
          </cell>
          <cell r="BM77">
            <v>-50</v>
          </cell>
          <cell r="BN77">
            <v>-68</v>
          </cell>
          <cell r="BO77">
            <v>-63</v>
          </cell>
          <cell r="BP77">
            <v>-66</v>
          </cell>
          <cell r="BQ77">
            <v>-66</v>
          </cell>
          <cell r="BR77">
            <v>-66</v>
          </cell>
          <cell r="BS77">
            <v>-66</v>
          </cell>
          <cell r="BT77">
            <v>-66</v>
          </cell>
          <cell r="BU77">
            <v>-66</v>
          </cell>
        </row>
        <row r="78">
          <cell r="A78" t="str">
            <v xml:space="preserve">   Plus: D&amp;A</v>
          </cell>
          <cell r="C78">
            <v>9037</v>
          </cell>
          <cell r="D78">
            <v>8578</v>
          </cell>
          <cell r="E78">
            <v>7870</v>
          </cell>
          <cell r="F78">
            <v>7564</v>
          </cell>
          <cell r="G78">
            <v>7643</v>
          </cell>
          <cell r="I78">
            <v>15337</v>
          </cell>
          <cell r="J78">
            <v>19673</v>
          </cell>
          <cell r="K78">
            <v>19515</v>
          </cell>
          <cell r="L78">
            <v>19291</v>
          </cell>
          <cell r="M78">
            <v>18377</v>
          </cell>
          <cell r="N78">
            <v>18086.99246902925</v>
          </cell>
          <cell r="O78">
            <v>18512.994333530172</v>
          </cell>
          <cell r="P78">
            <v>19166.439650827953</v>
          </cell>
          <cell r="Q78">
            <v>19832.258950685773</v>
          </cell>
          <cell r="R78">
            <v>20158.683225518234</v>
          </cell>
          <cell r="S78">
            <v>20351.621725514888</v>
          </cell>
          <cell r="T78">
            <v>20537.378393885941</v>
          </cell>
          <cell r="AT78">
            <v>3856</v>
          </cell>
          <cell r="AU78">
            <v>3763</v>
          </cell>
          <cell r="AV78">
            <v>3878</v>
          </cell>
          <cell r="AW78">
            <v>3840</v>
          </cell>
          <cell r="AX78">
            <v>4850</v>
          </cell>
          <cell r="AY78">
            <v>4906</v>
          </cell>
          <cell r="AZ78">
            <v>4925</v>
          </cell>
          <cell r="BA78">
            <v>4992</v>
          </cell>
          <cell r="BB78">
            <v>4836</v>
          </cell>
          <cell r="BC78">
            <v>4853</v>
          </cell>
          <cell r="BD78">
            <v>4860</v>
          </cell>
          <cell r="BE78">
            <v>4966</v>
          </cell>
          <cell r="BF78">
            <v>4780</v>
          </cell>
          <cell r="BG78">
            <v>4819</v>
          </cell>
          <cell r="BH78">
            <v>4873</v>
          </cell>
          <cell r="BI78">
            <v>4819</v>
          </cell>
          <cell r="BJ78">
            <v>4584</v>
          </cell>
          <cell r="BK78">
            <v>4602</v>
          </cell>
          <cell r="BL78">
            <v>4618</v>
          </cell>
          <cell r="BM78">
            <v>4573</v>
          </cell>
          <cell r="BN78">
            <v>4560</v>
          </cell>
          <cell r="BO78">
            <v>4499</v>
          </cell>
          <cell r="BP78">
            <v>4512</v>
          </cell>
          <cell r="BQ78">
            <v>4515.9924690292492</v>
          </cell>
          <cell r="BR78">
            <v>4564.3511915896424</v>
          </cell>
          <cell r="BS78">
            <v>4605.8406966936063</v>
          </cell>
          <cell r="BT78">
            <v>4649.0852527081279</v>
          </cell>
          <cell r="BU78">
            <v>4693.7171925387956</v>
          </cell>
        </row>
        <row r="79">
          <cell r="A79" t="str">
            <v xml:space="preserve">   Less: Capex</v>
          </cell>
          <cell r="C79">
            <v>11189</v>
          </cell>
          <cell r="D79">
            <v>6808</v>
          </cell>
          <cell r="E79">
            <v>5219</v>
          </cell>
          <cell r="F79">
            <v>5099</v>
          </cell>
          <cell r="G79">
            <v>5565</v>
          </cell>
          <cell r="I79">
            <v>17888</v>
          </cell>
          <cell r="J79">
            <v>20309</v>
          </cell>
          <cell r="K79">
            <v>17294</v>
          </cell>
          <cell r="L79">
            <v>20302</v>
          </cell>
          <cell r="M79">
            <v>20272</v>
          </cell>
          <cell r="N79">
            <v>19162.55962335299</v>
          </cell>
          <cell r="O79">
            <v>21202.006373027765</v>
          </cell>
          <cell r="P79">
            <v>21533.975925207724</v>
          </cell>
          <cell r="Q79">
            <v>21777.642675401381</v>
          </cell>
          <cell r="R79">
            <v>18131.886952957339</v>
          </cell>
          <cell r="S79">
            <v>18134.467417477132</v>
          </cell>
          <cell r="T79">
            <v>18206.332772874521</v>
          </cell>
          <cell r="AT79">
            <v>3373</v>
          </cell>
          <cell r="AU79">
            <v>4165</v>
          </cell>
          <cell r="AV79">
            <v>4711</v>
          </cell>
          <cell r="AW79">
            <v>5639</v>
          </cell>
          <cell r="AX79">
            <v>4248</v>
          </cell>
          <cell r="AY79">
            <v>5329</v>
          </cell>
          <cell r="AZ79">
            <v>5251</v>
          </cell>
          <cell r="BA79">
            <v>5481</v>
          </cell>
          <cell r="BB79">
            <v>3348</v>
          </cell>
          <cell r="BC79">
            <v>4037</v>
          </cell>
          <cell r="BD79">
            <v>4202</v>
          </cell>
          <cell r="BE79">
            <v>5707</v>
          </cell>
          <cell r="BF79">
            <v>3331</v>
          </cell>
          <cell r="BG79">
            <v>4904</v>
          </cell>
          <cell r="BH79">
            <v>5512</v>
          </cell>
          <cell r="BI79">
            <v>6555</v>
          </cell>
          <cell r="BJ79">
            <v>4168</v>
          </cell>
          <cell r="BK79">
            <v>5314</v>
          </cell>
          <cell r="BL79">
            <v>5262</v>
          </cell>
          <cell r="BM79">
            <v>5528</v>
          </cell>
          <cell r="BN79">
            <v>4326</v>
          </cell>
          <cell r="BO79">
            <v>4540</v>
          </cell>
          <cell r="BP79">
            <v>4944</v>
          </cell>
          <cell r="BQ79">
            <v>5352.5596233529905</v>
          </cell>
          <cell r="BR79">
            <v>5111.1721041866404</v>
          </cell>
          <cell r="BS79">
            <v>5248.8486519187591</v>
          </cell>
          <cell r="BT79">
            <v>5373.3015763477288</v>
          </cell>
          <cell r="BU79">
            <v>5468.6840405746361</v>
          </cell>
        </row>
        <row r="80">
          <cell r="A80" t="str">
            <v xml:space="preserve">   Less: Dividends</v>
          </cell>
          <cell r="C80">
            <v>3456</v>
          </cell>
          <cell r="D80">
            <v>3557</v>
          </cell>
          <cell r="E80">
            <v>4539</v>
          </cell>
          <cell r="F80">
            <v>4169.51</v>
          </cell>
          <cell r="G80">
            <v>4256</v>
          </cell>
          <cell r="I80">
            <v>8997.2974999999988</v>
          </cell>
          <cell r="J80">
            <v>9609.2849999999999</v>
          </cell>
          <cell r="K80">
            <v>9730.8744102499986</v>
          </cell>
          <cell r="L80">
            <v>9982.4551432243989</v>
          </cell>
          <cell r="M80">
            <v>10241.121442597168</v>
          </cell>
          <cell r="N80">
            <v>10235.419634762033</v>
          </cell>
          <cell r="O80">
            <v>9993.1622142857159</v>
          </cell>
          <cell r="P80">
            <v>9892.6917235714282</v>
          </cell>
          <cell r="Q80">
            <v>9969.5933724214301</v>
          </cell>
          <cell r="R80">
            <v>10183.752870115502</v>
          </cell>
          <cell r="S80">
            <v>10430.948021163684</v>
          </cell>
          <cell r="T80">
            <v>10683.809503691649</v>
          </cell>
          <cell r="AT80">
            <v>2218</v>
          </cell>
          <cell r="AU80">
            <v>2196</v>
          </cell>
          <cell r="AV80">
            <v>2170</v>
          </cell>
          <cell r="AW80">
            <v>2159</v>
          </cell>
          <cell r="AX80">
            <v>2422</v>
          </cell>
          <cell r="AY80">
            <v>2370.4</v>
          </cell>
          <cell r="AZ80">
            <v>2357.2000000000003</v>
          </cell>
          <cell r="BA80">
            <v>2416.1299999999997</v>
          </cell>
          <cell r="BB80">
            <v>2417.3599999999997</v>
          </cell>
          <cell r="BC80">
            <v>2419</v>
          </cell>
          <cell r="BD80">
            <v>2419.41</v>
          </cell>
          <cell r="BE80">
            <v>2478.8394097999994</v>
          </cell>
          <cell r="BF80">
            <v>2480.0994094999996</v>
          </cell>
          <cell r="BG80">
            <v>2481.7794090999996</v>
          </cell>
          <cell r="BH80">
            <v>2482.1994089999994</v>
          </cell>
          <cell r="BI80">
            <v>2542.2022747135998</v>
          </cell>
          <cell r="BJ80">
            <v>2548.2233932799995</v>
          </cell>
          <cell r="BK80">
            <v>2551.2339525631996</v>
          </cell>
          <cell r="BL80">
            <v>2552.9542721535995</v>
          </cell>
          <cell r="BM80">
            <v>2620.0316833827833</v>
          </cell>
          <cell r="BN80">
            <v>2620.0316833827833</v>
          </cell>
          <cell r="BO80">
            <v>2576.0345098583034</v>
          </cell>
          <cell r="BP80">
            <v>2548.3162905378808</v>
          </cell>
          <cell r="BQ80">
            <v>2552.85</v>
          </cell>
          <cell r="BR80">
            <v>2523.0857142857144</v>
          </cell>
          <cell r="BS80">
            <v>2494.1571428571424</v>
          </cell>
          <cell r="BT80">
            <v>2465.2285714285713</v>
          </cell>
          <cell r="BU80">
            <v>2509.3889999999992</v>
          </cell>
        </row>
        <row r="81">
          <cell r="A81" t="str">
            <v>Free cash flow</v>
          </cell>
          <cell r="C81">
            <v>964</v>
          </cell>
          <cell r="D81">
            <v>3884</v>
          </cell>
          <cell r="E81">
            <v>1667</v>
          </cell>
          <cell r="F81">
            <v>2267.4899999999998</v>
          </cell>
          <cell r="G81">
            <v>1617.2950000000001</v>
          </cell>
          <cell r="I81">
            <v>5444.7025000000012</v>
          </cell>
          <cell r="J81">
            <v>4115.0850000000028</v>
          </cell>
          <cell r="K81">
            <v>5127.1255897500014</v>
          </cell>
          <cell r="L81">
            <v>2947.6048567755988</v>
          </cell>
          <cell r="M81">
            <v>1213.393557402831</v>
          </cell>
          <cell r="N81">
            <v>2895.2803183869273</v>
          </cell>
          <cell r="O81">
            <v>1502.0753468545845</v>
          </cell>
          <cell r="P81">
            <v>2372.9246472447594</v>
          </cell>
          <cell r="Q81">
            <v>2901.443464707696</v>
          </cell>
          <cell r="R81">
            <v>7768.9444641428163</v>
          </cell>
          <cell r="S81">
            <v>8897.3344129199068</v>
          </cell>
          <cell r="T81">
            <v>9088.0128094960382</v>
          </cell>
          <cell r="AT81">
            <v>2313</v>
          </cell>
          <cell r="AU81">
            <v>1768</v>
          </cell>
          <cell r="AV81">
            <v>1362</v>
          </cell>
          <cell r="AW81">
            <v>410</v>
          </cell>
          <cell r="AX81">
            <v>2006.619999999999</v>
          </cell>
          <cell r="AY81">
            <v>1118.5999999999999</v>
          </cell>
          <cell r="AZ81">
            <v>712.79999999999973</v>
          </cell>
          <cell r="BA81">
            <v>320.62000000000035</v>
          </cell>
          <cell r="BB81">
            <v>2219.6400000000003</v>
          </cell>
          <cell r="BC81">
            <v>1634</v>
          </cell>
          <cell r="BD81">
            <v>1468.5900000000001</v>
          </cell>
          <cell r="BE81">
            <v>-198.83940979999943</v>
          </cell>
          <cell r="BF81">
            <v>2506.9005905000004</v>
          </cell>
          <cell r="BG81">
            <v>1103.2205909000004</v>
          </cell>
          <cell r="BH81">
            <v>181.80059100000062</v>
          </cell>
          <cell r="BI81">
            <v>-848.14227471359845</v>
          </cell>
          <cell r="BJ81">
            <v>1335.7766067200005</v>
          </cell>
          <cell r="BK81">
            <v>394.76604743680036</v>
          </cell>
          <cell r="BL81">
            <v>489.0457278464005</v>
          </cell>
          <cell r="BM81">
            <v>-1037.5166833827839</v>
          </cell>
          <cell r="BN81">
            <v>1265.9683166172167</v>
          </cell>
          <cell r="BO81">
            <v>1347.9654901416966</v>
          </cell>
          <cell r="BP81">
            <v>720.68370946211917</v>
          </cell>
          <cell r="BQ81">
            <v>-501.15004685104896</v>
          </cell>
          <cell r="BR81">
            <v>583.00637547254928</v>
          </cell>
          <cell r="BS81">
            <v>820.55115692525214</v>
          </cell>
          <cell r="BT81">
            <v>664.17008444239264</v>
          </cell>
          <cell r="BU81">
            <v>-564.35048427132187</v>
          </cell>
        </row>
        <row r="84">
          <cell r="A84" t="str">
            <v>Taxes</v>
          </cell>
        </row>
        <row r="85">
          <cell r="A85" t="str">
            <v>Current Taxes Paid</v>
          </cell>
          <cell r="B85">
            <v>3828</v>
          </cell>
          <cell r="C85">
            <v>2024</v>
          </cell>
          <cell r="D85">
            <v>544</v>
          </cell>
        </row>
        <row r="86">
          <cell r="A86" t="str">
            <v>Deferred Taxes, Net</v>
          </cell>
          <cell r="B86">
            <v>1059</v>
          </cell>
          <cell r="C86">
            <v>1972</v>
          </cell>
          <cell r="D86">
            <v>2470</v>
          </cell>
        </row>
        <row r="87">
          <cell r="A87" t="str">
            <v>Investment Tax Credits</v>
          </cell>
          <cell r="B87">
            <v>-71</v>
          </cell>
          <cell r="C87">
            <v>-44</v>
          </cell>
          <cell r="D87">
            <v>-30</v>
          </cell>
        </row>
        <row r="88">
          <cell r="A88" t="str">
            <v>Provision for Taxes</v>
          </cell>
          <cell r="B88">
            <v>4816</v>
          </cell>
          <cell r="C88">
            <v>3952</v>
          </cell>
          <cell r="D88">
            <v>2984</v>
          </cell>
        </row>
        <row r="89">
          <cell r="A89" t="str">
            <v>% cash to book tax ratio</v>
          </cell>
          <cell r="B89">
            <v>0.79485049833887045</v>
          </cell>
          <cell r="C89">
            <v>0.51214574898785425</v>
          </cell>
          <cell r="D89">
            <v>0.18230563002680966</v>
          </cell>
        </row>
        <row r="90">
          <cell r="A90" t="str">
            <v>Deferred Tax Assets - Temporary Differences</v>
          </cell>
        </row>
        <row r="91">
          <cell r="A91" t="str">
            <v>Employee Benefits</v>
          </cell>
          <cell r="B91">
            <v>2069</v>
          </cell>
          <cell r="C91">
            <v>2046</v>
          </cell>
          <cell r="D91">
            <v>3078</v>
          </cell>
        </row>
        <row r="92">
          <cell r="A92" t="str">
            <v>Currency Translation Adjustments</v>
          </cell>
          <cell r="B92">
            <v>698</v>
          </cell>
          <cell r="C92">
            <v>871</v>
          </cell>
          <cell r="D92">
            <v>519</v>
          </cell>
        </row>
        <row r="93">
          <cell r="A93" t="str">
            <v>Allowance for uncollectibles</v>
          </cell>
          <cell r="B93">
            <v>205</v>
          </cell>
          <cell r="C93">
            <v>286</v>
          </cell>
          <cell r="D93">
            <v>456</v>
          </cell>
        </row>
        <row r="94">
          <cell r="A94" t="str">
            <v>Unamortized investment tax credits</v>
          </cell>
          <cell r="B94">
            <v>122</v>
          </cell>
          <cell r="C94">
            <v>106</v>
          </cell>
          <cell r="D94">
            <v>93</v>
          </cell>
        </row>
        <row r="95">
          <cell r="A95" t="str">
            <v>Other</v>
          </cell>
          <cell r="B95">
            <v>2052</v>
          </cell>
          <cell r="C95">
            <v>1329</v>
          </cell>
          <cell r="D95">
            <v>1285</v>
          </cell>
        </row>
        <row r="96">
          <cell r="A96" t="str">
            <v>Total</v>
          </cell>
          <cell r="B96">
            <v>5146</v>
          </cell>
          <cell r="C96">
            <v>4638</v>
          </cell>
          <cell r="D96">
            <v>5431</v>
          </cell>
        </row>
        <row r="97">
          <cell r="A97" t="str">
            <v>Valuation allowance</v>
          </cell>
          <cell r="B97">
            <v>-156</v>
          </cell>
          <cell r="C97">
            <v>-140</v>
          </cell>
          <cell r="D97">
            <v>-148</v>
          </cell>
        </row>
        <row r="98">
          <cell r="A98" t="str">
            <v xml:space="preserve"> Gross Deferred tax assets</v>
          </cell>
          <cell r="B98">
            <v>4990</v>
          </cell>
          <cell r="C98">
            <v>4498</v>
          </cell>
          <cell r="D98">
            <v>5283</v>
          </cell>
        </row>
        <row r="99">
          <cell r="A99" t="str">
            <v>Deferred Tax Liabilities - Temporary Differences</v>
          </cell>
        </row>
        <row r="100">
          <cell r="A100" t="str">
            <v>Depreciation and amortization</v>
          </cell>
          <cell r="B100">
            <v>-7683</v>
          </cell>
          <cell r="C100">
            <v>-6749</v>
          </cell>
          <cell r="D100">
            <v>-9231</v>
          </cell>
        </row>
        <row r="101">
          <cell r="A101" t="str">
            <v>Equity in foreign affiliates</v>
          </cell>
          <cell r="B101">
            <v>-789</v>
          </cell>
          <cell r="C101">
            <v>-586</v>
          </cell>
          <cell r="D101">
            <v>-643</v>
          </cell>
        </row>
        <row r="102">
          <cell r="A102" t="str">
            <v>Deferred directory expenses</v>
          </cell>
          <cell r="B102">
            <v>-533</v>
          </cell>
          <cell r="C102">
            <v>-498</v>
          </cell>
          <cell r="D102">
            <v>-493</v>
          </cell>
        </row>
        <row r="103">
          <cell r="A103" t="str">
            <v>Other</v>
          </cell>
          <cell r="B103">
            <v>-1794</v>
          </cell>
          <cell r="C103">
            <v>-3777</v>
          </cell>
          <cell r="D103">
            <v>-4611</v>
          </cell>
        </row>
        <row r="104">
          <cell r="A104" t="str">
            <v>Gross Deferred tax liabilities</v>
          </cell>
          <cell r="B104">
            <v>-10799</v>
          </cell>
          <cell r="C104">
            <v>-11610</v>
          </cell>
          <cell r="D104">
            <v>-14978</v>
          </cell>
        </row>
        <row r="105">
          <cell r="A105" t="str">
            <v>Unamortized tax liabilities</v>
          </cell>
          <cell r="B105">
            <v>0</v>
          </cell>
          <cell r="C105">
            <v>0</v>
          </cell>
          <cell r="D105">
            <v>0</v>
          </cell>
        </row>
        <row r="106">
          <cell r="A106" t="str">
            <v>Net Deferred Tax Asset (Liability)</v>
          </cell>
          <cell r="B106">
            <v>-5809</v>
          </cell>
          <cell r="C106">
            <v>-7112</v>
          </cell>
          <cell r="D106">
            <v>-9695</v>
          </cell>
        </row>
        <row r="108">
          <cell r="A108" t="str">
            <v>Reported income tax expense</v>
          </cell>
          <cell r="B108">
            <v>4455</v>
          </cell>
          <cell r="C108">
            <v>2920</v>
          </cell>
          <cell r="D108">
            <v>3531</v>
          </cell>
          <cell r="E108">
            <v>2340</v>
          </cell>
          <cell r="F108">
            <v>1977</v>
          </cell>
          <cell r="G108">
            <v>2521.54</v>
          </cell>
          <cell r="H108" t="e">
            <v>#REF!</v>
          </cell>
          <cell r="I108">
            <v>9118</v>
          </cell>
          <cell r="J108">
            <v>7208.6299999999992</v>
          </cell>
          <cell r="K108">
            <v>6426</v>
          </cell>
          <cell r="L108">
            <v>7204.94</v>
          </cell>
          <cell r="M108">
            <v>6737.4850000000006</v>
          </cell>
          <cell r="N108">
            <v>7159.8951765768415</v>
          </cell>
          <cell r="O108">
            <v>7307.0376730558837</v>
          </cell>
          <cell r="P108">
            <v>7538.2907566160984</v>
          </cell>
          <cell r="Q108">
            <v>7632.7015015563775</v>
          </cell>
          <cell r="R108">
            <v>8204.2520620865489</v>
          </cell>
          <cell r="S108">
            <v>8814.8235800842176</v>
          </cell>
          <cell r="T108">
            <v>8984.6425383938349</v>
          </cell>
          <cell r="Z108">
            <v>800</v>
          </cell>
          <cell r="AA108">
            <v>969</v>
          </cell>
          <cell r="AB108">
            <v>797</v>
          </cell>
          <cell r="AC108">
            <v>965</v>
          </cell>
          <cell r="AD108">
            <v>672</v>
          </cell>
          <cell r="AE108">
            <v>666</v>
          </cell>
          <cell r="AF108">
            <v>579</v>
          </cell>
          <cell r="AG108">
            <v>423</v>
          </cell>
          <cell r="AH108">
            <v>585</v>
          </cell>
          <cell r="AI108">
            <v>602</v>
          </cell>
          <cell r="AJ108">
            <v>608</v>
          </cell>
          <cell r="AK108">
            <v>182</v>
          </cell>
          <cell r="AL108">
            <v>416</v>
          </cell>
          <cell r="AM108">
            <v>574.54</v>
          </cell>
          <cell r="AN108">
            <v>751</v>
          </cell>
          <cell r="AO108">
            <v>780</v>
          </cell>
          <cell r="AP108" t="e">
            <v>#REF!</v>
          </cell>
          <cell r="AQ108" t="e">
            <v>#REF!</v>
          </cell>
          <cell r="AR108" t="e">
            <v>#REF!</v>
          </cell>
          <cell r="AS108" t="e">
            <v>#REF!</v>
          </cell>
          <cell r="AT108" t="e">
            <v>#REF!</v>
          </cell>
          <cell r="AU108" t="e">
            <v>#REF!</v>
          </cell>
          <cell r="AV108" t="e">
            <v>#REF!</v>
          </cell>
          <cell r="AW108" t="e">
            <v>#REF!</v>
          </cell>
          <cell r="AX108" t="e">
            <v>#REF!</v>
          </cell>
          <cell r="AY108" t="e">
            <v>#REF!</v>
          </cell>
          <cell r="AZ108" t="e">
            <v>#REF!</v>
          </cell>
          <cell r="BA108" t="e">
            <v>#REF!</v>
          </cell>
        </row>
        <row r="109">
          <cell r="A109" t="str">
            <v>Less: Increase in deferred taxes</v>
          </cell>
          <cell r="D109">
            <v>2576</v>
          </cell>
          <cell r="E109">
            <v>4344</v>
          </cell>
          <cell r="F109">
            <v>590</v>
          </cell>
          <cell r="G109">
            <v>53</v>
          </cell>
          <cell r="H109">
            <v>11693</v>
          </cell>
          <cell r="I109">
            <v>-2412</v>
          </cell>
          <cell r="J109">
            <v>-5798</v>
          </cell>
          <cell r="K109">
            <v>4607</v>
          </cell>
          <cell r="L109">
            <v>-1733</v>
          </cell>
          <cell r="M109">
            <v>3678</v>
          </cell>
          <cell r="N109">
            <v>3185.7999999999993</v>
          </cell>
          <cell r="O109">
            <v>2798.3696999999956</v>
          </cell>
          <cell r="P109">
            <v>-103.30113290000008</v>
          </cell>
          <cell r="Q109">
            <v>60.361364828804653</v>
          </cell>
          <cell r="R109">
            <v>238.00664020345357</v>
          </cell>
          <cell r="S109">
            <v>255.54529532366723</v>
          </cell>
          <cell r="T109">
            <v>275.18173917837703</v>
          </cell>
          <cell r="Z109">
            <v>737</v>
          </cell>
          <cell r="AA109">
            <v>494</v>
          </cell>
          <cell r="AB109">
            <v>254</v>
          </cell>
          <cell r="AC109">
            <v>1091</v>
          </cell>
        </row>
        <row r="110">
          <cell r="A110" t="str">
            <v>% of pre-tax income</v>
          </cell>
          <cell r="D110">
            <v>0.24025368401417646</v>
          </cell>
          <cell r="E110">
            <v>0.60772243984331287</v>
          </cell>
          <cell r="F110">
            <v>8.7200709429500436E-2</v>
          </cell>
          <cell r="G110">
            <v>6.3727697560371482E-3</v>
          </cell>
        </row>
        <row r="111">
          <cell r="A111" t="str">
            <v>Estimated cash-out income taxes</v>
          </cell>
          <cell r="D111">
            <v>955</v>
          </cell>
          <cell r="E111">
            <v>-2004</v>
          </cell>
          <cell r="F111">
            <v>1387</v>
          </cell>
          <cell r="G111">
            <v>2468.54</v>
          </cell>
          <cell r="H111" t="e">
            <v>#REF!</v>
          </cell>
          <cell r="I111">
            <v>11530</v>
          </cell>
          <cell r="J111">
            <v>13006.63</v>
          </cell>
          <cell r="K111">
            <v>1819</v>
          </cell>
          <cell r="L111">
            <v>8937.9399999999987</v>
          </cell>
          <cell r="M111">
            <v>3059.4850000000006</v>
          </cell>
          <cell r="N111">
            <v>3974.0951765768423</v>
          </cell>
          <cell r="O111">
            <v>4508.6679730558881</v>
          </cell>
          <cell r="P111">
            <v>7641.5918895160985</v>
          </cell>
          <cell r="Q111">
            <v>7572.3401367275728</v>
          </cell>
          <cell r="R111">
            <v>7966.2454218830953</v>
          </cell>
          <cell r="S111">
            <v>8559.2782847605504</v>
          </cell>
          <cell r="T111">
            <v>8709.4607992154579</v>
          </cell>
          <cell r="Z111">
            <v>63</v>
          </cell>
          <cell r="AA111">
            <v>475</v>
          </cell>
          <cell r="AB111">
            <v>543</v>
          </cell>
          <cell r="AC111">
            <v>-126</v>
          </cell>
          <cell r="AD111">
            <v>672</v>
          </cell>
          <cell r="AE111">
            <v>666</v>
          </cell>
          <cell r="AF111">
            <v>579</v>
          </cell>
          <cell r="AG111">
            <v>423</v>
          </cell>
          <cell r="AH111">
            <v>585</v>
          </cell>
          <cell r="AI111">
            <v>602</v>
          </cell>
          <cell r="AJ111">
            <v>608</v>
          </cell>
          <cell r="AK111">
            <v>182</v>
          </cell>
          <cell r="AL111">
            <v>416</v>
          </cell>
          <cell r="AM111">
            <v>574.54</v>
          </cell>
          <cell r="AN111">
            <v>751</v>
          </cell>
          <cell r="AO111">
            <v>780</v>
          </cell>
          <cell r="AP111" t="e">
            <v>#REF!</v>
          </cell>
          <cell r="AQ111" t="e">
            <v>#REF!</v>
          </cell>
          <cell r="AR111" t="e">
            <v>#REF!</v>
          </cell>
          <cell r="AS111" t="e">
            <v>#REF!</v>
          </cell>
          <cell r="AT111" t="e">
            <v>#REF!</v>
          </cell>
          <cell r="AU111" t="e">
            <v>#REF!</v>
          </cell>
          <cell r="AV111" t="e">
            <v>#REF!</v>
          </cell>
          <cell r="AW111" t="e">
            <v>#REF!</v>
          </cell>
          <cell r="AX111" t="e">
            <v>#REF!</v>
          </cell>
          <cell r="AY111" t="e">
            <v>#REF!</v>
          </cell>
          <cell r="AZ111" t="e">
            <v>#REF!</v>
          </cell>
          <cell r="BA111" t="e">
            <v>#REF!</v>
          </cell>
        </row>
        <row r="112">
          <cell r="A112" t="str">
            <v>% growth</v>
          </cell>
          <cell r="E112">
            <v>-3.0984293193717276</v>
          </cell>
          <cell r="F112">
            <v>-1.6921157684630739</v>
          </cell>
          <cell r="G112">
            <v>0.77976928622927177</v>
          </cell>
          <cell r="H112" t="e">
            <v>#REF!</v>
          </cell>
          <cell r="I112" t="e">
            <v>#REF!</v>
          </cell>
          <cell r="J112">
            <v>0.12806851691240229</v>
          </cell>
          <cell r="K112">
            <v>-0.86014824747071295</v>
          </cell>
          <cell r="L112">
            <v>3.9136558548653095</v>
          </cell>
          <cell r="M112">
            <v>-0.65769685184729354</v>
          </cell>
          <cell r="N112">
            <v>0.29894252679024125</v>
          </cell>
          <cell r="O112">
            <v>0.13451434168708309</v>
          </cell>
          <cell r="P112">
            <v>0.69486685095970269</v>
          </cell>
          <cell r="Q112">
            <v>-9.0624772677975196E-3</v>
          </cell>
          <cell r="R112">
            <v>5.2018963496501147E-2</v>
          </cell>
          <cell r="S112">
            <v>7.44432077435635E-2</v>
          </cell>
          <cell r="T112">
            <v>1.7546165629677146E-2</v>
          </cell>
          <cell r="Z112">
            <v>-0.93276414087513337</v>
          </cell>
          <cell r="AA112">
            <v>-0.57091237579042464</v>
          </cell>
          <cell r="AB112">
            <v>4.1714285714285717</v>
          </cell>
          <cell r="AC112">
            <v>-0.98292451551700777</v>
          </cell>
          <cell r="AD112">
            <v>9.6666666666666661</v>
          </cell>
          <cell r="AE112">
            <v>0.40210526315789474</v>
          </cell>
          <cell r="AF112">
            <v>6.6298342541436517E-2</v>
          </cell>
          <cell r="AG112">
            <v>-4.3571428571428577</v>
          </cell>
          <cell r="AH112">
            <v>-0.1294642857142857</v>
          </cell>
          <cell r="AI112">
            <v>-9.6096096096096151E-2</v>
          </cell>
          <cell r="AJ112">
            <v>5.0086355785837755E-2</v>
          </cell>
          <cell r="AK112">
            <v>-0.56973995271867617</v>
          </cell>
          <cell r="AL112">
            <v>-0.28888888888888886</v>
          </cell>
          <cell r="AM112">
            <v>-4.5614617940199387E-2</v>
          </cell>
          <cell r="AN112">
            <v>0.23519736842105265</v>
          </cell>
          <cell r="AO112">
            <v>3.2857142857142856</v>
          </cell>
          <cell r="AP112" t="e">
            <v>#REF!</v>
          </cell>
          <cell r="AQ112" t="e">
            <v>#REF!</v>
          </cell>
          <cell r="AR112" t="e">
            <v>#REF!</v>
          </cell>
          <cell r="AS112" t="e">
            <v>#REF!</v>
          </cell>
          <cell r="AT112" t="e">
            <v>#REF!</v>
          </cell>
          <cell r="AU112" t="e">
            <v>#REF!</v>
          </cell>
          <cell r="AV112" t="e">
            <v>#REF!</v>
          </cell>
          <cell r="AW112" t="e">
            <v>#REF!</v>
          </cell>
          <cell r="AX112" t="e">
            <v>#REF!</v>
          </cell>
          <cell r="AY112" t="e">
            <v>#REF!</v>
          </cell>
          <cell r="AZ112" t="e">
            <v>#REF!</v>
          </cell>
          <cell r="BA112" t="e">
            <v>#REF!</v>
          </cell>
        </row>
        <row r="113">
          <cell r="A113" t="str">
            <v xml:space="preserve">   diff from reported value in 10K/10Q</v>
          </cell>
          <cell r="D113">
            <v>-360</v>
          </cell>
          <cell r="E113">
            <v>-3325</v>
          </cell>
          <cell r="F113">
            <v>-350</v>
          </cell>
          <cell r="G113">
            <v>-350</v>
          </cell>
          <cell r="H113">
            <v>-350</v>
          </cell>
          <cell r="I113">
            <v>-350</v>
          </cell>
          <cell r="J113">
            <v>-350</v>
          </cell>
          <cell r="K113">
            <v>-350</v>
          </cell>
          <cell r="L113">
            <v>-350</v>
          </cell>
          <cell r="M113">
            <v>-350</v>
          </cell>
          <cell r="N113">
            <v>-350</v>
          </cell>
          <cell r="O113">
            <v>-350</v>
          </cell>
          <cell r="P113">
            <v>-350</v>
          </cell>
          <cell r="Q113">
            <v>-350</v>
          </cell>
          <cell r="R113">
            <v>-350</v>
          </cell>
          <cell r="S113">
            <v>-350</v>
          </cell>
          <cell r="T113">
            <v>-350</v>
          </cell>
          <cell r="Z113">
            <v>-90</v>
          </cell>
          <cell r="AA113">
            <v>-150</v>
          </cell>
          <cell r="AB113">
            <v>-150</v>
          </cell>
          <cell r="AC113">
            <v>-150</v>
          </cell>
          <cell r="AD113">
            <v>-87.5</v>
          </cell>
          <cell r="AE113">
            <v>-147.5</v>
          </cell>
          <cell r="AF113">
            <v>-147.5</v>
          </cell>
          <cell r="AG113">
            <v>32.5</v>
          </cell>
          <cell r="AH113">
            <v>-87.5</v>
          </cell>
          <cell r="AI113">
            <v>-147.5</v>
          </cell>
          <cell r="AJ113">
            <v>-147.5</v>
          </cell>
          <cell r="AK113">
            <v>32.5</v>
          </cell>
          <cell r="AL113">
            <v>-87.5</v>
          </cell>
          <cell r="AM113">
            <v>-147.5</v>
          </cell>
          <cell r="AN113">
            <v>202.5</v>
          </cell>
          <cell r="AO113" t="e">
            <v>#REF!</v>
          </cell>
        </row>
        <row r="115">
          <cell r="A115" t="str">
            <v>Feed to FCF model:</v>
          </cell>
        </row>
        <row r="116">
          <cell r="A116" t="str">
            <v>Reported cash income taxes, net of refunds (from 10K)</v>
          </cell>
          <cell r="B116">
            <v>3120</v>
          </cell>
          <cell r="C116">
            <v>2696</v>
          </cell>
          <cell r="D116">
            <v>1315</v>
          </cell>
          <cell r="E116">
            <v>1321</v>
          </cell>
          <cell r="F116">
            <v>506</v>
          </cell>
          <cell r="G116">
            <v>2038</v>
          </cell>
          <cell r="H116" t="e">
            <v>#REF!</v>
          </cell>
          <cell r="I116">
            <v>11880</v>
          </cell>
          <cell r="J116">
            <v>13356.63</v>
          </cell>
          <cell r="K116">
            <v>2169</v>
          </cell>
          <cell r="L116">
            <v>9287.9399999999987</v>
          </cell>
          <cell r="M116">
            <v>3409.4850000000006</v>
          </cell>
          <cell r="N116">
            <v>4324.0951765768423</v>
          </cell>
          <cell r="O116">
            <v>4858.6679730558881</v>
          </cell>
          <cell r="P116">
            <v>7991.5918895160985</v>
          </cell>
          <cell r="Q116">
            <v>7922.3401367275728</v>
          </cell>
          <cell r="R116">
            <v>8316.2454218830953</v>
          </cell>
          <cell r="S116">
            <v>8909.2782847605504</v>
          </cell>
          <cell r="T116">
            <v>9059.4607992154579</v>
          </cell>
          <cell r="Z116">
            <v>153</v>
          </cell>
          <cell r="AA116">
            <v>625</v>
          </cell>
          <cell r="AB116">
            <v>693</v>
          </cell>
          <cell r="AC116">
            <v>24</v>
          </cell>
          <cell r="AD116">
            <v>759.5</v>
          </cell>
          <cell r="AE116">
            <v>813.5</v>
          </cell>
          <cell r="AF116">
            <v>726.5</v>
          </cell>
          <cell r="AG116">
            <v>390.5</v>
          </cell>
          <cell r="AH116">
            <v>672.5</v>
          </cell>
          <cell r="AI116">
            <v>749.5</v>
          </cell>
          <cell r="AJ116">
            <v>755.5</v>
          </cell>
          <cell r="AK116">
            <v>149.5</v>
          </cell>
          <cell r="AL116">
            <v>503.5</v>
          </cell>
          <cell r="AM116">
            <v>722.04</v>
          </cell>
          <cell r="AN116">
            <v>548.5</v>
          </cell>
          <cell r="AO116" t="e">
            <v>#REF!</v>
          </cell>
          <cell r="AP116" t="e">
            <v>#REF!</v>
          </cell>
          <cell r="AQ116" t="e">
            <v>#REF!</v>
          </cell>
          <cell r="AR116" t="e">
            <v>#REF!</v>
          </cell>
          <cell r="AS116" t="e">
            <v>#REF!</v>
          </cell>
          <cell r="AT116" t="e">
            <v>#REF!</v>
          </cell>
          <cell r="AU116" t="e">
            <v>#REF!</v>
          </cell>
          <cell r="AV116" t="e">
            <v>#REF!</v>
          </cell>
          <cell r="AW116" t="e">
            <v>#REF!</v>
          </cell>
          <cell r="AX116" t="e">
            <v>#REF!</v>
          </cell>
          <cell r="AY116" t="e">
            <v>#REF!</v>
          </cell>
          <cell r="AZ116" t="e">
            <v>#REF!</v>
          </cell>
          <cell r="BA116" t="e">
            <v>#REF!</v>
          </cell>
        </row>
        <row r="117">
          <cell r="A117" t="str">
            <v xml:space="preserve">   diff from reported tax expense</v>
          </cell>
          <cell r="B117">
            <v>-1335</v>
          </cell>
          <cell r="C117">
            <v>-224</v>
          </cell>
          <cell r="D117">
            <v>-2216</v>
          </cell>
          <cell r="E117">
            <v>-1019</v>
          </cell>
          <cell r="F117">
            <v>-1471</v>
          </cell>
          <cell r="G117">
            <v>-483.53999999999996</v>
          </cell>
          <cell r="H117" t="e">
            <v>#REF!</v>
          </cell>
          <cell r="I117">
            <v>2762</v>
          </cell>
          <cell r="J117">
            <v>6148</v>
          </cell>
          <cell r="K117">
            <v>-4257</v>
          </cell>
          <cell r="L117">
            <v>2082.9999999999991</v>
          </cell>
          <cell r="M117">
            <v>-3328</v>
          </cell>
          <cell r="N117">
            <v>-2835.7999999999993</v>
          </cell>
          <cell r="O117">
            <v>-2448.3696999999956</v>
          </cell>
          <cell r="P117">
            <v>453.30113290000008</v>
          </cell>
          <cell r="Q117">
            <v>289.63863517119535</v>
          </cell>
          <cell r="R117">
            <v>111.99335979654643</v>
          </cell>
          <cell r="S117">
            <v>94.454704676332767</v>
          </cell>
          <cell r="T117">
            <v>74.818260821622971</v>
          </cell>
          <cell r="Z117">
            <v>-647</v>
          </cell>
          <cell r="AA117">
            <v>-344</v>
          </cell>
          <cell r="AB117">
            <v>-104</v>
          </cell>
          <cell r="AC117">
            <v>-941</v>
          </cell>
          <cell r="AD117">
            <v>87.5</v>
          </cell>
          <cell r="AE117">
            <v>147.5</v>
          </cell>
          <cell r="AF117">
            <v>147.5</v>
          </cell>
          <cell r="AG117">
            <v>-32.5</v>
          </cell>
          <cell r="AH117">
            <v>87.5</v>
          </cell>
          <cell r="AI117">
            <v>147.5</v>
          </cell>
          <cell r="AJ117">
            <v>147.5</v>
          </cell>
          <cell r="AK117">
            <v>-32.5</v>
          </cell>
          <cell r="AL117">
            <v>87.5</v>
          </cell>
          <cell r="AM117">
            <v>147.5</v>
          </cell>
          <cell r="AN117">
            <v>-202.5</v>
          </cell>
          <cell r="AO117" t="e">
            <v>#REF!</v>
          </cell>
          <cell r="AP117" t="e">
            <v>#REF!</v>
          </cell>
          <cell r="AQ117" t="e">
            <v>#REF!</v>
          </cell>
          <cell r="AR117" t="e">
            <v>#REF!</v>
          </cell>
          <cell r="AS117" t="e">
            <v>#REF!</v>
          </cell>
          <cell r="AT117" t="e">
            <v>#REF!</v>
          </cell>
          <cell r="AU117" t="e">
            <v>#REF!</v>
          </cell>
          <cell r="AV117" t="e">
            <v>#REF!</v>
          </cell>
          <cell r="AW117" t="e">
            <v>#REF!</v>
          </cell>
          <cell r="AX117" t="e">
            <v>#REF!</v>
          </cell>
          <cell r="AY117" t="e">
            <v>#REF!</v>
          </cell>
          <cell r="AZ117" t="e">
            <v>#REF!</v>
          </cell>
          <cell r="BA117" t="e">
            <v>#REF!</v>
          </cell>
        </row>
        <row r="120">
          <cell r="A120" t="str">
            <v>Net Issuance/Repurchases</v>
          </cell>
          <cell r="C120">
            <v>-1199</v>
          </cell>
          <cell r="D120">
            <v>-920</v>
          </cell>
          <cell r="E120">
            <v>133</v>
          </cell>
          <cell r="F120">
            <v>22.509999999999991</v>
          </cell>
          <cell r="I120">
            <v>-13102.702500000001</v>
          </cell>
          <cell r="J120">
            <v>-6833.0850000000028</v>
          </cell>
          <cell r="K120">
            <v>305.87441024999862</v>
          </cell>
          <cell r="L120">
            <v>-11016.604856775602</v>
          </cell>
          <cell r="M120">
            <v>-9449.393557402831</v>
          </cell>
          <cell r="N120">
            <v>-10321.430365237973</v>
          </cell>
          <cell r="O120">
            <v>-8998.6982142857159</v>
          </cell>
          <cell r="P120">
            <v>-6000</v>
          </cell>
          <cell r="Q120">
            <v>-2000</v>
          </cell>
          <cell r="R120">
            <v>-1000.0000000000018</v>
          </cell>
          <cell r="S120">
            <v>-1000</v>
          </cell>
          <cell r="T120">
            <v>-1000</v>
          </cell>
          <cell r="AD120">
            <v>188</v>
          </cell>
          <cell r="AE120">
            <v>42</v>
          </cell>
          <cell r="AF120">
            <v>-219</v>
          </cell>
          <cell r="AG120">
            <v>122</v>
          </cell>
          <cell r="AH120">
            <v>193</v>
          </cell>
          <cell r="AI120">
            <v>45</v>
          </cell>
          <cell r="AJ120">
            <v>86.9375</v>
          </cell>
          <cell r="AK120">
            <v>-302.42750000000001</v>
          </cell>
          <cell r="AL120">
            <v>59</v>
          </cell>
          <cell r="AM120">
            <v>127</v>
          </cell>
          <cell r="AN120">
            <v>-483</v>
          </cell>
          <cell r="AO120" t="e">
            <v>#REF!</v>
          </cell>
          <cell r="AP120" t="e">
            <v>#REF!</v>
          </cell>
          <cell r="AQ120" t="e">
            <v>#REF!</v>
          </cell>
          <cell r="AR120" t="e">
            <v>#REF!</v>
          </cell>
          <cell r="AS120" t="e">
            <v>#REF!</v>
          </cell>
          <cell r="AT120">
            <v>-2292</v>
          </cell>
          <cell r="AU120">
            <v>-3173</v>
          </cell>
          <cell r="AV120">
            <v>-1396</v>
          </cell>
          <cell r="AW120">
            <v>-1454</v>
          </cell>
          <cell r="AX120">
            <v>-3972</v>
          </cell>
          <cell r="AY120">
            <v>-1774.6</v>
          </cell>
          <cell r="AZ120">
            <v>66.200000000000273</v>
          </cell>
          <cell r="BA120">
            <v>36.129999999999654</v>
          </cell>
          <cell r="BB120">
            <v>-41.640000000000327</v>
          </cell>
          <cell r="BC120">
            <v>-86</v>
          </cell>
          <cell r="BD120">
            <v>-38.590000000000146</v>
          </cell>
          <cell r="BE120">
            <v>-38.16059020000057</v>
          </cell>
          <cell r="BF120">
            <v>-101.90059050000036</v>
          </cell>
          <cell r="BG120">
            <v>-9.2205909000003885</v>
          </cell>
          <cell r="BH120">
            <v>9220.1994089999989</v>
          </cell>
          <cell r="BI120">
            <v>-19677.857725286402</v>
          </cell>
          <cell r="BJ120">
            <v>-23.776606720000473</v>
          </cell>
          <cell r="BK120">
            <v>145.23395256319964</v>
          </cell>
          <cell r="BL120">
            <v>-278.0457278464005</v>
          </cell>
          <cell r="BM120">
            <v>-9451.4833166172157</v>
          </cell>
          <cell r="BN120">
            <v>-1872.9683166172167</v>
          </cell>
          <cell r="BO120">
            <v>-2560.9654901416966</v>
          </cell>
          <cell r="BP120">
            <v>-3642.6837094621192</v>
          </cell>
          <cell r="BQ120">
            <v>-2445.9999999999977</v>
          </cell>
          <cell r="BR120">
            <v>-2315.9999999999986</v>
          </cell>
          <cell r="BS120">
            <v>-2316</v>
          </cell>
          <cell r="BT120">
            <v>-2315.999999999995</v>
          </cell>
          <cell r="BU120">
            <v>-2316.0000000000036</v>
          </cell>
          <cell r="CX120" t="str">
            <v>mstag:netIssuanceRepurchaseOfCommonStock</v>
          </cell>
          <cell r="CY120">
            <v>6</v>
          </cell>
          <cell r="CZ120" t="str">
            <v>ISO4217:USD</v>
          </cell>
          <cell r="DA120" t="b">
            <v>0</v>
          </cell>
          <cell r="DB120" t="b">
            <v>0</v>
          </cell>
        </row>
        <row r="122">
          <cell r="A122" t="str">
            <v>Check</v>
          </cell>
        </row>
        <row r="123">
          <cell r="A123" t="str">
            <v>Common Stock</v>
          </cell>
          <cell r="AD123">
            <v>0</v>
          </cell>
        </row>
        <row r="124">
          <cell r="A124" t="str">
            <v>Capital in Excess of Par</v>
          </cell>
          <cell r="AD124">
            <v>-8</v>
          </cell>
        </row>
        <row r="125">
          <cell r="A125" t="str">
            <v>Retained Earnings</v>
          </cell>
        </row>
        <row r="126">
          <cell r="A126" t="str">
            <v>Treasury Shares</v>
          </cell>
        </row>
        <row r="127">
          <cell r="A127" t="str">
            <v>Additional Minimum Pension Liability</v>
          </cell>
        </row>
        <row r="128">
          <cell r="A128" t="str">
            <v>AOCI</v>
          </cell>
        </row>
        <row r="135">
          <cell r="A135" t="str">
            <v>Flow Adjusted For Consensus [For comps]</v>
          </cell>
        </row>
        <row r="136">
          <cell r="A136" t="str">
            <v xml:space="preserve">EBITDA </v>
          </cell>
          <cell r="J136">
            <v>44124</v>
          </cell>
          <cell r="K136">
            <v>41060</v>
          </cell>
          <cell r="L136">
            <v>42412</v>
          </cell>
          <cell r="M136">
            <v>40966</v>
          </cell>
          <cell r="N136">
            <v>42016.527743995597</v>
          </cell>
          <cell r="O136">
            <v>42514.948507138077</v>
          </cell>
          <cell r="P136">
            <v>44067.802952554135</v>
          </cell>
          <cell r="Q136">
            <v>45155.300914001011</v>
          </cell>
          <cell r="BB136">
            <v>10520</v>
          </cell>
          <cell r="BC136">
            <v>10294</v>
          </cell>
          <cell r="BD136">
            <v>10171</v>
          </cell>
          <cell r="BE136">
            <v>10075</v>
          </cell>
          <cell r="BF136">
            <v>10751</v>
          </cell>
          <cell r="BG136">
            <v>10902</v>
          </cell>
          <cell r="BH136">
            <v>10304</v>
          </cell>
          <cell r="BI136">
            <v>10455</v>
          </cell>
          <cell r="BJ136">
            <v>10392</v>
          </cell>
          <cell r="BK136">
            <v>10767</v>
          </cell>
          <cell r="BL136">
            <v>10853</v>
          </cell>
          <cell r="BM136">
            <v>8954</v>
          </cell>
          <cell r="BN136">
            <v>10661</v>
          </cell>
          <cell r="BO136">
            <v>11316</v>
          </cell>
          <cell r="BP136">
            <v>10549</v>
          </cell>
          <cell r="BQ136">
            <v>9490.5277439955898</v>
          </cell>
          <cell r="BR136">
            <v>10711.293637300365</v>
          </cell>
          <cell r="BS136">
            <v>11233.682089081383</v>
          </cell>
          <cell r="BT136">
            <v>11125.464176204434</v>
          </cell>
          <cell r="BU136">
            <v>9444.508604551891</v>
          </cell>
        </row>
        <row r="137">
          <cell r="A137" t="str">
            <v xml:space="preserve"> - Net Income from associates </v>
          </cell>
          <cell r="P137">
            <v>-1007.6657390379859</v>
          </cell>
          <cell r="Q137">
            <v>-1008.5236314555315</v>
          </cell>
          <cell r="BB137">
            <v>0</v>
          </cell>
          <cell r="BC137">
            <v>0</v>
          </cell>
          <cell r="BD137">
            <v>0</v>
          </cell>
          <cell r="BE137">
            <v>0</v>
          </cell>
          <cell r="BF137">
            <v>0</v>
          </cell>
          <cell r="BG137">
            <v>0</v>
          </cell>
          <cell r="BH137">
            <v>0</v>
          </cell>
          <cell r="BI137">
            <v>0</v>
          </cell>
          <cell r="BJ137">
            <v>0</v>
          </cell>
          <cell r="BK137">
            <v>0</v>
          </cell>
          <cell r="BL137">
            <v>0</v>
          </cell>
          <cell r="BM137">
            <v>0</v>
          </cell>
          <cell r="BN137">
            <v>0</v>
          </cell>
          <cell r="BO137">
            <v>0</v>
          </cell>
          <cell r="BP137">
            <v>0</v>
          </cell>
          <cell r="BQ137">
            <v>0</v>
          </cell>
          <cell r="BR137">
            <v>0</v>
          </cell>
          <cell r="BS137">
            <v>0</v>
          </cell>
          <cell r="BT137">
            <v>0</v>
          </cell>
          <cell r="BU137">
            <v>0</v>
          </cell>
        </row>
        <row r="138">
          <cell r="A138" t="str">
            <v xml:space="preserve"> - Change in WC </v>
          </cell>
          <cell r="J138">
            <v>-6157</v>
          </cell>
          <cell r="K138">
            <v>1563</v>
          </cell>
          <cell r="L138">
            <v>-1796</v>
          </cell>
          <cell r="M138">
            <v>-1944</v>
          </cell>
          <cell r="N138">
            <v>2781.1328737269573</v>
          </cell>
          <cell r="O138">
            <v>-858.48675695810948</v>
          </cell>
          <cell r="P138">
            <v>-2041.4849486293206</v>
          </cell>
          <cell r="Q138">
            <v>-870.60501629077703</v>
          </cell>
          <cell r="BB138">
            <v>-882</v>
          </cell>
          <cell r="BC138">
            <v>116</v>
          </cell>
          <cell r="BD138">
            <v>-16</v>
          </cell>
          <cell r="BE138">
            <v>2345</v>
          </cell>
          <cell r="BF138">
            <v>-1535</v>
          </cell>
          <cell r="BG138">
            <v>-745</v>
          </cell>
          <cell r="BH138">
            <v>180</v>
          </cell>
          <cell r="BI138">
            <v>304</v>
          </cell>
          <cell r="BJ138">
            <v>-529</v>
          </cell>
          <cell r="BK138">
            <v>-1021</v>
          </cell>
          <cell r="BL138">
            <v>-214</v>
          </cell>
          <cell r="BM138">
            <v>-180</v>
          </cell>
          <cell r="BN138">
            <v>-380</v>
          </cell>
          <cell r="BO138">
            <v>1829</v>
          </cell>
          <cell r="BP138">
            <v>-53</v>
          </cell>
          <cell r="BQ138">
            <v>1385.1328737269573</v>
          </cell>
          <cell r="BR138">
            <v>-2280.4702013726192</v>
          </cell>
          <cell r="BS138">
            <v>-666.84914016775747</v>
          </cell>
          <cell r="BT138">
            <v>93.739913657841271</v>
          </cell>
          <cell r="BU138">
            <v>1995.0926709244261</v>
          </cell>
        </row>
        <row r="139">
          <cell r="A139" t="str">
            <v xml:space="preserve"> - Capex (ex spectrum spend)</v>
          </cell>
          <cell r="J139">
            <v>-20335</v>
          </cell>
          <cell r="K139">
            <v>-17335</v>
          </cell>
          <cell r="L139">
            <v>-20302</v>
          </cell>
          <cell r="M139">
            <v>-20272</v>
          </cell>
          <cell r="N139">
            <v>-19168.55962335299</v>
          </cell>
          <cell r="O139">
            <v>-21202.006373027765</v>
          </cell>
          <cell r="P139">
            <v>-21533.975925207724</v>
          </cell>
          <cell r="Q139">
            <v>-21777.642675401381</v>
          </cell>
          <cell r="BB139">
            <v>-3358</v>
          </cell>
          <cell r="BC139">
            <v>-4046</v>
          </cell>
          <cell r="BD139">
            <v>-4216</v>
          </cell>
          <cell r="BE139">
            <v>-5715</v>
          </cell>
          <cell r="BF139">
            <v>-3331</v>
          </cell>
          <cell r="BG139">
            <v>-4904</v>
          </cell>
          <cell r="BH139">
            <v>-5512</v>
          </cell>
          <cell r="BI139">
            <v>-6555</v>
          </cell>
          <cell r="BJ139">
            <v>-4168</v>
          </cell>
          <cell r="BK139">
            <v>-5314</v>
          </cell>
          <cell r="BL139">
            <v>-5262</v>
          </cell>
          <cell r="BM139">
            <v>-5528</v>
          </cell>
          <cell r="BN139">
            <v>-4326</v>
          </cell>
          <cell r="BO139">
            <v>-4546</v>
          </cell>
          <cell r="BP139">
            <v>-4944</v>
          </cell>
          <cell r="BQ139">
            <v>-5352.5596233529905</v>
          </cell>
          <cell r="BR139">
            <v>-5111.1721041866404</v>
          </cell>
          <cell r="BS139">
            <v>-5248.8486519187591</v>
          </cell>
          <cell r="BT139">
            <v>-5373.3015763477288</v>
          </cell>
          <cell r="BU139">
            <v>-5468.6840405746361</v>
          </cell>
        </row>
        <row r="140">
          <cell r="A140" t="str">
            <v xml:space="preserve"> - Normalised Tax  </v>
          </cell>
          <cell r="J140">
            <v>-7208.6299999999992</v>
          </cell>
          <cell r="K140">
            <v>-6426</v>
          </cell>
          <cell r="L140">
            <v>-7204.94</v>
          </cell>
          <cell r="M140">
            <v>-6737.4850000000006</v>
          </cell>
          <cell r="N140">
            <v>-7159.8951765768415</v>
          </cell>
          <cell r="O140">
            <v>-7307.0376730558837</v>
          </cell>
          <cell r="P140">
            <v>-7538.2907566160984</v>
          </cell>
          <cell r="Q140">
            <v>-7632.7015015563775</v>
          </cell>
          <cell r="BB140">
            <v>-1811</v>
          </cell>
          <cell r="BC140">
            <v>-1590</v>
          </cell>
          <cell r="BD140">
            <v>-1440</v>
          </cell>
          <cell r="BE140">
            <v>-1585</v>
          </cell>
          <cell r="BF140">
            <v>-1863</v>
          </cell>
          <cell r="BG140">
            <v>-1937</v>
          </cell>
          <cell r="BH140">
            <v>-1740</v>
          </cell>
          <cell r="BI140">
            <v>-1664.9399999999998</v>
          </cell>
          <cell r="BJ140">
            <v>-1802</v>
          </cell>
          <cell r="BK140">
            <v>-1893</v>
          </cell>
          <cell r="BL140">
            <v>-1899</v>
          </cell>
          <cell r="BM140">
            <v>-1143.4850000000001</v>
          </cell>
          <cell r="BN140">
            <v>-1865</v>
          </cell>
          <cell r="BO140">
            <v>-2066</v>
          </cell>
          <cell r="BP140">
            <v>-1741</v>
          </cell>
          <cell r="BQ140">
            <v>-1487.8951765768415</v>
          </cell>
          <cell r="BR140">
            <v>-1881.8036678799831</v>
          </cell>
          <cell r="BS140">
            <v>-2038.8235253069183</v>
          </cell>
          <cell r="BT140">
            <v>-1985.1955955054427</v>
          </cell>
          <cell r="BU140">
            <v>-1401.21488436354</v>
          </cell>
        </row>
        <row r="141">
          <cell r="A141" t="str">
            <v xml:space="preserve"> + FCF from operating associates </v>
          </cell>
          <cell r="J141">
            <v>0</v>
          </cell>
          <cell r="K141">
            <v>783.14143870708722</v>
          </cell>
          <cell r="L141">
            <v>885.18496725371347</v>
          </cell>
          <cell r="M141">
            <v>898.82344806466858</v>
          </cell>
          <cell r="N141">
            <v>962.07261596737544</v>
          </cell>
          <cell r="O141">
            <v>991.30954191423086</v>
          </cell>
          <cell r="P141">
            <v>0</v>
          </cell>
          <cell r="Q141">
            <v>0</v>
          </cell>
          <cell r="BB141">
            <v>0</v>
          </cell>
          <cell r="BC141">
            <v>0</v>
          </cell>
          <cell r="BD141">
            <v>0</v>
          </cell>
          <cell r="BE141">
            <v>0</v>
          </cell>
          <cell r="BF141">
            <v>0</v>
          </cell>
          <cell r="BG141">
            <v>0</v>
          </cell>
          <cell r="BH141">
            <v>0</v>
          </cell>
          <cell r="BL141">
            <v>0</v>
          </cell>
          <cell r="BM141">
            <v>0</v>
          </cell>
          <cell r="BQ141">
            <v>0</v>
          </cell>
          <cell r="BR141">
            <v>0</v>
          </cell>
          <cell r="BS141">
            <v>0</v>
          </cell>
          <cell r="BT141">
            <v>0</v>
          </cell>
          <cell r="BU141">
            <v>0</v>
          </cell>
        </row>
        <row r="142">
          <cell r="A142" t="str">
            <v xml:space="preserve"> - P&amp;L Net interest - </v>
          </cell>
          <cell r="J142">
            <v>-3369</v>
          </cell>
          <cell r="K142">
            <v>-3368</v>
          </cell>
          <cell r="L142">
            <v>-2994</v>
          </cell>
          <cell r="M142">
            <v>-3535</v>
          </cell>
          <cell r="N142">
            <v>-3449.3681839087631</v>
          </cell>
          <cell r="O142">
            <v>-3368.6030000000001</v>
          </cell>
          <cell r="P142">
            <v>-3587.8560000000002</v>
          </cell>
          <cell r="Q142">
            <v>-3731.8560000000002</v>
          </cell>
          <cell r="BB142">
            <v>-846</v>
          </cell>
          <cell r="BC142">
            <v>876</v>
          </cell>
          <cell r="BD142">
            <v>851</v>
          </cell>
          <cell r="BE142">
            <v>795</v>
          </cell>
          <cell r="BF142">
            <v>765</v>
          </cell>
          <cell r="BG142">
            <v>754</v>
          </cell>
          <cell r="BH142">
            <v>729</v>
          </cell>
          <cell r="BI142">
            <v>746</v>
          </cell>
          <cell r="BJ142">
            <v>846</v>
          </cell>
          <cell r="BK142">
            <v>848</v>
          </cell>
          <cell r="BL142">
            <v>889</v>
          </cell>
          <cell r="BM142">
            <v>952</v>
          </cell>
          <cell r="BN142">
            <v>859</v>
          </cell>
          <cell r="BO142">
            <v>941</v>
          </cell>
          <cell r="BP142">
            <v>824</v>
          </cell>
          <cell r="BQ142">
            <v>825.36818390876283</v>
          </cell>
          <cell r="BR142">
            <v>805.40075000000002</v>
          </cell>
          <cell r="BS142">
            <v>829.90075000000002</v>
          </cell>
          <cell r="BT142">
            <v>854.40075000000002</v>
          </cell>
          <cell r="BU142">
            <v>878.90075000000002</v>
          </cell>
        </row>
        <row r="143">
          <cell r="A143" t="str">
            <v xml:space="preserve"> - FCF due to minorities </v>
          </cell>
          <cell r="J143">
            <v>-261</v>
          </cell>
          <cell r="K143">
            <v>-308</v>
          </cell>
          <cell r="L143">
            <v>-315</v>
          </cell>
          <cell r="M143">
            <v>-240</v>
          </cell>
          <cell r="N143">
            <v>-263</v>
          </cell>
          <cell r="O143">
            <v>-264</v>
          </cell>
          <cell r="P143">
            <v>-824</v>
          </cell>
          <cell r="Q143">
            <v>-824</v>
          </cell>
          <cell r="BB143">
            <v>-75</v>
          </cell>
          <cell r="BC143">
            <v>-77</v>
          </cell>
          <cell r="BD143">
            <v>-82</v>
          </cell>
          <cell r="BE143">
            <v>-74</v>
          </cell>
          <cell r="BF143">
            <v>-87</v>
          </cell>
          <cell r="BG143">
            <v>-79</v>
          </cell>
          <cell r="BH143">
            <v>-77</v>
          </cell>
          <cell r="BI143">
            <v>-72</v>
          </cell>
          <cell r="BJ143">
            <v>-60</v>
          </cell>
          <cell r="BK143">
            <v>-67</v>
          </cell>
          <cell r="BL143">
            <v>-63</v>
          </cell>
          <cell r="BM143">
            <v>-50</v>
          </cell>
          <cell r="BN143">
            <v>-68</v>
          </cell>
          <cell r="BO143">
            <v>-63</v>
          </cell>
          <cell r="BP143">
            <v>-66</v>
          </cell>
          <cell r="BQ143">
            <v>-66</v>
          </cell>
          <cell r="BR143">
            <v>-66</v>
          </cell>
          <cell r="BS143">
            <v>-66</v>
          </cell>
          <cell r="BT143">
            <v>-66</v>
          </cell>
          <cell r="BU143">
            <v>-66</v>
          </cell>
        </row>
        <row r="144">
          <cell r="A144" t="str">
            <v xml:space="preserve">= Flow Adjusted For Consensus </v>
          </cell>
          <cell r="J144">
            <v>6793.3700000000008</v>
          </cell>
          <cell r="K144">
            <v>15969.141438707087</v>
          </cell>
          <cell r="L144">
            <v>10685.244967253715</v>
          </cell>
          <cell r="M144">
            <v>9136.3384480646673</v>
          </cell>
          <cell r="N144">
            <v>15718.910249851338</v>
          </cell>
          <cell r="O144">
            <v>10506.124246010546</v>
          </cell>
          <cell r="P144">
            <v>7534.5295830630057</v>
          </cell>
          <cell r="Q144">
            <v>9309.9720892969453</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BB144">
            <v>3548</v>
          </cell>
          <cell r="BC144">
            <v>5573</v>
          </cell>
          <cell r="BD144">
            <v>5268</v>
          </cell>
          <cell r="BE144">
            <v>5841</v>
          </cell>
          <cell r="BF144">
            <v>4700</v>
          </cell>
          <cell r="BG144">
            <v>3991</v>
          </cell>
          <cell r="BH144">
            <v>3884</v>
          </cell>
          <cell r="BI144">
            <v>3213.0600000000004</v>
          </cell>
          <cell r="BJ144">
            <v>4679</v>
          </cell>
          <cell r="BK144">
            <v>3320</v>
          </cell>
          <cell r="BL144">
            <v>4304</v>
          </cell>
          <cell r="BM144">
            <v>3004.5149999999999</v>
          </cell>
          <cell r="BN144">
            <v>4881</v>
          </cell>
          <cell r="BO144">
            <v>7411</v>
          </cell>
          <cell r="BP144">
            <v>4569</v>
          </cell>
          <cell r="BQ144">
            <v>4794.5740017014787</v>
          </cell>
          <cell r="BR144">
            <v>2177.2484138611217</v>
          </cell>
          <cell r="BS144">
            <v>4043.0615216879496</v>
          </cell>
          <cell r="BT144">
            <v>4649.1076680091028</v>
          </cell>
          <cell r="BU144">
            <v>5382.6031005381419</v>
          </cell>
          <cell r="CX144" t="str">
            <v>mstag:freeCashFlowAdjustedForConsensus</v>
          </cell>
          <cell r="CY144">
            <v>6</v>
          </cell>
          <cell r="CZ144" t="str">
            <v>ISO4217:USD</v>
          </cell>
          <cell r="DA144" t="b">
            <v>0</v>
          </cell>
        </row>
        <row r="146">
          <cell r="A146" t="str">
            <v>Shares</v>
          </cell>
          <cell r="K146">
            <v>5917</v>
          </cell>
          <cell r="L146">
            <v>5931.25</v>
          </cell>
          <cell r="M146">
            <v>5946.25</v>
          </cell>
          <cell r="N146">
            <v>5820.25</v>
          </cell>
          <cell r="O146">
            <v>5510.4285714285706</v>
          </cell>
          <cell r="P146">
            <v>5296.1428571428569</v>
          </cell>
          <cell r="Q146">
            <v>5181.8571428571431</v>
          </cell>
          <cell r="BB146">
            <v>5896</v>
          </cell>
          <cell r="BC146">
            <v>5923</v>
          </cell>
          <cell r="BD146">
            <v>5922</v>
          </cell>
          <cell r="BE146">
            <v>5927</v>
          </cell>
          <cell r="BF146">
            <v>5935</v>
          </cell>
          <cell r="BG146">
            <v>5937</v>
          </cell>
          <cell r="BH146">
            <v>5938</v>
          </cell>
          <cell r="BI146">
            <v>5915</v>
          </cell>
          <cell r="BJ146">
            <v>5945</v>
          </cell>
          <cell r="BK146">
            <v>5953</v>
          </cell>
          <cell r="BL146">
            <v>5953</v>
          </cell>
          <cell r="BM146">
            <v>5953</v>
          </cell>
          <cell r="BN146">
            <v>5940</v>
          </cell>
          <cell r="BO146">
            <v>5876</v>
          </cell>
          <cell r="BP146">
            <v>5792</v>
          </cell>
          <cell r="BQ146">
            <v>5792</v>
          </cell>
          <cell r="BR146">
            <v>5792</v>
          </cell>
          <cell r="BS146">
            <v>5792</v>
          </cell>
          <cell r="BT146">
            <v>5792</v>
          </cell>
          <cell r="BU146">
            <v>5792</v>
          </cell>
        </row>
        <row r="147">
          <cell r="A147" t="str">
            <v>Mkt Cap</v>
          </cell>
          <cell r="K147">
            <v>207095</v>
          </cell>
          <cell r="L147">
            <v>207593.75</v>
          </cell>
          <cell r="M147">
            <v>208118.75</v>
          </cell>
          <cell r="N147">
            <v>203708.75</v>
          </cell>
          <cell r="O147">
            <v>192864.99999999997</v>
          </cell>
          <cell r="P147">
            <v>185365</v>
          </cell>
          <cell r="Q147">
            <v>181365</v>
          </cell>
          <cell r="BB147">
            <v>206360</v>
          </cell>
          <cell r="BC147">
            <v>207305</v>
          </cell>
          <cell r="BD147">
            <v>207270</v>
          </cell>
          <cell r="BE147">
            <v>207445</v>
          </cell>
          <cell r="BF147">
            <v>207725</v>
          </cell>
          <cell r="BG147">
            <v>207795</v>
          </cell>
          <cell r="BH147">
            <v>207830</v>
          </cell>
          <cell r="BI147">
            <v>207025</v>
          </cell>
          <cell r="BJ147">
            <v>208075</v>
          </cell>
          <cell r="BK147">
            <v>208355</v>
          </cell>
          <cell r="BL147">
            <v>208355</v>
          </cell>
          <cell r="BM147">
            <v>208355</v>
          </cell>
          <cell r="BN147">
            <v>207900</v>
          </cell>
          <cell r="BO147">
            <v>205660</v>
          </cell>
          <cell r="BP147">
            <v>202720</v>
          </cell>
          <cell r="BQ147">
            <v>202720</v>
          </cell>
          <cell r="BR147">
            <v>202720</v>
          </cell>
          <cell r="BS147">
            <v>202720</v>
          </cell>
          <cell r="BT147">
            <v>202720</v>
          </cell>
          <cell r="BU147">
            <v>202720</v>
          </cell>
        </row>
        <row r="149">
          <cell r="A149" t="str">
            <v>FCF Yield</v>
          </cell>
          <cell r="K149">
            <v>7.7110222065752854E-2</v>
          </cell>
          <cell r="L149">
            <v>5.1471901091693341E-2</v>
          </cell>
          <cell r="M149">
            <v>4.3899641181126964E-2</v>
          </cell>
          <cell r="N149">
            <v>7.7163647854357448E-2</v>
          </cell>
          <cell r="O149">
            <v>5.4473980483812759E-2</v>
          </cell>
          <cell r="P149">
            <v>4.0646991519774529E-2</v>
          </cell>
          <cell r="Q149">
            <v>5.1332793478879306E-2</v>
          </cell>
        </row>
        <row r="151">
          <cell r="A151" t="str">
            <v>Telmex + Telmex International</v>
          </cell>
          <cell r="J151">
            <v>324</v>
          </cell>
          <cell r="K151">
            <v>233.21510124922111</v>
          </cell>
          <cell r="L151">
            <v>240.23931720787721</v>
          </cell>
          <cell r="M151">
            <v>260.85002879383336</v>
          </cell>
          <cell r="N151">
            <v>289.49014515106842</v>
          </cell>
          <cell r="O151">
            <v>293.65630478920599</v>
          </cell>
          <cell r="P151">
            <v>291.63497893129056</v>
          </cell>
          <cell r="Q151">
            <v>285.04484585494862</v>
          </cell>
        </row>
        <row r="152">
          <cell r="A152" t="str">
            <v>America Movil</v>
          </cell>
          <cell r="J152">
            <v>469</v>
          </cell>
          <cell r="K152">
            <v>549.92633745786611</v>
          </cell>
          <cell r="L152">
            <v>644.94565004583615</v>
          </cell>
          <cell r="M152">
            <v>637.97341927083517</v>
          </cell>
          <cell r="N152">
            <v>672.58247081630702</v>
          </cell>
          <cell r="O152">
            <v>697.65323712502493</v>
          </cell>
          <cell r="P152">
            <v>716.03076010669531</v>
          </cell>
          <cell r="Q152">
            <v>723.4787856005828</v>
          </cell>
        </row>
        <row r="153">
          <cell r="A153" t="str">
            <v>Total</v>
          </cell>
          <cell r="J153">
            <v>793</v>
          </cell>
          <cell r="K153">
            <v>783.14143870708722</v>
          </cell>
          <cell r="L153">
            <v>885.18496725371347</v>
          </cell>
          <cell r="M153">
            <v>898.82344806466858</v>
          </cell>
          <cell r="N153">
            <v>962.07261596737544</v>
          </cell>
          <cell r="O153">
            <v>991.30954191423086</v>
          </cell>
          <cell r="P153">
            <v>1007.6657390379859</v>
          </cell>
          <cell r="Q153">
            <v>1008.5236314555315</v>
          </cell>
        </row>
        <row r="154">
          <cell r="A154" t="str">
            <v>Other segment</v>
          </cell>
          <cell r="J154">
            <v>963</v>
          </cell>
          <cell r="K154">
            <v>691</v>
          </cell>
          <cell r="L154">
            <v>208</v>
          </cell>
          <cell r="M154">
            <v>75</v>
          </cell>
          <cell r="N154">
            <v>63</v>
          </cell>
          <cell r="O154">
            <v>63</v>
          </cell>
          <cell r="P154">
            <v>63.188999999999993</v>
          </cell>
          <cell r="Q154">
            <v>63.568133999999993</v>
          </cell>
        </row>
        <row r="157">
          <cell r="A157" t="str">
            <v>Telmex</v>
          </cell>
          <cell r="J157">
            <v>562.57261538874104</v>
          </cell>
          <cell r="K157">
            <v>2359.4554642346279</v>
          </cell>
          <cell r="L157">
            <v>1974.8082841296027</v>
          </cell>
          <cell r="M157">
            <v>1804.9185163264765</v>
          </cell>
          <cell r="N157">
            <v>1815.2996417794168</v>
          </cell>
          <cell r="O157">
            <v>1776.6635462242812</v>
          </cell>
          <cell r="P157">
            <v>1777.0507357873128</v>
          </cell>
          <cell r="Q157">
            <v>1730.9484602048312</v>
          </cell>
        </row>
        <row r="158">
          <cell r="A158" t="str">
            <v>AT&amp;T's stake</v>
          </cell>
          <cell r="I158">
            <v>9.7000000000000003E-2</v>
          </cell>
          <cell r="J158">
            <v>54.569543692707882</v>
          </cell>
          <cell r="K158">
            <v>228.8671800307589</v>
          </cell>
          <cell r="L158">
            <v>191.55640356057148</v>
          </cell>
          <cell r="M158">
            <v>175.07709608366824</v>
          </cell>
          <cell r="N158">
            <v>176.08406525260344</v>
          </cell>
          <cell r="O158">
            <v>172.33636398375529</v>
          </cell>
          <cell r="P158">
            <v>172.37392137136933</v>
          </cell>
          <cell r="Q158">
            <v>167.90200063986865</v>
          </cell>
        </row>
        <row r="159">
          <cell r="A159" t="str">
            <v>Telmex International</v>
          </cell>
          <cell r="J159">
            <v>-765.56603360116776</v>
          </cell>
          <cell r="K159">
            <v>44.366543045532836</v>
          </cell>
          <cell r="L159">
            <v>496.76442497250741</v>
          </cell>
          <cell r="M159">
            <v>875.23400724658279</v>
          </cell>
          <cell r="N159">
            <v>1157.2048969231118</v>
          </cell>
          <cell r="O159">
            <v>1237.958579647456</v>
          </cell>
          <cell r="P159">
            <v>1216.9495669379717</v>
          </cell>
          <cell r="Q159">
            <v>1195.3351552559179</v>
          </cell>
        </row>
        <row r="160">
          <cell r="A160" t="str">
            <v>AT&amp;T's stake</v>
          </cell>
          <cell r="I160">
            <v>9.8000000000000004E-2</v>
          </cell>
          <cell r="J160">
            <v>-75.025471292914446</v>
          </cell>
          <cell r="K160">
            <v>4.3479212184622185</v>
          </cell>
          <cell r="L160">
            <v>48.682913647305732</v>
          </cell>
          <cell r="M160">
            <v>85.772932710165122</v>
          </cell>
          <cell r="N160">
            <v>113.40607989846497</v>
          </cell>
          <cell r="O160">
            <v>121.31994080545068</v>
          </cell>
          <cell r="P160">
            <v>119.26105755992123</v>
          </cell>
          <cell r="Q160">
            <v>117.14284521507996</v>
          </cell>
        </row>
        <row r="161">
          <cell r="A161" t="str">
            <v>America Movil FCF in US$ (from Vera's model)</v>
          </cell>
          <cell r="J161">
            <v>6896.783410922787</v>
          </cell>
          <cell r="K161">
            <v>6394.4922960217</v>
          </cell>
          <cell r="L161">
            <v>7499.3680237887929</v>
          </cell>
          <cell r="M161">
            <v>7418.2955729166888</v>
          </cell>
          <cell r="N161">
            <v>7820.7264048407797</v>
          </cell>
          <cell r="O161">
            <v>8112.2469433142442</v>
          </cell>
          <cell r="P161">
            <v>8325.9390710080861</v>
          </cell>
          <cell r="Q161">
            <v>8412.5440186114283</v>
          </cell>
        </row>
        <row r="162">
          <cell r="A162" t="str">
            <v>AT&amp;T's stake</v>
          </cell>
          <cell r="I162">
            <v>8.5999999999999993E-2</v>
          </cell>
          <cell r="J162">
            <v>593.12337333935966</v>
          </cell>
          <cell r="K162">
            <v>549.92633745786611</v>
          </cell>
          <cell r="L162">
            <v>644.94565004583615</v>
          </cell>
          <cell r="M162">
            <v>637.97341927083517</v>
          </cell>
          <cell r="N162">
            <v>672.58247081630702</v>
          </cell>
          <cell r="O162">
            <v>697.65323712502493</v>
          </cell>
          <cell r="P162">
            <v>716.03076010669531</v>
          </cell>
          <cell r="Q162">
            <v>723.4787856005828</v>
          </cell>
        </row>
        <row r="163">
          <cell r="A163" t="str">
            <v>TOTAL</v>
          </cell>
          <cell r="J163">
            <v>572.6674457391531</v>
          </cell>
          <cell r="K163">
            <v>783.14143870708722</v>
          </cell>
          <cell r="L163">
            <v>885.18496725371347</v>
          </cell>
          <cell r="M163">
            <v>898.82344806466858</v>
          </cell>
          <cell r="N163">
            <v>962.07261596737544</v>
          </cell>
          <cell r="O163">
            <v>991.30954191423086</v>
          </cell>
          <cell r="P163">
            <v>1007.6657390379859</v>
          </cell>
          <cell r="Q163">
            <v>1008.5236314555315</v>
          </cell>
        </row>
        <row r="164">
          <cell r="A164" t="str">
            <v>Difference</v>
          </cell>
          <cell r="J164">
            <v>220.3325542608469</v>
          </cell>
        </row>
        <row r="176">
          <cell r="I176" t="str">
            <v>2007-FY</v>
          </cell>
          <cell r="J176" t="str">
            <v>2008-FY</v>
          </cell>
          <cell r="K176" t="str">
            <v>2009-FY</v>
          </cell>
          <cell r="L176" t="str">
            <v>2010-FY</v>
          </cell>
          <cell r="M176" t="str">
            <v>2011-FY</v>
          </cell>
          <cell r="N176" t="str">
            <v>2012-FY</v>
          </cell>
          <cell r="O176" t="str">
            <v>2013-FY</v>
          </cell>
          <cell r="P176" t="str">
            <v>2014-FY</v>
          </cell>
          <cell r="Q176" t="str">
            <v>2015-FY</v>
          </cell>
          <cell r="R176" t="str">
            <v>2016-FY</v>
          </cell>
          <cell r="S176" t="str">
            <v>2017-FY</v>
          </cell>
          <cell r="T176" t="str">
            <v>2018-FY</v>
          </cell>
          <cell r="AT176" t="str">
            <v>2007-Q1</v>
          </cell>
          <cell r="AU176" t="str">
            <v>2007-Q2</v>
          </cell>
          <cell r="AV176" t="str">
            <v>2007-Q3</v>
          </cell>
          <cell r="AW176" t="str">
            <v>2007-Q4</v>
          </cell>
          <cell r="AX176" t="str">
            <v>2008-Q1</v>
          </cell>
          <cell r="AY176" t="str">
            <v>2008-Q2</v>
          </cell>
          <cell r="AZ176" t="str">
            <v>2008-Q3</v>
          </cell>
          <cell r="BA176" t="str">
            <v>2008-Q4</v>
          </cell>
          <cell r="BB176" t="str">
            <v>2009-Q1</v>
          </cell>
          <cell r="BC176" t="str">
            <v>2009-Q2</v>
          </cell>
          <cell r="BD176" t="str">
            <v>2009-Q3</v>
          </cell>
          <cell r="BE176" t="str">
            <v>2009-Q4</v>
          </cell>
          <cell r="BF176" t="str">
            <v>2010-Q1</v>
          </cell>
          <cell r="BG176" t="str">
            <v>2010-Q2</v>
          </cell>
          <cell r="BH176" t="str">
            <v>2010-Q3</v>
          </cell>
          <cell r="BI176" t="str">
            <v>2010-Q4</v>
          </cell>
          <cell r="BJ176" t="str">
            <v>2011-Q1</v>
          </cell>
          <cell r="BK176" t="str">
            <v>2011-Q2</v>
          </cell>
          <cell r="BL176" t="str">
            <v>2011-Q3</v>
          </cell>
          <cell r="BM176" t="str">
            <v>2011-Q4</v>
          </cell>
          <cell r="BN176" t="str">
            <v>2012-Q1</v>
          </cell>
          <cell r="BO176" t="str">
            <v>2012-Q2</v>
          </cell>
          <cell r="BP176" t="str">
            <v>2012-Q3</v>
          </cell>
          <cell r="BQ176" t="str">
            <v>2012-Q4</v>
          </cell>
          <cell r="BR176" t="str">
            <v>2013-Q1</v>
          </cell>
          <cell r="BS176" t="str">
            <v>2013-Q2</v>
          </cell>
          <cell r="BT176" t="str">
            <v>2013-Q3</v>
          </cell>
          <cell r="BU176" t="str">
            <v>2013-Q4</v>
          </cell>
        </row>
      </sheetData>
      <sheetData sheetId="8" refreshError="1"/>
      <sheetData sheetId="9" refreshError="1"/>
      <sheetData sheetId="10" refreshError="1">
        <row r="1">
          <cell r="A1" t="str">
            <v>AT&amp;T, Inc.</v>
          </cell>
          <cell r="CF1" t="str">
            <v>ElementName</v>
          </cell>
          <cell r="CG1" t="str">
            <v>ScaleOverride</v>
          </cell>
          <cell r="CH1" t="str">
            <v>UnitOverride</v>
          </cell>
          <cell r="CI1" t="str">
            <v>ReverseSign</v>
          </cell>
          <cell r="CJ1" t="str">
            <v>IsDrivingAssumption</v>
          </cell>
          <cell r="CK1" t="str">
            <v>SegmentID</v>
          </cell>
        </row>
        <row r="2">
          <cell r="A2" t="str">
            <v>Morgan Stanley Research</v>
          </cell>
        </row>
        <row r="3">
          <cell r="A3" t="str">
            <v>Simon Flannery 212-761-6432</v>
          </cell>
        </row>
        <row r="6">
          <cell r="C6">
            <v>2001</v>
          </cell>
          <cell r="D6">
            <v>2002</v>
          </cell>
          <cell r="E6">
            <v>2003</v>
          </cell>
          <cell r="F6">
            <v>2004</v>
          </cell>
          <cell r="G6">
            <v>2005</v>
          </cell>
          <cell r="H6">
            <v>2006</v>
          </cell>
          <cell r="I6">
            <v>2007</v>
          </cell>
          <cell r="J6">
            <v>2008</v>
          </cell>
          <cell r="K6">
            <v>2009</v>
          </cell>
          <cell r="L6">
            <v>2010</v>
          </cell>
          <cell r="M6">
            <v>2011</v>
          </cell>
          <cell r="N6">
            <v>2012</v>
          </cell>
          <cell r="O6">
            <v>2013</v>
          </cell>
          <cell r="P6">
            <v>2014</v>
          </cell>
          <cell r="Q6">
            <v>2015</v>
          </cell>
          <cell r="R6">
            <v>2016</v>
          </cell>
          <cell r="S6">
            <v>2017</v>
          </cell>
          <cell r="T6">
            <v>2018</v>
          </cell>
          <cell r="V6" t="str">
            <v>1Q01</v>
          </cell>
          <cell r="W6" t="str">
            <v>2Q01</v>
          </cell>
          <cell r="X6" t="str">
            <v>3Q01</v>
          </cell>
          <cell r="Y6" t="str">
            <v>4Q01</v>
          </cell>
          <cell r="Z6" t="str">
            <v>1Q02</v>
          </cell>
          <cell r="AA6" t="str">
            <v>2Q02</v>
          </cell>
          <cell r="AB6" t="str">
            <v>3Q02</v>
          </cell>
          <cell r="AC6" t="str">
            <v>4Q02</v>
          </cell>
          <cell r="AD6" t="str">
            <v>1Q03</v>
          </cell>
          <cell r="AE6" t="str">
            <v>2Q03</v>
          </cell>
          <cell r="AF6" t="str">
            <v>3Q03</v>
          </cell>
          <cell r="AG6" t="str">
            <v>4Q03</v>
          </cell>
          <cell r="AH6" t="str">
            <v>1Q04</v>
          </cell>
          <cell r="AI6" t="str">
            <v>2Q04</v>
          </cell>
          <cell r="AJ6" t="str">
            <v>3Q04</v>
          </cell>
          <cell r="AK6" t="str">
            <v>4Q04</v>
          </cell>
          <cell r="AL6" t="str">
            <v>1Q05</v>
          </cell>
          <cell r="AM6" t="str">
            <v>2Q05</v>
          </cell>
          <cell r="AN6" t="str">
            <v>3Q05</v>
          </cell>
          <cell r="AO6" t="e">
            <v>#REF!</v>
          </cell>
          <cell r="AP6" t="str">
            <v>1Q06</v>
          </cell>
          <cell r="AQ6" t="str">
            <v>2Q06</v>
          </cell>
          <cell r="AR6" t="str">
            <v>3Q06</v>
          </cell>
          <cell r="AS6" t="str">
            <v>4Q06</v>
          </cell>
          <cell r="AT6" t="str">
            <v>1Q07</v>
          </cell>
          <cell r="AU6" t="str">
            <v>2Q07</v>
          </cell>
          <cell r="AV6" t="str">
            <v>3Q07</v>
          </cell>
          <cell r="AW6" t="str">
            <v>4Q07</v>
          </cell>
          <cell r="AX6" t="str">
            <v>1Q08</v>
          </cell>
          <cell r="AY6" t="str">
            <v>2Q08</v>
          </cell>
          <cell r="AZ6" t="str">
            <v>3Q08</v>
          </cell>
          <cell r="BA6" t="str">
            <v>4Q08</v>
          </cell>
          <cell r="BB6" t="str">
            <v>1Q09</v>
          </cell>
          <cell r="BC6" t="str">
            <v>2Q09</v>
          </cell>
          <cell r="BD6" t="str">
            <v>3Q09</v>
          </cell>
          <cell r="BE6" t="str">
            <v>4Q09</v>
          </cell>
          <cell r="BF6" t="str">
            <v>1Q10</v>
          </cell>
          <cell r="BG6" t="str">
            <v>2Q10</v>
          </cell>
          <cell r="BH6" t="str">
            <v>3Q10</v>
          </cell>
          <cell r="BI6" t="str">
            <v>4Q10</v>
          </cell>
          <cell r="BJ6" t="str">
            <v>1Q11</v>
          </cell>
          <cell r="BK6" t="str">
            <v>2Q11</v>
          </cell>
          <cell r="BL6" t="str">
            <v>3Q11</v>
          </cell>
          <cell r="BM6" t="str">
            <v>4Q11</v>
          </cell>
          <cell r="BN6" t="str">
            <v>1Q12</v>
          </cell>
          <cell r="BO6" t="str">
            <v>2Q12</v>
          </cell>
          <cell r="BP6" t="str">
            <v>3Q12</v>
          </cell>
          <cell r="BQ6" t="str">
            <v>4Q12E</v>
          </cell>
          <cell r="BR6" t="str">
            <v>1Q13E</v>
          </cell>
          <cell r="BS6" t="str">
            <v>2Q13E</v>
          </cell>
          <cell r="BT6" t="str">
            <v>3Q13E</v>
          </cell>
          <cell r="BU6" t="str">
            <v>4Q13E</v>
          </cell>
        </row>
        <row r="7">
          <cell r="A7" t="str">
            <v>EPS (at right as reported for acquisitions)</v>
          </cell>
          <cell r="I7">
            <v>1.9358595037684874</v>
          </cell>
          <cell r="J7">
            <v>2.3660630978352075</v>
          </cell>
          <cell r="K7">
            <v>2.0836572587459861</v>
          </cell>
          <cell r="L7">
            <v>2.2973336143308747</v>
          </cell>
          <cell r="M7">
            <v>2.2046693294092914</v>
          </cell>
          <cell r="N7">
            <v>2.395647456290142</v>
          </cell>
          <cell r="O7">
            <v>2.5261646022986359</v>
          </cell>
          <cell r="P7">
            <v>2.6073980664195426</v>
          </cell>
          <cell r="Q7">
            <v>2.7002713845811797</v>
          </cell>
          <cell r="R7">
            <v>2.9386847755784045</v>
          </cell>
          <cell r="S7">
            <v>3.1870376228530124</v>
          </cell>
          <cell r="T7">
            <v>3.2698236540419381</v>
          </cell>
          <cell r="Z7">
            <v>0</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0.45770826683689758</v>
          </cell>
          <cell r="AU7">
            <v>0.46876513317191282</v>
          </cell>
          <cell r="AV7">
            <v>0.49975526186979929</v>
          </cell>
          <cell r="AW7">
            <v>0.51452009844134539</v>
          </cell>
          <cell r="AX7">
            <v>0.62466766119675121</v>
          </cell>
          <cell r="AY7">
            <v>0.64424689701442472</v>
          </cell>
          <cell r="AZ7">
            <v>0.56358723188650561</v>
          </cell>
          <cell r="BA7">
            <v>0.53255912162162178</v>
          </cell>
          <cell r="BB7">
            <v>0.52137042062415195</v>
          </cell>
          <cell r="BC7">
            <v>0.53351342225223708</v>
          </cell>
          <cell r="BD7">
            <v>0.53157716987504222</v>
          </cell>
          <cell r="BE7">
            <v>0.49721612957651423</v>
          </cell>
          <cell r="BF7">
            <v>0.58146588037068236</v>
          </cell>
          <cell r="BG7">
            <v>0.6048509348155634</v>
          </cell>
          <cell r="BH7">
            <v>0.54328056584708662</v>
          </cell>
          <cell r="BI7">
            <v>0.56771935756551151</v>
          </cell>
          <cell r="BJ7">
            <v>0.57325483599663585</v>
          </cell>
          <cell r="BK7">
            <v>0.60322526457248449</v>
          </cell>
          <cell r="BL7">
            <v>0.60849848841115217</v>
          </cell>
          <cell r="BM7">
            <v>0.41926765548626327</v>
          </cell>
          <cell r="BN7">
            <v>0.60336700336700333</v>
          </cell>
          <cell r="BO7">
            <v>0.6640571817562968</v>
          </cell>
          <cell r="BP7">
            <v>0.62758977900552482</v>
          </cell>
          <cell r="BQ7">
            <v>0.49749111712897803</v>
          </cell>
          <cell r="BR7">
            <v>0.63973682777432805</v>
          </cell>
          <cell r="BS7">
            <v>0.70214995064314745</v>
          </cell>
          <cell r="BT7">
            <v>0.69138690040090633</v>
          </cell>
          <cell r="BU7">
            <v>0.49021155592251925</v>
          </cell>
        </row>
        <row r="8">
          <cell r="A8" t="str">
            <v>% y/y growth</v>
          </cell>
          <cell r="I8">
            <v>0</v>
          </cell>
          <cell r="J8">
            <v>0.22222872746149913</v>
          </cell>
          <cell r="K8">
            <v>-0.11935685035094978</v>
          </cell>
          <cell r="L8">
            <v>0.10254870597743415</v>
          </cell>
          <cell r="M8">
            <v>-4.0335580493637946E-2</v>
          </cell>
          <cell r="N8">
            <v>8.6624385949080285E-2</v>
          </cell>
          <cell r="O8">
            <v>5.4480948632821935E-2</v>
          </cell>
          <cell r="P8">
            <v>3.2156837304659236E-2</v>
          </cell>
          <cell r="Q8">
            <v>3.5619155877173014E-2</v>
          </cell>
          <cell r="R8">
            <v>8.8292381409731391E-2</v>
          </cell>
          <cell r="S8">
            <v>8.4511564267973016E-2</v>
          </cell>
          <cell r="T8">
            <v>2.5975856260779251E-2</v>
          </cell>
          <cell r="AD8">
            <v>-0.14583333333333337</v>
          </cell>
          <cell r="AE8">
            <v>-0.30508474576271183</v>
          </cell>
          <cell r="AF8">
            <v>-0.26530612244897955</v>
          </cell>
          <cell r="AG8">
            <v>-0.54237288135593209</v>
          </cell>
          <cell r="AH8">
            <v>-0.12195121951219512</v>
          </cell>
          <cell r="AI8">
            <v>-4.8780487804877981E-2</v>
          </cell>
          <cell r="AJ8">
            <v>5.555555555555558E-2</v>
          </cell>
          <cell r="AK8">
            <v>0.2592592592592593</v>
          </cell>
          <cell r="AL8">
            <v>-5.5555555555555469E-2</v>
          </cell>
          <cell r="AM8">
            <v>0.10256410256410242</v>
          </cell>
          <cell r="AN8">
            <v>0.21052631578947367</v>
          </cell>
          <cell r="AO8">
            <v>0.41176470588235281</v>
          </cell>
          <cell r="AP8">
            <v>0.52941176470588225</v>
          </cell>
          <cell r="AQ8">
            <v>0.34883720930232553</v>
          </cell>
          <cell r="AR8">
            <v>0.30434782608695632</v>
          </cell>
          <cell r="AS8">
            <v>0.27083333333333326</v>
          </cell>
          <cell r="AT8">
            <v>0</v>
          </cell>
          <cell r="AU8">
            <v>0</v>
          </cell>
          <cell r="AV8">
            <v>0</v>
          </cell>
          <cell r="AW8">
            <v>0</v>
          </cell>
          <cell r="AX8">
            <v>0.3647725122241432</v>
          </cell>
          <cell r="AY8">
            <v>0.37434901067643289</v>
          </cell>
          <cell r="AZ8">
            <v>0.12772645910296876</v>
          </cell>
          <cell r="BA8">
            <v>3.5059899962941454E-2</v>
          </cell>
          <cell r="BB8">
            <v>-0.16536351565678986</v>
          </cell>
          <cell r="BC8">
            <v>-0.1718804937600007</v>
          </cell>
          <cell r="BD8">
            <v>-5.6796996454862025E-2</v>
          </cell>
          <cell r="BE8">
            <v>-6.636444783349027E-2</v>
          </cell>
          <cell r="BF8">
            <v>0.11526442116640956</v>
          </cell>
          <cell r="BG8">
            <v>0.13371268573182959</v>
          </cell>
          <cell r="BH8">
            <v>2.2016363070662903E-2</v>
          </cell>
          <cell r="BI8">
            <v>0.14179593901960863</v>
          </cell>
          <cell r="BJ8">
            <v>-1.4121283210653757E-2</v>
          </cell>
          <cell r="BK8">
            <v>-2.6877204770703322E-3</v>
          </cell>
          <cell r="BL8">
            <v>0.12004464481879151</v>
          </cell>
          <cell r="BM8">
            <v>-0.26148782862687181</v>
          </cell>
          <cell r="BN8">
            <v>5.2528414030761361E-2</v>
          </cell>
          <cell r="BO8">
            <v>0.10084444527853931</v>
          </cell>
          <cell r="BP8">
            <v>3.1374425669029815E-2</v>
          </cell>
          <cell r="BQ8">
            <v>0.18657165803069597</v>
          </cell>
          <cell r="BR8">
            <v>6.0278112996514643E-2</v>
          </cell>
          <cell r="BS8">
            <v>5.7363687847036049E-2</v>
          </cell>
          <cell r="BT8">
            <v>0.10165417527429166</v>
          </cell>
          <cell r="BU8">
            <v>-1.4632545096421312E-2</v>
          </cell>
        </row>
        <row r="10">
          <cell r="A10" t="str">
            <v>Operating Revenues</v>
          </cell>
          <cell r="AO10" t="str">
            <v>Pro forma for AT&amp;T / BLS</v>
          </cell>
          <cell r="AT10" t="str">
            <v>As reported</v>
          </cell>
        </row>
        <row r="11">
          <cell r="A11" t="str">
            <v>Voice</v>
          </cell>
          <cell r="AL11">
            <v>12241</v>
          </cell>
          <cell r="AM11">
            <v>12063</v>
          </cell>
          <cell r="AN11">
            <v>11866</v>
          </cell>
          <cell r="AO11">
            <v>11683</v>
          </cell>
          <cell r="AP11">
            <v>11417</v>
          </cell>
          <cell r="AQ11">
            <v>11290</v>
          </cell>
          <cell r="AR11">
            <v>11162</v>
          </cell>
          <cell r="AS11">
            <v>10845</v>
          </cell>
          <cell r="AT11">
            <v>10677</v>
          </cell>
          <cell r="AU11">
            <v>10586</v>
          </cell>
          <cell r="AV11">
            <v>10356</v>
          </cell>
          <cell r="AW11">
            <v>10011</v>
          </cell>
          <cell r="AX11">
            <v>9690</v>
          </cell>
          <cell r="AY11">
            <v>9519</v>
          </cell>
          <cell r="AZ11">
            <v>9317</v>
          </cell>
          <cell r="BA11">
            <v>8796</v>
          </cell>
        </row>
        <row r="12">
          <cell r="A12" t="str">
            <v>Data</v>
          </cell>
          <cell r="AL12">
            <v>5458</v>
          </cell>
          <cell r="AM12">
            <v>5490</v>
          </cell>
          <cell r="AN12">
            <v>5561</v>
          </cell>
          <cell r="AO12">
            <v>5645</v>
          </cell>
          <cell r="AP12">
            <v>5659</v>
          </cell>
          <cell r="AQ12">
            <v>5722</v>
          </cell>
          <cell r="AR12">
            <v>5822</v>
          </cell>
          <cell r="AS12">
            <v>5893</v>
          </cell>
          <cell r="AT12">
            <v>5862</v>
          </cell>
          <cell r="AU12">
            <v>5980</v>
          </cell>
          <cell r="AV12">
            <v>6076</v>
          </cell>
          <cell r="AW12">
            <v>6157</v>
          </cell>
          <cell r="AX12">
            <v>5983</v>
          </cell>
          <cell r="AY12">
            <v>6065</v>
          </cell>
          <cell r="AZ12">
            <v>6147</v>
          </cell>
          <cell r="BA12">
            <v>6219</v>
          </cell>
        </row>
        <row r="13">
          <cell r="A13" t="str">
            <v xml:space="preserve">  Transport </v>
          </cell>
          <cell r="AL13">
            <v>2733</v>
          </cell>
          <cell r="AM13">
            <v>2747</v>
          </cell>
          <cell r="AN13">
            <v>2790</v>
          </cell>
          <cell r="AO13">
            <v>2803</v>
          </cell>
          <cell r="AP13">
            <v>2809</v>
          </cell>
          <cell r="AQ13">
            <v>2842</v>
          </cell>
          <cell r="AR13">
            <v>2869</v>
          </cell>
          <cell r="AS13">
            <v>2915</v>
          </cell>
          <cell r="AT13">
            <v>2874</v>
          </cell>
          <cell r="AU13">
            <v>2875</v>
          </cell>
          <cell r="AV13">
            <v>2892</v>
          </cell>
          <cell r="AW13">
            <v>2876</v>
          </cell>
          <cell r="AX13">
            <v>2683</v>
          </cell>
          <cell r="AY13">
            <v>2698</v>
          </cell>
          <cell r="AZ13">
            <v>2709</v>
          </cell>
          <cell r="BA13">
            <v>2716</v>
          </cell>
        </row>
        <row r="14">
          <cell r="A14" t="str">
            <v xml:space="preserve">  Packet-Switched</v>
          </cell>
          <cell r="AL14">
            <v>966</v>
          </cell>
          <cell r="AM14">
            <v>940</v>
          </cell>
          <cell r="AN14">
            <v>910</v>
          </cell>
          <cell r="AO14">
            <v>875</v>
          </cell>
          <cell r="AP14">
            <v>834</v>
          </cell>
          <cell r="AQ14">
            <v>805</v>
          </cell>
          <cell r="AR14">
            <v>804</v>
          </cell>
          <cell r="AS14">
            <v>788</v>
          </cell>
          <cell r="AT14">
            <v>767</v>
          </cell>
          <cell r="AU14">
            <v>754</v>
          </cell>
          <cell r="AV14">
            <v>761</v>
          </cell>
          <cell r="AW14">
            <v>723</v>
          </cell>
          <cell r="AX14">
            <v>671</v>
          </cell>
          <cell r="AY14">
            <v>637</v>
          </cell>
          <cell r="AZ14">
            <v>626</v>
          </cell>
          <cell r="BA14">
            <v>583</v>
          </cell>
        </row>
        <row r="15">
          <cell r="A15" t="str">
            <v xml:space="preserve">  IP</v>
          </cell>
          <cell r="AL15">
            <v>1759</v>
          </cell>
          <cell r="AM15">
            <v>1803</v>
          </cell>
          <cell r="AN15">
            <v>1861</v>
          </cell>
          <cell r="AO15">
            <v>1967</v>
          </cell>
          <cell r="AP15">
            <v>2016</v>
          </cell>
          <cell r="AQ15">
            <v>2075</v>
          </cell>
          <cell r="AR15">
            <v>2149</v>
          </cell>
          <cell r="AS15">
            <v>2190</v>
          </cell>
          <cell r="AT15">
            <v>2221</v>
          </cell>
          <cell r="AU15">
            <v>2351</v>
          </cell>
          <cell r="AV15">
            <v>2423</v>
          </cell>
          <cell r="AW15">
            <v>2558</v>
          </cell>
          <cell r="AX15">
            <v>2629</v>
          </cell>
          <cell r="AY15">
            <v>2730</v>
          </cell>
          <cell r="AZ15">
            <v>2812</v>
          </cell>
          <cell r="BA15">
            <v>2920</v>
          </cell>
        </row>
        <row r="16">
          <cell r="A16" t="str">
            <v>Other</v>
          </cell>
          <cell r="AL16">
            <v>1602</v>
          </cell>
          <cell r="AM16">
            <v>1686</v>
          </cell>
          <cell r="AN16">
            <v>1625</v>
          </cell>
          <cell r="AO16">
            <v>1640</v>
          </cell>
          <cell r="AP16">
            <v>1507</v>
          </cell>
          <cell r="AQ16">
            <v>1601</v>
          </cell>
          <cell r="AR16">
            <v>1531</v>
          </cell>
          <cell r="AS16">
            <v>1673</v>
          </cell>
          <cell r="AT16">
            <v>1447</v>
          </cell>
          <cell r="AU16">
            <v>1427</v>
          </cell>
          <cell r="AV16">
            <v>1508</v>
          </cell>
          <cell r="AW16">
            <v>1490</v>
          </cell>
          <cell r="AX16">
            <v>1474</v>
          </cell>
          <cell r="AY16">
            <v>1532</v>
          </cell>
          <cell r="AZ16">
            <v>1596</v>
          </cell>
          <cell r="BA16">
            <v>1550</v>
          </cell>
        </row>
        <row r="17">
          <cell r="A17" t="str">
            <v>Total Operating Revenues</v>
          </cell>
          <cell r="AL17">
            <v>19301</v>
          </cell>
          <cell r="AM17">
            <v>19239</v>
          </cell>
          <cell r="AN17">
            <v>19052</v>
          </cell>
          <cell r="AO17">
            <v>18968</v>
          </cell>
          <cell r="AP17">
            <v>18583</v>
          </cell>
          <cell r="AQ17">
            <v>18613</v>
          </cell>
          <cell r="AR17">
            <v>18515</v>
          </cell>
          <cell r="AS17">
            <v>18411</v>
          </cell>
          <cell r="AT17">
            <v>17986</v>
          </cell>
          <cell r="AU17">
            <v>17993</v>
          </cell>
          <cell r="AV17">
            <v>17940</v>
          </cell>
          <cell r="AW17">
            <v>17658</v>
          </cell>
          <cell r="AX17">
            <v>17147</v>
          </cell>
          <cell r="AY17">
            <v>17116</v>
          </cell>
          <cell r="AZ17">
            <v>17060</v>
          </cell>
          <cell r="BA17">
            <v>16565</v>
          </cell>
        </row>
        <row r="20">
          <cell r="A20" t="str">
            <v>Operating Revenues</v>
          </cell>
          <cell r="F20" t="str">
            <v>pro forma</v>
          </cell>
          <cell r="G20" t="str">
            <v>pro forma</v>
          </cell>
          <cell r="AK20" t="str">
            <v>Pro forma for AT&amp;T/SBC merger</v>
          </cell>
          <cell r="AT20" t="str">
            <v>As reported</v>
          </cell>
        </row>
        <row r="21">
          <cell r="A21" t="str">
            <v>Voice</v>
          </cell>
          <cell r="F21">
            <v>40864</v>
          </cell>
          <cell r="G21">
            <v>37143</v>
          </cell>
          <cell r="AH21">
            <v>10483</v>
          </cell>
          <cell r="AI21">
            <v>10253</v>
          </cell>
          <cell r="AJ21">
            <v>10314</v>
          </cell>
          <cell r="AK21">
            <v>9814</v>
          </cell>
          <cell r="AL21">
            <v>9550</v>
          </cell>
          <cell r="AM21">
            <v>9375</v>
          </cell>
          <cell r="AN21">
            <v>9212</v>
          </cell>
          <cell r="AO21">
            <v>9006</v>
          </cell>
          <cell r="AP21">
            <v>8722</v>
          </cell>
          <cell r="AQ21">
            <v>8618</v>
          </cell>
          <cell r="AR21">
            <v>8464</v>
          </cell>
          <cell r="AS21">
            <v>8183</v>
          </cell>
          <cell r="AT21">
            <v>10677</v>
          </cell>
          <cell r="AU21">
            <v>10586</v>
          </cell>
          <cell r="AV21">
            <v>10356</v>
          </cell>
          <cell r="AW21">
            <v>10011</v>
          </cell>
          <cell r="AX21">
            <v>9690</v>
          </cell>
          <cell r="AY21">
            <v>9519</v>
          </cell>
          <cell r="AZ21">
            <v>9317</v>
          </cell>
          <cell r="BA21">
            <v>8796</v>
          </cell>
          <cell r="BB21">
            <v>8503</v>
          </cell>
          <cell r="BC21">
            <v>8262</v>
          </cell>
          <cell r="BD21">
            <v>7949</v>
          </cell>
          <cell r="BE21">
            <v>7625</v>
          </cell>
          <cell r="BF21">
            <v>7483</v>
          </cell>
          <cell r="BG21">
            <v>7224</v>
          </cell>
          <cell r="BH21">
            <v>6977</v>
          </cell>
        </row>
        <row r="22">
          <cell r="A22" t="str">
            <v>Data</v>
          </cell>
          <cell r="F22">
            <v>17240</v>
          </cell>
          <cell r="G22">
            <v>17536</v>
          </cell>
          <cell r="AH22">
            <v>4291</v>
          </cell>
          <cell r="AI22">
            <v>4301</v>
          </cell>
          <cell r="AJ22">
            <v>4324</v>
          </cell>
          <cell r="AK22">
            <v>4324</v>
          </cell>
          <cell r="AL22">
            <v>4330</v>
          </cell>
          <cell r="AM22">
            <v>4355</v>
          </cell>
          <cell r="AN22">
            <v>4423</v>
          </cell>
          <cell r="AO22">
            <v>4428</v>
          </cell>
          <cell r="AP22">
            <v>4442</v>
          </cell>
          <cell r="AQ22">
            <v>4477</v>
          </cell>
          <cell r="AR22">
            <v>4546</v>
          </cell>
          <cell r="AS22">
            <v>4603</v>
          </cell>
          <cell r="AT22">
            <v>5862</v>
          </cell>
          <cell r="AU22">
            <v>5980</v>
          </cell>
          <cell r="AV22">
            <v>6076</v>
          </cell>
          <cell r="AW22">
            <v>6157</v>
          </cell>
          <cell r="AX22">
            <v>5983</v>
          </cell>
          <cell r="AY22">
            <v>6065</v>
          </cell>
          <cell r="AZ22">
            <v>6147</v>
          </cell>
          <cell r="BA22">
            <v>6219</v>
          </cell>
          <cell r="BB22">
            <v>6282</v>
          </cell>
          <cell r="BC22">
            <v>6345</v>
          </cell>
          <cell r="BD22">
            <v>6468</v>
          </cell>
          <cell r="BE22">
            <v>6529</v>
          </cell>
          <cell r="BF22">
            <v>6651</v>
          </cell>
          <cell r="BG22">
            <v>6855</v>
          </cell>
          <cell r="BH22">
            <v>6937</v>
          </cell>
        </row>
        <row r="23">
          <cell r="A23" t="str">
            <v xml:space="preserve">  Transport </v>
          </cell>
          <cell r="F23">
            <v>8731</v>
          </cell>
          <cell r="G23">
            <v>8735</v>
          </cell>
          <cell r="AH23">
            <v>2212</v>
          </cell>
          <cell r="AI23">
            <v>2192</v>
          </cell>
          <cell r="AJ23">
            <v>2188</v>
          </cell>
          <cell r="AK23">
            <v>2139</v>
          </cell>
          <cell r="AL23">
            <v>2176</v>
          </cell>
          <cell r="AM23">
            <v>2155</v>
          </cell>
          <cell r="AN23">
            <v>2208</v>
          </cell>
          <cell r="AO23">
            <v>2196</v>
          </cell>
          <cell r="AP23">
            <v>2210</v>
          </cell>
          <cell r="AQ23">
            <v>2229</v>
          </cell>
          <cell r="AR23">
            <v>2235</v>
          </cell>
          <cell r="AS23">
            <v>2277</v>
          </cell>
          <cell r="AT23">
            <v>2874</v>
          </cell>
          <cell r="AU23">
            <v>2875</v>
          </cell>
          <cell r="AV23">
            <v>2892</v>
          </cell>
          <cell r="AW23">
            <v>2876</v>
          </cell>
          <cell r="AX23">
            <v>2683</v>
          </cell>
          <cell r="AY23">
            <v>2698</v>
          </cell>
          <cell r="AZ23">
            <v>2709</v>
          </cell>
          <cell r="BA23">
            <v>2716</v>
          </cell>
          <cell r="BB23">
            <v>2673</v>
          </cell>
          <cell r="BC23">
            <v>2629</v>
          </cell>
          <cell r="BD23">
            <v>2633</v>
          </cell>
          <cell r="BE23">
            <v>2599</v>
          </cell>
          <cell r="BF23">
            <v>2606</v>
          </cell>
          <cell r="BG23">
            <v>2405</v>
          </cell>
          <cell r="BH23">
            <v>2363</v>
          </cell>
        </row>
        <row r="24">
          <cell r="A24" t="str">
            <v xml:space="preserve">  Packet-Switched</v>
          </cell>
          <cell r="F24">
            <v>3651</v>
          </cell>
          <cell r="G24">
            <v>3241</v>
          </cell>
          <cell r="AH24">
            <v>960</v>
          </cell>
          <cell r="AI24">
            <v>918</v>
          </cell>
          <cell r="AJ24">
            <v>888</v>
          </cell>
          <cell r="AK24">
            <v>885</v>
          </cell>
          <cell r="AL24">
            <v>843</v>
          </cell>
          <cell r="AM24">
            <v>825</v>
          </cell>
          <cell r="AN24">
            <v>801</v>
          </cell>
          <cell r="AO24">
            <v>772</v>
          </cell>
          <cell r="AP24">
            <v>738</v>
          </cell>
          <cell r="AQ24">
            <v>716</v>
          </cell>
          <cell r="AR24">
            <v>720</v>
          </cell>
          <cell r="AS24">
            <v>706</v>
          </cell>
          <cell r="AT24">
            <v>767</v>
          </cell>
          <cell r="AU24">
            <v>754</v>
          </cell>
          <cell r="AV24">
            <v>761</v>
          </cell>
          <cell r="AW24">
            <v>723</v>
          </cell>
          <cell r="AX24">
            <v>671</v>
          </cell>
          <cell r="AY24">
            <v>637</v>
          </cell>
          <cell r="AZ24">
            <v>626</v>
          </cell>
          <cell r="BA24">
            <v>583</v>
          </cell>
          <cell r="BB24">
            <v>551</v>
          </cell>
          <cell r="BC24">
            <v>518</v>
          </cell>
          <cell r="BD24">
            <v>488</v>
          </cell>
          <cell r="BE24">
            <v>450</v>
          </cell>
          <cell r="BF24">
            <v>434</v>
          </cell>
          <cell r="BG24">
            <v>413</v>
          </cell>
          <cell r="BH24">
            <v>382</v>
          </cell>
        </row>
        <row r="25">
          <cell r="A25" t="str">
            <v xml:space="preserve">  IP</v>
          </cell>
          <cell r="F25">
            <v>4858</v>
          </cell>
          <cell r="G25">
            <v>5560</v>
          </cell>
          <cell r="AH25">
            <v>1119</v>
          </cell>
          <cell r="AI25">
            <v>1191</v>
          </cell>
          <cell r="AJ25">
            <v>1248</v>
          </cell>
          <cell r="AK25">
            <v>1300</v>
          </cell>
          <cell r="AL25">
            <v>1311</v>
          </cell>
          <cell r="AM25">
            <v>1375</v>
          </cell>
          <cell r="AN25">
            <v>1414</v>
          </cell>
          <cell r="AO25">
            <v>1460</v>
          </cell>
          <cell r="AP25">
            <v>1494</v>
          </cell>
          <cell r="AQ25">
            <v>1532</v>
          </cell>
          <cell r="AR25">
            <v>1591</v>
          </cell>
          <cell r="AS25">
            <v>1620</v>
          </cell>
          <cell r="AT25">
            <v>2221</v>
          </cell>
          <cell r="AU25">
            <v>2351</v>
          </cell>
          <cell r="AV25">
            <v>2423</v>
          </cell>
          <cell r="AW25">
            <v>2558</v>
          </cell>
          <cell r="AX25">
            <v>2629</v>
          </cell>
          <cell r="AY25">
            <v>2730</v>
          </cell>
          <cell r="AZ25">
            <v>2812</v>
          </cell>
          <cell r="BA25">
            <v>2920</v>
          </cell>
          <cell r="BB25">
            <v>3058</v>
          </cell>
          <cell r="BC25">
            <v>3198</v>
          </cell>
          <cell r="BD25">
            <v>3347</v>
          </cell>
          <cell r="BE25">
            <v>3480</v>
          </cell>
          <cell r="BF25">
            <v>3611</v>
          </cell>
          <cell r="BG25">
            <v>2884</v>
          </cell>
          <cell r="BH25">
            <v>2988</v>
          </cell>
        </row>
        <row r="26">
          <cell r="A26" t="str">
            <v>Other</v>
          </cell>
          <cell r="F26">
            <v>6925</v>
          </cell>
          <cell r="G26">
            <v>7001</v>
          </cell>
          <cell r="AH26">
            <v>1657</v>
          </cell>
          <cell r="AI26">
            <v>1720</v>
          </cell>
          <cell r="AJ26">
            <v>1736</v>
          </cell>
          <cell r="AK26">
            <v>1812</v>
          </cell>
          <cell r="AL26">
            <v>1724</v>
          </cell>
          <cell r="AM26">
            <v>1801</v>
          </cell>
          <cell r="AN26">
            <v>1742</v>
          </cell>
          <cell r="AO26">
            <v>1734</v>
          </cell>
          <cell r="AP26">
            <v>1575</v>
          </cell>
          <cell r="AQ26">
            <v>1655</v>
          </cell>
          <cell r="AR26">
            <v>1576</v>
          </cell>
          <cell r="AS26">
            <v>1695</v>
          </cell>
          <cell r="AT26">
            <v>1447</v>
          </cell>
          <cell r="AU26">
            <v>1427</v>
          </cell>
          <cell r="AV26">
            <v>1508</v>
          </cell>
          <cell r="AW26">
            <v>1490</v>
          </cell>
          <cell r="AX26">
            <v>1474</v>
          </cell>
          <cell r="AY26">
            <v>1532</v>
          </cell>
          <cell r="AZ26">
            <v>1596</v>
          </cell>
          <cell r="BA26">
            <v>1550</v>
          </cell>
          <cell r="BB26">
            <v>1377</v>
          </cell>
          <cell r="BC26">
            <v>1410</v>
          </cell>
          <cell r="BD26">
            <v>1360</v>
          </cell>
          <cell r="BE26">
            <v>1484</v>
          </cell>
          <cell r="BF26">
            <v>1312</v>
          </cell>
          <cell r="BG26">
            <v>1460</v>
          </cell>
          <cell r="BH26">
            <v>1505</v>
          </cell>
        </row>
        <row r="27">
          <cell r="A27" t="str">
            <v>Total Operating Revenues</v>
          </cell>
          <cell r="F27">
            <v>65029</v>
          </cell>
          <cell r="G27">
            <v>61680</v>
          </cell>
          <cell r="AH27">
            <v>16431</v>
          </cell>
          <cell r="AI27">
            <v>16274</v>
          </cell>
          <cell r="AJ27">
            <v>16374</v>
          </cell>
          <cell r="AK27">
            <v>15950</v>
          </cell>
          <cell r="AL27">
            <v>15604</v>
          </cell>
          <cell r="AM27">
            <v>15531</v>
          </cell>
          <cell r="AN27">
            <v>15377</v>
          </cell>
          <cell r="AO27">
            <v>15168</v>
          </cell>
          <cell r="AP27">
            <v>14739</v>
          </cell>
          <cell r="AQ27">
            <v>14750</v>
          </cell>
          <cell r="AR27">
            <v>14586</v>
          </cell>
          <cell r="AS27">
            <v>14481</v>
          </cell>
          <cell r="AT27">
            <v>17986</v>
          </cell>
          <cell r="AU27">
            <v>17993</v>
          </cell>
          <cell r="AV27">
            <v>17940</v>
          </cell>
          <cell r="AW27">
            <v>17658</v>
          </cell>
          <cell r="AX27">
            <v>17147</v>
          </cell>
          <cell r="AY27">
            <v>17116</v>
          </cell>
          <cell r="AZ27">
            <v>17060</v>
          </cell>
          <cell r="BA27">
            <v>16565</v>
          </cell>
          <cell r="BB27">
            <v>16162</v>
          </cell>
          <cell r="BC27">
            <v>16017</v>
          </cell>
          <cell r="BD27">
            <v>15777</v>
          </cell>
          <cell r="BE27">
            <v>15638</v>
          </cell>
          <cell r="BF27">
            <v>15444</v>
          </cell>
          <cell r="BG27">
            <v>15539</v>
          </cell>
          <cell r="BH27">
            <v>15419</v>
          </cell>
          <cell r="BI27">
            <v>15232</v>
          </cell>
          <cell r="BJ27">
            <v>15051</v>
          </cell>
          <cell r="BK27">
            <v>15030</v>
          </cell>
          <cell r="BL27">
            <v>15055</v>
          </cell>
          <cell r="BM27">
            <v>15004</v>
          </cell>
          <cell r="BN27">
            <v>14928</v>
          </cell>
          <cell r="BO27">
            <v>14904</v>
          </cell>
          <cell r="BP27">
            <v>14813</v>
          </cell>
          <cell r="BQ27">
            <v>14762.507881598249</v>
          </cell>
          <cell r="BR27">
            <v>14797.760546163652</v>
          </cell>
          <cell r="BS27">
            <v>14851.076615964661</v>
          </cell>
          <cell r="BT27">
            <v>14810.738443475433</v>
          </cell>
          <cell r="BU27">
            <v>14792.218445653605</v>
          </cell>
        </row>
        <row r="28">
          <cell r="AL28">
            <v>-5.0331690097985549E-2</v>
          </cell>
          <cell r="AM28">
            <v>-4.56556470443652E-2</v>
          </cell>
          <cell r="AN28">
            <v>-6.0889214608525699E-2</v>
          </cell>
          <cell r="AO28">
            <v>-4.9028213166144252E-2</v>
          </cell>
          <cell r="AP28">
            <v>-5.5434503973340155E-2</v>
          </cell>
          <cell r="AQ28">
            <v>-5.0286523726740029E-2</v>
          </cell>
          <cell r="AR28">
            <v>-5.1440463029199468E-2</v>
          </cell>
          <cell r="AS28">
            <v>-4.5292721518987333E-2</v>
          </cell>
          <cell r="AT28">
            <v>0.22029988465974615</v>
          </cell>
          <cell r="AU28">
            <v>0.21986440677966113</v>
          </cell>
          <cell r="AV28">
            <v>0.22994652406417115</v>
          </cell>
          <cell r="AW28">
            <v>0.21939092604101917</v>
          </cell>
          <cell r="AX28">
            <v>-4.6647392416323763E-2</v>
          </cell>
          <cell r="AY28">
            <v>-4.8741177124437263E-2</v>
          </cell>
          <cell r="AZ28">
            <v>-4.9052396878483839E-2</v>
          </cell>
          <cell r="BA28">
            <v>-6.1898289727035927E-2</v>
          </cell>
          <cell r="BB28">
            <v>-5.7444450924359902E-2</v>
          </cell>
          <cell r="BC28">
            <v>-6.4208927319467146E-2</v>
          </cell>
          <cell r="BD28">
            <v>-7.5205158264947225E-2</v>
          </cell>
          <cell r="BE28">
            <v>-5.5961364322366425E-2</v>
          </cell>
        </row>
        <row r="30">
          <cell r="A30" t="str">
            <v>Operating Revenues</v>
          </cell>
        </row>
        <row r="31">
          <cell r="A31" t="str">
            <v>Consumer In-region</v>
          </cell>
          <cell r="AL31">
            <v>5479</v>
          </cell>
          <cell r="AM31">
            <v>5492</v>
          </cell>
          <cell r="AN31">
            <v>5536</v>
          </cell>
          <cell r="AO31">
            <v>5586</v>
          </cell>
          <cell r="AP31">
            <v>5587</v>
          </cell>
          <cell r="AQ31">
            <v>5600</v>
          </cell>
          <cell r="AR31">
            <v>5617</v>
          </cell>
          <cell r="AS31">
            <v>5549</v>
          </cell>
          <cell r="AT31">
            <v>5646</v>
          </cell>
          <cell r="AU31">
            <v>5694</v>
          </cell>
          <cell r="AV31">
            <v>5697</v>
          </cell>
          <cell r="AW31">
            <v>5630</v>
          </cell>
          <cell r="AX31">
            <v>5618</v>
          </cell>
          <cell r="AY31">
            <v>5577</v>
          </cell>
          <cell r="AZ31">
            <v>5480</v>
          </cell>
          <cell r="BA31">
            <v>5334</v>
          </cell>
          <cell r="BB31">
            <v>0</v>
          </cell>
        </row>
        <row r="32">
          <cell r="A32" t="str">
            <v>Business In-region</v>
          </cell>
          <cell r="AL32">
            <v>2673</v>
          </cell>
          <cell r="AM32">
            <v>2774</v>
          </cell>
          <cell r="AN32">
            <v>2774</v>
          </cell>
          <cell r="AO32">
            <v>2791</v>
          </cell>
          <cell r="AP32">
            <v>2839</v>
          </cell>
          <cell r="AQ32">
            <v>2919</v>
          </cell>
          <cell r="AR32">
            <v>2962</v>
          </cell>
          <cell r="AS32">
            <v>2977</v>
          </cell>
          <cell r="AT32">
            <v>3108</v>
          </cell>
          <cell r="AU32">
            <v>3166</v>
          </cell>
          <cell r="AV32">
            <v>3169</v>
          </cell>
          <cell r="AW32">
            <v>3179</v>
          </cell>
          <cell r="AX32">
            <v>3193</v>
          </cell>
          <cell r="AY32">
            <v>3218</v>
          </cell>
          <cell r="AZ32">
            <v>3241</v>
          </cell>
          <cell r="BA32">
            <v>3150</v>
          </cell>
          <cell r="BB32">
            <v>0</v>
          </cell>
        </row>
        <row r="33">
          <cell r="A33" t="str">
            <v>Wholesale</v>
          </cell>
          <cell r="AL33">
            <v>3972</v>
          </cell>
          <cell r="AM33">
            <v>3882</v>
          </cell>
          <cell r="AN33">
            <v>3940</v>
          </cell>
          <cell r="AO33">
            <v>3972</v>
          </cell>
          <cell r="AP33">
            <v>3844</v>
          </cell>
          <cell r="AQ33">
            <v>3800</v>
          </cell>
          <cell r="AR33">
            <v>3744</v>
          </cell>
          <cell r="AS33">
            <v>3725</v>
          </cell>
          <cell r="AT33">
            <v>3599</v>
          </cell>
          <cell r="AU33">
            <v>3515</v>
          </cell>
          <cell r="AV33">
            <v>3510</v>
          </cell>
          <cell r="AW33">
            <v>3437</v>
          </cell>
          <cell r="AX33">
            <v>3456</v>
          </cell>
          <cell r="AY33">
            <v>3507</v>
          </cell>
          <cell r="AZ33">
            <v>3536</v>
          </cell>
          <cell r="BA33">
            <v>3471</v>
          </cell>
          <cell r="BB33">
            <v>0</v>
          </cell>
        </row>
        <row r="34">
          <cell r="A34" t="str">
            <v>Enterprise</v>
          </cell>
          <cell r="AL34">
            <v>5197</v>
          </cell>
          <cell r="AM34">
            <v>5236</v>
          </cell>
          <cell r="AN34">
            <v>5098</v>
          </cell>
          <cell r="AO34">
            <v>5063</v>
          </cell>
          <cell r="AP34">
            <v>4915</v>
          </cell>
          <cell r="AQ34">
            <v>4906</v>
          </cell>
          <cell r="AR34">
            <v>4886</v>
          </cell>
          <cell r="AS34">
            <v>4925</v>
          </cell>
          <cell r="AT34">
            <v>4602</v>
          </cell>
          <cell r="AU34">
            <v>4699</v>
          </cell>
          <cell r="AV34">
            <v>4753</v>
          </cell>
          <cell r="AW34">
            <v>4702</v>
          </cell>
          <cell r="AX34">
            <v>4662</v>
          </cell>
          <cell r="AY34">
            <v>4650</v>
          </cell>
          <cell r="AZ34">
            <v>4688</v>
          </cell>
          <cell r="BA34">
            <v>4529</v>
          </cell>
          <cell r="BB34">
            <v>0</v>
          </cell>
        </row>
        <row r="35">
          <cell r="A35" t="str">
            <v>National Mass Markets</v>
          </cell>
          <cell r="AL35">
            <v>2015</v>
          </cell>
          <cell r="AM35">
            <v>1900</v>
          </cell>
          <cell r="AN35">
            <v>1786</v>
          </cell>
          <cell r="AO35">
            <v>1616</v>
          </cell>
          <cell r="AP35">
            <v>1462</v>
          </cell>
          <cell r="AQ35">
            <v>1375</v>
          </cell>
          <cell r="AR35">
            <v>1333</v>
          </cell>
          <cell r="AS35">
            <v>1214</v>
          </cell>
          <cell r="AT35">
            <v>1092</v>
          </cell>
          <cell r="AU35">
            <v>988</v>
          </cell>
          <cell r="AV35">
            <v>892</v>
          </cell>
          <cell r="AW35">
            <v>791</v>
          </cell>
          <cell r="AX35">
            <v>726</v>
          </cell>
          <cell r="AY35">
            <v>680</v>
          </cell>
          <cell r="AZ35">
            <v>636</v>
          </cell>
          <cell r="BA35">
            <v>582</v>
          </cell>
          <cell r="BB35">
            <v>0</v>
          </cell>
        </row>
        <row r="36">
          <cell r="A36" t="str">
            <v>Other</v>
          </cell>
          <cell r="AL36">
            <v>-35</v>
          </cell>
          <cell r="AM36">
            <v>-45</v>
          </cell>
          <cell r="AN36">
            <v>-82</v>
          </cell>
          <cell r="AO36">
            <v>-60</v>
          </cell>
          <cell r="AP36">
            <v>-64</v>
          </cell>
          <cell r="AQ36">
            <v>13</v>
          </cell>
          <cell r="AR36">
            <v>-27</v>
          </cell>
          <cell r="AS36">
            <v>21</v>
          </cell>
          <cell r="AT36">
            <v>-55</v>
          </cell>
          <cell r="AU36">
            <v>-69</v>
          </cell>
          <cell r="AV36">
            <v>-80</v>
          </cell>
          <cell r="AW36">
            <v>-82</v>
          </cell>
          <cell r="AX36">
            <v>-31</v>
          </cell>
          <cell r="AY36">
            <v>-24</v>
          </cell>
          <cell r="AZ36">
            <v>-31</v>
          </cell>
          <cell r="BA36">
            <v>6</v>
          </cell>
          <cell r="BB36">
            <v>0</v>
          </cell>
        </row>
        <row r="37">
          <cell r="A37" t="str">
            <v>Total Operating Revenues</v>
          </cell>
          <cell r="AL37">
            <v>19301</v>
          </cell>
          <cell r="AM37">
            <v>19239</v>
          </cell>
          <cell r="AN37">
            <v>19052</v>
          </cell>
          <cell r="AO37">
            <v>18968</v>
          </cell>
          <cell r="AP37">
            <v>18583</v>
          </cell>
          <cell r="AQ37">
            <v>18613</v>
          </cell>
          <cell r="AR37">
            <v>18515</v>
          </cell>
          <cell r="AS37">
            <v>18411</v>
          </cell>
          <cell r="AT37">
            <v>17992</v>
          </cell>
          <cell r="AU37">
            <v>17993</v>
          </cell>
          <cell r="AV37">
            <v>17941</v>
          </cell>
          <cell r="AW37">
            <v>17657</v>
          </cell>
          <cell r="AX37">
            <v>17624</v>
          </cell>
          <cell r="AY37">
            <v>17608</v>
          </cell>
          <cell r="AZ37">
            <v>17550</v>
          </cell>
          <cell r="BA37">
            <v>17072</v>
          </cell>
          <cell r="BB37">
            <v>0</v>
          </cell>
        </row>
        <row r="38">
          <cell r="A38" t="str">
            <v>% y/y growth</v>
          </cell>
        </row>
        <row r="42">
          <cell r="A42" t="str">
            <v>Operating Revenues</v>
          </cell>
          <cell r="AK42" t="str">
            <v>Pro forma for AT&amp;T/SBC merger</v>
          </cell>
          <cell r="AP42" t="str">
            <v>As reported</v>
          </cell>
        </row>
        <row r="43">
          <cell r="A43" t="str">
            <v>Consumer In-region</v>
          </cell>
          <cell r="F43">
            <v>14004</v>
          </cell>
          <cell r="G43">
            <v>14499</v>
          </cell>
          <cell r="H43">
            <v>14661</v>
          </cell>
          <cell r="I43">
            <v>22667</v>
          </cell>
          <cell r="J43">
            <v>22009</v>
          </cell>
          <cell r="K43">
            <v>5130.5467578496882</v>
          </cell>
          <cell r="L43">
            <v>20972.544399329032</v>
          </cell>
          <cell r="M43">
            <v>32739.808060244599</v>
          </cell>
          <cell r="N43">
            <v>31045.590403561342</v>
          </cell>
          <cell r="O43">
            <v>29693.51740124591</v>
          </cell>
          <cell r="P43">
            <v>28616.75435340685</v>
          </cell>
          <cell r="Q43">
            <v>27871.91565307921</v>
          </cell>
          <cell r="AH43">
            <v>3439</v>
          </cell>
          <cell r="AI43">
            <v>3500</v>
          </cell>
          <cell r="AJ43">
            <v>3550</v>
          </cell>
          <cell r="AK43">
            <v>3515</v>
          </cell>
          <cell r="AL43">
            <v>3570</v>
          </cell>
          <cell r="AM43">
            <v>3588</v>
          </cell>
          <cell r="AN43">
            <v>3668</v>
          </cell>
          <cell r="AO43">
            <v>3673</v>
          </cell>
          <cell r="AP43">
            <v>3646</v>
          </cell>
          <cell r="AQ43">
            <v>3642</v>
          </cell>
          <cell r="AR43">
            <v>3696</v>
          </cell>
          <cell r="AS43">
            <v>3677</v>
          </cell>
          <cell r="AT43">
            <v>5646</v>
          </cell>
          <cell r="AU43">
            <v>5694</v>
          </cell>
          <cell r="AV43">
            <v>5697</v>
          </cell>
          <cell r="AW43">
            <v>5630</v>
          </cell>
          <cell r="AX43">
            <v>5618</v>
          </cell>
          <cell r="AY43">
            <v>5577</v>
          </cell>
          <cell r="AZ43">
            <v>5480</v>
          </cell>
          <cell r="BA43">
            <v>5334</v>
          </cell>
          <cell r="BB43">
            <v>0</v>
          </cell>
          <cell r="BC43">
            <v>0</v>
          </cell>
          <cell r="BD43">
            <v>0</v>
          </cell>
          <cell r="BE43">
            <v>5130.5467578496882</v>
          </cell>
          <cell r="BF43">
            <v>5201.7107602423521</v>
          </cell>
          <cell r="BG43">
            <v>5310.3965971211774</v>
          </cell>
          <cell r="BH43">
            <v>5268.9885009261507</v>
          </cell>
          <cell r="BI43">
            <v>5191.4485410393518</v>
          </cell>
          <cell r="BJ43">
            <v>8135.3788114253502</v>
          </cell>
          <cell r="BK43">
            <v>8321.000473279144</v>
          </cell>
          <cell r="BL43">
            <v>8241.1725884964617</v>
          </cell>
          <cell r="BM43">
            <v>8042.2561870436457</v>
          </cell>
          <cell r="BN43">
            <v>13393.397392266925</v>
          </cell>
          <cell r="BO43">
            <v>13630.736602945299</v>
          </cell>
          <cell r="BP43">
            <v>13407.271851650929</v>
          </cell>
          <cell r="BQ43">
            <v>13000.157280325189</v>
          </cell>
          <cell r="BR43">
            <v>22724.161036401565</v>
          </cell>
          <cell r="BS43">
            <v>23043.295415916647</v>
          </cell>
          <cell r="BT43">
            <v>22498.647304413182</v>
          </cell>
          <cell r="BU43">
            <v>21574.297881000846</v>
          </cell>
        </row>
        <row r="44">
          <cell r="A44" t="str">
            <v>Business In-region</v>
          </cell>
          <cell r="F44">
            <v>7317</v>
          </cell>
          <cell r="G44">
            <v>7713</v>
          </cell>
          <cell r="H44">
            <v>8206</v>
          </cell>
          <cell r="I44">
            <v>12622</v>
          </cell>
          <cell r="J44">
            <v>12802</v>
          </cell>
          <cell r="K44">
            <v>2735.8846797442407</v>
          </cell>
          <cell r="L44">
            <v>10825.027179324661</v>
          </cell>
          <cell r="M44">
            <v>12531.716127007454</v>
          </cell>
          <cell r="N44">
            <v>11933.148522298201</v>
          </cell>
          <cell r="O44">
            <v>11440.69357170671</v>
          </cell>
          <cell r="P44">
            <v>11228.487132256912</v>
          </cell>
          <cell r="Q44">
            <v>11199.737179751826</v>
          </cell>
          <cell r="AH44">
            <v>1808</v>
          </cell>
          <cell r="AI44">
            <v>1824</v>
          </cell>
          <cell r="AJ44">
            <v>1834</v>
          </cell>
          <cell r="AK44">
            <v>1851</v>
          </cell>
          <cell r="AL44">
            <v>1860</v>
          </cell>
          <cell r="AM44">
            <v>1945</v>
          </cell>
          <cell r="AN44">
            <v>1951</v>
          </cell>
          <cell r="AO44">
            <v>1957</v>
          </cell>
          <cell r="AP44">
            <v>1991</v>
          </cell>
          <cell r="AQ44">
            <v>2040</v>
          </cell>
          <cell r="AR44">
            <v>2077</v>
          </cell>
          <cell r="AS44">
            <v>2098</v>
          </cell>
          <cell r="AT44">
            <v>3108</v>
          </cell>
          <cell r="AU44">
            <v>3166</v>
          </cell>
          <cell r="AV44">
            <v>3169</v>
          </cell>
          <cell r="AW44">
            <v>3179</v>
          </cell>
          <cell r="AX44">
            <v>3193</v>
          </cell>
          <cell r="AY44">
            <v>3218</v>
          </cell>
          <cell r="AZ44">
            <v>3241</v>
          </cell>
          <cell r="BA44">
            <v>3150</v>
          </cell>
          <cell r="BB44">
            <v>0</v>
          </cell>
          <cell r="BC44">
            <v>0</v>
          </cell>
          <cell r="BD44">
            <v>0</v>
          </cell>
          <cell r="BE44">
            <v>2735.8846797442407</v>
          </cell>
          <cell r="BF44">
            <v>2739.6102010960039</v>
          </cell>
          <cell r="BG44">
            <v>2728.3474161344016</v>
          </cell>
          <cell r="BH44">
            <v>2722.1787237130711</v>
          </cell>
          <cell r="BI44">
            <v>2634.8908383811849</v>
          </cell>
          <cell r="BJ44">
            <v>4741.4489623209111</v>
          </cell>
          <cell r="BK44">
            <v>2633.7718613085035</v>
          </cell>
          <cell r="BL44">
            <v>2623.736058020158</v>
          </cell>
          <cell r="BM44">
            <v>2532.7592453578827</v>
          </cell>
          <cell r="BN44">
            <v>4494.582706323903</v>
          </cell>
          <cell r="BO44">
            <v>2514.0583399073566</v>
          </cell>
          <cell r="BP44">
            <v>2503.6687076916437</v>
          </cell>
          <cell r="BQ44">
            <v>2415.5728565002041</v>
          </cell>
          <cell r="BR44">
            <v>4269.0227343025281</v>
          </cell>
          <cell r="BS44">
            <v>2416.3846083457797</v>
          </cell>
          <cell r="BT44">
            <v>2413.6105376000087</v>
          </cell>
          <cell r="BU44">
            <v>2341.2525227280494</v>
          </cell>
        </row>
        <row r="45">
          <cell r="A45" t="str">
            <v>Wholesale</v>
          </cell>
          <cell r="F45">
            <v>11984</v>
          </cell>
          <cell r="G45">
            <v>11869</v>
          </cell>
          <cell r="H45">
            <v>11405</v>
          </cell>
          <cell r="I45">
            <v>14061</v>
          </cell>
          <cell r="J45">
            <v>13970</v>
          </cell>
          <cell r="K45">
            <v>3515.9985065558549</v>
          </cell>
          <cell r="L45">
            <v>14352.637417022772</v>
          </cell>
          <cell r="M45">
            <v>17773.632679687911</v>
          </cell>
          <cell r="N45">
            <v>18093.300739892809</v>
          </cell>
          <cell r="O45">
            <v>18437.705862093411</v>
          </cell>
          <cell r="P45">
            <v>18809.145885096514</v>
          </cell>
          <cell r="Q45">
            <v>19215.00368291642</v>
          </cell>
          <cell r="AH45">
            <v>2993</v>
          </cell>
          <cell r="AI45">
            <v>3021</v>
          </cell>
          <cell r="AJ45">
            <v>3029</v>
          </cell>
          <cell r="AK45">
            <v>2941</v>
          </cell>
          <cell r="AL45">
            <v>2979</v>
          </cell>
          <cell r="AM45">
            <v>2897</v>
          </cell>
          <cell r="AN45">
            <v>2968</v>
          </cell>
          <cell r="AO45">
            <v>3025</v>
          </cell>
          <cell r="AP45">
            <v>2913</v>
          </cell>
          <cell r="AQ45">
            <v>2903</v>
          </cell>
          <cell r="AR45">
            <v>2787</v>
          </cell>
          <cell r="AS45">
            <v>2802</v>
          </cell>
          <cell r="AT45">
            <v>3599</v>
          </cell>
          <cell r="AU45">
            <v>3515</v>
          </cell>
          <cell r="AV45">
            <v>3510</v>
          </cell>
          <cell r="AW45">
            <v>3437</v>
          </cell>
          <cell r="AX45">
            <v>3456</v>
          </cell>
          <cell r="AY45">
            <v>3507</v>
          </cell>
          <cell r="AZ45">
            <v>3536</v>
          </cell>
          <cell r="BA45">
            <v>3471</v>
          </cell>
          <cell r="BB45">
            <v>0</v>
          </cell>
          <cell r="BC45">
            <v>0</v>
          </cell>
          <cell r="BD45">
            <v>0</v>
          </cell>
          <cell r="BE45">
            <v>3515.9985065558549</v>
          </cell>
          <cell r="BF45">
            <v>3538.7262460661759</v>
          </cell>
          <cell r="BG45">
            <v>3603.1989164082015</v>
          </cell>
          <cell r="BH45">
            <v>3639.9250306129125</v>
          </cell>
          <cell r="BI45">
            <v>3570.7872239354824</v>
          </cell>
          <cell r="BJ45">
            <v>6869.4095325535363</v>
          </cell>
          <cell r="BK45">
            <v>3632.0095742609706</v>
          </cell>
          <cell r="BL45">
            <v>3669.2134016233049</v>
          </cell>
          <cell r="BM45">
            <v>3603.0001712501012</v>
          </cell>
          <cell r="BN45">
            <v>6978.2371726238453</v>
          </cell>
          <cell r="BO45">
            <v>3675.0045970737951</v>
          </cell>
          <cell r="BP45">
            <v>3712.6699012707927</v>
          </cell>
          <cell r="BQ45">
            <v>3647.2176201337597</v>
          </cell>
          <cell r="BR45">
            <v>7093.3063226904442</v>
          </cell>
          <cell r="BS45">
            <v>3726.1874873153101</v>
          </cell>
          <cell r="BT45">
            <v>3763.5374000820093</v>
          </cell>
          <cell r="BU45">
            <v>3695.1298390264687</v>
          </cell>
        </row>
        <row r="46">
          <cell r="A46" t="str">
            <v>Enterprise</v>
          </cell>
          <cell r="F46">
            <v>20433</v>
          </cell>
          <cell r="G46">
            <v>18841</v>
          </cell>
          <cell r="H46">
            <v>17671</v>
          </cell>
          <cell r="I46">
            <v>18756</v>
          </cell>
          <cell r="J46">
            <v>18529</v>
          </cell>
          <cell r="K46">
            <v>4325.1949999999997</v>
          </cell>
          <cell r="L46">
            <v>18020.604179999998</v>
          </cell>
          <cell r="M46">
            <v>18515.952420599999</v>
          </cell>
          <cell r="N46">
            <v>19164.010755320996</v>
          </cell>
          <cell r="O46">
            <v>19834.751131757228</v>
          </cell>
          <cell r="P46">
            <v>20528.967421368729</v>
          </cell>
          <cell r="Q46">
            <v>21247.481281116634</v>
          </cell>
          <cell r="AH46">
            <v>5226</v>
          </cell>
          <cell r="AI46">
            <v>5050</v>
          </cell>
          <cell r="AJ46">
            <v>5121</v>
          </cell>
          <cell r="AK46">
            <v>5036</v>
          </cell>
          <cell r="AL46">
            <v>4792</v>
          </cell>
          <cell r="AM46">
            <v>4796</v>
          </cell>
          <cell r="AN46">
            <v>4671</v>
          </cell>
          <cell r="AO46">
            <v>4582</v>
          </cell>
          <cell r="AP46">
            <v>4461</v>
          </cell>
          <cell r="AQ46">
            <v>4419</v>
          </cell>
          <cell r="AR46">
            <v>4380</v>
          </cell>
          <cell r="AS46">
            <v>4411</v>
          </cell>
          <cell r="AT46">
            <v>4602</v>
          </cell>
          <cell r="AU46">
            <v>4699</v>
          </cell>
          <cell r="AV46">
            <v>4753</v>
          </cell>
          <cell r="AW46">
            <v>4702</v>
          </cell>
          <cell r="AX46">
            <v>4662</v>
          </cell>
          <cell r="AY46">
            <v>4650</v>
          </cell>
          <cell r="AZ46">
            <v>4688</v>
          </cell>
          <cell r="BA46">
            <v>4529</v>
          </cell>
          <cell r="BB46">
            <v>0</v>
          </cell>
          <cell r="BC46">
            <v>0</v>
          </cell>
          <cell r="BD46">
            <v>0</v>
          </cell>
          <cell r="BE46">
            <v>4325.1949999999997</v>
          </cell>
          <cell r="BF46">
            <v>4526.98848</v>
          </cell>
          <cell r="BG46">
            <v>4515.3360000000002</v>
          </cell>
          <cell r="BH46">
            <v>4566.5807999999997</v>
          </cell>
          <cell r="BI46">
            <v>4411.6988999999994</v>
          </cell>
          <cell r="BJ46">
            <v>4617.5282496</v>
          </cell>
          <cell r="BK46">
            <v>4650.7960800000001</v>
          </cell>
          <cell r="BL46">
            <v>4703.5782239999999</v>
          </cell>
          <cell r="BM46">
            <v>4544.0498669999997</v>
          </cell>
          <cell r="BN46">
            <v>4756.0540970880002</v>
          </cell>
          <cell r="BO46">
            <v>4790.3199623999999</v>
          </cell>
          <cell r="BP46">
            <v>4844.6855707200002</v>
          </cell>
          <cell r="BQ46">
            <v>4680.3713630100001</v>
          </cell>
          <cell r="BR46">
            <v>4898.73572000064</v>
          </cell>
          <cell r="BS46">
            <v>4934.0295612720001</v>
          </cell>
          <cell r="BT46">
            <v>4990.0261378416008</v>
          </cell>
          <cell r="BU46">
            <v>4820.7825039003001</v>
          </cell>
        </row>
        <row r="47">
          <cell r="A47" t="str">
            <v>National Mass Markets</v>
          </cell>
          <cell r="F47">
            <v>9510</v>
          </cell>
          <cell r="G47">
            <v>7457</v>
          </cell>
          <cell r="H47">
            <v>5504</v>
          </cell>
          <cell r="I47">
            <v>3763</v>
          </cell>
          <cell r="J47">
            <v>2624</v>
          </cell>
          <cell r="K47">
            <v>436.5</v>
          </cell>
          <cell r="L47">
            <v>1416.96</v>
          </cell>
          <cell r="M47">
            <v>1020.2111999999997</v>
          </cell>
          <cell r="N47">
            <v>734.55206399999952</v>
          </cell>
          <cell r="O47">
            <v>528.87748607999947</v>
          </cell>
          <cell r="P47">
            <v>380.79178997759948</v>
          </cell>
          <cell r="Q47">
            <v>274.17008878387151</v>
          </cell>
          <cell r="AH47">
            <v>2529</v>
          </cell>
          <cell r="AI47">
            <v>2421</v>
          </cell>
          <cell r="AJ47">
            <v>2375</v>
          </cell>
          <cell r="AK47">
            <v>2185</v>
          </cell>
          <cell r="AL47">
            <v>2045</v>
          </cell>
          <cell r="AM47">
            <v>1942</v>
          </cell>
          <cell r="AN47">
            <v>1818</v>
          </cell>
          <cell r="AO47">
            <v>1652</v>
          </cell>
          <cell r="AP47">
            <v>1486</v>
          </cell>
          <cell r="AQ47">
            <v>1413</v>
          </cell>
          <cell r="AR47">
            <v>1366</v>
          </cell>
          <cell r="AS47">
            <v>1239</v>
          </cell>
          <cell r="AT47">
            <v>1092</v>
          </cell>
          <cell r="AU47">
            <v>988</v>
          </cell>
          <cell r="AV47">
            <v>892</v>
          </cell>
          <cell r="AW47">
            <v>791</v>
          </cell>
          <cell r="AX47">
            <v>726</v>
          </cell>
          <cell r="AY47">
            <v>680</v>
          </cell>
          <cell r="AZ47">
            <v>636</v>
          </cell>
          <cell r="BA47">
            <v>582</v>
          </cell>
          <cell r="BB47">
            <v>0</v>
          </cell>
          <cell r="BC47">
            <v>0</v>
          </cell>
          <cell r="BD47">
            <v>0</v>
          </cell>
          <cell r="BE47">
            <v>436.5</v>
          </cell>
          <cell r="BF47">
            <v>392.03999999999996</v>
          </cell>
          <cell r="BG47">
            <v>367.2</v>
          </cell>
          <cell r="BH47">
            <v>343.44</v>
          </cell>
          <cell r="BI47">
            <v>314.27999999999997</v>
          </cell>
          <cell r="BJ47">
            <v>282.26879999999994</v>
          </cell>
          <cell r="BK47">
            <v>264.38399999999996</v>
          </cell>
          <cell r="BL47">
            <v>247.27679999999998</v>
          </cell>
          <cell r="BM47">
            <v>226.28159999999997</v>
          </cell>
          <cell r="BN47">
            <v>203.23353599999996</v>
          </cell>
          <cell r="BO47">
            <v>190.35647999999998</v>
          </cell>
          <cell r="BP47">
            <v>178.03929599999998</v>
          </cell>
          <cell r="BQ47">
            <v>162.92275199999997</v>
          </cell>
          <cell r="BR47">
            <v>146.32814591999997</v>
          </cell>
          <cell r="BS47">
            <v>137.05666559999997</v>
          </cell>
          <cell r="BT47">
            <v>128.18829311999997</v>
          </cell>
          <cell r="BU47">
            <v>117.30438143999997</v>
          </cell>
        </row>
        <row r="48">
          <cell r="A48" t="str">
            <v>Other</v>
          </cell>
          <cell r="F48">
            <v>1781</v>
          </cell>
          <cell r="G48">
            <v>1301</v>
          </cell>
          <cell r="H48">
            <v>1112</v>
          </cell>
          <cell r="I48">
            <v>-286</v>
          </cell>
          <cell r="J48">
            <v>-80</v>
          </cell>
          <cell r="K48">
            <v>6.0600000000000005</v>
          </cell>
          <cell r="L48">
            <v>-81.608000000000004</v>
          </cell>
          <cell r="M48">
            <v>-114.04718</v>
          </cell>
          <cell r="N48">
            <v>-115.1876518</v>
          </cell>
          <cell r="O48">
            <v>-116.33952831799999</v>
          </cell>
          <cell r="P48">
            <v>-117.50292360117999</v>
          </cell>
          <cell r="Q48">
            <v>-118.67795283719178</v>
          </cell>
          <cell r="AH48">
            <v>436</v>
          </cell>
          <cell r="AI48">
            <v>458</v>
          </cell>
          <cell r="AJ48">
            <v>465</v>
          </cell>
          <cell r="AK48">
            <v>422</v>
          </cell>
          <cell r="AL48">
            <v>358</v>
          </cell>
          <cell r="AM48">
            <v>363</v>
          </cell>
          <cell r="AN48">
            <v>301</v>
          </cell>
          <cell r="AO48">
            <v>279</v>
          </cell>
          <cell r="AP48">
            <v>242</v>
          </cell>
          <cell r="AQ48">
            <v>333</v>
          </cell>
          <cell r="AR48">
            <v>283</v>
          </cell>
          <cell r="AS48">
            <v>254</v>
          </cell>
          <cell r="AT48">
            <v>-55</v>
          </cell>
          <cell r="AU48">
            <v>-69</v>
          </cell>
          <cell r="AV48">
            <v>-80</v>
          </cell>
          <cell r="AW48">
            <v>-82</v>
          </cell>
          <cell r="AX48">
            <v>-31</v>
          </cell>
          <cell r="AY48">
            <v>-24</v>
          </cell>
          <cell r="AZ48">
            <v>-31</v>
          </cell>
          <cell r="BA48">
            <v>6</v>
          </cell>
          <cell r="BB48">
            <v>0</v>
          </cell>
          <cell r="BC48">
            <v>0</v>
          </cell>
          <cell r="BD48">
            <v>0</v>
          </cell>
          <cell r="BE48">
            <v>6.0600000000000005</v>
          </cell>
          <cell r="BF48">
            <v>-31.623099999999997</v>
          </cell>
          <cell r="BG48">
            <v>-24.482400000000002</v>
          </cell>
          <cell r="BH48">
            <v>-31.623099999999997</v>
          </cell>
          <cell r="BI48">
            <v>6.1206000000000005</v>
          </cell>
          <cell r="BJ48">
            <v>-63.562430999999989</v>
          </cell>
          <cell r="BK48">
            <v>-24.727224000000003</v>
          </cell>
          <cell r="BL48">
            <v>-31.939330999999999</v>
          </cell>
          <cell r="BM48">
            <v>6.1818060000000008</v>
          </cell>
          <cell r="BN48">
            <v>-64.198055309999987</v>
          </cell>
          <cell r="BO48">
            <v>-24.974496240000004</v>
          </cell>
          <cell r="BP48">
            <v>-32.258724309999998</v>
          </cell>
          <cell r="BQ48">
            <v>6.243624060000001</v>
          </cell>
          <cell r="BR48">
            <v>-64.840035863099985</v>
          </cell>
          <cell r="BS48">
            <v>-25.224241202400005</v>
          </cell>
          <cell r="BT48">
            <v>-32.581311553100001</v>
          </cell>
          <cell r="BU48">
            <v>6.3060603006000013</v>
          </cell>
        </row>
        <row r="49">
          <cell r="A49" t="str">
            <v>Total Operating Revenues</v>
          </cell>
          <cell r="F49">
            <v>65029</v>
          </cell>
          <cell r="G49">
            <v>61680</v>
          </cell>
          <cell r="H49">
            <v>58559</v>
          </cell>
          <cell r="I49">
            <v>71583</v>
          </cell>
          <cell r="J49">
            <v>69854</v>
          </cell>
          <cell r="K49">
            <v>16150.184944149782</v>
          </cell>
          <cell r="L49">
            <v>65506.16517567647</v>
          </cell>
          <cell r="M49">
            <v>82467.273307539974</v>
          </cell>
          <cell r="N49">
            <v>80855.414833273346</v>
          </cell>
          <cell r="O49">
            <v>79819.205924565264</v>
          </cell>
          <cell r="P49">
            <v>79446.643658505418</v>
          </cell>
          <cell r="Q49">
            <v>79689.629932810756</v>
          </cell>
          <cell r="AH49">
            <v>16431</v>
          </cell>
          <cell r="AI49">
            <v>16274</v>
          </cell>
          <cell r="AJ49">
            <v>16374</v>
          </cell>
          <cell r="AK49">
            <v>15950</v>
          </cell>
          <cell r="AL49">
            <v>15604</v>
          </cell>
          <cell r="AM49">
            <v>15531</v>
          </cell>
          <cell r="AN49">
            <v>15377</v>
          </cell>
          <cell r="AO49">
            <v>15168</v>
          </cell>
          <cell r="AP49">
            <v>14739</v>
          </cell>
          <cell r="AQ49">
            <v>14750</v>
          </cell>
          <cell r="AR49">
            <v>14589</v>
          </cell>
          <cell r="AS49">
            <v>14481</v>
          </cell>
          <cell r="AT49">
            <v>17992</v>
          </cell>
          <cell r="AU49">
            <v>17993</v>
          </cell>
          <cell r="AV49">
            <v>17941</v>
          </cell>
          <cell r="AW49">
            <v>17657</v>
          </cell>
          <cell r="AX49">
            <v>17624</v>
          </cell>
          <cell r="AY49">
            <v>17608</v>
          </cell>
          <cell r="AZ49">
            <v>17550</v>
          </cell>
          <cell r="BA49">
            <v>17072</v>
          </cell>
          <cell r="BB49">
            <v>16162</v>
          </cell>
          <cell r="BC49">
            <v>16017</v>
          </cell>
          <cell r="BD49">
            <v>15777</v>
          </cell>
          <cell r="BE49">
            <v>16150.184944149782</v>
          </cell>
          <cell r="BF49">
            <v>16367.452587404532</v>
          </cell>
          <cell r="BG49">
            <v>16499.996529663778</v>
          </cell>
          <cell r="BH49">
            <v>16509.489955252131</v>
          </cell>
          <cell r="BI49">
            <v>16129.226103356019</v>
          </cell>
          <cell r="BJ49">
            <v>24582.471924899801</v>
          </cell>
          <cell r="BK49">
            <v>19477.234764848617</v>
          </cell>
          <cell r="BL49">
            <v>19453.037741139924</v>
          </cell>
          <cell r="BM49">
            <v>18954.528876651628</v>
          </cell>
          <cell r="BN49">
            <v>29761.306848992674</v>
          </cell>
          <cell r="BO49">
            <v>24775.50148608645</v>
          </cell>
          <cell r="BP49">
            <v>24614.076603023368</v>
          </cell>
          <cell r="BQ49">
            <v>23912.485496029152</v>
          </cell>
          <cell r="BR49">
            <v>39066.71392345208</v>
          </cell>
          <cell r="BS49">
            <v>34231.729497247339</v>
          </cell>
          <cell r="BT49">
            <v>33761.428361503706</v>
          </cell>
          <cell r="BU49">
            <v>32555.073188396265</v>
          </cell>
        </row>
        <row r="50">
          <cell r="A50" t="str">
            <v>% y/y growth</v>
          </cell>
          <cell r="G50">
            <v>-5.1500099955404499E-2</v>
          </cell>
          <cell r="H50">
            <v>-5.059987029831392E-2</v>
          </cell>
          <cell r="I50">
            <v>0.22240816953841436</v>
          </cell>
          <cell r="J50">
            <v>-2.4153779528659047E-2</v>
          </cell>
          <cell r="K50">
            <v>-0.76880085687076216</v>
          </cell>
          <cell r="L50">
            <v>3.0560628501907852</v>
          </cell>
          <cell r="M50">
            <v>0.25892384459350781</v>
          </cell>
          <cell r="N50">
            <v>-1.9545431898246757E-2</v>
          </cell>
          <cell r="O50">
            <v>-1.2815578410484751E-2</v>
          </cell>
          <cell r="P50">
            <v>-4.6675767034307647E-3</v>
          </cell>
          <cell r="Q50">
            <v>3.0584838215419463E-3</v>
          </cell>
          <cell r="AL50">
            <v>-5.0331690097985549E-2</v>
          </cell>
          <cell r="AM50">
            <v>-4.56556470443652E-2</v>
          </cell>
          <cell r="AN50">
            <v>-6.0889214608525699E-2</v>
          </cell>
          <cell r="AO50">
            <v>-4.9028213166144252E-2</v>
          </cell>
          <cell r="AP50">
            <v>-5.5434503973340155E-2</v>
          </cell>
          <cell r="AQ50">
            <v>-5.0286523726740029E-2</v>
          </cell>
          <cell r="AR50">
            <v>-5.124536645639588E-2</v>
          </cell>
          <cell r="AS50">
            <v>-4.5292721518987333E-2</v>
          </cell>
          <cell r="AT50">
            <v>0.22070696790827049</v>
          </cell>
          <cell r="AU50">
            <v>0.21986440677966113</v>
          </cell>
          <cell r="AV50">
            <v>0.22976214956474061</v>
          </cell>
          <cell r="AW50">
            <v>0.21932187003659975</v>
          </cell>
          <cell r="AX50">
            <v>-2.0453534904401938E-2</v>
          </cell>
          <cell r="AY50">
            <v>-2.1397210026121272E-2</v>
          </cell>
          <cell r="AZ50">
            <v>-2.1793656986790033E-2</v>
          </cell>
          <cell r="BA50">
            <v>-3.3131336014045387E-2</v>
          </cell>
          <cell r="BB50">
            <v>-8.2955061280072573E-2</v>
          </cell>
          <cell r="BC50">
            <v>-9.0356656065424756E-2</v>
          </cell>
          <cell r="BD50">
            <v>-0.10102564102564104</v>
          </cell>
          <cell r="BE50">
            <v>-5.3995727263953741E-2</v>
          </cell>
          <cell r="BF50">
            <v>1.2712076933828254E-2</v>
          </cell>
          <cell r="BG50">
            <v>3.0155243158130673E-2</v>
          </cell>
          <cell r="BH50">
            <v>4.6427708388928846E-2</v>
          </cell>
          <cell r="BI50">
            <v>-1.2977461785262934E-3</v>
          </cell>
          <cell r="BJ50">
            <v>0.50191190679343012</v>
          </cell>
          <cell r="BK50">
            <v>0.18043871887077945</v>
          </cell>
          <cell r="BL50">
            <v>0.17829428976098494</v>
          </cell>
          <cell r="BM50">
            <v>0.17516666671984638</v>
          </cell>
          <cell r="BN50">
            <v>0.21067185350254314</v>
          </cell>
          <cell r="BO50">
            <v>0.27202355905263498</v>
          </cell>
          <cell r="BP50">
            <v>0.26530760545273147</v>
          </cell>
          <cell r="BQ50">
            <v>0.26157108159437215</v>
          </cell>
          <cell r="BR50">
            <v>0.31266795916169143</v>
          </cell>
          <cell r="BS50">
            <v>0.38167655320605176</v>
          </cell>
          <cell r="BT50">
            <v>0.37163091291252259</v>
          </cell>
          <cell r="BU50">
            <v>0.36142573693572255</v>
          </cell>
        </row>
        <row r="52">
          <cell r="A52" t="str">
            <v>Operating Revenues by Type</v>
          </cell>
          <cell r="AY52" t="str">
            <v>New Segment Reporting</v>
          </cell>
        </row>
        <row r="53">
          <cell r="A53" t="str">
            <v xml:space="preserve"> Consumer Markets</v>
          </cell>
          <cell r="J53">
            <v>22554</v>
          </cell>
          <cell r="K53">
            <v>21284</v>
          </cell>
          <cell r="L53">
            <v>21258</v>
          </cell>
          <cell r="M53">
            <v>21329</v>
          </cell>
          <cell r="N53">
            <v>21701.113881598249</v>
          </cell>
          <cell r="O53">
            <v>22085.80304125735</v>
          </cell>
          <cell r="P53">
            <v>22542.67048596032</v>
          </cell>
          <cell r="Q53">
            <v>23131.735721098648</v>
          </cell>
          <cell r="R53">
            <v>23978.725622210743</v>
          </cell>
          <cell r="S53">
            <v>24917.571964019822</v>
          </cell>
          <cell r="T53">
            <v>25953.946468388582</v>
          </cell>
          <cell r="AU53">
            <v>5865</v>
          </cell>
          <cell r="AV53">
            <v>5867</v>
          </cell>
          <cell r="AW53">
            <v>5791</v>
          </cell>
          <cell r="AX53">
            <v>5761</v>
          </cell>
          <cell r="AY53">
            <v>5721</v>
          </cell>
          <cell r="AZ53">
            <v>5620</v>
          </cell>
          <cell r="BA53">
            <v>5452</v>
          </cell>
          <cell r="BB53">
            <v>5366</v>
          </cell>
          <cell r="BC53">
            <v>5354</v>
          </cell>
          <cell r="BD53">
            <v>5310</v>
          </cell>
          <cell r="BE53">
            <v>5254</v>
          </cell>
          <cell r="BF53">
            <v>5295</v>
          </cell>
          <cell r="BG53">
            <v>5353</v>
          </cell>
          <cell r="BH53">
            <v>5322</v>
          </cell>
          <cell r="BI53">
            <v>5288</v>
          </cell>
          <cell r="BJ53">
            <v>5322</v>
          </cell>
          <cell r="BK53">
            <v>5359</v>
          </cell>
          <cell r="BL53">
            <v>5331</v>
          </cell>
          <cell r="BM53">
            <v>5317</v>
          </cell>
          <cell r="BN53">
            <v>5373</v>
          </cell>
          <cell r="BO53">
            <v>5450</v>
          </cell>
          <cell r="BP53">
            <v>5435</v>
          </cell>
          <cell r="BQ53">
            <v>5443.1138815982495</v>
          </cell>
          <cell r="BR53">
            <v>5454.5455461636511</v>
          </cell>
          <cell r="BS53">
            <v>5541.15661596466</v>
          </cell>
          <cell r="BT53">
            <v>5536.2584434754326</v>
          </cell>
          <cell r="BU53">
            <v>5553.8424356536052</v>
          </cell>
        </row>
        <row r="54">
          <cell r="A54" t="str">
            <v xml:space="preserve"> AT&amp;T Business Solutions</v>
          </cell>
          <cell r="J54">
            <v>42770</v>
          </cell>
          <cell r="K54">
            <v>40198</v>
          </cell>
          <cell r="L54">
            <v>38423</v>
          </cell>
          <cell r="M54">
            <v>37208</v>
          </cell>
          <cell r="N54">
            <v>36456.944000000003</v>
          </cell>
          <cell r="O54">
            <v>36075.436010000005</v>
          </cell>
          <cell r="P54">
            <v>36141.771538100002</v>
          </cell>
          <cell r="Q54">
            <v>36537.415742117497</v>
          </cell>
          <cell r="R54">
            <v>37045.326983839579</v>
          </cell>
          <cell r="S54">
            <v>37597.698535290489</v>
          </cell>
          <cell r="T54">
            <v>38159.049515610037</v>
          </cell>
          <cell r="AU54">
            <v>11200</v>
          </cell>
          <cell r="AV54">
            <v>11256</v>
          </cell>
          <cell r="AW54">
            <v>11154</v>
          </cell>
          <cell r="AX54">
            <v>10687</v>
          </cell>
          <cell r="AY54">
            <v>10730</v>
          </cell>
          <cell r="AZ54">
            <v>10825</v>
          </cell>
          <cell r="BA54">
            <v>10528</v>
          </cell>
          <cell r="BB54">
            <v>10207</v>
          </cell>
          <cell r="BC54">
            <v>10125</v>
          </cell>
          <cell r="BD54">
            <v>9958</v>
          </cell>
          <cell r="BE54">
            <v>9908</v>
          </cell>
          <cell r="BF54">
            <v>9713</v>
          </cell>
          <cell r="BG54">
            <v>9654</v>
          </cell>
          <cell r="BH54">
            <v>9582</v>
          </cell>
          <cell r="BI54">
            <v>9474</v>
          </cell>
          <cell r="BJ54">
            <v>9284</v>
          </cell>
          <cell r="BK54">
            <v>9260</v>
          </cell>
          <cell r="BL54">
            <v>9326</v>
          </cell>
          <cell r="BM54">
            <v>9338</v>
          </cell>
          <cell r="BN54">
            <v>9210</v>
          </cell>
          <cell r="BO54">
            <v>9120</v>
          </cell>
          <cell r="BP54">
            <v>9081</v>
          </cell>
          <cell r="BQ54">
            <v>9045.9439999999995</v>
          </cell>
          <cell r="BR54">
            <v>9049.9650000000001</v>
          </cell>
          <cell r="BS54">
            <v>9026.02</v>
          </cell>
          <cell r="BT54">
            <v>9007.18</v>
          </cell>
          <cell r="BU54">
            <v>8992.2710100000004</v>
          </cell>
        </row>
        <row r="55">
          <cell r="A55" t="str">
            <v xml:space="preserve"> National Mass Markets</v>
          </cell>
          <cell r="J55">
            <v>2596</v>
          </cell>
          <cell r="K55">
            <v>1853</v>
          </cell>
          <cell r="L55">
            <v>1333</v>
          </cell>
          <cell r="M55">
            <v>1035</v>
          </cell>
          <cell r="N55">
            <v>820.2</v>
          </cell>
          <cell r="O55">
            <v>716.48</v>
          </cell>
          <cell r="P55">
            <v>630.50239999999997</v>
          </cell>
          <cell r="Q55">
            <v>580.06220799999994</v>
          </cell>
          <cell r="R55">
            <v>533.65723135999997</v>
          </cell>
          <cell r="S55">
            <v>490.96465285120001</v>
          </cell>
          <cell r="T55">
            <v>451.68748062310402</v>
          </cell>
          <cell r="AU55">
            <v>997</v>
          </cell>
          <cell r="AV55">
            <v>897</v>
          </cell>
          <cell r="AW55">
            <v>794</v>
          </cell>
          <cell r="AX55">
            <v>720</v>
          </cell>
          <cell r="AY55">
            <v>672</v>
          </cell>
          <cell r="AZ55">
            <v>630</v>
          </cell>
          <cell r="BA55">
            <v>574</v>
          </cell>
          <cell r="BB55">
            <v>521</v>
          </cell>
          <cell r="BC55">
            <v>479</v>
          </cell>
          <cell r="BD55">
            <v>445</v>
          </cell>
          <cell r="BE55">
            <v>408</v>
          </cell>
          <cell r="BF55">
            <v>375</v>
          </cell>
          <cell r="BG55">
            <v>337</v>
          </cell>
          <cell r="BH55">
            <v>326</v>
          </cell>
          <cell r="BI55">
            <v>295</v>
          </cell>
          <cell r="BJ55">
            <v>282</v>
          </cell>
          <cell r="BK55">
            <v>265</v>
          </cell>
          <cell r="BL55">
            <v>254</v>
          </cell>
          <cell r="BM55">
            <v>234</v>
          </cell>
          <cell r="BN55">
            <v>223</v>
          </cell>
          <cell r="BO55">
            <v>211</v>
          </cell>
          <cell r="BP55">
            <v>199</v>
          </cell>
          <cell r="BQ55">
            <v>187.20000000000002</v>
          </cell>
          <cell r="BR55">
            <v>189.54999999999998</v>
          </cell>
          <cell r="BS55">
            <v>179.35</v>
          </cell>
          <cell r="BT55">
            <v>179.1</v>
          </cell>
          <cell r="BU55">
            <v>168.48000000000002</v>
          </cell>
        </row>
        <row r="56">
          <cell r="A56" t="str">
            <v xml:space="preserve"> Other</v>
          </cell>
          <cell r="J56">
            <v>-31</v>
          </cell>
          <cell r="K56">
            <v>254</v>
          </cell>
          <cell r="L56">
            <v>620</v>
          </cell>
          <cell r="M56">
            <v>568</v>
          </cell>
          <cell r="N56">
            <v>429.25</v>
          </cell>
          <cell r="O56">
            <v>374.07499999999999</v>
          </cell>
          <cell r="P56">
            <v>329.18599999999998</v>
          </cell>
          <cell r="Q56">
            <v>302.85111999999998</v>
          </cell>
          <cell r="R56">
            <v>278.6230304</v>
          </cell>
          <cell r="S56">
            <v>256.333187968</v>
          </cell>
          <cell r="T56">
            <v>235.82653293056001</v>
          </cell>
          <cell r="AU56">
            <v>-69</v>
          </cell>
          <cell r="AV56">
            <v>-79</v>
          </cell>
          <cell r="AW56">
            <v>-82</v>
          </cell>
          <cell r="AX56">
            <v>-22</v>
          </cell>
          <cell r="AY56">
            <v>-5</v>
          </cell>
          <cell r="AZ56">
            <v>-15</v>
          </cell>
          <cell r="BA56">
            <v>11</v>
          </cell>
          <cell r="BB56">
            <v>68</v>
          </cell>
          <cell r="BC56">
            <v>59</v>
          </cell>
          <cell r="BD56">
            <v>61</v>
          </cell>
          <cell r="BE56">
            <v>66</v>
          </cell>
          <cell r="BF56">
            <v>61</v>
          </cell>
          <cell r="BG56">
            <v>195</v>
          </cell>
          <cell r="BH56">
            <v>189</v>
          </cell>
          <cell r="BI56">
            <v>175</v>
          </cell>
          <cell r="BJ56">
            <v>163</v>
          </cell>
          <cell r="BK56">
            <v>146</v>
          </cell>
          <cell r="BL56">
            <v>144</v>
          </cell>
          <cell r="BM56">
            <v>115</v>
          </cell>
          <cell r="BN56">
            <v>122</v>
          </cell>
          <cell r="BO56">
            <v>123</v>
          </cell>
          <cell r="BP56">
            <v>98</v>
          </cell>
          <cell r="BQ56">
            <v>86.25</v>
          </cell>
          <cell r="BR56">
            <v>103.7</v>
          </cell>
          <cell r="BS56">
            <v>104.55</v>
          </cell>
          <cell r="BT56">
            <v>88.2</v>
          </cell>
          <cell r="BU56">
            <v>77.625</v>
          </cell>
        </row>
        <row r="57">
          <cell r="A57" t="str">
            <v>Total Operating Revenues</v>
          </cell>
          <cell r="J57">
            <v>67889</v>
          </cell>
          <cell r="K57">
            <v>63589</v>
          </cell>
          <cell r="L57">
            <v>61634</v>
          </cell>
          <cell r="M57">
            <v>60140</v>
          </cell>
          <cell r="N57">
            <v>59407.507881598249</v>
          </cell>
          <cell r="O57">
            <v>59251.794051257355</v>
          </cell>
          <cell r="P57">
            <v>59644.13042406032</v>
          </cell>
          <cell r="Q57">
            <v>60552.064791216144</v>
          </cell>
          <cell r="R57">
            <v>61836.332867810313</v>
          </cell>
          <cell r="S57">
            <v>63262.56834012951</v>
          </cell>
          <cell r="T57">
            <v>64800.509997552283</v>
          </cell>
          <cell r="AU57">
            <v>17993</v>
          </cell>
          <cell r="AV57">
            <v>17941</v>
          </cell>
          <cell r="AW57">
            <v>17657</v>
          </cell>
          <cell r="AX57">
            <v>17146</v>
          </cell>
          <cell r="AY57">
            <v>17118</v>
          </cell>
          <cell r="AZ57">
            <v>17060</v>
          </cell>
          <cell r="BA57">
            <v>16565</v>
          </cell>
          <cell r="BB57">
            <v>16162</v>
          </cell>
          <cell r="BC57">
            <v>16017</v>
          </cell>
          <cell r="BD57">
            <v>15774</v>
          </cell>
          <cell r="BE57">
            <v>15636</v>
          </cell>
          <cell r="BF57">
            <v>15444</v>
          </cell>
          <cell r="BG57">
            <v>15539</v>
          </cell>
          <cell r="BH57">
            <v>15419</v>
          </cell>
          <cell r="BI57">
            <v>15232</v>
          </cell>
          <cell r="BJ57">
            <v>15051</v>
          </cell>
          <cell r="BK57">
            <v>15030</v>
          </cell>
          <cell r="BL57">
            <v>15055</v>
          </cell>
          <cell r="BM57">
            <v>15004</v>
          </cell>
          <cell r="BN57">
            <v>14928</v>
          </cell>
          <cell r="BO57">
            <v>14904</v>
          </cell>
          <cell r="BP57">
            <v>14813</v>
          </cell>
          <cell r="BQ57">
            <v>14762.507881598249</v>
          </cell>
          <cell r="BR57">
            <v>14797.760546163652</v>
          </cell>
          <cell r="BS57">
            <v>14851.076615964661</v>
          </cell>
          <cell r="BT57">
            <v>14810.738443475433</v>
          </cell>
          <cell r="BU57">
            <v>14792.218445653605</v>
          </cell>
        </row>
        <row r="58">
          <cell r="A58" t="str">
            <v>% y/y growth</v>
          </cell>
          <cell r="K58">
            <v>-6.3338685206734469E-2</v>
          </cell>
          <cell r="L58">
            <v>-3.0744311122992918E-2</v>
          </cell>
          <cell r="M58">
            <v>-2.423986760554242E-2</v>
          </cell>
          <cell r="N58">
            <v>-1.217978248090712E-2</v>
          </cell>
          <cell r="O58">
            <v>-2.6211136587522832E-3</v>
          </cell>
          <cell r="P58">
            <v>6.6215104383771095E-3</v>
          </cell>
          <cell r="Q58">
            <v>1.5222526687882931E-2</v>
          </cell>
          <cell r="R58">
            <v>2.1209319302691654E-2</v>
          </cell>
          <cell r="S58">
            <v>2.3064683919211459E-2</v>
          </cell>
          <cell r="T58">
            <v>2.4310452417203088E-2</v>
          </cell>
          <cell r="AY58">
            <v>-4.8630022786639193E-2</v>
          </cell>
          <cell r="AZ58">
            <v>-4.9105401036731555E-2</v>
          </cell>
          <cell r="BA58">
            <v>-6.1845160559551471E-2</v>
          </cell>
          <cell r="BB58">
            <v>-5.7389478595590848E-2</v>
          </cell>
          <cell r="BC58">
            <v>-6.4318261479144767E-2</v>
          </cell>
          <cell r="BD58">
            <v>-7.5381008206330646E-2</v>
          </cell>
          <cell r="BE58">
            <v>-5.6082100814971336E-2</v>
          </cell>
          <cell r="BF58">
            <v>-4.4425194901621112E-2</v>
          </cell>
          <cell r="BG58">
            <v>-2.9843291502778313E-2</v>
          </cell>
          <cell r="BH58">
            <v>-2.250538861417517E-2</v>
          </cell>
          <cell r="BI58">
            <v>-2.5837810181632115E-2</v>
          </cell>
          <cell r="BJ58">
            <v>-2.5446775446775427E-2</v>
          </cell>
          <cell r="BK58">
            <v>-3.2756290623592199E-2</v>
          </cell>
          <cell r="BL58">
            <v>-2.3607237823464522E-2</v>
          </cell>
          <cell r="BM58">
            <v>-1.496848739495793E-2</v>
          </cell>
          <cell r="BN58">
            <v>-8.1722144707992994E-3</v>
          </cell>
          <cell r="BO58">
            <v>-8.3832335329341312E-3</v>
          </cell>
          <cell r="BP58">
            <v>-1.6074393889073391E-2</v>
          </cell>
          <cell r="BQ58">
            <v>-1.6095182511447037E-2</v>
          </cell>
          <cell r="BR58">
            <v>-8.724507893645983E-3</v>
          </cell>
          <cell r="BS58">
            <v>-3.5509516931924168E-3</v>
          </cell>
          <cell r="BT58">
            <v>-1.5267376794481091E-4</v>
          </cell>
          <cell r="BU58">
            <v>2.012568886915922E-3</v>
          </cell>
        </row>
        <row r="59">
          <cell r="A59" t="str">
            <v>Base</v>
          </cell>
          <cell r="J59">
            <v>-2.4153779528659047E-2</v>
          </cell>
          <cell r="K59">
            <v>-0.76880085687076216</v>
          </cell>
          <cell r="Q59">
            <v>3.0584838215419463E-3</v>
          </cell>
          <cell r="R59">
            <v>0</v>
          </cell>
          <cell r="S59">
            <v>0</v>
          </cell>
          <cell r="T59">
            <v>0</v>
          </cell>
        </row>
        <row r="60">
          <cell r="A60" t="str">
            <v>Bull</v>
          </cell>
          <cell r="J60">
            <v>2.8462204713409524E-3</v>
          </cell>
          <cell r="K60">
            <v>2.1760778521431299E-2</v>
          </cell>
          <cell r="Q60">
            <v>3.7588341326421831E-2</v>
          </cell>
          <cell r="R60">
            <v>3.7588341326421831E-2</v>
          </cell>
          <cell r="S60">
            <v>3.7588341326421831E-2</v>
          </cell>
          <cell r="T60">
            <v>3.7588341326421831E-2</v>
          </cell>
        </row>
        <row r="61">
          <cell r="A61" t="str">
            <v>Bear</v>
          </cell>
          <cell r="J61">
            <v>-5.1153779528659044E-2</v>
          </cell>
          <cell r="K61">
            <v>-3.2239221478568697E-2</v>
          </cell>
          <cell r="Q61">
            <v>-1.6411658673578161E-2</v>
          </cell>
          <cell r="R61">
            <v>-1.6411658673578161E-2</v>
          </cell>
          <cell r="S61">
            <v>-1.6411658673578161E-2</v>
          </cell>
          <cell r="T61">
            <v>-1.6411658673578161E-2</v>
          </cell>
        </row>
        <row r="62">
          <cell r="A62" t="str">
            <v>Implied revenue</v>
          </cell>
        </row>
        <row r="64">
          <cell r="A64" t="str">
            <v>Total Consumer</v>
          </cell>
          <cell r="AM64">
            <v>7039</v>
          </cell>
          <cell r="AN64">
            <v>6991</v>
          </cell>
          <cell r="AO64">
            <v>6904</v>
          </cell>
          <cell r="AP64">
            <v>6768</v>
          </cell>
          <cell r="AQ64">
            <v>6709</v>
          </cell>
          <cell r="AR64">
            <v>6697</v>
          </cell>
          <cell r="AS64">
            <v>6527</v>
          </cell>
        </row>
        <row r="65">
          <cell r="A65" t="str">
            <v>Total Business</v>
          </cell>
          <cell r="AM65">
            <v>8363</v>
          </cell>
          <cell r="AN65">
            <v>8203</v>
          </cell>
          <cell r="AO65">
            <v>8152</v>
          </cell>
          <cell r="AP65">
            <v>8035</v>
          </cell>
          <cell r="AQ65">
            <v>8091</v>
          </cell>
          <cell r="AR65">
            <v>8101</v>
          </cell>
          <cell r="AS65">
            <v>8138</v>
          </cell>
        </row>
        <row r="68">
          <cell r="AK68" t="str">
            <v>Pro forma for AT&amp;T/SBC merger</v>
          </cell>
          <cell r="AP68" t="str">
            <v>As reported</v>
          </cell>
        </row>
        <row r="69">
          <cell r="A69" t="str">
            <v>Total Consumer</v>
          </cell>
          <cell r="F69">
            <v>21662</v>
          </cell>
          <cell r="G69">
            <v>20461</v>
          </cell>
          <cell r="AH69">
            <v>5475</v>
          </cell>
          <cell r="AI69">
            <v>5448</v>
          </cell>
          <cell r="AJ69">
            <v>5466</v>
          </cell>
          <cell r="AK69">
            <v>5273</v>
          </cell>
          <cell r="AL69">
            <v>5211</v>
          </cell>
          <cell r="AM69">
            <v>5136</v>
          </cell>
          <cell r="AN69">
            <v>5123</v>
          </cell>
          <cell r="AO69">
            <v>4991</v>
          </cell>
          <cell r="AP69">
            <v>4828</v>
          </cell>
          <cell r="AQ69">
            <v>4752</v>
          </cell>
          <cell r="AR69">
            <v>4773</v>
          </cell>
          <cell r="AS69">
            <v>4655</v>
          </cell>
          <cell r="AT69">
            <v>6445</v>
          </cell>
          <cell r="AU69">
            <v>6419</v>
          </cell>
          <cell r="AV69">
            <v>0</v>
          </cell>
          <cell r="AW69">
            <v>0</v>
          </cell>
          <cell r="AX69">
            <v>0</v>
          </cell>
          <cell r="AY69">
            <v>0</v>
          </cell>
          <cell r="AZ69">
            <v>0</v>
          </cell>
          <cell r="BA69">
            <v>0</v>
          </cell>
          <cell r="BB69">
            <v>0</v>
          </cell>
          <cell r="BC69">
            <v>0</v>
          </cell>
          <cell r="BD69">
            <v>0</v>
          </cell>
        </row>
        <row r="70">
          <cell r="A70" t="str">
            <v>Total Business</v>
          </cell>
          <cell r="F70">
            <v>29602</v>
          </cell>
          <cell r="G70">
            <v>28049</v>
          </cell>
          <cell r="AH70">
            <v>7527</v>
          </cell>
          <cell r="AI70">
            <v>7347</v>
          </cell>
          <cell r="AJ70">
            <v>7414</v>
          </cell>
          <cell r="AK70">
            <v>7314</v>
          </cell>
          <cell r="AL70">
            <v>7056</v>
          </cell>
          <cell r="AM70">
            <v>7135</v>
          </cell>
          <cell r="AN70">
            <v>6985</v>
          </cell>
          <cell r="AO70">
            <v>6873</v>
          </cell>
          <cell r="AP70">
            <v>6756</v>
          </cell>
          <cell r="AQ70">
            <v>6762</v>
          </cell>
          <cell r="AR70">
            <v>6743</v>
          </cell>
          <cell r="AS70">
            <v>6770</v>
          </cell>
          <cell r="AT70">
            <v>7968</v>
          </cell>
          <cell r="AU70">
            <v>8074</v>
          </cell>
          <cell r="AV70">
            <v>0</v>
          </cell>
          <cell r="AW70">
            <v>0</v>
          </cell>
          <cell r="AX70">
            <v>0</v>
          </cell>
          <cell r="AY70">
            <v>0</v>
          </cell>
          <cell r="AZ70">
            <v>0</v>
          </cell>
          <cell r="BA70">
            <v>0</v>
          </cell>
          <cell r="BB70">
            <v>0</v>
          </cell>
          <cell r="BC70">
            <v>0</v>
          </cell>
          <cell r="BD70">
            <v>0</v>
          </cell>
        </row>
        <row r="72">
          <cell r="A72" t="str">
            <v>Operating Revenues</v>
          </cell>
          <cell r="AI72" t="str">
            <v>As reported</v>
          </cell>
          <cell r="AP72" t="str">
            <v>As reported</v>
          </cell>
        </row>
        <row r="73">
          <cell r="A73" t="str">
            <v>Voice</v>
          </cell>
          <cell r="G73">
            <v>24502</v>
          </cell>
          <cell r="AI73">
            <v>5900</v>
          </cell>
          <cell r="AJ73">
            <v>6020</v>
          </cell>
          <cell r="AK73">
            <v>5807</v>
          </cell>
          <cell r="AL73">
            <v>5852</v>
          </cell>
          <cell r="AM73">
            <v>5760</v>
          </cell>
          <cell r="AN73">
            <v>5743</v>
          </cell>
          <cell r="AO73">
            <v>7147</v>
          </cell>
          <cell r="AP73">
            <v>8722</v>
          </cell>
          <cell r="AQ73">
            <v>8618</v>
          </cell>
          <cell r="AR73">
            <v>8464</v>
          </cell>
          <cell r="AS73">
            <v>8183</v>
          </cell>
          <cell r="AT73">
            <v>10677</v>
          </cell>
          <cell r="AU73">
            <v>10586</v>
          </cell>
          <cell r="AV73">
            <v>10356</v>
          </cell>
          <cell r="AW73">
            <v>10011</v>
          </cell>
          <cell r="AX73">
            <v>9690</v>
          </cell>
          <cell r="AY73">
            <v>9519</v>
          </cell>
          <cell r="AZ73">
            <v>9317</v>
          </cell>
          <cell r="BA73">
            <v>8796</v>
          </cell>
          <cell r="BB73">
            <v>8503</v>
          </cell>
          <cell r="BC73">
            <v>8262</v>
          </cell>
          <cell r="BD73">
            <v>7949</v>
          </cell>
        </row>
        <row r="74">
          <cell r="A74" t="str">
            <v>Data</v>
          </cell>
          <cell r="G74">
            <v>10734</v>
          </cell>
          <cell r="AI74">
            <v>2268</v>
          </cell>
          <cell r="AJ74">
            <v>2253</v>
          </cell>
          <cell r="AK74">
            <v>2314</v>
          </cell>
          <cell r="AL74">
            <v>2391</v>
          </cell>
          <cell r="AM74">
            <v>2438</v>
          </cell>
          <cell r="AN74">
            <v>2514</v>
          </cell>
          <cell r="AO74">
            <v>3391</v>
          </cell>
          <cell r="AP74">
            <v>4442</v>
          </cell>
          <cell r="AQ74">
            <v>4477</v>
          </cell>
          <cell r="AR74">
            <v>4546</v>
          </cell>
          <cell r="AS74">
            <v>4603</v>
          </cell>
          <cell r="AT74">
            <v>5862</v>
          </cell>
          <cell r="AU74">
            <v>5980</v>
          </cell>
          <cell r="AV74">
            <v>6076</v>
          </cell>
          <cell r="AW74">
            <v>6157</v>
          </cell>
          <cell r="AX74">
            <v>5983</v>
          </cell>
          <cell r="AY74">
            <v>6066</v>
          </cell>
          <cell r="AZ74">
            <v>6148</v>
          </cell>
          <cell r="BA74">
            <v>6219</v>
          </cell>
          <cell r="BB74">
            <v>6282</v>
          </cell>
          <cell r="BC74">
            <v>6345</v>
          </cell>
          <cell r="BD74">
            <v>6468</v>
          </cell>
        </row>
        <row r="75">
          <cell r="A75" t="str">
            <v>Other</v>
          </cell>
          <cell r="G75">
            <v>4287</v>
          </cell>
          <cell r="AI75">
            <v>961</v>
          </cell>
          <cell r="AJ75">
            <v>935</v>
          </cell>
          <cell r="AK75">
            <v>1064</v>
          </cell>
          <cell r="AL75">
            <v>939</v>
          </cell>
          <cell r="AM75">
            <v>1059</v>
          </cell>
          <cell r="AN75">
            <v>972</v>
          </cell>
          <cell r="AO75">
            <v>1317</v>
          </cell>
          <cell r="AP75">
            <v>1575</v>
          </cell>
          <cell r="AQ75">
            <v>1655</v>
          </cell>
          <cell r="AR75">
            <v>1576</v>
          </cell>
          <cell r="AS75">
            <v>1695</v>
          </cell>
          <cell r="AT75">
            <v>1447</v>
          </cell>
          <cell r="AU75">
            <v>1427</v>
          </cell>
          <cell r="AV75">
            <v>1508</v>
          </cell>
          <cell r="AW75">
            <v>1490</v>
          </cell>
          <cell r="AX75">
            <v>1474</v>
          </cell>
          <cell r="AY75">
            <v>1532</v>
          </cell>
          <cell r="AZ75">
            <v>1596</v>
          </cell>
          <cell r="BA75">
            <v>1550</v>
          </cell>
          <cell r="BB75">
            <v>1377</v>
          </cell>
          <cell r="BC75">
            <v>1410</v>
          </cell>
          <cell r="BD75">
            <v>1360</v>
          </cell>
        </row>
        <row r="76">
          <cell r="A76" t="str">
            <v>Total Operating Revenues</v>
          </cell>
          <cell r="F76">
            <v>36562</v>
          </cell>
          <cell r="G76">
            <v>39523</v>
          </cell>
          <cell r="H76">
            <v>58556</v>
          </cell>
          <cell r="I76">
            <v>71577</v>
          </cell>
          <cell r="J76">
            <v>67890</v>
          </cell>
          <cell r="K76">
            <v>64106.184944149783</v>
          </cell>
          <cell r="L76">
            <v>65506.165175676462</v>
          </cell>
          <cell r="M76">
            <v>82467.273307539974</v>
          </cell>
          <cell r="N76">
            <v>0</v>
          </cell>
          <cell r="O76">
            <v>0</v>
          </cell>
          <cell r="P76">
            <v>0</v>
          </cell>
          <cell r="Q76">
            <v>0</v>
          </cell>
          <cell r="R76">
            <v>0</v>
          </cell>
          <cell r="S76">
            <v>0</v>
          </cell>
          <cell r="T76">
            <v>0</v>
          </cell>
          <cell r="Z76">
            <v>9781</v>
          </cell>
          <cell r="AA76">
            <v>9784</v>
          </cell>
          <cell r="AB76">
            <v>9685</v>
          </cell>
          <cell r="AC76">
            <v>9256</v>
          </cell>
          <cell r="AD76">
            <v>9273</v>
          </cell>
          <cell r="AE76">
            <v>9130</v>
          </cell>
          <cell r="AF76">
            <v>9157</v>
          </cell>
          <cell r="AG76">
            <v>8980</v>
          </cell>
          <cell r="AH76">
            <v>9040</v>
          </cell>
          <cell r="AI76">
            <v>9129</v>
          </cell>
          <cell r="AJ76">
            <v>9208</v>
          </cell>
          <cell r="AK76">
            <v>9185</v>
          </cell>
          <cell r="AL76">
            <v>9182</v>
          </cell>
          <cell r="AM76">
            <v>9257</v>
          </cell>
          <cell r="AN76">
            <v>9229</v>
          </cell>
          <cell r="AO76">
            <v>11855</v>
          </cell>
          <cell r="AP76">
            <v>14739</v>
          </cell>
          <cell r="AQ76">
            <v>14750</v>
          </cell>
          <cell r="AR76">
            <v>14586</v>
          </cell>
          <cell r="AS76">
            <v>14481</v>
          </cell>
          <cell r="AT76">
            <v>17986</v>
          </cell>
          <cell r="AU76">
            <v>17993</v>
          </cell>
          <cell r="AV76">
            <v>17940</v>
          </cell>
          <cell r="AW76">
            <v>17658</v>
          </cell>
          <cell r="AX76">
            <v>17147</v>
          </cell>
          <cell r="AY76">
            <v>17117</v>
          </cell>
          <cell r="AZ76">
            <v>17061</v>
          </cell>
          <cell r="BA76">
            <v>16565</v>
          </cell>
          <cell r="BB76">
            <v>16162</v>
          </cell>
          <cell r="BC76">
            <v>16017</v>
          </cell>
          <cell r="BD76">
            <v>15777</v>
          </cell>
          <cell r="BE76">
            <v>16150.184944149782</v>
          </cell>
          <cell r="BF76">
            <v>16367.452587404532</v>
          </cell>
          <cell r="BG76">
            <v>16499.996529663778</v>
          </cell>
          <cell r="BH76">
            <v>16509.489955252131</v>
          </cell>
          <cell r="BI76">
            <v>16129.226103356019</v>
          </cell>
          <cell r="BJ76">
            <v>24582.471924899801</v>
          </cell>
          <cell r="BK76">
            <v>19477.234764848617</v>
          </cell>
          <cell r="BL76">
            <v>19453.037741139924</v>
          </cell>
          <cell r="BM76">
            <v>18954.528876651628</v>
          </cell>
          <cell r="BN76">
            <v>29761.306848992674</v>
          </cell>
          <cell r="BO76">
            <v>24775.50148608645</v>
          </cell>
          <cell r="BP76">
            <v>24614.076603023368</v>
          </cell>
          <cell r="BQ76">
            <v>23912.485496029152</v>
          </cell>
          <cell r="BR76">
            <v>39066.71392345208</v>
          </cell>
          <cell r="BS76">
            <v>34231.729497247339</v>
          </cell>
          <cell r="BT76">
            <v>33761.428361503706</v>
          </cell>
          <cell r="BU76">
            <v>32555.073188396265</v>
          </cell>
        </row>
        <row r="77">
          <cell r="H77">
            <v>0.48156769476001315</v>
          </cell>
          <cell r="I77">
            <v>0.22236833117016186</v>
          </cell>
          <cell r="J77">
            <v>-5.1510960224653179E-2</v>
          </cell>
          <cell r="K77">
            <v>-5.573449780306694E-2</v>
          </cell>
          <cell r="L77">
            <v>2.1838458063700994E-2</v>
          </cell>
          <cell r="M77">
            <v>0.25892384459350781</v>
          </cell>
          <cell r="N77">
            <v>-1</v>
          </cell>
          <cell r="O77" t="e">
            <v>#DIV/0!</v>
          </cell>
          <cell r="P77" t="e">
            <v>#DIV/0!</v>
          </cell>
          <cell r="Q77" t="e">
            <v>#DIV/0!</v>
          </cell>
          <cell r="R77" t="e">
            <v>#DIV/0!</v>
          </cell>
          <cell r="S77" t="e">
            <v>#DIV/0!</v>
          </cell>
          <cell r="T77" t="e">
            <v>#DIV/0!</v>
          </cell>
          <cell r="AD77">
            <v>-5.1937429710663507E-2</v>
          </cell>
          <cell r="AE77">
            <v>-6.6843826655764493E-2</v>
          </cell>
          <cell r="AF77">
            <v>-5.451729478575118E-2</v>
          </cell>
          <cell r="AG77">
            <v>-2.9818496110630921E-2</v>
          </cell>
          <cell r="AH77">
            <v>-2.5126711959452153E-2</v>
          </cell>
          <cell r="AI77">
            <v>-1.0952902519167917E-4</v>
          </cell>
          <cell r="AJ77">
            <v>5.5695096647374598E-3</v>
          </cell>
          <cell r="AK77">
            <v>2.2828507795100261E-2</v>
          </cell>
          <cell r="AL77">
            <v>1.570796460176993E-2</v>
          </cell>
          <cell r="AM77">
            <v>1.4021250958484055E-2</v>
          </cell>
          <cell r="AN77">
            <v>2.2806255430061206E-3</v>
          </cell>
          <cell r="AO77">
            <v>0.29069134458356016</v>
          </cell>
          <cell r="AP77">
            <v>0.60520583750816814</v>
          </cell>
          <cell r="AQ77">
            <v>0.59338878686399488</v>
          </cell>
          <cell r="AR77">
            <v>0.58045292014302752</v>
          </cell>
          <cell r="AS77">
            <v>0.2215099114297765</v>
          </cell>
          <cell r="AT77">
            <v>0.22029988465974615</v>
          </cell>
          <cell r="AU77">
            <v>0.21986440677966113</v>
          </cell>
          <cell r="AV77">
            <v>0.22994652406417115</v>
          </cell>
          <cell r="AW77">
            <v>0.21939092604101917</v>
          </cell>
          <cell r="AX77">
            <v>-4.6647392416323763E-2</v>
          </cell>
          <cell r="AY77">
            <v>-4.8685599955538228E-2</v>
          </cell>
          <cell r="AZ77">
            <v>-4.8996655518394605E-2</v>
          </cell>
          <cell r="BA77">
            <v>-6.1898289727035927E-2</v>
          </cell>
          <cell r="BB77">
            <v>-5.7444450924359902E-2</v>
          </cell>
          <cell r="BC77">
            <v>-6.4263597593036126E-2</v>
          </cell>
          <cell r="BD77">
            <v>-7.5259363460523976E-2</v>
          </cell>
          <cell r="BE77">
            <v>-2.5041657461528422E-2</v>
          </cell>
          <cell r="BF77">
            <v>1.2712076933828254E-2</v>
          </cell>
          <cell r="BG77">
            <v>3.0155243158130673E-2</v>
          </cell>
          <cell r="BH77">
            <v>4.6427708388928846E-2</v>
          </cell>
          <cell r="BI77">
            <v>-1.2977461785262934E-3</v>
          </cell>
          <cell r="BJ77">
            <v>0.50191190679343012</v>
          </cell>
          <cell r="BK77">
            <v>0.18043871887077945</v>
          </cell>
          <cell r="BL77">
            <v>0.17829428976098494</v>
          </cell>
          <cell r="BM77">
            <v>0.17516666671984638</v>
          </cell>
          <cell r="BN77">
            <v>0.21067185350254314</v>
          </cell>
          <cell r="BO77">
            <v>0.27202355905263498</v>
          </cell>
          <cell r="BP77">
            <v>0.26530760545273147</v>
          </cell>
          <cell r="BQ77">
            <v>0.26157108159437215</v>
          </cell>
          <cell r="BR77">
            <v>0.31266795916169143</v>
          </cell>
          <cell r="BS77">
            <v>0.38167655320605176</v>
          </cell>
          <cell r="BT77">
            <v>0.37163091291252259</v>
          </cell>
          <cell r="BU77">
            <v>0.36142573693572255</v>
          </cell>
        </row>
        <row r="80">
          <cell r="A80" t="str">
            <v>Operating Expenses</v>
          </cell>
        </row>
        <row r="81">
          <cell r="A81" t="str">
            <v>Cost of Sales</v>
          </cell>
          <cell r="AT81">
            <v>7801</v>
          </cell>
          <cell r="AU81">
            <v>7817</v>
          </cell>
          <cell r="AV81">
            <v>7778</v>
          </cell>
          <cell r="AW81">
            <v>7622</v>
          </cell>
          <cell r="AX81">
            <v>7839.0899999999992</v>
          </cell>
          <cell r="AY81">
            <v>7708.4</v>
          </cell>
          <cell r="AZ81">
            <v>8012.3499999999995</v>
          </cell>
          <cell r="BA81">
            <v>7922.8899999999994</v>
          </cell>
          <cell r="BB81">
            <v>7580.67</v>
          </cell>
          <cell r="BC81">
            <v>7597</v>
          </cell>
          <cell r="BD81">
            <v>7489.79</v>
          </cell>
        </row>
        <row r="82">
          <cell r="A82" t="str">
            <v xml:space="preserve"> % revenue</v>
          </cell>
          <cell r="AT82">
            <v>0.43372623151339929</v>
          </cell>
          <cell r="AU82">
            <v>0.43444672928361028</v>
          </cell>
          <cell r="AV82">
            <v>0.43355629877369006</v>
          </cell>
          <cell r="AW82">
            <v>0.43164571299127874</v>
          </cell>
          <cell r="AX82">
            <v>0.45716976730623426</v>
          </cell>
          <cell r="AY82">
            <v>0.45036223416686139</v>
          </cell>
          <cell r="AZ82">
            <v>0.46965709261430244</v>
          </cell>
          <cell r="BA82">
            <v>0.47829097494717776</v>
          </cell>
        </row>
        <row r="83">
          <cell r="A83" t="str">
            <v>Selling, General and Administrative</v>
          </cell>
          <cell r="AT83">
            <v>3801</v>
          </cell>
          <cell r="AU83">
            <v>3685</v>
          </cell>
          <cell r="AV83">
            <v>3868</v>
          </cell>
          <cell r="AW83">
            <v>3805</v>
          </cell>
          <cell r="AX83">
            <v>3521.91</v>
          </cell>
          <cell r="AY83">
            <v>3303.6</v>
          </cell>
          <cell r="AZ83">
            <v>3272.6499999999996</v>
          </cell>
          <cell r="BA83">
            <v>3236.1099999999997</v>
          </cell>
          <cell r="BB83">
            <v>3096.33</v>
          </cell>
          <cell r="BC83">
            <v>3103</v>
          </cell>
          <cell r="BD83">
            <v>3059.2099999999996</v>
          </cell>
        </row>
        <row r="84">
          <cell r="A84" t="str">
            <v xml:space="preserve"> % revenue</v>
          </cell>
        </row>
        <row r="85">
          <cell r="A85" t="str">
            <v>Operations and Support Expenses</v>
          </cell>
          <cell r="AP85">
            <v>10242</v>
          </cell>
          <cell r="AS85">
            <v>9904</v>
          </cell>
          <cell r="AT85">
            <v>11602</v>
          </cell>
          <cell r="AU85">
            <v>11502</v>
          </cell>
          <cell r="AV85">
            <v>11646</v>
          </cell>
          <cell r="AW85">
            <v>11427</v>
          </cell>
          <cell r="AX85">
            <v>11361</v>
          </cell>
          <cell r="AY85">
            <v>11012</v>
          </cell>
          <cell r="AZ85">
            <v>11285</v>
          </cell>
          <cell r="BA85">
            <v>11159</v>
          </cell>
          <cell r="BB85">
            <v>10677</v>
          </cell>
          <cell r="BC85">
            <v>10700</v>
          </cell>
          <cell r="BD85">
            <v>10549</v>
          </cell>
        </row>
        <row r="86">
          <cell r="A86" t="str">
            <v xml:space="preserve"> % revenue</v>
          </cell>
          <cell r="AP86">
            <v>0.55114889953183022</v>
          </cell>
          <cell r="AS86">
            <v>0.537939275433165</v>
          </cell>
          <cell r="AT86">
            <v>0.64505726676303787</v>
          </cell>
          <cell r="AU86">
            <v>0.63924859667648526</v>
          </cell>
          <cell r="AV86">
            <v>0.64916387959866217</v>
          </cell>
          <cell r="AW86">
            <v>0.64712878015630304</v>
          </cell>
          <cell r="AX86">
            <v>0.66256488015396275</v>
          </cell>
          <cell r="AY86">
            <v>0.64337462023837344</v>
          </cell>
          <cell r="AZ86">
            <v>0.66148886283704567</v>
          </cell>
          <cell r="BA86">
            <v>0.67364926048898277</v>
          </cell>
        </row>
        <row r="88">
          <cell r="A88" t="str">
            <v>EBITDA</v>
          </cell>
          <cell r="AP88">
            <v>8341</v>
          </cell>
          <cell r="AS88">
            <v>8507</v>
          </cell>
          <cell r="AT88">
            <v>6384</v>
          </cell>
          <cell r="AU88">
            <v>6491</v>
          </cell>
          <cell r="AV88">
            <v>6294</v>
          </cell>
          <cell r="AW88">
            <v>6231</v>
          </cell>
          <cell r="AX88">
            <v>5786</v>
          </cell>
          <cell r="AY88">
            <v>6104</v>
          </cell>
          <cell r="AZ88">
            <v>5775</v>
          </cell>
          <cell r="BA88">
            <v>5406</v>
          </cell>
          <cell r="BB88">
            <v>-10677</v>
          </cell>
          <cell r="BC88">
            <v>-10700</v>
          </cell>
          <cell r="BD88">
            <v>-10549</v>
          </cell>
        </row>
        <row r="89">
          <cell r="A89" t="str">
            <v xml:space="preserve"> % margin</v>
          </cell>
          <cell r="AP89">
            <v>0.44885110046816984</v>
          </cell>
          <cell r="AS89">
            <v>0.46206072456683506</v>
          </cell>
          <cell r="AT89">
            <v>0.35494273323696207</v>
          </cell>
          <cell r="AU89">
            <v>0.36075140332351469</v>
          </cell>
          <cell r="AV89">
            <v>0.35083612040133777</v>
          </cell>
          <cell r="AW89">
            <v>0.3528712198436969</v>
          </cell>
          <cell r="AX89">
            <v>0.33743511984603719</v>
          </cell>
          <cell r="AY89">
            <v>0.35662537976162656</v>
          </cell>
          <cell r="AZ89">
            <v>0.33851113716295428</v>
          </cell>
          <cell r="BA89">
            <v>0.32635073951101723</v>
          </cell>
        </row>
        <row r="90">
          <cell r="A90" t="str">
            <v xml:space="preserve"> % y/y growth</v>
          </cell>
          <cell r="AT90">
            <v>-0.23462414578587698</v>
          </cell>
        </row>
        <row r="93">
          <cell r="A93" t="str">
            <v>Operating Expenses</v>
          </cell>
        </row>
        <row r="94">
          <cell r="A94" t="str">
            <v>Cost of Sales</v>
          </cell>
          <cell r="F94">
            <v>16455</v>
          </cell>
          <cell r="G94">
            <v>17963</v>
          </cell>
          <cell r="H94">
            <v>27388</v>
          </cell>
          <cell r="I94">
            <v>31018</v>
          </cell>
          <cell r="J94">
            <v>31482.729999999996</v>
          </cell>
          <cell r="K94">
            <v>30116.78</v>
          </cell>
          <cell r="L94">
            <v>29298.86</v>
          </cell>
          <cell r="M94">
            <v>29125.62</v>
          </cell>
          <cell r="N94">
            <v>28840.938830456747</v>
          </cell>
          <cell r="O94">
            <v>28855.62370296233</v>
          </cell>
          <cell r="P94">
            <v>29225.623907789555</v>
          </cell>
          <cell r="Q94">
            <v>29791.615877278342</v>
          </cell>
          <cell r="R94">
            <v>30114.294106623624</v>
          </cell>
          <cell r="S94">
            <v>30682.34564496281</v>
          </cell>
          <cell r="T94">
            <v>31428.247348812856</v>
          </cell>
          <cell r="Z94">
            <v>3764</v>
          </cell>
          <cell r="AA94">
            <v>3948</v>
          </cell>
          <cell r="AB94">
            <v>3994</v>
          </cell>
          <cell r="AC94">
            <v>3944</v>
          </cell>
          <cell r="AD94">
            <v>3879</v>
          </cell>
          <cell r="AE94">
            <v>3862</v>
          </cell>
          <cell r="AF94">
            <v>4055</v>
          </cell>
          <cell r="AG94">
            <v>4145</v>
          </cell>
          <cell r="AH94">
            <v>4021</v>
          </cell>
          <cell r="AI94">
            <v>4049</v>
          </cell>
          <cell r="AJ94">
            <v>4040</v>
          </cell>
          <cell r="AK94">
            <v>4345</v>
          </cell>
          <cell r="AL94">
            <v>4123</v>
          </cell>
          <cell r="AM94">
            <v>4139</v>
          </cell>
          <cell r="AN94">
            <v>4096</v>
          </cell>
          <cell r="AO94">
            <v>5605</v>
          </cell>
          <cell r="AP94">
            <v>7088</v>
          </cell>
          <cell r="AQ94">
            <v>6885</v>
          </cell>
          <cell r="AR94">
            <v>6691</v>
          </cell>
          <cell r="AS94">
            <v>6724</v>
          </cell>
          <cell r="AT94">
            <v>7801</v>
          </cell>
          <cell r="AU94">
            <v>7817</v>
          </cell>
          <cell r="AV94">
            <v>7778</v>
          </cell>
          <cell r="AW94">
            <v>7622</v>
          </cell>
          <cell r="AX94">
            <v>7839.0899999999992</v>
          </cell>
          <cell r="AY94">
            <v>7708.4</v>
          </cell>
          <cell r="AZ94">
            <v>8012.3499999999995</v>
          </cell>
          <cell r="BA94">
            <v>7922.8899999999994</v>
          </cell>
          <cell r="BB94">
            <v>7580.67</v>
          </cell>
          <cell r="BC94">
            <v>7597</v>
          </cell>
          <cell r="BD94">
            <v>7489.79</v>
          </cell>
          <cell r="BE94">
            <v>7449.32</v>
          </cell>
          <cell r="BF94">
            <v>7463.5199999999995</v>
          </cell>
          <cell r="BG94">
            <v>7351.3399999999992</v>
          </cell>
          <cell r="BH94">
            <v>7293.12</v>
          </cell>
          <cell r="BI94">
            <v>7190.8799999999992</v>
          </cell>
          <cell r="BJ94">
            <v>7321.5199999999995</v>
          </cell>
          <cell r="BK94">
            <v>7202.95</v>
          </cell>
          <cell r="BL94">
            <v>7309.45</v>
          </cell>
          <cell r="BM94">
            <v>7291.7</v>
          </cell>
          <cell r="BN94">
            <v>7310.87</v>
          </cell>
          <cell r="BO94">
            <v>7160.3499999999995</v>
          </cell>
          <cell r="BP94">
            <v>7195.1399999999994</v>
          </cell>
          <cell r="BQ94">
            <v>7174.5788304567486</v>
          </cell>
          <cell r="BR94">
            <v>7206.5093859816989</v>
          </cell>
          <cell r="BS94">
            <v>7232.47431197479</v>
          </cell>
          <cell r="BT94">
            <v>7212.8296219725362</v>
          </cell>
          <cell r="BU94">
            <v>7203.8103830333057</v>
          </cell>
        </row>
        <row r="95">
          <cell r="A95" t="str">
            <v xml:space="preserve"> % revenue</v>
          </cell>
          <cell r="F95">
            <v>0.45005743668289483</v>
          </cell>
          <cell r="G95">
            <v>0.45449485109935989</v>
          </cell>
          <cell r="H95">
            <v>0.46772320513696292</v>
          </cell>
          <cell r="I95">
            <v>0.43335149559215952</v>
          </cell>
          <cell r="J95">
            <v>0.46373830812060857</v>
          </cell>
          <cell r="K95">
            <v>0.47361619147965839</v>
          </cell>
          <cell r="L95">
            <v>0.47536846545737743</v>
          </cell>
          <cell r="M95">
            <v>0.48429697372796804</v>
          </cell>
          <cell r="N95">
            <v>0.4854763288158459</v>
          </cell>
          <cell r="O95">
            <v>0.48699999999999999</v>
          </cell>
          <cell r="P95">
            <v>0.49</v>
          </cell>
          <cell r="Q95">
            <v>0.49199999999999999</v>
          </cell>
          <cell r="R95">
            <v>0.48699999999999999</v>
          </cell>
          <cell r="S95">
            <v>0.48499999999999999</v>
          </cell>
          <cell r="T95">
            <v>0.48499999999999999</v>
          </cell>
          <cell r="Z95">
            <v>0.38482772722625497</v>
          </cell>
          <cell r="AA95">
            <v>0.40351594439901883</v>
          </cell>
          <cell r="AB95">
            <v>0.41239029426948892</v>
          </cell>
          <cell r="AC95">
            <v>0.42610198789974069</v>
          </cell>
          <cell r="AD95">
            <v>0.41831122614040761</v>
          </cell>
          <cell r="AE95">
            <v>0.42300109529025193</v>
          </cell>
          <cell r="AF95">
            <v>0.44283062138254886</v>
          </cell>
          <cell r="AG95">
            <v>0.4615812917594655</v>
          </cell>
          <cell r="AH95">
            <v>0.44480088495575221</v>
          </cell>
          <cell r="AI95">
            <v>0.44353160258516816</v>
          </cell>
          <cell r="AJ95">
            <v>0.43874891398783666</v>
          </cell>
          <cell r="AK95">
            <v>0.47305389221556887</v>
          </cell>
          <cell r="AL95">
            <v>0.44903071226312352</v>
          </cell>
          <cell r="AM95">
            <v>0.44712109754780166</v>
          </cell>
          <cell r="AN95">
            <v>0.44381839852638422</v>
          </cell>
          <cell r="AO95">
            <v>0.47279628848587096</v>
          </cell>
          <cell r="AP95">
            <v>0.48090101092340048</v>
          </cell>
          <cell r="AQ95">
            <v>0.46677966101694918</v>
          </cell>
          <cell r="AR95">
            <v>0.45872754696284107</v>
          </cell>
          <cell r="AS95">
            <v>0.4643325737172847</v>
          </cell>
          <cell r="AT95">
            <v>0.43372623151339929</v>
          </cell>
          <cell r="AU95">
            <v>0.43444672928361028</v>
          </cell>
          <cell r="AV95">
            <v>0.43355629877369006</v>
          </cell>
          <cell r="AW95">
            <v>0.43164571299127874</v>
          </cell>
          <cell r="AX95">
            <v>0.45716976730623426</v>
          </cell>
          <cell r="AY95">
            <v>0.45033592335105449</v>
          </cell>
          <cell r="AZ95">
            <v>0.46962956450383914</v>
          </cell>
          <cell r="BA95">
            <v>0.47829097494717776</v>
          </cell>
          <cell r="BB95">
            <v>0.46904281648310853</v>
          </cell>
          <cell r="BC95">
            <v>0.47430854716863335</v>
          </cell>
          <cell r="BD95">
            <v>0.47481868898186891</v>
          </cell>
          <cell r="BE95">
            <v>0.47642107955998975</v>
          </cell>
          <cell r="BF95">
            <v>0.48326340326340322</v>
          </cell>
          <cell r="BG95">
            <v>0.47308964540832737</v>
          </cell>
          <cell r="BH95">
            <v>0.47299565471171928</v>
          </cell>
          <cell r="BI95">
            <v>0.47209033613445373</v>
          </cell>
          <cell r="BJ95">
            <v>0.4864474121320842</v>
          </cell>
          <cell r="BK95">
            <v>0.47923819028609449</v>
          </cell>
          <cell r="BL95">
            <v>0.48551643972102293</v>
          </cell>
          <cell r="BM95">
            <v>0.48598373766995467</v>
          </cell>
          <cell r="BN95">
            <v>0.48974209539121116</v>
          </cell>
          <cell r="BO95">
            <v>0.48043142780461617</v>
          </cell>
          <cell r="BP95">
            <v>0.48573145210288254</v>
          </cell>
          <cell r="BQ95">
            <v>0.48599999999999999</v>
          </cell>
          <cell r="BR95">
            <v>0.48699999999999999</v>
          </cell>
          <cell r="BS95">
            <v>0.48699999999999999</v>
          </cell>
          <cell r="BT95">
            <v>0.48699999999999999</v>
          </cell>
          <cell r="BU95">
            <v>0.48699999999999999</v>
          </cell>
        </row>
        <row r="96">
          <cell r="A96" t="str">
            <v>Selling, General and Administrative</v>
          </cell>
          <cell r="F96">
            <v>8903</v>
          </cell>
          <cell r="G96">
            <v>9912</v>
          </cell>
          <cell r="H96">
            <v>12205</v>
          </cell>
          <cell r="I96">
            <v>15159</v>
          </cell>
          <cell r="J96">
            <v>13334.27</v>
          </cell>
          <cell r="K96">
            <v>12301.22</v>
          </cell>
          <cell r="L96">
            <v>11967.14</v>
          </cell>
          <cell r="M96">
            <v>11896.38</v>
          </cell>
          <cell r="N96">
            <v>11828.160015699517</v>
          </cell>
          <cell r="O96">
            <v>12053.910953268518</v>
          </cell>
          <cell r="P96">
            <v>12241.017192242845</v>
          </cell>
          <cell r="Q96">
            <v>12342.802920752274</v>
          </cell>
          <cell r="R96">
            <v>12116.083887566245</v>
          </cell>
          <cell r="S96">
            <v>11665.234403958635</v>
          </cell>
          <cell r="T96">
            <v>11692.809973855827</v>
          </cell>
          <cell r="Z96">
            <v>2032</v>
          </cell>
          <cell r="AA96">
            <v>2154</v>
          </cell>
          <cell r="AB96">
            <v>2066</v>
          </cell>
          <cell r="AC96">
            <v>2193</v>
          </cell>
          <cell r="AD96">
            <v>2066</v>
          </cell>
          <cell r="AE96">
            <v>2268</v>
          </cell>
          <cell r="AF96">
            <v>2144</v>
          </cell>
          <cell r="AG96">
            <v>2316</v>
          </cell>
          <cell r="AH96">
            <v>2183</v>
          </cell>
          <cell r="AI96">
            <v>2252</v>
          </cell>
          <cell r="AJ96">
            <v>2151</v>
          </cell>
          <cell r="AK96">
            <v>2317</v>
          </cell>
          <cell r="AL96">
            <v>2170</v>
          </cell>
          <cell r="AM96">
            <v>2314</v>
          </cell>
          <cell r="AN96">
            <v>1891</v>
          </cell>
          <cell r="AO96">
            <v>3537</v>
          </cell>
          <cell r="AP96">
            <v>3154</v>
          </cell>
          <cell r="AQ96">
            <v>3001</v>
          </cell>
          <cell r="AR96">
            <v>2870</v>
          </cell>
          <cell r="AS96">
            <v>3180</v>
          </cell>
          <cell r="AT96">
            <v>3801</v>
          </cell>
          <cell r="AU96">
            <v>3685</v>
          </cell>
          <cell r="AV96">
            <v>3868</v>
          </cell>
          <cell r="AW96">
            <v>3805</v>
          </cell>
          <cell r="AX96">
            <v>3521.91</v>
          </cell>
          <cell r="AY96">
            <v>3303.6</v>
          </cell>
          <cell r="AZ96">
            <v>3272.6499999999996</v>
          </cell>
          <cell r="BA96">
            <v>3236.1099999999997</v>
          </cell>
          <cell r="BB96">
            <v>3096.33</v>
          </cell>
          <cell r="BC96">
            <v>3103</v>
          </cell>
          <cell r="BD96">
            <v>3059.2099999999996</v>
          </cell>
          <cell r="BE96">
            <v>3042.68</v>
          </cell>
          <cell r="BF96">
            <v>3048.4799999999996</v>
          </cell>
          <cell r="BG96">
            <v>3002.66</v>
          </cell>
          <cell r="BH96">
            <v>2978.8799999999997</v>
          </cell>
          <cell r="BI96">
            <v>2937.12</v>
          </cell>
          <cell r="BJ96">
            <v>2990.48</v>
          </cell>
          <cell r="BK96">
            <v>2942.0499999999997</v>
          </cell>
          <cell r="BL96">
            <v>2985.5499999999997</v>
          </cell>
          <cell r="BM96">
            <v>2978.2999999999997</v>
          </cell>
          <cell r="BN96">
            <v>2986.1299999999997</v>
          </cell>
          <cell r="BO96">
            <v>2924.6499999999996</v>
          </cell>
          <cell r="BP96">
            <v>2938.8599999999997</v>
          </cell>
          <cell r="BQ96">
            <v>2978.5200156995179</v>
          </cell>
          <cell r="BR96">
            <v>3047.3798756950182</v>
          </cell>
          <cell r="BS96">
            <v>2968.0669111549769</v>
          </cell>
          <cell r="BT96">
            <v>3029.4656909366095</v>
          </cell>
          <cell r="BU96">
            <v>3008.9984754819125</v>
          </cell>
        </row>
        <row r="97">
          <cell r="A97" t="str">
            <v xml:space="preserve"> % revenue</v>
          </cell>
          <cell r="F97">
            <v>0.2435041846726109</v>
          </cell>
          <cell r="G97">
            <v>0.25079067884522938</v>
          </cell>
          <cell r="H97">
            <v>0.20843295307056492</v>
          </cell>
          <cell r="I97">
            <v>0.21178590888134458</v>
          </cell>
          <cell r="J97">
            <v>0.19641282092828</v>
          </cell>
          <cell r="K97">
            <v>0.19344886694239569</v>
          </cell>
          <cell r="L97">
            <v>0.19416458448259077</v>
          </cell>
          <cell r="M97">
            <v>0.1978114399733954</v>
          </cell>
          <cell r="N97">
            <v>0.19910210741836798</v>
          </cell>
          <cell r="O97">
            <v>0.20343537518612448</v>
          </cell>
          <cell r="P97">
            <v>0.20523423017841239</v>
          </cell>
          <cell r="Q97">
            <v>0.20383785364397278</v>
          </cell>
          <cell r="R97">
            <v>0.19593794336845977</v>
          </cell>
          <cell r="S97">
            <v>0.18439394273784165</v>
          </cell>
          <cell r="T97">
            <v>0.18044317821414524</v>
          </cell>
          <cell r="Z97">
            <v>0.20774971884265411</v>
          </cell>
          <cell r="AA97">
            <v>0.22015535568274736</v>
          </cell>
          <cell r="AB97">
            <v>0.21331956633970056</v>
          </cell>
          <cell r="AC97">
            <v>0.23692739844425237</v>
          </cell>
          <cell r="AD97">
            <v>0.22279736870484201</v>
          </cell>
          <cell r="AE97">
            <v>0.24841182913472071</v>
          </cell>
          <cell r="AF97">
            <v>0.23413781806268427</v>
          </cell>
          <cell r="AG97">
            <v>0.25790645879732738</v>
          </cell>
          <cell r="AH97">
            <v>0.24148230088495576</v>
          </cell>
          <cell r="AI97">
            <v>0.24668638405082705</v>
          </cell>
          <cell r="AJ97">
            <v>0.23360121633362294</v>
          </cell>
          <cell r="AK97">
            <v>0.25225911812738161</v>
          </cell>
          <cell r="AL97">
            <v>0.23633195382269659</v>
          </cell>
          <cell r="AM97">
            <v>0.24997299341039214</v>
          </cell>
          <cell r="AN97">
            <v>0.20489760537436341</v>
          </cell>
          <cell r="AO97">
            <v>0.29835512442007589</v>
          </cell>
          <cell r="AP97">
            <v>0.21399009430761926</v>
          </cell>
          <cell r="AQ97">
            <v>0.20345762711864407</v>
          </cell>
          <cell r="AR97">
            <v>0.19676402029343207</v>
          </cell>
          <cell r="AS97">
            <v>0.21959809405427802</v>
          </cell>
          <cell r="AT97">
            <v>0.21133103524963862</v>
          </cell>
          <cell r="AU97">
            <v>0.20480186739287501</v>
          </cell>
          <cell r="AV97">
            <v>0.21560758082497214</v>
          </cell>
          <cell r="AW97">
            <v>0.21548306716502436</v>
          </cell>
          <cell r="AX97">
            <v>0.20539511284772846</v>
          </cell>
          <cell r="AY97">
            <v>0.19300111000759479</v>
          </cell>
          <cell r="AZ97">
            <v>0.19182052634663851</v>
          </cell>
          <cell r="BA97">
            <v>0.19535828554180498</v>
          </cell>
          <cell r="BB97">
            <v>0.19158086870436827</v>
          </cell>
          <cell r="BC97">
            <v>0.19373166011113191</v>
          </cell>
          <cell r="BD97">
            <v>0.19394002789400278</v>
          </cell>
          <cell r="BE97">
            <v>0.19459452545408032</v>
          </cell>
          <cell r="BF97">
            <v>0.19738927738927736</v>
          </cell>
          <cell r="BG97">
            <v>0.19323379882875344</v>
          </cell>
          <cell r="BH97">
            <v>0.1931954082625332</v>
          </cell>
          <cell r="BI97">
            <v>0.19282563025210084</v>
          </cell>
          <cell r="BJ97">
            <v>0.19868978805394991</v>
          </cell>
          <cell r="BK97">
            <v>0.19574517631403857</v>
          </cell>
          <cell r="BL97">
            <v>0.19830953171703752</v>
          </cell>
          <cell r="BM97">
            <v>0.19850039989336174</v>
          </cell>
          <cell r="BN97">
            <v>0.20003550375133974</v>
          </cell>
          <cell r="BO97">
            <v>0.19623255501878689</v>
          </cell>
          <cell r="BP97">
            <v>0.19839735367582526</v>
          </cell>
          <cell r="BQ97">
            <v>0.2017624674336195</v>
          </cell>
          <cell r="BR97">
            <v>0.20593520662726614</v>
          </cell>
          <cell r="BS97">
            <v>0.19985533627672181</v>
          </cell>
          <cell r="BT97">
            <v>0.2045452157904509</v>
          </cell>
          <cell r="BU97">
            <v>0.20341766088277624</v>
          </cell>
        </row>
        <row r="98">
          <cell r="A98" t="str">
            <v>Operations and Support Expenses</v>
          </cell>
          <cell r="F98">
            <v>25358</v>
          </cell>
          <cell r="G98">
            <v>27875</v>
          </cell>
          <cell r="H98">
            <v>39593</v>
          </cell>
          <cell r="I98">
            <v>46177</v>
          </cell>
          <cell r="J98">
            <v>44817</v>
          </cell>
          <cell r="K98">
            <v>42418</v>
          </cell>
          <cell r="L98">
            <v>41266</v>
          </cell>
          <cell r="M98">
            <v>41022</v>
          </cell>
          <cell r="N98">
            <v>40669.098846156267</v>
          </cell>
          <cell r="O98">
            <v>40909.534656230848</v>
          </cell>
          <cell r="P98">
            <v>41466.641100032401</v>
          </cell>
          <cell r="Q98">
            <v>42134.418798030616</v>
          </cell>
          <cell r="R98">
            <v>42230.377994189868</v>
          </cell>
          <cell r="S98">
            <v>42347.580048921445</v>
          </cell>
          <cell r="T98">
            <v>43121.057322668683</v>
          </cell>
          <cell r="Z98">
            <v>5796</v>
          </cell>
          <cell r="AA98">
            <v>6102</v>
          </cell>
          <cell r="AB98">
            <v>6060</v>
          </cell>
          <cell r="AC98">
            <v>6137</v>
          </cell>
          <cell r="AD98">
            <v>5945</v>
          </cell>
          <cell r="AE98">
            <v>6130</v>
          </cell>
          <cell r="AF98">
            <v>6199</v>
          </cell>
          <cell r="AG98">
            <v>6461</v>
          </cell>
          <cell r="AH98">
            <v>6204</v>
          </cell>
          <cell r="AI98">
            <v>6301</v>
          </cell>
          <cell r="AJ98">
            <v>6191</v>
          </cell>
          <cell r="AK98">
            <v>6662</v>
          </cell>
          <cell r="AL98">
            <v>6293</v>
          </cell>
          <cell r="AM98">
            <v>6453</v>
          </cell>
          <cell r="AN98">
            <v>5987</v>
          </cell>
          <cell r="AO98">
            <v>9142</v>
          </cell>
          <cell r="AP98">
            <v>10242</v>
          </cell>
          <cell r="AQ98">
            <v>9886</v>
          </cell>
          <cell r="AR98">
            <v>9561</v>
          </cell>
          <cell r="AS98">
            <v>9904</v>
          </cell>
          <cell r="AT98">
            <v>11602</v>
          </cell>
          <cell r="AU98">
            <v>11502</v>
          </cell>
          <cell r="AV98">
            <v>11646</v>
          </cell>
          <cell r="AW98">
            <v>11427</v>
          </cell>
          <cell r="AX98">
            <v>11361</v>
          </cell>
          <cell r="AY98">
            <v>11012</v>
          </cell>
          <cell r="AZ98">
            <v>11285</v>
          </cell>
          <cell r="BA98">
            <v>11159</v>
          </cell>
          <cell r="BB98">
            <v>10677</v>
          </cell>
          <cell r="BC98">
            <v>10700</v>
          </cell>
          <cell r="BD98">
            <v>10549</v>
          </cell>
          <cell r="BE98">
            <v>10492</v>
          </cell>
          <cell r="BF98">
            <v>10512</v>
          </cell>
          <cell r="BG98">
            <v>10354</v>
          </cell>
          <cell r="BH98">
            <v>10272</v>
          </cell>
          <cell r="BI98">
            <v>10128</v>
          </cell>
          <cell r="BJ98">
            <v>10312</v>
          </cell>
          <cell r="BK98">
            <v>10145</v>
          </cell>
          <cell r="BL98">
            <v>10295</v>
          </cell>
          <cell r="BM98">
            <v>10270</v>
          </cell>
          <cell r="BN98">
            <v>10297</v>
          </cell>
          <cell r="BO98">
            <v>10085</v>
          </cell>
          <cell r="BP98">
            <v>10134</v>
          </cell>
          <cell r="BQ98">
            <v>10153.098846156267</v>
          </cell>
          <cell r="BR98">
            <v>10253.889261676717</v>
          </cell>
          <cell r="BS98">
            <v>10200.541223129767</v>
          </cell>
          <cell r="BT98">
            <v>10242.295312909146</v>
          </cell>
          <cell r="BU98">
            <v>10212.808858515218</v>
          </cell>
        </row>
        <row r="99">
          <cell r="A99" t="str">
            <v xml:space="preserve"> % revenue</v>
          </cell>
          <cell r="F99">
            <v>0.6935616213555057</v>
          </cell>
          <cell r="G99">
            <v>0.70528552994458926</v>
          </cell>
          <cell r="H99">
            <v>0.67615615820752784</v>
          </cell>
          <cell r="I99">
            <v>0.64513740447350409</v>
          </cell>
          <cell r="J99">
            <v>0.66015112904888862</v>
          </cell>
          <cell r="K99">
            <v>0.6670650584220541</v>
          </cell>
          <cell r="L99">
            <v>0.66953304993996821</v>
          </cell>
          <cell r="M99">
            <v>0.68210841370136344</v>
          </cell>
          <cell r="N99">
            <v>0.68457843623421388</v>
          </cell>
          <cell r="O99">
            <v>0.69043537518612441</v>
          </cell>
          <cell r="P99">
            <v>0.69523423017841235</v>
          </cell>
          <cell r="Q99">
            <v>0.69583785364397277</v>
          </cell>
          <cell r="R99">
            <v>0.68293794336845981</v>
          </cell>
          <cell r="S99">
            <v>0.66939394273784159</v>
          </cell>
          <cell r="T99">
            <v>0.66544317821414523</v>
          </cell>
          <cell r="Z99">
            <v>0.59257744606890916</v>
          </cell>
          <cell r="AA99">
            <v>0.62367130008176619</v>
          </cell>
          <cell r="AB99">
            <v>0.62570986060918943</v>
          </cell>
          <cell r="AC99">
            <v>0.66302938634399311</v>
          </cell>
          <cell r="AD99">
            <v>0.64110859484524962</v>
          </cell>
          <cell r="AE99">
            <v>0.67141292442497258</v>
          </cell>
          <cell r="AF99">
            <v>0.67696843944523311</v>
          </cell>
          <cell r="AG99">
            <v>0.71948775055679293</v>
          </cell>
          <cell r="AH99">
            <v>0.68628318584070791</v>
          </cell>
          <cell r="AI99">
            <v>0.69021798663599521</v>
          </cell>
          <cell r="AJ99">
            <v>0.67235013032145963</v>
          </cell>
          <cell r="AK99">
            <v>0.72531301034295048</v>
          </cell>
          <cell r="AL99">
            <v>0.68536266608582008</v>
          </cell>
          <cell r="AM99">
            <v>0.69709409095819375</v>
          </cell>
          <cell r="AN99">
            <v>0.64871600390074768</v>
          </cell>
          <cell r="AO99">
            <v>0.77115141290594691</v>
          </cell>
          <cell r="AP99">
            <v>0.69489110523101971</v>
          </cell>
          <cell r="AQ99">
            <v>0.67023728813559325</v>
          </cell>
          <cell r="AR99">
            <v>0.65549156725627311</v>
          </cell>
          <cell r="AS99">
            <v>0.68393066777156275</v>
          </cell>
          <cell r="AT99">
            <v>0.64505726676303787</v>
          </cell>
          <cell r="AU99">
            <v>0.63924859667648526</v>
          </cell>
          <cell r="AV99">
            <v>0.64916387959866217</v>
          </cell>
          <cell r="AW99">
            <v>0.64712878015630304</v>
          </cell>
          <cell r="AX99">
            <v>0.66256488015396275</v>
          </cell>
          <cell r="AY99">
            <v>0.64333703335864934</v>
          </cell>
          <cell r="AZ99">
            <v>0.66145009085047768</v>
          </cell>
          <cell r="BA99">
            <v>0.67364926048898277</v>
          </cell>
          <cell r="BB99">
            <v>0.66062368518747683</v>
          </cell>
          <cell r="BC99">
            <v>0.66804020727976521</v>
          </cell>
          <cell r="BD99">
            <v>0.66875871687587174</v>
          </cell>
          <cell r="BE99">
            <v>0.67101560501407009</v>
          </cell>
          <cell r="BF99">
            <v>0.6806526806526807</v>
          </cell>
          <cell r="BG99">
            <v>0.6663234442370809</v>
          </cell>
          <cell r="BH99">
            <v>0.66619106297425257</v>
          </cell>
          <cell r="BI99">
            <v>0.66491596638655459</v>
          </cell>
          <cell r="BJ99">
            <v>0.68513720018603419</v>
          </cell>
          <cell r="BK99">
            <v>0.67498336660013303</v>
          </cell>
          <cell r="BL99">
            <v>0.68382597143806045</v>
          </cell>
          <cell r="BM99">
            <v>0.6844841375633165</v>
          </cell>
          <cell r="BN99">
            <v>0.68977759914255088</v>
          </cell>
          <cell r="BO99">
            <v>0.67666398282340312</v>
          </cell>
          <cell r="BP99">
            <v>0.68412880577870794</v>
          </cell>
          <cell r="BQ99">
            <v>0.68776246743361946</v>
          </cell>
          <cell r="BR99">
            <v>0.69293520662726615</v>
          </cell>
          <cell r="BS99">
            <v>0.6868553362767218</v>
          </cell>
          <cell r="BT99">
            <v>0.69154521579045092</v>
          </cell>
          <cell r="BU99">
            <v>0.69041766088277623</v>
          </cell>
        </row>
        <row r="101">
          <cell r="A101" t="str">
            <v>EBITDA</v>
          </cell>
          <cell r="F101">
            <v>11204</v>
          </cell>
          <cell r="G101">
            <v>11648</v>
          </cell>
          <cell r="H101">
            <v>18963</v>
          </cell>
          <cell r="I101">
            <v>25400</v>
          </cell>
          <cell r="J101">
            <v>23072</v>
          </cell>
          <cell r="K101">
            <v>21171</v>
          </cell>
          <cell r="L101">
            <v>20368</v>
          </cell>
          <cell r="M101">
            <v>19118</v>
          </cell>
          <cell r="N101">
            <v>18738.409035441982</v>
          </cell>
          <cell r="O101">
            <v>18342.259395026507</v>
          </cell>
          <cell r="P101">
            <v>18177.48932402792</v>
          </cell>
          <cell r="Q101">
            <v>18417.645993185528</v>
          </cell>
          <cell r="R101">
            <v>19605.954873620445</v>
          </cell>
          <cell r="S101">
            <v>20914.988291208065</v>
          </cell>
          <cell r="T101">
            <v>21679.4526748836</v>
          </cell>
          <cell r="Z101">
            <v>3985</v>
          </cell>
          <cell r="AA101">
            <v>3682</v>
          </cell>
          <cell r="AB101">
            <v>3625</v>
          </cell>
          <cell r="AC101">
            <v>3119</v>
          </cell>
          <cell r="AD101">
            <v>3328</v>
          </cell>
          <cell r="AE101">
            <v>3000</v>
          </cell>
          <cell r="AF101">
            <v>2958</v>
          </cell>
          <cell r="AG101">
            <v>2519</v>
          </cell>
          <cell r="AH101">
            <v>2836</v>
          </cell>
          <cell r="AI101">
            <v>2828</v>
          </cell>
          <cell r="AJ101">
            <v>3017</v>
          </cell>
          <cell r="AK101">
            <v>2523</v>
          </cell>
          <cell r="AL101">
            <v>2889</v>
          </cell>
          <cell r="AM101">
            <v>2804</v>
          </cell>
          <cell r="AN101">
            <v>3242</v>
          </cell>
          <cell r="AO101">
            <v>2713</v>
          </cell>
          <cell r="AP101">
            <v>4497</v>
          </cell>
          <cell r="AQ101">
            <v>4864</v>
          </cell>
          <cell r="AR101">
            <v>5025</v>
          </cell>
          <cell r="AS101">
            <v>4577</v>
          </cell>
          <cell r="AT101">
            <v>6384</v>
          </cell>
          <cell r="AU101">
            <v>6491</v>
          </cell>
          <cell r="AV101">
            <v>6294</v>
          </cell>
          <cell r="AW101">
            <v>6231</v>
          </cell>
          <cell r="AX101">
            <v>5785</v>
          </cell>
          <cell r="AY101">
            <v>6106</v>
          </cell>
          <cell r="AZ101">
            <v>5775</v>
          </cell>
          <cell r="BA101">
            <v>5406</v>
          </cell>
          <cell r="BB101">
            <v>5485</v>
          </cell>
          <cell r="BC101">
            <v>5317</v>
          </cell>
          <cell r="BD101">
            <v>5225</v>
          </cell>
          <cell r="BE101">
            <v>5144</v>
          </cell>
          <cell r="BF101">
            <v>4932</v>
          </cell>
          <cell r="BG101">
            <v>5185</v>
          </cell>
          <cell r="BH101">
            <v>5147</v>
          </cell>
          <cell r="BI101">
            <v>5104</v>
          </cell>
          <cell r="BJ101">
            <v>4739</v>
          </cell>
          <cell r="BK101">
            <v>4885</v>
          </cell>
          <cell r="BL101">
            <v>4760</v>
          </cell>
          <cell r="BM101">
            <v>4734</v>
          </cell>
          <cell r="BN101">
            <v>4631</v>
          </cell>
          <cell r="BO101">
            <v>4819</v>
          </cell>
          <cell r="BP101">
            <v>4679</v>
          </cell>
          <cell r="BQ101">
            <v>4609.4090354419823</v>
          </cell>
          <cell r="BR101">
            <v>4543.8712844869351</v>
          </cell>
          <cell r="BS101">
            <v>4650.5353928348941</v>
          </cell>
          <cell r="BT101">
            <v>4568.4431305662874</v>
          </cell>
          <cell r="BU101">
            <v>4579.409587138387</v>
          </cell>
        </row>
        <row r="102">
          <cell r="A102" t="str">
            <v xml:space="preserve"> % margin</v>
          </cell>
          <cell r="F102">
            <v>0.3064383786444943</v>
          </cell>
          <cell r="G102">
            <v>0.29471447005541079</v>
          </cell>
          <cell r="H102">
            <v>0.32384384179247216</v>
          </cell>
          <cell r="I102">
            <v>0.35486259552649596</v>
          </cell>
          <cell r="J102">
            <v>0.33984887095111138</v>
          </cell>
          <cell r="K102">
            <v>0.3329349415779459</v>
          </cell>
          <cell r="L102">
            <v>0.33046695006003179</v>
          </cell>
          <cell r="M102">
            <v>0.31789158629863651</v>
          </cell>
          <cell r="N102">
            <v>0.31542156376578612</v>
          </cell>
          <cell r="O102">
            <v>0.30956462481387559</v>
          </cell>
          <cell r="P102">
            <v>0.30476576982158765</v>
          </cell>
          <cell r="Q102">
            <v>0.30416214635602723</v>
          </cell>
          <cell r="R102">
            <v>0.31706205663154019</v>
          </cell>
          <cell r="S102">
            <v>0.33060605726215836</v>
          </cell>
          <cell r="T102">
            <v>0.33455682178585477</v>
          </cell>
          <cell r="Z102">
            <v>0.40742255393109089</v>
          </cell>
          <cell r="AA102">
            <v>0.37632869991823387</v>
          </cell>
          <cell r="AB102">
            <v>0.37429013939081052</v>
          </cell>
          <cell r="AC102">
            <v>0.33697061365600689</v>
          </cell>
          <cell r="AD102">
            <v>0.35889140515475038</v>
          </cell>
          <cell r="AE102">
            <v>0.32858707557502737</v>
          </cell>
          <cell r="AF102">
            <v>0.32303156055476684</v>
          </cell>
          <cell r="AG102">
            <v>0.28051224944320713</v>
          </cell>
          <cell r="AH102">
            <v>0.31371681415929203</v>
          </cell>
          <cell r="AI102">
            <v>0.30978201336400479</v>
          </cell>
          <cell r="AJ102">
            <v>0.32764986967854037</v>
          </cell>
          <cell r="AK102">
            <v>0.27468698965704952</v>
          </cell>
          <cell r="AL102">
            <v>0.31463733391417992</v>
          </cell>
          <cell r="AM102">
            <v>0.3029059090418062</v>
          </cell>
          <cell r="AN102">
            <v>0.35128399609925237</v>
          </cell>
          <cell r="AO102">
            <v>0.22884858709405315</v>
          </cell>
          <cell r="AP102">
            <v>0.30510889476898023</v>
          </cell>
          <cell r="AQ102">
            <v>0.32976271186440675</v>
          </cell>
          <cell r="AR102">
            <v>0.34450843274372689</v>
          </cell>
          <cell r="AS102">
            <v>0.31606933222843725</v>
          </cell>
          <cell r="AT102">
            <v>0.35494273323696207</v>
          </cell>
          <cell r="AU102">
            <v>0.36075140332351469</v>
          </cell>
          <cell r="AV102">
            <v>0.35083612040133777</v>
          </cell>
          <cell r="AW102">
            <v>0.3528712198436969</v>
          </cell>
          <cell r="AX102">
            <v>0.33737680060652009</v>
          </cell>
          <cell r="AY102">
            <v>0.35672138809370801</v>
          </cell>
          <cell r="AZ102">
            <v>0.33849129593810445</v>
          </cell>
          <cell r="BA102">
            <v>0.32635073951101723</v>
          </cell>
          <cell r="BB102">
            <v>0.33937631481252323</v>
          </cell>
          <cell r="BC102">
            <v>0.33195979272023474</v>
          </cell>
          <cell r="BD102">
            <v>0.33124128312412832</v>
          </cell>
          <cell r="BE102">
            <v>0.32898439498592991</v>
          </cell>
          <cell r="BF102">
            <v>0.31934731934731936</v>
          </cell>
          <cell r="BG102">
            <v>0.3336765557629191</v>
          </cell>
          <cell r="BH102">
            <v>0.33380893702574743</v>
          </cell>
          <cell r="BI102">
            <v>0.33508403361344535</v>
          </cell>
          <cell r="BJ102">
            <v>0.31486279981396587</v>
          </cell>
          <cell r="BK102">
            <v>0.32501663339986692</v>
          </cell>
          <cell r="BL102">
            <v>0.31617402856193955</v>
          </cell>
          <cell r="BM102">
            <v>0.31551586243668356</v>
          </cell>
          <cell r="BN102">
            <v>0.31022240085744907</v>
          </cell>
          <cell r="BO102">
            <v>0.32333601717659688</v>
          </cell>
          <cell r="BP102">
            <v>0.31587119422129212</v>
          </cell>
          <cell r="BQ102">
            <v>0.31223753256638054</v>
          </cell>
          <cell r="BR102">
            <v>0.30706479337273385</v>
          </cell>
          <cell r="BS102">
            <v>0.3131446637232782</v>
          </cell>
          <cell r="BT102">
            <v>0.30845478420954908</v>
          </cell>
          <cell r="BU102">
            <v>0.30958233911722377</v>
          </cell>
        </row>
        <row r="103">
          <cell r="A103" t="str">
            <v xml:space="preserve"> % y/y growth</v>
          </cell>
          <cell r="G103">
            <v>3.9628704034273543E-2</v>
          </cell>
          <cell r="H103">
            <v>0.62800480769230771</v>
          </cell>
          <cell r="I103">
            <v>0.33945050888572492</v>
          </cell>
          <cell r="J103">
            <v>-9.1653543307086638E-2</v>
          </cell>
          <cell r="K103">
            <v>-8.2394244105409187E-2</v>
          </cell>
          <cell r="L103">
            <v>-3.7929242832176135E-2</v>
          </cell>
          <cell r="M103">
            <v>-6.1370777690494926E-2</v>
          </cell>
          <cell r="N103">
            <v>-1.9855160820065776E-2</v>
          </cell>
          <cell r="O103">
            <v>-2.1141049897362874E-2</v>
          </cell>
          <cell r="P103">
            <v>-8.9830847688951998E-3</v>
          </cell>
          <cell r="Q103">
            <v>1.3211762354889967E-2</v>
          </cell>
          <cell r="R103">
            <v>6.4520128189812453E-2</v>
          </cell>
          <cell r="S103">
            <v>6.6767134068481671E-2</v>
          </cell>
          <cell r="T103">
            <v>3.6551030917712168E-2</v>
          </cell>
          <cell r="AD103">
            <v>-0.16486825595984944</v>
          </cell>
          <cell r="AE103">
            <v>-0.18522542096686578</v>
          </cell>
          <cell r="AF103">
            <v>-0.18400000000000005</v>
          </cell>
          <cell r="AG103">
            <v>-0.19236934915036874</v>
          </cell>
          <cell r="AH103">
            <v>-0.14783653846153844</v>
          </cell>
          <cell r="AI103">
            <v>-5.7333333333333347E-2</v>
          </cell>
          <cell r="AJ103">
            <v>1.9945909398242145E-2</v>
          </cell>
          <cell r="AK103">
            <v>1.5879317189360087E-3</v>
          </cell>
          <cell r="AL103">
            <v>1.8688293370944908E-2</v>
          </cell>
          <cell r="AM103">
            <v>-8.4865629420084465E-3</v>
          </cell>
          <cell r="AN103">
            <v>7.4577394763009508E-2</v>
          </cell>
          <cell r="AO103">
            <v>7.5307173999207278E-2</v>
          </cell>
          <cell r="AP103">
            <v>0.55659397715472481</v>
          </cell>
          <cell r="AQ103">
            <v>0.73466476462196861</v>
          </cell>
          <cell r="AR103">
            <v>0.54996915484268971</v>
          </cell>
          <cell r="AS103">
            <v>0.68706229266494656</v>
          </cell>
          <cell r="AT103">
            <v>0.41961307538358916</v>
          </cell>
          <cell r="AU103">
            <v>0.33449835526315796</v>
          </cell>
          <cell r="AV103">
            <v>0.25253731343283592</v>
          </cell>
          <cell r="AW103">
            <v>0.36137207778020541</v>
          </cell>
          <cell r="AX103">
            <v>-9.3828320802004983E-2</v>
          </cell>
          <cell r="AY103">
            <v>-5.9312894777384106E-2</v>
          </cell>
          <cell r="AZ103">
            <v>-8.245948522402291E-2</v>
          </cell>
          <cell r="BA103">
            <v>-0.13240250361097738</v>
          </cell>
          <cell r="BB103">
            <v>-5.185825410544509E-2</v>
          </cell>
          <cell r="BC103">
            <v>-0.12921716344579104</v>
          </cell>
          <cell r="BD103">
            <v>-9.5238095238095233E-2</v>
          </cell>
          <cell r="BE103">
            <v>-4.8464668886422535E-2</v>
          </cell>
          <cell r="BF103">
            <v>-0.10082041932543295</v>
          </cell>
          <cell r="BG103">
            <v>-2.4826029716005227E-2</v>
          </cell>
          <cell r="BH103">
            <v>-1.492822966507179E-2</v>
          </cell>
          <cell r="BI103">
            <v>-7.7760497667185291E-3</v>
          </cell>
          <cell r="BJ103">
            <v>-3.913219789132194E-2</v>
          </cell>
          <cell r="BK103">
            <v>-5.7859209257473454E-2</v>
          </cell>
          <cell r="BL103">
            <v>-7.5189430736351315E-2</v>
          </cell>
          <cell r="BM103">
            <v>-7.249216300940442E-2</v>
          </cell>
          <cell r="BN103">
            <v>-2.2789618062882488E-2</v>
          </cell>
          <cell r="BO103">
            <v>-1.3510747185261018E-2</v>
          </cell>
          <cell r="BP103">
            <v>-1.7016806722689126E-2</v>
          </cell>
          <cell r="BQ103">
            <v>-2.6318327959023557E-2</v>
          </cell>
          <cell r="BR103">
            <v>-1.8814233537694847E-2</v>
          </cell>
          <cell r="BS103">
            <v>-3.4958416095684952E-2</v>
          </cell>
          <cell r="BT103">
            <v>-2.362831148401634E-2</v>
          </cell>
          <cell r="BU103">
            <v>-6.5083068291245105E-3</v>
          </cell>
        </row>
        <row r="104">
          <cell r="A104" t="str">
            <v>Depreciation and Amortization</v>
          </cell>
          <cell r="F104">
            <v>7372</v>
          </cell>
          <cell r="G104">
            <v>7426</v>
          </cell>
          <cell r="Z104">
            <v>2099</v>
          </cell>
          <cell r="AA104">
            <v>2119</v>
          </cell>
          <cell r="AB104">
            <v>2117</v>
          </cell>
          <cell r="AC104">
            <v>2107</v>
          </cell>
          <cell r="AD104">
            <v>1969</v>
          </cell>
          <cell r="AE104">
            <v>1953</v>
          </cell>
          <cell r="AF104">
            <v>1928</v>
          </cell>
          <cell r="AG104">
            <v>1913</v>
          </cell>
          <cell r="AH104">
            <v>1898</v>
          </cell>
          <cell r="AI104">
            <v>1831</v>
          </cell>
          <cell r="AJ104">
            <v>1833</v>
          </cell>
          <cell r="AK104">
            <v>1810</v>
          </cell>
          <cell r="AL104">
            <v>1773</v>
          </cell>
          <cell r="AM104">
            <v>1757</v>
          </cell>
          <cell r="AN104">
            <v>1747</v>
          </cell>
          <cell r="AO104">
            <v>2149</v>
          </cell>
          <cell r="AP104">
            <v>2444</v>
          </cell>
          <cell r="AQ104">
            <v>2438</v>
          </cell>
          <cell r="AR104">
            <v>2389</v>
          </cell>
          <cell r="AS104">
            <v>2411</v>
          </cell>
          <cell r="AT104">
            <v>3441</v>
          </cell>
          <cell r="AU104">
            <v>3301</v>
          </cell>
          <cell r="AV104">
            <v>3334</v>
          </cell>
          <cell r="AW104">
            <v>3340</v>
          </cell>
          <cell r="AX104">
            <v>3078</v>
          </cell>
          <cell r="AY104">
            <v>3173</v>
          </cell>
        </row>
        <row r="105">
          <cell r="A105" t="str">
            <v>Total Operating Expenses</v>
          </cell>
          <cell r="F105">
            <v>32730</v>
          </cell>
          <cell r="G105">
            <v>35301</v>
          </cell>
          <cell r="Z105">
            <v>7895</v>
          </cell>
          <cell r="AA105">
            <v>8221</v>
          </cell>
          <cell r="AB105">
            <v>8177</v>
          </cell>
          <cell r="AC105">
            <v>8244</v>
          </cell>
          <cell r="AD105">
            <v>7914</v>
          </cell>
          <cell r="AE105">
            <v>8083</v>
          </cell>
          <cell r="AF105">
            <v>8127</v>
          </cell>
          <cell r="AG105">
            <v>8374</v>
          </cell>
          <cell r="AH105">
            <v>8102</v>
          </cell>
          <cell r="AI105">
            <v>8132</v>
          </cell>
          <cell r="AJ105">
            <v>8024</v>
          </cell>
          <cell r="AK105">
            <v>8472</v>
          </cell>
          <cell r="AL105">
            <v>8066</v>
          </cell>
          <cell r="AM105">
            <v>8210</v>
          </cell>
          <cell r="AN105">
            <v>7734</v>
          </cell>
          <cell r="AO105">
            <v>11291</v>
          </cell>
          <cell r="AP105">
            <v>12686</v>
          </cell>
          <cell r="AQ105">
            <v>12324</v>
          </cell>
          <cell r="AR105">
            <v>11950</v>
          </cell>
          <cell r="AS105">
            <v>12315</v>
          </cell>
          <cell r="AT105">
            <v>15043</v>
          </cell>
          <cell r="AU105">
            <v>14803</v>
          </cell>
          <cell r="AV105">
            <v>14980</v>
          </cell>
          <cell r="AW105">
            <v>14767</v>
          </cell>
          <cell r="AX105">
            <v>14439</v>
          </cell>
          <cell r="AY105">
            <v>14185</v>
          </cell>
        </row>
        <row r="106">
          <cell r="A106" t="str">
            <v xml:space="preserve"> % revenue</v>
          </cell>
          <cell r="Z106">
            <v>0.80717718024741847</v>
          </cell>
          <cell r="AA106">
            <v>0.84024938675388394</v>
          </cell>
          <cell r="AB106">
            <v>0.84429530201342284</v>
          </cell>
          <cell r="AC106">
            <v>0.89066551426101992</v>
          </cell>
          <cell r="AD106">
            <v>0.85344548689744415</v>
          </cell>
          <cell r="AE106">
            <v>0.88532311062431546</v>
          </cell>
          <cell r="AF106">
            <v>0.88751774598667688</v>
          </cell>
          <cell r="AG106">
            <v>0.93251670378619156</v>
          </cell>
          <cell r="AH106">
            <v>0.8962389380530974</v>
          </cell>
          <cell r="AI106">
            <v>0.89078759995618362</v>
          </cell>
          <cell r="AJ106">
            <v>0.87141615986099041</v>
          </cell>
          <cell r="AK106">
            <v>0.92237343494828528</v>
          </cell>
          <cell r="AL106">
            <v>0.87845785231975604</v>
          </cell>
          <cell r="AM106">
            <v>0.88689640272226422</v>
          </cell>
          <cell r="AN106">
            <v>0.83801061870191784</v>
          </cell>
          <cell r="AO106">
            <v>0.95242513707296494</v>
          </cell>
          <cell r="AP106">
            <v>0.86070968179659402</v>
          </cell>
          <cell r="AQ106">
            <v>0.83552542372881355</v>
          </cell>
          <cell r="AR106">
            <v>0.81927876045523107</v>
          </cell>
          <cell r="AS106">
            <v>0.85042469442718049</v>
          </cell>
          <cell r="AT106">
            <v>0.83637273434893811</v>
          </cell>
          <cell r="AU106">
            <v>0.822708831212138</v>
          </cell>
          <cell r="AV106">
            <v>0.83500557413600895</v>
          </cell>
          <cell r="AW106">
            <v>0.83627817419866346</v>
          </cell>
          <cell r="AX106">
            <v>0.84207149938764803</v>
          </cell>
          <cell r="AY106">
            <v>0.82870830168837994</v>
          </cell>
        </row>
        <row r="108">
          <cell r="A108" t="str">
            <v>Segment Income</v>
          </cell>
          <cell r="F108">
            <v>3832</v>
          </cell>
          <cell r="G108">
            <v>4222</v>
          </cell>
          <cell r="Z108">
            <v>1886</v>
          </cell>
          <cell r="AA108">
            <v>1563</v>
          </cell>
          <cell r="AB108">
            <v>1508</v>
          </cell>
          <cell r="AC108">
            <v>1012</v>
          </cell>
          <cell r="AD108">
            <v>1359</v>
          </cell>
          <cell r="AE108">
            <v>1047</v>
          </cell>
          <cell r="AF108">
            <v>1030</v>
          </cell>
          <cell r="AG108">
            <v>606</v>
          </cell>
          <cell r="AH108">
            <v>938</v>
          </cell>
          <cell r="AI108">
            <v>997</v>
          </cell>
          <cell r="AJ108">
            <v>1184</v>
          </cell>
          <cell r="AK108">
            <v>713</v>
          </cell>
          <cell r="AL108">
            <v>1116</v>
          </cell>
          <cell r="AM108">
            <v>1047</v>
          </cell>
          <cell r="AN108">
            <v>1495</v>
          </cell>
          <cell r="AO108">
            <v>564</v>
          </cell>
          <cell r="AP108">
            <v>2053</v>
          </cell>
          <cell r="AQ108">
            <v>2426</v>
          </cell>
          <cell r="AR108">
            <v>2636</v>
          </cell>
          <cell r="AS108">
            <v>2166</v>
          </cell>
          <cell r="AT108">
            <v>2943</v>
          </cell>
          <cell r="AU108">
            <v>3190</v>
          </cell>
          <cell r="AV108">
            <v>2960</v>
          </cell>
          <cell r="AW108">
            <v>2891</v>
          </cell>
          <cell r="AX108">
            <v>2708</v>
          </cell>
          <cell r="AY108">
            <v>2932</v>
          </cell>
        </row>
        <row r="109">
          <cell r="A109" t="str">
            <v xml:space="preserve"> % margin</v>
          </cell>
          <cell r="Z109">
            <v>0.19282281975258153</v>
          </cell>
          <cell r="AA109">
            <v>0.15975061324611611</v>
          </cell>
          <cell r="AB109">
            <v>0.15570469798657718</v>
          </cell>
          <cell r="AC109">
            <v>0.10933448573898012</v>
          </cell>
          <cell r="AD109">
            <v>0.14655451310255579</v>
          </cell>
          <cell r="AE109">
            <v>0.11467688937568456</v>
          </cell>
          <cell r="AF109">
            <v>0.11248225401332314</v>
          </cell>
          <cell r="AG109">
            <v>6.7483296213808469E-2</v>
          </cell>
          <cell r="AH109">
            <v>0.10376106194690266</v>
          </cell>
          <cell r="AI109">
            <v>0.10921240004381641</v>
          </cell>
          <cell r="AJ109">
            <v>0.12858384013900956</v>
          </cell>
          <cell r="AK109">
            <v>7.7626565051714752E-2</v>
          </cell>
          <cell r="AL109">
            <v>0.12154214768024396</v>
          </cell>
          <cell r="AM109">
            <v>0.11310359727773577</v>
          </cell>
          <cell r="AN109">
            <v>0.16198938129808213</v>
          </cell>
          <cell r="AO109">
            <v>4.7574862927035007E-2</v>
          </cell>
          <cell r="AP109">
            <v>0.13929031820340593</v>
          </cell>
          <cell r="AQ109">
            <v>0.16447457627118645</v>
          </cell>
          <cell r="AR109">
            <v>0.18072123954476896</v>
          </cell>
          <cell r="AS109">
            <v>0.14957530557281956</v>
          </cell>
          <cell r="AT109">
            <v>0.16362726565106195</v>
          </cell>
          <cell r="AU109">
            <v>0.17729116878786194</v>
          </cell>
          <cell r="AV109">
            <v>0.16499442586399107</v>
          </cell>
          <cell r="AW109">
            <v>0.16372182580133651</v>
          </cell>
          <cell r="AX109">
            <v>0.157928500612352</v>
          </cell>
          <cell r="AY109">
            <v>0.17129169831162003</v>
          </cell>
        </row>
        <row r="110">
          <cell r="A110" t="str">
            <v xml:space="preserve"> % y/y growth</v>
          </cell>
          <cell r="AM110">
            <v>5.0150451354062264E-2</v>
          </cell>
          <cell r="AN110">
            <v>0.26266891891891886</v>
          </cell>
          <cell r="AO110">
            <v>-0.20897615708274897</v>
          </cell>
          <cell r="AP110">
            <v>0.83960573476702516</v>
          </cell>
          <cell r="AQ110">
            <v>1.3170964660936009</v>
          </cell>
          <cell r="AR110">
            <v>0.76321070234113719</v>
          </cell>
          <cell r="AS110">
            <v>2.8404255319148937</v>
          </cell>
          <cell r="AT110">
            <v>0.43351193375547981</v>
          </cell>
          <cell r="AU110">
            <v>0.31492168178070901</v>
          </cell>
          <cell r="AV110">
            <v>0.12291350531107748</v>
          </cell>
          <cell r="AW110">
            <v>0.33471837488457989</v>
          </cell>
          <cell r="AX110">
            <v>-7.9850492694529374E-2</v>
          </cell>
          <cell r="AY110">
            <v>-8.0877742946708464E-2</v>
          </cell>
        </row>
        <row r="112">
          <cell r="A112" t="str">
            <v>Operating Statistics</v>
          </cell>
        </row>
        <row r="113">
          <cell r="A113" t="str">
            <v>End of Period Employees</v>
          </cell>
          <cell r="F113">
            <v>149900</v>
          </cell>
          <cell r="G113">
            <v>174744</v>
          </cell>
          <cell r="AI113">
            <v>153915</v>
          </cell>
          <cell r="AJ113">
            <v>152470</v>
          </cell>
          <cell r="AK113">
            <v>149900</v>
          </cell>
          <cell r="AL113">
            <v>148019</v>
          </cell>
          <cell r="AM113">
            <v>144749</v>
          </cell>
          <cell r="AN113">
            <v>141666</v>
          </cell>
          <cell r="AO113">
            <v>174744</v>
          </cell>
          <cell r="AP113">
            <v>171510</v>
          </cell>
          <cell r="AQ113">
            <v>167502</v>
          </cell>
          <cell r="AR113">
            <v>164156</v>
          </cell>
          <cell r="AS113">
            <v>163561</v>
          </cell>
          <cell r="AT113">
            <v>301760</v>
          </cell>
          <cell r="AU113">
            <v>301840</v>
          </cell>
          <cell r="AV113">
            <v>303670</v>
          </cell>
          <cell r="AW113">
            <v>309050</v>
          </cell>
          <cell r="AX113">
            <v>310070</v>
          </cell>
          <cell r="AY113">
            <v>307550</v>
          </cell>
        </row>
        <row r="114">
          <cell r="A114" t="str">
            <v xml:space="preserve"> % y/y growth</v>
          </cell>
          <cell r="G114">
            <v>0.16573715810540368</v>
          </cell>
          <cell r="AM114">
            <v>-5.9552350323230363E-2</v>
          </cell>
          <cell r="AN114">
            <v>-7.0859841280251801E-2</v>
          </cell>
          <cell r="AO114">
            <v>0.16573715810540368</v>
          </cell>
          <cell r="AP114">
            <v>0.15870259899067007</v>
          </cell>
          <cell r="AQ114">
            <v>0.15718934154985531</v>
          </cell>
          <cell r="AR114">
            <v>0.15875368825265057</v>
          </cell>
          <cell r="AS114">
            <v>-6.3996474843199147E-2</v>
          </cell>
          <cell r="AT114">
            <v>0.75943093697160524</v>
          </cell>
          <cell r="AU114">
            <v>0.8020083342288451</v>
          </cell>
          <cell r="AV114">
            <v>0.84988669314554444</v>
          </cell>
          <cell r="AW114">
            <v>0.88950911280806544</v>
          </cell>
          <cell r="AX114">
            <v>2.7538441145281034E-2</v>
          </cell>
          <cell r="AY114">
            <v>1.8917307182613197E-2</v>
          </cell>
        </row>
        <row r="115">
          <cell r="A115" t="str">
            <v xml:space="preserve"> Average employees</v>
          </cell>
          <cell r="AJ115">
            <v>153192.5</v>
          </cell>
          <cell r="AK115">
            <v>151185</v>
          </cell>
          <cell r="AL115">
            <v>148959.5</v>
          </cell>
          <cell r="AM115">
            <v>146384</v>
          </cell>
          <cell r="AN115">
            <v>143207.5</v>
          </cell>
          <cell r="AO115">
            <v>158205</v>
          </cell>
          <cell r="AP115">
            <v>173127</v>
          </cell>
          <cell r="AQ115">
            <v>169506</v>
          </cell>
          <cell r="AR115">
            <v>165829</v>
          </cell>
          <cell r="AS115">
            <v>163858.5</v>
          </cell>
          <cell r="AT115">
            <v>232660.5</v>
          </cell>
          <cell r="AU115">
            <v>301800</v>
          </cell>
          <cell r="AV115">
            <v>302755</v>
          </cell>
          <cell r="AW115">
            <v>306360</v>
          </cell>
          <cell r="AX115">
            <v>309560</v>
          </cell>
          <cell r="AY115">
            <v>308810</v>
          </cell>
        </row>
        <row r="116">
          <cell r="A116" t="str">
            <v>EBITDA Margin (ex pension)</v>
          </cell>
          <cell r="BB116">
            <v>0.36697190941715135</v>
          </cell>
          <cell r="BC116">
            <v>0.35955547231066992</v>
          </cell>
          <cell r="BD116">
            <v>0.35235197159883352</v>
          </cell>
          <cell r="BE116">
            <v>0.34669992325402915</v>
          </cell>
          <cell r="BF116">
            <v>0.30620305620305621</v>
          </cell>
          <cell r="BG116">
            <v>0.3201621725979793</v>
          </cell>
          <cell r="BH116">
            <v>0.32031908684091054</v>
          </cell>
          <cell r="BI116">
            <v>0.32142857142857145</v>
          </cell>
          <cell r="BJ116">
            <v>0.30104312005846789</v>
          </cell>
        </row>
        <row r="117">
          <cell r="A117" t="str">
            <v xml:space="preserve"> Consumer Markets</v>
          </cell>
        </row>
        <row r="118">
          <cell r="A118" t="str">
            <v>Total Residential retail lines</v>
          </cell>
          <cell r="I118">
            <v>35009</v>
          </cell>
          <cell r="J118">
            <v>30838</v>
          </cell>
          <cell r="K118">
            <v>27332</v>
          </cell>
          <cell r="L118">
            <v>24195</v>
          </cell>
          <cell r="M118">
            <v>21232</v>
          </cell>
          <cell r="N118">
            <v>18597</v>
          </cell>
          <cell r="O118">
            <v>16617</v>
          </cell>
          <cell r="P118">
            <v>14867</v>
          </cell>
          <cell r="Q118">
            <v>13467</v>
          </cell>
          <cell r="R118">
            <v>12267</v>
          </cell>
          <cell r="S118">
            <v>11267</v>
          </cell>
          <cell r="T118">
            <v>10267</v>
          </cell>
          <cell r="AT118">
            <v>36660</v>
          </cell>
          <cell r="AU118">
            <v>36356</v>
          </cell>
          <cell r="AV118">
            <v>35770</v>
          </cell>
          <cell r="AW118">
            <v>35009</v>
          </cell>
          <cell r="AX118">
            <v>34182</v>
          </cell>
          <cell r="AY118">
            <v>33052</v>
          </cell>
          <cell r="AZ118">
            <v>31855</v>
          </cell>
          <cell r="BA118">
            <v>30838</v>
          </cell>
          <cell r="BB118">
            <v>29969</v>
          </cell>
          <cell r="BC118">
            <v>29048</v>
          </cell>
          <cell r="BD118">
            <v>28098</v>
          </cell>
          <cell r="BE118">
            <v>27332</v>
          </cell>
          <cell r="BF118">
            <v>26633</v>
          </cell>
          <cell r="BG118">
            <v>25780</v>
          </cell>
          <cell r="BH118">
            <v>24908</v>
          </cell>
          <cell r="BI118">
            <v>24195</v>
          </cell>
          <cell r="BJ118">
            <v>23479</v>
          </cell>
          <cell r="BK118">
            <v>22735</v>
          </cell>
          <cell r="BL118">
            <v>21941</v>
          </cell>
          <cell r="BM118">
            <v>21232</v>
          </cell>
          <cell r="BN118">
            <v>20537</v>
          </cell>
          <cell r="BO118">
            <v>19868</v>
          </cell>
          <cell r="BP118">
            <v>19222</v>
          </cell>
          <cell r="BQ118">
            <v>18597</v>
          </cell>
          <cell r="BR118">
            <v>18022</v>
          </cell>
          <cell r="BS118">
            <v>17502</v>
          </cell>
          <cell r="BT118">
            <v>17032</v>
          </cell>
          <cell r="BU118">
            <v>16617</v>
          </cell>
        </row>
        <row r="119">
          <cell r="A119" t="str">
            <v xml:space="preserve">Consumer Broadband Connections </v>
          </cell>
          <cell r="I119">
            <v>12082</v>
          </cell>
          <cell r="J119">
            <v>12970</v>
          </cell>
          <cell r="K119">
            <v>13717</v>
          </cell>
          <cell r="L119">
            <v>14320</v>
          </cell>
          <cell r="M119">
            <v>14492</v>
          </cell>
          <cell r="N119">
            <v>14469.188387018059</v>
          </cell>
          <cell r="O119">
            <v>14120.154381796623</v>
          </cell>
          <cell r="P119">
            <v>13869.919016889884</v>
          </cell>
          <cell r="Q119">
            <v>13763.375618505394</v>
          </cell>
          <cell r="R119">
            <v>14325.234880439824</v>
          </cell>
          <cell r="S119">
            <v>14924.453094714152</v>
          </cell>
          <cell r="T119">
            <v>15367.440663230936</v>
          </cell>
          <cell r="AT119">
            <v>0</v>
          </cell>
          <cell r="AU119">
            <v>11260</v>
          </cell>
          <cell r="AV119">
            <v>11716</v>
          </cell>
          <cell r="AW119">
            <v>12082</v>
          </cell>
          <cell r="AX119">
            <v>12547</v>
          </cell>
          <cell r="AY119">
            <v>12581</v>
          </cell>
          <cell r="AZ119">
            <v>12729</v>
          </cell>
          <cell r="BA119">
            <v>12970</v>
          </cell>
          <cell r="BB119">
            <v>13344</v>
          </cell>
          <cell r="BC119">
            <v>13454</v>
          </cell>
          <cell r="BD119">
            <v>13550</v>
          </cell>
          <cell r="BE119">
            <v>13717</v>
          </cell>
          <cell r="BF119">
            <v>13989</v>
          </cell>
          <cell r="BG119">
            <v>13925</v>
          </cell>
          <cell r="BH119">
            <v>14092</v>
          </cell>
          <cell r="BI119">
            <v>14320</v>
          </cell>
          <cell r="BJ119">
            <v>14515</v>
          </cell>
          <cell r="BK119">
            <v>14520</v>
          </cell>
          <cell r="BL119">
            <v>14530</v>
          </cell>
          <cell r="BM119">
            <v>14492</v>
          </cell>
          <cell r="BN119">
            <v>14595</v>
          </cell>
          <cell r="BO119">
            <v>14517</v>
          </cell>
          <cell r="BP119">
            <v>14501</v>
          </cell>
          <cell r="BQ119">
            <v>14469.188387018059</v>
          </cell>
          <cell r="BR119">
            <v>14450.556123596876</v>
          </cell>
          <cell r="BS119">
            <v>14392.698354398488</v>
          </cell>
          <cell r="BT119">
            <v>14222.730423391595</v>
          </cell>
          <cell r="BU119">
            <v>14120.154381796623</v>
          </cell>
        </row>
        <row r="120">
          <cell r="A120" t="str">
            <v xml:space="preserve">Satellite Video Connections </v>
          </cell>
          <cell r="I120">
            <v>2116</v>
          </cell>
          <cell r="J120">
            <v>2190</v>
          </cell>
          <cell r="K120">
            <v>2174</v>
          </cell>
          <cell r="L120">
            <v>1930</v>
          </cell>
          <cell r="M120">
            <v>1765</v>
          </cell>
          <cell r="N120">
            <v>1585</v>
          </cell>
          <cell r="O120">
            <v>1440</v>
          </cell>
          <cell r="P120">
            <v>1240</v>
          </cell>
          <cell r="Q120">
            <v>1040</v>
          </cell>
          <cell r="R120">
            <v>840</v>
          </cell>
          <cell r="S120">
            <v>640</v>
          </cell>
          <cell r="T120">
            <v>440</v>
          </cell>
          <cell r="AT120">
            <v>0</v>
          </cell>
          <cell r="AU120">
            <v>1846</v>
          </cell>
          <cell r="AV120">
            <v>1986</v>
          </cell>
          <cell r="AW120">
            <v>2116</v>
          </cell>
          <cell r="AX120">
            <v>2232</v>
          </cell>
          <cell r="AY120">
            <v>2235</v>
          </cell>
          <cell r="AZ120">
            <v>2182</v>
          </cell>
          <cell r="BA120">
            <v>2190</v>
          </cell>
          <cell r="BB120">
            <v>2205</v>
          </cell>
          <cell r="BC120">
            <v>2210</v>
          </cell>
          <cell r="BD120">
            <v>2195</v>
          </cell>
          <cell r="BE120">
            <v>2174</v>
          </cell>
          <cell r="BF120">
            <v>2127</v>
          </cell>
          <cell r="BG120">
            <v>2053</v>
          </cell>
          <cell r="BH120">
            <v>1994</v>
          </cell>
          <cell r="BI120">
            <v>1930</v>
          </cell>
          <cell r="BJ120">
            <v>1886</v>
          </cell>
          <cell r="BK120">
            <v>1852</v>
          </cell>
          <cell r="BL120">
            <v>1809</v>
          </cell>
          <cell r="BM120">
            <v>1765</v>
          </cell>
          <cell r="BN120">
            <v>1732</v>
          </cell>
          <cell r="BO120">
            <v>1684</v>
          </cell>
          <cell r="BP120">
            <v>1633</v>
          </cell>
          <cell r="BQ120">
            <v>1585</v>
          </cell>
          <cell r="BR120">
            <v>1545</v>
          </cell>
          <cell r="BS120">
            <v>1505</v>
          </cell>
          <cell r="BT120">
            <v>1470</v>
          </cell>
          <cell r="BU120">
            <v>1440</v>
          </cell>
        </row>
        <row r="121">
          <cell r="A121" t="str">
            <v>U-verse Video Connections</v>
          </cell>
          <cell r="I121">
            <v>231</v>
          </cell>
          <cell r="J121">
            <v>1045</v>
          </cell>
          <cell r="K121">
            <v>2065</v>
          </cell>
          <cell r="L121">
            <v>2987</v>
          </cell>
          <cell r="M121">
            <v>3791</v>
          </cell>
          <cell r="N121">
            <v>4532.1000000000004</v>
          </cell>
          <cell r="O121">
            <v>5257.1056803000001</v>
          </cell>
          <cell r="P121">
            <v>6018.3616446149999</v>
          </cell>
          <cell r="Q121">
            <v>6817.6804071457509</v>
          </cell>
          <cell r="R121">
            <v>7656.9651078030383</v>
          </cell>
          <cell r="S121">
            <v>8538.2140434931916</v>
          </cell>
          <cell r="T121">
            <v>9463.5254259678495</v>
          </cell>
          <cell r="AT121">
            <v>13</v>
          </cell>
          <cell r="AU121">
            <v>51</v>
          </cell>
          <cell r="AV121">
            <v>126</v>
          </cell>
          <cell r="AW121">
            <v>231</v>
          </cell>
          <cell r="AX121">
            <v>379</v>
          </cell>
          <cell r="AY121">
            <v>549</v>
          </cell>
          <cell r="AZ121">
            <v>781</v>
          </cell>
          <cell r="BA121">
            <v>1045</v>
          </cell>
          <cell r="BB121">
            <v>1329</v>
          </cell>
          <cell r="BC121">
            <v>1577</v>
          </cell>
          <cell r="BD121">
            <v>1817</v>
          </cell>
          <cell r="BE121">
            <v>2065</v>
          </cell>
          <cell r="BF121">
            <v>2296</v>
          </cell>
          <cell r="BG121">
            <v>2505</v>
          </cell>
          <cell r="BH121">
            <v>2741</v>
          </cell>
          <cell r="BI121">
            <v>2987</v>
          </cell>
          <cell r="BJ121">
            <v>3205</v>
          </cell>
          <cell r="BK121">
            <v>3407</v>
          </cell>
          <cell r="BL121">
            <v>3583</v>
          </cell>
          <cell r="BM121">
            <v>3791</v>
          </cell>
          <cell r="BN121">
            <v>3991</v>
          </cell>
          <cell r="BO121">
            <v>4146</v>
          </cell>
          <cell r="BP121">
            <v>4344</v>
          </cell>
          <cell r="BQ121">
            <v>4532.1000000000004</v>
          </cell>
          <cell r="BR121">
            <v>4725.8429999999998</v>
          </cell>
          <cell r="BS121">
            <v>4890.5245500000001</v>
          </cell>
          <cell r="BT121">
            <v>5063.4401775000006</v>
          </cell>
          <cell r="BU121">
            <v>5257.1056803000001</v>
          </cell>
        </row>
        <row r="122">
          <cell r="A122" t="str">
            <v>Consumer connections</v>
          </cell>
          <cell r="I122">
            <v>49438</v>
          </cell>
          <cell r="J122">
            <v>47043</v>
          </cell>
          <cell r="K122">
            <v>45288</v>
          </cell>
          <cell r="L122">
            <v>43432</v>
          </cell>
          <cell r="M122">
            <v>41280</v>
          </cell>
          <cell r="N122">
            <v>39183.288387018059</v>
          </cell>
          <cell r="O122">
            <v>37434.260062096626</v>
          </cell>
          <cell r="P122">
            <v>35995.280661504883</v>
          </cell>
          <cell r="Q122">
            <v>35088.056025651145</v>
          </cell>
          <cell r="R122">
            <v>35089.199988242864</v>
          </cell>
          <cell r="S122">
            <v>35369.667138207347</v>
          </cell>
          <cell r="T122">
            <v>35537.966089198788</v>
          </cell>
          <cell r="AT122">
            <v>36673</v>
          </cell>
          <cell r="AU122">
            <v>49513</v>
          </cell>
          <cell r="AV122">
            <v>49598</v>
          </cell>
          <cell r="AW122">
            <v>49438</v>
          </cell>
          <cell r="AX122">
            <v>49340</v>
          </cell>
          <cell r="AY122">
            <v>48417</v>
          </cell>
          <cell r="AZ122">
            <v>47547</v>
          </cell>
          <cell r="BA122">
            <v>47043</v>
          </cell>
          <cell r="BB122">
            <v>46847</v>
          </cell>
          <cell r="BC122">
            <v>46289</v>
          </cell>
          <cell r="BD122">
            <v>45660</v>
          </cell>
          <cell r="BE122">
            <v>45288</v>
          </cell>
          <cell r="BF122">
            <v>45045</v>
          </cell>
          <cell r="BG122">
            <v>44263</v>
          </cell>
          <cell r="BH122">
            <v>43735</v>
          </cell>
          <cell r="BI122">
            <v>43432</v>
          </cell>
          <cell r="BJ122">
            <v>43085</v>
          </cell>
          <cell r="BK122">
            <v>42514</v>
          </cell>
          <cell r="BL122">
            <v>41863</v>
          </cell>
          <cell r="BM122">
            <v>41280</v>
          </cell>
          <cell r="BN122">
            <v>40855</v>
          </cell>
          <cell r="BO122">
            <v>40215</v>
          </cell>
          <cell r="BP122">
            <v>39700</v>
          </cell>
          <cell r="BQ122">
            <v>39183.288387018059</v>
          </cell>
          <cell r="BR122">
            <v>38743.399123596879</v>
          </cell>
          <cell r="BS122">
            <v>38290.222904398492</v>
          </cell>
          <cell r="BT122">
            <v>37788.170600891593</v>
          </cell>
          <cell r="BU122">
            <v>37434.260062096626</v>
          </cell>
        </row>
        <row r="123">
          <cell r="A123" t="str">
            <v xml:space="preserve"> % y/y growth</v>
          </cell>
          <cell r="J123">
            <v>-4.8444516363930545E-2</v>
          </cell>
          <cell r="K123">
            <v>-3.730629424143872E-2</v>
          </cell>
          <cell r="L123">
            <v>-4.0982158629217502E-2</v>
          </cell>
          <cell r="M123">
            <v>-4.954871983790754E-2</v>
          </cell>
          <cell r="N123">
            <v>-5.0792432485027628E-2</v>
          </cell>
          <cell r="O123">
            <v>-4.4637099052179385E-2</v>
          </cell>
          <cell r="P123">
            <v>-3.8440172136559925E-2</v>
          </cell>
          <cell r="Q123">
            <v>-2.5203988389065901E-2</v>
          </cell>
          <cell r="R123">
            <v>3.2602620985366926E-5</v>
          </cell>
          <cell r="S123">
            <v>7.9929764730588548E-3</v>
          </cell>
          <cell r="T123">
            <v>4.7582848414662315E-3</v>
          </cell>
          <cell r="AX123">
            <v>0.34540397567692849</v>
          </cell>
          <cell r="AY123">
            <v>-2.2135600751317819E-2</v>
          </cell>
          <cell r="AZ123">
            <v>-4.1352473890076236E-2</v>
          </cell>
          <cell r="BA123">
            <v>-4.8444516363930545E-2</v>
          </cell>
          <cell r="BB123">
            <v>-5.0526955816781571E-2</v>
          </cell>
          <cell r="BC123">
            <v>-4.3951504636801086E-2</v>
          </cell>
          <cell r="BD123">
            <v>-3.9687046501356571E-2</v>
          </cell>
          <cell r="BE123">
            <v>-3.730629424143872E-2</v>
          </cell>
          <cell r="BF123">
            <v>-3.8465643477703981E-2</v>
          </cell>
          <cell r="BG123">
            <v>-4.3768497915271487E-2</v>
          </cell>
          <cell r="BH123">
            <v>-4.2159439334209403E-2</v>
          </cell>
          <cell r="BI123">
            <v>-4.0982158629217502E-2</v>
          </cell>
          <cell r="BJ123">
            <v>-4.3512043512043519E-2</v>
          </cell>
          <cell r="BK123">
            <v>-3.951381515035135E-2</v>
          </cell>
          <cell r="BL123">
            <v>-4.280324682748371E-2</v>
          </cell>
          <cell r="BM123">
            <v>-4.954871983790754E-2</v>
          </cell>
          <cell r="BN123">
            <v>-5.1758152489265408E-2</v>
          </cell>
          <cell r="BO123">
            <v>-5.407630427623844E-2</v>
          </cell>
          <cell r="BP123">
            <v>-5.1668537849652418E-2</v>
          </cell>
          <cell r="BQ123">
            <v>-5.0792432485027628E-2</v>
          </cell>
          <cell r="BR123">
            <v>-5.1685249697787761E-2</v>
          </cell>
          <cell r="BS123">
            <v>-4.7862168235770497E-2</v>
          </cell>
          <cell r="BT123">
            <v>-4.8156911816332637E-2</v>
          </cell>
          <cell r="BU123">
            <v>-4.4637099052179385E-2</v>
          </cell>
        </row>
        <row r="124">
          <cell r="A124" t="str">
            <v>Average</v>
          </cell>
          <cell r="J124">
            <v>48240.5</v>
          </cell>
          <cell r="K124">
            <v>46165.5</v>
          </cell>
          <cell r="L124">
            <v>44360</v>
          </cell>
          <cell r="M124">
            <v>42356</v>
          </cell>
          <cell r="N124">
            <v>40231.644193509026</v>
          </cell>
          <cell r="O124">
            <v>38308.774224557346</v>
          </cell>
          <cell r="P124">
            <v>36714.770361800751</v>
          </cell>
          <cell r="Q124">
            <v>35541.668343578014</v>
          </cell>
          <cell r="R124">
            <v>35088.628006947009</v>
          </cell>
          <cell r="S124">
            <v>35229.433563225102</v>
          </cell>
          <cell r="T124">
            <v>35453.816613703064</v>
          </cell>
          <cell r="AT124">
            <v>36673</v>
          </cell>
          <cell r="AU124">
            <v>43093</v>
          </cell>
          <cell r="AV124">
            <v>49555.5</v>
          </cell>
          <cell r="AW124">
            <v>49518</v>
          </cell>
          <cell r="AX124">
            <v>49389</v>
          </cell>
          <cell r="AY124">
            <v>48878.5</v>
          </cell>
          <cell r="AZ124">
            <v>47982</v>
          </cell>
          <cell r="BA124">
            <v>47295</v>
          </cell>
          <cell r="BB124">
            <v>46945</v>
          </cell>
          <cell r="BC124">
            <v>46568</v>
          </cell>
          <cell r="BD124">
            <v>45974.5</v>
          </cell>
          <cell r="BE124">
            <v>45474</v>
          </cell>
          <cell r="BF124">
            <v>45166.5</v>
          </cell>
          <cell r="BG124">
            <v>44654</v>
          </cell>
          <cell r="BH124">
            <v>43999</v>
          </cell>
          <cell r="BI124">
            <v>43583.5</v>
          </cell>
          <cell r="BJ124">
            <v>43258.5</v>
          </cell>
          <cell r="BK124">
            <v>42799.5</v>
          </cell>
          <cell r="BL124">
            <v>42188.5</v>
          </cell>
          <cell r="BM124">
            <v>41571.5</v>
          </cell>
          <cell r="BN124">
            <v>41067.5</v>
          </cell>
          <cell r="BO124">
            <v>40535</v>
          </cell>
          <cell r="BP124">
            <v>39957.5</v>
          </cell>
          <cell r="BQ124">
            <v>39441.644193509026</v>
          </cell>
          <cell r="BR124">
            <v>38963.343755307469</v>
          </cell>
          <cell r="BS124">
            <v>38516.811013997685</v>
          </cell>
          <cell r="BT124">
            <v>38039.196752645046</v>
          </cell>
          <cell r="BU124">
            <v>37611.21533149411</v>
          </cell>
        </row>
        <row r="125">
          <cell r="A125" t="str">
            <v>Net Adds</v>
          </cell>
          <cell r="J125">
            <v>-2395</v>
          </cell>
          <cell r="K125">
            <v>-1755</v>
          </cell>
          <cell r="L125">
            <v>-1856</v>
          </cell>
          <cell r="M125">
            <v>-2152</v>
          </cell>
          <cell r="N125">
            <v>-2096.7116129819406</v>
          </cell>
          <cell r="O125">
            <v>-1749.0283249214335</v>
          </cell>
          <cell r="P125">
            <v>-1438.9794005917429</v>
          </cell>
          <cell r="Q125">
            <v>-907.22463585373771</v>
          </cell>
          <cell r="R125">
            <v>1.1439625917191734</v>
          </cell>
          <cell r="S125">
            <v>280.46714996448281</v>
          </cell>
          <cell r="T125">
            <v>168.29895099144051</v>
          </cell>
          <cell r="AT125">
            <v>36673</v>
          </cell>
          <cell r="AU125">
            <v>12840</v>
          </cell>
          <cell r="AV125">
            <v>85</v>
          </cell>
          <cell r="AW125">
            <v>-160</v>
          </cell>
          <cell r="AX125">
            <v>-98</v>
          </cell>
          <cell r="AY125">
            <v>-923</v>
          </cell>
          <cell r="AZ125">
            <v>-870</v>
          </cell>
          <cell r="BA125">
            <v>-504</v>
          </cell>
          <cell r="BB125">
            <v>-196</v>
          </cell>
          <cell r="BC125">
            <v>-558</v>
          </cell>
          <cell r="BD125">
            <v>-629</v>
          </cell>
          <cell r="BE125">
            <v>-372</v>
          </cell>
          <cell r="BF125">
            <v>-243</v>
          </cell>
          <cell r="BG125">
            <v>-782</v>
          </cell>
          <cell r="BH125">
            <v>-528</v>
          </cell>
          <cell r="BI125">
            <v>-303</v>
          </cell>
          <cell r="BJ125">
            <v>-347</v>
          </cell>
          <cell r="BK125">
            <v>-571</v>
          </cell>
          <cell r="BL125">
            <v>-651</v>
          </cell>
          <cell r="BM125">
            <v>-583</v>
          </cell>
          <cell r="BN125">
            <v>-425</v>
          </cell>
          <cell r="BO125">
            <v>-640</v>
          </cell>
          <cell r="BP125">
            <v>-515</v>
          </cell>
          <cell r="BQ125">
            <v>-516.71161298194056</v>
          </cell>
          <cell r="BR125">
            <v>-439.88926342118066</v>
          </cell>
          <cell r="BS125">
            <v>-453.17621919838712</v>
          </cell>
          <cell r="BT125">
            <v>-502.05230350689817</v>
          </cell>
          <cell r="BU125">
            <v>-353.91053879496758</v>
          </cell>
        </row>
        <row r="127">
          <cell r="A127" t="str">
            <v>Revenue</v>
          </cell>
          <cell r="J127">
            <v>22554</v>
          </cell>
          <cell r="K127">
            <v>21284</v>
          </cell>
          <cell r="L127">
            <v>21258</v>
          </cell>
          <cell r="M127">
            <v>21329</v>
          </cell>
          <cell r="N127">
            <v>21701.113881598249</v>
          </cell>
          <cell r="O127">
            <v>22085.80304125735</v>
          </cell>
          <cell r="P127">
            <v>22542.67048596032</v>
          </cell>
          <cell r="Q127">
            <v>23131.735721098648</v>
          </cell>
          <cell r="R127">
            <v>23978.725622210743</v>
          </cell>
          <cell r="S127">
            <v>24917.571964019822</v>
          </cell>
          <cell r="T127">
            <v>25953.946468388582</v>
          </cell>
          <cell r="AU127">
            <v>5865</v>
          </cell>
          <cell r="AV127">
            <v>5867</v>
          </cell>
          <cell r="AW127">
            <v>5791</v>
          </cell>
          <cell r="AX127">
            <v>5761</v>
          </cell>
          <cell r="AY127">
            <v>5721</v>
          </cell>
          <cell r="AZ127">
            <v>5620</v>
          </cell>
          <cell r="BA127">
            <v>5452</v>
          </cell>
          <cell r="BB127">
            <v>5366</v>
          </cell>
          <cell r="BC127">
            <v>5354</v>
          </cell>
          <cell r="BD127">
            <v>5310</v>
          </cell>
          <cell r="BE127">
            <v>5254</v>
          </cell>
          <cell r="BF127">
            <v>5295</v>
          </cell>
          <cell r="BG127">
            <v>5353</v>
          </cell>
          <cell r="BH127">
            <v>5322</v>
          </cell>
          <cell r="BI127">
            <v>5288</v>
          </cell>
          <cell r="BJ127">
            <v>5322</v>
          </cell>
          <cell r="BK127">
            <v>5359</v>
          </cell>
          <cell r="BL127">
            <v>5331</v>
          </cell>
          <cell r="BM127">
            <v>5317</v>
          </cell>
          <cell r="BN127">
            <v>5373</v>
          </cell>
          <cell r="BO127">
            <v>5450</v>
          </cell>
          <cell r="BP127">
            <v>5435</v>
          </cell>
          <cell r="BQ127">
            <v>5443.1138815982495</v>
          </cell>
          <cell r="BR127">
            <v>5454.5455461636511</v>
          </cell>
          <cell r="BS127">
            <v>5541.15661596466</v>
          </cell>
          <cell r="BT127">
            <v>5536.2584434754326</v>
          </cell>
          <cell r="BU127">
            <v>5553.8424356536052</v>
          </cell>
        </row>
        <row r="128">
          <cell r="A128" t="str">
            <v xml:space="preserve"> % y/y growth</v>
          </cell>
          <cell r="K128">
            <v>-5.6309302119358029E-2</v>
          </cell>
          <cell r="L128">
            <v>-1.2215748919376379E-3</v>
          </cell>
          <cell r="M128">
            <v>3.3399190892839936E-3</v>
          </cell>
          <cell r="N128">
            <v>1.7446381996260918E-2</v>
          </cell>
          <cell r="O128">
            <v>1.7726701115803323E-2</v>
          </cell>
          <cell r="P128">
            <v>2.068602367998662E-2</v>
          </cell>
          <cell r="Q128">
            <v>2.6131120334886626E-2</v>
          </cell>
          <cell r="R128">
            <v>3.6615925035817787E-2</v>
          </cell>
          <cell r="S128">
            <v>3.9153304333215067E-2</v>
          </cell>
          <cell r="T128">
            <v>4.1592114426929339E-2</v>
          </cell>
          <cell r="AY128">
            <v>-2.4552429667519138E-2</v>
          </cell>
          <cell r="AZ128">
            <v>-4.2099880688597269E-2</v>
          </cell>
          <cell r="BA128">
            <v>-5.8539112415817662E-2</v>
          </cell>
          <cell r="BB128">
            <v>-6.8564485332407554E-2</v>
          </cell>
          <cell r="BC128">
            <v>-6.4149624191574883E-2</v>
          </cell>
          <cell r="BD128">
            <v>-5.5160142348754437E-2</v>
          </cell>
          <cell r="BE128">
            <v>-3.6316947909024178E-2</v>
          </cell>
          <cell r="BF128">
            <v>-1.3231457323891194E-2</v>
          </cell>
          <cell r="BG128">
            <v>-1.8677624206198118E-4</v>
          </cell>
          <cell r="BH128">
            <v>2.2598870056496079E-3</v>
          </cell>
          <cell r="BI128">
            <v>6.4712599923868463E-3</v>
          </cell>
          <cell r="BJ128">
            <v>5.0991501416430829E-3</v>
          </cell>
          <cell r="BK128">
            <v>1.1208668036615244E-3</v>
          </cell>
          <cell r="BL128">
            <v>1.6910935738443378E-3</v>
          </cell>
          <cell r="BM128">
            <v>5.484114977307053E-3</v>
          </cell>
          <cell r="BN128">
            <v>9.5828635851182842E-3</v>
          </cell>
          <cell r="BO128">
            <v>1.6980779996268014E-2</v>
          </cell>
          <cell r="BP128">
            <v>1.9508534984055581E-2</v>
          </cell>
          <cell r="BQ128">
            <v>2.3718992213325185E-2</v>
          </cell>
          <cell r="BR128">
            <v>1.517691162547008E-2</v>
          </cell>
          <cell r="BS128">
            <v>1.6725984580671538E-2</v>
          </cell>
          <cell r="BT128">
            <v>1.8630808367144924E-2</v>
          </cell>
          <cell r="BU128">
            <v>2.0342869259028395E-2</v>
          </cell>
        </row>
        <row r="130">
          <cell r="A130" t="str">
            <v>Consumer ARPU</v>
          </cell>
          <cell r="J130">
            <v>38.961038961038959</v>
          </cell>
          <cell r="K130">
            <v>38.419743459220996</v>
          </cell>
          <cell r="L130">
            <v>39.934625788999099</v>
          </cell>
          <cell r="M130">
            <v>41.963751692007428</v>
          </cell>
          <cell r="N130">
            <v>44.950341778266811</v>
          </cell>
          <cell r="O130">
            <v>48.043395384643439</v>
          </cell>
          <cell r="P130">
            <v>51.166216084645264</v>
          </cell>
          <cell r="Q130">
            <v>54.236189049723983</v>
          </cell>
          <cell r="R130">
            <v>56.947998502210183</v>
          </cell>
          <cell r="S130">
            <v>58.941178449787536</v>
          </cell>
          <cell r="T130">
            <v>61.004119695530093</v>
          </cell>
          <cell r="AU130">
            <v>45.366996960063126</v>
          </cell>
          <cell r="AV130">
            <v>39.464169802880946</v>
          </cell>
          <cell r="AW130">
            <v>38.982457557521172</v>
          </cell>
          <cell r="AX130">
            <v>38.881802290658513</v>
          </cell>
          <cell r="AY130">
            <v>39.015108892457832</v>
          </cell>
          <cell r="AZ130">
            <v>39.042418684784572</v>
          </cell>
          <cell r="BA130">
            <v>38.425485428339854</v>
          </cell>
          <cell r="BB130">
            <v>38.101324244683497</v>
          </cell>
          <cell r="BC130">
            <v>38.323884784973941</v>
          </cell>
          <cell r="BD130">
            <v>38.499603040816098</v>
          </cell>
          <cell r="BE130">
            <v>38.512849833604548</v>
          </cell>
          <cell r="BF130">
            <v>39.077634972822771</v>
          </cell>
          <cell r="BG130">
            <v>39.959092877084544</v>
          </cell>
          <cell r="BH130">
            <v>40.319098161321847</v>
          </cell>
          <cell r="BI130">
            <v>40.443439986845171</v>
          </cell>
          <cell r="BJ130">
            <v>41.009281412901508</v>
          </cell>
          <cell r="BK130">
            <v>41.737247709280091</v>
          </cell>
          <cell r="BL130">
            <v>42.120483070030936</v>
          </cell>
          <cell r="BM130">
            <v>42.633374627649552</v>
          </cell>
          <cell r="BN130">
            <v>43.611128020941138</v>
          </cell>
          <cell r="BO130">
            <v>44.817236133382679</v>
          </cell>
          <cell r="BP130">
            <v>45.339840246929022</v>
          </cell>
          <cell r="BQ130">
            <v>46.001411223233866</v>
          </cell>
          <cell r="BR130">
            <v>46.663906982407021</v>
          </cell>
          <cell r="BS130">
            <v>47.954442662719465</v>
          </cell>
          <cell r="BT130">
            <v>48.513629064214058</v>
          </cell>
          <cell r="BU130">
            <v>49.221510008860243</v>
          </cell>
        </row>
        <row r="131">
          <cell r="A131" t="str">
            <v xml:space="preserve"> % y/y growth</v>
          </cell>
          <cell r="K131">
            <v>-1.389325121332774E-2</v>
          </cell>
          <cell r="L131">
            <v>3.9429787744054368E-2</v>
          </cell>
          <cell r="M131">
            <v>5.0811191113434573E-2</v>
          </cell>
          <cell r="N131">
            <v>7.1170712003526981E-2</v>
          </cell>
          <cell r="O131">
            <v>6.8810458030201138E-2</v>
          </cell>
          <cell r="P131">
            <v>6.5000000000000002E-2</v>
          </cell>
          <cell r="Q131">
            <v>0.06</v>
          </cell>
          <cell r="R131">
            <v>0.05</v>
          </cell>
          <cell r="S131">
            <v>3.5000000000000003E-2</v>
          </cell>
          <cell r="T131">
            <v>3.5000000000000003E-2</v>
          </cell>
          <cell r="AY131">
            <v>-0.14001120843852422</v>
          </cell>
          <cell r="AZ131">
            <v>-1.0686937548742947E-2</v>
          </cell>
          <cell r="BA131">
            <v>-1.4287763370471662E-2</v>
          </cell>
          <cell r="BB131">
            <v>-2.0073093323725089E-2</v>
          </cell>
          <cell r="BC131">
            <v>-1.7716831430336311E-2</v>
          </cell>
          <cell r="BD131">
            <v>-1.390322788019327E-2</v>
          </cell>
          <cell r="BE131">
            <v>2.2736057668710785E-3</v>
          </cell>
          <cell r="BF131">
            <v>2.5624062876909104E-2</v>
          </cell>
          <cell r="BG131">
            <v>4.2668119406092497E-2</v>
          </cell>
          <cell r="BH131">
            <v>4.7260100800955662E-2</v>
          </cell>
          <cell r="BI131">
            <v>5.0128467812217803E-2</v>
          </cell>
          <cell r="BJ131">
            <v>4.9430996564201912E-2</v>
          </cell>
          <cell r="BK131">
            <v>4.4499379344401291E-2</v>
          </cell>
          <cell r="BL131">
            <v>4.4678204395879995E-2</v>
          </cell>
          <cell r="BM131">
            <v>5.4148080418398914E-2</v>
          </cell>
          <cell r="BN131">
            <v>6.3445310875920091E-2</v>
          </cell>
          <cell r="BO131">
            <v>7.3794717983231228E-2</v>
          </cell>
          <cell r="BP131">
            <v>7.6432104815737034E-2</v>
          </cell>
          <cell r="BQ131">
            <v>7.9000000000000001E-2</v>
          </cell>
          <cell r="BR131">
            <v>7.0000000000000007E-2</v>
          </cell>
          <cell r="BS131">
            <v>7.0000000000000007E-2</v>
          </cell>
          <cell r="BT131">
            <v>7.0000000000000007E-2</v>
          </cell>
          <cell r="BU131">
            <v>7.0000000000000007E-2</v>
          </cell>
        </row>
        <row r="133">
          <cell r="A133" t="str">
            <v>Avg Households in service</v>
          </cell>
          <cell r="J133">
            <v>28795.5</v>
          </cell>
          <cell r="K133">
            <v>26737.5</v>
          </cell>
          <cell r="L133">
            <v>25067</v>
          </cell>
          <cell r="M133">
            <v>23524</v>
          </cell>
          <cell r="N133">
            <v>21165.65</v>
          </cell>
          <cell r="O133">
            <v>20000.142499999998</v>
          </cell>
          <cell r="AU133">
            <v>0</v>
          </cell>
          <cell r="AV133">
            <v>31930</v>
          </cell>
          <cell r="AW133">
            <v>31442.5</v>
          </cell>
          <cell r="AX133">
            <v>30912</v>
          </cell>
          <cell r="AY133">
            <v>30271</v>
          </cell>
          <cell r="AZ133">
            <v>29500.5</v>
          </cell>
          <cell r="BA133">
            <v>28795.5</v>
          </cell>
          <cell r="BB133">
            <v>28266</v>
          </cell>
          <cell r="BC133">
            <v>27781</v>
          </cell>
          <cell r="BD133">
            <v>27226.5</v>
          </cell>
          <cell r="BE133">
            <v>26737.5</v>
          </cell>
          <cell r="BF133">
            <v>26341</v>
          </cell>
          <cell r="BG133">
            <v>25838</v>
          </cell>
          <cell r="BH133">
            <v>25332.5</v>
          </cell>
          <cell r="BI133">
            <v>25067</v>
          </cell>
          <cell r="BJ133">
            <v>24878</v>
          </cell>
          <cell r="BK133">
            <v>24575.5</v>
          </cell>
          <cell r="BL133">
            <v>24113</v>
          </cell>
          <cell r="BM133">
            <v>23524</v>
          </cell>
          <cell r="BN133">
            <v>22840.5</v>
          </cell>
          <cell r="BO133">
            <v>22239</v>
          </cell>
          <cell r="BP133">
            <v>21724.5</v>
          </cell>
          <cell r="BQ133">
            <v>21165.65</v>
          </cell>
          <cell r="BR133">
            <v>20781.190000000002</v>
          </cell>
          <cell r="BS133">
            <v>20569.900000000001</v>
          </cell>
          <cell r="BT133">
            <v>20311.009999999998</v>
          </cell>
          <cell r="BU133">
            <v>20000.142499999998</v>
          </cell>
        </row>
        <row r="134">
          <cell r="A134" t="str">
            <v>Household ARPU</v>
          </cell>
          <cell r="AV134">
            <v>61.24856456832655</v>
          </cell>
          <cell r="AW134">
            <v>61.39248893482813</v>
          </cell>
          <cell r="AX134">
            <v>62.122584541062807</v>
          </cell>
          <cell r="AY134">
            <v>62.997588450992694</v>
          </cell>
          <cell r="AZ134">
            <v>63.501748557934043</v>
          </cell>
          <cell r="BA134">
            <v>63.111713057016999</v>
          </cell>
          <cell r="BB134">
            <v>63.279794334772042</v>
          </cell>
          <cell r="BC134">
            <v>64.24054809642081</v>
          </cell>
          <cell r="BD134">
            <v>65.01019227590767</v>
          </cell>
          <cell r="BE134">
            <v>65.501012934393017</v>
          </cell>
          <cell r="BF134">
            <v>67.005808435518773</v>
          </cell>
          <cell r="BG134">
            <v>69.058492659390552</v>
          </cell>
          <cell r="BH134">
            <v>70.028619362479034</v>
          </cell>
          <cell r="BI134">
            <v>70.318213853539191</v>
          </cell>
          <cell r="BJ134">
            <v>71.307982956829335</v>
          </cell>
          <cell r="BK134">
            <v>72.687568242083913</v>
          </cell>
          <cell r="BL134">
            <v>73.694687512959803</v>
          </cell>
          <cell r="BM134">
            <v>75.341495210565085</v>
          </cell>
          <cell r="BN134">
            <v>78.413344716621779</v>
          </cell>
          <cell r="BO134">
            <v>81.68832531438764</v>
          </cell>
          <cell r="BP134">
            <v>83.392790014346303</v>
          </cell>
          <cell r="BQ134">
            <v>85.722446221405107</v>
          </cell>
          <cell r="BR134">
            <v>87.491709989717464</v>
          </cell>
          <cell r="BS134">
            <v>89.793932168924172</v>
          </cell>
          <cell r="BT134">
            <v>90.858085400897238</v>
          </cell>
          <cell r="BU134">
            <v>92.563381080136566</v>
          </cell>
        </row>
        <row r="135">
          <cell r="A135" t="str">
            <v xml:space="preserve"> % y/y growth</v>
          </cell>
          <cell r="AZ135">
            <v>3.6787539520112711E-2</v>
          </cell>
          <cell r="BA135">
            <v>2.800381857809886E-2</v>
          </cell>
          <cell r="BB135">
            <v>1.8627843678080236E-2</v>
          </cell>
          <cell r="BC135">
            <v>1.9730273427768452E-2</v>
          </cell>
          <cell r="BD135">
            <v>2.3754365072285122E-2</v>
          </cell>
          <cell r="BE135">
            <v>3.7858263730180308E-2</v>
          </cell>
          <cell r="BF135">
            <v>5.8881577285710307E-2</v>
          </cell>
          <cell r="BG135">
            <v>7.4998497144487697E-2</v>
          </cell>
          <cell r="BH135">
            <v>7.7194466142675333E-2</v>
          </cell>
          <cell r="BI135">
            <v>7.3543914870006111E-2</v>
          </cell>
          <cell r="BJ135">
            <v>6.4205993805009243E-2</v>
          </cell>
          <cell r="BK135">
            <v>5.2550749993815371E-2</v>
          </cell>
          <cell r="BL135">
            <v>5.2350998546817351E-2</v>
          </cell>
          <cell r="BM135">
            <v>7.1436418557054404E-2</v>
          </cell>
          <cell r="BN135">
            <v>9.9643286279659682E-2</v>
          </cell>
          <cell r="BO135">
            <v>0.12382801199686533</v>
          </cell>
          <cell r="BP135">
            <v>0.13159839370620863</v>
          </cell>
          <cell r="BQ135">
            <v>0.13778530651438814</v>
          </cell>
          <cell r="BR135">
            <v>0.11577576885546725</v>
          </cell>
          <cell r="BS135">
            <v>9.9226013305341976E-2</v>
          </cell>
          <cell r="BT135">
            <v>8.9519674126104398E-2</v>
          </cell>
          <cell r="BU135">
            <v>7.9803308938041662E-2</v>
          </cell>
        </row>
        <row r="136">
          <cell r="A136" t="str">
            <v xml:space="preserve"> AT&amp;T Business Solutions</v>
          </cell>
          <cell r="BC136" t="str">
            <v>Restated in 1Q11</v>
          </cell>
        </row>
        <row r="137">
          <cell r="A137" t="str">
            <v>Global Enterprise Solutions</v>
          </cell>
          <cell r="J137">
            <v>16232</v>
          </cell>
          <cell r="K137">
            <v>15034</v>
          </cell>
          <cell r="L137">
            <v>14365</v>
          </cell>
          <cell r="M137">
            <v>13969</v>
          </cell>
          <cell r="N137">
            <v>13890.545</v>
          </cell>
          <cell r="O137">
            <v>13904.022269999999</v>
          </cell>
          <cell r="P137">
            <v>14043.062492699999</v>
          </cell>
          <cell r="Q137">
            <v>14253.708430090497</v>
          </cell>
          <cell r="R137">
            <v>14538.782598692307</v>
          </cell>
          <cell r="S137">
            <v>14829.558250666154</v>
          </cell>
          <cell r="T137">
            <v>15126.149415679478</v>
          </cell>
          <cell r="AU137">
            <v>4082</v>
          </cell>
          <cell r="AV137">
            <v>4114</v>
          </cell>
          <cell r="AW137">
            <v>4070</v>
          </cell>
          <cell r="AX137">
            <v>4114</v>
          </cell>
          <cell r="AY137">
            <v>4088</v>
          </cell>
          <cell r="AZ137">
            <v>4101</v>
          </cell>
          <cell r="BA137">
            <v>3929</v>
          </cell>
          <cell r="BB137">
            <v>3843</v>
          </cell>
          <cell r="BC137">
            <v>3777</v>
          </cell>
          <cell r="BD137">
            <v>3706</v>
          </cell>
          <cell r="BE137">
            <v>3708</v>
          </cell>
          <cell r="BF137">
            <v>3664</v>
          </cell>
          <cell r="BG137">
            <v>3598</v>
          </cell>
          <cell r="BH137">
            <v>3574</v>
          </cell>
          <cell r="BI137">
            <v>3529</v>
          </cell>
          <cell r="BJ137">
            <v>3516</v>
          </cell>
          <cell r="BK137">
            <v>3466</v>
          </cell>
          <cell r="BL137">
            <v>3490</v>
          </cell>
          <cell r="BM137">
            <v>3497</v>
          </cell>
          <cell r="BN137">
            <v>3514</v>
          </cell>
          <cell r="BO137">
            <v>3472</v>
          </cell>
          <cell r="BP137">
            <v>3460</v>
          </cell>
          <cell r="BQ137">
            <v>3444.5450000000001</v>
          </cell>
          <cell r="BR137">
            <v>3496.43</v>
          </cell>
          <cell r="BS137">
            <v>3472</v>
          </cell>
          <cell r="BT137">
            <v>3470.3799999999997</v>
          </cell>
          <cell r="BU137">
            <v>3465.21227</v>
          </cell>
        </row>
        <row r="138">
          <cell r="A138" t="str">
            <v xml:space="preserve"> % y/y growth</v>
          </cell>
          <cell r="K138">
            <v>-7.3804829965500196E-2</v>
          </cell>
          <cell r="L138">
            <v>-4.4499135293335157E-2</v>
          </cell>
          <cell r="M138">
            <v>-2.7567003132613954E-2</v>
          </cell>
          <cell r="N138">
            <v>-5.6163648077887096E-3</v>
          </cell>
          <cell r="O138">
            <v>9.7024774765852584E-4</v>
          </cell>
          <cell r="P138">
            <v>0.01</v>
          </cell>
          <cell r="Q138">
            <v>1.4999999999999999E-2</v>
          </cell>
          <cell r="R138">
            <v>0.02</v>
          </cell>
          <cell r="S138">
            <v>0.02</v>
          </cell>
          <cell r="T138">
            <v>0.02</v>
          </cell>
          <cell r="AY138">
            <v>1.4698677119058257E-3</v>
          </cell>
          <cell r="AZ138">
            <v>-3.1599416626154619E-3</v>
          </cell>
          <cell r="BA138">
            <v>-3.4643734643734603E-2</v>
          </cell>
          <cell r="BB138">
            <v>-6.5872630043752989E-2</v>
          </cell>
          <cell r="BC138" t="str">
            <v>NM</v>
          </cell>
          <cell r="BD138" t="str">
            <v>NM</v>
          </cell>
          <cell r="BE138" t="str">
            <v>NM</v>
          </cell>
          <cell r="BF138" t="str">
            <v>NM</v>
          </cell>
          <cell r="BG138">
            <v>-4.7392110140322963E-2</v>
          </cell>
          <cell r="BH138">
            <v>-3.5617916891527268E-2</v>
          </cell>
          <cell r="BI138">
            <v>-4.8274002157497331E-2</v>
          </cell>
          <cell r="BJ138">
            <v>-4.0393013100436637E-2</v>
          </cell>
          <cell r="BK138">
            <v>-3.6687048360200092E-2</v>
          </cell>
          <cell r="BL138">
            <v>-2.3503077783995519E-2</v>
          </cell>
          <cell r="BM138">
            <v>-9.0677245678661977E-3</v>
          </cell>
          <cell r="BN138">
            <v>-5.6882821387937987E-4</v>
          </cell>
          <cell r="BO138">
            <v>1.7311021350259193E-3</v>
          </cell>
          <cell r="BP138">
            <v>-8.5959885386819312E-3</v>
          </cell>
          <cell r="BQ138">
            <v>-1.4999999999999999E-2</v>
          </cell>
          <cell r="BR138">
            <v>-5.0000000000000001E-3</v>
          </cell>
          <cell r="BS138">
            <v>0</v>
          </cell>
          <cell r="BT138">
            <v>3.0000000000000001E-3</v>
          </cell>
          <cell r="BU138">
            <v>6.0000000000000001E-3</v>
          </cell>
        </row>
        <row r="140">
          <cell r="A140" t="str">
            <v>Small Business &amp; Alternate Channels</v>
          </cell>
          <cell r="J140">
            <v>9163</v>
          </cell>
          <cell r="K140">
            <v>8702</v>
          </cell>
          <cell r="L140">
            <v>8175</v>
          </cell>
          <cell r="M140">
            <v>7742</v>
          </cell>
          <cell r="N140">
            <v>7476.6270000000004</v>
          </cell>
          <cell r="O140">
            <v>7270.4694600000003</v>
          </cell>
          <cell r="P140">
            <v>7197.7647654000002</v>
          </cell>
          <cell r="Q140">
            <v>7233.7535892269998</v>
          </cell>
          <cell r="R140">
            <v>7306.0911251192701</v>
          </cell>
          <cell r="S140">
            <v>7415.6824919960582</v>
          </cell>
          <cell r="T140">
            <v>7526.9177293759985</v>
          </cell>
          <cell r="AU140">
            <v>2375</v>
          </cell>
          <cell r="AV140">
            <v>2335</v>
          </cell>
          <cell r="AW140">
            <v>2354</v>
          </cell>
          <cell r="AX140">
            <v>2335</v>
          </cell>
          <cell r="AY140">
            <v>2280</v>
          </cell>
          <cell r="AZ140">
            <v>2311</v>
          </cell>
          <cell r="BA140">
            <v>2237</v>
          </cell>
          <cell r="BB140">
            <v>2245</v>
          </cell>
          <cell r="BC140">
            <v>2195</v>
          </cell>
          <cell r="BD140">
            <v>2134</v>
          </cell>
          <cell r="BE140">
            <v>2128</v>
          </cell>
          <cell r="BF140">
            <v>2107</v>
          </cell>
          <cell r="BG140">
            <v>2065</v>
          </cell>
          <cell r="BH140">
            <v>2034</v>
          </cell>
          <cell r="BI140">
            <v>1969</v>
          </cell>
          <cell r="BJ140">
            <v>1960</v>
          </cell>
          <cell r="BK140">
            <v>1941</v>
          </cell>
          <cell r="BL140">
            <v>1934</v>
          </cell>
          <cell r="BM140">
            <v>1907</v>
          </cell>
          <cell r="BN140">
            <v>1903</v>
          </cell>
          <cell r="BO140">
            <v>1875</v>
          </cell>
          <cell r="BP140">
            <v>1866</v>
          </cell>
          <cell r="BQ140">
            <v>1832.627</v>
          </cell>
          <cell r="BR140">
            <v>1836.395</v>
          </cell>
          <cell r="BS140">
            <v>1818.75</v>
          </cell>
          <cell r="BT140">
            <v>1819.35</v>
          </cell>
          <cell r="BU140">
            <v>1795.9744599999999</v>
          </cell>
        </row>
        <row r="141">
          <cell r="A141" t="str">
            <v xml:space="preserve"> % y/y growth</v>
          </cell>
          <cell r="K141">
            <v>-5.0311033504310765E-2</v>
          </cell>
          <cell r="L141">
            <v>-6.0560790622845362E-2</v>
          </cell>
          <cell r="M141">
            <v>-5.2966360856269157E-2</v>
          </cell>
          <cell r="N141">
            <v>-3.4277060191165054E-2</v>
          </cell>
          <cell r="O141">
            <v>-2.7573602374439732E-2</v>
          </cell>
          <cell r="P141">
            <v>-0.01</v>
          </cell>
          <cell r="Q141">
            <v>5.0000000000000001E-3</v>
          </cell>
          <cell r="R141">
            <v>0.01</v>
          </cell>
          <cell r="S141">
            <v>1.4999999999999999E-2</v>
          </cell>
          <cell r="T141">
            <v>1.4999999999999999E-2</v>
          </cell>
          <cell r="AY141">
            <v>-4.0000000000000036E-2</v>
          </cell>
          <cell r="AZ141">
            <v>-1.0278372591006391E-2</v>
          </cell>
          <cell r="BA141">
            <v>-4.9702633814783348E-2</v>
          </cell>
          <cell r="BB141">
            <v>-3.8543897216274048E-2</v>
          </cell>
          <cell r="BC141" t="str">
            <v>NM</v>
          </cell>
          <cell r="BD141" t="str">
            <v>NM</v>
          </cell>
          <cell r="BE141" t="str">
            <v>NM</v>
          </cell>
          <cell r="BF141" t="str">
            <v>NM</v>
          </cell>
          <cell r="BG141">
            <v>-5.9225512528473856E-2</v>
          </cell>
          <cell r="BH141">
            <v>-4.6860356138706649E-2</v>
          </cell>
          <cell r="BI141">
            <v>-7.4718045112781906E-2</v>
          </cell>
          <cell r="BJ141">
            <v>-6.9767441860465129E-2</v>
          </cell>
          <cell r="BK141">
            <v>-6.004842615012107E-2</v>
          </cell>
          <cell r="BL141">
            <v>-4.9164208456243808E-2</v>
          </cell>
          <cell r="BM141">
            <v>-3.1488065007618027E-2</v>
          </cell>
          <cell r="BN141">
            <v>-2.9081632653061185E-2</v>
          </cell>
          <cell r="BO141">
            <v>-3.4003091190108137E-2</v>
          </cell>
          <cell r="BP141">
            <v>-3.5160289555325797E-2</v>
          </cell>
          <cell r="BQ141">
            <v>-3.9E-2</v>
          </cell>
          <cell r="BR141">
            <v>-3.5000000000000003E-2</v>
          </cell>
          <cell r="BS141">
            <v>-0.03</v>
          </cell>
          <cell r="BT141">
            <v>-2.5000000000000001E-2</v>
          </cell>
          <cell r="BU141">
            <v>-0.02</v>
          </cell>
        </row>
        <row r="143">
          <cell r="A143" t="str">
            <v>Wholesale &amp; GEM Solutions (GEM = Gov, Ed, Med)</v>
          </cell>
          <cell r="J143">
            <v>17375</v>
          </cell>
          <cell r="K143">
            <v>16462</v>
          </cell>
          <cell r="L143">
            <v>15883</v>
          </cell>
          <cell r="M143">
            <v>15497</v>
          </cell>
          <cell r="N143">
            <v>15089.772000000001</v>
          </cell>
          <cell r="O143">
            <v>14900.94428</v>
          </cell>
          <cell r="P143">
            <v>14900.94428</v>
          </cell>
          <cell r="Q143">
            <v>15049.953722799999</v>
          </cell>
          <cell r="R143">
            <v>15200.453260028</v>
          </cell>
          <cell r="S143">
            <v>15352.45779262828</v>
          </cell>
          <cell r="T143">
            <v>15505.982370554562</v>
          </cell>
          <cell r="AU143">
            <v>4743</v>
          </cell>
          <cell r="AV143">
            <v>4807</v>
          </cell>
          <cell r="AW143">
            <v>4730</v>
          </cell>
          <cell r="AX143">
            <v>4238</v>
          </cell>
          <cell r="AY143">
            <v>4362</v>
          </cell>
          <cell r="AZ143">
            <v>4413</v>
          </cell>
          <cell r="BA143">
            <v>4362</v>
          </cell>
          <cell r="BB143">
            <v>4119</v>
          </cell>
          <cell r="BC143">
            <v>4153</v>
          </cell>
          <cell r="BD143">
            <v>4118</v>
          </cell>
          <cell r="BE143">
            <v>4072</v>
          </cell>
          <cell r="BF143">
            <v>3942</v>
          </cell>
          <cell r="BG143">
            <v>3991</v>
          </cell>
          <cell r="BH143">
            <v>3974</v>
          </cell>
          <cell r="BI143">
            <v>3976</v>
          </cell>
          <cell r="BJ143">
            <v>3808</v>
          </cell>
          <cell r="BK143">
            <v>3853</v>
          </cell>
          <cell r="BL143">
            <v>3902</v>
          </cell>
          <cell r="BM143">
            <v>3934</v>
          </cell>
          <cell r="BN143">
            <v>3793</v>
          </cell>
          <cell r="BO143">
            <v>3773</v>
          </cell>
          <cell r="BP143">
            <v>3755</v>
          </cell>
          <cell r="BQ143">
            <v>3768.7719999999999</v>
          </cell>
          <cell r="BR143">
            <v>3717.14</v>
          </cell>
          <cell r="BS143">
            <v>3735.27</v>
          </cell>
          <cell r="BT143">
            <v>3717.45</v>
          </cell>
          <cell r="BU143">
            <v>3731.08428</v>
          </cell>
        </row>
        <row r="144">
          <cell r="A144" t="str">
            <v xml:space="preserve"> % y/y growth</v>
          </cell>
          <cell r="K144">
            <v>-5.2546762589928075E-2</v>
          </cell>
          <cell r="L144">
            <v>-3.5171911067913952E-2</v>
          </cell>
          <cell r="M144">
            <v>-2.4302713593149949E-2</v>
          </cell>
          <cell r="N144">
            <v>-2.6277860231012418E-2</v>
          </cell>
          <cell r="O144">
            <v>-1.2513623134928875E-2</v>
          </cell>
          <cell r="P144">
            <v>0</v>
          </cell>
          <cell r="Q144">
            <v>0.01</v>
          </cell>
          <cell r="R144">
            <v>0.01</v>
          </cell>
          <cell r="S144">
            <v>0.01</v>
          </cell>
          <cell r="T144">
            <v>0.01</v>
          </cell>
          <cell r="AY144">
            <v>-8.0328905755850721E-2</v>
          </cell>
          <cell r="AZ144">
            <v>-8.1963802787601403E-2</v>
          </cell>
          <cell r="BA144">
            <v>-7.7801268498942866E-2</v>
          </cell>
          <cell r="BB144">
            <v>-2.8079282680509632E-2</v>
          </cell>
          <cell r="BC144" t="str">
            <v>NM</v>
          </cell>
          <cell r="BD144" t="str">
            <v>NM</v>
          </cell>
          <cell r="BE144" t="str">
            <v>NM</v>
          </cell>
          <cell r="BF144" t="str">
            <v>NM</v>
          </cell>
          <cell r="BG144">
            <v>-3.9007946063086885E-2</v>
          </cell>
          <cell r="BH144">
            <v>-3.4968431277319079E-2</v>
          </cell>
          <cell r="BI144">
            <v>-2.3575638506876273E-2</v>
          </cell>
          <cell r="BJ144">
            <v>-3.399289700659569E-2</v>
          </cell>
          <cell r="BK144">
            <v>-3.4577800050112795E-2</v>
          </cell>
          <cell r="BL144">
            <v>-1.8117765475591296E-2</v>
          </cell>
          <cell r="BM144">
            <v>-1.0563380281690127E-2</v>
          </cell>
          <cell r="BN144">
            <v>-3.9390756302520868E-3</v>
          </cell>
          <cell r="BO144">
            <v>-2.0763041785621605E-2</v>
          </cell>
          <cell r="BP144">
            <v>-3.7672988211173708E-2</v>
          </cell>
          <cell r="BQ144">
            <v>-4.2000000000000003E-2</v>
          </cell>
          <cell r="BR144">
            <v>-0.02</v>
          </cell>
          <cell r="BS144">
            <v>-0.01</v>
          </cell>
          <cell r="BT144">
            <v>-0.01</v>
          </cell>
          <cell r="BU144">
            <v>-0.01</v>
          </cell>
        </row>
        <row r="146">
          <cell r="A146" t="str">
            <v xml:space="preserve"> AT&amp;T Business Solutions Rev</v>
          </cell>
          <cell r="J146">
            <v>42770</v>
          </cell>
          <cell r="K146">
            <v>40198</v>
          </cell>
          <cell r="L146">
            <v>38423</v>
          </cell>
          <cell r="M146">
            <v>37208</v>
          </cell>
          <cell r="N146">
            <v>36456.944000000003</v>
          </cell>
          <cell r="O146">
            <v>36075.436010000005</v>
          </cell>
          <cell r="P146">
            <v>36141.771538100002</v>
          </cell>
          <cell r="Q146">
            <v>36537.415742117497</v>
          </cell>
          <cell r="R146">
            <v>37045.326983839579</v>
          </cell>
          <cell r="S146">
            <v>37597.698535290489</v>
          </cell>
          <cell r="T146">
            <v>38159.049515610037</v>
          </cell>
          <cell r="AU146">
            <v>11200</v>
          </cell>
          <cell r="AV146">
            <v>11256</v>
          </cell>
          <cell r="AW146">
            <v>11154</v>
          </cell>
          <cell r="AX146">
            <v>10687</v>
          </cell>
          <cell r="AY146">
            <v>10730</v>
          </cell>
          <cell r="AZ146">
            <v>10825</v>
          </cell>
          <cell r="BA146">
            <v>10528</v>
          </cell>
          <cell r="BB146">
            <v>10207</v>
          </cell>
          <cell r="BC146">
            <v>10125</v>
          </cell>
          <cell r="BD146">
            <v>9958</v>
          </cell>
          <cell r="BE146">
            <v>9908</v>
          </cell>
          <cell r="BF146">
            <v>9713</v>
          </cell>
          <cell r="BG146">
            <v>9654</v>
          </cell>
          <cell r="BH146">
            <v>9582</v>
          </cell>
          <cell r="BI146">
            <v>9474</v>
          </cell>
          <cell r="BJ146">
            <v>9284</v>
          </cell>
          <cell r="BK146">
            <v>9260</v>
          </cell>
          <cell r="BL146">
            <v>9326</v>
          </cell>
          <cell r="BM146">
            <v>9338</v>
          </cell>
          <cell r="BN146">
            <v>9210</v>
          </cell>
          <cell r="BO146">
            <v>9120</v>
          </cell>
          <cell r="BP146">
            <v>9081</v>
          </cell>
          <cell r="BQ146">
            <v>9045.9439999999995</v>
          </cell>
          <cell r="BR146">
            <v>9049.9650000000001</v>
          </cell>
          <cell r="BS146">
            <v>9026.02</v>
          </cell>
          <cell r="BT146">
            <v>9007.18</v>
          </cell>
          <cell r="BU146">
            <v>8992.2710100000004</v>
          </cell>
        </row>
        <row r="147">
          <cell r="A147" t="str">
            <v xml:space="preserve"> % y/y growth</v>
          </cell>
          <cell r="K147">
            <v>-6.0135609071779283E-2</v>
          </cell>
          <cell r="L147">
            <v>-4.4156425692820522E-2</v>
          </cell>
          <cell r="M147">
            <v>-3.1621684928298199E-2</v>
          </cell>
          <cell r="N147">
            <v>-2.0185336486777006E-2</v>
          </cell>
          <cell r="O147">
            <v>-1.0464617933966136E-2</v>
          </cell>
          <cell r="P147">
            <v>1.8388004536273872E-3</v>
          </cell>
          <cell r="Q147">
            <v>1.0947006391217373E-2</v>
          </cell>
          <cell r="R147">
            <v>1.3901126596006064E-2</v>
          </cell>
          <cell r="S147">
            <v>1.4910694449852491E-2</v>
          </cell>
          <cell r="T147">
            <v>1.4930461230030945E-2</v>
          </cell>
          <cell r="AY147">
            <v>-4.1964285714285676E-2</v>
          </cell>
          <cell r="AZ147">
            <v>-3.8290689410092393E-2</v>
          </cell>
          <cell r="BA147">
            <v>-5.6123363815671512E-2</v>
          </cell>
          <cell r="BB147">
            <v>-4.4914381959389904E-2</v>
          </cell>
          <cell r="BC147">
            <v>-5.6383970177073639E-2</v>
          </cell>
          <cell r="BD147">
            <v>-8.0092378752886884E-2</v>
          </cell>
          <cell r="BE147">
            <v>-5.889057750759874E-2</v>
          </cell>
          <cell r="BF147">
            <v>-4.8398158126775725E-2</v>
          </cell>
          <cell r="BG147">
            <v>-4.6518518518518515E-2</v>
          </cell>
          <cell r="BH147">
            <v>-3.7758586061458099E-2</v>
          </cell>
          <cell r="BI147">
            <v>-4.3802987484860667E-2</v>
          </cell>
          <cell r="BJ147">
            <v>-4.416761041902606E-2</v>
          </cell>
          <cell r="BK147">
            <v>-4.0812098611974323E-2</v>
          </cell>
          <cell r="BL147">
            <v>-2.6716760592778166E-2</v>
          </cell>
          <cell r="BM147">
            <v>-1.4355077052987109E-2</v>
          </cell>
          <cell r="BN147">
            <v>-7.9707022834984986E-3</v>
          </cell>
          <cell r="BO147">
            <v>-1.5118790496760237E-2</v>
          </cell>
          <cell r="BP147">
            <v>-2.6270641218099966E-2</v>
          </cell>
          <cell r="BQ147">
            <v>-3.1276076247590545E-2</v>
          </cell>
          <cell r="BR147">
            <v>-1.7376221498371369E-2</v>
          </cell>
          <cell r="BS147">
            <v>-1.0304824561403469E-2</v>
          </cell>
          <cell r="BT147">
            <v>-8.1290606761369455E-3</v>
          </cell>
          <cell r="BU147">
            <v>-5.9333763286616437E-3</v>
          </cell>
        </row>
        <row r="148">
          <cell r="A148" t="str">
            <v xml:space="preserve"> National Mass Markets</v>
          </cell>
        </row>
        <row r="149">
          <cell r="A149" t="str">
            <v xml:space="preserve"> National Mass Markets Rev</v>
          </cell>
          <cell r="J149">
            <v>2596</v>
          </cell>
          <cell r="K149">
            <v>1853</v>
          </cell>
          <cell r="L149">
            <v>1333</v>
          </cell>
          <cell r="M149">
            <v>1035</v>
          </cell>
          <cell r="N149">
            <v>820.2</v>
          </cell>
          <cell r="O149">
            <v>716.48</v>
          </cell>
          <cell r="P149">
            <v>630.50239999999997</v>
          </cell>
          <cell r="Q149">
            <v>580.06220799999994</v>
          </cell>
          <cell r="R149">
            <v>533.65723135999997</v>
          </cell>
          <cell r="S149">
            <v>490.96465285120001</v>
          </cell>
          <cell r="T149">
            <v>451.68748062310402</v>
          </cell>
          <cell r="AU149">
            <v>997</v>
          </cell>
          <cell r="AV149">
            <v>897</v>
          </cell>
          <cell r="AW149">
            <v>794</v>
          </cell>
          <cell r="AX149">
            <v>720</v>
          </cell>
          <cell r="AY149">
            <v>672</v>
          </cell>
          <cell r="AZ149">
            <v>630</v>
          </cell>
          <cell r="BA149">
            <v>574</v>
          </cell>
          <cell r="BB149">
            <v>521</v>
          </cell>
          <cell r="BC149">
            <v>479</v>
          </cell>
          <cell r="BD149">
            <v>445</v>
          </cell>
          <cell r="BE149">
            <v>408</v>
          </cell>
          <cell r="BF149">
            <v>375</v>
          </cell>
          <cell r="BG149">
            <v>337</v>
          </cell>
          <cell r="BH149">
            <v>326</v>
          </cell>
          <cell r="BI149">
            <v>295</v>
          </cell>
          <cell r="BJ149">
            <v>282</v>
          </cell>
          <cell r="BK149">
            <v>265</v>
          </cell>
          <cell r="BL149">
            <v>254</v>
          </cell>
          <cell r="BM149">
            <v>234</v>
          </cell>
          <cell r="BN149">
            <v>223</v>
          </cell>
          <cell r="BO149">
            <v>211</v>
          </cell>
          <cell r="BP149">
            <v>199</v>
          </cell>
          <cell r="BQ149">
            <v>187.20000000000002</v>
          </cell>
          <cell r="BR149">
            <v>189.54999999999998</v>
          </cell>
          <cell r="BS149">
            <v>179.35</v>
          </cell>
          <cell r="BT149">
            <v>179.1</v>
          </cell>
          <cell r="BU149">
            <v>168.48000000000002</v>
          </cell>
        </row>
        <row r="150">
          <cell r="A150" t="str">
            <v xml:space="preserve"> % y/y growth</v>
          </cell>
          <cell r="K150">
            <v>-0.28620955315870567</v>
          </cell>
          <cell r="L150">
            <v>-0.28062601187263891</v>
          </cell>
          <cell r="M150">
            <v>-0.2235558889722431</v>
          </cell>
          <cell r="N150">
            <v>-0.2075362318840579</v>
          </cell>
          <cell r="O150">
            <v>-0.12645696171665455</v>
          </cell>
          <cell r="P150">
            <v>-0.12</v>
          </cell>
          <cell r="Q150">
            <v>-0.08</v>
          </cell>
          <cell r="R150">
            <v>-0.08</v>
          </cell>
          <cell r="S150">
            <v>-0.08</v>
          </cell>
          <cell r="T150">
            <v>-0.08</v>
          </cell>
          <cell r="AY150">
            <v>-0.32597793380140416</v>
          </cell>
          <cell r="AZ150">
            <v>-0.2976588628762542</v>
          </cell>
          <cell r="BA150">
            <v>-0.2770780856423174</v>
          </cell>
          <cell r="BB150">
            <v>-0.27638888888888891</v>
          </cell>
          <cell r="BC150">
            <v>-0.28720238095238093</v>
          </cell>
          <cell r="BD150">
            <v>-0.29365079365079361</v>
          </cell>
          <cell r="BE150">
            <v>-0.28919860627177696</v>
          </cell>
          <cell r="BF150">
            <v>-0.28023032629558542</v>
          </cell>
          <cell r="BG150">
            <v>-0.29645093945720247</v>
          </cell>
          <cell r="BH150">
            <v>-0.26741573033707866</v>
          </cell>
          <cell r="BI150">
            <v>-0.27696078431372551</v>
          </cell>
          <cell r="BJ150">
            <v>-0.248</v>
          </cell>
          <cell r="BK150">
            <v>-0.21364985163204753</v>
          </cell>
          <cell r="BL150">
            <v>-0.22085889570552142</v>
          </cell>
          <cell r="BM150">
            <v>-0.20677966101694911</v>
          </cell>
          <cell r="BN150">
            <v>-0.20921985815602839</v>
          </cell>
          <cell r="BO150">
            <v>-0.20377358490566033</v>
          </cell>
          <cell r="BP150">
            <v>-0.21653543307086609</v>
          </cell>
          <cell r="BQ150">
            <v>-0.2</v>
          </cell>
          <cell r="BR150">
            <v>-0.15</v>
          </cell>
          <cell r="BS150">
            <v>-0.15</v>
          </cell>
          <cell r="BT150">
            <v>-0.1</v>
          </cell>
          <cell r="BU150">
            <v>-0.1</v>
          </cell>
        </row>
        <row r="151">
          <cell r="A151" t="str">
            <v>Other</v>
          </cell>
        </row>
        <row r="152">
          <cell r="A152" t="str">
            <v>Other rev</v>
          </cell>
          <cell r="J152">
            <v>-31</v>
          </cell>
          <cell r="K152">
            <v>254</v>
          </cell>
          <cell r="L152">
            <v>620</v>
          </cell>
          <cell r="M152">
            <v>568</v>
          </cell>
          <cell r="N152">
            <v>429.25</v>
          </cell>
          <cell r="O152">
            <v>374.07499999999999</v>
          </cell>
          <cell r="P152">
            <v>329.18599999999998</v>
          </cell>
          <cell r="Q152">
            <v>302.85111999999998</v>
          </cell>
          <cell r="R152">
            <v>278.6230304</v>
          </cell>
          <cell r="S152">
            <v>256.333187968</v>
          </cell>
          <cell r="T152">
            <v>235.82653293056001</v>
          </cell>
          <cell r="AU152">
            <v>-69</v>
          </cell>
          <cell r="AV152">
            <v>-79</v>
          </cell>
          <cell r="AW152">
            <v>-82</v>
          </cell>
          <cell r="AX152">
            <v>-22</v>
          </cell>
          <cell r="AY152">
            <v>-5</v>
          </cell>
          <cell r="AZ152">
            <v>-15</v>
          </cell>
          <cell r="BA152">
            <v>11</v>
          </cell>
          <cell r="BB152">
            <v>68</v>
          </cell>
          <cell r="BC152">
            <v>59</v>
          </cell>
          <cell r="BD152">
            <v>61</v>
          </cell>
          <cell r="BE152">
            <v>66</v>
          </cell>
          <cell r="BF152">
            <v>61</v>
          </cell>
          <cell r="BG152">
            <v>195</v>
          </cell>
          <cell r="BH152">
            <v>189</v>
          </cell>
          <cell r="BI152">
            <v>175</v>
          </cell>
          <cell r="BJ152">
            <v>163</v>
          </cell>
          <cell r="BK152">
            <v>146</v>
          </cell>
          <cell r="BL152">
            <v>144</v>
          </cell>
          <cell r="BM152">
            <v>115</v>
          </cell>
          <cell r="BN152">
            <v>122</v>
          </cell>
          <cell r="BO152">
            <v>123</v>
          </cell>
          <cell r="BP152">
            <v>98</v>
          </cell>
          <cell r="BQ152">
            <v>86.25</v>
          </cell>
          <cell r="BR152">
            <v>103.7</v>
          </cell>
          <cell r="BS152">
            <v>104.55</v>
          </cell>
          <cell r="BT152">
            <v>88.2</v>
          </cell>
          <cell r="BU152">
            <v>77.625</v>
          </cell>
        </row>
        <row r="153">
          <cell r="A153" t="str">
            <v xml:space="preserve"> % y/y growth</v>
          </cell>
          <cell r="K153">
            <v>-9.193548387096774</v>
          </cell>
          <cell r="L153">
            <v>1.4409448818897639</v>
          </cell>
          <cell r="M153">
            <v>-8.3870967741935476E-2</v>
          </cell>
          <cell r="N153">
            <v>-0.2442781690140845</v>
          </cell>
          <cell r="O153">
            <v>-0.12853814793244034</v>
          </cell>
          <cell r="P153">
            <v>-0.12</v>
          </cell>
          <cell r="Q153">
            <v>-0.08</v>
          </cell>
          <cell r="R153">
            <v>-0.08</v>
          </cell>
          <cell r="S153">
            <v>-0.08</v>
          </cell>
          <cell r="T153">
            <v>-0.08</v>
          </cell>
          <cell r="AY153">
            <v>-0.92753623188405798</v>
          </cell>
          <cell r="AZ153">
            <v>-0.810126582278481</v>
          </cell>
          <cell r="BA153">
            <v>-1.1341463414634148</v>
          </cell>
          <cell r="BB153">
            <v>-4.0909090909090908</v>
          </cell>
          <cell r="BC153">
            <v>-12.8</v>
          </cell>
          <cell r="BD153">
            <v>-5.0666666666666664</v>
          </cell>
          <cell r="BE153">
            <v>5</v>
          </cell>
          <cell r="BF153">
            <v>-0.1029411764705882</v>
          </cell>
          <cell r="BG153">
            <v>2.3050847457627119</v>
          </cell>
          <cell r="BH153">
            <v>2.098360655737705</v>
          </cell>
          <cell r="BI153">
            <v>1.6515151515151514</v>
          </cell>
          <cell r="BJ153">
            <v>1.6721311475409837</v>
          </cell>
          <cell r="BK153">
            <v>-0.25128205128205128</v>
          </cell>
          <cell r="BL153">
            <v>-0.23809523809523814</v>
          </cell>
          <cell r="BM153">
            <v>-0.34285714285714286</v>
          </cell>
          <cell r="BN153">
            <v>-0.25153374233128833</v>
          </cell>
          <cell r="BO153">
            <v>-0.15753424657534243</v>
          </cell>
          <cell r="BP153">
            <v>-0.31944444444444442</v>
          </cell>
          <cell r="BQ153">
            <v>-0.25</v>
          </cell>
          <cell r="BR153">
            <v>-0.15</v>
          </cell>
          <cell r="BS153">
            <v>-0.15</v>
          </cell>
          <cell r="BT153">
            <v>-0.1</v>
          </cell>
          <cell r="BU153">
            <v>-0.1</v>
          </cell>
        </row>
        <row r="154">
          <cell r="A154" t="str">
            <v>OLD DATA</v>
          </cell>
        </row>
        <row r="155">
          <cell r="A155" t="str">
            <v>Primary Residential</v>
          </cell>
        </row>
        <row r="156">
          <cell r="A156" t="str">
            <v>Lines: Primary residential retail lines</v>
          </cell>
          <cell r="E156">
            <v>23949</v>
          </cell>
          <cell r="F156">
            <v>23206</v>
          </cell>
          <cell r="G156">
            <v>22793</v>
          </cell>
          <cell r="H156">
            <v>21841</v>
          </cell>
          <cell r="I156">
            <v>31005</v>
          </cell>
          <cell r="J156">
            <v>27479</v>
          </cell>
          <cell r="K156">
            <v>24562</v>
          </cell>
          <cell r="L156">
            <v>21737.663690911751</v>
          </cell>
          <cell r="M156">
            <v>19635.663690911751</v>
          </cell>
          <cell r="N156">
            <v>17889.275690911752</v>
          </cell>
          <cell r="O156">
            <v>16340.107453036753</v>
          </cell>
          <cell r="P156">
            <v>14908.314450843003</v>
          </cell>
          <cell r="Q156">
            <v>13656.290398978315</v>
          </cell>
          <cell r="Y156">
            <v>27909</v>
          </cell>
          <cell r="Z156">
            <v>27629</v>
          </cell>
          <cell r="AA156">
            <v>26917</v>
          </cell>
          <cell r="AB156">
            <v>26307</v>
          </cell>
          <cell r="AC156">
            <v>25636</v>
          </cell>
          <cell r="AD156">
            <v>25129</v>
          </cell>
          <cell r="AE156">
            <v>24642</v>
          </cell>
          <cell r="AF156">
            <v>24257</v>
          </cell>
          <cell r="AG156">
            <v>23949</v>
          </cell>
          <cell r="AH156">
            <v>23792</v>
          </cell>
          <cell r="AI156">
            <v>23398</v>
          </cell>
          <cell r="AJ156">
            <v>23279</v>
          </cell>
          <cell r="AK156">
            <v>23206</v>
          </cell>
          <cell r="AL156">
            <v>23222</v>
          </cell>
          <cell r="AM156">
            <v>23036</v>
          </cell>
          <cell r="AN156">
            <v>22922</v>
          </cell>
          <cell r="AO156">
            <v>22793</v>
          </cell>
          <cell r="AP156">
            <v>22630</v>
          </cell>
          <cell r="AQ156">
            <v>22310</v>
          </cell>
          <cell r="AR156">
            <v>22068</v>
          </cell>
          <cell r="AS156">
            <v>21841</v>
          </cell>
          <cell r="AT156">
            <v>32315</v>
          </cell>
          <cell r="AU156">
            <v>32124</v>
          </cell>
          <cell r="AV156">
            <v>31658</v>
          </cell>
          <cell r="AW156">
            <v>31005</v>
          </cell>
          <cell r="AX156">
            <v>30316</v>
          </cell>
          <cell r="AY156">
            <v>29349</v>
          </cell>
          <cell r="AZ156">
            <v>28329</v>
          </cell>
          <cell r="BA156">
            <v>27479</v>
          </cell>
          <cell r="BB156">
            <v>26780</v>
          </cell>
          <cell r="BC156">
            <v>26008</v>
          </cell>
          <cell r="BD156">
            <v>25205</v>
          </cell>
          <cell r="BE156">
            <v>24562</v>
          </cell>
          <cell r="BF156">
            <v>23933.841138592128</v>
          </cell>
          <cell r="BG156">
            <v>23167.289623884091</v>
          </cell>
          <cell r="BH156">
            <v>22383.663690911751</v>
          </cell>
          <cell r="BI156">
            <v>21737.663690911751</v>
          </cell>
          <cell r="BJ156">
            <v>21243.663690911751</v>
          </cell>
          <cell r="BK156">
            <v>20730.663690911751</v>
          </cell>
          <cell r="BL156">
            <v>20174.663690911751</v>
          </cell>
          <cell r="BM156">
            <v>19635.663690911751</v>
          </cell>
          <cell r="BN156">
            <v>19124.663690911751</v>
          </cell>
          <cell r="BO156">
            <v>18574.663690911751</v>
          </cell>
          <cell r="BP156">
            <v>18065.663690911751</v>
          </cell>
          <cell r="BQ156">
            <v>17589.275690911752</v>
          </cell>
          <cell r="BR156">
            <v>17071.510190911751</v>
          </cell>
          <cell r="BS156">
            <v>16530.15951591175</v>
          </cell>
          <cell r="BT156">
            <v>15975.443908411749</v>
          </cell>
          <cell r="BU156">
            <v>15440.10745303675</v>
          </cell>
        </row>
        <row r="157">
          <cell r="A157" t="str">
            <v xml:space="preserve"> average lines</v>
          </cell>
          <cell r="F157">
            <v>23577.5</v>
          </cell>
          <cell r="G157">
            <v>22999.5</v>
          </cell>
          <cell r="H157">
            <v>22317</v>
          </cell>
          <cell r="I157">
            <v>26423</v>
          </cell>
          <cell r="J157">
            <v>29242</v>
          </cell>
          <cell r="K157">
            <v>26020.5</v>
          </cell>
          <cell r="L157">
            <v>23149.831845455876</v>
          </cell>
          <cell r="M157">
            <v>20686.663690911751</v>
          </cell>
          <cell r="N157">
            <v>18762.469690911752</v>
          </cell>
          <cell r="O157">
            <v>17114.691571974254</v>
          </cell>
          <cell r="P157">
            <v>15624.210951939878</v>
          </cell>
          <cell r="Q157">
            <v>14282.30242491066</v>
          </cell>
          <cell r="Y157">
            <v>27909</v>
          </cell>
          <cell r="Z157">
            <v>27769</v>
          </cell>
          <cell r="AA157">
            <v>27273</v>
          </cell>
          <cell r="AB157">
            <v>26612</v>
          </cell>
          <cell r="AC157">
            <v>25971.5</v>
          </cell>
          <cell r="AD157">
            <v>25382.5</v>
          </cell>
          <cell r="AE157">
            <v>24885.5</v>
          </cell>
          <cell r="AF157">
            <v>24449.5</v>
          </cell>
          <cell r="AG157">
            <v>24103</v>
          </cell>
          <cell r="AH157">
            <v>23870.5</v>
          </cell>
          <cell r="AI157">
            <v>23595</v>
          </cell>
          <cell r="AJ157">
            <v>23338.5</v>
          </cell>
          <cell r="AK157">
            <v>23242.5</v>
          </cell>
          <cell r="AL157">
            <v>23214</v>
          </cell>
          <cell r="AM157">
            <v>23129</v>
          </cell>
          <cell r="AN157">
            <v>22979</v>
          </cell>
          <cell r="AO157">
            <v>22857.5</v>
          </cell>
          <cell r="AP157">
            <v>22711.5</v>
          </cell>
          <cell r="AQ157">
            <v>22470</v>
          </cell>
          <cell r="AR157">
            <v>22189</v>
          </cell>
          <cell r="AS157">
            <v>21954.5</v>
          </cell>
          <cell r="AT157">
            <v>27078</v>
          </cell>
          <cell r="AU157">
            <v>32219.5</v>
          </cell>
          <cell r="AV157">
            <v>31891</v>
          </cell>
          <cell r="AW157">
            <v>31331.5</v>
          </cell>
          <cell r="AX157">
            <v>30660.5</v>
          </cell>
          <cell r="AY157">
            <v>29832.5</v>
          </cell>
          <cell r="AZ157">
            <v>28839</v>
          </cell>
          <cell r="BA157">
            <v>27904</v>
          </cell>
          <cell r="BB157">
            <v>27129.5</v>
          </cell>
          <cell r="BC157">
            <v>26394</v>
          </cell>
          <cell r="BD157">
            <v>25606.5</v>
          </cell>
          <cell r="BE157">
            <v>24883.5</v>
          </cell>
          <cell r="BF157">
            <v>24247.920569296064</v>
          </cell>
          <cell r="BG157">
            <v>23550.56538123811</v>
          </cell>
          <cell r="BH157">
            <v>22775.476657397921</v>
          </cell>
          <cell r="BI157">
            <v>22060.663690911751</v>
          </cell>
          <cell r="BJ157">
            <v>21490.663690911751</v>
          </cell>
          <cell r="BK157">
            <v>20987.163690911751</v>
          </cell>
          <cell r="BL157">
            <v>20452.663690911751</v>
          </cell>
          <cell r="BM157">
            <v>19905.163690911751</v>
          </cell>
          <cell r="BN157">
            <v>19380.163690911751</v>
          </cell>
          <cell r="BO157">
            <v>18849.663690911751</v>
          </cell>
          <cell r="BP157">
            <v>18320.163690911751</v>
          </cell>
          <cell r="BQ157">
            <v>17827.469690911752</v>
          </cell>
          <cell r="BR157">
            <v>17330.392940911752</v>
          </cell>
          <cell r="BS157">
            <v>16800.83485341175</v>
          </cell>
          <cell r="BT157">
            <v>16252.801712161749</v>
          </cell>
          <cell r="BU157">
            <v>15707.775680724249</v>
          </cell>
        </row>
        <row r="158">
          <cell r="A158" t="str">
            <v>ARPU: Basic local primary APRU (assumed)</v>
          </cell>
          <cell r="AH158">
            <v>32.6</v>
          </cell>
          <cell r="AI158">
            <v>32.6</v>
          </cell>
          <cell r="AJ158">
            <v>32.700000000000003</v>
          </cell>
          <cell r="AK158">
            <v>32.700000000000003</v>
          </cell>
          <cell r="AL158">
            <v>32.75</v>
          </cell>
          <cell r="AM158">
            <v>32.75</v>
          </cell>
          <cell r="AN158">
            <v>32.799999999999997</v>
          </cell>
          <cell r="AO158">
            <v>32.799999999999997</v>
          </cell>
          <cell r="AP158">
            <v>32.799999999999997</v>
          </cell>
          <cell r="AQ158">
            <v>32.79</v>
          </cell>
          <cell r="AR158">
            <v>32.770000000000003</v>
          </cell>
          <cell r="AS158">
            <v>32.76</v>
          </cell>
          <cell r="AT158">
            <v>32.76</v>
          </cell>
          <cell r="AU158">
            <v>32.76</v>
          </cell>
          <cell r="AV158">
            <v>32.76</v>
          </cell>
          <cell r="AW158">
            <v>32.76</v>
          </cell>
          <cell r="AX158">
            <v>32.76</v>
          </cell>
          <cell r="AY158">
            <v>32.76</v>
          </cell>
          <cell r="AZ158">
            <v>32.76</v>
          </cell>
          <cell r="BA158">
            <v>32.76</v>
          </cell>
          <cell r="BB158">
            <v>32.76</v>
          </cell>
          <cell r="BC158">
            <v>32.76</v>
          </cell>
          <cell r="BD158">
            <v>32.76</v>
          </cell>
          <cell r="BE158">
            <v>32.76</v>
          </cell>
          <cell r="BF158">
            <v>32.76</v>
          </cell>
          <cell r="BG158">
            <v>32.76</v>
          </cell>
          <cell r="BH158">
            <v>32.76</v>
          </cell>
          <cell r="BI158">
            <v>32.76</v>
          </cell>
          <cell r="BJ158">
            <v>32.76</v>
          </cell>
          <cell r="BK158">
            <v>32.76</v>
          </cell>
          <cell r="BL158">
            <v>32.76</v>
          </cell>
          <cell r="BM158">
            <v>32.76</v>
          </cell>
          <cell r="BN158">
            <v>32.76</v>
          </cell>
          <cell r="BO158">
            <v>32.76</v>
          </cell>
          <cell r="BP158">
            <v>32.76</v>
          </cell>
          <cell r="BQ158">
            <v>32.76</v>
          </cell>
          <cell r="BR158">
            <v>32.76</v>
          </cell>
          <cell r="BS158">
            <v>32.76</v>
          </cell>
          <cell r="BT158">
            <v>32.76</v>
          </cell>
          <cell r="BU158">
            <v>32.76</v>
          </cell>
        </row>
        <row r="159">
          <cell r="A159" t="str">
            <v xml:space="preserve"> % y/y growth</v>
          </cell>
          <cell r="AL159">
            <v>4.6012269938648931E-3</v>
          </cell>
          <cell r="AM159">
            <v>4.6012269938648931E-3</v>
          </cell>
          <cell r="AN159">
            <v>3.0581039755350758E-3</v>
          </cell>
          <cell r="AO159">
            <v>3.0581039755350758E-3</v>
          </cell>
          <cell r="AP159">
            <v>1.5267175572517555E-3</v>
          </cell>
          <cell r="AQ159">
            <v>1.221374045801582E-3</v>
          </cell>
          <cell r="AR159">
            <v>-9.1463414634129769E-4</v>
          </cell>
          <cell r="AS159">
            <v>-1.2195121951219523E-3</v>
          </cell>
          <cell r="AT159">
            <v>-1.2195121951219523E-3</v>
          </cell>
          <cell r="AU159">
            <v>-9.1491308325708509E-4</v>
          </cell>
          <cell r="AV159">
            <v>-3.0515715593548709E-4</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row>
        <row r="160">
          <cell r="A160" t="str">
            <v>Revenue: Primary residential local svs. revenue</v>
          </cell>
          <cell r="AH160">
            <v>2334.5349000000001</v>
          </cell>
          <cell r="AI160">
            <v>2307.5910000000003</v>
          </cell>
          <cell r="AJ160">
            <v>2289.5068500000002</v>
          </cell>
          <cell r="AK160">
            <v>2280.08925</v>
          </cell>
          <cell r="AL160">
            <v>2280.7754999999997</v>
          </cell>
          <cell r="AM160">
            <v>2272.42425</v>
          </cell>
          <cell r="AN160">
            <v>2261.1335999999997</v>
          </cell>
          <cell r="AO160">
            <v>2249.1779999999999</v>
          </cell>
          <cell r="AP160">
            <v>2234.8116</v>
          </cell>
          <cell r="AQ160">
            <v>2210.3739</v>
          </cell>
          <cell r="AR160">
            <v>2181.4005900000002</v>
          </cell>
          <cell r="AS160">
            <v>2157.6882599999999</v>
          </cell>
          <cell r="AT160">
            <v>2661.2258400000001</v>
          </cell>
          <cell r="AU160">
            <v>3166.5324599999999</v>
          </cell>
          <cell r="AV160">
            <v>3134.24748</v>
          </cell>
          <cell r="AW160">
            <v>3079.2598199999998</v>
          </cell>
          <cell r="AX160">
            <v>3013.31394</v>
          </cell>
          <cell r="AY160">
            <v>2931.9380999999998</v>
          </cell>
          <cell r="AZ160">
            <v>2834.2969199999998</v>
          </cell>
          <cell r="BA160">
            <v>2742.4051199999999</v>
          </cell>
          <cell r="BB160">
            <v>2666.2872600000001</v>
          </cell>
          <cell r="BC160">
            <v>2594.0023200000001</v>
          </cell>
          <cell r="BD160">
            <v>2516.60682</v>
          </cell>
          <cell r="BE160">
            <v>2445.5503800000001</v>
          </cell>
          <cell r="BF160">
            <v>2383.0856335504172</v>
          </cell>
          <cell r="BG160">
            <v>2314.5495656680814</v>
          </cell>
          <cell r="BH160">
            <v>2238.3738458890675</v>
          </cell>
          <cell r="BI160">
            <v>2168.1220275428072</v>
          </cell>
          <cell r="BJ160">
            <v>2112.1024275428072</v>
          </cell>
          <cell r="BK160">
            <v>2062.6184475428067</v>
          </cell>
          <cell r="BL160">
            <v>2010.0877875428071</v>
          </cell>
          <cell r="BM160">
            <v>1956.2794875428071</v>
          </cell>
          <cell r="BN160">
            <v>1904.6824875428069</v>
          </cell>
          <cell r="BO160">
            <v>1852.5449475428068</v>
          </cell>
          <cell r="BP160">
            <v>1800.505687542807</v>
          </cell>
          <cell r="BQ160">
            <v>1752.0837212228071</v>
          </cell>
          <cell r="BR160">
            <v>1703.2310182328067</v>
          </cell>
          <cell r="BS160">
            <v>1651.1860493933068</v>
          </cell>
          <cell r="BT160">
            <v>1597.3253522712566</v>
          </cell>
          <cell r="BU160">
            <v>1543.7601939015792</v>
          </cell>
        </row>
        <row r="162">
          <cell r="A162" t="str">
            <v>Residential 2nd Lines</v>
          </cell>
        </row>
        <row r="163">
          <cell r="A163" t="str">
            <v>Lines: Additional residential retail lines</v>
          </cell>
          <cell r="Y163">
            <v>6609</v>
          </cell>
          <cell r="Z163">
            <v>6500</v>
          </cell>
          <cell r="AA163">
            <v>6251</v>
          </cell>
          <cell r="AB163">
            <v>5990</v>
          </cell>
          <cell r="AC163">
            <v>5723</v>
          </cell>
          <cell r="AD163">
            <v>5482</v>
          </cell>
          <cell r="AE163">
            <v>5248</v>
          </cell>
          <cell r="AF163">
            <v>5009</v>
          </cell>
          <cell r="AG163">
            <v>4894</v>
          </cell>
          <cell r="AH163">
            <v>4745</v>
          </cell>
          <cell r="AI163">
            <v>4581</v>
          </cell>
          <cell r="AJ163">
            <v>4441</v>
          </cell>
          <cell r="AK163">
            <v>4322</v>
          </cell>
          <cell r="AL163">
            <v>4218</v>
          </cell>
          <cell r="AM163">
            <v>4108</v>
          </cell>
          <cell r="AN163">
            <v>3989</v>
          </cell>
          <cell r="AO163">
            <v>3890</v>
          </cell>
          <cell r="AP163">
            <v>3786</v>
          </cell>
          <cell r="AQ163">
            <v>3680</v>
          </cell>
          <cell r="AR163">
            <v>3571</v>
          </cell>
          <cell r="AS163">
            <v>3466</v>
          </cell>
          <cell r="AT163">
            <v>4345</v>
          </cell>
          <cell r="AU163">
            <v>4232</v>
          </cell>
          <cell r="AV163">
            <v>4112</v>
          </cell>
          <cell r="AW163">
            <v>4004</v>
          </cell>
          <cell r="AX163">
            <v>3866</v>
          </cell>
          <cell r="AY163">
            <v>3703</v>
          </cell>
          <cell r="AZ163">
            <v>3526</v>
          </cell>
          <cell r="BA163">
            <v>3359</v>
          </cell>
          <cell r="BB163">
            <v>3189</v>
          </cell>
          <cell r="BC163">
            <v>3040</v>
          </cell>
          <cell r="BD163">
            <v>2893</v>
          </cell>
          <cell r="BE163">
            <v>2770</v>
          </cell>
          <cell r="BF163">
            <v>2699.1588614078737</v>
          </cell>
          <cell r="BG163">
            <v>2612.7103761159083</v>
          </cell>
          <cell r="BH163">
            <v>2524.3363090882481</v>
          </cell>
          <cell r="BI163">
            <v>2457.3363090882485</v>
          </cell>
          <cell r="BJ163">
            <v>2235.3363090882485</v>
          </cell>
          <cell r="BK163">
            <v>2004.3363090882485</v>
          </cell>
          <cell r="BL163">
            <v>1766.3363090882485</v>
          </cell>
          <cell r="BM163">
            <v>1596.3363090882485</v>
          </cell>
          <cell r="BN163">
            <v>1412.3363090882485</v>
          </cell>
          <cell r="BO163">
            <v>1293.3363090882485</v>
          </cell>
          <cell r="BP163">
            <v>1156.3363090882485</v>
          </cell>
          <cell r="BQ163">
            <v>1007.7243090882475</v>
          </cell>
          <cell r="BR163">
            <v>950.48980908824888</v>
          </cell>
          <cell r="BS163">
            <v>971.84048408825038</v>
          </cell>
          <cell r="BT163">
            <v>1056.5560915882506</v>
          </cell>
          <cell r="BU163">
            <v>1176.8925469632504</v>
          </cell>
        </row>
        <row r="164">
          <cell r="A164" t="str">
            <v xml:space="preserve"> average lines</v>
          </cell>
          <cell r="Y164">
            <v>6609</v>
          </cell>
          <cell r="Z164">
            <v>6554.5</v>
          </cell>
          <cell r="AA164">
            <v>6375.5</v>
          </cell>
          <cell r="AB164">
            <v>6120.5</v>
          </cell>
          <cell r="AC164">
            <v>5856.5</v>
          </cell>
          <cell r="AD164">
            <v>5602.5</v>
          </cell>
          <cell r="AE164">
            <v>5365</v>
          </cell>
          <cell r="AF164">
            <v>5128.5</v>
          </cell>
          <cell r="AG164">
            <v>4951.5</v>
          </cell>
          <cell r="AH164">
            <v>4819.5</v>
          </cell>
          <cell r="AI164">
            <v>4663</v>
          </cell>
          <cell r="AJ164">
            <v>4511</v>
          </cell>
          <cell r="AK164">
            <v>4381.5</v>
          </cell>
          <cell r="AL164">
            <v>4270</v>
          </cell>
          <cell r="AM164">
            <v>4163</v>
          </cell>
          <cell r="AN164">
            <v>4048.5</v>
          </cell>
          <cell r="AO164">
            <v>3939.5</v>
          </cell>
          <cell r="AP164">
            <v>3838</v>
          </cell>
          <cell r="AQ164">
            <v>3733</v>
          </cell>
          <cell r="AR164">
            <v>3625.5</v>
          </cell>
          <cell r="AS164">
            <v>3518.5</v>
          </cell>
          <cell r="AT164">
            <v>3905.5</v>
          </cell>
          <cell r="AU164">
            <v>4288.5</v>
          </cell>
          <cell r="AV164">
            <v>4172</v>
          </cell>
          <cell r="AW164">
            <v>4058</v>
          </cell>
          <cell r="AX164">
            <v>3935</v>
          </cell>
          <cell r="AY164">
            <v>3784.5</v>
          </cell>
          <cell r="AZ164">
            <v>3614.5</v>
          </cell>
          <cell r="BA164">
            <v>3442.5</v>
          </cell>
          <cell r="BB164">
            <v>3274</v>
          </cell>
          <cell r="BC164">
            <v>3114.5</v>
          </cell>
          <cell r="BD164">
            <v>2966.5</v>
          </cell>
          <cell r="BE164">
            <v>2831.5</v>
          </cell>
          <cell r="BF164">
            <v>2734.5794307039369</v>
          </cell>
          <cell r="BG164">
            <v>2655.9346187618912</v>
          </cell>
          <cell r="BH164">
            <v>2568.5233426020782</v>
          </cell>
          <cell r="BI164">
            <v>2490.8363090882485</v>
          </cell>
          <cell r="BJ164">
            <v>2346.3363090882485</v>
          </cell>
          <cell r="BK164">
            <v>2119.8363090882485</v>
          </cell>
          <cell r="BL164">
            <v>1885.3363090882485</v>
          </cell>
          <cell r="BM164">
            <v>1681.3363090882485</v>
          </cell>
          <cell r="BN164">
            <v>1504.3363090882485</v>
          </cell>
          <cell r="BO164">
            <v>1352.8363090882485</v>
          </cell>
          <cell r="BP164">
            <v>1224.8363090882485</v>
          </cell>
          <cell r="BQ164">
            <v>1082.030309088248</v>
          </cell>
          <cell r="BR164">
            <v>979.10705908824821</v>
          </cell>
          <cell r="BS164">
            <v>961.16514658824963</v>
          </cell>
          <cell r="BT164">
            <v>1014.1982878382505</v>
          </cell>
          <cell r="BU164">
            <v>1116.7243192757505</v>
          </cell>
        </row>
        <row r="165">
          <cell r="A165" t="str">
            <v>ARPU: 2nd Line APRU (assumed)</v>
          </cell>
          <cell r="AH165">
            <v>7</v>
          </cell>
          <cell r="AI165">
            <v>7</v>
          </cell>
          <cell r="AJ165">
            <v>6.99</v>
          </cell>
          <cell r="AK165">
            <v>6.98</v>
          </cell>
          <cell r="AL165">
            <v>6.9700000000000006</v>
          </cell>
          <cell r="AM165">
            <v>6.9600000000000009</v>
          </cell>
          <cell r="AN165">
            <v>6.9500000000000011</v>
          </cell>
          <cell r="AO165">
            <v>6.9400000000000013</v>
          </cell>
          <cell r="AP165">
            <v>6.96</v>
          </cell>
          <cell r="AQ165">
            <v>6.95</v>
          </cell>
          <cell r="AR165">
            <v>6.97</v>
          </cell>
          <cell r="AS165">
            <v>6.99</v>
          </cell>
          <cell r="AT165">
            <v>6.99</v>
          </cell>
          <cell r="AU165">
            <v>6.99</v>
          </cell>
          <cell r="AV165">
            <v>6.99</v>
          </cell>
          <cell r="AW165">
            <v>6.99</v>
          </cell>
          <cell r="AX165">
            <v>6.99</v>
          </cell>
          <cell r="AY165">
            <v>6.99</v>
          </cell>
          <cell r="AZ165">
            <v>6.99</v>
          </cell>
          <cell r="BA165">
            <v>6.99</v>
          </cell>
          <cell r="BB165">
            <v>6.99</v>
          </cell>
          <cell r="BC165">
            <v>6.99</v>
          </cell>
          <cell r="BD165">
            <v>6.99</v>
          </cell>
          <cell r="BE165">
            <v>6.99</v>
          </cell>
          <cell r="BF165">
            <v>6.99</v>
          </cell>
          <cell r="BG165">
            <v>6.99</v>
          </cell>
          <cell r="BH165">
            <v>6.99</v>
          </cell>
          <cell r="BI165">
            <v>6.99</v>
          </cell>
          <cell r="BJ165">
            <v>6.99</v>
          </cell>
          <cell r="BK165">
            <v>6.99</v>
          </cell>
          <cell r="BL165">
            <v>6.99</v>
          </cell>
          <cell r="BM165">
            <v>6.99</v>
          </cell>
          <cell r="BN165">
            <v>6.99</v>
          </cell>
          <cell r="BO165">
            <v>6.99</v>
          </cell>
          <cell r="BP165">
            <v>6.99</v>
          </cell>
          <cell r="BQ165">
            <v>6.99</v>
          </cell>
          <cell r="BR165">
            <v>6.99</v>
          </cell>
          <cell r="BS165">
            <v>6.99</v>
          </cell>
          <cell r="BT165">
            <v>6.99</v>
          </cell>
          <cell r="BU165">
            <v>6.99</v>
          </cell>
        </row>
        <row r="166">
          <cell r="A166" t="str">
            <v xml:space="preserve"> % y/y growth</v>
          </cell>
          <cell r="AL166">
            <v>-4.2857142857142261E-3</v>
          </cell>
          <cell r="AM166">
            <v>-5.7142857142855608E-3</v>
          </cell>
          <cell r="AN166">
            <v>-5.7224606580829063E-3</v>
          </cell>
          <cell r="AO166">
            <v>-5.7306590257878431E-3</v>
          </cell>
          <cell r="AP166">
            <v>-1.4347202295553751E-3</v>
          </cell>
          <cell r="AQ166">
            <v>-1.4367816091954699E-3</v>
          </cell>
          <cell r="AR166">
            <v>2.8776978417264232E-3</v>
          </cell>
          <cell r="AS166">
            <v>7.2046109510084388E-3</v>
          </cell>
          <cell r="AT166">
            <v>4.3103448275862988E-3</v>
          </cell>
          <cell r="AU166">
            <v>5.7553956834532904E-3</v>
          </cell>
          <cell r="AV166">
            <v>2.8694404591105283E-3</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row>
        <row r="167">
          <cell r="A167" t="str">
            <v>Revenue: residential 2nd line svs. revenue</v>
          </cell>
          <cell r="AH167">
            <v>101.20949999999999</v>
          </cell>
          <cell r="AI167">
            <v>97.923000000000002</v>
          </cell>
          <cell r="AJ167">
            <v>94.595669999999998</v>
          </cell>
          <cell r="AK167">
            <v>91.748609999999999</v>
          </cell>
          <cell r="AL167">
            <v>89.285700000000006</v>
          </cell>
          <cell r="AM167">
            <v>86.923440000000014</v>
          </cell>
          <cell r="AN167">
            <v>84.411225000000002</v>
          </cell>
          <cell r="AO167">
            <v>82.020390000000006</v>
          </cell>
          <cell r="AP167">
            <v>80.137439999999998</v>
          </cell>
          <cell r="AQ167">
            <v>77.833050000000014</v>
          </cell>
          <cell r="AR167">
            <v>75.809205000000006</v>
          </cell>
          <cell r="AS167">
            <v>73.782944999999998</v>
          </cell>
          <cell r="AT167">
            <v>81.898334999999989</v>
          </cell>
          <cell r="AU167">
            <v>89.929845</v>
          </cell>
          <cell r="AV167">
            <v>87.486839999999987</v>
          </cell>
          <cell r="AW167">
            <v>85.096259999999987</v>
          </cell>
          <cell r="AX167">
            <v>82.516949999999994</v>
          </cell>
          <cell r="AY167">
            <v>79.360964999999993</v>
          </cell>
          <cell r="AZ167">
            <v>75.796064999999999</v>
          </cell>
          <cell r="BA167">
            <v>72.189224999999993</v>
          </cell>
          <cell r="BB167">
            <v>68.655779999999993</v>
          </cell>
          <cell r="BC167">
            <v>65.311064999999999</v>
          </cell>
          <cell r="BD167">
            <v>62.207504999999998</v>
          </cell>
          <cell r="BE167">
            <v>59.376554999999996</v>
          </cell>
          <cell r="BF167">
            <v>57.344130661861556</v>
          </cell>
          <cell r="BG167">
            <v>55.694948955436857</v>
          </cell>
          <cell r="BH167">
            <v>53.861934494365578</v>
          </cell>
          <cell r="BI167">
            <v>52.232837401580568</v>
          </cell>
          <cell r="BJ167">
            <v>49.202672401580564</v>
          </cell>
          <cell r="BK167">
            <v>44.452967401580572</v>
          </cell>
          <cell r="BL167">
            <v>39.535502401580565</v>
          </cell>
          <cell r="BM167">
            <v>35.257622401580569</v>
          </cell>
          <cell r="BN167">
            <v>31.545932401580568</v>
          </cell>
          <cell r="BO167">
            <v>28.368977401580569</v>
          </cell>
          <cell r="BP167">
            <v>25.68481740158057</v>
          </cell>
          <cell r="BQ167">
            <v>22.690175581580558</v>
          </cell>
          <cell r="BR167">
            <v>20.531875029080563</v>
          </cell>
          <cell r="BS167">
            <v>20.155633123955592</v>
          </cell>
          <cell r="BT167">
            <v>21.267738095968113</v>
          </cell>
          <cell r="BU167">
            <v>23.417708975212488</v>
          </cell>
        </row>
        <row r="170">
          <cell r="A170" t="str">
            <v>Broadband</v>
          </cell>
        </row>
        <row r="171">
          <cell r="A171" t="str">
            <v>Total DSL Subs</v>
          </cell>
          <cell r="E171">
            <v>3515.49</v>
          </cell>
          <cell r="F171">
            <v>5104.5</v>
          </cell>
          <cell r="G171">
            <v>6921.5</v>
          </cell>
          <cell r="H171">
            <v>8529.5</v>
          </cell>
          <cell r="I171">
            <v>13907</v>
          </cell>
          <cell r="J171">
            <v>13996</v>
          </cell>
          <cell r="K171">
            <v>13689</v>
          </cell>
          <cell r="L171">
            <v>13078</v>
          </cell>
          <cell r="M171">
            <v>11252</v>
          </cell>
          <cell r="N171">
            <v>8633</v>
          </cell>
          <cell r="O171">
            <v>5983</v>
          </cell>
          <cell r="P171">
            <v>3783</v>
          </cell>
          <cell r="Q171">
            <v>2033</v>
          </cell>
          <cell r="AG171">
            <v>3515.49</v>
          </cell>
          <cell r="AH171">
            <v>3962.5</v>
          </cell>
          <cell r="AI171">
            <v>4277.5</v>
          </cell>
          <cell r="AJ171">
            <v>4679.5</v>
          </cell>
          <cell r="AK171">
            <v>5104.5</v>
          </cell>
          <cell r="AL171">
            <v>5608.5</v>
          </cell>
          <cell r="AM171">
            <v>5968.5</v>
          </cell>
          <cell r="AN171">
            <v>6496.5</v>
          </cell>
          <cell r="AO171">
            <v>6921.5</v>
          </cell>
          <cell r="AP171">
            <v>7432.5</v>
          </cell>
          <cell r="AQ171">
            <v>7774.5</v>
          </cell>
          <cell r="AR171">
            <v>8148.5</v>
          </cell>
          <cell r="AS171">
            <v>8529.5</v>
          </cell>
          <cell r="AT171">
            <v>12842</v>
          </cell>
          <cell r="AU171">
            <v>13203</v>
          </cell>
          <cell r="AV171">
            <v>13621</v>
          </cell>
          <cell r="AW171">
            <v>13907</v>
          </cell>
          <cell r="AX171">
            <v>14245</v>
          </cell>
          <cell r="AY171">
            <v>14116</v>
          </cell>
          <cell r="AZ171">
            <v>14032</v>
          </cell>
          <cell r="BA171">
            <v>13996</v>
          </cell>
          <cell r="BB171">
            <v>14071</v>
          </cell>
          <cell r="BC171">
            <v>13935</v>
          </cell>
          <cell r="BD171">
            <v>13786</v>
          </cell>
          <cell r="BE171">
            <v>13689</v>
          </cell>
          <cell r="BF171">
            <v>13713</v>
          </cell>
          <cell r="BG171">
            <v>13366</v>
          </cell>
          <cell r="BH171">
            <v>13216</v>
          </cell>
          <cell r="BI171">
            <v>13078</v>
          </cell>
          <cell r="BJ171">
            <v>12840</v>
          </cell>
          <cell r="BK171">
            <v>12389</v>
          </cell>
          <cell r="BL171">
            <v>11888</v>
          </cell>
          <cell r="BM171">
            <v>11252</v>
          </cell>
          <cell r="BN171">
            <v>10637</v>
          </cell>
          <cell r="BO171">
            <v>9988</v>
          </cell>
          <cell r="BP171">
            <v>9333</v>
          </cell>
          <cell r="BQ171">
            <v>8633</v>
          </cell>
          <cell r="BR171">
            <v>7983</v>
          </cell>
          <cell r="BS171">
            <v>7383</v>
          </cell>
          <cell r="BT171">
            <v>6683</v>
          </cell>
          <cell r="BU171">
            <v>5983</v>
          </cell>
        </row>
        <row r="172">
          <cell r="A172" t="str">
            <v xml:space="preserve"> Consumer/Biz DSL split (assumed)</v>
          </cell>
          <cell r="E172">
            <v>0.81348074179743224</v>
          </cell>
          <cell r="F172">
            <v>0.81348074179743224</v>
          </cell>
          <cell r="G172">
            <v>0.83904060106920964</v>
          </cell>
          <cell r="H172">
            <v>0.85062727166139052</v>
          </cell>
          <cell r="I172">
            <v>0.84792088459741477</v>
          </cell>
          <cell r="J172">
            <v>0.84792088459741477</v>
          </cell>
          <cell r="K172">
            <v>0.84792088459741477</v>
          </cell>
          <cell r="L172">
            <v>0.84792088459741477</v>
          </cell>
          <cell r="M172">
            <v>0.84792088459741477</v>
          </cell>
          <cell r="N172">
            <v>0.84792088459741477</v>
          </cell>
          <cell r="O172">
            <v>0.84792088459741477</v>
          </cell>
          <cell r="P172">
            <v>0.84792088459741477</v>
          </cell>
          <cell r="Q172">
            <v>0.84792088459741477</v>
          </cell>
          <cell r="AG172">
            <v>0.81348074179743224</v>
          </cell>
          <cell r="AH172">
            <v>0.81348074179743224</v>
          </cell>
          <cell r="AI172">
            <v>0.81348074179743224</v>
          </cell>
          <cell r="AJ172">
            <v>0.81348074179743224</v>
          </cell>
          <cell r="AK172">
            <v>0.81348074179743224</v>
          </cell>
          <cell r="AL172">
            <v>0.81348074179743224</v>
          </cell>
          <cell r="AM172">
            <v>0.82238605898123329</v>
          </cell>
          <cell r="AN172">
            <v>0.83620689655172409</v>
          </cell>
          <cell r="AO172">
            <v>0.83904060106920964</v>
          </cell>
          <cell r="AP172">
            <v>0.84284176533907429</v>
          </cell>
          <cell r="AQ172">
            <v>0.84512477489066118</v>
          </cell>
          <cell r="AR172">
            <v>0.84756995581737848</v>
          </cell>
          <cell r="AS172">
            <v>0.85062727166139052</v>
          </cell>
          <cell r="AT172">
            <v>0.84792088459741477</v>
          </cell>
          <cell r="AU172">
            <v>0.84792088459741477</v>
          </cell>
          <cell r="AV172">
            <v>0.84792088459741477</v>
          </cell>
          <cell r="AW172">
            <v>0.84792088459741477</v>
          </cell>
          <cell r="AX172">
            <v>0.84792088459741477</v>
          </cell>
          <cell r="AY172">
            <v>0.84792088459741477</v>
          </cell>
          <cell r="AZ172">
            <v>0.84792088459741477</v>
          </cell>
          <cell r="BA172">
            <v>0.84792088459741477</v>
          </cell>
          <cell r="BB172">
            <v>0.84792088459741477</v>
          </cell>
          <cell r="BC172">
            <v>0.84792088459741477</v>
          </cell>
          <cell r="BD172">
            <v>0.84792088459741477</v>
          </cell>
          <cell r="BE172">
            <v>0.84792088459741477</v>
          </cell>
          <cell r="BF172">
            <v>0.84792088459741477</v>
          </cell>
          <cell r="BG172">
            <v>0.84792088459741477</v>
          </cell>
          <cell r="BH172">
            <v>0.84792088459741477</v>
          </cell>
          <cell r="BI172">
            <v>0.84792088459741477</v>
          </cell>
          <cell r="BJ172">
            <v>0.84792088459741477</v>
          </cell>
          <cell r="BK172">
            <v>0.84792088459741477</v>
          </cell>
          <cell r="BL172">
            <v>0.84792088459741477</v>
          </cell>
          <cell r="BM172">
            <v>0.84792088459741477</v>
          </cell>
          <cell r="BN172">
            <v>0.84792088459741477</v>
          </cell>
          <cell r="BO172">
            <v>0.84792088459741477</v>
          </cell>
          <cell r="BP172">
            <v>0.84792088459741477</v>
          </cell>
          <cell r="BQ172">
            <v>0.84792088459741477</v>
          </cell>
          <cell r="BR172">
            <v>0.84792088459741477</v>
          </cell>
          <cell r="BS172">
            <v>0.84792088459741477</v>
          </cell>
          <cell r="BT172">
            <v>0.84792088459741477</v>
          </cell>
          <cell r="BU172">
            <v>0.84792088459741477</v>
          </cell>
        </row>
        <row r="173">
          <cell r="A173" t="str">
            <v xml:space="preserve"> Implied consumer DSL subs</v>
          </cell>
          <cell r="E173">
            <v>2859.7834129814551</v>
          </cell>
          <cell r="F173">
            <v>4152.4124465049927</v>
          </cell>
          <cell r="G173">
            <v>5807.4195203005347</v>
          </cell>
          <cell r="H173">
            <v>7255.4253136358302</v>
          </cell>
          <cell r="I173">
            <v>11792.035742096246</v>
          </cell>
          <cell r="J173">
            <v>11867.500700825418</v>
          </cell>
          <cell r="K173">
            <v>11607.188989254011</v>
          </cell>
          <cell r="L173">
            <v>11089.109328764991</v>
          </cell>
          <cell r="M173">
            <v>9540.8057934901117</v>
          </cell>
          <cell r="N173">
            <v>7320.1009967294813</v>
          </cell>
          <cell r="O173">
            <v>5073.1106525463329</v>
          </cell>
          <cell r="P173">
            <v>3207.68470643202</v>
          </cell>
          <cell r="Q173">
            <v>1723.8231583865443</v>
          </cell>
          <cell r="AG173">
            <v>2859.7834129814551</v>
          </cell>
          <cell r="AH173">
            <v>3223.4174393723251</v>
          </cell>
          <cell r="AI173">
            <v>3479.6638730385166</v>
          </cell>
          <cell r="AJ173">
            <v>3806.6831312410841</v>
          </cell>
          <cell r="AK173">
            <v>4152.4124465049927</v>
          </cell>
          <cell r="AL173">
            <v>4562.4067403708987</v>
          </cell>
          <cell r="AM173">
            <v>4908.4111930294912</v>
          </cell>
          <cell r="AN173">
            <v>5432.4181034482754</v>
          </cell>
          <cell r="AO173">
            <v>5807.4195203005347</v>
          </cell>
          <cell r="AP173">
            <v>6264.4214208826697</v>
          </cell>
          <cell r="AQ173">
            <v>6570.4225623874454</v>
          </cell>
          <cell r="AR173">
            <v>6906.4237849779083</v>
          </cell>
          <cell r="AS173">
            <v>7255.4253136358302</v>
          </cell>
          <cell r="AT173">
            <v>10889</v>
          </cell>
          <cell r="AU173">
            <v>11195.099439339667</v>
          </cell>
          <cell r="AV173">
            <v>11549.530369101387</v>
          </cell>
          <cell r="AW173">
            <v>11792.035742096246</v>
          </cell>
          <cell r="AX173">
            <v>12078.633001090173</v>
          </cell>
          <cell r="AY173">
            <v>11969.251206977107</v>
          </cell>
          <cell r="AZ173">
            <v>11898.025852670924</v>
          </cell>
          <cell r="BA173">
            <v>11867.500700825418</v>
          </cell>
          <cell r="BB173">
            <v>11931.094767170223</v>
          </cell>
          <cell r="BC173">
            <v>11815.777526864975</v>
          </cell>
          <cell r="BD173">
            <v>11689.43731505996</v>
          </cell>
          <cell r="BE173">
            <v>11607.188989254011</v>
          </cell>
          <cell r="BF173">
            <v>11627.539090484348</v>
          </cell>
          <cell r="BG173">
            <v>11333.310543529045</v>
          </cell>
          <cell r="BH173">
            <v>11206.122410839434</v>
          </cell>
          <cell r="BI173">
            <v>11089.109328764991</v>
          </cell>
          <cell r="BJ173">
            <v>10887.304158230805</v>
          </cell>
          <cell r="BK173">
            <v>10504.891839277372</v>
          </cell>
          <cell r="BL173">
            <v>10080.083476094067</v>
          </cell>
          <cell r="BM173">
            <v>9540.8057934901117</v>
          </cell>
          <cell r="BN173">
            <v>9019.3344494627017</v>
          </cell>
          <cell r="BO173">
            <v>8469.0337953589788</v>
          </cell>
          <cell r="BP173">
            <v>7913.645615947672</v>
          </cell>
          <cell r="BQ173">
            <v>7320.1009967294813</v>
          </cell>
          <cell r="BR173">
            <v>6768.9524217411617</v>
          </cell>
          <cell r="BS173">
            <v>6260.1998909827134</v>
          </cell>
          <cell r="BT173">
            <v>5666.6552717645227</v>
          </cell>
          <cell r="BU173">
            <v>5073.1106525463329</v>
          </cell>
        </row>
        <row r="174">
          <cell r="A174" t="str">
            <v xml:space="preserve"> Avg. consumer DSL subs</v>
          </cell>
          <cell r="F174">
            <v>3506.0979297432241</v>
          </cell>
          <cell r="G174">
            <v>4979.9159834027632</v>
          </cell>
          <cell r="H174">
            <v>6531.422416968182</v>
          </cell>
          <cell r="I174">
            <v>9523.7305278660388</v>
          </cell>
          <cell r="J174">
            <v>11829.768221460832</v>
          </cell>
          <cell r="K174">
            <v>11737.344845039715</v>
          </cell>
          <cell r="L174">
            <v>11348.149159009501</v>
          </cell>
          <cell r="M174">
            <v>10314.95756112755</v>
          </cell>
          <cell r="N174">
            <v>8430.4533951097965</v>
          </cell>
          <cell r="O174">
            <v>6196.6058246379071</v>
          </cell>
          <cell r="P174">
            <v>4140.3976794891769</v>
          </cell>
          <cell r="Q174">
            <v>2465.7539324092822</v>
          </cell>
          <cell r="AH174">
            <v>3041.6004261768903</v>
          </cell>
          <cell r="AI174">
            <v>3351.5406562054209</v>
          </cell>
          <cell r="AJ174">
            <v>3643.1735021398003</v>
          </cell>
          <cell r="AK174">
            <v>3979.5477888730384</v>
          </cell>
          <cell r="AL174">
            <v>4357.4095934379457</v>
          </cell>
          <cell r="AM174">
            <v>4735.4089667001954</v>
          </cell>
          <cell r="AN174">
            <v>5170.4146482388833</v>
          </cell>
          <cell r="AO174">
            <v>5619.918811874405</v>
          </cell>
          <cell r="AP174">
            <v>6035.9204705916018</v>
          </cell>
          <cell r="AQ174">
            <v>6417.4219916350576</v>
          </cell>
          <cell r="AR174">
            <v>6738.4231736826769</v>
          </cell>
          <cell r="AS174">
            <v>7080.9245493068693</v>
          </cell>
          <cell r="AT174">
            <v>9072.2126568179156</v>
          </cell>
          <cell r="AU174">
            <v>11042.049719669834</v>
          </cell>
          <cell r="AV174">
            <v>11372.314904220526</v>
          </cell>
          <cell r="AW174">
            <v>11670.783055598817</v>
          </cell>
          <cell r="AX174">
            <v>11935.33437159321</v>
          </cell>
          <cell r="AY174">
            <v>12023.94210403364</v>
          </cell>
          <cell r="AZ174">
            <v>11933.638529824017</v>
          </cell>
          <cell r="BA174">
            <v>11882.76327674817</v>
          </cell>
          <cell r="BB174">
            <v>11899.297733997821</v>
          </cell>
          <cell r="BC174">
            <v>11873.436147017599</v>
          </cell>
          <cell r="BD174">
            <v>11752.607420962468</v>
          </cell>
          <cell r="BE174">
            <v>11648.313152156985</v>
          </cell>
          <cell r="BF174">
            <v>11617.364039869179</v>
          </cell>
          <cell r="BG174">
            <v>11480.424817006697</v>
          </cell>
          <cell r="BH174">
            <v>11269.71647718424</v>
          </cell>
          <cell r="BI174">
            <v>11147.615869802212</v>
          </cell>
          <cell r="BJ174">
            <v>10988.206743497898</v>
          </cell>
          <cell r="BK174">
            <v>10696.097998754089</v>
          </cell>
          <cell r="BL174">
            <v>10292.48765768572</v>
          </cell>
          <cell r="BM174">
            <v>9810.4446347920893</v>
          </cell>
          <cell r="BN174">
            <v>9280.0701214764067</v>
          </cell>
          <cell r="BO174">
            <v>8744.1841224108393</v>
          </cell>
          <cell r="BP174">
            <v>8191.3397056533249</v>
          </cell>
          <cell r="BQ174">
            <v>7616.8733063385771</v>
          </cell>
          <cell r="BR174">
            <v>7044.5267092353215</v>
          </cell>
          <cell r="BS174">
            <v>6514.576156361938</v>
          </cell>
          <cell r="BT174">
            <v>5963.4275813736185</v>
          </cell>
          <cell r="BU174">
            <v>5369.8829621554278</v>
          </cell>
        </row>
        <row r="175">
          <cell r="A175" t="str">
            <v xml:space="preserve"> DSL ARPU (assumed)</v>
          </cell>
          <cell r="F175">
            <v>36.758812002682134</v>
          </cell>
          <cell r="G175">
            <v>34.958843724413327</v>
          </cell>
          <cell r="H175">
            <v>32.901202270204884</v>
          </cell>
          <cell r="I175">
            <v>37.528325952615553</v>
          </cell>
          <cell r="J175">
            <v>34.98356897107837</v>
          </cell>
          <cell r="K175">
            <v>35.167193426042985</v>
          </cell>
          <cell r="L175">
            <v>35.0944726715732</v>
          </cell>
          <cell r="M175">
            <v>35.447390053431981</v>
          </cell>
          <cell r="N175">
            <v>33.947390053431981</v>
          </cell>
          <cell r="O175">
            <v>32.447390053431981</v>
          </cell>
          <cell r="P175">
            <v>30.947390053431981</v>
          </cell>
          <cell r="Q175">
            <v>29.447390053431981</v>
          </cell>
          <cell r="AE175">
            <v>40</v>
          </cell>
          <cell r="AF175">
            <v>40</v>
          </cell>
          <cell r="AG175">
            <v>39.25</v>
          </cell>
          <cell r="AH175">
            <v>38.25</v>
          </cell>
          <cell r="AI175">
            <v>37.25</v>
          </cell>
          <cell r="AJ175">
            <v>36.25</v>
          </cell>
          <cell r="AK175">
            <v>35.75</v>
          </cell>
          <cell r="AL175">
            <v>35.75</v>
          </cell>
          <cell r="AM175">
            <v>35</v>
          </cell>
          <cell r="AN175">
            <v>35</v>
          </cell>
          <cell r="AO175">
            <v>34.5</v>
          </cell>
          <cell r="AP175">
            <v>33.5</v>
          </cell>
          <cell r="AQ175">
            <v>33</v>
          </cell>
          <cell r="AR175">
            <v>32.5</v>
          </cell>
          <cell r="AS175">
            <v>32</v>
          </cell>
          <cell r="AT175">
            <v>32.35</v>
          </cell>
          <cell r="AU175">
            <v>32.869999999999997</v>
          </cell>
          <cell r="AV175">
            <v>33.200000000000003</v>
          </cell>
          <cell r="AW175">
            <v>33.9</v>
          </cell>
          <cell r="AX175">
            <v>34.199999999999996</v>
          </cell>
          <cell r="AY175">
            <v>34.499999999999993</v>
          </cell>
          <cell r="AZ175">
            <v>34.79999999999999</v>
          </cell>
          <cell r="BA175">
            <v>35.099999999999987</v>
          </cell>
          <cell r="BB175">
            <v>35</v>
          </cell>
          <cell r="BC175">
            <v>35</v>
          </cell>
          <cell r="BD175">
            <v>35</v>
          </cell>
          <cell r="BE175">
            <v>35</v>
          </cell>
          <cell r="BF175">
            <v>35</v>
          </cell>
          <cell r="BG175">
            <v>35</v>
          </cell>
          <cell r="BH175">
            <v>35</v>
          </cell>
          <cell r="BI175">
            <v>35</v>
          </cell>
          <cell r="BJ175">
            <v>35</v>
          </cell>
          <cell r="BK175">
            <v>35</v>
          </cell>
          <cell r="BL175">
            <v>35</v>
          </cell>
          <cell r="BM175">
            <v>35</v>
          </cell>
          <cell r="BN175">
            <v>35</v>
          </cell>
          <cell r="BO175">
            <v>35</v>
          </cell>
          <cell r="BP175">
            <v>35</v>
          </cell>
          <cell r="BQ175">
            <v>35</v>
          </cell>
          <cell r="BR175">
            <v>35</v>
          </cell>
          <cell r="BS175">
            <v>35</v>
          </cell>
          <cell r="BT175">
            <v>35</v>
          </cell>
          <cell r="BU175">
            <v>35</v>
          </cell>
        </row>
        <row r="176">
          <cell r="A176" t="str">
            <v>DSL Revenue (calculated)</v>
          </cell>
          <cell r="F176">
            <v>1546.5599359490907</v>
          </cell>
          <cell r="G176">
            <v>2089.1052554938237</v>
          </cell>
          <cell r="H176">
            <v>2578.6998006338472</v>
          </cell>
          <cell r="I176">
            <v>4288.9159624155855</v>
          </cell>
          <cell r="J176">
            <v>4966.1701498481534</v>
          </cell>
          <cell r="K176">
            <v>4953.233717684162</v>
          </cell>
          <cell r="L176">
            <v>4779.0877264055443</v>
          </cell>
          <cell r="M176">
            <v>4387.659888646629</v>
          </cell>
          <cell r="N176">
            <v>3434.3026767728666</v>
          </cell>
          <cell r="O176">
            <v>2412.7642343927369</v>
          </cell>
          <cell r="P176">
            <v>1537.6140235617147</v>
          </cell>
          <cell r="Q176">
            <v>871.32021388127873</v>
          </cell>
          <cell r="AH176">
            <v>349.02364890379818</v>
          </cell>
          <cell r="AI176">
            <v>374.53466833095581</v>
          </cell>
          <cell r="AJ176">
            <v>396.19511835770328</v>
          </cell>
          <cell r="AK176">
            <v>426.80650035663336</v>
          </cell>
          <cell r="AL176">
            <v>467.33217889621966</v>
          </cell>
          <cell r="AM176">
            <v>497.21794150352048</v>
          </cell>
          <cell r="AN176">
            <v>542.89353806508268</v>
          </cell>
          <cell r="AO176">
            <v>581.66159702900097</v>
          </cell>
          <cell r="AP176">
            <v>606.61000729445595</v>
          </cell>
          <cell r="AQ176">
            <v>635.32477717187066</v>
          </cell>
          <cell r="AR176">
            <v>656.99625943406102</v>
          </cell>
          <cell r="AS176">
            <v>679.76875673345944</v>
          </cell>
          <cell r="AT176">
            <v>880.45823834417888</v>
          </cell>
          <cell r="AU176">
            <v>1088.8565228566422</v>
          </cell>
          <cell r="AV176">
            <v>1132.6825644603643</v>
          </cell>
          <cell r="AW176">
            <v>1186.9186367543996</v>
          </cell>
          <cell r="AX176">
            <v>1224.5653065254633</v>
          </cell>
          <cell r="AY176">
            <v>1244.4780077674814</v>
          </cell>
          <cell r="AZ176">
            <v>1245.8718625136271</v>
          </cell>
          <cell r="BA176">
            <v>1251.2549730415817</v>
          </cell>
          <cell r="BB176">
            <v>1249.4262620697712</v>
          </cell>
          <cell r="BC176">
            <v>1246.710795436848</v>
          </cell>
          <cell r="BD176">
            <v>1234.0237792010591</v>
          </cell>
          <cell r="BE176">
            <v>1223.0728809764835</v>
          </cell>
          <cell r="BF176">
            <v>1219.8232241862638</v>
          </cell>
          <cell r="BG176">
            <v>1205.4446057857031</v>
          </cell>
          <cell r="BH176">
            <v>1183.3202301043452</v>
          </cell>
          <cell r="BI176">
            <v>1170.4996663292322</v>
          </cell>
          <cell r="BJ176">
            <v>1153.7617080672792</v>
          </cell>
          <cell r="BK176">
            <v>1123.0902898691793</v>
          </cell>
          <cell r="BL176">
            <v>1080.7112040570007</v>
          </cell>
          <cell r="BM176">
            <v>1030.0966866531694</v>
          </cell>
          <cell r="BN176">
            <v>974.40736275502263</v>
          </cell>
          <cell r="BO176">
            <v>918.13933285313817</v>
          </cell>
          <cell r="BP176">
            <v>860.0906690935991</v>
          </cell>
          <cell r="BQ176">
            <v>799.77169716555056</v>
          </cell>
          <cell r="BR176">
            <v>739.67530446970875</v>
          </cell>
          <cell r="BS176">
            <v>684.03049641800351</v>
          </cell>
          <cell r="BT176">
            <v>626.15989604422998</v>
          </cell>
          <cell r="BU176">
            <v>563.83771102631988</v>
          </cell>
        </row>
        <row r="178">
          <cell r="A178" t="str">
            <v>U-verse consumer data revenue</v>
          </cell>
          <cell r="H178" t="e">
            <v>#REF!</v>
          </cell>
          <cell r="I178">
            <v>31.186530135492916</v>
          </cell>
          <cell r="J178">
            <v>238.80843793801591</v>
          </cell>
          <cell r="K178">
            <v>638.63705186108086</v>
          </cell>
          <cell r="L178">
            <v>1181.6667843793803</v>
          </cell>
          <cell r="M178">
            <v>1875.0074521102633</v>
          </cell>
          <cell r="N178">
            <v>2942.5506144136434</v>
          </cell>
          <cell r="O178">
            <v>4089.8034280268776</v>
          </cell>
          <cell r="P178">
            <v>5096.8060083752325</v>
          </cell>
          <cell r="Q178">
            <v>5985.2737291333096</v>
          </cell>
          <cell r="AO178">
            <v>5922.589900165166</v>
          </cell>
          <cell r="AP178">
            <v>0</v>
          </cell>
          <cell r="AQ178" t="e">
            <v>#REF!</v>
          </cell>
          <cell r="AR178">
            <v>0</v>
          </cell>
          <cell r="AS178">
            <v>0</v>
          </cell>
          <cell r="AT178">
            <v>0.86487930228936305</v>
          </cell>
          <cell r="AU178">
            <v>3.2051409437782277</v>
          </cell>
          <cell r="AV178">
            <v>8.9540445413487006</v>
          </cell>
          <cell r="AW178">
            <v>18.162465348076626</v>
          </cell>
          <cell r="AX178">
            <v>31.033904376265383</v>
          </cell>
          <cell r="AY178">
            <v>47.212234854384057</v>
          </cell>
          <cell r="AZ178">
            <v>67.664086590873694</v>
          </cell>
          <cell r="BA178">
            <v>92.898212116492758</v>
          </cell>
          <cell r="BB178">
            <v>120.77785080205575</v>
          </cell>
          <cell r="BC178">
            <v>147.84348543840525</v>
          </cell>
          <cell r="BD178">
            <v>172.6197336863417</v>
          </cell>
          <cell r="BE178">
            <v>197.39598193427815</v>
          </cell>
          <cell r="BF178">
            <v>249.48588167730887</v>
          </cell>
          <cell r="BG178">
            <v>277.30192629652703</v>
          </cell>
          <cell r="BH178">
            <v>308.95269311633706</v>
          </cell>
          <cell r="BI178">
            <v>345.92628328920733</v>
          </cell>
          <cell r="BJ178">
            <v>389.53909398847532</v>
          </cell>
          <cell r="BK178">
            <v>438.36025872138293</v>
          </cell>
          <cell r="BL178">
            <v>492.33254282821991</v>
          </cell>
          <cell r="BM178">
            <v>554.77555657218511</v>
          </cell>
          <cell r="BN178">
            <v>629.4667874941598</v>
          </cell>
          <cell r="BO178">
            <v>702.21203998598355</v>
          </cell>
          <cell r="BP178">
            <v>768.94765320822296</v>
          </cell>
          <cell r="BQ178">
            <v>841.92413372527642</v>
          </cell>
          <cell r="BR178">
            <v>925.98851825155748</v>
          </cell>
          <cell r="BS178">
            <v>993.32300461863611</v>
          </cell>
          <cell r="BT178">
            <v>1053.6510647015732</v>
          </cell>
          <cell r="BU178">
            <v>1116.8408404551105</v>
          </cell>
        </row>
        <row r="179">
          <cell r="A179" t="str">
            <v xml:space="preserve"> % y/y growth</v>
          </cell>
          <cell r="J179">
            <v>6.6574225122349109</v>
          </cell>
          <cell r="K179">
            <v>1.6742650191734127</v>
          </cell>
          <cell r="L179">
            <v>0.85029475025890222</v>
          </cell>
          <cell r="M179">
            <v>0.58674803836094158</v>
          </cell>
          <cell r="N179">
            <v>0.56935409035409057</v>
          </cell>
          <cell r="O179">
            <v>0.3898837994471831</v>
          </cell>
          <cell r="P179">
            <v>0.24622273370096481</v>
          </cell>
          <cell r="Q179">
            <v>0.17431852797577907</v>
          </cell>
        </row>
        <row r="180">
          <cell r="A180" t="str">
            <v>U-verse consumer video revenue</v>
          </cell>
          <cell r="H180" t="e">
            <v>#REF!</v>
          </cell>
          <cell r="I180">
            <v>54.66545942999533</v>
          </cell>
          <cell r="J180">
            <v>431.36775789386388</v>
          </cell>
          <cell r="K180">
            <v>1209.6801646424824</v>
          </cell>
          <cell r="L180">
            <v>2048.8481918704251</v>
          </cell>
          <cell r="M180">
            <v>2764.3577511291078</v>
          </cell>
          <cell r="N180">
            <v>3386.7757723096092</v>
          </cell>
          <cell r="O180">
            <v>3983.4123657587452</v>
          </cell>
          <cell r="P180">
            <v>4635.0294099240409</v>
          </cell>
          <cell r="Q180">
            <v>5329.3034345745091</v>
          </cell>
          <cell r="AO180">
            <v>5273.4895887705707</v>
          </cell>
          <cell r="AP180">
            <v>0</v>
          </cell>
          <cell r="AQ180" t="e">
            <v>#REF!</v>
          </cell>
          <cell r="AR180">
            <v>0.17798969072164947</v>
          </cell>
          <cell r="AS180">
            <v>0.35726345409778398</v>
          </cell>
          <cell r="AT180">
            <v>1.4245070861236568</v>
          </cell>
          <cell r="AU180">
            <v>5.6980283444946274</v>
          </cell>
          <cell r="AV180">
            <v>15.758609640242954</v>
          </cell>
          <cell r="AW180">
            <v>31.784314359134093</v>
          </cell>
          <cell r="AX180">
            <v>54.309332658464413</v>
          </cell>
          <cell r="AY180">
            <v>82.621410995172099</v>
          </cell>
          <cell r="AZ180">
            <v>121.96451608004983</v>
          </cell>
          <cell r="BA180">
            <v>172.47249816017757</v>
          </cell>
          <cell r="BB180">
            <v>228.71780111988321</v>
          </cell>
          <cell r="BC180">
            <v>279.97216935736333</v>
          </cell>
          <cell r="BD180">
            <v>326.98745450753307</v>
          </cell>
          <cell r="BE180">
            <v>374.00273965770282</v>
          </cell>
          <cell r="BF180">
            <v>443.73395732751914</v>
          </cell>
          <cell r="BG180">
            <v>488.50418003426262</v>
          </cell>
          <cell r="BH180">
            <v>533.78315527176449</v>
          </cell>
          <cell r="BI180">
            <v>582.82689923687906</v>
          </cell>
          <cell r="BJ180">
            <v>630.03913409126301</v>
          </cell>
          <cell r="BK180">
            <v>672.77434667497278</v>
          </cell>
          <cell r="BL180">
            <v>711.23603800031151</v>
          </cell>
          <cell r="BM180">
            <v>750.30823236256037</v>
          </cell>
          <cell r="BN180">
            <v>791.82243887244988</v>
          </cell>
          <cell r="BO180">
            <v>827.94386855629978</v>
          </cell>
          <cell r="BP180">
            <v>863.86179722784618</v>
          </cell>
          <cell r="BQ180">
            <v>903.14766765301363</v>
          </cell>
          <cell r="BR180">
            <v>942.00038617349333</v>
          </cell>
          <cell r="BS180">
            <v>978.47026555318484</v>
          </cell>
          <cell r="BT180">
            <v>1012.8209492391917</v>
          </cell>
          <cell r="BU180">
            <v>1050.1207647928752</v>
          </cell>
        </row>
        <row r="181">
          <cell r="A181" t="str">
            <v xml:space="preserve"> % y/y growth</v>
          </cell>
          <cell r="I181" t="e">
            <v>#REF!</v>
          </cell>
          <cell r="J181">
            <v>6.8910478827361556</v>
          </cell>
          <cell r="K181">
            <v>1.8042897098955617</v>
          </cell>
          <cell r="L181">
            <v>0.69371066150857863</v>
          </cell>
          <cell r="M181">
            <v>0.34922526817640054</v>
          </cell>
          <cell r="N181">
            <v>0.22515827444051828</v>
          </cell>
          <cell r="O181">
            <v>0.17616654705258505</v>
          </cell>
          <cell r="P181">
            <v>0.16358262322188133</v>
          </cell>
          <cell r="Q181">
            <v>0.14978848314618265</v>
          </cell>
        </row>
        <row r="183">
          <cell r="A183" t="str">
            <v>Revenue per primary line ex broadband</v>
          </cell>
          <cell r="G183">
            <v>4.3979769689574351</v>
          </cell>
          <cell r="H183" t="e">
            <v>#REF!</v>
          </cell>
          <cell r="I183">
            <v>57.690370914288465</v>
          </cell>
          <cell r="J183">
            <v>46.658498205549002</v>
          </cell>
          <cell r="K183">
            <v>45.528160380753192</v>
          </cell>
          <cell r="L183">
            <v>46.66319602669239</v>
          </cell>
          <cell r="M183">
            <v>95.523631886148934</v>
          </cell>
          <cell r="N183">
            <v>94.523631886148934</v>
          </cell>
          <cell r="O183">
            <v>93.523631886148934</v>
          </cell>
          <cell r="P183">
            <v>92.523631886148934</v>
          </cell>
          <cell r="Q183">
            <v>91.523631886148934</v>
          </cell>
          <cell r="AH183">
            <v>43.149163906582075</v>
          </cell>
          <cell r="AI183">
            <v>44.154345294469799</v>
          </cell>
          <cell r="AJ183">
            <v>45.044381339022024</v>
          </cell>
          <cell r="AK183">
            <v>44.289462545528899</v>
          </cell>
          <cell r="AL183">
            <v>44.551676015964226</v>
          </cell>
          <cell r="AM183">
            <v>44.544108528924426</v>
          </cell>
          <cell r="AN183">
            <v>45.332788806227676</v>
          </cell>
          <cell r="AO183">
            <v>-118.1922940823907</v>
          </cell>
          <cell r="AP183">
            <v>44.608678315765786</v>
          </cell>
          <cell r="AQ183" t="e">
            <v>#REF!</v>
          </cell>
          <cell r="AR183">
            <v>45.65063396089981</v>
          </cell>
          <cell r="AS183">
            <v>45.501286445640496</v>
          </cell>
          <cell r="AT183">
            <v>58.636191437912792</v>
          </cell>
          <cell r="AU183">
            <v>47.551330797137197</v>
          </cell>
          <cell r="AV183">
            <v>47.449173553228654</v>
          </cell>
          <cell r="AW183">
            <v>46.738208975401641</v>
          </cell>
          <cell r="AX183">
            <v>46.836499257348578</v>
          </cell>
          <cell r="AY183">
            <v>46.958723387613752</v>
          </cell>
          <cell r="AZ183">
            <v>46.748032581058631</v>
          </cell>
          <cell r="BA183">
            <v>45.601279585743356</v>
          </cell>
          <cell r="BB183">
            <v>45.665586775914861</v>
          </cell>
          <cell r="BC183">
            <v>46.019548919861478</v>
          </cell>
          <cell r="BD183">
            <v>45.813071929437456</v>
          </cell>
          <cell r="BE183">
            <v>44.689253994028491</v>
          </cell>
          <cell r="BF183">
            <v>45.208930908155715</v>
          </cell>
          <cell r="BG183">
            <v>47.262076740697736</v>
          </cell>
          <cell r="BH183">
            <v>47.462342518897202</v>
          </cell>
          <cell r="BI183">
            <v>46.722615050756794</v>
          </cell>
          <cell r="BJ183">
            <v>92.474868172632512</v>
          </cell>
          <cell r="BK183">
            <v>96.674577973097229</v>
          </cell>
          <cell r="BL183">
            <v>97.084221622404229</v>
          </cell>
          <cell r="BM183">
            <v>95.57110908632302</v>
          </cell>
          <cell r="BN183">
            <v>189.15734284711982</v>
          </cell>
          <cell r="BO183">
            <v>197.74784924397039</v>
          </cell>
          <cell r="BP183">
            <v>198.58577532862785</v>
          </cell>
          <cell r="BQ183">
            <v>195.49070363607373</v>
          </cell>
          <cell r="BR183">
            <v>386.92134479378359</v>
          </cell>
          <cell r="BS183">
            <v>404.49322562854144</v>
          </cell>
          <cell r="BT183">
            <v>406.20720343470828</v>
          </cell>
          <cell r="BU183">
            <v>399.87623428758883</v>
          </cell>
        </row>
        <row r="184">
          <cell r="A184" t="str">
            <v xml:space="preserve"> % y/y growth</v>
          </cell>
          <cell r="AL184">
            <v>3.2503807314055777E-2</v>
          </cell>
          <cell r="AM184">
            <v>8.8272905385700096E-3</v>
          </cell>
          <cell r="AN184">
            <v>6.4027401116908411E-3</v>
          </cell>
          <cell r="AO184">
            <v>-3.6686323854323319</v>
          </cell>
          <cell r="AP184">
            <v>1.2794647676359627E-3</v>
          </cell>
          <cell r="AQ184" t="e">
            <v>#REF!</v>
          </cell>
          <cell r="AR184">
            <v>7.011374394607417E-3</v>
          </cell>
          <cell r="AS184">
            <v>-1.3849767601085903</v>
          </cell>
          <cell r="AT184">
            <v>0.31445704404986463</v>
          </cell>
          <cell r="AU184" t="e">
            <v>#REF!</v>
          </cell>
          <cell r="AV184">
            <v>3.9397910527799285E-2</v>
          </cell>
          <cell r="AW184">
            <v>2.7184341946878243E-2</v>
          </cell>
          <cell r="AX184">
            <v>-0.20123565141604349</v>
          </cell>
          <cell r="AY184">
            <v>-1.2462477907329683E-2</v>
          </cell>
          <cell r="AZ184">
            <v>-1.4776674063321282E-2</v>
          </cell>
          <cell r="BA184">
            <v>-2.4325480470521521E-2</v>
          </cell>
          <cell r="BB184">
            <v>-2.5000000000000001E-2</v>
          </cell>
          <cell r="BC184">
            <v>-0.02</v>
          </cell>
          <cell r="BD184">
            <v>-0.02</v>
          </cell>
          <cell r="BE184">
            <v>-0.02</v>
          </cell>
          <cell r="BF184">
            <v>-0.01</v>
          </cell>
          <cell r="BG184">
            <v>2.7E-2</v>
          </cell>
          <cell r="BH184">
            <v>3.5999999999999997E-2</v>
          </cell>
          <cell r="BI184">
            <v>4.5499999999999999E-2</v>
          </cell>
          <cell r="BJ184">
            <v>1.0455000000000001</v>
          </cell>
          <cell r="BK184">
            <v>1.0455000000000001</v>
          </cell>
          <cell r="BL184">
            <v>1.0455000000000001</v>
          </cell>
          <cell r="BM184">
            <v>1.0455000000000001</v>
          </cell>
          <cell r="BN184">
            <v>1.0455000000000001</v>
          </cell>
          <cell r="BO184">
            <v>1.0455000000000001</v>
          </cell>
          <cell r="BP184">
            <v>1.0455000000000001</v>
          </cell>
          <cell r="BQ184">
            <v>1.0455000000000001</v>
          </cell>
          <cell r="BR184">
            <v>1.0455000000000001</v>
          </cell>
          <cell r="BS184">
            <v>1.0455000000000001</v>
          </cell>
          <cell r="BT184">
            <v>1.0455000000000001</v>
          </cell>
          <cell r="BU184">
            <v>1.0455000000000001</v>
          </cell>
        </row>
        <row r="185">
          <cell r="A185" t="str">
            <v>Consumer Voice Revenue</v>
          </cell>
          <cell r="G185">
            <v>1213.8152555704382</v>
          </cell>
          <cell r="H185" t="e">
            <v>#REF!</v>
          </cell>
          <cell r="I185">
            <v>18292.232048018926</v>
          </cell>
          <cell r="J185">
            <v>16372.653654319967</v>
          </cell>
          <cell r="K185">
            <v>14215.985966248661</v>
          </cell>
          <cell r="L185">
            <v>12962.941696673683</v>
          </cell>
          <cell r="M185">
            <v>23712.782968358602</v>
          </cell>
          <cell r="N185">
            <v>21281.961340065227</v>
          </cell>
          <cell r="O185">
            <v>19207.537373067553</v>
          </cell>
          <cell r="P185">
            <v>17347.304911545863</v>
          </cell>
          <cell r="Q185">
            <v>15686.018275490109</v>
          </cell>
          <cell r="AH185">
            <v>3089.9763510962021</v>
          </cell>
          <cell r="AI185">
            <v>3125.4653316690442</v>
          </cell>
          <cell r="AJ185">
            <v>3153.8048816422966</v>
          </cell>
          <cell r="AK185">
            <v>3088.1934996433665</v>
          </cell>
          <cell r="AL185">
            <v>3102.6678211037802</v>
          </cell>
          <cell r="AM185">
            <v>3090.7820584964793</v>
          </cell>
          <cell r="AN185">
            <v>3125.1064619349172</v>
          </cell>
          <cell r="AO185">
            <v>-8104.7410859647371</v>
          </cell>
          <cell r="AP185">
            <v>3039.389992705544</v>
          </cell>
          <cell r="AQ185" t="e">
            <v>#REF!</v>
          </cell>
          <cell r="AR185">
            <v>3038.8257508752176</v>
          </cell>
          <cell r="AS185">
            <v>2996.8739798124425</v>
          </cell>
          <cell r="AT185">
            <v>4763.2523752674078</v>
          </cell>
          <cell r="AU185">
            <v>4596.2403078550851</v>
          </cell>
          <cell r="AV185">
            <v>4539.6047813580444</v>
          </cell>
          <cell r="AW185">
            <v>4393.1345835383891</v>
          </cell>
          <cell r="AX185">
            <v>4308.0914564398081</v>
          </cell>
          <cell r="AY185">
            <v>4202.6883463829618</v>
          </cell>
          <cell r="AZ185">
            <v>4044.4995348154494</v>
          </cell>
          <cell r="BA185">
            <v>3817.374316681748</v>
          </cell>
          <cell r="BB185">
            <v>3716.6536093115469</v>
          </cell>
          <cell r="BC185">
            <v>3643.9199225724715</v>
          </cell>
          <cell r="BD185">
            <v>3519.3372790834205</v>
          </cell>
          <cell r="BE185">
            <v>3336.0751552812239</v>
          </cell>
          <cell r="BF185">
            <v>3288.6676970512608</v>
          </cell>
          <cell r="BG185">
            <v>3339.1458850046843</v>
          </cell>
          <cell r="BH185">
            <v>3242.9324224337042</v>
          </cell>
          <cell r="BI185">
            <v>3092.1956921840324</v>
          </cell>
          <cell r="BJ185">
            <v>5962.0388752783329</v>
          </cell>
          <cell r="BK185">
            <v>6086.7755780136085</v>
          </cell>
          <cell r="BL185">
            <v>5956.8928036109291</v>
          </cell>
          <cell r="BM185">
            <v>5707.07571145573</v>
          </cell>
          <cell r="BN185">
            <v>10997.700803145292</v>
          </cell>
          <cell r="BO185">
            <v>11182.441361549878</v>
          </cell>
          <cell r="BP185">
            <v>10914.371732121261</v>
          </cell>
          <cell r="BQ185">
            <v>10455.313781781349</v>
          </cell>
          <cell r="BR185">
            <v>20116.496827506806</v>
          </cell>
          <cell r="BS185">
            <v>20387.471649326824</v>
          </cell>
          <cell r="BT185">
            <v>19806.015394428185</v>
          </cell>
          <cell r="BU185">
            <v>18843.498564726538</v>
          </cell>
        </row>
        <row r="186">
          <cell r="AL186">
            <v>4.1073032818117472E-3</v>
          </cell>
          <cell r="AM186">
            <v>-1.1096995004594601E-2</v>
          </cell>
          <cell r="AN186">
            <v>-9.0996180120169745E-3</v>
          </cell>
          <cell r="AO186">
            <v>-3.6244278692059599</v>
          </cell>
          <cell r="AP186">
            <v>-2.0394651328070612E-2</v>
          </cell>
          <cell r="AQ186" t="e">
            <v>#REF!</v>
          </cell>
          <cell r="AR186">
            <v>-2.7608886964535118E-2</v>
          </cell>
          <cell r="AS186">
            <v>-1.3697680096162768</v>
          </cell>
          <cell r="AT186">
            <v>0.56717380352606539</v>
          </cell>
          <cell r="AU186" t="e">
            <v>#REF!</v>
          </cell>
          <cell r="AV186">
            <v>0.49386807718428227</v>
          </cell>
          <cell r="AW186">
            <v>0.46590567809372163</v>
          </cell>
          <cell r="AX186">
            <v>-9.5556750507482247E-2</v>
          </cell>
          <cell r="AY186">
            <v>-8.5624757434795917E-2</v>
          </cell>
          <cell r="AZ186">
            <v>-0.10906351332075259</v>
          </cell>
          <cell r="BA186">
            <v>-0.13105910049149982</v>
          </cell>
          <cell r="BB186">
            <v>-0.1372853508585965</v>
          </cell>
          <cell r="BC186">
            <v>-0.13295499874298167</v>
          </cell>
          <cell r="BD186">
            <v>-0.12984604181837101</v>
          </cell>
          <cell r="BE186">
            <v>-0.12608120699541281</v>
          </cell>
          <cell r="BF186">
            <v>-0.11515356480572425</v>
          </cell>
          <cell r="BG186">
            <v>-8.3639060145050625E-2</v>
          </cell>
          <cell r="BH186">
            <v>-7.853889375493539E-2</v>
          </cell>
          <cell r="BI186">
            <v>-7.3103707724064493E-2</v>
          </cell>
          <cell r="BJ186">
            <v>0.81290401600140805</v>
          </cell>
          <cell r="BK186">
            <v>0.82285404340908874</v>
          </cell>
          <cell r="BL186">
            <v>0.83688465488913732</v>
          </cell>
          <cell r="BM186">
            <v>0.84563859456928347</v>
          </cell>
          <cell r="BN186">
            <v>0.84462078044264222</v>
          </cell>
          <cell r="BO186">
            <v>0.83716997911712343</v>
          </cell>
          <cell r="BP186">
            <v>0.8322256404387911</v>
          </cell>
          <cell r="BQ186">
            <v>0.8319914279031817</v>
          </cell>
          <cell r="BR186">
            <v>0.82915476494446749</v>
          </cell>
          <cell r="BS186">
            <v>0.82316821436040466</v>
          </cell>
          <cell r="BT186">
            <v>0.81467297253020998</v>
          </cell>
          <cell r="BU186">
            <v>0.80228914770227311</v>
          </cell>
        </row>
        <row r="188">
          <cell r="A188" t="str">
            <v>Total Consumer In-Region Revenue</v>
          </cell>
          <cell r="G188">
            <v>3302.920511064262</v>
          </cell>
          <cell r="H188" t="e">
            <v>#REF!</v>
          </cell>
          <cell r="I188">
            <v>22666.999999999996</v>
          </cell>
          <cell r="J188">
            <v>22009</v>
          </cell>
          <cell r="K188">
            <v>21017.536900436389</v>
          </cell>
          <cell r="L188">
            <v>20972.544399329032</v>
          </cell>
          <cell r="M188">
            <v>32739.808060244606</v>
          </cell>
          <cell r="N188">
            <v>31045.590403561342</v>
          </cell>
          <cell r="O188">
            <v>29693.51740124591</v>
          </cell>
          <cell r="P188">
            <v>28616.75435340685</v>
          </cell>
          <cell r="Q188">
            <v>27871.91565307921</v>
          </cell>
          <cell r="AH188">
            <v>3439</v>
          </cell>
          <cell r="AI188">
            <v>3500</v>
          </cell>
          <cell r="AJ188">
            <v>3550</v>
          </cell>
          <cell r="AK188">
            <v>3515</v>
          </cell>
          <cell r="AL188">
            <v>3570</v>
          </cell>
          <cell r="AM188">
            <v>3588</v>
          </cell>
          <cell r="AN188">
            <v>3668</v>
          </cell>
          <cell r="AO188">
            <v>3673.0000000000009</v>
          </cell>
          <cell r="AP188">
            <v>3646</v>
          </cell>
          <cell r="AQ188" t="e">
            <v>#REF!</v>
          </cell>
          <cell r="AR188">
            <v>3696</v>
          </cell>
          <cell r="AS188">
            <v>3677</v>
          </cell>
          <cell r="AT188">
            <v>5646</v>
          </cell>
          <cell r="AU188">
            <v>5694</v>
          </cell>
          <cell r="AV188">
            <v>5697</v>
          </cell>
          <cell r="AW188">
            <v>5630</v>
          </cell>
          <cell r="AX188">
            <v>5618</v>
          </cell>
          <cell r="AY188">
            <v>5577</v>
          </cell>
          <cell r="AZ188">
            <v>5480</v>
          </cell>
          <cell r="BA188">
            <v>5334</v>
          </cell>
          <cell r="BB188">
            <v>5315.5755233032569</v>
          </cell>
          <cell r="BC188">
            <v>5318.4463728050869</v>
          </cell>
          <cell r="BD188">
            <v>5252.9682464783536</v>
          </cell>
          <cell r="BE188">
            <v>5130.5467578496882</v>
          </cell>
          <cell r="BF188">
            <v>5201.7107602423521</v>
          </cell>
          <cell r="BG188">
            <v>5310.3965971211774</v>
          </cell>
          <cell r="BH188">
            <v>5268.9885009261507</v>
          </cell>
          <cell r="BI188">
            <v>5191.4485410393518</v>
          </cell>
          <cell r="BJ188">
            <v>8135.3788114253502</v>
          </cell>
          <cell r="BK188">
            <v>8321.000473279144</v>
          </cell>
          <cell r="BL188">
            <v>8241.1725884964617</v>
          </cell>
          <cell r="BM188">
            <v>8042.2561870436457</v>
          </cell>
          <cell r="BN188">
            <v>13393.397392266925</v>
          </cell>
          <cell r="BO188">
            <v>13630.736602945299</v>
          </cell>
          <cell r="BP188">
            <v>13407.271851650929</v>
          </cell>
          <cell r="BQ188">
            <v>13000.157280325189</v>
          </cell>
          <cell r="BR188">
            <v>22724.161036401565</v>
          </cell>
          <cell r="BS188">
            <v>23043.295415916647</v>
          </cell>
          <cell r="BT188">
            <v>22498.647304413182</v>
          </cell>
          <cell r="BU188">
            <v>21574.297881000846</v>
          </cell>
        </row>
        <row r="189">
          <cell r="A189" t="str">
            <v xml:space="preserve"> % y/y growth</v>
          </cell>
          <cell r="J189">
            <v>-2.9028984867869423E-2</v>
          </cell>
          <cell r="K189">
            <v>-4.504807576735026E-2</v>
          </cell>
          <cell r="L189">
            <v>-2.1407123641792314E-3</v>
          </cell>
          <cell r="M189">
            <v>0.5610794492485156</v>
          </cell>
          <cell r="N189">
            <v>-5.174794102536362E-2</v>
          </cell>
          <cell r="O189">
            <v>-4.3551209197178919E-2</v>
          </cell>
          <cell r="P189">
            <v>-3.6262563080313281E-2</v>
          </cell>
          <cell r="Q189">
            <v>-2.6028063529817014E-2</v>
          </cell>
          <cell r="AL189">
            <v>3.8092468740912988E-2</v>
          </cell>
          <cell r="AM189">
            <v>2.5142857142857133E-2</v>
          </cell>
          <cell r="AN189">
            <v>3.3239436619718399E-2</v>
          </cell>
          <cell r="AO189">
            <v>4.4950213371266257E-2</v>
          </cell>
          <cell r="AP189">
            <v>2.1288515406162389E-2</v>
          </cell>
          <cell r="AQ189" t="e">
            <v>#REF!</v>
          </cell>
          <cell r="AR189">
            <v>7.6335877862594437E-3</v>
          </cell>
          <cell r="AS189">
            <v>1.0890280424717957E-3</v>
          </cell>
          <cell r="AT189">
            <v>0.54854635216675818</v>
          </cell>
          <cell r="AU189" t="e">
            <v>#REF!</v>
          </cell>
          <cell r="AV189">
            <v>0.54139610389610393</v>
          </cell>
          <cell r="AW189">
            <v>0.53113951590970898</v>
          </cell>
          <cell r="AX189">
            <v>-4.9592631951824728E-3</v>
          </cell>
          <cell r="AY189">
            <v>-2.0547945205479423E-2</v>
          </cell>
          <cell r="AZ189">
            <v>-3.8090222924346162E-2</v>
          </cell>
          <cell r="BA189">
            <v>-5.2575488454706942E-2</v>
          </cell>
          <cell r="BB189">
            <v>-5.3831341526654142E-2</v>
          </cell>
          <cell r="BC189">
            <v>-4.6360700590803883E-2</v>
          </cell>
          <cell r="BD189">
            <v>-4.1429152102490208E-2</v>
          </cell>
          <cell r="BE189">
            <v>-3.8142715063800514E-2</v>
          </cell>
          <cell r="BF189">
            <v>-2.1420966095153093E-2</v>
          </cell>
          <cell r="BG189">
            <v>-1.5135577421764301E-3</v>
          </cell>
          <cell r="BH189">
            <v>3.0497527675970026E-3</v>
          </cell>
          <cell r="BI189">
            <v>1.1870427473735568E-2</v>
          </cell>
          <cell r="BJ189">
            <v>0.56398138735540071</v>
          </cell>
          <cell r="BK189">
            <v>0.56692637190036743</v>
          </cell>
          <cell r="BL189">
            <v>0.5640900690991979</v>
          </cell>
          <cell r="BM189">
            <v>0.54913529884157319</v>
          </cell>
          <cell r="BN189">
            <v>0.64631515049516786</v>
          </cell>
          <cell r="BO189">
            <v>0.63811270612435034</v>
          </cell>
          <cell r="BP189">
            <v>0.62686458846470794</v>
          </cell>
          <cell r="BQ189">
            <v>0.61648136766258377</v>
          </cell>
          <cell r="BR189">
            <v>0.69666891609757164</v>
          </cell>
          <cell r="BS189">
            <v>0.69053926336875326</v>
          </cell>
          <cell r="BT189">
            <v>0.67809287029879761</v>
          </cell>
          <cell r="BU189">
            <v>0.6595412975235313</v>
          </cell>
        </row>
        <row r="190">
          <cell r="A190" t="str">
            <v xml:space="preserve"> check</v>
          </cell>
          <cell r="G190">
            <v>-11196.079488935738</v>
          </cell>
          <cell r="H190" t="e">
            <v>#REF!</v>
          </cell>
          <cell r="I190">
            <v>0</v>
          </cell>
          <cell r="J190">
            <v>0</v>
          </cell>
          <cell r="K190">
            <v>15886.990142586701</v>
          </cell>
          <cell r="L190">
            <v>0</v>
          </cell>
          <cell r="M190">
            <v>0</v>
          </cell>
          <cell r="N190">
            <v>0</v>
          </cell>
          <cell r="O190">
            <v>0</v>
          </cell>
          <cell r="P190">
            <v>0</v>
          </cell>
          <cell r="Q190">
            <v>0</v>
          </cell>
          <cell r="AH190">
            <v>0</v>
          </cell>
          <cell r="AI190">
            <v>0</v>
          </cell>
          <cell r="AJ190">
            <v>0</v>
          </cell>
          <cell r="AK190">
            <v>0</v>
          </cell>
          <cell r="AL190">
            <v>0</v>
          </cell>
          <cell r="AM190">
            <v>0</v>
          </cell>
          <cell r="AN190">
            <v>0</v>
          </cell>
          <cell r="AO190">
            <v>0</v>
          </cell>
          <cell r="AP190">
            <v>0</v>
          </cell>
          <cell r="AQ190" t="e">
            <v>#REF!</v>
          </cell>
          <cell r="AR190">
            <v>0</v>
          </cell>
          <cell r="AS190">
            <v>0</v>
          </cell>
          <cell r="AT190">
            <v>0</v>
          </cell>
        </row>
        <row r="193">
          <cell r="A193" t="str">
            <v>BUSINESS IN-REGION</v>
          </cell>
        </row>
        <row r="195">
          <cell r="A195" t="str">
            <v>Retail business lines</v>
          </cell>
          <cell r="D195">
            <v>19450</v>
          </cell>
          <cell r="E195">
            <v>18264</v>
          </cell>
          <cell r="F195">
            <v>17552</v>
          </cell>
          <cell r="G195">
            <v>17457</v>
          </cell>
          <cell r="H195">
            <v>17136</v>
          </cell>
          <cell r="I195">
            <v>22819</v>
          </cell>
          <cell r="J195">
            <v>21826</v>
          </cell>
          <cell r="K195">
            <v>18248</v>
          </cell>
          <cell r="L195">
            <v>16938</v>
          </cell>
          <cell r="M195">
            <v>15613</v>
          </cell>
          <cell r="N195">
            <v>14319</v>
          </cell>
          <cell r="O195">
            <v>13444</v>
          </cell>
          <cell r="P195">
            <v>12844</v>
          </cell>
          <cell r="Q195">
            <v>12444</v>
          </cell>
          <cell r="Z195">
            <v>20461</v>
          </cell>
          <cell r="AA195">
            <v>20082</v>
          </cell>
          <cell r="AB195">
            <v>19721</v>
          </cell>
          <cell r="AC195">
            <v>19450</v>
          </cell>
          <cell r="AD195">
            <v>19144</v>
          </cell>
          <cell r="AE195">
            <v>18743</v>
          </cell>
          <cell r="AF195">
            <v>18514</v>
          </cell>
          <cell r="AG195">
            <v>18264</v>
          </cell>
          <cell r="AH195">
            <v>18022</v>
          </cell>
          <cell r="AI195">
            <v>17794</v>
          </cell>
          <cell r="AJ195">
            <v>17626</v>
          </cell>
          <cell r="AK195">
            <v>17552</v>
          </cell>
          <cell r="AL195">
            <v>17507</v>
          </cell>
          <cell r="AM195">
            <v>17513</v>
          </cell>
          <cell r="AN195">
            <v>17511</v>
          </cell>
          <cell r="AO195">
            <v>17457</v>
          </cell>
          <cell r="AP195">
            <v>17377</v>
          </cell>
          <cell r="AQ195">
            <v>17282</v>
          </cell>
          <cell r="AR195">
            <v>17212</v>
          </cell>
          <cell r="AS195">
            <v>17136</v>
          </cell>
          <cell r="AT195">
            <v>23318</v>
          </cell>
          <cell r="AU195">
            <v>23150</v>
          </cell>
          <cell r="AV195">
            <v>23011</v>
          </cell>
          <cell r="AW195">
            <v>22819</v>
          </cell>
          <cell r="AX195">
            <v>22647</v>
          </cell>
          <cell r="AY195">
            <v>22428</v>
          </cell>
          <cell r="AZ195">
            <v>22159</v>
          </cell>
          <cell r="BA195">
            <v>21826</v>
          </cell>
          <cell r="BB195">
            <v>21364</v>
          </cell>
          <cell r="BC195">
            <v>19014</v>
          </cell>
          <cell r="BD195">
            <v>18659</v>
          </cell>
          <cell r="BE195">
            <v>18248</v>
          </cell>
          <cell r="BF195">
            <v>18011</v>
          </cell>
          <cell r="BG195">
            <v>17637</v>
          </cell>
          <cell r="BH195">
            <v>17283</v>
          </cell>
          <cell r="BI195">
            <v>16938</v>
          </cell>
          <cell r="BJ195">
            <v>16656</v>
          </cell>
          <cell r="BK195">
            <v>16293</v>
          </cell>
          <cell r="BL195">
            <v>15951</v>
          </cell>
          <cell r="BM195">
            <v>15613</v>
          </cell>
          <cell r="BN195">
            <v>15256</v>
          </cell>
          <cell r="BO195">
            <v>14988</v>
          </cell>
          <cell r="BP195">
            <v>14619</v>
          </cell>
          <cell r="BQ195">
            <v>14319</v>
          </cell>
          <cell r="BR195">
            <v>14119</v>
          </cell>
          <cell r="BS195">
            <v>13869</v>
          </cell>
          <cell r="BT195">
            <v>13644</v>
          </cell>
          <cell r="BU195">
            <v>13444</v>
          </cell>
        </row>
        <row r="196">
          <cell r="A196" t="str">
            <v xml:space="preserve"> Average business lines</v>
          </cell>
          <cell r="E196">
            <v>18857</v>
          </cell>
          <cell r="F196">
            <v>17908</v>
          </cell>
          <cell r="G196">
            <v>17504.5</v>
          </cell>
          <cell r="H196">
            <v>17296.5</v>
          </cell>
          <cell r="I196">
            <v>19977.5</v>
          </cell>
          <cell r="J196">
            <v>22322.5</v>
          </cell>
          <cell r="K196">
            <v>20037</v>
          </cell>
          <cell r="L196">
            <v>17593</v>
          </cell>
          <cell r="M196">
            <v>16275.5</v>
          </cell>
          <cell r="N196">
            <v>14966</v>
          </cell>
          <cell r="O196">
            <v>13881.5</v>
          </cell>
          <cell r="P196">
            <v>13144</v>
          </cell>
          <cell r="Q196">
            <v>12644</v>
          </cell>
          <cell r="AA196">
            <v>20271.5</v>
          </cell>
          <cell r="AB196">
            <v>19901.5</v>
          </cell>
          <cell r="AC196">
            <v>19585.5</v>
          </cell>
          <cell r="AD196">
            <v>19297</v>
          </cell>
          <cell r="AE196">
            <v>18943.5</v>
          </cell>
          <cell r="AF196">
            <v>18628.5</v>
          </cell>
          <cell r="AG196">
            <v>18389</v>
          </cell>
          <cell r="AH196">
            <v>18143</v>
          </cell>
          <cell r="AI196">
            <v>17908</v>
          </cell>
          <cell r="AJ196">
            <v>17710</v>
          </cell>
          <cell r="AK196">
            <v>17589</v>
          </cell>
          <cell r="AL196">
            <v>17529.5</v>
          </cell>
          <cell r="AM196">
            <v>17510</v>
          </cell>
          <cell r="AN196">
            <v>17512</v>
          </cell>
          <cell r="AO196">
            <v>17484</v>
          </cell>
          <cell r="AP196">
            <v>17417</v>
          </cell>
          <cell r="AQ196">
            <v>17329.5</v>
          </cell>
          <cell r="AR196">
            <v>17247</v>
          </cell>
          <cell r="AS196">
            <v>17174</v>
          </cell>
          <cell r="AT196">
            <v>20227</v>
          </cell>
          <cell r="AU196">
            <v>23234</v>
          </cell>
          <cell r="AV196">
            <v>23080.5</v>
          </cell>
          <cell r="AW196">
            <v>22915</v>
          </cell>
          <cell r="AX196">
            <v>22733</v>
          </cell>
          <cell r="AY196">
            <v>22537.5</v>
          </cell>
          <cell r="AZ196">
            <v>22293.5</v>
          </cell>
          <cell r="BA196">
            <v>21992.5</v>
          </cell>
          <cell r="BB196">
            <v>21595</v>
          </cell>
          <cell r="BC196">
            <v>20189</v>
          </cell>
          <cell r="BD196">
            <v>18836.5</v>
          </cell>
          <cell r="BE196">
            <v>18453.5</v>
          </cell>
          <cell r="BF196">
            <v>18129.5</v>
          </cell>
          <cell r="BG196">
            <v>17824</v>
          </cell>
          <cell r="BH196">
            <v>17460</v>
          </cell>
          <cell r="BI196">
            <v>17110.5</v>
          </cell>
          <cell r="BJ196">
            <v>16797</v>
          </cell>
          <cell r="BK196">
            <v>16474.5</v>
          </cell>
          <cell r="BL196">
            <v>16122</v>
          </cell>
          <cell r="BM196">
            <v>15782</v>
          </cell>
          <cell r="BN196">
            <v>15434.5</v>
          </cell>
          <cell r="BO196">
            <v>15122</v>
          </cell>
          <cell r="BP196">
            <v>14803.5</v>
          </cell>
          <cell r="BQ196">
            <v>14469</v>
          </cell>
          <cell r="BR196">
            <v>14219</v>
          </cell>
          <cell r="BS196">
            <v>13994</v>
          </cell>
          <cell r="BT196">
            <v>13756.5</v>
          </cell>
          <cell r="BU196">
            <v>13544</v>
          </cell>
        </row>
        <row r="198">
          <cell r="A198" t="str">
            <v>Total DSL Subs</v>
          </cell>
          <cell r="E198">
            <v>3515.49</v>
          </cell>
          <cell r="F198">
            <v>5104.5</v>
          </cell>
          <cell r="G198">
            <v>6921.5</v>
          </cell>
          <cell r="H198">
            <v>8529.5</v>
          </cell>
          <cell r="I198">
            <v>13907</v>
          </cell>
          <cell r="J198">
            <v>13996</v>
          </cell>
          <cell r="K198">
            <v>13689</v>
          </cell>
          <cell r="L198">
            <v>13078</v>
          </cell>
          <cell r="M198">
            <v>11252</v>
          </cell>
          <cell r="N198">
            <v>8633</v>
          </cell>
          <cell r="O198">
            <v>5983</v>
          </cell>
          <cell r="P198">
            <v>3783</v>
          </cell>
          <cell r="Q198">
            <v>2033</v>
          </cell>
          <cell r="AG198">
            <v>3515.49</v>
          </cell>
          <cell r="AH198">
            <v>3962.5</v>
          </cell>
          <cell r="AI198">
            <v>4277.5</v>
          </cell>
          <cell r="AJ198">
            <v>4679.5</v>
          </cell>
          <cell r="AK198">
            <v>5104.5</v>
          </cell>
          <cell r="AL198">
            <v>5608.5</v>
          </cell>
          <cell r="AM198">
            <v>5968.5</v>
          </cell>
          <cell r="AN198">
            <v>6496.5</v>
          </cell>
          <cell r="AO198">
            <v>6921.5</v>
          </cell>
          <cell r="AP198">
            <v>7432.5</v>
          </cell>
          <cell r="AQ198">
            <v>7774.5</v>
          </cell>
          <cell r="AR198">
            <v>8148.5</v>
          </cell>
          <cell r="AS198">
            <v>8529.5</v>
          </cell>
          <cell r="AT198">
            <v>12842</v>
          </cell>
          <cell r="AU198">
            <v>13203</v>
          </cell>
          <cell r="AV198">
            <v>13621</v>
          </cell>
          <cell r="AW198">
            <v>13907</v>
          </cell>
          <cell r="AX198">
            <v>14245</v>
          </cell>
          <cell r="AY198">
            <v>14116</v>
          </cell>
          <cell r="AZ198">
            <v>14032</v>
          </cell>
          <cell r="BA198">
            <v>13996</v>
          </cell>
          <cell r="BB198">
            <v>14071</v>
          </cell>
          <cell r="BC198">
            <v>13935</v>
          </cell>
          <cell r="BD198">
            <v>13786</v>
          </cell>
          <cell r="BE198">
            <v>13689</v>
          </cell>
          <cell r="BF198">
            <v>13713</v>
          </cell>
          <cell r="BG198">
            <v>13366</v>
          </cell>
          <cell r="BH198">
            <v>13216</v>
          </cell>
          <cell r="BI198">
            <v>13078</v>
          </cell>
          <cell r="BJ198">
            <v>12840</v>
          </cell>
          <cell r="BK198">
            <v>12389</v>
          </cell>
          <cell r="BL198">
            <v>11888</v>
          </cell>
          <cell r="BM198">
            <v>11252</v>
          </cell>
          <cell r="BN198">
            <v>10637</v>
          </cell>
          <cell r="BO198">
            <v>9988</v>
          </cell>
          <cell r="BP198">
            <v>9333</v>
          </cell>
          <cell r="BQ198">
            <v>8633</v>
          </cell>
          <cell r="BR198">
            <v>7983</v>
          </cell>
          <cell r="BS198">
            <v>7383</v>
          </cell>
          <cell r="BT198">
            <v>6683</v>
          </cell>
          <cell r="BU198">
            <v>5983</v>
          </cell>
        </row>
        <row r="199">
          <cell r="A199" t="str">
            <v xml:space="preserve"> Consumer/Biz DSL split (assumed)</v>
          </cell>
          <cell r="E199">
            <v>0.18651925820256776</v>
          </cell>
          <cell r="F199">
            <v>0.18651925820256776</v>
          </cell>
          <cell r="G199">
            <v>0.16095939893079036</v>
          </cell>
          <cell r="H199">
            <v>0.14937272833860948</v>
          </cell>
          <cell r="I199">
            <v>0.15207911540258523</v>
          </cell>
          <cell r="J199">
            <v>0.15207911540258523</v>
          </cell>
          <cell r="K199">
            <v>0.15207911540258523</v>
          </cell>
          <cell r="L199">
            <v>0.15207911540258523</v>
          </cell>
          <cell r="M199">
            <v>0.15207911540258523</v>
          </cell>
          <cell r="N199">
            <v>0.15207911540258523</v>
          </cell>
          <cell r="O199">
            <v>0.15207911540258523</v>
          </cell>
          <cell r="P199">
            <v>0.15207911540258523</v>
          </cell>
          <cell r="Q199">
            <v>0.15207911540258523</v>
          </cell>
          <cell r="AG199">
            <v>0.18651925820256776</v>
          </cell>
          <cell r="AH199">
            <v>0.18651925820256776</v>
          </cell>
          <cell r="AI199">
            <v>0.18651925820256776</v>
          </cell>
          <cell r="AJ199">
            <v>0.18651925820256776</v>
          </cell>
          <cell r="AK199">
            <v>0.18651925820256776</v>
          </cell>
          <cell r="AL199">
            <v>0.18651925820256776</v>
          </cell>
          <cell r="AM199">
            <v>0.17761394101876671</v>
          </cell>
          <cell r="AN199">
            <v>0.16379310344827591</v>
          </cell>
          <cell r="AO199">
            <v>0.16095939893079036</v>
          </cell>
          <cell r="AP199">
            <v>0.15715823466092571</v>
          </cell>
          <cell r="AQ199">
            <v>0.15487522510933882</v>
          </cell>
          <cell r="AR199">
            <v>0.15243004418262152</v>
          </cell>
          <cell r="AS199">
            <v>0.14937272833860948</v>
          </cell>
          <cell r="AT199">
            <v>0.15207911540258523</v>
          </cell>
          <cell r="AU199">
            <v>0.15207911540258523</v>
          </cell>
          <cell r="AV199">
            <v>0.15207911540258523</v>
          </cell>
          <cell r="AW199">
            <v>0.15207911540258523</v>
          </cell>
          <cell r="AX199">
            <v>0.15207911540258523</v>
          </cell>
          <cell r="AY199">
            <v>0.15207911540258523</v>
          </cell>
          <cell r="AZ199">
            <v>0.15207911540258523</v>
          </cell>
          <cell r="BA199">
            <v>0.15207911540258523</v>
          </cell>
          <cell r="BB199">
            <v>0.15207911540258523</v>
          </cell>
          <cell r="BC199">
            <v>0.15207911540258523</v>
          </cell>
          <cell r="BD199">
            <v>0.15207911540258523</v>
          </cell>
          <cell r="BE199">
            <v>0.15207911540258523</v>
          </cell>
          <cell r="BF199">
            <v>0.15207911540258523</v>
          </cell>
          <cell r="BG199">
            <v>0.15207911540258523</v>
          </cell>
          <cell r="BH199">
            <v>0.15207911540258523</v>
          </cell>
          <cell r="BI199">
            <v>0.15207911540258523</v>
          </cell>
          <cell r="BJ199">
            <v>0.15207911540258523</v>
          </cell>
          <cell r="BK199">
            <v>0.15207911540258523</v>
          </cell>
          <cell r="BL199">
            <v>0.15207911540258523</v>
          </cell>
          <cell r="BM199">
            <v>0.15207911540258523</v>
          </cell>
          <cell r="BN199">
            <v>0.15207911540258523</v>
          </cell>
          <cell r="BO199">
            <v>0.15207911540258523</v>
          </cell>
          <cell r="BP199">
            <v>0.15207911540258523</v>
          </cell>
          <cell r="BQ199">
            <v>0.15207911540258523</v>
          </cell>
          <cell r="BR199">
            <v>0.15207911540258523</v>
          </cell>
          <cell r="BS199">
            <v>0.15207911540258523</v>
          </cell>
          <cell r="BT199">
            <v>0.15207911540258523</v>
          </cell>
          <cell r="BU199">
            <v>0.15207911540258523</v>
          </cell>
        </row>
        <row r="200">
          <cell r="A200" t="str">
            <v xml:space="preserve"> Implied consumer DSL subs</v>
          </cell>
          <cell r="E200">
            <v>655.70658701854495</v>
          </cell>
          <cell r="F200">
            <v>952.08755349500711</v>
          </cell>
          <cell r="G200">
            <v>1114.0804796994655</v>
          </cell>
          <cell r="H200">
            <v>1274.0746863641696</v>
          </cell>
          <cell r="I200">
            <v>2114.9642579037527</v>
          </cell>
          <cell r="J200">
            <v>2128.499299174583</v>
          </cell>
          <cell r="K200">
            <v>2081.8110107459893</v>
          </cell>
          <cell r="L200">
            <v>1988.8906712350097</v>
          </cell>
          <cell r="M200">
            <v>1711.194206509889</v>
          </cell>
          <cell r="N200">
            <v>1312.8990032705183</v>
          </cell>
          <cell r="O200">
            <v>909.88934745366748</v>
          </cell>
          <cell r="P200">
            <v>575.31529356797989</v>
          </cell>
          <cell r="Q200">
            <v>309.17684161345579</v>
          </cell>
          <cell r="AG200">
            <v>655.70658701854495</v>
          </cell>
          <cell r="AH200">
            <v>739.08256062767475</v>
          </cell>
          <cell r="AI200">
            <v>797.83612696148361</v>
          </cell>
          <cell r="AJ200">
            <v>872.8168687589158</v>
          </cell>
          <cell r="AK200">
            <v>952.08755349500711</v>
          </cell>
          <cell r="AL200">
            <v>1046.0932596291013</v>
          </cell>
          <cell r="AM200">
            <v>1060.088806970509</v>
          </cell>
          <cell r="AN200">
            <v>1064.0818965517244</v>
          </cell>
          <cell r="AO200">
            <v>1114.0804796994655</v>
          </cell>
          <cell r="AP200">
            <v>1168.0785791173303</v>
          </cell>
          <cell r="AQ200">
            <v>1204.0774376125546</v>
          </cell>
          <cell r="AR200">
            <v>1242.0762150220914</v>
          </cell>
          <cell r="AS200">
            <v>1274.0746863641696</v>
          </cell>
          <cell r="AT200">
            <v>1952.9999999999995</v>
          </cell>
          <cell r="AU200">
            <v>2007.9005606603328</v>
          </cell>
          <cell r="AV200">
            <v>2071.4696308986136</v>
          </cell>
          <cell r="AW200">
            <v>2114.9642579037527</v>
          </cell>
          <cell r="AX200">
            <v>2166.3669989098266</v>
          </cell>
          <cell r="AY200">
            <v>2146.7487930228931</v>
          </cell>
          <cell r="AZ200">
            <v>2133.974147329076</v>
          </cell>
          <cell r="BA200">
            <v>2128.499299174583</v>
          </cell>
          <cell r="BB200">
            <v>2139.9052328297767</v>
          </cell>
          <cell r="BC200">
            <v>2119.2224731350252</v>
          </cell>
          <cell r="BD200">
            <v>2096.5626849400401</v>
          </cell>
          <cell r="BE200">
            <v>2081.8110107459893</v>
          </cell>
          <cell r="BF200">
            <v>2085.4609095156511</v>
          </cell>
          <cell r="BG200">
            <v>2032.6894564709542</v>
          </cell>
          <cell r="BH200">
            <v>2009.8775891605665</v>
          </cell>
          <cell r="BI200">
            <v>1988.8906712350097</v>
          </cell>
          <cell r="BJ200">
            <v>1952.6958417691944</v>
          </cell>
          <cell r="BK200">
            <v>1884.1081607226283</v>
          </cell>
          <cell r="BL200">
            <v>1807.9165239059332</v>
          </cell>
          <cell r="BM200">
            <v>1711.194206509889</v>
          </cell>
          <cell r="BN200">
            <v>1617.6655505372992</v>
          </cell>
          <cell r="BO200">
            <v>1518.9662046410212</v>
          </cell>
          <cell r="BP200">
            <v>1419.354384052328</v>
          </cell>
          <cell r="BQ200">
            <v>1312.8990032705183</v>
          </cell>
          <cell r="BR200">
            <v>1214.0475782588378</v>
          </cell>
          <cell r="BS200">
            <v>1122.8001090172868</v>
          </cell>
          <cell r="BT200">
            <v>1016.3447282354771</v>
          </cell>
          <cell r="BU200">
            <v>909.88934745366748</v>
          </cell>
        </row>
        <row r="201">
          <cell r="A201" t="str">
            <v xml:space="preserve"> Avg. consumer DSL subs</v>
          </cell>
          <cell r="F201">
            <v>803.89707025677603</v>
          </cell>
          <cell r="G201">
            <v>1033.0840165972363</v>
          </cell>
          <cell r="H201">
            <v>1194.0775830318175</v>
          </cell>
          <cell r="I201">
            <v>1694.5194721339612</v>
          </cell>
          <cell r="J201">
            <v>2121.7317785391679</v>
          </cell>
          <cell r="K201">
            <v>2105.1551549602864</v>
          </cell>
          <cell r="L201">
            <v>2035.3508409904994</v>
          </cell>
          <cell r="M201">
            <v>1850.0424388724493</v>
          </cell>
          <cell r="N201">
            <v>1512.0466048902035</v>
          </cell>
          <cell r="O201">
            <v>1111.3941753620929</v>
          </cell>
          <cell r="P201">
            <v>742.60232051082369</v>
          </cell>
          <cell r="Q201">
            <v>442.24606759071787</v>
          </cell>
          <cell r="AH201">
            <v>697.39457382310979</v>
          </cell>
          <cell r="AI201">
            <v>768.45934379457913</v>
          </cell>
          <cell r="AJ201">
            <v>835.32649786019965</v>
          </cell>
          <cell r="AK201">
            <v>912.4522111269614</v>
          </cell>
          <cell r="AL201">
            <v>999.09040656205423</v>
          </cell>
          <cell r="AM201">
            <v>1053.0910332998051</v>
          </cell>
          <cell r="AN201">
            <v>1062.0853517611167</v>
          </cell>
          <cell r="AO201">
            <v>1089.081188125595</v>
          </cell>
          <cell r="AP201">
            <v>1141.0795294083978</v>
          </cell>
          <cell r="AQ201">
            <v>1186.0780083649424</v>
          </cell>
          <cell r="AR201">
            <v>1223.0768263173231</v>
          </cell>
          <cell r="AS201">
            <v>1258.0754506931305</v>
          </cell>
          <cell r="AT201">
            <v>1613.5373431820844</v>
          </cell>
          <cell r="AU201">
            <v>1980.4502803301662</v>
          </cell>
          <cell r="AV201">
            <v>2039.6850957794732</v>
          </cell>
          <cell r="AW201">
            <v>2093.2169444011834</v>
          </cell>
          <cell r="AX201">
            <v>2140.6656284067894</v>
          </cell>
          <cell r="AY201">
            <v>2156.5578959663599</v>
          </cell>
          <cell r="AZ201">
            <v>2140.3614701759843</v>
          </cell>
          <cell r="BA201">
            <v>2131.2367232518295</v>
          </cell>
          <cell r="BB201">
            <v>2134.2022660021798</v>
          </cell>
          <cell r="BC201">
            <v>2129.5638529824009</v>
          </cell>
          <cell r="BD201">
            <v>2107.8925790375324</v>
          </cell>
          <cell r="BE201">
            <v>2089.1868478430147</v>
          </cell>
          <cell r="BF201">
            <v>2083.6359601308204</v>
          </cell>
          <cell r="BG201">
            <v>2059.0751829933024</v>
          </cell>
          <cell r="BH201">
            <v>2021.2835228157603</v>
          </cell>
          <cell r="BI201">
            <v>1999.3841301977882</v>
          </cell>
          <cell r="BJ201">
            <v>1970.7932565021019</v>
          </cell>
          <cell r="BK201">
            <v>1918.4020012459114</v>
          </cell>
          <cell r="BL201">
            <v>1846.0123423142809</v>
          </cell>
          <cell r="BM201">
            <v>1759.5553652079111</v>
          </cell>
          <cell r="BN201">
            <v>1664.4298785235942</v>
          </cell>
          <cell r="BO201">
            <v>1568.3158775891602</v>
          </cell>
          <cell r="BP201">
            <v>1469.1602943466746</v>
          </cell>
          <cell r="BQ201">
            <v>1366.1266936614231</v>
          </cell>
          <cell r="BR201">
            <v>1263.473290764678</v>
          </cell>
          <cell r="BS201">
            <v>1168.4238436380624</v>
          </cell>
          <cell r="BT201">
            <v>1069.5724186263819</v>
          </cell>
          <cell r="BU201">
            <v>963.11703784457222</v>
          </cell>
        </row>
        <row r="202">
          <cell r="A202" t="str">
            <v xml:space="preserve"> DSL ARPU (assumed)</v>
          </cell>
          <cell r="F202">
            <v>49.969591032008147</v>
          </cell>
          <cell r="G202">
            <v>50.859222389209982</v>
          </cell>
          <cell r="H202">
            <v>50.334981192922953</v>
          </cell>
          <cell r="I202">
            <v>58.079996861040442</v>
          </cell>
          <cell r="J202">
            <v>55.276999784969355</v>
          </cell>
          <cell r="K202">
            <v>54.588508284823739</v>
          </cell>
          <cell r="L202">
            <v>53.451301411998053</v>
          </cell>
          <cell r="M202">
            <v>53.18898058909943</v>
          </cell>
          <cell r="N202">
            <v>52.18898058909943</v>
          </cell>
          <cell r="O202">
            <v>51.18898058909943</v>
          </cell>
          <cell r="P202">
            <v>50.18898058909943</v>
          </cell>
          <cell r="Q202">
            <v>49.18898058909943</v>
          </cell>
          <cell r="AG202">
            <v>50</v>
          </cell>
          <cell r="AH202">
            <v>50</v>
          </cell>
          <cell r="AI202">
            <v>50</v>
          </cell>
          <cell r="AJ202">
            <v>50</v>
          </cell>
          <cell r="AK202">
            <v>50</v>
          </cell>
          <cell r="AL202">
            <v>50</v>
          </cell>
          <cell r="AM202">
            <v>50</v>
          </cell>
          <cell r="AN202">
            <v>50</v>
          </cell>
          <cell r="AO202">
            <v>50</v>
          </cell>
          <cell r="AP202">
            <v>50</v>
          </cell>
          <cell r="AQ202">
            <v>50</v>
          </cell>
          <cell r="AR202">
            <v>50</v>
          </cell>
          <cell r="AS202">
            <v>50</v>
          </cell>
          <cell r="AT202">
            <v>50</v>
          </cell>
          <cell r="AU202">
            <v>50</v>
          </cell>
          <cell r="AV202">
            <v>50</v>
          </cell>
          <cell r="AW202">
            <v>53.5</v>
          </cell>
          <cell r="AX202">
            <v>54</v>
          </cell>
          <cell r="AY202">
            <v>54.5</v>
          </cell>
          <cell r="AZ202">
            <v>55</v>
          </cell>
          <cell r="BA202">
            <v>55.5</v>
          </cell>
          <cell r="BB202">
            <v>55</v>
          </cell>
          <cell r="BC202">
            <v>54.5</v>
          </cell>
          <cell r="BD202">
            <v>54</v>
          </cell>
          <cell r="BE202">
            <v>53.801106731988391</v>
          </cell>
          <cell r="BF202">
            <v>53.602213463976781</v>
          </cell>
          <cell r="BG202">
            <v>53.403320195965172</v>
          </cell>
          <cell r="BH202">
            <v>53.204426927953563</v>
          </cell>
          <cell r="BI202">
            <v>53.005533659941953</v>
          </cell>
          <cell r="BJ202">
            <v>52.806640391930344</v>
          </cell>
          <cell r="BK202">
            <v>52.607747123918735</v>
          </cell>
          <cell r="BL202">
            <v>52.408853855907125</v>
          </cell>
          <cell r="BM202">
            <v>52.209960587895516</v>
          </cell>
          <cell r="BN202">
            <v>52.011067319883907</v>
          </cell>
          <cell r="BO202">
            <v>51.812174051872297</v>
          </cell>
          <cell r="BP202">
            <v>51.613280783860688</v>
          </cell>
          <cell r="BQ202">
            <v>51.414387515849079</v>
          </cell>
          <cell r="BR202">
            <v>51.215494247837469</v>
          </cell>
          <cell r="BS202">
            <v>51.01660097982586</v>
          </cell>
          <cell r="BT202">
            <v>50.817707711814251</v>
          </cell>
          <cell r="BU202">
            <v>50.618814443802641</v>
          </cell>
        </row>
        <row r="203">
          <cell r="A203" t="str">
            <v>DSL Revenue (calculated)</v>
          </cell>
          <cell r="F203">
            <v>482.04489399072747</v>
          </cell>
          <cell r="G203">
            <v>630.50219696228567</v>
          </cell>
          <cell r="H203">
            <v>721.24647221756913</v>
          </cell>
          <cell r="I203">
            <v>1181.0122274701484</v>
          </cell>
          <cell r="J203">
            <v>1407.3956047928668</v>
          </cell>
          <cell r="K203">
            <v>1379.0073554086678</v>
          </cell>
          <cell r="L203">
            <v>1305.5058153713628</v>
          </cell>
          <cell r="M203">
            <v>1180.8224564423624</v>
          </cell>
          <cell r="N203">
            <v>946.94605094914232</v>
          </cell>
          <cell r="O203">
            <v>682.69361843338004</v>
          </cell>
          <cell r="P203">
            <v>447.24544139445504</v>
          </cell>
          <cell r="Q203">
            <v>261.04359881190453</v>
          </cell>
          <cell r="AH203">
            <v>104.60918607346646</v>
          </cell>
          <cell r="AI203">
            <v>115.26890156918687</v>
          </cell>
          <cell r="AJ203">
            <v>125.29897467902994</v>
          </cell>
          <cell r="AK203">
            <v>136.86783166904422</v>
          </cell>
          <cell r="AL203">
            <v>149.86356098430815</v>
          </cell>
          <cell r="AM203">
            <v>157.96365499497077</v>
          </cell>
          <cell r="AN203">
            <v>159.31280276416749</v>
          </cell>
          <cell r="AO203">
            <v>163.36217821883926</v>
          </cell>
          <cell r="AP203">
            <v>171.16192941125965</v>
          </cell>
          <cell r="AQ203">
            <v>177.91170125474136</v>
          </cell>
          <cell r="AR203">
            <v>183.46152394759847</v>
          </cell>
          <cell r="AS203">
            <v>188.71131760396958</v>
          </cell>
          <cell r="AT203">
            <v>242.03060147731267</v>
          </cell>
          <cell r="AU203">
            <v>297.06754204952495</v>
          </cell>
          <cell r="AV203">
            <v>305.95276436692097</v>
          </cell>
          <cell r="AW203">
            <v>335.96131957638994</v>
          </cell>
          <cell r="AX203">
            <v>346.78783180189993</v>
          </cell>
          <cell r="AY203">
            <v>352.59721599049988</v>
          </cell>
          <cell r="AZ203">
            <v>353.15964257903744</v>
          </cell>
          <cell r="BA203">
            <v>354.85091442142959</v>
          </cell>
          <cell r="BB203">
            <v>352.14337389035973</v>
          </cell>
          <cell r="BC203">
            <v>348.18368996262251</v>
          </cell>
          <cell r="BD203">
            <v>341.47859780408021</v>
          </cell>
          <cell r="BE203">
            <v>337.20169375160526</v>
          </cell>
          <cell r="BF203">
            <v>335.06249854845129</v>
          </cell>
          <cell r="BG203">
            <v>329.8843539148707</v>
          </cell>
          <cell r="BH203">
            <v>322.62369447098303</v>
          </cell>
          <cell r="BI203">
            <v>317.93526843705786</v>
          </cell>
          <cell r="BJ203">
            <v>312.21291234884353</v>
          </cell>
          <cell r="BK203">
            <v>302.7684220906936</v>
          </cell>
          <cell r="BL203">
            <v>290.24217319364982</v>
          </cell>
          <cell r="BM203">
            <v>275.5989488091754</v>
          </cell>
          <cell r="BN203">
            <v>259.70632338335054</v>
          </cell>
          <cell r="BO203">
            <v>243.77356565389326</v>
          </cell>
          <cell r="BP203">
            <v>227.48454836584301</v>
          </cell>
          <cell r="BQ203">
            <v>210.71570167096215</v>
          </cell>
          <cell r="BR203">
            <v>194.12822716636396</v>
          </cell>
          <cell r="BS203">
            <v>178.82703901859244</v>
          </cell>
          <cell r="BT203">
            <v>163.05965563912113</v>
          </cell>
          <cell r="BU203">
            <v>146.25552787895774</v>
          </cell>
        </row>
        <row r="205">
          <cell r="A205" t="str">
            <v>U-verse consumer data revenue</v>
          </cell>
          <cell r="H205" t="e">
            <v>#REF!</v>
          </cell>
          <cell r="I205">
            <v>5.5934698645070853</v>
          </cell>
          <cell r="J205">
            <v>42.831562061984101</v>
          </cell>
          <cell r="K205">
            <v>114.54294813891916</v>
          </cell>
          <cell r="L205">
            <v>211.93821562061981</v>
          </cell>
          <cell r="M205">
            <v>336.29254788973674</v>
          </cell>
          <cell r="N205">
            <v>527.76208558635722</v>
          </cell>
          <cell r="O205">
            <v>733.52797271893553</v>
          </cell>
          <cell r="P205">
            <v>914.1392354079187</v>
          </cell>
          <cell r="Q205">
            <v>1073.4906412891312</v>
          </cell>
          <cell r="AO205">
            <v>1136.1744702572751</v>
          </cell>
          <cell r="AP205">
            <v>0</v>
          </cell>
          <cell r="AQ205" t="e">
            <v>#REF!</v>
          </cell>
          <cell r="AR205">
            <v>0</v>
          </cell>
          <cell r="AS205">
            <v>0</v>
          </cell>
          <cell r="AT205">
            <v>0.15512069771063694</v>
          </cell>
          <cell r="AU205">
            <v>0.57485905622177214</v>
          </cell>
          <cell r="AV205">
            <v>1.6059554586513001</v>
          </cell>
          <cell r="AW205">
            <v>3.2575346519233759</v>
          </cell>
          <cell r="AX205">
            <v>5.5660956237346193</v>
          </cell>
          <cell r="AY205">
            <v>8.467765145615946</v>
          </cell>
          <cell r="AZ205">
            <v>12.135913409126301</v>
          </cell>
          <cell r="BA205">
            <v>16.661787883507237</v>
          </cell>
          <cell r="BB205">
            <v>21.662149197944238</v>
          </cell>
          <cell r="BC205">
            <v>26.516514561594764</v>
          </cell>
          <cell r="BD205">
            <v>30.960266313658302</v>
          </cell>
          <cell r="BE205">
            <v>35.404018065721843</v>
          </cell>
          <cell r="BF205">
            <v>44.746618322691162</v>
          </cell>
          <cell r="BG205">
            <v>49.735573703472973</v>
          </cell>
          <cell r="BH205">
            <v>55.412306883662971</v>
          </cell>
          <cell r="BI205">
            <v>62.043716710792701</v>
          </cell>
          <cell r="BJ205">
            <v>69.865906011524658</v>
          </cell>
          <cell r="BK205">
            <v>78.622241278617011</v>
          </cell>
          <cell r="BL205">
            <v>88.302457171780077</v>
          </cell>
          <cell r="BM205">
            <v>99.501943427814965</v>
          </cell>
          <cell r="BN205">
            <v>112.89821250584019</v>
          </cell>
          <cell r="BO205">
            <v>125.94546001401648</v>
          </cell>
          <cell r="BP205">
            <v>137.91484679177694</v>
          </cell>
          <cell r="BQ205">
            <v>151.00356627472351</v>
          </cell>
          <cell r="BR205">
            <v>166.08096024844258</v>
          </cell>
          <cell r="BS205">
            <v>178.15775810636384</v>
          </cell>
          <cell r="BT205">
            <v>188.97791618717713</v>
          </cell>
          <cell r="BU205">
            <v>200.31133817695198</v>
          </cell>
        </row>
        <row r="206">
          <cell r="A206" t="str">
            <v xml:space="preserve"> % y/y growth</v>
          </cell>
          <cell r="J206">
            <v>6.6574225122349091</v>
          </cell>
          <cell r="K206">
            <v>1.6742650191734132</v>
          </cell>
          <cell r="L206">
            <v>0.85029475025890222</v>
          </cell>
          <cell r="M206">
            <v>0.58674803836094158</v>
          </cell>
          <cell r="N206">
            <v>0.56935409035409057</v>
          </cell>
          <cell r="O206">
            <v>0.38988379944718288</v>
          </cell>
          <cell r="P206">
            <v>0.24622273370096504</v>
          </cell>
          <cell r="Q206">
            <v>0.17431852797577907</v>
          </cell>
        </row>
        <row r="207">
          <cell r="A207" t="str">
            <v>U-verse consumer video revenue</v>
          </cell>
          <cell r="H207" t="e">
            <v>#REF!</v>
          </cell>
          <cell r="I207">
            <v>9.8045405700046686</v>
          </cell>
          <cell r="J207">
            <v>77.3680991061361</v>
          </cell>
          <cell r="K207">
            <v>216.96256419751745</v>
          </cell>
          <cell r="L207">
            <v>367.4718081295747</v>
          </cell>
          <cell r="M207">
            <v>495.8022488708923</v>
          </cell>
          <cell r="N207">
            <v>607.43622769039075</v>
          </cell>
          <cell r="O207">
            <v>714.44617047725478</v>
          </cell>
          <cell r="P207">
            <v>831.31714919475155</v>
          </cell>
          <cell r="Q207">
            <v>955.83888398604211</v>
          </cell>
          <cell r="AO207">
            <v>1011.6527297899804</v>
          </cell>
          <cell r="AP207">
            <v>0</v>
          </cell>
          <cell r="AQ207" t="e">
            <v>#REF!</v>
          </cell>
          <cell r="AR207">
            <v>3.2010309278350517E-2</v>
          </cell>
          <cell r="AS207">
            <v>6.2736545902215987E-2</v>
          </cell>
          <cell r="AT207">
            <v>0.25549291387634315</v>
          </cell>
          <cell r="AU207">
            <v>1.0219716555053726</v>
          </cell>
          <cell r="AV207">
            <v>2.8263903597570468</v>
          </cell>
          <cell r="AW207">
            <v>5.700685640865907</v>
          </cell>
          <cell r="AX207">
            <v>9.740667341535584</v>
          </cell>
          <cell r="AY207">
            <v>14.818589004827905</v>
          </cell>
          <cell r="AZ207">
            <v>21.874983919950157</v>
          </cell>
          <cell r="BA207">
            <v>30.933858839822452</v>
          </cell>
          <cell r="BB207">
            <v>41.021752740116796</v>
          </cell>
          <cell r="BC207">
            <v>50.214495982636649</v>
          </cell>
          <cell r="BD207">
            <v>58.646937152466883</v>
          </cell>
          <cell r="BE207">
            <v>67.079378322297131</v>
          </cell>
          <cell r="BF207">
            <v>79.586042672480914</v>
          </cell>
          <cell r="BG207">
            <v>87.615819965737401</v>
          </cell>
          <cell r="BH207">
            <v>95.736844728235454</v>
          </cell>
          <cell r="BI207">
            <v>104.53310076312098</v>
          </cell>
          <cell r="BJ207">
            <v>113.00086590873693</v>
          </cell>
          <cell r="BK207">
            <v>120.66565332502724</v>
          </cell>
          <cell r="BL207">
            <v>127.56396199968849</v>
          </cell>
          <cell r="BM207">
            <v>134.57176763743962</v>
          </cell>
          <cell r="BN207">
            <v>142.01756112755021</v>
          </cell>
          <cell r="BO207">
            <v>148.49613144370034</v>
          </cell>
          <cell r="BP207">
            <v>154.93820277215383</v>
          </cell>
          <cell r="BQ207">
            <v>161.98433234698643</v>
          </cell>
          <cell r="BR207">
            <v>168.95277382650673</v>
          </cell>
          <cell r="BS207">
            <v>175.49384044681508</v>
          </cell>
          <cell r="BT207">
            <v>181.65481806080822</v>
          </cell>
          <cell r="BU207">
            <v>188.34473814312469</v>
          </cell>
        </row>
        <row r="208">
          <cell r="A208" t="str">
            <v xml:space="preserve"> % y/y growth</v>
          </cell>
          <cell r="I208" t="e">
            <v>#REF!</v>
          </cell>
          <cell r="J208">
            <v>6.8910478827361574</v>
          </cell>
          <cell r="K208">
            <v>1.8042897098955613</v>
          </cell>
          <cell r="L208">
            <v>0.69371066150857841</v>
          </cell>
          <cell r="M208">
            <v>0.34922526817640076</v>
          </cell>
          <cell r="N208">
            <v>0.22515827444051806</v>
          </cell>
          <cell r="O208">
            <v>0.17616654705258505</v>
          </cell>
          <cell r="P208">
            <v>0.16358262322188133</v>
          </cell>
          <cell r="Q208">
            <v>0.14978848314618243</v>
          </cell>
        </row>
        <row r="210">
          <cell r="A210" t="str">
            <v>Revenue per line ex DSL</v>
          </cell>
          <cell r="F210">
            <v>31.80587403213309</v>
          </cell>
          <cell r="G210">
            <v>23.492390542386524</v>
          </cell>
          <cell r="H210" t="e">
            <v>#REF!</v>
          </cell>
          <cell r="I210">
            <v>47.660241780733912</v>
          </cell>
          <cell r="J210">
            <v>42.08909073072391</v>
          </cell>
          <cell r="K210">
            <v>41.268701916924257</v>
          </cell>
          <cell r="L210">
            <v>42.346915156611075</v>
          </cell>
          <cell r="M210">
            <v>53.85804262953755</v>
          </cell>
          <cell r="N210">
            <v>54.852132378236853</v>
          </cell>
          <cell r="O210">
            <v>55.889888281028334</v>
          </cell>
          <cell r="P210">
            <v>57.287135488054041</v>
          </cell>
          <cell r="Q210">
            <v>58.719313875255388</v>
          </cell>
          <cell r="AH210">
            <v>31.295647796699068</v>
          </cell>
          <cell r="AI210">
            <v>31.805731115159201</v>
          </cell>
          <cell r="AJ210">
            <v>32.160757111254846</v>
          </cell>
          <cell r="AK210">
            <v>32.484927479882423</v>
          </cell>
          <cell r="AL210">
            <v>32.519209314121753</v>
          </cell>
          <cell r="AM210">
            <v>34.019347896535862</v>
          </cell>
          <cell r="AN210">
            <v>34.103989592580952</v>
          </cell>
          <cell r="AO210">
            <v>34.195794665239845</v>
          </cell>
          <cell r="AP210">
            <v>34.828770178345678</v>
          </cell>
          <cell r="AQ210">
            <v>35.81731149668213</v>
          </cell>
          <cell r="AR210">
            <v>36.596480084505551</v>
          </cell>
          <cell r="AS210">
            <v>37.056518494043871</v>
          </cell>
          <cell r="AT210">
            <v>47.223328305583301</v>
          </cell>
          <cell r="AU210">
            <v>41.137063889683908</v>
          </cell>
          <cell r="AV210">
            <v>41.284704834740303</v>
          </cell>
          <cell r="AW210">
            <v>41.225986764576639</v>
          </cell>
          <cell r="AX210">
            <v>41.509485553055463</v>
          </cell>
          <cell r="AY210">
            <v>42.035369641102697</v>
          </cell>
          <cell r="AZ210">
            <v>42.670576028766021</v>
          </cell>
          <cell r="BA210">
            <v>41.643794306471769</v>
          </cell>
          <cell r="BB210">
            <v>41.509485553055463</v>
          </cell>
          <cell r="BC210">
            <v>41.867228162538289</v>
          </cell>
          <cell r="BD210">
            <v>42.49989372465096</v>
          </cell>
          <cell r="BE210">
            <v>41.477219129245881</v>
          </cell>
          <cell r="BF210">
            <v>41.924580408586017</v>
          </cell>
          <cell r="BG210">
            <v>42.285900444163673</v>
          </cell>
          <cell r="BH210">
            <v>42.924892661897466</v>
          </cell>
          <cell r="BI210">
            <v>41.891991320538338</v>
          </cell>
          <cell r="BJ210">
            <v>84.268406621257881</v>
          </cell>
          <cell r="BK210">
            <v>43.131618453046947</v>
          </cell>
          <cell r="BL210">
            <v>43.783390515135416</v>
          </cell>
          <cell r="BM210">
            <v>42.729831146949103</v>
          </cell>
          <cell r="BN210">
            <v>85.953774753683035</v>
          </cell>
          <cell r="BO210">
            <v>43.994250822107887</v>
          </cell>
          <cell r="BP210">
            <v>44.659058325438124</v>
          </cell>
          <cell r="BQ210">
            <v>43.584427769888087</v>
          </cell>
          <cell r="BR210">
            <v>87.672850248756703</v>
          </cell>
          <cell r="BS210">
            <v>44.874135838550046</v>
          </cell>
          <cell r="BT210">
            <v>45.552239491946885</v>
          </cell>
          <cell r="BU210">
            <v>44.456116325285848</v>
          </cell>
        </row>
        <row r="211">
          <cell r="A211" t="str">
            <v xml:space="preserve"> % y/y growth</v>
          </cell>
          <cell r="G211">
            <v>-0.26138201645858106</v>
          </cell>
          <cell r="H211" t="e">
            <v>#REF!</v>
          </cell>
          <cell r="I211" t="e">
            <v>#REF!</v>
          </cell>
          <cell r="J211">
            <v>-0.11689305051452914</v>
          </cell>
          <cell r="K211">
            <v>-1.9491721003152773E-2</v>
          </cell>
          <cell r="L211">
            <v>2.6126657481432503E-2</v>
          </cell>
          <cell r="M211">
            <v>0.27182918591248062</v>
          </cell>
          <cell r="N211">
            <v>2.5000000000000001E-2</v>
          </cell>
          <cell r="O211">
            <v>2.5000000000000001E-2</v>
          </cell>
          <cell r="P211">
            <v>2.5000000000000001E-2</v>
          </cell>
          <cell r="Q211">
            <v>2.5000000000000001E-2</v>
          </cell>
          <cell r="AL211">
            <v>3.9096858622998054E-2</v>
          </cell>
          <cell r="AM211">
            <v>6.9598047388434781E-2</v>
          </cell>
          <cell r="AN211">
            <v>6.0422473096756191E-2</v>
          </cell>
          <cell r="AO211">
            <v>5.2666492373022677E-2</v>
          </cell>
          <cell r="AP211">
            <v>7.1021433575292336E-2</v>
          </cell>
          <cell r="AQ211">
            <v>5.2851207072353912E-2</v>
          </cell>
          <cell r="AR211">
            <v>7.3085012096849145E-2</v>
          </cell>
          <cell r="AS211">
            <v>8.3657182317566248E-2</v>
          </cell>
          <cell r="AT211">
            <v>0.35587125424669086</v>
          </cell>
          <cell r="AU211">
            <v>0.14852461479401002</v>
          </cell>
          <cell r="AV211">
            <v>0.12810589268173045</v>
          </cell>
          <cell r="AW211">
            <v>0.11251645972092406</v>
          </cell>
          <cell r="AX211">
            <v>-0.12099618890802066</v>
          </cell>
          <cell r="AY211">
            <v>2.1836895161690517E-2</v>
          </cell>
          <cell r="AZ211">
            <v>3.3568635153703008E-2</v>
          </cell>
          <cell r="BA211">
            <v>1.0134567409654682E-2</v>
          </cell>
          <cell r="BB211">
            <v>0</v>
          </cell>
          <cell r="BC211">
            <v>-4.0000000000000001E-3</v>
          </cell>
          <cell r="BD211">
            <v>-4.0000000000000001E-3</v>
          </cell>
          <cell r="BE211">
            <v>-4.0000000000000001E-3</v>
          </cell>
          <cell r="BF211">
            <v>0.01</v>
          </cell>
          <cell r="BG211">
            <v>0.01</v>
          </cell>
          <cell r="BH211">
            <v>0.01</v>
          </cell>
          <cell r="BI211">
            <v>0.01</v>
          </cell>
          <cell r="BJ211">
            <v>1.01</v>
          </cell>
          <cell r="BK211">
            <v>0.02</v>
          </cell>
          <cell r="BL211">
            <v>0.02</v>
          </cell>
          <cell r="BM211">
            <v>0.02</v>
          </cell>
          <cell r="BN211">
            <v>0.02</v>
          </cell>
          <cell r="BO211">
            <v>0.02</v>
          </cell>
          <cell r="BP211">
            <v>0.02</v>
          </cell>
          <cell r="BQ211">
            <v>0.02</v>
          </cell>
          <cell r="BR211">
            <v>0.02</v>
          </cell>
          <cell r="BS211">
            <v>0.02</v>
          </cell>
          <cell r="BT211">
            <v>0.02</v>
          </cell>
          <cell r="BU211">
            <v>0.02</v>
          </cell>
        </row>
        <row r="212">
          <cell r="A212" t="str">
            <v>Business voice revenue</v>
          </cell>
          <cell r="F212">
            <v>6834.9551060092726</v>
          </cell>
          <cell r="G212">
            <v>4934.670602990459</v>
          </cell>
          <cell r="H212" t="e">
            <v>#REF!</v>
          </cell>
          <cell r="I212">
            <v>11425.58976209534</v>
          </cell>
          <cell r="J212">
            <v>11274.404734039013</v>
          </cell>
          <cell r="K212">
            <v>9922.8117637129362</v>
          </cell>
          <cell r="L212">
            <v>8940.1113402031042</v>
          </cell>
          <cell r="M212">
            <v>10518.798873804462</v>
          </cell>
          <cell r="N212">
            <v>9851.0041580723118</v>
          </cell>
          <cell r="O212">
            <v>9310.0258100771389</v>
          </cell>
          <cell r="P212">
            <v>9035.7853062597878</v>
          </cell>
          <cell r="Q212">
            <v>8909.3640556647497</v>
          </cell>
          <cell r="AH212">
            <v>1703.3908139265336</v>
          </cell>
          <cell r="AI212">
            <v>1708.7310984308131</v>
          </cell>
          <cell r="AJ212">
            <v>1708.7010253209701</v>
          </cell>
          <cell r="AK212">
            <v>1714.1321683309557</v>
          </cell>
          <cell r="AL212">
            <v>1710.1364390156918</v>
          </cell>
          <cell r="AM212">
            <v>1787.0363450050293</v>
          </cell>
          <cell r="AN212">
            <v>1791.6871972358326</v>
          </cell>
          <cell r="AO212">
            <v>-354.18937826609476</v>
          </cell>
          <cell r="AP212">
            <v>1819.8380705887403</v>
          </cell>
          <cell r="AQ212" t="e">
            <v>#REF!</v>
          </cell>
          <cell r="AR212">
            <v>1893.5064657431233</v>
          </cell>
          <cell r="AS212">
            <v>1909.2259458501283</v>
          </cell>
          <cell r="AT212">
            <v>2865.5587849111002</v>
          </cell>
          <cell r="AU212">
            <v>2867.3356272387482</v>
          </cell>
          <cell r="AV212">
            <v>2858.6148898146707</v>
          </cell>
          <cell r="AW212">
            <v>2834.0804601308209</v>
          </cell>
          <cell r="AX212">
            <v>2830.9054052328297</v>
          </cell>
          <cell r="AY212">
            <v>2842.1164298590561</v>
          </cell>
          <cell r="AZ212">
            <v>2853.8294600918862</v>
          </cell>
          <cell r="BA212">
            <v>2747.553438855241</v>
          </cell>
          <cell r="BB212">
            <v>2689.1920215546979</v>
          </cell>
          <cell r="BC212">
            <v>2535.7724081204569</v>
          </cell>
          <cell r="BD212">
            <v>2401.6477444331636</v>
          </cell>
          <cell r="BE212">
            <v>2296.1995896046164</v>
          </cell>
          <cell r="BF212">
            <v>2280.2150415523806</v>
          </cell>
          <cell r="BG212">
            <v>2261.1116685503202</v>
          </cell>
          <cell r="BH212">
            <v>2248.4058776301895</v>
          </cell>
          <cell r="BI212">
            <v>2150.3787524702134</v>
          </cell>
          <cell r="BJ212">
            <v>4246.3692780518058</v>
          </cell>
          <cell r="BK212">
            <v>2131.715544614166</v>
          </cell>
          <cell r="BL212">
            <v>2117.6274656550395</v>
          </cell>
          <cell r="BM212">
            <v>2023.0865854834524</v>
          </cell>
          <cell r="BN212">
            <v>3979.9606093071625</v>
          </cell>
          <cell r="BO212">
            <v>1995.8431827957463</v>
          </cell>
          <cell r="BP212">
            <v>1983.3311097618696</v>
          </cell>
          <cell r="BQ212">
            <v>1891.8692562075321</v>
          </cell>
          <cell r="BR212">
            <v>3739.8607730612143</v>
          </cell>
          <cell r="BS212">
            <v>1883.905970774008</v>
          </cell>
          <cell r="BT212">
            <v>1879.9181477129021</v>
          </cell>
          <cell r="BU212">
            <v>1806.3409185290147</v>
          </cell>
        </row>
        <row r="213">
          <cell r="A213" t="str">
            <v xml:space="preserve"> % y/y growth</v>
          </cell>
          <cell r="G213">
            <v>-0.27802443081858563</v>
          </cell>
          <cell r="H213" t="e">
            <v>#REF!</v>
          </cell>
          <cell r="I213" t="e">
            <v>#REF!</v>
          </cell>
          <cell r="J213">
            <v>-1.3232142165464977E-2</v>
          </cell>
          <cell r="K213">
            <v>-0.11988153718177497</v>
          </cell>
          <cell r="L213">
            <v>-9.9034471973307281E-2</v>
          </cell>
          <cell r="M213">
            <v>0.17658477322336052</v>
          </cell>
          <cell r="N213">
            <v>-6.348583367205507E-2</v>
          </cell>
          <cell r="O213">
            <v>-5.4916061278065031E-2</v>
          </cell>
          <cell r="P213">
            <v>-2.9456470842488369E-2</v>
          </cell>
          <cell r="Q213">
            <v>-1.3991174680462626E-2</v>
          </cell>
          <cell r="AL213">
            <v>3.9601159252518059E-3</v>
          </cell>
          <cell r="AM213">
            <v>4.5826547340378276E-2</v>
          </cell>
          <cell r="AN213">
            <v>4.8566818118034538E-2</v>
          </cell>
          <cell r="AO213">
            <v>-1.2066289780973936</v>
          </cell>
          <cell r="AP213">
            <v>6.4147882631043096E-2</v>
          </cell>
          <cell r="AQ213" t="e">
            <v>#REF!</v>
          </cell>
          <cell r="AR213">
            <v>5.6828707971109393E-2</v>
          </cell>
          <cell r="AS213">
            <v>-6.3904099417000824</v>
          </cell>
          <cell r="AT213">
            <v>0.57462294652625667</v>
          </cell>
          <cell r="AU213" t="e">
            <v>#REF!</v>
          </cell>
          <cell r="AV213">
            <v>0.5096937568115365</v>
          </cell>
          <cell r="AW213">
            <v>0.48441333844794321</v>
          </cell>
          <cell r="AX213">
            <v>-1.2093061870076305E-2</v>
          </cell>
          <cell r="AY213">
            <v>-8.7953419683827194E-3</v>
          </cell>
          <cell r="AZ213">
            <v>-1.6740379194956079E-3</v>
          </cell>
          <cell r="BA213">
            <v>-3.0530897937733892E-2</v>
          </cell>
          <cell r="BB213">
            <v>-5.0059385034971315E-2</v>
          </cell>
          <cell r="BC213">
            <v>-0.10778728785357716</v>
          </cell>
          <cell r="BD213">
            <v>-0.15844735012447575</v>
          </cell>
          <cell r="BE213">
            <v>-0.16427482096169155</v>
          </cell>
          <cell r="BF213">
            <v>-0.15208173188238006</v>
          </cell>
          <cell r="BG213">
            <v>-0.10831442864926444</v>
          </cell>
          <cell r="BH213">
            <v>-6.3806970509383443E-2</v>
          </cell>
          <cell r="BI213">
            <v>-6.3505297098111591E-2</v>
          </cell>
          <cell r="BJ213">
            <v>0.86226702335971717</v>
          </cell>
          <cell r="BK213">
            <v>-5.7226772890484723E-2</v>
          </cell>
          <cell r="BL213">
            <v>-5.8164948453608312E-2</v>
          </cell>
          <cell r="BM213">
            <v>-5.919523099850954E-2</v>
          </cell>
          <cell r="BN213">
            <v>-6.2737988926594102E-2</v>
          </cell>
          <cell r="BO213">
            <v>-6.3738504962214448E-2</v>
          </cell>
          <cell r="BP213">
            <v>-6.3418310383327237E-2</v>
          </cell>
          <cell r="BQ213">
            <v>-6.4859967051070888E-2</v>
          </cell>
          <cell r="BR213">
            <v>-6.0327189089377731E-2</v>
          </cell>
          <cell r="BS213">
            <v>-5.6085173918793751E-2</v>
          </cell>
          <cell r="BT213">
            <v>-5.2141047725200007E-2</v>
          </cell>
          <cell r="BU213">
            <v>-4.5208376529131122E-2</v>
          </cell>
        </row>
        <row r="215">
          <cell r="A215" t="str">
            <v>Total Business In-Region Revenue</v>
          </cell>
          <cell r="F215">
            <v>7317</v>
          </cell>
          <cell r="G215">
            <v>5565.1727999527448</v>
          </cell>
          <cell r="H215" t="e">
            <v>#REF!</v>
          </cell>
          <cell r="I215">
            <v>12622</v>
          </cell>
          <cell r="J215">
            <v>12801.999999999998</v>
          </cell>
          <cell r="K215">
            <v>11633.324631458041</v>
          </cell>
          <cell r="L215">
            <v>10825.027179324661</v>
          </cell>
          <cell r="M215">
            <v>12531.716127007452</v>
          </cell>
          <cell r="N215">
            <v>11933.148522298201</v>
          </cell>
          <cell r="O215">
            <v>11440.69357170671</v>
          </cell>
          <cell r="P215">
            <v>11228.487132256912</v>
          </cell>
          <cell r="Q215">
            <v>11199.737179751826</v>
          </cell>
          <cell r="AH215">
            <v>1808</v>
          </cell>
          <cell r="AI215">
            <v>1824</v>
          </cell>
          <cell r="AJ215">
            <v>1834</v>
          </cell>
          <cell r="AK215">
            <v>1851</v>
          </cell>
          <cell r="AL215">
            <v>1860</v>
          </cell>
          <cell r="AM215">
            <v>1945</v>
          </cell>
          <cell r="AN215">
            <v>1951</v>
          </cell>
          <cell r="AO215">
            <v>1957</v>
          </cell>
          <cell r="AP215">
            <v>1991</v>
          </cell>
          <cell r="AQ215" t="e">
            <v>#REF!</v>
          </cell>
          <cell r="AR215">
            <v>2077.0000000000005</v>
          </cell>
          <cell r="AS215">
            <v>2098</v>
          </cell>
          <cell r="AT215">
            <v>3108</v>
          </cell>
          <cell r="AU215">
            <v>3166</v>
          </cell>
          <cell r="AV215">
            <v>3169.0000000000005</v>
          </cell>
          <cell r="AW215">
            <v>3179</v>
          </cell>
          <cell r="AX215">
            <v>3193</v>
          </cell>
          <cell r="AY215">
            <v>3218</v>
          </cell>
          <cell r="AZ215">
            <v>3241</v>
          </cell>
          <cell r="BA215">
            <v>3150</v>
          </cell>
          <cell r="BB215">
            <v>3104.0192973831186</v>
          </cell>
          <cell r="BC215">
            <v>2960.6871086273104</v>
          </cell>
          <cell r="BD215">
            <v>2832.7335457033691</v>
          </cell>
          <cell r="BE215">
            <v>2735.8846797442407</v>
          </cell>
          <cell r="BF215">
            <v>2739.6102010960039</v>
          </cell>
          <cell r="BG215">
            <v>2728.3474161344016</v>
          </cell>
          <cell r="BH215">
            <v>2722.1787237130711</v>
          </cell>
          <cell r="BI215">
            <v>2634.8908383811849</v>
          </cell>
          <cell r="BJ215">
            <v>4741.4489623209111</v>
          </cell>
          <cell r="BK215">
            <v>2633.7718613085035</v>
          </cell>
          <cell r="BL215">
            <v>2623.736058020158</v>
          </cell>
          <cell r="BM215">
            <v>2532.7592453578827</v>
          </cell>
          <cell r="BN215">
            <v>4494.582706323903</v>
          </cell>
          <cell r="BO215">
            <v>2514.0583399073566</v>
          </cell>
          <cell r="BP215">
            <v>2503.6687076916437</v>
          </cell>
          <cell r="BQ215">
            <v>2415.5728565002041</v>
          </cell>
          <cell r="BR215">
            <v>4269.0227343025281</v>
          </cell>
          <cell r="BS215">
            <v>2416.3846083457797</v>
          </cell>
          <cell r="BT215">
            <v>2413.6105376000087</v>
          </cell>
          <cell r="BU215">
            <v>2341.2525227280494</v>
          </cell>
        </row>
        <row r="216">
          <cell r="A216" t="str">
            <v xml:space="preserve"> % y/y growth</v>
          </cell>
          <cell r="G216">
            <v>-0.23941877819424018</v>
          </cell>
          <cell r="H216" t="e">
            <v>#REF!</v>
          </cell>
          <cell r="I216" t="e">
            <v>#REF!</v>
          </cell>
          <cell r="J216">
            <v>1.4260814450958392E-2</v>
          </cell>
          <cell r="K216">
            <v>-9.1288499339318596E-2</v>
          </cell>
          <cell r="L216">
            <v>-6.9481208316635179E-2</v>
          </cell>
          <cell r="M216">
            <v>0.15766140069768086</v>
          </cell>
          <cell r="N216">
            <v>-4.7764216699679451E-2</v>
          </cell>
          <cell r="O216">
            <v>-4.126781374348043E-2</v>
          </cell>
          <cell r="P216">
            <v>-1.8548389406617183E-2</v>
          </cell>
          <cell r="Q216">
            <v>-2.5604475622093004E-3</v>
          </cell>
          <cell r="AL216">
            <v>2.8761061946902755E-2</v>
          </cell>
          <cell r="AM216">
            <v>6.6337719298245723E-2</v>
          </cell>
          <cell r="AN216">
            <v>6.3794983642311953E-2</v>
          </cell>
          <cell r="AO216">
            <v>5.7266342517558133E-2</v>
          </cell>
          <cell r="AP216">
            <v>7.0430107526881613E-2</v>
          </cell>
          <cell r="AQ216" t="e">
            <v>#REF!</v>
          </cell>
          <cell r="AR216">
            <v>6.4582265504869563E-2</v>
          </cell>
          <cell r="AS216">
            <v>7.2049054675523694E-2</v>
          </cell>
          <cell r="AT216">
            <v>0.56102461074836762</v>
          </cell>
          <cell r="AU216" t="e">
            <v>#REF!</v>
          </cell>
          <cell r="AV216">
            <v>0.52575830524795375</v>
          </cell>
          <cell r="AW216">
            <v>0.51525262154432783</v>
          </cell>
          <cell r="AX216">
            <v>2.7348777348777276E-2</v>
          </cell>
          <cell r="AY216">
            <v>1.6424510423246996E-2</v>
          </cell>
          <cell r="AZ216">
            <v>2.2720100978226521E-2</v>
          </cell>
          <cell r="BA216">
            <v>-9.1223655237495649E-3</v>
          </cell>
          <cell r="BB216">
            <v>-2.786742956995969E-2</v>
          </cell>
          <cell r="BC216">
            <v>-7.9960500737318085E-2</v>
          </cell>
          <cell r="BD216">
            <v>-0.12596928549726349</v>
          </cell>
          <cell r="BE216">
            <v>-0.13146518103357441</v>
          </cell>
          <cell r="BF216">
            <v>-0.11739910785810326</v>
          </cell>
          <cell r="BG216">
            <v>-7.8474922870397701E-2</v>
          </cell>
          <cell r="BH216">
            <v>-3.9027610682969227E-2</v>
          </cell>
          <cell r="BI216">
            <v>-3.6914509632217762E-2</v>
          </cell>
          <cell r="BJ216">
            <v>0.73070203944490153</v>
          </cell>
          <cell r="BK216">
            <v>-3.4664043980108361E-2</v>
          </cell>
          <cell r="BL216">
            <v>-3.6163189740399004E-2</v>
          </cell>
          <cell r="BM216">
            <v>-3.8761223628546837E-2</v>
          </cell>
          <cell r="BN216">
            <v>-5.2065572772962754E-2</v>
          </cell>
          <cell r="BO216">
            <v>-4.5453261597863337E-2</v>
          </cell>
          <cell r="BP216">
            <v>-4.5761977452532188E-2</v>
          </cell>
          <cell r="BQ216">
            <v>-4.6268270098100084E-2</v>
          </cell>
          <cell r="BR216">
            <v>-5.0184852912821265E-2</v>
          </cell>
          <cell r="BS216">
            <v>-3.8851020285064708E-2</v>
          </cell>
          <cell r="BT216">
            <v>-3.5970481963113921E-2</v>
          </cell>
          <cell r="BU216">
            <v>-3.0767167122350281E-2</v>
          </cell>
        </row>
        <row r="217">
          <cell r="A217" t="str">
            <v xml:space="preserve"> check</v>
          </cell>
          <cell r="F217">
            <v>0</v>
          </cell>
          <cell r="G217">
            <v>-2147.8272000472552</v>
          </cell>
          <cell r="H217" t="e">
            <v>#REF!</v>
          </cell>
          <cell r="I217">
            <v>0</v>
          </cell>
          <cell r="J217">
            <v>0</v>
          </cell>
          <cell r="K217">
            <v>8897.4399517138008</v>
          </cell>
          <cell r="L217">
            <v>0</v>
          </cell>
          <cell r="M217">
            <v>0</v>
          </cell>
          <cell r="N217">
            <v>0</v>
          </cell>
          <cell r="O217">
            <v>0</v>
          </cell>
          <cell r="P217">
            <v>0</v>
          </cell>
          <cell r="Q217">
            <v>0</v>
          </cell>
          <cell r="AH217">
            <v>0</v>
          </cell>
          <cell r="AI217">
            <v>0</v>
          </cell>
          <cell r="AJ217">
            <v>0</v>
          </cell>
          <cell r="AK217">
            <v>0</v>
          </cell>
          <cell r="AL217">
            <v>0</v>
          </cell>
          <cell r="AM217">
            <v>0</v>
          </cell>
          <cell r="AN217">
            <v>0</v>
          </cell>
          <cell r="AO217">
            <v>0</v>
          </cell>
          <cell r="AP217">
            <v>0</v>
          </cell>
          <cell r="AQ217" t="e">
            <v>#REF!</v>
          </cell>
          <cell r="AR217">
            <v>0</v>
          </cell>
          <cell r="AS217">
            <v>0</v>
          </cell>
          <cell r="AT217">
            <v>0</v>
          </cell>
          <cell r="AU217">
            <v>0</v>
          </cell>
          <cell r="AV217">
            <v>0</v>
          </cell>
          <cell r="AW217">
            <v>0</v>
          </cell>
        </row>
        <row r="219">
          <cell r="A219" t="str">
            <v>WHOLESALE</v>
          </cell>
        </row>
        <row r="221">
          <cell r="A221" t="str">
            <v>Wholesale lines</v>
          </cell>
          <cell r="C221">
            <v>4162</v>
          </cell>
          <cell r="D221">
            <v>6274</v>
          </cell>
          <cell r="E221">
            <v>7577</v>
          </cell>
          <cell r="F221">
            <v>7276</v>
          </cell>
          <cell r="G221">
            <v>5273</v>
          </cell>
          <cell r="H221">
            <v>3864</v>
          </cell>
          <cell r="I221">
            <v>3754</v>
          </cell>
          <cell r="J221">
            <v>3170</v>
          </cell>
          <cell r="K221">
            <v>2908</v>
          </cell>
          <cell r="L221">
            <v>2430</v>
          </cell>
          <cell r="M221">
            <v>2167</v>
          </cell>
          <cell r="N221">
            <v>1940</v>
          </cell>
          <cell r="O221">
            <v>1740</v>
          </cell>
          <cell r="P221">
            <v>1590</v>
          </cell>
          <cell r="Q221">
            <v>1510</v>
          </cell>
          <cell r="AG221">
            <v>7577</v>
          </cell>
          <cell r="AH221">
            <v>7697</v>
          </cell>
          <cell r="AI221">
            <v>7817</v>
          </cell>
          <cell r="AJ221">
            <v>7590</v>
          </cell>
          <cell r="AK221">
            <v>7276</v>
          </cell>
          <cell r="AL221">
            <v>6921</v>
          </cell>
          <cell r="AM221">
            <v>6375</v>
          </cell>
          <cell r="AN221">
            <v>5795</v>
          </cell>
          <cell r="AO221">
            <v>5273</v>
          </cell>
          <cell r="AP221">
            <v>4975</v>
          </cell>
          <cell r="AQ221">
            <v>4639</v>
          </cell>
          <cell r="AR221">
            <v>4236</v>
          </cell>
          <cell r="AS221">
            <v>3864</v>
          </cell>
          <cell r="AT221">
            <v>5451</v>
          </cell>
          <cell r="AU221">
            <v>4572</v>
          </cell>
          <cell r="AV221">
            <v>4090</v>
          </cell>
          <cell r="AW221">
            <v>3754</v>
          </cell>
          <cell r="AX221">
            <v>3590</v>
          </cell>
          <cell r="AY221">
            <v>3412</v>
          </cell>
          <cell r="AZ221">
            <v>3281</v>
          </cell>
          <cell r="BA221">
            <v>3170</v>
          </cell>
          <cell r="BB221">
            <v>3053</v>
          </cell>
          <cell r="BC221">
            <v>2961</v>
          </cell>
          <cell r="BD221">
            <v>2936</v>
          </cell>
          <cell r="BE221">
            <v>2908</v>
          </cell>
          <cell r="BF221">
            <v>2741</v>
          </cell>
          <cell r="BG221">
            <v>2641</v>
          </cell>
          <cell r="BH221">
            <v>2605</v>
          </cell>
          <cell r="BI221">
            <v>2430</v>
          </cell>
          <cell r="BJ221">
            <v>2322</v>
          </cell>
          <cell r="BK221">
            <v>2270</v>
          </cell>
          <cell r="BL221">
            <v>2206</v>
          </cell>
          <cell r="BM221">
            <v>2167</v>
          </cell>
          <cell r="BN221">
            <v>2085</v>
          </cell>
          <cell r="BO221">
            <v>1985</v>
          </cell>
          <cell r="BP221">
            <v>1980</v>
          </cell>
          <cell r="BQ221">
            <v>1940</v>
          </cell>
          <cell r="BR221">
            <v>1885</v>
          </cell>
          <cell r="BS221">
            <v>1805</v>
          </cell>
          <cell r="BT221">
            <v>1770</v>
          </cell>
          <cell r="BU221">
            <v>1740</v>
          </cell>
        </row>
        <row r="222">
          <cell r="A222" t="str">
            <v xml:space="preserve"> % y/y growth</v>
          </cell>
          <cell r="D222">
            <v>0.50744834214320034</v>
          </cell>
          <cell r="E222">
            <v>0.20768249920306014</v>
          </cell>
          <cell r="F222">
            <v>-3.9725485020456697E-2</v>
          </cell>
          <cell r="G222">
            <v>-0.27528862012094557</v>
          </cell>
          <cell r="H222">
            <v>-0.26721031670775652</v>
          </cell>
          <cell r="I222">
            <v>-2.8467908902691463E-2</v>
          </cell>
          <cell r="J222">
            <v>-0.15556739477890247</v>
          </cell>
          <cell r="K222">
            <v>-8.264984227129335E-2</v>
          </cell>
          <cell r="L222">
            <v>-0.16437414030261344</v>
          </cell>
          <cell r="M222">
            <v>-0.10823045267489717</v>
          </cell>
          <cell r="N222">
            <v>-0.10475311490539918</v>
          </cell>
          <cell r="O222">
            <v>-0.10309278350515461</v>
          </cell>
          <cell r="P222">
            <v>-8.6206896551724088E-2</v>
          </cell>
          <cell r="Q222">
            <v>-5.031446540880502E-2</v>
          </cell>
          <cell r="AK222">
            <v>-3.9725485020456697E-2</v>
          </cell>
          <cell r="AL222">
            <v>-0.10081850071456411</v>
          </cell>
          <cell r="AM222">
            <v>-0.1844697454266343</v>
          </cell>
          <cell r="AN222">
            <v>-0.23649538866930175</v>
          </cell>
          <cell r="AO222">
            <v>-0.27528862012094557</v>
          </cell>
          <cell r="AP222">
            <v>-0.28117324086114726</v>
          </cell>
          <cell r="AQ222">
            <v>-0.27231372549019606</v>
          </cell>
          <cell r="AR222">
            <v>-0.26902502157031927</v>
          </cell>
          <cell r="AS222">
            <v>-0.26721031670775652</v>
          </cell>
          <cell r="AT222">
            <v>9.5678391959798992E-2</v>
          </cell>
          <cell r="AU222">
            <v>-1.4442767837896109E-2</v>
          </cell>
          <cell r="AV222">
            <v>-3.4466477809254048E-2</v>
          </cell>
          <cell r="AW222">
            <v>-2.8467908902691463E-2</v>
          </cell>
          <cell r="AX222">
            <v>-0.34140524674371675</v>
          </cell>
          <cell r="AY222">
            <v>-0.25371828521434825</v>
          </cell>
          <cell r="AZ222">
            <v>-0.19779951100244497</v>
          </cell>
          <cell r="BA222">
            <v>-0.15556739477890247</v>
          </cell>
          <cell r="BB222">
            <v>-0.14958217270194984</v>
          </cell>
          <cell r="BC222">
            <v>-0.13218053927315354</v>
          </cell>
          <cell r="BD222">
            <v>-0.10515086863761047</v>
          </cell>
          <cell r="BE222">
            <v>-8.264984227129335E-2</v>
          </cell>
          <cell r="BF222">
            <v>-0.10219456272518834</v>
          </cell>
          <cell r="BG222">
            <v>-0.10807159743329953</v>
          </cell>
          <cell r="BH222">
            <v>-0.1127384196185286</v>
          </cell>
          <cell r="BI222">
            <v>-0.16437414030261344</v>
          </cell>
          <cell r="BJ222">
            <v>-0.15286391827800072</v>
          </cell>
          <cell r="BK222">
            <v>-0.14047709201060199</v>
          </cell>
          <cell r="BL222">
            <v>-0.15316698656429939</v>
          </cell>
          <cell r="BM222">
            <v>-0.10823045267489717</v>
          </cell>
          <cell r="BN222">
            <v>-0.1020671834625323</v>
          </cell>
          <cell r="BO222">
            <v>-0.12555066079295152</v>
          </cell>
          <cell r="BP222">
            <v>-0.10244786944696282</v>
          </cell>
          <cell r="BQ222">
            <v>-0.10475311490539918</v>
          </cell>
          <cell r="BR222">
            <v>-9.5923261390887249E-2</v>
          </cell>
          <cell r="BS222">
            <v>-9.0680100755667459E-2</v>
          </cell>
          <cell r="BT222">
            <v>-0.10606060606060608</v>
          </cell>
          <cell r="BU222">
            <v>-0.10309278350515461</v>
          </cell>
        </row>
        <row r="223">
          <cell r="A223" t="str">
            <v xml:space="preserve"> Average wholesale lines</v>
          </cell>
          <cell r="D223">
            <v>5218</v>
          </cell>
          <cell r="E223">
            <v>6925.5</v>
          </cell>
          <cell r="F223">
            <v>7426.5</v>
          </cell>
          <cell r="G223">
            <v>6274.5</v>
          </cell>
          <cell r="H223">
            <v>4568.5</v>
          </cell>
          <cell r="I223">
            <v>3809</v>
          </cell>
          <cell r="J223">
            <v>3462</v>
          </cell>
          <cell r="K223">
            <v>3039</v>
          </cell>
          <cell r="L223">
            <v>2669</v>
          </cell>
          <cell r="M223">
            <v>2298.5</v>
          </cell>
          <cell r="N223">
            <v>2053.5</v>
          </cell>
          <cell r="O223">
            <v>1840</v>
          </cell>
          <cell r="P223">
            <v>1665</v>
          </cell>
          <cell r="Q223">
            <v>1550</v>
          </cell>
          <cell r="AH223">
            <v>7637</v>
          </cell>
          <cell r="AI223">
            <v>7757</v>
          </cell>
          <cell r="AJ223">
            <v>7703.5</v>
          </cell>
          <cell r="AK223">
            <v>7433</v>
          </cell>
          <cell r="AL223">
            <v>7098.5</v>
          </cell>
          <cell r="AM223">
            <v>6648</v>
          </cell>
          <cell r="AN223">
            <v>6085</v>
          </cell>
          <cell r="AO223">
            <v>5534</v>
          </cell>
          <cell r="AP223">
            <v>5124</v>
          </cell>
          <cell r="AQ223">
            <v>4807</v>
          </cell>
          <cell r="AR223">
            <v>4437.5</v>
          </cell>
          <cell r="AS223">
            <v>4050</v>
          </cell>
          <cell r="AT223">
            <v>4657.5</v>
          </cell>
          <cell r="AU223">
            <v>5011.5</v>
          </cell>
          <cell r="AV223">
            <v>4331</v>
          </cell>
          <cell r="AW223">
            <v>3922</v>
          </cell>
          <cell r="AX223">
            <v>3672</v>
          </cell>
          <cell r="AY223">
            <v>3501</v>
          </cell>
          <cell r="AZ223">
            <v>3346.5</v>
          </cell>
          <cell r="BA223">
            <v>3225.5</v>
          </cell>
          <cell r="BB223">
            <v>3111.5</v>
          </cell>
          <cell r="BC223">
            <v>3007</v>
          </cell>
          <cell r="BD223">
            <v>2948.5</v>
          </cell>
          <cell r="BE223">
            <v>2922</v>
          </cell>
          <cell r="BF223">
            <v>2824.5</v>
          </cell>
          <cell r="BG223">
            <v>2691</v>
          </cell>
          <cell r="BH223">
            <v>2623</v>
          </cell>
          <cell r="BI223">
            <v>2517.5</v>
          </cell>
          <cell r="BJ223">
            <v>2376</v>
          </cell>
          <cell r="BK223">
            <v>2296</v>
          </cell>
          <cell r="BL223">
            <v>2238</v>
          </cell>
          <cell r="BM223">
            <v>2186.5</v>
          </cell>
          <cell r="BN223">
            <v>2126</v>
          </cell>
          <cell r="BO223">
            <v>2035</v>
          </cell>
          <cell r="BP223">
            <v>1982.5</v>
          </cell>
          <cell r="BQ223">
            <v>1960</v>
          </cell>
          <cell r="BR223">
            <v>1912.5</v>
          </cell>
          <cell r="BS223">
            <v>1845</v>
          </cell>
          <cell r="BT223">
            <v>1787.5</v>
          </cell>
          <cell r="BU223">
            <v>1755</v>
          </cell>
        </row>
        <row r="224">
          <cell r="J224">
            <v>32.343144726979119</v>
          </cell>
        </row>
        <row r="225">
          <cell r="A225" t="str">
            <v>Wireline ARPU (assumed)</v>
          </cell>
          <cell r="F225">
            <v>26.705360197636899</v>
          </cell>
          <cell r="G225">
            <v>30.424478191324081</v>
          </cell>
          <cell r="H225">
            <v>31.27113658750136</v>
          </cell>
          <cell r="I225">
            <v>35.929909999343657</v>
          </cell>
          <cell r="J225">
            <v>31.763781231224719</v>
          </cell>
          <cell r="K225">
            <v>31.730347995325772</v>
          </cell>
          <cell r="L225">
            <v>31.941790766599116</v>
          </cell>
          <cell r="M225">
            <v>31.519370260385582</v>
          </cell>
          <cell r="N225">
            <v>31.102536137395631</v>
          </cell>
          <cell r="O225">
            <v>30.691214519403509</v>
          </cell>
          <cell r="P225">
            <v>30.285332505200618</v>
          </cell>
          <cell r="Q225">
            <v>29.884818157674758</v>
          </cell>
          <cell r="AD225">
            <v>25.384337199152014</v>
          </cell>
          <cell r="AE225">
            <v>23.104048685656327</v>
          </cell>
          <cell r="AF225">
            <v>20.873244952501921</v>
          </cell>
          <cell r="AG225">
            <v>21.724751120905839</v>
          </cell>
          <cell r="AH225">
            <v>24.741979977753061</v>
          </cell>
          <cell r="AI225">
            <v>24.459238854657482</v>
          </cell>
          <cell r="AJ225">
            <v>29.078375496752933</v>
          </cell>
          <cell r="AK225">
            <v>25.645008409267763</v>
          </cell>
          <cell r="AL225">
            <v>28.807468989179203</v>
          </cell>
          <cell r="AM225">
            <v>29.151579280757822</v>
          </cell>
          <cell r="AN225">
            <v>29.852769916398291</v>
          </cell>
          <cell r="AO225">
            <v>33.185748288110148</v>
          </cell>
          <cell r="AP225">
            <v>32</v>
          </cell>
          <cell r="AQ225">
            <v>31</v>
          </cell>
          <cell r="AR225">
            <v>30.5</v>
          </cell>
          <cell r="AS225">
            <v>30.4</v>
          </cell>
          <cell r="AT225">
            <v>30.4</v>
          </cell>
          <cell r="AU225">
            <v>30.581500000000002</v>
          </cell>
          <cell r="AV225">
            <v>30.6525</v>
          </cell>
          <cell r="AW225">
            <v>30.551999999999996</v>
          </cell>
          <cell r="AX225">
            <v>31.552</v>
          </cell>
          <cell r="AY225">
            <v>31.193130000000004</v>
          </cell>
          <cell r="AZ225">
            <v>32.193129999999996</v>
          </cell>
          <cell r="BA225">
            <v>33.193129999999996</v>
          </cell>
          <cell r="BB225">
            <v>31.23648</v>
          </cell>
          <cell r="BC225">
            <v>31.505061300000005</v>
          </cell>
          <cell r="BD225">
            <v>32.515061299999999</v>
          </cell>
          <cell r="BE225">
            <v>33.509727973658471</v>
          </cell>
          <cell r="BF225">
            <v>31.086544895999999</v>
          </cell>
          <cell r="BG225">
            <v>31.353837005760003</v>
          </cell>
          <cell r="BH225">
            <v>32.358989005760002</v>
          </cell>
          <cell r="BI225">
            <v>33.348881279384912</v>
          </cell>
          <cell r="BJ225">
            <v>30.937329480499198</v>
          </cell>
          <cell r="BK225">
            <v>31.203338588132354</v>
          </cell>
          <cell r="BL225">
            <v>32.203665858532354</v>
          </cell>
          <cell r="BM225">
            <v>33.188806649243865</v>
          </cell>
          <cell r="BN225">
            <v>30.788830298992799</v>
          </cell>
          <cell r="BO225">
            <v>31.053562562909317</v>
          </cell>
          <cell r="BP225">
            <v>32.049088262411395</v>
          </cell>
          <cell r="BQ225">
            <v>33.029500377327494</v>
          </cell>
          <cell r="BR225">
            <v>30.641043913557635</v>
          </cell>
          <cell r="BS225">
            <v>30.90450546260735</v>
          </cell>
          <cell r="BT225">
            <v>31.89525263875182</v>
          </cell>
          <cell r="BU225">
            <v>32.870958775516321</v>
          </cell>
        </row>
        <row r="226">
          <cell r="A226" t="str">
            <v xml:space="preserve"> % y/y growth</v>
          </cell>
          <cell r="G226">
            <v>0.13926485043314552</v>
          </cell>
          <cell r="H226">
            <v>2.7828197770659369E-2</v>
          </cell>
          <cell r="I226">
            <v>0.14897998346834451</v>
          </cell>
          <cell r="J226">
            <v>-0.11595155034329452</v>
          </cell>
          <cell r="K226">
            <v>-1.0525584361499307E-3</v>
          </cell>
          <cell r="L226">
            <v>6.6637394365953728E-3</v>
          </cell>
          <cell r="M226">
            <v>-1.3224697052841794E-2</v>
          </cell>
          <cell r="N226">
            <v>-1.3224697052841794E-2</v>
          </cell>
          <cell r="O226">
            <v>-1.3224697052841794E-2</v>
          </cell>
          <cell r="P226">
            <v>-1.3224697052841794E-2</v>
          </cell>
          <cell r="Q226">
            <v>-1.3224697052841794E-2</v>
          </cell>
          <cell r="AH226">
            <v>-2.5305258764858007E-2</v>
          </cell>
          <cell r="AI226">
            <v>5.8655960582462585E-2</v>
          </cell>
          <cell r="AJ226">
            <v>0.39309319480139204</v>
          </cell>
          <cell r="AK226">
            <v>0.18045119442539614</v>
          </cell>
          <cell r="AL226">
            <v>0.16431542726498272</v>
          </cell>
          <cell r="AM226">
            <v>0.19184327255575395</v>
          </cell>
          <cell r="AN226">
            <v>2.6631282058099615E-2</v>
          </cell>
          <cell r="AO226">
            <v>0.29404318214679392</v>
          </cell>
          <cell r="AP226">
            <v>0.11082303037521246</v>
          </cell>
          <cell r="AQ226">
            <v>6.3407224062892231E-2</v>
          </cell>
          <cell r="AR226">
            <v>2.1680738015743772E-2</v>
          </cell>
          <cell r="AS226">
            <v>-8.3944115525887764E-2</v>
          </cell>
          <cell r="AT226">
            <v>-5.0000000000000044E-2</v>
          </cell>
          <cell r="AU226">
            <v>-1.3499999999999956E-2</v>
          </cell>
          <cell r="AV226">
            <v>4.9999999999998934E-3</v>
          </cell>
          <cell r="AW226">
            <v>4.9999999999998934E-3</v>
          </cell>
          <cell r="AX226">
            <v>3.7894736842105203E-2</v>
          </cell>
          <cell r="AY226">
            <v>2.0000000000000018E-2</v>
          </cell>
          <cell r="AZ226">
            <v>5.0261153250142687E-2</v>
          </cell>
          <cell r="BA226">
            <v>8.6447041110238265E-2</v>
          </cell>
          <cell r="BB226">
            <v>-0.01</v>
          </cell>
          <cell r="BC226">
            <v>0.01</v>
          </cell>
          <cell r="BD226">
            <v>0.01</v>
          </cell>
          <cell r="BE226">
            <v>9.5380572322789625E-3</v>
          </cell>
          <cell r="BF226">
            <v>-4.7999999999999996E-3</v>
          </cell>
          <cell r="BG226">
            <v>-4.7999999999999996E-3</v>
          </cell>
          <cell r="BH226">
            <v>-4.7999999999999996E-3</v>
          </cell>
          <cell r="BI226">
            <v>-4.7999999999999996E-3</v>
          </cell>
          <cell r="BJ226">
            <v>-4.7999999999999996E-3</v>
          </cell>
          <cell r="BK226">
            <v>-4.7999999999999996E-3</v>
          </cell>
          <cell r="BL226">
            <v>-4.7999999999999996E-3</v>
          </cell>
          <cell r="BM226">
            <v>-4.7999999999999996E-3</v>
          </cell>
          <cell r="BN226">
            <v>-4.7999999999999996E-3</v>
          </cell>
          <cell r="BO226">
            <v>-4.7999999999999996E-3</v>
          </cell>
          <cell r="BP226">
            <v>-4.7999999999999996E-3</v>
          </cell>
          <cell r="BQ226">
            <v>-4.7999999999999996E-3</v>
          </cell>
          <cell r="BR226">
            <v>-4.7999999999999996E-3</v>
          </cell>
          <cell r="BS226">
            <v>-4.7999999999999996E-3</v>
          </cell>
          <cell r="BT226">
            <v>-4.7999999999999996E-3</v>
          </cell>
          <cell r="BU226">
            <v>-4.7999999999999996E-3</v>
          </cell>
        </row>
        <row r="228">
          <cell r="A228" t="str">
            <v>Implied switched wholesale revenue</v>
          </cell>
          <cell r="F228">
            <v>2379.9282900930052</v>
          </cell>
          <cell r="G228">
            <v>2290.7806609375552</v>
          </cell>
          <cell r="H228">
            <v>1714.3462499999998</v>
          </cell>
          <cell r="I228">
            <v>1642.28432625</v>
          </cell>
          <cell r="J228">
            <v>1319.5945274699998</v>
          </cell>
          <cell r="K228">
            <v>1157.1423306935403</v>
          </cell>
          <cell r="L228">
            <v>1023.0316746726365</v>
          </cell>
          <cell r="M228">
            <v>869.36727052195522</v>
          </cell>
          <cell r="N228">
            <v>766.42869549770319</v>
          </cell>
          <cell r="O228">
            <v>677.66201658842954</v>
          </cell>
          <cell r="P228">
            <v>605.10094345390837</v>
          </cell>
          <cell r="Q228">
            <v>555.85761773275055</v>
          </cell>
          <cell r="AH228">
            <v>566.86350327030038</v>
          </cell>
          <cell r="AI228">
            <v>569.19094738673425</v>
          </cell>
          <cell r="AJ228">
            <v>672.01579691770871</v>
          </cell>
          <cell r="AK228">
            <v>571.85804251826187</v>
          </cell>
          <cell r="AL228">
            <v>613.46945585906565</v>
          </cell>
          <cell r="AM228">
            <v>581.39909717543389</v>
          </cell>
          <cell r="AN228">
            <v>544.96231482385087</v>
          </cell>
          <cell r="AO228">
            <v>550.9497930792046</v>
          </cell>
          <cell r="AP228">
            <v>491.904</v>
          </cell>
          <cell r="AQ228">
            <v>447.05100000000004</v>
          </cell>
          <cell r="AR228">
            <v>406.03125</v>
          </cell>
          <cell r="AS228">
            <v>369.35999999999996</v>
          </cell>
          <cell r="AT228">
            <v>424.7639999999999</v>
          </cell>
          <cell r="AU228">
            <v>459.77756175000002</v>
          </cell>
          <cell r="AV228">
            <v>398.26793250000003</v>
          </cell>
          <cell r="AW228">
            <v>359.47483199999999</v>
          </cell>
          <cell r="AX228">
            <v>347.57683200000002</v>
          </cell>
          <cell r="AY228">
            <v>327.62144439000008</v>
          </cell>
          <cell r="AZ228">
            <v>323.20292863499992</v>
          </cell>
          <cell r="BA228">
            <v>321.19332244499992</v>
          </cell>
          <cell r="BB228">
            <v>291.57692256000001</v>
          </cell>
          <cell r="BC228">
            <v>284.20715798730004</v>
          </cell>
          <cell r="BD228">
            <v>287.61197472915001</v>
          </cell>
          <cell r="BE228">
            <v>293.74627541709015</v>
          </cell>
          <cell r="BF228">
            <v>263.41183817625603</v>
          </cell>
          <cell r="BG228">
            <v>253.11952614750049</v>
          </cell>
          <cell r="BH228">
            <v>254.63288448632545</v>
          </cell>
          <cell r="BI228">
            <v>251.86742586255457</v>
          </cell>
          <cell r="BJ228">
            <v>220.52128453699825</v>
          </cell>
          <cell r="BK228">
            <v>214.92859619505563</v>
          </cell>
          <cell r="BL228">
            <v>216.21541257418622</v>
          </cell>
          <cell r="BM228">
            <v>217.70197721571512</v>
          </cell>
          <cell r="BN228">
            <v>196.37115964697608</v>
          </cell>
          <cell r="BO228">
            <v>189.58199944656138</v>
          </cell>
          <cell r="BP228">
            <v>190.61195244069174</v>
          </cell>
          <cell r="BQ228">
            <v>194.21346221868566</v>
          </cell>
          <cell r="BR228">
            <v>175.80298945403692</v>
          </cell>
          <cell r="BS228">
            <v>171.05643773553169</v>
          </cell>
          <cell r="BT228">
            <v>171.03829227530665</v>
          </cell>
          <cell r="BU228">
            <v>173.0655979530934</v>
          </cell>
        </row>
        <row r="229">
          <cell r="A229" t="str">
            <v xml:space="preserve"> % y/y growth</v>
          </cell>
          <cell r="G229">
            <v>-3.7458115661109348E-2</v>
          </cell>
          <cell r="H229">
            <v>-0.25163230193397745</v>
          </cell>
          <cell r="I229">
            <v>-4.203463783935113E-2</v>
          </cell>
          <cell r="J229">
            <v>-0.19648838731648355</v>
          </cell>
          <cell r="K229">
            <v>-0.12310766178147303</v>
          </cell>
          <cell r="L229">
            <v>-0.11589815052442487</v>
          </cell>
          <cell r="M229">
            <v>-0.15020493299960913</v>
          </cell>
          <cell r="N229">
            <v>-0.11840631516119671</v>
          </cell>
          <cell r="O229">
            <v>-0.11581857442280441</v>
          </cell>
          <cell r="P229">
            <v>-0.10707560901792479</v>
          </cell>
          <cell r="Q229">
            <v>-8.1380348607750563E-2</v>
          </cell>
          <cell r="AL229">
            <v>8.2217239811507081E-2</v>
          </cell>
          <cell r="AM229">
            <v>2.1448250090324805E-2</v>
          </cell>
          <cell r="AN229">
            <v>-0.18906323731764318</v>
          </cell>
          <cell r="AO229">
            <v>-3.6561957486834773E-2</v>
          </cell>
          <cell r="AP229">
            <v>-0.19816056805767568</v>
          </cell>
          <cell r="AQ229">
            <v>-0.23107723735404262</v>
          </cell>
          <cell r="AR229">
            <v>-0.25493701315614425</v>
          </cell>
          <cell r="AS229">
            <v>-0.32959408526921663</v>
          </cell>
          <cell r="AT229">
            <v>-0.13649004683840771</v>
          </cell>
          <cell r="AU229">
            <v>2.8467807364260356E-2</v>
          </cell>
          <cell r="AV229">
            <v>-1.9119999999999915E-2</v>
          </cell>
          <cell r="AW229">
            <v>-2.6762962962962877E-2</v>
          </cell>
          <cell r="AX229">
            <v>-0.18171777269260081</v>
          </cell>
          <cell r="AY229">
            <v>-0.28743489973061942</v>
          </cell>
          <cell r="AZ229">
            <v>-0.18847865404026753</v>
          </cell>
          <cell r="BA229">
            <v>-0.10649287835260768</v>
          </cell>
          <cell r="BB229">
            <v>-0.16111519607843139</v>
          </cell>
          <cell r="BC229">
            <v>-0.13251356755212806</v>
          </cell>
          <cell r="BD229">
            <v>-0.11011952786493329</v>
          </cell>
          <cell r="BE229">
            <v>-8.5453355066588355E-2</v>
          </cell>
          <cell r="BF229">
            <v>-9.6595725534308174E-2</v>
          </cell>
          <cell r="BG229">
            <v>-0.10938370468905889</v>
          </cell>
          <cell r="BH229">
            <v>-0.1146652196031881</v>
          </cell>
          <cell r="BI229">
            <v>-0.14256810403832976</v>
          </cell>
          <cell r="BJ229">
            <v>-0.16282697822623504</v>
          </cell>
          <cell r="BK229">
            <v>-0.15088101077666305</v>
          </cell>
          <cell r="BL229">
            <v>-0.15087396111322915</v>
          </cell>
          <cell r="BM229">
            <v>-0.13564854021847084</v>
          </cell>
          <cell r="BN229">
            <v>-0.10951380471380467</v>
          </cell>
          <cell r="BO229">
            <v>-0.11793031358885009</v>
          </cell>
          <cell r="BP229">
            <v>-0.11841644325290457</v>
          </cell>
          <cell r="BQ229">
            <v>-0.10789297964783895</v>
          </cell>
          <cell r="BR229">
            <v>-0.10474129821260592</v>
          </cell>
          <cell r="BS229">
            <v>-9.7717936117936222E-2</v>
          </cell>
          <cell r="BT229">
            <v>-0.10268852459016375</v>
          </cell>
          <cell r="BU229">
            <v>-0.10888979591836756</v>
          </cell>
        </row>
        <row r="231">
          <cell r="A231" t="str">
            <v>Other wholesale revenue</v>
          </cell>
          <cell r="F231">
            <v>9604.0717099069952</v>
          </cell>
          <cell r="G231">
            <v>9578.2193390624452</v>
          </cell>
          <cell r="H231">
            <v>9690.6537499999995</v>
          </cell>
          <cell r="I231">
            <v>12418.715673750001</v>
          </cell>
          <cell r="J231">
            <v>12650.405472530001</v>
          </cell>
          <cell r="K231">
            <v>12941.36479839819</v>
          </cell>
          <cell r="L231">
            <v>13329.605742350135</v>
          </cell>
          <cell r="M231">
            <v>16904.265409165957</v>
          </cell>
          <cell r="N231">
            <v>17326.872044395106</v>
          </cell>
          <cell r="O231">
            <v>17760.043845504981</v>
          </cell>
          <cell r="P231">
            <v>18204.044941642605</v>
          </cell>
          <cell r="Q231">
            <v>18659.146065183668</v>
          </cell>
          <cell r="AH231">
            <v>2426.1364967296995</v>
          </cell>
          <cell r="AI231">
            <v>2451.8090526132655</v>
          </cell>
          <cell r="AJ231">
            <v>2356.9842030822911</v>
          </cell>
          <cell r="AK231">
            <v>2369.1419574817382</v>
          </cell>
          <cell r="AL231">
            <v>2365.5305441409346</v>
          </cell>
          <cell r="AM231">
            <v>2315.6009028245662</v>
          </cell>
          <cell r="AN231">
            <v>2423.0376851761494</v>
          </cell>
          <cell r="AO231">
            <v>2474.0502069207955</v>
          </cell>
          <cell r="AP231">
            <v>2421.096</v>
          </cell>
          <cell r="AQ231">
            <v>2455.9490000000001</v>
          </cell>
          <cell r="AR231">
            <v>2380.96875</v>
          </cell>
          <cell r="AS231">
            <v>2432.64</v>
          </cell>
          <cell r="AT231">
            <v>3174.2359999999999</v>
          </cell>
          <cell r="AU231">
            <v>3055.2224382499999</v>
          </cell>
          <cell r="AV231">
            <v>3111.7320675000001</v>
          </cell>
          <cell r="AW231">
            <v>3077.5251680000001</v>
          </cell>
          <cell r="AX231">
            <v>3108.4231679999998</v>
          </cell>
          <cell r="AY231">
            <v>3179.3785556100001</v>
          </cell>
          <cell r="AZ231">
            <v>3212.7970713650002</v>
          </cell>
          <cell r="BA231">
            <v>3149.8066775550001</v>
          </cell>
          <cell r="BB231">
            <v>3179.9169008639997</v>
          </cell>
          <cell r="BC231">
            <v>3252.5042623890299</v>
          </cell>
          <cell r="BD231">
            <v>3286.6914040063948</v>
          </cell>
          <cell r="BE231">
            <v>3222.2522311387647</v>
          </cell>
          <cell r="BF231">
            <v>3275.3144078899199</v>
          </cell>
          <cell r="BG231">
            <v>3350.0793902607011</v>
          </cell>
          <cell r="BH231">
            <v>3385.2921461265869</v>
          </cell>
          <cell r="BI231">
            <v>3318.9197980729277</v>
          </cell>
          <cell r="BJ231">
            <v>6648.8882480165385</v>
          </cell>
          <cell r="BK231">
            <v>3417.0809780659151</v>
          </cell>
          <cell r="BL231">
            <v>3452.9979890491186</v>
          </cell>
          <cell r="BM231">
            <v>3385.2981940343861</v>
          </cell>
          <cell r="BN231">
            <v>6781.8660129768696</v>
          </cell>
          <cell r="BO231">
            <v>3485.4225976272337</v>
          </cell>
          <cell r="BP231">
            <v>3522.0579488301009</v>
          </cell>
          <cell r="BQ231">
            <v>3453.0041579150738</v>
          </cell>
          <cell r="BR231">
            <v>6917.5033332364073</v>
          </cell>
          <cell r="BS231">
            <v>3555.1310495797784</v>
          </cell>
          <cell r="BT231">
            <v>3592.4991078067028</v>
          </cell>
          <cell r="BU231">
            <v>3522.0642410733753</v>
          </cell>
        </row>
        <row r="232">
          <cell r="A232" t="str">
            <v xml:space="preserve"> % y/y growth</v>
          </cell>
          <cell r="G232">
            <v>-2.6918136000465553E-3</v>
          </cell>
          <cell r="H232">
            <v>1.173855045050165E-2</v>
          </cell>
          <cell r="I232">
            <v>0.28151474545770472</v>
          </cell>
          <cell r="J232">
            <v>1.865650240062533E-2</v>
          </cell>
          <cell r="K232">
            <v>2.2999999999999909E-2</v>
          </cell>
          <cell r="L232">
            <v>3.0000000000000027E-2</v>
          </cell>
          <cell r="M232">
            <v>0.26817444836035897</v>
          </cell>
          <cell r="N232">
            <v>2.5000000000000001E-2</v>
          </cell>
          <cell r="O232">
            <v>2.5000000000000001E-2</v>
          </cell>
          <cell r="P232">
            <v>2.5000000000000001E-2</v>
          </cell>
          <cell r="Q232">
            <v>2.5000000000000001E-2</v>
          </cell>
          <cell r="AL232">
            <v>-2.498043810414563E-2</v>
          </cell>
          <cell r="AM232">
            <v>-5.5554142621148106E-2</v>
          </cell>
          <cell r="AN232">
            <v>2.8024575645215766E-2</v>
          </cell>
          <cell r="AO232">
            <v>4.4281115830884454E-2</v>
          </cell>
          <cell r="AP232">
            <v>2.3489637872862179E-2</v>
          </cell>
          <cell r="AQ232">
            <v>6.0609795498109076E-2</v>
          </cell>
          <cell r="AR232">
            <v>-1.7362063922291449E-2</v>
          </cell>
          <cell r="AS232">
            <v>-1.6737819954080413E-2</v>
          </cell>
          <cell r="AT232">
            <v>0.31107399293543092</v>
          </cell>
          <cell r="AU232">
            <v>0.24400890989593016</v>
          </cell>
          <cell r="AV232">
            <v>0.30691848328542748</v>
          </cell>
          <cell r="AW232">
            <v>0.26509683635885306</v>
          </cell>
          <cell r="AX232">
            <v>-2.0733440109683143E-2</v>
          </cell>
          <cell r="AY232">
            <v>4.063734142745945E-2</v>
          </cell>
          <cell r="AZ232">
            <v>3.2478697289062275E-2</v>
          </cell>
          <cell r="BA232">
            <v>2.3486894699215055E-2</v>
          </cell>
          <cell r="BB232">
            <v>2.3E-2</v>
          </cell>
          <cell r="BC232">
            <v>2.3E-2</v>
          </cell>
          <cell r="BD232">
            <v>2.3E-2</v>
          </cell>
          <cell r="BE232">
            <v>2.3E-2</v>
          </cell>
          <cell r="BF232">
            <v>0.03</v>
          </cell>
          <cell r="BG232">
            <v>0.03</v>
          </cell>
          <cell r="BH232">
            <v>0.03</v>
          </cell>
          <cell r="BI232">
            <v>0.03</v>
          </cell>
          <cell r="BJ232">
            <v>1.03</v>
          </cell>
          <cell r="BK232">
            <v>0.02</v>
          </cell>
          <cell r="BL232">
            <v>0.02</v>
          </cell>
          <cell r="BM232">
            <v>0.02</v>
          </cell>
          <cell r="BN232">
            <v>0.02</v>
          </cell>
          <cell r="BO232">
            <v>0.02</v>
          </cell>
          <cell r="BP232">
            <v>0.02</v>
          </cell>
          <cell r="BQ232">
            <v>0.02</v>
          </cell>
          <cell r="BR232">
            <v>0.02</v>
          </cell>
          <cell r="BS232">
            <v>0.02</v>
          </cell>
          <cell r="BT232">
            <v>0.02</v>
          </cell>
          <cell r="BU232">
            <v>0.02</v>
          </cell>
        </row>
        <row r="234">
          <cell r="A234" t="str">
            <v>Total Wholesale Revenue</v>
          </cell>
          <cell r="F234">
            <v>11984</v>
          </cell>
          <cell r="G234">
            <v>11869</v>
          </cell>
          <cell r="H234">
            <v>11405</v>
          </cell>
          <cell r="I234">
            <v>14061</v>
          </cell>
          <cell r="J234">
            <v>13970</v>
          </cell>
          <cell r="K234">
            <v>14098.507129091729</v>
          </cell>
          <cell r="L234">
            <v>14352.637417022772</v>
          </cell>
          <cell r="M234">
            <v>17773.632679687911</v>
          </cell>
          <cell r="N234">
            <v>18093.300739892809</v>
          </cell>
          <cell r="O234">
            <v>18437.705862093411</v>
          </cell>
          <cell r="P234">
            <v>18809.145885096514</v>
          </cell>
          <cell r="Q234">
            <v>19215.00368291642</v>
          </cell>
          <cell r="AH234">
            <v>2993</v>
          </cell>
          <cell r="AI234">
            <v>3021</v>
          </cell>
          <cell r="AJ234">
            <v>3029</v>
          </cell>
          <cell r="AK234">
            <v>2941</v>
          </cell>
          <cell r="AL234">
            <v>2979</v>
          </cell>
          <cell r="AM234">
            <v>2897</v>
          </cell>
          <cell r="AN234">
            <v>2968</v>
          </cell>
          <cell r="AO234">
            <v>3025</v>
          </cell>
          <cell r="AP234">
            <v>2913</v>
          </cell>
          <cell r="AQ234">
            <v>2903</v>
          </cell>
          <cell r="AR234">
            <v>2787</v>
          </cell>
          <cell r="AS234">
            <v>2802</v>
          </cell>
          <cell r="AT234">
            <v>3599</v>
          </cell>
          <cell r="AU234">
            <v>3515</v>
          </cell>
          <cell r="AV234">
            <v>3510</v>
          </cell>
          <cell r="AW234">
            <v>3437</v>
          </cell>
          <cell r="AX234">
            <v>3456</v>
          </cell>
          <cell r="AY234">
            <v>3507</v>
          </cell>
          <cell r="AZ234">
            <v>3536</v>
          </cell>
          <cell r="BA234">
            <v>3471</v>
          </cell>
          <cell r="BB234">
            <v>3471.4938234239999</v>
          </cell>
          <cell r="BC234">
            <v>3536.7114203763299</v>
          </cell>
          <cell r="BD234">
            <v>3574.3033787355448</v>
          </cell>
          <cell r="BE234">
            <v>3515.9985065558549</v>
          </cell>
          <cell r="BF234">
            <v>3538.7262460661759</v>
          </cell>
          <cell r="BG234">
            <v>3603.1989164082015</v>
          </cell>
          <cell r="BH234">
            <v>3639.9250306129125</v>
          </cell>
          <cell r="BI234">
            <v>3570.7872239354824</v>
          </cell>
          <cell r="BJ234">
            <v>6869.4095325535363</v>
          </cell>
          <cell r="BK234">
            <v>3632.0095742609706</v>
          </cell>
          <cell r="BL234">
            <v>3669.2134016233049</v>
          </cell>
          <cell r="BM234">
            <v>3603.0001712501012</v>
          </cell>
          <cell r="BN234">
            <v>6978.2371726238453</v>
          </cell>
          <cell r="BO234">
            <v>3675.0045970737951</v>
          </cell>
          <cell r="BP234">
            <v>3712.6699012707927</v>
          </cell>
          <cell r="BQ234">
            <v>3647.2176201337597</v>
          </cell>
          <cell r="BR234">
            <v>7093.3063226904442</v>
          </cell>
          <cell r="BS234">
            <v>3726.1874873153101</v>
          </cell>
          <cell r="BT234">
            <v>3763.5374000820093</v>
          </cell>
          <cell r="BU234">
            <v>3695.1298390264687</v>
          </cell>
        </row>
        <row r="235">
          <cell r="A235" t="str">
            <v xml:space="preserve"> % y/y growth</v>
          </cell>
          <cell r="J235">
            <v>-6.4718014365976462E-3</v>
          </cell>
          <cell r="K235">
            <v>9.1987923472962585E-3</v>
          </cell>
          <cell r="L235">
            <v>1.8025333150816669E-2</v>
          </cell>
          <cell r="M235">
            <v>0.23835307499705305</v>
          </cell>
          <cell r="N235">
            <v>1.7985521922607495E-2</v>
          </cell>
          <cell r="O235">
            <v>1.9034952613220302E-2</v>
          </cell>
          <cell r="P235">
            <v>2.0145674618161413E-2</v>
          </cell>
          <cell r="Q235">
            <v>2.1577683553482885E-2</v>
          </cell>
          <cell r="AT235">
            <v>0.23549605217988323</v>
          </cell>
          <cell r="AU235">
            <v>0.21081639683086473</v>
          </cell>
          <cell r="AV235">
            <v>0.25941872981700764</v>
          </cell>
          <cell r="AW235">
            <v>0.22662384011420422</v>
          </cell>
          <cell r="AX235">
            <v>-3.9733259238677432E-2</v>
          </cell>
          <cell r="AY235">
            <v>-2.2759601706969779E-3</v>
          </cell>
          <cell r="AZ235">
            <v>7.4074074074073071E-3</v>
          </cell>
          <cell r="BA235">
            <v>9.8923479778876278E-3</v>
          </cell>
          <cell r="BB235">
            <v>4.4831665000000243E-3</v>
          </cell>
          <cell r="BC235">
            <v>8.4720331840120178E-3</v>
          </cell>
          <cell r="BD235">
            <v>1.0832403488558962E-2</v>
          </cell>
          <cell r="BE235">
            <v>1.2964133262994837E-2</v>
          </cell>
          <cell r="BF235">
            <v>1.9367000508116572E-2</v>
          </cell>
          <cell r="BG235">
            <v>1.8799242609620848E-2</v>
          </cell>
          <cell r="BH235">
            <v>1.8359284292365219E-2</v>
          </cell>
          <cell r="BI235">
            <v>1.5582690742748984E-2</v>
          </cell>
          <cell r="BJ235">
            <v>0.94120964858186285</v>
          </cell>
          <cell r="BK235">
            <v>7.9958554942862747E-3</v>
          </cell>
          <cell r="BL235">
            <v>8.0464214960660474E-3</v>
          </cell>
          <cell r="BM235">
            <v>9.02124525894199E-3</v>
          </cell>
          <cell r="BN235">
            <v>1.5842357273151864E-2</v>
          </cell>
          <cell r="BO235">
            <v>1.1837805472077578E-2</v>
          </cell>
          <cell r="BP235">
            <v>1.1843546529144877E-2</v>
          </cell>
          <cell r="BQ235">
            <v>1.2272397108523236E-2</v>
          </cell>
          <cell r="BR235">
            <v>1.6489716130317911E-2</v>
          </cell>
          <cell r="BS235">
            <v>1.3927299650800196E-2</v>
          </cell>
          <cell r="BT235">
            <v>1.3701056157404468E-2</v>
          </cell>
          <cell r="BU235">
            <v>1.3136649326384919E-2</v>
          </cell>
        </row>
        <row r="236">
          <cell r="A236" t="str">
            <v xml:space="preserve"> check</v>
          </cell>
          <cell r="F236">
            <v>0</v>
          </cell>
          <cell r="G236">
            <v>0</v>
          </cell>
          <cell r="H236">
            <v>0</v>
          </cell>
          <cell r="I236">
            <v>0</v>
          </cell>
          <cell r="J236">
            <v>0</v>
          </cell>
          <cell r="K236">
            <v>10582.508622535875</v>
          </cell>
          <cell r="L236">
            <v>0</v>
          </cell>
          <cell r="M236">
            <v>0</v>
          </cell>
          <cell r="N236">
            <v>0</v>
          </cell>
          <cell r="O236">
            <v>0</v>
          </cell>
          <cell r="P236">
            <v>0</v>
          </cell>
          <cell r="Q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row>
        <row r="238">
          <cell r="A238" t="str">
            <v>ENTERPRISE</v>
          </cell>
        </row>
        <row r="240">
          <cell r="A240" t="str">
            <v>Enterprise revenue</v>
          </cell>
          <cell r="F240">
            <v>20433</v>
          </cell>
          <cell r="G240">
            <v>18841</v>
          </cell>
          <cell r="H240">
            <v>17671</v>
          </cell>
          <cell r="I240">
            <v>18756</v>
          </cell>
          <cell r="J240">
            <v>18529</v>
          </cell>
          <cell r="K240">
            <v>17667.259000000002</v>
          </cell>
          <cell r="L240">
            <v>18020.604179999998</v>
          </cell>
          <cell r="M240">
            <v>18515.952420599999</v>
          </cell>
          <cell r="N240">
            <v>19164.010755320996</v>
          </cell>
          <cell r="O240">
            <v>19834.751131757228</v>
          </cell>
          <cell r="P240">
            <v>20528.967421368729</v>
          </cell>
          <cell r="Q240">
            <v>21247.481281116634</v>
          </cell>
          <cell r="AH240">
            <v>5226</v>
          </cell>
          <cell r="AI240">
            <v>5050</v>
          </cell>
          <cell r="AJ240">
            <v>5121</v>
          </cell>
          <cell r="AK240">
            <v>5036</v>
          </cell>
          <cell r="AL240">
            <v>4792</v>
          </cell>
          <cell r="AM240">
            <v>4796</v>
          </cell>
          <cell r="AN240">
            <v>4671</v>
          </cell>
          <cell r="AO240">
            <v>4582</v>
          </cell>
          <cell r="AP240">
            <v>4461</v>
          </cell>
          <cell r="AQ240">
            <v>4419</v>
          </cell>
          <cell r="AR240">
            <v>4380</v>
          </cell>
          <cell r="AS240">
            <v>4411</v>
          </cell>
          <cell r="AT240">
            <v>4602</v>
          </cell>
          <cell r="AU240">
            <v>4699</v>
          </cell>
          <cell r="AV240">
            <v>4753</v>
          </cell>
          <cell r="AW240">
            <v>4702</v>
          </cell>
          <cell r="AX240">
            <v>4662</v>
          </cell>
          <cell r="AY240">
            <v>4650</v>
          </cell>
          <cell r="AZ240">
            <v>4688</v>
          </cell>
          <cell r="BA240">
            <v>4529</v>
          </cell>
          <cell r="BB240">
            <v>4438.2240000000002</v>
          </cell>
          <cell r="BC240">
            <v>4426.8</v>
          </cell>
          <cell r="BD240">
            <v>4477.04</v>
          </cell>
          <cell r="BE240">
            <v>4325.1949999999997</v>
          </cell>
          <cell r="BF240">
            <v>4526.98848</v>
          </cell>
          <cell r="BG240">
            <v>4515.3360000000002</v>
          </cell>
          <cell r="BH240">
            <v>4566.5807999999997</v>
          </cell>
          <cell r="BI240">
            <v>4411.6988999999994</v>
          </cell>
          <cell r="BJ240">
            <v>4617.5282496</v>
          </cell>
          <cell r="BK240">
            <v>4650.7960800000001</v>
          </cell>
          <cell r="BL240">
            <v>4703.5782239999999</v>
          </cell>
          <cell r="BM240">
            <v>4544.0498669999997</v>
          </cell>
          <cell r="BN240">
            <v>4756.0540970880002</v>
          </cell>
          <cell r="BO240">
            <v>4790.3199623999999</v>
          </cell>
          <cell r="BP240">
            <v>4844.6855707200002</v>
          </cell>
          <cell r="BQ240">
            <v>4680.3713630100001</v>
          </cell>
          <cell r="BR240">
            <v>4898.73572000064</v>
          </cell>
          <cell r="BS240">
            <v>4934.0295612720001</v>
          </cell>
          <cell r="BT240">
            <v>4990.0261378416008</v>
          </cell>
          <cell r="BU240">
            <v>4820.7825039003001</v>
          </cell>
        </row>
        <row r="241">
          <cell r="A241" t="str">
            <v xml:space="preserve"> % y/y growth</v>
          </cell>
          <cell r="G241">
            <v>-7.7913179660353382E-2</v>
          </cell>
          <cell r="H241">
            <v>-6.2098614723209988E-2</v>
          </cell>
          <cell r="I241">
            <v>6.1400033953935784E-2</v>
          </cell>
          <cell r="J241">
            <v>-1.2102793772659437E-2</v>
          </cell>
          <cell r="K241">
            <v>-4.6507690647093591E-2</v>
          </cell>
          <cell r="L241">
            <v>1.9999999999999796E-2</v>
          </cell>
          <cell r="M241">
            <v>2.7487881962900973E-2</v>
          </cell>
          <cell r="N241">
            <v>3.5000000000000003E-2</v>
          </cell>
          <cell r="O241">
            <v>3.5000000000000003E-2</v>
          </cell>
          <cell r="P241">
            <v>3.5000000000000003E-2</v>
          </cell>
          <cell r="Q241">
            <v>3.5000000000000003E-2</v>
          </cell>
          <cell r="AL241">
            <v>-8.3046306926903957E-2</v>
          </cell>
          <cell r="AM241">
            <v>-5.0297029702970342E-2</v>
          </cell>
          <cell r="AN241">
            <v>-8.787346221441128E-2</v>
          </cell>
          <cell r="AO241">
            <v>-9.0150913423351908E-2</v>
          </cell>
          <cell r="AP241">
            <v>-6.9073455759599334E-2</v>
          </cell>
          <cell r="AQ241">
            <v>-7.8607172643869849E-2</v>
          </cell>
          <cell r="AR241">
            <v>-6.2299293513166321E-2</v>
          </cell>
          <cell r="AS241">
            <v>-3.7319947621126115E-2</v>
          </cell>
          <cell r="AT241">
            <v>3.1607262945527959E-2</v>
          </cell>
          <cell r="AU241">
            <v>6.3362751753790469E-2</v>
          </cell>
          <cell r="AV241">
            <v>8.5159817351598166E-2</v>
          </cell>
          <cell r="AW241">
            <v>6.59714350487417E-2</v>
          </cell>
          <cell r="AX241">
            <v>1.3037809647979071E-2</v>
          </cell>
          <cell r="AY241">
            <v>-1.0427750585230933E-2</v>
          </cell>
          <cell r="AZ241">
            <v>-1.3675573322112333E-2</v>
          </cell>
          <cell r="BA241">
            <v>-3.6792854104636286E-2</v>
          </cell>
          <cell r="BB241">
            <v>-4.8000000000000001E-2</v>
          </cell>
          <cell r="BC241">
            <v>-4.8000000000000001E-2</v>
          </cell>
          <cell r="BD241">
            <v>-4.4999999999999998E-2</v>
          </cell>
          <cell r="BE241">
            <v>-4.4999999999999998E-2</v>
          </cell>
          <cell r="BF241">
            <v>0.02</v>
          </cell>
          <cell r="BG241">
            <v>0.02</v>
          </cell>
          <cell r="BH241">
            <v>0.02</v>
          </cell>
          <cell r="BI241">
            <v>0.02</v>
          </cell>
          <cell r="BJ241">
            <v>0.02</v>
          </cell>
          <cell r="BK241">
            <v>0.03</v>
          </cell>
          <cell r="BL241">
            <v>0.03</v>
          </cell>
          <cell r="BM241">
            <v>0.03</v>
          </cell>
          <cell r="BN241">
            <v>0.03</v>
          </cell>
          <cell r="BO241">
            <v>0.03</v>
          </cell>
          <cell r="BP241">
            <v>0.03</v>
          </cell>
          <cell r="BQ241">
            <v>0.03</v>
          </cell>
          <cell r="BR241">
            <v>0.03</v>
          </cell>
          <cell r="BS241">
            <v>0.03</v>
          </cell>
          <cell r="BT241">
            <v>0.03</v>
          </cell>
          <cell r="BU241">
            <v>0.03</v>
          </cell>
        </row>
        <row r="242">
          <cell r="A242" t="str">
            <v xml:space="preserve"> % y/y growth (Proforma BLS)</v>
          </cell>
          <cell r="AT242">
            <v>-3.8847117794486241E-2</v>
          </cell>
          <cell r="AU242">
            <v>-1.776755852842804E-2</v>
          </cell>
          <cell r="AV242">
            <v>-1.4705882352941124E-3</v>
          </cell>
          <cell r="AW242">
            <v>-1.9190654985398403E-2</v>
          </cell>
          <cell r="AX242">
            <v>1.3037809647979071E-2</v>
          </cell>
          <cell r="AY242">
            <v>-1.0427750585230933E-2</v>
          </cell>
          <cell r="AZ242">
            <v>-1.3675573322112333E-2</v>
          </cell>
          <cell r="BA242">
            <v>-3.6792854104636286E-2</v>
          </cell>
        </row>
        <row r="243">
          <cell r="A243" t="str">
            <v>NATIONAL MASS MARKETS</v>
          </cell>
        </row>
        <row r="245">
          <cell r="A245" t="str">
            <v>National Mass Markets Revenue</v>
          </cell>
          <cell r="F245">
            <v>9510</v>
          </cell>
          <cell r="G245">
            <v>7457</v>
          </cell>
          <cell r="H245">
            <v>5504</v>
          </cell>
          <cell r="I245">
            <v>3763</v>
          </cell>
          <cell r="J245">
            <v>2624</v>
          </cell>
          <cell r="K245">
            <v>1968</v>
          </cell>
          <cell r="L245">
            <v>1416.96</v>
          </cell>
          <cell r="M245">
            <v>1020.2111999999997</v>
          </cell>
          <cell r="N245">
            <v>734.55206399999952</v>
          </cell>
          <cell r="O245">
            <v>528.87748607999947</v>
          </cell>
          <cell r="P245">
            <v>380.79178997759948</v>
          </cell>
          <cell r="Q245">
            <v>274.17008878387151</v>
          </cell>
          <cell r="AH245">
            <v>2529</v>
          </cell>
          <cell r="AI245">
            <v>2421</v>
          </cell>
          <cell r="AJ245">
            <v>2375</v>
          </cell>
          <cell r="AK245">
            <v>2185</v>
          </cell>
          <cell r="AL245">
            <v>2045</v>
          </cell>
          <cell r="AM245">
            <v>1942</v>
          </cell>
          <cell r="AN245">
            <v>1818</v>
          </cell>
          <cell r="AO245">
            <v>1652</v>
          </cell>
          <cell r="AP245">
            <v>1486</v>
          </cell>
          <cell r="AQ245">
            <v>1413</v>
          </cell>
          <cell r="AR245">
            <v>1366</v>
          </cell>
          <cell r="AS245">
            <v>1239</v>
          </cell>
          <cell r="AT245">
            <v>1092</v>
          </cell>
          <cell r="AU245">
            <v>988</v>
          </cell>
          <cell r="AV245">
            <v>892</v>
          </cell>
          <cell r="AW245">
            <v>791</v>
          </cell>
          <cell r="AX245">
            <v>726</v>
          </cell>
          <cell r="AY245">
            <v>680</v>
          </cell>
          <cell r="AZ245">
            <v>636</v>
          </cell>
          <cell r="BA245">
            <v>582</v>
          </cell>
          <cell r="BB245">
            <v>544.5</v>
          </cell>
          <cell r="BC245">
            <v>510</v>
          </cell>
          <cell r="BD245">
            <v>477</v>
          </cell>
          <cell r="BE245">
            <v>436.5</v>
          </cell>
          <cell r="BF245">
            <v>392.03999999999996</v>
          </cell>
          <cell r="BG245">
            <v>367.2</v>
          </cell>
          <cell r="BH245">
            <v>343.44</v>
          </cell>
          <cell r="BI245">
            <v>314.27999999999997</v>
          </cell>
          <cell r="BJ245">
            <v>282.26879999999994</v>
          </cell>
          <cell r="BK245">
            <v>264.38399999999996</v>
          </cell>
          <cell r="BL245">
            <v>247.27679999999998</v>
          </cell>
          <cell r="BM245">
            <v>226.28159999999997</v>
          </cell>
          <cell r="BN245">
            <v>203.23353599999996</v>
          </cell>
          <cell r="BO245">
            <v>190.35647999999998</v>
          </cell>
          <cell r="BP245">
            <v>178.03929599999998</v>
          </cell>
          <cell r="BQ245">
            <v>162.92275199999997</v>
          </cell>
          <cell r="BR245">
            <v>146.32814591999997</v>
          </cell>
          <cell r="BS245">
            <v>137.05666559999997</v>
          </cell>
          <cell r="BT245">
            <v>128.18829311999997</v>
          </cell>
          <cell r="BU245">
            <v>117.30438143999997</v>
          </cell>
        </row>
        <row r="246">
          <cell r="A246" t="str">
            <v xml:space="preserve"> % y/y growth</v>
          </cell>
          <cell r="G246">
            <v>-0.21587802313354365</v>
          </cell>
          <cell r="H246">
            <v>-0.2619015689955746</v>
          </cell>
          <cell r="I246">
            <v>-0.31631540697674421</v>
          </cell>
          <cell r="J246">
            <v>-0.30268402870050493</v>
          </cell>
          <cell r="K246">
            <v>-0.25</v>
          </cell>
          <cell r="L246">
            <v>-0.28000000000000003</v>
          </cell>
          <cell r="M246">
            <v>-0.28000000000000025</v>
          </cell>
          <cell r="N246">
            <v>-0.28000000000000025</v>
          </cell>
          <cell r="O246">
            <v>-0.28000000000000025</v>
          </cell>
          <cell r="P246">
            <v>-0.28000000000000025</v>
          </cell>
          <cell r="Q246">
            <v>-0.28000000000000025</v>
          </cell>
          <cell r="AL246">
            <v>-0.19137999209173584</v>
          </cell>
          <cell r="AM246">
            <v>-0.19785212722015699</v>
          </cell>
          <cell r="AN246">
            <v>-0.23452631578947369</v>
          </cell>
          <cell r="AO246">
            <v>-0.24393592677345532</v>
          </cell>
          <cell r="AP246">
            <v>-0.2733496332518337</v>
          </cell>
          <cell r="AQ246">
            <v>-0.27239958805355302</v>
          </cell>
          <cell r="AR246">
            <v>-0.2486248624862486</v>
          </cell>
          <cell r="AS246">
            <v>-0.25</v>
          </cell>
          <cell r="AT246">
            <v>-0.26514131897711979</v>
          </cell>
          <cell r="AU246">
            <v>-0.30077848549186126</v>
          </cell>
          <cell r="AV246">
            <v>-0.3469985358711567</v>
          </cell>
          <cell r="AW246">
            <v>-0.3615819209039548</v>
          </cell>
          <cell r="AX246">
            <v>-0.3351648351648352</v>
          </cell>
          <cell r="AY246">
            <v>-0.31174089068825916</v>
          </cell>
          <cell r="AZ246">
            <v>-0.28699551569506732</v>
          </cell>
          <cell r="BA246">
            <v>-0.26422250316055629</v>
          </cell>
          <cell r="BB246">
            <v>-0.25</v>
          </cell>
          <cell r="BC246">
            <v>-0.25</v>
          </cell>
          <cell r="BD246">
            <v>-0.25</v>
          </cell>
          <cell r="BE246">
            <v>-0.25</v>
          </cell>
          <cell r="BF246">
            <v>-0.28000000000000003</v>
          </cell>
          <cell r="BG246">
            <v>-0.28000000000000003</v>
          </cell>
          <cell r="BH246">
            <v>-0.28000000000000003</v>
          </cell>
          <cell r="BI246">
            <v>-0.28000000000000003</v>
          </cell>
          <cell r="BJ246">
            <v>-0.28000000000000003</v>
          </cell>
          <cell r="BK246">
            <v>-0.28000000000000003</v>
          </cell>
          <cell r="BL246">
            <v>-0.28000000000000003</v>
          </cell>
          <cell r="BM246">
            <v>-0.28000000000000003</v>
          </cell>
          <cell r="BN246">
            <v>-0.28000000000000003</v>
          </cell>
          <cell r="BO246">
            <v>-0.28000000000000003</v>
          </cell>
          <cell r="BP246">
            <v>-0.28000000000000003</v>
          </cell>
          <cell r="BQ246">
            <v>-0.28000000000000003</v>
          </cell>
          <cell r="BR246">
            <v>-0.28000000000000003</v>
          </cell>
          <cell r="BS246">
            <v>-0.28000000000000003</v>
          </cell>
          <cell r="BT246">
            <v>-0.28000000000000003</v>
          </cell>
          <cell r="BU246">
            <v>-0.28000000000000003</v>
          </cell>
        </row>
        <row r="248">
          <cell r="A248" t="str">
            <v>Legacy AT&amp;T Bundled Subs</v>
          </cell>
          <cell r="AD248">
            <v>2778</v>
          </cell>
          <cell r="AE248">
            <v>3130</v>
          </cell>
          <cell r="AF248">
            <v>3547</v>
          </cell>
          <cell r="AG248">
            <v>3950</v>
          </cell>
          <cell r="AH248">
            <v>4364</v>
          </cell>
          <cell r="AI248">
            <v>4677</v>
          </cell>
          <cell r="AJ248">
            <v>4477</v>
          </cell>
          <cell r="AK248">
            <v>4156</v>
          </cell>
          <cell r="AL248">
            <v>3859</v>
          </cell>
          <cell r="AM248">
            <v>3565</v>
          </cell>
          <cell r="AN248">
            <v>3301</v>
          </cell>
        </row>
        <row r="249">
          <cell r="AH249">
            <v>0.57091432685385168</v>
          </cell>
          <cell r="AI249">
            <v>0.49424920127795535</v>
          </cell>
          <cell r="AJ249">
            <v>0.26219340287566961</v>
          </cell>
          <cell r="AK249">
            <v>5.2151898734177138E-2</v>
          </cell>
          <cell r="AL249">
            <v>-0.11571952337305225</v>
          </cell>
          <cell r="AM249">
            <v>-0.23775924738079968</v>
          </cell>
          <cell r="AN249">
            <v>-0.26267589903953537</v>
          </cell>
        </row>
        <row r="250">
          <cell r="A250" t="str">
            <v xml:space="preserve"> Average bundled subs</v>
          </cell>
          <cell r="AE250">
            <v>2954</v>
          </cell>
          <cell r="AF250">
            <v>3338.5</v>
          </cell>
          <cell r="AG250">
            <v>3748.5</v>
          </cell>
          <cell r="AH250">
            <v>4157</v>
          </cell>
          <cell r="AI250">
            <v>4520.5</v>
          </cell>
          <cell r="AJ250">
            <v>4577</v>
          </cell>
          <cell r="AK250">
            <v>4316.5</v>
          </cell>
          <cell r="AL250">
            <v>4007.5</v>
          </cell>
          <cell r="AM250">
            <v>3712</v>
          </cell>
          <cell r="AN250">
            <v>3433</v>
          </cell>
        </row>
        <row r="251">
          <cell r="A251" t="str">
            <v xml:space="preserve"> ARPU</v>
          </cell>
          <cell r="AH251">
            <v>202.79047389944671</v>
          </cell>
          <cell r="AI251">
            <v>178.52007521291893</v>
          </cell>
          <cell r="AJ251">
            <v>172.96628067875611</v>
          </cell>
          <cell r="AK251">
            <v>168.73238348971006</v>
          </cell>
          <cell r="AL251">
            <v>170.09773341651069</v>
          </cell>
          <cell r="AM251">
            <v>174.38936781609195</v>
          </cell>
          <cell r="AN251">
            <v>176.52199242644917</v>
          </cell>
        </row>
        <row r="253">
          <cell r="A253" t="str">
            <v>OTHER</v>
          </cell>
        </row>
        <row r="255">
          <cell r="A255" t="str">
            <v>Other revenue</v>
          </cell>
          <cell r="F255">
            <v>1781</v>
          </cell>
          <cell r="G255">
            <v>1301</v>
          </cell>
          <cell r="H255">
            <v>1112</v>
          </cell>
          <cell r="I255">
            <v>-286</v>
          </cell>
          <cell r="J255">
            <v>-80</v>
          </cell>
          <cell r="K255">
            <v>-80.8</v>
          </cell>
          <cell r="L255">
            <v>-81.608000000000004</v>
          </cell>
          <cell r="M255">
            <v>-114.04718</v>
          </cell>
          <cell r="N255">
            <v>-115.1876518</v>
          </cell>
          <cell r="O255">
            <v>-116.33952831799999</v>
          </cell>
          <cell r="P255">
            <v>-117.50292360117999</v>
          </cell>
          <cell r="Q255">
            <v>-118.67795283719178</v>
          </cell>
          <cell r="AH255">
            <v>436</v>
          </cell>
          <cell r="AI255">
            <v>458</v>
          </cell>
          <cell r="AJ255">
            <v>465</v>
          </cell>
          <cell r="AK255">
            <v>422</v>
          </cell>
          <cell r="AL255">
            <v>358</v>
          </cell>
          <cell r="AM255">
            <v>363</v>
          </cell>
          <cell r="AN255">
            <v>301</v>
          </cell>
          <cell r="AO255">
            <v>279</v>
          </cell>
          <cell r="AP255">
            <v>242</v>
          </cell>
          <cell r="AQ255">
            <v>333</v>
          </cell>
          <cell r="AR255">
            <v>283</v>
          </cell>
          <cell r="AS255">
            <v>254</v>
          </cell>
          <cell r="AT255">
            <v>-55</v>
          </cell>
          <cell r="AU255">
            <v>-69</v>
          </cell>
          <cell r="AV255">
            <v>-80</v>
          </cell>
          <cell r="AW255">
            <v>-82</v>
          </cell>
          <cell r="AX255">
            <v>-31</v>
          </cell>
          <cell r="AY255">
            <v>-24</v>
          </cell>
          <cell r="AZ255">
            <v>-31</v>
          </cell>
          <cell r="BA255">
            <v>6</v>
          </cell>
          <cell r="BB255">
            <v>-31.31</v>
          </cell>
          <cell r="BC255">
            <v>-24.240000000000002</v>
          </cell>
          <cell r="BD255">
            <v>-31.31</v>
          </cell>
          <cell r="BE255">
            <v>6.0600000000000005</v>
          </cell>
          <cell r="BF255">
            <v>-31.623099999999997</v>
          </cell>
          <cell r="BG255">
            <v>-24.482400000000002</v>
          </cell>
          <cell r="BH255">
            <v>-31.623099999999997</v>
          </cell>
          <cell r="BI255">
            <v>6.1206000000000005</v>
          </cell>
          <cell r="BJ255">
            <v>-63.562430999999989</v>
          </cell>
          <cell r="BK255">
            <v>-24.727224000000003</v>
          </cell>
          <cell r="BL255">
            <v>-31.939330999999999</v>
          </cell>
          <cell r="BM255">
            <v>6.1818060000000008</v>
          </cell>
          <cell r="BN255">
            <v>-64.198055309999987</v>
          </cell>
          <cell r="BO255">
            <v>-24.974496240000004</v>
          </cell>
          <cell r="BP255">
            <v>-32.258724309999998</v>
          </cell>
          <cell r="BQ255">
            <v>6.243624060000001</v>
          </cell>
          <cell r="BR255">
            <v>-64.840035863099985</v>
          </cell>
          <cell r="BS255">
            <v>-25.224241202400005</v>
          </cell>
          <cell r="BT255">
            <v>-32.581311553100001</v>
          </cell>
          <cell r="BU255">
            <v>6.3060603006000013</v>
          </cell>
        </row>
        <row r="256">
          <cell r="A256" t="str">
            <v xml:space="preserve"> % y/y growth</v>
          </cell>
          <cell r="G256">
            <v>-0.26951151038742283</v>
          </cell>
          <cell r="H256">
            <v>-0.14527286702536513</v>
          </cell>
          <cell r="I256">
            <v>-1.2571942446043165</v>
          </cell>
          <cell r="J256">
            <v>-0.7202797202797202</v>
          </cell>
          <cell r="K256">
            <v>1.0000000000000009E-2</v>
          </cell>
          <cell r="L256">
            <v>1.0000000000000009E-2</v>
          </cell>
          <cell r="M256">
            <v>0.39749999999999996</v>
          </cell>
          <cell r="N256">
            <v>0.01</v>
          </cell>
          <cell r="O256">
            <v>0.01</v>
          </cell>
          <cell r="P256">
            <v>0.01</v>
          </cell>
          <cell r="Q256">
            <v>0.01</v>
          </cell>
          <cell r="AL256">
            <v>-0.17889908256880738</v>
          </cell>
          <cell r="AM256">
            <v>-0.20742358078602618</v>
          </cell>
          <cell r="AN256">
            <v>-0.35268817204301073</v>
          </cell>
          <cell r="AO256">
            <v>-0.33886255924170616</v>
          </cell>
          <cell r="AP256">
            <v>-0.32402234636871508</v>
          </cell>
          <cell r="AQ256">
            <v>-8.2644628099173501E-2</v>
          </cell>
          <cell r="AR256">
            <v>-5.980066445182719E-2</v>
          </cell>
          <cell r="AS256">
            <v>-8.9605734767025047E-2</v>
          </cell>
          <cell r="AT256">
            <v>-1.2272727272727273</v>
          </cell>
          <cell r="AU256">
            <v>-1.2072072072072073</v>
          </cell>
          <cell r="AV256">
            <v>-1.2826855123674912</v>
          </cell>
          <cell r="AW256">
            <v>-1.3228346456692912</v>
          </cell>
          <cell r="AX256">
            <v>-0.4363636363636364</v>
          </cell>
          <cell r="AY256">
            <v>-0.65217391304347827</v>
          </cell>
          <cell r="AZ256">
            <v>-0.61250000000000004</v>
          </cell>
          <cell r="BA256">
            <v>-1.0731707317073171</v>
          </cell>
          <cell r="BB256">
            <v>0.01</v>
          </cell>
          <cell r="BC256">
            <v>0.01</v>
          </cell>
          <cell r="BD256">
            <v>0.01</v>
          </cell>
          <cell r="BE256">
            <v>0.01</v>
          </cell>
          <cell r="BF256">
            <v>0.01</v>
          </cell>
          <cell r="BG256">
            <v>0.01</v>
          </cell>
          <cell r="BH256">
            <v>0.01</v>
          </cell>
          <cell r="BI256">
            <v>0.01</v>
          </cell>
          <cell r="BJ256">
            <v>1.01</v>
          </cell>
          <cell r="BK256">
            <v>0.01</v>
          </cell>
          <cell r="BL256">
            <v>0.01</v>
          </cell>
          <cell r="BM256">
            <v>0.01</v>
          </cell>
          <cell r="BN256">
            <v>0.01</v>
          </cell>
          <cell r="BO256">
            <v>0.01</v>
          </cell>
          <cell r="BP256">
            <v>0.01</v>
          </cell>
          <cell r="BQ256">
            <v>0.01</v>
          </cell>
          <cell r="BR256">
            <v>0.01</v>
          </cell>
          <cell r="BS256">
            <v>0.01</v>
          </cell>
          <cell r="BT256">
            <v>0.01</v>
          </cell>
          <cell r="BU256">
            <v>0.01</v>
          </cell>
        </row>
        <row r="257">
          <cell r="A257" t="str">
            <v>SEGMENT OPERATING EXPENSES</v>
          </cell>
        </row>
        <row r="259">
          <cell r="A259" t="str">
            <v>Employee-related expense</v>
          </cell>
          <cell r="F259">
            <v>10826.746675187624</v>
          </cell>
          <cell r="G259">
            <v>10684.794997883859</v>
          </cell>
          <cell r="H259">
            <v>12305.261851103329</v>
          </cell>
          <cell r="I259">
            <v>21100.661912775598</v>
          </cell>
          <cell r="J259">
            <v>23085.452734430633</v>
          </cell>
          <cell r="K259">
            <v>22493.685705908985</v>
          </cell>
          <cell r="L259">
            <v>21987.0940365879</v>
          </cell>
          <cell r="M259">
            <v>21740.394276371124</v>
          </cell>
          <cell r="N259">
            <v>21445.468207589834</v>
          </cell>
          <cell r="O259">
            <v>21293.737470597356</v>
          </cell>
          <cell r="P259">
            <v>21134.740016453405</v>
          </cell>
          <cell r="Q259">
            <v>21213.758064841444</v>
          </cell>
          <cell r="R259">
            <v>21517.114805168672</v>
          </cell>
          <cell r="S259">
            <v>21824.809546882589</v>
          </cell>
          <cell r="T259">
            <v>22136.904323403003</v>
          </cell>
          <cell r="AD259">
            <v>2764.6809937499997</v>
          </cell>
          <cell r="AE259">
            <v>2755.1584490624996</v>
          </cell>
          <cell r="AF259">
            <v>2768.8972179374996</v>
          </cell>
          <cell r="AG259">
            <v>2817.3048634574998</v>
          </cell>
          <cell r="AH259">
            <v>2726.9949922312499</v>
          </cell>
          <cell r="AI259">
            <v>2694.3208563374997</v>
          </cell>
          <cell r="AJ259">
            <v>2680.5972162937501</v>
          </cell>
          <cell r="AK259">
            <v>2724.8336103251249</v>
          </cell>
          <cell r="AL259">
            <v>2632.9702490471254</v>
          </cell>
          <cell r="AM259">
            <v>2587.4463658680002</v>
          </cell>
          <cell r="AN259">
            <v>2555.9949630003748</v>
          </cell>
          <cell r="AO259">
            <v>2908.3834199683574</v>
          </cell>
          <cell r="AP259">
            <v>3139.7127041562167</v>
          </cell>
          <cell r="AQ259">
            <v>3074.0447280360868</v>
          </cell>
          <cell r="AR259">
            <v>3018.9427962486384</v>
          </cell>
          <cell r="AS259">
            <v>3072.5616226623861</v>
          </cell>
          <cell r="AT259">
            <v>4274.223317357817</v>
          </cell>
          <cell r="AU259">
            <v>5544.3902045194145</v>
          </cell>
          <cell r="AV259">
            <v>5583.35409741284</v>
          </cell>
          <cell r="AW259">
            <v>5698.6942934855242</v>
          </cell>
          <cell r="AX259">
            <v>5800.6887354050714</v>
          </cell>
          <cell r="AY259">
            <v>5786.634863614292</v>
          </cell>
          <cell r="AZ259">
            <v>5747.4088657230741</v>
          </cell>
          <cell r="BA259">
            <v>5750.7202696881932</v>
          </cell>
          <cell r="BB259">
            <v>5707.7945167175894</v>
          </cell>
          <cell r="BC259">
            <v>5574.0016572693648</v>
          </cell>
          <cell r="BD259">
            <v>5610.9864396650464</v>
          </cell>
          <cell r="BE259">
            <v>5600.9030922569846</v>
          </cell>
          <cell r="BF259">
            <v>5555.8440549156776</v>
          </cell>
          <cell r="BG259">
            <v>5453.7715711160645</v>
          </cell>
          <cell r="BH259">
            <v>5495.0438556533354</v>
          </cell>
          <cell r="BI259">
            <v>5482.4345549028221</v>
          </cell>
          <cell r="BJ259">
            <v>5450.2054944668625</v>
          </cell>
          <cell r="BK259">
            <v>5370.4080691571899</v>
          </cell>
          <cell r="BL259">
            <v>5449.4005160166562</v>
          </cell>
          <cell r="BM259">
            <v>5470.3801967304134</v>
          </cell>
          <cell r="BN259">
            <v>5469.0178408481579</v>
          </cell>
          <cell r="BO259">
            <v>5318.0890733090764</v>
          </cell>
          <cell r="BP259">
            <v>5320.0148117558092</v>
          </cell>
          <cell r="BQ259">
            <v>5338.346481676791</v>
          </cell>
          <cell r="BR259">
            <v>5354.5722950968029</v>
          </cell>
          <cell r="BS259">
            <v>5284.9628552605445</v>
          </cell>
          <cell r="BT259">
            <v>5339.020087649139</v>
          </cell>
          <cell r="BU259">
            <v>5315.1822325908688</v>
          </cell>
        </row>
        <row r="260">
          <cell r="A260" t="str">
            <v>% y/y growth</v>
          </cell>
          <cell r="G260">
            <v>-1.3111203352442424E-2</v>
          </cell>
          <cell r="H260">
            <v>0.15166101488520889</v>
          </cell>
          <cell r="I260">
            <v>0.71476740341642109</v>
          </cell>
          <cell r="J260">
            <v>9.4062964937290605E-2</v>
          </cell>
          <cell r="K260">
            <v>-2.5633763189710446E-2</v>
          </cell>
          <cell r="L260">
            <v>-2.2521505632489891E-2</v>
          </cell>
          <cell r="M260">
            <v>-1.1220207627540613E-2</v>
          </cell>
          <cell r="N260">
            <v>-1.3565810492307095E-2</v>
          </cell>
          <cell r="O260">
            <v>-7.0751888242187588E-3</v>
          </cell>
          <cell r="P260">
            <v>-7.4668645822978386E-3</v>
          </cell>
          <cell r="Q260">
            <v>3.7387755102038511E-3</v>
          </cell>
          <cell r="R260">
            <v>1.4299999999999757E-2</v>
          </cell>
          <cell r="S260">
            <v>1.4300000000000201E-2</v>
          </cell>
          <cell r="T260">
            <v>1.4299999999999757E-2</v>
          </cell>
          <cell r="AH260">
            <v>-1.363122964419583E-2</v>
          </cell>
          <cell r="AI260">
            <v>-2.2081340819327888E-2</v>
          </cell>
          <cell r="AJ260">
            <v>-3.1889952820105982E-2</v>
          </cell>
          <cell r="AK260">
            <v>-3.2822593795863053E-2</v>
          </cell>
          <cell r="AL260">
            <v>-3.4479250402727257E-2</v>
          </cell>
          <cell r="AM260">
            <v>-3.9666578766264116E-2</v>
          </cell>
          <cell r="AN260">
            <v>-4.648301973007829E-2</v>
          </cell>
          <cell r="AO260">
            <v>6.7361841452524995E-2</v>
          </cell>
          <cell r="AP260">
            <v>0.19246038017044897</v>
          </cell>
          <cell r="AQ260">
            <v>0.1880612362006775</v>
          </cell>
          <cell r="AR260">
            <v>0.18112235741843108</v>
          </cell>
          <cell r="AS260">
            <v>5.6449985777946354E-2</v>
          </cell>
          <cell r="AT260">
            <v>0.36134217366441956</v>
          </cell>
          <cell r="AU260">
            <v>0.80361403136172194</v>
          </cell>
          <cell r="AV260">
            <v>0.8494401763262156</v>
          </cell>
          <cell r="AW260">
            <v>0.85470463845329947</v>
          </cell>
          <cell r="AX260">
            <v>0.35713281799016161</v>
          </cell>
          <cell r="AY260">
            <v>4.3691848906560748E-2</v>
          </cell>
          <cell r="AZ260">
            <v>2.9382834304966021E-2</v>
          </cell>
          <cell r="BA260">
            <v>9.1294555424989987E-3</v>
          </cell>
          <cell r="BB260">
            <v>-1.6014342938364012E-2</v>
          </cell>
          <cell r="BC260">
            <v>-3.674557171076076E-2</v>
          </cell>
          <cell r="BD260">
            <v>-2.3736335667997488E-2</v>
          </cell>
          <cell r="BE260">
            <v>-2.6051897919794231E-2</v>
          </cell>
          <cell r="BF260">
            <v>-2.6621571844757774E-2</v>
          </cell>
          <cell r="BG260">
            <v>-2.156979734595188E-2</v>
          </cell>
          <cell r="BH260">
            <v>-2.0663493889789608E-2</v>
          </cell>
          <cell r="BI260">
            <v>-2.1151684898447987E-2</v>
          </cell>
          <cell r="BJ260">
            <v>-1.9013953488372093E-2</v>
          </cell>
          <cell r="BK260">
            <v>-1.5285477375029721E-2</v>
          </cell>
          <cell r="BL260">
            <v>-8.3062739507931971E-3</v>
          </cell>
          <cell r="BM260">
            <v>-2.1987235874304512E-3</v>
          </cell>
          <cell r="BN260">
            <v>3.4516765285994566E-3</v>
          </cell>
          <cell r="BO260">
            <v>-9.7420894603125197E-3</v>
          </cell>
          <cell r="BP260">
            <v>-2.3743107866739055E-2</v>
          </cell>
          <cell r="BQ260">
            <v>-2.4136113086351441E-2</v>
          </cell>
          <cell r="BR260">
            <v>-2.0926160616365097E-2</v>
          </cell>
          <cell r="BS260">
            <v>-6.228970141697876E-3</v>
          </cell>
          <cell r="BT260">
            <v>3.5724103345227132E-3</v>
          </cell>
          <cell r="BU260">
            <v>-4.3392179892088878E-3</v>
          </cell>
        </row>
        <row r="261">
          <cell r="A261" t="str">
            <v>% total cash expense</v>
          </cell>
          <cell r="F261">
            <v>0.42695585910511963</v>
          </cell>
          <cell r="G261">
            <v>0.38331103131421917</v>
          </cell>
          <cell r="H261">
            <v>0.31079387394497332</v>
          </cell>
          <cell r="I261">
            <v>0.45695177063853432</v>
          </cell>
          <cell r="J261">
            <v>0.51510482036795491</v>
          </cell>
          <cell r="K261">
            <v>0.53028633377125245</v>
          </cell>
          <cell r="L261">
            <v>0.5328137943243324</v>
          </cell>
          <cell r="M261">
            <v>0.52996914524818695</v>
          </cell>
          <cell r="N261">
            <v>0.52731604131958032</v>
          </cell>
          <cell r="O261">
            <v>0.52050793658573558</v>
          </cell>
          <cell r="P261">
            <v>0.50968053972514527</v>
          </cell>
          <cell r="Q261">
            <v>0.50347812239985101</v>
          </cell>
          <cell r="R261">
            <v>0.50951745703363194</v>
          </cell>
          <cell r="S261">
            <v>0.51537324025764364</v>
          </cell>
          <cell r="T261">
            <v>0.5133664547637532</v>
          </cell>
          <cell r="AD261">
            <v>0.46504306034482756</v>
          </cell>
          <cell r="AE261">
            <v>0.44945488565456765</v>
          </cell>
          <cell r="AF261">
            <v>0.44666836875907395</v>
          </cell>
          <cell r="AG261">
            <v>0.43604780428068407</v>
          </cell>
          <cell r="AH261">
            <v>0.43955431854146515</v>
          </cell>
          <cell r="AI261">
            <v>0.42760210384661157</v>
          </cell>
          <cell r="AJ261">
            <v>0.43298291330863353</v>
          </cell>
          <cell r="AK261">
            <v>0.40901134949341411</v>
          </cell>
          <cell r="AL261">
            <v>0.41839667075276105</v>
          </cell>
          <cell r="AM261">
            <v>0.40096797859414229</v>
          </cell>
          <cell r="AN261">
            <v>0.42692416285291046</v>
          </cell>
          <cell r="AO261">
            <v>0.31813426164606839</v>
          </cell>
          <cell r="AP261">
            <v>0.30655269519197587</v>
          </cell>
          <cell r="AQ261">
            <v>0.31094929476391736</v>
          </cell>
          <cell r="AR261">
            <v>0.31575596655670313</v>
          </cell>
          <cell r="AS261">
            <v>0.31023441262746226</v>
          </cell>
          <cell r="AT261">
            <v>0.36840400942577289</v>
          </cell>
          <cell r="AU261">
            <v>0.48203705481824155</v>
          </cell>
          <cell r="AV261">
            <v>0.4794224710126086</v>
          </cell>
          <cell r="AW261">
            <v>0.49870432252433045</v>
          </cell>
          <cell r="AX261">
            <v>0.51057906305827583</v>
          </cell>
          <cell r="AY261">
            <v>0.52548445910046238</v>
          </cell>
          <cell r="AZ261">
            <v>0.50929631065335168</v>
          </cell>
          <cell r="BA261">
            <v>0.51534369295530003</v>
          </cell>
          <cell r="BB261">
            <v>0.53458785395875141</v>
          </cell>
          <cell r="BC261">
            <v>0.52093473432423976</v>
          </cell>
          <cell r="BD261">
            <v>0.53189747271447974</v>
          </cell>
          <cell r="BE261">
            <v>0.5338260667419924</v>
          </cell>
          <cell r="BF261">
            <v>0.52852397782683391</v>
          </cell>
          <cell r="BG261">
            <v>0.52673088382422872</v>
          </cell>
          <cell r="BH261">
            <v>0.53495364638369702</v>
          </cell>
          <cell r="BI261">
            <v>0.54131462824869891</v>
          </cell>
          <cell r="BJ261">
            <v>0.52853040093743819</v>
          </cell>
          <cell r="BK261">
            <v>0.52936501420967863</v>
          </cell>
          <cell r="BL261">
            <v>0.52932496513032112</v>
          </cell>
          <cell r="BM261">
            <v>0.53265629958426619</v>
          </cell>
          <cell r="BN261">
            <v>0.53112730318035917</v>
          </cell>
          <cell r="BO261">
            <v>0.52732663096768229</v>
          </cell>
          <cell r="BP261">
            <v>0.52496692438877135</v>
          </cell>
          <cell r="BQ261">
            <v>0.52578494138247933</v>
          </cell>
          <cell r="BR261">
            <v>0.52219915375029347</v>
          </cell>
          <cell r="BS261">
            <v>0.51810612198467187</v>
          </cell>
          <cell r="BT261">
            <v>0.52127183649156894</v>
          </cell>
          <cell r="BU261">
            <v>0.5204427407019554</v>
          </cell>
        </row>
        <row r="262">
          <cell r="A262" t="str">
            <v>% revenues</v>
          </cell>
          <cell r="F262">
            <v>0.29612019788817961</v>
          </cell>
          <cell r="G262">
            <v>0.27034372385405608</v>
          </cell>
          <cell r="H262">
            <v>0.21014519180106786</v>
          </cell>
          <cell r="I262">
            <v>0.29479667927931597</v>
          </cell>
          <cell r="J262">
            <v>0.34004702874443038</v>
          </cell>
          <cell r="K262">
            <v>0.35373548421753737</v>
          </cell>
          <cell r="L262">
            <v>0.35673644476405719</v>
          </cell>
          <cell r="M262">
            <v>0.36149641297590829</v>
          </cell>
          <cell r="N262">
            <v>0.36098919096777443</v>
          </cell>
          <cell r="O262">
            <v>0.3593770924839278</v>
          </cell>
          <cell r="P262">
            <v>0.35434735767272907</v>
          </cell>
          <cell r="Q262">
            <v>0.35033913604740979</v>
          </cell>
          <cell r="R262">
            <v>0.3479688042168762</v>
          </cell>
          <cell r="S262">
            <v>0.34498772527764099</v>
          </cell>
          <cell r="T262">
            <v>0.3416162052465202</v>
          </cell>
          <cell r="AD262">
            <v>0.29814310296020702</v>
          </cell>
          <cell r="AE262">
            <v>0.30176981917442491</v>
          </cell>
          <cell r="AF262">
            <v>0.30238038854837823</v>
          </cell>
          <cell r="AG262">
            <v>0.31373105383713806</v>
          </cell>
          <cell r="AH262">
            <v>0.3016587380786781</v>
          </cell>
          <cell r="AI262">
            <v>0.29513866319832399</v>
          </cell>
          <cell r="AJ262">
            <v>0.29111611819002498</v>
          </cell>
          <cell r="AK262">
            <v>0.29666125316550079</v>
          </cell>
          <cell r="AL262">
            <v>0.28675345774854338</v>
          </cell>
          <cell r="AM262">
            <v>0.27951240854142811</v>
          </cell>
          <cell r="AN262">
            <v>0.27695253689461208</v>
          </cell>
          <cell r="AO262">
            <v>0.24532968536215582</v>
          </cell>
          <cell r="AP262">
            <v>0.21302074117350001</v>
          </cell>
          <cell r="AQ262">
            <v>0.20840981207024317</v>
          </cell>
          <cell r="AR262">
            <v>0.2069753733887727</v>
          </cell>
          <cell r="AS262">
            <v>0.2121788289940188</v>
          </cell>
          <cell r="AT262">
            <v>0.23764168338473352</v>
          </cell>
          <cell r="AU262">
            <v>0.30814151083862695</v>
          </cell>
          <cell r="AV262">
            <v>0.31122375124932217</v>
          </cell>
          <cell r="AW262">
            <v>0.32272591989384553</v>
          </cell>
          <cell r="AX262">
            <v>0.33829175572432912</v>
          </cell>
          <cell r="AY262">
            <v>0.33806361299376597</v>
          </cell>
          <cell r="AZ262">
            <v>0.33687409095147258</v>
          </cell>
          <cell r="BA262">
            <v>0.34716089765699931</v>
          </cell>
          <cell r="BB262">
            <v>0.35316139813869507</v>
          </cell>
          <cell r="BC262">
            <v>0.34800534789719451</v>
          </cell>
          <cell r="BD262">
            <v>0.35571107136205443</v>
          </cell>
          <cell r="BE262">
            <v>0.35820562114715943</v>
          </cell>
          <cell r="BF262">
            <v>0.35974126229705244</v>
          </cell>
          <cell r="BG262">
            <v>0.35097313669580182</v>
          </cell>
          <cell r="BH262">
            <v>0.35638133832630753</v>
          </cell>
          <cell r="BI262">
            <v>0.35992873916116219</v>
          </cell>
          <cell r="BJ262">
            <v>0.36211583911147849</v>
          </cell>
          <cell r="BK262">
            <v>0.35731257945157618</v>
          </cell>
          <cell r="BL262">
            <v>0.36196615848665931</v>
          </cell>
          <cell r="BM262">
            <v>0.36459478783860394</v>
          </cell>
          <cell r="BN262">
            <v>0.36635971602680584</v>
          </cell>
          <cell r="BO262">
            <v>0.35682293835943885</v>
          </cell>
          <cell r="BP262">
            <v>0.35914499505541142</v>
          </cell>
          <cell r="BQ262">
            <v>0.36161514862465494</v>
          </cell>
          <cell r="BR262">
            <v>0.3618501785045431</v>
          </cell>
          <cell r="BS262">
            <v>0.35586395464281001</v>
          </cell>
          <cell r="BT262">
            <v>0.36048304465204667</v>
          </cell>
          <cell r="BU262">
            <v>0.35932285965886529</v>
          </cell>
        </row>
        <row r="263">
          <cell r="A263" t="str">
            <v>compensation per head (in 000s)</v>
          </cell>
          <cell r="F263">
            <v>72.226462142679281</v>
          </cell>
          <cell r="G263">
            <v>65.824687952858255</v>
          </cell>
          <cell r="H263">
            <v>72.746556220589866</v>
          </cell>
          <cell r="I263">
            <v>89.293994057589003</v>
          </cell>
          <cell r="J263">
            <v>75.478421913752044</v>
          </cell>
          <cell r="K263">
            <v>76.851568915606904</v>
          </cell>
          <cell r="L263">
            <v>80.053499978474449</v>
          </cell>
          <cell r="M263">
            <v>83.135673414929443</v>
          </cell>
          <cell r="N263">
            <v>86.420268603405404</v>
          </cell>
          <cell r="O263">
            <v>91.088420849214089</v>
          </cell>
          <cell r="P263">
            <v>94.731957683182657</v>
          </cell>
          <cell r="Q263">
            <v>98.047576202094035</v>
          </cell>
          <cell r="R263">
            <v>101.47924136916731</v>
          </cell>
          <cell r="S263">
            <v>105.03101481708816</v>
          </cell>
          <cell r="T263">
            <v>108.70710033568623</v>
          </cell>
          <cell r="AD263">
            <v>16.989374999999999</v>
          </cell>
          <cell r="AE263">
            <v>16.989374999999999</v>
          </cell>
          <cell r="AF263">
            <v>17.155124999999998</v>
          </cell>
          <cell r="AG263">
            <v>17.669778749999999</v>
          </cell>
          <cell r="AH263">
            <v>17.329162499999999</v>
          </cell>
          <cell r="AI263">
            <v>17.329162499999999</v>
          </cell>
          <cell r="AJ263">
            <v>17.498227499999999</v>
          </cell>
          <cell r="AK263">
            <v>18.023174324999999</v>
          </cell>
          <cell r="AL263">
            <v>17.675745750000001</v>
          </cell>
          <cell r="AM263">
            <v>17.675745750000001</v>
          </cell>
          <cell r="AN263">
            <v>17.848192049999998</v>
          </cell>
          <cell r="AO263">
            <v>18.383637811499998</v>
          </cell>
          <cell r="AP263">
            <v>18.135315139500001</v>
          </cell>
          <cell r="AQ263">
            <v>18.135315139500001</v>
          </cell>
          <cell r="AR263">
            <v>18.205155890999997</v>
          </cell>
          <cell r="AS263">
            <v>18.751310567729998</v>
          </cell>
          <cell r="AT263">
            <v>18.3710742363135</v>
          </cell>
          <cell r="AU263">
            <v>18.3710742363135</v>
          </cell>
          <cell r="AV263">
            <v>18.441822917582996</v>
          </cell>
          <cell r="AW263">
            <v>18.601300083188157</v>
          </cell>
          <cell r="AX263">
            <v>18.738495721039772</v>
          </cell>
          <cell r="AY263">
            <v>18.738495721039772</v>
          </cell>
          <cell r="AZ263">
            <v>18.810659375934655</v>
          </cell>
          <cell r="BA263">
            <v>18.973326084851919</v>
          </cell>
          <cell r="BB263">
            <v>19.113265635460568</v>
          </cell>
          <cell r="BC263">
            <v>19.113265635460568</v>
          </cell>
          <cell r="BD263">
            <v>19.563085750972043</v>
          </cell>
          <cell r="BE263">
            <v>19.732259128245996</v>
          </cell>
          <cell r="BF263">
            <v>19.877796260878991</v>
          </cell>
          <cell r="BG263">
            <v>19.877796260878991</v>
          </cell>
          <cell r="BH263">
            <v>20.345609181010925</v>
          </cell>
          <cell r="BI263">
            <v>20.521549493375836</v>
          </cell>
          <cell r="BJ263">
            <v>20.67290811131415</v>
          </cell>
          <cell r="BK263">
            <v>20.67290811131415</v>
          </cell>
          <cell r="BL263">
            <v>21.159433548251364</v>
          </cell>
          <cell r="BM263">
            <v>21.342411473110872</v>
          </cell>
          <cell r="BN263">
            <v>21.499824435766715</v>
          </cell>
          <cell r="BO263">
            <v>21.499824435766715</v>
          </cell>
          <cell r="BP263">
            <v>22.005810890181419</v>
          </cell>
          <cell r="BQ263">
            <v>22.196107932035307</v>
          </cell>
          <cell r="BR263">
            <v>22.467316535376217</v>
          </cell>
          <cell r="BS263">
            <v>22.467316535376217</v>
          </cell>
          <cell r="BT263">
            <v>22.996072380239582</v>
          </cell>
          <cell r="BU263">
            <v>23.194932788976896</v>
          </cell>
        </row>
        <row r="264">
          <cell r="A264" t="str">
            <v>% y/y growth</v>
          </cell>
          <cell r="G264">
            <v>-8.8634746876770532E-2</v>
          </cell>
          <cell r="H264">
            <v>0.10515611213666287</v>
          </cell>
          <cell r="I264">
            <v>0.22746695784226856</v>
          </cell>
          <cell r="J264">
            <v>-0.15472006028677343</v>
          </cell>
          <cell r="K264">
            <v>1.8192576991393983E-2</v>
          </cell>
          <cell r="L264">
            <v>4.1663834688705936E-2</v>
          </cell>
          <cell r="M264">
            <v>3.8501420141327403E-2</v>
          </cell>
          <cell r="N264">
            <v>3.9508854064158161E-2</v>
          </cell>
          <cell r="O264">
            <v>5.4016868047835898E-2</v>
          </cell>
          <cell r="P264">
            <v>0.04</v>
          </cell>
          <cell r="Q264">
            <v>3.5000000000000003E-2</v>
          </cell>
          <cell r="R264">
            <v>3.5000000000000003E-2</v>
          </cell>
          <cell r="S264">
            <v>3.5000000000000003E-2</v>
          </cell>
          <cell r="T264">
            <v>3.5000000000000003E-2</v>
          </cell>
          <cell r="AD264">
            <v>2.5000000000000001E-2</v>
          </cell>
          <cell r="AE264">
            <v>2.5000000000000001E-2</v>
          </cell>
          <cell r="AF264">
            <v>3.5000000000000003E-2</v>
          </cell>
          <cell r="AG264">
            <v>3.5000000000000003E-2</v>
          </cell>
          <cell r="AH264">
            <v>0.02</v>
          </cell>
          <cell r="AI264">
            <v>0.02</v>
          </cell>
          <cell r="AJ264">
            <v>0.02</v>
          </cell>
          <cell r="AK264">
            <v>0.02</v>
          </cell>
          <cell r="AL264">
            <v>0.02</v>
          </cell>
          <cell r="AM264">
            <v>0.02</v>
          </cell>
          <cell r="AN264">
            <v>0.02</v>
          </cell>
          <cell r="AO264">
            <v>0.02</v>
          </cell>
          <cell r="AP264">
            <v>2.5999999999999999E-2</v>
          </cell>
          <cell r="AQ264">
            <v>2.5999999999999999E-2</v>
          </cell>
          <cell r="AR264">
            <v>0.02</v>
          </cell>
          <cell r="AS264">
            <v>0.02</v>
          </cell>
          <cell r="AT264">
            <v>1.2999999999999999E-2</v>
          </cell>
          <cell r="AU264">
            <v>1.2999999999999999E-2</v>
          </cell>
          <cell r="AV264">
            <v>1.2999999999999999E-2</v>
          </cell>
          <cell r="AW264">
            <v>-8.0000000000000002E-3</v>
          </cell>
          <cell r="AX264">
            <v>0.02</v>
          </cell>
          <cell r="AY264">
            <v>0.02</v>
          </cell>
          <cell r="AZ264">
            <v>0.02</v>
          </cell>
          <cell r="BA264">
            <v>0.02</v>
          </cell>
          <cell r="BB264">
            <v>0.02</v>
          </cell>
          <cell r="BC264">
            <v>0.02</v>
          </cell>
          <cell r="BD264">
            <v>0.04</v>
          </cell>
          <cell r="BE264">
            <v>0.04</v>
          </cell>
          <cell r="BF264">
            <v>0.04</v>
          </cell>
          <cell r="BG264">
            <v>0.04</v>
          </cell>
          <cell r="BH264">
            <v>0.04</v>
          </cell>
          <cell r="BI264">
            <v>0.04</v>
          </cell>
          <cell r="BJ264">
            <v>0.04</v>
          </cell>
          <cell r="BK264">
            <v>0.04</v>
          </cell>
          <cell r="BL264">
            <v>0.04</v>
          </cell>
          <cell r="BM264">
            <v>0.04</v>
          </cell>
          <cell r="BN264">
            <v>0.04</v>
          </cell>
          <cell r="BO264">
            <v>0.04</v>
          </cell>
          <cell r="BP264">
            <v>0.04</v>
          </cell>
          <cell r="BQ264">
            <v>0.04</v>
          </cell>
          <cell r="BR264">
            <v>4.4999999999999998E-2</v>
          </cell>
          <cell r="BS264">
            <v>4.4999999999999998E-2</v>
          </cell>
          <cell r="BT264">
            <v>4.4999999999999998E-2</v>
          </cell>
          <cell r="BU264">
            <v>4.4999999999999998E-2</v>
          </cell>
        </row>
        <row r="266">
          <cell r="A266" t="str">
            <v>End of period employees</v>
          </cell>
          <cell r="F266">
            <v>149900</v>
          </cell>
          <cell r="G266">
            <v>174744</v>
          </cell>
          <cell r="H266">
            <v>163561</v>
          </cell>
          <cell r="I266">
            <v>309050</v>
          </cell>
          <cell r="J266">
            <v>302660</v>
          </cell>
          <cell r="K266">
            <v>282720</v>
          </cell>
          <cell r="L266">
            <v>266590</v>
          </cell>
          <cell r="M266">
            <v>256420</v>
          </cell>
          <cell r="N266">
            <v>239886.44648898425</v>
          </cell>
          <cell r="O266">
            <v>227653.49485760191</v>
          </cell>
          <cell r="P266">
            <v>218547.35506329781</v>
          </cell>
          <cell r="Q266">
            <v>214176.40796203187</v>
          </cell>
          <cell r="R266">
            <v>209892.87980279123</v>
          </cell>
          <cell r="S266">
            <v>205695.02220673539</v>
          </cell>
          <cell r="T266">
            <v>201581.12176260067</v>
          </cell>
          <cell r="AD266">
            <v>162730</v>
          </cell>
          <cell r="AE266">
            <v>161609</v>
          </cell>
          <cell r="AF266">
            <v>161198</v>
          </cell>
          <cell r="AG266">
            <v>157686</v>
          </cell>
          <cell r="AH266">
            <v>157043</v>
          </cell>
          <cell r="AI266">
            <v>153915</v>
          </cell>
          <cell r="AJ266">
            <v>152470</v>
          </cell>
          <cell r="AK266">
            <v>149900</v>
          </cell>
          <cell r="AL266">
            <v>148019</v>
          </cell>
          <cell r="AM266">
            <v>144749</v>
          </cell>
          <cell r="AN266">
            <v>141666</v>
          </cell>
          <cell r="AO266">
            <v>174744</v>
          </cell>
          <cell r="AP266">
            <v>171510</v>
          </cell>
          <cell r="AQ266">
            <v>167502</v>
          </cell>
          <cell r="AR266">
            <v>164156</v>
          </cell>
          <cell r="AS266">
            <v>163561</v>
          </cell>
          <cell r="AT266">
            <v>301760</v>
          </cell>
          <cell r="AU266">
            <v>301840</v>
          </cell>
          <cell r="AV266">
            <v>303670</v>
          </cell>
          <cell r="AW266">
            <v>309050</v>
          </cell>
          <cell r="AX266">
            <v>310070</v>
          </cell>
          <cell r="AY266">
            <v>307550</v>
          </cell>
          <cell r="AZ266">
            <v>303530</v>
          </cell>
          <cell r="BA266">
            <v>302660</v>
          </cell>
          <cell r="BB266">
            <v>294600</v>
          </cell>
          <cell r="BC266">
            <v>288660</v>
          </cell>
          <cell r="BD266">
            <v>284970</v>
          </cell>
          <cell r="BE266">
            <v>282720</v>
          </cell>
          <cell r="BF266">
            <v>276280</v>
          </cell>
          <cell r="BG266">
            <v>272450</v>
          </cell>
          <cell r="BH266">
            <v>267720</v>
          </cell>
          <cell r="BI266">
            <v>266590</v>
          </cell>
          <cell r="BJ266">
            <v>260690</v>
          </cell>
          <cell r="BK266">
            <v>258870</v>
          </cell>
          <cell r="BL266">
            <v>256210</v>
          </cell>
          <cell r="BM266">
            <v>256420</v>
          </cell>
          <cell r="BN266">
            <v>252330</v>
          </cell>
          <cell r="BO266">
            <v>242380</v>
          </cell>
          <cell r="BP266">
            <v>241130</v>
          </cell>
          <cell r="BQ266">
            <v>239886.44648898425</v>
          </cell>
          <cell r="BR266">
            <v>236767.92268462744</v>
          </cell>
          <cell r="BS266">
            <v>233689.93968972727</v>
          </cell>
          <cell r="BT266">
            <v>230651.9704737608</v>
          </cell>
          <cell r="BU266">
            <v>227653.49485760191</v>
          </cell>
          <cell r="CF266" t="str">
            <v>mstag:totalNumberOfEmployees</v>
          </cell>
          <cell r="CG266">
            <v>0</v>
          </cell>
          <cell r="CH266" t="str">
            <v>ms_eqr_gcim_Decimal:ms_eqr_gcim_decimal</v>
          </cell>
          <cell r="CI266" t="b">
            <v>0</v>
          </cell>
          <cell r="CJ266" t="b">
            <v>0</v>
          </cell>
        </row>
        <row r="267">
          <cell r="A267" t="str">
            <v>% y/y growth</v>
          </cell>
          <cell r="G267">
            <v>0.16573715810540368</v>
          </cell>
          <cell r="H267">
            <v>-6.3996474843199147E-2</v>
          </cell>
          <cell r="I267">
            <v>0.88950911280806544</v>
          </cell>
          <cell r="J267">
            <v>-2.0676265976379171E-2</v>
          </cell>
          <cell r="K267">
            <v>-6.5882508425295749E-2</v>
          </cell>
          <cell r="L267">
            <v>-5.7052914544425626E-2</v>
          </cell>
          <cell r="M267">
            <v>-3.8148467684459231E-2</v>
          </cell>
          <cell r="N267">
            <v>-6.447840851343789E-2</v>
          </cell>
          <cell r="O267">
            <v>-5.0994759439000226E-2</v>
          </cell>
          <cell r="P267">
            <v>-0.04</v>
          </cell>
          <cell r="Q267">
            <v>-0.02</v>
          </cell>
          <cell r="R267">
            <v>-0.02</v>
          </cell>
          <cell r="S267">
            <v>-0.02</v>
          </cell>
          <cell r="T267">
            <v>-0.02</v>
          </cell>
          <cell r="AH267">
            <v>-3.4947458981134383E-2</v>
          </cell>
          <cell r="AI267">
            <v>-4.760873466205473E-2</v>
          </cell>
          <cell r="AJ267">
            <v>-5.4144592364669508E-2</v>
          </cell>
          <cell r="AK267">
            <v>-4.9376609210709854E-2</v>
          </cell>
          <cell r="AL267">
            <v>-5.7461969014855785E-2</v>
          </cell>
          <cell r="AM267">
            <v>-5.9552350323230363E-2</v>
          </cell>
          <cell r="AN267">
            <v>-7.0859841280251801E-2</v>
          </cell>
          <cell r="AO267">
            <v>0.16573715810540368</v>
          </cell>
          <cell r="AP267">
            <v>0.15870259899067007</v>
          </cell>
          <cell r="AQ267">
            <v>0.15718934154985531</v>
          </cell>
          <cell r="AR267">
            <v>0.15875368825265057</v>
          </cell>
          <cell r="AS267">
            <v>-6.3996474843199147E-2</v>
          </cell>
          <cell r="AT267">
            <v>0.75943093697160524</v>
          </cell>
          <cell r="AU267">
            <v>0.8020083342288451</v>
          </cell>
          <cell r="AV267">
            <v>0.84988669314554444</v>
          </cell>
          <cell r="AW267">
            <v>0.88950911280806544</v>
          </cell>
          <cell r="AX267">
            <v>2.7538441145281034E-2</v>
          </cell>
          <cell r="AY267">
            <v>1.8917307182613197E-2</v>
          </cell>
          <cell r="AZ267">
            <v>-4.6102677248327506E-4</v>
          </cell>
          <cell r="BA267">
            <v>-2.0676265976379171E-2</v>
          </cell>
          <cell r="BB267">
            <v>-4.9891959880027037E-2</v>
          </cell>
          <cell r="BC267">
            <v>-6.1420907169565941E-2</v>
          </cell>
          <cell r="BD267">
            <v>-6.1147168319441225E-2</v>
          </cell>
          <cell r="BE267">
            <v>-6.5882508425295749E-2</v>
          </cell>
          <cell r="BF267">
            <v>-6.2186014935505796E-2</v>
          </cell>
          <cell r="BG267">
            <v>-5.6156031317120436E-2</v>
          </cell>
          <cell r="BH267">
            <v>-6.0532687651331685E-2</v>
          </cell>
          <cell r="BI267">
            <v>-5.7052914544425626E-2</v>
          </cell>
          <cell r="BJ267">
            <v>-5.6428261184305772E-2</v>
          </cell>
          <cell r="BK267">
            <v>-4.9844008074876101E-2</v>
          </cell>
          <cell r="BL267">
            <v>-4.2992678918272853E-2</v>
          </cell>
          <cell r="BM267">
            <v>-3.8148467684459231E-2</v>
          </cell>
          <cell r="BN267">
            <v>-3.2068740649813909E-2</v>
          </cell>
          <cell r="BO267">
            <v>-6.3699926604086965E-2</v>
          </cell>
          <cell r="BP267">
            <v>-5.8857968073065092E-2</v>
          </cell>
          <cell r="BQ267">
            <v>-6.447840851343789E-2</v>
          </cell>
          <cell r="BR267">
            <v>-6.1673512128453067E-2</v>
          </cell>
          <cell r="BS267">
            <v>-3.5853041960032694E-2</v>
          </cell>
          <cell r="BT267">
            <v>-4.3453861096666491E-2</v>
          </cell>
          <cell r="BU267">
            <v>-5.0994759439000226E-2</v>
          </cell>
        </row>
        <row r="268">
          <cell r="A268" t="str">
            <v>% q/q growth</v>
          </cell>
          <cell r="AE268">
            <v>-6.8887113623794516E-3</v>
          </cell>
          <cell r="AF268">
            <v>-2.5431751944507974E-3</v>
          </cell>
          <cell r="AG268">
            <v>-2.1786870804848646E-2</v>
          </cell>
          <cell r="AH268">
            <v>-4.0777240845731866E-3</v>
          </cell>
          <cell r="AI268">
            <v>-1.9918111600007671E-2</v>
          </cell>
          <cell r="AJ268">
            <v>-9.3882987363155257E-3</v>
          </cell>
          <cell r="AK268">
            <v>-1.6855774906539001E-2</v>
          </cell>
          <cell r="AL268">
            <v>-1.2548365577051412E-2</v>
          </cell>
          <cell r="AM268">
            <v>-2.2091758490464075E-2</v>
          </cell>
          <cell r="AN268">
            <v>-2.1298938161921632E-2</v>
          </cell>
          <cell r="AO268">
            <v>0.23349286349582821</v>
          </cell>
          <cell r="AP268">
            <v>-1.8507073204230173E-2</v>
          </cell>
          <cell r="AQ268">
            <v>-2.3368899772608032E-2</v>
          </cell>
          <cell r="AR268">
            <v>-1.9975880885004349E-2</v>
          </cell>
          <cell r="AS268">
            <v>-3.6246009893028397E-3</v>
          </cell>
          <cell r="AT268">
            <v>0.84493858560414759</v>
          </cell>
          <cell r="AU268">
            <v>2.6511134676554526E-4</v>
          </cell>
          <cell r="AV268">
            <v>6.0628147362842277E-3</v>
          </cell>
          <cell r="AW268">
            <v>1.771660025685784E-2</v>
          </cell>
          <cell r="AX268">
            <v>3.3004368225206804E-3</v>
          </cell>
          <cell r="AY268">
            <v>-8.1271970845292474E-3</v>
          </cell>
          <cell r="AZ268">
            <v>-1.307104535847825E-2</v>
          </cell>
          <cell r="BA268">
            <v>-2.8662735149738161E-3</v>
          </cell>
          <cell r="BB268">
            <v>-2.6630542522963041E-2</v>
          </cell>
          <cell r="BC268">
            <v>-2.0162932790224075E-2</v>
          </cell>
          <cell r="BD268">
            <v>-1.2783205154853428E-2</v>
          </cell>
          <cell r="BE268">
            <v>-7.8955679545215096E-3</v>
          </cell>
          <cell r="BF268">
            <v>-2.2778720996038504E-2</v>
          </cell>
          <cell r="BG268">
            <v>-1.3862747936875586E-2</v>
          </cell>
          <cell r="BH268">
            <v>-1.7360983666727892E-2</v>
          </cell>
          <cell r="BI268">
            <v>-4.2208277304646158E-3</v>
          </cell>
          <cell r="BJ268">
            <v>-2.2131362766795504E-2</v>
          </cell>
          <cell r="BK268">
            <v>-6.9814722467298473E-3</v>
          </cell>
          <cell r="BL268">
            <v>-1.0275427820913952E-2</v>
          </cell>
          <cell r="BM268">
            <v>8.196401389484187E-4</v>
          </cell>
          <cell r="BN268">
            <v>-1.5950393885032388E-2</v>
          </cell>
          <cell r="BO268">
            <v>-3.9432489200649901E-2</v>
          </cell>
          <cell r="BP268">
            <v>-5.1571911873916632E-3</v>
          </cell>
          <cell r="BQ268">
            <v>-5.1571911873916632E-3</v>
          </cell>
          <cell r="BR268">
            <v>-1.2999999999999999E-2</v>
          </cell>
          <cell r="BS268">
            <v>-1.2999999999999999E-2</v>
          </cell>
          <cell r="BT268">
            <v>-1.2999999999999999E-2</v>
          </cell>
          <cell r="BU268">
            <v>-1.2999999999999999E-2</v>
          </cell>
        </row>
        <row r="269">
          <cell r="A269" t="str">
            <v>sequential increase (decrease) in employee base</v>
          </cell>
          <cell r="F269">
            <v>149900</v>
          </cell>
          <cell r="G269">
            <v>24844</v>
          </cell>
          <cell r="H269">
            <v>-11183</v>
          </cell>
          <cell r="I269">
            <v>145489</v>
          </cell>
          <cell r="J269">
            <v>-6390</v>
          </cell>
          <cell r="K269">
            <v>-19940</v>
          </cell>
          <cell r="L269">
            <v>-16130</v>
          </cell>
          <cell r="M269">
            <v>-10170</v>
          </cell>
          <cell r="N269">
            <v>-16533.553511015751</v>
          </cell>
          <cell r="O269">
            <v>-12232.951631382341</v>
          </cell>
          <cell r="P269">
            <v>-9106.1397943040938</v>
          </cell>
          <cell r="Q269">
            <v>-4370.9471012659487</v>
          </cell>
          <cell r="R269">
            <v>-4283.5281592406391</v>
          </cell>
          <cell r="S269">
            <v>-4197.8575960558373</v>
          </cell>
          <cell r="T269">
            <v>-4113.9004441347206</v>
          </cell>
          <cell r="AD269">
            <v>162730</v>
          </cell>
          <cell r="AE269">
            <v>-1121</v>
          </cell>
          <cell r="AF269">
            <v>-411</v>
          </cell>
          <cell r="AG269">
            <v>-3512</v>
          </cell>
          <cell r="AH269">
            <v>-643</v>
          </cell>
          <cell r="AI269">
            <v>-3128</v>
          </cell>
          <cell r="AJ269">
            <v>-1445</v>
          </cell>
          <cell r="AK269">
            <v>-2570</v>
          </cell>
          <cell r="AL269">
            <v>-1881</v>
          </cell>
          <cell r="AM269">
            <v>-3270</v>
          </cell>
          <cell r="AN269">
            <v>-3083</v>
          </cell>
          <cell r="AO269">
            <v>33078</v>
          </cell>
          <cell r="AP269">
            <v>-3234</v>
          </cell>
          <cell r="AQ269">
            <v>-4008</v>
          </cell>
          <cell r="AR269">
            <v>-3346</v>
          </cell>
          <cell r="AS269">
            <v>-595</v>
          </cell>
          <cell r="AT269">
            <v>138199</v>
          </cell>
          <cell r="AU269">
            <v>80</v>
          </cell>
          <cell r="AV269">
            <v>1830</v>
          </cell>
          <cell r="AW269">
            <v>5380</v>
          </cell>
          <cell r="AX269">
            <v>1020</v>
          </cell>
          <cell r="AY269">
            <v>-2520</v>
          </cell>
          <cell r="AZ269">
            <v>-4020</v>
          </cell>
          <cell r="BA269">
            <v>-870</v>
          </cell>
          <cell r="BB269">
            <v>-8060</v>
          </cell>
          <cell r="BC269">
            <v>-5940</v>
          </cell>
          <cell r="BD269">
            <v>-3690</v>
          </cell>
          <cell r="BE269">
            <v>-2250</v>
          </cell>
          <cell r="BF269">
            <v>-6440</v>
          </cell>
          <cell r="BG269">
            <v>-3830</v>
          </cell>
          <cell r="BH269">
            <v>-4730</v>
          </cell>
          <cell r="BI269">
            <v>-1130</v>
          </cell>
          <cell r="BJ269">
            <v>-5900</v>
          </cell>
          <cell r="BK269">
            <v>-1820</v>
          </cell>
          <cell r="BL269">
            <v>-2660</v>
          </cell>
          <cell r="BM269">
            <v>210</v>
          </cell>
          <cell r="BN269">
            <v>-4090</v>
          </cell>
          <cell r="BO269">
            <v>-9950</v>
          </cell>
          <cell r="BP269">
            <v>-1250</v>
          </cell>
          <cell r="BQ269">
            <v>-1243.5535110157507</v>
          </cell>
          <cell r="BR269">
            <v>-3118.5238043568097</v>
          </cell>
          <cell r="BS269">
            <v>-3077.9829949001723</v>
          </cell>
          <cell r="BT269">
            <v>-3037.9692159664701</v>
          </cell>
          <cell r="BU269">
            <v>-2998.4756161588884</v>
          </cell>
        </row>
        <row r="270">
          <cell r="A270" t="str">
            <v>average employees</v>
          </cell>
          <cell r="F270">
            <v>149900</v>
          </cell>
          <cell r="G270">
            <v>162322</v>
          </cell>
          <cell r="H270">
            <v>169152.5</v>
          </cell>
          <cell r="I270">
            <v>236305.5</v>
          </cell>
          <cell r="J270">
            <v>305855</v>
          </cell>
          <cell r="K270">
            <v>292690</v>
          </cell>
          <cell r="L270">
            <v>274655</v>
          </cell>
          <cell r="M270">
            <v>261505</v>
          </cell>
          <cell r="N270">
            <v>248153.22324449214</v>
          </cell>
          <cell r="O270">
            <v>233769.97067329308</v>
          </cell>
          <cell r="P270">
            <v>223100.42496044986</v>
          </cell>
          <cell r="Q270">
            <v>216361.88151266484</v>
          </cell>
          <cell r="R270">
            <v>212034.64388241153</v>
          </cell>
          <cell r="S270">
            <v>207793.95100476331</v>
          </cell>
          <cell r="T270">
            <v>203638.07198466803</v>
          </cell>
          <cell r="AD270">
            <v>162730</v>
          </cell>
          <cell r="AE270">
            <v>162169.5</v>
          </cell>
          <cell r="AF270">
            <v>161403.5</v>
          </cell>
          <cell r="AG270">
            <v>159442</v>
          </cell>
          <cell r="AH270">
            <v>157364.5</v>
          </cell>
          <cell r="AI270">
            <v>155479</v>
          </cell>
          <cell r="AJ270">
            <v>153192.5</v>
          </cell>
          <cell r="AK270">
            <v>151185</v>
          </cell>
          <cell r="AL270">
            <v>148959.5</v>
          </cell>
          <cell r="AM270">
            <v>146384</v>
          </cell>
          <cell r="AN270">
            <v>143207.5</v>
          </cell>
          <cell r="AO270">
            <v>158205</v>
          </cell>
          <cell r="AP270">
            <v>173127</v>
          </cell>
          <cell r="AQ270">
            <v>169506</v>
          </cell>
          <cell r="AR270">
            <v>165829</v>
          </cell>
          <cell r="AS270">
            <v>163858.5</v>
          </cell>
          <cell r="AT270">
            <v>232660.5</v>
          </cell>
          <cell r="AU270">
            <v>301800</v>
          </cell>
          <cell r="AV270">
            <v>302755</v>
          </cell>
          <cell r="AW270">
            <v>306360</v>
          </cell>
          <cell r="AX270">
            <v>309560</v>
          </cell>
          <cell r="AY270">
            <v>308810</v>
          </cell>
          <cell r="AZ270">
            <v>305540</v>
          </cell>
          <cell r="BA270">
            <v>303095</v>
          </cell>
          <cell r="BB270">
            <v>298630</v>
          </cell>
          <cell r="BC270">
            <v>291630</v>
          </cell>
          <cell r="BD270">
            <v>286815</v>
          </cell>
          <cell r="BE270">
            <v>283845</v>
          </cell>
          <cell r="BF270">
            <v>279500</v>
          </cell>
          <cell r="BG270">
            <v>274365</v>
          </cell>
          <cell r="BH270">
            <v>270085</v>
          </cell>
          <cell r="BI270">
            <v>267155</v>
          </cell>
          <cell r="BJ270">
            <v>263640</v>
          </cell>
          <cell r="BK270">
            <v>259780</v>
          </cell>
          <cell r="BL270">
            <v>257540</v>
          </cell>
          <cell r="BM270">
            <v>256315</v>
          </cell>
          <cell r="BN270">
            <v>254375</v>
          </cell>
          <cell r="BO270">
            <v>247355</v>
          </cell>
          <cell r="BP270">
            <v>241755</v>
          </cell>
          <cell r="BQ270">
            <v>240508.22324449214</v>
          </cell>
          <cell r="BR270">
            <v>238327.18458680584</v>
          </cell>
          <cell r="BS270">
            <v>235228.93118717737</v>
          </cell>
          <cell r="BT270">
            <v>232170.95508174403</v>
          </cell>
          <cell r="BU270">
            <v>229152.73266568134</v>
          </cell>
          <cell r="CF270" t="str">
            <v>mstag:averageNumberOfEmployees</v>
          </cell>
          <cell r="CG270">
            <v>0</v>
          </cell>
          <cell r="CH270" t="str">
            <v>ms_eqr_gcim_Decimal:ms_eqr_gcim_decimal</v>
          </cell>
          <cell r="CI270" t="b">
            <v>0</v>
          </cell>
          <cell r="CJ270" t="b">
            <v>0</v>
          </cell>
        </row>
        <row r="272">
          <cell r="A272" t="str">
            <v>Pension (income benefit), expense</v>
          </cell>
          <cell r="F272">
            <v>8</v>
          </cell>
          <cell r="G272">
            <v>135</v>
          </cell>
          <cell r="H272">
            <v>78</v>
          </cell>
          <cell r="I272">
            <v>-608</v>
          </cell>
          <cell r="J272">
            <v>1173</v>
          </cell>
          <cell r="K272">
            <v>1070</v>
          </cell>
          <cell r="L272">
            <v>1075</v>
          </cell>
          <cell r="M272">
            <v>1186</v>
          </cell>
          <cell r="N272">
            <v>1216</v>
          </cell>
          <cell r="O272">
            <v>1216</v>
          </cell>
          <cell r="P272">
            <v>1216</v>
          </cell>
          <cell r="Q272">
            <v>1216</v>
          </cell>
          <cell r="R272">
            <v>1216</v>
          </cell>
          <cell r="S272">
            <v>1216</v>
          </cell>
          <cell r="T272">
            <v>1216</v>
          </cell>
          <cell r="AD272">
            <v>0</v>
          </cell>
          <cell r="AE272">
            <v>0</v>
          </cell>
          <cell r="AF272">
            <v>0</v>
          </cell>
          <cell r="AG272">
            <v>0</v>
          </cell>
          <cell r="AH272">
            <v>2</v>
          </cell>
          <cell r="AI272">
            <v>2</v>
          </cell>
          <cell r="AJ272">
            <v>2</v>
          </cell>
          <cell r="AK272">
            <v>2</v>
          </cell>
          <cell r="AL272">
            <v>33.75</v>
          </cell>
          <cell r="AM272">
            <v>33.75</v>
          </cell>
          <cell r="AN272">
            <v>33.75</v>
          </cell>
          <cell r="AO272">
            <v>33.75</v>
          </cell>
          <cell r="AP272">
            <v>19.5</v>
          </cell>
          <cell r="AQ272">
            <v>19.5</v>
          </cell>
          <cell r="AR272">
            <v>19.5</v>
          </cell>
          <cell r="AS272">
            <v>19.5</v>
          </cell>
          <cell r="AT272">
            <v>-152</v>
          </cell>
          <cell r="AU272">
            <v>-152</v>
          </cell>
          <cell r="AV272">
            <v>-152</v>
          </cell>
          <cell r="AW272">
            <v>-152</v>
          </cell>
          <cell r="AX272">
            <v>293.25</v>
          </cell>
          <cell r="AY272">
            <v>293.25</v>
          </cell>
          <cell r="AZ272">
            <v>293.25</v>
          </cell>
          <cell r="BA272">
            <v>293.25</v>
          </cell>
          <cell r="BB272">
            <v>267.5</v>
          </cell>
          <cell r="BC272">
            <v>267.5</v>
          </cell>
          <cell r="BD272">
            <v>267.5</v>
          </cell>
          <cell r="BE272">
            <v>267.5</v>
          </cell>
          <cell r="BF272">
            <v>268.75</v>
          </cell>
          <cell r="BG272">
            <v>268.75</v>
          </cell>
          <cell r="BH272">
            <v>268.75</v>
          </cell>
          <cell r="BI272">
            <v>268.75</v>
          </cell>
          <cell r="BJ272">
            <v>268.75</v>
          </cell>
          <cell r="BK272">
            <v>296.5</v>
          </cell>
          <cell r="BL272">
            <v>296.5</v>
          </cell>
          <cell r="BM272">
            <v>296.5</v>
          </cell>
          <cell r="BN272">
            <v>304</v>
          </cell>
          <cell r="BO272">
            <v>304</v>
          </cell>
          <cell r="BP272">
            <v>304</v>
          </cell>
          <cell r="BQ272">
            <v>304</v>
          </cell>
          <cell r="BR272">
            <v>304</v>
          </cell>
          <cell r="BS272">
            <v>304</v>
          </cell>
          <cell r="BT272">
            <v>304</v>
          </cell>
          <cell r="BU272">
            <v>304</v>
          </cell>
        </row>
        <row r="273">
          <cell r="A273" t="str">
            <v>% y/y growth</v>
          </cell>
          <cell r="G273">
            <v>15.875</v>
          </cell>
          <cell r="H273">
            <v>-0.42222222222222228</v>
          </cell>
          <cell r="I273">
            <v>-8.7948717948717956</v>
          </cell>
          <cell r="J273">
            <v>-2.9292763157894735</v>
          </cell>
          <cell r="K273">
            <v>-8.7809036658141548E-2</v>
          </cell>
          <cell r="L273">
            <v>4.6728971962617383E-3</v>
          </cell>
          <cell r="M273">
            <v>0.10325581395348826</v>
          </cell>
          <cell r="N273">
            <v>2.5295109612141653E-2</v>
          </cell>
          <cell r="O273">
            <v>0</v>
          </cell>
          <cell r="P273">
            <v>0</v>
          </cell>
          <cell r="Q273">
            <v>0</v>
          </cell>
          <cell r="R273">
            <v>0</v>
          </cell>
          <cell r="S273">
            <v>0</v>
          </cell>
          <cell r="T273">
            <v>0</v>
          </cell>
          <cell r="AH273" t="e">
            <v>#DIV/0!</v>
          </cell>
          <cell r="AI273" t="e">
            <v>#DIV/0!</v>
          </cell>
          <cell r="AJ273" t="e">
            <v>#DIV/0!</v>
          </cell>
          <cell r="AK273" t="e">
            <v>#DIV/0!</v>
          </cell>
          <cell r="AL273">
            <v>15.875</v>
          </cell>
          <cell r="AM273">
            <v>15.875</v>
          </cell>
          <cell r="AN273">
            <v>15.875</v>
          </cell>
          <cell r="AO273">
            <v>15.875</v>
          </cell>
          <cell r="AP273">
            <v>-0.42222222222222228</v>
          </cell>
          <cell r="AQ273">
            <v>-0.42222222222222228</v>
          </cell>
          <cell r="AR273">
            <v>-0.42222222222222228</v>
          </cell>
          <cell r="AS273">
            <v>-0.42222222222222228</v>
          </cell>
          <cell r="AT273">
            <v>-8.7948717948717956</v>
          </cell>
          <cell r="AU273">
            <v>-8.7948717948717956</v>
          </cell>
          <cell r="AV273">
            <v>-8.7948717948717956</v>
          </cell>
          <cell r="AW273">
            <v>-8.7948717948717956</v>
          </cell>
          <cell r="AX273">
            <v>-2.9292763157894735</v>
          </cell>
          <cell r="AY273">
            <v>-2.9292763157894735</v>
          </cell>
          <cell r="AZ273">
            <v>-2.9292763157894735</v>
          </cell>
          <cell r="BA273">
            <v>-2.9292763157894735</v>
          </cell>
          <cell r="BB273">
            <v>-8.7809036658141548E-2</v>
          </cell>
          <cell r="BC273">
            <v>-8.7809036658141548E-2</v>
          </cell>
          <cell r="BD273">
            <v>-8.7809036658141548E-2</v>
          </cell>
          <cell r="BE273">
            <v>-8.7809036658141548E-2</v>
          </cell>
          <cell r="BF273">
            <v>4.6728971962617383E-3</v>
          </cell>
          <cell r="BG273">
            <v>4.6728971962617383E-3</v>
          </cell>
          <cell r="BH273">
            <v>4.6728971962617383E-3</v>
          </cell>
          <cell r="BI273">
            <v>4.6728971962617383E-3</v>
          </cell>
          <cell r="BJ273">
            <v>0</v>
          </cell>
          <cell r="BK273">
            <v>0.10325581395348826</v>
          </cell>
          <cell r="BL273">
            <v>0.10325581395348826</v>
          </cell>
          <cell r="BM273">
            <v>0.10325581395348826</v>
          </cell>
          <cell r="BN273">
            <v>0.13116279069767445</v>
          </cell>
          <cell r="BO273">
            <v>2.5295109612141653E-2</v>
          </cell>
          <cell r="BP273">
            <v>2.5295109612141653E-2</v>
          </cell>
          <cell r="BQ273">
            <v>2.5295109612141653E-2</v>
          </cell>
          <cell r="BR273">
            <v>0</v>
          </cell>
          <cell r="BS273">
            <v>0</v>
          </cell>
          <cell r="BT273">
            <v>0</v>
          </cell>
          <cell r="BU273">
            <v>0</v>
          </cell>
        </row>
        <row r="274">
          <cell r="A274" t="str">
            <v>% revenues</v>
          </cell>
          <cell r="J274">
            <v>1.7278204127325489E-2</v>
          </cell>
          <cell r="K274">
            <v>1.6826809668338865E-2</v>
          </cell>
          <cell r="L274">
            <v>1.7441671804523478E-2</v>
          </cell>
          <cell r="M274">
            <v>1.9720651812437647E-2</v>
          </cell>
          <cell r="N274">
            <v>2.0468793311841003E-2</v>
          </cell>
          <cell r="O274">
            <v>2.0522585340590135E-2</v>
          </cell>
          <cell r="P274">
            <v>2.0387588709139232E-2</v>
          </cell>
          <cell r="Q274">
            <v>2.0081891578640213E-2</v>
          </cell>
          <cell r="R274">
            <v>1.9664814254096951E-2</v>
          </cell>
          <cell r="S274">
            <v>1.9221476963474017E-2</v>
          </cell>
          <cell r="T274">
            <v>1.876528440973585E-2</v>
          </cell>
          <cell r="AD274">
            <v>0</v>
          </cell>
          <cell r="AE274">
            <v>0</v>
          </cell>
          <cell r="AF274">
            <v>0</v>
          </cell>
          <cell r="AG274">
            <v>0</v>
          </cell>
          <cell r="AH274">
            <v>2.2123893805309734E-4</v>
          </cell>
          <cell r="AI274">
            <v>2.1908204622631176E-4</v>
          </cell>
          <cell r="AJ274">
            <v>2.1720243266724586E-4</v>
          </cell>
          <cell r="AK274">
            <v>2.1774632553075667E-4</v>
          </cell>
          <cell r="AL274">
            <v>3.6756697887170551E-3</v>
          </cell>
          <cell r="AM274">
            <v>3.6458895970616829E-3</v>
          </cell>
          <cell r="AN274">
            <v>3.656950915592155E-3</v>
          </cell>
          <cell r="AO274">
            <v>2.846900042176297E-3</v>
          </cell>
          <cell r="AP274">
            <v>1.3230205577040505E-3</v>
          </cell>
          <cell r="AQ274">
            <v>1.3220338983050849E-3</v>
          </cell>
          <cell r="AR274">
            <v>1.3368983957219251E-3</v>
          </cell>
          <cell r="AS274">
            <v>1.3465920861818934E-3</v>
          </cell>
          <cell r="AT274">
            <v>-8.451017458022906E-3</v>
          </cell>
          <cell r="AU274">
            <v>-8.4477296726504746E-3</v>
          </cell>
          <cell r="AV274">
            <v>-8.4726867335562991E-3</v>
          </cell>
          <cell r="AW274">
            <v>-8.6079963755804727E-3</v>
          </cell>
          <cell r="AX274">
            <v>1.7102116988394471E-2</v>
          </cell>
          <cell r="AY274">
            <v>1.713209090377987E-2</v>
          </cell>
          <cell r="AZ274">
            <v>1.7188324248285564E-2</v>
          </cell>
          <cell r="BA274">
            <v>1.7702988228191972E-2</v>
          </cell>
          <cell r="BB274">
            <v>1.6551169409726518E-2</v>
          </cell>
          <cell r="BC274">
            <v>1.670100518199413E-2</v>
          </cell>
          <cell r="BD274">
            <v>1.6958285786737668E-2</v>
          </cell>
          <cell r="BE274">
            <v>1.7107955998976722E-2</v>
          </cell>
          <cell r="BF274">
            <v>1.7401579901579901E-2</v>
          </cell>
          <cell r="BG274">
            <v>1.7295192740845615E-2</v>
          </cell>
          <cell r="BH274">
            <v>1.742979440949478E-2</v>
          </cell>
          <cell r="BI274">
            <v>1.7643776260504201E-2</v>
          </cell>
          <cell r="BJ274">
            <v>1.7855956414856156E-2</v>
          </cell>
          <cell r="BK274">
            <v>1.9727212242182303E-2</v>
          </cell>
          <cell r="BL274">
            <v>1.9694453669877116E-2</v>
          </cell>
          <cell r="BM274">
            <v>1.9761396960810449E-2</v>
          </cell>
          <cell r="BN274">
            <v>2.0364415862808145E-2</v>
          </cell>
          <cell r="BO274">
            <v>2.0397208803005905E-2</v>
          </cell>
          <cell r="BP274">
            <v>2.0522514007965977E-2</v>
          </cell>
          <cell r="BQ274">
            <v>2.0592707041256986E-2</v>
          </cell>
          <cell r="BR274">
            <v>2.0543649091470977E-2</v>
          </cell>
          <cell r="BS274">
            <v>2.0469896416344998E-2</v>
          </cell>
          <cell r="BT274">
            <v>2.052564773594533E-2</v>
          </cell>
          <cell r="BU274">
            <v>2.0551346041629358E-2</v>
          </cell>
        </row>
        <row r="276">
          <cell r="A276" t="str">
            <v>Post-retirement benefit cost</v>
          </cell>
          <cell r="F276">
            <v>1279</v>
          </cell>
          <cell r="G276">
            <v>1201</v>
          </cell>
          <cell r="H276">
            <v>1557</v>
          </cell>
          <cell r="I276">
            <v>1686</v>
          </cell>
          <cell r="J276">
            <v>429</v>
          </cell>
          <cell r="K276">
            <v>334</v>
          </cell>
          <cell r="L276">
            <v>348</v>
          </cell>
          <cell r="M276">
            <v>362</v>
          </cell>
          <cell r="N276">
            <v>328</v>
          </cell>
          <cell r="O276">
            <v>328</v>
          </cell>
          <cell r="P276">
            <v>328</v>
          </cell>
          <cell r="Q276">
            <v>328</v>
          </cell>
          <cell r="R276">
            <v>328</v>
          </cell>
          <cell r="S276">
            <v>328</v>
          </cell>
          <cell r="T276">
            <v>328</v>
          </cell>
          <cell r="AD276">
            <v>0</v>
          </cell>
          <cell r="AE276">
            <v>0</v>
          </cell>
          <cell r="AF276">
            <v>0</v>
          </cell>
          <cell r="AG276">
            <v>0</v>
          </cell>
          <cell r="AH276">
            <v>319.75</v>
          </cell>
          <cell r="AI276">
            <v>319.75</v>
          </cell>
          <cell r="AJ276">
            <v>319.75</v>
          </cell>
          <cell r="AK276">
            <v>319.75</v>
          </cell>
          <cell r="AL276">
            <v>300.25</v>
          </cell>
          <cell r="AM276">
            <v>300.25</v>
          </cell>
          <cell r="AN276">
            <v>300.25</v>
          </cell>
          <cell r="AO276">
            <v>300.25</v>
          </cell>
          <cell r="AP276">
            <v>389.25</v>
          </cell>
          <cell r="AQ276">
            <v>389.25</v>
          </cell>
          <cell r="AR276">
            <v>389.25</v>
          </cell>
          <cell r="AS276">
            <v>389.25</v>
          </cell>
          <cell r="AT276">
            <v>421.5</v>
          </cell>
          <cell r="AU276">
            <v>421.5</v>
          </cell>
          <cell r="AV276">
            <v>421.5</v>
          </cell>
          <cell r="AW276">
            <v>421.5</v>
          </cell>
          <cell r="AX276">
            <v>107.25</v>
          </cell>
          <cell r="AY276">
            <v>107.25</v>
          </cell>
          <cell r="AZ276">
            <v>107.25</v>
          </cell>
          <cell r="BA276">
            <v>107.25</v>
          </cell>
          <cell r="BB276">
            <v>83.5</v>
          </cell>
          <cell r="BC276">
            <v>83.5</v>
          </cell>
          <cell r="BD276">
            <v>83.5</v>
          </cell>
          <cell r="BE276">
            <v>83.5</v>
          </cell>
          <cell r="BF276">
            <v>87</v>
          </cell>
          <cell r="BG276">
            <v>87</v>
          </cell>
          <cell r="BH276">
            <v>87</v>
          </cell>
          <cell r="BI276">
            <v>87</v>
          </cell>
          <cell r="BJ276">
            <v>87</v>
          </cell>
          <cell r="BK276">
            <v>90.5</v>
          </cell>
          <cell r="BL276">
            <v>90.5</v>
          </cell>
          <cell r="BM276">
            <v>90.5</v>
          </cell>
          <cell r="BN276">
            <v>82</v>
          </cell>
          <cell r="BO276">
            <v>82</v>
          </cell>
          <cell r="BP276">
            <v>82</v>
          </cell>
          <cell r="BQ276">
            <v>82</v>
          </cell>
          <cell r="BR276">
            <v>82</v>
          </cell>
          <cell r="BS276">
            <v>82</v>
          </cell>
          <cell r="BT276">
            <v>82</v>
          </cell>
          <cell r="BU276">
            <v>82</v>
          </cell>
        </row>
        <row r="277">
          <cell r="A277" t="str">
            <v>% y/y growth</v>
          </cell>
          <cell r="G277">
            <v>-6.0985144644253308E-2</v>
          </cell>
          <cell r="H277">
            <v>0.29641965029142381</v>
          </cell>
          <cell r="I277">
            <v>8.2851637764932651E-2</v>
          </cell>
          <cell r="J277">
            <v>-0.74555160142348753</v>
          </cell>
          <cell r="K277">
            <v>-0.2214452214452215</v>
          </cell>
          <cell r="L277">
            <v>4.1916167664670656E-2</v>
          </cell>
          <cell r="M277">
            <v>4.022988505747116E-2</v>
          </cell>
          <cell r="N277">
            <v>-9.392265193370164E-2</v>
          </cell>
          <cell r="O277">
            <v>0</v>
          </cell>
          <cell r="P277">
            <v>0</v>
          </cell>
          <cell r="Q277">
            <v>0</v>
          </cell>
          <cell r="R277">
            <v>0</v>
          </cell>
          <cell r="S277">
            <v>0</v>
          </cell>
          <cell r="T277">
            <v>0</v>
          </cell>
          <cell r="AH277" t="e">
            <v>#DIV/0!</v>
          </cell>
          <cell r="AI277" t="e">
            <v>#DIV/0!</v>
          </cell>
          <cell r="AJ277" t="e">
            <v>#DIV/0!</v>
          </cell>
          <cell r="AK277" t="e">
            <v>#DIV/0!</v>
          </cell>
          <cell r="AL277">
            <v>-6.0985144644253308E-2</v>
          </cell>
          <cell r="AM277">
            <v>-6.0985144644253308E-2</v>
          </cell>
          <cell r="AN277">
            <v>-6.0985144644253308E-2</v>
          </cell>
          <cell r="AO277">
            <v>-6.0985144644253308E-2</v>
          </cell>
          <cell r="AP277">
            <v>0.29641965029142381</v>
          </cell>
          <cell r="AQ277">
            <v>0.29641965029142381</v>
          </cell>
          <cell r="AR277">
            <v>0.29641965029142381</v>
          </cell>
          <cell r="AS277">
            <v>0.29641965029142381</v>
          </cell>
          <cell r="AT277">
            <v>8.2851637764932651E-2</v>
          </cell>
          <cell r="AU277">
            <v>8.2851637764932651E-2</v>
          </cell>
          <cell r="AV277">
            <v>8.2851637764932651E-2</v>
          </cell>
          <cell r="AW277">
            <v>8.2851637764932651E-2</v>
          </cell>
          <cell r="AX277">
            <v>-0.74555160142348753</v>
          </cell>
          <cell r="AY277">
            <v>-0.74555160142348753</v>
          </cell>
          <cell r="AZ277">
            <v>-0.74555160142348753</v>
          </cell>
          <cell r="BA277">
            <v>-0.74555160142348753</v>
          </cell>
          <cell r="BB277">
            <v>-0.2214452214452215</v>
          </cell>
          <cell r="BC277">
            <v>-0.2214452214452215</v>
          </cell>
          <cell r="BD277">
            <v>-0.2214452214452215</v>
          </cell>
          <cell r="BE277">
            <v>-0.2214452214452215</v>
          </cell>
          <cell r="BF277">
            <v>4.1916167664670656E-2</v>
          </cell>
          <cell r="BG277">
            <v>4.1916167664670656E-2</v>
          </cell>
          <cell r="BH277">
            <v>4.1916167664670656E-2</v>
          </cell>
          <cell r="BI277">
            <v>4.1916167664670656E-2</v>
          </cell>
          <cell r="BJ277">
            <v>0</v>
          </cell>
          <cell r="BK277">
            <v>4.022988505747116E-2</v>
          </cell>
          <cell r="BL277">
            <v>4.022988505747116E-2</v>
          </cell>
          <cell r="BM277">
            <v>4.022988505747116E-2</v>
          </cell>
          <cell r="BN277">
            <v>-5.7471264367816133E-2</v>
          </cell>
          <cell r="BO277">
            <v>-9.392265193370164E-2</v>
          </cell>
          <cell r="BP277">
            <v>-9.392265193370164E-2</v>
          </cell>
          <cell r="BQ277">
            <v>-9.392265193370164E-2</v>
          </cell>
          <cell r="BR277">
            <v>0</v>
          </cell>
          <cell r="BS277">
            <v>0</v>
          </cell>
          <cell r="BT277">
            <v>0</v>
          </cell>
          <cell r="BU277">
            <v>0</v>
          </cell>
        </row>
        <row r="278">
          <cell r="A278" t="str">
            <v>% revenues</v>
          </cell>
          <cell r="AD278">
            <v>0</v>
          </cell>
          <cell r="AE278">
            <v>0</v>
          </cell>
          <cell r="AF278">
            <v>0</v>
          </cell>
          <cell r="AG278">
            <v>0</v>
          </cell>
          <cell r="AH278">
            <v>3.5370575221238938E-2</v>
          </cell>
          <cell r="AI278">
            <v>3.5025742140431589E-2</v>
          </cell>
          <cell r="AJ278">
            <v>3.4725238922675934E-2</v>
          </cell>
          <cell r="AK278">
            <v>3.4812193794229722E-2</v>
          </cell>
          <cell r="AL278">
            <v>3.2699847527771726E-2</v>
          </cell>
          <cell r="AM278">
            <v>3.2434914119045047E-2</v>
          </cell>
          <cell r="AN278">
            <v>3.2533318886119843E-2</v>
          </cell>
          <cell r="AO278">
            <v>2.532686630113876E-2</v>
          </cell>
          <cell r="AP278">
            <v>2.6409525748015469E-2</v>
          </cell>
          <cell r="AQ278">
            <v>2.6389830508474578E-2</v>
          </cell>
          <cell r="AR278">
            <v>2.6686548745372275E-2</v>
          </cell>
          <cell r="AS278">
            <v>2.6880049720323183E-2</v>
          </cell>
          <cell r="AT278">
            <v>2.3434893806293784E-2</v>
          </cell>
          <cell r="AU278">
            <v>2.3425776690935363E-2</v>
          </cell>
          <cell r="AV278">
            <v>2.3494983277591974E-2</v>
          </cell>
          <cell r="AW278">
            <v>2.3870200475705063E-2</v>
          </cell>
          <cell r="AX278">
            <v>6.2547384382107656E-3</v>
          </cell>
          <cell r="AY278">
            <v>6.2657007653210261E-3</v>
          </cell>
          <cell r="AZ278">
            <v>6.2862669245647967E-3</v>
          </cell>
          <cell r="BA278">
            <v>6.4744944159372169E-3</v>
          </cell>
          <cell r="BB278">
            <v>5.1664397970548198E-3</v>
          </cell>
          <cell r="BC278">
            <v>5.2132109633514388E-3</v>
          </cell>
          <cell r="BD278">
            <v>5.2935209838975532E-3</v>
          </cell>
          <cell r="BE278">
            <v>5.340240470708621E-3</v>
          </cell>
          <cell r="BF278">
            <v>5.633255633255633E-3</v>
          </cell>
          <cell r="BG278">
            <v>5.5988158826179293E-3</v>
          </cell>
          <cell r="BH278">
            <v>5.6423892600038911E-3</v>
          </cell>
          <cell r="BI278">
            <v>5.7116596638655459E-3</v>
          </cell>
          <cell r="BJ278">
            <v>5.7803468208092483E-3</v>
          </cell>
          <cell r="BK278">
            <v>6.0212907518296744E-3</v>
          </cell>
          <cell r="BL278">
            <v>6.0112919295914977E-3</v>
          </cell>
          <cell r="BM278">
            <v>6.0317248733671022E-3</v>
          </cell>
          <cell r="BN278">
            <v>5.4930332261521973E-3</v>
          </cell>
          <cell r="BO278">
            <v>5.5018786902844875E-3</v>
          </cell>
          <cell r="BP278">
            <v>5.5356781205697699E-3</v>
          </cell>
          <cell r="BQ278">
            <v>5.5546117677074767E-3</v>
          </cell>
          <cell r="BR278">
            <v>5.5413790312520399E-3</v>
          </cell>
          <cell r="BS278">
            <v>5.5214852175667429E-3</v>
          </cell>
          <cell r="BT278">
            <v>5.5365234024589384E-3</v>
          </cell>
          <cell r="BU278">
            <v>5.5434551822816031E-3</v>
          </cell>
        </row>
        <row r="280">
          <cell r="A280" t="str">
            <v>Total personnel expense</v>
          </cell>
          <cell r="F280">
            <v>12113.746675187624</v>
          </cell>
          <cell r="G280">
            <v>12020.794997883859</v>
          </cell>
          <cell r="H280">
            <v>13940.261851103329</v>
          </cell>
          <cell r="I280">
            <v>22178.661912775598</v>
          </cell>
          <cell r="J280">
            <v>24687.452734430633</v>
          </cell>
          <cell r="K280">
            <v>23897.685705908985</v>
          </cell>
          <cell r="L280">
            <v>23410.0940365879</v>
          </cell>
          <cell r="M280">
            <v>23288.394276371124</v>
          </cell>
          <cell r="N280">
            <v>22989.468207589834</v>
          </cell>
          <cell r="O280">
            <v>22837.737470597356</v>
          </cell>
          <cell r="P280">
            <v>22678.740016453405</v>
          </cell>
          <cell r="Q280">
            <v>22757.758064841444</v>
          </cell>
          <cell r="R280">
            <v>23061.114805168672</v>
          </cell>
          <cell r="S280">
            <v>23368.809546882589</v>
          </cell>
          <cell r="T280">
            <v>23680.904323403003</v>
          </cell>
          <cell r="AD280">
            <v>2764.6809937499997</v>
          </cell>
          <cell r="AE280">
            <v>2755.1584490624996</v>
          </cell>
          <cell r="AF280">
            <v>2768.8972179374996</v>
          </cell>
          <cell r="AG280">
            <v>2817.3048634574998</v>
          </cell>
          <cell r="AH280">
            <v>3048.7449922312499</v>
          </cell>
          <cell r="AI280">
            <v>3016.0708563374997</v>
          </cell>
          <cell r="AJ280">
            <v>3002.3472162937501</v>
          </cell>
          <cell r="AK280">
            <v>3046.5836103251249</v>
          </cell>
          <cell r="AL280">
            <v>2966.9702490471254</v>
          </cell>
          <cell r="AM280">
            <v>2921.4463658680002</v>
          </cell>
          <cell r="AN280">
            <v>2889.9949630003748</v>
          </cell>
          <cell r="AO280">
            <v>3242.3834199683574</v>
          </cell>
          <cell r="AP280">
            <v>3548.4627041562167</v>
          </cell>
          <cell r="AQ280">
            <v>3482.7947280360868</v>
          </cell>
          <cell r="AR280">
            <v>3427.6927962486384</v>
          </cell>
          <cell r="AS280">
            <v>3481.3116226623861</v>
          </cell>
          <cell r="AT280">
            <v>4543.723317357817</v>
          </cell>
          <cell r="AU280">
            <v>5813.8902045194145</v>
          </cell>
          <cell r="AV280">
            <v>5852.85409741284</v>
          </cell>
          <cell r="AW280">
            <v>5968.1942934855242</v>
          </cell>
          <cell r="AX280">
            <v>6201.1887354050714</v>
          </cell>
          <cell r="AY280">
            <v>6187.134863614292</v>
          </cell>
          <cell r="AZ280">
            <v>6147.9088657230741</v>
          </cell>
          <cell r="BA280">
            <v>6151.2202696881932</v>
          </cell>
          <cell r="BB280">
            <v>6058.7945167175894</v>
          </cell>
          <cell r="BC280">
            <v>5925.0016572693648</v>
          </cell>
          <cell r="BD280">
            <v>5961.9864396650464</v>
          </cell>
          <cell r="BE280">
            <v>5951.9030922569846</v>
          </cell>
          <cell r="BF280">
            <v>5911.5940549156776</v>
          </cell>
          <cell r="BG280">
            <v>5809.5215711160645</v>
          </cell>
          <cell r="BH280">
            <v>5850.7938556533354</v>
          </cell>
          <cell r="BI280">
            <v>5838.1845549028221</v>
          </cell>
          <cell r="BJ280">
            <v>5805.9554944668625</v>
          </cell>
          <cell r="BK280">
            <v>5757.4080691571899</v>
          </cell>
          <cell r="BL280">
            <v>5836.4005160166562</v>
          </cell>
          <cell r="BM280">
            <v>5857.3801967304134</v>
          </cell>
          <cell r="BN280">
            <v>5855.0178408481579</v>
          </cell>
          <cell r="BO280">
            <v>5704.0890733090764</v>
          </cell>
          <cell r="BP280">
            <v>5706.0148117558092</v>
          </cell>
          <cell r="BQ280">
            <v>5724.346481676791</v>
          </cell>
          <cell r="BR280">
            <v>5740.5722950968029</v>
          </cell>
          <cell r="BS280">
            <v>5670.9628552605445</v>
          </cell>
          <cell r="BT280">
            <v>5725.020087649139</v>
          </cell>
          <cell r="BU280">
            <v>5701.1822325908688</v>
          </cell>
        </row>
        <row r="281">
          <cell r="A281" t="str">
            <v>% y/y growth</v>
          </cell>
          <cell r="G281">
            <v>-7.6732393202638693E-3</v>
          </cell>
          <cell r="H281">
            <v>0.15967886097029127</v>
          </cell>
          <cell r="I281">
            <v>0.59097886034473768</v>
          </cell>
          <cell r="J281">
            <v>0.11311732112251072</v>
          </cell>
          <cell r="K281">
            <v>-3.1990624428424375E-2</v>
          </cell>
          <cell r="L281">
            <v>-2.0403300776548505E-2</v>
          </cell>
          <cell r="M281">
            <v>-5.198601937547509E-3</v>
          </cell>
          <cell r="N281">
            <v>-1.2835838539739353E-2</v>
          </cell>
          <cell r="O281">
            <v>-6.6000107363242133E-3</v>
          </cell>
          <cell r="P281">
            <v>-6.9620492988262672E-3</v>
          </cell>
          <cell r="Q281">
            <v>3.4842345002725761E-3</v>
          </cell>
          <cell r="R281">
            <v>1.3329816560265106E-2</v>
          </cell>
          <cell r="S281">
            <v>1.3342578809110828E-2</v>
          </cell>
          <cell r="T281">
            <v>1.335518507668465E-2</v>
          </cell>
          <cell r="AH281">
            <v>0.10274747760172764</v>
          </cell>
          <cell r="AI281">
            <v>9.469960152882706E-2</v>
          </cell>
          <cell r="AJ281">
            <v>8.4311543543007739E-2</v>
          </cell>
          <cell r="AK281">
            <v>8.1382299033923466E-2</v>
          </cell>
          <cell r="AL281">
            <v>-2.6822428045802815E-2</v>
          </cell>
          <cell r="AM281">
            <v>-3.1373430856463602E-2</v>
          </cell>
          <cell r="AN281">
            <v>-3.742147233459181E-2</v>
          </cell>
          <cell r="AO281">
            <v>6.4268647996283734E-2</v>
          </cell>
          <cell r="AP281">
            <v>0.19598863699285274</v>
          </cell>
          <cell r="AQ281">
            <v>0.19214741325613982</v>
          </cell>
          <cell r="AR281">
            <v>0.1860549378570644</v>
          </cell>
          <cell r="AS281">
            <v>7.3689065032401579E-2</v>
          </cell>
          <cell r="AT281">
            <v>0.28047656018361944</v>
          </cell>
          <cell r="AU281">
            <v>0.66931750462302131</v>
          </cell>
          <cell r="AV281">
            <v>0.70752002741271469</v>
          </cell>
          <cell r="AW281">
            <v>0.7143522155943216</v>
          </cell>
          <cell r="AX281">
            <v>0.36478132630027171</v>
          </cell>
          <cell r="AY281">
            <v>6.4198780156655921E-2</v>
          </cell>
          <cell r="AZ281">
            <v>5.0412117472851126E-2</v>
          </cell>
          <cell r="BA281">
            <v>3.0666893067212486E-2</v>
          </cell>
          <cell r="BB281">
            <v>-2.296240684862505E-2</v>
          </cell>
          <cell r="BC281">
            <v>-4.2367462827826441E-2</v>
          </cell>
          <cell r="BD281">
            <v>-3.0241571584545768E-2</v>
          </cell>
          <cell r="BE281">
            <v>-3.2402867836386573E-2</v>
          </cell>
          <cell r="BF281">
            <v>-2.4295338189098903E-2</v>
          </cell>
          <cell r="BG281">
            <v>-1.9490304447698836E-2</v>
          </cell>
          <cell r="BH281">
            <v>-1.8650257785215341E-2</v>
          </cell>
          <cell r="BI281">
            <v>-1.9106248134668435E-2</v>
          </cell>
          <cell r="BJ281">
            <v>-1.7869725063576203E-2</v>
          </cell>
          <cell r="BK281">
            <v>-8.9703603508375362E-3</v>
          </cell>
          <cell r="BL281">
            <v>-2.4600661024437587E-3</v>
          </cell>
          <cell r="BM281">
            <v>3.2879470744842099E-3</v>
          </cell>
          <cell r="BN281">
            <v>8.4503483411217939E-3</v>
          </cell>
          <cell r="BO281">
            <v>-9.2609374231690245E-3</v>
          </cell>
          <cell r="BP281">
            <v>-2.2340088536253355E-2</v>
          </cell>
          <cell r="BQ281">
            <v>-2.2712152973761501E-2</v>
          </cell>
          <cell r="BR281">
            <v>-1.954657506812596E-2</v>
          </cell>
          <cell r="BS281">
            <v>-5.8074510448193895E-3</v>
          </cell>
          <cell r="BT281">
            <v>3.3307442269820964E-3</v>
          </cell>
          <cell r="BU281">
            <v>-4.0466189738984637E-3</v>
          </cell>
        </row>
        <row r="282">
          <cell r="A282" t="str">
            <v>% revenues</v>
          </cell>
          <cell r="F282">
            <v>0.33132067926228387</v>
          </cell>
          <cell r="G282">
            <v>0.30414682584530167</v>
          </cell>
          <cell r="H282">
            <v>0.23806718100798088</v>
          </cell>
          <cell r="I282">
            <v>0.3098573831367003</v>
          </cell>
          <cell r="J282">
            <v>0.36364437146563705</v>
          </cell>
          <cell r="K282">
            <v>0.37581477466085306</v>
          </cell>
          <cell r="L282">
            <v>0.37982435078995197</v>
          </cell>
          <cell r="M282">
            <v>0.38723635311558235</v>
          </cell>
          <cell r="N282">
            <v>0.38697917194925674</v>
          </cell>
          <cell r="O282">
            <v>0.38543537518612447</v>
          </cell>
          <cell r="P282">
            <v>0.38023423017841246</v>
          </cell>
          <cell r="Q282">
            <v>0.37583785364397265</v>
          </cell>
          <cell r="R282">
            <v>0.37293794336845981</v>
          </cell>
          <cell r="S282">
            <v>0.36939394273784154</v>
          </cell>
          <cell r="T282">
            <v>0.36544317821414529</v>
          </cell>
          <cell r="AD282">
            <v>0.29814310296020702</v>
          </cell>
          <cell r="AE282">
            <v>0.30176981917442491</v>
          </cell>
          <cell r="AF282">
            <v>0.30238038854837823</v>
          </cell>
          <cell r="AG282">
            <v>0.31373105383713806</v>
          </cell>
          <cell r="AH282">
            <v>0.33725055223797012</v>
          </cell>
          <cell r="AI282">
            <v>0.33038348738498191</v>
          </cell>
          <cell r="AJ282">
            <v>0.32605855954536817</v>
          </cell>
          <cell r="AK282">
            <v>0.33169119328526131</v>
          </cell>
          <cell r="AL282">
            <v>0.32312897506503219</v>
          </cell>
          <cell r="AM282">
            <v>0.31559321225753484</v>
          </cell>
          <cell r="AN282">
            <v>0.31314280669632405</v>
          </cell>
          <cell r="AO282">
            <v>0.27350345170547091</v>
          </cell>
          <cell r="AP282">
            <v>0.24075328747921954</v>
          </cell>
          <cell r="AQ282">
            <v>0.23612167647702284</v>
          </cell>
          <cell r="AR282">
            <v>0.2349988205298669</v>
          </cell>
          <cell r="AS282">
            <v>0.24040547080052385</v>
          </cell>
          <cell r="AT282">
            <v>0.25262555973300438</v>
          </cell>
          <cell r="AU282">
            <v>0.32311955785691182</v>
          </cell>
          <cell r="AV282">
            <v>0.32624604779335786</v>
          </cell>
          <cell r="AW282">
            <v>0.3379881239939701</v>
          </cell>
          <cell r="AX282">
            <v>0.36164861115093433</v>
          </cell>
          <cell r="AY282">
            <v>0.36146140466286686</v>
          </cell>
          <cell r="AZ282">
            <v>0.36034868212432297</v>
          </cell>
          <cell r="BA282">
            <v>0.37133838030112848</v>
          </cell>
          <cell r="BB282">
            <v>0.37487900734547641</v>
          </cell>
          <cell r="BC282">
            <v>0.36991956404254012</v>
          </cell>
          <cell r="BD282">
            <v>0.37796287813268964</v>
          </cell>
          <cell r="BE282">
            <v>0.38065381761684475</v>
          </cell>
          <cell r="BF282">
            <v>0.38277609783188793</v>
          </cell>
          <cell r="BG282">
            <v>0.37386714531926535</v>
          </cell>
          <cell r="BH282">
            <v>0.37945352199580618</v>
          </cell>
          <cell r="BI282">
            <v>0.38328417508553192</v>
          </cell>
          <cell r="BJ282">
            <v>0.38575214234714389</v>
          </cell>
          <cell r="BK282">
            <v>0.38306108244558817</v>
          </cell>
          <cell r="BL282">
            <v>0.38767190408612795</v>
          </cell>
          <cell r="BM282">
            <v>0.39038790967278147</v>
          </cell>
          <cell r="BN282">
            <v>0.39221716511576621</v>
          </cell>
          <cell r="BO282">
            <v>0.38272202585272924</v>
          </cell>
          <cell r="BP282">
            <v>0.38520318718394714</v>
          </cell>
          <cell r="BQ282">
            <v>0.38776246743361942</v>
          </cell>
          <cell r="BR282">
            <v>0.3879352066272661</v>
          </cell>
          <cell r="BS282">
            <v>0.38185533627672175</v>
          </cell>
          <cell r="BT282">
            <v>0.38654521579045098</v>
          </cell>
          <cell r="BU282">
            <v>0.38541766088277624</v>
          </cell>
        </row>
        <row r="284">
          <cell r="A284" t="str">
            <v>All other cash expenses</v>
          </cell>
          <cell r="F284">
            <v>13244.253324812376</v>
          </cell>
          <cell r="G284">
            <v>15854.205002116143</v>
          </cell>
          <cell r="H284">
            <v>25652.738148896675</v>
          </cell>
          <cell r="I284">
            <v>23998.338087224402</v>
          </cell>
          <cell r="J284">
            <v>20129.547265569367</v>
          </cell>
          <cell r="K284">
            <v>18520.314294091015</v>
          </cell>
          <cell r="L284">
            <v>17855.9059634121</v>
          </cell>
          <cell r="M284">
            <v>17764.855723628876</v>
          </cell>
          <cell r="N284">
            <v>17679.630638566432</v>
          </cell>
          <cell r="O284">
            <v>18071.797185633492</v>
          </cell>
          <cell r="P284">
            <v>18787.901083579</v>
          </cell>
          <cell r="Q284">
            <v>19376.660733189168</v>
          </cell>
          <cell r="R284">
            <v>19169.263189021196</v>
          </cell>
          <cell r="S284">
            <v>18978.770502038853</v>
          </cell>
          <cell r="T284">
            <v>19440.152999265683</v>
          </cell>
          <cell r="AD284">
            <v>3180.3190062500003</v>
          </cell>
          <cell r="AE284">
            <v>3374.8415509375004</v>
          </cell>
          <cell r="AF284">
            <v>3430.1027820625004</v>
          </cell>
          <cell r="AG284">
            <v>3643.6951365425002</v>
          </cell>
          <cell r="AH284">
            <v>3155.2550077687501</v>
          </cell>
          <cell r="AI284">
            <v>3284.9291436625003</v>
          </cell>
          <cell r="AJ284">
            <v>3188.6527837062499</v>
          </cell>
          <cell r="AK284">
            <v>3615.4163896748751</v>
          </cell>
          <cell r="AL284">
            <v>3326.0297509528746</v>
          </cell>
          <cell r="AM284">
            <v>3531.5536341319998</v>
          </cell>
          <cell r="AN284">
            <v>3097.0050369996252</v>
          </cell>
          <cell r="AO284">
            <v>5899.616580031643</v>
          </cell>
          <cell r="AP284">
            <v>6693.5372958437838</v>
          </cell>
          <cell r="AQ284">
            <v>6403.2052719639132</v>
          </cell>
          <cell r="AR284">
            <v>6133.3072037513612</v>
          </cell>
          <cell r="AS284">
            <v>6422.6883773376139</v>
          </cell>
          <cell r="AT284">
            <v>7058.276682642183</v>
          </cell>
          <cell r="AU284">
            <v>5688.1097954805855</v>
          </cell>
          <cell r="AV284">
            <v>5793.14590258716</v>
          </cell>
          <cell r="AW284">
            <v>5458.8057065144758</v>
          </cell>
          <cell r="AX284">
            <v>5159.8112645949286</v>
          </cell>
          <cell r="AY284">
            <v>4824.865136385708</v>
          </cell>
          <cell r="AZ284">
            <v>5137.0911342769259</v>
          </cell>
          <cell r="BA284">
            <v>5007.7797303118068</v>
          </cell>
          <cell r="BB284">
            <v>4618.2054832824106</v>
          </cell>
          <cell r="BC284">
            <v>4774.9983427306352</v>
          </cell>
          <cell r="BD284">
            <v>4587.0135603349536</v>
          </cell>
          <cell r="BE284">
            <v>4540.0969077430154</v>
          </cell>
          <cell r="BF284">
            <v>4600.4059450843224</v>
          </cell>
          <cell r="BG284">
            <v>4544.4784288839355</v>
          </cell>
          <cell r="BH284">
            <v>4421.2061443466646</v>
          </cell>
          <cell r="BI284">
            <v>4289.8154450971779</v>
          </cell>
          <cell r="BJ284">
            <v>4506.0445055331375</v>
          </cell>
          <cell r="BK284">
            <v>4387.5919308428101</v>
          </cell>
          <cell r="BL284">
            <v>4458.5994839833438</v>
          </cell>
          <cell r="BM284">
            <v>4412.6198032695866</v>
          </cell>
          <cell r="BN284">
            <v>4441.9821591518421</v>
          </cell>
          <cell r="BO284">
            <v>4380.9109266909236</v>
          </cell>
          <cell r="BP284">
            <v>4427.9851882441908</v>
          </cell>
          <cell r="BQ284">
            <v>4428.7523644794746</v>
          </cell>
          <cell r="BR284">
            <v>4513.3169665799142</v>
          </cell>
          <cell r="BS284">
            <v>4529.5783678692214</v>
          </cell>
          <cell r="BT284">
            <v>4517.2752252600067</v>
          </cell>
          <cell r="BU284">
            <v>4511.6266259243494</v>
          </cell>
        </row>
        <row r="285">
          <cell r="A285" t="str">
            <v>% y/y growth</v>
          </cell>
          <cell r="G285">
            <v>0.19706295351616143</v>
          </cell>
          <cell r="H285">
            <v>0.61804001811965148</v>
          </cell>
          <cell r="I285">
            <v>-6.4492143180568395E-2</v>
          </cell>
          <cell r="J285">
            <v>-0.1612107808296358</v>
          </cell>
          <cell r="K285">
            <v>-7.9943823387964019E-2</v>
          </cell>
          <cell r="L285">
            <v>-3.5874571032031399E-2</v>
          </cell>
          <cell r="M285">
            <v>-5.0991666269856184E-3</v>
          </cell>
          <cell r="N285">
            <v>-4.7973980981498299E-3</v>
          </cell>
          <cell r="O285">
            <v>2.2181829195661251E-2</v>
          </cell>
          <cell r="P285">
            <v>3.962549438717633E-2</v>
          </cell>
          <cell r="Q285">
            <v>3.1337169968643108E-2</v>
          </cell>
          <cell r="R285">
            <v>-1.0703471925517793E-2</v>
          </cell>
          <cell r="S285">
            <v>-9.9374026588274766E-3</v>
          </cell>
          <cell r="T285">
            <v>2.4310452417202866E-2</v>
          </cell>
          <cell r="AH285">
            <v>-7.8809699379194242E-3</v>
          </cell>
          <cell r="AI285">
            <v>-2.6641964050141298E-2</v>
          </cell>
          <cell r="AJ285">
            <v>-7.0391476202665837E-2</v>
          </cell>
          <cell r="AK285">
            <v>-7.7610079350542982E-3</v>
          </cell>
          <cell r="AL285">
            <v>5.4123911621611898E-2</v>
          </cell>
          <cell r="AM285">
            <v>7.5077567790253097E-2</v>
          </cell>
          <cell r="AN285">
            <v>-2.8741839555230686E-2</v>
          </cell>
          <cell r="AO285">
            <v>0.631794500041579</v>
          </cell>
          <cell r="AP285">
            <v>1.0124706623343198</v>
          </cell>
          <cell r="AQ285">
            <v>0.81314116542865977</v>
          </cell>
          <cell r="AR285">
            <v>0.98039949256695502</v>
          </cell>
          <cell r="AS285">
            <v>8.8661998658761121E-2</v>
          </cell>
          <cell r="AT285">
            <v>5.4491275789988691E-2</v>
          </cell>
          <cell r="AU285">
            <v>-0.1116777373379445</v>
          </cell>
          <cell r="AV285">
            <v>-5.5461317991074344E-2</v>
          </cell>
          <cell r="AW285">
            <v>-0.15007464385539671</v>
          </cell>
          <cell r="AX285">
            <v>-0.26897010465968108</v>
          </cell>
          <cell r="AY285">
            <v>-0.15176300917762831</v>
          </cell>
          <cell r="AZ285">
            <v>-0.11324671937180919</v>
          </cell>
          <cell r="BA285">
            <v>-8.2623562817855878E-2</v>
          </cell>
          <cell r="BB285">
            <v>-0.10496620002922463</v>
          </cell>
          <cell r="BC285">
            <v>-1.0335375652059775E-2</v>
          </cell>
          <cell r="BD285">
            <v>-0.10707958250372729</v>
          </cell>
          <cell r="BE285">
            <v>-9.3391252761764632E-2</v>
          </cell>
          <cell r="BF285">
            <v>-3.8542109619247311E-3</v>
          </cell>
          <cell r="BG285">
            <v>-4.8276438503405683E-2</v>
          </cell>
          <cell r="BH285">
            <v>-3.6147138831693626E-2</v>
          </cell>
          <cell r="BI285">
            <v>-5.5126898771475363E-2</v>
          </cell>
          <cell r="BJ285">
            <v>-2.0511546302128592E-2</v>
          </cell>
          <cell r="BK285">
            <v>-3.4522443113379375E-2</v>
          </cell>
          <cell r="BL285">
            <v>8.4577236201694994E-3</v>
          </cell>
          <cell r="BM285">
            <v>2.8626956041374996E-2</v>
          </cell>
          <cell r="BN285">
            <v>-1.4216980392144585E-2</v>
          </cell>
          <cell r="BO285">
            <v>-1.5227040839695949E-3</v>
          </cell>
          <cell r="BP285">
            <v>-6.8663480200742422E-3</v>
          </cell>
          <cell r="BQ285">
            <v>3.656005259717654E-3</v>
          </cell>
          <cell r="BR285">
            <v>1.6059228711916562E-2</v>
          </cell>
          <cell r="BS285">
            <v>3.3935280508109456E-2</v>
          </cell>
          <cell r="BT285">
            <v>2.0164935793568262E-2</v>
          </cell>
          <cell r="BU285">
            <v>1.8712778368364491E-2</v>
          </cell>
        </row>
        <row r="286">
          <cell r="A286" t="str">
            <v>% q/q growth</v>
          </cell>
          <cell r="AE286">
            <v>6.1164475735051127E-2</v>
          </cell>
          <cell r="AF286">
            <v>1.6374466857458581E-2</v>
          </cell>
          <cell r="AG286">
            <v>6.2269957505928675E-2</v>
          </cell>
          <cell r="AH286">
            <v>-0.13405076727610932</v>
          </cell>
          <cell r="AI286">
            <v>4.1097830626834142E-2</v>
          </cell>
          <cell r="AJ286">
            <v>-2.9308504307313021E-2</v>
          </cell>
          <cell r="AK286">
            <v>0.13383821786722949</v>
          </cell>
          <cell r="AL286">
            <v>-8.0042409374601609E-2</v>
          </cell>
          <cell r="AM286">
            <v>6.179255706304021E-2</v>
          </cell>
          <cell r="AN286">
            <v>-0.12304742958807702</v>
          </cell>
          <cell r="AO286">
            <v>0.90494252012815091</v>
          </cell>
          <cell r="AP286">
            <v>0.13457157851568091</v>
          </cell>
          <cell r="AQ286">
            <v>-4.3374976645031427E-2</v>
          </cell>
          <cell r="AR286">
            <v>-4.2150463205402167E-2</v>
          </cell>
          <cell r="AS286">
            <v>4.7181914091838806E-2</v>
          </cell>
          <cell r="AT286">
            <v>9.8959854186174701E-2</v>
          </cell>
          <cell r="AU286">
            <v>-0.19412201430572029</v>
          </cell>
          <cell r="AV286">
            <v>1.846590710854934E-2</v>
          </cell>
          <cell r="AW286">
            <v>-5.7713063281104482E-2</v>
          </cell>
          <cell r="AX286">
            <v>-5.4772867545501924E-2</v>
          </cell>
          <cell r="AY286">
            <v>-6.4914414701080281E-2</v>
          </cell>
          <cell r="AZ286">
            <v>6.4711860138148003E-2</v>
          </cell>
          <cell r="BA286">
            <v>-2.5172106272808081E-2</v>
          </cell>
          <cell r="BB286">
            <v>-7.7793806439074298E-2</v>
          </cell>
          <cell r="BC286">
            <v>3.3951035746634606E-2</v>
          </cell>
          <cell r="BD286">
            <v>-3.93685544795771E-2</v>
          </cell>
          <cell r="BE286">
            <v>-1.0228147786097264E-2</v>
          </cell>
          <cell r="BF286">
            <v>1.328364538617044E-2</v>
          </cell>
          <cell r="BG286">
            <v>-1.2157082846166456E-2</v>
          </cell>
          <cell r="BH286">
            <v>-2.7125727730111571E-2</v>
          </cell>
          <cell r="BI286">
            <v>-2.9718292918210598E-2</v>
          </cell>
          <cell r="BJ286">
            <v>5.0405212812380418E-2</v>
          </cell>
          <cell r="BK286">
            <v>-2.6287484410079665E-2</v>
          </cell>
          <cell r="BL286">
            <v>1.6183718600032648E-2</v>
          </cell>
          <cell r="BM286">
            <v>-1.0312583778590234E-2</v>
          </cell>
          <cell r="BN286">
            <v>6.6541776068038683E-3</v>
          </cell>
          <cell r="BO286">
            <v>-1.3748644247724706E-2</v>
          </cell>
          <cell r="BP286">
            <v>1.0745313552591229E-2</v>
          </cell>
          <cell r="BQ286">
            <v>1.7325627857123216E-4</v>
          </cell>
          <cell r="BR286">
            <v>1.9094452599943246E-2</v>
          </cell>
          <cell r="BS286">
            <v>3.6029823320009591E-3</v>
          </cell>
          <cell r="BT286">
            <v>-2.716178330523622E-3</v>
          </cell>
          <cell r="BU286">
            <v>-1.2504439189516825E-3</v>
          </cell>
        </row>
        <row r="287">
          <cell r="A287" t="str">
            <v>% total cash expense</v>
          </cell>
          <cell r="F287">
            <v>0.5222909269190148</v>
          </cell>
          <cell r="G287">
            <v>0.5687607175647047</v>
          </cell>
          <cell r="H287">
            <v>0.64791094761439327</v>
          </cell>
          <cell r="I287">
            <v>0.51970327408069816</v>
          </cell>
          <cell r="J287">
            <v>0.44914981514981739</v>
          </cell>
          <cell r="K287">
            <v>0.43661451021007625</v>
          </cell>
          <cell r="L287">
            <v>0.4327026114334343</v>
          </cell>
          <cell r="M287">
            <v>0.43305679205374864</v>
          </cell>
          <cell r="N287">
            <v>0.43471901616126851</v>
          </cell>
          <cell r="O287">
            <v>0.44175025058323447</v>
          </cell>
          <cell r="P287">
            <v>0.45308471062934297</v>
          </cell>
          <cell r="Q287">
            <v>0.45987725204114699</v>
          </cell>
          <cell r="R287">
            <v>0.45392118421621841</v>
          </cell>
          <cell r="S287">
            <v>0.44816658897896633</v>
          </cell>
          <cell r="T287">
            <v>0.45082737312765336</v>
          </cell>
          <cell r="AD287">
            <v>0.53495693965517244</v>
          </cell>
          <cell r="AE287">
            <v>0.55054511434543241</v>
          </cell>
          <cell r="AF287">
            <v>0.55333163124092599</v>
          </cell>
          <cell r="AG287">
            <v>0.56395219571931599</v>
          </cell>
          <cell r="AH287">
            <v>0.50858397933087529</v>
          </cell>
          <cell r="AI287">
            <v>0.52133457287136964</v>
          </cell>
          <cell r="AJ287">
            <v>0.51504648420388466</v>
          </cell>
          <cell r="AK287">
            <v>0.54269234309139525</v>
          </cell>
          <cell r="AL287">
            <v>0.52852848418129261</v>
          </cell>
          <cell r="AM287">
            <v>0.54727314956330386</v>
          </cell>
          <cell r="AN287">
            <v>0.51728829747780614</v>
          </cell>
          <cell r="AO287">
            <v>0.6453310632281386</v>
          </cell>
          <cell r="AP287">
            <v>0.65353810738564577</v>
          </cell>
          <cell r="AQ287">
            <v>0.64770435686464833</v>
          </cell>
          <cell r="AR287">
            <v>0.64149222923871574</v>
          </cell>
          <cell r="AS287">
            <v>0.64849438381841817</v>
          </cell>
          <cell r="AT287">
            <v>0.60836723691106565</v>
          </cell>
          <cell r="AU287">
            <v>0.49453223747875025</v>
          </cell>
          <cell r="AV287">
            <v>0.49743653637190111</v>
          </cell>
          <cell r="AW287">
            <v>0.47771118460790024</v>
          </cell>
          <cell r="AX287">
            <v>0.45416875843631094</v>
          </cell>
          <cell r="AY287">
            <v>0.43814612571610134</v>
          </cell>
          <cell r="AZ287">
            <v>0.45521410139804397</v>
          </cell>
          <cell r="BA287">
            <v>0.44876599429266123</v>
          </cell>
          <cell r="BB287">
            <v>0.43253774311907939</v>
          </cell>
          <cell r="BC287">
            <v>0.44626152735800328</v>
          </cell>
          <cell r="BD287">
            <v>0.43482923123850165</v>
          </cell>
          <cell r="BE287">
            <v>0.432719873021637</v>
          </cell>
          <cell r="BF287">
            <v>0.43763374667849336</v>
          </cell>
          <cell r="BG287">
            <v>0.4389104142248344</v>
          </cell>
          <cell r="BH287">
            <v>0.43041337075025943</v>
          </cell>
          <cell r="BI287">
            <v>0.42355997680659341</v>
          </cell>
          <cell r="BJ287">
            <v>0.43697095670414443</v>
          </cell>
          <cell r="BK287">
            <v>0.43248811541082405</v>
          </cell>
          <cell r="BL287">
            <v>0.43308397124656084</v>
          </cell>
          <cell r="BM287">
            <v>0.42966112982177085</v>
          </cell>
          <cell r="BN287">
            <v>0.43138605022354493</v>
          </cell>
          <cell r="BO287">
            <v>0.43439870368774652</v>
          </cell>
          <cell r="BP287">
            <v>0.43694347624276603</v>
          </cell>
          <cell r="BQ287">
            <v>0.43619710903889208</v>
          </cell>
          <cell r="BR287">
            <v>0.44015659340579771</v>
          </cell>
          <cell r="BS287">
            <v>0.44405274865204064</v>
          </cell>
          <cell r="BT287">
            <v>0.44104129858143615</v>
          </cell>
          <cell r="BU287">
            <v>0.44176158473412075</v>
          </cell>
        </row>
        <row r="288">
          <cell r="A288" t="str">
            <v>% revenues</v>
          </cell>
          <cell r="F288">
            <v>0.36224094209322183</v>
          </cell>
          <cell r="G288">
            <v>0.40113870409928759</v>
          </cell>
          <cell r="H288">
            <v>0.43808897719954704</v>
          </cell>
          <cell r="I288">
            <v>0.33528002133680374</v>
          </cell>
          <cell r="J288">
            <v>0.29650675758325157</v>
          </cell>
          <cell r="K288">
            <v>0.29125028376120105</v>
          </cell>
          <cell r="L288">
            <v>0.28970869915001624</v>
          </cell>
          <cell r="M288">
            <v>0.29539168147038369</v>
          </cell>
          <cell r="N288">
            <v>0.29759926428495714</v>
          </cell>
          <cell r="O288">
            <v>0.30499999999999999</v>
          </cell>
          <cell r="P288">
            <v>0.315</v>
          </cell>
          <cell r="Q288">
            <v>0.32</v>
          </cell>
          <cell r="R288">
            <v>0.31</v>
          </cell>
          <cell r="S288">
            <v>0.3</v>
          </cell>
          <cell r="T288">
            <v>0.3</v>
          </cell>
          <cell r="AD288">
            <v>0.34296549188504261</v>
          </cell>
          <cell r="AE288">
            <v>0.36964310525054767</v>
          </cell>
          <cell r="AF288">
            <v>0.37458805089685493</v>
          </cell>
          <cell r="AG288">
            <v>0.40575669671965481</v>
          </cell>
          <cell r="AH288">
            <v>0.34903263360273784</v>
          </cell>
          <cell r="AI288">
            <v>0.3598344992510133</v>
          </cell>
          <cell r="AJ288">
            <v>0.34629157077609141</v>
          </cell>
          <cell r="AK288">
            <v>0.39362181705768917</v>
          </cell>
          <cell r="AL288">
            <v>0.3622336910207879</v>
          </cell>
          <cell r="AM288">
            <v>0.38150087870065896</v>
          </cell>
          <cell r="AN288">
            <v>0.33557319720442358</v>
          </cell>
          <cell r="AO288">
            <v>0.497647961200476</v>
          </cell>
          <cell r="AP288">
            <v>0.45413781775180023</v>
          </cell>
          <cell r="AQ288">
            <v>0.43411561165857038</v>
          </cell>
          <cell r="AR288">
            <v>0.42049274672640624</v>
          </cell>
          <cell r="AS288">
            <v>0.44352519697103887</v>
          </cell>
          <cell r="AT288">
            <v>0.39243170703003355</v>
          </cell>
          <cell r="AU288">
            <v>0.31612903881957349</v>
          </cell>
          <cell r="AV288">
            <v>0.32291783180530437</v>
          </cell>
          <cell r="AW288">
            <v>0.30914065616233299</v>
          </cell>
          <cell r="AX288">
            <v>0.30091626900302842</v>
          </cell>
          <cell r="AY288">
            <v>0.28187562869578242</v>
          </cell>
          <cell r="AZ288">
            <v>0.30110140872615471</v>
          </cell>
          <cell r="BA288">
            <v>0.30231088018785435</v>
          </cell>
          <cell r="BB288">
            <v>0.28574467784200042</v>
          </cell>
          <cell r="BC288">
            <v>0.29812064323722515</v>
          </cell>
          <cell r="BD288">
            <v>0.29079583874318204</v>
          </cell>
          <cell r="BE288">
            <v>0.29036178739722535</v>
          </cell>
          <cell r="BF288">
            <v>0.29787658282079271</v>
          </cell>
          <cell r="BG288">
            <v>0.29245629891781555</v>
          </cell>
          <cell r="BH288">
            <v>0.28673754097844639</v>
          </cell>
          <cell r="BI288">
            <v>0.28163179130102273</v>
          </cell>
          <cell r="BJ288">
            <v>0.29938505783889025</v>
          </cell>
          <cell r="BK288">
            <v>0.29192228415454491</v>
          </cell>
          <cell r="BL288">
            <v>0.2961540673519325</v>
          </cell>
          <cell r="BM288">
            <v>0.29409622789053497</v>
          </cell>
          <cell r="BN288">
            <v>0.29756043402678473</v>
          </cell>
          <cell r="BO288">
            <v>0.29394195697067388</v>
          </cell>
          <cell r="BP288">
            <v>0.29892561859476074</v>
          </cell>
          <cell r="BQ288">
            <v>0.3</v>
          </cell>
          <cell r="BR288">
            <v>0.30499999999999999</v>
          </cell>
          <cell r="BS288">
            <v>0.30499999999999999</v>
          </cell>
          <cell r="BT288">
            <v>0.30499999999999999</v>
          </cell>
          <cell r="BU288">
            <v>0.30499999999999999</v>
          </cell>
        </row>
        <row r="289">
          <cell r="A289" t="str">
            <v>incremental expense</v>
          </cell>
          <cell r="F289">
            <v>13244.253324812376</v>
          </cell>
          <cell r="G289">
            <v>2609.9516773037667</v>
          </cell>
          <cell r="H289">
            <v>9798.5331467805318</v>
          </cell>
          <cell r="I289">
            <v>-1654.4000616722733</v>
          </cell>
          <cell r="J289">
            <v>-3868.790821655035</v>
          </cell>
          <cell r="K289">
            <v>-1609.2329714783518</v>
          </cell>
          <cell r="L289">
            <v>-664.40833067891435</v>
          </cell>
          <cell r="M289">
            <v>-91.050239783224242</v>
          </cell>
          <cell r="N289">
            <v>-85.225085062444123</v>
          </cell>
          <cell r="O289">
            <v>392.16654706705958</v>
          </cell>
          <cell r="P289">
            <v>716.10389794550792</v>
          </cell>
          <cell r="Q289">
            <v>588.75964961016871</v>
          </cell>
          <cell r="R289">
            <v>-207.39754416797223</v>
          </cell>
          <cell r="S289">
            <v>-190.492686982343</v>
          </cell>
          <cell r="T289">
            <v>461.38249722683031</v>
          </cell>
          <cell r="AD289">
            <v>3180.3190062500003</v>
          </cell>
          <cell r="AE289">
            <v>194.52254468750016</v>
          </cell>
          <cell r="AF289">
            <v>55.261231124999995</v>
          </cell>
          <cell r="AG289">
            <v>213.59235447999981</v>
          </cell>
          <cell r="AH289">
            <v>-488.44012877375008</v>
          </cell>
          <cell r="AI289">
            <v>129.67413589375019</v>
          </cell>
          <cell r="AJ289">
            <v>-96.276359956250417</v>
          </cell>
          <cell r="AK289">
            <v>426.76360596862514</v>
          </cell>
          <cell r="AL289">
            <v>-289.3866387220005</v>
          </cell>
          <cell r="AM289">
            <v>205.52388317912528</v>
          </cell>
          <cell r="AN289">
            <v>-434.54859713237465</v>
          </cell>
          <cell r="AO289">
            <v>2802.6115430320178</v>
          </cell>
          <cell r="AP289">
            <v>793.92071581214077</v>
          </cell>
          <cell r="AQ289">
            <v>-290.33202387987058</v>
          </cell>
          <cell r="AR289">
            <v>-269.89806821255206</v>
          </cell>
          <cell r="AS289">
            <v>289.38117358625277</v>
          </cell>
          <cell r="AT289">
            <v>635.58830530456908</v>
          </cell>
          <cell r="AU289">
            <v>-1370.1668871615975</v>
          </cell>
          <cell r="AV289">
            <v>105.03610710657449</v>
          </cell>
          <cell r="AW289">
            <v>-334.34019607268419</v>
          </cell>
          <cell r="AX289">
            <v>-298.99444191954717</v>
          </cell>
          <cell r="AY289">
            <v>-334.94612820922066</v>
          </cell>
          <cell r="AZ289">
            <v>312.22599789121796</v>
          </cell>
          <cell r="BA289">
            <v>-129.3114039651191</v>
          </cell>
          <cell r="BB289">
            <v>-389.57424702939625</v>
          </cell>
          <cell r="BC289">
            <v>156.79285944822459</v>
          </cell>
          <cell r="BD289">
            <v>-187.98478239568158</v>
          </cell>
          <cell r="BE289">
            <v>-46.916652591938146</v>
          </cell>
          <cell r="BF289">
            <v>60.309037341306976</v>
          </cell>
          <cell r="BG289">
            <v>-55.92751620038689</v>
          </cell>
          <cell r="BH289">
            <v>-123.27228453727093</v>
          </cell>
          <cell r="BI289">
            <v>-131.39069924948672</v>
          </cell>
          <cell r="BJ289">
            <v>216.22906043595958</v>
          </cell>
          <cell r="BK289">
            <v>-118.45257469032731</v>
          </cell>
          <cell r="BL289">
            <v>71.007553140533673</v>
          </cell>
          <cell r="BM289">
            <v>-45.979680713757261</v>
          </cell>
          <cell r="BN289">
            <v>29.362355882255542</v>
          </cell>
          <cell r="BO289">
            <v>-61.071232460918509</v>
          </cell>
          <cell r="BP289">
            <v>47.074261553267206</v>
          </cell>
          <cell r="BQ289">
            <v>0.76717623528384138</v>
          </cell>
          <cell r="BR289">
            <v>84.564602100439515</v>
          </cell>
          <cell r="BS289">
            <v>16.261401289307287</v>
          </cell>
          <cell r="BT289">
            <v>-12.303142609214774</v>
          </cell>
          <cell r="BU289">
            <v>-5.648599335657309</v>
          </cell>
        </row>
        <row r="291">
          <cell r="A291" t="str">
            <v>Base</v>
          </cell>
          <cell r="P291">
            <v>0.315</v>
          </cell>
          <cell r="Q291">
            <v>0.32</v>
          </cell>
          <cell r="R291">
            <v>0.31</v>
          </cell>
          <cell r="S291">
            <v>0.3</v>
          </cell>
          <cell r="T291">
            <v>0.3</v>
          </cell>
          <cell r="BQ291">
            <v>0.3</v>
          </cell>
          <cell r="BR291">
            <v>0.30499999999999999</v>
          </cell>
          <cell r="BS291">
            <v>0.30499999999999999</v>
          </cell>
          <cell r="BT291">
            <v>0.30499999999999999</v>
          </cell>
          <cell r="BU291">
            <v>0.30499999999999999</v>
          </cell>
        </row>
        <row r="292">
          <cell r="A292" t="str">
            <v>Bull</v>
          </cell>
          <cell r="P292">
            <v>0.312</v>
          </cell>
          <cell r="Q292">
            <v>0.317</v>
          </cell>
          <cell r="R292">
            <v>0.307</v>
          </cell>
          <cell r="S292">
            <v>0.29699999999999999</v>
          </cell>
          <cell r="T292">
            <v>0.29699999999999999</v>
          </cell>
          <cell r="BQ292">
            <v>0.29699999999999999</v>
          </cell>
          <cell r="BR292">
            <v>0.30199999999999999</v>
          </cell>
          <cell r="BS292">
            <v>0.30199999999999999</v>
          </cell>
          <cell r="BT292">
            <v>0.30199999999999999</v>
          </cell>
          <cell r="BU292">
            <v>0.30199999999999999</v>
          </cell>
        </row>
        <row r="293">
          <cell r="A293" t="str">
            <v>Bear</v>
          </cell>
          <cell r="P293">
            <v>0.318</v>
          </cell>
          <cell r="Q293">
            <v>0.32300000000000001</v>
          </cell>
          <cell r="R293">
            <v>0.313</v>
          </cell>
          <cell r="S293">
            <v>0.30299999999999999</v>
          </cell>
          <cell r="T293">
            <v>0.30299999999999999</v>
          </cell>
          <cell r="BQ293">
            <v>0.30299999999999999</v>
          </cell>
          <cell r="BR293">
            <v>0.308</v>
          </cell>
          <cell r="BS293">
            <v>0.308</v>
          </cell>
          <cell r="BT293">
            <v>0.308</v>
          </cell>
          <cell r="BU293">
            <v>0.308</v>
          </cell>
        </row>
        <row r="295">
          <cell r="A295" t="str">
            <v>Total Operations and Support expenses</v>
          </cell>
          <cell r="F295">
            <v>25358</v>
          </cell>
          <cell r="G295">
            <v>27875</v>
          </cell>
          <cell r="H295">
            <v>39593</v>
          </cell>
          <cell r="I295">
            <v>46177</v>
          </cell>
          <cell r="J295">
            <v>44817</v>
          </cell>
          <cell r="K295">
            <v>42418</v>
          </cell>
          <cell r="L295">
            <v>41266</v>
          </cell>
          <cell r="M295">
            <v>41053.25</v>
          </cell>
          <cell r="N295">
            <v>40669.098846156267</v>
          </cell>
          <cell r="O295">
            <v>40909.534656230848</v>
          </cell>
          <cell r="P295">
            <v>41466.641100032401</v>
          </cell>
          <cell r="Q295">
            <v>42134.418798030616</v>
          </cell>
          <cell r="R295">
            <v>42230.377994189868</v>
          </cell>
          <cell r="S295">
            <v>42347.580048921445</v>
          </cell>
          <cell r="T295">
            <v>43121.057322668683</v>
          </cell>
          <cell r="AD295">
            <v>5945</v>
          </cell>
          <cell r="AE295">
            <v>6130</v>
          </cell>
          <cell r="AF295">
            <v>6199</v>
          </cell>
          <cell r="AG295">
            <v>6461</v>
          </cell>
          <cell r="AH295">
            <v>6204</v>
          </cell>
          <cell r="AI295">
            <v>6301</v>
          </cell>
          <cell r="AJ295">
            <v>6191</v>
          </cell>
          <cell r="AK295">
            <v>6662</v>
          </cell>
          <cell r="AL295">
            <v>6293</v>
          </cell>
          <cell r="AM295">
            <v>6453</v>
          </cell>
          <cell r="AN295">
            <v>5987</v>
          </cell>
          <cell r="AO295">
            <v>9142</v>
          </cell>
          <cell r="AP295">
            <v>10242</v>
          </cell>
          <cell r="AQ295">
            <v>9886</v>
          </cell>
          <cell r="AR295">
            <v>9561</v>
          </cell>
          <cell r="AS295">
            <v>9904</v>
          </cell>
          <cell r="AT295">
            <v>11602</v>
          </cell>
          <cell r="AU295">
            <v>11502</v>
          </cell>
          <cell r="AV295">
            <v>11646</v>
          </cell>
          <cell r="AW295">
            <v>11427</v>
          </cell>
          <cell r="AX295">
            <v>11361</v>
          </cell>
          <cell r="AY295">
            <v>11012</v>
          </cell>
          <cell r="AZ295">
            <v>11285</v>
          </cell>
          <cell r="BA295">
            <v>11159</v>
          </cell>
          <cell r="BB295">
            <v>10677</v>
          </cell>
          <cell r="BC295">
            <v>10700</v>
          </cell>
          <cell r="BD295">
            <v>10549</v>
          </cell>
          <cell r="BE295">
            <v>10492</v>
          </cell>
          <cell r="BF295">
            <v>10512</v>
          </cell>
          <cell r="BG295">
            <v>10354</v>
          </cell>
          <cell r="BH295">
            <v>10272</v>
          </cell>
          <cell r="BI295">
            <v>10128</v>
          </cell>
          <cell r="BJ295">
            <v>10312</v>
          </cell>
          <cell r="BK295">
            <v>10145</v>
          </cell>
          <cell r="BL295">
            <v>10295</v>
          </cell>
          <cell r="BM295">
            <v>10270</v>
          </cell>
          <cell r="BN295">
            <v>10297</v>
          </cell>
          <cell r="BO295">
            <v>10085</v>
          </cell>
          <cell r="BP295">
            <v>10134</v>
          </cell>
          <cell r="BQ295">
            <v>10153.098846156267</v>
          </cell>
          <cell r="BR295">
            <v>10253.889261676717</v>
          </cell>
          <cell r="BS295">
            <v>10200.541223129767</v>
          </cell>
          <cell r="BT295">
            <v>10242.295312909146</v>
          </cell>
          <cell r="BU295">
            <v>10212.808858515218</v>
          </cell>
        </row>
        <row r="296">
          <cell r="A296" t="str">
            <v>% y/y growth</v>
          </cell>
          <cell r="G296">
            <v>9.9258616610142791E-2</v>
          </cell>
          <cell r="H296">
            <v>0.42037668161434971</v>
          </cell>
          <cell r="I296">
            <v>0.16629202131689946</v>
          </cell>
          <cell r="J296">
            <v>-2.9451891634363458E-2</v>
          </cell>
          <cell r="K296">
            <v>-5.3528794876944064E-2</v>
          </cell>
          <cell r="L296">
            <v>-2.7158281861473954E-2</v>
          </cell>
          <cell r="M296">
            <v>-5.1555760189987421E-3</v>
          </cell>
          <cell r="N296">
            <v>-9.3573871458102476E-3</v>
          </cell>
          <cell r="O296">
            <v>5.9120024022196738E-3</v>
          </cell>
          <cell r="P296">
            <v>1.3618009798522568E-2</v>
          </cell>
          <cell r="Q296">
            <v>1.610397370713712E-2</v>
          </cell>
          <cell r="R296">
            <v>2.2774538939109856E-3</v>
          </cell>
          <cell r="S296">
            <v>2.7753020526528616E-3</v>
          </cell>
          <cell r="T296">
            <v>1.8264969872037184E-2</v>
          </cell>
          <cell r="AH296">
            <v>4.3566021867115223E-2</v>
          </cell>
          <cell r="AI296">
            <v>2.7895595432300135E-2</v>
          </cell>
          <cell r="AJ296">
            <v>-1.2905307307630176E-3</v>
          </cell>
          <cell r="AK296">
            <v>3.1109735335087541E-2</v>
          </cell>
          <cell r="AL296">
            <v>1.4345583494519643E-2</v>
          </cell>
          <cell r="AM296">
            <v>2.4123155054753154E-2</v>
          </cell>
          <cell r="AN296">
            <v>-3.2951057987401056E-2</v>
          </cell>
          <cell r="AO296">
            <v>0.37226058240768545</v>
          </cell>
          <cell r="AP296">
            <v>0.62752264420785009</v>
          </cell>
          <cell r="AQ296">
            <v>0.53200061986672864</v>
          </cell>
          <cell r="AR296">
            <v>0.59696008017370961</v>
          </cell>
          <cell r="AS296">
            <v>8.3351564209144691E-2</v>
          </cell>
          <cell r="AT296">
            <v>0.13278656512399922</v>
          </cell>
          <cell r="AU296">
            <v>0.1634634837143436</v>
          </cell>
          <cell r="AV296">
            <v>0.21807342328208357</v>
          </cell>
          <cell r="AW296">
            <v>0.15377625201938616</v>
          </cell>
          <cell r="AX296">
            <v>-2.0772280641268792E-2</v>
          </cell>
          <cell r="AY296">
            <v>-4.2601286732742105E-2</v>
          </cell>
          <cell r="AZ296">
            <v>-3.0997767473810778E-2</v>
          </cell>
          <cell r="BA296">
            <v>-2.3453224818412499E-2</v>
          </cell>
          <cell r="BB296">
            <v>-6.0205967784526027E-2</v>
          </cell>
          <cell r="BC296">
            <v>-2.833272793316377E-2</v>
          </cell>
          <cell r="BD296">
            <v>-6.521931767833411E-2</v>
          </cell>
          <cell r="BE296">
            <v>-5.9772381037727418E-2</v>
          </cell>
          <cell r="BF296">
            <v>-1.5453779151447078E-2</v>
          </cell>
          <cell r="BG296">
            <v>-3.2336448598130896E-2</v>
          </cell>
          <cell r="BH296">
            <v>-2.6258413119726987E-2</v>
          </cell>
          <cell r="BI296">
            <v>-3.4693099504384262E-2</v>
          </cell>
          <cell r="BJ296">
            <v>-1.9025875190258779E-2</v>
          </cell>
          <cell r="BK296">
            <v>-2.0185435580452049E-2</v>
          </cell>
          <cell r="BL296">
            <v>2.2390965732086432E-3</v>
          </cell>
          <cell r="BM296">
            <v>1.4020537124802557E-2</v>
          </cell>
          <cell r="BN296">
            <v>-1.4546159813809689E-3</v>
          </cell>
          <cell r="BO296">
            <v>-5.9142434696894952E-3</v>
          </cell>
          <cell r="BP296">
            <v>-1.5638659543467659E-2</v>
          </cell>
          <cell r="BQ296">
            <v>-1.1382780315845498E-2</v>
          </cell>
          <cell r="BR296">
            <v>-4.1867280104188609E-3</v>
          </cell>
          <cell r="BS296">
            <v>1.1456740022782963E-2</v>
          </cell>
          <cell r="BT296">
            <v>1.0686334409822917E-2</v>
          </cell>
          <cell r="BU296">
            <v>5.880964350263973E-3</v>
          </cell>
        </row>
        <row r="297">
          <cell r="A297" t="str">
            <v>% revenues</v>
          </cell>
          <cell r="F297">
            <v>0.6935616213555057</v>
          </cell>
          <cell r="G297">
            <v>0.70528552994458926</v>
          </cell>
          <cell r="H297">
            <v>0.67615615820752784</v>
          </cell>
          <cell r="I297">
            <v>0.64513740447350409</v>
          </cell>
          <cell r="J297">
            <v>0.66015112904888862</v>
          </cell>
          <cell r="K297">
            <v>0.6670650584220541</v>
          </cell>
          <cell r="L297">
            <v>0.66953304993996821</v>
          </cell>
          <cell r="M297">
            <v>0.6826280345859661</v>
          </cell>
          <cell r="N297">
            <v>0.68457843623421388</v>
          </cell>
          <cell r="O297">
            <v>0.69043537518612441</v>
          </cell>
          <cell r="P297">
            <v>0.69523423017841235</v>
          </cell>
          <cell r="Q297">
            <v>0.69583785364397277</v>
          </cell>
          <cell r="R297">
            <v>0.68293794336845981</v>
          </cell>
          <cell r="S297">
            <v>0.66939394273784159</v>
          </cell>
          <cell r="T297">
            <v>0.66544317821414523</v>
          </cell>
          <cell r="AD297">
            <v>0.64110859484524962</v>
          </cell>
          <cell r="AE297">
            <v>0.67141292442497258</v>
          </cell>
          <cell r="AF297">
            <v>0.67696843944523311</v>
          </cell>
          <cell r="AG297">
            <v>0.71948775055679293</v>
          </cell>
          <cell r="AH297">
            <v>0.68628318584070791</v>
          </cell>
          <cell r="AI297">
            <v>0.69021798663599521</v>
          </cell>
          <cell r="AJ297">
            <v>0.67235013032145963</v>
          </cell>
          <cell r="AK297">
            <v>0.72531301034295048</v>
          </cell>
          <cell r="AL297">
            <v>0.68536266608582008</v>
          </cell>
          <cell r="AM297">
            <v>0.69709409095819375</v>
          </cell>
          <cell r="AN297">
            <v>0.64871600390074768</v>
          </cell>
          <cell r="AO297">
            <v>0.77115141290594691</v>
          </cell>
          <cell r="AP297">
            <v>0.69489110523101971</v>
          </cell>
          <cell r="AQ297">
            <v>0.67023728813559325</v>
          </cell>
          <cell r="AR297">
            <v>0.65549156725627311</v>
          </cell>
          <cell r="AS297">
            <v>0.68393066777156275</v>
          </cell>
          <cell r="AT297">
            <v>0.64505726676303787</v>
          </cell>
          <cell r="AU297">
            <v>0.63924859667648526</v>
          </cell>
          <cell r="AV297">
            <v>0.64916387959866217</v>
          </cell>
          <cell r="AW297">
            <v>0.64712878015630304</v>
          </cell>
          <cell r="AX297">
            <v>0.66256488015396275</v>
          </cell>
          <cell r="AY297">
            <v>0.64333703335864934</v>
          </cell>
          <cell r="AZ297">
            <v>0.66145009085047768</v>
          </cell>
          <cell r="BA297">
            <v>0.67364926048898277</v>
          </cell>
          <cell r="BB297">
            <v>0.66062368518747683</v>
          </cell>
          <cell r="BC297">
            <v>0.66804020727976521</v>
          </cell>
          <cell r="BD297">
            <v>0.66875871687587174</v>
          </cell>
          <cell r="BE297">
            <v>0.67101560501407009</v>
          </cell>
          <cell r="BF297">
            <v>0.6806526806526807</v>
          </cell>
          <cell r="BG297">
            <v>0.6663234442370809</v>
          </cell>
          <cell r="BH297">
            <v>0.66619106297425257</v>
          </cell>
          <cell r="BI297">
            <v>0.66491596638655459</v>
          </cell>
          <cell r="BJ297">
            <v>0.68513720018603419</v>
          </cell>
          <cell r="BK297">
            <v>0.67498336660013303</v>
          </cell>
          <cell r="BL297">
            <v>0.68382597143806045</v>
          </cell>
          <cell r="BM297">
            <v>0.6844841375633165</v>
          </cell>
          <cell r="BN297">
            <v>0.68977759914255088</v>
          </cell>
          <cell r="BO297">
            <v>0.67666398282340312</v>
          </cell>
          <cell r="BP297">
            <v>0.68412880577870794</v>
          </cell>
          <cell r="BQ297">
            <v>0.68776246743361946</v>
          </cell>
          <cell r="BR297">
            <v>0.69293520662726615</v>
          </cell>
          <cell r="BS297">
            <v>0.6868553362767218</v>
          </cell>
          <cell r="BT297">
            <v>0.69154521579045092</v>
          </cell>
          <cell r="BU297">
            <v>0.69041766088277623</v>
          </cell>
        </row>
        <row r="299">
          <cell r="A299" t="str">
            <v>EBITDA</v>
          </cell>
          <cell r="F299">
            <v>11204</v>
          </cell>
          <cell r="G299">
            <v>11648</v>
          </cell>
          <cell r="H299">
            <v>18963</v>
          </cell>
          <cell r="I299">
            <v>25400</v>
          </cell>
          <cell r="J299">
            <v>23072</v>
          </cell>
          <cell r="K299">
            <v>21171</v>
          </cell>
          <cell r="L299">
            <v>20368</v>
          </cell>
          <cell r="M299">
            <v>19086.75</v>
          </cell>
          <cell r="N299">
            <v>18738.409035441982</v>
          </cell>
          <cell r="O299">
            <v>18342.259395026507</v>
          </cell>
          <cell r="P299">
            <v>18177.48932402792</v>
          </cell>
          <cell r="Q299">
            <v>18417.645993185528</v>
          </cell>
          <cell r="R299">
            <v>19605.954873620445</v>
          </cell>
          <cell r="S299">
            <v>20914.988291208065</v>
          </cell>
          <cell r="T299">
            <v>21679.4526748836</v>
          </cell>
          <cell r="AD299">
            <v>3328</v>
          </cell>
          <cell r="AE299">
            <v>3000</v>
          </cell>
          <cell r="AF299">
            <v>2958</v>
          </cell>
          <cell r="AG299">
            <v>2519</v>
          </cell>
          <cell r="AH299">
            <v>2836</v>
          </cell>
          <cell r="AI299">
            <v>2828</v>
          </cell>
          <cell r="AJ299">
            <v>3017</v>
          </cell>
          <cell r="AK299">
            <v>2523</v>
          </cell>
          <cell r="AL299">
            <v>2889</v>
          </cell>
          <cell r="AM299">
            <v>2804</v>
          </cell>
          <cell r="AN299">
            <v>3242</v>
          </cell>
          <cell r="AO299">
            <v>2713</v>
          </cell>
          <cell r="AP299">
            <v>4497</v>
          </cell>
          <cell r="AQ299">
            <v>4864</v>
          </cell>
          <cell r="AR299">
            <v>5025</v>
          </cell>
          <cell r="AS299">
            <v>4577</v>
          </cell>
          <cell r="AT299">
            <v>6384</v>
          </cell>
          <cell r="AU299">
            <v>6491</v>
          </cell>
          <cell r="AV299">
            <v>6294</v>
          </cell>
          <cell r="AW299">
            <v>6231</v>
          </cell>
          <cell r="AX299">
            <v>5785</v>
          </cell>
          <cell r="AY299">
            <v>6106</v>
          </cell>
          <cell r="AZ299">
            <v>5775</v>
          </cell>
          <cell r="BA299">
            <v>5406</v>
          </cell>
          <cell r="BB299">
            <v>5485</v>
          </cell>
          <cell r="BC299">
            <v>5317</v>
          </cell>
          <cell r="BD299">
            <v>5225</v>
          </cell>
          <cell r="BE299">
            <v>5144</v>
          </cell>
          <cell r="BF299">
            <v>4932</v>
          </cell>
          <cell r="BG299">
            <v>5185</v>
          </cell>
          <cell r="BH299">
            <v>5147</v>
          </cell>
          <cell r="BI299">
            <v>5104</v>
          </cell>
          <cell r="BJ299">
            <v>4739</v>
          </cell>
          <cell r="BK299">
            <v>4885</v>
          </cell>
          <cell r="BL299">
            <v>4760</v>
          </cell>
          <cell r="BM299">
            <v>4734</v>
          </cell>
          <cell r="BN299">
            <v>4631</v>
          </cell>
          <cell r="BO299">
            <v>4819</v>
          </cell>
          <cell r="BP299">
            <v>4679</v>
          </cell>
          <cell r="BQ299">
            <v>4609.4090354419823</v>
          </cell>
          <cell r="BR299">
            <v>4543.8712844869351</v>
          </cell>
          <cell r="BS299">
            <v>4650.5353928348941</v>
          </cell>
          <cell r="BT299">
            <v>4568.4431305662874</v>
          </cell>
          <cell r="BU299">
            <v>4579.409587138387</v>
          </cell>
        </row>
        <row r="300">
          <cell r="A300" t="str">
            <v>% y/y growth</v>
          </cell>
          <cell r="G300">
            <v>3.9628704034273543E-2</v>
          </cell>
          <cell r="H300">
            <v>0.62800480769230771</v>
          </cell>
          <cell r="I300">
            <v>0.33945050888572492</v>
          </cell>
          <cell r="J300">
            <v>-9.1653543307086638E-2</v>
          </cell>
          <cell r="K300">
            <v>-8.2394244105409187E-2</v>
          </cell>
          <cell r="L300">
            <v>-3.7929242832176135E-2</v>
          </cell>
          <cell r="M300">
            <v>-6.2905047132757241E-2</v>
          </cell>
          <cell r="N300">
            <v>-1.8250407458473394E-2</v>
          </cell>
          <cell r="O300">
            <v>-2.1141049897362874E-2</v>
          </cell>
          <cell r="P300">
            <v>-8.9830847688951998E-3</v>
          </cell>
          <cell r="Q300">
            <v>1.3211762354889967E-2</v>
          </cell>
          <cell r="R300">
            <v>6.4520128189812453E-2</v>
          </cell>
          <cell r="S300">
            <v>6.6767134068481671E-2</v>
          </cell>
          <cell r="T300">
            <v>3.6551030917712168E-2</v>
          </cell>
          <cell r="AH300">
            <v>-0.14783653846153844</v>
          </cell>
          <cell r="AI300">
            <v>-5.7333333333333347E-2</v>
          </cell>
          <cell r="AJ300">
            <v>1.9945909398242145E-2</v>
          </cell>
          <cell r="AK300">
            <v>1.5879317189360087E-3</v>
          </cell>
          <cell r="AL300">
            <v>1.8688293370944908E-2</v>
          </cell>
          <cell r="AM300">
            <v>-8.4865629420084465E-3</v>
          </cell>
          <cell r="AN300">
            <v>7.4577394763009508E-2</v>
          </cell>
          <cell r="AO300">
            <v>7.5307173999207278E-2</v>
          </cell>
          <cell r="AP300">
            <v>0.55659397715472481</v>
          </cell>
          <cell r="AQ300">
            <v>0.73466476462196861</v>
          </cell>
          <cell r="AR300">
            <v>0.54996915484268971</v>
          </cell>
          <cell r="AS300">
            <v>0.68706229266494656</v>
          </cell>
          <cell r="AT300">
            <v>0.41961307538358916</v>
          </cell>
          <cell r="AU300">
            <v>0.33449835526315796</v>
          </cell>
          <cell r="AV300">
            <v>0.25253731343283592</v>
          </cell>
          <cell r="AW300">
            <v>0.36137207778020541</v>
          </cell>
          <cell r="AX300">
            <v>-9.3828320802004983E-2</v>
          </cell>
          <cell r="AY300">
            <v>-5.9312894777384106E-2</v>
          </cell>
          <cell r="AZ300">
            <v>-8.245948522402291E-2</v>
          </cell>
          <cell r="BA300">
            <v>-0.13240250361097738</v>
          </cell>
          <cell r="BB300">
            <v>-5.185825410544509E-2</v>
          </cell>
          <cell r="BC300">
            <v>-0.12921716344579104</v>
          </cell>
          <cell r="BD300">
            <v>-9.5238095238095233E-2</v>
          </cell>
          <cell r="BE300">
            <v>-4.8464668886422535E-2</v>
          </cell>
          <cell r="BF300">
            <v>-0.10082041932543295</v>
          </cell>
          <cell r="BG300">
            <v>-2.4826029716005227E-2</v>
          </cell>
          <cell r="BH300">
            <v>-1.492822966507179E-2</v>
          </cell>
          <cell r="BI300">
            <v>-7.7760497667185291E-3</v>
          </cell>
          <cell r="BJ300">
            <v>-3.913219789132194E-2</v>
          </cell>
          <cell r="BK300">
            <v>-5.7859209257473454E-2</v>
          </cell>
          <cell r="BL300">
            <v>-7.5189430736351315E-2</v>
          </cell>
          <cell r="BM300">
            <v>-7.249216300940442E-2</v>
          </cell>
          <cell r="BN300">
            <v>-2.2789618062882488E-2</v>
          </cell>
          <cell r="BO300">
            <v>-1.3510747185261018E-2</v>
          </cell>
          <cell r="BP300">
            <v>-1.7016806722689126E-2</v>
          </cell>
          <cell r="BQ300">
            <v>-2.6318327959023557E-2</v>
          </cell>
          <cell r="BR300">
            <v>-1.8814233537694847E-2</v>
          </cell>
          <cell r="BS300">
            <v>-3.4958416095684952E-2</v>
          </cell>
          <cell r="BT300">
            <v>-2.362831148401634E-2</v>
          </cell>
          <cell r="BU300">
            <v>-6.5083068291245105E-3</v>
          </cell>
        </row>
        <row r="301">
          <cell r="A301" t="str">
            <v>% q/q growth</v>
          </cell>
        </row>
        <row r="302">
          <cell r="A302" t="str">
            <v>% revenues</v>
          </cell>
          <cell r="F302">
            <v>0.3064383786444943</v>
          </cell>
          <cell r="G302">
            <v>0.29471447005541079</v>
          </cell>
          <cell r="H302">
            <v>0.32384384179247216</v>
          </cell>
          <cell r="I302">
            <v>0.35486259552649596</v>
          </cell>
          <cell r="J302">
            <v>0.33984887095111138</v>
          </cell>
          <cell r="K302">
            <v>0.3329349415779459</v>
          </cell>
          <cell r="L302">
            <v>0.33046695006003179</v>
          </cell>
          <cell r="M302">
            <v>0.3173719654140339</v>
          </cell>
          <cell r="N302">
            <v>0.31542156376578612</v>
          </cell>
          <cell r="O302">
            <v>0.30956462481387559</v>
          </cell>
          <cell r="P302">
            <v>0.30476576982158765</v>
          </cell>
          <cell r="Q302">
            <v>0.30416214635602723</v>
          </cell>
          <cell r="R302">
            <v>0.31706205663154019</v>
          </cell>
          <cell r="S302">
            <v>0.33060605726215836</v>
          </cell>
          <cell r="T302">
            <v>0.33455682178585477</v>
          </cell>
          <cell r="AD302">
            <v>0.35889140515475038</v>
          </cell>
          <cell r="AE302">
            <v>0.32858707557502737</v>
          </cell>
          <cell r="AF302">
            <v>0.32303156055476684</v>
          </cell>
          <cell r="AG302">
            <v>0.28051224944320713</v>
          </cell>
          <cell r="AH302">
            <v>0.31371681415929203</v>
          </cell>
          <cell r="AI302">
            <v>0.30978201336400479</v>
          </cell>
          <cell r="AJ302">
            <v>0.32764986967854037</v>
          </cell>
          <cell r="AK302">
            <v>0.27468698965704952</v>
          </cell>
          <cell r="AL302">
            <v>0.31463733391417992</v>
          </cell>
          <cell r="AM302">
            <v>0.3029059090418062</v>
          </cell>
          <cell r="AN302">
            <v>0.35128399609925237</v>
          </cell>
          <cell r="AO302">
            <v>0.22884858709405315</v>
          </cell>
          <cell r="AP302">
            <v>0.30510889476898023</v>
          </cell>
          <cell r="AQ302">
            <v>0.32976271186440675</v>
          </cell>
          <cell r="AR302">
            <v>0.34450843274372689</v>
          </cell>
          <cell r="AS302">
            <v>0.31606933222843725</v>
          </cell>
          <cell r="AT302">
            <v>0.35494273323696207</v>
          </cell>
          <cell r="AU302">
            <v>0.36075140332351469</v>
          </cell>
          <cell r="AV302">
            <v>0.35083612040133777</v>
          </cell>
          <cell r="AW302">
            <v>0.3528712198436969</v>
          </cell>
          <cell r="AX302">
            <v>0.33739647731249273</v>
          </cell>
          <cell r="AY302">
            <v>0.35670054912957122</v>
          </cell>
          <cell r="AZ302">
            <v>0.33851113716295428</v>
          </cell>
          <cell r="BA302">
            <v>0.32635073951101723</v>
          </cell>
          <cell r="BB302">
            <v>0.33937631481252323</v>
          </cell>
          <cell r="BC302">
            <v>0.33195979272023474</v>
          </cell>
          <cell r="BD302">
            <v>0.33124128312412832</v>
          </cell>
          <cell r="BE302">
            <v>0.32898439498592991</v>
          </cell>
          <cell r="BF302">
            <v>0.31934731934731936</v>
          </cell>
          <cell r="BG302">
            <v>0.3336765557629191</v>
          </cell>
          <cell r="BH302">
            <v>0.33380893702574743</v>
          </cell>
          <cell r="BI302">
            <v>0.33508403361344535</v>
          </cell>
          <cell r="BJ302">
            <v>0.31486279981396587</v>
          </cell>
          <cell r="BK302">
            <v>0.32501663339986692</v>
          </cell>
          <cell r="BL302">
            <v>0.31617402856193955</v>
          </cell>
          <cell r="BM302">
            <v>0.31551586243668356</v>
          </cell>
          <cell r="BN302">
            <v>0.31022240085744907</v>
          </cell>
          <cell r="BO302">
            <v>0.32333601717659688</v>
          </cell>
          <cell r="BP302">
            <v>0.31587119422129212</v>
          </cell>
          <cell r="BQ302">
            <v>0.31223753256638054</v>
          </cell>
          <cell r="BR302">
            <v>0.30706479337273385</v>
          </cell>
          <cell r="BS302">
            <v>0.3131446637232782</v>
          </cell>
          <cell r="BT302">
            <v>0.30845478420954908</v>
          </cell>
          <cell r="BU302">
            <v>0.30958233911722377</v>
          </cell>
        </row>
        <row r="305">
          <cell r="I305" t="str">
            <v>2007-FY</v>
          </cell>
          <cell r="J305" t="str">
            <v>2008-FY</v>
          </cell>
          <cell r="K305" t="str">
            <v>2009-FY</v>
          </cell>
          <cell r="L305" t="str">
            <v>2010-FY</v>
          </cell>
          <cell r="M305" t="str">
            <v>2011-FY</v>
          </cell>
          <cell r="N305" t="str">
            <v>2012-FY</v>
          </cell>
          <cell r="O305" t="str">
            <v>2013-FY</v>
          </cell>
          <cell r="P305" t="str">
            <v>2014-FY</v>
          </cell>
          <cell r="Q305" t="str">
            <v>2015-FY</v>
          </cell>
          <cell r="R305" t="str">
            <v>2016-FY</v>
          </cell>
          <cell r="S305" t="str">
            <v>2017-FY</v>
          </cell>
          <cell r="T305" t="str">
            <v>2018-FY</v>
          </cell>
          <cell r="AT305" t="str">
            <v>2007-Q1</v>
          </cell>
          <cell r="AU305" t="str">
            <v>2007-Q2</v>
          </cell>
          <cell r="AV305" t="str">
            <v>2007-Q3</v>
          </cell>
          <cell r="AW305" t="str">
            <v>2007-Q4</v>
          </cell>
          <cell r="AX305" t="str">
            <v>2008-Q1</v>
          </cell>
          <cell r="AY305" t="str">
            <v>2008-Q2</v>
          </cell>
          <cell r="AZ305" t="str">
            <v>2008-Q3</v>
          </cell>
          <cell r="BA305" t="str">
            <v>2008-Q4</v>
          </cell>
          <cell r="BB305" t="str">
            <v>2009-Q1</v>
          </cell>
          <cell r="BC305" t="str">
            <v>2009-Q2</v>
          </cell>
          <cell r="BD305" t="str">
            <v>2009-Q3</v>
          </cell>
          <cell r="BE305" t="str">
            <v>2009-Q4</v>
          </cell>
          <cell r="BF305" t="str">
            <v>2010-Q1</v>
          </cell>
          <cell r="BG305" t="str">
            <v>2010-Q2</v>
          </cell>
          <cell r="BH305" t="str">
            <v>2010-Q3</v>
          </cell>
          <cell r="BI305" t="str">
            <v>2010-Q4</v>
          </cell>
          <cell r="BJ305" t="str">
            <v>2011-Q1</v>
          </cell>
          <cell r="BK305" t="str">
            <v>2011-Q2</v>
          </cell>
          <cell r="BL305" t="str">
            <v>2011-Q3</v>
          </cell>
          <cell r="BM305" t="str">
            <v>2011-Q4</v>
          </cell>
          <cell r="BN305" t="str">
            <v>2012-Q1</v>
          </cell>
          <cell r="BO305" t="str">
            <v>2012-Q2</v>
          </cell>
          <cell r="BP305" t="str">
            <v>2012-Q3</v>
          </cell>
          <cell r="BQ305" t="str">
            <v>2012-Q4</v>
          </cell>
          <cell r="BR305" t="str">
            <v>2013-Q1</v>
          </cell>
          <cell r="BS305" t="str">
            <v>2013-Q2</v>
          </cell>
          <cell r="BT305" t="str">
            <v>2013-Q3</v>
          </cell>
          <cell r="BU305" t="str">
            <v>2013-Q4</v>
          </cell>
        </row>
      </sheetData>
      <sheetData sheetId="11" refreshError="1">
        <row r="1">
          <cell r="A1" t="str">
            <v>AT&amp;T, Inc.</v>
          </cell>
          <cell r="CB1" t="str">
            <v>ElementName</v>
          </cell>
          <cell r="CC1" t="str">
            <v>ScaleOverride</v>
          </cell>
          <cell r="CD1" t="str">
            <v>UnitOverride</v>
          </cell>
          <cell r="CE1" t="str">
            <v>ReverseSign</v>
          </cell>
          <cell r="CF1" t="str">
            <v>IsDrivingAssumption</v>
          </cell>
          <cell r="CG1" t="str">
            <v>SegmentID</v>
          </cell>
        </row>
        <row r="2">
          <cell r="A2" t="str">
            <v>Morgan Stanley Research</v>
          </cell>
        </row>
        <row r="3">
          <cell r="A3" t="str">
            <v>Simon Flannery 212-761-6432</v>
          </cell>
          <cell r="M3">
            <v>0</v>
          </cell>
        </row>
        <row r="6">
          <cell r="C6">
            <v>2001</v>
          </cell>
          <cell r="D6">
            <v>2002</v>
          </cell>
          <cell r="E6">
            <v>2003</v>
          </cell>
          <cell r="F6">
            <v>2004</v>
          </cell>
          <cell r="G6">
            <v>2005</v>
          </cell>
          <cell r="H6">
            <v>2006</v>
          </cell>
          <cell r="I6">
            <v>2007</v>
          </cell>
          <cell r="J6">
            <v>2008</v>
          </cell>
          <cell r="K6">
            <v>2009</v>
          </cell>
          <cell r="L6">
            <v>2010</v>
          </cell>
          <cell r="M6">
            <v>2011</v>
          </cell>
          <cell r="N6">
            <v>2012</v>
          </cell>
          <cell r="O6">
            <v>2013</v>
          </cell>
          <cell r="P6">
            <v>2014</v>
          </cell>
          <cell r="Q6">
            <v>2015</v>
          </cell>
          <cell r="R6">
            <v>2016</v>
          </cell>
          <cell r="S6">
            <v>2017</v>
          </cell>
          <cell r="T6">
            <v>2018</v>
          </cell>
          <cell r="V6" t="str">
            <v>1Q01</v>
          </cell>
          <cell r="W6" t="str">
            <v>2Q01</v>
          </cell>
          <cell r="X6" t="str">
            <v>3Q01</v>
          </cell>
          <cell r="Y6" t="str">
            <v>4Q01</v>
          </cell>
          <cell r="Z6" t="str">
            <v>1Q02</v>
          </cell>
          <cell r="AA6" t="str">
            <v>2Q02</v>
          </cell>
          <cell r="AB6" t="str">
            <v>3Q02</v>
          </cell>
          <cell r="AC6" t="str">
            <v>4Q02</v>
          </cell>
          <cell r="AD6" t="str">
            <v>1Q03</v>
          </cell>
          <cell r="AE6" t="str">
            <v>2Q03</v>
          </cell>
          <cell r="AF6" t="str">
            <v>3Q03</v>
          </cell>
          <cell r="AG6" t="str">
            <v>4Q03</v>
          </cell>
          <cell r="AH6" t="str">
            <v>1Q04</v>
          </cell>
          <cell r="AI6" t="str">
            <v>2Q04</v>
          </cell>
          <cell r="AJ6" t="str">
            <v>3Q04</v>
          </cell>
          <cell r="AK6" t="str">
            <v>4Q04</v>
          </cell>
          <cell r="AL6" t="str">
            <v>1Q05</v>
          </cell>
          <cell r="AM6" t="str">
            <v>2Q05</v>
          </cell>
          <cell r="AN6" t="str">
            <v>3Q05</v>
          </cell>
          <cell r="AO6" t="str">
            <v>4Q05</v>
          </cell>
          <cell r="AP6" t="str">
            <v>1Q06</v>
          </cell>
          <cell r="AQ6" t="str">
            <v>2Q06</v>
          </cell>
          <cell r="AR6" t="str">
            <v>3Q06</v>
          </cell>
          <cell r="AS6" t="str">
            <v>4Q06</v>
          </cell>
          <cell r="AT6" t="str">
            <v>1Q07</v>
          </cell>
          <cell r="AU6" t="str">
            <v>2Q07</v>
          </cell>
          <cell r="AV6" t="str">
            <v>3Q07</v>
          </cell>
          <cell r="AW6" t="str">
            <v>4Q07</v>
          </cell>
          <cell r="AX6" t="str">
            <v>1Q08</v>
          </cell>
          <cell r="AY6" t="str">
            <v>2Q08</v>
          </cell>
          <cell r="AZ6" t="str">
            <v>3Q08</v>
          </cell>
          <cell r="BA6" t="str">
            <v>4Q08</v>
          </cell>
          <cell r="BB6" t="str">
            <v>1Q09</v>
          </cell>
          <cell r="BC6" t="str">
            <v>2Q09</v>
          </cell>
          <cell r="BD6" t="str">
            <v>3Q09</v>
          </cell>
          <cell r="BE6" t="str">
            <v>4Q09</v>
          </cell>
          <cell r="BF6" t="str">
            <v>1Q10</v>
          </cell>
          <cell r="BG6" t="str">
            <v>2Q10</v>
          </cell>
          <cell r="BH6" t="str">
            <v>3Q10</v>
          </cell>
          <cell r="BI6" t="str">
            <v>4Q10</v>
          </cell>
          <cell r="BJ6" t="str">
            <v>1Q11</v>
          </cell>
          <cell r="BK6" t="str">
            <v>2Q11</v>
          </cell>
          <cell r="BL6" t="str">
            <v>3Q11</v>
          </cell>
          <cell r="BM6" t="str">
            <v>4Q11</v>
          </cell>
          <cell r="BN6" t="str">
            <v>1Q12</v>
          </cell>
          <cell r="BO6" t="str">
            <v>2Q12</v>
          </cell>
          <cell r="BP6" t="str">
            <v>3Q12</v>
          </cell>
          <cell r="BQ6" t="str">
            <v>4Q12E</v>
          </cell>
          <cell r="BR6" t="str">
            <v>1Q13E</v>
          </cell>
          <cell r="BS6" t="str">
            <v>2Q13E</v>
          </cell>
          <cell r="BT6" t="str">
            <v>3Q13E</v>
          </cell>
          <cell r="BU6" t="str">
            <v>4Q13E</v>
          </cell>
        </row>
        <row r="7">
          <cell r="A7" t="str">
            <v>EPS (at right as reported for acquisitions)</v>
          </cell>
          <cell r="D7">
            <v>0</v>
          </cell>
          <cell r="E7">
            <v>0</v>
          </cell>
          <cell r="F7">
            <v>0</v>
          </cell>
          <cell r="G7">
            <v>0</v>
          </cell>
          <cell r="H7">
            <v>0</v>
          </cell>
          <cell r="I7">
            <v>1.9358595037684874</v>
          </cell>
          <cell r="J7">
            <v>2.3660630978352075</v>
          </cell>
          <cell r="K7">
            <v>2.0836572587459861</v>
          </cell>
          <cell r="L7">
            <v>2.2973336143308747</v>
          </cell>
          <cell r="M7">
            <v>2.2046693294092914</v>
          </cell>
          <cell r="N7">
            <v>2.395647456290142</v>
          </cell>
          <cell r="O7">
            <v>2.5261646022986359</v>
          </cell>
          <cell r="P7">
            <v>2.6073980664195426</v>
          </cell>
          <cell r="Q7">
            <v>2.7002713845811797</v>
          </cell>
          <cell r="R7">
            <v>2.9386847755784045</v>
          </cell>
          <cell r="S7">
            <v>3.1870376228530124</v>
          </cell>
          <cell r="T7">
            <v>3.2698236540419381</v>
          </cell>
          <cell r="Z7">
            <v>0</v>
          </cell>
          <cell r="AA7">
            <v>0</v>
          </cell>
          <cell r="AB7">
            <v>0</v>
          </cell>
          <cell r="AC7">
            <v>0</v>
          </cell>
          <cell r="AD7">
            <v>0</v>
          </cell>
          <cell r="AE7">
            <v>0</v>
          </cell>
          <cell r="AF7">
            <v>0</v>
          </cell>
          <cell r="AG7">
            <v>0</v>
          </cell>
          <cell r="AT7">
            <v>0.45770826683689758</v>
          </cell>
          <cell r="AU7">
            <v>0.46876513317191282</v>
          </cell>
          <cell r="AV7">
            <v>0.49975526186979929</v>
          </cell>
          <cell r="AW7">
            <v>0.51452009844134539</v>
          </cell>
          <cell r="AX7">
            <v>0.62466766119675121</v>
          </cell>
          <cell r="AY7">
            <v>0.64424689701442472</v>
          </cell>
          <cell r="AZ7">
            <v>0.56358723188650561</v>
          </cell>
          <cell r="BA7">
            <v>0.53255912162162178</v>
          </cell>
          <cell r="BB7">
            <v>0.52137042062415195</v>
          </cell>
          <cell r="BC7">
            <v>0.53351342225223708</v>
          </cell>
          <cell r="BD7">
            <v>0.53157716987504222</v>
          </cell>
          <cell r="BE7">
            <v>0.49721612957651423</v>
          </cell>
          <cell r="BF7">
            <v>0.58146588037068236</v>
          </cell>
          <cell r="BG7">
            <v>0.6048509348155634</v>
          </cell>
          <cell r="BH7">
            <v>0.54328056584708662</v>
          </cell>
          <cell r="BI7">
            <v>0.56771935756551151</v>
          </cell>
          <cell r="BJ7">
            <v>0.57325483599663585</v>
          </cell>
          <cell r="BK7">
            <v>0.60322526457248449</v>
          </cell>
          <cell r="BL7">
            <v>0.60849848841115217</v>
          </cell>
          <cell r="BM7">
            <v>0.41926765548626327</v>
          </cell>
          <cell r="BN7">
            <v>0.60336700336700333</v>
          </cell>
          <cell r="BO7">
            <v>0.6640571817562968</v>
          </cell>
          <cell r="BP7">
            <v>0.62758977900552482</v>
          </cell>
          <cell r="BQ7">
            <v>0.49749111712897803</v>
          </cell>
          <cell r="BR7">
            <v>0.63973682777432805</v>
          </cell>
          <cell r="BS7">
            <v>0.70214995064314745</v>
          </cell>
          <cell r="BT7">
            <v>0.69138690040090633</v>
          </cell>
          <cell r="BU7">
            <v>0.49021155592251925</v>
          </cell>
        </row>
        <row r="8">
          <cell r="A8" t="str">
            <v>% y/y growth</v>
          </cell>
          <cell r="E8" t="e">
            <v>#DIV/0!</v>
          </cell>
          <cell r="F8" t="e">
            <v>#DIV/0!</v>
          </cell>
          <cell r="G8" t="e">
            <v>#DIV/0!</v>
          </cell>
          <cell r="H8">
            <v>0.34302325581395343</v>
          </cell>
          <cell r="I8">
            <v>0</v>
          </cell>
          <cell r="J8">
            <v>0.22222872746149913</v>
          </cell>
          <cell r="K8">
            <v>-0.11935685035094978</v>
          </cell>
          <cell r="L8">
            <v>0.10254870597743415</v>
          </cell>
          <cell r="M8">
            <v>-4.0335580493637946E-2</v>
          </cell>
          <cell r="N8">
            <v>8.6624385949080285E-2</v>
          </cell>
          <cell r="O8">
            <v>5.4480948632821935E-2</v>
          </cell>
          <cell r="P8">
            <v>3.2156837304659236E-2</v>
          </cell>
          <cell r="Q8">
            <v>3.5619155877173014E-2</v>
          </cell>
          <cell r="R8">
            <v>8.8292381409731391E-2</v>
          </cell>
          <cell r="S8">
            <v>8.4511564267973016E-2</v>
          </cell>
          <cell r="T8">
            <v>2.5975856260779251E-2</v>
          </cell>
          <cell r="AX8">
            <v>0.3647725122241432</v>
          </cell>
          <cell r="AY8">
            <v>0.37434901067643289</v>
          </cell>
          <cell r="AZ8">
            <v>0.12772645910296876</v>
          </cell>
          <cell r="BA8">
            <v>3.5059899962941454E-2</v>
          </cell>
          <cell r="BB8">
            <v>-0.16536351565678986</v>
          </cell>
          <cell r="BC8">
            <v>-0.1718804937600007</v>
          </cell>
          <cell r="BD8">
            <v>-5.6796996454862025E-2</v>
          </cell>
          <cell r="BE8">
            <v>-6.636444783349027E-2</v>
          </cell>
          <cell r="BF8">
            <v>0.11526442116640956</v>
          </cell>
          <cell r="BG8">
            <v>0.13371268573182959</v>
          </cell>
          <cell r="BH8">
            <v>2.2016363070662903E-2</v>
          </cell>
          <cell r="BI8">
            <v>0.14179593901960863</v>
          </cell>
          <cell r="BJ8">
            <v>-1.4121283210653757E-2</v>
          </cell>
          <cell r="BK8">
            <v>-2.6877204770703322E-3</v>
          </cell>
          <cell r="BL8">
            <v>0.12004464481879151</v>
          </cell>
          <cell r="BM8">
            <v>-0.26148782862687181</v>
          </cell>
          <cell r="BN8">
            <v>5.2528414030761361E-2</v>
          </cell>
          <cell r="BO8">
            <v>0.10084444527853931</v>
          </cell>
          <cell r="BP8">
            <v>3.1374425669029815E-2</v>
          </cell>
          <cell r="BQ8">
            <v>0.18657165803069597</v>
          </cell>
          <cell r="BR8">
            <v>6.0278112996514643E-2</v>
          </cell>
          <cell r="BS8">
            <v>5.7363687847036049E-2</v>
          </cell>
          <cell r="BT8">
            <v>0.10165417527429166</v>
          </cell>
          <cell r="BU8">
            <v>-1.4632545096421312E-2</v>
          </cell>
        </row>
        <row r="9">
          <cell r="A9" t="str">
            <v>WIRELESS</v>
          </cell>
          <cell r="C9">
            <v>2001</v>
          </cell>
          <cell r="D9">
            <v>2002</v>
          </cell>
          <cell r="E9">
            <v>2003</v>
          </cell>
          <cell r="F9">
            <v>2004</v>
          </cell>
          <cell r="G9">
            <v>2005</v>
          </cell>
          <cell r="H9">
            <v>2006</v>
          </cell>
          <cell r="I9">
            <v>2007</v>
          </cell>
          <cell r="J9">
            <v>2008</v>
          </cell>
          <cell r="K9">
            <v>2009</v>
          </cell>
          <cell r="L9">
            <v>2010</v>
          </cell>
          <cell r="M9">
            <v>2011</v>
          </cell>
          <cell r="N9">
            <v>2012</v>
          </cell>
          <cell r="O9">
            <v>2013</v>
          </cell>
          <cell r="P9">
            <v>2014</v>
          </cell>
          <cell r="Q9">
            <v>2015</v>
          </cell>
          <cell r="R9">
            <v>2016</v>
          </cell>
          <cell r="S9">
            <v>2017</v>
          </cell>
          <cell r="T9">
            <v>2018</v>
          </cell>
          <cell r="V9" t="str">
            <v>1Q01</v>
          </cell>
          <cell r="W9" t="str">
            <v>2Q01</v>
          </cell>
          <cell r="X9" t="str">
            <v>3Q01</v>
          </cell>
          <cell r="Y9" t="str">
            <v>4Q01</v>
          </cell>
          <cell r="Z9" t="str">
            <v>1Q02</v>
          </cell>
          <cell r="AA9" t="str">
            <v>2Q02</v>
          </cell>
          <cell r="AB9" t="str">
            <v>3Q02</v>
          </cell>
          <cell r="AC9" t="str">
            <v>4Q02</v>
          </cell>
          <cell r="AD9" t="str">
            <v>1Q03</v>
          </cell>
          <cell r="AE9" t="str">
            <v>2Q03</v>
          </cell>
          <cell r="AF9" t="str">
            <v>3Q03</v>
          </cell>
          <cell r="AG9" t="str">
            <v>4Q03</v>
          </cell>
          <cell r="AH9" t="str">
            <v>1Q04</v>
          </cell>
          <cell r="AI9" t="str">
            <v>2Q04</v>
          </cell>
          <cell r="AJ9" t="str">
            <v>3Q04</v>
          </cell>
          <cell r="AK9" t="str">
            <v>4Q04</v>
          </cell>
          <cell r="AL9" t="str">
            <v>1Q05</v>
          </cell>
          <cell r="AM9" t="str">
            <v>2Q05</v>
          </cell>
          <cell r="AN9" t="str">
            <v>3Q05</v>
          </cell>
          <cell r="AO9" t="str">
            <v>4Q05</v>
          </cell>
          <cell r="AP9" t="str">
            <v>1Q06</v>
          </cell>
          <cell r="AQ9" t="str">
            <v>2Q06</v>
          </cell>
          <cell r="AR9" t="str">
            <v>3Q06</v>
          </cell>
          <cell r="AS9" t="str">
            <v>4Q06</v>
          </cell>
          <cell r="AT9" t="str">
            <v>1Q07</v>
          </cell>
          <cell r="AU9" t="str">
            <v>2Q07</v>
          </cell>
          <cell r="AV9" t="str">
            <v>3Q07</v>
          </cell>
          <cell r="AW9" t="str">
            <v>4Q07</v>
          </cell>
          <cell r="AX9" t="str">
            <v>1Q08</v>
          </cell>
          <cell r="AY9" t="str">
            <v>2Q08</v>
          </cell>
          <cell r="AZ9" t="str">
            <v>3Q08</v>
          </cell>
          <cell r="BA9" t="str">
            <v>4Q08</v>
          </cell>
          <cell r="BB9" t="str">
            <v>1Q09</v>
          </cell>
          <cell r="BC9" t="str">
            <v>2Q09</v>
          </cell>
          <cell r="BD9" t="str">
            <v>3Q09</v>
          </cell>
          <cell r="BE9" t="str">
            <v>4Q09</v>
          </cell>
          <cell r="BF9" t="str">
            <v>1Q10</v>
          </cell>
          <cell r="BG9" t="str">
            <v>2Q10</v>
          </cell>
          <cell r="BH9" t="str">
            <v>3Q10</v>
          </cell>
          <cell r="BI9" t="str">
            <v>4Q10</v>
          </cell>
          <cell r="BJ9" t="str">
            <v>1Q11</v>
          </cell>
          <cell r="BK9" t="str">
            <v>2Q11</v>
          </cell>
          <cell r="BL9" t="str">
            <v>3Q11</v>
          </cell>
          <cell r="BM9" t="str">
            <v>4Q11</v>
          </cell>
          <cell r="BN9" t="str">
            <v>1Q12</v>
          </cell>
          <cell r="BO9" t="str">
            <v>2Q12</v>
          </cell>
          <cell r="BP9" t="str">
            <v>3Q12</v>
          </cell>
          <cell r="BQ9" t="str">
            <v>4Q12E</v>
          </cell>
          <cell r="BR9" t="str">
            <v>1Q13E</v>
          </cell>
          <cell r="BS9" t="str">
            <v>2Q13E</v>
          </cell>
          <cell r="BT9" t="str">
            <v>3Q13E</v>
          </cell>
          <cell r="BU9" t="str">
            <v>4Q13E</v>
          </cell>
        </row>
        <row r="11">
          <cell r="A11" t="str">
            <v>Total service revenues</v>
          </cell>
          <cell r="F11">
            <v>29142</v>
          </cell>
          <cell r="G11">
            <v>30638</v>
          </cell>
          <cell r="H11">
            <v>33756</v>
          </cell>
          <cell r="I11">
            <v>38678</v>
          </cell>
          <cell r="J11">
            <v>44249</v>
          </cell>
          <cell r="K11">
            <v>48563</v>
          </cell>
          <cell r="L11">
            <v>53510</v>
          </cell>
          <cell r="M11">
            <v>56726</v>
          </cell>
          <cell r="N11">
            <v>59124.798116764956</v>
          </cell>
          <cell r="O11">
            <v>61010.031865138815</v>
          </cell>
          <cell r="P11">
            <v>62669.879626038615</v>
          </cell>
          <cell r="Q11">
            <v>63888.213377006898</v>
          </cell>
          <cell r="R11">
            <v>64879.246353048802</v>
          </cell>
          <cell r="S11">
            <v>65563.116116513032</v>
          </cell>
          <cell r="T11">
            <v>66042.218485822232</v>
          </cell>
          <cell r="Z11">
            <v>6671</v>
          </cell>
          <cell r="AA11">
            <v>7117</v>
          </cell>
          <cell r="AB11">
            <v>7290</v>
          </cell>
          <cell r="AC11">
            <v>7151</v>
          </cell>
          <cell r="AD11">
            <v>6921</v>
          </cell>
          <cell r="AE11">
            <v>7318</v>
          </cell>
          <cell r="AF11">
            <v>7509</v>
          </cell>
          <cell r="AG11">
            <v>7232</v>
          </cell>
          <cell r="AH11">
            <v>7093</v>
          </cell>
          <cell r="AI11">
            <v>7452</v>
          </cell>
          <cell r="AJ11">
            <v>7401</v>
          </cell>
          <cell r="AK11">
            <v>7196</v>
          </cell>
          <cell r="AL11">
            <v>7419</v>
          </cell>
          <cell r="AM11">
            <v>7719</v>
          </cell>
          <cell r="AN11">
            <v>7721</v>
          </cell>
          <cell r="AO11">
            <v>7779</v>
          </cell>
          <cell r="AP11">
            <v>8005</v>
          </cell>
          <cell r="AQ11">
            <v>8295</v>
          </cell>
          <cell r="AR11">
            <v>8661</v>
          </cell>
          <cell r="AS11">
            <v>8795</v>
          </cell>
          <cell r="AT11">
            <v>9092</v>
          </cell>
          <cell r="AU11">
            <v>9540</v>
          </cell>
          <cell r="AV11">
            <v>9860</v>
          </cell>
          <cell r="AW11">
            <v>10186</v>
          </cell>
          <cell r="AX11">
            <v>10605</v>
          </cell>
          <cell r="AY11">
            <v>10894</v>
          </cell>
          <cell r="AZ11">
            <v>11227</v>
          </cell>
          <cell r="BA11">
            <v>11523</v>
          </cell>
          <cell r="BB11">
            <v>11646</v>
          </cell>
          <cell r="BC11">
            <v>11960</v>
          </cell>
          <cell r="BD11">
            <v>12372</v>
          </cell>
          <cell r="BE11">
            <v>12585</v>
          </cell>
          <cell r="BF11">
            <v>12850</v>
          </cell>
          <cell r="BG11">
            <v>13186</v>
          </cell>
          <cell r="BH11">
            <v>13674</v>
          </cell>
          <cell r="BI11">
            <v>13800</v>
          </cell>
          <cell r="BJ11">
            <v>13961</v>
          </cell>
          <cell r="BK11">
            <v>14157</v>
          </cell>
          <cell r="BL11">
            <v>14261</v>
          </cell>
          <cell r="BM11">
            <v>14347</v>
          </cell>
          <cell r="BN11">
            <v>14566</v>
          </cell>
          <cell r="BO11">
            <v>14765</v>
          </cell>
          <cell r="BP11">
            <v>14906</v>
          </cell>
          <cell r="BQ11">
            <v>14887.798116764954</v>
          </cell>
          <cell r="BR11">
            <v>15055.8605209332</v>
          </cell>
          <cell r="BS11">
            <v>15244.243259593793</v>
          </cell>
          <cell r="BT11">
            <v>15366.50788173864</v>
          </cell>
          <cell r="BU11">
            <v>15343.42020287318</v>
          </cell>
        </row>
        <row r="12">
          <cell r="A12" t="str">
            <v>% y/y growth</v>
          </cell>
          <cell r="F12">
            <v>5.5900621118012417E-3</v>
          </cell>
          <cell r="G12">
            <v>5.133484318166226E-2</v>
          </cell>
          <cell r="H12">
            <v>0.10176904497682626</v>
          </cell>
          <cell r="I12">
            <v>0.14581111506102618</v>
          </cell>
          <cell r="J12">
            <v>0.1440353689435856</v>
          </cell>
          <cell r="K12">
            <v>9.7493728671834479E-2</v>
          </cell>
          <cell r="L12">
            <v>0.1018676770380742</v>
          </cell>
          <cell r="M12">
            <v>6.0100915716688519E-2</v>
          </cell>
          <cell r="N12">
            <v>4.2287454020466075E-2</v>
          </cell>
          <cell r="O12">
            <v>3.1885669100311098E-2</v>
          </cell>
          <cell r="P12">
            <v>2.720614479547967E-2</v>
          </cell>
          <cell r="Q12">
            <v>1.9440499299476555E-2</v>
          </cell>
          <cell r="R12">
            <v>1.5511984506340504E-2</v>
          </cell>
          <cell r="S12">
            <v>1.0540655169495317E-2</v>
          </cell>
          <cell r="T12">
            <v>7.3074984486365402E-3</v>
          </cell>
          <cell r="AH12">
            <v>2.4851900014448702E-2</v>
          </cell>
          <cell r="AI12">
            <v>1.8311013938234533E-2</v>
          </cell>
          <cell r="AJ12">
            <v>-1.4382740711146647E-2</v>
          </cell>
          <cell r="AK12">
            <v>-4.9778761061947119E-3</v>
          </cell>
          <cell r="AL12">
            <v>4.5960806428873457E-2</v>
          </cell>
          <cell r="AM12">
            <v>3.582930756843794E-2</v>
          </cell>
          <cell r="AN12">
            <v>4.3237400351303856E-2</v>
          </cell>
          <cell r="AO12">
            <v>8.1017231795441846E-2</v>
          </cell>
          <cell r="AP12">
            <v>7.8986386305432088E-2</v>
          </cell>
          <cell r="AQ12">
            <v>7.4621064904780487E-2</v>
          </cell>
          <cell r="AR12">
            <v>0.12174588783836282</v>
          </cell>
          <cell r="AS12">
            <v>0.13060804730685183</v>
          </cell>
          <cell r="AT12">
            <v>0.13579013116802008</v>
          </cell>
          <cell r="AU12">
            <v>0.15009041591320083</v>
          </cell>
          <cell r="AV12">
            <v>0.13843667013047001</v>
          </cell>
          <cell r="AW12">
            <v>0.15815804434337699</v>
          </cell>
          <cell r="AX12">
            <v>0.16641003079630434</v>
          </cell>
          <cell r="AY12">
            <v>0.14192872117400412</v>
          </cell>
          <cell r="AZ12">
            <v>0.13864097363083161</v>
          </cell>
          <cell r="BA12">
            <v>0.13125859022187325</v>
          </cell>
          <cell r="BB12">
            <v>9.8161244695898153E-2</v>
          </cell>
          <cell r="BC12">
            <v>9.7852028639618061E-2</v>
          </cell>
          <cell r="BD12">
            <v>0.10198628306760482</v>
          </cell>
          <cell r="BE12">
            <v>9.2163499088778966E-2</v>
          </cell>
          <cell r="BF12">
            <v>0.10338313584063208</v>
          </cell>
          <cell r="BG12">
            <v>0.10250836120401341</v>
          </cell>
          <cell r="BH12">
            <v>0.10523763336566438</v>
          </cell>
          <cell r="BI12">
            <v>9.6543504171632932E-2</v>
          </cell>
          <cell r="BJ12">
            <v>8.6459143968871555E-2</v>
          </cell>
          <cell r="BK12">
            <v>7.3638707720309338E-2</v>
          </cell>
          <cell r="BL12">
            <v>4.2928184876407816E-2</v>
          </cell>
          <cell r="BM12">
            <v>3.9637681159420346E-2</v>
          </cell>
          <cell r="BN12">
            <v>4.3335004655826959E-2</v>
          </cell>
          <cell r="BO12">
            <v>4.2946952037861141E-2</v>
          </cell>
          <cell r="BP12">
            <v>4.5228244863614098E-2</v>
          </cell>
          <cell r="BQ12">
            <v>3.7694160226176443E-2</v>
          </cell>
          <cell r="BR12">
            <v>3.3630407863050937E-2</v>
          </cell>
          <cell r="BS12">
            <v>3.2458060250172283E-2</v>
          </cell>
          <cell r="BT12">
            <v>3.0894128655483799E-2</v>
          </cell>
          <cell r="BU12">
            <v>3.0603725449175334E-2</v>
          </cell>
        </row>
        <row r="13">
          <cell r="A13" t="str">
            <v>Equipment revenues</v>
          </cell>
          <cell r="F13">
            <v>3166</v>
          </cell>
          <cell r="G13">
            <v>3795</v>
          </cell>
          <cell r="H13">
            <v>3750</v>
          </cell>
          <cell r="I13">
            <v>4006</v>
          </cell>
          <cell r="J13">
            <v>4925</v>
          </cell>
          <cell r="K13">
            <v>4941</v>
          </cell>
          <cell r="L13">
            <v>4991</v>
          </cell>
          <cell r="M13">
            <v>6489</v>
          </cell>
          <cell r="N13">
            <v>7186.3432651117055</v>
          </cell>
          <cell r="O13">
            <v>7466.3933055622547</v>
          </cell>
          <cell r="P13">
            <v>7711.0994015833812</v>
          </cell>
          <cell r="Q13">
            <v>7990.476192089407</v>
          </cell>
          <cell r="R13">
            <v>8120.7362029524293</v>
          </cell>
          <cell r="S13">
            <v>8285.0343654206154</v>
          </cell>
          <cell r="T13">
            <v>8429.8259065886705</v>
          </cell>
          <cell r="Z13">
            <v>483</v>
          </cell>
          <cell r="AA13">
            <v>541</v>
          </cell>
          <cell r="AB13">
            <v>552</v>
          </cell>
          <cell r="AC13">
            <v>553</v>
          </cell>
          <cell r="AD13">
            <v>461</v>
          </cell>
          <cell r="AE13">
            <v>486</v>
          </cell>
          <cell r="AF13">
            <v>700</v>
          </cell>
          <cell r="AG13">
            <v>705</v>
          </cell>
          <cell r="AH13">
            <v>722</v>
          </cell>
          <cell r="AI13">
            <v>715</v>
          </cell>
          <cell r="AJ13">
            <v>837</v>
          </cell>
          <cell r="AK13">
            <v>892</v>
          </cell>
          <cell r="AL13">
            <v>810</v>
          </cell>
          <cell r="AM13">
            <v>890</v>
          </cell>
          <cell r="AN13">
            <v>1025</v>
          </cell>
          <cell r="AO13">
            <v>1070</v>
          </cell>
          <cell r="AP13">
            <v>975</v>
          </cell>
          <cell r="AQ13">
            <v>923</v>
          </cell>
          <cell r="AR13">
            <v>892</v>
          </cell>
          <cell r="AS13">
            <v>960</v>
          </cell>
          <cell r="AT13">
            <v>905</v>
          </cell>
          <cell r="AU13">
            <v>855</v>
          </cell>
          <cell r="AV13">
            <v>1077</v>
          </cell>
          <cell r="AW13">
            <v>1169</v>
          </cell>
          <cell r="AX13">
            <v>1180</v>
          </cell>
          <cell r="AY13">
            <v>1082</v>
          </cell>
          <cell r="AZ13">
            <v>1345</v>
          </cell>
          <cell r="BA13">
            <v>1318</v>
          </cell>
          <cell r="BB13">
            <v>1192</v>
          </cell>
          <cell r="BC13">
            <v>1262</v>
          </cell>
          <cell r="BD13">
            <v>1255</v>
          </cell>
          <cell r="BE13">
            <v>1232</v>
          </cell>
          <cell r="BF13">
            <v>1047</v>
          </cell>
          <cell r="BG13">
            <v>1056</v>
          </cell>
          <cell r="BH13">
            <v>1505</v>
          </cell>
          <cell r="BI13">
            <v>1383</v>
          </cell>
          <cell r="BJ13">
            <v>1349</v>
          </cell>
          <cell r="BK13">
            <v>1446</v>
          </cell>
          <cell r="BL13">
            <v>1345</v>
          </cell>
          <cell r="BM13">
            <v>2349</v>
          </cell>
          <cell r="BN13">
            <v>1570</v>
          </cell>
          <cell r="BO13">
            <v>1588</v>
          </cell>
          <cell r="BP13">
            <v>1726</v>
          </cell>
          <cell r="BQ13">
            <v>2302.343265111705</v>
          </cell>
          <cell r="BR13">
            <v>1637.0315987248255</v>
          </cell>
          <cell r="BS13">
            <v>1668.3167823369183</v>
          </cell>
          <cell r="BT13">
            <v>1881.8777477754784</v>
          </cell>
          <cell r="BU13">
            <v>2279.1671767250332</v>
          </cell>
        </row>
        <row r="14">
          <cell r="A14" t="str">
            <v>% y/y growth</v>
          </cell>
          <cell r="F14">
            <v>0.34608843537414957</v>
          </cell>
          <cell r="G14">
            <v>0.19867340492735308</v>
          </cell>
          <cell r="H14">
            <v>-1.1857707509881465E-2</v>
          </cell>
          <cell r="I14">
            <v>6.8266666666666698E-2</v>
          </cell>
          <cell r="J14">
            <v>0.22940589116325505</v>
          </cell>
          <cell r="K14">
            <v>3.2487309644670948E-3</v>
          </cell>
          <cell r="L14">
            <v>1.0119409026512871E-2</v>
          </cell>
          <cell r="M14">
            <v>0.30014025245441789</v>
          </cell>
          <cell r="N14">
            <v>0.10746544384523116</v>
          </cell>
          <cell r="O14">
            <v>3.8969755565412267E-2</v>
          </cell>
          <cell r="P14">
            <v>3.277433775673555E-2</v>
          </cell>
          <cell r="Q14">
            <v>3.6230474535013713E-2</v>
          </cell>
          <cell r="R14">
            <v>1.6301908388386188E-2</v>
          </cell>
          <cell r="S14">
            <v>2.0231929515017733E-2</v>
          </cell>
          <cell r="T14">
            <v>1.7476275267170216E-2</v>
          </cell>
          <cell r="AL14">
            <v>0.12188365650969524</v>
          </cell>
          <cell r="AM14">
            <v>0.24475524475524479</v>
          </cell>
          <cell r="AN14">
            <v>0.2246117084826762</v>
          </cell>
          <cell r="AO14">
            <v>0.19955156950672648</v>
          </cell>
          <cell r="AP14">
            <v>0.20370370370370372</v>
          </cell>
          <cell r="AQ14">
            <v>3.7078651685393149E-2</v>
          </cell>
          <cell r="AR14">
            <v>-0.12975609756097561</v>
          </cell>
          <cell r="AS14">
            <v>-0.10280373831775702</v>
          </cell>
          <cell r="AT14">
            <v>-7.1794871794871762E-2</v>
          </cell>
          <cell r="AU14">
            <v>-7.3672806067172303E-2</v>
          </cell>
          <cell r="AV14">
            <v>0.20739910313901344</v>
          </cell>
          <cell r="AW14">
            <v>0.21770833333333339</v>
          </cell>
          <cell r="AX14">
            <v>0.30386740331491713</v>
          </cell>
          <cell r="AY14">
            <v>0.2654970760233919</v>
          </cell>
          <cell r="AZ14">
            <v>0.24883936861652733</v>
          </cell>
          <cell r="BA14">
            <v>0.12745936698032501</v>
          </cell>
          <cell r="BB14">
            <v>1.0169491525423791E-2</v>
          </cell>
          <cell r="BC14">
            <v>0.16635859519408513</v>
          </cell>
          <cell r="BD14">
            <v>-6.6914498141263934E-2</v>
          </cell>
          <cell r="BE14">
            <v>-6.5250379362670752E-2</v>
          </cell>
          <cell r="BF14">
            <v>-0.12164429530201337</v>
          </cell>
          <cell r="BG14">
            <v>-0.16323296354992078</v>
          </cell>
          <cell r="BH14">
            <v>0.19920318725099606</v>
          </cell>
          <cell r="BI14">
            <v>0.12256493506493515</v>
          </cell>
          <cell r="BJ14">
            <v>0.28844317096466088</v>
          </cell>
          <cell r="BK14">
            <v>0.36931818181818188</v>
          </cell>
          <cell r="BL14">
            <v>-0.10631229235880402</v>
          </cell>
          <cell r="BM14">
            <v>0.69848156182212584</v>
          </cell>
          <cell r="BN14">
            <v>0.16382505559673843</v>
          </cell>
          <cell r="BO14">
            <v>9.820193637621033E-2</v>
          </cell>
          <cell r="BP14">
            <v>0.28327137546468406</v>
          </cell>
          <cell r="BQ14">
            <v>-1.9862381817069008E-2</v>
          </cell>
          <cell r="BR14">
            <v>4.2695285811990669E-2</v>
          </cell>
          <cell r="BS14">
            <v>5.0577318851963593E-2</v>
          </cell>
          <cell r="BT14">
            <v>9.0311557227971351E-2</v>
          </cell>
          <cell r="BU14">
            <v>-1.0066304507181045E-2</v>
          </cell>
        </row>
        <row r="15">
          <cell r="A15" t="str">
            <v>Total operating revenues</v>
          </cell>
          <cell r="F15">
            <v>32308</v>
          </cell>
          <cell r="G15">
            <v>34433</v>
          </cell>
          <cell r="H15">
            <v>37506</v>
          </cell>
          <cell r="I15">
            <v>42684</v>
          </cell>
          <cell r="J15">
            <v>49174</v>
          </cell>
          <cell r="K15">
            <v>53504</v>
          </cell>
          <cell r="L15">
            <v>58501</v>
          </cell>
          <cell r="M15">
            <v>63215</v>
          </cell>
          <cell r="N15">
            <v>66311.14138187666</v>
          </cell>
          <cell r="O15">
            <v>68476.42517070107</v>
          </cell>
          <cell r="P15">
            <v>70380.979027622001</v>
          </cell>
          <cell r="Q15">
            <v>71878.689569096299</v>
          </cell>
          <cell r="R15">
            <v>72999.982556001225</v>
          </cell>
          <cell r="S15">
            <v>73848.150481933641</v>
          </cell>
          <cell r="T15">
            <v>74472.044392410899</v>
          </cell>
          <cell r="Z15">
            <v>7154</v>
          </cell>
          <cell r="AA15">
            <v>7658</v>
          </cell>
          <cell r="AB15">
            <v>7842</v>
          </cell>
          <cell r="AC15">
            <v>7704</v>
          </cell>
          <cell r="AD15">
            <v>7382</v>
          </cell>
          <cell r="AE15">
            <v>7804</v>
          </cell>
          <cell r="AF15">
            <v>8209</v>
          </cell>
          <cell r="AG15">
            <v>7937</v>
          </cell>
          <cell r="AH15">
            <v>7815</v>
          </cell>
          <cell r="AI15">
            <v>8167</v>
          </cell>
          <cell r="AJ15">
            <v>8238</v>
          </cell>
          <cell r="AK15">
            <v>8088</v>
          </cell>
          <cell r="AL15">
            <v>8229</v>
          </cell>
          <cell r="AM15">
            <v>8609</v>
          </cell>
          <cell r="AN15">
            <v>8746</v>
          </cell>
          <cell r="AO15">
            <v>8849</v>
          </cell>
          <cell r="AP15">
            <v>8980</v>
          </cell>
          <cell r="AQ15">
            <v>9218</v>
          </cell>
          <cell r="AR15">
            <v>9553</v>
          </cell>
          <cell r="AS15">
            <v>9755</v>
          </cell>
          <cell r="AT15">
            <v>9997</v>
          </cell>
          <cell r="AU15">
            <v>10395</v>
          </cell>
          <cell r="AV15">
            <v>10937</v>
          </cell>
          <cell r="AW15">
            <v>11355</v>
          </cell>
          <cell r="AX15">
            <v>11785</v>
          </cell>
          <cell r="AY15">
            <v>11976</v>
          </cell>
          <cell r="AZ15">
            <v>12572</v>
          </cell>
          <cell r="BA15">
            <v>12841</v>
          </cell>
          <cell r="BB15">
            <v>12838</v>
          </cell>
          <cell r="BC15">
            <v>13222</v>
          </cell>
          <cell r="BD15">
            <v>13627</v>
          </cell>
          <cell r="BE15">
            <v>13817</v>
          </cell>
          <cell r="BF15">
            <v>13897</v>
          </cell>
          <cell r="BG15">
            <v>14242</v>
          </cell>
          <cell r="BH15">
            <v>15179</v>
          </cell>
          <cell r="BI15">
            <v>15183</v>
          </cell>
          <cell r="BJ15">
            <v>15310</v>
          </cell>
          <cell r="BK15">
            <v>15603</v>
          </cell>
          <cell r="BL15">
            <v>15606</v>
          </cell>
          <cell r="BM15">
            <v>16696</v>
          </cell>
          <cell r="BN15">
            <v>16136</v>
          </cell>
          <cell r="BO15">
            <v>16353</v>
          </cell>
          <cell r="BP15">
            <v>16632</v>
          </cell>
          <cell r="BQ15">
            <v>17190.14138187666</v>
          </cell>
          <cell r="BR15">
            <v>16692.892119658027</v>
          </cell>
          <cell r="BS15">
            <v>16912.560041930712</v>
          </cell>
          <cell r="BT15">
            <v>17248.38562951412</v>
          </cell>
          <cell r="BU15">
            <v>17622.587379598212</v>
          </cell>
        </row>
        <row r="16">
          <cell r="A16" t="str">
            <v>% y/y growth</v>
          </cell>
          <cell r="F16">
            <v>3.1150261713264404E-2</v>
          </cell>
          <cell r="G16">
            <v>6.5773183112541878E-2</v>
          </cell>
          <cell r="H16">
            <v>8.9245781662939727E-2</v>
          </cell>
          <cell r="I16">
            <v>0.13805791073428253</v>
          </cell>
          <cell r="J16">
            <v>0.15204760566020048</v>
          </cell>
          <cell r="K16">
            <v>8.8054663033310332E-2</v>
          </cell>
          <cell r="L16">
            <v>9.3394886363636465E-2</v>
          </cell>
          <cell r="M16">
            <v>8.057981914839063E-2</v>
          </cell>
          <cell r="N16">
            <v>4.8977954312689365E-2</v>
          </cell>
          <cell r="O16">
            <v>3.2653393437384048E-2</v>
          </cell>
          <cell r="P16">
            <v>2.7813278105175199E-2</v>
          </cell>
          <cell r="Q16">
            <v>2.1280046998017665E-2</v>
          </cell>
          <cell r="R16">
            <v>1.5599797292172868E-2</v>
          </cell>
          <cell r="S16">
            <v>1.1618741487804396E-2</v>
          </cell>
          <cell r="T16">
            <v>8.4483349468567059E-3</v>
          </cell>
          <cell r="AH16">
            <v>5.8656190734218461E-2</v>
          </cell>
          <cell r="AI16">
            <v>4.6514607893388016E-2</v>
          </cell>
          <cell r="AJ16">
            <v>3.5327080034108782E-3</v>
          </cell>
          <cell r="AK16">
            <v>1.9024820461131409E-2</v>
          </cell>
          <cell r="AL16">
            <v>5.2975047984644918E-2</v>
          </cell>
          <cell r="AM16">
            <v>5.4120239990204544E-2</v>
          </cell>
          <cell r="AN16">
            <v>6.1665452779800844E-2</v>
          </cell>
          <cell r="AO16">
            <v>9.4090009891196758E-2</v>
          </cell>
          <cell r="AP16">
            <v>9.1262607850285615E-2</v>
          </cell>
          <cell r="AQ16">
            <v>7.0739923336043731E-2</v>
          </cell>
          <cell r="AR16">
            <v>9.2270752343928564E-2</v>
          </cell>
          <cell r="AS16">
            <v>0.10238445022036391</v>
          </cell>
          <cell r="AT16">
            <v>0.11325167037861905</v>
          </cell>
          <cell r="AU16">
            <v>0.12768496420047737</v>
          </cell>
          <cell r="AV16">
            <v>0.14487595519732022</v>
          </cell>
          <cell r="AW16">
            <v>0.16401845207585852</v>
          </cell>
          <cell r="AX16">
            <v>0.17885365609682902</v>
          </cell>
          <cell r="AY16">
            <v>0.15209235209235206</v>
          </cell>
          <cell r="AZ16">
            <v>0.14949254823077629</v>
          </cell>
          <cell r="BA16">
            <v>0.13086745926904442</v>
          </cell>
          <cell r="BB16">
            <v>8.9350869749681872E-2</v>
          </cell>
          <cell r="BC16">
            <v>0.10404141616566465</v>
          </cell>
          <cell r="BD16">
            <v>8.3916640152720268E-2</v>
          </cell>
          <cell r="BE16">
            <v>7.6006541546608464E-2</v>
          </cell>
          <cell r="BF16">
            <v>8.2489484343355679E-2</v>
          </cell>
          <cell r="BG16">
            <v>7.7144153683255112E-2</v>
          </cell>
          <cell r="BH16">
            <v>0.11389153885668168</v>
          </cell>
          <cell r="BI16">
            <v>9.886371860751253E-2</v>
          </cell>
          <cell r="BJ16">
            <v>0.10167662085342166</v>
          </cell>
          <cell r="BK16">
            <v>9.556242100828527E-2</v>
          </cell>
          <cell r="BL16">
            <v>2.8130970419658841E-2</v>
          </cell>
          <cell r="BM16">
            <v>9.9650925377066546E-2</v>
          </cell>
          <cell r="BN16">
            <v>5.3951665578053642E-2</v>
          </cell>
          <cell r="BO16">
            <v>4.806767929244371E-2</v>
          </cell>
          <cell r="BP16">
            <v>6.5743944636678098E-2</v>
          </cell>
          <cell r="BQ16">
            <v>2.9596393260461262E-2</v>
          </cell>
          <cell r="BR16">
            <v>3.4512402061107172E-2</v>
          </cell>
          <cell r="BS16">
            <v>3.4217577321024484E-2</v>
          </cell>
          <cell r="BT16">
            <v>3.7060223034759421E-2</v>
          </cell>
          <cell r="BU16">
            <v>2.5156628332183129E-2</v>
          </cell>
        </row>
        <row r="17">
          <cell r="A17" t="str">
            <v>incremental revenues</v>
          </cell>
          <cell r="F17">
            <v>976</v>
          </cell>
          <cell r="G17">
            <v>2125</v>
          </cell>
          <cell r="H17">
            <v>3073</v>
          </cell>
          <cell r="I17">
            <v>5178</v>
          </cell>
          <cell r="J17">
            <v>6490</v>
          </cell>
          <cell r="K17">
            <v>4330</v>
          </cell>
          <cell r="L17">
            <v>4997</v>
          </cell>
          <cell r="M17">
            <v>4714</v>
          </cell>
          <cell r="N17">
            <v>3096.1413818766596</v>
          </cell>
          <cell r="O17">
            <v>2165.2837888244103</v>
          </cell>
          <cell r="P17">
            <v>1904.5538569209311</v>
          </cell>
          <cell r="Q17">
            <v>1497.7105414742982</v>
          </cell>
          <cell r="R17">
            <v>1121.2929869049258</v>
          </cell>
          <cell r="S17">
            <v>848.16792593241553</v>
          </cell>
          <cell r="T17">
            <v>623.89391047725803</v>
          </cell>
          <cell r="AH17">
            <v>-122</v>
          </cell>
          <cell r="AI17">
            <v>352</v>
          </cell>
          <cell r="AJ17">
            <v>71</v>
          </cell>
          <cell r="AK17">
            <v>-150</v>
          </cell>
          <cell r="AL17">
            <v>141</v>
          </cell>
          <cell r="AM17">
            <v>380</v>
          </cell>
          <cell r="AN17">
            <v>137</v>
          </cell>
          <cell r="AO17">
            <v>103</v>
          </cell>
          <cell r="AP17">
            <v>131</v>
          </cell>
          <cell r="AQ17">
            <v>238</v>
          </cell>
          <cell r="AR17">
            <v>335</v>
          </cell>
          <cell r="AS17">
            <v>202</v>
          </cell>
          <cell r="AT17">
            <v>242</v>
          </cell>
          <cell r="AU17">
            <v>398</v>
          </cell>
          <cell r="AV17">
            <v>542</v>
          </cell>
          <cell r="AW17">
            <v>418</v>
          </cell>
          <cell r="AX17">
            <v>430</v>
          </cell>
          <cell r="AY17">
            <v>191</v>
          </cell>
          <cell r="AZ17">
            <v>596</v>
          </cell>
          <cell r="BA17">
            <v>269</v>
          </cell>
          <cell r="BB17">
            <v>-3</v>
          </cell>
          <cell r="BC17">
            <v>384</v>
          </cell>
          <cell r="BD17">
            <v>405</v>
          </cell>
          <cell r="BE17">
            <v>190</v>
          </cell>
          <cell r="BF17">
            <v>80</v>
          </cell>
          <cell r="BG17">
            <v>345</v>
          </cell>
          <cell r="BH17">
            <v>937</v>
          </cell>
          <cell r="BI17">
            <v>4</v>
          </cell>
          <cell r="BJ17">
            <v>127</v>
          </cell>
          <cell r="BK17">
            <v>293</v>
          </cell>
          <cell r="BL17">
            <v>3</v>
          </cell>
          <cell r="BM17">
            <v>1090</v>
          </cell>
          <cell r="BN17">
            <v>-560</v>
          </cell>
          <cell r="BO17">
            <v>217</v>
          </cell>
          <cell r="BP17">
            <v>279</v>
          </cell>
          <cell r="BQ17">
            <v>558.14138187665958</v>
          </cell>
          <cell r="BR17">
            <v>-497.24926221863279</v>
          </cell>
          <cell r="BS17">
            <v>219.66792227268525</v>
          </cell>
          <cell r="BT17">
            <v>335.82558758340747</v>
          </cell>
          <cell r="BU17">
            <v>374.20175008409205</v>
          </cell>
        </row>
        <row r="18">
          <cell r="A18" t="str">
            <v>Cost of Service</v>
          </cell>
          <cell r="F18">
            <v>7383</v>
          </cell>
          <cell r="G18">
            <v>9026</v>
          </cell>
          <cell r="H18">
            <v>9581</v>
          </cell>
          <cell r="I18">
            <v>9717</v>
          </cell>
          <cell r="J18">
            <v>10995.439999999999</v>
          </cell>
          <cell r="K18">
            <v>11098.230000000001</v>
          </cell>
          <cell r="L18">
            <v>12126.18</v>
          </cell>
          <cell r="M18">
            <v>14426.441287057993</v>
          </cell>
          <cell r="N18">
            <v>14191.021548023586</v>
          </cell>
          <cell r="O18">
            <v>14642.903532349712</v>
          </cell>
          <cell r="P18">
            <v>15040.771110249267</v>
          </cell>
          <cell r="Q18">
            <v>15333.171210481654</v>
          </cell>
          <cell r="R18">
            <v>15571.019124731713</v>
          </cell>
          <cell r="S18">
            <v>15735.147867963127</v>
          </cell>
          <cell r="T18">
            <v>15850.132436597334</v>
          </cell>
          <cell r="AH18">
            <v>1860</v>
          </cell>
          <cell r="AI18">
            <v>1849</v>
          </cell>
          <cell r="AJ18">
            <v>2005</v>
          </cell>
          <cell r="AK18">
            <v>1669</v>
          </cell>
          <cell r="AL18">
            <v>2141</v>
          </cell>
          <cell r="AM18">
            <v>2274</v>
          </cell>
          <cell r="AN18">
            <v>2285</v>
          </cell>
          <cell r="AO18">
            <v>2326</v>
          </cell>
          <cell r="AP18">
            <v>2302</v>
          </cell>
          <cell r="AQ18">
            <v>2430</v>
          </cell>
          <cell r="AR18">
            <v>2462</v>
          </cell>
          <cell r="AS18">
            <v>2387</v>
          </cell>
          <cell r="AT18">
            <v>2257</v>
          </cell>
          <cell r="AU18">
            <v>2390</v>
          </cell>
          <cell r="AV18">
            <v>2366</v>
          </cell>
          <cell r="AW18">
            <v>2704</v>
          </cell>
          <cell r="AX18">
            <v>2644.39</v>
          </cell>
          <cell r="AY18">
            <v>2622.6</v>
          </cell>
          <cell r="AZ18">
            <v>2927.7400000000002</v>
          </cell>
          <cell r="BA18">
            <v>2800.71</v>
          </cell>
          <cell r="BB18">
            <v>2599.41</v>
          </cell>
          <cell r="BC18">
            <v>2779.26</v>
          </cell>
          <cell r="BD18">
            <v>2850.21</v>
          </cell>
          <cell r="BE18">
            <v>2869.35</v>
          </cell>
          <cell r="BF18">
            <v>2697.09</v>
          </cell>
          <cell r="BG18">
            <v>2822.49</v>
          </cell>
          <cell r="BH18">
            <v>3310.56</v>
          </cell>
          <cell r="BI18">
            <v>3296.04</v>
          </cell>
          <cell r="BJ18">
            <v>3403.4741491809555</v>
          </cell>
          <cell r="BK18">
            <v>3377.5882794731601</v>
          </cell>
          <cell r="BL18">
            <v>3236.0788584038778</v>
          </cell>
          <cell r="BM18">
            <v>4409.2999999999993</v>
          </cell>
          <cell r="BN18">
            <v>3529.0499999999993</v>
          </cell>
          <cell r="BO18">
            <v>3396.7499999999991</v>
          </cell>
          <cell r="BP18">
            <v>3692.1499999999992</v>
          </cell>
          <cell r="BQ18">
            <v>3573.071548023589</v>
          </cell>
          <cell r="BR18">
            <v>3613.4065250239678</v>
          </cell>
          <cell r="BS18">
            <v>3582.3971660045413</v>
          </cell>
          <cell r="BT18">
            <v>3687.9618916172735</v>
          </cell>
          <cell r="BU18">
            <v>3759.1379497039288</v>
          </cell>
        </row>
        <row r="19">
          <cell r="A19" t="str">
            <v>incremental expenses</v>
          </cell>
          <cell r="F19">
            <v>-135</v>
          </cell>
          <cell r="G19">
            <v>1643</v>
          </cell>
          <cell r="H19">
            <v>555</v>
          </cell>
          <cell r="I19">
            <v>136</v>
          </cell>
          <cell r="J19">
            <v>1278.4399999999987</v>
          </cell>
          <cell r="K19">
            <v>102.79000000000269</v>
          </cell>
          <cell r="L19">
            <v>1027.9499999999989</v>
          </cell>
          <cell r="M19">
            <v>2300.2612870579924</v>
          </cell>
          <cell r="N19">
            <v>-235.41973903440703</v>
          </cell>
          <cell r="O19">
            <v>451.88198432612626</v>
          </cell>
          <cell r="P19">
            <v>397.86757789955482</v>
          </cell>
          <cell r="Q19">
            <v>292.40010023238756</v>
          </cell>
          <cell r="R19">
            <v>237.84791425005824</v>
          </cell>
          <cell r="S19">
            <v>164.12874323141477</v>
          </cell>
          <cell r="T19">
            <v>114.98456863420688</v>
          </cell>
        </row>
        <row r="20">
          <cell r="A20" t="str">
            <v>% y/y growth</v>
          </cell>
          <cell r="F20">
            <v>-1.7956903431763815E-2</v>
          </cell>
          <cell r="G20">
            <v>0.22253826357849116</v>
          </cell>
          <cell r="H20">
            <v>6.1489031686239759E-2</v>
          </cell>
          <cell r="I20">
            <v>1.4194760463417166E-2</v>
          </cell>
          <cell r="J20">
            <v>0.13156735617989068</v>
          </cell>
          <cell r="K20">
            <v>9.3484207998955071E-3</v>
          </cell>
          <cell r="L20">
            <v>9.2622877702119855E-2</v>
          </cell>
          <cell r="M20">
            <v>0.18969381017418452</v>
          </cell>
          <cell r="N20">
            <v>-1.6318628714456662E-2</v>
          </cell>
          <cell r="O20">
            <v>3.1842808693998581E-2</v>
          </cell>
          <cell r="P20">
            <v>2.7171358263787582E-2</v>
          </cell>
          <cell r="Q20">
            <v>1.9440499299476555E-2</v>
          </cell>
          <cell r="R20">
            <v>1.5511984506340504E-2</v>
          </cell>
          <cell r="S20">
            <v>1.0540655169495317E-2</v>
          </cell>
          <cell r="T20">
            <v>7.3074984486365402E-3</v>
          </cell>
          <cell r="AH20">
            <v>9.0909090909090828E-2</v>
          </cell>
          <cell r="AI20">
            <v>-4.3080236941303029E-3</v>
          </cell>
          <cell r="AJ20">
            <v>-1.5225933202357544E-2</v>
          </cell>
          <cell r="AK20">
            <v>-0.13072916666666667</v>
          </cell>
          <cell r="AL20">
            <v>0.15107526881720434</v>
          </cell>
          <cell r="AM20">
            <v>0.22985397512168748</v>
          </cell>
          <cell r="AN20">
            <v>0.13965087281795507</v>
          </cell>
          <cell r="AO20">
            <v>0.39364889155182747</v>
          </cell>
          <cell r="AP20">
            <v>7.5198505371321778E-2</v>
          </cell>
          <cell r="AQ20">
            <v>6.8601583113456543E-2</v>
          </cell>
          <cell r="AR20">
            <v>7.7461706783369833E-2</v>
          </cell>
          <cell r="AS20">
            <v>2.6225279449699102E-2</v>
          </cell>
          <cell r="AT20">
            <v>-1.9548218940052098E-2</v>
          </cell>
          <cell r="AU20">
            <v>-1.6460905349794275E-2</v>
          </cell>
          <cell r="AV20">
            <v>-3.8992688870836734E-2</v>
          </cell>
          <cell r="AW20">
            <v>0.132802681189778</v>
          </cell>
          <cell r="AX20">
            <v>0.17163934426229499</v>
          </cell>
          <cell r="AY20">
            <v>9.7322175732217575E-2</v>
          </cell>
          <cell r="AZ20">
            <v>0.23742180896027065</v>
          </cell>
          <cell r="BA20">
            <v>3.5765532544378642E-2</v>
          </cell>
          <cell r="BB20">
            <v>-1.7009593895000341E-2</v>
          </cell>
          <cell r="BC20">
            <v>5.9734614504690198E-2</v>
          </cell>
          <cell r="BD20">
            <v>-2.6481176607212498E-2</v>
          </cell>
          <cell r="BE20">
            <v>2.4508071167668177E-2</v>
          </cell>
          <cell r="BF20">
            <v>3.7577758029706754E-2</v>
          </cell>
          <cell r="BG20">
            <v>1.5554500118736492E-2</v>
          </cell>
          <cell r="BH20">
            <v>0.16151441472733574</v>
          </cell>
          <cell r="BI20">
            <v>0.14870615296147216</v>
          </cell>
          <cell r="BJ20">
            <v>0.26190603546079494</v>
          </cell>
          <cell r="BK20">
            <v>0.19666970634906078</v>
          </cell>
          <cell r="BL20">
            <v>-2.2498049150633803E-2</v>
          </cell>
          <cell r="BM20">
            <v>0.33775682333952228</v>
          </cell>
          <cell r="BN20">
            <v>3.6896372739973149E-2</v>
          </cell>
          <cell r="BO20">
            <v>5.6731960621996258E-3</v>
          </cell>
          <cell r="BP20">
            <v>0.14093325952540847</v>
          </cell>
          <cell r="BQ20">
            <v>-0.18965106751103589</v>
          </cell>
          <cell r="BR20">
            <v>2.3903465528674506E-2</v>
          </cell>
          <cell r="BS20">
            <v>5.4654350777814775E-2</v>
          </cell>
          <cell r="BT20">
            <v>-1.1343277989046552E-3</v>
          </cell>
          <cell r="BU20">
            <v>5.2074636396033158E-2</v>
          </cell>
        </row>
        <row r="21">
          <cell r="A21" t="str">
            <v>% service revenues</v>
          </cell>
          <cell r="F21">
            <v>0.25334568663784229</v>
          </cell>
          <cell r="G21">
            <v>0.29460147529212088</v>
          </cell>
          <cell r="H21">
            <v>0.28383102263301341</v>
          </cell>
          <cell r="I21">
            <v>0.251228088318941</v>
          </cell>
          <cell r="J21">
            <v>0.24849013537029083</v>
          </cell>
          <cell r="K21">
            <v>0.22853262772069274</v>
          </cell>
          <cell r="L21">
            <v>0.226615212109886</v>
          </cell>
          <cell r="M21">
            <v>0.25431797213020474</v>
          </cell>
          <cell r="N21">
            <v>0.24001809731337911</v>
          </cell>
          <cell r="O21">
            <v>0.24000812792095391</v>
          </cell>
          <cell r="P21">
            <v>0.24</v>
          </cell>
          <cell r="Q21">
            <v>0.24</v>
          </cell>
          <cell r="R21">
            <v>0.24</v>
          </cell>
          <cell r="S21">
            <v>0.24</v>
          </cell>
          <cell r="T21">
            <v>0.24</v>
          </cell>
          <cell r="AH21">
            <v>0.26223036796841959</v>
          </cell>
          <cell r="AI21">
            <v>0.24812130971551261</v>
          </cell>
          <cell r="AJ21">
            <v>0.27090933657613836</v>
          </cell>
          <cell r="AK21">
            <v>0.23193440800444692</v>
          </cell>
          <cell r="AL21">
            <v>0.28858336703059712</v>
          </cell>
          <cell r="AM21">
            <v>0.29459774582199766</v>
          </cell>
          <cell r="AN21">
            <v>0.29594612096878642</v>
          </cell>
          <cell r="AO21">
            <v>0.29901015554698546</v>
          </cell>
          <cell r="AP21">
            <v>0.28757026858213619</v>
          </cell>
          <cell r="AQ21">
            <v>0.29294755877034356</v>
          </cell>
          <cell r="AR21">
            <v>0.28426278720701997</v>
          </cell>
          <cell r="AS21">
            <v>0.27140420693575895</v>
          </cell>
          <cell r="AT21">
            <v>0.24824021117465905</v>
          </cell>
          <cell r="AU21">
            <v>0.25052410901467503</v>
          </cell>
          <cell r="AV21">
            <v>0.23995943204868153</v>
          </cell>
          <cell r="AW21">
            <v>0.26546239937168664</v>
          </cell>
          <cell r="AX21">
            <v>0.24935313531353134</v>
          </cell>
          <cell r="AY21">
            <v>0.24073802092895172</v>
          </cell>
          <cell r="AZ21">
            <v>0.26077669902912626</v>
          </cell>
          <cell r="BA21">
            <v>0.24305389221556886</v>
          </cell>
          <cell r="BB21">
            <v>0.22320195775373516</v>
          </cell>
          <cell r="BC21">
            <v>0.23237959866220737</v>
          </cell>
          <cell r="BD21">
            <v>0.23037584869059166</v>
          </cell>
          <cell r="BE21">
            <v>0.22799761620977355</v>
          </cell>
          <cell r="BF21">
            <v>0.20989027237354085</v>
          </cell>
          <cell r="BG21">
            <v>0.21405202487486727</v>
          </cell>
          <cell r="BH21">
            <v>0.2421061869240895</v>
          </cell>
          <cell r="BI21">
            <v>0.23884347826086957</v>
          </cell>
          <cell r="BJ21">
            <v>0.24378441008387333</v>
          </cell>
          <cell r="BK21">
            <v>0.23858079250357844</v>
          </cell>
          <cell r="BL21">
            <v>0.22691808838117086</v>
          </cell>
          <cell r="BM21">
            <v>0.30733254338886173</v>
          </cell>
          <cell r="BN21">
            <v>0.2422799670465467</v>
          </cell>
          <cell r="BO21">
            <v>0.23005418218760576</v>
          </cell>
          <cell r="BP21">
            <v>0.24769555883536826</v>
          </cell>
          <cell r="BQ21">
            <v>0.24</v>
          </cell>
          <cell r="BR21">
            <v>0.24</v>
          </cell>
          <cell r="BS21">
            <v>0.23499999999999999</v>
          </cell>
          <cell r="BT21">
            <v>0.24</v>
          </cell>
          <cell r="BU21">
            <v>0.245</v>
          </cell>
        </row>
        <row r="22">
          <cell r="A22" t="str">
            <v>Base</v>
          </cell>
          <cell r="P22">
            <v>0.24</v>
          </cell>
          <cell r="Q22">
            <v>0.24</v>
          </cell>
          <cell r="R22">
            <v>0.24</v>
          </cell>
          <cell r="S22">
            <v>0.24</v>
          </cell>
          <cell r="T22">
            <v>0.24</v>
          </cell>
          <cell r="BQ22">
            <v>0.24</v>
          </cell>
          <cell r="BR22">
            <v>0.24</v>
          </cell>
          <cell r="BS22">
            <v>0.23499999999999999</v>
          </cell>
          <cell r="BT22">
            <v>0.24</v>
          </cell>
          <cell r="BU22">
            <v>0.245</v>
          </cell>
        </row>
        <row r="23">
          <cell r="A23" t="str">
            <v>Bull</v>
          </cell>
          <cell r="P23">
            <v>0.22</v>
          </cell>
          <cell r="Q23">
            <v>0.22</v>
          </cell>
          <cell r="R23">
            <v>0.22</v>
          </cell>
          <cell r="S23">
            <v>0.22</v>
          </cell>
          <cell r="T23">
            <v>0.22</v>
          </cell>
          <cell r="BQ23">
            <v>0.22999999999999998</v>
          </cell>
          <cell r="BR23">
            <v>0.22999999999999998</v>
          </cell>
          <cell r="BS23">
            <v>0.22499999999999998</v>
          </cell>
          <cell r="BT23">
            <v>0.22999999999999998</v>
          </cell>
          <cell r="BU23">
            <v>0.23499999999999999</v>
          </cell>
        </row>
        <row r="24">
          <cell r="A24" t="str">
            <v>Bear</v>
          </cell>
          <cell r="P24">
            <v>0.25</v>
          </cell>
          <cell r="Q24">
            <v>0.25</v>
          </cell>
          <cell r="R24">
            <v>0.25</v>
          </cell>
          <cell r="S24">
            <v>0.25</v>
          </cell>
          <cell r="T24">
            <v>0.25</v>
          </cell>
          <cell r="BQ24">
            <v>0.25</v>
          </cell>
          <cell r="BR24">
            <v>0.25</v>
          </cell>
          <cell r="BS24">
            <v>0.245</v>
          </cell>
          <cell r="BT24">
            <v>0.25</v>
          </cell>
          <cell r="BU24">
            <v>0.255</v>
          </cell>
        </row>
        <row r="25">
          <cell r="A25" t="str">
            <v>Cost of Equipment</v>
          </cell>
          <cell r="F25">
            <v>4604</v>
          </cell>
          <cell r="G25">
            <v>5069</v>
          </cell>
          <cell r="H25">
            <v>5247</v>
          </cell>
          <cell r="I25">
            <v>5999</v>
          </cell>
          <cell r="J25">
            <v>6503.64</v>
          </cell>
          <cell r="K25">
            <v>9765.6304272316775</v>
          </cell>
          <cell r="L25">
            <v>12763.459534560612</v>
          </cell>
          <cell r="M25">
            <v>15120.130878777352</v>
          </cell>
          <cell r="N25">
            <v>17944.503715774925</v>
          </cell>
          <cell r="O25">
            <v>17927.002821044141</v>
          </cell>
          <cell r="P25">
            <v>17983.882953915785</v>
          </cell>
          <cell r="Q25">
            <v>18092.967329451873</v>
          </cell>
          <cell r="R25">
            <v>18139.613852339975</v>
          </cell>
          <cell r="S25">
            <v>18218.662738145933</v>
          </cell>
          <cell r="T25">
            <v>18574.674345153304</v>
          </cell>
          <cell r="AH25">
            <v>1117</v>
          </cell>
          <cell r="AI25">
            <v>1119</v>
          </cell>
          <cell r="AJ25">
            <v>1124</v>
          </cell>
          <cell r="AK25">
            <v>1244</v>
          </cell>
          <cell r="AL25">
            <v>1295</v>
          </cell>
          <cell r="AM25">
            <v>1230</v>
          </cell>
          <cell r="AN25">
            <v>1203</v>
          </cell>
          <cell r="AO25">
            <v>1341</v>
          </cell>
          <cell r="AP25">
            <v>1327</v>
          </cell>
          <cell r="AQ25">
            <v>1349</v>
          </cell>
          <cell r="AR25">
            <v>1198</v>
          </cell>
          <cell r="AS25">
            <v>1373</v>
          </cell>
          <cell r="AT25">
            <v>1393</v>
          </cell>
          <cell r="AU25">
            <v>1503</v>
          </cell>
          <cell r="AV25">
            <v>1653</v>
          </cell>
          <cell r="AW25">
            <v>1450</v>
          </cell>
          <cell r="AX25">
            <v>1357.93</v>
          </cell>
          <cell r="AY25">
            <v>1384.15</v>
          </cell>
          <cell r="AZ25">
            <v>1894.42</v>
          </cell>
          <cell r="BA25">
            <v>1867.14</v>
          </cell>
          <cell r="BB25">
            <v>1800</v>
          </cell>
          <cell r="BC25">
            <v>1950</v>
          </cell>
          <cell r="BD25">
            <v>3000</v>
          </cell>
          <cell r="BE25">
            <v>3015.6304272316775</v>
          </cell>
          <cell r="BF25">
            <v>2838.8329281000347</v>
          </cell>
          <cell r="BG25">
            <v>2970.8232025008683</v>
          </cell>
          <cell r="BH25">
            <v>3484.5432441820076</v>
          </cell>
          <cell r="BI25">
            <v>3469.2601597777007</v>
          </cell>
          <cell r="BJ25">
            <v>3425.1476207016321</v>
          </cell>
          <cell r="BK25">
            <v>3399.0969086488362</v>
          </cell>
          <cell r="BL25">
            <v>3256.6863494268841</v>
          </cell>
          <cell r="BM25">
            <v>5039.2000000000007</v>
          </cell>
          <cell r="BN25">
            <v>4033.2000000000003</v>
          </cell>
          <cell r="BO25">
            <v>3882</v>
          </cell>
          <cell r="BP25">
            <v>4219.6000000000004</v>
          </cell>
          <cell r="BQ25">
            <v>5809.7037157749237</v>
          </cell>
          <cell r="BR25">
            <v>4071.1664532619811</v>
          </cell>
          <cell r="BS25">
            <v>3870.7240822891426</v>
          </cell>
          <cell r="BT25">
            <v>4063.5963287179147</v>
          </cell>
          <cell r="BU25">
            <v>5921.5159567751025</v>
          </cell>
        </row>
        <row r="26">
          <cell r="A26" t="str">
            <v>% y/y growth</v>
          </cell>
          <cell r="F26">
            <v>0.13315284272704897</v>
          </cell>
          <cell r="G26">
            <v>0.10099913119026938</v>
          </cell>
          <cell r="H26">
            <v>3.5115407378181196E-2</v>
          </cell>
          <cell r="I26">
            <v>0.14331999237659621</v>
          </cell>
          <cell r="J26">
            <v>8.4120686781130161E-2</v>
          </cell>
          <cell r="K26">
            <v>0.5015638053815521</v>
          </cell>
          <cell r="L26">
            <v>0.30697752998817385</v>
          </cell>
          <cell r="M26">
            <v>0.18464205083546492</v>
          </cell>
          <cell r="N26">
            <v>0.18679552840126989</v>
          </cell>
          <cell r="O26">
            <v>-9.7527883790948788E-4</v>
          </cell>
          <cell r="P26">
            <v>3.1728746539199104E-3</v>
          </cell>
          <cell r="Q26">
            <v>6.06567423818416E-3</v>
          </cell>
          <cell r="R26">
            <v>2.5781576918104676E-3</v>
          </cell>
          <cell r="S26">
            <v>4.3578042206098289E-3</v>
          </cell>
          <cell r="T26">
            <v>1.9541039434357588E-2</v>
          </cell>
          <cell r="AH26">
            <v>0.3018648018648018</v>
          </cell>
          <cell r="AI26">
            <v>0.22028353326063255</v>
          </cell>
          <cell r="AJ26">
            <v>2.6484018264840259E-2</v>
          </cell>
          <cell r="AK26">
            <v>4.2749371332774455E-2</v>
          </cell>
          <cell r="AL26">
            <v>0.15935541629364369</v>
          </cell>
          <cell r="AM26">
            <v>9.9195710455764141E-2</v>
          </cell>
          <cell r="AN26">
            <v>7.0284697508896876E-2</v>
          </cell>
          <cell r="AO26">
            <v>7.7974276527331243E-2</v>
          </cell>
          <cell r="AP26">
            <v>2.4710424710424617E-2</v>
          </cell>
          <cell r="AQ26">
            <v>9.6747967479674735E-2</v>
          </cell>
          <cell r="AR26">
            <v>-4.1562759767248547E-3</v>
          </cell>
          <cell r="AS26">
            <v>2.3862788963460169E-2</v>
          </cell>
          <cell r="AT26">
            <v>4.9736247174076764E-2</v>
          </cell>
          <cell r="AU26">
            <v>0.11415863602668641</v>
          </cell>
          <cell r="AV26">
            <v>0.37979966611018368</v>
          </cell>
          <cell r="AW26">
            <v>5.6081573197378054E-2</v>
          </cell>
          <cell r="AX26">
            <v>-2.5175879396984846E-2</v>
          </cell>
          <cell r="AY26">
            <v>-7.9075182967398461E-2</v>
          </cell>
          <cell r="AZ26">
            <v>0.14604960677555967</v>
          </cell>
          <cell r="BA26">
            <v>0.28768275862068982</v>
          </cell>
          <cell r="BB26">
            <v>0.32554697222979079</v>
          </cell>
          <cell r="BC26">
            <v>0.40880684896868114</v>
          </cell>
          <cell r="BD26">
            <v>0.58359814613443683</v>
          </cell>
          <cell r="BE26">
            <v>0.61510675537542836</v>
          </cell>
          <cell r="BF26">
            <v>0.57712940450001926</v>
          </cell>
          <cell r="BG26">
            <v>0.52349907820557351</v>
          </cell>
          <cell r="BH26">
            <v>0.16151441472733596</v>
          </cell>
          <cell r="BI26">
            <v>0.15042616908546425</v>
          </cell>
          <cell r="BJ26">
            <v>0.20653370855255093</v>
          </cell>
          <cell r="BK26">
            <v>0.14415994387934061</v>
          </cell>
          <cell r="BL26">
            <v>-6.5390749601275999E-2</v>
          </cell>
          <cell r="BM26">
            <v>0.4525287144573491</v>
          </cell>
          <cell r="BN26">
            <v>0.17752588986918183</v>
          </cell>
          <cell r="BO26">
            <v>0.14206805640711218</v>
          </cell>
          <cell r="BP26">
            <v>0.29567282423208208</v>
          </cell>
          <cell r="BQ26">
            <v>0.1529019915413008</v>
          </cell>
          <cell r="BR26">
            <v>9.4134814197115446E-3</v>
          </cell>
          <cell r="BS26">
            <v>-2.9046671073821306E-3</v>
          </cell>
          <cell r="BT26">
            <v>-3.6971198995659704E-2</v>
          </cell>
          <cell r="BU26">
            <v>1.9245773359591212E-2</v>
          </cell>
        </row>
        <row r="27">
          <cell r="A27" t="str">
            <v>% revenues</v>
          </cell>
          <cell r="F27">
            <v>0.14250340472947876</v>
          </cell>
          <cell r="G27">
            <v>0.14721342897801529</v>
          </cell>
          <cell r="H27">
            <v>0.13989761638137899</v>
          </cell>
          <cell r="I27">
            <v>0.14054446631056133</v>
          </cell>
          <cell r="J27">
            <v>0.1322576971570342</v>
          </cell>
          <cell r="K27">
            <v>0.18252150170513751</v>
          </cell>
          <cell r="L27">
            <v>0.21817506597426731</v>
          </cell>
          <cell r="M27">
            <v>0.23918580841220205</v>
          </cell>
          <cell r="N27">
            <v>0.27061068987540143</v>
          </cell>
          <cell r="O27">
            <v>0.26179817033898767</v>
          </cell>
          <cell r="P27">
            <v>0.25552192087094666</v>
          </cell>
          <cell r="Q27">
            <v>0.25171531976886247</v>
          </cell>
          <cell r="R27">
            <v>0.24848792036935552</v>
          </cell>
          <cell r="S27">
            <v>0.24670438757437782</v>
          </cell>
          <cell r="T27">
            <v>0.24941808025678644</v>
          </cell>
          <cell r="AH27">
            <v>0.14293026231605885</v>
          </cell>
          <cell r="AI27">
            <v>0.13701481572180726</v>
          </cell>
          <cell r="AJ27">
            <v>0.13644088370963825</v>
          </cell>
          <cell r="AK27">
            <v>0.15380811078140455</v>
          </cell>
          <cell r="AL27">
            <v>0.15737027585368818</v>
          </cell>
          <cell r="AM27">
            <v>0.14287373678708329</v>
          </cell>
          <cell r="AN27">
            <v>0.13754859364280814</v>
          </cell>
          <cell r="AO27">
            <v>0.15154254718047236</v>
          </cell>
          <cell r="AP27">
            <v>0.14777282850779511</v>
          </cell>
          <cell r="AQ27">
            <v>0.14634410935126926</v>
          </cell>
          <cell r="AR27">
            <v>0.12540563173872082</v>
          </cell>
          <cell r="AS27">
            <v>0.14074833418759611</v>
          </cell>
          <cell r="AT27">
            <v>0.13934180254076223</v>
          </cell>
          <cell r="AU27">
            <v>0.1445887445887446</v>
          </cell>
          <cell r="AV27">
            <v>0.15113833775258298</v>
          </cell>
          <cell r="AW27">
            <v>0.12769704975781593</v>
          </cell>
          <cell r="AX27">
            <v>0.11522528638099279</v>
          </cell>
          <cell r="AY27">
            <v>0.11557698730794924</v>
          </cell>
          <cell r="AZ27">
            <v>0.1506856506522431</v>
          </cell>
          <cell r="BA27">
            <v>0.14540456350751499</v>
          </cell>
          <cell r="BB27">
            <v>0.14020875525782833</v>
          </cell>
          <cell r="BC27">
            <v>0.14748147027681138</v>
          </cell>
          <cell r="BD27">
            <v>0.22015117047038968</v>
          </cell>
          <cell r="BE27">
            <v>0.21825507904984276</v>
          </cell>
          <cell r="BF27">
            <v>0.20427667324602683</v>
          </cell>
          <cell r="BG27">
            <v>0.2085959277138652</v>
          </cell>
          <cell r="BH27">
            <v>0.22956342606113761</v>
          </cell>
          <cell r="BI27">
            <v>0.22849635511939015</v>
          </cell>
          <cell r="BJ27">
            <v>0.22371963557816016</v>
          </cell>
          <cell r="BK27">
            <v>0.21784893345182568</v>
          </cell>
          <cell r="BL27">
            <v>0.20868168329020148</v>
          </cell>
          <cell r="BM27">
            <v>0.30182079540009588</v>
          </cell>
          <cell r="BN27">
            <v>0.24995042141794746</v>
          </cell>
          <cell r="BO27">
            <v>0.23738763529627591</v>
          </cell>
          <cell r="BP27">
            <v>0.25370370370370371</v>
          </cell>
          <cell r="BQ27">
            <v>0.3379671863490325</v>
          </cell>
          <cell r="BR27">
            <v>0.24388622559105017</v>
          </cell>
          <cell r="BS27">
            <v>0.22886683463015614</v>
          </cell>
          <cell r="BT27">
            <v>0.23559285002096655</v>
          </cell>
          <cell r="BU27">
            <v>0.33601853287619282</v>
          </cell>
        </row>
        <row r="28">
          <cell r="A28" t="str">
            <v>incremental expenses</v>
          </cell>
          <cell r="F28">
            <v>541</v>
          </cell>
          <cell r="G28">
            <v>465</v>
          </cell>
          <cell r="H28">
            <v>178</v>
          </cell>
          <cell r="I28">
            <v>752</v>
          </cell>
          <cell r="J28">
            <v>504.64000000000033</v>
          </cell>
          <cell r="K28">
            <v>3261.9904272316771</v>
          </cell>
          <cell r="L28">
            <v>2997.8291073289347</v>
          </cell>
          <cell r="M28">
            <v>2356.6713442167402</v>
          </cell>
          <cell r="N28">
            <v>2824.3728369975724</v>
          </cell>
          <cell r="O28">
            <v>-17.50089473078333</v>
          </cell>
          <cell r="P28">
            <v>56.880132871643582</v>
          </cell>
          <cell r="Q28">
            <v>109.08437553608746</v>
          </cell>
          <cell r="R28">
            <v>46.646522888102481</v>
          </cell>
          <cell r="S28">
            <v>79.04888580595798</v>
          </cell>
          <cell r="T28">
            <v>356.01160700737091</v>
          </cell>
        </row>
        <row r="29">
          <cell r="A29" t="str">
            <v>Selling, general &amp; administrative</v>
          </cell>
          <cell r="F29">
            <v>11532</v>
          </cell>
          <cell r="G29">
            <v>11364</v>
          </cell>
          <cell r="H29">
            <v>11324</v>
          </cell>
          <cell r="I29">
            <v>12110</v>
          </cell>
          <cell r="J29">
            <v>14030.92</v>
          </cell>
          <cell r="K29">
            <v>12754.139572768321</v>
          </cell>
          <cell r="L29">
            <v>11856.360465439389</v>
          </cell>
          <cell r="M29">
            <v>12074.427834164653</v>
          </cell>
          <cell r="N29">
            <v>10219.390266667397</v>
          </cell>
          <cell r="O29">
            <v>10525.109705195648</v>
          </cell>
          <cell r="P29">
            <v>10904.559054930718</v>
          </cell>
          <cell r="Q29">
            <v>11116.549127599199</v>
          </cell>
          <cell r="R29">
            <v>11029.471880018296</v>
          </cell>
          <cell r="S29">
            <v>11145.729739807217</v>
          </cell>
          <cell r="T29">
            <v>11227.17714258978</v>
          </cell>
          <cell r="AH29">
            <v>2853</v>
          </cell>
          <cell r="AI29">
            <v>2934</v>
          </cell>
          <cell r="AJ29">
            <v>3034</v>
          </cell>
          <cell r="AK29">
            <v>2711</v>
          </cell>
          <cell r="AL29">
            <v>2899</v>
          </cell>
          <cell r="AM29">
            <v>2877</v>
          </cell>
          <cell r="AN29">
            <v>2815</v>
          </cell>
          <cell r="AO29">
            <v>2773</v>
          </cell>
          <cell r="AP29">
            <v>2800</v>
          </cell>
          <cell r="AQ29">
            <v>2738</v>
          </cell>
          <cell r="AR29">
            <v>2814</v>
          </cell>
          <cell r="AS29">
            <v>2972</v>
          </cell>
          <cell r="AT29">
            <v>2809</v>
          </cell>
          <cell r="AU29">
            <v>2925</v>
          </cell>
          <cell r="AV29">
            <v>3066</v>
          </cell>
          <cell r="AW29">
            <v>3310</v>
          </cell>
          <cell r="AX29">
            <v>3144.68</v>
          </cell>
          <cell r="AY29">
            <v>3278.25</v>
          </cell>
          <cell r="AZ29">
            <v>3788.84</v>
          </cell>
          <cell r="BA29">
            <v>3819.15</v>
          </cell>
          <cell r="BB29">
            <v>3477.59</v>
          </cell>
          <cell r="BC29">
            <v>3692.74</v>
          </cell>
          <cell r="BD29">
            <v>2786.79</v>
          </cell>
          <cell r="BE29">
            <v>2797.0195727683222</v>
          </cell>
          <cell r="BF29">
            <v>2637.0770718999652</v>
          </cell>
          <cell r="BG29">
            <v>2759.6867974991319</v>
          </cell>
          <cell r="BH29">
            <v>3236.8967558179929</v>
          </cell>
          <cell r="BI29">
            <v>3222.6998402222994</v>
          </cell>
          <cell r="BJ29">
            <v>3032.3782301174124</v>
          </cell>
          <cell r="BK29">
            <v>3009.3148118780032</v>
          </cell>
          <cell r="BL29">
            <v>2883.2347921692376</v>
          </cell>
          <cell r="BM29">
            <v>3149.5</v>
          </cell>
          <cell r="BN29">
            <v>2520.75</v>
          </cell>
          <cell r="BO29">
            <v>2426.25</v>
          </cell>
          <cell r="BP29">
            <v>2637.25</v>
          </cell>
          <cell r="BQ29">
            <v>2635.1402666673966</v>
          </cell>
          <cell r="BR29">
            <v>2559.4962885586442</v>
          </cell>
          <cell r="BS29">
            <v>2606.7655973905389</v>
          </cell>
          <cell r="BT29">
            <v>2658.4058635407846</v>
          </cell>
          <cell r="BU29">
            <v>2700.4419557056794</v>
          </cell>
        </row>
        <row r="30">
          <cell r="A30" t="str">
            <v>% y/y growth</v>
          </cell>
          <cell r="F30">
            <v>1.9989386166637146E-2</v>
          </cell>
          <cell r="G30">
            <v>-1.4568158168574374E-2</v>
          </cell>
          <cell r="H30">
            <v>-3.5198873636043126E-3</v>
          </cell>
          <cell r="I30">
            <v>6.941010243730128E-2</v>
          </cell>
          <cell r="J30">
            <v>0.15862262592898424</v>
          </cell>
          <cell r="K30">
            <v>-9.0997627185649854E-2</v>
          </cell>
          <cell r="L30">
            <v>-7.039119355772161E-2</v>
          </cell>
          <cell r="M30">
            <v>1.8392437490486024E-2</v>
          </cell>
          <cell r="N30">
            <v>-0.15363357941056377</v>
          </cell>
          <cell r="O30">
            <v>2.9915624176269695E-2</v>
          </cell>
          <cell r="P30">
            <v>3.6051818970376903E-2</v>
          </cell>
          <cell r="Q30">
            <v>1.9440499299476555E-2</v>
          </cell>
          <cell r="R30">
            <v>-7.8331185857591912E-3</v>
          </cell>
          <cell r="S30">
            <v>1.0540655169495539E-2</v>
          </cell>
          <cell r="T30">
            <v>7.3074984486365402E-3</v>
          </cell>
          <cell r="AH30">
            <v>0.10282180131426366</v>
          </cell>
          <cell r="AI30">
            <v>9.7232610321615454E-2</v>
          </cell>
          <cell r="AJ30">
            <v>5.3838138242445321E-2</v>
          </cell>
          <cell r="AK30">
            <v>-0.14371446620341122</v>
          </cell>
          <cell r="AL30">
            <v>1.6123378899404184E-2</v>
          </cell>
          <cell r="AM30">
            <v>-1.9427402862985721E-2</v>
          </cell>
          <cell r="AN30">
            <v>-7.2181938035596582E-2</v>
          </cell>
          <cell r="AO30">
            <v>2.2869789745481262E-2</v>
          </cell>
          <cell r="AP30">
            <v>-3.414970679544671E-2</v>
          </cell>
          <cell r="AQ30">
            <v>-4.8314216197427928E-2</v>
          </cell>
          <cell r="AR30">
            <v>-3.5523978685614299E-4</v>
          </cell>
          <cell r="AS30">
            <v>7.1763433104940599E-2</v>
          </cell>
          <cell r="AT30">
            <v>3.214285714285614E-3</v>
          </cell>
          <cell r="AU30">
            <v>6.8298027757487167E-2</v>
          </cell>
          <cell r="AV30">
            <v>8.9552238805970186E-2</v>
          </cell>
          <cell r="AW30">
            <v>0.11372812920592201</v>
          </cell>
          <cell r="AX30">
            <v>0.11950160199359194</v>
          </cell>
          <cell r="AY30">
            <v>0.12076923076923074</v>
          </cell>
          <cell r="AZ30">
            <v>0.2357599478147423</v>
          </cell>
          <cell r="BA30">
            <v>0.15382175226586114</v>
          </cell>
          <cell r="BB30">
            <v>0.10586450767645683</v>
          </cell>
          <cell r="BC30">
            <v>0.12643636086326548</v>
          </cell>
          <cell r="BD30">
            <v>-0.26447408705566877</v>
          </cell>
          <cell r="BE30">
            <v>-0.26763296210719079</v>
          </cell>
          <cell r="BF30">
            <v>-0.24169408357512956</v>
          </cell>
          <cell r="BG30">
            <v>-0.25267232529256545</v>
          </cell>
          <cell r="BH30">
            <v>0.16151441472733619</v>
          </cell>
          <cell r="BI30">
            <v>0.15219066451961383</v>
          </cell>
          <cell r="BJ30">
            <v>0.14990125333448834</v>
          </cell>
          <cell r="BK30">
            <v>9.0455197526432274E-2</v>
          </cell>
          <cell r="BL30">
            <v>-0.1092595749348767</v>
          </cell>
          <cell r="BM30">
            <v>-2.2713825007435462E-2</v>
          </cell>
          <cell r="BN30">
            <v>-0.16872177257967003</v>
          </cell>
          <cell r="BO30">
            <v>-0.19375334530525035</v>
          </cell>
          <cell r="BP30">
            <v>-8.5315560438339433E-2</v>
          </cell>
          <cell r="BQ30">
            <v>-0.16331472720514473</v>
          </cell>
          <cell r="BR30">
            <v>1.5370936649268696E-2</v>
          </cell>
          <cell r="BS30">
            <v>7.44010705370588E-2</v>
          </cell>
          <cell r="BT30">
            <v>8.0219408629385036E-3</v>
          </cell>
          <cell r="BU30">
            <v>2.4781105531383574E-2</v>
          </cell>
        </row>
        <row r="31">
          <cell r="A31" t="str">
            <v>% service revenues</v>
          </cell>
          <cell r="F31">
            <v>0.39571752110356184</v>
          </cell>
          <cell r="G31">
            <v>0.37091193942163325</v>
          </cell>
          <cell r="H31">
            <v>0.33546628747481927</v>
          </cell>
          <cell r="I31">
            <v>0.3130978851026423</v>
          </cell>
          <cell r="J31">
            <v>0.31709010373115776</v>
          </cell>
          <cell r="K31">
            <v>0.26263080066652228</v>
          </cell>
          <cell r="L31">
            <v>0.22157279883086131</v>
          </cell>
          <cell r="M31">
            <v>0.2128552662652867</v>
          </cell>
          <cell r="N31">
            <v>0.17284440018696093</v>
          </cell>
          <cell r="O31">
            <v>0.17251441088346167</v>
          </cell>
          <cell r="P31">
            <v>0.17399999999999999</v>
          </cell>
          <cell r="Q31">
            <v>0.17399999999999999</v>
          </cell>
          <cell r="R31">
            <v>0.17</v>
          </cell>
          <cell r="S31">
            <v>0.17</v>
          </cell>
          <cell r="T31">
            <v>0.17</v>
          </cell>
          <cell r="AH31">
            <v>0.40222754828704355</v>
          </cell>
          <cell r="AI31">
            <v>0.39371980676328505</v>
          </cell>
          <cell r="AJ31">
            <v>0.40994460208079991</v>
          </cell>
          <cell r="AK31">
            <v>0.37673707615341856</v>
          </cell>
          <cell r="AL31">
            <v>0.39075347081816958</v>
          </cell>
          <cell r="AM31">
            <v>0.37271667314418966</v>
          </cell>
          <cell r="AN31">
            <v>0.36459007900531021</v>
          </cell>
          <cell r="AO31">
            <v>0.35647255431289371</v>
          </cell>
          <cell r="AP31">
            <v>0.34978138663335417</v>
          </cell>
          <cell r="AQ31">
            <v>0.33007836045810729</v>
          </cell>
          <cell r="AR31">
            <v>0.32490474541046066</v>
          </cell>
          <cell r="AS31">
            <v>0.33791927231381469</v>
          </cell>
          <cell r="AT31">
            <v>0.30895292564892213</v>
          </cell>
          <cell r="AU31">
            <v>0.30660377358490565</v>
          </cell>
          <cell r="AV31">
            <v>0.31095334685598375</v>
          </cell>
          <cell r="AW31">
            <v>0.32495582171608089</v>
          </cell>
          <cell r="AX31">
            <v>0.2965280528052805</v>
          </cell>
          <cell r="AY31">
            <v>0.30092252616118964</v>
          </cell>
          <cell r="AZ31">
            <v>0.33747572815533983</v>
          </cell>
          <cell r="BA31">
            <v>0.33143712574850298</v>
          </cell>
          <cell r="BB31">
            <v>0.29860810578739483</v>
          </cell>
          <cell r="BC31">
            <v>0.30875752508361204</v>
          </cell>
          <cell r="BD31">
            <v>0.22524975751697382</v>
          </cell>
          <cell r="BE31">
            <v>0.22225026402608838</v>
          </cell>
          <cell r="BF31">
            <v>0.20522000559532802</v>
          </cell>
          <cell r="BG31">
            <v>0.20928915497490763</v>
          </cell>
          <cell r="BH31">
            <v>0.23671908408790354</v>
          </cell>
          <cell r="BI31">
            <v>0.23352897392915212</v>
          </cell>
          <cell r="BJ31">
            <v>0.21720351193448981</v>
          </cell>
          <cell r="BK31">
            <v>0.21256726791537778</v>
          </cell>
          <cell r="BL31">
            <v>0.20217620027832814</v>
          </cell>
          <cell r="BM31">
            <v>0.21952324527775841</v>
          </cell>
          <cell r="BN31">
            <v>0.17305711931896198</v>
          </cell>
          <cell r="BO31">
            <v>0.16432441584828988</v>
          </cell>
          <cell r="BP31">
            <v>0.17692539916812022</v>
          </cell>
          <cell r="BQ31">
            <v>0.17699999999999999</v>
          </cell>
          <cell r="BR31">
            <v>0.17</v>
          </cell>
          <cell r="BS31">
            <v>0.17100000000000001</v>
          </cell>
          <cell r="BT31">
            <v>0.17299999999999999</v>
          </cell>
          <cell r="BU31">
            <v>0.17599999999999999</v>
          </cell>
        </row>
        <row r="32">
          <cell r="A32" t="str">
            <v>incremental expenses</v>
          </cell>
          <cell r="F32">
            <v>226</v>
          </cell>
          <cell r="G32">
            <v>-168</v>
          </cell>
          <cell r="H32">
            <v>-40</v>
          </cell>
          <cell r="I32">
            <v>786</v>
          </cell>
          <cell r="J32">
            <v>1920.92</v>
          </cell>
          <cell r="K32">
            <v>-1276.7804272316789</v>
          </cell>
          <cell r="L32">
            <v>-897.77910732893179</v>
          </cell>
          <cell r="M32">
            <v>218.0673687252638</v>
          </cell>
          <cell r="N32">
            <v>-1855.0375674972565</v>
          </cell>
          <cell r="O32">
            <v>305.71943852825098</v>
          </cell>
          <cell r="P32">
            <v>379.44934973507043</v>
          </cell>
          <cell r="Q32">
            <v>211.99007266848093</v>
          </cell>
          <cell r="R32">
            <v>-87.077247580902622</v>
          </cell>
          <cell r="S32">
            <v>116.25785978892054</v>
          </cell>
          <cell r="T32">
            <v>81.447402782563586</v>
          </cell>
        </row>
        <row r="33">
          <cell r="A33" t="str">
            <v>Total cash operating expenses</v>
          </cell>
          <cell r="F33">
            <v>23519</v>
          </cell>
          <cell r="G33">
            <v>25459</v>
          </cell>
          <cell r="H33">
            <v>26152</v>
          </cell>
          <cell r="I33">
            <v>27826</v>
          </cell>
          <cell r="J33">
            <v>31530</v>
          </cell>
          <cell r="K33">
            <v>33618</v>
          </cell>
          <cell r="L33">
            <v>36746</v>
          </cell>
          <cell r="M33">
            <v>41621</v>
          </cell>
          <cell r="N33">
            <v>42354.915530465907</v>
          </cell>
          <cell r="O33">
            <v>43095.016058589499</v>
          </cell>
          <cell r="P33">
            <v>43929.213119095766</v>
          </cell>
          <cell r="Q33">
            <v>44542.687667532722</v>
          </cell>
          <cell r="R33">
            <v>44740.10485708998</v>
          </cell>
          <cell r="S33">
            <v>45099.540345916277</v>
          </cell>
          <cell r="T33">
            <v>45651.98392434042</v>
          </cell>
          <cell r="AH33">
            <v>5830</v>
          </cell>
          <cell r="AI33">
            <v>5902</v>
          </cell>
          <cell r="AJ33">
            <v>6163</v>
          </cell>
          <cell r="AK33">
            <v>5624</v>
          </cell>
          <cell r="AL33">
            <v>6335</v>
          </cell>
          <cell r="AM33">
            <v>6381</v>
          </cell>
          <cell r="AN33">
            <v>6303</v>
          </cell>
          <cell r="AO33">
            <v>6440</v>
          </cell>
          <cell r="AP33">
            <v>6429</v>
          </cell>
          <cell r="AQ33">
            <v>6517</v>
          </cell>
          <cell r="AR33">
            <v>6474</v>
          </cell>
          <cell r="AS33">
            <v>6732</v>
          </cell>
          <cell r="AT33">
            <v>6459</v>
          </cell>
          <cell r="AU33">
            <v>6818</v>
          </cell>
          <cell r="AV33">
            <v>7085</v>
          </cell>
          <cell r="AW33">
            <v>7464</v>
          </cell>
          <cell r="AX33">
            <v>7147</v>
          </cell>
          <cell r="AY33">
            <v>7285</v>
          </cell>
          <cell r="AZ33">
            <v>8611</v>
          </cell>
          <cell r="BA33">
            <v>8487</v>
          </cell>
          <cell r="BB33">
            <v>7877</v>
          </cell>
          <cell r="BC33">
            <v>8422</v>
          </cell>
          <cell r="BD33">
            <v>8637</v>
          </cell>
          <cell r="BE33">
            <v>8682</v>
          </cell>
          <cell r="BF33">
            <v>8173</v>
          </cell>
          <cell r="BG33">
            <v>8553</v>
          </cell>
          <cell r="BH33">
            <v>10032</v>
          </cell>
          <cell r="BI33">
            <v>9988</v>
          </cell>
          <cell r="BJ33">
            <v>9861</v>
          </cell>
          <cell r="BK33">
            <v>9786</v>
          </cell>
          <cell r="BL33">
            <v>9376</v>
          </cell>
          <cell r="BM33">
            <v>12598</v>
          </cell>
          <cell r="BN33">
            <v>10083</v>
          </cell>
          <cell r="BO33">
            <v>9705</v>
          </cell>
          <cell r="BP33">
            <v>10549</v>
          </cell>
          <cell r="BQ33">
            <v>12017.915530465909</v>
          </cell>
          <cell r="BR33">
            <v>10244.069266844594</v>
          </cell>
          <cell r="BS33">
            <v>10059.886845684223</v>
          </cell>
          <cell r="BT33">
            <v>10409.964083875973</v>
          </cell>
          <cell r="BU33">
            <v>12381.095862184709</v>
          </cell>
        </row>
        <row r="34">
          <cell r="A34" t="str">
            <v>% y/y growth</v>
          </cell>
          <cell r="F34">
            <v>2.761392930484563E-2</v>
          </cell>
          <cell r="G34">
            <v>8.2486500276372388E-2</v>
          </cell>
          <cell r="H34">
            <v>2.7220236458619818E-2</v>
          </cell>
          <cell r="I34">
            <v>6.4010400734169526E-2</v>
          </cell>
          <cell r="J34">
            <v>0.13311291597786234</v>
          </cell>
          <cell r="K34">
            <v>6.6222645099904831E-2</v>
          </cell>
          <cell r="L34">
            <v>9.304539234933662E-2</v>
          </cell>
          <cell r="M34">
            <v>0.13266750122462301</v>
          </cell>
          <cell r="N34">
            <v>1.7633298826695842E-2</v>
          </cell>
          <cell r="O34">
            <v>1.7473781233048102E-2</v>
          </cell>
          <cell r="P34">
            <v>1.9357158595141088E-2</v>
          </cell>
          <cell r="Q34">
            <v>1.3965070277352165E-2</v>
          </cell>
          <cell r="R34">
            <v>4.4320897524365854E-3</v>
          </cell>
          <cell r="S34">
            <v>8.033854412599517E-3</v>
          </cell>
          <cell r="T34">
            <v>1.2249428135783003E-2</v>
          </cell>
          <cell r="AH34">
            <v>0.1320388349514563</v>
          </cell>
          <cell r="AI34">
            <v>8.3333333333333259E-2</v>
          </cell>
          <cell r="AJ34">
            <v>2.5457570715474276E-2</v>
          </cell>
          <cell r="AK34">
            <v>-0.10431597388119129</v>
          </cell>
          <cell r="AL34">
            <v>8.6620926243567764E-2</v>
          </cell>
          <cell r="AM34">
            <v>8.1158929176550432E-2</v>
          </cell>
          <cell r="AN34">
            <v>2.2716209638163232E-2</v>
          </cell>
          <cell r="AO34">
            <v>0.14509246088193462</v>
          </cell>
          <cell r="AP34">
            <v>1.483820047355966E-2</v>
          </cell>
          <cell r="AQ34">
            <v>2.1313273781538911E-2</v>
          </cell>
          <cell r="AR34">
            <v>2.7129938124702546E-2</v>
          </cell>
          <cell r="AS34">
            <v>4.5341614906832195E-2</v>
          </cell>
          <cell r="AT34">
            <v>4.6663555762949116E-3</v>
          </cell>
          <cell r="AU34">
            <v>4.6186895810955919E-2</v>
          </cell>
          <cell r="AV34">
            <v>9.4377510040160706E-2</v>
          </cell>
          <cell r="AW34">
            <v>0.10873440285204983</v>
          </cell>
          <cell r="AX34">
            <v>0.10651803684780936</v>
          </cell>
          <cell r="AY34">
            <v>6.84951598709298E-2</v>
          </cell>
          <cell r="AZ34">
            <v>0.21538461538461529</v>
          </cell>
          <cell r="BA34">
            <v>0.13705787781350476</v>
          </cell>
          <cell r="BB34">
            <v>0.10214075836015102</v>
          </cell>
          <cell r="BC34">
            <v>0.15607412491420725</v>
          </cell>
          <cell r="BD34">
            <v>3.0193937986295882E-3</v>
          </cell>
          <cell r="BE34">
            <v>2.2976316719689027E-2</v>
          </cell>
          <cell r="BF34">
            <v>3.7577758029706754E-2</v>
          </cell>
          <cell r="BG34">
            <v>1.5554500118736714E-2</v>
          </cell>
          <cell r="BH34">
            <v>0.16151441472733596</v>
          </cell>
          <cell r="BI34">
            <v>0.15042616908546425</v>
          </cell>
          <cell r="BJ34">
            <v>0.20653370855255115</v>
          </cell>
          <cell r="BK34">
            <v>0.14415994387934061</v>
          </cell>
          <cell r="BL34">
            <v>-6.5390749601275888E-2</v>
          </cell>
          <cell r="BM34">
            <v>0.26131357629154994</v>
          </cell>
          <cell r="BN34">
            <v>2.2512929723151887E-2</v>
          </cell>
          <cell r="BO34">
            <v>-8.2771305947271223E-3</v>
          </cell>
          <cell r="BP34">
            <v>0.12510665529010234</v>
          </cell>
          <cell r="BQ34">
            <v>-4.604575881362849E-2</v>
          </cell>
          <cell r="BR34">
            <v>1.5974339665237869E-2</v>
          </cell>
          <cell r="BS34">
            <v>3.6567423563546919E-2</v>
          </cell>
          <cell r="BT34">
            <v>-1.3180009112145896E-2</v>
          </cell>
          <cell r="BU34">
            <v>3.0219910499297731E-2</v>
          </cell>
        </row>
        <row r="35">
          <cell r="A35" t="str">
            <v>% revenues</v>
          </cell>
          <cell r="F35">
            <v>0.72796211464652716</v>
          </cell>
          <cell r="G35">
            <v>0.73937792234193944</v>
          </cell>
          <cell r="H35">
            <v>0.69727510265024262</v>
          </cell>
          <cell r="I35">
            <v>0.65190703776590764</v>
          </cell>
          <cell r="J35">
            <v>0.64119250010167972</v>
          </cell>
          <cell r="K35">
            <v>0.62832685406698563</v>
          </cell>
          <cell r="L35">
            <v>0.6281260149399156</v>
          </cell>
          <cell r="M35">
            <v>0.65840385984339156</v>
          </cell>
          <cell r="N35">
            <v>0.63873000295002957</v>
          </cell>
          <cell r="O35">
            <v>0.62934091479162835</v>
          </cell>
          <cell r="P35">
            <v>0.62416314359388392</v>
          </cell>
          <cell r="Q35">
            <v>0.61969253939603697</v>
          </cell>
          <cell r="R35">
            <v>0.6128782951799755</v>
          </cell>
          <cell r="S35">
            <v>0.61070643004051295</v>
          </cell>
          <cell r="T35">
            <v>0.61300833482950012</v>
          </cell>
          <cell r="AH35">
            <v>0.74600127959053097</v>
          </cell>
          <cell r="AI35">
            <v>0.72266438104567166</v>
          </cell>
          <cell r="AJ35">
            <v>0.74811847535809661</v>
          </cell>
          <cell r="AK35">
            <v>0.695351137487636</v>
          </cell>
          <cell r="AL35">
            <v>0.76983837647344755</v>
          </cell>
          <cell r="AM35">
            <v>0.74120106864908819</v>
          </cell>
          <cell r="AN35">
            <v>0.72067230734049847</v>
          </cell>
          <cell r="AO35">
            <v>0.72776584924850263</v>
          </cell>
          <cell r="AP35">
            <v>0.71592427616926502</v>
          </cell>
          <cell r="AQ35">
            <v>0.70698633109134301</v>
          </cell>
          <cell r="AR35">
            <v>0.67769287134931433</v>
          </cell>
          <cell r="AS35">
            <v>0.69010763710917478</v>
          </cell>
          <cell r="AT35">
            <v>0.64609382814844452</v>
          </cell>
          <cell r="AU35">
            <v>0.65589225589225586</v>
          </cell>
          <cell r="AV35">
            <v>0.64780104233336377</v>
          </cell>
          <cell r="AW35">
            <v>0.65733157199471604</v>
          </cell>
          <cell r="AX35">
            <v>0.60644887568943573</v>
          </cell>
          <cell r="AY35">
            <v>0.60829993319973275</v>
          </cell>
          <cell r="AZ35">
            <v>0.684934775692014</v>
          </cell>
          <cell r="BA35">
            <v>0.66092983412506812</v>
          </cell>
          <cell r="BB35">
            <v>0.61356909175884089</v>
          </cell>
          <cell r="BC35">
            <v>0.63696868854938737</v>
          </cell>
          <cell r="BD35">
            <v>0.63381521978425182</v>
          </cell>
          <cell r="BE35">
            <v>0.62835637258449739</v>
          </cell>
          <cell r="BF35">
            <v>0.58811254227531118</v>
          </cell>
          <cell r="BG35">
            <v>0.600547675888218</v>
          </cell>
          <cell r="BH35">
            <v>0.6609131036300151</v>
          </cell>
          <cell r="BI35">
            <v>0.65784100638872423</v>
          </cell>
          <cell r="BJ35">
            <v>0.64408883082952317</v>
          </cell>
          <cell r="BK35">
            <v>0.62718707940780616</v>
          </cell>
          <cell r="BL35">
            <v>0.60079456619249005</v>
          </cell>
          <cell r="BM35">
            <v>0.75455198850023952</v>
          </cell>
          <cell r="BN35">
            <v>0.62487605354486864</v>
          </cell>
          <cell r="BO35">
            <v>0.59346908824068978</v>
          </cell>
          <cell r="BP35">
            <v>0.6342592592592593</v>
          </cell>
          <cell r="BQ35">
            <v>0.69911673577834788</v>
          </cell>
          <cell r="BR35">
            <v>0.61367851618599301</v>
          </cell>
          <cell r="BS35">
            <v>0.59481750963444335</v>
          </cell>
          <cell r="BT35">
            <v>0.60353266140242356</v>
          </cell>
          <cell r="BU35">
            <v>0.70256969623645549</v>
          </cell>
        </row>
        <row r="36">
          <cell r="A36" t="str">
            <v>incremental expenses</v>
          </cell>
          <cell r="G36">
            <v>1940</v>
          </cell>
          <cell r="H36">
            <v>693</v>
          </cell>
          <cell r="I36">
            <v>1674</v>
          </cell>
          <cell r="J36">
            <v>3704</v>
          </cell>
          <cell r="K36">
            <v>2088</v>
          </cell>
          <cell r="L36">
            <v>3128</v>
          </cell>
          <cell r="M36">
            <v>4875</v>
          </cell>
          <cell r="N36">
            <v>733.91553046590707</v>
          </cell>
          <cell r="O36">
            <v>740.10052812359208</v>
          </cell>
          <cell r="P36">
            <v>834.19706050626701</v>
          </cell>
          <cell r="Q36">
            <v>613.47454843695596</v>
          </cell>
          <cell r="R36">
            <v>197.4171895572581</v>
          </cell>
          <cell r="S36">
            <v>359.43548882629693</v>
          </cell>
          <cell r="T36">
            <v>552.4435784241432</v>
          </cell>
        </row>
        <row r="37">
          <cell r="A37" t="str">
            <v>EBITDA</v>
          </cell>
          <cell r="F37">
            <v>8789</v>
          </cell>
          <cell r="G37">
            <v>8974</v>
          </cell>
          <cell r="H37">
            <v>11354</v>
          </cell>
          <cell r="I37">
            <v>14858</v>
          </cell>
          <cell r="J37">
            <v>17644</v>
          </cell>
          <cell r="K37">
            <v>19886</v>
          </cell>
          <cell r="L37">
            <v>21755</v>
          </cell>
          <cell r="M37">
            <v>21594</v>
          </cell>
          <cell r="N37">
            <v>23956.225851410753</v>
          </cell>
          <cell r="O37">
            <v>25381.409112111571</v>
          </cell>
          <cell r="P37">
            <v>26451.765908526235</v>
          </cell>
          <cell r="Q37">
            <v>27336.001901563577</v>
          </cell>
          <cell r="R37">
            <v>28259.877698911245</v>
          </cell>
          <cell r="S37">
            <v>28748.610136017363</v>
          </cell>
          <cell r="T37">
            <v>28820.060468070478</v>
          </cell>
          <cell r="Z37">
            <v>1937</v>
          </cell>
          <cell r="AA37">
            <v>2196</v>
          </cell>
          <cell r="AB37">
            <v>2164</v>
          </cell>
          <cell r="AC37">
            <v>1896</v>
          </cell>
          <cell r="AD37">
            <v>2232</v>
          </cell>
          <cell r="AE37">
            <v>2356</v>
          </cell>
          <cell r="AF37">
            <v>2199</v>
          </cell>
          <cell r="AG37">
            <v>1658</v>
          </cell>
          <cell r="AH37">
            <v>1985</v>
          </cell>
          <cell r="AI37">
            <v>2265</v>
          </cell>
          <cell r="AJ37">
            <v>2075</v>
          </cell>
          <cell r="AK37">
            <v>2464</v>
          </cell>
          <cell r="AL37">
            <v>1894</v>
          </cell>
          <cell r="AM37">
            <v>2228</v>
          </cell>
          <cell r="AN37">
            <v>2443</v>
          </cell>
          <cell r="AO37">
            <v>2409</v>
          </cell>
          <cell r="AP37">
            <v>2551</v>
          </cell>
          <cell r="AQ37">
            <v>2701</v>
          </cell>
          <cell r="AR37">
            <v>3079</v>
          </cell>
          <cell r="AS37">
            <v>3023</v>
          </cell>
          <cell r="AT37">
            <v>3538</v>
          </cell>
          <cell r="AU37">
            <v>3577</v>
          </cell>
          <cell r="AV37">
            <v>3852</v>
          </cell>
          <cell r="AW37">
            <v>3891</v>
          </cell>
          <cell r="AX37">
            <v>4638</v>
          </cell>
          <cell r="AY37">
            <v>4691</v>
          </cell>
          <cell r="AZ37">
            <v>3961</v>
          </cell>
          <cell r="BA37">
            <v>4354</v>
          </cell>
          <cell r="BB37">
            <v>4961</v>
          </cell>
          <cell r="BC37">
            <v>4800</v>
          </cell>
          <cell r="BD37">
            <v>4990</v>
          </cell>
          <cell r="BE37">
            <v>5135</v>
          </cell>
          <cell r="BF37">
            <v>5724</v>
          </cell>
          <cell r="BG37">
            <v>5689</v>
          </cell>
          <cell r="BH37">
            <v>5147</v>
          </cell>
          <cell r="BI37">
            <v>5195</v>
          </cell>
          <cell r="BJ37">
            <v>5449</v>
          </cell>
          <cell r="BK37">
            <v>5817</v>
          </cell>
          <cell r="BL37">
            <v>6230</v>
          </cell>
          <cell r="BM37">
            <v>4098</v>
          </cell>
          <cell r="BN37">
            <v>6053</v>
          </cell>
          <cell r="BO37">
            <v>6648</v>
          </cell>
          <cell r="BP37">
            <v>6083</v>
          </cell>
          <cell r="BQ37">
            <v>5172.2258514107507</v>
          </cell>
          <cell r="BR37">
            <v>6448.8228528134332</v>
          </cell>
          <cell r="BS37">
            <v>6852.6731962464892</v>
          </cell>
          <cell r="BT37">
            <v>6838.4215456381462</v>
          </cell>
          <cell r="BU37">
            <v>5241.4915174135022</v>
          </cell>
        </row>
        <row r="38">
          <cell r="A38" t="str">
            <v>% y/y growth</v>
          </cell>
          <cell r="F38">
            <v>4.0734162226169435E-2</v>
          </cell>
          <cell r="G38">
            <v>2.1049038570940981E-2</v>
          </cell>
          <cell r="H38">
            <v>0.26521060842433708</v>
          </cell>
          <cell r="I38">
            <v>0.30861370442134928</v>
          </cell>
          <cell r="J38">
            <v>0.18750841297617438</v>
          </cell>
          <cell r="K38">
            <v>0.12706869190659709</v>
          </cell>
          <cell r="L38">
            <v>9.3985718595997136E-2</v>
          </cell>
          <cell r="M38">
            <v>-7.4005975637784216E-3</v>
          </cell>
          <cell r="N38">
            <v>0.1093926947953483</v>
          </cell>
          <cell r="O38">
            <v>5.9491143118309386E-2</v>
          </cell>
          <cell r="P38">
            <v>4.2170897277090447E-2</v>
          </cell>
          <cell r="Q38">
            <v>3.3428240522585417E-2</v>
          </cell>
          <cell r="R38">
            <v>3.3797034426414241E-2</v>
          </cell>
          <cell r="S38">
            <v>1.7294216284770014E-2</v>
          </cell>
          <cell r="T38">
            <v>2.485349090445288E-3</v>
          </cell>
          <cell r="AL38">
            <v>-4.5843828715365187E-2</v>
          </cell>
          <cell r="AM38">
            <v>-1.6335540838852136E-2</v>
          </cell>
          <cell r="AN38">
            <v>0.1773493975903615</v>
          </cell>
          <cell r="AO38">
            <v>-2.2321428571428603E-2</v>
          </cell>
          <cell r="AP38">
            <v>0.34688489968321012</v>
          </cell>
          <cell r="AQ38">
            <v>0.21229802513465001</v>
          </cell>
          <cell r="AR38">
            <v>0.26033565288579608</v>
          </cell>
          <cell r="AS38">
            <v>0.25487754254877548</v>
          </cell>
          <cell r="AT38">
            <v>0.38690709525676215</v>
          </cell>
          <cell r="AU38">
            <v>0.32432432432432434</v>
          </cell>
          <cell r="AV38">
            <v>0.25105553751217924</v>
          </cell>
          <cell r="AW38">
            <v>0.28713198809130014</v>
          </cell>
          <cell r="AX38">
            <v>0.31091011871113627</v>
          </cell>
          <cell r="AY38">
            <v>0.3114341627061783</v>
          </cell>
          <cell r="AZ38">
            <v>2.8296988577362514E-2</v>
          </cell>
          <cell r="BA38">
            <v>0.11899254690310967</v>
          </cell>
          <cell r="BB38">
            <v>6.9642087106511319E-2</v>
          </cell>
          <cell r="BC38">
            <v>2.3235983798763682E-2</v>
          </cell>
          <cell r="BD38">
            <v>0.25978288311032571</v>
          </cell>
          <cell r="BE38">
            <v>0.17937528709232886</v>
          </cell>
          <cell r="BF38">
            <v>0.15379963716992551</v>
          </cell>
          <cell r="BG38">
            <v>0.18520833333333342</v>
          </cell>
          <cell r="BH38">
            <v>3.1462925851703405E-2</v>
          </cell>
          <cell r="BI38">
            <v>1.1684518013632017E-2</v>
          </cell>
          <cell r="BJ38">
            <v>-4.8043326345213133E-2</v>
          </cell>
          <cell r="BK38">
            <v>2.2499560555457876E-2</v>
          </cell>
          <cell r="BL38">
            <v>0.21041383330095198</v>
          </cell>
          <cell r="BM38">
            <v>-0.21116458132820015</v>
          </cell>
          <cell r="BN38">
            <v>0.11084602679390709</v>
          </cell>
          <cell r="BO38">
            <v>0.14285714285714279</v>
          </cell>
          <cell r="BP38">
            <v>-2.3595505617977519E-2</v>
          </cell>
          <cell r="BQ38">
            <v>0.26213417555167173</v>
          </cell>
          <cell r="BR38">
            <v>6.5392838726818558E-2</v>
          </cell>
          <cell r="BS38">
            <v>3.078718355091592E-2</v>
          </cell>
          <cell r="BT38">
            <v>0.12418568890977255</v>
          </cell>
          <cell r="BU38">
            <v>1.339184869196286E-2</v>
          </cell>
        </row>
        <row r="39">
          <cell r="A39" t="str">
            <v>% margin (service rev only)</v>
          </cell>
          <cell r="F39">
            <v>0.29023344787275496</v>
          </cell>
          <cell r="G39">
            <v>0.29290423656896664</v>
          </cell>
          <cell r="H39">
            <v>0.33635501836710513</v>
          </cell>
          <cell r="I39">
            <v>0.3841460261647448</v>
          </cell>
          <cell r="J39">
            <v>0.39874347442880065</v>
          </cell>
          <cell r="K39">
            <v>0.40948870539299465</v>
          </cell>
          <cell r="L39">
            <v>0.40655952158475051</v>
          </cell>
          <cell r="M39">
            <v>0.38067200225646086</v>
          </cell>
          <cell r="N39">
            <v>0.40518067907986505</v>
          </cell>
          <cell r="O39">
            <v>0.4160202566065947</v>
          </cell>
          <cell r="P39">
            <v>0.42208100711806423</v>
          </cell>
          <cell r="Q39">
            <v>0.42787237984341087</v>
          </cell>
          <cell r="R39">
            <v>0.43557654084222047</v>
          </cell>
          <cell r="S39">
            <v>0.43848754969071102</v>
          </cell>
          <cell r="T39">
            <v>0.43638843650077402</v>
          </cell>
          <cell r="AH39">
            <v>0.27985337656844778</v>
          </cell>
          <cell r="AI39">
            <v>0.30394524959742353</v>
          </cell>
          <cell r="AJ39">
            <v>0.28036751790298609</v>
          </cell>
          <cell r="AK39">
            <v>0.34241245136186771</v>
          </cell>
          <cell r="AL39">
            <v>0.25529047041380237</v>
          </cell>
          <cell r="AM39">
            <v>0.28863842466640754</v>
          </cell>
          <cell r="AN39">
            <v>0.31640979147778786</v>
          </cell>
          <cell r="AO39">
            <v>0.30967990744311608</v>
          </cell>
          <cell r="AP39">
            <v>0.31867582760774515</v>
          </cell>
          <cell r="AQ39">
            <v>0.32561784207353828</v>
          </cell>
          <cell r="AR39">
            <v>0.35550167417157374</v>
          </cell>
          <cell r="AS39">
            <v>0.34371802160318365</v>
          </cell>
          <cell r="AT39">
            <v>0.38913330400351959</v>
          </cell>
          <cell r="AU39">
            <v>0.37494758909853249</v>
          </cell>
          <cell r="AV39">
            <v>0.39066937119675454</v>
          </cell>
          <cell r="AW39">
            <v>0.38199489495385824</v>
          </cell>
          <cell r="AX39">
            <v>0.43734087694483736</v>
          </cell>
          <cell r="AY39">
            <v>0.43060400220304756</v>
          </cell>
          <cell r="AZ39">
            <v>0.35281018972120781</v>
          </cell>
          <cell r="BA39">
            <v>0.37785298967282827</v>
          </cell>
          <cell r="BB39">
            <v>0.42598317018718873</v>
          </cell>
          <cell r="BC39">
            <v>0.40133779264214048</v>
          </cell>
          <cell r="BD39">
            <v>0.40333010022631749</v>
          </cell>
          <cell r="BE39">
            <v>0.4080254270957489</v>
          </cell>
          <cell r="BF39">
            <v>0.44544747081712061</v>
          </cell>
          <cell r="BG39">
            <v>0.43144243895040196</v>
          </cell>
          <cell r="BH39">
            <v>0.37640778119058066</v>
          </cell>
          <cell r="BI39">
            <v>0.37644927536231881</v>
          </cell>
          <cell r="BJ39">
            <v>0.39030155432991909</v>
          </cell>
          <cell r="BK39">
            <v>0.41089213816486542</v>
          </cell>
          <cell r="BL39">
            <v>0.43685576046560548</v>
          </cell>
          <cell r="BM39">
            <v>0.28563462744824702</v>
          </cell>
          <cell r="BN39">
            <v>0.41555677605382396</v>
          </cell>
          <cell r="BO39">
            <v>0.45025397900440228</v>
          </cell>
          <cell r="BP39">
            <v>0.40809070173084666</v>
          </cell>
          <cell r="BQ39">
            <v>0.34741375526756874</v>
          </cell>
          <cell r="BR39">
            <v>0.42832642105359509</v>
          </cell>
          <cell r="BS39">
            <v>0.44952531126357065</v>
          </cell>
          <cell r="BT39">
            <v>0.44502118492158116</v>
          </cell>
          <cell r="BU39">
            <v>0.34161167771654916</v>
          </cell>
        </row>
        <row r="40">
          <cell r="A40" t="str">
            <v>incremental EBITDA</v>
          </cell>
          <cell r="F40">
            <v>588</v>
          </cell>
          <cell r="G40">
            <v>185</v>
          </cell>
          <cell r="H40">
            <v>2380</v>
          </cell>
          <cell r="I40">
            <v>3504</v>
          </cell>
          <cell r="J40">
            <v>2786</v>
          </cell>
          <cell r="K40">
            <v>2242</v>
          </cell>
          <cell r="L40">
            <v>1869</v>
          </cell>
          <cell r="M40">
            <v>-161</v>
          </cell>
          <cell r="N40">
            <v>2362.2258514107525</v>
          </cell>
          <cell r="O40">
            <v>1425.1832607008182</v>
          </cell>
          <cell r="P40">
            <v>1070.3567964146641</v>
          </cell>
          <cell r="Q40">
            <v>884.23599303734227</v>
          </cell>
          <cell r="R40">
            <v>923.87579734766769</v>
          </cell>
          <cell r="S40">
            <v>488.7324371061186</v>
          </cell>
          <cell r="T40">
            <v>71.450332053114835</v>
          </cell>
          <cell r="AI40">
            <v>280</v>
          </cell>
          <cell r="AJ40">
            <v>-190</v>
          </cell>
          <cell r="AK40">
            <v>389</v>
          </cell>
          <cell r="AL40">
            <v>-570</v>
          </cell>
          <cell r="AM40">
            <v>334</v>
          </cell>
          <cell r="AN40">
            <v>215</v>
          </cell>
          <cell r="AO40">
            <v>-34</v>
          </cell>
          <cell r="AP40">
            <v>142</v>
          </cell>
          <cell r="AQ40">
            <v>150</v>
          </cell>
          <cell r="AR40">
            <v>378</v>
          </cell>
          <cell r="AS40">
            <v>-56</v>
          </cell>
          <cell r="AT40">
            <v>515</v>
          </cell>
          <cell r="AU40">
            <v>39</v>
          </cell>
          <cell r="AV40">
            <v>275</v>
          </cell>
          <cell r="AW40">
            <v>39</v>
          </cell>
          <cell r="AX40">
            <v>747</v>
          </cell>
          <cell r="AY40">
            <v>53</v>
          </cell>
          <cell r="AZ40">
            <v>-730</v>
          </cell>
          <cell r="BA40">
            <v>393</v>
          </cell>
          <cell r="BB40">
            <v>607</v>
          </cell>
          <cell r="BC40">
            <v>-161</v>
          </cell>
          <cell r="BD40">
            <v>190</v>
          </cell>
          <cell r="BE40">
            <v>145</v>
          </cell>
          <cell r="BF40">
            <v>589</v>
          </cell>
          <cell r="BG40">
            <v>-35</v>
          </cell>
          <cell r="BH40">
            <v>-542</v>
          </cell>
          <cell r="BI40">
            <v>48</v>
          </cell>
          <cell r="BJ40">
            <v>254</v>
          </cell>
          <cell r="BK40">
            <v>368</v>
          </cell>
          <cell r="BL40">
            <v>413</v>
          </cell>
          <cell r="BM40">
            <v>-2132</v>
          </cell>
          <cell r="BN40">
            <v>1955</v>
          </cell>
          <cell r="BO40">
            <v>595</v>
          </cell>
          <cell r="BP40">
            <v>-565</v>
          </cell>
          <cell r="BQ40">
            <v>-910.77414858924931</v>
          </cell>
          <cell r="BR40">
            <v>1276.5970014026825</v>
          </cell>
          <cell r="BS40">
            <v>403.85034343305597</v>
          </cell>
          <cell r="BT40">
            <v>-14.25165060834297</v>
          </cell>
          <cell r="BU40">
            <v>-1596.930028224644</v>
          </cell>
        </row>
        <row r="41">
          <cell r="A41" t="str">
            <v>Depreciation and amortization</v>
          </cell>
          <cell r="F41">
            <v>5489</v>
          </cell>
          <cell r="G41">
            <v>4445</v>
          </cell>
          <cell r="H41">
            <v>4753</v>
          </cell>
          <cell r="I41">
            <v>993</v>
          </cell>
          <cell r="J41">
            <v>6025</v>
          </cell>
          <cell r="K41">
            <v>4852.5103203119324</v>
          </cell>
          <cell r="L41">
            <v>4911.875748541167</v>
          </cell>
          <cell r="M41">
            <v>4961.3395476051155</v>
          </cell>
          <cell r="N41">
            <v>5004.8676907813897</v>
          </cell>
          <cell r="O41">
            <v>5004.8676907813897</v>
          </cell>
          <cell r="P41">
            <v>5004.8676907813897</v>
          </cell>
          <cell r="Q41">
            <v>5004.8676907813897</v>
          </cell>
          <cell r="AH41">
            <v>1515</v>
          </cell>
          <cell r="AI41">
            <v>1510</v>
          </cell>
          <cell r="AJ41">
            <v>1476</v>
          </cell>
          <cell r="AK41">
            <v>988</v>
          </cell>
          <cell r="AL41">
            <v>1184</v>
          </cell>
          <cell r="AM41">
            <v>1075</v>
          </cell>
          <cell r="AN41">
            <v>1053</v>
          </cell>
          <cell r="AO41">
            <v>1133</v>
          </cell>
          <cell r="AP41">
            <v>1158</v>
          </cell>
          <cell r="AQ41">
            <v>1192</v>
          </cell>
          <cell r="AR41">
            <v>1216</v>
          </cell>
          <cell r="AS41">
            <v>1187</v>
          </cell>
          <cell r="AT41">
            <v>993</v>
          </cell>
          <cell r="AX41">
            <v>1542</v>
          </cell>
          <cell r="AY41">
            <v>1510</v>
          </cell>
          <cell r="AZ41">
            <v>1466</v>
          </cell>
          <cell r="BA41">
            <v>1507</v>
          </cell>
          <cell r="BB41">
            <v>1500</v>
          </cell>
          <cell r="BC41">
            <v>1503</v>
          </cell>
          <cell r="BD41">
            <v>1490</v>
          </cell>
          <cell r="BE41">
            <v>1550</v>
          </cell>
          <cell r="BF41">
            <v>1558</v>
          </cell>
          <cell r="BG41">
            <v>1578</v>
          </cell>
          <cell r="BH41">
            <v>1640</v>
          </cell>
          <cell r="BI41">
            <v>1722</v>
          </cell>
        </row>
        <row r="42">
          <cell r="A42" t="str">
            <v>% y/y growth</v>
          </cell>
          <cell r="F42">
            <v>-0.10369039843239714</v>
          </cell>
          <cell r="G42">
            <v>-0.19019857897613413</v>
          </cell>
          <cell r="H42">
            <v>6.929133858267722E-2</v>
          </cell>
          <cell r="I42">
            <v>-0.79107931832526823</v>
          </cell>
          <cell r="J42">
            <v>5.0674723061430011</v>
          </cell>
          <cell r="K42">
            <v>-0.19460409621378716</v>
          </cell>
          <cell r="L42">
            <v>1.2233962281489541E-2</v>
          </cell>
          <cell r="M42">
            <v>1.0070246397954952E-2</v>
          </cell>
          <cell r="N42">
            <v>8.7734658671538845E-3</v>
          </cell>
          <cell r="O42">
            <v>0</v>
          </cell>
          <cell r="P42">
            <v>0</v>
          </cell>
          <cell r="Q42">
            <v>0</v>
          </cell>
          <cell r="AH42">
            <v>0</v>
          </cell>
          <cell r="AI42">
            <v>2.7910142954390649E-2</v>
          </cell>
          <cell r="AJ42">
            <v>-7.1113908118313418E-2</v>
          </cell>
          <cell r="AK42">
            <v>-0.36299161831076721</v>
          </cell>
          <cell r="AL42">
            <v>-0.21848184818481853</v>
          </cell>
          <cell r="AM42">
            <v>-0.28807947019867552</v>
          </cell>
          <cell r="AN42">
            <v>-0.28658536585365857</v>
          </cell>
          <cell r="AO42">
            <v>0.14676113360323884</v>
          </cell>
          <cell r="AP42">
            <v>-2.1959459459459429E-2</v>
          </cell>
          <cell r="AQ42">
            <v>0.10883720930232554</v>
          </cell>
          <cell r="AR42">
            <v>0.15479582146248805</v>
          </cell>
          <cell r="AS42">
            <v>4.7661076787290479E-2</v>
          </cell>
          <cell r="AT42">
            <v>-0.1424870466321243</v>
          </cell>
        </row>
        <row r="43">
          <cell r="A43" t="str">
            <v>% revenues (service rev only)</v>
          </cell>
          <cell r="F43">
            <v>0.18835357902683411</v>
          </cell>
          <cell r="G43">
            <v>0.14508127162347412</v>
          </cell>
          <cell r="H43">
            <v>0.14080459770114942</v>
          </cell>
          <cell r="I43">
            <v>2.5673509488598169E-2</v>
          </cell>
          <cell r="J43">
            <v>0.13616126918122443</v>
          </cell>
          <cell r="K43">
            <v>9.9921963641289302E-2</v>
          </cell>
          <cell r="L43">
            <v>9.1793603971989671E-2</v>
          </cell>
          <cell r="M43">
            <v>8.7461473532509174E-2</v>
          </cell>
          <cell r="N43">
            <v>8.4649214038707205E-2</v>
          </cell>
          <cell r="O43">
            <v>8.2033520353579345E-2</v>
          </cell>
          <cell r="P43">
            <v>7.9860815445095004E-2</v>
          </cell>
          <cell r="Q43">
            <v>7.8337887792345448E-2</v>
          </cell>
          <cell r="AH43">
            <v>0.21359086423234175</v>
          </cell>
          <cell r="AI43">
            <v>0.20263016639828235</v>
          </cell>
          <cell r="AJ43">
            <v>0.19943250912038912</v>
          </cell>
          <cell r="AK43">
            <v>0.13729849916620346</v>
          </cell>
          <cell r="AL43">
            <v>0.15959024127240867</v>
          </cell>
          <cell r="AM43">
            <v>0.13926674439694262</v>
          </cell>
          <cell r="AN43">
            <v>0.13638129775935759</v>
          </cell>
          <cell r="AO43">
            <v>0.14564854094356602</v>
          </cell>
          <cell r="AP43">
            <v>0.14465958775765148</v>
          </cell>
          <cell r="AQ43">
            <v>0.14370102471368293</v>
          </cell>
          <cell r="AR43">
            <v>0.14039949197552246</v>
          </cell>
          <cell r="AS43">
            <v>0.13496304718590107</v>
          </cell>
          <cell r="AT43">
            <v>0.10921689397272327</v>
          </cell>
        </row>
        <row r="44">
          <cell r="A44" t="str">
            <v>Operating income</v>
          </cell>
          <cell r="F44">
            <v>3300</v>
          </cell>
          <cell r="G44">
            <v>4529</v>
          </cell>
          <cell r="H44">
            <v>6601</v>
          </cell>
          <cell r="I44">
            <v>13865</v>
          </cell>
          <cell r="J44">
            <v>11619</v>
          </cell>
          <cell r="K44">
            <v>15033.489679688068</v>
          </cell>
          <cell r="L44">
            <v>16843.124251458834</v>
          </cell>
          <cell r="M44">
            <v>16632.660452394884</v>
          </cell>
          <cell r="N44">
            <v>18951.358160629363</v>
          </cell>
          <cell r="O44">
            <v>20376.541421330181</v>
          </cell>
          <cell r="P44">
            <v>21446.898217744845</v>
          </cell>
          <cell r="Q44">
            <v>22331.134210782187</v>
          </cell>
          <cell r="AH44">
            <v>470</v>
          </cell>
          <cell r="AI44">
            <v>755</v>
          </cell>
          <cell r="AJ44">
            <v>599</v>
          </cell>
          <cell r="AK44">
            <v>1476</v>
          </cell>
          <cell r="AL44">
            <v>710</v>
          </cell>
          <cell r="AM44">
            <v>1153</v>
          </cell>
          <cell r="AN44">
            <v>1390</v>
          </cell>
          <cell r="AO44">
            <v>1276</v>
          </cell>
          <cell r="AP44">
            <v>1393</v>
          </cell>
          <cell r="AQ44">
            <v>1509</v>
          </cell>
          <cell r="AR44">
            <v>1863</v>
          </cell>
          <cell r="AS44">
            <v>1836</v>
          </cell>
          <cell r="AT44">
            <v>2545</v>
          </cell>
          <cell r="AX44">
            <v>3096</v>
          </cell>
          <cell r="AY44">
            <v>3181</v>
          </cell>
          <cell r="AZ44">
            <v>2495</v>
          </cell>
          <cell r="BA44">
            <v>2847</v>
          </cell>
          <cell r="BB44">
            <v>3461</v>
          </cell>
          <cell r="BC44">
            <v>3297</v>
          </cell>
          <cell r="BD44">
            <v>3500</v>
          </cell>
          <cell r="BE44">
            <v>3585</v>
          </cell>
        </row>
        <row r="45">
          <cell r="A45" t="str">
            <v>% y/y growth</v>
          </cell>
          <cell r="F45">
            <v>0.4218009478672986</v>
          </cell>
          <cell r="G45">
            <v>0.37242424242424232</v>
          </cell>
          <cell r="H45">
            <v>0.45749613601236483</v>
          </cell>
          <cell r="I45">
            <v>1.10043932737464</v>
          </cell>
          <cell r="J45">
            <v>-0.16199062387306162</v>
          </cell>
          <cell r="K45">
            <v>0.29387121780601322</v>
          </cell>
          <cell r="L45">
            <v>0.12037355333511068</v>
          </cell>
          <cell r="M45">
            <v>-1.2495532059363712E-2</v>
          </cell>
          <cell r="N45">
            <v>0.13940630333138415</v>
          </cell>
          <cell r="O45">
            <v>7.5202170135836299E-2</v>
          </cell>
          <cell r="P45">
            <v>5.2528874958839289E-2</v>
          </cell>
          <cell r="Q45">
            <v>4.122908516000412E-2</v>
          </cell>
          <cell r="AH45">
            <v>-0.3444909344490934</v>
          </cell>
          <cell r="AI45">
            <v>-0.14881623449830894</v>
          </cell>
          <cell r="AJ45">
            <v>-1.8032786885245899E-2</v>
          </cell>
          <cell r="AK45">
            <v>12.794392523364486</v>
          </cell>
          <cell r="AL45">
            <v>0.5106382978723405</v>
          </cell>
          <cell r="AM45">
            <v>0.52715231788079464</v>
          </cell>
          <cell r="AN45">
            <v>1.320534223706177</v>
          </cell>
          <cell r="AO45">
            <v>-0.1355013550135501</v>
          </cell>
          <cell r="AP45">
            <v>0.96197183098591554</v>
          </cell>
          <cell r="AQ45">
            <v>0.30875975715524717</v>
          </cell>
          <cell r="AR45">
            <v>0.34028776978417263</v>
          </cell>
          <cell r="AS45">
            <v>0.43887147335423204</v>
          </cell>
          <cell r="AT45">
            <v>0.82699210337401285</v>
          </cell>
        </row>
        <row r="46">
          <cell r="A46" t="str">
            <v>% margin (service rev only)</v>
          </cell>
          <cell r="F46">
            <v>0.11323862466543133</v>
          </cell>
          <cell r="G46">
            <v>0.14782296494549252</v>
          </cell>
          <cell r="H46">
            <v>0.19555042066595568</v>
          </cell>
          <cell r="I46">
            <v>0.35847251667614666</v>
          </cell>
          <cell r="J46">
            <v>0.26258220524757619</v>
          </cell>
          <cell r="K46">
            <v>0.30956674175170534</v>
          </cell>
          <cell r="L46">
            <v>0.31476591761276085</v>
          </cell>
          <cell r="M46">
            <v>0.2932105287239517</v>
          </cell>
          <cell r="N46">
            <v>0.32053146504115787</v>
          </cell>
          <cell r="O46">
            <v>0.33398673625301539</v>
          </cell>
          <cell r="P46">
            <v>0.34222019167296924</v>
          </cell>
          <cell r="Q46">
            <v>0.3495344920510654</v>
          </cell>
          <cell r="AH46">
            <v>6.6262512336106014E-2</v>
          </cell>
          <cell r="AI46">
            <v>0.10131508319914118</v>
          </cell>
          <cell r="AJ46">
            <v>8.0935008782596948E-2</v>
          </cell>
          <cell r="AK46">
            <v>0.20511395219566425</v>
          </cell>
          <cell r="AL46">
            <v>9.5700229141393714E-2</v>
          </cell>
          <cell r="AM46">
            <v>0.14937168026946496</v>
          </cell>
          <cell r="AN46">
            <v>0.18002849371843024</v>
          </cell>
          <cell r="AO46">
            <v>0.16403136649955008</v>
          </cell>
          <cell r="AP46">
            <v>0.17401623985009368</v>
          </cell>
          <cell r="AQ46">
            <v>0.18191681735985535</v>
          </cell>
          <cell r="AR46">
            <v>0.21510218219605126</v>
          </cell>
          <cell r="AS46">
            <v>0.20875497441728255</v>
          </cell>
          <cell r="AT46">
            <v>0.27991641003079631</v>
          </cell>
        </row>
        <row r="48">
          <cell r="A48" t="str">
            <v>Interest expense</v>
          </cell>
          <cell r="F48">
            <v>1339</v>
          </cell>
          <cell r="G48">
            <v>1260</v>
          </cell>
          <cell r="H48">
            <v>1186</v>
          </cell>
          <cell r="I48">
            <v>298</v>
          </cell>
          <cell r="J48">
            <v>0</v>
          </cell>
          <cell r="K48">
            <v>1237.3910699999997</v>
          </cell>
          <cell r="L48">
            <v>1241.1032432099996</v>
          </cell>
          <cell r="M48">
            <v>1244.8265529396294</v>
          </cell>
          <cell r="N48">
            <v>1248.5610325984483</v>
          </cell>
          <cell r="O48">
            <v>1248.5610325984483</v>
          </cell>
          <cell r="P48">
            <v>1248.5610325984483</v>
          </cell>
          <cell r="Q48">
            <v>1248.5610325984483</v>
          </cell>
          <cell r="AH48">
            <v>340</v>
          </cell>
          <cell r="AI48">
            <v>342</v>
          </cell>
          <cell r="AJ48">
            <v>354</v>
          </cell>
          <cell r="AK48">
            <v>303</v>
          </cell>
          <cell r="AL48">
            <v>338</v>
          </cell>
          <cell r="AM48">
            <v>326</v>
          </cell>
          <cell r="AN48">
            <v>304</v>
          </cell>
          <cell r="AO48">
            <v>292</v>
          </cell>
          <cell r="AP48">
            <v>297</v>
          </cell>
          <cell r="AQ48">
            <v>298</v>
          </cell>
          <cell r="AR48">
            <v>306</v>
          </cell>
          <cell r="AS48">
            <v>285</v>
          </cell>
          <cell r="AT48">
            <v>298</v>
          </cell>
        </row>
        <row r="49">
          <cell r="A49" t="str">
            <v>% y/y growth</v>
          </cell>
          <cell r="G49">
            <v>-5.8999253174010446E-2</v>
          </cell>
          <cell r="H49">
            <v>-5.8730158730158744E-2</v>
          </cell>
          <cell r="I49">
            <v>-0.74873524451939288</v>
          </cell>
          <cell r="J49">
            <v>-1</v>
          </cell>
          <cell r="K49" t="e">
            <v>#DIV/0!</v>
          </cell>
          <cell r="L49">
            <v>2.9999999999998916E-3</v>
          </cell>
          <cell r="M49">
            <v>2.9999999999998916E-3</v>
          </cell>
          <cell r="N49">
            <v>2.9999999999998916E-3</v>
          </cell>
          <cell r="O49">
            <v>0</v>
          </cell>
          <cell r="P49">
            <v>0</v>
          </cell>
          <cell r="Q49">
            <v>0</v>
          </cell>
          <cell r="AH49">
            <v>-2.2988505747126409E-2</v>
          </cell>
          <cell r="AI49">
            <v>-7.3170731707317027E-2</v>
          </cell>
          <cell r="AJ49">
            <v>3.8123167155425186E-2</v>
          </cell>
          <cell r="AK49">
            <v>-0.12427745664739887</v>
          </cell>
          <cell r="AL49">
            <v>-5.8823529411764497E-3</v>
          </cell>
          <cell r="AM49">
            <v>-4.6783625730994149E-2</v>
          </cell>
          <cell r="AN49">
            <v>-0.14124293785310738</v>
          </cell>
          <cell r="AO49">
            <v>-3.6303630363036299E-2</v>
          </cell>
          <cell r="AP49">
            <v>-0.12130177514792895</v>
          </cell>
          <cell r="AQ49">
            <v>-8.5889570552147187E-2</v>
          </cell>
          <cell r="AR49">
            <v>6.5789473684210176E-3</v>
          </cell>
          <cell r="AS49">
            <v>-2.3972602739726012E-2</v>
          </cell>
          <cell r="AT49">
            <v>3.3670033670034627E-3</v>
          </cell>
        </row>
        <row r="50">
          <cell r="A50" t="str">
            <v>% revenues</v>
          </cell>
          <cell r="F50">
            <v>4.1444843382443974E-2</v>
          </cell>
          <cell r="G50">
            <v>3.659280341532832E-2</v>
          </cell>
          <cell r="H50">
            <v>3.1621607209513146E-2</v>
          </cell>
          <cell r="I50">
            <v>6.9815387498828605E-3</v>
          </cell>
          <cell r="J50">
            <v>0</v>
          </cell>
          <cell r="K50">
            <v>2.312707591955741E-2</v>
          </cell>
          <cell r="L50">
            <v>2.1215077403975994E-2</v>
          </cell>
          <cell r="M50">
            <v>1.9691948951034238E-2</v>
          </cell>
          <cell r="N50">
            <v>1.8828827352075854E-2</v>
          </cell>
          <cell r="O50">
            <v>1.8233443546242081E-2</v>
          </cell>
          <cell r="P50">
            <v>1.7740035018672204E-2</v>
          </cell>
          <cell r="Q50">
            <v>1.737039225510947E-2</v>
          </cell>
        </row>
        <row r="51">
          <cell r="A51" t="str">
            <v>as % EBITDA</v>
          </cell>
        </row>
        <row r="53">
          <cell r="A53" t="str">
            <v>Other income:</v>
          </cell>
        </row>
        <row r="54">
          <cell r="A54" t="str">
            <v xml:space="preserve">  interest expense</v>
          </cell>
          <cell r="F54" t="str">
            <v>NA</v>
          </cell>
          <cell r="G54">
            <v>0</v>
          </cell>
        </row>
        <row r="55">
          <cell r="A55" t="str">
            <v xml:space="preserve">  Minority interest</v>
          </cell>
          <cell r="F55" t="str">
            <v>NA</v>
          </cell>
          <cell r="G55">
            <v>-88</v>
          </cell>
          <cell r="AH55">
            <v>-27</v>
          </cell>
          <cell r="AI55">
            <v>-41</v>
          </cell>
          <cell r="AJ55">
            <v>-20</v>
          </cell>
          <cell r="AK55" t="str">
            <v xml:space="preserve">data not </v>
          </cell>
          <cell r="AL55">
            <v>-16</v>
          </cell>
          <cell r="AM55">
            <v>-41</v>
          </cell>
          <cell r="AN55">
            <v>-38</v>
          </cell>
          <cell r="AO55">
            <v>7</v>
          </cell>
          <cell r="AP55">
            <v>-41</v>
          </cell>
          <cell r="AQ55">
            <v>-43</v>
          </cell>
          <cell r="AR55">
            <v>-43</v>
          </cell>
          <cell r="AS55">
            <v>-39</v>
          </cell>
        </row>
        <row r="56">
          <cell r="A56" t="str">
            <v xml:space="preserve">  Equity in net income of affiliates</v>
          </cell>
          <cell r="F56" t="str">
            <v>NA</v>
          </cell>
          <cell r="G56">
            <v>5</v>
          </cell>
          <cell r="AH56">
            <v>-20</v>
          </cell>
          <cell r="AI56">
            <v>28</v>
          </cell>
          <cell r="AJ56">
            <v>37</v>
          </cell>
          <cell r="AK56" t="str">
            <v>avail.</v>
          </cell>
          <cell r="AL56">
            <v>2</v>
          </cell>
          <cell r="AM56">
            <v>1</v>
          </cell>
          <cell r="AN56">
            <v>1</v>
          </cell>
          <cell r="AO56">
            <v>1</v>
          </cell>
          <cell r="AP56">
            <v>0</v>
          </cell>
          <cell r="AQ56">
            <v>0</v>
          </cell>
          <cell r="AR56">
            <v>0</v>
          </cell>
          <cell r="AS56">
            <v>0</v>
          </cell>
        </row>
        <row r="57">
          <cell r="A57" t="str">
            <v xml:space="preserve">  Other,net</v>
          </cell>
          <cell r="F57" t="str">
            <v>NA</v>
          </cell>
          <cell r="G57">
            <v>64</v>
          </cell>
          <cell r="AH57">
            <v>46</v>
          </cell>
          <cell r="AI57">
            <v>25</v>
          </cell>
          <cell r="AJ57">
            <v>-27</v>
          </cell>
          <cell r="AL57">
            <v>20</v>
          </cell>
          <cell r="AM57">
            <v>33</v>
          </cell>
          <cell r="AN57">
            <v>10</v>
          </cell>
          <cell r="AO57">
            <v>1</v>
          </cell>
          <cell r="AP57">
            <v>9</v>
          </cell>
          <cell r="AQ57">
            <v>6</v>
          </cell>
          <cell r="AR57">
            <v>5</v>
          </cell>
          <cell r="AS57">
            <v>7</v>
          </cell>
        </row>
        <row r="58">
          <cell r="A58" t="str">
            <v>Total other income</v>
          </cell>
          <cell r="F58">
            <v>-83</v>
          </cell>
          <cell r="G58">
            <v>-19</v>
          </cell>
          <cell r="H58">
            <v>-139</v>
          </cell>
          <cell r="I58">
            <v>-35</v>
          </cell>
          <cell r="J58">
            <v>0</v>
          </cell>
          <cell r="K58">
            <v>0</v>
          </cell>
          <cell r="L58">
            <v>0</v>
          </cell>
          <cell r="M58">
            <v>0</v>
          </cell>
          <cell r="N58">
            <v>0</v>
          </cell>
          <cell r="O58">
            <v>0</v>
          </cell>
          <cell r="P58">
            <v>0</v>
          </cell>
          <cell r="Q58">
            <v>0</v>
          </cell>
          <cell r="AH58">
            <v>-1</v>
          </cell>
          <cell r="AI58">
            <v>12</v>
          </cell>
          <cell r="AJ58">
            <v>-10</v>
          </cell>
          <cell r="AK58">
            <v>-84</v>
          </cell>
          <cell r="AL58">
            <v>6</v>
          </cell>
          <cell r="AM58">
            <v>-7</v>
          </cell>
          <cell r="AN58">
            <v>-27</v>
          </cell>
          <cell r="AO58">
            <v>9</v>
          </cell>
          <cell r="AP58">
            <v>-32</v>
          </cell>
          <cell r="AQ58">
            <v>-37</v>
          </cell>
          <cell r="AR58">
            <v>-38</v>
          </cell>
          <cell r="AS58">
            <v>-32</v>
          </cell>
          <cell r="AT58">
            <v>-35</v>
          </cell>
        </row>
        <row r="59">
          <cell r="A59" t="str">
            <v>% y/y growth</v>
          </cell>
          <cell r="AL59">
            <v>-7</v>
          </cell>
          <cell r="AM59">
            <v>-1.5833333333333335</v>
          </cell>
          <cell r="AN59">
            <v>1.7000000000000002</v>
          </cell>
          <cell r="AO59">
            <v>-1.1071428571428572</v>
          </cell>
          <cell r="AP59">
            <v>-6.333333333333333</v>
          </cell>
          <cell r="AQ59">
            <v>4.2857142857142856</v>
          </cell>
          <cell r="AR59">
            <v>0.40740740740740744</v>
          </cell>
          <cell r="AS59">
            <v>-4.5555555555555554</v>
          </cell>
          <cell r="AT59">
            <v>9.375E-2</v>
          </cell>
        </row>
        <row r="61">
          <cell r="A61" t="str">
            <v>Pre-tax income</v>
          </cell>
          <cell r="F61">
            <v>1878</v>
          </cell>
          <cell r="G61">
            <v>3250</v>
          </cell>
          <cell r="H61">
            <v>5276</v>
          </cell>
          <cell r="I61">
            <v>13532</v>
          </cell>
          <cell r="J61">
            <v>11619</v>
          </cell>
          <cell r="K61">
            <v>13796.098609688068</v>
          </cell>
          <cell r="L61">
            <v>15602.021008248834</v>
          </cell>
          <cell r="M61">
            <v>15387.833899455254</v>
          </cell>
          <cell r="N61">
            <v>17702.797128030914</v>
          </cell>
          <cell r="O61">
            <v>19127.980388731732</v>
          </cell>
          <cell r="P61">
            <v>20198.337185146396</v>
          </cell>
          <cell r="Q61">
            <v>21082.573178183738</v>
          </cell>
          <cell r="AH61">
            <v>129</v>
          </cell>
          <cell r="AI61">
            <v>425</v>
          </cell>
          <cell r="AJ61">
            <v>235</v>
          </cell>
          <cell r="AK61">
            <v>1089</v>
          </cell>
          <cell r="AL61">
            <v>378</v>
          </cell>
          <cell r="AM61">
            <v>820</v>
          </cell>
          <cell r="AN61">
            <v>1059</v>
          </cell>
          <cell r="AO61">
            <v>993</v>
          </cell>
          <cell r="AP61">
            <v>1064</v>
          </cell>
          <cell r="AQ61">
            <v>1174</v>
          </cell>
          <cell r="AR61">
            <v>1519</v>
          </cell>
          <cell r="AS61">
            <v>1519</v>
          </cell>
          <cell r="AT61">
            <v>2212</v>
          </cell>
        </row>
        <row r="62">
          <cell r="A62" t="str">
            <v>% y/y growth</v>
          </cell>
          <cell r="G62">
            <v>0.73056443024494144</v>
          </cell>
          <cell r="H62">
            <v>0.62338461538461543</v>
          </cell>
          <cell r="I62">
            <v>1.5648218347232752</v>
          </cell>
          <cell r="J62">
            <v>-0.14136860774460536</v>
          </cell>
          <cell r="K62">
            <v>0.18737400892400968</v>
          </cell>
          <cell r="L62">
            <v>0.13090094885901937</v>
          </cell>
          <cell r="M62">
            <v>-1.3728164362830864E-2</v>
          </cell>
          <cell r="N62">
            <v>0.1504411370503298</v>
          </cell>
          <cell r="O62">
            <v>8.0506105921767546E-2</v>
          </cell>
          <cell r="P62">
            <v>5.595764815010007E-2</v>
          </cell>
          <cell r="Q62">
            <v>4.3777662731939948E-2</v>
          </cell>
          <cell r="AL62">
            <v>1.9302325581395348</v>
          </cell>
          <cell r="AM62">
            <v>0.92941176470588238</v>
          </cell>
          <cell r="AN62">
            <v>3.506382978723404</v>
          </cell>
          <cell r="AO62">
            <v>-8.8154269972451793E-2</v>
          </cell>
          <cell r="AP62">
            <v>1.8148148148148149</v>
          </cell>
          <cell r="AQ62">
            <v>0.43170731707317067</v>
          </cell>
          <cell r="AR62">
            <v>0.43437204910292726</v>
          </cell>
          <cell r="AS62">
            <v>0.52970795568982876</v>
          </cell>
          <cell r="AT62">
            <v>1.0789473684210527</v>
          </cell>
        </row>
        <row r="64">
          <cell r="A64" t="str">
            <v>Taxes</v>
          </cell>
          <cell r="F64" t="str">
            <v>NA</v>
          </cell>
          <cell r="G64">
            <v>249</v>
          </cell>
          <cell r="H64">
            <v>1059</v>
          </cell>
          <cell r="I64">
            <v>442.40000000000003</v>
          </cell>
          <cell r="J64">
            <v>0</v>
          </cell>
          <cell r="K64">
            <v>0</v>
          </cell>
          <cell r="L64">
            <v>0</v>
          </cell>
          <cell r="M64">
            <v>0</v>
          </cell>
          <cell r="N64">
            <v>0</v>
          </cell>
          <cell r="O64">
            <v>0</v>
          </cell>
          <cell r="P64">
            <v>0</v>
          </cell>
          <cell r="Q64">
            <v>0</v>
          </cell>
          <cell r="AH64">
            <v>30</v>
          </cell>
          <cell r="AI64">
            <v>77</v>
          </cell>
          <cell r="AJ64">
            <v>48</v>
          </cell>
          <cell r="AK64" t="str">
            <v>NA</v>
          </cell>
          <cell r="AL64">
            <v>39</v>
          </cell>
          <cell r="AM64">
            <v>58</v>
          </cell>
          <cell r="AN64">
            <v>104</v>
          </cell>
          <cell r="AO64">
            <v>48</v>
          </cell>
          <cell r="AP64">
            <v>222</v>
          </cell>
          <cell r="AQ64">
            <v>225</v>
          </cell>
          <cell r="AR64">
            <v>300</v>
          </cell>
          <cell r="AS64">
            <v>312</v>
          </cell>
          <cell r="AT64">
            <v>442.40000000000003</v>
          </cell>
        </row>
        <row r="65">
          <cell r="A65" t="str">
            <v xml:space="preserve"> % Effective Tax Rate</v>
          </cell>
          <cell r="G65">
            <v>7.6615384615384613E-2</v>
          </cell>
          <cell r="H65">
            <v>0.20072024260803639</v>
          </cell>
          <cell r="I65">
            <v>3.269287614543305E-2</v>
          </cell>
          <cell r="J65">
            <v>0</v>
          </cell>
          <cell r="K65">
            <v>0</v>
          </cell>
          <cell r="L65">
            <v>0</v>
          </cell>
          <cell r="M65">
            <v>0</v>
          </cell>
          <cell r="N65">
            <v>0</v>
          </cell>
          <cell r="O65">
            <v>0</v>
          </cell>
          <cell r="P65">
            <v>0</v>
          </cell>
          <cell r="Q65">
            <v>0</v>
          </cell>
          <cell r="AL65">
            <v>0.10317460317460317</v>
          </cell>
          <cell r="AM65">
            <v>7.0731707317073164E-2</v>
          </cell>
          <cell r="AN65">
            <v>9.8205854579792251E-2</v>
          </cell>
          <cell r="AO65">
            <v>4.8338368580060423E-2</v>
          </cell>
          <cell r="AP65">
            <v>0.20864661654135339</v>
          </cell>
          <cell r="AQ65">
            <v>0.19165247018739354</v>
          </cell>
          <cell r="AR65">
            <v>0.19749835418038184</v>
          </cell>
          <cell r="AS65">
            <v>0.2053982883475971</v>
          </cell>
          <cell r="AT65">
            <v>0.2</v>
          </cell>
        </row>
        <row r="66">
          <cell r="A66" t="str">
            <v>After-tax earnings</v>
          </cell>
          <cell r="G66">
            <v>3001</v>
          </cell>
          <cell r="H66">
            <v>4217</v>
          </cell>
          <cell r="I66">
            <v>13089.6</v>
          </cell>
          <cell r="J66">
            <v>11619</v>
          </cell>
          <cell r="K66">
            <v>13796.098609688068</v>
          </cell>
          <cell r="L66">
            <v>15602.021008248834</v>
          </cell>
          <cell r="M66">
            <v>15387.833899455254</v>
          </cell>
          <cell r="N66">
            <v>17702.797128030914</v>
          </cell>
          <cell r="O66">
            <v>19127.980388731732</v>
          </cell>
          <cell r="P66">
            <v>20198.337185146396</v>
          </cell>
          <cell r="Q66">
            <v>21082.573178183738</v>
          </cell>
          <cell r="AH66">
            <v>99</v>
          </cell>
          <cell r="AI66">
            <v>348</v>
          </cell>
          <cell r="AJ66">
            <v>187</v>
          </cell>
          <cell r="AK66" t="str">
            <v>NA</v>
          </cell>
          <cell r="AL66">
            <v>339</v>
          </cell>
          <cell r="AM66">
            <v>762</v>
          </cell>
          <cell r="AN66">
            <v>955</v>
          </cell>
          <cell r="AO66">
            <v>945</v>
          </cell>
          <cell r="AP66">
            <v>842</v>
          </cell>
          <cell r="AQ66">
            <v>949</v>
          </cell>
          <cell r="AR66">
            <v>1219</v>
          </cell>
          <cell r="AS66">
            <v>1207</v>
          </cell>
          <cell r="AT66">
            <v>1769.6</v>
          </cell>
        </row>
        <row r="67">
          <cell r="A67" t="str">
            <v>SUBSCRIBER DATA</v>
          </cell>
        </row>
        <row r="68">
          <cell r="A68" t="str">
            <v>Total subscribers (000s)</v>
          </cell>
          <cell r="F68">
            <v>48773</v>
          </cell>
          <cell r="G68">
            <v>54144</v>
          </cell>
          <cell r="H68">
            <v>60962</v>
          </cell>
          <cell r="I68">
            <v>70052</v>
          </cell>
          <cell r="J68">
            <v>77009</v>
          </cell>
          <cell r="K68">
            <v>85120</v>
          </cell>
          <cell r="L68">
            <v>95536</v>
          </cell>
          <cell r="M68">
            <v>103247</v>
          </cell>
          <cell r="N68">
            <v>107343.85885998585</v>
          </cell>
          <cell r="O68">
            <v>110266.51765426555</v>
          </cell>
          <cell r="P68">
            <v>112585.99725842415</v>
          </cell>
          <cell r="Q68">
            <v>114674.90388136776</v>
          </cell>
          <cell r="R68">
            <v>116440.1803316788</v>
          </cell>
          <cell r="S68">
            <v>117838.3685684767</v>
          </cell>
          <cell r="T68">
            <v>118810.70864963028</v>
          </cell>
          <cell r="Z68">
            <v>41366</v>
          </cell>
          <cell r="AA68">
            <v>42136</v>
          </cell>
          <cell r="AB68">
            <v>42230</v>
          </cell>
          <cell r="AC68">
            <v>42784</v>
          </cell>
          <cell r="AD68">
            <v>42960</v>
          </cell>
          <cell r="AE68">
            <v>43846</v>
          </cell>
          <cell r="AF68">
            <v>44930</v>
          </cell>
          <cell r="AG68">
            <v>45664</v>
          </cell>
          <cell r="AH68">
            <v>45953</v>
          </cell>
          <cell r="AI68">
            <v>46404</v>
          </cell>
          <cell r="AJ68">
            <v>47177</v>
          </cell>
          <cell r="AK68">
            <v>48773</v>
          </cell>
          <cell r="AL68">
            <v>50350</v>
          </cell>
          <cell r="AM68">
            <v>51442</v>
          </cell>
          <cell r="AN68">
            <v>52292</v>
          </cell>
          <cell r="AO68">
            <v>54144</v>
          </cell>
          <cell r="AP68">
            <v>55810</v>
          </cell>
          <cell r="AQ68">
            <v>57308</v>
          </cell>
          <cell r="AR68">
            <v>58666</v>
          </cell>
          <cell r="AS68">
            <v>60962</v>
          </cell>
          <cell r="AT68">
            <v>62217</v>
          </cell>
          <cell r="AU68">
            <v>63673</v>
          </cell>
          <cell r="AV68">
            <v>65666</v>
          </cell>
          <cell r="AW68">
            <v>70052</v>
          </cell>
          <cell r="AX68">
            <v>71367</v>
          </cell>
          <cell r="AY68">
            <v>72882</v>
          </cell>
          <cell r="AZ68">
            <v>74871</v>
          </cell>
          <cell r="BA68">
            <v>77009</v>
          </cell>
          <cell r="BB68">
            <v>78232</v>
          </cell>
          <cell r="BC68">
            <v>79600</v>
          </cell>
          <cell r="BD68">
            <v>81596</v>
          </cell>
          <cell r="BE68">
            <v>85120</v>
          </cell>
          <cell r="BF68">
            <v>86987</v>
          </cell>
          <cell r="BG68">
            <v>90130</v>
          </cell>
          <cell r="BH68">
            <v>92761</v>
          </cell>
          <cell r="BI68">
            <v>95536</v>
          </cell>
          <cell r="BJ68">
            <v>97519</v>
          </cell>
          <cell r="BK68">
            <v>98615</v>
          </cell>
          <cell r="BL68">
            <v>100738</v>
          </cell>
          <cell r="BM68">
            <v>103247</v>
          </cell>
          <cell r="BN68">
            <v>103940</v>
          </cell>
          <cell r="BO68">
            <v>105206</v>
          </cell>
          <cell r="BP68">
            <v>105871</v>
          </cell>
          <cell r="BQ68">
            <v>107343.85885998585</v>
          </cell>
          <cell r="BR68">
            <v>108111.15629650152</v>
          </cell>
          <cell r="BS68">
            <v>108643.42854110737</v>
          </cell>
          <cell r="BT68">
            <v>109059.66419432941</v>
          </cell>
          <cell r="BU68">
            <v>110266.51765426555</v>
          </cell>
        </row>
        <row r="69">
          <cell r="A69" t="str">
            <v>% y/y growth</v>
          </cell>
          <cell r="F69">
            <v>6.8084267694463962E-2</v>
          </cell>
          <cell r="G69">
            <v>0.11012240378898164</v>
          </cell>
          <cell r="H69">
            <v>0.12592346335697391</v>
          </cell>
          <cell r="I69">
            <v>0.14910928119156197</v>
          </cell>
          <cell r="J69">
            <v>9.9311939701935747E-2</v>
          </cell>
          <cell r="K69">
            <v>0.10532535158228251</v>
          </cell>
          <cell r="L69">
            <v>0.12236842105263168</v>
          </cell>
          <cell r="M69">
            <v>8.0713029643275869E-2</v>
          </cell>
          <cell r="N69">
            <v>3.9680173370517879E-2</v>
          </cell>
          <cell r="O69">
            <v>2.7227070326322877E-2</v>
          </cell>
          <cell r="P69">
            <v>2.1035212261179659E-2</v>
          </cell>
          <cell r="Q69">
            <v>1.855387591539337E-2</v>
          </cell>
          <cell r="R69">
            <v>1.5393746936446018E-2</v>
          </cell>
          <cell r="S69">
            <v>1.2007781444645316E-2</v>
          </cell>
          <cell r="T69">
            <v>8.2514726991365084E-3</v>
          </cell>
          <cell r="AH69">
            <v>6.9669459962756086E-2</v>
          </cell>
          <cell r="AI69">
            <v>5.834055558089668E-2</v>
          </cell>
          <cell r="AJ69">
            <v>5.0011128421989737E-2</v>
          </cell>
          <cell r="AK69">
            <v>6.8084267694463962E-2</v>
          </cell>
          <cell r="AL69">
            <v>9.5684721345722812E-2</v>
          </cell>
          <cell r="AM69">
            <v>0.10856822687699341</v>
          </cell>
          <cell r="AN69">
            <v>0.1084214765669711</v>
          </cell>
          <cell r="AO69">
            <v>0.11012240378898164</v>
          </cell>
          <cell r="AP69">
            <v>0.1084409136047666</v>
          </cell>
          <cell r="AQ69">
            <v>0.1140313362621983</v>
          </cell>
          <cell r="AR69">
            <v>0.12189245008796767</v>
          </cell>
          <cell r="AS69">
            <v>0.12592346335697391</v>
          </cell>
          <cell r="AT69">
            <v>0.1148002150152303</v>
          </cell>
          <cell r="AU69">
            <v>0.11106651776366294</v>
          </cell>
          <cell r="AV69">
            <v>0.11931953772201953</v>
          </cell>
          <cell r="AW69">
            <v>0.14910928119156197</v>
          </cell>
          <cell r="AX69">
            <v>0.14706591446067785</v>
          </cell>
          <cell r="AY69">
            <v>0.144629591820709</v>
          </cell>
          <cell r="AZ69">
            <v>0.14017908811256974</v>
          </cell>
          <cell r="BA69">
            <v>9.9311939701935747E-2</v>
          </cell>
          <cell r="BB69">
            <v>9.6192918295570751E-2</v>
          </cell>
          <cell r="BC69">
            <v>9.2176394720232757E-2</v>
          </cell>
          <cell r="BD69">
            <v>8.9821159060250233E-2</v>
          </cell>
          <cell r="BE69">
            <v>0.10532535158228251</v>
          </cell>
          <cell r="BF69">
            <v>0.11191072706820737</v>
          </cell>
          <cell r="BG69">
            <v>0.13228643216080394</v>
          </cell>
          <cell r="BH69">
            <v>0.13683268787685665</v>
          </cell>
          <cell r="BI69">
            <v>0.12236842105263168</v>
          </cell>
          <cell r="BJ69">
            <v>0.1210755630151632</v>
          </cell>
          <cell r="BK69">
            <v>9.4141795184733201E-2</v>
          </cell>
          <cell r="BL69">
            <v>8.5995191944890692E-2</v>
          </cell>
          <cell r="BM69">
            <v>8.0713029643275869E-2</v>
          </cell>
          <cell r="BN69">
            <v>6.5843579199950764E-2</v>
          </cell>
          <cell r="BO69">
            <v>6.6835674086092478E-2</v>
          </cell>
          <cell r="BP69">
            <v>5.0953959776846913E-2</v>
          </cell>
          <cell r="BQ69">
            <v>3.9680173370517879E-2</v>
          </cell>
          <cell r="BR69">
            <v>4.0130424249581687E-2</v>
          </cell>
          <cell r="BS69">
            <v>3.267331274934282E-2</v>
          </cell>
          <cell r="BT69">
            <v>3.0118391196167105E-2</v>
          </cell>
          <cell r="BU69">
            <v>2.7227070326322877E-2</v>
          </cell>
        </row>
        <row r="70">
          <cell r="A70" t="str">
            <v xml:space="preserve"> Average total subscribers</v>
          </cell>
          <cell r="F70">
            <v>47218.5</v>
          </cell>
          <cell r="G70">
            <v>51458.5</v>
          </cell>
          <cell r="H70">
            <v>57553</v>
          </cell>
          <cell r="I70">
            <v>65507</v>
          </cell>
          <cell r="J70">
            <v>73530.5</v>
          </cell>
          <cell r="K70">
            <v>81064.5</v>
          </cell>
          <cell r="L70">
            <v>90328</v>
          </cell>
          <cell r="M70">
            <v>99391.5</v>
          </cell>
          <cell r="N70">
            <v>105295.42942999292</v>
          </cell>
          <cell r="O70">
            <v>108805.1882571257</v>
          </cell>
          <cell r="P70">
            <v>111426.25745634484</v>
          </cell>
          <cell r="Q70">
            <v>113630.45056989595</v>
          </cell>
          <cell r="R70">
            <v>115557.54210652328</v>
          </cell>
          <cell r="S70">
            <v>117139.27445007775</v>
          </cell>
          <cell r="T70">
            <v>118324.53860905349</v>
          </cell>
          <cell r="AH70">
            <v>45808.5</v>
          </cell>
          <cell r="AI70">
            <v>46178.5</v>
          </cell>
          <cell r="AJ70">
            <v>46790.5</v>
          </cell>
          <cell r="AK70">
            <v>47975</v>
          </cell>
          <cell r="AL70">
            <v>49561.5</v>
          </cell>
          <cell r="AM70">
            <v>50896</v>
          </cell>
          <cell r="AN70">
            <v>51867</v>
          </cell>
          <cell r="AO70">
            <v>53218</v>
          </cell>
          <cell r="AP70">
            <v>54977</v>
          </cell>
          <cell r="AQ70">
            <v>56559</v>
          </cell>
          <cell r="AR70">
            <v>57987</v>
          </cell>
          <cell r="AS70">
            <v>59814</v>
          </cell>
          <cell r="AT70">
            <v>61589.5</v>
          </cell>
          <cell r="AU70">
            <v>62945</v>
          </cell>
          <cell r="AV70">
            <v>64669.5</v>
          </cell>
          <cell r="AW70">
            <v>67859</v>
          </cell>
          <cell r="AX70">
            <v>70709.5</v>
          </cell>
          <cell r="AY70">
            <v>72124.5</v>
          </cell>
          <cell r="AZ70">
            <v>73876.5</v>
          </cell>
          <cell r="BA70">
            <v>75940</v>
          </cell>
          <cell r="BB70">
            <v>77620.5</v>
          </cell>
          <cell r="BC70">
            <v>78916</v>
          </cell>
          <cell r="BD70">
            <v>80598</v>
          </cell>
          <cell r="BE70">
            <v>83358</v>
          </cell>
          <cell r="BF70">
            <v>86053.5</v>
          </cell>
          <cell r="BG70">
            <v>88558.5</v>
          </cell>
          <cell r="BH70">
            <v>91445.5</v>
          </cell>
          <cell r="BI70">
            <v>94148.5</v>
          </cell>
          <cell r="BJ70">
            <v>96527.5</v>
          </cell>
          <cell r="BK70">
            <v>98067</v>
          </cell>
          <cell r="BL70">
            <v>99676.5</v>
          </cell>
          <cell r="BM70">
            <v>101992.5</v>
          </cell>
          <cell r="BN70">
            <v>103593.5</v>
          </cell>
          <cell r="BO70">
            <v>104573</v>
          </cell>
          <cell r="BP70">
            <v>105538.5</v>
          </cell>
          <cell r="BQ70">
            <v>106607.42942999292</v>
          </cell>
          <cell r="BR70">
            <v>107727.50757824368</v>
          </cell>
          <cell r="BS70">
            <v>108377.29241880444</v>
          </cell>
          <cell r="BT70">
            <v>108851.54636771839</v>
          </cell>
          <cell r="BU70">
            <v>109663.09092429749</v>
          </cell>
        </row>
        <row r="71">
          <cell r="A71" t="str">
            <v>% y/y growth</v>
          </cell>
          <cell r="F71">
            <v>6.7712102026049159E-2</v>
          </cell>
          <cell r="G71">
            <v>8.9795313277634792E-2</v>
          </cell>
          <cell r="H71">
            <v>0.1184352439344325</v>
          </cell>
          <cell r="I71">
            <v>0.13820304762566682</v>
          </cell>
          <cell r="J71">
            <v>0.12248309340986463</v>
          </cell>
          <cell r="K71">
            <v>0.10246088357892313</v>
          </cell>
          <cell r="L71">
            <v>0.11427320220318382</v>
          </cell>
          <cell r="M71">
            <v>0.10033987246479503</v>
          </cell>
          <cell r="N71">
            <v>5.9400747850600011E-2</v>
          </cell>
          <cell r="O71">
            <v>3.3332489796874754E-2</v>
          </cell>
          <cell r="P71">
            <v>2.4089560812349253E-2</v>
          </cell>
          <cell r="Q71">
            <v>1.9781631043425119E-2</v>
          </cell>
          <cell r="R71">
            <v>1.6959287998615569E-2</v>
          </cell>
          <cell r="S71">
            <v>1.3687833045950448E-2</v>
          </cell>
          <cell r="T71">
            <v>1.0118418135506513E-2</v>
          </cell>
          <cell r="AH71">
            <v>6.8494588542638457E-2</v>
          </cell>
          <cell r="AI71">
            <v>6.3947192590373847E-2</v>
          </cell>
          <cell r="AJ71">
            <v>5.4124988735694268E-2</v>
          </cell>
          <cell r="AK71">
            <v>5.9120913084751647E-2</v>
          </cell>
          <cell r="AL71">
            <v>8.1928026457971814E-2</v>
          </cell>
          <cell r="AM71">
            <v>0.10215793063871725</v>
          </cell>
          <cell r="AN71">
            <v>0.10849424562678323</v>
          </cell>
          <cell r="AO71">
            <v>0.10928608650338711</v>
          </cell>
          <cell r="AP71">
            <v>0.10926828284051138</v>
          </cell>
          <cell r="AQ71">
            <v>0.11126611128575914</v>
          </cell>
          <cell r="AR71">
            <v>0.11799410029498536</v>
          </cell>
          <cell r="AS71">
            <v>0.12394302679544511</v>
          </cell>
          <cell r="AT71">
            <v>0.12027757062044131</v>
          </cell>
          <cell r="AU71">
            <v>0.11290864407079337</v>
          </cell>
          <cell r="AV71">
            <v>0.11524134719851009</v>
          </cell>
          <cell r="AW71">
            <v>0.13450028421439786</v>
          </cell>
          <cell r="AX71">
            <v>0.14807718848180285</v>
          </cell>
          <cell r="AY71">
            <v>0.14583366431011191</v>
          </cell>
          <cell r="AZ71">
            <v>0.14237005079674336</v>
          </cell>
          <cell r="BA71">
            <v>0.11908516187978013</v>
          </cell>
          <cell r="BB71">
            <v>9.7737927718340556E-2</v>
          </cell>
          <cell r="BC71">
            <v>9.4163564392127475E-2</v>
          </cell>
          <cell r="BD71">
            <v>9.0982924204584759E-2</v>
          </cell>
          <cell r="BE71">
            <v>9.7682380826968673E-2</v>
          </cell>
          <cell r="BF71">
            <v>0.10864397936112247</v>
          </cell>
          <cell r="BG71">
            <v>0.1221868822545491</v>
          </cell>
          <cell r="BH71">
            <v>0.13458770689098976</v>
          </cell>
          <cell r="BI71">
            <v>0.12944768348568814</v>
          </cell>
          <cell r="BJ71">
            <v>0.12171497963476208</v>
          </cell>
          <cell r="BK71">
            <v>0.10736970477142238</v>
          </cell>
          <cell r="BL71">
            <v>9.0009896605081741E-2</v>
          </cell>
          <cell r="BM71">
            <v>8.3315188239855065E-2</v>
          </cell>
          <cell r="BN71">
            <v>7.320193727176183E-2</v>
          </cell>
          <cell r="BO71">
            <v>6.6342398564246841E-2</v>
          </cell>
          <cell r="BP71">
            <v>5.8810251162510818E-2</v>
          </cell>
          <cell r="BQ71">
            <v>4.5247733215608266E-2</v>
          </cell>
          <cell r="BR71">
            <v>3.9906051810622012E-2</v>
          </cell>
          <cell r="BS71">
            <v>3.6379298851562547E-2</v>
          </cell>
          <cell r="BT71">
            <v>3.1391827321009647E-2</v>
          </cell>
          <cell r="BU71">
            <v>2.866274433819993E-2</v>
          </cell>
        </row>
        <row r="72">
          <cell r="A72" t="str">
            <v>Net internal adds (000s)</v>
          </cell>
          <cell r="F72">
            <v>3163</v>
          </cell>
          <cell r="G72">
            <v>5006</v>
          </cell>
          <cell r="H72">
            <v>6892</v>
          </cell>
          <cell r="I72">
            <v>7315</v>
          </cell>
          <cell r="J72">
            <v>6699</v>
          </cell>
          <cell r="K72">
            <v>7278</v>
          </cell>
          <cell r="L72">
            <v>8853</v>
          </cell>
          <cell r="M72">
            <v>7699</v>
          </cell>
          <cell r="N72">
            <v>4142.8588599858504</v>
          </cell>
          <cell r="O72">
            <v>2922.658794279715</v>
          </cell>
          <cell r="P72">
            <v>2319.4796041585905</v>
          </cell>
          <cell r="Q72">
            <v>2088.9066229436139</v>
          </cell>
          <cell r="R72">
            <v>1765.2764503110302</v>
          </cell>
          <cell r="S72">
            <v>1398.1882367979015</v>
          </cell>
          <cell r="T72">
            <v>972.34008115359029</v>
          </cell>
          <cell r="Z72">
            <v>1723</v>
          </cell>
          <cell r="AA72">
            <v>770</v>
          </cell>
          <cell r="AB72">
            <v>94</v>
          </cell>
          <cell r="AC72">
            <v>554</v>
          </cell>
          <cell r="AD72">
            <v>416</v>
          </cell>
          <cell r="AE72">
            <v>970</v>
          </cell>
          <cell r="AF72">
            <v>951</v>
          </cell>
          <cell r="AG72">
            <v>736</v>
          </cell>
          <cell r="AH72">
            <v>174</v>
          </cell>
          <cell r="AI72">
            <v>424</v>
          </cell>
          <cell r="AJ72">
            <v>808</v>
          </cell>
          <cell r="AK72">
            <v>1757</v>
          </cell>
          <cell r="AL72">
            <v>1367</v>
          </cell>
          <cell r="AM72">
            <v>952</v>
          </cell>
          <cell r="AN72">
            <v>867</v>
          </cell>
          <cell r="AO72">
            <v>1820</v>
          </cell>
          <cell r="AP72">
            <v>1679</v>
          </cell>
          <cell r="AQ72">
            <v>1498</v>
          </cell>
          <cell r="AR72">
            <v>1358</v>
          </cell>
          <cell r="AS72">
            <v>2357</v>
          </cell>
          <cell r="AT72">
            <v>1191</v>
          </cell>
          <cell r="AU72">
            <v>1456</v>
          </cell>
          <cell r="AV72">
            <v>1993</v>
          </cell>
          <cell r="AW72">
            <v>2675</v>
          </cell>
          <cell r="AX72">
            <v>1295</v>
          </cell>
          <cell r="AY72">
            <v>1333</v>
          </cell>
          <cell r="AZ72">
            <v>1976</v>
          </cell>
          <cell r="BA72">
            <v>2095</v>
          </cell>
          <cell r="BB72">
            <v>1223</v>
          </cell>
          <cell r="BC72">
            <v>1368</v>
          </cell>
          <cell r="BD72">
            <v>2026</v>
          </cell>
          <cell r="BE72">
            <v>2661</v>
          </cell>
          <cell r="BF72">
            <v>1857</v>
          </cell>
          <cell r="BG72">
            <v>1562</v>
          </cell>
          <cell r="BH72">
            <v>2631</v>
          </cell>
          <cell r="BI72">
            <v>2803</v>
          </cell>
          <cell r="BJ72">
            <v>1984</v>
          </cell>
          <cell r="BK72">
            <v>1095</v>
          </cell>
          <cell r="BL72">
            <v>2123</v>
          </cell>
          <cell r="BM72">
            <v>2497</v>
          </cell>
          <cell r="BN72">
            <v>726</v>
          </cell>
          <cell r="BO72">
            <v>1266</v>
          </cell>
          <cell r="BP72">
            <v>678</v>
          </cell>
          <cell r="BQ72">
            <v>1472.8588599858504</v>
          </cell>
          <cell r="BR72">
            <v>767.29743651567151</v>
          </cell>
          <cell r="BS72">
            <v>532.27224460584966</v>
          </cell>
          <cell r="BT72">
            <v>416.23565322204468</v>
          </cell>
          <cell r="BU72">
            <v>1206.8534599361483</v>
          </cell>
        </row>
        <row r="73">
          <cell r="A73" t="str">
            <v>% y/y growth</v>
          </cell>
          <cell r="G73">
            <v>0.58267467594056277</v>
          </cell>
          <cell r="H73">
            <v>0.37674790251697954</v>
          </cell>
          <cell r="I73">
            <v>6.1375507835171206E-2</v>
          </cell>
          <cell r="J73">
            <v>-8.4210526315789513E-2</v>
          </cell>
          <cell r="K73">
            <v>8.6430810568741689E-2</v>
          </cell>
          <cell r="L73">
            <v>0.21640560593569669</v>
          </cell>
          <cell r="M73">
            <v>-0.13035129334688811</v>
          </cell>
          <cell r="N73">
            <v>-0.46189649824836343</v>
          </cell>
          <cell r="O73">
            <v>-0.29453092826587457</v>
          </cell>
          <cell r="P73">
            <v>-0.2063802970438009</v>
          </cell>
          <cell r="Q73">
            <v>-9.9407203582037473E-2</v>
          </cell>
          <cell r="R73">
            <v>-0.15492802266888095</v>
          </cell>
          <cell r="S73">
            <v>-0.20794941973448422</v>
          </cell>
          <cell r="T73">
            <v>-0.30457140493441626</v>
          </cell>
          <cell r="AH73">
            <v>-0.58173076923076916</v>
          </cell>
          <cell r="AI73">
            <v>-0.56288659793814433</v>
          </cell>
          <cell r="AJ73">
            <v>-0.1503680336487907</v>
          </cell>
          <cell r="AK73">
            <v>1.3872282608695654</v>
          </cell>
          <cell r="AL73">
            <v>6.8563218390804597</v>
          </cell>
          <cell r="AM73">
            <v>1.2452830188679247</v>
          </cell>
          <cell r="AN73">
            <v>7.3019801980197974E-2</v>
          </cell>
          <cell r="AO73">
            <v>3.5856573705179251E-2</v>
          </cell>
          <cell r="AP73">
            <v>0.22823701536210672</v>
          </cell>
          <cell r="AQ73">
            <v>0.57352941176470584</v>
          </cell>
          <cell r="AR73">
            <v>0.56632064590542108</v>
          </cell>
          <cell r="AS73">
            <v>0.29505494505494512</v>
          </cell>
          <cell r="AT73">
            <v>-0.29064919594997018</v>
          </cell>
          <cell r="AU73">
            <v>-2.8037383177570097E-2</v>
          </cell>
          <cell r="AV73">
            <v>0.46759941089837986</v>
          </cell>
          <cell r="AW73">
            <v>0.13491726771319468</v>
          </cell>
          <cell r="AX73">
            <v>8.732157850545752E-2</v>
          </cell>
          <cell r="AY73">
            <v>-8.4478021978022011E-2</v>
          </cell>
          <cell r="AZ73">
            <v>-8.5298544907175256E-3</v>
          </cell>
          <cell r="BA73">
            <v>-0.2168224299065421</v>
          </cell>
          <cell r="BB73">
            <v>-5.5598455598455554E-2</v>
          </cell>
          <cell r="BC73">
            <v>2.6256564141035277E-2</v>
          </cell>
          <cell r="BD73">
            <v>2.530364372469629E-2</v>
          </cell>
          <cell r="BE73">
            <v>0.27016706443914074</v>
          </cell>
          <cell r="BF73">
            <v>0.51839738348323805</v>
          </cell>
          <cell r="BG73">
            <v>0.14181286549707606</v>
          </cell>
          <cell r="BH73">
            <v>0.29861796643632776</v>
          </cell>
          <cell r="BI73">
            <v>5.3363397219090558E-2</v>
          </cell>
          <cell r="BJ73">
            <v>6.8389876144318684E-2</v>
          </cell>
          <cell r="BK73">
            <v>-0.29897567221510879</v>
          </cell>
          <cell r="BL73">
            <v>-0.19308247814519197</v>
          </cell>
          <cell r="BM73">
            <v>-0.10916874777024621</v>
          </cell>
          <cell r="BN73">
            <v>-0.63407258064516125</v>
          </cell>
          <cell r="BO73">
            <v>0.15616438356164375</v>
          </cell>
          <cell r="BP73">
            <v>-0.68064060292039574</v>
          </cell>
          <cell r="BQ73">
            <v>-0.41014863436690019</v>
          </cell>
          <cell r="BR73">
            <v>5.6883521371448253E-2</v>
          </cell>
          <cell r="BS73">
            <v>-0.57956378783108242</v>
          </cell>
          <cell r="BT73">
            <v>-0.38608310734211704</v>
          </cell>
          <cell r="BU73">
            <v>-0.18060481372414572</v>
          </cell>
        </row>
        <row r="74">
          <cell r="A74" t="str">
            <v>% q/q growth</v>
          </cell>
          <cell r="AP74">
            <v>-7.7472527472527419E-2</v>
          </cell>
          <cell r="AQ74">
            <v>-0.10780226325193565</v>
          </cell>
          <cell r="AR74">
            <v>-9.3457943925233655E-2</v>
          </cell>
          <cell r="AS74">
            <v>0.73564064801178208</v>
          </cell>
          <cell r="AT74">
            <v>-0.494696648281714</v>
          </cell>
          <cell r="AU74">
            <v>0.22250209907640639</v>
          </cell>
          <cell r="AV74">
            <v>0.36881868131868134</v>
          </cell>
          <cell r="AW74">
            <v>0.342197691921726</v>
          </cell>
          <cell r="AX74">
            <v>-0.51588785046728969</v>
          </cell>
          <cell r="AY74">
            <v>2.9343629343629329E-2</v>
          </cell>
          <cell r="AZ74">
            <v>0.48237059264816207</v>
          </cell>
          <cell r="BA74">
            <v>6.0222672064777383E-2</v>
          </cell>
          <cell r="BB74">
            <v>-0.41622911694510745</v>
          </cell>
          <cell r="BC74">
            <v>0.11856091578086669</v>
          </cell>
          <cell r="BD74">
            <v>0.48099415204678353</v>
          </cell>
          <cell r="BE74">
            <v>0.31342546890424483</v>
          </cell>
          <cell r="BF74">
            <v>-0.30214205186020293</v>
          </cell>
          <cell r="BG74">
            <v>-0.15885837372105549</v>
          </cell>
          <cell r="BH74">
            <v>0.68437900128040963</v>
          </cell>
          <cell r="BI74">
            <v>6.5374382364120187E-2</v>
          </cell>
          <cell r="BJ74">
            <v>-0.29218694256154121</v>
          </cell>
          <cell r="BK74">
            <v>-0.44808467741935487</v>
          </cell>
          <cell r="BL74">
            <v>0.93881278538812785</v>
          </cell>
          <cell r="BM74">
            <v>0.17616580310880825</v>
          </cell>
          <cell r="BN74">
            <v>-0.70925110132158586</v>
          </cell>
          <cell r="BO74">
            <v>0.74380165289256195</v>
          </cell>
          <cell r="BP74">
            <v>-0.46445497630331756</v>
          </cell>
          <cell r="BQ74">
            <v>1.1723582005691009</v>
          </cell>
          <cell r="BR74">
            <v>-0.47904211505843619</v>
          </cell>
          <cell r="BS74">
            <v>-0.30630258974548474</v>
          </cell>
          <cell r="BT74">
            <v>-0.21800233350459719</v>
          </cell>
          <cell r="BU74">
            <v>1.8994475859864446</v>
          </cell>
        </row>
        <row r="75">
          <cell r="A75" t="str">
            <v>Retail (total less resale) net adds</v>
          </cell>
          <cell r="F75" t="str">
            <v>NA</v>
          </cell>
          <cell r="G75">
            <v>3204.23</v>
          </cell>
          <cell r="H75">
            <v>4956</v>
          </cell>
          <cell r="I75">
            <v>5269</v>
          </cell>
          <cell r="J75">
            <v>4594</v>
          </cell>
          <cell r="K75">
            <v>3398</v>
          </cell>
          <cell r="L75">
            <v>3105</v>
          </cell>
          <cell r="M75">
            <v>2103</v>
          </cell>
          <cell r="N75">
            <v>1601.5848945273233</v>
          </cell>
          <cell r="O75">
            <v>1256.9481823573356</v>
          </cell>
          <cell r="P75">
            <v>1038.1278114140537</v>
          </cell>
          <cell r="Q75">
            <v>899.92456670767081</v>
          </cell>
          <cell r="R75">
            <v>729.54508308988511</v>
          </cell>
          <cell r="S75">
            <v>401.42322759733389</v>
          </cell>
          <cell r="T75">
            <v>218.40600139220311</v>
          </cell>
          <cell r="AL75">
            <v>970.57</v>
          </cell>
          <cell r="AM75">
            <v>752.08</v>
          </cell>
          <cell r="AN75">
            <v>641.58000000000004</v>
          </cell>
          <cell r="AO75">
            <v>840</v>
          </cell>
          <cell r="AP75">
            <v>1047</v>
          </cell>
          <cell r="AQ75">
            <v>1118</v>
          </cell>
          <cell r="AR75">
            <v>1184</v>
          </cell>
          <cell r="AS75">
            <v>1607</v>
          </cell>
          <cell r="AT75">
            <v>842</v>
          </cell>
          <cell r="AU75">
            <v>1091</v>
          </cell>
          <cell r="AV75">
            <v>1408</v>
          </cell>
          <cell r="AW75">
            <v>1928</v>
          </cell>
          <cell r="AX75">
            <v>859</v>
          </cell>
          <cell r="AY75">
            <v>879</v>
          </cell>
          <cell r="AZ75">
            <v>1603</v>
          </cell>
          <cell r="BA75">
            <v>1253</v>
          </cell>
          <cell r="BB75">
            <v>742</v>
          </cell>
          <cell r="BC75">
            <v>716</v>
          </cell>
          <cell r="BD75">
            <v>1157</v>
          </cell>
          <cell r="BE75">
            <v>783</v>
          </cell>
          <cell r="BF75">
            <v>536</v>
          </cell>
          <cell r="BG75">
            <v>796</v>
          </cell>
          <cell r="BH75">
            <v>1066</v>
          </cell>
          <cell r="BI75">
            <v>707</v>
          </cell>
          <cell r="BJ75">
            <v>147</v>
          </cell>
          <cell r="BK75">
            <v>468</v>
          </cell>
          <cell r="BL75">
            <v>612</v>
          </cell>
          <cell r="BM75">
            <v>876</v>
          </cell>
          <cell r="BN75">
            <v>312</v>
          </cell>
          <cell r="BO75">
            <v>412</v>
          </cell>
          <cell r="BP75">
            <v>228</v>
          </cell>
          <cell r="BQ75">
            <v>649.5848945273234</v>
          </cell>
          <cell r="BR75">
            <v>255.22804703179787</v>
          </cell>
          <cell r="BS75">
            <v>200.512409358274</v>
          </cell>
          <cell r="BT75">
            <v>191.38969730430563</v>
          </cell>
          <cell r="BU75">
            <v>609.81802866295777</v>
          </cell>
        </row>
        <row r="76">
          <cell r="A76" t="str">
            <v>Postpaid</v>
          </cell>
          <cell r="J76">
            <v>4523</v>
          </cell>
          <cell r="K76">
            <v>4199</v>
          </cell>
          <cell r="L76">
            <v>2153</v>
          </cell>
          <cell r="M76">
            <v>1429</v>
          </cell>
          <cell r="N76">
            <v>1162.3012535640542</v>
          </cell>
          <cell r="O76">
            <v>962.99925084162123</v>
          </cell>
          <cell r="P76">
            <v>794.06080327223572</v>
          </cell>
          <cell r="Q76">
            <v>673.45179409129923</v>
          </cell>
          <cell r="R76">
            <v>546.76895946262084</v>
          </cell>
          <cell r="S76">
            <v>239.15915633211989</v>
          </cell>
          <cell r="T76">
            <v>95.672546547319143</v>
          </cell>
          <cell r="AX76">
            <v>741</v>
          </cell>
          <cell r="AY76">
            <v>867</v>
          </cell>
          <cell r="AZ76">
            <v>1639</v>
          </cell>
          <cell r="BA76">
            <v>1276</v>
          </cell>
          <cell r="BB76">
            <v>897</v>
          </cell>
          <cell r="BC76">
            <v>1128</v>
          </cell>
          <cell r="BD76">
            <v>1333</v>
          </cell>
          <cell r="BE76">
            <v>841</v>
          </cell>
          <cell r="BF76">
            <v>512</v>
          </cell>
          <cell r="BG76">
            <v>496</v>
          </cell>
          <cell r="BH76">
            <v>745</v>
          </cell>
          <cell r="BI76">
            <v>400</v>
          </cell>
          <cell r="BJ76">
            <v>62</v>
          </cell>
          <cell r="BK76">
            <v>331</v>
          </cell>
          <cell r="BL76">
            <v>319</v>
          </cell>
          <cell r="BM76">
            <v>717</v>
          </cell>
          <cell r="BN76">
            <v>187</v>
          </cell>
          <cell r="BO76">
            <v>320</v>
          </cell>
          <cell r="BP76">
            <v>151</v>
          </cell>
          <cell r="BQ76">
            <v>504.30125356405415</v>
          </cell>
          <cell r="BR76">
            <v>164.86286065229069</v>
          </cell>
          <cell r="BS76">
            <v>141.96655607929006</v>
          </cell>
          <cell r="BT76">
            <v>151.71099920117513</v>
          </cell>
          <cell r="BU76">
            <v>504.45883490886536</v>
          </cell>
        </row>
        <row r="77">
          <cell r="A77" t="str">
            <v>Prepaid</v>
          </cell>
          <cell r="J77">
            <v>71</v>
          </cell>
          <cell r="K77">
            <v>-801</v>
          </cell>
          <cell r="L77">
            <v>952</v>
          </cell>
          <cell r="M77">
            <v>674</v>
          </cell>
          <cell r="N77">
            <v>439.28364096326925</v>
          </cell>
          <cell r="O77">
            <v>293.94893151571404</v>
          </cell>
          <cell r="P77">
            <v>244.06700814181619</v>
          </cell>
          <cell r="Q77">
            <v>226.47277261636978</v>
          </cell>
          <cell r="R77">
            <v>182.77612362726057</v>
          </cell>
          <cell r="S77">
            <v>162.26407126520854</v>
          </cell>
          <cell r="T77">
            <v>122.7334548448767</v>
          </cell>
          <cell r="AX77">
            <v>118</v>
          </cell>
          <cell r="AY77">
            <v>12</v>
          </cell>
          <cell r="AZ77">
            <v>-36</v>
          </cell>
          <cell r="BA77">
            <v>-23</v>
          </cell>
          <cell r="BB77">
            <v>-155</v>
          </cell>
          <cell r="BC77">
            <v>-412</v>
          </cell>
          <cell r="BD77">
            <v>-176</v>
          </cell>
          <cell r="BE77">
            <v>-58</v>
          </cell>
          <cell r="BF77">
            <v>24</v>
          </cell>
          <cell r="BG77">
            <v>300</v>
          </cell>
          <cell r="BH77">
            <v>321</v>
          </cell>
          <cell r="BI77">
            <v>307</v>
          </cell>
          <cell r="BJ77">
            <v>85</v>
          </cell>
          <cell r="BK77">
            <v>137</v>
          </cell>
          <cell r="BL77">
            <v>293</v>
          </cell>
          <cell r="BM77">
            <v>159</v>
          </cell>
          <cell r="BN77">
            <v>125</v>
          </cell>
          <cell r="BO77">
            <v>92</v>
          </cell>
          <cell r="BP77">
            <v>77</v>
          </cell>
          <cell r="BQ77">
            <v>145.28364096326928</v>
          </cell>
          <cell r="BR77">
            <v>90.365186379507193</v>
          </cell>
          <cell r="BS77">
            <v>58.545853278983941</v>
          </cell>
          <cell r="BT77">
            <v>39.6786981031305</v>
          </cell>
          <cell r="BU77">
            <v>105.35919375409243</v>
          </cell>
        </row>
        <row r="78">
          <cell r="A78" t="str">
            <v>Resale net adds</v>
          </cell>
          <cell r="F78" t="str">
            <v>NA</v>
          </cell>
          <cell r="G78">
            <v>1801.77</v>
          </cell>
          <cell r="H78">
            <v>1936</v>
          </cell>
          <cell r="I78">
            <v>2046</v>
          </cell>
          <cell r="J78">
            <v>1102</v>
          </cell>
          <cell r="K78">
            <v>1803</v>
          </cell>
          <cell r="L78">
            <v>1140</v>
          </cell>
          <cell r="M78">
            <v>1874</v>
          </cell>
          <cell r="N78">
            <v>1035.1394016054487</v>
          </cell>
          <cell r="O78">
            <v>489.91488585952345</v>
          </cell>
          <cell r="P78">
            <v>594.91333234567685</v>
          </cell>
          <cell r="Q78">
            <v>481.25464180978571</v>
          </cell>
          <cell r="R78">
            <v>365.55224725452109</v>
          </cell>
          <cell r="S78">
            <v>359.29901494439025</v>
          </cell>
          <cell r="T78">
            <v>271.76693572794119</v>
          </cell>
          <cell r="AL78">
            <v>396.43</v>
          </cell>
          <cell r="AM78">
            <v>199.92</v>
          </cell>
          <cell r="AN78">
            <v>225.42</v>
          </cell>
          <cell r="AO78">
            <v>980</v>
          </cell>
          <cell r="AP78">
            <v>632</v>
          </cell>
          <cell r="AQ78">
            <v>380</v>
          </cell>
          <cell r="AR78">
            <v>174</v>
          </cell>
          <cell r="AS78">
            <v>750</v>
          </cell>
          <cell r="AT78">
            <v>349</v>
          </cell>
          <cell r="AU78">
            <v>365</v>
          </cell>
          <cell r="AV78">
            <v>585</v>
          </cell>
          <cell r="AW78">
            <v>747</v>
          </cell>
          <cell r="AX78">
            <v>280</v>
          </cell>
          <cell r="AY78">
            <v>109</v>
          </cell>
          <cell r="AZ78">
            <v>134</v>
          </cell>
          <cell r="BA78">
            <v>579</v>
          </cell>
          <cell r="BB78">
            <v>337</v>
          </cell>
          <cell r="BC78">
            <v>348</v>
          </cell>
          <cell r="BD78">
            <v>634</v>
          </cell>
          <cell r="BE78">
            <v>484</v>
          </cell>
          <cell r="BF78">
            <v>269</v>
          </cell>
          <cell r="BG78">
            <v>-130</v>
          </cell>
          <cell r="BH78">
            <v>406</v>
          </cell>
          <cell r="BI78">
            <v>595</v>
          </cell>
          <cell r="BJ78">
            <v>561</v>
          </cell>
          <cell r="BK78">
            <v>248</v>
          </cell>
          <cell r="BL78">
            <v>473</v>
          </cell>
          <cell r="BM78">
            <v>592</v>
          </cell>
          <cell r="BN78">
            <v>184</v>
          </cell>
          <cell r="BO78">
            <v>472</v>
          </cell>
          <cell r="BP78">
            <v>137</v>
          </cell>
          <cell r="BQ78">
            <v>242.13940160544882</v>
          </cell>
          <cell r="BR78">
            <v>150.60864396584532</v>
          </cell>
          <cell r="BS78">
            <v>97.576422131639902</v>
          </cell>
          <cell r="BT78">
            <v>66.131163505217501</v>
          </cell>
          <cell r="BU78">
            <v>175.59865625682073</v>
          </cell>
        </row>
        <row r="79">
          <cell r="A79" t="str">
            <v>Connected Dev. net adds</v>
          </cell>
          <cell r="J79">
            <v>1003</v>
          </cell>
          <cell r="K79">
            <v>2077</v>
          </cell>
          <cell r="L79">
            <v>4608</v>
          </cell>
          <cell r="M79">
            <v>3722</v>
          </cell>
          <cell r="N79">
            <v>1506.134563853077</v>
          </cell>
          <cell r="O79">
            <v>1175.7957260628561</v>
          </cell>
          <cell r="P79">
            <v>686.43846039885807</v>
          </cell>
          <cell r="Q79">
            <v>707.72741442615552</v>
          </cell>
          <cell r="R79">
            <v>670.17911996662224</v>
          </cell>
          <cell r="S79">
            <v>637.46599425617637</v>
          </cell>
          <cell r="T79">
            <v>482.16714403344417</v>
          </cell>
          <cell r="AX79">
            <v>156</v>
          </cell>
          <cell r="AY79">
            <v>345</v>
          </cell>
          <cell r="AZ79">
            <v>239</v>
          </cell>
          <cell r="BA79">
            <v>263</v>
          </cell>
          <cell r="BB79">
            <v>144</v>
          </cell>
          <cell r="BC79">
            <v>304</v>
          </cell>
          <cell r="BD79">
            <v>235</v>
          </cell>
          <cell r="BE79">
            <v>1394</v>
          </cell>
          <cell r="BF79">
            <v>1052</v>
          </cell>
          <cell r="BG79">
            <v>896</v>
          </cell>
          <cell r="BH79">
            <v>1159</v>
          </cell>
          <cell r="BI79">
            <v>1501</v>
          </cell>
          <cell r="BJ79">
            <v>1276</v>
          </cell>
          <cell r="BK79">
            <v>379</v>
          </cell>
          <cell r="BL79">
            <v>1038</v>
          </cell>
          <cell r="BM79">
            <v>1029</v>
          </cell>
          <cell r="BN79">
            <v>230</v>
          </cell>
          <cell r="BO79">
            <v>382</v>
          </cell>
          <cell r="BP79">
            <v>313</v>
          </cell>
          <cell r="BQ79">
            <v>581.13456385307711</v>
          </cell>
          <cell r="BR79">
            <v>361.46074551802877</v>
          </cell>
          <cell r="BS79">
            <v>234.18341311593576</v>
          </cell>
          <cell r="BT79">
            <v>158.714792412522</v>
          </cell>
          <cell r="BU79">
            <v>421.43677501636972</v>
          </cell>
        </row>
        <row r="80">
          <cell r="A80" t="str">
            <v xml:space="preserve"> M&amp;A, partitioned customers, other adj.</v>
          </cell>
          <cell r="F80">
            <v>-17</v>
          </cell>
          <cell r="G80">
            <v>6</v>
          </cell>
          <cell r="H80">
            <v>-74</v>
          </cell>
          <cell r="I80">
            <v>1775</v>
          </cell>
          <cell r="J80">
            <v>258</v>
          </cell>
          <cell r="K80">
            <v>833</v>
          </cell>
          <cell r="L80">
            <v>1563</v>
          </cell>
          <cell r="M80">
            <v>12</v>
          </cell>
          <cell r="N80">
            <v>0</v>
          </cell>
          <cell r="O80">
            <v>0</v>
          </cell>
          <cell r="P80">
            <v>0</v>
          </cell>
          <cell r="Q80">
            <v>0</v>
          </cell>
          <cell r="R80">
            <v>0</v>
          </cell>
          <cell r="S80">
            <v>0</v>
          </cell>
          <cell r="T80">
            <v>0</v>
          </cell>
          <cell r="AH80">
            <v>115</v>
          </cell>
          <cell r="AI80">
            <v>27</v>
          </cell>
          <cell r="AJ80">
            <v>-35</v>
          </cell>
          <cell r="AK80">
            <v>-124</v>
          </cell>
          <cell r="AL80">
            <v>-149</v>
          </cell>
          <cell r="AM80">
            <v>140</v>
          </cell>
          <cell r="AN80">
            <v>-17</v>
          </cell>
          <cell r="AO80">
            <v>32</v>
          </cell>
          <cell r="AP80">
            <v>-13</v>
          </cell>
          <cell r="AQ80">
            <v>0</v>
          </cell>
          <cell r="AR80">
            <v>0</v>
          </cell>
          <cell r="AS80">
            <v>-61</v>
          </cell>
          <cell r="AT80">
            <v>64</v>
          </cell>
          <cell r="AW80">
            <v>1711</v>
          </cell>
          <cell r="AX80">
            <v>20</v>
          </cell>
          <cell r="AY80">
            <v>182</v>
          </cell>
          <cell r="AZ80">
            <v>13</v>
          </cell>
          <cell r="BA80">
            <v>43</v>
          </cell>
          <cell r="BB80">
            <v>0</v>
          </cell>
          <cell r="BC80">
            <v>0</v>
          </cell>
          <cell r="BD80">
            <v>-30</v>
          </cell>
          <cell r="BE80">
            <v>863</v>
          </cell>
          <cell r="BF80">
            <v>10</v>
          </cell>
          <cell r="BG80">
            <v>1581</v>
          </cell>
          <cell r="BH80">
            <v>0</v>
          </cell>
          <cell r="BI80">
            <v>-28</v>
          </cell>
          <cell r="BJ80">
            <v>-1</v>
          </cell>
          <cell r="BK80">
            <v>1</v>
          </cell>
          <cell r="BL80">
            <v>0</v>
          </cell>
          <cell r="BM80">
            <v>12</v>
          </cell>
          <cell r="BN80">
            <v>-33</v>
          </cell>
          <cell r="BO80">
            <v>0</v>
          </cell>
          <cell r="BP80">
            <v>-13</v>
          </cell>
          <cell r="BQ80">
            <v>0</v>
          </cell>
          <cell r="BR80">
            <v>0</v>
          </cell>
          <cell r="BS80">
            <v>0</v>
          </cell>
          <cell r="BT80">
            <v>0</v>
          </cell>
          <cell r="BU80">
            <v>0</v>
          </cell>
        </row>
        <row r="81">
          <cell r="A81" t="str">
            <v>Net Adds Split</v>
          </cell>
        </row>
        <row r="82">
          <cell r="A82" t="str">
            <v>Postpaid</v>
          </cell>
          <cell r="I82">
            <v>0.54436090225563905</v>
          </cell>
          <cell r="J82">
            <v>0.67517539931333037</v>
          </cell>
          <cell r="K82">
            <v>0.57694421544380325</v>
          </cell>
          <cell r="L82">
            <v>0.24319439737941942</v>
          </cell>
          <cell r="M82">
            <v>0.18560852058708924</v>
          </cell>
          <cell r="N82">
            <v>0.28055535871381915</v>
          </cell>
          <cell r="O82">
            <v>0.32949424432520902</v>
          </cell>
          <cell r="P82">
            <v>0.34234437838925835</v>
          </cell>
          <cell r="Q82">
            <v>0.32239439843524198</v>
          </cell>
          <cell r="R82">
            <v>0.30973559941066664</v>
          </cell>
          <cell r="S82">
            <v>0.17104932657696842</v>
          </cell>
          <cell r="T82">
            <v>9.8394119919249484E-2</v>
          </cell>
          <cell r="AX82">
            <v>0.57220077220077215</v>
          </cell>
          <cell r="AY82">
            <v>0.65041260315078775</v>
          </cell>
          <cell r="AZ82">
            <v>0.82945344129554655</v>
          </cell>
          <cell r="BA82">
            <v>0.60906921241050116</v>
          </cell>
          <cell r="BB82">
            <v>0.7334423548650858</v>
          </cell>
          <cell r="BC82">
            <v>0.82456140350877194</v>
          </cell>
          <cell r="BD82">
            <v>0.65794669299111552</v>
          </cell>
          <cell r="BE82">
            <v>0.3160465990229237</v>
          </cell>
          <cell r="BF82">
            <v>0.27571351642434033</v>
          </cell>
          <cell r="BG82">
            <v>0.31754161331626118</v>
          </cell>
          <cell r="BH82">
            <v>0.28316229570505513</v>
          </cell>
          <cell r="BI82">
            <v>0.14270424545130217</v>
          </cell>
          <cell r="BJ82">
            <v>3.125E-2</v>
          </cell>
          <cell r="BK82">
            <v>0.30228310502283107</v>
          </cell>
          <cell r="BL82">
            <v>0.15025906735751296</v>
          </cell>
          <cell r="BM82">
            <v>0.28714457348818584</v>
          </cell>
          <cell r="BN82">
            <v>0.25757575757575757</v>
          </cell>
          <cell r="BO82">
            <v>0.2527646129541864</v>
          </cell>
          <cell r="BP82">
            <v>0.22271386430678466</v>
          </cell>
          <cell r="BQ82">
            <v>0.34239618422697943</v>
          </cell>
          <cell r="BR82">
            <v>0.21486173784307108</v>
          </cell>
          <cell r="BS82">
            <v>0.26671793902088026</v>
          </cell>
          <cell r="BT82">
            <v>0.36448343150518997</v>
          </cell>
          <cell r="BU82">
            <v>0.41799510185400229</v>
          </cell>
        </row>
        <row r="83">
          <cell r="A83" t="str">
            <v>Prepaid</v>
          </cell>
          <cell r="I83">
            <v>0.17593984962406015</v>
          </cell>
          <cell r="J83">
            <v>1.0598596805493358E-2</v>
          </cell>
          <cell r="K83">
            <v>-0.11005770816158285</v>
          </cell>
          <cell r="L83">
            <v>0.10753416920817802</v>
          </cell>
          <cell r="M83">
            <v>8.7543836861930124E-2</v>
          </cell>
          <cell r="N83">
            <v>0.10603393835260166</v>
          </cell>
          <cell r="O83">
            <v>0.10057586335121864</v>
          </cell>
          <cell r="P83">
            <v>0.10522489945771842</v>
          </cell>
          <cell r="Q83">
            <v>0.10841689625036101</v>
          </cell>
          <cell r="R83">
            <v>0.10353966008839953</v>
          </cell>
          <cell r="S83">
            <v>0.11605309427922379</v>
          </cell>
          <cell r="T83">
            <v>0.12622482321130377</v>
          </cell>
          <cell r="AX83">
            <v>9.1119691119691121E-2</v>
          </cell>
          <cell r="AY83">
            <v>9.0022505626406596E-3</v>
          </cell>
          <cell r="AZ83">
            <v>-1.8218623481781375E-2</v>
          </cell>
          <cell r="BA83">
            <v>-1.0978520286396181E-2</v>
          </cell>
          <cell r="BB83">
            <v>-0.12673753066230581</v>
          </cell>
          <cell r="BC83">
            <v>-0.30116959064327486</v>
          </cell>
          <cell r="BD83">
            <v>-8.6870681145113524E-2</v>
          </cell>
          <cell r="BE83">
            <v>-2.1796317173994738E-2</v>
          </cell>
          <cell r="BF83">
            <v>1.2924071082390954E-2</v>
          </cell>
          <cell r="BG83">
            <v>0.19206145966709348</v>
          </cell>
          <cell r="BH83">
            <v>0.12200684150513112</v>
          </cell>
          <cell r="BI83">
            <v>0.10952550838387443</v>
          </cell>
          <cell r="BJ83">
            <v>4.2842741935483868E-2</v>
          </cell>
          <cell r="BK83">
            <v>0.12511415525114156</v>
          </cell>
          <cell r="BL83">
            <v>0.13801224682053698</v>
          </cell>
          <cell r="BM83">
            <v>6.3676411694032833E-2</v>
          </cell>
          <cell r="BN83">
            <v>0.17217630853994489</v>
          </cell>
          <cell r="BO83">
            <v>7.266982622432859E-2</v>
          </cell>
          <cell r="BP83">
            <v>0.11356932153392331</v>
          </cell>
          <cell r="BQ83">
            <v>9.8640572365952972E-2</v>
          </cell>
          <cell r="BR83">
            <v>0.11777073932353943</v>
          </cell>
          <cell r="BS83">
            <v>0.10999230914686796</v>
          </cell>
          <cell r="BT83">
            <v>9.5327485274221663E-2</v>
          </cell>
          <cell r="BU83">
            <v>8.7300734721899656E-2</v>
          </cell>
        </row>
        <row r="84">
          <cell r="A84" t="str">
            <v>Reseller</v>
          </cell>
          <cell r="I84">
            <v>0.27969924812030078</v>
          </cell>
          <cell r="J84">
            <v>0.16450216450216448</v>
          </cell>
          <cell r="K84">
            <v>0.24773289365210227</v>
          </cell>
          <cell r="L84">
            <v>0.12876990850559134</v>
          </cell>
          <cell r="M84">
            <v>0.24340823483569296</v>
          </cell>
          <cell r="N84">
            <v>0.24986113130800336</v>
          </cell>
          <cell r="O84">
            <v>0.16762643891869783</v>
          </cell>
          <cell r="P84">
            <v>0.25648569242819019</v>
          </cell>
          <cell r="Q84">
            <v>0.2303859045320189</v>
          </cell>
          <cell r="R84">
            <v>0.20707932017680214</v>
          </cell>
          <cell r="S84">
            <v>0.25697470876114292</v>
          </cell>
          <cell r="T84">
            <v>0.27949782282503899</v>
          </cell>
          <cell r="AL84">
            <v>1.0952326983113017</v>
          </cell>
          <cell r="AM84">
            <v>1.2671524305924902</v>
          </cell>
          <cell r="AN84">
            <v>1.0349449795816577</v>
          </cell>
          <cell r="AO84">
            <v>0.75714285714285712</v>
          </cell>
          <cell r="AP84">
            <v>0.85959885386819479</v>
          </cell>
          <cell r="AQ84">
            <v>0.93112701252236141</v>
          </cell>
          <cell r="AR84">
            <v>0.78378378378378377</v>
          </cell>
          <cell r="AS84">
            <v>0.53578095830740513</v>
          </cell>
          <cell r="AT84">
            <v>0.80760095011876487</v>
          </cell>
          <cell r="AU84">
            <v>0.83593033913840509</v>
          </cell>
          <cell r="AV84">
            <v>0.86079545454545459</v>
          </cell>
          <cell r="AW84">
            <v>0.61099585062240669</v>
          </cell>
          <cell r="AX84">
            <v>0.21621621621621623</v>
          </cell>
          <cell r="AY84">
            <v>8.1770442610652666E-2</v>
          </cell>
          <cell r="AZ84">
            <v>6.7813765182186236E-2</v>
          </cell>
          <cell r="BA84">
            <v>0.27637231503579951</v>
          </cell>
          <cell r="BB84">
            <v>0.27555192150449714</v>
          </cell>
          <cell r="BC84">
            <v>0.25438596491228072</v>
          </cell>
          <cell r="BD84">
            <v>0.31293188548864759</v>
          </cell>
          <cell r="BE84">
            <v>0.18188650883126645</v>
          </cell>
          <cell r="BF84">
            <v>0.14485729671513192</v>
          </cell>
          <cell r="BG84">
            <v>-8.3226632522407168E-2</v>
          </cell>
          <cell r="BH84">
            <v>0.15431394906879514</v>
          </cell>
          <cell r="BI84">
            <v>0.21227256510881198</v>
          </cell>
          <cell r="BJ84">
            <v>0.28276209677419356</v>
          </cell>
          <cell r="BK84">
            <v>0.22648401826484019</v>
          </cell>
          <cell r="BL84">
            <v>0.22279792746113988</v>
          </cell>
          <cell r="BM84">
            <v>0.23708450140168202</v>
          </cell>
          <cell r="BN84">
            <v>0.25344352617079891</v>
          </cell>
          <cell r="BO84">
            <v>0.37282780410742494</v>
          </cell>
          <cell r="BP84">
            <v>0.20206489675516223</v>
          </cell>
          <cell r="BQ84">
            <v>0.16440095394325499</v>
          </cell>
          <cell r="BR84">
            <v>0.19628456553923238</v>
          </cell>
          <cell r="BS84">
            <v>0.18332051524477994</v>
          </cell>
          <cell r="BT84">
            <v>0.15887914212370277</v>
          </cell>
          <cell r="BU84">
            <v>0.14550122453649944</v>
          </cell>
        </row>
        <row r="85">
          <cell r="A85" t="str">
            <v>Connected Devices</v>
          </cell>
          <cell r="I85">
            <v>0</v>
          </cell>
          <cell r="J85">
            <v>0.14972383937901179</v>
          </cell>
          <cell r="K85">
            <v>0.28538059906567737</v>
          </cell>
          <cell r="L85">
            <v>0.52050152490681123</v>
          </cell>
          <cell r="M85">
            <v>0.48343940771528771</v>
          </cell>
          <cell r="N85">
            <v>0.36354957162557577</v>
          </cell>
          <cell r="O85">
            <v>0.40230345340487456</v>
          </cell>
          <cell r="P85">
            <v>0.29594502972483305</v>
          </cell>
          <cell r="Q85">
            <v>0.33880280078237812</v>
          </cell>
          <cell r="R85">
            <v>0.37964542032413168</v>
          </cell>
          <cell r="S85">
            <v>0.45592287038266488</v>
          </cell>
          <cell r="T85">
            <v>0.49588323404440771</v>
          </cell>
          <cell r="AL85">
            <v>-9.5232698311301558E-2</v>
          </cell>
          <cell r="AM85">
            <v>-0.26715243059249011</v>
          </cell>
          <cell r="AN85">
            <v>-3.4944979581657716E-2</v>
          </cell>
          <cell r="AO85">
            <v>0.24285714285714285</v>
          </cell>
          <cell r="AP85">
            <v>0.14040114613180515</v>
          </cell>
          <cell r="AQ85">
            <v>6.8872987477638634E-2</v>
          </cell>
          <cell r="AR85">
            <v>0.21621621621621623</v>
          </cell>
          <cell r="AS85">
            <v>0.46421904169259492</v>
          </cell>
          <cell r="AT85">
            <v>0.19239904988123516</v>
          </cell>
          <cell r="AU85">
            <v>0.16406966086159486</v>
          </cell>
          <cell r="AV85">
            <v>0.13920454545454544</v>
          </cell>
          <cell r="AW85">
            <v>0.38900414937759337</v>
          </cell>
          <cell r="AX85">
            <v>0.12046332046332046</v>
          </cell>
          <cell r="AY85">
            <v>0.25881470367591897</v>
          </cell>
          <cell r="AZ85">
            <v>0.12095141700404859</v>
          </cell>
          <cell r="BA85">
            <v>0.12553699284009545</v>
          </cell>
          <cell r="BB85">
            <v>0.11774325429272281</v>
          </cell>
          <cell r="BC85">
            <v>0.22222222222222221</v>
          </cell>
          <cell r="BD85">
            <v>0.11599210266535044</v>
          </cell>
          <cell r="BE85">
            <v>0.52386320931980457</v>
          </cell>
          <cell r="BF85">
            <v>0.56650511577813678</v>
          </cell>
          <cell r="BG85">
            <v>0.57362355953905253</v>
          </cell>
          <cell r="BH85">
            <v>0.44051691372101864</v>
          </cell>
          <cell r="BI85">
            <v>0.53549768105601137</v>
          </cell>
          <cell r="BJ85">
            <v>0.64314516129032262</v>
          </cell>
          <cell r="BK85">
            <v>0.34611872146118722</v>
          </cell>
          <cell r="BL85">
            <v>0.48893075836081018</v>
          </cell>
          <cell r="BM85">
            <v>0.41209451341609932</v>
          </cell>
          <cell r="BN85">
            <v>0.3168044077134986</v>
          </cell>
          <cell r="BO85">
            <v>0.30173775671406006</v>
          </cell>
          <cell r="BP85">
            <v>0.46165191740412981</v>
          </cell>
          <cell r="BQ85">
            <v>0.39456228946381189</v>
          </cell>
          <cell r="BR85">
            <v>0.47108295729415772</v>
          </cell>
          <cell r="BS85">
            <v>0.43996923658747183</v>
          </cell>
          <cell r="BT85">
            <v>0.38130994109688665</v>
          </cell>
          <cell r="BU85">
            <v>0.34920293888759862</v>
          </cell>
        </row>
        <row r="86">
          <cell r="A86" t="str">
            <v>Total</v>
          </cell>
          <cell r="I86">
            <v>1</v>
          </cell>
          <cell r="J86">
            <v>1</v>
          </cell>
          <cell r="K86">
            <v>1</v>
          </cell>
          <cell r="L86">
            <v>1</v>
          </cell>
          <cell r="M86">
            <v>1</v>
          </cell>
          <cell r="N86">
            <v>0.99999999999999989</v>
          </cell>
          <cell r="O86">
            <v>1</v>
          </cell>
          <cell r="P86">
            <v>1</v>
          </cell>
          <cell r="Q86">
            <v>1</v>
          </cell>
          <cell r="R86">
            <v>1</v>
          </cell>
          <cell r="S86">
            <v>1</v>
          </cell>
          <cell r="T86">
            <v>1</v>
          </cell>
          <cell r="AL86">
            <v>0</v>
          </cell>
          <cell r="AM86">
            <v>0</v>
          </cell>
          <cell r="AN86">
            <v>0</v>
          </cell>
          <cell r="AO86">
            <v>0</v>
          </cell>
          <cell r="AP86">
            <v>0</v>
          </cell>
          <cell r="AQ86">
            <v>0</v>
          </cell>
          <cell r="AR86">
            <v>0</v>
          </cell>
          <cell r="AS86">
            <v>0</v>
          </cell>
          <cell r="AT86">
            <v>0</v>
          </cell>
          <cell r="AU86">
            <v>0</v>
          </cell>
          <cell r="AV86">
            <v>0</v>
          </cell>
          <cell r="AW86">
            <v>0</v>
          </cell>
          <cell r="AX86">
            <v>0.99999999999999989</v>
          </cell>
          <cell r="AY86">
            <v>1</v>
          </cell>
          <cell r="AZ86">
            <v>0.99999999999999989</v>
          </cell>
          <cell r="BA86">
            <v>0.99999999999999989</v>
          </cell>
          <cell r="BB86">
            <v>0.99999999999999989</v>
          </cell>
          <cell r="BC86">
            <v>1</v>
          </cell>
          <cell r="BD86">
            <v>1</v>
          </cell>
          <cell r="BE86">
            <v>1</v>
          </cell>
          <cell r="BF86">
            <v>1</v>
          </cell>
          <cell r="BG86">
            <v>1</v>
          </cell>
          <cell r="BH86">
            <v>1</v>
          </cell>
          <cell r="BI86">
            <v>1</v>
          </cell>
          <cell r="BJ86">
            <v>1</v>
          </cell>
          <cell r="BK86">
            <v>1</v>
          </cell>
          <cell r="BL86">
            <v>1</v>
          </cell>
          <cell r="BM86">
            <v>1</v>
          </cell>
          <cell r="BN86">
            <v>1</v>
          </cell>
          <cell r="BO86">
            <v>1</v>
          </cell>
          <cell r="BP86">
            <v>1</v>
          </cell>
          <cell r="BQ86">
            <v>0.99999999999999933</v>
          </cell>
          <cell r="BR86">
            <v>1.0000000000000004</v>
          </cell>
          <cell r="BS86">
            <v>1</v>
          </cell>
          <cell r="BT86">
            <v>1.0000000000000011</v>
          </cell>
          <cell r="BU86">
            <v>1</v>
          </cell>
        </row>
        <row r="87">
          <cell r="A87" t="str">
            <v>Prepaid/Reseller/Conn D Split</v>
          </cell>
          <cell r="J87">
            <v>2176</v>
          </cell>
          <cell r="K87">
            <v>3079</v>
          </cell>
          <cell r="L87">
            <v>6700.0000000000036</v>
          </cell>
          <cell r="M87">
            <v>6269.9999999999982</v>
          </cell>
          <cell r="N87">
            <v>2980.5576064217967</v>
          </cell>
          <cell r="O87">
            <v>1959.6595434380943</v>
          </cell>
          <cell r="P87">
            <v>1525.4188008863512</v>
          </cell>
          <cell r="Q87">
            <v>1415.454828852331</v>
          </cell>
          <cell r="R87">
            <v>1218.5074908486295</v>
          </cell>
          <cell r="S87">
            <v>1159.0290804675324</v>
          </cell>
          <cell r="T87">
            <v>876.66753461784901</v>
          </cell>
          <cell r="AX87">
            <v>554</v>
          </cell>
          <cell r="AY87">
            <v>466</v>
          </cell>
          <cell r="AZ87">
            <v>337</v>
          </cell>
          <cell r="BA87">
            <v>818.99999999999955</v>
          </cell>
          <cell r="BB87">
            <v>326</v>
          </cell>
          <cell r="BC87">
            <v>240</v>
          </cell>
          <cell r="BD87">
            <v>693</v>
          </cell>
          <cell r="BE87">
            <v>1820</v>
          </cell>
          <cell r="BF87">
            <v>1345</v>
          </cell>
          <cell r="BG87">
            <v>1065.9999999999995</v>
          </cell>
          <cell r="BH87">
            <v>1886</v>
          </cell>
          <cell r="BI87">
            <v>2403</v>
          </cell>
          <cell r="BJ87">
            <v>1922.0000000000005</v>
          </cell>
          <cell r="BK87">
            <v>764</v>
          </cell>
          <cell r="BL87">
            <v>1804</v>
          </cell>
          <cell r="BM87">
            <v>1780</v>
          </cell>
          <cell r="BN87">
            <v>539</v>
          </cell>
          <cell r="BO87">
            <v>946</v>
          </cell>
          <cell r="BP87">
            <v>527</v>
          </cell>
          <cell r="BQ87">
            <v>968.5576064217953</v>
          </cell>
          <cell r="BR87">
            <v>602.43457586338127</v>
          </cell>
          <cell r="BS87">
            <v>390.30568852655961</v>
          </cell>
          <cell r="BT87">
            <v>264.52465402087</v>
          </cell>
          <cell r="BU87">
            <v>702.39462502728293</v>
          </cell>
        </row>
        <row r="88">
          <cell r="A88" t="str">
            <v>Prepaid</v>
          </cell>
          <cell r="J88">
            <v>3.2628676470588237E-2</v>
          </cell>
          <cell r="K88">
            <v>-0.26014939915557</v>
          </cell>
          <cell r="L88">
            <v>0.1420895522388059</v>
          </cell>
          <cell r="M88">
            <v>0.10749601275917069</v>
          </cell>
          <cell r="N88">
            <v>0.14738304001130706</v>
          </cell>
          <cell r="O88">
            <v>0.14999999999999994</v>
          </cell>
          <cell r="P88">
            <v>0.16</v>
          </cell>
          <cell r="Q88">
            <v>0.16</v>
          </cell>
          <cell r="R88">
            <v>0.15</v>
          </cell>
          <cell r="S88">
            <v>0.14000000000000001</v>
          </cell>
          <cell r="T88">
            <v>0.14000000000000001</v>
          </cell>
          <cell r="AX88">
            <v>0.21299638989169675</v>
          </cell>
          <cell r="AY88">
            <v>2.575107296137339E-2</v>
          </cell>
          <cell r="AZ88">
            <v>-0.10682492581602374</v>
          </cell>
          <cell r="BA88">
            <v>-2.8083028083028098E-2</v>
          </cell>
          <cell r="BB88">
            <v>-0.47546012269938648</v>
          </cell>
          <cell r="BC88">
            <v>-1.7166666666666666</v>
          </cell>
          <cell r="BD88">
            <v>-0.25396825396825395</v>
          </cell>
          <cell r="BE88">
            <v>-3.1868131868131866E-2</v>
          </cell>
          <cell r="BF88">
            <v>1.7843866171003718E-2</v>
          </cell>
          <cell r="BG88">
            <v>0.28142589118198885</v>
          </cell>
          <cell r="BH88">
            <v>0.1702014846235419</v>
          </cell>
          <cell r="BI88">
            <v>0.12775697045359966</v>
          </cell>
          <cell r="BJ88">
            <v>4.4224765868886566E-2</v>
          </cell>
          <cell r="BK88">
            <v>0.1793193717277487</v>
          </cell>
          <cell r="BL88">
            <v>0.16241685144124168</v>
          </cell>
          <cell r="BM88">
            <v>8.9325842696629215E-2</v>
          </cell>
          <cell r="BN88">
            <v>0.23191094619666047</v>
          </cell>
          <cell r="BO88">
            <v>9.7251585623678652E-2</v>
          </cell>
          <cell r="BP88">
            <v>0.14611005692599621</v>
          </cell>
          <cell r="BQ88">
            <v>0.15</v>
          </cell>
          <cell r="BR88">
            <v>0.15</v>
          </cell>
          <cell r="BS88">
            <v>0.15</v>
          </cell>
          <cell r="BT88">
            <v>0.15</v>
          </cell>
          <cell r="BU88">
            <v>0.15</v>
          </cell>
        </row>
        <row r="89">
          <cell r="A89" t="str">
            <v>Reseller</v>
          </cell>
          <cell r="J89">
            <v>0.5064338235294118</v>
          </cell>
          <cell r="K89">
            <v>0.58557973367976612</v>
          </cell>
          <cell r="L89">
            <v>0.17014925373134318</v>
          </cell>
          <cell r="M89">
            <v>0.29888357256778297</v>
          </cell>
          <cell r="N89">
            <v>0.34729723034883742</v>
          </cell>
          <cell r="O89">
            <v>0.25000000000000033</v>
          </cell>
          <cell r="P89">
            <v>0.38999999999999996</v>
          </cell>
          <cell r="Q89">
            <v>0.33999999999999997</v>
          </cell>
          <cell r="R89">
            <v>0.29999999999999993</v>
          </cell>
          <cell r="S89">
            <v>0.30999999999999994</v>
          </cell>
          <cell r="T89">
            <v>0.30999999999999994</v>
          </cell>
          <cell r="BB89">
            <v>1.0337423312883436</v>
          </cell>
          <cell r="BC89">
            <v>1.45</v>
          </cell>
          <cell r="BD89">
            <v>0.91486291486291482</v>
          </cell>
          <cell r="BE89">
            <v>0.26593406593406593</v>
          </cell>
          <cell r="BF89">
            <v>0.2</v>
          </cell>
          <cell r="BG89">
            <v>-0.12195121951219517</v>
          </cell>
          <cell r="BH89">
            <v>0.21527041357370094</v>
          </cell>
          <cell r="BI89">
            <v>0.24760715771951727</v>
          </cell>
          <cell r="BJ89">
            <v>0.29188345473465133</v>
          </cell>
          <cell r="BK89">
            <v>0.32460732984293195</v>
          </cell>
          <cell r="BL89">
            <v>0.26219512195121952</v>
          </cell>
          <cell r="BM89">
            <v>0.33258426966292137</v>
          </cell>
          <cell r="BN89">
            <v>0.34137291280148424</v>
          </cell>
          <cell r="BO89">
            <v>0.4989429175475687</v>
          </cell>
          <cell r="BP89">
            <v>0.25996204933586337</v>
          </cell>
          <cell r="BQ89">
            <v>0.25</v>
          </cell>
          <cell r="BR89">
            <v>0.25</v>
          </cell>
          <cell r="BS89">
            <v>0.25</v>
          </cell>
          <cell r="BT89">
            <v>0.25</v>
          </cell>
          <cell r="BU89">
            <v>0.25</v>
          </cell>
        </row>
        <row r="90">
          <cell r="A90" t="str">
            <v>Connected Devices</v>
          </cell>
          <cell r="J90">
            <v>0.4609375</v>
          </cell>
          <cell r="K90">
            <v>0.67456966547580388</v>
          </cell>
          <cell r="L90">
            <v>0.68776119402985036</v>
          </cell>
          <cell r="M90">
            <v>0.59362041467304638</v>
          </cell>
          <cell r="N90">
            <v>0.5053197296398555</v>
          </cell>
          <cell r="O90">
            <v>0.59999999999999976</v>
          </cell>
          <cell r="P90">
            <v>0.45</v>
          </cell>
          <cell r="Q90">
            <v>0.5</v>
          </cell>
          <cell r="R90">
            <v>0.55000000000000004</v>
          </cell>
          <cell r="S90">
            <v>0.55000000000000004</v>
          </cell>
          <cell r="T90">
            <v>0.55000000000000004</v>
          </cell>
          <cell r="BB90">
            <v>0.44171779141104295</v>
          </cell>
          <cell r="BC90">
            <v>1.2666666666666666</v>
          </cell>
          <cell r="BD90">
            <v>0.33910533910533913</v>
          </cell>
          <cell r="BE90">
            <v>0.76593406593406599</v>
          </cell>
          <cell r="BF90">
            <v>0.78215613382899629</v>
          </cell>
          <cell r="BG90">
            <v>0.84052532833020677</v>
          </cell>
          <cell r="BH90">
            <v>0.61452810180275719</v>
          </cell>
          <cell r="BI90">
            <v>0.62463587182688307</v>
          </cell>
          <cell r="BJ90">
            <v>0.66389177939646182</v>
          </cell>
          <cell r="BK90">
            <v>0.49607329842931935</v>
          </cell>
          <cell r="BL90">
            <v>0.57538802660753885</v>
          </cell>
          <cell r="BM90">
            <v>0.57808988764044944</v>
          </cell>
          <cell r="BN90">
            <v>0.42671614100185529</v>
          </cell>
          <cell r="BO90">
            <v>0.40380549682875266</v>
          </cell>
          <cell r="BP90">
            <v>0.59392789373814037</v>
          </cell>
          <cell r="BQ90">
            <v>0.6</v>
          </cell>
          <cell r="BR90">
            <v>0.6</v>
          </cell>
          <cell r="BS90">
            <v>0.6</v>
          </cell>
          <cell r="BT90">
            <v>0.6</v>
          </cell>
          <cell r="BU90">
            <v>0.6</v>
          </cell>
        </row>
        <row r="91">
          <cell r="A91" t="str">
            <v>Total</v>
          </cell>
          <cell r="J91">
            <v>1</v>
          </cell>
          <cell r="K91">
            <v>1</v>
          </cell>
          <cell r="L91">
            <v>0.99999999999999944</v>
          </cell>
          <cell r="M91">
            <v>1</v>
          </cell>
          <cell r="N91">
            <v>1</v>
          </cell>
          <cell r="O91">
            <v>1</v>
          </cell>
          <cell r="P91">
            <v>1</v>
          </cell>
          <cell r="Q91">
            <v>1</v>
          </cell>
          <cell r="R91">
            <v>1</v>
          </cell>
          <cell r="S91">
            <v>1</v>
          </cell>
          <cell r="T91">
            <v>1</v>
          </cell>
          <cell r="BB91">
            <v>1</v>
          </cell>
          <cell r="BC91">
            <v>1</v>
          </cell>
          <cell r="BD91">
            <v>1</v>
          </cell>
          <cell r="BE91">
            <v>1</v>
          </cell>
          <cell r="BF91">
            <v>1</v>
          </cell>
          <cell r="BG91">
            <v>1.0000000000000004</v>
          </cell>
          <cell r="BH91">
            <v>1</v>
          </cell>
          <cell r="BI91">
            <v>1</v>
          </cell>
          <cell r="BJ91">
            <v>0.99999999999999978</v>
          </cell>
          <cell r="BK91">
            <v>1</v>
          </cell>
          <cell r="BL91">
            <v>1</v>
          </cell>
          <cell r="BM91">
            <v>1</v>
          </cell>
          <cell r="BN91">
            <v>1</v>
          </cell>
          <cell r="BO91">
            <v>1</v>
          </cell>
          <cell r="BP91">
            <v>1</v>
          </cell>
          <cell r="BQ91">
            <v>1</v>
          </cell>
          <cell r="BR91">
            <v>1</v>
          </cell>
          <cell r="BS91">
            <v>1</v>
          </cell>
          <cell r="BT91">
            <v>1</v>
          </cell>
          <cell r="BU91">
            <v>1</v>
          </cell>
        </row>
        <row r="92">
          <cell r="A92" t="str">
            <v>Total Subs Split</v>
          </cell>
        </row>
        <row r="93">
          <cell r="A93" t="str">
            <v>Retail Postpaid Subs/Total Subs</v>
          </cell>
          <cell r="J93">
            <v>0.77462374527652611</v>
          </cell>
          <cell r="K93">
            <v>0.75924577067669174</v>
          </cell>
          <cell r="L93">
            <v>0.71220272986099475</v>
          </cell>
          <cell r="M93">
            <v>0.67129311263281255</v>
          </cell>
          <cell r="N93">
            <v>0.65445105103959855</v>
          </cell>
          <cell r="O93">
            <v>0.64583793901693798</v>
          </cell>
          <cell r="P93">
            <v>0.63958541080729248</v>
          </cell>
          <cell r="Q93">
            <v>0.63380749093070288</v>
          </cell>
          <cell r="R93">
            <v>0.62889444049846799</v>
          </cell>
          <cell r="S93">
            <v>0.62346196837298673</v>
          </cell>
          <cell r="T93">
            <v>0.61916484296923036</v>
          </cell>
          <cell r="AX93">
            <v>0.78071097285860414</v>
          </cell>
          <cell r="AY93">
            <v>0.77821684366510246</v>
          </cell>
          <cell r="AZ93">
            <v>0.77940724713173326</v>
          </cell>
          <cell r="BA93">
            <v>0.77462374527652611</v>
          </cell>
          <cell r="BB93">
            <v>0.7737882196543614</v>
          </cell>
          <cell r="BC93">
            <v>0.77445979899497486</v>
          </cell>
          <cell r="BD93">
            <v>0.77161870679935296</v>
          </cell>
          <cell r="BE93">
            <v>0.75924577067669174</v>
          </cell>
          <cell r="BF93">
            <v>0.74847965787991311</v>
          </cell>
          <cell r="BG93">
            <v>0.74303783423943193</v>
          </cell>
          <cell r="BH93">
            <v>0.72970321579111908</v>
          </cell>
          <cell r="BI93">
            <v>0.71220272986099475</v>
          </cell>
          <cell r="BJ93">
            <v>0.69793578687230184</v>
          </cell>
          <cell r="BK93">
            <v>0.69312984840034475</v>
          </cell>
          <cell r="BL93">
            <v>0.68111338323174964</v>
          </cell>
          <cell r="BM93">
            <v>0.67129311263281255</v>
          </cell>
          <cell r="BN93">
            <v>0.66772176255532034</v>
          </cell>
          <cell r="BO93">
            <v>0.66218656730604719</v>
          </cell>
          <cell r="BP93">
            <v>0.65879230384146747</v>
          </cell>
          <cell r="BQ93">
            <v>0.65445105103959855</v>
          </cell>
          <cell r="BR93">
            <v>0.65133115329093016</v>
          </cell>
          <cell r="BS93">
            <v>0.64944683371805212</v>
          </cell>
          <cell r="BT93">
            <v>0.64835924621500329</v>
          </cell>
          <cell r="BU93">
            <v>0.64583793901693787</v>
          </cell>
        </row>
        <row r="94">
          <cell r="A94" t="str">
            <v>Retail Prepaid Subs/Total Subs</v>
          </cell>
          <cell r="J94">
            <v>7.9289433702554243E-2</v>
          </cell>
          <cell r="K94">
            <v>6.2852443609022562E-2</v>
          </cell>
          <cell r="L94">
            <v>6.8288393903868705E-2</v>
          </cell>
          <cell r="M94">
            <v>6.9977820178794545E-2</v>
          </cell>
          <cell r="N94">
            <v>7.1641579896937604E-2</v>
          </cell>
          <cell r="O94">
            <v>7.2408494820822164E-2</v>
          </cell>
          <cell r="P94">
            <v>7.3084573401557051E-2</v>
          </cell>
          <cell r="Q94">
            <v>7.3728183474073006E-2</v>
          </cell>
          <cell r="R94">
            <v>7.4180136549603842E-2</v>
          </cell>
          <cell r="S94">
            <v>7.467697198316188E-2</v>
          </cell>
          <cell r="T94">
            <v>7.5098836665362143E-2</v>
          </cell>
          <cell r="AX94">
            <v>8.5263497134529964E-2</v>
          </cell>
          <cell r="AY94">
            <v>8.4232046321451107E-2</v>
          </cell>
          <cell r="AZ94">
            <v>8.1633743371933062E-2</v>
          </cell>
          <cell r="BA94">
            <v>7.9289433702554243E-2</v>
          </cell>
          <cell r="BB94">
            <v>7.6196441353921673E-2</v>
          </cell>
          <cell r="BC94">
            <v>6.9824120603015072E-2</v>
          </cell>
          <cell r="BD94">
            <v>6.6008137653806559E-2</v>
          </cell>
          <cell r="BE94">
            <v>6.2852443609022562E-2</v>
          </cell>
          <cell r="BF94">
            <v>6.181383425109499E-2</v>
          </cell>
          <cell r="BG94">
            <v>6.5250194163985351E-2</v>
          </cell>
          <cell r="BH94">
            <v>6.6935457789372682E-2</v>
          </cell>
          <cell r="BI94">
            <v>6.8288393903868705E-2</v>
          </cell>
          <cell r="BJ94">
            <v>6.7812426296414027E-2</v>
          </cell>
          <cell r="BK94">
            <v>6.8448004867413675E-2</v>
          </cell>
          <cell r="BL94">
            <v>7.0072862276400166E-2</v>
          </cell>
          <cell r="BM94">
            <v>6.9977820178794545E-2</v>
          </cell>
          <cell r="BN94">
            <v>7.0887050221281514E-2</v>
          </cell>
          <cell r="BO94">
            <v>7.1032070414234927E-2</v>
          </cell>
          <cell r="BP94">
            <v>7.1265974629501946E-2</v>
          </cell>
          <cell r="BQ94">
            <v>7.1641579896937604E-2</v>
          </cell>
          <cell r="BR94">
            <v>7.1968972434295925E-2</v>
          </cell>
          <cell r="BS94">
            <v>7.2155258591233132E-2</v>
          </cell>
          <cell r="BT94">
            <v>7.2243697401138299E-2</v>
          </cell>
          <cell r="BU94">
            <v>7.2408494820822164E-2</v>
          </cell>
        </row>
        <row r="95">
          <cell r="A95" t="str">
            <v>Resale Subs/Total Subs</v>
          </cell>
          <cell r="J95">
            <v>0.11153241828877145</v>
          </cell>
          <cell r="K95">
            <v>0.12263862781954887</v>
          </cell>
          <cell r="L95">
            <v>0.1218912242505443</v>
          </cell>
          <cell r="M95">
            <v>0.13214911813418306</v>
          </cell>
          <cell r="N95">
            <v>0.13801571472225163</v>
          </cell>
          <cell r="O95">
            <v>0.13880055898249283</v>
          </cell>
          <cell r="P95">
            <v>0.14122509021539043</v>
          </cell>
          <cell r="Q95">
            <v>0.14284923472503591</v>
          </cell>
          <cell r="R95">
            <v>0.14382298671448226</v>
          </cell>
          <cell r="S95">
            <v>0.14516556645876244</v>
          </cell>
          <cell r="T95">
            <v>0.14626493400350041</v>
          </cell>
          <cell r="AX95">
            <v>0.10859360768982863</v>
          </cell>
          <cell r="AY95">
            <v>0.10791416261902802</v>
          </cell>
          <cell r="AZ95">
            <v>0.10691723097060277</v>
          </cell>
          <cell r="BA95">
            <v>0.11153241828877145</v>
          </cell>
          <cell r="BB95">
            <v>0.11416044585335924</v>
          </cell>
          <cell r="BC95">
            <v>0.11665829145728643</v>
          </cell>
          <cell r="BD95">
            <v>0.12174616402764842</v>
          </cell>
          <cell r="BE95">
            <v>0.12263862781954887</v>
          </cell>
          <cell r="BF95">
            <v>0.12320231758768552</v>
          </cell>
          <cell r="BG95">
            <v>0.11757461444580052</v>
          </cell>
          <cell r="BH95">
            <v>0.11881070708595207</v>
          </cell>
          <cell r="BI95">
            <v>0.1218912242505443</v>
          </cell>
          <cell r="BJ95">
            <v>0.12552425681149315</v>
          </cell>
          <cell r="BK95">
            <v>0.12697865436292655</v>
          </cell>
          <cell r="BL95">
            <v>0.12932557723996904</v>
          </cell>
          <cell r="BM95">
            <v>0.13214911813418306</v>
          </cell>
          <cell r="BN95">
            <v>0.13343274966326726</v>
          </cell>
          <cell r="BO95">
            <v>0.13670322985381061</v>
          </cell>
          <cell r="BP95">
            <v>0.13764864788280076</v>
          </cell>
          <cell r="BQ95">
            <v>0.13801571472225163</v>
          </cell>
          <cell r="BR95">
            <v>0.13842926630556801</v>
          </cell>
          <cell r="BS95">
            <v>0.13864920014010265</v>
          </cell>
          <cell r="BT95">
            <v>0.13872640946564377</v>
          </cell>
          <cell r="BU95">
            <v>0.13880055898249283</v>
          </cell>
        </row>
        <row r="96">
          <cell r="A96" t="str">
            <v>Connected Devices/Total Subs</v>
          </cell>
          <cell r="J96">
            <v>3.4554402732148187E-2</v>
          </cell>
          <cell r="K96">
            <v>5.526315789473684E-2</v>
          </cell>
          <cell r="L96">
            <v>9.7617651984592199E-2</v>
          </cell>
          <cell r="M96">
            <v>0.1265799490542098</v>
          </cell>
          <cell r="N96">
            <v>0.13589165434121231</v>
          </cell>
          <cell r="O96">
            <v>0.14295300717974707</v>
          </cell>
          <cell r="P96">
            <v>0.14610492557576008</v>
          </cell>
          <cell r="Q96">
            <v>0.14961509087018826</v>
          </cell>
          <cell r="R96">
            <v>0.15310243623744599</v>
          </cell>
          <cell r="S96">
            <v>0.15669549318508896</v>
          </cell>
          <cell r="T96">
            <v>0.15947138636190725</v>
          </cell>
          <cell r="AX96">
            <v>2.5431922317037284E-2</v>
          </cell>
          <cell r="AY96">
            <v>2.9636947394418373E-2</v>
          </cell>
          <cell r="AZ96">
            <v>3.2041778525730924E-2</v>
          </cell>
          <cell r="BA96">
            <v>3.4554402732148187E-2</v>
          </cell>
          <cell r="BB96">
            <v>3.5854893138357706E-2</v>
          </cell>
          <cell r="BC96">
            <v>3.9057788944723615E-2</v>
          </cell>
          <cell r="BD96">
            <v>4.0626991519192114E-2</v>
          </cell>
          <cell r="BE96">
            <v>5.526315789473684E-2</v>
          </cell>
          <cell r="BF96">
            <v>6.65041902813064E-2</v>
          </cell>
          <cell r="BG96">
            <v>7.4137357150782207E-2</v>
          </cell>
          <cell r="BH96">
            <v>8.4550619333556135E-2</v>
          </cell>
          <cell r="BI96">
            <v>9.7617651984592199E-2</v>
          </cell>
          <cell r="BJ96">
            <v>0.10872753001979102</v>
          </cell>
          <cell r="BK96">
            <v>0.11144349236931501</v>
          </cell>
          <cell r="BL96">
            <v>0.11948817725188111</v>
          </cell>
          <cell r="BM96">
            <v>0.1265799490542098</v>
          </cell>
          <cell r="BN96">
            <v>0.12795843756013084</v>
          </cell>
          <cell r="BO96">
            <v>0.13007813242590727</v>
          </cell>
          <cell r="BP96">
            <v>0.13229307364622986</v>
          </cell>
          <cell r="BQ96">
            <v>0.13589165434121231</v>
          </cell>
          <cell r="BR96">
            <v>0.13827060796920587</v>
          </cell>
          <cell r="BS96">
            <v>0.13974870755061214</v>
          </cell>
          <cell r="BT96">
            <v>0.1406706469182146</v>
          </cell>
          <cell r="BU96">
            <v>0.14295300717974707</v>
          </cell>
        </row>
        <row r="97">
          <cell r="A97" t="str">
            <v>Total</v>
          </cell>
          <cell r="J97">
            <v>1</v>
          </cell>
          <cell r="K97">
            <v>0.99999999999999989</v>
          </cell>
          <cell r="L97">
            <v>1</v>
          </cell>
          <cell r="M97">
            <v>0.99999999999999989</v>
          </cell>
          <cell r="N97">
            <v>1</v>
          </cell>
          <cell r="O97">
            <v>1</v>
          </cell>
          <cell r="P97">
            <v>1</v>
          </cell>
          <cell r="Q97">
            <v>1</v>
          </cell>
          <cell r="R97">
            <v>1</v>
          </cell>
          <cell r="S97">
            <v>1</v>
          </cell>
          <cell r="T97">
            <v>1</v>
          </cell>
          <cell r="AX97">
            <v>1</v>
          </cell>
          <cell r="AY97">
            <v>0.99999999999999989</v>
          </cell>
          <cell r="AZ97">
            <v>1</v>
          </cell>
          <cell r="BA97">
            <v>1</v>
          </cell>
          <cell r="BB97">
            <v>1</v>
          </cell>
          <cell r="BC97">
            <v>1</v>
          </cell>
          <cell r="BD97">
            <v>1</v>
          </cell>
          <cell r="BE97">
            <v>0.99999999999999989</v>
          </cell>
          <cell r="BF97">
            <v>1</v>
          </cell>
          <cell r="BG97">
            <v>1</v>
          </cell>
          <cell r="BH97">
            <v>1</v>
          </cell>
          <cell r="BI97">
            <v>1</v>
          </cell>
          <cell r="BJ97">
            <v>1</v>
          </cell>
          <cell r="BK97">
            <v>1</v>
          </cell>
          <cell r="BL97">
            <v>1</v>
          </cell>
          <cell r="BM97">
            <v>0.99999999999999989</v>
          </cell>
          <cell r="BN97">
            <v>0.99999999999999989</v>
          </cell>
          <cell r="BO97">
            <v>1</v>
          </cell>
          <cell r="BP97">
            <v>1</v>
          </cell>
          <cell r="BQ97">
            <v>1</v>
          </cell>
          <cell r="BR97">
            <v>0.99999999999999989</v>
          </cell>
          <cell r="BS97">
            <v>1</v>
          </cell>
          <cell r="BT97">
            <v>1</v>
          </cell>
          <cell r="BU97">
            <v>1</v>
          </cell>
        </row>
        <row r="98">
          <cell r="A98" t="str">
            <v>Gross adds (000s)</v>
          </cell>
          <cell r="F98">
            <v>18600</v>
          </cell>
          <cell r="G98">
            <v>18634</v>
          </cell>
          <cell r="H98">
            <v>19200</v>
          </cell>
          <cell r="I98">
            <v>20125</v>
          </cell>
          <cell r="J98">
            <v>21617.871149999999</v>
          </cell>
          <cell r="K98">
            <v>21399.035400000001</v>
          </cell>
          <cell r="L98">
            <v>22985.822849999997</v>
          </cell>
          <cell r="M98">
            <v>23925.061150000001</v>
          </cell>
          <cell r="N98">
            <v>21081.594534999997</v>
          </cell>
          <cell r="O98">
            <v>20223.845554299998</v>
          </cell>
          <cell r="P98">
            <v>19359.907485534499</v>
          </cell>
          <cell r="Q98">
            <v>18684.376719877619</v>
          </cell>
          <cell r="R98">
            <v>18174.272886309249</v>
          </cell>
          <cell r="S98">
            <v>17817.007852513038</v>
          </cell>
          <cell r="T98">
            <v>17511.145297149065</v>
          </cell>
          <cell r="Z98">
            <v>5077.768</v>
          </cell>
          <cell r="AA98">
            <v>3974.1305000000002</v>
          </cell>
          <cell r="AB98">
            <v>3830.3095000000003</v>
          </cell>
          <cell r="AC98">
            <v>3812.5084999999999</v>
          </cell>
          <cell r="AD98">
            <v>3631.4</v>
          </cell>
          <cell r="AE98">
            <v>3964.8070000000002</v>
          </cell>
          <cell r="AF98">
            <v>4679.5920000000006</v>
          </cell>
          <cell r="AG98">
            <v>4812.7299999999996</v>
          </cell>
          <cell r="AH98">
            <v>4300</v>
          </cell>
          <cell r="AI98">
            <v>4300</v>
          </cell>
          <cell r="AJ98">
            <v>4900</v>
          </cell>
          <cell r="AK98">
            <v>5100</v>
          </cell>
          <cell r="AL98">
            <v>4800</v>
          </cell>
          <cell r="AM98">
            <v>4384</v>
          </cell>
          <cell r="AN98">
            <v>4350</v>
          </cell>
          <cell r="AO98">
            <v>5100</v>
          </cell>
          <cell r="AP98">
            <v>4700</v>
          </cell>
          <cell r="AQ98">
            <v>4400</v>
          </cell>
          <cell r="AR98">
            <v>4600</v>
          </cell>
          <cell r="AS98">
            <v>5500</v>
          </cell>
          <cell r="AT98">
            <v>4300</v>
          </cell>
          <cell r="AU98">
            <v>4500</v>
          </cell>
          <cell r="AV98">
            <v>5325</v>
          </cell>
          <cell r="AW98">
            <v>6000</v>
          </cell>
          <cell r="AX98">
            <v>5070.8872999999994</v>
          </cell>
          <cell r="AY98">
            <v>4881.5254000000004</v>
          </cell>
          <cell r="AZ98">
            <v>5765.86445</v>
          </cell>
          <cell r="BA98">
            <v>5899.5939999999991</v>
          </cell>
          <cell r="BB98">
            <v>4855.6394</v>
          </cell>
          <cell r="BC98">
            <v>4871.8704000000007</v>
          </cell>
          <cell r="BD98">
            <v>5459.4748</v>
          </cell>
          <cell r="BE98">
            <v>6212.0508</v>
          </cell>
          <cell r="BF98">
            <v>5213.0865000000003</v>
          </cell>
          <cell r="BG98">
            <v>4989.2139499999994</v>
          </cell>
          <cell r="BH98">
            <v>6252.2417999999998</v>
          </cell>
          <cell r="BI98">
            <v>6531.2806</v>
          </cell>
          <cell r="BJ98">
            <v>5922.3220000000001</v>
          </cell>
          <cell r="BK98">
            <v>5302.0743000000002</v>
          </cell>
          <cell r="BL98">
            <v>5950.5776000000005</v>
          </cell>
          <cell r="BM98">
            <v>6750.0872499999996</v>
          </cell>
          <cell r="BN98">
            <v>5294.4733499999993</v>
          </cell>
          <cell r="BO98">
            <v>4967.8841999999995</v>
          </cell>
          <cell r="BP98">
            <v>4920.6477000000004</v>
          </cell>
          <cell r="BQ98">
            <v>5898.589285</v>
          </cell>
          <cell r="BR98">
            <v>5079.2646424999984</v>
          </cell>
          <cell r="BS98">
            <v>4813.2281479999992</v>
          </cell>
          <cell r="BT98">
            <v>4698.7102210000003</v>
          </cell>
          <cell r="BU98">
            <v>5632.6425427999993</v>
          </cell>
        </row>
        <row r="99">
          <cell r="A99" t="str">
            <v>% y/y growth</v>
          </cell>
          <cell r="G99">
            <v>1.8279569892472036E-3</v>
          </cell>
          <cell r="H99">
            <v>3.0374584093592283E-2</v>
          </cell>
          <cell r="I99">
            <v>4.8177083333333259E-2</v>
          </cell>
          <cell r="J99">
            <v>7.417993291925451E-2</v>
          </cell>
          <cell r="K99">
            <v>-1.0122909350396392E-2</v>
          </cell>
          <cell r="L99">
            <v>7.4152288658767995E-2</v>
          </cell>
          <cell r="M99">
            <v>4.0861634848978534E-2</v>
          </cell>
          <cell r="N99">
            <v>-0.11884887554404455</v>
          </cell>
          <cell r="O99">
            <v>-4.0687101693183125E-2</v>
          </cell>
          <cell r="P99">
            <v>-4.2718782955787016E-2</v>
          </cell>
          <cell r="Q99">
            <v>-3.4893284803226954E-2</v>
          </cell>
          <cell r="R99">
            <v>-2.7301089097914066E-2</v>
          </cell>
          <cell r="S99">
            <v>-1.9657734646723601E-2</v>
          </cell>
          <cell r="T99">
            <v>-1.7166886712733365E-2</v>
          </cell>
          <cell r="AH99">
            <v>0.1841163187751278</v>
          </cell>
          <cell r="AI99">
            <v>8.4542072287503434E-2</v>
          </cell>
          <cell r="AJ99">
            <v>4.7099832634981631E-2</v>
          </cell>
          <cell r="AK99">
            <v>5.9689614833992488E-2</v>
          </cell>
          <cell r="AL99">
            <v>0.11627906976744184</v>
          </cell>
          <cell r="AM99">
            <v>1.9534883720930152E-2</v>
          </cell>
          <cell r="AN99">
            <v>-0.11224489795918369</v>
          </cell>
          <cell r="AO99">
            <v>0</v>
          </cell>
          <cell r="AP99">
            <v>-2.083333333333337E-2</v>
          </cell>
          <cell r="AQ99">
            <v>3.6496350364962904E-3</v>
          </cell>
          <cell r="AR99">
            <v>5.7471264367816133E-2</v>
          </cell>
          <cell r="AS99">
            <v>7.8431372549019551E-2</v>
          </cell>
          <cell r="AT99">
            <v>-8.5106382978723416E-2</v>
          </cell>
          <cell r="AU99">
            <v>2.2727272727272707E-2</v>
          </cell>
          <cell r="AV99">
            <v>0.15760869565217384</v>
          </cell>
          <cell r="AW99">
            <v>9.0909090909090828E-2</v>
          </cell>
          <cell r="AX99">
            <v>0.1792761162790697</v>
          </cell>
          <cell r="AY99">
            <v>8.4783422222222349E-2</v>
          </cell>
          <cell r="AZ99">
            <v>8.2791446009389702E-2</v>
          </cell>
          <cell r="BA99">
            <v>-1.6734333333333518E-2</v>
          </cell>
          <cell r="BB99">
            <v>-4.2447778320768292E-2</v>
          </cell>
          <cell r="BC99">
            <v>-1.977865361511788E-3</v>
          </cell>
          <cell r="BD99">
            <v>-5.3138545426609896E-2</v>
          </cell>
          <cell r="BE99">
            <v>5.2962424193936153E-2</v>
          </cell>
          <cell r="BF99">
            <v>7.3614836390033522E-2</v>
          </cell>
          <cell r="BG99">
            <v>2.4085934223537331E-2</v>
          </cell>
          <cell r="BH99">
            <v>0.14520938900569691</v>
          </cell>
          <cell r="BI99">
            <v>5.1388794180498243E-2</v>
          </cell>
          <cell r="BJ99">
            <v>0.13604905654260668</v>
          </cell>
          <cell r="BK99">
            <v>6.2707342907192931E-2</v>
          </cell>
          <cell r="BL99">
            <v>-4.8248965674999811E-2</v>
          </cell>
          <cell r="BM99">
            <v>3.3501339691330845E-2</v>
          </cell>
          <cell r="BN99">
            <v>-0.10601393338626319</v>
          </cell>
          <cell r="BO99">
            <v>-6.3030067307808357E-2</v>
          </cell>
          <cell r="BP99">
            <v>-0.17308066027069369</v>
          </cell>
          <cell r="BQ99">
            <v>-0.1261462161100213</v>
          </cell>
          <cell r="BR99">
            <v>-4.0647802580780046E-2</v>
          </cell>
          <cell r="BS99">
            <v>-3.1131170891624316E-2</v>
          </cell>
          <cell r="BT99">
            <v>-4.5103306013962396E-2</v>
          </cell>
          <cell r="BU99">
            <v>-4.5086499389997869E-2</v>
          </cell>
        </row>
        <row r="100">
          <cell r="A100" t="str">
            <v>Postpaid Gross Adds</v>
          </cell>
          <cell r="J100">
            <v>12570.422900000001</v>
          </cell>
          <cell r="K100">
            <v>12564.9539</v>
          </cell>
          <cell r="L100">
            <v>10880.2055</v>
          </cell>
          <cell r="M100">
            <v>11057.16505</v>
          </cell>
          <cell r="N100">
            <v>10126.964754999999</v>
          </cell>
          <cell r="O100">
            <v>9816.9472633000005</v>
          </cell>
          <cell r="P100">
            <v>9473.354109084501</v>
          </cell>
          <cell r="Q100">
            <v>9094.4199447211213</v>
          </cell>
          <cell r="R100">
            <v>8776.1152466558815</v>
          </cell>
          <cell r="S100">
            <v>8512.8317892562045</v>
          </cell>
          <cell r="T100">
            <v>8300.0109945247987</v>
          </cell>
          <cell r="AX100">
            <v>2772.7941000000001</v>
          </cell>
          <cell r="AY100">
            <v>2705.3122499999999</v>
          </cell>
          <cell r="AZ100">
            <v>3727.5749500000002</v>
          </cell>
          <cell r="BA100">
            <v>3364.7416000000003</v>
          </cell>
          <cell r="BB100">
            <v>2970.2429999999999</v>
          </cell>
          <cell r="BC100">
            <v>3089.0210999999999</v>
          </cell>
          <cell r="BD100">
            <v>3463.7968000000001</v>
          </cell>
          <cell r="BE100">
            <v>3041.893</v>
          </cell>
          <cell r="BF100">
            <v>2594.2467499999998</v>
          </cell>
          <cell r="BG100">
            <v>2496.9816999999998</v>
          </cell>
          <cell r="BH100">
            <v>3047.6518000000001</v>
          </cell>
          <cell r="BI100">
            <v>2741.3252499999999</v>
          </cell>
          <cell r="BJ100">
            <v>2471.0230999999999</v>
          </cell>
          <cell r="BK100">
            <v>2684.1587500000001</v>
          </cell>
          <cell r="BL100">
            <v>2681.68075</v>
          </cell>
          <cell r="BM100">
            <v>3220.3024499999997</v>
          </cell>
          <cell r="BN100">
            <v>2475.7479999999996</v>
          </cell>
          <cell r="BO100">
            <v>2343.4539500000001</v>
          </cell>
          <cell r="BP100">
            <v>2409.4906000000001</v>
          </cell>
          <cell r="BQ100">
            <v>2898.2722049999998</v>
          </cell>
          <cell r="BR100">
            <v>2401.4755599999994</v>
          </cell>
          <cell r="BS100">
            <v>2320.0194105</v>
          </cell>
          <cell r="BT100">
            <v>2313.1109759999999</v>
          </cell>
          <cell r="BU100">
            <v>2782.3413167999997</v>
          </cell>
        </row>
        <row r="101">
          <cell r="A101" t="str">
            <v>% y/y growth</v>
          </cell>
          <cell r="K101">
            <v>-4.3506889493760692E-4</v>
          </cell>
          <cell r="L101">
            <v>-0.13408313420075502</v>
          </cell>
          <cell r="M101">
            <v>1.6264357323030332E-2</v>
          </cell>
          <cell r="N101">
            <v>-8.4126472815923115E-2</v>
          </cell>
          <cell r="O101">
            <v>-3.0613071063265385E-2</v>
          </cell>
          <cell r="P101">
            <v>-3.5000000000000003E-2</v>
          </cell>
          <cell r="Q101">
            <v>-0.04</v>
          </cell>
          <cell r="R101">
            <v>-3.5000000000000003E-2</v>
          </cell>
          <cell r="S101">
            <v>-0.03</v>
          </cell>
          <cell r="T101">
            <v>-2.5000000000000001E-2</v>
          </cell>
          <cell r="BB101">
            <v>7.1209362426153389E-2</v>
          </cell>
          <cell r="BC101">
            <v>0.1418353278812825</v>
          </cell>
          <cell r="BD101">
            <v>-7.0764009721655641E-2</v>
          </cell>
          <cell r="BE101">
            <v>-9.5950488441668202E-2</v>
          </cell>
          <cell r="BF101">
            <v>-0.12658770679705333</v>
          </cell>
          <cell r="BG101">
            <v>-0.19165922822605519</v>
          </cell>
          <cell r="BH101">
            <v>-0.12014128542413338</v>
          </cell>
          <cell r="BI101">
            <v>-9.8809442015218907E-2</v>
          </cell>
          <cell r="BJ101">
            <v>-4.7498816371264629E-2</v>
          </cell>
          <cell r="BK101">
            <v>7.4961322303643829E-2</v>
          </cell>
          <cell r="BL101">
            <v>-0.12008296026468646</v>
          </cell>
          <cell r="BM101">
            <v>0.17472468836012789</v>
          </cell>
          <cell r="BN101">
            <v>1.912122958300122E-3</v>
          </cell>
          <cell r="BO101">
            <v>-0.12693168762838636</v>
          </cell>
          <cell r="BP101">
            <v>-0.10149983363977977</v>
          </cell>
          <cell r="BQ101">
            <v>-0.1</v>
          </cell>
          <cell r="BR101">
            <v>-0.03</v>
          </cell>
          <cell r="BS101">
            <v>-0.01</v>
          </cell>
          <cell r="BT101">
            <v>-0.04</v>
          </cell>
          <cell r="BU101">
            <v>-0.04</v>
          </cell>
        </row>
        <row r="102">
          <cell r="A102" t="str">
            <v>Base</v>
          </cell>
          <cell r="P102">
            <v>-3.5000000000000003E-2</v>
          </cell>
          <cell r="Q102">
            <v>-0.04</v>
          </cell>
          <cell r="R102">
            <v>-3.5000000000000003E-2</v>
          </cell>
          <cell r="S102">
            <v>-0.03</v>
          </cell>
          <cell r="T102">
            <v>-2.5000000000000001E-2</v>
          </cell>
          <cell r="BQ102">
            <v>-0.1</v>
          </cell>
          <cell r="BR102">
            <v>-0.03</v>
          </cell>
          <cell r="BS102">
            <v>-0.01</v>
          </cell>
          <cell r="BT102">
            <v>-0.04</v>
          </cell>
          <cell r="BU102">
            <v>-0.04</v>
          </cell>
        </row>
        <row r="103">
          <cell r="A103" t="str">
            <v>Bull</v>
          </cell>
          <cell r="P103">
            <v>-3.0000000000000002E-2</v>
          </cell>
          <cell r="Q103">
            <v>-3.5000000000000003E-2</v>
          </cell>
          <cell r="R103">
            <v>-3.0000000000000002E-2</v>
          </cell>
          <cell r="S103">
            <v>-2.4999999999999998E-2</v>
          </cell>
          <cell r="T103">
            <v>-0.02</v>
          </cell>
          <cell r="BQ103">
            <v>-7.0000000000000007E-2</v>
          </cell>
          <cell r="BR103">
            <v>0</v>
          </cell>
          <cell r="BS103">
            <v>1.9999999999999997E-2</v>
          </cell>
          <cell r="BT103">
            <v>-1.0000000000000002E-2</v>
          </cell>
          <cell r="BU103">
            <v>-1.0000000000000002E-2</v>
          </cell>
        </row>
        <row r="104">
          <cell r="A104" t="str">
            <v>Bear</v>
          </cell>
          <cell r="P104">
            <v>-4.5000000000000005E-2</v>
          </cell>
          <cell r="Q104">
            <v>-0.05</v>
          </cell>
          <cell r="R104">
            <v>-4.5000000000000005E-2</v>
          </cell>
          <cell r="S104">
            <v>-0.04</v>
          </cell>
          <cell r="T104">
            <v>-3.5000000000000003E-2</v>
          </cell>
          <cell r="BQ104">
            <v>-0.13</v>
          </cell>
          <cell r="BR104">
            <v>-0.06</v>
          </cell>
          <cell r="BS104">
            <v>-0.04</v>
          </cell>
          <cell r="BT104">
            <v>-7.0000000000000007E-2</v>
          </cell>
          <cell r="BU104">
            <v>-7.0000000000000007E-2</v>
          </cell>
        </row>
        <row r="105">
          <cell r="A105" t="str">
            <v xml:space="preserve">% of total </v>
          </cell>
          <cell r="K105">
            <v>0.58717384522855642</v>
          </cell>
          <cell r="L105">
            <v>0.47334418136786438</v>
          </cell>
          <cell r="M105">
            <v>0.46215827749305455</v>
          </cell>
          <cell r="N105">
            <v>0.48036996149352235</v>
          </cell>
          <cell r="O105">
            <v>0.48541446961419854</v>
          </cell>
          <cell r="P105">
            <v>0.48932848032269177</v>
          </cell>
          <cell r="Q105">
            <v>0.48673927319426735</v>
          </cell>
          <cell r="R105">
            <v>0.48288673233617857</v>
          </cell>
          <cell r="S105">
            <v>0.47779244751556271</v>
          </cell>
          <cell r="T105">
            <v>0.4739844740981104</v>
          </cell>
          <cell r="AX105">
            <v>0.54680649282030003</v>
          </cell>
          <cell r="AY105">
            <v>0.55419403328312078</v>
          </cell>
          <cell r="AZ105">
            <v>0.64649021535703988</v>
          </cell>
          <cell r="BA105">
            <v>0.57033443318302934</v>
          </cell>
          <cell r="BB105">
            <v>0.61170996347051632</v>
          </cell>
          <cell r="BC105">
            <v>0.63405239597506524</v>
          </cell>
          <cell r="BD105">
            <v>0.6344560469442958</v>
          </cell>
          <cell r="BE105">
            <v>0.48967613078759753</v>
          </cell>
          <cell r="BF105">
            <v>0.49764122463726618</v>
          </cell>
          <cell r="BG105">
            <v>0.50047597177106429</v>
          </cell>
          <cell r="BH105">
            <v>0.48744944573320886</v>
          </cell>
          <cell r="BI105">
            <v>0.41972247372130972</v>
          </cell>
          <cell r="BJ105">
            <v>0.41723889717580365</v>
          </cell>
          <cell r="BK105">
            <v>0.50624691359002649</v>
          </cell>
          <cell r="BL105">
            <v>0.45065889906216833</v>
          </cell>
          <cell r="BM105">
            <v>0.47707567779957211</v>
          </cell>
          <cell r="BN105">
            <v>0.46760987096100881</v>
          </cell>
          <cell r="BO105">
            <v>0.47172072770939394</v>
          </cell>
          <cell r="BP105">
            <v>0.48966939860376507</v>
          </cell>
          <cell r="BQ105">
            <v>0.49135006100022094</v>
          </cell>
          <cell r="BR105">
            <v>0.47279984978652351</v>
          </cell>
          <cell r="BS105">
            <v>0.48200902578532839</v>
          </cell>
          <cell r="BT105">
            <v>0.49228636523741903</v>
          </cell>
          <cell r="BU105">
            <v>0.49396731563528112</v>
          </cell>
        </row>
        <row r="106">
          <cell r="A106" t="str">
            <v>iPhone (new to AT&amp;T)</v>
          </cell>
          <cell r="J106">
            <v>2135.0012000000002</v>
          </cell>
          <cell r="K106">
            <v>3925</v>
          </cell>
          <cell r="L106">
            <v>3987</v>
          </cell>
          <cell r="M106">
            <v>3686</v>
          </cell>
          <cell r="N106">
            <v>3855</v>
          </cell>
          <cell r="O106">
            <v>2675.06</v>
          </cell>
          <cell r="P106">
            <v>1640.625</v>
          </cell>
          <cell r="Q106">
            <v>1607.8125000000002</v>
          </cell>
          <cell r="R106">
            <v>1567.6171875</v>
          </cell>
          <cell r="S106">
            <v>1519.3828125</v>
          </cell>
          <cell r="T106">
            <v>1595.3519531250001</v>
          </cell>
          <cell r="AX106">
            <v>140</v>
          </cell>
          <cell r="AY106">
            <v>275.00120000000004</v>
          </cell>
          <cell r="AZ106">
            <v>960</v>
          </cell>
          <cell r="BA106">
            <v>760</v>
          </cell>
          <cell r="BB106">
            <v>720</v>
          </cell>
          <cell r="BC106">
            <v>840</v>
          </cell>
          <cell r="BD106">
            <v>1280</v>
          </cell>
          <cell r="BE106">
            <v>1085</v>
          </cell>
          <cell r="BF106">
            <v>891</v>
          </cell>
          <cell r="BG106">
            <v>864</v>
          </cell>
          <cell r="BH106">
            <v>1248</v>
          </cell>
          <cell r="BI106">
            <v>984</v>
          </cell>
          <cell r="BJ106">
            <v>828</v>
          </cell>
          <cell r="BK106">
            <v>864</v>
          </cell>
          <cell r="BL106">
            <v>702</v>
          </cell>
          <cell r="BM106">
            <v>1292</v>
          </cell>
          <cell r="BN106">
            <v>645</v>
          </cell>
          <cell r="BO106">
            <v>814</v>
          </cell>
          <cell r="BP106">
            <v>846</v>
          </cell>
          <cell r="BQ106">
            <v>1550</v>
          </cell>
          <cell r="BR106">
            <v>650.00000000000011</v>
          </cell>
          <cell r="BS106">
            <v>525</v>
          </cell>
          <cell r="BT106">
            <v>525</v>
          </cell>
          <cell r="BU106">
            <v>975.06000000000006</v>
          </cell>
        </row>
        <row r="107">
          <cell r="A107" t="str">
            <v>% Gross Adds</v>
          </cell>
          <cell r="J107">
            <v>0.16984322778830296</v>
          </cell>
          <cell r="K107">
            <v>0.31237679272344959</v>
          </cell>
          <cell r="L107">
            <v>0.36644528451231917</v>
          </cell>
          <cell r="M107">
            <v>0.33335850404078032</v>
          </cell>
          <cell r="N107">
            <v>0.3806668723811511</v>
          </cell>
          <cell r="O107">
            <v>0.27249407868376074</v>
          </cell>
          <cell r="P107">
            <v>0.17318311773300207</v>
          </cell>
          <cell r="Q107">
            <v>0.17679109935243961</v>
          </cell>
          <cell r="R107">
            <v>0.17862313147008146</v>
          </cell>
          <cell r="S107">
            <v>0.17848147950222257</v>
          </cell>
          <cell r="T107">
            <v>0.19221082407931667</v>
          </cell>
          <cell r="AX107">
            <v>5.0490586372785487E-2</v>
          </cell>
          <cell r="AY107">
            <v>0.1016522954050868</v>
          </cell>
          <cell r="AZ107">
            <v>0.25754009319115095</v>
          </cell>
          <cell r="BA107">
            <v>0.2258717281588577</v>
          </cell>
          <cell r="BB107">
            <v>0.24240440933620583</v>
          </cell>
          <cell r="BC107">
            <v>0.27193080681773263</v>
          </cell>
          <cell r="BD107">
            <v>0.36953668875726198</v>
          </cell>
          <cell r="BE107">
            <v>0.35668578743565271</v>
          </cell>
          <cell r="BF107">
            <v>0.34345229496770113</v>
          </cell>
          <cell r="BG107">
            <v>0.3460177541549464</v>
          </cell>
          <cell r="BH107">
            <v>0.40949559920198231</v>
          </cell>
          <cell r="BI107">
            <v>0.3589504747749287</v>
          </cell>
          <cell r="BJ107">
            <v>0.33508387679580981</v>
          </cell>
          <cell r="BK107">
            <v>0.32188856191907428</v>
          </cell>
          <cell r="BL107">
            <v>0.26177612678168344</v>
          </cell>
          <cell r="BM107">
            <v>0.40120455145447598</v>
          </cell>
          <cell r="BN107">
            <v>0.26052732345941515</v>
          </cell>
          <cell r="BO107">
            <v>0.34735054213461286</v>
          </cell>
          <cell r="BP107">
            <v>0.35111155860080961</v>
          </cell>
          <cell r="BQ107">
            <v>0.5348013886777071</v>
          </cell>
          <cell r="BR107">
            <v>0.2706669227980818</v>
          </cell>
          <cell r="BS107">
            <v>0.22629121016140738</v>
          </cell>
          <cell r="BT107">
            <v>0.22696706100451275</v>
          </cell>
          <cell r="BU107">
            <v>0.35044586158876689</v>
          </cell>
        </row>
        <row r="108">
          <cell r="A108" t="str">
            <v>Other Gross Adds</v>
          </cell>
          <cell r="J108">
            <v>9047.4482499999976</v>
          </cell>
          <cell r="K108">
            <v>8834.0815000000002</v>
          </cell>
          <cell r="L108">
            <v>12105.61735</v>
          </cell>
          <cell r="M108">
            <v>12867.8961</v>
          </cell>
          <cell r="N108">
            <v>10954.629779999999</v>
          </cell>
          <cell r="O108">
            <v>10406.898290999998</v>
          </cell>
          <cell r="P108">
            <v>9886.5533764499978</v>
          </cell>
          <cell r="Q108">
            <v>9589.9567751564973</v>
          </cell>
          <cell r="R108">
            <v>9398.1576396533674</v>
          </cell>
          <cell r="S108">
            <v>9304.176063256833</v>
          </cell>
          <cell r="T108">
            <v>9211.1343026242648</v>
          </cell>
          <cell r="AX108">
            <v>2298.0931999999993</v>
          </cell>
          <cell r="AY108">
            <v>2176.2131500000005</v>
          </cell>
          <cell r="AZ108">
            <v>2038.2894999999999</v>
          </cell>
          <cell r="BA108">
            <v>2534.8523999999989</v>
          </cell>
          <cell r="BB108">
            <v>1885.3964000000001</v>
          </cell>
          <cell r="BC108">
            <v>1782.8493000000008</v>
          </cell>
          <cell r="BD108">
            <v>1995.6779999999999</v>
          </cell>
          <cell r="BE108">
            <v>3170.1578</v>
          </cell>
          <cell r="BF108">
            <v>2618.8397500000005</v>
          </cell>
          <cell r="BG108">
            <v>2492.2322499999996</v>
          </cell>
          <cell r="BH108">
            <v>3204.5899999999997</v>
          </cell>
          <cell r="BI108">
            <v>3789.9553500000002</v>
          </cell>
          <cell r="BJ108">
            <v>3451.2989000000002</v>
          </cell>
          <cell r="BK108">
            <v>2617.9155500000002</v>
          </cell>
          <cell r="BL108">
            <v>3268.8968500000005</v>
          </cell>
          <cell r="BM108">
            <v>3529.7847999999999</v>
          </cell>
          <cell r="BN108">
            <v>2818.7253499999997</v>
          </cell>
          <cell r="BO108">
            <v>2624.4302499999994</v>
          </cell>
          <cell r="BP108">
            <v>2511.1571000000004</v>
          </cell>
          <cell r="BQ108">
            <v>3000.3170799999998</v>
          </cell>
          <cell r="BR108">
            <v>2677.7890824999995</v>
          </cell>
          <cell r="BS108">
            <v>2493.2087374999992</v>
          </cell>
          <cell r="BT108">
            <v>2385.5992450000003</v>
          </cell>
          <cell r="BU108">
            <v>2850.3012259999996</v>
          </cell>
        </row>
        <row r="109">
          <cell r="A109" t="str">
            <v>% y/y growth</v>
          </cell>
          <cell r="K109">
            <v>-2.3583085982282093E-2</v>
          </cell>
          <cell r="L109">
            <v>0.37033118270416687</v>
          </cell>
          <cell r="M109">
            <v>6.2969010828679339E-2</v>
          </cell>
          <cell r="N109">
            <v>-0.14868524777721825</v>
          </cell>
          <cell r="O109">
            <v>-5.0000000000000155E-2</v>
          </cell>
          <cell r="P109">
            <v>-0.05</v>
          </cell>
          <cell r="Q109">
            <v>-0.03</v>
          </cell>
          <cell r="R109">
            <v>-0.02</v>
          </cell>
          <cell r="S109">
            <v>-0.01</v>
          </cell>
          <cell r="T109">
            <v>-0.01</v>
          </cell>
          <cell r="BB109">
            <v>-0.17958227281643724</v>
          </cell>
          <cell r="BC109">
            <v>-0.18075612216569859</v>
          </cell>
          <cell r="BD109">
            <v>-2.0905519063901368E-2</v>
          </cell>
          <cell r="BE109">
            <v>0.25062816280742872</v>
          </cell>
          <cell r="BF109">
            <v>0.38901280918962211</v>
          </cell>
          <cell r="BG109">
            <v>0.39789282807021231</v>
          </cell>
          <cell r="BH109">
            <v>0.60576505829096661</v>
          </cell>
          <cell r="BI109">
            <v>0.19550999953377723</v>
          </cell>
          <cell r="BJ109">
            <v>0.31787326811424776</v>
          </cell>
          <cell r="BK109">
            <v>5.0430011087450044E-2</v>
          </cell>
          <cell r="BL109">
            <v>2.0067106868585594E-2</v>
          </cell>
          <cell r="BM109">
            <v>-6.8647391848561057E-2</v>
          </cell>
          <cell r="BN109">
            <v>-0.18328564645617929</v>
          </cell>
          <cell r="BO109">
            <v>2.4885065524742345E-3</v>
          </cell>
          <cell r="BP109">
            <v>-0.23180289399465148</v>
          </cell>
          <cell r="BQ109">
            <v>-0.15</v>
          </cell>
          <cell r="BR109">
            <v>-0.05</v>
          </cell>
          <cell r="BS109">
            <v>-0.05</v>
          </cell>
          <cell r="BT109">
            <v>-0.05</v>
          </cell>
          <cell r="BU109">
            <v>-0.05</v>
          </cell>
        </row>
        <row r="110">
          <cell r="A110" t="str">
            <v xml:space="preserve">% of total </v>
          </cell>
          <cell r="K110">
            <v>0.41282615477144358</v>
          </cell>
          <cell r="L110">
            <v>0.52665581863213573</v>
          </cell>
          <cell r="M110">
            <v>0.5378417225069454</v>
          </cell>
          <cell r="N110">
            <v>0.51963003850647771</v>
          </cell>
          <cell r="O110">
            <v>0.51458553038580146</v>
          </cell>
          <cell r="P110">
            <v>0.51067151967730828</v>
          </cell>
          <cell r="Q110">
            <v>0.51326072680573265</v>
          </cell>
          <cell r="R110">
            <v>0.51711326766382149</v>
          </cell>
          <cell r="S110">
            <v>0.52220755248443729</v>
          </cell>
          <cell r="T110">
            <v>0.52601552590188949</v>
          </cell>
          <cell r="AX110">
            <v>0.45319350717970003</v>
          </cell>
          <cell r="AY110">
            <v>0.44580596671687917</v>
          </cell>
          <cell r="AZ110">
            <v>0.35350978464296012</v>
          </cell>
          <cell r="BA110">
            <v>0.42966556681697066</v>
          </cell>
          <cell r="BB110">
            <v>0.38829003652948363</v>
          </cell>
          <cell r="BC110">
            <v>0.36594760402493476</v>
          </cell>
          <cell r="BD110">
            <v>0.36554395305570414</v>
          </cell>
          <cell r="BE110">
            <v>0.51032386921240247</v>
          </cell>
          <cell r="BF110">
            <v>0.50235877536273388</v>
          </cell>
          <cell r="BG110">
            <v>0.49952402822893571</v>
          </cell>
          <cell r="BH110">
            <v>0.51255055426679108</v>
          </cell>
          <cell r="BI110">
            <v>0.58027752627869034</v>
          </cell>
          <cell r="BJ110">
            <v>0.58276110282419635</v>
          </cell>
          <cell r="BK110">
            <v>0.49375308640997356</v>
          </cell>
          <cell r="BL110">
            <v>0.54934110093783173</v>
          </cell>
          <cell r="BM110">
            <v>0.52292432220042784</v>
          </cell>
          <cell r="BN110">
            <v>0.53239012903899119</v>
          </cell>
          <cell r="BO110">
            <v>0.52827927229060612</v>
          </cell>
          <cell r="BP110">
            <v>0.51033060139623487</v>
          </cell>
          <cell r="BQ110">
            <v>0.50864993899977895</v>
          </cell>
          <cell r="BR110">
            <v>0.52720015021347655</v>
          </cell>
          <cell r="BS110">
            <v>0.51799097421467166</v>
          </cell>
          <cell r="BT110">
            <v>0.50771363476258102</v>
          </cell>
          <cell r="BU110">
            <v>0.50603268436471882</v>
          </cell>
        </row>
        <row r="111">
          <cell r="A111" t="str">
            <v>Disconnects</v>
          </cell>
          <cell r="F111">
            <v>15437</v>
          </cell>
          <cell r="G111">
            <v>13628</v>
          </cell>
          <cell r="H111">
            <v>12308</v>
          </cell>
          <cell r="I111">
            <v>12810</v>
          </cell>
          <cell r="J111">
            <v>14918.871149999999</v>
          </cell>
          <cell r="K111">
            <v>14121.035400000001</v>
          </cell>
          <cell r="L111">
            <v>14132.822849999997</v>
          </cell>
          <cell r="M111">
            <v>16226.061150000001</v>
          </cell>
          <cell r="N111">
            <v>16938.735675014148</v>
          </cell>
          <cell r="O111">
            <v>17301.186760020282</v>
          </cell>
          <cell r="P111">
            <v>17040.427881375912</v>
          </cell>
          <cell r="Q111">
            <v>16595.47009693399</v>
          </cell>
          <cell r="R111">
            <v>16408.996435998</v>
          </cell>
          <cell r="S111">
            <v>16418.819615713386</v>
          </cell>
          <cell r="T111">
            <v>16538.805215983895</v>
          </cell>
          <cell r="Z111">
            <v>3354.768</v>
          </cell>
          <cell r="AA111">
            <v>3204.1305000000002</v>
          </cell>
          <cell r="AB111">
            <v>3736.3095000000003</v>
          </cell>
          <cell r="AC111">
            <v>3258.5084999999999</v>
          </cell>
          <cell r="AD111">
            <v>3215.4</v>
          </cell>
          <cell r="AE111">
            <v>2994.8070000000002</v>
          </cell>
          <cell r="AF111">
            <v>3728.5920000000006</v>
          </cell>
          <cell r="AG111">
            <v>4076.7299999999996</v>
          </cell>
          <cell r="AH111">
            <v>4126</v>
          </cell>
          <cell r="AI111">
            <v>3876</v>
          </cell>
          <cell r="AJ111">
            <v>4092</v>
          </cell>
          <cell r="AK111">
            <v>3343</v>
          </cell>
          <cell r="AL111">
            <v>3433</v>
          </cell>
          <cell r="AM111">
            <v>3432</v>
          </cell>
          <cell r="AN111">
            <v>3483</v>
          </cell>
          <cell r="AO111">
            <v>3280</v>
          </cell>
          <cell r="AP111">
            <v>3021</v>
          </cell>
          <cell r="AQ111">
            <v>2902</v>
          </cell>
          <cell r="AR111">
            <v>3242</v>
          </cell>
          <cell r="AS111">
            <v>3143</v>
          </cell>
          <cell r="AT111">
            <v>3109</v>
          </cell>
          <cell r="AU111">
            <v>3021.36</v>
          </cell>
          <cell r="AV111">
            <v>3298.1445000000003</v>
          </cell>
          <cell r="AW111">
            <v>3379.3782000000001</v>
          </cell>
          <cell r="AX111">
            <v>3775.8872999999994</v>
          </cell>
          <cell r="AY111">
            <v>3548.5254000000004</v>
          </cell>
          <cell r="AZ111">
            <v>3789.86445</v>
          </cell>
          <cell r="BA111">
            <v>3804.5939999999996</v>
          </cell>
          <cell r="BB111">
            <v>3632.6394</v>
          </cell>
          <cell r="BC111">
            <v>3503.8704000000007</v>
          </cell>
          <cell r="BD111">
            <v>3433.4748</v>
          </cell>
          <cell r="BE111">
            <v>3551.0508</v>
          </cell>
          <cell r="BF111">
            <v>3356.0865000000003</v>
          </cell>
          <cell r="BG111">
            <v>3427.2139499999998</v>
          </cell>
          <cell r="BH111">
            <v>3621.2417999999998</v>
          </cell>
          <cell r="BI111">
            <v>3728.2806</v>
          </cell>
          <cell r="BJ111">
            <v>3938.3219999999997</v>
          </cell>
          <cell r="BK111">
            <v>4207.0743000000002</v>
          </cell>
          <cell r="BL111">
            <v>3827.5776000000005</v>
          </cell>
          <cell r="BM111">
            <v>4253.0872499999996</v>
          </cell>
          <cell r="BN111">
            <v>4568.4733499999993</v>
          </cell>
          <cell r="BO111">
            <v>3701.8841999999995</v>
          </cell>
          <cell r="BP111">
            <v>4242.6477000000004</v>
          </cell>
          <cell r="BQ111">
            <v>4425.7304250141497</v>
          </cell>
          <cell r="BR111">
            <v>4311.9672059843269</v>
          </cell>
          <cell r="BS111">
            <v>4280.9559033941496</v>
          </cell>
          <cell r="BT111">
            <v>4282.4745677779556</v>
          </cell>
          <cell r="BU111">
            <v>4425.789082863851</v>
          </cell>
        </row>
        <row r="112">
          <cell r="A112" t="str">
            <v>% y/y growth</v>
          </cell>
          <cell r="G112">
            <v>-0.11718598173220185</v>
          </cell>
          <cell r="H112">
            <v>-9.685940710302321E-2</v>
          </cell>
          <cell r="I112">
            <v>4.0786480337991593E-2</v>
          </cell>
          <cell r="J112">
            <v>0.16462694379391096</v>
          </cell>
          <cell r="K112">
            <v>-5.3478292156172835E-2</v>
          </cell>
          <cell r="L112">
            <v>8.3474403017191889E-4</v>
          </cell>
          <cell r="M112">
            <v>0.14811183315723819</v>
          </cell>
          <cell r="N112">
            <v>4.3921597387431621E-2</v>
          </cell>
          <cell r="O112">
            <v>2.139776497845558E-2</v>
          </cell>
          <cell r="P112">
            <v>-1.5071733648175711E-2</v>
          </cell>
          <cell r="Q112">
            <v>-2.6111890355067446E-2</v>
          </cell>
          <cell r="R112">
            <v>-1.1236419326888569E-2</v>
          </cell>
          <cell r="S112">
            <v>5.986459777538311E-4</v>
          </cell>
          <cell r="T112">
            <v>7.3078091530818234E-3</v>
          </cell>
          <cell r="AH112">
            <v>-0.58173076923076916</v>
          </cell>
          <cell r="AI112">
            <v>-0.56288659793814433</v>
          </cell>
          <cell r="AJ112">
            <v>-0.1503680336487907</v>
          </cell>
          <cell r="AK112">
            <v>1.3872282608695654</v>
          </cell>
          <cell r="AL112">
            <v>-0.16795928259815807</v>
          </cell>
          <cell r="AM112">
            <v>-0.11455108359133126</v>
          </cell>
          <cell r="AN112">
            <v>-0.14882697947214074</v>
          </cell>
          <cell r="AO112">
            <v>-1.8845348489380798E-2</v>
          </cell>
          <cell r="AP112">
            <v>-0.12001165161666183</v>
          </cell>
          <cell r="AQ112">
            <v>-0.15442890442890445</v>
          </cell>
          <cell r="AR112">
            <v>-6.919322423198393E-2</v>
          </cell>
          <cell r="AS112">
            <v>-4.1768292682926811E-2</v>
          </cell>
          <cell r="AT112">
            <v>2.9129427341939795E-2</v>
          </cell>
          <cell r="AU112">
            <v>4.1130254996554205E-2</v>
          </cell>
          <cell r="AV112">
            <v>1.7317859346082765E-2</v>
          </cell>
          <cell r="AW112">
            <v>7.5207826916958265E-2</v>
          </cell>
          <cell r="AX112">
            <v>0.21450218719845582</v>
          </cell>
          <cell r="AY112">
            <v>0.17447950591786499</v>
          </cell>
          <cell r="AZ112">
            <v>0.14908987462495937</v>
          </cell>
          <cell r="BA112">
            <v>0.12582663875857381</v>
          </cell>
          <cell r="BB112">
            <v>-3.7937546494038465E-2</v>
          </cell>
          <cell r="BC112">
            <v>-1.2584100426616618E-2</v>
          </cell>
          <cell r="BD112">
            <v>-9.4037571713151968E-2</v>
          </cell>
          <cell r="BE112">
            <v>-6.6641328877667272E-2</v>
          </cell>
          <cell r="BF112">
            <v>-7.6130017199064537E-2</v>
          </cell>
          <cell r="BG112">
            <v>-2.187764992677832E-2</v>
          </cell>
          <cell r="BH112">
            <v>5.4687164152187773E-2</v>
          </cell>
          <cell r="BI112">
            <v>4.9909114226132756E-2</v>
          </cell>
          <cell r="BJ112">
            <v>0.17348644023328941</v>
          </cell>
          <cell r="BK112">
            <v>0.22754936265359227</v>
          </cell>
          <cell r="BL112">
            <v>5.6979293677655196E-2</v>
          </cell>
          <cell r="BM112">
            <v>0.14076372094954426</v>
          </cell>
          <cell r="BN112">
            <v>0.16000503513933073</v>
          </cell>
          <cell r="BO112">
            <v>-0.12008109768824393</v>
          </cell>
          <cell r="BP112">
            <v>0.10844198168575336</v>
          </cell>
          <cell r="BQ112">
            <v>4.0592436709157687E-2</v>
          </cell>
          <cell r="BR112">
            <v>-5.614701550479051E-2</v>
          </cell>
          <cell r="BS112">
            <v>0.15642620679332708</v>
          </cell>
          <cell r="BT112">
            <v>9.3872672430368453E-3</v>
          </cell>
          <cell r="BU112">
            <v>1.3253823452519242E-5</v>
          </cell>
        </row>
        <row r="113">
          <cell r="A113" t="str">
            <v>% Churn</v>
          </cell>
          <cell r="F113">
            <v>2.7243912167194354E-2</v>
          </cell>
          <cell r="G113">
            <v>2.2069564147160659E-2</v>
          </cell>
          <cell r="H113">
            <v>1.7821254611691251E-2</v>
          </cell>
          <cell r="I113">
            <v>1.6295968369792541E-2</v>
          </cell>
          <cell r="J113">
            <v>1.6907803734504727E-2</v>
          </cell>
          <cell r="K113">
            <v>1.4516254957472137E-2</v>
          </cell>
          <cell r="L113">
            <v>1.3038429252280574E-2</v>
          </cell>
          <cell r="M113">
            <v>1.3604501013668172E-2</v>
          </cell>
          <cell r="N113">
            <v>1.3405722488549938E-2</v>
          </cell>
          <cell r="O113">
            <v>1.3250889837420978E-2</v>
          </cell>
          <cell r="P113">
            <v>1.2744174391190289E-2</v>
          </cell>
          <cell r="Q113">
            <v>1.2170644703731831E-2</v>
          </cell>
          <cell r="R113">
            <v>1.1833207463048912E-2</v>
          </cell>
          <cell r="S113">
            <v>1.1680411837954725E-2</v>
          </cell>
          <cell r="T113">
            <v>1.1647911618336145E-2</v>
          </cell>
          <cell r="Z113">
            <v>2.760819168240566E-2</v>
          </cell>
          <cell r="AA113">
            <v>2.5581267514550553E-2</v>
          </cell>
          <cell r="AB113">
            <v>2.9524607069198495E-2</v>
          </cell>
          <cell r="AC113">
            <v>2.5552720728350624E-2</v>
          </cell>
          <cell r="AD113">
            <v>2.5000000000000001E-2</v>
          </cell>
          <cell r="AE113">
            <v>2.3E-2</v>
          </cell>
          <cell r="AF113">
            <v>2.8000000000000001E-2</v>
          </cell>
          <cell r="AG113">
            <v>0.03</v>
          </cell>
          <cell r="AH113">
            <v>3.2000000000000001E-2</v>
          </cell>
          <cell r="AI113">
            <v>0.03</v>
          </cell>
          <cell r="AJ113">
            <v>3.2000000000000001E-2</v>
          </cell>
          <cell r="AK113">
            <v>2.5999999999999999E-2</v>
          </cell>
          <cell r="AL113">
            <v>2.1999999999999999E-2</v>
          </cell>
          <cell r="AM113">
            <v>2.1999999999999999E-2</v>
          </cell>
          <cell r="AN113">
            <v>2.3E-2</v>
          </cell>
          <cell r="AO113">
            <v>2.1000000000000001E-2</v>
          </cell>
          <cell r="AP113">
            <v>1.9E-2</v>
          </cell>
          <cell r="AQ113">
            <v>1.7000000000000001E-2</v>
          </cell>
          <cell r="AR113">
            <v>1.7999999999999999E-2</v>
          </cell>
          <cell r="AS113">
            <v>1.7999999999999999E-2</v>
          </cell>
          <cell r="AT113">
            <v>1.7000000000000001E-2</v>
          </cell>
          <cell r="AU113">
            <v>1.6E-2</v>
          </cell>
          <cell r="AV113">
            <v>1.7000000000000001E-2</v>
          </cell>
          <cell r="AW113">
            <v>1.66E-2</v>
          </cell>
          <cell r="AX113">
            <v>1.78E-2</v>
          </cell>
          <cell r="AY113">
            <v>1.6400000000000001E-2</v>
          </cell>
          <cell r="AZ113">
            <v>1.7100000000000001E-2</v>
          </cell>
          <cell r="BA113">
            <v>1.67E-2</v>
          </cell>
          <cell r="BB113">
            <v>1.5599999999999999E-2</v>
          </cell>
          <cell r="BC113">
            <v>1.4800000000000001E-2</v>
          </cell>
          <cell r="BD113">
            <v>1.4200000000000001E-2</v>
          </cell>
          <cell r="BE113">
            <v>1.4200000000000001E-2</v>
          </cell>
          <cell r="BF113">
            <v>1.2999999999999999E-2</v>
          </cell>
          <cell r="BG113">
            <v>1.29E-2</v>
          </cell>
          <cell r="BH113">
            <v>1.32E-2</v>
          </cell>
          <cell r="BI113">
            <v>1.32E-2</v>
          </cell>
          <cell r="BJ113">
            <v>1.3599999999999999E-2</v>
          </cell>
          <cell r="BK113">
            <v>1.43E-2</v>
          </cell>
          <cell r="BL113">
            <v>1.2800000000000001E-2</v>
          </cell>
          <cell r="BM113">
            <v>1.3899999999999999E-2</v>
          </cell>
          <cell r="BN113">
            <v>1.47E-2</v>
          </cell>
          <cell r="BO113">
            <v>1.18E-2</v>
          </cell>
          <cell r="BP113">
            <v>1.34E-2</v>
          </cell>
          <cell r="BQ113">
            <v>1.383809255032719E-2</v>
          </cell>
          <cell r="BR113">
            <v>1.3342204180773722E-2</v>
          </cell>
          <cell r="BS113">
            <v>1.3166829224862498E-2</v>
          </cell>
          <cell r="BT113">
            <v>1.3114113397804668E-2</v>
          </cell>
          <cell r="BU113">
            <v>1.3452685084717206E-2</v>
          </cell>
        </row>
        <row r="114">
          <cell r="A114" t="str">
            <v>Postpaid Disconnects</v>
          </cell>
          <cell r="J114">
            <v>8047.4229000000014</v>
          </cell>
          <cell r="K114">
            <v>8365.9539000000004</v>
          </cell>
          <cell r="L114">
            <v>8727.2055</v>
          </cell>
          <cell r="M114">
            <v>9628.1650499999996</v>
          </cell>
          <cell r="N114">
            <v>8964.6635014359454</v>
          </cell>
          <cell r="O114">
            <v>8853.9480124583788</v>
          </cell>
          <cell r="P114">
            <v>8679.2933058122653</v>
          </cell>
          <cell r="Q114">
            <v>8420.968150629822</v>
          </cell>
          <cell r="R114">
            <v>8229.3462871932607</v>
          </cell>
          <cell r="S114">
            <v>8273.6726329240846</v>
          </cell>
          <cell r="T114">
            <v>8204.3384479774795</v>
          </cell>
          <cell r="AX114">
            <v>2031.7941000000001</v>
          </cell>
          <cell r="AY114">
            <v>1838.3122499999999</v>
          </cell>
          <cell r="AZ114">
            <v>2088.5749500000002</v>
          </cell>
          <cell r="BA114">
            <v>2088.7416000000003</v>
          </cell>
          <cell r="BB114">
            <v>2073.2429999999999</v>
          </cell>
          <cell r="BC114">
            <v>1961.0210999999999</v>
          </cell>
          <cell r="BD114">
            <v>2130.7968000000001</v>
          </cell>
          <cell r="BE114">
            <v>2200.893</v>
          </cell>
          <cell r="BF114">
            <v>2082.2467499999998</v>
          </cell>
          <cell r="BG114">
            <v>2000.9816999999998</v>
          </cell>
          <cell r="BH114">
            <v>2302.6518000000001</v>
          </cell>
          <cell r="BI114">
            <v>2341.3252499999999</v>
          </cell>
          <cell r="BJ114">
            <v>2409.0230999999999</v>
          </cell>
          <cell r="BK114">
            <v>2353.1587500000001</v>
          </cell>
          <cell r="BL114">
            <v>2362.68075</v>
          </cell>
          <cell r="BM114">
            <v>2503.3024499999997</v>
          </cell>
          <cell r="BN114">
            <v>2288.7479999999996</v>
          </cell>
          <cell r="BO114">
            <v>2023.4539500000001</v>
          </cell>
          <cell r="BP114">
            <v>2258.4906000000001</v>
          </cell>
          <cell r="BQ114">
            <v>2393.9709514359456</v>
          </cell>
          <cell r="BR114">
            <v>2236.6126993477087</v>
          </cell>
          <cell r="BS114">
            <v>2178.05285442071</v>
          </cell>
          <cell r="BT114">
            <v>2161.3999767988244</v>
          </cell>
          <cell r="BU114">
            <v>2277.8824818911344</v>
          </cell>
        </row>
        <row r="115">
          <cell r="A115" t="str">
            <v>% y/y growth</v>
          </cell>
          <cell r="K115">
            <v>3.9581739888430389E-2</v>
          </cell>
          <cell r="L115">
            <v>4.3181160728126944E-2</v>
          </cell>
          <cell r="M115">
            <v>0.10323574367533794</v>
          </cell>
          <cell r="N115">
            <v>-6.8912564867596893E-2</v>
          </cell>
          <cell r="O115">
            <v>-1.2350211355934615E-2</v>
          </cell>
          <cell r="P115">
            <v>-1.9726195184380679E-2</v>
          </cell>
          <cell r="Q115">
            <v>-2.9763385805783305E-2</v>
          </cell>
          <cell r="R115">
            <v>-2.275532456707241E-2</v>
          </cell>
          <cell r="S115">
            <v>5.3863750757221496E-3</v>
          </cell>
          <cell r="T115">
            <v>-8.380097693338473E-3</v>
          </cell>
          <cell r="BB115">
            <v>2.0400147829940041E-2</v>
          </cell>
          <cell r="BC115">
            <v>6.6750819943673934E-2</v>
          </cell>
          <cell r="BD115">
            <v>2.0215625970233964E-2</v>
          </cell>
          <cell r="BE115">
            <v>5.3693285947864267E-2</v>
          </cell>
          <cell r="BF115">
            <v>4.3428339080366918E-3</v>
          </cell>
          <cell r="BG115">
            <v>2.037744519934015E-2</v>
          </cell>
          <cell r="BH115">
            <v>8.0652927580893596E-2</v>
          </cell>
          <cell r="BI115">
            <v>6.3806941091638647E-2</v>
          </cell>
          <cell r="BJ115">
            <v>0.15693449875717191</v>
          </cell>
          <cell r="BK115">
            <v>0.17600213435235323</v>
          </cell>
          <cell r="BL115">
            <v>2.6069486493789373E-2</v>
          </cell>
          <cell r="BM115">
            <v>6.918184476932443E-2</v>
          </cell>
          <cell r="BN115">
            <v>-4.9926918509000773E-2</v>
          </cell>
          <cell r="BO115">
            <v>-0.14011158405696167</v>
          </cell>
          <cell r="BP115">
            <v>-4.4098276925479629E-2</v>
          </cell>
          <cell r="BQ115">
            <v>-4.367490574862587E-2</v>
          </cell>
          <cell r="BR115">
            <v>-2.277896065984153E-2</v>
          </cell>
          <cell r="BS115">
            <v>7.6403470620475478E-2</v>
          </cell>
          <cell r="BT115">
            <v>-4.2989164179463857E-2</v>
          </cell>
          <cell r="BU115">
            <v>-4.8492012601564549E-2</v>
          </cell>
        </row>
        <row r="116">
          <cell r="A116" t="str">
            <v>Postpaid Churn</v>
          </cell>
          <cell r="J116">
            <v>1.1666685368335901E-2</v>
          </cell>
          <cell r="K116">
            <v>1.1219227953009335E-2</v>
          </cell>
          <cell r="L116">
            <v>1.0963715816926463E-2</v>
          </cell>
          <cell r="M116">
            <v>1.1683248452857663E-2</v>
          </cell>
          <cell r="N116">
            <v>1.0705842350239992E-2</v>
          </cell>
          <cell r="O116">
            <v>1.0431214258014933E-2</v>
          </cell>
          <cell r="P116">
            <v>1.01E-2</v>
          </cell>
          <cell r="Q116">
            <v>9.7000000000000003E-3</v>
          </cell>
          <cell r="R116">
            <v>9.4000000000000004E-3</v>
          </cell>
          <cell r="S116">
            <v>9.4000000000000004E-3</v>
          </cell>
          <cell r="T116">
            <v>9.2999999999999992E-3</v>
          </cell>
          <cell r="AX116">
            <v>1.2200000000000001E-2</v>
          </cell>
          <cell r="AY116">
            <v>1.09E-2</v>
          </cell>
          <cell r="AZ116">
            <v>1.21E-2</v>
          </cell>
          <cell r="BA116">
            <v>1.18E-2</v>
          </cell>
          <cell r="BB116">
            <v>1.15E-2</v>
          </cell>
          <cell r="BC116">
            <v>1.0699999999999999E-2</v>
          </cell>
          <cell r="BD116">
            <v>1.14E-2</v>
          </cell>
          <cell r="BE116">
            <v>1.15E-2</v>
          </cell>
          <cell r="BF116">
            <v>1.0699999999999999E-2</v>
          </cell>
          <cell r="BG116">
            <v>1.01E-2</v>
          </cell>
          <cell r="BH116">
            <v>1.14E-2</v>
          </cell>
          <cell r="BI116">
            <v>1.15E-2</v>
          </cell>
          <cell r="BJ116">
            <v>1.18E-2</v>
          </cell>
          <cell r="BK116">
            <v>1.15E-2</v>
          </cell>
          <cell r="BL116">
            <v>1.15E-2</v>
          </cell>
          <cell r="BM116">
            <v>1.21E-2</v>
          </cell>
          <cell r="BN116">
            <v>1.0999999999999999E-2</v>
          </cell>
          <cell r="BO116">
            <v>9.7000000000000003E-3</v>
          </cell>
          <cell r="BP116">
            <v>1.0800000000000001E-2</v>
          </cell>
          <cell r="BQ116">
            <v>1.14E-2</v>
          </cell>
          <cell r="BR116">
            <v>1.06E-2</v>
          </cell>
          <cell r="BS116">
            <v>1.03E-2</v>
          </cell>
          <cell r="BT116">
            <v>1.0200000000000001E-2</v>
          </cell>
          <cell r="BU116">
            <v>1.0699999999999999E-2</v>
          </cell>
        </row>
        <row r="117">
          <cell r="A117" t="str">
            <v>Base</v>
          </cell>
          <cell r="P117">
            <v>1.01E-2</v>
          </cell>
          <cell r="Q117">
            <v>9.7000000000000003E-3</v>
          </cell>
          <cell r="R117">
            <v>9.4000000000000004E-3</v>
          </cell>
          <cell r="S117">
            <v>9.4000000000000004E-3</v>
          </cell>
          <cell r="T117">
            <v>9.2999999999999992E-3</v>
          </cell>
          <cell r="BQ117">
            <v>1.14E-2</v>
          </cell>
          <cell r="BR117">
            <v>1.06E-2</v>
          </cell>
          <cell r="BS117">
            <v>1.03E-2</v>
          </cell>
          <cell r="BT117">
            <v>1.0200000000000001E-2</v>
          </cell>
          <cell r="BU117">
            <v>1.0699999999999999E-2</v>
          </cell>
        </row>
        <row r="118">
          <cell r="A118" t="str">
            <v>Bull</v>
          </cell>
          <cell r="P118">
            <v>9.8999999999999991E-3</v>
          </cell>
          <cell r="Q118">
            <v>9.4999999999999998E-3</v>
          </cell>
          <cell r="R118">
            <v>9.1999999999999998E-3</v>
          </cell>
          <cell r="S118">
            <v>9.1999999999999998E-3</v>
          </cell>
          <cell r="T118">
            <v>9.0999999999999987E-3</v>
          </cell>
          <cell r="BQ118">
            <v>1.09E-2</v>
          </cell>
          <cell r="BR118">
            <v>1.01E-2</v>
          </cell>
          <cell r="BS118">
            <v>9.7999999999999997E-3</v>
          </cell>
          <cell r="BT118">
            <v>9.7000000000000003E-3</v>
          </cell>
          <cell r="BU118">
            <v>1.0199999999999999E-2</v>
          </cell>
        </row>
        <row r="119">
          <cell r="A119" t="str">
            <v>Bear</v>
          </cell>
          <cell r="P119">
            <v>1.1099999999999999E-2</v>
          </cell>
          <cell r="Q119">
            <v>1.0700000000000001E-2</v>
          </cell>
          <cell r="R119">
            <v>1.04E-2</v>
          </cell>
          <cell r="S119">
            <v>1.04E-2</v>
          </cell>
          <cell r="T119">
            <v>1.03E-2</v>
          </cell>
          <cell r="BQ119">
            <v>1.2400000000000001E-2</v>
          </cell>
          <cell r="BR119">
            <v>1.1599999999999999E-2</v>
          </cell>
          <cell r="BS119">
            <v>1.1300000000000001E-2</v>
          </cell>
          <cell r="BT119">
            <v>1.1200000000000002E-2</v>
          </cell>
          <cell r="BU119">
            <v>1.1699999999999999E-2</v>
          </cell>
        </row>
        <row r="120">
          <cell r="A120" t="str">
            <v>Other (Pre/Resale/Connected D)</v>
          </cell>
          <cell r="J120">
            <v>6871.4482499999976</v>
          </cell>
          <cell r="K120">
            <v>5755.0815000000002</v>
          </cell>
          <cell r="L120">
            <v>5405.6173499999968</v>
          </cell>
          <cell r="M120">
            <v>6597.8961000000018</v>
          </cell>
          <cell r="N120">
            <v>7974.0721735782026</v>
          </cell>
          <cell r="O120">
            <v>8447.2387475619034</v>
          </cell>
          <cell r="P120">
            <v>8361.1345755636448</v>
          </cell>
          <cell r="Q120">
            <v>8174.5019463041353</v>
          </cell>
          <cell r="R120">
            <v>8179.6501488043687</v>
          </cell>
          <cell r="S120">
            <v>8145.1469827864512</v>
          </cell>
          <cell r="T120">
            <v>8334.4667679881495</v>
          </cell>
          <cell r="AX120">
            <v>1744.0931999999993</v>
          </cell>
          <cell r="AY120">
            <v>1710.2131500000005</v>
          </cell>
          <cell r="AZ120">
            <v>1701.2894999999999</v>
          </cell>
          <cell r="BA120">
            <v>1715.8523999999993</v>
          </cell>
          <cell r="BB120">
            <v>1559.3964000000001</v>
          </cell>
          <cell r="BC120">
            <v>1542.8493000000008</v>
          </cell>
          <cell r="BD120">
            <v>1302.6779999999999</v>
          </cell>
          <cell r="BE120">
            <v>1350.1578</v>
          </cell>
          <cell r="BF120">
            <v>1273.8397500000005</v>
          </cell>
          <cell r="BG120">
            <v>1426.23225</v>
          </cell>
          <cell r="BH120">
            <v>1318.5899999999997</v>
          </cell>
          <cell r="BI120">
            <v>1386.9553500000002</v>
          </cell>
          <cell r="BJ120">
            <v>1529.2988999999998</v>
          </cell>
          <cell r="BK120">
            <v>1853.9155500000002</v>
          </cell>
          <cell r="BL120">
            <v>1464.8968500000005</v>
          </cell>
          <cell r="BM120">
            <v>1749.7847999999999</v>
          </cell>
          <cell r="BN120">
            <v>2279.7253499999997</v>
          </cell>
          <cell r="BO120">
            <v>1678.4302499999994</v>
          </cell>
          <cell r="BP120">
            <v>1984.1571000000004</v>
          </cell>
          <cell r="BQ120">
            <v>2031.7594735782045</v>
          </cell>
          <cell r="BR120">
            <v>2075.3545066366182</v>
          </cell>
          <cell r="BS120">
            <v>2102.9030489734396</v>
          </cell>
          <cell r="BT120">
            <v>2121.0745909791303</v>
          </cell>
          <cell r="BU120">
            <v>2147.9066009727167</v>
          </cell>
        </row>
        <row r="121">
          <cell r="A121" t="str">
            <v>% y/y growth</v>
          </cell>
          <cell r="K121">
            <v>-0.16246455032241536</v>
          </cell>
          <cell r="L121">
            <v>-6.0722710877335717E-2</v>
          </cell>
          <cell r="M121">
            <v>0.22056292053302773</v>
          </cell>
          <cell r="N121">
            <v>0.20857801528250808</v>
          </cell>
          <cell r="O121">
            <v>5.9338135357179356E-2</v>
          </cell>
          <cell r="P121">
            <v>-1.0193173718821447E-2</v>
          </cell>
          <cell r="Q121">
            <v>-2.232144783376222E-2</v>
          </cell>
          <cell r="R121">
            <v>6.2978791051127025E-4</v>
          </cell>
          <cell r="S121">
            <v>-4.2181713631066486E-3</v>
          </cell>
          <cell r="T121">
            <v>2.3243261981864549E-2</v>
          </cell>
          <cell r="BB121">
            <v>-0.10589846918731138</v>
          </cell>
          <cell r="BC121">
            <v>-9.7861398153791357E-2</v>
          </cell>
          <cell r="BD121">
            <v>-0.23429962978082219</v>
          </cell>
          <cell r="BE121">
            <v>-0.21312707316783164</v>
          </cell>
          <cell r="BF121">
            <v>-0.18311998796457363</v>
          </cell>
          <cell r="BG121">
            <v>-7.5585509226338998E-2</v>
          </cell>
          <cell r="BH121">
            <v>1.2214837434884052E-2</v>
          </cell>
          <cell r="BI121">
            <v>2.7254258724424885E-2</v>
          </cell>
          <cell r="BJ121">
            <v>0.20054261142345342</v>
          </cell>
          <cell r="BK121">
            <v>0.2998693235270764</v>
          </cell>
          <cell r="BL121">
            <v>0.11095704502536874</v>
          </cell>
          <cell r="BM121">
            <v>0.26160139185446729</v>
          </cell>
          <cell r="BN121">
            <v>0.49069965982451169</v>
          </cell>
          <cell r="BO121">
            <v>-9.4656576994567421E-2</v>
          </cell>
          <cell r="BP121">
            <v>0.35446881464725633</v>
          </cell>
          <cell r="BQ121">
            <v>0.16114820152638454</v>
          </cell>
          <cell r="BR121">
            <v>-8.9647133749414798E-2</v>
          </cell>
          <cell r="BS121">
            <v>0.2528986825478392</v>
          </cell>
          <cell r="BT121">
            <v>6.9005368062402983E-2</v>
          </cell>
          <cell r="BU121">
            <v>5.7165786061261104E-2</v>
          </cell>
        </row>
        <row r="122">
          <cell r="A122" t="str">
            <v>Other Churn</v>
          </cell>
          <cell r="K122">
            <v>2.5342287775106345E-2</v>
          </cell>
          <cell r="L122">
            <v>1.8774198237059253E-2</v>
          </cell>
          <cell r="M122">
            <v>1.7899978024840075E-2</v>
          </cell>
          <cell r="N122">
            <v>1.8710426522254218E-2</v>
          </cell>
          <cell r="O122">
            <v>1.8489425296743762E-2</v>
          </cell>
          <cell r="P122">
            <v>1.7500000000000002E-2</v>
          </cell>
          <cell r="Q122">
            <v>1.6500000000000001E-2</v>
          </cell>
          <cell r="R122">
            <v>1.6E-2</v>
          </cell>
          <cell r="S122">
            <v>1.55E-2</v>
          </cell>
          <cell r="T122">
            <v>1.55E-2</v>
          </cell>
          <cell r="AX122">
            <v>3.7147884984025548E-2</v>
          </cell>
          <cell r="AY122">
            <v>3.5837747532532854E-2</v>
          </cell>
          <cell r="AZ122">
            <v>3.470602815177478E-2</v>
          </cell>
          <cell r="BA122">
            <v>3.3771303731695783E-2</v>
          </cell>
          <cell r="BB122">
            <v>2.9657878070350613E-2</v>
          </cell>
          <cell r="BC122">
            <v>2.8851786816269299E-2</v>
          </cell>
          <cell r="BD122">
            <v>2.3735979009511313E-2</v>
          </cell>
          <cell r="BE122">
            <v>2.3004119811899405E-2</v>
          </cell>
          <cell r="BF122">
            <v>2.0042162276975369E-2</v>
          </cell>
          <cell r="BG122">
            <v>2.1111070405648438E-2</v>
          </cell>
          <cell r="BH122">
            <v>1.8225281446312688E-2</v>
          </cell>
          <cell r="BI122">
            <v>1.7589349033632632E-2</v>
          </cell>
          <cell r="BJ122">
            <v>1.7901611883691528E-2</v>
          </cell>
          <cell r="BK122">
            <v>2.0695987876555202E-2</v>
          </cell>
          <cell r="BL122">
            <v>1.5654119513993529E-2</v>
          </cell>
          <cell r="BM122">
            <v>1.7658006115467289E-2</v>
          </cell>
          <cell r="BN122">
            <v>2.2195208470244612E-2</v>
          </cell>
          <cell r="BO122">
            <v>1.596748576565777E-2</v>
          </cell>
          <cell r="BP122">
            <v>1.8457962156731417E-2</v>
          </cell>
          <cell r="BQ122">
            <v>1.8499999999999999E-2</v>
          </cell>
          <cell r="BR122">
            <v>1.8499999999999999E-2</v>
          </cell>
          <cell r="BS122">
            <v>1.8499999999999999E-2</v>
          </cell>
          <cell r="BT122">
            <v>1.8499999999999999E-2</v>
          </cell>
          <cell r="BU122">
            <v>1.8499999999999999E-2</v>
          </cell>
        </row>
        <row r="123">
          <cell r="A123" t="str">
            <v>Base</v>
          </cell>
          <cell r="P123">
            <v>1.7500000000000002E-2</v>
          </cell>
          <cell r="Q123">
            <v>1.6500000000000001E-2</v>
          </cell>
          <cell r="R123">
            <v>1.6E-2</v>
          </cell>
          <cell r="S123">
            <v>1.55E-2</v>
          </cell>
          <cell r="T123">
            <v>1.55E-2</v>
          </cell>
          <cell r="BQ123">
            <v>1.8499999999999999E-2</v>
          </cell>
          <cell r="BR123">
            <v>1.8499999999999999E-2</v>
          </cell>
          <cell r="BS123">
            <v>1.8499999999999999E-2</v>
          </cell>
          <cell r="BT123">
            <v>1.8499999999999999E-2</v>
          </cell>
          <cell r="BU123">
            <v>1.8499999999999999E-2</v>
          </cell>
        </row>
        <row r="124">
          <cell r="A124" t="str">
            <v>Bull</v>
          </cell>
          <cell r="P124">
            <v>1.6500000000000001E-2</v>
          </cell>
          <cell r="Q124">
            <v>1.55E-2</v>
          </cell>
          <cell r="R124">
            <v>1.4999999999999999E-2</v>
          </cell>
          <cell r="S124">
            <v>1.4499999999999999E-2</v>
          </cell>
          <cell r="T124">
            <v>1.4499999999999999E-2</v>
          </cell>
          <cell r="BQ124">
            <v>1.95E-2</v>
          </cell>
          <cell r="BR124">
            <v>1.7499999999999998E-2</v>
          </cell>
          <cell r="BS124">
            <v>1.7499999999999998E-2</v>
          </cell>
          <cell r="BT124">
            <v>1.7499999999999998E-2</v>
          </cell>
          <cell r="BU124">
            <v>1.7499999999999998E-2</v>
          </cell>
        </row>
        <row r="125">
          <cell r="A125" t="str">
            <v>Bear</v>
          </cell>
          <cell r="P125">
            <v>1.9500000000000003E-2</v>
          </cell>
          <cell r="Q125">
            <v>1.8500000000000003E-2</v>
          </cell>
          <cell r="R125">
            <v>1.8000000000000002E-2</v>
          </cell>
          <cell r="S125">
            <v>1.7500000000000002E-2</v>
          </cell>
          <cell r="T125">
            <v>1.7500000000000002E-2</v>
          </cell>
          <cell r="BQ125">
            <v>2.0500000000000001E-2</v>
          </cell>
          <cell r="BR125">
            <v>1.95E-2</v>
          </cell>
          <cell r="BS125">
            <v>1.95E-2</v>
          </cell>
          <cell r="BT125">
            <v>1.95E-2</v>
          </cell>
          <cell r="BU125">
            <v>1.95E-2</v>
          </cell>
        </row>
        <row r="126">
          <cell r="A126" t="str">
            <v>Subscriber Split</v>
          </cell>
        </row>
        <row r="127">
          <cell r="A127" t="str">
            <v>Retail Postpaid subs</v>
          </cell>
          <cell r="I127">
            <v>55310</v>
          </cell>
          <cell r="J127">
            <v>59653</v>
          </cell>
          <cell r="K127">
            <v>64627</v>
          </cell>
          <cell r="L127">
            <v>68041</v>
          </cell>
          <cell r="M127">
            <v>69309</v>
          </cell>
          <cell r="N127">
            <v>70251.301253564059</v>
          </cell>
          <cell r="O127">
            <v>71214.300504405663</v>
          </cell>
          <cell r="P127">
            <v>72008.3613076779</v>
          </cell>
          <cell r="Q127">
            <v>72681.813101769192</v>
          </cell>
          <cell r="R127">
            <v>73228.582061231806</v>
          </cell>
          <cell r="S127">
            <v>73467.741217563918</v>
          </cell>
          <cell r="T127">
            <v>73563.413764111232</v>
          </cell>
          <cell r="AL127">
            <v>44007</v>
          </cell>
          <cell r="AM127">
            <v>44960</v>
          </cell>
          <cell r="AN127">
            <v>45624</v>
          </cell>
          <cell r="AO127">
            <v>46260</v>
          </cell>
          <cell r="AP127">
            <v>47158</v>
          </cell>
          <cell r="AQ127">
            <v>48199</v>
          </cell>
          <cell r="AR127">
            <v>49127</v>
          </cell>
          <cell r="AS127">
            <v>49877</v>
          </cell>
          <cell r="AT127">
            <v>50588</v>
          </cell>
          <cell r="AU127">
            <v>51488</v>
          </cell>
          <cell r="AV127">
            <v>52689</v>
          </cell>
          <cell r="AW127">
            <v>55310</v>
          </cell>
          <cell r="AX127">
            <v>55717</v>
          </cell>
          <cell r="AY127">
            <v>56718</v>
          </cell>
          <cell r="AZ127">
            <v>58355</v>
          </cell>
          <cell r="BA127">
            <v>59653</v>
          </cell>
          <cell r="BB127">
            <v>60535</v>
          </cell>
          <cell r="BC127">
            <v>61647</v>
          </cell>
          <cell r="BD127">
            <v>62961</v>
          </cell>
          <cell r="BE127">
            <v>64627</v>
          </cell>
          <cell r="BF127">
            <v>65108</v>
          </cell>
          <cell r="BG127">
            <v>66970</v>
          </cell>
          <cell r="BH127">
            <v>67688</v>
          </cell>
          <cell r="BI127">
            <v>68041</v>
          </cell>
          <cell r="BJ127">
            <v>68062</v>
          </cell>
          <cell r="BK127">
            <v>68353</v>
          </cell>
          <cell r="BL127">
            <v>68614</v>
          </cell>
          <cell r="BM127">
            <v>69309</v>
          </cell>
          <cell r="BN127">
            <v>69403</v>
          </cell>
          <cell r="BO127">
            <v>69666</v>
          </cell>
          <cell r="BP127">
            <v>69747</v>
          </cell>
          <cell r="BQ127">
            <v>70251.301253564059</v>
          </cell>
          <cell r="BR127">
            <v>70416.164114216343</v>
          </cell>
          <cell r="BS127">
            <v>70558.130670295635</v>
          </cell>
          <cell r="BT127">
            <v>70709.841669496804</v>
          </cell>
          <cell r="BU127">
            <v>71214.300504405663</v>
          </cell>
        </row>
        <row r="128">
          <cell r="A128" t="str">
            <v>Retail Postpaid Net Adds</v>
          </cell>
          <cell r="I128">
            <v>3982</v>
          </cell>
          <cell r="J128">
            <v>4523</v>
          </cell>
          <cell r="K128">
            <v>4199</v>
          </cell>
          <cell r="L128">
            <v>2153</v>
          </cell>
          <cell r="M128">
            <v>1429</v>
          </cell>
          <cell r="N128">
            <v>1162.3012535640542</v>
          </cell>
          <cell r="O128">
            <v>962.99925084162123</v>
          </cell>
          <cell r="P128">
            <v>794.06080327223572</v>
          </cell>
          <cell r="Q128">
            <v>673.45179409129923</v>
          </cell>
          <cell r="R128">
            <v>546.76895946262084</v>
          </cell>
          <cell r="S128">
            <v>239.15915633211989</v>
          </cell>
          <cell r="T128">
            <v>95.672546547319143</v>
          </cell>
          <cell r="AL128">
            <v>1063</v>
          </cell>
          <cell r="AM128">
            <v>953</v>
          </cell>
          <cell r="AN128">
            <v>664</v>
          </cell>
          <cell r="AO128">
            <v>636</v>
          </cell>
          <cell r="AP128">
            <v>900</v>
          </cell>
          <cell r="AQ128">
            <v>1041</v>
          </cell>
          <cell r="AR128">
            <v>928</v>
          </cell>
          <cell r="AS128">
            <v>861</v>
          </cell>
          <cell r="AT128">
            <v>680</v>
          </cell>
          <cell r="AU128">
            <v>912</v>
          </cell>
          <cell r="AV128">
            <v>1212</v>
          </cell>
          <cell r="AW128">
            <v>1178</v>
          </cell>
          <cell r="AX128">
            <v>741</v>
          </cell>
          <cell r="AY128">
            <v>867</v>
          </cell>
          <cell r="AZ128">
            <v>1639</v>
          </cell>
          <cell r="BA128">
            <v>1276</v>
          </cell>
          <cell r="BB128">
            <v>897</v>
          </cell>
          <cell r="BC128">
            <v>1128</v>
          </cell>
          <cell r="BD128">
            <v>1333</v>
          </cell>
          <cell r="BE128">
            <v>841</v>
          </cell>
          <cell r="BF128">
            <v>512</v>
          </cell>
          <cell r="BG128">
            <v>496</v>
          </cell>
          <cell r="BH128">
            <v>745</v>
          </cell>
          <cell r="BI128">
            <v>400</v>
          </cell>
          <cell r="BJ128">
            <v>62</v>
          </cell>
          <cell r="BK128">
            <v>331</v>
          </cell>
          <cell r="BL128">
            <v>319</v>
          </cell>
          <cell r="BM128">
            <v>717</v>
          </cell>
          <cell r="BN128">
            <v>187</v>
          </cell>
          <cell r="BO128">
            <v>320</v>
          </cell>
          <cell r="BP128">
            <v>151</v>
          </cell>
          <cell r="BQ128">
            <v>504.30125356405415</v>
          </cell>
          <cell r="BR128">
            <v>164.86286065229069</v>
          </cell>
          <cell r="BS128">
            <v>141.96655607929006</v>
          </cell>
          <cell r="BT128">
            <v>151.71099920117558</v>
          </cell>
          <cell r="BU128">
            <v>504.45883490886536</v>
          </cell>
        </row>
        <row r="129">
          <cell r="A129" t="str">
            <v>Acquired Postpaid</v>
          </cell>
          <cell r="J129">
            <v>154</v>
          </cell>
          <cell r="K129">
            <v>775</v>
          </cell>
          <cell r="L129">
            <v>1261</v>
          </cell>
          <cell r="M129">
            <v>-161</v>
          </cell>
          <cell r="N129">
            <v>0</v>
          </cell>
          <cell r="O129">
            <v>0</v>
          </cell>
          <cell r="P129">
            <v>0</v>
          </cell>
          <cell r="Q129">
            <v>0</v>
          </cell>
          <cell r="R129">
            <v>0</v>
          </cell>
          <cell r="S129">
            <v>0</v>
          </cell>
          <cell r="T129">
            <v>0</v>
          </cell>
          <cell r="AW129">
            <v>1443</v>
          </cell>
          <cell r="AX129">
            <v>0</v>
          </cell>
          <cell r="AY129">
            <v>134</v>
          </cell>
          <cell r="AZ129">
            <v>-2</v>
          </cell>
          <cell r="BA129">
            <v>22</v>
          </cell>
          <cell r="BB129">
            <v>-15</v>
          </cell>
          <cell r="BC129">
            <v>-16</v>
          </cell>
          <cell r="BD129">
            <v>-19</v>
          </cell>
          <cell r="BE129">
            <v>825</v>
          </cell>
          <cell r="BF129">
            <v>-31</v>
          </cell>
          <cell r="BG129">
            <v>1366</v>
          </cell>
          <cell r="BH129">
            <v>-27</v>
          </cell>
          <cell r="BI129">
            <v>-47</v>
          </cell>
          <cell r="BJ129">
            <v>-41</v>
          </cell>
          <cell r="BK129">
            <v>-40</v>
          </cell>
          <cell r="BL129">
            <v>-58</v>
          </cell>
          <cell r="BM129">
            <v>-22</v>
          </cell>
          <cell r="BN129">
            <v>-93</v>
          </cell>
          <cell r="BO129">
            <v>-57</v>
          </cell>
          <cell r="BP129">
            <v>-70</v>
          </cell>
          <cell r="BQ129">
            <v>0</v>
          </cell>
          <cell r="BR129">
            <v>0</v>
          </cell>
          <cell r="BS129">
            <v>0</v>
          </cell>
          <cell r="BT129">
            <v>0</v>
          </cell>
          <cell r="BU129">
            <v>0</v>
          </cell>
        </row>
        <row r="130">
          <cell r="A130" t="str">
            <v>Retail Prepaid subs</v>
          </cell>
          <cell r="I130">
            <v>6029.6399999999994</v>
          </cell>
          <cell r="J130">
            <v>6106</v>
          </cell>
          <cell r="K130">
            <v>5350</v>
          </cell>
          <cell r="L130">
            <v>6524</v>
          </cell>
          <cell r="M130">
            <v>7225</v>
          </cell>
          <cell r="N130">
            <v>7690.2836409632691</v>
          </cell>
          <cell r="O130">
            <v>7984.2325724789835</v>
          </cell>
          <cell r="P130">
            <v>8228.2995806208</v>
          </cell>
          <cell r="Q130">
            <v>8454.7723532371692</v>
          </cell>
          <cell r="R130">
            <v>8637.5484768644292</v>
          </cell>
          <cell r="S130">
            <v>8799.8125481296374</v>
          </cell>
          <cell r="T130">
            <v>8922.5460029745136</v>
          </cell>
          <cell r="AL130">
            <v>3507.41</v>
          </cell>
          <cell r="AM130">
            <v>3414.98</v>
          </cell>
          <cell r="AN130">
            <v>3214.06</v>
          </cell>
          <cell r="AO130">
            <v>3191.64</v>
          </cell>
          <cell r="AP130">
            <v>3395.64</v>
          </cell>
          <cell r="AQ130">
            <v>3472.64</v>
          </cell>
          <cell r="AR130">
            <v>3728.64</v>
          </cell>
          <cell r="AS130">
            <v>4474.6399999999994</v>
          </cell>
          <cell r="AT130">
            <v>4636.6399999999994</v>
          </cell>
          <cell r="AU130">
            <v>4815.6399999999994</v>
          </cell>
          <cell r="AV130">
            <v>5011.6399999999994</v>
          </cell>
          <cell r="AW130">
            <v>6029.6399999999994</v>
          </cell>
          <cell r="AX130">
            <v>6085</v>
          </cell>
          <cell r="AY130">
            <v>6139</v>
          </cell>
          <cell r="AZ130">
            <v>6112</v>
          </cell>
          <cell r="BA130">
            <v>6106</v>
          </cell>
          <cell r="BB130">
            <v>5961</v>
          </cell>
          <cell r="BC130">
            <v>5558</v>
          </cell>
          <cell r="BD130">
            <v>5386</v>
          </cell>
          <cell r="BE130">
            <v>5350</v>
          </cell>
          <cell r="BF130">
            <v>5377</v>
          </cell>
          <cell r="BG130">
            <v>5881</v>
          </cell>
          <cell r="BH130">
            <v>6209</v>
          </cell>
          <cell r="BI130">
            <v>6524</v>
          </cell>
          <cell r="BJ130">
            <v>6613</v>
          </cell>
          <cell r="BK130">
            <v>6750</v>
          </cell>
          <cell r="BL130">
            <v>7059</v>
          </cell>
          <cell r="BM130">
            <v>7225</v>
          </cell>
          <cell r="BN130">
            <v>7368</v>
          </cell>
          <cell r="BO130">
            <v>7473</v>
          </cell>
          <cell r="BP130">
            <v>7545</v>
          </cell>
          <cell r="BQ130">
            <v>7690.2836409632691</v>
          </cell>
          <cell r="BR130">
            <v>7780.6488273427767</v>
          </cell>
          <cell r="BS130">
            <v>7839.1946806217602</v>
          </cell>
          <cell r="BT130">
            <v>7878.8733787248912</v>
          </cell>
          <cell r="BU130">
            <v>7984.2325724789835</v>
          </cell>
        </row>
        <row r="131">
          <cell r="A131" t="str">
            <v>Retail Prepaid Net Adds</v>
          </cell>
          <cell r="I131">
            <v>1287</v>
          </cell>
          <cell r="J131">
            <v>71</v>
          </cell>
          <cell r="K131">
            <v>-801</v>
          </cell>
          <cell r="L131">
            <v>952</v>
          </cell>
          <cell r="M131">
            <v>674</v>
          </cell>
          <cell r="N131">
            <v>439.28364096326925</v>
          </cell>
          <cell r="O131">
            <v>293.94893151571404</v>
          </cell>
          <cell r="P131">
            <v>244.06700814181619</v>
          </cell>
          <cell r="Q131">
            <v>226.47277261637296</v>
          </cell>
          <cell r="R131">
            <v>182.77612362729442</v>
          </cell>
          <cell r="S131">
            <v>162.26407126545456</v>
          </cell>
          <cell r="T131">
            <v>122.73345484649887</v>
          </cell>
          <cell r="AL131">
            <v>-92.42999999999995</v>
          </cell>
          <cell r="AM131">
            <v>-200.91999999999996</v>
          </cell>
          <cell r="AN131">
            <v>-22.419999999999959</v>
          </cell>
          <cell r="AO131">
            <v>204</v>
          </cell>
          <cell r="AP131">
            <v>147</v>
          </cell>
          <cell r="AQ131">
            <v>77</v>
          </cell>
          <cell r="AR131">
            <v>256</v>
          </cell>
          <cell r="AS131">
            <v>746</v>
          </cell>
          <cell r="AT131">
            <v>162</v>
          </cell>
          <cell r="AU131">
            <v>179</v>
          </cell>
          <cell r="AV131">
            <v>196</v>
          </cell>
          <cell r="AW131">
            <v>750</v>
          </cell>
          <cell r="AX131">
            <v>118</v>
          </cell>
          <cell r="AY131">
            <v>12</v>
          </cell>
          <cell r="AZ131">
            <v>-36</v>
          </cell>
          <cell r="BA131">
            <v>-23</v>
          </cell>
          <cell r="BB131">
            <v>-155</v>
          </cell>
          <cell r="BC131">
            <v>-412</v>
          </cell>
          <cell r="BD131">
            <v>-176</v>
          </cell>
          <cell r="BE131">
            <v>-58</v>
          </cell>
          <cell r="BF131">
            <v>24</v>
          </cell>
          <cell r="BG131">
            <v>300</v>
          </cell>
          <cell r="BH131">
            <v>321</v>
          </cell>
          <cell r="BI131">
            <v>307</v>
          </cell>
          <cell r="BJ131">
            <v>85</v>
          </cell>
          <cell r="BK131">
            <v>137</v>
          </cell>
          <cell r="BL131">
            <v>293</v>
          </cell>
          <cell r="BM131">
            <v>159</v>
          </cell>
          <cell r="BN131">
            <v>125</v>
          </cell>
          <cell r="BO131">
            <v>92</v>
          </cell>
          <cell r="BP131">
            <v>77</v>
          </cell>
          <cell r="BQ131">
            <v>145.28364096326928</v>
          </cell>
          <cell r="BR131">
            <v>90.365186379507193</v>
          </cell>
          <cell r="BS131">
            <v>58.545853278983941</v>
          </cell>
          <cell r="BT131">
            <v>39.6786981031305</v>
          </cell>
          <cell r="BU131">
            <v>105.35919375409243</v>
          </cell>
        </row>
        <row r="132">
          <cell r="A132" t="str">
            <v>Acquired Prepaid</v>
          </cell>
          <cell r="J132">
            <v>88</v>
          </cell>
          <cell r="K132">
            <v>45</v>
          </cell>
          <cell r="L132">
            <v>222</v>
          </cell>
          <cell r="M132">
            <v>27</v>
          </cell>
          <cell r="N132">
            <v>0</v>
          </cell>
          <cell r="O132">
            <v>0</v>
          </cell>
          <cell r="P132">
            <v>0</v>
          </cell>
          <cell r="Q132">
            <v>0</v>
          </cell>
          <cell r="R132">
            <v>0</v>
          </cell>
          <cell r="S132">
            <v>0</v>
          </cell>
          <cell r="T132">
            <v>0</v>
          </cell>
          <cell r="AW132">
            <v>268</v>
          </cell>
          <cell r="AX132">
            <v>20</v>
          </cell>
          <cell r="AY132">
            <v>42</v>
          </cell>
          <cell r="AZ132">
            <v>9</v>
          </cell>
          <cell r="BA132">
            <v>17</v>
          </cell>
          <cell r="BB132">
            <v>10</v>
          </cell>
          <cell r="BC132">
            <v>9</v>
          </cell>
          <cell r="BD132">
            <v>4</v>
          </cell>
          <cell r="BE132">
            <v>22</v>
          </cell>
          <cell r="BF132">
            <v>3</v>
          </cell>
          <cell r="BG132">
            <v>204</v>
          </cell>
          <cell r="BH132">
            <v>7</v>
          </cell>
          <cell r="BI132">
            <v>8</v>
          </cell>
          <cell r="BJ132">
            <v>4</v>
          </cell>
          <cell r="BK132">
            <v>0</v>
          </cell>
          <cell r="BL132">
            <v>16</v>
          </cell>
          <cell r="BM132">
            <v>7</v>
          </cell>
          <cell r="BN132">
            <v>18</v>
          </cell>
          <cell r="BO132">
            <v>13</v>
          </cell>
          <cell r="BP132">
            <v>-5</v>
          </cell>
          <cell r="BQ132">
            <v>0</v>
          </cell>
          <cell r="BR132">
            <v>0</v>
          </cell>
          <cell r="BS132">
            <v>0</v>
          </cell>
          <cell r="BT132">
            <v>0</v>
          </cell>
          <cell r="BU132">
            <v>0</v>
          </cell>
        </row>
        <row r="133">
          <cell r="A133" t="str">
            <v>Resale subs</v>
          </cell>
          <cell r="I133">
            <v>8712.36</v>
          </cell>
          <cell r="J133">
            <v>8589</v>
          </cell>
          <cell r="K133">
            <v>10439</v>
          </cell>
          <cell r="L133">
            <v>11645</v>
          </cell>
          <cell r="M133">
            <v>13644</v>
          </cell>
          <cell r="N133">
            <v>14815.139401605449</v>
          </cell>
          <cell r="O133">
            <v>15305.054287464973</v>
          </cell>
          <cell r="P133">
            <v>15899.96761981065</v>
          </cell>
          <cell r="Q133">
            <v>16381.222261620436</v>
          </cell>
          <cell r="R133">
            <v>16746.774508874958</v>
          </cell>
          <cell r="S133">
            <v>17106.073523819348</v>
          </cell>
          <cell r="T133">
            <v>17377.840459547289</v>
          </cell>
          <cell r="AX133">
            <v>7750</v>
          </cell>
          <cell r="AY133">
            <v>7865</v>
          </cell>
          <cell r="AZ133">
            <v>8005</v>
          </cell>
          <cell r="BA133">
            <v>8589</v>
          </cell>
          <cell r="BB133">
            <v>8931</v>
          </cell>
          <cell r="BC133">
            <v>9286</v>
          </cell>
          <cell r="BD133">
            <v>9934</v>
          </cell>
          <cell r="BE133">
            <v>10439</v>
          </cell>
          <cell r="BF133">
            <v>10717</v>
          </cell>
          <cell r="BG133">
            <v>10597</v>
          </cell>
          <cell r="BH133">
            <v>11021</v>
          </cell>
          <cell r="BI133">
            <v>11645</v>
          </cell>
          <cell r="BJ133">
            <v>12241</v>
          </cell>
          <cell r="BK133">
            <v>12522</v>
          </cell>
          <cell r="BL133">
            <v>13028</v>
          </cell>
          <cell r="BM133">
            <v>13644</v>
          </cell>
          <cell r="BN133">
            <v>13869</v>
          </cell>
          <cell r="BO133">
            <v>14382</v>
          </cell>
          <cell r="BP133">
            <v>14573</v>
          </cell>
          <cell r="BQ133">
            <v>14815.139401605449</v>
          </cell>
          <cell r="BR133">
            <v>14965.748045571294</v>
          </cell>
          <cell r="BS133">
            <v>15063.324467702934</v>
          </cell>
          <cell r="BT133">
            <v>15129.455631208151</v>
          </cell>
          <cell r="BU133">
            <v>15305.054287464973</v>
          </cell>
        </row>
        <row r="134">
          <cell r="A134" t="str">
            <v>Resale adds</v>
          </cell>
          <cell r="J134">
            <v>1102</v>
          </cell>
          <cell r="K134">
            <v>1803</v>
          </cell>
          <cell r="L134">
            <v>1140</v>
          </cell>
          <cell r="M134">
            <v>1874</v>
          </cell>
          <cell r="N134">
            <v>1035.1394016054487</v>
          </cell>
          <cell r="O134">
            <v>489.91488585952345</v>
          </cell>
          <cell r="P134">
            <v>594.91333234567685</v>
          </cell>
          <cell r="Q134">
            <v>481.25464180979253</v>
          </cell>
          <cell r="R134">
            <v>365.55224725458874</v>
          </cell>
          <cell r="S134">
            <v>359.29901494493498</v>
          </cell>
          <cell r="T134">
            <v>271.76693573153312</v>
          </cell>
          <cell r="AX134">
            <v>280</v>
          </cell>
          <cell r="AY134">
            <v>109</v>
          </cell>
          <cell r="AZ134">
            <v>134</v>
          </cell>
          <cell r="BA134">
            <v>579</v>
          </cell>
          <cell r="BB134">
            <v>337</v>
          </cell>
          <cell r="BC134">
            <v>348</v>
          </cell>
          <cell r="BD134">
            <v>634</v>
          </cell>
          <cell r="BE134">
            <v>484</v>
          </cell>
          <cell r="BF134">
            <v>269</v>
          </cell>
          <cell r="BG134">
            <v>-130</v>
          </cell>
          <cell r="BH134">
            <v>406</v>
          </cell>
          <cell r="BI134">
            <v>595</v>
          </cell>
          <cell r="BJ134">
            <v>561</v>
          </cell>
          <cell r="BK134">
            <v>248</v>
          </cell>
          <cell r="BL134">
            <v>473</v>
          </cell>
          <cell r="BM134">
            <v>592</v>
          </cell>
          <cell r="BN134">
            <v>184</v>
          </cell>
          <cell r="BO134">
            <v>472</v>
          </cell>
          <cell r="BP134">
            <v>137</v>
          </cell>
          <cell r="BQ134">
            <v>242.13940160544882</v>
          </cell>
          <cell r="BR134">
            <v>150.60864396584532</v>
          </cell>
          <cell r="BS134">
            <v>97.576422131639902</v>
          </cell>
          <cell r="BT134">
            <v>66.131163505217501</v>
          </cell>
          <cell r="BU134">
            <v>175.59865625682073</v>
          </cell>
        </row>
        <row r="135">
          <cell r="A135" t="str">
            <v>Acquired resale</v>
          </cell>
          <cell r="J135">
            <v>17</v>
          </cell>
          <cell r="K135">
            <v>47</v>
          </cell>
          <cell r="L135">
            <v>66</v>
          </cell>
          <cell r="M135">
            <v>125</v>
          </cell>
          <cell r="N135">
            <v>0</v>
          </cell>
          <cell r="O135">
            <v>0</v>
          </cell>
          <cell r="P135">
            <v>0</v>
          </cell>
          <cell r="Q135">
            <v>0</v>
          </cell>
          <cell r="R135">
            <v>0</v>
          </cell>
          <cell r="S135">
            <v>0</v>
          </cell>
          <cell r="T135">
            <v>0</v>
          </cell>
          <cell r="AY135">
            <v>6</v>
          </cell>
          <cell r="AZ135">
            <v>6</v>
          </cell>
          <cell r="BA135">
            <v>5</v>
          </cell>
          <cell r="BB135">
            <v>5</v>
          </cell>
          <cell r="BC135">
            <v>7</v>
          </cell>
          <cell r="BD135">
            <v>14</v>
          </cell>
          <cell r="BE135">
            <v>21</v>
          </cell>
          <cell r="BF135">
            <v>9</v>
          </cell>
          <cell r="BG135">
            <v>10</v>
          </cell>
          <cell r="BH135">
            <v>18</v>
          </cell>
          <cell r="BI135">
            <v>29</v>
          </cell>
          <cell r="BJ135">
            <v>35</v>
          </cell>
          <cell r="BK135">
            <v>33</v>
          </cell>
          <cell r="BL135">
            <v>33</v>
          </cell>
          <cell r="BM135">
            <v>24</v>
          </cell>
          <cell r="BN135">
            <v>41</v>
          </cell>
          <cell r="BO135">
            <v>41</v>
          </cell>
          <cell r="BP135">
            <v>54</v>
          </cell>
          <cell r="BQ135">
            <v>0</v>
          </cell>
          <cell r="BR135">
            <v>0</v>
          </cell>
          <cell r="BS135">
            <v>0</v>
          </cell>
          <cell r="BT135">
            <v>0</v>
          </cell>
          <cell r="BU135">
            <v>0</v>
          </cell>
        </row>
        <row r="136">
          <cell r="A136" t="str">
            <v>Connected Devices</v>
          </cell>
          <cell r="J136">
            <v>2661</v>
          </cell>
          <cell r="K136">
            <v>4704</v>
          </cell>
          <cell r="L136">
            <v>9326</v>
          </cell>
          <cell r="M136">
            <v>13069</v>
          </cell>
          <cell r="N136">
            <v>14587.134563853077</v>
          </cell>
          <cell r="O136">
            <v>15762.930289915932</v>
          </cell>
          <cell r="P136">
            <v>16449.368750314788</v>
          </cell>
          <cell r="Q136">
            <v>17157.096164740942</v>
          </cell>
          <cell r="R136">
            <v>17827.275284707564</v>
          </cell>
          <cell r="S136">
            <v>18464.741278963742</v>
          </cell>
          <cell r="T136">
            <v>18946.908422997185</v>
          </cell>
          <cell r="AX136">
            <v>1815</v>
          </cell>
          <cell r="AY136">
            <v>2160</v>
          </cell>
          <cell r="AZ136">
            <v>2399</v>
          </cell>
          <cell r="BA136">
            <v>2661</v>
          </cell>
          <cell r="BB136">
            <v>2805</v>
          </cell>
          <cell r="BC136">
            <v>3109</v>
          </cell>
          <cell r="BD136">
            <v>3315</v>
          </cell>
          <cell r="BE136">
            <v>4704</v>
          </cell>
          <cell r="BF136">
            <v>5785</v>
          </cell>
          <cell r="BG136">
            <v>6682</v>
          </cell>
          <cell r="BH136">
            <v>7843</v>
          </cell>
          <cell r="BI136">
            <v>9326</v>
          </cell>
          <cell r="BJ136">
            <v>10603</v>
          </cell>
          <cell r="BK136">
            <v>10990</v>
          </cell>
          <cell r="BL136">
            <v>12037</v>
          </cell>
          <cell r="BM136">
            <v>13069</v>
          </cell>
          <cell r="BN136">
            <v>13300</v>
          </cell>
          <cell r="BO136">
            <v>13685</v>
          </cell>
          <cell r="BP136">
            <v>14006</v>
          </cell>
          <cell r="BQ136">
            <v>14587.134563853077</v>
          </cell>
          <cell r="BR136">
            <v>14948.595309371105</v>
          </cell>
          <cell r="BS136">
            <v>15182.778722487041</v>
          </cell>
          <cell r="BT136">
            <v>15341.493514899563</v>
          </cell>
          <cell r="BU136">
            <v>15762.930289915932</v>
          </cell>
        </row>
        <row r="137">
          <cell r="A137" t="str">
            <v>Connected adds</v>
          </cell>
          <cell r="J137">
            <v>1003</v>
          </cell>
          <cell r="K137">
            <v>2077</v>
          </cell>
          <cell r="L137">
            <v>4608</v>
          </cell>
          <cell r="M137">
            <v>3722</v>
          </cell>
          <cell r="N137">
            <v>1506.134563853077</v>
          </cell>
          <cell r="O137">
            <v>1175.7957260628561</v>
          </cell>
          <cell r="P137">
            <v>686.43846039885807</v>
          </cell>
          <cell r="Q137">
            <v>707.72741442616552</v>
          </cell>
          <cell r="R137">
            <v>670.17911996674627</v>
          </cell>
          <cell r="S137">
            <v>637.46599425714282</v>
          </cell>
          <cell r="T137">
            <v>482.167144039817</v>
          </cell>
          <cell r="AX137">
            <v>156</v>
          </cell>
          <cell r="AY137">
            <v>345</v>
          </cell>
          <cell r="AZ137">
            <v>239</v>
          </cell>
          <cell r="BA137">
            <v>263</v>
          </cell>
          <cell r="BB137">
            <v>144</v>
          </cell>
          <cell r="BC137">
            <v>304</v>
          </cell>
          <cell r="BD137">
            <v>235</v>
          </cell>
          <cell r="BE137">
            <v>1394</v>
          </cell>
          <cell r="BF137">
            <v>1052</v>
          </cell>
          <cell r="BG137">
            <v>896</v>
          </cell>
          <cell r="BH137">
            <v>1159</v>
          </cell>
          <cell r="BI137">
            <v>1501</v>
          </cell>
          <cell r="BJ137">
            <v>1276</v>
          </cell>
          <cell r="BK137">
            <v>379</v>
          </cell>
          <cell r="BL137">
            <v>1038</v>
          </cell>
          <cell r="BM137">
            <v>1029</v>
          </cell>
          <cell r="BN137">
            <v>230</v>
          </cell>
          <cell r="BO137">
            <v>382</v>
          </cell>
          <cell r="BP137">
            <v>313</v>
          </cell>
          <cell r="BQ137">
            <v>581.13456385307711</v>
          </cell>
          <cell r="BR137">
            <v>361.46074551802877</v>
          </cell>
          <cell r="BS137">
            <v>234.18341311593576</v>
          </cell>
          <cell r="BT137">
            <v>158.714792412522</v>
          </cell>
          <cell r="BU137">
            <v>421.43677501636972</v>
          </cell>
        </row>
        <row r="138">
          <cell r="A138" t="str">
            <v>Acquired Connected Devices</v>
          </cell>
          <cell r="J138">
            <v>-1</v>
          </cell>
          <cell r="K138">
            <v>-34</v>
          </cell>
          <cell r="L138">
            <v>14</v>
          </cell>
          <cell r="M138">
            <v>21</v>
          </cell>
          <cell r="N138">
            <v>0</v>
          </cell>
          <cell r="O138">
            <v>0</v>
          </cell>
          <cell r="P138">
            <v>0</v>
          </cell>
          <cell r="Q138">
            <v>0</v>
          </cell>
          <cell r="R138">
            <v>0</v>
          </cell>
          <cell r="S138">
            <v>0</v>
          </cell>
          <cell r="T138">
            <v>0</v>
          </cell>
          <cell r="AY138">
            <v>0</v>
          </cell>
          <cell r="AZ138">
            <v>0</v>
          </cell>
          <cell r="BA138">
            <v>-1</v>
          </cell>
          <cell r="BB138">
            <v>0</v>
          </cell>
          <cell r="BC138">
            <v>0</v>
          </cell>
          <cell r="BD138">
            <v>-29</v>
          </cell>
          <cell r="BE138">
            <v>-5</v>
          </cell>
          <cell r="BF138">
            <v>29</v>
          </cell>
          <cell r="BG138">
            <v>1</v>
          </cell>
          <cell r="BH138">
            <v>2</v>
          </cell>
          <cell r="BI138">
            <v>-18</v>
          </cell>
          <cell r="BJ138">
            <v>1</v>
          </cell>
          <cell r="BK138">
            <v>8</v>
          </cell>
          <cell r="BL138">
            <v>9</v>
          </cell>
          <cell r="BM138">
            <v>3</v>
          </cell>
          <cell r="BN138">
            <v>1</v>
          </cell>
          <cell r="BO138">
            <v>3</v>
          </cell>
          <cell r="BP138">
            <v>8</v>
          </cell>
          <cell r="BQ138">
            <v>0</v>
          </cell>
          <cell r="BR138">
            <v>0</v>
          </cell>
          <cell r="BS138">
            <v>0</v>
          </cell>
          <cell r="BT138">
            <v>0</v>
          </cell>
          <cell r="BU138">
            <v>0</v>
          </cell>
        </row>
        <row r="140">
          <cell r="A140" t="str">
            <v>Total Prepaid/Reseller/Connected</v>
          </cell>
          <cell r="J140">
            <v>17356</v>
          </cell>
          <cell r="K140">
            <v>20493</v>
          </cell>
          <cell r="L140">
            <v>27495</v>
          </cell>
          <cell r="M140">
            <v>33938</v>
          </cell>
          <cell r="N140">
            <v>37092.557606421797</v>
          </cell>
          <cell r="O140">
            <v>39052.217149859891</v>
          </cell>
          <cell r="P140">
            <v>40577.63595074624</v>
          </cell>
          <cell r="Q140">
            <v>41993.090779598548</v>
          </cell>
          <cell r="R140">
            <v>43211.59827044695</v>
          </cell>
          <cell r="S140">
            <v>44370.627350912728</v>
          </cell>
          <cell r="T140">
            <v>45247.29488551899</v>
          </cell>
          <cell r="AX140">
            <v>15650</v>
          </cell>
          <cell r="AY140">
            <v>16164</v>
          </cell>
          <cell r="AZ140">
            <v>16516</v>
          </cell>
          <cell r="BA140">
            <v>17356</v>
          </cell>
          <cell r="BB140">
            <v>17697</v>
          </cell>
          <cell r="BC140">
            <v>17953</v>
          </cell>
          <cell r="BD140">
            <v>18635</v>
          </cell>
          <cell r="BE140">
            <v>20493</v>
          </cell>
          <cell r="BF140">
            <v>21879</v>
          </cell>
          <cell r="BG140">
            <v>23160</v>
          </cell>
          <cell r="BH140">
            <v>25073</v>
          </cell>
          <cell r="BI140">
            <v>27495</v>
          </cell>
          <cell r="BJ140">
            <v>29457</v>
          </cell>
          <cell r="BK140">
            <v>30262</v>
          </cell>
          <cell r="BL140">
            <v>32124</v>
          </cell>
          <cell r="BM140">
            <v>33938</v>
          </cell>
          <cell r="BN140">
            <v>34537</v>
          </cell>
          <cell r="BO140">
            <v>35540</v>
          </cell>
          <cell r="BP140">
            <v>36124</v>
          </cell>
          <cell r="BQ140">
            <v>37092.557606421797</v>
          </cell>
          <cell r="BR140">
            <v>37694.992182285176</v>
          </cell>
          <cell r="BS140">
            <v>38085.297870811737</v>
          </cell>
          <cell r="BT140">
            <v>38349.822524832605</v>
          </cell>
          <cell r="BU140">
            <v>39052.217149859891</v>
          </cell>
        </row>
        <row r="141">
          <cell r="A141" t="str">
            <v>Total Retail</v>
          </cell>
          <cell r="J141">
            <v>65759</v>
          </cell>
          <cell r="K141">
            <v>69977</v>
          </cell>
          <cell r="L141">
            <v>74565</v>
          </cell>
          <cell r="M141">
            <v>76534</v>
          </cell>
          <cell r="N141">
            <v>77941.584894527332</v>
          </cell>
          <cell r="O141">
            <v>79198.533076884647</v>
          </cell>
          <cell r="P141">
            <v>80236.660888298706</v>
          </cell>
          <cell r="Q141">
            <v>81136.585455006367</v>
          </cell>
          <cell r="R141">
            <v>81866.130538096229</v>
          </cell>
          <cell r="S141">
            <v>82267.553765693563</v>
          </cell>
          <cell r="T141">
            <v>82485.959767085747</v>
          </cell>
          <cell r="AX141">
            <v>61802</v>
          </cell>
          <cell r="AY141">
            <v>62857</v>
          </cell>
          <cell r="AZ141">
            <v>64467</v>
          </cell>
          <cell r="BA141">
            <v>65759</v>
          </cell>
          <cell r="BB141">
            <v>66496</v>
          </cell>
          <cell r="BC141">
            <v>67205</v>
          </cell>
          <cell r="BD141">
            <v>68347</v>
          </cell>
          <cell r="BE141">
            <v>69977</v>
          </cell>
          <cell r="BF141">
            <v>70485</v>
          </cell>
          <cell r="BG141">
            <v>72851</v>
          </cell>
          <cell r="BH141">
            <v>73897</v>
          </cell>
          <cell r="BI141">
            <v>74565</v>
          </cell>
          <cell r="BJ141">
            <v>74675</v>
          </cell>
          <cell r="BK141">
            <v>75103</v>
          </cell>
          <cell r="BL141">
            <v>75673</v>
          </cell>
          <cell r="BM141">
            <v>76534</v>
          </cell>
          <cell r="BN141">
            <v>76771</v>
          </cell>
          <cell r="BO141">
            <v>77139</v>
          </cell>
          <cell r="BP141">
            <v>77292</v>
          </cell>
          <cell r="BQ141">
            <v>77941.584894527332</v>
          </cell>
          <cell r="BR141">
            <v>78196.812941559125</v>
          </cell>
          <cell r="BS141">
            <v>78397.325350917396</v>
          </cell>
          <cell r="BT141">
            <v>78588.715048221697</v>
          </cell>
          <cell r="BU141">
            <v>79198.533076884647</v>
          </cell>
        </row>
        <row r="142">
          <cell r="AX142">
            <v>0</v>
          </cell>
          <cell r="AY142">
            <v>0</v>
          </cell>
          <cell r="AZ142">
            <v>0</v>
          </cell>
          <cell r="BA142">
            <v>0</v>
          </cell>
          <cell r="BB142">
            <v>0</v>
          </cell>
          <cell r="BC142">
            <v>0</v>
          </cell>
          <cell r="BD142">
            <v>0</v>
          </cell>
          <cell r="BE142">
            <v>0</v>
          </cell>
          <cell r="BF142">
            <v>0</v>
          </cell>
          <cell r="BG142">
            <v>0</v>
          </cell>
          <cell r="BH142">
            <v>0</v>
          </cell>
          <cell r="BI142">
            <v>0</v>
          </cell>
        </row>
        <row r="143">
          <cell r="A143" t="str">
            <v>Penetration % - EOP</v>
          </cell>
          <cell r="F143">
            <v>0.16818275862068965</v>
          </cell>
          <cell r="G143">
            <v>0.18416326530612245</v>
          </cell>
          <cell r="H143">
            <v>0.20595270270270269</v>
          </cell>
          <cell r="I143">
            <v>0.2342876254180602</v>
          </cell>
          <cell r="J143">
            <v>0.25331907894736844</v>
          </cell>
          <cell r="K143">
            <v>0.28000000000000003</v>
          </cell>
          <cell r="L143">
            <v>0.31426315789473686</v>
          </cell>
          <cell r="M143">
            <v>0.33962828947368423</v>
          </cell>
          <cell r="N143">
            <v>0.3531047988815324</v>
          </cell>
          <cell r="O143">
            <v>0.36271880807324197</v>
          </cell>
          <cell r="P143">
            <v>0.37034867519218467</v>
          </cell>
          <cell r="Q143">
            <v>0.3772200785571308</v>
          </cell>
          <cell r="R143">
            <v>0.38302690898578551</v>
          </cell>
          <cell r="S143">
            <v>0.3876262123963049</v>
          </cell>
          <cell r="T143">
            <v>0.39082469950536275</v>
          </cell>
          <cell r="Z143">
            <v>0.18888584474885844</v>
          </cell>
          <cell r="AA143">
            <v>0.19240182648401827</v>
          </cell>
          <cell r="AB143">
            <v>0.19283105022831051</v>
          </cell>
          <cell r="AC143">
            <v>0.19536073059360731</v>
          </cell>
          <cell r="AD143">
            <v>0.18280851063829787</v>
          </cell>
          <cell r="AE143">
            <v>0.18578813559322033</v>
          </cell>
          <cell r="AF143">
            <v>0.1903813559322034</v>
          </cell>
          <cell r="AG143">
            <v>0.19349152542372883</v>
          </cell>
          <cell r="AH143">
            <v>0.19147083333333334</v>
          </cell>
          <cell r="AI143">
            <v>0.19096296296296297</v>
          </cell>
          <cell r="AJ143">
            <v>0.19414403292181071</v>
          </cell>
          <cell r="AK143">
            <v>0.16818275862068965</v>
          </cell>
          <cell r="AL143">
            <v>0.17243150684931507</v>
          </cell>
          <cell r="AM143">
            <v>0.17617123287671232</v>
          </cell>
          <cell r="AN143">
            <v>0.17786394557823129</v>
          </cell>
          <cell r="AO143">
            <v>0.18416326530612245</v>
          </cell>
          <cell r="AP143">
            <v>0.1885472972972973</v>
          </cell>
          <cell r="AQ143">
            <v>0.19360810810810811</v>
          </cell>
          <cell r="AR143">
            <v>0.19819594594594594</v>
          </cell>
          <cell r="AS143">
            <v>0.20595270270270269</v>
          </cell>
          <cell r="AT143">
            <v>0.21019256756756757</v>
          </cell>
          <cell r="AU143">
            <v>0.21295317725752508</v>
          </cell>
          <cell r="AV143">
            <v>0.21961872909698996</v>
          </cell>
          <cell r="AW143">
            <v>0.2342876254180602</v>
          </cell>
          <cell r="AX143">
            <v>0.23475986842105262</v>
          </cell>
          <cell r="AY143">
            <v>0.23974342105263158</v>
          </cell>
          <cell r="AZ143">
            <v>0.24628618421052631</v>
          </cell>
          <cell r="BA143">
            <v>0.25331907894736844</v>
          </cell>
          <cell r="BB143">
            <v>0.25734210526315787</v>
          </cell>
          <cell r="BC143">
            <v>0.26184210526315788</v>
          </cell>
          <cell r="BD143">
            <v>0.26840789473684212</v>
          </cell>
          <cell r="BE143">
            <v>0.28000000000000003</v>
          </cell>
          <cell r="BF143">
            <v>0.28614144736842106</v>
          </cell>
          <cell r="BG143">
            <v>0.29648026315789472</v>
          </cell>
          <cell r="BH143">
            <v>0.30513486842105264</v>
          </cell>
          <cell r="BI143">
            <v>0.31426315789473686</v>
          </cell>
          <cell r="BJ143">
            <v>0.32078618421052629</v>
          </cell>
          <cell r="BK143">
            <v>0.32439144736842107</v>
          </cell>
          <cell r="BL143">
            <v>0.33137499999999998</v>
          </cell>
          <cell r="BM143">
            <v>0.33962828947368423</v>
          </cell>
          <cell r="BN143">
            <v>0.34190789473684213</v>
          </cell>
          <cell r="BO143">
            <v>0.34607236842105266</v>
          </cell>
          <cell r="BP143">
            <v>0.34825986842105261</v>
          </cell>
          <cell r="BQ143">
            <v>0.3531047988815324</v>
          </cell>
          <cell r="BR143">
            <v>0.3556288036069129</v>
          </cell>
          <cell r="BS143">
            <v>0.35737969914837947</v>
          </cell>
          <cell r="BT143">
            <v>0.35874889537608357</v>
          </cell>
          <cell r="BU143">
            <v>0.36271880807324197</v>
          </cell>
        </row>
        <row r="144">
          <cell r="A144" t="str">
            <v>POPs (000s)</v>
          </cell>
          <cell r="F144">
            <v>290000</v>
          </cell>
          <cell r="G144">
            <v>294000</v>
          </cell>
          <cell r="H144">
            <v>296000</v>
          </cell>
          <cell r="I144">
            <v>299000</v>
          </cell>
          <cell r="J144">
            <v>304000</v>
          </cell>
          <cell r="K144">
            <v>304000</v>
          </cell>
          <cell r="L144">
            <v>304000</v>
          </cell>
          <cell r="M144">
            <v>304000</v>
          </cell>
          <cell r="N144">
            <v>304000</v>
          </cell>
          <cell r="O144">
            <v>304000</v>
          </cell>
          <cell r="P144">
            <v>304000</v>
          </cell>
          <cell r="Q144">
            <v>304000</v>
          </cell>
          <cell r="R144">
            <v>304000</v>
          </cell>
          <cell r="S144">
            <v>304000</v>
          </cell>
          <cell r="T144">
            <v>304000</v>
          </cell>
          <cell r="Z144">
            <v>219000</v>
          </cell>
          <cell r="AA144">
            <v>219000</v>
          </cell>
          <cell r="AB144">
            <v>219000</v>
          </cell>
          <cell r="AC144">
            <v>219000</v>
          </cell>
          <cell r="AD144">
            <v>235000</v>
          </cell>
          <cell r="AE144">
            <v>236000</v>
          </cell>
          <cell r="AF144">
            <v>236000</v>
          </cell>
          <cell r="AG144">
            <v>236000</v>
          </cell>
          <cell r="AH144">
            <v>240000</v>
          </cell>
          <cell r="AI144">
            <v>243000</v>
          </cell>
          <cell r="AJ144">
            <v>243000</v>
          </cell>
          <cell r="AK144">
            <v>290000</v>
          </cell>
          <cell r="AL144">
            <v>292000</v>
          </cell>
          <cell r="AM144">
            <v>292000</v>
          </cell>
          <cell r="AN144">
            <v>294000</v>
          </cell>
          <cell r="AO144">
            <v>294000</v>
          </cell>
          <cell r="AP144">
            <v>296000</v>
          </cell>
          <cell r="AQ144">
            <v>296000</v>
          </cell>
          <cell r="AR144">
            <v>296000</v>
          </cell>
          <cell r="AS144">
            <v>296000</v>
          </cell>
          <cell r="AT144">
            <v>296000</v>
          </cell>
          <cell r="AU144">
            <v>299000</v>
          </cell>
          <cell r="AV144">
            <v>299000</v>
          </cell>
          <cell r="AW144">
            <v>299000</v>
          </cell>
          <cell r="AX144">
            <v>304000</v>
          </cell>
          <cell r="AY144">
            <v>304000</v>
          </cell>
          <cell r="AZ144">
            <v>304000</v>
          </cell>
          <cell r="BA144">
            <v>304000</v>
          </cell>
          <cell r="BB144">
            <v>304000</v>
          </cell>
          <cell r="BC144">
            <v>304000</v>
          </cell>
          <cell r="BD144">
            <v>304000</v>
          </cell>
          <cell r="BE144">
            <v>304000</v>
          </cell>
          <cell r="BF144">
            <v>304000</v>
          </cell>
          <cell r="BG144">
            <v>304000</v>
          </cell>
          <cell r="BH144">
            <v>304000</v>
          </cell>
          <cell r="BI144">
            <v>304000</v>
          </cell>
          <cell r="BJ144">
            <v>304000</v>
          </cell>
          <cell r="BK144">
            <v>304000</v>
          </cell>
          <cell r="BL144">
            <v>304000</v>
          </cell>
          <cell r="BM144">
            <v>304000</v>
          </cell>
          <cell r="BN144">
            <v>304000</v>
          </cell>
          <cell r="BO144">
            <v>304000</v>
          </cell>
          <cell r="BP144">
            <v>304000</v>
          </cell>
          <cell r="BQ144">
            <v>304000</v>
          </cell>
          <cell r="BR144">
            <v>304000</v>
          </cell>
          <cell r="BS144">
            <v>304000</v>
          </cell>
          <cell r="BT144">
            <v>304000</v>
          </cell>
          <cell r="BU144">
            <v>304000</v>
          </cell>
        </row>
        <row r="145">
          <cell r="A145" t="str">
            <v>% y/y growth</v>
          </cell>
          <cell r="G145">
            <v>1.379310344827589E-2</v>
          </cell>
          <cell r="H145">
            <v>6.8027210884353817E-3</v>
          </cell>
          <cell r="I145">
            <v>1.0135135135135087E-2</v>
          </cell>
          <cell r="J145">
            <v>1.6722408026755842E-2</v>
          </cell>
          <cell r="K145">
            <v>0</v>
          </cell>
          <cell r="L145">
            <v>0</v>
          </cell>
          <cell r="M145">
            <v>0</v>
          </cell>
          <cell r="N145">
            <v>0</v>
          </cell>
          <cell r="O145">
            <v>0</v>
          </cell>
          <cell r="P145">
            <v>0</v>
          </cell>
          <cell r="Q145">
            <v>0</v>
          </cell>
          <cell r="R145">
            <v>0</v>
          </cell>
          <cell r="S145">
            <v>0</v>
          </cell>
          <cell r="T145">
            <v>0</v>
          </cell>
          <cell r="AL145">
            <v>0.21666666666666656</v>
          </cell>
          <cell r="AM145">
            <v>0.20164609053497951</v>
          </cell>
          <cell r="AN145">
            <v>0.20987654320987659</v>
          </cell>
          <cell r="AO145">
            <v>1.379310344827589E-2</v>
          </cell>
          <cell r="AP145">
            <v>1.3698630136986356E-2</v>
          </cell>
          <cell r="AQ145">
            <v>1.3698630136986356E-2</v>
          </cell>
          <cell r="AR145">
            <v>6.8027210884353817E-3</v>
          </cell>
          <cell r="AS145">
            <v>6.8027210884353817E-3</v>
          </cell>
          <cell r="AT145">
            <v>0</v>
          </cell>
          <cell r="AU145">
            <v>1.0135135135135087E-2</v>
          </cell>
          <cell r="AV145">
            <v>1.0135135135135087E-2</v>
          </cell>
          <cell r="AW145">
            <v>1.0135135135135087E-2</v>
          </cell>
          <cell r="AX145">
            <v>2.7027027027026973E-2</v>
          </cell>
          <cell r="AY145">
            <v>1.6722408026755842E-2</v>
          </cell>
          <cell r="AZ145">
            <v>1.6722408026755842E-2</v>
          </cell>
          <cell r="BA145">
            <v>1.6722408026755842E-2</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cell r="BT145">
            <v>0</v>
          </cell>
          <cell r="BU145">
            <v>0</v>
          </cell>
        </row>
        <row r="146">
          <cell r="A146" t="str">
            <v>CAPEX</v>
          </cell>
        </row>
        <row r="147">
          <cell r="A147" t="str">
            <v>Cingular</v>
          </cell>
          <cell r="F147">
            <v>1883</v>
          </cell>
          <cell r="G147">
            <v>0</v>
          </cell>
          <cell r="H147">
            <v>0</v>
          </cell>
          <cell r="AH147">
            <v>466</v>
          </cell>
          <cell r="AI147">
            <v>783</v>
          </cell>
          <cell r="AJ147">
            <v>634</v>
          </cell>
        </row>
        <row r="148">
          <cell r="A148" t="str">
            <v>AT&amp;T Wireless</v>
          </cell>
          <cell r="F148">
            <v>2524</v>
          </cell>
          <cell r="G148">
            <v>0</v>
          </cell>
          <cell r="H148">
            <v>0</v>
          </cell>
          <cell r="AH148">
            <v>848</v>
          </cell>
          <cell r="AI148">
            <v>897</v>
          </cell>
          <cell r="AJ148">
            <v>779</v>
          </cell>
        </row>
        <row r="149">
          <cell r="A149" t="str">
            <v>Less: Synergies</v>
          </cell>
          <cell r="F149">
            <v>0</v>
          </cell>
          <cell r="G149">
            <v>0</v>
          </cell>
          <cell r="H149">
            <v>0</v>
          </cell>
        </row>
        <row r="150">
          <cell r="A150" t="str">
            <v xml:space="preserve">Total </v>
          </cell>
          <cell r="F150">
            <v>6322</v>
          </cell>
          <cell r="G150">
            <v>7475</v>
          </cell>
          <cell r="H150">
            <v>7039</v>
          </cell>
          <cell r="I150">
            <v>3840</v>
          </cell>
          <cell r="J150">
            <v>5913</v>
          </cell>
          <cell r="K150">
            <v>5907</v>
          </cell>
          <cell r="L150">
            <v>8861</v>
          </cell>
          <cell r="M150">
            <v>9759</v>
          </cell>
          <cell r="N150">
            <v>10365.55962335299</v>
          </cell>
          <cell r="O150">
            <v>12202.006373027765</v>
          </cell>
          <cell r="P150">
            <v>12533.975925207724</v>
          </cell>
          <cell r="Q150">
            <v>12777.642675401381</v>
          </cell>
          <cell r="R150">
            <v>9731.8869529573203</v>
          </cell>
          <cell r="S150">
            <v>9834.4674174769552</v>
          </cell>
          <cell r="T150">
            <v>9906.3327728733348</v>
          </cell>
          <cell r="V150">
            <v>401</v>
          </cell>
          <cell r="W150">
            <v>611</v>
          </cell>
          <cell r="X150">
            <v>710</v>
          </cell>
          <cell r="Y150">
            <v>1677</v>
          </cell>
          <cell r="Z150">
            <v>455</v>
          </cell>
          <cell r="AA150">
            <v>906</v>
          </cell>
          <cell r="AB150">
            <v>1267</v>
          </cell>
          <cell r="AC150">
            <v>1313</v>
          </cell>
          <cell r="AD150">
            <v>902</v>
          </cell>
          <cell r="AE150">
            <v>1129</v>
          </cell>
          <cell r="AF150">
            <v>1783</v>
          </cell>
          <cell r="AG150">
            <v>2313</v>
          </cell>
          <cell r="AH150">
            <v>1314</v>
          </cell>
          <cell r="AI150">
            <v>1886</v>
          </cell>
          <cell r="AJ150">
            <v>1424</v>
          </cell>
          <cell r="AK150">
            <v>1698</v>
          </cell>
          <cell r="AL150">
            <v>971</v>
          </cell>
          <cell r="AM150">
            <v>2188</v>
          </cell>
          <cell r="AN150">
            <v>1346</v>
          </cell>
          <cell r="AO150">
            <v>2970</v>
          </cell>
          <cell r="AP150">
            <v>1441</v>
          </cell>
          <cell r="AQ150">
            <v>1582</v>
          </cell>
          <cell r="AR150">
            <v>1828</v>
          </cell>
          <cell r="AS150">
            <v>2188</v>
          </cell>
          <cell r="AT150">
            <v>500</v>
          </cell>
          <cell r="AU150">
            <v>640</v>
          </cell>
          <cell r="AV150">
            <v>1100</v>
          </cell>
          <cell r="AW150">
            <v>1600</v>
          </cell>
          <cell r="AX150">
            <v>850</v>
          </cell>
          <cell r="AY150">
            <v>1544</v>
          </cell>
          <cell r="AZ150">
            <v>1640</v>
          </cell>
          <cell r="BA150">
            <v>1879</v>
          </cell>
          <cell r="BB150">
            <v>879</v>
          </cell>
          <cell r="BC150">
            <v>1340</v>
          </cell>
          <cell r="BD150">
            <v>1495</v>
          </cell>
          <cell r="BE150">
            <v>2193</v>
          </cell>
          <cell r="BF150">
            <v>1218</v>
          </cell>
          <cell r="BG150">
            <v>2174</v>
          </cell>
          <cell r="BH150">
            <v>2175</v>
          </cell>
          <cell r="BI150">
            <v>3294</v>
          </cell>
          <cell r="BJ150">
            <v>1870</v>
          </cell>
          <cell r="BK150">
            <v>2511</v>
          </cell>
          <cell r="BL150">
            <v>2520</v>
          </cell>
          <cell r="BM150">
            <v>2858</v>
          </cell>
          <cell r="BN150">
            <v>2334</v>
          </cell>
          <cell r="BO150">
            <v>2345</v>
          </cell>
          <cell r="BP150">
            <v>2709</v>
          </cell>
          <cell r="BQ150">
            <v>2977.5596233529909</v>
          </cell>
          <cell r="BR150">
            <v>3011.1721041866404</v>
          </cell>
          <cell r="BS150">
            <v>3048.8486519187591</v>
          </cell>
          <cell r="BT150">
            <v>3073.3015763477283</v>
          </cell>
          <cell r="BU150">
            <v>3068.6840405746361</v>
          </cell>
        </row>
        <row r="151">
          <cell r="A151" t="str">
            <v>% of service revenue</v>
          </cell>
          <cell r="F151">
            <v>0.21693775307116875</v>
          </cell>
          <cell r="G151">
            <v>0.24397806645342385</v>
          </cell>
          <cell r="H151">
            <v>0.20852589169332858</v>
          </cell>
          <cell r="I151">
            <v>9.9281245152282954E-2</v>
          </cell>
          <cell r="J151">
            <v>0.13363013853420416</v>
          </cell>
          <cell r="K151">
            <v>0.1216358132734798</v>
          </cell>
          <cell r="L151">
            <v>0.16559521584750514</v>
          </cell>
          <cell r="M151">
            <v>0.17203751366216549</v>
          </cell>
          <cell r="N151">
            <v>0.17531661762095413</v>
          </cell>
          <cell r="O151">
            <v>0.20000000000000004</v>
          </cell>
          <cell r="P151">
            <v>0.2</v>
          </cell>
          <cell r="Q151">
            <v>0.2</v>
          </cell>
          <cell r="R151">
            <v>0.15</v>
          </cell>
          <cell r="S151">
            <v>0.15</v>
          </cell>
          <cell r="T151">
            <v>0.15</v>
          </cell>
          <cell r="AH151">
            <v>0.1852530664034964</v>
          </cell>
          <cell r="AI151">
            <v>0.25308641975308643</v>
          </cell>
          <cell r="AJ151">
            <v>0.19240643156330225</v>
          </cell>
          <cell r="AK151">
            <v>0.23596442468037798</v>
          </cell>
          <cell r="AL151">
            <v>0.13088017252999057</v>
          </cell>
          <cell r="AM151">
            <v>0.28345640627024227</v>
          </cell>
          <cell r="AN151">
            <v>0.17432975003237922</v>
          </cell>
          <cell r="AO151">
            <v>0.38179714616274585</v>
          </cell>
          <cell r="AP151">
            <v>0.18001249219237977</v>
          </cell>
          <cell r="AQ151">
            <v>0.19071729957805908</v>
          </cell>
          <cell r="AR151">
            <v>0.2110610783974137</v>
          </cell>
          <cell r="AS151">
            <v>0.24877771461057419</v>
          </cell>
          <cell r="AT151">
            <v>5.499340079190497E-2</v>
          </cell>
          <cell r="AU151">
            <v>6.7085953878406712E-2</v>
          </cell>
          <cell r="AV151">
            <v>0.11156186612576065</v>
          </cell>
          <cell r="AW151">
            <v>0.15707834282348321</v>
          </cell>
          <cell r="AX151">
            <v>8.0150872230080147E-2</v>
          </cell>
          <cell r="AY151">
            <v>0.14172939232605103</v>
          </cell>
          <cell r="AZ151">
            <v>0.14607642290905851</v>
          </cell>
          <cell r="BA151">
            <v>0.16306517399982642</v>
          </cell>
          <cell r="BB151">
            <v>7.5476558475012875E-2</v>
          </cell>
          <cell r="BC151">
            <v>0.11204013377926421</v>
          </cell>
          <cell r="BD151">
            <v>0.12083737471710314</v>
          </cell>
          <cell r="BE151">
            <v>0.17425506555423123</v>
          </cell>
          <cell r="BF151">
            <v>9.4785992217898837E-2</v>
          </cell>
          <cell r="BG151">
            <v>0.16487183376308207</v>
          </cell>
          <cell r="BH151">
            <v>0.1590609916630101</v>
          </cell>
          <cell r="BI151">
            <v>0.23869565217391303</v>
          </cell>
          <cell r="BJ151">
            <v>0.13394455984528328</v>
          </cell>
          <cell r="BK151">
            <v>0.17736808645899554</v>
          </cell>
          <cell r="BL151">
            <v>0.1767057008624921</v>
          </cell>
          <cell r="BM151">
            <v>0.19920540879626403</v>
          </cell>
          <cell r="BN151">
            <v>0.1602361664149389</v>
          </cell>
          <cell r="BO151">
            <v>0.15882153741957331</v>
          </cell>
          <cell r="BP151">
            <v>0.18173889708842078</v>
          </cell>
          <cell r="BQ151">
            <v>0.2</v>
          </cell>
          <cell r="BR151">
            <v>0.2</v>
          </cell>
          <cell r="BS151">
            <v>0.2</v>
          </cell>
          <cell r="BT151">
            <v>0.2</v>
          </cell>
          <cell r="BU151">
            <v>0.2</v>
          </cell>
        </row>
        <row r="152">
          <cell r="A152" t="str">
            <v>% y/y growth</v>
          </cell>
          <cell r="G152">
            <v>0.12464549392370738</v>
          </cell>
          <cell r="H152">
            <v>-0.14530886024077572</v>
          </cell>
          <cell r="I152">
            <v>-0.45446796419946012</v>
          </cell>
          <cell r="J152">
            <v>0.53984374999999996</v>
          </cell>
          <cell r="K152">
            <v>-1.0147133434804667E-3</v>
          </cell>
          <cell r="L152">
            <v>0.50008464533604191</v>
          </cell>
          <cell r="M152">
            <v>0.10134296354813221</v>
          </cell>
          <cell r="N152">
            <v>6.2153870617172924E-2</v>
          </cell>
          <cell r="O152">
            <v>0.17716812371011481</v>
          </cell>
          <cell r="P152">
            <v>2.720614479547967E-2</v>
          </cell>
          <cell r="Q152">
            <v>1.9440499299476555E-2</v>
          </cell>
          <cell r="R152">
            <v>-0.23836601162024473</v>
          </cell>
          <cell r="S152">
            <v>1.0540655169495539E-2</v>
          </cell>
          <cell r="T152">
            <v>7.3074984486365402E-3</v>
          </cell>
          <cell r="AL152">
            <v>-0.26103500761035003</v>
          </cell>
          <cell r="AM152">
            <v>0.16012725344644752</v>
          </cell>
          <cell r="AN152">
            <v>-5.47752808988764E-2</v>
          </cell>
          <cell r="AO152">
            <v>0.74911660777385158</v>
          </cell>
          <cell r="AP152">
            <v>0.48403707518022654</v>
          </cell>
          <cell r="AQ152">
            <v>-0.27696526508226693</v>
          </cell>
          <cell r="AR152">
            <v>0.35809806835066871</v>
          </cell>
          <cell r="AS152">
            <v>-0.26329966329966326</v>
          </cell>
          <cell r="AT152">
            <v>-0.65301873698820256</v>
          </cell>
          <cell r="AU152">
            <v>-0.59544879898862202</v>
          </cell>
          <cell r="AV152">
            <v>-0.39824945295404812</v>
          </cell>
          <cell r="AW152">
            <v>-0.26873857404021939</v>
          </cell>
          <cell r="AX152">
            <v>0.7</v>
          </cell>
          <cell r="AY152">
            <v>1.4125000000000001</v>
          </cell>
          <cell r="AZ152">
            <v>0.49090909090909096</v>
          </cell>
          <cell r="BA152">
            <v>0.17437499999999995</v>
          </cell>
          <cell r="BB152">
            <v>3.4117647058823586E-2</v>
          </cell>
          <cell r="BC152">
            <v>-0.13212435233160624</v>
          </cell>
          <cell r="BD152">
            <v>-8.8414634146341431E-2</v>
          </cell>
          <cell r="BE152">
            <v>0.1671101649813731</v>
          </cell>
          <cell r="BF152">
            <v>0.38566552901023887</v>
          </cell>
          <cell r="BG152">
            <v>0.62238805970149258</v>
          </cell>
          <cell r="BH152">
            <v>0.45484949832775912</v>
          </cell>
          <cell r="BI152">
            <v>0.50205198358413128</v>
          </cell>
          <cell r="BJ152">
            <v>0.53530377668308704</v>
          </cell>
          <cell r="BK152">
            <v>0.15501379944802207</v>
          </cell>
          <cell r="BL152">
            <v>0.15862068965517251</v>
          </cell>
          <cell r="BM152">
            <v>-0.13236187006678812</v>
          </cell>
          <cell r="BN152">
            <v>0.24812834224598923</v>
          </cell>
          <cell r="BO152">
            <v>-6.610911987256074E-2</v>
          </cell>
          <cell r="BP152">
            <v>7.4999999999999956E-2</v>
          </cell>
          <cell r="BQ152">
            <v>4.1833318178093437E-2</v>
          </cell>
          <cell r="BR152">
            <v>0.29013372073120847</v>
          </cell>
          <cell r="BS152">
            <v>0.30014867885661367</v>
          </cell>
          <cell r="BT152">
            <v>0.13447824892865579</v>
          </cell>
          <cell r="BU152">
            <v>3.0603725449175556E-2</v>
          </cell>
        </row>
        <row r="154">
          <cell r="A154" t="str">
            <v>REVENUE FORECAST</v>
          </cell>
        </row>
        <row r="155">
          <cell r="A155" t="str">
            <v>Total service revenues</v>
          </cell>
          <cell r="F155">
            <v>29142</v>
          </cell>
          <cell r="G155">
            <v>30638</v>
          </cell>
          <cell r="H155">
            <v>33756</v>
          </cell>
          <cell r="I155">
            <v>38678</v>
          </cell>
          <cell r="J155">
            <v>44249</v>
          </cell>
          <cell r="K155">
            <v>48563</v>
          </cell>
          <cell r="L155">
            <v>53510</v>
          </cell>
          <cell r="M155">
            <v>56726</v>
          </cell>
          <cell r="N155">
            <v>59124.798116764956</v>
          </cell>
          <cell r="O155">
            <v>61010.031865138815</v>
          </cell>
          <cell r="P155">
            <v>62669.879626038615</v>
          </cell>
          <cell r="Q155">
            <v>63888.213377006876</v>
          </cell>
          <cell r="R155">
            <v>64879.246353048555</v>
          </cell>
          <cell r="S155">
            <v>65563.116116511068</v>
          </cell>
          <cell r="T155">
            <v>66042.218485809659</v>
          </cell>
          <cell r="AH155">
            <v>7093</v>
          </cell>
          <cell r="AI155">
            <v>7452</v>
          </cell>
          <cell r="AJ155">
            <v>7401</v>
          </cell>
          <cell r="AK155">
            <v>7196</v>
          </cell>
          <cell r="AL155">
            <v>7419</v>
          </cell>
          <cell r="AM155">
            <v>7719</v>
          </cell>
          <cell r="AN155">
            <v>7721</v>
          </cell>
          <cell r="AO155">
            <v>7779</v>
          </cell>
          <cell r="AP155">
            <v>8005</v>
          </cell>
          <cell r="AQ155">
            <v>8295</v>
          </cell>
          <cell r="AR155">
            <v>8661</v>
          </cell>
          <cell r="AS155">
            <v>8795</v>
          </cell>
          <cell r="AT155">
            <v>9092</v>
          </cell>
          <cell r="AU155">
            <v>9540</v>
          </cell>
          <cell r="AV155">
            <v>9860</v>
          </cell>
          <cell r="AW155">
            <v>10186</v>
          </cell>
          <cell r="AX155">
            <v>10605</v>
          </cell>
          <cell r="AY155">
            <v>10894</v>
          </cell>
          <cell r="AZ155">
            <v>11227</v>
          </cell>
          <cell r="BA155">
            <v>11523</v>
          </cell>
          <cell r="BB155">
            <v>11646</v>
          </cell>
          <cell r="BC155">
            <v>11960</v>
          </cell>
          <cell r="BD155">
            <v>12372</v>
          </cell>
          <cell r="BE155">
            <v>12585</v>
          </cell>
          <cell r="BF155">
            <v>12850</v>
          </cell>
          <cell r="BG155">
            <v>13186</v>
          </cell>
          <cell r="BH155">
            <v>13674</v>
          </cell>
          <cell r="BI155">
            <v>13800</v>
          </cell>
          <cell r="BJ155">
            <v>13961</v>
          </cell>
          <cell r="BK155">
            <v>14157</v>
          </cell>
          <cell r="BL155">
            <v>14261</v>
          </cell>
          <cell r="BM155">
            <v>14347</v>
          </cell>
          <cell r="BN155">
            <v>14566</v>
          </cell>
          <cell r="BO155">
            <v>14765</v>
          </cell>
          <cell r="BP155">
            <v>14906</v>
          </cell>
          <cell r="BQ155">
            <v>14887.798116764954</v>
          </cell>
          <cell r="BR155">
            <v>15055.8605209332</v>
          </cell>
          <cell r="BS155">
            <v>15244.243259593793</v>
          </cell>
          <cell r="BT155">
            <v>15366.507881738638</v>
          </cell>
          <cell r="BU155">
            <v>15343.42020287318</v>
          </cell>
        </row>
        <row r="156">
          <cell r="A156" t="str">
            <v>% growth</v>
          </cell>
          <cell r="G156">
            <v>5.133484318166226E-2</v>
          </cell>
          <cell r="H156">
            <v>0.10176904497682626</v>
          </cell>
          <cell r="I156">
            <v>0.14581111506102618</v>
          </cell>
          <cell r="J156">
            <v>0.1440353689435856</v>
          </cell>
          <cell r="K156">
            <v>9.7493728671834479E-2</v>
          </cell>
          <cell r="L156">
            <v>0.1018676770380742</v>
          </cell>
          <cell r="M156">
            <v>6.0100915716688519E-2</v>
          </cell>
          <cell r="N156">
            <v>4.2287454020466075E-2</v>
          </cell>
          <cell r="O156">
            <v>3.1885669100311098E-2</v>
          </cell>
          <cell r="P156">
            <v>2.720614479547967E-2</v>
          </cell>
          <cell r="Q156">
            <v>1.9440499299476111E-2</v>
          </cell>
          <cell r="R156">
            <v>1.5511984506336951E-2</v>
          </cell>
          <cell r="S156">
            <v>1.0540655169468893E-2</v>
          </cell>
          <cell r="T156">
            <v>7.3074984484748917E-3</v>
          </cell>
          <cell r="AH156">
            <v>2.4851900014448702E-2</v>
          </cell>
          <cell r="AI156">
            <v>1.8311013938234533E-2</v>
          </cell>
          <cell r="AJ156">
            <v>-1.4382740711146647E-2</v>
          </cell>
          <cell r="AK156">
            <v>-4.9778761061947119E-3</v>
          </cell>
          <cell r="AL156">
            <v>4.5960806428873457E-2</v>
          </cell>
          <cell r="AM156">
            <v>3.582930756843794E-2</v>
          </cell>
          <cell r="AN156">
            <v>4.3237400351303856E-2</v>
          </cell>
          <cell r="AO156">
            <v>8.1017231795441846E-2</v>
          </cell>
          <cell r="AP156">
            <v>7.8986386305432088E-2</v>
          </cell>
          <cell r="AQ156">
            <v>7.4621064904780487E-2</v>
          </cell>
          <cell r="AR156">
            <v>0.12174588783836282</v>
          </cell>
          <cell r="AS156">
            <v>0.13060804730685183</v>
          </cell>
          <cell r="AT156">
            <v>0.13579013116802008</v>
          </cell>
          <cell r="AU156">
            <v>0.15009041591320083</v>
          </cell>
          <cell r="AV156">
            <v>0.13843667013047001</v>
          </cell>
          <cell r="AW156">
            <v>0.15815804434337699</v>
          </cell>
          <cell r="AX156">
            <v>0.16641003079630434</v>
          </cell>
          <cell r="AY156">
            <v>0.14192872117400412</v>
          </cell>
          <cell r="AZ156">
            <v>0.13864097363083161</v>
          </cell>
          <cell r="BA156">
            <v>0.13125859022187325</v>
          </cell>
          <cell r="BB156">
            <v>9.8161244695898153E-2</v>
          </cell>
          <cell r="BC156">
            <v>9.7852028639618061E-2</v>
          </cell>
          <cell r="BD156">
            <v>0.10198628306760482</v>
          </cell>
          <cell r="BE156">
            <v>9.2163499088778966E-2</v>
          </cell>
          <cell r="BF156">
            <v>0.10338313584063208</v>
          </cell>
          <cell r="BG156">
            <v>0.10250836120401341</v>
          </cell>
          <cell r="BH156">
            <v>0.10523763336566438</v>
          </cell>
          <cell r="BI156">
            <v>9.6543504171632932E-2</v>
          </cell>
          <cell r="BJ156">
            <v>8.6459143968871555E-2</v>
          </cell>
          <cell r="BK156">
            <v>7.3638707720309338E-2</v>
          </cell>
          <cell r="BL156">
            <v>4.2928184876407816E-2</v>
          </cell>
          <cell r="BM156">
            <v>3.9637681159420346E-2</v>
          </cell>
          <cell r="BN156">
            <v>4.3335004655826959E-2</v>
          </cell>
          <cell r="BO156">
            <v>4.2946952037861141E-2</v>
          </cell>
          <cell r="BP156">
            <v>4.5228244863614098E-2</v>
          </cell>
          <cell r="BQ156">
            <v>3.7694160226176443E-2</v>
          </cell>
          <cell r="BR156">
            <v>3.3630407863050937E-2</v>
          </cell>
          <cell r="BS156">
            <v>3.2458060250172283E-2</v>
          </cell>
          <cell r="BT156">
            <v>3.0894128655483577E-2</v>
          </cell>
          <cell r="BU156">
            <v>3.0603725449175334E-2</v>
          </cell>
        </row>
        <row r="157">
          <cell r="A157" t="str">
            <v>% total revenues</v>
          </cell>
          <cell r="F157">
            <v>0.90200569518385543</v>
          </cell>
          <cell r="G157">
            <v>0.88978596114192776</v>
          </cell>
          <cell r="H157">
            <v>0.9000159974404095</v>
          </cell>
          <cell r="I157">
            <v>0.9061475025770781</v>
          </cell>
          <cell r="J157">
            <v>0.89984544678081912</v>
          </cell>
          <cell r="K157">
            <v>0.90765176435406703</v>
          </cell>
          <cell r="L157">
            <v>0.91468521905608446</v>
          </cell>
          <cell r="M157">
            <v>0.89735031242584828</v>
          </cell>
          <cell r="N157">
            <v>0.89162691042027842</v>
          </cell>
          <cell r="O157">
            <v>0.89096403197232188</v>
          </cell>
          <cell r="P157">
            <v>0.8904377360457425</v>
          </cell>
          <cell r="Q157">
            <v>0.88883386383375484</v>
          </cell>
          <cell r="R157">
            <v>0.8887570117332162</v>
          </cell>
          <cell r="S157">
            <v>0.88780985967347359</v>
          </cell>
          <cell r="T157">
            <v>0.88680549895766947</v>
          </cell>
          <cell r="AH157">
            <v>0.90761356365962886</v>
          </cell>
          <cell r="AI157">
            <v>0.91245255295702221</v>
          </cell>
          <cell r="AJ157">
            <v>0.89839766933721776</v>
          </cell>
          <cell r="AK157">
            <v>0.88971315529179029</v>
          </cell>
          <cell r="AL157">
            <v>0.90156762668611012</v>
          </cell>
          <cell r="AM157">
            <v>0.89661981647113487</v>
          </cell>
          <cell r="AN157">
            <v>0.88280356734507204</v>
          </cell>
          <cell r="AO157">
            <v>0.87908238219007795</v>
          </cell>
          <cell r="AP157">
            <v>0.89142538975501118</v>
          </cell>
          <cell r="AQ157">
            <v>0.89986981991755266</v>
          </cell>
          <cell r="AR157">
            <v>0.90662619072542661</v>
          </cell>
          <cell r="AS157">
            <v>0.90158892875448493</v>
          </cell>
          <cell r="AT157">
            <v>0.90947284185255572</v>
          </cell>
          <cell r="AU157">
            <v>0.91774891774891776</v>
          </cell>
          <cell r="AV157">
            <v>0.90152692694523173</v>
          </cell>
          <cell r="AW157">
            <v>0.8970497578159401</v>
          </cell>
          <cell r="AX157">
            <v>0.89987271955876114</v>
          </cell>
          <cell r="AY157">
            <v>0.90965263861055445</v>
          </cell>
          <cell r="AZ157">
            <v>0.89301622653515744</v>
          </cell>
          <cell r="BA157">
            <v>0.89736001869013315</v>
          </cell>
          <cell r="BB157">
            <v>0.90715064651814925</v>
          </cell>
          <cell r="BC157">
            <v>0.90455301769777641</v>
          </cell>
          <cell r="BD157">
            <v>0.90790342701988702</v>
          </cell>
          <cell r="BE157">
            <v>0.91083447926467398</v>
          </cell>
          <cell r="BF157">
            <v>0.92465999856084047</v>
          </cell>
          <cell r="BG157">
            <v>0.92585311051818564</v>
          </cell>
          <cell r="BH157">
            <v>0.90084985835694054</v>
          </cell>
          <cell r="BI157">
            <v>0.90891128235526575</v>
          </cell>
          <cell r="BJ157">
            <v>0.91188765512736769</v>
          </cell>
          <cell r="BK157">
            <v>0.90732551432416841</v>
          </cell>
          <cell r="BL157">
            <v>0.91381519928232735</v>
          </cell>
          <cell r="BM157">
            <v>0.85930761859127935</v>
          </cell>
          <cell r="BN157">
            <v>0.90270203272186411</v>
          </cell>
          <cell r="BO157">
            <v>0.90289243563872068</v>
          </cell>
          <cell r="BP157">
            <v>0.89622414622414626</v>
          </cell>
          <cell r="BQ157">
            <v>0.86606606577773493</v>
          </cell>
          <cell r="BR157">
            <v>0.90193241608522634</v>
          </cell>
          <cell r="BS157">
            <v>0.90135634237509166</v>
          </cell>
          <cell r="BT157">
            <v>0.89089542707374558</v>
          </cell>
          <cell r="BU157">
            <v>0.87066784646143169</v>
          </cell>
        </row>
        <row r="159">
          <cell r="A159" t="str">
            <v>Postpaid service revenue</v>
          </cell>
          <cell r="J159">
            <v>40520.918940000003</v>
          </cell>
          <cell r="K159">
            <v>45126.188759999997</v>
          </cell>
          <cell r="L159">
            <v>49946.838795000011</v>
          </cell>
          <cell r="M159">
            <v>52286.690895</v>
          </cell>
          <cell r="N159">
            <v>54261.89565506058</v>
          </cell>
          <cell r="O159">
            <v>55996.115577380915</v>
          </cell>
          <cell r="P159">
            <v>57475.767269352662</v>
          </cell>
          <cell r="Q159">
            <v>58529.202814580982</v>
          </cell>
          <cell r="R159">
            <v>59376.936001243143</v>
          </cell>
          <cell r="S159">
            <v>59935.549499190536</v>
          </cell>
          <cell r="T159">
            <v>60312.640711394983</v>
          </cell>
          <cell r="AX159">
            <v>9702.6495300000006</v>
          </cell>
          <cell r="AY159">
            <v>9974.1088500000005</v>
          </cell>
          <cell r="AZ159">
            <v>10232.291159999999</v>
          </cell>
          <cell r="BA159">
            <v>10611.869400000001</v>
          </cell>
          <cell r="BB159">
            <v>10735.793099999999</v>
          </cell>
          <cell r="BC159">
            <v>11099.01288</v>
          </cell>
          <cell r="BD159">
            <v>11515.64832</v>
          </cell>
          <cell r="BE159">
            <v>11775.73446</v>
          </cell>
          <cell r="BF159">
            <v>12043.948725000002</v>
          </cell>
          <cell r="BG159">
            <v>12408.067710000001</v>
          </cell>
          <cell r="BH159">
            <v>12692.863079999999</v>
          </cell>
          <cell r="BI159">
            <v>12801.959280000001</v>
          </cell>
          <cell r="BJ159">
            <v>12941.353755000002</v>
          </cell>
          <cell r="BK159">
            <v>13069.239074999998</v>
          </cell>
          <cell r="BL159">
            <v>13085.142345</v>
          </cell>
          <cell r="BM159">
            <v>13190.95572</v>
          </cell>
          <cell r="BN159">
            <v>13412.063279999998</v>
          </cell>
          <cell r="BO159">
            <v>13544.625255000001</v>
          </cell>
          <cell r="BP159">
            <v>13634.591400000003</v>
          </cell>
          <cell r="BQ159">
            <v>13670.615720060576</v>
          </cell>
          <cell r="BR159">
            <v>13845.957696486079</v>
          </cell>
          <cell r="BS159">
            <v>13977.334886467217</v>
          </cell>
          <cell r="BT159">
            <v>14064.695833338674</v>
          </cell>
          <cell r="BU159">
            <v>14108.127161088942</v>
          </cell>
        </row>
        <row r="160">
          <cell r="A160" t="str">
            <v>% growth</v>
          </cell>
          <cell r="K160">
            <v>0.11365166290574735</v>
          </cell>
          <cell r="L160">
            <v>0.10682599544664084</v>
          </cell>
          <cell r="M160">
            <v>4.6846850700673848E-2</v>
          </cell>
          <cell r="N160">
            <v>3.7776434619416044E-2</v>
          </cell>
          <cell r="O160">
            <v>3.1960179447925396E-2</v>
          </cell>
          <cell r="P160">
            <v>2.6424184547712448E-2</v>
          </cell>
          <cell r="Q160">
            <v>1.8328342452420543E-2</v>
          </cell>
          <cell r="R160">
            <v>1.4483935298892803E-2</v>
          </cell>
          <cell r="S160">
            <v>9.4079205760246865E-3</v>
          </cell>
          <cell r="T160">
            <v>6.2916118289619849E-3</v>
          </cell>
          <cell r="BB160">
            <v>0.10648056150081286</v>
          </cell>
          <cell r="BC160">
            <v>0.11278240962850528</v>
          </cell>
          <cell r="BD160">
            <v>0.12542226759700625</v>
          </cell>
          <cell r="BE160">
            <v>0.10967578059337946</v>
          </cell>
          <cell r="BF160">
            <v>0.12184992881429535</v>
          </cell>
          <cell r="BG160">
            <v>0.11794335623836139</v>
          </cell>
          <cell r="BH160">
            <v>0.10222739764946209</v>
          </cell>
          <cell r="BI160">
            <v>8.7147415177023291E-2</v>
          </cell>
          <cell r="BJ160">
            <v>7.4510864376002184E-2</v>
          </cell>
          <cell r="BK160">
            <v>5.3285602597666459E-2</v>
          </cell>
          <cell r="BL160">
            <v>3.0905498824619793E-2</v>
          </cell>
          <cell r="BM160">
            <v>3.0385695774529875E-2</v>
          </cell>
          <cell r="BN160">
            <v>3.6372510473885677E-2</v>
          </cell>
          <cell r="BO160">
            <v>3.6374434446559745E-2</v>
          </cell>
          <cell r="BP160">
            <v>4.1990300182707108E-2</v>
          </cell>
          <cell r="BQ160">
            <v>3.6362793586921072E-2</v>
          </cell>
          <cell r="BR160">
            <v>3.2351056465197425E-2</v>
          </cell>
          <cell r="BS160">
            <v>3.1946962231936382E-2</v>
          </cell>
          <cell r="BT160">
            <v>3.1545091504441514E-2</v>
          </cell>
          <cell r="BU160">
            <v>3.2003784612740782E-2</v>
          </cell>
        </row>
        <row r="161">
          <cell r="A161" t="str">
            <v>% total service revenues</v>
          </cell>
          <cell r="J161">
            <v>0.91574767655766243</v>
          </cell>
          <cell r="K161">
            <v>0.92922984082531968</v>
          </cell>
          <cell r="L161">
            <v>0.9334113024668288</v>
          </cell>
          <cell r="M161">
            <v>0.92174119266297638</v>
          </cell>
          <cell r="N161">
            <v>0.91775189740012841</v>
          </cell>
          <cell r="O161">
            <v>0.91781816638219371</v>
          </cell>
          <cell r="P161">
            <v>0.91711947768720692</v>
          </cell>
          <cell r="Q161">
            <v>0.91611894778146075</v>
          </cell>
          <cell r="R161">
            <v>0.91519151868898263</v>
          </cell>
          <cell r="S161">
            <v>0.91416566278942746</v>
          </cell>
          <cell r="T161">
            <v>0.91324371128377857</v>
          </cell>
          <cell r="AX161">
            <v>0.91491273267326734</v>
          </cell>
          <cell r="AY161">
            <v>0.91555983568937038</v>
          </cell>
          <cell r="AZ161">
            <v>0.91140029927852484</v>
          </cell>
          <cell r="BA161">
            <v>0.92092939338713886</v>
          </cell>
          <cell r="BB161">
            <v>0.92184381761978351</v>
          </cell>
          <cell r="BC161">
            <v>0.92801111036789297</v>
          </cell>
          <cell r="BD161">
            <v>0.93078308438409318</v>
          </cell>
          <cell r="BE161">
            <v>0.93569602383790229</v>
          </cell>
          <cell r="BF161">
            <v>0.93727227431906635</v>
          </cell>
          <cell r="BG161">
            <v>0.94100316320339761</v>
          </cell>
          <cell r="BH161">
            <v>0.92824799473453268</v>
          </cell>
          <cell r="BI161">
            <v>0.92767820869565221</v>
          </cell>
          <cell r="BJ161">
            <v>0.92696466979442749</v>
          </cell>
          <cell r="BK161">
            <v>0.92316444691671951</v>
          </cell>
          <cell r="BL161">
            <v>0.91754732101535663</v>
          </cell>
          <cell r="BM161">
            <v>0.91942257754234336</v>
          </cell>
          <cell r="BN161">
            <v>0.92077875051489755</v>
          </cell>
          <cell r="BO161">
            <v>0.91734678327124963</v>
          </cell>
          <cell r="BP161">
            <v>0.91470491077418514</v>
          </cell>
          <cell r="BQ161">
            <v>0.91824295391715949</v>
          </cell>
          <cell r="BR161">
            <v>0.91963907856579108</v>
          </cell>
          <cell r="BS161">
            <v>0.91689266882242504</v>
          </cell>
          <cell r="BT161">
            <v>0.91528250540599265</v>
          </cell>
          <cell r="BU161">
            <v>0.91949037271670897</v>
          </cell>
        </row>
        <row r="162">
          <cell r="A162" t="str">
            <v>Prepaid/Reseller/Connected</v>
          </cell>
          <cell r="J162">
            <v>3728.0810599999986</v>
          </cell>
          <cell r="K162">
            <v>3436.8112400000009</v>
          </cell>
          <cell r="L162">
            <v>3563.1612049999967</v>
          </cell>
          <cell r="M162">
            <v>4439.3091050000003</v>
          </cell>
          <cell r="N162">
            <v>4862.9024617043769</v>
          </cell>
          <cell r="O162">
            <v>5013.916287757902</v>
          </cell>
          <cell r="P162">
            <v>5194.1123566859478</v>
          </cell>
          <cell r="Q162">
            <v>5359.0105624258795</v>
          </cell>
          <cell r="R162">
            <v>5502.3103518053831</v>
          </cell>
          <cell r="S162">
            <v>5627.5666173204945</v>
          </cell>
          <cell r="T162">
            <v>5729.5777744146326</v>
          </cell>
          <cell r="AX162">
            <v>902.3504699999994</v>
          </cell>
          <cell r="AY162">
            <v>919.89114999999947</v>
          </cell>
          <cell r="AZ162">
            <v>994.70884000000115</v>
          </cell>
          <cell r="BA162">
            <v>911.13059999999859</v>
          </cell>
          <cell r="BB162">
            <v>910.20690000000104</v>
          </cell>
          <cell r="BC162">
            <v>860.98711999999978</v>
          </cell>
          <cell r="BD162">
            <v>856.35167999999976</v>
          </cell>
          <cell r="BE162">
            <v>809.26554000000033</v>
          </cell>
          <cell r="BF162">
            <v>806.05127499999799</v>
          </cell>
          <cell r="BG162">
            <v>777.93228999999883</v>
          </cell>
          <cell r="BH162">
            <v>981.13692000000083</v>
          </cell>
          <cell r="BI162">
            <v>998.04071999999906</v>
          </cell>
          <cell r="BJ162">
            <v>1019.6462449999981</v>
          </cell>
          <cell r="BK162">
            <v>1087.7609250000023</v>
          </cell>
          <cell r="BL162">
            <v>1175.8576549999998</v>
          </cell>
          <cell r="BM162">
            <v>1156.0442800000001</v>
          </cell>
          <cell r="BN162">
            <v>1153.9367200000015</v>
          </cell>
          <cell r="BO162">
            <v>1220.3747449999992</v>
          </cell>
          <cell r="BP162">
            <v>1271.408599999997</v>
          </cell>
          <cell r="BQ162">
            <v>1217.182396704379</v>
          </cell>
          <cell r="BR162">
            <v>1209.9028244471215</v>
          </cell>
          <cell r="BS162">
            <v>1266.9083731265773</v>
          </cell>
          <cell r="BT162">
            <v>1301.8120483999651</v>
          </cell>
          <cell r="BU162">
            <v>1235.2930417842381</v>
          </cell>
        </row>
        <row r="163">
          <cell r="A163" t="str">
            <v>% growth</v>
          </cell>
          <cell r="K163">
            <v>-7.8128617729142924E-2</v>
          </cell>
          <cell r="L163">
            <v>3.6763719674053341E-2</v>
          </cell>
          <cell r="M163">
            <v>0.24589061498832865</v>
          </cell>
          <cell r="N163">
            <v>9.5418756992452503E-2</v>
          </cell>
          <cell r="O163">
            <v>3.1054257666643936E-2</v>
          </cell>
          <cell r="P163">
            <v>3.5939185775402116E-2</v>
          </cell>
          <cell r="Q163">
            <v>3.1747138763309923E-2</v>
          </cell>
          <cell r="R163">
            <v>2.6739971438801469E-2</v>
          </cell>
          <cell r="S163">
            <v>2.2764303993505708E-2</v>
          </cell>
          <cell r="T163">
            <v>1.8127045671955111E-2</v>
          </cell>
          <cell r="BB163">
            <v>8.7066281463805684E-3</v>
          </cell>
          <cell r="BC163">
            <v>-6.4033695725847273E-2</v>
          </cell>
          <cell r="BD163">
            <v>-0.13909312397384666</v>
          </cell>
          <cell r="BE163">
            <v>-0.11180072318940715</v>
          </cell>
          <cell r="BF163">
            <v>-0.11443071350041722</v>
          </cell>
          <cell r="BG163">
            <v>-9.6464660237891797E-2</v>
          </cell>
          <cell r="BH163">
            <v>0.14571728288079155</v>
          </cell>
          <cell r="BI163">
            <v>0.23326729073376673</v>
          </cell>
          <cell r="BJ163">
            <v>0.26498930852755076</v>
          </cell>
          <cell r="BK163">
            <v>0.39827198199987812</v>
          </cell>
          <cell r="BL163">
            <v>0.19846438456316462</v>
          </cell>
          <cell r="BM163">
            <v>0.15831374094636264</v>
          </cell>
          <cell r="BN163">
            <v>0.13170300548697034</v>
          </cell>
          <cell r="BO163">
            <v>0.12191449145867828</v>
          </cell>
          <cell r="BP163">
            <v>8.126063949466511E-2</v>
          </cell>
          <cell r="BQ163">
            <v>5.2885618450859706E-2</v>
          </cell>
          <cell r="BR163">
            <v>4.8500150378367302E-2</v>
          </cell>
          <cell r="BS163">
            <v>3.813060563341808E-2</v>
          </cell>
          <cell r="BT163">
            <v>2.3913200209569219E-2</v>
          </cell>
          <cell r="BU163">
            <v>1.487915461881073E-2</v>
          </cell>
        </row>
        <row r="164">
          <cell r="A164" t="str">
            <v>% total service revenues</v>
          </cell>
          <cell r="J164">
            <v>8.4252323442337643E-2</v>
          </cell>
          <cell r="K164">
            <v>7.0770159174680325E-2</v>
          </cell>
          <cell r="L164">
            <v>6.6588697533171315E-2</v>
          </cell>
          <cell r="M164">
            <v>7.8258807337023589E-2</v>
          </cell>
          <cell r="N164">
            <v>8.2248102599871559E-2</v>
          </cell>
          <cell r="O164">
            <v>8.2181833617806357E-2</v>
          </cell>
          <cell r="P164">
            <v>8.2880522312793053E-2</v>
          </cell>
          <cell r="Q164">
            <v>8.3881052218539059E-2</v>
          </cell>
          <cell r="R164">
            <v>8.4808481311016953E-2</v>
          </cell>
          <cell r="S164">
            <v>8.5834337210571932E-2</v>
          </cell>
          <cell r="T164">
            <v>8.6756288716220736E-2</v>
          </cell>
          <cell r="AX164">
            <v>8.5087267326732621E-2</v>
          </cell>
          <cell r="AY164">
            <v>8.4440164310629659E-2</v>
          </cell>
          <cell r="AZ164">
            <v>8.8599700721475119E-2</v>
          </cell>
          <cell r="BA164">
            <v>7.9070606612861111E-2</v>
          </cell>
          <cell r="BB164">
            <v>7.8156182380216474E-2</v>
          </cell>
          <cell r="BC164">
            <v>7.1988889632107006E-2</v>
          </cell>
          <cell r="BD164">
            <v>6.9216915615906871E-2</v>
          </cell>
          <cell r="BE164">
            <v>6.4303976162097765E-2</v>
          </cell>
          <cell r="BF164">
            <v>6.2727725680933696E-2</v>
          </cell>
          <cell r="BG164">
            <v>5.8996836796602371E-2</v>
          </cell>
          <cell r="BH164">
            <v>7.1752005265467364E-2</v>
          </cell>
          <cell r="BI164">
            <v>7.2321791304347752E-2</v>
          </cell>
          <cell r="BJ164">
            <v>7.3035330205572527E-2</v>
          </cell>
          <cell r="BK164">
            <v>7.6835553083280522E-2</v>
          </cell>
          <cell r="BL164">
            <v>8.2452678984643424E-2</v>
          </cell>
          <cell r="BM164">
            <v>8.0577422457656658E-2</v>
          </cell>
          <cell r="BN164">
            <v>7.9221249485102396E-2</v>
          </cell>
          <cell r="BO164">
            <v>8.2653216728750367E-2</v>
          </cell>
          <cell r="BP164">
            <v>8.5295089225814913E-2</v>
          </cell>
          <cell r="BQ164">
            <v>8.175704608284054E-2</v>
          </cell>
          <cell r="BR164">
            <v>8.0360921434208976E-2</v>
          </cell>
          <cell r="BS164">
            <v>8.3107331177575031E-2</v>
          </cell>
          <cell r="BT164">
            <v>8.4717494594007389E-2</v>
          </cell>
          <cell r="BU164">
            <v>8.0509627283291085E-2</v>
          </cell>
        </row>
        <row r="165">
          <cell r="A165" t="str">
            <v>Blended ARPU</v>
          </cell>
          <cell r="F165">
            <v>51.431112805362304</v>
          </cell>
          <cell r="G165">
            <v>49.616033632279731</v>
          </cell>
          <cell r="H165">
            <v>48.876687574930934</v>
          </cell>
          <cell r="I165">
            <v>49.203393021610914</v>
          </cell>
          <cell r="J165">
            <v>50.148124474424442</v>
          </cell>
          <cell r="K165">
            <v>49.92218130829977</v>
          </cell>
          <cell r="L165">
            <v>49.366383255099933</v>
          </cell>
          <cell r="M165">
            <v>47.561075812988712</v>
          </cell>
          <cell r="N165">
            <v>46.792786129489492</v>
          </cell>
          <cell r="O165">
            <v>46.727269200436645</v>
          </cell>
          <cell r="P165">
            <v>46.869473031369161</v>
          </cell>
          <cell r="Q165">
            <v>46.853794512962423</v>
          </cell>
          <cell r="R165">
            <v>46.787113711454069</v>
          </cell>
          <cell r="S165">
            <v>46.64185462440885</v>
          </cell>
          <cell r="T165">
            <v>46.512061418929619</v>
          </cell>
          <cell r="Z165">
            <v>54.899249877585611</v>
          </cell>
          <cell r="AA165">
            <v>56.82099430752158</v>
          </cell>
          <cell r="AB165">
            <v>57.606144655429915</v>
          </cell>
          <cell r="AC165">
            <v>56.077038291732343</v>
          </cell>
          <cell r="AD165">
            <v>53.53</v>
          </cell>
          <cell r="AE165">
            <v>55.57</v>
          </cell>
          <cell r="AF165">
            <v>55.74</v>
          </cell>
          <cell r="AG165">
            <v>52.89</v>
          </cell>
          <cell r="AH165">
            <v>51.26</v>
          </cell>
          <cell r="AI165">
            <v>53.42</v>
          </cell>
          <cell r="AJ165">
            <v>52.38</v>
          </cell>
          <cell r="AK165">
            <v>49.97</v>
          </cell>
          <cell r="AL165">
            <v>49.59</v>
          </cell>
          <cell r="AM165">
            <v>50.56</v>
          </cell>
          <cell r="AN165">
            <v>49.7</v>
          </cell>
          <cell r="AO165">
            <v>48.93</v>
          </cell>
          <cell r="AP165">
            <v>48.53</v>
          </cell>
          <cell r="AQ165">
            <v>48.89</v>
          </cell>
          <cell r="AR165">
            <v>49.81</v>
          </cell>
          <cell r="AS165">
            <v>49.33</v>
          </cell>
          <cell r="AT165">
            <v>49.21</v>
          </cell>
          <cell r="AU165">
            <v>50.63</v>
          </cell>
          <cell r="AV165">
            <v>50.82</v>
          </cell>
          <cell r="AW165">
            <v>50.28</v>
          </cell>
          <cell r="AX165">
            <v>49.99</v>
          </cell>
          <cell r="AY165">
            <v>50.34</v>
          </cell>
          <cell r="AZ165">
            <v>50.59</v>
          </cell>
          <cell r="BA165">
            <v>50.74</v>
          </cell>
          <cell r="BB165">
            <v>50.02</v>
          </cell>
          <cell r="BC165">
            <v>50.6</v>
          </cell>
          <cell r="BD165">
            <v>51.1</v>
          </cell>
          <cell r="BE165">
            <v>50.6</v>
          </cell>
          <cell r="BF165">
            <v>49.81</v>
          </cell>
          <cell r="BG165">
            <v>50.02</v>
          </cell>
          <cell r="BH165">
            <v>49.91</v>
          </cell>
          <cell r="BI165">
            <v>48.980000000000004</v>
          </cell>
          <cell r="BJ165">
            <v>48.15</v>
          </cell>
          <cell r="BK165">
            <v>48.18</v>
          </cell>
          <cell r="BL165">
            <v>47.7</v>
          </cell>
          <cell r="BM165">
            <v>47.04</v>
          </cell>
          <cell r="BN165">
            <v>46.87</v>
          </cell>
          <cell r="BO165">
            <v>47.07</v>
          </cell>
          <cell r="BP165">
            <v>47.09</v>
          </cell>
          <cell r="BQ165">
            <v>46.55022073779417</v>
          </cell>
          <cell r="BR165">
            <v>46.586246043048199</v>
          </cell>
          <cell r="BS165">
            <v>46.886338516636776</v>
          </cell>
          <cell r="BT165">
            <v>47.056467866881285</v>
          </cell>
          <cell r="BU165">
            <v>46.638056230681521</v>
          </cell>
        </row>
        <row r="166">
          <cell r="A166" t="str">
            <v>% y/y growth</v>
          </cell>
          <cell r="G166">
            <v>-3.5291462192381884E-2</v>
          </cell>
          <cell r="H166">
            <v>-1.4901353518669502E-2</v>
          </cell>
          <cell r="I166">
            <v>6.6842796206090238E-3</v>
          </cell>
          <cell r="J166">
            <v>1.9200534654156609E-2</v>
          </cell>
          <cell r="K166">
            <v>-4.5055157793568723E-3</v>
          </cell>
          <cell r="L166">
            <v>-1.1133288623096149E-2</v>
          </cell>
          <cell r="M166">
            <v>-3.6569570689072517E-2</v>
          </cell>
          <cell r="N166">
            <v>-1.6153749055638489E-2</v>
          </cell>
          <cell r="O166">
            <v>-1.4001502041691705E-3</v>
          </cell>
          <cell r="P166">
            <v>3.0432728761129457E-3</v>
          </cell>
          <cell r="Q166">
            <v>-3.3451450150168149E-4</v>
          </cell>
          <cell r="R166">
            <v>-1.4231675833620283E-3</v>
          </cell>
          <cell r="S166">
            <v>-3.1046815142532491E-3</v>
          </cell>
          <cell r="T166">
            <v>-2.7827625321593663E-3</v>
          </cell>
          <cell r="AH166">
            <v>-4.240612740519345E-2</v>
          </cell>
          <cell r="AI166">
            <v>-3.8689940615439955E-2</v>
          </cell>
          <cell r="AJ166">
            <v>-6.0279870828848225E-2</v>
          </cell>
          <cell r="AK166">
            <v>-5.5208924182265084E-2</v>
          </cell>
          <cell r="AL166">
            <v>-3.2579008973858681E-2</v>
          </cell>
          <cell r="AM166">
            <v>-5.3538000748783232E-2</v>
          </cell>
          <cell r="AN166">
            <v>-5.1164566628484121E-2</v>
          </cell>
          <cell r="AO166">
            <v>-2.0812487492495535E-2</v>
          </cell>
          <cell r="AP166">
            <v>-2.1375277273643967E-2</v>
          </cell>
          <cell r="AQ166">
            <v>-3.3030063291139222E-2</v>
          </cell>
          <cell r="AR166">
            <v>2.2132796780685027E-3</v>
          </cell>
          <cell r="AS166">
            <v>8.1749437972613581E-3</v>
          </cell>
          <cell r="AT166">
            <v>1.4011951370286324E-2</v>
          </cell>
          <cell r="AU166">
            <v>3.559010022499498E-2</v>
          </cell>
          <cell r="AV166">
            <v>2.0277052800642403E-2</v>
          </cell>
          <cell r="AW166">
            <v>1.9258057976890397E-2</v>
          </cell>
          <cell r="AX166">
            <v>1.5850436903068532E-2</v>
          </cell>
          <cell r="AY166">
            <v>-5.7278293501875632E-3</v>
          </cell>
          <cell r="AZ166">
            <v>-4.525777253049923E-3</v>
          </cell>
          <cell r="BA166">
            <v>9.1487669053300635E-3</v>
          </cell>
          <cell r="BB166">
            <v>6.0012002400489095E-4</v>
          </cell>
          <cell r="BC166">
            <v>5.1648788239968546E-3</v>
          </cell>
          <cell r="BD166">
            <v>1.0081043684522673E-2</v>
          </cell>
          <cell r="BE166">
            <v>-2.7591643673630095E-3</v>
          </cell>
          <cell r="BF166">
            <v>-4.1983206717313148E-3</v>
          </cell>
          <cell r="BG166">
            <v>-1.1462450592885309E-2</v>
          </cell>
          <cell r="BH166">
            <v>-2.3287671232876783E-2</v>
          </cell>
          <cell r="BI166">
            <v>-3.2015810276679768E-2</v>
          </cell>
          <cell r="BJ166">
            <v>-3.3326641236699484E-2</v>
          </cell>
          <cell r="BK166">
            <v>-3.678528588564578E-2</v>
          </cell>
          <cell r="BL166">
            <v>-4.4279703466239106E-2</v>
          </cell>
          <cell r="BM166">
            <v>-3.9608003266639491E-2</v>
          </cell>
          <cell r="BN166">
            <v>-2.6583592938733136E-2</v>
          </cell>
          <cell r="BO166">
            <v>-2.3038605230386033E-2</v>
          </cell>
          <cell r="BP166">
            <v>-1.2788259958071313E-2</v>
          </cell>
          <cell r="BQ166">
            <v>-1.0411974111518507E-2</v>
          </cell>
          <cell r="BR166">
            <v>-6.0540635150799771E-3</v>
          </cell>
          <cell r="BS166">
            <v>-3.9018798250101128E-3</v>
          </cell>
          <cell r="BT166">
            <v>-7.1208607175021754E-4</v>
          </cell>
          <cell r="BU166">
            <v>1.8868974517243231E-3</v>
          </cell>
        </row>
        <row r="167">
          <cell r="A167" t="str">
            <v>Postpaid ARPU</v>
          </cell>
          <cell r="J167">
            <v>58.744870001652714</v>
          </cell>
          <cell r="K167">
            <v>60.516828612809775</v>
          </cell>
          <cell r="L167">
            <v>62.56</v>
          </cell>
          <cell r="M167">
            <v>63.677499999999995</v>
          </cell>
          <cell r="N167">
            <v>64.922239999999988</v>
          </cell>
          <cell r="O167">
            <v>66.090840319999998</v>
          </cell>
          <cell r="P167">
            <v>66.883930403839997</v>
          </cell>
          <cell r="Q167">
            <v>67.419001847070717</v>
          </cell>
          <cell r="R167">
            <v>67.823515858153144</v>
          </cell>
          <cell r="S167">
            <v>68.09480992158575</v>
          </cell>
          <cell r="T167">
            <v>68.367189161272094</v>
          </cell>
          <cell r="AX167">
            <v>58.26</v>
          </cell>
          <cell r="AY167">
            <v>59.14</v>
          </cell>
          <cell r="AZ167">
            <v>59.28</v>
          </cell>
          <cell r="BA167">
            <v>59.95</v>
          </cell>
          <cell r="BB167">
            <v>59.55</v>
          </cell>
          <cell r="BC167">
            <v>60.56</v>
          </cell>
          <cell r="BD167">
            <v>61.61</v>
          </cell>
          <cell r="BE167">
            <v>61.53</v>
          </cell>
          <cell r="BF167">
            <v>61.89</v>
          </cell>
          <cell r="BG167">
            <v>62.63</v>
          </cell>
          <cell r="BH167">
            <v>62.84</v>
          </cell>
          <cell r="BI167">
            <v>62.879999999999995</v>
          </cell>
          <cell r="BJ167">
            <v>63.39</v>
          </cell>
          <cell r="BK167">
            <v>63.87</v>
          </cell>
          <cell r="BL167">
            <v>63.69</v>
          </cell>
          <cell r="BM167">
            <v>63.76</v>
          </cell>
          <cell r="BN167">
            <v>64.459999999999994</v>
          </cell>
          <cell r="BO167">
            <v>64.930000000000007</v>
          </cell>
          <cell r="BP167">
            <v>65.2</v>
          </cell>
          <cell r="BQ167">
            <v>65.098959999999991</v>
          </cell>
          <cell r="BR167">
            <v>65.620279999999994</v>
          </cell>
          <cell r="BS167">
            <v>66.098740000000006</v>
          </cell>
          <cell r="BT167">
            <v>66.37360000000001</v>
          </cell>
          <cell r="BU167">
            <v>66.270741279999996</v>
          </cell>
        </row>
        <row r="168">
          <cell r="A168" t="str">
            <v>% growth</v>
          </cell>
          <cell r="K168">
            <v>3.0163631498498766E-2</v>
          </cell>
          <cell r="L168">
            <v>3.376203667681521E-2</v>
          </cell>
          <cell r="M168">
            <v>1.7862851662403978E-2</v>
          </cell>
          <cell r="N168">
            <v>1.9547563896195497E-2</v>
          </cell>
          <cell r="O168">
            <v>1.8000000000000238E-2</v>
          </cell>
          <cell r="P168">
            <v>1.2E-2</v>
          </cell>
          <cell r="Q168">
            <v>8.0000000000000002E-3</v>
          </cell>
          <cell r="R168">
            <v>6.0000000000000001E-3</v>
          </cell>
          <cell r="S168">
            <v>4.0000000000000001E-3</v>
          </cell>
          <cell r="T168">
            <v>4.0000000000000001E-3</v>
          </cell>
          <cell r="BB168">
            <v>2.2142121524201919E-2</v>
          </cell>
          <cell r="BC168">
            <v>2.401082177882996E-2</v>
          </cell>
          <cell r="BD168">
            <v>3.9304993252361697E-2</v>
          </cell>
          <cell r="BE168">
            <v>2.6355296080066593E-2</v>
          </cell>
          <cell r="BF168">
            <v>3.9294710327455906E-2</v>
          </cell>
          <cell r="BG168">
            <v>3.41809775429327E-2</v>
          </cell>
          <cell r="BH168">
            <v>1.9964291511118448E-2</v>
          </cell>
          <cell r="BI168">
            <v>2.1940516821062905E-2</v>
          </cell>
          <cell r="BJ168">
            <v>2.4236548715462991E-2</v>
          </cell>
          <cell r="BK168">
            <v>1.9798818457608114E-2</v>
          </cell>
          <cell r="BL168">
            <v>1.3526416295353227E-2</v>
          </cell>
          <cell r="BM168">
            <v>1.3994910941475869E-2</v>
          </cell>
          <cell r="BN168">
            <v>1.6879634011673694E-2</v>
          </cell>
          <cell r="BO168">
            <v>1.6596211053703014E-2</v>
          </cell>
          <cell r="BP168">
            <v>2.3708588475428005E-2</v>
          </cell>
          <cell r="BQ168">
            <v>2.1000000000000001E-2</v>
          </cell>
          <cell r="BR168">
            <v>1.7999999999999999E-2</v>
          </cell>
          <cell r="BS168">
            <v>1.7999999999999999E-2</v>
          </cell>
          <cell r="BT168">
            <v>1.7999999999999999E-2</v>
          </cell>
          <cell r="BU168">
            <v>1.7999999999999999E-2</v>
          </cell>
        </row>
        <row r="169">
          <cell r="A169" t="str">
            <v>Base</v>
          </cell>
          <cell r="P169">
            <v>1.2E-2</v>
          </cell>
          <cell r="Q169">
            <v>8.0000000000000002E-3</v>
          </cell>
          <cell r="R169">
            <v>6.0000000000000001E-3</v>
          </cell>
          <cell r="S169">
            <v>4.0000000000000001E-3</v>
          </cell>
          <cell r="T169">
            <v>4.0000000000000001E-3</v>
          </cell>
          <cell r="BQ169">
            <v>2.1000000000000001E-2</v>
          </cell>
          <cell r="BR169">
            <v>1.7999999999999999E-2</v>
          </cell>
          <cell r="BS169">
            <v>1.7999999999999999E-2</v>
          </cell>
          <cell r="BT169">
            <v>1.7999999999999999E-2</v>
          </cell>
          <cell r="BU169">
            <v>1.7999999999999999E-2</v>
          </cell>
        </row>
        <row r="170">
          <cell r="A170" t="str">
            <v>Bull</v>
          </cell>
          <cell r="P170">
            <v>1.3000000000000001E-2</v>
          </cell>
          <cell r="Q170">
            <v>9.0000000000000011E-3</v>
          </cell>
          <cell r="R170">
            <v>7.0000000000000001E-3</v>
          </cell>
          <cell r="S170">
            <v>5.0000000000000001E-3</v>
          </cell>
          <cell r="T170">
            <v>5.0000000000000001E-3</v>
          </cell>
          <cell r="BQ170">
            <v>3.1E-2</v>
          </cell>
          <cell r="BR170">
            <v>2.1000000000000001E-2</v>
          </cell>
          <cell r="BS170">
            <v>2.1000000000000001E-2</v>
          </cell>
          <cell r="BT170">
            <v>2.1000000000000001E-2</v>
          </cell>
          <cell r="BU170">
            <v>2.1000000000000001E-2</v>
          </cell>
        </row>
        <row r="171">
          <cell r="A171" t="str">
            <v>Bear</v>
          </cell>
          <cell r="P171">
            <v>0.01</v>
          </cell>
          <cell r="Q171">
            <v>6.0000000000000001E-3</v>
          </cell>
          <cell r="R171">
            <v>4.0000000000000001E-3</v>
          </cell>
          <cell r="S171">
            <v>2E-3</v>
          </cell>
          <cell r="T171">
            <v>2E-3</v>
          </cell>
          <cell r="BQ171">
            <v>1.1000000000000001E-2</v>
          </cell>
          <cell r="BR171">
            <v>0</v>
          </cell>
          <cell r="BS171">
            <v>0</v>
          </cell>
          <cell r="BT171">
            <v>0</v>
          </cell>
          <cell r="BU171">
            <v>0</v>
          </cell>
        </row>
        <row r="172">
          <cell r="A172" t="str">
            <v>Other ARPU</v>
          </cell>
          <cell r="J172">
            <v>17.900058865329946</v>
          </cell>
          <cell r="K172">
            <v>15.133870731943603</v>
          </cell>
          <cell r="L172">
            <v>12.603823319131305</v>
          </cell>
          <cell r="M172">
            <v>12.077624401462398</v>
          </cell>
          <cell r="N172">
            <v>11.438728374020775</v>
          </cell>
          <cell r="O172">
            <v>10.981179239059943</v>
          </cell>
          <cell r="P172">
            <v>10.871367446669343</v>
          </cell>
          <cell r="Q172">
            <v>10.817010609435997</v>
          </cell>
          <cell r="R172">
            <v>10.762925556388817</v>
          </cell>
          <cell r="S172">
            <v>10.709110928606872</v>
          </cell>
          <cell r="T172">
            <v>10.655565373963837</v>
          </cell>
          <cell r="AX172">
            <v>19.21939233226836</v>
          </cell>
          <cell r="AY172">
            <v>19.276443284926959</v>
          </cell>
          <cell r="AZ172">
            <v>20.291898000816015</v>
          </cell>
          <cell r="BA172">
            <v>17.932817666509184</v>
          </cell>
          <cell r="BB172">
            <v>17.311060394260139</v>
          </cell>
          <cell r="BC172">
            <v>16.100740906965868</v>
          </cell>
          <cell r="BD172">
            <v>15.603507160817751</v>
          </cell>
          <cell r="BE172">
            <v>13.788344919239423</v>
          </cell>
          <cell r="BF172">
            <v>12.682137181786684</v>
          </cell>
          <cell r="BG172">
            <v>11.51494319737707</v>
          </cell>
          <cell r="BH172">
            <v>13.561073953517313</v>
          </cell>
          <cell r="BI172">
            <v>12.657138943844151</v>
          </cell>
          <cell r="BJ172">
            <v>11.935738224001476</v>
          </cell>
          <cell r="BK172">
            <v>12.143102697633944</v>
          </cell>
          <cell r="BL172">
            <v>12.565400944656384</v>
          </cell>
          <cell r="BM172">
            <v>11.666255739557791</v>
          </cell>
          <cell r="BN172">
            <v>11.234627917731549</v>
          </cell>
          <cell r="BO172">
            <v>11.609845788680063</v>
          </cell>
          <cell r="BP172">
            <v>11.827496837091585</v>
          </cell>
          <cell r="BQ172">
            <v>11.0829429525799</v>
          </cell>
          <cell r="BR172">
            <v>10.785242801022287</v>
          </cell>
          <cell r="BS172">
            <v>11.14545195713286</v>
          </cell>
          <cell r="BT172">
            <v>11.354396963607922</v>
          </cell>
          <cell r="BU172">
            <v>10.639625234476703</v>
          </cell>
        </row>
        <row r="173">
          <cell r="A173" t="str">
            <v>% growth</v>
          </cell>
          <cell r="K173">
            <v>-0.15453514171085125</v>
          </cell>
          <cell r="L173">
            <v>-0.16717781310712776</v>
          </cell>
          <cell r="M173">
            <v>-4.1749150582759409E-2</v>
          </cell>
          <cell r="N173">
            <v>-5.2899146902122829E-2</v>
          </cell>
          <cell r="O173">
            <v>-4.0000000000000147E-2</v>
          </cell>
          <cell r="P173">
            <v>-0.01</v>
          </cell>
          <cell r="Q173">
            <v>-5.0000000000000001E-3</v>
          </cell>
          <cell r="R173">
            <v>-5.0000000000000001E-3</v>
          </cell>
          <cell r="S173">
            <v>-5.0000000000000001E-3</v>
          </cell>
          <cell r="T173">
            <v>-5.0000000000000001E-3</v>
          </cell>
          <cell r="BB173">
            <v>-9.92920017978004E-2</v>
          </cell>
          <cell r="BC173">
            <v>-0.16474524532460322</v>
          </cell>
          <cell r="BD173">
            <v>-0.23104742788524402</v>
          </cell>
          <cell r="BE173">
            <v>-0.23111107380575557</v>
          </cell>
          <cell r="BF173">
            <v>-0.26739686114250261</v>
          </cell>
          <cell r="BG173">
            <v>-0.28481904876841946</v>
          </cell>
          <cell r="BH173">
            <v>-0.13089577786904394</v>
          </cell>
          <cell r="BI173">
            <v>-8.2040736725178309E-2</v>
          </cell>
          <cell r="BJ173">
            <v>-5.8854351367302771E-2</v>
          </cell>
          <cell r="BK173">
            <v>5.4551680324394392E-2</v>
          </cell>
          <cell r="BL173">
            <v>-7.3421398059899556E-2</v>
          </cell>
          <cell r="BM173">
            <v>-7.8286507613024248E-2</v>
          </cell>
          <cell r="BN173">
            <v>-5.8740422511953994E-2</v>
          </cell>
          <cell r="BO173">
            <v>-4.3914386811352957E-2</v>
          </cell>
          <cell r="BP173">
            <v>-5.8725074576995717E-2</v>
          </cell>
          <cell r="BQ173">
            <v>-0.05</v>
          </cell>
          <cell r="BR173">
            <v>-0.04</v>
          </cell>
          <cell r="BS173">
            <v>-0.04</v>
          </cell>
          <cell r="BT173">
            <v>-0.04</v>
          </cell>
          <cell r="BU173">
            <v>-0.04</v>
          </cell>
        </row>
        <row r="174">
          <cell r="A174" t="str">
            <v>Base</v>
          </cell>
          <cell r="P174">
            <v>-0.01</v>
          </cell>
          <cell r="Q174">
            <v>-5.0000000000000001E-3</v>
          </cell>
          <cell r="R174">
            <v>-5.0000000000000001E-3</v>
          </cell>
          <cell r="S174">
            <v>-5.0000000000000001E-3</v>
          </cell>
          <cell r="T174">
            <v>-5.0000000000000001E-3</v>
          </cell>
          <cell r="BQ174">
            <v>-0.05</v>
          </cell>
          <cell r="BR174">
            <v>-0.04</v>
          </cell>
          <cell r="BS174">
            <v>-0.04</v>
          </cell>
          <cell r="BT174">
            <v>-0.04</v>
          </cell>
          <cell r="BU174">
            <v>-0.04</v>
          </cell>
        </row>
        <row r="175">
          <cell r="A175" t="str">
            <v>Bull</v>
          </cell>
          <cell r="P175">
            <v>0.01</v>
          </cell>
          <cell r="Q175">
            <v>1.4999999999999999E-2</v>
          </cell>
          <cell r="R175">
            <v>1.4999999999999999E-2</v>
          </cell>
          <cell r="S175">
            <v>1.4999999999999999E-2</v>
          </cell>
          <cell r="T175">
            <v>1.4999999999999999E-2</v>
          </cell>
          <cell r="BQ175">
            <v>-3.0000000000000002E-2</v>
          </cell>
          <cell r="BR175">
            <v>-0.02</v>
          </cell>
          <cell r="BS175">
            <v>-0.02</v>
          </cell>
          <cell r="BT175">
            <v>-0.02</v>
          </cell>
          <cell r="BU175">
            <v>-0.02</v>
          </cell>
        </row>
        <row r="176">
          <cell r="A176" t="str">
            <v>Bear</v>
          </cell>
          <cell r="P176">
            <v>-0.03</v>
          </cell>
          <cell r="Q176">
            <v>-2.5000000000000001E-2</v>
          </cell>
          <cell r="R176">
            <v>-2.5000000000000001E-2</v>
          </cell>
          <cell r="S176">
            <v>-2.5000000000000001E-2</v>
          </cell>
          <cell r="T176">
            <v>-2.5000000000000001E-2</v>
          </cell>
          <cell r="BQ176">
            <v>-7.0000000000000007E-2</v>
          </cell>
          <cell r="BR176">
            <v>-0.06</v>
          </cell>
          <cell r="BS176">
            <v>-0.06</v>
          </cell>
          <cell r="BT176">
            <v>-0.06</v>
          </cell>
          <cell r="BU176">
            <v>-0.06</v>
          </cell>
        </row>
        <row r="177">
          <cell r="A177" t="str">
            <v>Data revenue</v>
          </cell>
          <cell r="G177">
            <v>2677</v>
          </cell>
          <cell r="H177">
            <v>4256</v>
          </cell>
          <cell r="I177">
            <v>6948</v>
          </cell>
          <cell r="J177">
            <v>10595</v>
          </cell>
          <cell r="K177">
            <v>14134</v>
          </cell>
          <cell r="L177">
            <v>18186</v>
          </cell>
          <cell r="M177">
            <v>22091</v>
          </cell>
          <cell r="N177">
            <v>25888.235688578327</v>
          </cell>
          <cell r="O177">
            <v>28068.101577893976</v>
          </cell>
          <cell r="P177">
            <v>29454.843424238148</v>
          </cell>
          <cell r="Q177">
            <v>31305.224554733337</v>
          </cell>
          <cell r="R177">
            <v>33088.415640054351</v>
          </cell>
          <cell r="S177">
            <v>35404.082702912419</v>
          </cell>
          <cell r="T177">
            <v>37644.064536887439</v>
          </cell>
          <cell r="AL177">
            <v>570</v>
          </cell>
          <cell r="AM177">
            <v>654</v>
          </cell>
          <cell r="AN177">
            <v>689</v>
          </cell>
          <cell r="AO177">
            <v>764</v>
          </cell>
          <cell r="AP177">
            <v>873</v>
          </cell>
          <cell r="AQ177">
            <v>989</v>
          </cell>
          <cell r="AR177">
            <v>1106</v>
          </cell>
          <cell r="AS177">
            <v>1288</v>
          </cell>
          <cell r="AT177">
            <v>1456</v>
          </cell>
          <cell r="AU177">
            <v>1651</v>
          </cell>
          <cell r="AV177">
            <v>1813</v>
          </cell>
          <cell r="AW177">
            <v>2028</v>
          </cell>
          <cell r="AX177">
            <v>2291</v>
          </cell>
          <cell r="AY177">
            <v>2510</v>
          </cell>
          <cell r="AZ177">
            <v>2728</v>
          </cell>
          <cell r="BA177">
            <v>3066</v>
          </cell>
          <cell r="BB177">
            <v>3175</v>
          </cell>
          <cell r="BC177">
            <v>3444</v>
          </cell>
          <cell r="BD177">
            <v>3644</v>
          </cell>
          <cell r="BE177">
            <v>3871</v>
          </cell>
          <cell r="BF177">
            <v>4122</v>
          </cell>
          <cell r="BG177">
            <v>4380</v>
          </cell>
          <cell r="BH177">
            <v>4754</v>
          </cell>
          <cell r="BI177">
            <v>4930</v>
          </cell>
          <cell r="BJ177">
            <v>5190</v>
          </cell>
          <cell r="BK177">
            <v>5404</v>
          </cell>
          <cell r="BL177">
            <v>5611</v>
          </cell>
          <cell r="BM177">
            <v>5886</v>
          </cell>
          <cell r="BN177">
            <v>6127</v>
          </cell>
          <cell r="BO177">
            <v>6418</v>
          </cell>
          <cell r="BP177">
            <v>6639</v>
          </cell>
          <cell r="BQ177">
            <v>6704.2356885783265</v>
          </cell>
          <cell r="BR177">
            <v>6775.137234419939</v>
          </cell>
          <cell r="BS177">
            <v>6936.130683115176</v>
          </cell>
          <cell r="BT177">
            <v>7145.4261650084673</v>
          </cell>
          <cell r="BU177">
            <v>7211.4074953503941</v>
          </cell>
        </row>
        <row r="178">
          <cell r="A178" t="str">
            <v>% y/y growth</v>
          </cell>
          <cell r="H178">
            <v>0.58983937243182671</v>
          </cell>
          <cell r="I178">
            <v>0.63251879699248126</v>
          </cell>
          <cell r="J178">
            <v>0.5248992515831894</v>
          </cell>
          <cell r="K178">
            <v>0.33402548371873531</v>
          </cell>
          <cell r="L178">
            <v>0.28668459034951188</v>
          </cell>
          <cell r="M178">
            <v>0.21472561310898497</v>
          </cell>
          <cell r="N178">
            <v>0.17189062009770173</v>
          </cell>
          <cell r="O178">
            <v>8.4202952860066516E-2</v>
          </cell>
          <cell r="P178">
            <v>4.9406328479171258E-2</v>
          </cell>
          <cell r="Q178">
            <v>6.2820946078176343E-2</v>
          </cell>
          <cell r="R178">
            <v>5.6961453261685557E-2</v>
          </cell>
          <cell r="S178">
            <v>6.9984223120520106E-2</v>
          </cell>
          <cell r="T178">
            <v>6.326902613948393E-2</v>
          </cell>
          <cell r="AP178">
            <v>0.53157894736842115</v>
          </cell>
          <cell r="AQ178">
            <v>0.51223241590214075</v>
          </cell>
          <cell r="AR178">
            <v>0.60522496371552981</v>
          </cell>
          <cell r="AS178">
            <v>0.68586387434554963</v>
          </cell>
          <cell r="AT178">
            <v>0.66781214203894623</v>
          </cell>
          <cell r="AU178">
            <v>0.66936299292214363</v>
          </cell>
          <cell r="AV178">
            <v>0.639240506329114</v>
          </cell>
          <cell r="AW178">
            <v>0.57453416149068315</v>
          </cell>
          <cell r="AX178">
            <v>0.57348901098901095</v>
          </cell>
          <cell r="AY178">
            <v>0.52029073288915817</v>
          </cell>
          <cell r="AZ178">
            <v>0.50468836183121901</v>
          </cell>
          <cell r="BA178">
            <v>0.51183431952662728</v>
          </cell>
          <cell r="BB178">
            <v>0.3858577040593627</v>
          </cell>
          <cell r="BC178">
            <v>0.37211155378486049</v>
          </cell>
          <cell r="BD178">
            <v>0.33577712609970667</v>
          </cell>
          <cell r="BE178">
            <v>0.26255707762557079</v>
          </cell>
          <cell r="BF178">
            <v>0.29826771653543305</v>
          </cell>
          <cell r="BG178">
            <v>0.27177700348432055</v>
          </cell>
          <cell r="BH178">
            <v>0.30461031833150387</v>
          </cell>
          <cell r="BI178">
            <v>0.27357272022733148</v>
          </cell>
          <cell r="BJ178">
            <v>0.25909752547307141</v>
          </cell>
          <cell r="BK178">
            <v>0.23378995433789962</v>
          </cell>
          <cell r="BL178">
            <v>0.18026924694993696</v>
          </cell>
          <cell r="BM178">
            <v>0.19391480730223121</v>
          </cell>
          <cell r="BN178">
            <v>0.18053949903660893</v>
          </cell>
          <cell r="BO178">
            <v>0.187638786084382</v>
          </cell>
          <cell r="BP178">
            <v>0.18321154874353951</v>
          </cell>
          <cell r="BQ178">
            <v>0.1390138784536743</v>
          </cell>
          <cell r="BR178">
            <v>0.10578378234371444</v>
          </cell>
          <cell r="BS178">
            <v>8.0730863682638931E-2</v>
          </cell>
          <cell r="BT178">
            <v>7.6280488779705946E-2</v>
          </cell>
          <cell r="BU178">
            <v>7.5649459585096501E-2</v>
          </cell>
        </row>
        <row r="179">
          <cell r="A179" t="str">
            <v>Data ARPU</v>
          </cell>
          <cell r="G179">
            <v>4.3352086309032201</v>
          </cell>
          <cell r="H179">
            <v>6.16243578382824</v>
          </cell>
          <cell r="I179">
            <v>8.8387500572457895</v>
          </cell>
          <cell r="J179">
            <v>12.007488955830119</v>
          </cell>
          <cell r="K179">
            <v>14.529582410714102</v>
          </cell>
          <cell r="L179">
            <v>16.777743335399876</v>
          </cell>
          <cell r="M179">
            <v>18.521872259364905</v>
          </cell>
          <cell r="N179">
            <v>20.488571875596357</v>
          </cell>
          <cell r="O179">
            <v>21.497214446217505</v>
          </cell>
          <cell r="P179">
            <v>22.028652324743504</v>
          </cell>
          <cell r="Q179">
            <v>22.958359311351586</v>
          </cell>
          <cell r="R179">
            <v>23.861427992841577</v>
          </cell>
          <cell r="S179">
            <v>25.186601497180781</v>
          </cell>
          <cell r="T179">
            <v>26.511875008789879</v>
          </cell>
          <cell r="AL179">
            <v>3.7</v>
          </cell>
          <cell r="AM179">
            <v>4.16</v>
          </cell>
          <cell r="AN179">
            <v>4.33</v>
          </cell>
          <cell r="AO179">
            <v>4.71</v>
          </cell>
          <cell r="AP179">
            <v>5.22</v>
          </cell>
          <cell r="AQ179">
            <v>5.77</v>
          </cell>
          <cell r="AR179">
            <v>6.32</v>
          </cell>
          <cell r="AS179">
            <v>7.19</v>
          </cell>
          <cell r="AT179">
            <v>7.88</v>
          </cell>
          <cell r="AU179">
            <v>8.77</v>
          </cell>
          <cell r="AV179">
            <v>9.34</v>
          </cell>
          <cell r="AW179">
            <v>10.01</v>
          </cell>
          <cell r="AX179">
            <v>10.8</v>
          </cell>
          <cell r="AY179">
            <v>11.59</v>
          </cell>
          <cell r="AZ179">
            <v>12.3</v>
          </cell>
          <cell r="BA179">
            <v>13.5</v>
          </cell>
          <cell r="BB179">
            <v>13.64</v>
          </cell>
          <cell r="BC179">
            <v>14.57</v>
          </cell>
          <cell r="BD179">
            <v>15.05</v>
          </cell>
          <cell r="BE179">
            <v>15.56</v>
          </cell>
          <cell r="BF179">
            <v>15.98</v>
          </cell>
          <cell r="BG179">
            <v>16.61</v>
          </cell>
          <cell r="BH179">
            <v>17.350000000000001</v>
          </cell>
          <cell r="BI179">
            <v>17.5</v>
          </cell>
          <cell r="BJ179">
            <v>17.62</v>
          </cell>
          <cell r="BK179">
            <v>18.39</v>
          </cell>
          <cell r="BL179">
            <v>18.77</v>
          </cell>
          <cell r="BM179">
            <v>19.3</v>
          </cell>
          <cell r="BN179">
            <v>19.71</v>
          </cell>
          <cell r="BO179">
            <v>20.46</v>
          </cell>
          <cell r="BP179">
            <v>20.97</v>
          </cell>
          <cell r="BQ179">
            <v>20.962377964414046</v>
          </cell>
          <cell r="BR179">
            <v>20.96381071937169</v>
          </cell>
          <cell r="BS179">
            <v>21.333284025069734</v>
          </cell>
          <cell r="BT179">
            <v>21.881257558099797</v>
          </cell>
          <cell r="BU179">
            <v>21.919886428420313</v>
          </cell>
        </row>
        <row r="180">
          <cell r="A180" t="str">
            <v>% of Total ARPU</v>
          </cell>
          <cell r="G180">
            <v>8.7375155036229529E-2</v>
          </cell>
          <cell r="H180">
            <v>0.1260812892522811</v>
          </cell>
          <cell r="I180">
            <v>0.17963700294741197</v>
          </cell>
          <cell r="J180">
            <v>0.2394404393319623</v>
          </cell>
          <cell r="K180">
            <v>0.29104462244918972</v>
          </cell>
          <cell r="L180">
            <v>0.33986170809194544</v>
          </cell>
          <cell r="M180">
            <v>0.38943341677537635</v>
          </cell>
          <cell r="N180">
            <v>0.43785748980405681</v>
          </cell>
          <cell r="O180">
            <v>0.4600571532225689</v>
          </cell>
          <cell r="P180">
            <v>0.47</v>
          </cell>
          <cell r="Q180">
            <v>0.49</v>
          </cell>
          <cell r="R180">
            <v>0.51</v>
          </cell>
          <cell r="S180">
            <v>0.54</v>
          </cell>
          <cell r="T180">
            <v>0.56999999999999995</v>
          </cell>
          <cell r="AM180">
            <v>8.2278481012658222E-2</v>
          </cell>
          <cell r="AN180">
            <v>8.7122736418511065E-2</v>
          </cell>
          <cell r="AO180">
            <v>9.6259963212752916E-2</v>
          </cell>
          <cell r="AP180">
            <v>0.10756233257778693</v>
          </cell>
          <cell r="AQ180">
            <v>0.11802004499897728</v>
          </cell>
          <cell r="AR180">
            <v>0.12688215217827745</v>
          </cell>
          <cell r="AS180">
            <v>0.14575309142509629</v>
          </cell>
          <cell r="AT180">
            <v>0.16013005486689696</v>
          </cell>
          <cell r="AU180">
            <v>0.17321746000395022</v>
          </cell>
          <cell r="AV180">
            <v>0.18378591105863834</v>
          </cell>
          <cell r="AW180">
            <v>0.19908512330946698</v>
          </cell>
          <cell r="AX180">
            <v>0.21604320864172835</v>
          </cell>
          <cell r="AY180">
            <v>0.23023440603893522</v>
          </cell>
          <cell r="AZ180">
            <v>0.2431310535678988</v>
          </cell>
          <cell r="BA180">
            <v>0.26606227828143475</v>
          </cell>
          <cell r="BB180">
            <v>0.27269092363054775</v>
          </cell>
          <cell r="BC180">
            <v>0.28794466403162056</v>
          </cell>
          <cell r="BD180">
            <v>0.29452054794520549</v>
          </cell>
          <cell r="BE180">
            <v>0.3075098814229249</v>
          </cell>
          <cell r="BF180">
            <v>0.32081911262798635</v>
          </cell>
          <cell r="BG180">
            <v>0.33206717313074768</v>
          </cell>
          <cell r="BH180">
            <v>0.34762572630735328</v>
          </cell>
          <cell r="BI180">
            <v>0.35728868926092278</v>
          </cell>
          <cell r="BJ180">
            <v>0.36593977154724822</v>
          </cell>
          <cell r="BK180">
            <v>0.38169364881693651</v>
          </cell>
          <cell r="BL180">
            <v>0.39350104821802934</v>
          </cell>
          <cell r="BM180">
            <v>0.41028911564625853</v>
          </cell>
          <cell r="BN180">
            <v>0.4205248559846384</v>
          </cell>
          <cell r="BO180">
            <v>0.4346717654557043</v>
          </cell>
          <cell r="BP180">
            <v>0.44531747717137393</v>
          </cell>
          <cell r="BQ180">
            <v>0.45031747717137394</v>
          </cell>
          <cell r="BR180">
            <v>0.45</v>
          </cell>
          <cell r="BS180">
            <v>0.45500000000000002</v>
          </cell>
          <cell r="BT180">
            <v>0.46500000000000002</v>
          </cell>
          <cell r="BU180">
            <v>0.47</v>
          </cell>
        </row>
        <row r="181">
          <cell r="A181" t="str">
            <v>% y/y growth</v>
          </cell>
          <cell r="H181">
            <v>0.42148540208647955</v>
          </cell>
          <cell r="I181">
            <v>0.43429487418609081</v>
          </cell>
          <cell r="J181">
            <v>0.35850531784035189</v>
          </cell>
          <cell r="K181">
            <v>0.21004337077981705</v>
          </cell>
          <cell r="L181">
            <v>0.15472990627920469</v>
          </cell>
          <cell r="M181">
            <v>0.10395491748196184</v>
          </cell>
          <cell r="N181">
            <v>0.10618254940383043</v>
          </cell>
          <cell r="O181">
            <v>4.922952057105201E-2</v>
          </cell>
          <cell r="P181">
            <v>2.4721243761863576E-2</v>
          </cell>
          <cell r="Q181">
            <v>4.2204442328221514E-2</v>
          </cell>
          <cell r="R181">
            <v>3.9335070474460165E-2</v>
          </cell>
          <cell r="S181">
            <v>5.5536219573143475E-2</v>
          </cell>
          <cell r="T181">
            <v>5.2618195104942478E-2</v>
          </cell>
          <cell r="AP181">
            <v>0.41081081081081061</v>
          </cell>
          <cell r="AQ181">
            <v>0.38701923076923062</v>
          </cell>
          <cell r="AR181">
            <v>0.45958429561200931</v>
          </cell>
          <cell r="AS181">
            <v>0.52653927813163492</v>
          </cell>
          <cell r="AT181">
            <v>0.50957854406130276</v>
          </cell>
          <cell r="AU181">
            <v>0.51993067590987874</v>
          </cell>
          <cell r="AV181">
            <v>0.47784810126582267</v>
          </cell>
          <cell r="AW181">
            <v>0.3922114047287899</v>
          </cell>
          <cell r="AX181">
            <v>0.37055837563451788</v>
          </cell>
          <cell r="AY181">
            <v>0.32155074116305582</v>
          </cell>
          <cell r="AZ181">
            <v>0.31691648822269824</v>
          </cell>
          <cell r="BA181">
            <v>0.34865134865134872</v>
          </cell>
          <cell r="BB181">
            <v>0.26296296296296284</v>
          </cell>
          <cell r="BC181">
            <v>0.25711820534943919</v>
          </cell>
          <cell r="BD181">
            <v>0.22357723577235777</v>
          </cell>
          <cell r="BE181">
            <v>0.15259259259259261</v>
          </cell>
          <cell r="BF181">
            <v>0.17155425219941356</v>
          </cell>
          <cell r="BG181">
            <v>0.14001372683596425</v>
          </cell>
          <cell r="BH181">
            <v>0.15282392026578084</v>
          </cell>
          <cell r="BI181">
            <v>0.12467866323907462</v>
          </cell>
          <cell r="BJ181">
            <v>0.10262828535669599</v>
          </cell>
          <cell r="BK181">
            <v>0.10716435881998798</v>
          </cell>
          <cell r="BL181">
            <v>8.1844380403458095E-2</v>
          </cell>
          <cell r="BM181">
            <v>0.10285714285714298</v>
          </cell>
          <cell r="BN181">
            <v>0.11861520998864927</v>
          </cell>
          <cell r="BO181">
            <v>0.11256117455138659</v>
          </cell>
          <cell r="BP181">
            <v>0.11720831113478947</v>
          </cell>
          <cell r="BQ181">
            <v>8.6133573285701814E-2</v>
          </cell>
          <cell r="BR181">
            <v>6.3612923357264872E-2</v>
          </cell>
          <cell r="BS181">
            <v>4.2682503669097427E-2</v>
          </cell>
          <cell r="BT181">
            <v>4.3455296046723824E-2</v>
          </cell>
          <cell r="BU181">
            <v>4.567747350189677E-2</v>
          </cell>
        </row>
        <row r="183">
          <cell r="A183" t="str">
            <v>Postpaid Data Revenue</v>
          </cell>
          <cell r="K183">
            <v>13616.52651</v>
          </cell>
          <cell r="L183">
            <v>17349.14805</v>
          </cell>
          <cell r="M183">
            <v>20438.779169999998</v>
          </cell>
          <cell r="N183">
            <v>23701.948980953246</v>
          </cell>
          <cell r="O183">
            <v>27156.984579602715</v>
          </cell>
          <cell r="P183">
            <v>31276.179450363263</v>
          </cell>
          <cell r="Q183">
            <v>34827.180840047746</v>
          </cell>
          <cell r="R183">
            <v>37358.977075962532</v>
          </cell>
          <cell r="S183">
            <v>39278.038078583093</v>
          </cell>
          <cell r="T183">
            <v>41268.775937267354</v>
          </cell>
          <cell r="AV183">
            <v>1799.8033350000001</v>
          </cell>
          <cell r="AW183">
            <v>2000.1514050000001</v>
          </cell>
          <cell r="AX183">
            <v>2192.4825000000001</v>
          </cell>
          <cell r="AY183">
            <v>2426.8895700000003</v>
          </cell>
          <cell r="AZ183">
            <v>2602.0763999999999</v>
          </cell>
          <cell r="BA183">
            <v>2945.8078799999998</v>
          </cell>
          <cell r="BB183">
            <v>3027.6699600000002</v>
          </cell>
          <cell r="BC183">
            <v>3321.4262400000002</v>
          </cell>
          <cell r="BD183">
            <v>3527.1702599999999</v>
          </cell>
          <cell r="BE183">
            <v>3740.2600499999999</v>
          </cell>
          <cell r="BF183">
            <v>3988.0952099999995</v>
          </cell>
          <cell r="BG183">
            <v>4255.8660899999995</v>
          </cell>
          <cell r="BH183">
            <v>4483.1288700000005</v>
          </cell>
          <cell r="BI183">
            <v>4622.0578800000003</v>
          </cell>
          <cell r="BJ183">
            <v>4777.935375</v>
          </cell>
          <cell r="BK183">
            <v>5047.9187849999998</v>
          </cell>
          <cell r="BL183">
            <v>5201.0763299999999</v>
          </cell>
          <cell r="BM183">
            <v>5411.8486800000001</v>
          </cell>
          <cell r="BN183">
            <v>5615.6062200000006</v>
          </cell>
          <cell r="BO183">
            <v>5863.7107800000003</v>
          </cell>
          <cell r="BP183">
            <v>6050.0265886727711</v>
          </cell>
          <cell r="BQ183">
            <v>6172.6053922804731</v>
          </cell>
          <cell r="BR183">
            <v>6397.1257752532347</v>
          </cell>
          <cell r="BS183">
            <v>6672.9632822174726</v>
          </cell>
          <cell r="BT183">
            <v>6991.9070566115233</v>
          </cell>
          <cell r="BU183">
            <v>7094.9884655204833</v>
          </cell>
        </row>
        <row r="184">
          <cell r="A184" t="str">
            <v>% y/y growth</v>
          </cell>
          <cell r="L184">
            <v>0.27412435449369243</v>
          </cell>
          <cell r="M184">
            <v>0.17808546627740585</v>
          </cell>
          <cell r="N184">
            <v>0.1596558083930435</v>
          </cell>
          <cell r="O184">
            <v>0.14577010529496603</v>
          </cell>
          <cell r="P184">
            <v>0.15168086348785659</v>
          </cell>
          <cell r="Q184">
            <v>0.11353692976855068</v>
          </cell>
          <cell r="R184">
            <v>7.2695985573528743E-2</v>
          </cell>
          <cell r="S184">
            <v>5.1368135661704839E-2</v>
          </cell>
          <cell r="T184">
            <v>5.0683230529524392E-2</v>
          </cell>
          <cell r="AZ184">
            <v>0.44575596088669323</v>
          </cell>
          <cell r="BA184">
            <v>0.4727924459298618</v>
          </cell>
          <cell r="BB184">
            <v>0.38093232671184385</v>
          </cell>
          <cell r="BC184">
            <v>0.36859389115096808</v>
          </cell>
          <cell r="BD184">
            <v>0.35552140590491499</v>
          </cell>
          <cell r="BE184">
            <v>0.26968906404038817</v>
          </cell>
          <cell r="BF184">
            <v>0.31721596563979482</v>
          </cell>
          <cell r="BG184">
            <v>0.28133692651262954</v>
          </cell>
          <cell r="BH184">
            <v>0.27102706689299438</v>
          </cell>
          <cell r="BI184">
            <v>0.23575842808042191</v>
          </cell>
          <cell r="BJ184">
            <v>0.19804947560416952</v>
          </cell>
          <cell r="BK184">
            <v>0.18610846259027869</v>
          </cell>
          <cell r="BL184">
            <v>0.16014428333843522</v>
          </cell>
          <cell r="BM184">
            <v>0.17087427732514682</v>
          </cell>
          <cell r="BN184">
            <v>0.17532067289629261</v>
          </cell>
          <cell r="BO184">
            <v>0.16160957213181493</v>
          </cell>
          <cell r="BP184">
            <v>0.16322587956957957</v>
          </cell>
          <cell r="BQ184">
            <v>0.14057242862165031</v>
          </cell>
          <cell r="BR184">
            <v>0.13916922316772307</v>
          </cell>
          <cell r="BS184">
            <v>0.13801030313051554</v>
          </cell>
          <cell r="BT184">
            <v>0.15568203777851131</v>
          </cell>
          <cell r="BU184">
            <v>0.14943172527982318</v>
          </cell>
        </row>
        <row r="185">
          <cell r="A185" t="str">
            <v>% of postpaid service revenue</v>
          </cell>
          <cell r="K185">
            <v>0.30174333096061801</v>
          </cell>
          <cell r="L185">
            <v>0.34735227430923532</v>
          </cell>
          <cell r="M185">
            <v>0.39089831121736734</v>
          </cell>
          <cell r="N185">
            <v>0.43680650472709298</v>
          </cell>
          <cell r="O185">
            <v>0.48497979368005506</v>
          </cell>
          <cell r="P185">
            <v>0.54416288700925974</v>
          </cell>
          <cell r="Q185">
            <v>0.59503938487560415</v>
          </cell>
          <cell r="R185">
            <v>0.62918330907442521</v>
          </cell>
          <cell r="S185">
            <v>0.65533791559070576</v>
          </cell>
          <cell r="T185">
            <v>0.68424753833519947</v>
          </cell>
          <cell r="AX185">
            <v>0.22596740129806583</v>
          </cell>
          <cell r="AY185">
            <v>0.24331893771141269</v>
          </cell>
          <cell r="AZ185">
            <v>0.2543004649996688</v>
          </cell>
          <cell r="BA185">
            <v>0.27759556483045289</v>
          </cell>
          <cell r="BB185">
            <v>0.28201642224271262</v>
          </cell>
          <cell r="BC185">
            <v>0.29925420178447437</v>
          </cell>
          <cell r="BD185">
            <v>0.30629367639459137</v>
          </cell>
          <cell r="BE185">
            <v>0.31762435393775007</v>
          </cell>
          <cell r="BF185">
            <v>0.33112854438858458</v>
          </cell>
          <cell r="BG185">
            <v>0.34299184929254378</v>
          </cell>
          <cell r="BH185">
            <v>0.35320075870541895</v>
          </cell>
          <cell r="BI185">
            <v>0.36104300747314982</v>
          </cell>
          <cell r="BJ185">
            <v>0.36919903940915022</v>
          </cell>
          <cell r="BK185">
            <v>0.3862442760463467</v>
          </cell>
          <cell r="BL185">
            <v>0.39747953769776129</v>
          </cell>
          <cell r="BM185">
            <v>0.41026964193311688</v>
          </cell>
          <cell r="BN185">
            <v>0.41869816021327338</v>
          </cell>
          <cell r="BO185">
            <v>0.43291790430565147</v>
          </cell>
          <cell r="BP185">
            <v>0.44372628494556643</v>
          </cell>
          <cell r="BQ185">
            <v>0.45152358303969076</v>
          </cell>
          <cell r="BR185">
            <v>0.46202118448453305</v>
          </cell>
          <cell r="BS185">
            <v>0.47741313608205815</v>
          </cell>
          <cell r="BT185">
            <v>0.4971246544868782</v>
          </cell>
          <cell r="BU185">
            <v>0.50290080210567467</v>
          </cell>
        </row>
        <row r="186">
          <cell r="A186" t="str">
            <v>% of total service revenue</v>
          </cell>
          <cell r="K186">
            <v>0.28038890739863681</v>
          </cell>
          <cell r="L186">
            <v>0.32422253877779855</v>
          </cell>
          <cell r="M186">
            <v>0.36030707559143954</v>
          </cell>
          <cell r="N186">
            <v>0.40087999851000777</v>
          </cell>
          <cell r="O186">
            <v>0.44512326496784277</v>
          </cell>
          <cell r="P186">
            <v>0.49906238271069486</v>
          </cell>
          <cell r="Q186">
            <v>0.54512685516076609</v>
          </cell>
          <cell r="R186">
            <v>0.57582322816558273</v>
          </cell>
          <cell r="S186">
            <v>0.59908741995701942</v>
          </cell>
          <cell r="T186">
            <v>0.62488476134602722</v>
          </cell>
          <cell r="AV186">
            <v>0.18253583519269778</v>
          </cell>
          <cell r="AW186">
            <v>0.19636279255841352</v>
          </cell>
          <cell r="AX186">
            <v>0.20674045261669025</v>
          </cell>
          <cell r="AY186">
            <v>0.22277304663117314</v>
          </cell>
          <cell r="AZ186">
            <v>0.23176951990736616</v>
          </cell>
          <cell r="BA186">
            <v>0.25564591512626916</v>
          </cell>
          <cell r="BB186">
            <v>0.25997509531169499</v>
          </cell>
          <cell r="BC186">
            <v>0.2777112240802676</v>
          </cell>
          <cell r="BD186">
            <v>0.28509297284190105</v>
          </cell>
          <cell r="BE186">
            <v>0.29719984505363528</v>
          </cell>
          <cell r="BF186">
            <v>0.31035760389105055</v>
          </cell>
          <cell r="BG186">
            <v>0.32275641513726677</v>
          </cell>
          <cell r="BH186">
            <v>0.32785789600702064</v>
          </cell>
          <cell r="BI186">
            <v>0.33493173043478264</v>
          </cell>
          <cell r="BJ186">
            <v>0.34223446565432275</v>
          </cell>
          <cell r="BK186">
            <v>0.35656698347107435</v>
          </cell>
          <cell r="BL186">
            <v>0.36470628497300328</v>
          </cell>
          <cell r="BM186">
            <v>0.37721117167352058</v>
          </cell>
          <cell r="BN186">
            <v>0.38552836880406433</v>
          </cell>
          <cell r="BO186">
            <v>0.39713584693532006</v>
          </cell>
          <cell r="BP186">
            <v>0.40587861187929497</v>
          </cell>
          <cell r="BQ186">
            <v>0.4146083486536255</v>
          </cell>
          <cell r="BR186">
            <v>0.42489273637723129</v>
          </cell>
          <cell r="BS186">
            <v>0.43773660447316187</v>
          </cell>
          <cell r="BT186">
            <v>0.45500949925783829</v>
          </cell>
          <cell r="BU186">
            <v>0.46241244596767866</v>
          </cell>
        </row>
        <row r="187">
          <cell r="A187" t="str">
            <v>% of total data revenue</v>
          </cell>
          <cell r="K187">
            <v>0.96338803664921469</v>
          </cell>
          <cell r="L187">
            <v>0.95398372649290664</v>
          </cell>
          <cell r="M187">
            <v>0.92520841836041823</v>
          </cell>
          <cell r="N187">
            <v>0.915549026441008</v>
          </cell>
          <cell r="O187">
            <v>0.96753905867973478</v>
          </cell>
          <cell r="P187">
            <v>1.0618348568312657</v>
          </cell>
          <cell r="Q187">
            <v>1.112503786042381</v>
          </cell>
          <cell r="R187">
            <v>1.1290651532658627</v>
          </cell>
          <cell r="S187">
            <v>1.109421148068666</v>
          </cell>
          <cell r="T187">
            <v>1.096289054993731</v>
          </cell>
          <cell r="AV187">
            <v>0.99272108935466086</v>
          </cell>
          <cell r="AW187">
            <v>0.98626795118343202</v>
          </cell>
          <cell r="AX187">
            <v>0.95699803579223053</v>
          </cell>
          <cell r="AY187">
            <v>0.96688827490039853</v>
          </cell>
          <cell r="AZ187">
            <v>0.95384032258064511</v>
          </cell>
          <cell r="BA187">
            <v>0.96079839530332678</v>
          </cell>
          <cell r="BB187">
            <v>0.9535968377952756</v>
          </cell>
          <cell r="BC187">
            <v>0.9644094773519164</v>
          </cell>
          <cell r="BD187">
            <v>0.96793914928649827</v>
          </cell>
          <cell r="BE187">
            <v>0.96622579436838019</v>
          </cell>
          <cell r="BF187">
            <v>0.96751460698689939</v>
          </cell>
          <cell r="BG187">
            <v>0.97165892465753412</v>
          </cell>
          <cell r="BH187">
            <v>0.94302248001682798</v>
          </cell>
          <cell r="BI187">
            <v>0.93753709533468566</v>
          </cell>
          <cell r="BJ187">
            <v>0.92060411849710988</v>
          </cell>
          <cell r="BK187">
            <v>0.93410784326424867</v>
          </cell>
          <cell r="BL187">
            <v>0.92694284975940111</v>
          </cell>
          <cell r="BM187">
            <v>0.91944422018348626</v>
          </cell>
          <cell r="BN187">
            <v>0.91653439203525389</v>
          </cell>
          <cell r="BO187">
            <v>0.91363521034590223</v>
          </cell>
          <cell r="BP187">
            <v>0.91128582447247641</v>
          </cell>
          <cell r="BQ187">
            <v>0.92070232596333601</v>
          </cell>
          <cell r="BR187">
            <v>0.94420608083829194</v>
          </cell>
          <cell r="BS187">
            <v>0.96205847136958655</v>
          </cell>
          <cell r="BT187">
            <v>0.97851505216739409</v>
          </cell>
          <cell r="BU187">
            <v>0.98385626801633763</v>
          </cell>
        </row>
        <row r="188">
          <cell r="A188" t="str">
            <v>Postpaid Data ARPU</v>
          </cell>
          <cell r="K188">
            <v>17.106017163144088</v>
          </cell>
          <cell r="L188">
            <v>21.052236439752459</v>
          </cell>
          <cell r="M188">
            <v>24.40853999598977</v>
          </cell>
          <cell r="N188">
            <v>27.924278277325644</v>
          </cell>
          <cell r="O188">
            <v>31.602290024039927</v>
          </cell>
          <cell r="P188">
            <v>36.026610627405525</v>
          </cell>
          <cell r="Q188">
            <v>39.629271690146084</v>
          </cell>
          <cell r="R188">
            <v>42.403320708456313</v>
          </cell>
          <cell r="S188">
            <v>44.523486743879133</v>
          </cell>
          <cell r="T188">
            <v>46.749661081073093</v>
          </cell>
          <cell r="AV188">
            <v>11.11</v>
          </cell>
          <cell r="AW188">
            <v>12.01</v>
          </cell>
          <cell r="AX188">
            <v>13</v>
          </cell>
          <cell r="AY188">
            <v>14.06</v>
          </cell>
          <cell r="AZ188">
            <v>14.7</v>
          </cell>
          <cell r="BA188">
            <v>16.34</v>
          </cell>
          <cell r="BB188">
            <v>16.52</v>
          </cell>
          <cell r="BC188">
            <v>17.77</v>
          </cell>
          <cell r="BD188">
            <v>18.43</v>
          </cell>
          <cell r="BE188">
            <v>19.22</v>
          </cell>
          <cell r="BF188">
            <v>20.13</v>
          </cell>
          <cell r="BG188">
            <v>21.07</v>
          </cell>
          <cell r="BH188">
            <v>22.02</v>
          </cell>
          <cell r="BI188">
            <v>22.64</v>
          </cell>
          <cell r="BJ188">
            <v>23.35</v>
          </cell>
          <cell r="BK188">
            <v>24.57</v>
          </cell>
          <cell r="BL188">
            <v>25.14</v>
          </cell>
          <cell r="BM188">
            <v>26.01</v>
          </cell>
          <cell r="BN188">
            <v>26.92</v>
          </cell>
          <cell r="BO188">
            <v>28.04</v>
          </cell>
          <cell r="BP188">
            <v>28.81</v>
          </cell>
          <cell r="BQ188">
            <v>29.131200000000003</v>
          </cell>
          <cell r="BR188">
            <v>30.150400000000005</v>
          </cell>
          <cell r="BS188">
            <v>31.404800000000002</v>
          </cell>
          <cell r="BT188">
            <v>32.843400000000003</v>
          </cell>
          <cell r="BU188">
            <v>33.209568000000004</v>
          </cell>
        </row>
        <row r="189">
          <cell r="A189" t="str">
            <v>% y/y growth</v>
          </cell>
          <cell r="L189">
            <v>0.23069188104819216</v>
          </cell>
          <cell r="M189">
            <v>0.15942741123217097</v>
          </cell>
          <cell r="N189">
            <v>0.1440372214771346</v>
          </cell>
          <cell r="O189">
            <v>0.13171376213152874</v>
          </cell>
          <cell r="P189">
            <v>0.14000000000000001</v>
          </cell>
          <cell r="Q189">
            <v>0.1</v>
          </cell>
          <cell r="R189">
            <v>7.0000000000000007E-2</v>
          </cell>
          <cell r="S189">
            <v>0.05</v>
          </cell>
          <cell r="T189">
            <v>0.05</v>
          </cell>
          <cell r="AZ189">
            <v>0.32313231323132308</v>
          </cell>
          <cell r="BA189">
            <v>0.36053288925895099</v>
          </cell>
          <cell r="BB189">
            <v>0.27076923076923065</v>
          </cell>
          <cell r="BC189">
            <v>0.26386913229018494</v>
          </cell>
          <cell r="BD189">
            <v>0.25374149659863954</v>
          </cell>
          <cell r="BE189">
            <v>0.17625458996328014</v>
          </cell>
          <cell r="BF189">
            <v>0.2185230024213074</v>
          </cell>
          <cell r="BG189">
            <v>0.18570624648283629</v>
          </cell>
          <cell r="BH189">
            <v>0.19479110146500278</v>
          </cell>
          <cell r="BI189">
            <v>0.17793964620187319</v>
          </cell>
          <cell r="BJ189">
            <v>0.15996025832091409</v>
          </cell>
          <cell r="BK189">
            <v>0.16611295681063121</v>
          </cell>
          <cell r="BL189">
            <v>0.14168937329700282</v>
          </cell>
          <cell r="BM189">
            <v>0.14885159010600701</v>
          </cell>
          <cell r="BN189">
            <v>0.1528907922912206</v>
          </cell>
          <cell r="BO189">
            <v>0.1412291412291411</v>
          </cell>
          <cell r="BP189">
            <v>0.1459824980111375</v>
          </cell>
          <cell r="BQ189">
            <v>0.12</v>
          </cell>
          <cell r="BR189">
            <v>0.12</v>
          </cell>
          <cell r="BS189">
            <v>0.12</v>
          </cell>
          <cell r="BT189">
            <v>0.14000000000000001</v>
          </cell>
          <cell r="BU189">
            <v>0.14000000000000001</v>
          </cell>
        </row>
        <row r="191">
          <cell r="A191" t="str">
            <v>Prepaid + Reseller Data Revenue</v>
          </cell>
          <cell r="K191">
            <v>517.47348999999986</v>
          </cell>
          <cell r="L191">
            <v>836.85195000000022</v>
          </cell>
          <cell r="M191">
            <v>1652.2208300000002</v>
          </cell>
          <cell r="N191">
            <v>2186.2867076250814</v>
          </cell>
          <cell r="O191">
            <v>911.11699829126246</v>
          </cell>
          <cell r="P191">
            <v>-1821.3360261251146</v>
          </cell>
          <cell r="Q191">
            <v>-3521.9562853144089</v>
          </cell>
          <cell r="R191">
            <v>-4270.561435908181</v>
          </cell>
          <cell r="S191">
            <v>-3873.9553756706737</v>
          </cell>
          <cell r="T191">
            <v>-3624.7114003799143</v>
          </cell>
          <cell r="AV191">
            <v>13.196664999999939</v>
          </cell>
          <cell r="AW191">
            <v>27.848594999999932</v>
          </cell>
          <cell r="AX191">
            <v>98.517499999999927</v>
          </cell>
          <cell r="AY191">
            <v>83.110429999999724</v>
          </cell>
          <cell r="AZ191">
            <v>125.92360000000008</v>
          </cell>
          <cell r="BA191">
            <v>120.19212000000016</v>
          </cell>
          <cell r="BB191">
            <v>147.33003999999983</v>
          </cell>
          <cell r="BC191">
            <v>122.57375999999977</v>
          </cell>
          <cell r="BD191">
            <v>116.82974000000013</v>
          </cell>
          <cell r="BE191">
            <v>130.73995000000014</v>
          </cell>
          <cell r="BF191">
            <v>133.9047900000005</v>
          </cell>
          <cell r="BG191">
            <v>124.13391000000047</v>
          </cell>
          <cell r="BH191">
            <v>270.87112999999954</v>
          </cell>
          <cell r="BI191">
            <v>307.9421199999997</v>
          </cell>
          <cell r="BJ191">
            <v>412.06462499999998</v>
          </cell>
          <cell r="BK191">
            <v>356.08121500000016</v>
          </cell>
          <cell r="BL191">
            <v>409.92367000000013</v>
          </cell>
          <cell r="BM191">
            <v>474.15131999999994</v>
          </cell>
          <cell r="BN191">
            <v>511.39377999999942</v>
          </cell>
          <cell r="BO191">
            <v>554.28921999999966</v>
          </cell>
          <cell r="BP191">
            <v>588.97341132722886</v>
          </cell>
          <cell r="BQ191">
            <v>531.63029629785342</v>
          </cell>
          <cell r="BR191">
            <v>378.0114591667043</v>
          </cell>
          <cell r="BS191">
            <v>263.16740089770337</v>
          </cell>
          <cell r="BT191">
            <v>153.51910839694392</v>
          </cell>
          <cell r="BU191">
            <v>116.41902982991087</v>
          </cell>
        </row>
        <row r="192">
          <cell r="A192" t="str">
            <v>% y/y growth</v>
          </cell>
          <cell r="L192">
            <v>0.6171880611700522</v>
          </cell>
          <cell r="M192">
            <v>0.97432870891918189</v>
          </cell>
          <cell r="N192">
            <v>0.32324122050021664</v>
          </cell>
          <cell r="O192">
            <v>-0.58325822724276166</v>
          </cell>
          <cell r="P192">
            <v>-2.9990144290370013</v>
          </cell>
          <cell r="Q192">
            <v>0.93372130941008025</v>
          </cell>
          <cell r="R192">
            <v>0.2125537882781936</v>
          </cell>
          <cell r="S192">
            <v>-9.2869770448148259E-2</v>
          </cell>
          <cell r="T192">
            <v>-6.4338370249711341E-2</v>
          </cell>
          <cell r="AZ192">
            <v>8.5420774870015013</v>
          </cell>
          <cell r="BA192">
            <v>3.3159132444563344</v>
          </cell>
          <cell r="BB192">
            <v>0.49547075392696671</v>
          </cell>
          <cell r="BC192">
            <v>0.47483005442277437</v>
          </cell>
          <cell r="BD192">
            <v>-7.2217280954483098E-2</v>
          </cell>
          <cell r="BE192">
            <v>8.775808264302154E-2</v>
          </cell>
          <cell r="BF192">
            <v>-9.1123643216273753E-2</v>
          </cell>
          <cell r="BG192">
            <v>1.2728254399642314E-2</v>
          </cell>
          <cell r="BH192">
            <v>1.3185117933156341</v>
          </cell>
          <cell r="BI192">
            <v>1.3553789029290542</v>
          </cell>
          <cell r="BJ192">
            <v>2.0772956292302793</v>
          </cell>
          <cell r="BK192">
            <v>1.8685249260254415</v>
          </cell>
          <cell r="BL192">
            <v>0.51335312109489428</v>
          </cell>
          <cell r="BM192">
            <v>0.53974168912002174</v>
          </cell>
          <cell r="BN192">
            <v>0.24105237133616964</v>
          </cell>
          <cell r="BO192">
            <v>0.55663707224768766</v>
          </cell>
          <cell r="BP192">
            <v>0.43678800330614886</v>
          </cell>
          <cell r="BQ192">
            <v>0.12122496315702236</v>
          </cell>
          <cell r="BR192">
            <v>-0.26082116374840392</v>
          </cell>
          <cell r="BS192">
            <v>-0.52521645487223523</v>
          </cell>
          <cell r="BT192">
            <v>-0.73934458594489938</v>
          </cell>
          <cell r="BU192">
            <v>-0.78101505756796552</v>
          </cell>
        </row>
        <row r="193">
          <cell r="A193" t="str">
            <v>% of prepaid/reseller service revenue</v>
          </cell>
          <cell r="K193">
            <v>0.1505679113177015</v>
          </cell>
          <cell r="L193">
            <v>0.23486221976869581</v>
          </cell>
          <cell r="M193">
            <v>0.37217972232190399</v>
          </cell>
          <cell r="N193">
            <v>0.44958473357058032</v>
          </cell>
          <cell r="O193">
            <v>0.18171763268482713</v>
          </cell>
          <cell r="P193">
            <v>-0.35065395221585083</v>
          </cell>
          <cell r="Q193">
            <v>-0.65720271387562157</v>
          </cell>
          <cell r="R193">
            <v>-0.77613968730552463</v>
          </cell>
          <cell r="S193">
            <v>-0.68838907455087861</v>
          </cell>
          <cell r="T193">
            <v>-0.63263150324375095</v>
          </cell>
          <cell r="AX193">
            <v>0.10917875401560992</v>
          </cell>
          <cell r="AY193">
            <v>9.0348113469729291E-2</v>
          </cell>
          <cell r="AZ193">
            <v>0.12659342607229662</v>
          </cell>
          <cell r="BA193">
            <v>0.13191535878610636</v>
          </cell>
          <cell r="BB193">
            <v>0.16186434095368829</v>
          </cell>
          <cell r="BC193">
            <v>0.14236422026847487</v>
          </cell>
          <cell r="BD193">
            <v>0.13642729118018448</v>
          </cell>
          <cell r="BE193">
            <v>0.16155383312132637</v>
          </cell>
          <cell r="BF193">
            <v>0.16612440691195587</v>
          </cell>
          <cell r="BG193">
            <v>0.15956904167070973</v>
          </cell>
          <cell r="BH193">
            <v>0.27607882700000658</v>
          </cell>
          <cell r="BI193">
            <v>0.30854664927899933</v>
          </cell>
          <cell r="BJ193">
            <v>0.40412508457774071</v>
          </cell>
          <cell r="BK193">
            <v>0.3273524602844135</v>
          </cell>
          <cell r="BL193">
            <v>0.3486167464717489</v>
          </cell>
          <cell r="BM193">
            <v>0.41014979114813832</v>
          </cell>
          <cell r="BN193">
            <v>0.44317315771006816</v>
          </cell>
          <cell r="BO193">
            <v>0.45419591176479157</v>
          </cell>
          <cell r="BP193">
            <v>0.46324479111375388</v>
          </cell>
          <cell r="BQ193">
            <v>0.43677126594772153</v>
          </cell>
          <cell r="BR193">
            <v>0.31243125607169386</v>
          </cell>
          <cell r="BS193">
            <v>0.20772409945341028</v>
          </cell>
          <cell r="BT193">
            <v>0.11792724501638438</v>
          </cell>
          <cell r="BU193">
            <v>9.4244058609572537E-2</v>
          </cell>
        </row>
        <row r="194">
          <cell r="A194" t="str">
            <v>% of total service revenue</v>
          </cell>
          <cell r="K194">
            <v>1.0655715050552888E-2</v>
          </cell>
          <cell r="L194">
            <v>1.5639169314146894E-2</v>
          </cell>
          <cell r="M194">
            <v>2.9126341183936824E-2</v>
          </cell>
          <cell r="N194">
            <v>3.6977491294049009E-2</v>
          </cell>
          <cell r="O194">
            <v>1.4933888254726113E-2</v>
          </cell>
          <cell r="P194">
            <v>-2.906238271069489E-2</v>
          </cell>
          <cell r="Q194">
            <v>-5.5126855160766597E-2</v>
          </cell>
          <cell r="R194">
            <v>-6.5823228165589123E-2</v>
          </cell>
          <cell r="S194">
            <v>-5.9087419957073659E-2</v>
          </cell>
          <cell r="T194">
            <v>-5.4884761346391593E-2</v>
          </cell>
          <cell r="AV194">
            <v>1.3384041582150039E-3</v>
          </cell>
          <cell r="AW194">
            <v>2.7340069703514561E-3</v>
          </cell>
          <cell r="AX194">
            <v>9.2897218293257824E-3</v>
          </cell>
          <cell r="AY194">
            <v>7.6290095465393545E-3</v>
          </cell>
          <cell r="AZ194">
            <v>1.1216139663311666E-2</v>
          </cell>
          <cell r="BA194">
            <v>1.0430627440770647E-2</v>
          </cell>
          <cell r="BB194">
            <v>1.2650698952430005E-2</v>
          </cell>
          <cell r="BC194">
            <v>1.0248642140468207E-2</v>
          </cell>
          <cell r="BD194">
            <v>9.4430763013255842E-3</v>
          </cell>
          <cell r="BE194">
            <v>1.0388553833929292E-2</v>
          </cell>
          <cell r="BF194">
            <v>1.0420606225680973E-2</v>
          </cell>
          <cell r="BG194">
            <v>9.4140687092371059E-3</v>
          </cell>
          <cell r="BH194">
            <v>1.9809209448588529E-2</v>
          </cell>
          <cell r="BI194">
            <v>2.2314646376811572E-2</v>
          </cell>
          <cell r="BJ194">
            <v>2.951540899649022E-2</v>
          </cell>
          <cell r="BK194">
            <v>2.5152307339125532E-2</v>
          </cell>
          <cell r="BL194">
            <v>2.8744384685505935E-2</v>
          </cell>
          <cell r="BM194">
            <v>3.3048812992263185E-2</v>
          </cell>
          <cell r="BN194">
            <v>3.5108731292049937E-2</v>
          </cell>
          <cell r="BO194">
            <v>3.7540753132407699E-2</v>
          </cell>
          <cell r="BP194">
            <v>3.9512505791441624E-2</v>
          </cell>
          <cell r="BQ194">
            <v>3.5709128517748469E-2</v>
          </cell>
          <cell r="BR194">
            <v>2.5107263622768619E-2</v>
          </cell>
          <cell r="BS194">
            <v>1.7263395526838102E-2</v>
          </cell>
          <cell r="BT194">
            <v>9.990500742161729E-3</v>
          </cell>
          <cell r="BU194">
            <v>7.5875540323213243E-3</v>
          </cell>
        </row>
        <row r="195">
          <cell r="A195" t="str">
            <v>% of total data revenue</v>
          </cell>
          <cell r="K195">
            <v>3.6611963350785329E-2</v>
          </cell>
          <cell r="L195">
            <v>4.6016273507093378E-2</v>
          </cell>
          <cell r="M195">
            <v>7.4791581639581745E-2</v>
          </cell>
          <cell r="N195">
            <v>8.4450973558992004E-2</v>
          </cell>
          <cell r="O195">
            <v>3.2460941320265307E-2</v>
          </cell>
          <cell r="P195">
            <v>-6.1834856831265723E-2</v>
          </cell>
          <cell r="Q195">
            <v>-0.11250378604238093</v>
          </cell>
          <cell r="R195">
            <v>-0.12906515326586263</v>
          </cell>
          <cell r="S195">
            <v>-0.10942114806866592</v>
          </cell>
          <cell r="T195">
            <v>-9.6289054993731013E-2</v>
          </cell>
          <cell r="AV195">
            <v>7.2789106453391835E-3</v>
          </cell>
          <cell r="AW195">
            <v>1.3732048816568013E-2</v>
          </cell>
          <cell r="AX195">
            <v>4.30019642077695E-2</v>
          </cell>
          <cell r="AY195">
            <v>3.3111725099601481E-2</v>
          </cell>
          <cell r="AZ195">
            <v>4.6159677419354866E-2</v>
          </cell>
          <cell r="BA195">
            <v>3.9201604696673241E-2</v>
          </cell>
          <cell r="BB195">
            <v>4.6403162204724353E-2</v>
          </cell>
          <cell r="BC195">
            <v>3.5590522648083558E-2</v>
          </cell>
          <cell r="BD195">
            <v>3.2060850713501683E-2</v>
          </cell>
          <cell r="BE195">
            <v>3.3774205631619772E-2</v>
          </cell>
          <cell r="BF195">
            <v>3.2485393013100557E-2</v>
          </cell>
          <cell r="BG195">
            <v>2.8341075342465862E-2</v>
          </cell>
          <cell r="BH195">
            <v>5.6977519983171972E-2</v>
          </cell>
          <cell r="BI195">
            <v>6.2462904665314345E-2</v>
          </cell>
          <cell r="BJ195">
            <v>7.9395881502890175E-2</v>
          </cell>
          <cell r="BK195">
            <v>6.5892156735751328E-2</v>
          </cell>
          <cell r="BL195">
            <v>7.3057150240598848E-2</v>
          </cell>
          <cell r="BM195">
            <v>8.0555779816513753E-2</v>
          </cell>
          <cell r="BN195">
            <v>8.3465607964746114E-2</v>
          </cell>
          <cell r="BO195">
            <v>8.6364789654097801E-2</v>
          </cell>
          <cell r="BP195">
            <v>8.8714175527523545E-2</v>
          </cell>
          <cell r="BQ195">
            <v>7.9297674036663948E-2</v>
          </cell>
          <cell r="BR195">
            <v>5.5793919161708047E-2</v>
          </cell>
          <cell r="BS195">
            <v>3.7941528630413411E-2</v>
          </cell>
          <cell r="BT195">
            <v>2.1484947832605867E-2</v>
          </cell>
          <cell r="BU195">
            <v>1.6143731983662393E-2</v>
          </cell>
        </row>
        <row r="196">
          <cell r="A196" t="str">
            <v>Prepaid/Reseller Data ARPU</v>
          </cell>
          <cell r="K196">
            <v>2.2786753062608427</v>
          </cell>
          <cell r="L196">
            <v>2.9064625531382853</v>
          </cell>
          <cell r="M196">
            <v>4.4824465406757499</v>
          </cell>
          <cell r="N196">
            <v>5.1299205611835195</v>
          </cell>
          <cell r="O196">
            <v>1.9942646561708606</v>
          </cell>
          <cell r="P196">
            <v>-3.8120879611653478</v>
          </cell>
          <cell r="Q196">
            <v>-7.1089687285427274</v>
          </cell>
          <cell r="R196">
            <v>-8.3535336758282561</v>
          </cell>
          <cell r="S196">
            <v>-7.3720349614063849</v>
          </cell>
          <cell r="T196">
            <v>-6.7410463404428027</v>
          </cell>
          <cell r="AX196">
            <v>2.0983493077742263</v>
          </cell>
          <cell r="AY196">
            <v>1.7415902851993825</v>
          </cell>
          <cell r="AZ196">
            <v>2.5688208894328861</v>
          </cell>
          <cell r="BA196">
            <v>2.3656140765233857</v>
          </cell>
          <cell r="BB196">
            <v>2.802043381926413</v>
          </cell>
          <cell r="BC196">
            <v>2.2921694249649329</v>
          </cell>
          <cell r="BD196">
            <v>2.1287442148609768</v>
          </cell>
          <cell r="BE196">
            <v>2.2275599741020944</v>
          </cell>
          <cell r="BF196">
            <v>2.106812517700376</v>
          </cell>
          <cell r="BG196">
            <v>1.8374284508981176</v>
          </cell>
          <cell r="BH196">
            <v>3.7439253899474014</v>
          </cell>
          <cell r="BI196">
            <v>3.9053178105818462</v>
          </cell>
          <cell r="BJ196">
            <v>4.8235312192723692</v>
          </cell>
          <cell r="BK196">
            <v>3.97507454355677</v>
          </cell>
          <cell r="BL196">
            <v>4.3805091954391493</v>
          </cell>
          <cell r="BM196">
            <v>4.7849123550603974</v>
          </cell>
          <cell r="BN196">
            <v>4.9788855299987773</v>
          </cell>
          <cell r="BO196">
            <v>5.273144493438167</v>
          </cell>
          <cell r="BP196">
            <v>5.4790263016970755</v>
          </cell>
          <cell r="BQ196">
            <v>4.840711023824702</v>
          </cell>
          <cell r="BR196">
            <v>3.3696469553615871</v>
          </cell>
          <cell r="BS196">
            <v>2.3151789707966723</v>
          </cell>
          <cell r="BT196">
            <v>1.3389927527406822</v>
          </cell>
          <cell r="BU196">
            <v>1.0027214641819095</v>
          </cell>
        </row>
        <row r="197">
          <cell r="A197" t="str">
            <v>% y/y growth</v>
          </cell>
          <cell r="L197">
            <v>0.27550535398902465</v>
          </cell>
          <cell r="M197">
            <v>0.54223440306697857</v>
          </cell>
          <cell r="N197">
            <v>0.14444656832653702</v>
          </cell>
          <cell r="O197">
            <v>-0.61124843311203914</v>
          </cell>
          <cell r="P197">
            <v>-2.9115256088852548</v>
          </cell>
          <cell r="Q197">
            <v>0.86484908033694219</v>
          </cell>
          <cell r="R197">
            <v>0.17506968940355061</v>
          </cell>
          <cell r="S197">
            <v>-0.1174950329417993</v>
          </cell>
          <cell r="T197">
            <v>-8.5592190523633427E-2</v>
          </cell>
          <cell r="BB197">
            <v>0.33535602082315519</v>
          </cell>
          <cell r="BC197">
            <v>0.31613585838446401</v>
          </cell>
          <cell r="BD197">
            <v>-0.17131465894808429</v>
          </cell>
          <cell r="BE197">
            <v>-5.8358674726936788E-2</v>
          </cell>
          <cell r="BF197">
            <v>-0.24811566755546222</v>
          </cell>
          <cell r="BG197">
            <v>-0.19838890141106047</v>
          </cell>
          <cell r="BH197">
            <v>0.75874835680617858</v>
          </cell>
          <cell r="BI197">
            <v>0.75318189228823718</v>
          </cell>
          <cell r="BJ197">
            <v>1.2894923866017942</v>
          </cell>
          <cell r="BK197">
            <v>1.1633901127490387</v>
          </cell>
          <cell r="BL197">
            <v>0.17003111418860062</v>
          </cell>
          <cell r="BM197">
            <v>0.22522995237294197</v>
          </cell>
          <cell r="BN197">
            <v>3.2207588935195819E-2</v>
          </cell>
          <cell r="BO197">
            <v>0.32655235408992489</v>
          </cell>
          <cell r="BP197">
            <v>0.25077383866735592</v>
          </cell>
          <cell r="BQ197">
            <v>1.1661377392899075E-2</v>
          </cell>
          <cell r="BR197">
            <v>-0.32321260750848901</v>
          </cell>
          <cell r="BS197">
            <v>-0.56094907437532737</v>
          </cell>
          <cell r="BT197">
            <v>-0.75561483391201423</v>
          </cell>
          <cell r="BU197">
            <v>-0.79285657432414802</v>
          </cell>
        </row>
        <row r="199">
          <cell r="A199" t="str">
            <v>Voice revenue</v>
          </cell>
          <cell r="F199" t="str">
            <v>NA</v>
          </cell>
          <cell r="G199">
            <v>27961</v>
          </cell>
          <cell r="H199">
            <v>29500</v>
          </cell>
          <cell r="I199">
            <v>31730</v>
          </cell>
          <cell r="J199">
            <v>33654</v>
          </cell>
          <cell r="K199">
            <v>34429</v>
          </cell>
          <cell r="L199">
            <v>35324</v>
          </cell>
          <cell r="M199">
            <v>34635</v>
          </cell>
          <cell r="N199">
            <v>33236.562428186626</v>
          </cell>
          <cell r="O199">
            <v>32941.930287244839</v>
          </cell>
          <cell r="P199">
            <v>33215.036201800467</v>
          </cell>
          <cell r="Q199">
            <v>32582.988822273539</v>
          </cell>
          <cell r="R199">
            <v>31790.830712994204</v>
          </cell>
          <cell r="S199">
            <v>30159.033413598649</v>
          </cell>
          <cell r="T199">
            <v>28398.15394892222</v>
          </cell>
          <cell r="AL199">
            <v>6849</v>
          </cell>
          <cell r="AM199">
            <v>7065</v>
          </cell>
          <cell r="AN199">
            <v>7032</v>
          </cell>
          <cell r="AO199">
            <v>7015</v>
          </cell>
          <cell r="AP199">
            <v>7132</v>
          </cell>
          <cell r="AQ199">
            <v>7306</v>
          </cell>
          <cell r="AR199">
            <v>7555</v>
          </cell>
          <cell r="AS199">
            <v>7507</v>
          </cell>
          <cell r="AT199">
            <v>7636</v>
          </cell>
          <cell r="AU199">
            <v>7889</v>
          </cell>
          <cell r="AV199">
            <v>8047</v>
          </cell>
          <cell r="AW199">
            <v>8158</v>
          </cell>
          <cell r="AX199">
            <v>8314</v>
          </cell>
          <cell r="AY199">
            <v>8384</v>
          </cell>
          <cell r="AZ199">
            <v>8499</v>
          </cell>
          <cell r="BA199">
            <v>8457</v>
          </cell>
          <cell r="BB199">
            <v>8471</v>
          </cell>
          <cell r="BC199">
            <v>8516</v>
          </cell>
          <cell r="BD199">
            <v>8728</v>
          </cell>
          <cell r="BE199">
            <v>8714</v>
          </cell>
          <cell r="BF199">
            <v>8728</v>
          </cell>
          <cell r="BG199">
            <v>8806</v>
          </cell>
          <cell r="BH199">
            <v>8920</v>
          </cell>
          <cell r="BI199">
            <v>8870</v>
          </cell>
          <cell r="BJ199">
            <v>8771</v>
          </cell>
          <cell r="BK199">
            <v>8753</v>
          </cell>
          <cell r="BL199">
            <v>8650</v>
          </cell>
          <cell r="BM199">
            <v>8461</v>
          </cell>
          <cell r="BN199">
            <v>8439</v>
          </cell>
          <cell r="BO199">
            <v>8347</v>
          </cell>
          <cell r="BP199">
            <v>8267</v>
          </cell>
          <cell r="BQ199">
            <v>8183.5624281866276</v>
          </cell>
          <cell r="BR199">
            <v>8280.723286513261</v>
          </cell>
          <cell r="BS199">
            <v>8308.1125764786175</v>
          </cell>
          <cell r="BT199">
            <v>8221.081716730172</v>
          </cell>
          <cell r="BU199">
            <v>8132.0127075227856</v>
          </cell>
        </row>
        <row r="200">
          <cell r="A200" t="str">
            <v>% y/y growth</v>
          </cell>
          <cell r="H200">
            <v>5.5040949894495927E-2</v>
          </cell>
          <cell r="I200">
            <v>7.559322033898308E-2</v>
          </cell>
          <cell r="J200">
            <v>6.0636621493854292E-2</v>
          </cell>
          <cell r="K200">
            <v>2.3028466155583294E-2</v>
          </cell>
          <cell r="L200">
            <v>2.5995527026634546E-2</v>
          </cell>
          <cell r="M200">
            <v>-1.9505152304382323E-2</v>
          </cell>
          <cell r="N200">
            <v>-4.037642765449323E-2</v>
          </cell>
          <cell r="O200">
            <v>-8.8646995783150384E-3</v>
          </cell>
          <cell r="P200">
            <v>8.2905255452312421E-3</v>
          </cell>
          <cell r="Q200">
            <v>-1.9028953504276691E-2</v>
          </cell>
          <cell r="R200">
            <v>-2.4312014886056721E-2</v>
          </cell>
          <cell r="S200">
            <v>-5.1329180861215185E-2</v>
          </cell>
          <cell r="T200">
            <v>-5.8386468840955996E-2</v>
          </cell>
          <cell r="AM200">
            <v>3.1537450722733285E-2</v>
          </cell>
          <cell r="AN200">
            <v>-4.6709129511677272E-3</v>
          </cell>
          <cell r="AO200">
            <v>-2.417519908987531E-3</v>
          </cell>
          <cell r="AP200">
            <v>1.6678545972915071E-2</v>
          </cell>
          <cell r="AQ200">
            <v>2.4397083567021971E-2</v>
          </cell>
          <cell r="AR200">
            <v>3.4081576786203049E-2</v>
          </cell>
          <cell r="AS200">
            <v>-6.3534083388484541E-3</v>
          </cell>
          <cell r="AT200">
            <v>7.0667414469994361E-2</v>
          </cell>
          <cell r="AU200">
            <v>7.9797426772515667E-2</v>
          </cell>
          <cell r="AV200">
            <v>6.5122435473196516E-2</v>
          </cell>
          <cell r="AW200">
            <v>8.6719062208605369E-2</v>
          </cell>
          <cell r="AX200">
            <v>8.8789942378208586E-2</v>
          </cell>
          <cell r="AY200">
            <v>6.2745595132462917E-2</v>
          </cell>
          <cell r="AZ200">
            <v>5.6170001242699108E-2</v>
          </cell>
          <cell r="BA200">
            <v>3.665113998529046E-2</v>
          </cell>
          <cell r="BB200">
            <v>1.888381044022136E-2</v>
          </cell>
          <cell r="BC200">
            <v>1.5744274809160297E-2</v>
          </cell>
          <cell r="BD200">
            <v>2.6944346393693364E-2</v>
          </cell>
          <cell r="BE200">
            <v>3.0389026841669553E-2</v>
          </cell>
          <cell r="BF200">
            <v>3.0338802974855472E-2</v>
          </cell>
          <cell r="BG200">
            <v>3.4053546265852441E-2</v>
          </cell>
          <cell r="BH200">
            <v>2.1998166819431786E-2</v>
          </cell>
          <cell r="BI200">
            <v>1.7902226302501711E-2</v>
          </cell>
          <cell r="BJ200">
            <v>4.9266727772685481E-3</v>
          </cell>
          <cell r="BK200">
            <v>-6.0186236656825098E-3</v>
          </cell>
          <cell r="BL200">
            <v>-3.0269058295964157E-2</v>
          </cell>
          <cell r="BM200">
            <v>-4.611048478015789E-2</v>
          </cell>
          <cell r="BN200">
            <v>-3.7852012313305261E-2</v>
          </cell>
          <cell r="BO200">
            <v>-4.638409688106937E-2</v>
          </cell>
          <cell r="BP200">
            <v>-4.4277456647398794E-2</v>
          </cell>
          <cell r="BQ200">
            <v>-3.2790163315609577E-2</v>
          </cell>
          <cell r="BR200">
            <v>-1.875538730735149E-2</v>
          </cell>
          <cell r="BS200">
            <v>-4.6588503080606802E-3</v>
          </cell>
          <cell r="BT200">
            <v>-5.5544070726778472E-3</v>
          </cell>
          <cell r="BU200">
            <v>-6.2991785198937E-3</v>
          </cell>
        </row>
        <row r="201">
          <cell r="A201" t="str">
            <v>Voice ARPU (implied)</v>
          </cell>
          <cell r="G201">
            <v>45.280825001376513</v>
          </cell>
          <cell r="H201">
            <v>42.714251791102697</v>
          </cell>
          <cell r="I201">
            <v>40.364642964365125</v>
          </cell>
          <cell r="J201">
            <v>38.140635518594323</v>
          </cell>
          <cell r="K201">
            <v>35.392598897585671</v>
          </cell>
          <cell r="L201">
            <v>32.588639919700057</v>
          </cell>
          <cell r="M201">
            <v>29.039203553623807</v>
          </cell>
          <cell r="N201">
            <v>26.304214253893136</v>
          </cell>
          <cell r="O201">
            <v>25.23005475421914</v>
          </cell>
          <cell r="P201">
            <v>24.840820706625657</v>
          </cell>
          <cell r="Q201">
            <v>23.895435201610837</v>
          </cell>
          <cell r="R201">
            <v>22.925685718612492</v>
          </cell>
          <cell r="S201">
            <v>21.455253127228069</v>
          </cell>
          <cell r="T201">
            <v>20.00018641013974</v>
          </cell>
          <cell r="AL201">
            <v>45.89</v>
          </cell>
          <cell r="AM201">
            <v>46.400000000000006</v>
          </cell>
          <cell r="AN201">
            <v>45.370000000000005</v>
          </cell>
          <cell r="AO201">
            <v>44.22</v>
          </cell>
          <cell r="AP201">
            <v>43.31</v>
          </cell>
          <cell r="AQ201">
            <v>43.120000000000005</v>
          </cell>
          <cell r="AR201">
            <v>43.49</v>
          </cell>
          <cell r="AS201">
            <v>42.14</v>
          </cell>
          <cell r="AT201">
            <v>41.33</v>
          </cell>
          <cell r="AU201">
            <v>41.86</v>
          </cell>
          <cell r="AV201">
            <v>41.480000000000004</v>
          </cell>
          <cell r="AW201">
            <v>40.270000000000003</v>
          </cell>
          <cell r="AX201">
            <v>39.19</v>
          </cell>
          <cell r="AY201">
            <v>38.75</v>
          </cell>
          <cell r="AZ201">
            <v>38.290000000000006</v>
          </cell>
          <cell r="BA201">
            <v>37.24</v>
          </cell>
          <cell r="BB201">
            <v>36.380000000000003</v>
          </cell>
          <cell r="BC201">
            <v>36.03</v>
          </cell>
          <cell r="BD201">
            <v>36.049999999999997</v>
          </cell>
          <cell r="BE201">
            <v>35.04</v>
          </cell>
          <cell r="BF201">
            <v>33.83</v>
          </cell>
          <cell r="BG201">
            <v>33.410000000000004</v>
          </cell>
          <cell r="BH201">
            <v>32.559999999999995</v>
          </cell>
          <cell r="BI201">
            <v>31.480000000000004</v>
          </cell>
          <cell r="BJ201">
            <v>30.529999999999998</v>
          </cell>
          <cell r="BK201">
            <v>29.79</v>
          </cell>
          <cell r="BL201">
            <v>28.930000000000003</v>
          </cell>
          <cell r="BM201">
            <v>27.74</v>
          </cell>
          <cell r="BN201">
            <v>27.159999999999997</v>
          </cell>
          <cell r="BO201">
            <v>26.61</v>
          </cell>
          <cell r="BP201">
            <v>26.120000000000005</v>
          </cell>
          <cell r="BQ201">
            <v>25.587842773380125</v>
          </cell>
          <cell r="BR201">
            <v>25.622435323676509</v>
          </cell>
          <cell r="BS201">
            <v>25.553054491567043</v>
          </cell>
          <cell r="BT201">
            <v>25.175210308781487</v>
          </cell>
          <cell r="BU201">
            <v>24.718169802261208</v>
          </cell>
        </row>
        <row r="202">
          <cell r="A202" t="str">
            <v>% y/y growth</v>
          </cell>
          <cell r="H202">
            <v>-5.6681237813043239E-2</v>
          </cell>
          <cell r="I202">
            <v>-5.5007608191956936E-2</v>
          </cell>
          <cell r="J202">
            <v>-5.5097909517847321E-2</v>
          </cell>
          <cell r="K202">
            <v>-7.2050100467490386E-2</v>
          </cell>
          <cell r="L202">
            <v>-7.9224444240428071E-2</v>
          </cell>
          <cell r="M202">
            <v>-0.10891637008547239</v>
          </cell>
          <cell r="N202">
            <v>-9.4182655343154953E-2</v>
          </cell>
          <cell r="O202">
            <v>-4.0836023053416826E-2</v>
          </cell>
          <cell r="P202">
            <v>-1.5427396071282518E-2</v>
          </cell>
          <cell r="Q202">
            <v>-3.8057740369369597E-2</v>
          </cell>
          <cell r="R202">
            <v>-4.0583043364406768E-2</v>
          </cell>
          <cell r="S202">
            <v>-6.4139088768482733E-2</v>
          </cell>
          <cell r="T202">
            <v>-6.7818669323540082E-2</v>
          </cell>
          <cell r="AM202">
            <v>1.1113532359991352E-2</v>
          </cell>
          <cell r="AN202">
            <v>-2.2198275862069017E-2</v>
          </cell>
          <cell r="AO202">
            <v>-2.5347145690985395E-2</v>
          </cell>
          <cell r="AP202">
            <v>-2.0578923563998153E-2</v>
          </cell>
          <cell r="AQ202">
            <v>-4.3869776033248487E-3</v>
          </cell>
          <cell r="AR202">
            <v>8.5807050092763237E-3</v>
          </cell>
          <cell r="AS202">
            <v>-3.1041618762933987E-2</v>
          </cell>
          <cell r="AT202">
            <v>-4.5716924497806621E-2</v>
          </cell>
          <cell r="AU202">
            <v>-2.9220779220779369E-2</v>
          </cell>
          <cell r="AV202">
            <v>-4.6217521269257267E-2</v>
          </cell>
          <cell r="AW202">
            <v>-4.4375889890839959E-2</v>
          </cell>
          <cell r="AX202">
            <v>-5.1778369223324461E-2</v>
          </cell>
          <cell r="AY202">
            <v>-7.4295269947443843E-2</v>
          </cell>
          <cell r="AZ202">
            <v>-7.6904532304725159E-2</v>
          </cell>
          <cell r="BA202">
            <v>-7.5242115718897495E-2</v>
          </cell>
          <cell r="BB202">
            <v>-7.1701964786935357E-2</v>
          </cell>
          <cell r="BC202">
            <v>-7.0193548387096794E-2</v>
          </cell>
          <cell r="BD202">
            <v>-5.8500914076782706E-2</v>
          </cell>
          <cell r="BE202">
            <v>-5.9076262083780917E-2</v>
          </cell>
          <cell r="BF202">
            <v>-7.0093457943925297E-2</v>
          </cell>
          <cell r="BG202">
            <v>-7.2717180127671366E-2</v>
          </cell>
          <cell r="BH202">
            <v>-9.6809986130374504E-2</v>
          </cell>
          <cell r="BI202">
            <v>-0.10159817351598155</v>
          </cell>
          <cell r="BJ202">
            <v>-9.7546556310966648E-2</v>
          </cell>
          <cell r="BK202">
            <v>-0.10835079317569607</v>
          </cell>
          <cell r="BL202">
            <v>-0.11148648648648629</v>
          </cell>
          <cell r="BM202">
            <v>-0.11880559085133435</v>
          </cell>
          <cell r="BN202">
            <v>-0.11038322961021951</v>
          </cell>
          <cell r="BO202">
            <v>-0.10674723061430014</v>
          </cell>
          <cell r="BP202">
            <v>-9.7131005876253007E-2</v>
          </cell>
          <cell r="BQ202">
            <v>-7.758317327396802E-2</v>
          </cell>
          <cell r="BR202">
            <v>-5.6611365107639422E-2</v>
          </cell>
          <cell r="BS202">
            <v>-3.9719861271437673E-2</v>
          </cell>
          <cell r="BT202">
            <v>-3.6171121409591001E-2</v>
          </cell>
          <cell r="BU202">
            <v>-3.3987740929206645E-2</v>
          </cell>
        </row>
        <row r="204">
          <cell r="A204" t="str">
            <v>Postpaid Voice Revenue</v>
          </cell>
          <cell r="K204">
            <v>31509.662249999998</v>
          </cell>
          <cell r="L204">
            <v>32597.690745000011</v>
          </cell>
          <cell r="M204">
            <v>31847.911725000002</v>
          </cell>
          <cell r="N204">
            <v>30559.946674107334</v>
          </cell>
          <cell r="O204">
            <v>28839.1309977782</v>
          </cell>
          <cell r="P204">
            <v>26199.587818989399</v>
          </cell>
          <cell r="Q204">
            <v>23702.021974533236</v>
          </cell>
          <cell r="R204">
            <v>22017.958925280611</v>
          </cell>
          <cell r="S204">
            <v>20657.511420607443</v>
          </cell>
          <cell r="T204">
            <v>19043.864774127629</v>
          </cell>
          <cell r="AX204">
            <v>7510.1670300000005</v>
          </cell>
          <cell r="AY204">
            <v>7547.2192800000003</v>
          </cell>
          <cell r="AZ204">
            <v>7630.2147599999989</v>
          </cell>
          <cell r="BA204">
            <v>7666.0615200000011</v>
          </cell>
          <cell r="BB204">
            <v>7708.1231399999988</v>
          </cell>
          <cell r="BC204">
            <v>7777.5866399999995</v>
          </cell>
          <cell r="BD204">
            <v>7988.4780600000004</v>
          </cell>
          <cell r="BE204">
            <v>8035.4744099999998</v>
          </cell>
          <cell r="BF204">
            <v>8055.8535150000025</v>
          </cell>
          <cell r="BG204">
            <v>8152.2016200000016</v>
          </cell>
          <cell r="BH204">
            <v>8209.7342099999987</v>
          </cell>
          <cell r="BI204">
            <v>8179.9014000000006</v>
          </cell>
          <cell r="BJ204">
            <v>8163.4183800000019</v>
          </cell>
          <cell r="BK204">
            <v>8021.3202899999978</v>
          </cell>
          <cell r="BL204">
            <v>7884.0660150000003</v>
          </cell>
          <cell r="BM204">
            <v>7779.1070399999999</v>
          </cell>
          <cell r="BN204">
            <v>7796.4570599999979</v>
          </cell>
          <cell r="BO204">
            <v>7680.9144750000005</v>
          </cell>
          <cell r="BP204">
            <v>7584.5648113272318</v>
          </cell>
          <cell r="BQ204">
            <v>7498.0103277801027</v>
          </cell>
          <cell r="BR204">
            <v>7448.8319212328443</v>
          </cell>
          <cell r="BS204">
            <v>7304.3716042497445</v>
          </cell>
          <cell r="BT204">
            <v>7072.7887767271504</v>
          </cell>
          <cell r="BU204">
            <v>7013.1386955684584</v>
          </cell>
        </row>
        <row r="205">
          <cell r="A205" t="str">
            <v>% y/y growth</v>
          </cell>
          <cell r="L205">
            <v>3.4529995477816211E-2</v>
          </cell>
          <cell r="M205">
            <v>-2.3000985740531776E-2</v>
          </cell>
          <cell r="N205">
            <v>-4.0441114695807245E-2</v>
          </cell>
          <cell r="O205">
            <v>-5.6309511750134544E-2</v>
          </cell>
          <cell r="P205">
            <v>-9.1526446445010956E-2</v>
          </cell>
          <cell r="Q205">
            <v>-9.5328440344619958E-2</v>
          </cell>
          <cell r="R205">
            <v>-7.105145084508302E-2</v>
          </cell>
          <cell r="S205">
            <v>-6.178808441281658E-2</v>
          </cell>
          <cell r="T205">
            <v>-7.8114280739067121E-2</v>
          </cell>
          <cell r="BB205">
            <v>2.6358416425259934E-2</v>
          </cell>
          <cell r="BC205">
            <v>3.0523475130829869E-2</v>
          </cell>
          <cell r="BD205">
            <v>4.6953239360723042E-2</v>
          </cell>
          <cell r="BE205">
            <v>4.8188093590983749E-2</v>
          </cell>
          <cell r="BF205">
            <v>4.5112197701606016E-2</v>
          </cell>
          <cell r="BG205">
            <v>4.816596681461105E-2</v>
          </cell>
          <cell r="BH205">
            <v>2.7696909015482607E-2</v>
          </cell>
          <cell r="BI205">
            <v>1.7973673069042961E-2</v>
          </cell>
          <cell r="BJ205">
            <v>1.3352385914132237E-2</v>
          </cell>
          <cell r="BK205">
            <v>-1.6054721914495973E-2</v>
          </cell>
          <cell r="BL205">
            <v>-3.9668543057497896E-2</v>
          </cell>
          <cell r="BM205">
            <v>-4.8997456130706052E-2</v>
          </cell>
          <cell r="BN205">
            <v>-4.4951918781847788E-2</v>
          </cell>
          <cell r="BO205">
            <v>-4.2437629055203541E-2</v>
          </cell>
          <cell r="BP205">
            <v>-3.7988165383565531E-2</v>
          </cell>
          <cell r="BQ205">
            <v>-3.6134830228521597E-2</v>
          </cell>
          <cell r="BR205">
            <v>-4.4587578189926425E-2</v>
          </cell>
          <cell r="BS205">
            <v>-4.9023182327551651E-2</v>
          </cell>
          <cell r="BT205">
            <v>-6.7475992008897534E-2</v>
          </cell>
          <cell r="BU205">
            <v>-6.4666706368114335E-2</v>
          </cell>
        </row>
        <row r="206">
          <cell r="A206" t="str">
            <v>Implied ARPU</v>
          </cell>
          <cell r="K206">
            <v>43.410811449665687</v>
          </cell>
          <cell r="L206">
            <v>41.50776356024754</v>
          </cell>
          <cell r="M206">
            <v>39.268960004010225</v>
          </cell>
          <cell r="N206">
            <v>36.997961722674347</v>
          </cell>
          <cell r="O206">
            <v>34.488550295960067</v>
          </cell>
          <cell r="P206">
            <v>30.857319776434473</v>
          </cell>
          <cell r="Q206">
            <v>27.789730156924634</v>
          </cell>
          <cell r="R206">
            <v>25.420195149696831</v>
          </cell>
          <cell r="S206">
            <v>23.571323177706617</v>
          </cell>
          <cell r="T206">
            <v>21.617528080199001</v>
          </cell>
          <cell r="AX206">
            <v>45.26</v>
          </cell>
          <cell r="AY206">
            <v>45.08</v>
          </cell>
          <cell r="AZ206">
            <v>44.58</v>
          </cell>
          <cell r="BA206">
            <v>43.61</v>
          </cell>
          <cell r="BB206">
            <v>43.03</v>
          </cell>
          <cell r="BC206">
            <v>42.790000000000006</v>
          </cell>
          <cell r="BD206">
            <v>43.18</v>
          </cell>
          <cell r="BE206">
            <v>42.31</v>
          </cell>
          <cell r="BF206">
            <v>41.760000000000005</v>
          </cell>
          <cell r="BG206">
            <v>41.56</v>
          </cell>
          <cell r="BH206">
            <v>40.820000000000007</v>
          </cell>
          <cell r="BI206">
            <v>40.239999999999995</v>
          </cell>
          <cell r="BJ206">
            <v>40.04</v>
          </cell>
          <cell r="BK206">
            <v>39.299999999999997</v>
          </cell>
          <cell r="BL206">
            <v>38.549999999999997</v>
          </cell>
          <cell r="BM206">
            <v>37.75</v>
          </cell>
          <cell r="BN206">
            <v>37.539999999999992</v>
          </cell>
          <cell r="BO206">
            <v>36.890000000000008</v>
          </cell>
          <cell r="BP206">
            <v>36.39</v>
          </cell>
          <cell r="BQ206">
            <v>35.967759999999984</v>
          </cell>
          <cell r="BR206">
            <v>35.469879999999989</v>
          </cell>
          <cell r="BS206">
            <v>34.693940000000005</v>
          </cell>
          <cell r="BT206">
            <v>33.530200000000008</v>
          </cell>
          <cell r="BU206">
            <v>33.061173279999991</v>
          </cell>
        </row>
        <row r="207">
          <cell r="A207" t="str">
            <v>% y/y growth</v>
          </cell>
          <cell r="L207">
            <v>-4.3838109122302571E-2</v>
          </cell>
          <cell r="M207">
            <v>-5.3936983451005394E-2</v>
          </cell>
          <cell r="N207">
            <v>-5.7831892698557819E-2</v>
          </cell>
          <cell r="O207">
            <v>-6.7825666871166534E-2</v>
          </cell>
          <cell r="P207">
            <v>-0.10528800104279679</v>
          </cell>
          <cell r="Q207">
            <v>-9.9412056579604058E-2</v>
          </cell>
          <cell r="R207">
            <v>-8.5266571278216019E-2</v>
          </cell>
          <cell r="S207">
            <v>-7.2732406698784335E-2</v>
          </cell>
          <cell r="T207">
            <v>-8.2888647479725908E-2</v>
          </cell>
          <cell r="BB207">
            <v>-4.9270879363676467E-2</v>
          </cell>
          <cell r="BC207">
            <v>-5.0798580301685714E-2</v>
          </cell>
          <cell r="BD207">
            <v>-3.1404217137729895E-2</v>
          </cell>
          <cell r="BE207">
            <v>-2.9809676679660613E-2</v>
          </cell>
          <cell r="BF207">
            <v>-2.9514292354171467E-2</v>
          </cell>
          <cell r="BG207">
            <v>-2.8745033886422133E-2</v>
          </cell>
          <cell r="BH207">
            <v>-5.4654932839277248E-2</v>
          </cell>
          <cell r="BI207">
            <v>-4.8924604112503101E-2</v>
          </cell>
          <cell r="BJ207">
            <v>-4.1187739463601658E-2</v>
          </cell>
          <cell r="BK207">
            <v>-5.4379210779595843E-2</v>
          </cell>
          <cell r="BL207">
            <v>-5.5609995100441179E-2</v>
          </cell>
          <cell r="BM207">
            <v>-6.1878727634194663E-2</v>
          </cell>
          <cell r="BN207">
            <v>-6.2437562437562599E-2</v>
          </cell>
          <cell r="BO207">
            <v>-6.132315521628473E-2</v>
          </cell>
          <cell r="BP207">
            <v>-5.6031128404669173E-2</v>
          </cell>
          <cell r="BQ207">
            <v>-4.7211655629139537E-2</v>
          </cell>
          <cell r="BR207">
            <v>-5.5144379328716076E-2</v>
          </cell>
          <cell r="BS207">
            <v>-5.9529953917050737E-2</v>
          </cell>
          <cell r="BT207">
            <v>-7.8587524045067081E-2</v>
          </cell>
          <cell r="BU207">
            <v>-8.0810890642063704E-2</v>
          </cell>
        </row>
        <row r="209">
          <cell r="A209" t="str">
            <v>MOU</v>
          </cell>
          <cell r="F209">
            <v>567.75</v>
          </cell>
          <cell r="G209">
            <v>683.25</v>
          </cell>
          <cell r="H209">
            <v>734.75</v>
          </cell>
          <cell r="I209">
            <v>744.75</v>
          </cell>
          <cell r="J209">
            <v>729</v>
          </cell>
          <cell r="K209">
            <v>687.75</v>
          </cell>
          <cell r="L209">
            <v>656.5</v>
          </cell>
          <cell r="M209">
            <v>630.24</v>
          </cell>
          <cell r="N209">
            <v>605.03039999999999</v>
          </cell>
          <cell r="O209">
            <v>580.82918399999994</v>
          </cell>
          <cell r="P209">
            <v>557.5960166399999</v>
          </cell>
          <cell r="Q209">
            <v>535.29217597439992</v>
          </cell>
          <cell r="R209">
            <v>513.88048893542395</v>
          </cell>
          <cell r="S209">
            <v>493.32526937800696</v>
          </cell>
          <cell r="T209">
            <v>473.59225860288666</v>
          </cell>
          <cell r="Z209">
            <v>368.125</v>
          </cell>
          <cell r="AA209">
            <v>414</v>
          </cell>
          <cell r="AB209">
            <v>440.5</v>
          </cell>
          <cell r="AC209">
            <v>445</v>
          </cell>
          <cell r="AD209">
            <v>441</v>
          </cell>
          <cell r="AE209">
            <v>485</v>
          </cell>
          <cell r="AF209">
            <v>500</v>
          </cell>
          <cell r="AG209">
            <v>515</v>
          </cell>
          <cell r="AH209">
            <v>488</v>
          </cell>
          <cell r="AI209">
            <v>568</v>
          </cell>
          <cell r="AJ209">
            <v>598</v>
          </cell>
          <cell r="AK209">
            <v>617</v>
          </cell>
          <cell r="AL209">
            <v>643</v>
          </cell>
          <cell r="AM209">
            <v>692</v>
          </cell>
          <cell r="AN209">
            <v>698</v>
          </cell>
          <cell r="AO209">
            <v>700</v>
          </cell>
          <cell r="AP209">
            <v>698</v>
          </cell>
          <cell r="AQ209">
            <v>741</v>
          </cell>
          <cell r="AR209">
            <v>755</v>
          </cell>
          <cell r="AS209">
            <v>745</v>
          </cell>
          <cell r="AT209">
            <v>725</v>
          </cell>
          <cell r="AU209">
            <v>760</v>
          </cell>
          <cell r="AV209">
            <v>758</v>
          </cell>
          <cell r="AW209">
            <v>736</v>
          </cell>
          <cell r="AX209">
            <v>728</v>
          </cell>
          <cell r="AY209">
            <v>743</v>
          </cell>
          <cell r="AZ209">
            <v>734</v>
          </cell>
          <cell r="BA209">
            <v>711</v>
          </cell>
          <cell r="BB209">
            <v>691</v>
          </cell>
          <cell r="BC209">
            <v>703</v>
          </cell>
          <cell r="BD209">
            <v>687</v>
          </cell>
          <cell r="BE209">
            <v>670</v>
          </cell>
          <cell r="BF209">
            <v>660</v>
          </cell>
          <cell r="BG209">
            <v>660</v>
          </cell>
          <cell r="BH209">
            <v>662</v>
          </cell>
          <cell r="BI209">
            <v>644</v>
          </cell>
          <cell r="BJ209">
            <v>633.6</v>
          </cell>
          <cell r="BK209">
            <v>633.6</v>
          </cell>
          <cell r="BL209">
            <v>635.52</v>
          </cell>
          <cell r="BM209">
            <v>618.24</v>
          </cell>
          <cell r="BN209">
            <v>608.25599999999997</v>
          </cell>
          <cell r="BO209">
            <v>608.25599999999997</v>
          </cell>
          <cell r="BP209">
            <v>610.0992</v>
          </cell>
          <cell r="BQ209">
            <v>593.5104</v>
          </cell>
          <cell r="BR209">
            <v>583.92575999999997</v>
          </cell>
          <cell r="BS209">
            <v>583.92575999999997</v>
          </cell>
          <cell r="BT209">
            <v>585.69523200000003</v>
          </cell>
          <cell r="BU209">
            <v>569.76998400000002</v>
          </cell>
        </row>
        <row r="210">
          <cell r="A210" t="str">
            <v>% growth</v>
          </cell>
          <cell r="G210">
            <v>0.20343461030383092</v>
          </cell>
          <cell r="H210">
            <v>7.537504573728504E-2</v>
          </cell>
          <cell r="I210">
            <v>1.3610071452875072E-2</v>
          </cell>
          <cell r="J210">
            <v>-2.1148036253776481E-2</v>
          </cell>
          <cell r="K210">
            <v>-5.6584362139917688E-2</v>
          </cell>
          <cell r="L210">
            <v>-4.5438022537259148E-2</v>
          </cell>
          <cell r="M210">
            <v>-4.0000000000000036E-2</v>
          </cell>
          <cell r="N210">
            <v>-4.0000000000000036E-2</v>
          </cell>
          <cell r="O210">
            <v>-4.0000000000000036E-2</v>
          </cell>
          <cell r="P210">
            <v>-0.04</v>
          </cell>
          <cell r="Q210">
            <v>-0.04</v>
          </cell>
          <cell r="R210">
            <v>-0.04</v>
          </cell>
          <cell r="S210">
            <v>-0.04</v>
          </cell>
          <cell r="T210">
            <v>-0.04</v>
          </cell>
          <cell r="AH210">
            <v>0.10657596371882083</v>
          </cell>
          <cell r="AI210">
            <v>0.17113402061855676</v>
          </cell>
          <cell r="AJ210">
            <v>0.19599999999999995</v>
          </cell>
          <cell r="AK210">
            <v>0.19805825242718456</v>
          </cell>
          <cell r="AL210">
            <v>0.31762295081967218</v>
          </cell>
          <cell r="AM210">
            <v>0.21830985915492951</v>
          </cell>
          <cell r="AN210">
            <v>0.16722408026755864</v>
          </cell>
          <cell r="AO210">
            <v>0.13452188006482979</v>
          </cell>
          <cell r="AP210">
            <v>8.5536547433903598E-2</v>
          </cell>
          <cell r="AQ210">
            <v>7.0809248554913218E-2</v>
          </cell>
          <cell r="AR210">
            <v>8.1661891117478458E-2</v>
          </cell>
          <cell r="AS210">
            <v>6.4285714285714279E-2</v>
          </cell>
          <cell r="AT210">
            <v>3.8681948424068802E-2</v>
          </cell>
          <cell r="AU210">
            <v>2.564102564102555E-2</v>
          </cell>
          <cell r="AV210">
            <v>3.9735099337747659E-3</v>
          </cell>
          <cell r="AW210">
            <v>-1.2080536912751683E-2</v>
          </cell>
          <cell r="AX210">
            <v>4.1379310344826781E-3</v>
          </cell>
          <cell r="AY210">
            <v>-2.2368421052631593E-2</v>
          </cell>
          <cell r="AZ210">
            <v>-3.1662269129287601E-2</v>
          </cell>
          <cell r="BA210">
            <v>-3.3967391304347783E-2</v>
          </cell>
          <cell r="BB210">
            <v>-5.0824175824175866E-2</v>
          </cell>
          <cell r="BC210">
            <v>-5.3835800807537026E-2</v>
          </cell>
          <cell r="BD210">
            <v>-6.4032697547683926E-2</v>
          </cell>
          <cell r="BE210">
            <v>-5.7665260196905765E-2</v>
          </cell>
          <cell r="BF210">
            <v>-4.4862518089725079E-2</v>
          </cell>
          <cell r="BG210">
            <v>-6.1166429587482196E-2</v>
          </cell>
          <cell r="BH210">
            <v>-3.6390101892285309E-2</v>
          </cell>
          <cell r="BI210">
            <v>-3.8805970149253688E-2</v>
          </cell>
          <cell r="BJ210">
            <v>-3.9999999999999925E-2</v>
          </cell>
          <cell r="BK210">
            <v>-3.9999999999999925E-2</v>
          </cell>
          <cell r="BL210">
            <v>-4.0000000000000036E-2</v>
          </cell>
          <cell r="BM210">
            <v>-4.0000000000000036E-2</v>
          </cell>
          <cell r="BN210">
            <v>-4.0000000000000036E-2</v>
          </cell>
          <cell r="BO210">
            <v>-4.0000000000000036E-2</v>
          </cell>
          <cell r="BP210">
            <v>-3.9999999999999925E-2</v>
          </cell>
          <cell r="BQ210">
            <v>-3.9999999999999925E-2</v>
          </cell>
          <cell r="BR210">
            <v>-3.9999999999999925E-2</v>
          </cell>
          <cell r="BS210">
            <v>-3.9999999999999925E-2</v>
          </cell>
          <cell r="BT210">
            <v>-3.9999999999999925E-2</v>
          </cell>
          <cell r="BU210">
            <v>-3.9999999999999925E-2</v>
          </cell>
        </row>
        <row r="211">
          <cell r="A211" t="str">
            <v>Price per MOU</v>
          </cell>
          <cell r="F211">
            <v>51.328929986789959</v>
          </cell>
          <cell r="G211">
            <v>44.841566044639592</v>
          </cell>
          <cell r="H211">
            <v>45.942157196325283</v>
          </cell>
          <cell r="I211">
            <v>5.4198916367056225E-2</v>
          </cell>
          <cell r="J211">
            <v>5.231911593771512E-2</v>
          </cell>
          <cell r="K211">
            <v>5.1461430603541504E-2</v>
          </cell>
          <cell r="L211">
            <v>4.9639969413099859E-2</v>
          </cell>
          <cell r="M211">
            <v>4.6076420972365778E-2</v>
          </cell>
          <cell r="N211">
            <v>4.3475855517165977E-2</v>
          </cell>
          <cell r="O211">
            <v>4.3437994248958299E-2</v>
          </cell>
          <cell r="P211">
            <v>4.4549853236601593E-2</v>
          </cell>
          <cell r="Q211">
            <v>4.4639985925655719E-2</v>
          </cell>
          <cell r="R211">
            <v>4.4612874417758672E-2</v>
          </cell>
          <cell r="S211">
            <v>4.3491088859646747E-2</v>
          </cell>
          <cell r="T211">
            <v>4.2230813630993409E-2</v>
          </cell>
          <cell r="AH211">
            <v>0</v>
          </cell>
          <cell r="AI211">
            <v>0</v>
          </cell>
          <cell r="AJ211">
            <v>0</v>
          </cell>
          <cell r="AK211">
            <v>0</v>
          </cell>
          <cell r="AL211">
            <v>7.1368584758942463E-2</v>
          </cell>
          <cell r="AM211">
            <v>6.7052023121387291E-2</v>
          </cell>
          <cell r="AN211">
            <v>6.5000000000000002E-2</v>
          </cell>
          <cell r="AO211">
            <v>6.3171428571428573E-2</v>
          </cell>
          <cell r="AP211">
            <v>6.2048710601719202E-2</v>
          </cell>
          <cell r="AQ211">
            <v>5.819163292847504E-2</v>
          </cell>
          <cell r="AR211">
            <v>5.7602649006622521E-2</v>
          </cell>
          <cell r="AS211">
            <v>5.6563758389261747E-2</v>
          </cell>
          <cell r="AT211">
            <v>5.7006896551724133E-2</v>
          </cell>
          <cell r="AU211">
            <v>5.5078947368421054E-2</v>
          </cell>
          <cell r="AV211">
            <v>5.472295514511874E-2</v>
          </cell>
          <cell r="AW211">
            <v>5.4714673913043479E-2</v>
          </cell>
          <cell r="AX211">
            <v>5.383241758241758E-2</v>
          </cell>
          <cell r="AY211">
            <v>5.2153432032301481E-2</v>
          </cell>
          <cell r="AZ211">
            <v>5.2166212534059953E-2</v>
          </cell>
          <cell r="BA211">
            <v>5.237693389592124E-2</v>
          </cell>
          <cell r="BB211">
            <v>5.2648335745296676E-2</v>
          </cell>
          <cell r="BC211">
            <v>5.1251778093883357E-2</v>
          </cell>
          <cell r="BD211">
            <v>5.2474526928675394E-2</v>
          </cell>
          <cell r="BE211">
            <v>5.2298507462686564E-2</v>
          </cell>
          <cell r="BF211">
            <v>5.1257575757575752E-2</v>
          </cell>
          <cell r="BG211">
            <v>5.0621212121212129E-2</v>
          </cell>
          <cell r="BH211">
            <v>4.9184290030211471E-2</v>
          </cell>
          <cell r="BI211">
            <v>4.8881987577639757E-2</v>
          </cell>
          <cell r="BJ211">
            <v>4.818497474747474E-2</v>
          </cell>
          <cell r="BK211">
            <v>4.701704545454545E-2</v>
          </cell>
          <cell r="BL211">
            <v>4.5521777442094666E-2</v>
          </cell>
          <cell r="BM211">
            <v>4.4869306418219457E-2</v>
          </cell>
          <cell r="BN211">
            <v>4.4652251683501683E-2</v>
          </cell>
          <cell r="BO211">
            <v>4.3748027146464648E-2</v>
          </cell>
          <cell r="BP211">
            <v>4.2812709801946972E-2</v>
          </cell>
          <cell r="BQ211">
            <v>4.311271171217914E-2</v>
          </cell>
          <cell r="BR211">
            <v>4.3879611208925792E-2</v>
          </cell>
          <cell r="BS211">
            <v>4.3760793309695817E-2</v>
          </cell>
          <cell r="BT211">
            <v>4.2983464664403288E-2</v>
          </cell>
          <cell r="BU211">
            <v>4.3382716703906268E-2</v>
          </cell>
        </row>
        <row r="212">
          <cell r="A212" t="str">
            <v>% growth</v>
          </cell>
          <cell r="G212">
            <v>-0.12638806115420598</v>
          </cell>
          <cell r="H212">
            <v>2.4543994529318214E-2</v>
          </cell>
          <cell r="I212">
            <v>-0.9988202792451506</v>
          </cell>
          <cell r="J212">
            <v>-3.4683358180269908E-2</v>
          </cell>
          <cell r="K212">
            <v>-1.6393345315594998E-2</v>
          </cell>
          <cell r="L212">
            <v>-3.539468625491915E-2</v>
          </cell>
          <cell r="M212">
            <v>-7.1787885505700366E-2</v>
          </cell>
          <cell r="N212">
            <v>-5.6440265982452997E-2</v>
          </cell>
          <cell r="O212">
            <v>-8.7085734730918407E-4</v>
          </cell>
          <cell r="P212">
            <v>2.5596462425747424E-2</v>
          </cell>
          <cell r="Q212">
            <v>2.0231871152400771E-3</v>
          </cell>
          <cell r="R212">
            <v>-6.0733683792368875E-4</v>
          </cell>
          <cell r="S212">
            <v>-2.5144884133836198E-2</v>
          </cell>
          <cell r="T212">
            <v>-2.8977780545354048E-2</v>
          </cell>
          <cell r="AP212">
            <v>-0.130587907672577</v>
          </cell>
          <cell r="AQ212">
            <v>-0.13214202615291548</v>
          </cell>
          <cell r="AR212">
            <v>-0.11380539989811511</v>
          </cell>
          <cell r="AS212">
            <v>-0.10459903047301622</v>
          </cell>
          <cell r="AT212">
            <v>-8.1255742482026272E-2</v>
          </cell>
          <cell r="AU212">
            <v>-5.3490259740259782E-2</v>
          </cell>
          <cell r="AV212">
            <v>-4.9992385960803687E-2</v>
          </cell>
          <cell r="AW212">
            <v>-3.2690268979179149E-2</v>
          </cell>
          <cell r="AX212">
            <v>-5.5685875943558005E-2</v>
          </cell>
          <cell r="AY212">
            <v>-5.3114946379619554E-2</v>
          </cell>
          <cell r="AZ212">
            <v>-4.6721574232945096E-2</v>
          </cell>
          <cell r="BA212">
            <v>-4.2726015709013354E-2</v>
          </cell>
          <cell r="BB212">
            <v>-2.1995702409390638E-2</v>
          </cell>
          <cell r="BC212">
            <v>-1.7288487128894636E-2</v>
          </cell>
          <cell r="BD212">
            <v>5.9102315395072047E-3</v>
          </cell>
          <cell r="BE212">
            <v>-1.4973467784601402E-3</v>
          </cell>
          <cell r="BF212">
            <v>-2.6416029453412815E-2</v>
          </cell>
          <cell r="BG212">
            <v>-1.2303299439019533E-2</v>
          </cell>
          <cell r="BH212">
            <v>-6.2701601920796546E-2</v>
          </cell>
          <cell r="BI212">
            <v>-6.532729232252743E-2</v>
          </cell>
          <cell r="BJ212">
            <v>-5.9944329490590254E-2</v>
          </cell>
          <cell r="BK212">
            <v>-7.1198742891350086E-2</v>
          </cell>
          <cell r="BL212">
            <v>-7.4465090090089836E-2</v>
          </cell>
          <cell r="BM212">
            <v>-8.2089157136806645E-2</v>
          </cell>
          <cell r="BN212">
            <v>-7.331586417731184E-2</v>
          </cell>
          <cell r="BO212">
            <v>-6.9528365223229138E-2</v>
          </cell>
          <cell r="BP212">
            <v>-5.9511464454430119E-2</v>
          </cell>
          <cell r="BQ212">
            <v>-3.9149138827049956E-2</v>
          </cell>
          <cell r="BR212">
            <v>-1.7303505320457768E-2</v>
          </cell>
          <cell r="BS212">
            <v>2.9181117558585434E-4</v>
          </cell>
          <cell r="BT212">
            <v>3.9884151983426985E-3</v>
          </cell>
          <cell r="BU212">
            <v>6.2627698654096342E-3</v>
          </cell>
        </row>
        <row r="213">
          <cell r="A213" t="str">
            <v>Equipment revenues</v>
          </cell>
          <cell r="F213">
            <v>3166</v>
          </cell>
          <cell r="G213">
            <v>3795</v>
          </cell>
          <cell r="H213">
            <v>3750</v>
          </cell>
          <cell r="I213">
            <v>4006</v>
          </cell>
          <cell r="J213">
            <v>4925</v>
          </cell>
          <cell r="K213">
            <v>4941</v>
          </cell>
          <cell r="L213">
            <v>4991</v>
          </cell>
          <cell r="M213">
            <v>6489</v>
          </cell>
          <cell r="N213">
            <v>7186.3432651117055</v>
          </cell>
          <cell r="O213">
            <v>7466.3933055622547</v>
          </cell>
          <cell r="P213">
            <v>7711.099401583383</v>
          </cell>
          <cell r="Q213">
            <v>7990.4761920894089</v>
          </cell>
          <cell r="R213">
            <v>8120.7362029524302</v>
          </cell>
          <cell r="S213">
            <v>8285.034365420619</v>
          </cell>
          <cell r="T213">
            <v>8429.8259065886741</v>
          </cell>
          <cell r="AH213">
            <v>722</v>
          </cell>
          <cell r="AI213">
            <v>715</v>
          </cell>
          <cell r="AJ213">
            <v>837</v>
          </cell>
          <cell r="AK213">
            <v>892</v>
          </cell>
          <cell r="AL213">
            <v>810</v>
          </cell>
          <cell r="AM213">
            <v>890</v>
          </cell>
          <cell r="AN213">
            <v>1025</v>
          </cell>
          <cell r="AO213">
            <v>1070</v>
          </cell>
          <cell r="AP213">
            <v>975</v>
          </cell>
          <cell r="AQ213">
            <v>923</v>
          </cell>
          <cell r="AR213">
            <v>892</v>
          </cell>
          <cell r="AS213">
            <v>960</v>
          </cell>
          <cell r="AT213">
            <v>905</v>
          </cell>
          <cell r="AU213">
            <v>855</v>
          </cell>
          <cell r="AV213">
            <v>1077</v>
          </cell>
          <cell r="AW213">
            <v>1169</v>
          </cell>
          <cell r="AX213">
            <v>1180</v>
          </cell>
          <cell r="AY213">
            <v>1082</v>
          </cell>
          <cell r="AZ213">
            <v>1345</v>
          </cell>
          <cell r="BA213">
            <v>1318</v>
          </cell>
          <cell r="BB213">
            <v>1192</v>
          </cell>
          <cell r="BC213">
            <v>1262</v>
          </cell>
          <cell r="BD213">
            <v>1255</v>
          </cell>
          <cell r="BE213">
            <v>1232</v>
          </cell>
          <cell r="BF213">
            <v>1047</v>
          </cell>
          <cell r="BG213">
            <v>1056</v>
          </cell>
          <cell r="BH213">
            <v>1505</v>
          </cell>
          <cell r="BI213">
            <v>1383</v>
          </cell>
          <cell r="BJ213">
            <v>1349</v>
          </cell>
          <cell r="BK213">
            <v>1446</v>
          </cell>
          <cell r="BL213">
            <v>1345</v>
          </cell>
          <cell r="BM213">
            <v>2349</v>
          </cell>
          <cell r="BN213">
            <v>1570</v>
          </cell>
          <cell r="BO213">
            <v>1588</v>
          </cell>
          <cell r="BP213">
            <v>1726</v>
          </cell>
          <cell r="BQ213">
            <v>2302.343265111705</v>
          </cell>
          <cell r="BR213">
            <v>1637.0315987248255</v>
          </cell>
          <cell r="BS213">
            <v>1668.3167823369183</v>
          </cell>
          <cell r="BT213">
            <v>1881.8777477754784</v>
          </cell>
          <cell r="BU213">
            <v>2279.1671767250332</v>
          </cell>
        </row>
        <row r="214">
          <cell r="A214" t="str">
            <v>% growth</v>
          </cell>
          <cell r="G214">
            <v>0.19867340492735308</v>
          </cell>
          <cell r="H214">
            <v>-1.1857707509881465E-2</v>
          </cell>
          <cell r="I214">
            <v>6.8266666666666698E-2</v>
          </cell>
          <cell r="J214">
            <v>0.22940589116325505</v>
          </cell>
          <cell r="K214">
            <v>3.2487309644670948E-3</v>
          </cell>
          <cell r="L214">
            <v>1.0119409026512871E-2</v>
          </cell>
          <cell r="M214">
            <v>0.30014025245441789</v>
          </cell>
          <cell r="N214">
            <v>0.10746544384523116</v>
          </cell>
          <cell r="O214">
            <v>3.8969755565412267E-2</v>
          </cell>
          <cell r="P214">
            <v>3.2774337756735772E-2</v>
          </cell>
          <cell r="Q214">
            <v>3.6230474535013713E-2</v>
          </cell>
          <cell r="R214">
            <v>1.6301908388385966E-2</v>
          </cell>
          <cell r="S214">
            <v>2.0231929515017955E-2</v>
          </cell>
          <cell r="T214">
            <v>1.7476275267170216E-2</v>
          </cell>
          <cell r="AH214">
            <v>0.56616052060737521</v>
          </cell>
          <cell r="AI214">
            <v>0.4711934156378601</v>
          </cell>
          <cell r="AJ214">
            <v>0.19571428571428573</v>
          </cell>
          <cell r="AK214">
            <v>0.26524822695035466</v>
          </cell>
          <cell r="AL214">
            <v>0.12188365650969524</v>
          </cell>
          <cell r="AM214">
            <v>0.24475524475524479</v>
          </cell>
          <cell r="AN214">
            <v>0.2246117084826762</v>
          </cell>
          <cell r="AO214">
            <v>0.19955156950672648</v>
          </cell>
          <cell r="AP214">
            <v>0.20370370370370372</v>
          </cell>
          <cell r="AQ214">
            <v>3.7078651685393149E-2</v>
          </cell>
          <cell r="AR214">
            <v>-0.12975609756097561</v>
          </cell>
          <cell r="AS214">
            <v>-0.10280373831775702</v>
          </cell>
          <cell r="AT214">
            <v>-7.1794871794871762E-2</v>
          </cell>
          <cell r="AU214">
            <v>-7.3672806067172303E-2</v>
          </cell>
          <cell r="AV214">
            <v>0.20739910313901344</v>
          </cell>
          <cell r="AW214">
            <v>0.21770833333333339</v>
          </cell>
          <cell r="AX214">
            <v>0.30386740331491713</v>
          </cell>
          <cell r="AY214">
            <v>0.2654970760233919</v>
          </cell>
          <cell r="AZ214">
            <v>0.24883936861652733</v>
          </cell>
          <cell r="BA214">
            <v>0.12745936698032501</v>
          </cell>
          <cell r="BB214">
            <v>1.0169491525423791E-2</v>
          </cell>
          <cell r="BC214">
            <v>0.16635859519408513</v>
          </cell>
          <cell r="BD214">
            <v>-6.6914498141263934E-2</v>
          </cell>
          <cell r="BE214">
            <v>-6.5250379362670752E-2</v>
          </cell>
          <cell r="BF214">
            <v>-0.12164429530201337</v>
          </cell>
          <cell r="BG214">
            <v>-0.16323296354992078</v>
          </cell>
          <cell r="BH214">
            <v>0.19920318725099606</v>
          </cell>
          <cell r="BI214">
            <v>0.12256493506493515</v>
          </cell>
          <cell r="BJ214">
            <v>0.28844317096466088</v>
          </cell>
          <cell r="BK214">
            <v>0.36931818181818188</v>
          </cell>
          <cell r="BL214">
            <v>-0.10631229235880402</v>
          </cell>
          <cell r="BM214">
            <v>0.69848156182212584</v>
          </cell>
          <cell r="BN214">
            <v>0.16382505559673843</v>
          </cell>
          <cell r="BO214">
            <v>9.820193637621033E-2</v>
          </cell>
          <cell r="BP214">
            <v>0.28327137546468406</v>
          </cell>
          <cell r="BQ214">
            <v>-1.9862381817069008E-2</v>
          </cell>
          <cell r="BR214">
            <v>4.2695285811990669E-2</v>
          </cell>
          <cell r="BS214">
            <v>5.0577318851963593E-2</v>
          </cell>
          <cell r="BT214">
            <v>9.0311557227971351E-2</v>
          </cell>
          <cell r="BU214">
            <v>-1.0066304507181045E-2</v>
          </cell>
        </row>
        <row r="215">
          <cell r="A215" t="str">
            <v>iPhone revenues (000)</v>
          </cell>
          <cell r="K215">
            <v>2060</v>
          </cell>
          <cell r="L215">
            <v>3040</v>
          </cell>
          <cell r="M215">
            <v>3500</v>
          </cell>
          <cell r="N215">
            <v>4090</v>
          </cell>
          <cell r="O215">
            <v>3566.7466666666669</v>
          </cell>
          <cell r="P215">
            <v>3281.25</v>
          </cell>
          <cell r="Q215">
            <v>3215.6250000000005</v>
          </cell>
          <cell r="R215">
            <v>3135.234375</v>
          </cell>
          <cell r="S215">
            <v>3038.765625</v>
          </cell>
          <cell r="T215">
            <v>3190.7039062499998</v>
          </cell>
          <cell r="AX215">
            <v>227.5</v>
          </cell>
          <cell r="AY215">
            <v>446.87695000000002</v>
          </cell>
          <cell r="AZ215">
            <v>600</v>
          </cell>
          <cell r="BA215">
            <v>475</v>
          </cell>
          <cell r="BB215">
            <v>320</v>
          </cell>
          <cell r="BC215">
            <v>480</v>
          </cell>
          <cell r="BD215">
            <v>640</v>
          </cell>
          <cell r="BE215">
            <v>620</v>
          </cell>
          <cell r="BF215">
            <v>540</v>
          </cell>
          <cell r="BG215">
            <v>640</v>
          </cell>
          <cell r="BH215">
            <v>1040</v>
          </cell>
          <cell r="BI215">
            <v>820</v>
          </cell>
          <cell r="BJ215">
            <v>720</v>
          </cell>
          <cell r="BK215">
            <v>720</v>
          </cell>
          <cell r="BL215">
            <v>540</v>
          </cell>
          <cell r="BM215">
            <v>1520</v>
          </cell>
          <cell r="BN215">
            <v>860</v>
          </cell>
          <cell r="BO215">
            <v>740</v>
          </cell>
          <cell r="BP215">
            <v>940</v>
          </cell>
          <cell r="BQ215">
            <v>1550</v>
          </cell>
          <cell r="BR215">
            <v>866.66666666666674</v>
          </cell>
          <cell r="BS215">
            <v>700</v>
          </cell>
          <cell r="BT215">
            <v>700</v>
          </cell>
          <cell r="BU215">
            <v>1300.08</v>
          </cell>
        </row>
        <row r="216">
          <cell r="A216" t="str">
            <v>iPhone rev/add (gross + upgrades) $</v>
          </cell>
          <cell r="K216">
            <v>200</v>
          </cell>
          <cell r="L216">
            <v>200</v>
          </cell>
          <cell r="M216">
            <v>200</v>
          </cell>
          <cell r="N216">
            <v>200</v>
          </cell>
          <cell r="O216">
            <v>200</v>
          </cell>
          <cell r="P216">
            <v>200</v>
          </cell>
          <cell r="Q216">
            <v>200</v>
          </cell>
          <cell r="R216">
            <v>200</v>
          </cell>
          <cell r="S216">
            <v>200</v>
          </cell>
          <cell r="T216">
            <v>200</v>
          </cell>
          <cell r="AX216">
            <v>650</v>
          </cell>
          <cell r="AY216">
            <v>650</v>
          </cell>
          <cell r="AZ216">
            <v>250</v>
          </cell>
          <cell r="BA216">
            <v>250</v>
          </cell>
          <cell r="BB216">
            <v>200</v>
          </cell>
          <cell r="BC216">
            <v>200</v>
          </cell>
          <cell r="BD216">
            <v>200</v>
          </cell>
          <cell r="BE216">
            <v>200</v>
          </cell>
          <cell r="BF216">
            <v>200</v>
          </cell>
          <cell r="BG216">
            <v>200</v>
          </cell>
          <cell r="BH216">
            <v>200</v>
          </cell>
          <cell r="BI216">
            <v>200</v>
          </cell>
          <cell r="BJ216">
            <v>200</v>
          </cell>
          <cell r="BK216">
            <v>200</v>
          </cell>
          <cell r="BL216">
            <v>200</v>
          </cell>
          <cell r="BM216">
            <v>200</v>
          </cell>
          <cell r="BN216">
            <v>200</v>
          </cell>
          <cell r="BO216">
            <v>200</v>
          </cell>
          <cell r="BP216">
            <v>200</v>
          </cell>
          <cell r="BQ216">
            <v>200</v>
          </cell>
          <cell r="BR216">
            <v>200</v>
          </cell>
          <cell r="BS216">
            <v>200</v>
          </cell>
          <cell r="BT216">
            <v>200</v>
          </cell>
          <cell r="BU216">
            <v>200</v>
          </cell>
        </row>
        <row r="217">
          <cell r="A217" t="str">
            <v>Other Handset revenues</v>
          </cell>
          <cell r="K217">
            <v>2881</v>
          </cell>
          <cell r="L217">
            <v>1951</v>
          </cell>
          <cell r="M217">
            <v>2989</v>
          </cell>
          <cell r="N217">
            <v>3096.343265111705</v>
          </cell>
          <cell r="O217">
            <v>3899.6466388955887</v>
          </cell>
          <cell r="P217">
            <v>4429.849401583383</v>
          </cell>
          <cell r="Q217">
            <v>4774.851192089408</v>
          </cell>
          <cell r="R217">
            <v>4985.5018279524302</v>
          </cell>
          <cell r="S217">
            <v>5246.2687404206199</v>
          </cell>
          <cell r="T217">
            <v>5239.1220003386743</v>
          </cell>
          <cell r="AX217">
            <v>952.5</v>
          </cell>
          <cell r="AY217">
            <v>635.12304999999992</v>
          </cell>
          <cell r="AZ217">
            <v>745</v>
          </cell>
          <cell r="BA217">
            <v>843</v>
          </cell>
          <cell r="BB217">
            <v>872</v>
          </cell>
          <cell r="BC217">
            <v>782</v>
          </cell>
          <cell r="BD217">
            <v>615</v>
          </cell>
          <cell r="BE217">
            <v>612</v>
          </cell>
          <cell r="BF217">
            <v>507</v>
          </cell>
          <cell r="BG217">
            <v>416</v>
          </cell>
          <cell r="BH217">
            <v>465</v>
          </cell>
          <cell r="BI217">
            <v>563</v>
          </cell>
          <cell r="BJ217">
            <v>629</v>
          </cell>
          <cell r="BK217">
            <v>726</v>
          </cell>
          <cell r="BL217">
            <v>805</v>
          </cell>
          <cell r="BM217">
            <v>829</v>
          </cell>
          <cell r="BN217">
            <v>710</v>
          </cell>
          <cell r="BO217">
            <v>848</v>
          </cell>
          <cell r="BP217">
            <v>786</v>
          </cell>
          <cell r="BQ217">
            <v>752.34326511170491</v>
          </cell>
          <cell r="BR217">
            <v>770.36493205815862</v>
          </cell>
          <cell r="BS217">
            <v>968.31678233691832</v>
          </cell>
          <cell r="BT217">
            <v>1181.8777477754784</v>
          </cell>
          <cell r="BU217">
            <v>979.08717672503337</v>
          </cell>
        </row>
        <row r="218">
          <cell r="A218" t="str">
            <v>Other Handset - Equipment revenues per gross add</v>
          </cell>
          <cell r="F218">
            <v>170.21505376344086</v>
          </cell>
          <cell r="G218">
            <v>203.65997638724912</v>
          </cell>
          <cell r="H218">
            <v>195.3125</v>
          </cell>
          <cell r="I218">
            <v>199.05590062111801</v>
          </cell>
          <cell r="J218">
            <v>92.269762600518362</v>
          </cell>
          <cell r="K218">
            <v>93.896513474814554</v>
          </cell>
          <cell r="L218">
            <v>65.432017486238834</v>
          </cell>
          <cell r="M218">
            <v>96.595447872784433</v>
          </cell>
          <cell r="N218">
            <v>148.85367898853536</v>
          </cell>
          <cell r="O218">
            <v>168.1776692207813</v>
          </cell>
          <cell r="P218">
            <v>181.63188275844382</v>
          </cell>
          <cell r="Q218">
            <v>194.3461145515349</v>
          </cell>
          <cell r="R218">
            <v>202.1199591335963</v>
          </cell>
          <cell r="S218">
            <v>210.20475749894015</v>
          </cell>
          <cell r="T218">
            <v>218.61294779889778</v>
          </cell>
          <cell r="AH218">
            <v>167.90697674418607</v>
          </cell>
          <cell r="AI218">
            <v>166.27906976744185</v>
          </cell>
          <cell r="AJ218">
            <v>170.81632653061223</v>
          </cell>
          <cell r="AK218">
            <v>174.90196078431373</v>
          </cell>
          <cell r="AL218">
            <v>168.75</v>
          </cell>
          <cell r="AM218">
            <v>203.01094890510947</v>
          </cell>
          <cell r="AN218">
            <v>235.63218390804596</v>
          </cell>
          <cell r="AO218">
            <v>209.80392156862746</v>
          </cell>
          <cell r="AP218">
            <v>207.44680851063831</v>
          </cell>
          <cell r="AQ218">
            <v>209.77272727272728</v>
          </cell>
          <cell r="AR218">
            <v>193.91304347826087</v>
          </cell>
          <cell r="AS218">
            <v>174.54545454545456</v>
          </cell>
          <cell r="AT218">
            <v>210.46511627906978</v>
          </cell>
          <cell r="AU218">
            <v>190</v>
          </cell>
          <cell r="AV218">
            <v>202.25352112676057</v>
          </cell>
          <cell r="AW218">
            <v>194.83333333333334</v>
          </cell>
          <cell r="AX218">
            <v>104.14744881994818</v>
          </cell>
          <cell r="AY218">
            <v>73.412897573456007</v>
          </cell>
          <cell r="AZ218">
            <v>94.264368115035737</v>
          </cell>
          <cell r="BA218">
            <v>97.254335893633538</v>
          </cell>
          <cell r="BB218">
            <v>108.62146235031882</v>
          </cell>
          <cell r="BC218">
            <v>106.90843978424508</v>
          </cell>
          <cell r="BD218">
            <v>85.520778712440318</v>
          </cell>
          <cell r="BE218">
            <v>75.10187716896553</v>
          </cell>
          <cell r="BF218">
            <v>65.98773057717203</v>
          </cell>
          <cell r="BG218">
            <v>59.446796542531438</v>
          </cell>
          <cell r="BH218">
            <v>72.544692132651377</v>
          </cell>
          <cell r="BI218">
            <v>64.517869421470436</v>
          </cell>
          <cell r="BJ218">
            <v>74.473017561424271</v>
          </cell>
          <cell r="BK218">
            <v>101.58059546461111</v>
          </cell>
          <cell r="BL218">
            <v>100.18309736667048</v>
          </cell>
          <cell r="BM218">
            <v>113.32640228692408</v>
          </cell>
          <cell r="BN218">
            <v>121.44841743175822</v>
          </cell>
          <cell r="BO218">
            <v>156.11008426594071</v>
          </cell>
          <cell r="BP218">
            <v>154.20025909174831</v>
          </cell>
          <cell r="BQ218">
            <v>169.98960343038613</v>
          </cell>
          <cell r="BR218">
            <v>136.02222752356923</v>
          </cell>
          <cell r="BS218">
            <v>174.84329437785362</v>
          </cell>
          <cell r="BT218">
            <v>172.70429018275811</v>
          </cell>
          <cell r="BU218">
            <v>190.38835584203247</v>
          </cell>
        </row>
        <row r="219">
          <cell r="A219" t="str">
            <v>% growth</v>
          </cell>
          <cell r="G219">
            <v>0.19648627947025687</v>
          </cell>
          <cell r="H219">
            <v>-4.0987318840579712E-2</v>
          </cell>
          <cell r="I219">
            <v>1.9166211180124293E-2</v>
          </cell>
          <cell r="J219">
            <v>-0.53646306232265806</v>
          </cell>
          <cell r="K219">
            <v>1.7630378885217235E-2</v>
          </cell>
          <cell r="L219">
            <v>-0.3031475284352344</v>
          </cell>
          <cell r="M219">
            <v>0.47627188620769112</v>
          </cell>
          <cell r="N219">
            <v>0.54100097123183977</v>
          </cell>
          <cell r="O219">
            <v>0.12981869419387526</v>
          </cell>
          <cell r="P219">
            <v>0.08</v>
          </cell>
          <cell r="Q219">
            <v>7.0000000000000007E-2</v>
          </cell>
          <cell r="R219">
            <v>0.04</v>
          </cell>
          <cell r="S219">
            <v>0.04</v>
          </cell>
          <cell r="T219">
            <v>0.04</v>
          </cell>
          <cell r="AH219">
            <v>0.32264077082177289</v>
          </cell>
          <cell r="AI219">
            <v>0.35651115178485981</v>
          </cell>
          <cell r="AJ219">
            <v>0.14192959300291541</v>
          </cell>
          <cell r="AK219">
            <v>0.19398001946878041</v>
          </cell>
          <cell r="AL219">
            <v>5.0207756232685252E-3</v>
          </cell>
          <cell r="AM219">
            <v>0.22090500740135766</v>
          </cell>
          <cell r="AN219">
            <v>0.37944767162416415</v>
          </cell>
          <cell r="AO219">
            <v>0.19955156950672648</v>
          </cell>
          <cell r="AP219">
            <v>0.2293144208037825</v>
          </cell>
          <cell r="AQ219">
            <v>3.3307456588355544E-2</v>
          </cell>
          <cell r="AR219">
            <v>-0.17705196182396599</v>
          </cell>
          <cell r="AS219">
            <v>-0.16805437553101099</v>
          </cell>
          <cell r="AT219">
            <v>1.4549791293977377E-2</v>
          </cell>
          <cell r="AU219">
            <v>-9.4257854821235165E-2</v>
          </cell>
          <cell r="AV219">
            <v>4.3011431819617307E-2</v>
          </cell>
          <cell r="AW219">
            <v>0.1162326388888888</v>
          </cell>
          <cell r="AX219">
            <v>-0.50515576803781537</v>
          </cell>
          <cell r="AY219">
            <v>-0.61361632856075787</v>
          </cell>
          <cell r="AZ219">
            <v>-0.53392965625574251</v>
          </cell>
          <cell r="BA219">
            <v>-0.50083317762035828</v>
          </cell>
          <cell r="BB219">
            <v>4.2958455354056513E-2</v>
          </cell>
          <cell r="BC219">
            <v>0.45626236421568644</v>
          </cell>
          <cell r="BD219">
            <v>-9.2756038972490185E-2</v>
          </cell>
          <cell r="BE219">
            <v>-0.22777862314432973</v>
          </cell>
          <cell r="BF219">
            <v>-0.39249823055822319</v>
          </cell>
          <cell r="BG219">
            <v>-0.44394664572317499</v>
          </cell>
          <cell r="BH219">
            <v>-0.15173022013071746</v>
          </cell>
          <cell r="BI219">
            <v>-0.14092867111274732</v>
          </cell>
          <cell r="BJ219">
            <v>0.12858885902021999</v>
          </cell>
          <cell r="BK219">
            <v>0.70876483465235807</v>
          </cell>
          <cell r="BL219">
            <v>0.38098452721366538</v>
          </cell>
          <cell r="BM219">
            <v>0.75651185172601187</v>
          </cell>
          <cell r="BN219">
            <v>0.63077073292470409</v>
          </cell>
          <cell r="BO219">
            <v>0.53681009204486019</v>
          </cell>
          <cell r="BP219">
            <v>0.53918438484063658</v>
          </cell>
          <cell r="BQ219">
            <v>0.5</v>
          </cell>
          <cell r="BR219">
            <v>0.12</v>
          </cell>
          <cell r="BS219">
            <v>0.12</v>
          </cell>
          <cell r="BT219">
            <v>0.12</v>
          </cell>
          <cell r="BU219">
            <v>0.12</v>
          </cell>
        </row>
        <row r="220">
          <cell r="A220" t="str">
            <v>Upgrades (using prev qrt postpaid base)</v>
          </cell>
          <cell r="K220">
            <v>19583.68</v>
          </cell>
          <cell r="L220">
            <v>22031.383999999998</v>
          </cell>
          <cell r="M220">
            <v>24518.425999999999</v>
          </cell>
          <cell r="N220">
            <v>20169.660000000003</v>
          </cell>
          <cell r="O220">
            <v>20797.547930133343</v>
          </cell>
          <cell r="P220">
            <v>21435.504451826102</v>
          </cell>
          <cell r="Q220">
            <v>21962.55019884176</v>
          </cell>
          <cell r="R220">
            <v>22167.952996039603</v>
          </cell>
          <cell r="S220">
            <v>22334.717528675701</v>
          </cell>
          <cell r="T220">
            <v>22407.661071356993</v>
          </cell>
          <cell r="AX220">
            <v>4424.8</v>
          </cell>
          <cell r="AY220">
            <v>4457.3599999999997</v>
          </cell>
          <cell r="AZ220">
            <v>4537.4400000000005</v>
          </cell>
          <cell r="BA220">
            <v>4668.4000000000005</v>
          </cell>
          <cell r="BB220">
            <v>4772.24</v>
          </cell>
          <cell r="BC220">
            <v>4842.8</v>
          </cell>
          <cell r="BD220">
            <v>4931.76</v>
          </cell>
          <cell r="BE220">
            <v>5036.88</v>
          </cell>
          <cell r="BF220">
            <v>5170.16</v>
          </cell>
          <cell r="BG220">
            <v>5208.6400000000003</v>
          </cell>
          <cell r="BH220">
            <v>5357.6</v>
          </cell>
          <cell r="BI220">
            <v>6294.9840000000004</v>
          </cell>
          <cell r="BJ220">
            <v>6123.69</v>
          </cell>
          <cell r="BK220">
            <v>5444.96</v>
          </cell>
          <cell r="BL220">
            <v>4784.71</v>
          </cell>
          <cell r="BM220">
            <v>8165.0659999999998</v>
          </cell>
          <cell r="BN220">
            <v>4851.63</v>
          </cell>
          <cell r="BO220">
            <v>4164.18</v>
          </cell>
          <cell r="BP220">
            <v>4876.6200000000008</v>
          </cell>
          <cell r="BQ220">
            <v>6277.23</v>
          </cell>
          <cell r="BR220">
            <v>4917.5910877494844</v>
          </cell>
          <cell r="BS220">
            <v>4224.9698468529805</v>
          </cell>
          <cell r="BT220">
            <v>5644.6504536236507</v>
          </cell>
          <cell r="BU220">
            <v>6010.3365419072288</v>
          </cell>
        </row>
        <row r="221">
          <cell r="A221" t="str">
            <v>Upgrades %</v>
          </cell>
          <cell r="K221">
            <v>0.3282932962298627</v>
          </cell>
          <cell r="L221">
            <v>0.34090061429433516</v>
          </cell>
          <cell r="M221">
            <v>0.3603478196969474</v>
          </cell>
          <cell r="N221">
            <v>0.2910106912522184</v>
          </cell>
          <cell r="O221">
            <v>0.29604502064761712</v>
          </cell>
          <cell r="P221">
            <v>0.30099999999999999</v>
          </cell>
          <cell r="Q221">
            <v>0.30499999999999999</v>
          </cell>
          <cell r="R221">
            <v>0.30499999999999999</v>
          </cell>
          <cell r="S221">
            <v>0.30499999999999999</v>
          </cell>
          <cell r="T221">
            <v>0.30499999999999999</v>
          </cell>
          <cell r="AX221">
            <v>0.08</v>
          </cell>
          <cell r="AY221">
            <v>0.08</v>
          </cell>
          <cell r="AZ221">
            <v>0.08</v>
          </cell>
          <cell r="BA221">
            <v>0.08</v>
          </cell>
          <cell r="BB221">
            <v>0.08</v>
          </cell>
          <cell r="BC221">
            <v>0.08</v>
          </cell>
          <cell r="BD221">
            <v>0.08</v>
          </cell>
          <cell r="BE221">
            <v>0.08</v>
          </cell>
          <cell r="BF221">
            <v>0.08</v>
          </cell>
          <cell r="BG221">
            <v>0.08</v>
          </cell>
          <cell r="BH221">
            <v>0.08</v>
          </cell>
          <cell r="BI221">
            <v>9.2999999999999999E-2</v>
          </cell>
          <cell r="BJ221">
            <v>0.09</v>
          </cell>
          <cell r="BK221">
            <v>0.08</v>
          </cell>
          <cell r="BL221">
            <v>7.0000000000000007E-2</v>
          </cell>
          <cell r="BM221">
            <v>0.11899999999999999</v>
          </cell>
          <cell r="BN221">
            <v>7.0000000000000007E-2</v>
          </cell>
          <cell r="BO221">
            <v>0.06</v>
          </cell>
          <cell r="BP221">
            <v>7.0000000000000007E-2</v>
          </cell>
          <cell r="BQ221">
            <v>0.09</v>
          </cell>
          <cell r="BR221">
            <v>7.0000000000000007E-2</v>
          </cell>
          <cell r="BS221">
            <v>0.06</v>
          </cell>
          <cell r="BT221">
            <v>0.08</v>
          </cell>
          <cell r="BU221">
            <v>8.5000000000000006E-2</v>
          </cell>
        </row>
        <row r="223">
          <cell r="A223" t="str">
            <v>Cost of Equipment</v>
          </cell>
          <cell r="J223">
            <v>6503.64</v>
          </cell>
          <cell r="K223">
            <v>9765.6304272316775</v>
          </cell>
          <cell r="L223">
            <v>12763.459534560612</v>
          </cell>
          <cell r="M223">
            <v>15120.130878777352</v>
          </cell>
          <cell r="N223">
            <v>17944.503715774925</v>
          </cell>
          <cell r="O223">
            <v>17927.002821044141</v>
          </cell>
          <cell r="P223">
            <v>17983.882953915785</v>
          </cell>
          <cell r="Q223">
            <v>18092.967329451873</v>
          </cell>
          <cell r="R223">
            <v>18139.613852339975</v>
          </cell>
          <cell r="S223">
            <v>18218.662738145933</v>
          </cell>
          <cell r="T223">
            <v>18574.674345153304</v>
          </cell>
          <cell r="AH223">
            <v>1117</v>
          </cell>
          <cell r="AI223">
            <v>1119</v>
          </cell>
          <cell r="AJ223">
            <v>1124</v>
          </cell>
          <cell r="AK223">
            <v>1244</v>
          </cell>
          <cell r="AL223">
            <v>1295</v>
          </cell>
          <cell r="AM223">
            <v>1230</v>
          </cell>
          <cell r="AN223">
            <v>1203</v>
          </cell>
          <cell r="AO223">
            <v>1341</v>
          </cell>
          <cell r="AP223">
            <v>1327</v>
          </cell>
          <cell r="AQ223">
            <v>1349</v>
          </cell>
          <cell r="AR223">
            <v>1198</v>
          </cell>
          <cell r="AS223">
            <v>1373</v>
          </cell>
          <cell r="AT223">
            <v>1393</v>
          </cell>
          <cell r="AU223">
            <v>1503</v>
          </cell>
          <cell r="AV223">
            <v>1653</v>
          </cell>
          <cell r="AW223">
            <v>1450</v>
          </cell>
          <cell r="AX223">
            <v>1357.93</v>
          </cell>
          <cell r="AY223">
            <v>1384.15</v>
          </cell>
          <cell r="AZ223">
            <v>1894.42</v>
          </cell>
          <cell r="BA223">
            <v>1867.14</v>
          </cell>
          <cell r="BB223">
            <v>1800</v>
          </cell>
          <cell r="BC223">
            <v>1950</v>
          </cell>
          <cell r="BD223">
            <v>3000</v>
          </cell>
          <cell r="BE223">
            <v>3015.6304272316775</v>
          </cell>
          <cell r="BF223">
            <v>2838.8329281000347</v>
          </cell>
          <cell r="BG223">
            <v>2970.8232025008683</v>
          </cell>
          <cell r="BH223">
            <v>3484.5432441820076</v>
          </cell>
          <cell r="BI223">
            <v>3469.2601597777007</v>
          </cell>
          <cell r="BJ223">
            <v>3425.1476207016321</v>
          </cell>
          <cell r="BK223">
            <v>3399.0969086488362</v>
          </cell>
          <cell r="BL223">
            <v>3256.6863494268841</v>
          </cell>
          <cell r="BM223">
            <v>5039.2000000000007</v>
          </cell>
          <cell r="BN223">
            <v>4033.2000000000003</v>
          </cell>
          <cell r="BO223">
            <v>3882</v>
          </cell>
          <cell r="BP223">
            <v>4219.6000000000004</v>
          </cell>
          <cell r="BQ223">
            <v>5809.7037157749237</v>
          </cell>
          <cell r="BR223">
            <v>4071.1664532619811</v>
          </cell>
          <cell r="BS223">
            <v>3870.7240822891426</v>
          </cell>
          <cell r="BT223">
            <v>4063.5963287179147</v>
          </cell>
          <cell r="BU223">
            <v>5921.5159567751025</v>
          </cell>
        </row>
        <row r="224">
          <cell r="A224" t="str">
            <v>% y/y growth</v>
          </cell>
          <cell r="K224">
            <v>0.5015638053815521</v>
          </cell>
          <cell r="L224">
            <v>0.30697752998817385</v>
          </cell>
          <cell r="M224">
            <v>0.18464205083546492</v>
          </cell>
          <cell r="N224">
            <v>0.18679552840126989</v>
          </cell>
          <cell r="O224">
            <v>-9.7527883790948788E-4</v>
          </cell>
          <cell r="P224">
            <v>3.1728746539199104E-3</v>
          </cell>
          <cell r="Q224">
            <v>6.06567423818416E-3</v>
          </cell>
          <cell r="R224">
            <v>2.5781576918104676E-3</v>
          </cell>
          <cell r="S224">
            <v>4.3578042206098289E-3</v>
          </cell>
          <cell r="T224">
            <v>1.9541039434357588E-2</v>
          </cell>
          <cell r="AH224">
            <v>0.3018648018648018</v>
          </cell>
          <cell r="AI224">
            <v>0.22028353326063255</v>
          </cell>
          <cell r="AJ224">
            <v>2.6484018264840259E-2</v>
          </cell>
          <cell r="AK224">
            <v>4.2749371332774455E-2</v>
          </cell>
          <cell r="AL224">
            <v>0.15935541629364369</v>
          </cell>
          <cell r="AM224">
            <v>9.9195710455764141E-2</v>
          </cell>
          <cell r="AN224">
            <v>7.0284697508896876E-2</v>
          </cell>
          <cell r="AO224">
            <v>7.7974276527331243E-2</v>
          </cell>
          <cell r="AT224">
            <v>4.9736247174076764E-2</v>
          </cell>
          <cell r="AU224">
            <v>0.11415863602668641</v>
          </cell>
          <cell r="AV224">
            <v>0.37979966611018368</v>
          </cell>
          <cell r="AW224">
            <v>5.6081573197378054E-2</v>
          </cell>
          <cell r="AZ224">
            <v>0.14604960677555967</v>
          </cell>
          <cell r="BA224">
            <v>0.28768275862068982</v>
          </cell>
          <cell r="BB224">
            <v>0.32554697222979079</v>
          </cell>
          <cell r="BC224">
            <v>0.40880684896868114</v>
          </cell>
          <cell r="BD224">
            <v>0.58359814613443683</v>
          </cell>
          <cell r="BE224">
            <v>0.61510675537542836</v>
          </cell>
          <cell r="BF224">
            <v>0.57712940450001926</v>
          </cell>
          <cell r="BG224">
            <v>0.52349907820557351</v>
          </cell>
          <cell r="BH224">
            <v>0.16151441472733596</v>
          </cell>
          <cell r="BI224">
            <v>0.15042616908546425</v>
          </cell>
          <cell r="BJ224">
            <v>0.20653370855255093</v>
          </cell>
          <cell r="BK224">
            <v>0.14415994387934061</v>
          </cell>
          <cell r="BL224">
            <v>-6.5390749601275999E-2</v>
          </cell>
          <cell r="BM224">
            <v>0.4525287144573491</v>
          </cell>
          <cell r="BN224">
            <v>0.17752588986918183</v>
          </cell>
          <cell r="BO224">
            <v>0.14206805640711218</v>
          </cell>
          <cell r="BP224">
            <v>0.29567282423208208</v>
          </cell>
          <cell r="BQ224">
            <v>0.1529019915413008</v>
          </cell>
          <cell r="BR224">
            <v>9.4134814197115446E-3</v>
          </cell>
          <cell r="BS224">
            <v>-2.9046671073821306E-3</v>
          </cell>
          <cell r="BT224">
            <v>-3.6971198995659704E-2</v>
          </cell>
          <cell r="BU224">
            <v>1.9245773359591212E-2</v>
          </cell>
        </row>
        <row r="225">
          <cell r="A225" t="str">
            <v>iPhone total cost (000)</v>
          </cell>
          <cell r="K225">
            <v>6180</v>
          </cell>
          <cell r="L225">
            <v>9120</v>
          </cell>
          <cell r="M225">
            <v>10500</v>
          </cell>
          <cell r="N225">
            <v>12270</v>
          </cell>
          <cell r="O225">
            <v>10700.240000000002</v>
          </cell>
          <cell r="P225">
            <v>9843.75</v>
          </cell>
          <cell r="Q225">
            <v>9646.8750000000018</v>
          </cell>
          <cell r="R225">
            <v>9405.703125</v>
          </cell>
          <cell r="S225">
            <v>9116.296875</v>
          </cell>
          <cell r="T225">
            <v>9572.1117187500004</v>
          </cell>
          <cell r="AZ225">
            <v>1560</v>
          </cell>
          <cell r="BA225">
            <v>1235</v>
          </cell>
          <cell r="BB225">
            <v>960</v>
          </cell>
          <cell r="BC225">
            <v>1440</v>
          </cell>
          <cell r="BD225">
            <v>1920</v>
          </cell>
          <cell r="BE225">
            <v>1860</v>
          </cell>
          <cell r="BF225">
            <v>1620</v>
          </cell>
          <cell r="BG225">
            <v>1920</v>
          </cell>
          <cell r="BH225">
            <v>3120</v>
          </cell>
          <cell r="BI225">
            <v>2460</v>
          </cell>
          <cell r="BJ225">
            <v>2160</v>
          </cell>
          <cell r="BK225">
            <v>2160</v>
          </cell>
          <cell r="BL225">
            <v>1620</v>
          </cell>
          <cell r="BM225">
            <v>4560</v>
          </cell>
          <cell r="BN225">
            <v>2580</v>
          </cell>
          <cell r="BO225">
            <v>2220</v>
          </cell>
          <cell r="BP225">
            <v>2820</v>
          </cell>
          <cell r="BQ225">
            <v>4650</v>
          </cell>
          <cell r="BR225">
            <v>2600.0000000000005</v>
          </cell>
          <cell r="BS225">
            <v>2100</v>
          </cell>
          <cell r="BT225">
            <v>2100</v>
          </cell>
          <cell r="BU225">
            <v>3900.2400000000007</v>
          </cell>
        </row>
        <row r="226">
          <cell r="A226" t="str">
            <v>iPhone cost/add (gross + upgrades)</v>
          </cell>
          <cell r="K226">
            <v>600</v>
          </cell>
          <cell r="L226">
            <v>600</v>
          </cell>
          <cell r="M226">
            <v>600</v>
          </cell>
          <cell r="N226">
            <v>600</v>
          </cell>
          <cell r="O226">
            <v>600</v>
          </cell>
          <cell r="P226">
            <v>600</v>
          </cell>
          <cell r="Q226">
            <v>600</v>
          </cell>
          <cell r="R226">
            <v>600</v>
          </cell>
          <cell r="S226">
            <v>600</v>
          </cell>
          <cell r="T226">
            <v>600</v>
          </cell>
          <cell r="AZ226">
            <v>650</v>
          </cell>
          <cell r="BA226">
            <v>650</v>
          </cell>
          <cell r="BB226">
            <v>600</v>
          </cell>
          <cell r="BC226">
            <v>600</v>
          </cell>
          <cell r="BD226">
            <v>600</v>
          </cell>
          <cell r="BE226">
            <v>600</v>
          </cell>
          <cell r="BF226">
            <v>600</v>
          </cell>
          <cell r="BG226">
            <v>600</v>
          </cell>
          <cell r="BH226">
            <v>600</v>
          </cell>
          <cell r="BI226">
            <v>600</v>
          </cell>
          <cell r="BJ226">
            <v>600</v>
          </cell>
          <cell r="BK226">
            <v>600</v>
          </cell>
          <cell r="BL226">
            <v>600</v>
          </cell>
          <cell r="BM226">
            <v>600</v>
          </cell>
          <cell r="BN226">
            <v>600</v>
          </cell>
          <cell r="BO226">
            <v>600</v>
          </cell>
          <cell r="BP226">
            <v>600</v>
          </cell>
          <cell r="BQ226">
            <v>600</v>
          </cell>
          <cell r="BR226">
            <v>600</v>
          </cell>
          <cell r="BS226">
            <v>600</v>
          </cell>
          <cell r="BT226">
            <v>600</v>
          </cell>
          <cell r="BU226">
            <v>600</v>
          </cell>
        </row>
        <row r="227">
          <cell r="A227" t="str">
            <v>% y/y growth</v>
          </cell>
        </row>
        <row r="229">
          <cell r="A229" t="str">
            <v>Non iPhone cost</v>
          </cell>
          <cell r="K229">
            <v>3585.6304272316775</v>
          </cell>
          <cell r="L229">
            <v>3643.4595345606112</v>
          </cell>
          <cell r="M229">
            <v>4620.1308787773532</v>
          </cell>
          <cell r="N229">
            <v>5674.5037157749248</v>
          </cell>
          <cell r="O229">
            <v>7226.7628210441399</v>
          </cell>
          <cell r="P229">
            <v>8140.1329539157814</v>
          </cell>
          <cell r="Q229">
            <v>8446.092329451867</v>
          </cell>
          <cell r="R229">
            <v>8733.9107273399713</v>
          </cell>
          <cell r="S229">
            <v>9102.3658631459257</v>
          </cell>
          <cell r="T229">
            <v>9002.5626264032981</v>
          </cell>
          <cell r="AZ229">
            <v>334.42000000000007</v>
          </cell>
          <cell r="BA229">
            <v>632.1400000000001</v>
          </cell>
          <cell r="BB229">
            <v>840</v>
          </cell>
          <cell r="BC229">
            <v>510</v>
          </cell>
          <cell r="BD229">
            <v>1080</v>
          </cell>
          <cell r="BE229">
            <v>1155.6304272316775</v>
          </cell>
          <cell r="BF229">
            <v>1218.8329281000347</v>
          </cell>
          <cell r="BG229">
            <v>1050.8232025008683</v>
          </cell>
          <cell r="BH229">
            <v>364.54324418200758</v>
          </cell>
          <cell r="BI229">
            <v>1009.2601597777007</v>
          </cell>
          <cell r="BJ229">
            <v>1265.1476207016321</v>
          </cell>
          <cell r="BK229">
            <v>1239.0969086488362</v>
          </cell>
          <cell r="BL229">
            <v>1636.6863494268841</v>
          </cell>
          <cell r="BM229">
            <v>479.20000000000073</v>
          </cell>
          <cell r="BN229">
            <v>1453.2000000000003</v>
          </cell>
          <cell r="BO229">
            <v>1662</v>
          </cell>
          <cell r="BP229">
            <v>1399.6000000000004</v>
          </cell>
          <cell r="BQ229">
            <v>1159.7037157749239</v>
          </cell>
          <cell r="BR229">
            <v>1471.1664532619807</v>
          </cell>
          <cell r="BS229">
            <v>1770.7240822891429</v>
          </cell>
          <cell r="BT229">
            <v>1963.596328717915</v>
          </cell>
          <cell r="BU229">
            <v>2021.2759567751018</v>
          </cell>
        </row>
        <row r="230">
          <cell r="A230" t="str">
            <v xml:space="preserve">  Equipment cost per non-iPhone gross add</v>
          </cell>
          <cell r="F230">
            <v>247.52688172043011</v>
          </cell>
          <cell r="G230">
            <v>272.0296232692927</v>
          </cell>
          <cell r="H230">
            <v>273.28125</v>
          </cell>
          <cell r="I230">
            <v>298.08695652173913</v>
          </cell>
          <cell r="J230">
            <v>202.18636982525035</v>
          </cell>
          <cell r="K230">
            <v>116.58870726969243</v>
          </cell>
          <cell r="L230">
            <v>120.33224026178209</v>
          </cell>
          <cell r="M230">
            <v>148.08991995947076</v>
          </cell>
          <cell r="N230">
            <v>272.78669164345001</v>
          </cell>
          <cell r="O230">
            <v>314.86816689168967</v>
          </cell>
          <cell r="P230">
            <v>333.76025690519106</v>
          </cell>
          <cell r="Q230">
            <v>343.77306461234679</v>
          </cell>
          <cell r="R230">
            <v>354.08625655071722</v>
          </cell>
          <cell r="S230">
            <v>364.70884424723874</v>
          </cell>
          <cell r="T230">
            <v>375.65010957465591</v>
          </cell>
          <cell r="AH230">
            <v>259.76744186046511</v>
          </cell>
          <cell r="AI230">
            <v>260.23255813953489</v>
          </cell>
          <cell r="AJ230">
            <v>229.38775510204081</v>
          </cell>
          <cell r="AK230">
            <v>243.92156862745099</v>
          </cell>
          <cell r="AL230">
            <v>269.79166666666663</v>
          </cell>
          <cell r="AM230">
            <v>280.56569343065695</v>
          </cell>
          <cell r="AN230">
            <v>276.55172413793105</v>
          </cell>
          <cell r="AO230">
            <v>262.94117647058823</v>
          </cell>
          <cell r="AP230">
            <v>282.34042553191489</v>
          </cell>
          <cell r="AQ230">
            <v>306.59090909090907</v>
          </cell>
          <cell r="AR230">
            <v>260.43478260869563</v>
          </cell>
          <cell r="AS230">
            <v>249.63636363636363</v>
          </cell>
          <cell r="AT230">
            <v>323.95348837209303</v>
          </cell>
          <cell r="AU230">
            <v>334</v>
          </cell>
          <cell r="AV230">
            <v>310.42253521126759</v>
          </cell>
          <cell r="AW230">
            <v>241.66666666666666</v>
          </cell>
          <cell r="AX230">
            <v>267.7894261227222</v>
          </cell>
          <cell r="AY230">
            <v>283.54866288312252</v>
          </cell>
          <cell r="AZ230">
            <v>99.356348114375209</v>
          </cell>
          <cell r="BA230">
            <v>158.05104218078142</v>
          </cell>
          <cell r="BB230">
            <v>104.63535364021538</v>
          </cell>
          <cell r="BC230">
            <v>69.722895511464188</v>
          </cell>
          <cell r="BD230">
            <v>150.1828309096513</v>
          </cell>
          <cell r="BE230">
            <v>141.81374901743888</v>
          </cell>
          <cell r="BF230">
            <v>158.63514571607647</v>
          </cell>
          <cell r="BG230">
            <v>150.16363731067412</v>
          </cell>
          <cell r="BH230">
            <v>56.872424555315476</v>
          </cell>
          <cell r="BI230">
            <v>115.65775346506231</v>
          </cell>
          <cell r="BJ230">
            <v>149.79230679540029</v>
          </cell>
          <cell r="BK230">
            <v>173.37217881392237</v>
          </cell>
          <cell r="BL230">
            <v>203.68733901035279</v>
          </cell>
          <cell r="BM230">
            <v>65.507855218207595</v>
          </cell>
          <cell r="BN230">
            <v>248.5758312842691</v>
          </cell>
          <cell r="BO230">
            <v>305.96103779480364</v>
          </cell>
          <cell r="BP230">
            <v>274.57847662189693</v>
          </cell>
          <cell r="BQ230">
            <v>262.03142087283038</v>
          </cell>
          <cell r="BR230">
            <v>259.7617436920612</v>
          </cell>
          <cell r="BS230">
            <v>319.7292844955698</v>
          </cell>
          <cell r="BT230">
            <v>286.93450806988227</v>
          </cell>
          <cell r="BU230">
            <v>393.04713130924557</v>
          </cell>
        </row>
        <row r="231">
          <cell r="A231" t="str">
            <v>% y/y growth</v>
          </cell>
          <cell r="G231">
            <v>9.899022432859339E-2</v>
          </cell>
          <cell r="H231">
            <v>4.6010677648451459E-3</v>
          </cell>
          <cell r="I231">
            <v>9.0769880925746449E-2</v>
          </cell>
          <cell r="J231">
            <v>-0.32172017123967933</v>
          </cell>
          <cell r="K231">
            <v>-0.42336020291348009</v>
          </cell>
          <cell r="L231">
            <v>3.2108881552568747E-2</v>
          </cell>
          <cell r="M231">
            <v>0.2306753338698091</v>
          </cell>
          <cell r="N231">
            <v>0.84203416220432992</v>
          </cell>
          <cell r="O231">
            <v>0.15426513293120214</v>
          </cell>
          <cell r="P231">
            <v>0.06</v>
          </cell>
          <cell r="Q231">
            <v>0.03</v>
          </cell>
          <cell r="R231">
            <v>0.03</v>
          </cell>
          <cell r="S231">
            <v>0.03</v>
          </cell>
          <cell r="T231">
            <v>0.03</v>
          </cell>
          <cell r="AL231">
            <v>3.8589227096389012E-2</v>
          </cell>
          <cell r="AM231">
            <v>7.8134478777323491E-2</v>
          </cell>
          <cell r="AN231">
            <v>0.20560805006749305</v>
          </cell>
          <cell r="AO231">
            <v>7.7974276527331021E-2</v>
          </cell>
          <cell r="AP231">
            <v>4.6512774172348781E-2</v>
          </cell>
          <cell r="AQ231">
            <v>9.2759793052475725E-2</v>
          </cell>
          <cell r="AR231">
            <v>-5.8278217499729057E-2</v>
          </cell>
          <cell r="AS231">
            <v>-5.0599959324791555E-2</v>
          </cell>
          <cell r="AT231">
            <v>0.14738613063213069</v>
          </cell>
          <cell r="AU231">
            <v>8.9399555226093552E-2</v>
          </cell>
          <cell r="AV231">
            <v>0.19193961767264689</v>
          </cell>
          <cell r="AW231">
            <v>-3.192522456907021E-2</v>
          </cell>
          <cell r="AX231">
            <v>-0.1733707592765934</v>
          </cell>
          <cell r="AY231">
            <v>-0.1510519075355613</v>
          </cell>
          <cell r="AZ231">
            <v>-0.67993190943191295</v>
          </cell>
          <cell r="BA231">
            <v>-0.34599568752780097</v>
          </cell>
          <cell r="BB231">
            <v>-0.60926256441408844</v>
          </cell>
          <cell r="BC231">
            <v>-0.75410606841689232</v>
          </cell>
          <cell r="BD231">
            <v>0.51155747730146639</v>
          </cell>
          <cell r="BE231">
            <v>-0.10273448968954002</v>
          </cell>
          <cell r="BF231">
            <v>0.51607597429772434</v>
          </cell>
          <cell r="BG231">
            <v>1.153720613711223</v>
          </cell>
          <cell r="BH231">
            <v>-0.6213120753494823</v>
          </cell>
          <cell r="BI231">
            <v>-0.18443906697058099</v>
          </cell>
          <cell r="BJ231">
            <v>-5.5743252106963737E-2</v>
          </cell>
          <cell r="BK231">
            <v>0.15455500358739993</v>
          </cell>
          <cell r="BL231">
            <v>2.5814780291675734</v>
          </cell>
          <cell r="BM231">
            <v>-0.43360602073257382</v>
          </cell>
          <cell r="BN231">
            <v>0.65946994610207965</v>
          </cell>
          <cell r="BO231">
            <v>0.76476433466979032</v>
          </cell>
          <cell r="BP231">
            <v>0.34803899916401271</v>
          </cell>
          <cell r="BQ231">
            <v>3</v>
          </cell>
          <cell r="BR231">
            <v>4.4999999999999998E-2</v>
          </cell>
          <cell r="BS231">
            <v>4.4999999999999998E-2</v>
          </cell>
          <cell r="BT231">
            <v>4.4999999999999998E-2</v>
          </cell>
          <cell r="BU231">
            <v>0.5</v>
          </cell>
        </row>
        <row r="232">
          <cell r="A232" t="str">
            <v xml:space="preserve">  subsidy per gross add</v>
          </cell>
          <cell r="F232">
            <v>77.311827956989248</v>
          </cell>
          <cell r="G232">
            <v>68.369646882043583</v>
          </cell>
          <cell r="H232">
            <v>77.96875</v>
          </cell>
          <cell r="I232">
            <v>99.031055900621112</v>
          </cell>
          <cell r="J232">
            <v>109.91660722473199</v>
          </cell>
          <cell r="K232">
            <v>22.69219379487788</v>
          </cell>
          <cell r="L232">
            <v>54.900222775543256</v>
          </cell>
          <cell r="M232">
            <v>51.494472086686329</v>
          </cell>
          <cell r="N232">
            <v>123.93301265491465</v>
          </cell>
          <cell r="O232">
            <v>146.69049767090837</v>
          </cell>
          <cell r="P232">
            <v>152.12837414674723</v>
          </cell>
          <cell r="Q232">
            <v>149.42695006081189</v>
          </cell>
          <cell r="R232">
            <v>151.96629741712093</v>
          </cell>
          <cell r="S232">
            <v>154.50408674829859</v>
          </cell>
          <cell r="T232">
            <v>157.03716177575814</v>
          </cell>
          <cell r="AH232">
            <v>91.860465116279045</v>
          </cell>
          <cell r="AI232">
            <v>93.953488372093034</v>
          </cell>
          <cell r="AJ232">
            <v>58.571428571428584</v>
          </cell>
          <cell r="AK232">
            <v>69.019607843137265</v>
          </cell>
          <cell r="AL232">
            <v>101.04166666666663</v>
          </cell>
          <cell r="AM232">
            <v>77.554744525547477</v>
          </cell>
          <cell r="AN232">
            <v>40.919540229885087</v>
          </cell>
          <cell r="AO232">
            <v>53.137254901960773</v>
          </cell>
          <cell r="AP232">
            <v>74.893617021276583</v>
          </cell>
          <cell r="AQ232">
            <v>96.818181818181785</v>
          </cell>
          <cell r="AR232">
            <v>66.521739130434753</v>
          </cell>
          <cell r="AS232">
            <v>75.090909090909065</v>
          </cell>
          <cell r="AT232">
            <v>113.48837209302326</v>
          </cell>
          <cell r="AU232">
            <v>144</v>
          </cell>
          <cell r="AV232">
            <v>108.16901408450701</v>
          </cell>
          <cell r="AW232">
            <v>46.833333333333314</v>
          </cell>
          <cell r="AX232">
            <v>163.64197730277402</v>
          </cell>
          <cell r="AY232">
            <v>210.13576530966651</v>
          </cell>
          <cell r="AZ232">
            <v>5.0919799993394719</v>
          </cell>
          <cell r="BA232">
            <v>60.796706287147884</v>
          </cell>
          <cell r="BB232">
            <v>-3.9861087101034371</v>
          </cell>
          <cell r="BC232">
            <v>-37.185544272780888</v>
          </cell>
          <cell r="BD232">
            <v>64.662052197210983</v>
          </cell>
          <cell r="BE232">
            <v>66.711871848473351</v>
          </cell>
          <cell r="BF232">
            <v>92.647415138904435</v>
          </cell>
          <cell r="BG232">
            <v>90.716840768142674</v>
          </cell>
          <cell r="BH232">
            <v>-15.672267577335901</v>
          </cell>
          <cell r="BI232">
            <v>51.139884043591877</v>
          </cell>
          <cell r="BJ232">
            <v>75.319289233976022</v>
          </cell>
          <cell r="BK232">
            <v>71.791583349311267</v>
          </cell>
          <cell r="BL232">
            <v>103.50424164368231</v>
          </cell>
          <cell r="BM232">
            <v>-47.818547068716484</v>
          </cell>
          <cell r="BN232">
            <v>127.12741385251088</v>
          </cell>
          <cell r="BO232">
            <v>149.85095352886293</v>
          </cell>
          <cell r="BP232">
            <v>120.37821753014862</v>
          </cell>
          <cell r="BQ232">
            <v>92.041817442444255</v>
          </cell>
          <cell r="BR232">
            <v>123.73951616849197</v>
          </cell>
          <cell r="BS232">
            <v>144.88599011771618</v>
          </cell>
          <cell r="BT232">
            <v>114.23021788712416</v>
          </cell>
          <cell r="BU232">
            <v>202.6587754672131</v>
          </cell>
        </row>
        <row r="239">
          <cell r="A239" t="str">
            <v>IPHONE ASSUMPTIONS</v>
          </cell>
        </row>
        <row r="240">
          <cell r="I240">
            <v>2007</v>
          </cell>
          <cell r="J240">
            <v>2008</v>
          </cell>
          <cell r="K240">
            <v>2009</v>
          </cell>
          <cell r="L240">
            <v>2010</v>
          </cell>
          <cell r="M240">
            <v>2011</v>
          </cell>
          <cell r="N240">
            <v>2012</v>
          </cell>
          <cell r="O240">
            <v>2013</v>
          </cell>
          <cell r="P240">
            <v>2014</v>
          </cell>
          <cell r="Q240">
            <v>2015</v>
          </cell>
          <cell r="R240">
            <v>2016</v>
          </cell>
          <cell r="S240">
            <v>2017</v>
          </cell>
          <cell r="T240">
            <v>2018</v>
          </cell>
          <cell r="AU240" t="str">
            <v>2Q07</v>
          </cell>
          <cell r="AV240" t="str">
            <v>3Q07</v>
          </cell>
          <cell r="AW240" t="str">
            <v>4Q07</v>
          </cell>
          <cell r="AX240" t="str">
            <v>1Q08</v>
          </cell>
          <cell r="AY240" t="str">
            <v>2Q08</v>
          </cell>
          <cell r="AZ240" t="str">
            <v>3Q08</v>
          </cell>
          <cell r="BA240" t="str">
            <v>4Q08</v>
          </cell>
          <cell r="BB240" t="str">
            <v>1Q09</v>
          </cell>
          <cell r="BC240" t="str">
            <v>2Q09</v>
          </cell>
          <cell r="BD240" t="str">
            <v>3Q09</v>
          </cell>
          <cell r="BE240" t="str">
            <v>4Q09</v>
          </cell>
          <cell r="BF240" t="str">
            <v>1Q10</v>
          </cell>
          <cell r="BG240" t="str">
            <v>2Q10</v>
          </cell>
          <cell r="BH240" t="str">
            <v>3Q10</v>
          </cell>
          <cell r="BI240" t="str">
            <v>4Q10</v>
          </cell>
          <cell r="BJ240" t="str">
            <v>1Q11</v>
          </cell>
          <cell r="BK240" t="str">
            <v>2Q11</v>
          </cell>
          <cell r="BL240" t="str">
            <v>3Q11</v>
          </cell>
          <cell r="BM240" t="str">
            <v>4Q11</v>
          </cell>
          <cell r="BN240" t="str">
            <v>1Q12</v>
          </cell>
          <cell r="BO240" t="str">
            <v>2Q12</v>
          </cell>
          <cell r="BP240" t="str">
            <v>3Q12</v>
          </cell>
          <cell r="BQ240" t="str">
            <v>4Q12E</v>
          </cell>
          <cell r="BR240" t="str">
            <v>1Q13E</v>
          </cell>
          <cell r="BS240" t="str">
            <v>2Q13E</v>
          </cell>
          <cell r="BT240" t="str">
            <v>3Q13E</v>
          </cell>
          <cell r="BU240" t="str">
            <v>4Q13E</v>
          </cell>
        </row>
        <row r="241">
          <cell r="A241" t="str">
            <v xml:space="preserve">iPhone Global Units </v>
          </cell>
          <cell r="I241">
            <v>3704</v>
          </cell>
          <cell r="J241">
            <v>13675</v>
          </cell>
          <cell r="K241">
            <v>25105</v>
          </cell>
          <cell r="L241">
            <v>47487</v>
          </cell>
          <cell r="M241">
            <v>93102</v>
          </cell>
          <cell r="N241">
            <v>138002</v>
          </cell>
          <cell r="O241">
            <v>175000</v>
          </cell>
          <cell r="P241">
            <v>218750</v>
          </cell>
          <cell r="Q241">
            <v>229687.5</v>
          </cell>
          <cell r="R241">
            <v>241171.875</v>
          </cell>
          <cell r="S241">
            <v>253230.46875</v>
          </cell>
          <cell r="T241">
            <v>265891.9921875</v>
          </cell>
          <cell r="AU241">
            <v>270</v>
          </cell>
          <cell r="AV241">
            <v>1119</v>
          </cell>
          <cell r="AW241">
            <v>2315</v>
          </cell>
          <cell r="AX241">
            <v>1703</v>
          </cell>
          <cell r="AY241">
            <v>717</v>
          </cell>
          <cell r="AZ241">
            <v>6892</v>
          </cell>
          <cell r="BA241">
            <v>4363</v>
          </cell>
          <cell r="BB241">
            <v>3793</v>
          </cell>
          <cell r="BC241">
            <v>5208</v>
          </cell>
          <cell r="BD241">
            <v>7367</v>
          </cell>
          <cell r="BE241">
            <v>8737</v>
          </cell>
          <cell r="BF241">
            <v>8752</v>
          </cell>
          <cell r="BG241">
            <v>8398</v>
          </cell>
          <cell r="BH241">
            <v>14102</v>
          </cell>
          <cell r="BI241">
            <v>16235</v>
          </cell>
          <cell r="BJ241">
            <v>18647</v>
          </cell>
          <cell r="BK241">
            <v>20338</v>
          </cell>
          <cell r="BL241">
            <v>17073</v>
          </cell>
          <cell r="BM241">
            <v>37044</v>
          </cell>
          <cell r="BN241">
            <v>35064</v>
          </cell>
          <cell r="BO241">
            <v>26028</v>
          </cell>
          <cell r="BP241">
            <v>26910</v>
          </cell>
          <cell r="BQ241">
            <v>50000</v>
          </cell>
          <cell r="BR241">
            <v>45000</v>
          </cell>
          <cell r="BS241">
            <v>35000</v>
          </cell>
          <cell r="BT241">
            <v>35000</v>
          </cell>
          <cell r="BU241">
            <v>60000</v>
          </cell>
        </row>
        <row r="242">
          <cell r="A242" t="str">
            <v>y/y growth</v>
          </cell>
          <cell r="J242">
            <v>2.6919546436285096</v>
          </cell>
          <cell r="K242">
            <v>0.83583180987202921</v>
          </cell>
          <cell r="L242">
            <v>0.8915355506871141</v>
          </cell>
          <cell r="M242">
            <v>0.96057868469265273</v>
          </cell>
          <cell r="N242">
            <v>0.48226676118665557</v>
          </cell>
          <cell r="O242">
            <v>0.26809756380342309</v>
          </cell>
          <cell r="P242">
            <v>0.25</v>
          </cell>
          <cell r="Q242">
            <v>0.05</v>
          </cell>
          <cell r="R242">
            <v>0.05</v>
          </cell>
          <cell r="S242">
            <v>0.05</v>
          </cell>
          <cell r="T242">
            <v>0.05</v>
          </cell>
          <cell r="AZ242">
            <v>5.1590705987488832</v>
          </cell>
          <cell r="BA242">
            <v>0.88466522678185755</v>
          </cell>
          <cell r="BB242">
            <v>1.2272460364063416</v>
          </cell>
          <cell r="BC242">
            <v>6.2635983263598325</v>
          </cell>
          <cell r="BD242">
            <v>6.8920487521764384E-2</v>
          </cell>
          <cell r="BE242">
            <v>1.0025212010084803</v>
          </cell>
          <cell r="BF242">
            <v>1.3074083838650146</v>
          </cell>
          <cell r="BG242">
            <v>0.61251920122887871</v>
          </cell>
          <cell r="BH242">
            <v>0.91421202660513101</v>
          </cell>
          <cell r="BI242">
            <v>0.85818930983175012</v>
          </cell>
          <cell r="BJ242">
            <v>1.1305987202925047</v>
          </cell>
          <cell r="BK242">
            <v>1.4217670874017623</v>
          </cell>
          <cell r="BL242">
            <v>0.21067933626435975</v>
          </cell>
          <cell r="BM242">
            <v>1.2817369879889129</v>
          </cell>
          <cell r="BN242">
            <v>0.88040971738081186</v>
          </cell>
          <cell r="BO242">
            <v>0.27977185563968932</v>
          </cell>
          <cell r="BP242">
            <v>0.57617290458618875</v>
          </cell>
          <cell r="BQ242">
            <v>0.34974624770543139</v>
          </cell>
          <cell r="BR242">
            <v>0.28336755646817258</v>
          </cell>
          <cell r="BS242">
            <v>0.34470570155217461</v>
          </cell>
          <cell r="BT242">
            <v>0.30063173541434418</v>
          </cell>
          <cell r="BU242">
            <v>0.19999999999999996</v>
          </cell>
        </row>
        <row r="243">
          <cell r="A243" t="str">
            <v>Verizon share</v>
          </cell>
        </row>
        <row r="244">
          <cell r="A244" t="str">
            <v>AT&amp;T Share</v>
          </cell>
          <cell r="I244">
            <v>0.50647948164146872</v>
          </cell>
          <cell r="J244">
            <v>0.39031100548446074</v>
          </cell>
          <cell r="K244">
            <v>0.41027683728340969</v>
          </cell>
          <cell r="L244">
            <v>0.32008760292290522</v>
          </cell>
          <cell r="M244">
            <v>0.18796588687675883</v>
          </cell>
          <cell r="N244">
            <v>0.14818625817017145</v>
          </cell>
          <cell r="O244">
            <v>0.10190704761904762</v>
          </cell>
          <cell r="P244">
            <v>7.4999999999999997E-2</v>
          </cell>
          <cell r="Q244">
            <v>7.0000000000000007E-2</v>
          </cell>
          <cell r="R244">
            <v>6.5000000000000002E-2</v>
          </cell>
          <cell r="S244">
            <v>0.06</v>
          </cell>
          <cell r="T244">
            <v>0.06</v>
          </cell>
          <cell r="AU244">
            <v>0.54074074074074074</v>
          </cell>
          <cell r="AV244">
            <v>0.74173369079535301</v>
          </cell>
          <cell r="AW244">
            <v>0.38876889848812096</v>
          </cell>
          <cell r="AX244">
            <v>0.20551967116852612</v>
          </cell>
          <cell r="AY244">
            <v>0.95886052998605309</v>
          </cell>
          <cell r="AZ244">
            <v>0.34822983168891469</v>
          </cell>
          <cell r="BA244">
            <v>0.43548017419206969</v>
          </cell>
          <cell r="BB244">
            <v>0.42182968626417083</v>
          </cell>
          <cell r="BC244">
            <v>0.46082949308755761</v>
          </cell>
          <cell r="BD244">
            <v>0.43436948554364058</v>
          </cell>
          <cell r="BE244">
            <v>0.3548128648277441</v>
          </cell>
          <cell r="BF244">
            <v>0.30850091407678243</v>
          </cell>
          <cell r="BG244">
            <v>0.38104310550130982</v>
          </cell>
          <cell r="BH244">
            <v>0.36874202240816906</v>
          </cell>
          <cell r="BI244">
            <v>0.2525408068986757</v>
          </cell>
          <cell r="BJ244">
            <v>0.19306054593232155</v>
          </cell>
          <cell r="BK244">
            <v>0.17700855541351165</v>
          </cell>
          <cell r="BL244">
            <v>0.158144438587243</v>
          </cell>
          <cell r="BM244">
            <v>0.20516142965122558</v>
          </cell>
          <cell r="BN244">
            <v>0.12263289984029203</v>
          </cell>
          <cell r="BO244">
            <v>0.14215460273551561</v>
          </cell>
          <cell r="BP244">
            <v>0.17465626161278336</v>
          </cell>
          <cell r="BQ244">
            <v>0.155</v>
          </cell>
          <cell r="BR244">
            <v>9.629629629629631E-2</v>
          </cell>
          <cell r="BS244">
            <v>0.1</v>
          </cell>
          <cell r="BT244">
            <v>0.1</v>
          </cell>
          <cell r="BU244">
            <v>0.10834000000000001</v>
          </cell>
        </row>
        <row r="245">
          <cell r="A245" t="str">
            <v>Base</v>
          </cell>
          <cell r="P245">
            <v>7.4999999999999997E-2</v>
          </cell>
          <cell r="Q245">
            <v>7.0000000000000007E-2</v>
          </cell>
          <cell r="R245">
            <v>6.5000000000000002E-2</v>
          </cell>
          <cell r="S245">
            <v>0.06</v>
          </cell>
          <cell r="T245">
            <v>0.06</v>
          </cell>
          <cell r="BQ245">
            <v>0.155</v>
          </cell>
          <cell r="BR245">
            <v>9.629629629629631E-2</v>
          </cell>
          <cell r="BS245">
            <v>0.1</v>
          </cell>
          <cell r="BT245">
            <v>0.1</v>
          </cell>
          <cell r="BU245">
            <v>0.10834000000000001</v>
          </cell>
        </row>
        <row r="246">
          <cell r="A246" t="str">
            <v>Bull</v>
          </cell>
          <cell r="P246">
            <v>0.1</v>
          </cell>
          <cell r="Q246">
            <v>0.09</v>
          </cell>
          <cell r="R246">
            <v>0.09</v>
          </cell>
          <cell r="S246">
            <v>0.08</v>
          </cell>
          <cell r="T246">
            <v>0.08</v>
          </cell>
          <cell r="BQ246">
            <v>0.18</v>
          </cell>
          <cell r="BR246">
            <v>0.12</v>
          </cell>
          <cell r="BS246">
            <v>0.12</v>
          </cell>
          <cell r="BT246">
            <v>0.12</v>
          </cell>
          <cell r="BU246">
            <v>0.12</v>
          </cell>
        </row>
        <row r="247">
          <cell r="A247" t="str">
            <v>Bear</v>
          </cell>
          <cell r="P247">
            <v>0.06</v>
          </cell>
          <cell r="Q247">
            <v>0.06</v>
          </cell>
          <cell r="R247">
            <v>0.05</v>
          </cell>
          <cell r="S247">
            <v>0.04</v>
          </cell>
          <cell r="T247">
            <v>0.04</v>
          </cell>
          <cell r="BQ247">
            <v>0.04</v>
          </cell>
          <cell r="BR247">
            <v>0.08</v>
          </cell>
          <cell r="BS247">
            <v>0.08</v>
          </cell>
          <cell r="BT247">
            <v>0.08</v>
          </cell>
          <cell r="BU247">
            <v>0.08</v>
          </cell>
        </row>
        <row r="248">
          <cell r="A248" t="str">
            <v>AT&amp;T iPhone activations</v>
          </cell>
          <cell r="I248">
            <v>1876</v>
          </cell>
          <cell r="J248">
            <v>5337.5030000000006</v>
          </cell>
          <cell r="K248">
            <v>10300</v>
          </cell>
          <cell r="L248">
            <v>15200</v>
          </cell>
          <cell r="M248">
            <v>17500</v>
          </cell>
          <cell r="N248">
            <v>20450</v>
          </cell>
          <cell r="O248">
            <v>17833.733333333334</v>
          </cell>
          <cell r="P248">
            <v>16406.25</v>
          </cell>
          <cell r="Q248">
            <v>16078.125000000002</v>
          </cell>
          <cell r="R248">
            <v>15676.171875</v>
          </cell>
          <cell r="S248">
            <v>15193.828125</v>
          </cell>
          <cell r="T248">
            <v>15953.51953125</v>
          </cell>
          <cell r="AU248">
            <v>146</v>
          </cell>
          <cell r="AV248">
            <v>830</v>
          </cell>
          <cell r="AW248">
            <v>900</v>
          </cell>
          <cell r="AX248">
            <v>350</v>
          </cell>
          <cell r="AY248">
            <v>687.50300000000004</v>
          </cell>
          <cell r="AZ248">
            <v>2400</v>
          </cell>
          <cell r="BA248">
            <v>1900</v>
          </cell>
          <cell r="BB248">
            <v>1600</v>
          </cell>
          <cell r="BC248">
            <v>2400</v>
          </cell>
          <cell r="BD248">
            <v>3200</v>
          </cell>
          <cell r="BE248">
            <v>3100</v>
          </cell>
          <cell r="BF248">
            <v>2700</v>
          </cell>
          <cell r="BG248">
            <v>3200</v>
          </cell>
          <cell r="BH248">
            <v>5200</v>
          </cell>
          <cell r="BI248">
            <v>4100</v>
          </cell>
          <cell r="BJ248">
            <v>3600</v>
          </cell>
          <cell r="BK248">
            <v>3600</v>
          </cell>
          <cell r="BL248">
            <v>2700</v>
          </cell>
          <cell r="BM248">
            <v>7600</v>
          </cell>
          <cell r="BN248">
            <v>4300</v>
          </cell>
          <cell r="BO248">
            <v>3700</v>
          </cell>
          <cell r="BP248">
            <v>4700</v>
          </cell>
          <cell r="BQ248">
            <v>7750</v>
          </cell>
          <cell r="BR248">
            <v>4333.3333333333339</v>
          </cell>
          <cell r="BS248">
            <v>3500</v>
          </cell>
          <cell r="BT248">
            <v>3500</v>
          </cell>
          <cell r="BU248">
            <v>6500.4000000000005</v>
          </cell>
        </row>
        <row r="249">
          <cell r="A249" t="str">
            <v>New to AT&amp;T</v>
          </cell>
          <cell r="I249">
            <v>750.4</v>
          </cell>
          <cell r="J249">
            <v>2135.0012000000002</v>
          </cell>
          <cell r="K249">
            <v>3925</v>
          </cell>
          <cell r="L249">
            <v>3987</v>
          </cell>
          <cell r="M249">
            <v>3686</v>
          </cell>
          <cell r="N249">
            <v>3834.375</v>
          </cell>
          <cell r="O249">
            <v>2675.06</v>
          </cell>
          <cell r="P249">
            <v>1640.625</v>
          </cell>
          <cell r="Q249">
            <v>1607.8125000000002</v>
          </cell>
          <cell r="R249">
            <v>1567.6171875</v>
          </cell>
          <cell r="S249">
            <v>1519.3828125</v>
          </cell>
          <cell r="T249">
            <v>1595.3519531250001</v>
          </cell>
          <cell r="AU249">
            <v>58.400000000000006</v>
          </cell>
          <cell r="AV249">
            <v>332</v>
          </cell>
          <cell r="AW249">
            <v>360</v>
          </cell>
          <cell r="AX249">
            <v>140</v>
          </cell>
          <cell r="AY249">
            <v>275.00120000000004</v>
          </cell>
          <cell r="AZ249">
            <v>960</v>
          </cell>
          <cell r="BA249">
            <v>760</v>
          </cell>
          <cell r="BB249">
            <v>720</v>
          </cell>
          <cell r="BC249">
            <v>840</v>
          </cell>
          <cell r="BD249">
            <v>1280</v>
          </cell>
          <cell r="BE249">
            <v>1085</v>
          </cell>
          <cell r="BF249">
            <v>891</v>
          </cell>
          <cell r="BG249">
            <v>864</v>
          </cell>
          <cell r="BH249">
            <v>1248</v>
          </cell>
          <cell r="BI249">
            <v>984</v>
          </cell>
          <cell r="BJ249">
            <v>828</v>
          </cell>
          <cell r="BK249">
            <v>864</v>
          </cell>
          <cell r="BL249">
            <v>702</v>
          </cell>
          <cell r="BM249">
            <v>1292</v>
          </cell>
          <cell r="BN249">
            <v>645</v>
          </cell>
          <cell r="BO249">
            <v>814</v>
          </cell>
          <cell r="BP249">
            <v>846</v>
          </cell>
          <cell r="BQ249">
            <v>1550</v>
          </cell>
          <cell r="BR249">
            <v>650.00000000000011</v>
          </cell>
          <cell r="BS249">
            <v>525</v>
          </cell>
          <cell r="BT249">
            <v>525</v>
          </cell>
          <cell r="BU249">
            <v>975.06000000000006</v>
          </cell>
        </row>
        <row r="250">
          <cell r="A250" t="str">
            <v>Avg New to AT&amp;T</v>
          </cell>
          <cell r="I250">
            <v>750.4</v>
          </cell>
          <cell r="J250">
            <v>1442.7006000000001</v>
          </cell>
          <cell r="K250">
            <v>3030.0006000000003</v>
          </cell>
          <cell r="L250">
            <v>3956</v>
          </cell>
          <cell r="M250">
            <v>3836.5</v>
          </cell>
          <cell r="N250">
            <v>3760.1875</v>
          </cell>
          <cell r="O250">
            <v>3254.7174999999997</v>
          </cell>
          <cell r="P250">
            <v>2157.8424999999997</v>
          </cell>
          <cell r="Q250">
            <v>1624.21875</v>
          </cell>
          <cell r="R250">
            <v>1587.71484375</v>
          </cell>
          <cell r="S250">
            <v>1543.5</v>
          </cell>
          <cell r="T250">
            <v>1557.3673828125002</v>
          </cell>
          <cell r="AY250">
            <v>207.50060000000002</v>
          </cell>
          <cell r="AZ250">
            <v>617.50060000000008</v>
          </cell>
          <cell r="BA250">
            <v>860</v>
          </cell>
          <cell r="BB250">
            <v>740</v>
          </cell>
          <cell r="BC250">
            <v>780</v>
          </cell>
          <cell r="BD250">
            <v>1060</v>
          </cell>
          <cell r="BE250">
            <v>1182.5</v>
          </cell>
          <cell r="BF250">
            <v>988</v>
          </cell>
          <cell r="BG250">
            <v>877.5</v>
          </cell>
          <cell r="BH250">
            <v>1056</v>
          </cell>
          <cell r="BI250">
            <v>1116</v>
          </cell>
          <cell r="BJ250">
            <v>906</v>
          </cell>
          <cell r="BK250">
            <v>846</v>
          </cell>
          <cell r="BL250">
            <v>783</v>
          </cell>
          <cell r="BM250">
            <v>997</v>
          </cell>
          <cell r="BN250">
            <v>968.5</v>
          </cell>
          <cell r="BO250">
            <v>729.5</v>
          </cell>
          <cell r="BP250">
            <v>830</v>
          </cell>
          <cell r="BQ250">
            <v>1198</v>
          </cell>
          <cell r="BR250">
            <v>1100</v>
          </cell>
          <cell r="BS250">
            <v>587.5</v>
          </cell>
          <cell r="BT250">
            <v>525</v>
          </cell>
          <cell r="BU250">
            <v>750.03</v>
          </cell>
        </row>
        <row r="251">
          <cell r="A251" t="str">
            <v>% New to AT&amp;T</v>
          </cell>
          <cell r="J251">
            <v>0.4</v>
          </cell>
          <cell r="K251">
            <v>0.38750000000000007</v>
          </cell>
          <cell r="L251">
            <v>0.27</v>
          </cell>
          <cell r="M251">
            <v>0.22500000000000001</v>
          </cell>
          <cell r="N251">
            <v>0.1875</v>
          </cell>
          <cell r="O251">
            <v>0.15</v>
          </cell>
          <cell r="P251">
            <v>0.1</v>
          </cell>
          <cell r="Q251">
            <v>0.1</v>
          </cell>
          <cell r="R251">
            <v>0.1</v>
          </cell>
          <cell r="S251">
            <v>0.1</v>
          </cell>
          <cell r="T251">
            <v>0.1</v>
          </cell>
          <cell r="AU251">
            <v>0.4</v>
          </cell>
          <cell r="AV251">
            <v>0.4</v>
          </cell>
          <cell r="AW251">
            <v>0.4</v>
          </cell>
          <cell r="AX251">
            <v>0.4</v>
          </cell>
          <cell r="AY251">
            <v>0.4</v>
          </cell>
          <cell r="AZ251">
            <v>0.4</v>
          </cell>
          <cell r="BA251">
            <v>0.4</v>
          </cell>
          <cell r="BB251">
            <v>0.45</v>
          </cell>
          <cell r="BC251">
            <v>0.35</v>
          </cell>
          <cell r="BD251">
            <v>0.4</v>
          </cell>
          <cell r="BE251">
            <v>0.35</v>
          </cell>
          <cell r="BF251">
            <v>0.33</v>
          </cell>
          <cell r="BG251">
            <v>0.27</v>
          </cell>
          <cell r="BH251">
            <v>0.24</v>
          </cell>
          <cell r="BI251">
            <v>0.24</v>
          </cell>
          <cell r="BJ251">
            <v>0.23</v>
          </cell>
          <cell r="BK251">
            <v>0.24</v>
          </cell>
          <cell r="BL251">
            <v>0.26</v>
          </cell>
          <cell r="BM251">
            <v>0.17</v>
          </cell>
          <cell r="BN251">
            <v>0.15</v>
          </cell>
          <cell r="BO251">
            <v>0.22</v>
          </cell>
          <cell r="BP251">
            <v>0.18</v>
          </cell>
          <cell r="BQ251">
            <v>0.2</v>
          </cell>
          <cell r="BR251">
            <v>0.15</v>
          </cell>
          <cell r="BS251">
            <v>0.15</v>
          </cell>
          <cell r="BT251">
            <v>0.15</v>
          </cell>
          <cell r="BU251">
            <v>0.15</v>
          </cell>
        </row>
        <row r="252">
          <cell r="A252" t="str">
            <v>Base</v>
          </cell>
          <cell r="P252">
            <v>0.1</v>
          </cell>
          <cell r="Q252">
            <v>0.1</v>
          </cell>
          <cell r="R252">
            <v>0.1</v>
          </cell>
          <cell r="S252">
            <v>0.1</v>
          </cell>
          <cell r="T252">
            <v>0.1</v>
          </cell>
          <cell r="BQ252">
            <v>0.2</v>
          </cell>
          <cell r="BR252">
            <v>0.15</v>
          </cell>
          <cell r="BS252">
            <v>0.15</v>
          </cell>
          <cell r="BT252">
            <v>0.15</v>
          </cell>
          <cell r="BU252">
            <v>0.15</v>
          </cell>
        </row>
        <row r="253">
          <cell r="A253" t="str">
            <v>Bull</v>
          </cell>
          <cell r="P253">
            <v>0.15000000000000002</v>
          </cell>
          <cell r="Q253">
            <v>0.15</v>
          </cell>
          <cell r="R253">
            <v>0.15</v>
          </cell>
          <cell r="S253">
            <v>0.15</v>
          </cell>
          <cell r="T253">
            <v>0.15</v>
          </cell>
          <cell r="BQ253">
            <v>0.25</v>
          </cell>
          <cell r="BR253">
            <v>0.2</v>
          </cell>
          <cell r="BS253">
            <v>0.2</v>
          </cell>
          <cell r="BT253">
            <v>0.2</v>
          </cell>
          <cell r="BU253">
            <v>0.2</v>
          </cell>
        </row>
        <row r="254">
          <cell r="A254" t="str">
            <v>Bear</v>
          </cell>
          <cell r="P254">
            <v>0.05</v>
          </cell>
          <cell r="Q254">
            <v>0.05</v>
          </cell>
          <cell r="R254">
            <v>0.05</v>
          </cell>
          <cell r="S254">
            <v>0.05</v>
          </cell>
          <cell r="T254">
            <v>0.05</v>
          </cell>
          <cell r="BQ254">
            <v>0.15000000000000002</v>
          </cell>
          <cell r="BR254">
            <v>9.9999999999999992E-2</v>
          </cell>
          <cell r="BS254">
            <v>9.9999999999999992E-2</v>
          </cell>
          <cell r="BT254">
            <v>9.9999999999999992E-2</v>
          </cell>
          <cell r="BU254">
            <v>9.9999999999999992E-2</v>
          </cell>
        </row>
        <row r="255">
          <cell r="A255" t="str">
            <v>Upgrades</v>
          </cell>
          <cell r="I255">
            <v>1125.5999999999999</v>
          </cell>
          <cell r="J255">
            <v>3202.5018</v>
          </cell>
          <cell r="K255">
            <v>6375</v>
          </cell>
          <cell r="L255">
            <v>11213</v>
          </cell>
          <cell r="M255">
            <v>13814</v>
          </cell>
          <cell r="N255">
            <v>16615.625</v>
          </cell>
          <cell r="O255">
            <v>15158.673333333334</v>
          </cell>
          <cell r="P255">
            <v>14765.625</v>
          </cell>
          <cell r="Q255">
            <v>14470.312500000002</v>
          </cell>
          <cell r="R255">
            <v>14108.5546875</v>
          </cell>
          <cell r="S255">
            <v>13674.4453125</v>
          </cell>
          <cell r="T255">
            <v>14358.167578125</v>
          </cell>
          <cell r="AT255">
            <v>0</v>
          </cell>
          <cell r="AU255">
            <v>87.6</v>
          </cell>
          <cell r="AV255">
            <v>498</v>
          </cell>
          <cell r="AW255">
            <v>540</v>
          </cell>
          <cell r="AX255">
            <v>210</v>
          </cell>
          <cell r="AY255">
            <v>412.5018</v>
          </cell>
          <cell r="AZ255">
            <v>1440</v>
          </cell>
          <cell r="BA255">
            <v>1140</v>
          </cell>
          <cell r="BB255">
            <v>880</v>
          </cell>
          <cell r="BC255">
            <v>1560</v>
          </cell>
          <cell r="BD255">
            <v>1920</v>
          </cell>
          <cell r="BE255">
            <v>2015</v>
          </cell>
          <cell r="BF255">
            <v>1809</v>
          </cell>
          <cell r="BG255">
            <v>2336</v>
          </cell>
          <cell r="BH255">
            <v>3952</v>
          </cell>
          <cell r="BI255">
            <v>3116</v>
          </cell>
          <cell r="BJ255">
            <v>2772</v>
          </cell>
          <cell r="BK255">
            <v>2736</v>
          </cell>
          <cell r="BL255">
            <v>1998</v>
          </cell>
          <cell r="BM255">
            <v>6308</v>
          </cell>
          <cell r="BN255">
            <v>3655</v>
          </cell>
          <cell r="BO255">
            <v>2886</v>
          </cell>
          <cell r="BP255">
            <v>3854</v>
          </cell>
          <cell r="BQ255">
            <v>6200</v>
          </cell>
          <cell r="BR255">
            <v>3683.3333333333339</v>
          </cell>
          <cell r="BS255">
            <v>2975</v>
          </cell>
          <cell r="BT255">
            <v>2975</v>
          </cell>
          <cell r="BU255">
            <v>5525.34</v>
          </cell>
        </row>
        <row r="256">
          <cell r="A256" t="str">
            <v>Avg upgrades</v>
          </cell>
          <cell r="I256">
            <v>1125.5999999999999</v>
          </cell>
          <cell r="J256">
            <v>2164.0509000000002</v>
          </cell>
          <cell r="K256">
            <v>4788.7509</v>
          </cell>
          <cell r="L256">
            <v>8794</v>
          </cell>
          <cell r="M256">
            <v>12513.5</v>
          </cell>
          <cell r="N256">
            <v>15214.8125</v>
          </cell>
          <cell r="O256">
            <v>15887.149166666666</v>
          </cell>
          <cell r="P256">
            <v>14962.149166666666</v>
          </cell>
          <cell r="Q256">
            <v>14617.96875</v>
          </cell>
          <cell r="R256">
            <v>14289.43359375</v>
          </cell>
          <cell r="S256">
            <v>13891.5</v>
          </cell>
          <cell r="T256">
            <v>14016.306445312501</v>
          </cell>
          <cell r="AU256">
            <v>43.8</v>
          </cell>
          <cell r="AV256">
            <v>292.8</v>
          </cell>
          <cell r="AW256">
            <v>519</v>
          </cell>
          <cell r="AY256">
            <v>311.2509</v>
          </cell>
          <cell r="AZ256">
            <v>926.2509</v>
          </cell>
          <cell r="BA256">
            <v>1290</v>
          </cell>
          <cell r="BB256">
            <v>1010</v>
          </cell>
          <cell r="BC256">
            <v>1220</v>
          </cell>
          <cell r="BD256">
            <v>1740</v>
          </cell>
          <cell r="BE256">
            <v>1967.5</v>
          </cell>
          <cell r="BF256">
            <v>1912</v>
          </cell>
          <cell r="BG256">
            <v>2072.5</v>
          </cell>
          <cell r="BH256">
            <v>3144</v>
          </cell>
          <cell r="BI256">
            <v>3534</v>
          </cell>
          <cell r="BJ256">
            <v>2944</v>
          </cell>
          <cell r="BK256">
            <v>2754</v>
          </cell>
          <cell r="BL256">
            <v>2367</v>
          </cell>
          <cell r="BM256">
            <v>4153</v>
          </cell>
          <cell r="BN256">
            <v>4981.5</v>
          </cell>
          <cell r="BO256">
            <v>3270.5</v>
          </cell>
          <cell r="BP256">
            <v>3370</v>
          </cell>
          <cell r="BQ256">
            <v>5027</v>
          </cell>
          <cell r="BR256">
            <v>4941.666666666667</v>
          </cell>
          <cell r="BS256">
            <v>3329.166666666667</v>
          </cell>
          <cell r="BT256">
            <v>2975</v>
          </cell>
          <cell r="BU256">
            <v>4250.17</v>
          </cell>
        </row>
        <row r="257">
          <cell r="A257" t="str">
            <v>Upgrades from non-iphone</v>
          </cell>
          <cell r="I257">
            <v>1094.46</v>
          </cell>
          <cell r="J257">
            <v>2682.8267459999997</v>
          </cell>
          <cell r="K257">
            <v>3160.45</v>
          </cell>
          <cell r="L257">
            <v>3959.88</v>
          </cell>
          <cell r="M257">
            <v>3596.5600000000004</v>
          </cell>
          <cell r="N257">
            <v>3323.125</v>
          </cell>
          <cell r="O257">
            <v>3031.7346666666672</v>
          </cell>
          <cell r="P257">
            <v>2214.84375</v>
          </cell>
          <cell r="Q257">
            <v>2170.546875</v>
          </cell>
          <cell r="R257">
            <v>2116.283203125</v>
          </cell>
          <cell r="S257">
            <v>2051.1667968749998</v>
          </cell>
          <cell r="T257">
            <v>16511.892714843747</v>
          </cell>
          <cell r="AT257">
            <v>0</v>
          </cell>
          <cell r="AU257">
            <v>87.6</v>
          </cell>
          <cell r="AV257">
            <v>483.06</v>
          </cell>
          <cell r="AW257">
            <v>523.79999999999995</v>
          </cell>
          <cell r="AX257">
            <v>203.7</v>
          </cell>
          <cell r="AY257">
            <v>400.12674599999997</v>
          </cell>
          <cell r="AZ257">
            <v>1224</v>
          </cell>
          <cell r="BA257">
            <v>855</v>
          </cell>
          <cell r="BB257">
            <v>572</v>
          </cell>
          <cell r="BC257">
            <v>858.00000000000011</v>
          </cell>
          <cell r="BD257">
            <v>864</v>
          </cell>
          <cell r="BE257">
            <v>866.44999999999993</v>
          </cell>
          <cell r="BF257">
            <v>723.6</v>
          </cell>
          <cell r="BG257">
            <v>864.31999999999994</v>
          </cell>
          <cell r="BH257">
            <v>1343.68</v>
          </cell>
          <cell r="BI257">
            <v>1028.28</v>
          </cell>
          <cell r="BJ257">
            <v>914.76</v>
          </cell>
          <cell r="BK257">
            <v>820.8</v>
          </cell>
          <cell r="BL257">
            <v>599.4</v>
          </cell>
          <cell r="BM257">
            <v>1261.6000000000001</v>
          </cell>
          <cell r="BN257">
            <v>731</v>
          </cell>
          <cell r="BO257">
            <v>577.20000000000005</v>
          </cell>
          <cell r="BP257">
            <v>770.80000000000007</v>
          </cell>
          <cell r="BQ257">
            <v>1240</v>
          </cell>
          <cell r="BR257">
            <v>736.66666666666686</v>
          </cell>
          <cell r="BS257">
            <v>595</v>
          </cell>
          <cell r="BT257">
            <v>595</v>
          </cell>
          <cell r="BU257">
            <v>1105.068</v>
          </cell>
        </row>
        <row r="258">
          <cell r="A258" t="str">
            <v>Upgrade (or replacements)%</v>
          </cell>
          <cell r="I258">
            <v>1</v>
          </cell>
          <cell r="J258">
            <v>0.6</v>
          </cell>
          <cell r="K258">
            <v>0.61249999999999993</v>
          </cell>
          <cell r="L258">
            <v>0.73</v>
          </cell>
          <cell r="M258">
            <v>0.77500000000000002</v>
          </cell>
          <cell r="N258">
            <v>0.8125</v>
          </cell>
          <cell r="O258">
            <v>0.85</v>
          </cell>
          <cell r="P258">
            <v>0.9</v>
          </cell>
          <cell r="Q258">
            <v>0.9</v>
          </cell>
          <cell r="R258">
            <v>0.9</v>
          </cell>
          <cell r="S258">
            <v>0.9</v>
          </cell>
          <cell r="T258">
            <v>0.9</v>
          </cell>
          <cell r="AX258">
            <v>0.6</v>
          </cell>
          <cell r="AY258">
            <v>0.6</v>
          </cell>
          <cell r="AZ258">
            <v>0.6</v>
          </cell>
          <cell r="BA258">
            <v>0.6</v>
          </cell>
          <cell r="BB258">
            <v>0.55000000000000004</v>
          </cell>
          <cell r="BC258">
            <v>0.65</v>
          </cell>
          <cell r="BD258">
            <v>0.6</v>
          </cell>
          <cell r="BE258">
            <v>0.65</v>
          </cell>
          <cell r="BF258">
            <v>0.66999999999999993</v>
          </cell>
          <cell r="BG258">
            <v>0.73</v>
          </cell>
          <cell r="BH258">
            <v>0.76</v>
          </cell>
          <cell r="BI258">
            <v>0.76</v>
          </cell>
          <cell r="BJ258">
            <v>0.77</v>
          </cell>
          <cell r="BK258">
            <v>0.76</v>
          </cell>
          <cell r="BL258">
            <v>0.74</v>
          </cell>
          <cell r="BM258">
            <v>0.83</v>
          </cell>
          <cell r="BN258">
            <v>0.85</v>
          </cell>
          <cell r="BO258">
            <v>0.78</v>
          </cell>
          <cell r="BP258">
            <v>0.82000000000000006</v>
          </cell>
          <cell r="BQ258">
            <v>0.92</v>
          </cell>
          <cell r="BR258">
            <v>0.85</v>
          </cell>
          <cell r="BS258">
            <v>0.85</v>
          </cell>
          <cell r="BT258">
            <v>0.85</v>
          </cell>
          <cell r="BU258">
            <v>0.85</v>
          </cell>
        </row>
        <row r="259">
          <cell r="A259" t="str">
            <v>Upgrade (replacements) from non-iphone</v>
          </cell>
          <cell r="I259">
            <v>0.97233475479744147</v>
          </cell>
          <cell r="J259">
            <v>0.83772841158122058</v>
          </cell>
          <cell r="K259">
            <v>0.495756862745098</v>
          </cell>
          <cell r="L259">
            <v>0.35315080709890306</v>
          </cell>
          <cell r="M259">
            <v>0.2603561604169683</v>
          </cell>
          <cell r="N259">
            <v>0.2</v>
          </cell>
          <cell r="O259">
            <v>0.2</v>
          </cell>
          <cell r="P259">
            <v>0.15</v>
          </cell>
          <cell r="Q259">
            <v>0.15</v>
          </cell>
          <cell r="R259">
            <v>0.15</v>
          </cell>
          <cell r="S259">
            <v>0.15</v>
          </cell>
          <cell r="T259">
            <v>1.1499999999999999</v>
          </cell>
          <cell r="AU259">
            <v>1</v>
          </cell>
          <cell r="AV259">
            <v>0.97</v>
          </cell>
          <cell r="AW259">
            <v>0.97</v>
          </cell>
          <cell r="AX259">
            <v>0.97</v>
          </cell>
          <cell r="AY259">
            <v>0.97</v>
          </cell>
          <cell r="AZ259">
            <v>0.85</v>
          </cell>
          <cell r="BA259">
            <v>0.75</v>
          </cell>
          <cell r="BB259">
            <v>0.65</v>
          </cell>
          <cell r="BC259">
            <v>0.55000000000000004</v>
          </cell>
          <cell r="BD259">
            <v>0.45</v>
          </cell>
          <cell r="BE259">
            <v>0.43</v>
          </cell>
          <cell r="BF259">
            <v>0.4</v>
          </cell>
          <cell r="BG259">
            <v>0.37</v>
          </cell>
          <cell r="BH259">
            <v>0.34</v>
          </cell>
          <cell r="BI259">
            <v>0.33</v>
          </cell>
          <cell r="BJ259">
            <v>0.33</v>
          </cell>
          <cell r="BK259">
            <v>0.3</v>
          </cell>
          <cell r="BL259">
            <v>0.3</v>
          </cell>
          <cell r="BM259">
            <v>0.2</v>
          </cell>
          <cell r="BN259">
            <v>0.2</v>
          </cell>
          <cell r="BO259">
            <v>0.2</v>
          </cell>
          <cell r="BP259">
            <v>0.2</v>
          </cell>
          <cell r="BQ259">
            <v>0.2</v>
          </cell>
          <cell r="BR259">
            <v>0.2</v>
          </cell>
          <cell r="BS259">
            <v>0.2</v>
          </cell>
          <cell r="BT259">
            <v>0.2</v>
          </cell>
          <cell r="BU259">
            <v>0.2</v>
          </cell>
        </row>
        <row r="260">
          <cell r="A260" t="str">
            <v>Disconnects</v>
          </cell>
          <cell r="I260">
            <v>5.0297635909363532</v>
          </cell>
          <cell r="J260">
            <v>60.197805047907543</v>
          </cell>
          <cell r="K260">
            <v>233.60727594473491</v>
          </cell>
          <cell r="L260">
            <v>805.94633545264253</v>
          </cell>
          <cell r="M260">
            <v>910.45695826278302</v>
          </cell>
          <cell r="N260">
            <v>1779.0926101573395</v>
          </cell>
          <cell r="O260">
            <v>2050.1443416044849</v>
          </cell>
          <cell r="P260">
            <v>2209.2309843265543</v>
          </cell>
          <cell r="Q260">
            <v>2302.8824257735509</v>
          </cell>
          <cell r="R260">
            <v>2386.0813067661111</v>
          </cell>
          <cell r="S260">
            <v>2458.3809393816773</v>
          </cell>
          <cell r="T260">
            <v>2946.5663490490679</v>
          </cell>
          <cell r="AU260">
            <v>0</v>
          </cell>
          <cell r="AV260">
            <v>0.8296727454409194</v>
          </cell>
          <cell r="AW260">
            <v>4.200090845495434</v>
          </cell>
          <cell r="AX260">
            <v>6.0260017066671896</v>
          </cell>
          <cell r="AY260">
            <v>7.533903767456005</v>
          </cell>
          <cell r="AZ260">
            <v>11.793604424168567</v>
          </cell>
          <cell r="BA260">
            <v>34.844295149615782</v>
          </cell>
          <cell r="BB260">
            <v>43.330769954304024</v>
          </cell>
          <cell r="BC260">
            <v>52.014733444108799</v>
          </cell>
          <cell r="BD260">
            <v>63.195103931980526</v>
          </cell>
          <cell r="BE260">
            <v>75.066668614341566</v>
          </cell>
          <cell r="BF260">
            <v>170.05888391351596</v>
          </cell>
          <cell r="BG260">
            <v>187.96824116305658</v>
          </cell>
          <cell r="BH260">
            <v>211.4914828191632</v>
          </cell>
          <cell r="BI260">
            <v>236.42772755690683</v>
          </cell>
          <cell r="BJ260">
            <v>256.0033809061286</v>
          </cell>
          <cell r="BK260">
            <v>205.35046338030745</v>
          </cell>
          <cell r="BL260">
            <v>216.8882889946203</v>
          </cell>
          <cell r="BM260">
            <v>232.21482498172674</v>
          </cell>
          <cell r="BN260">
            <v>247.73823620638024</v>
          </cell>
          <cell r="BO260">
            <v>257.91519576252017</v>
          </cell>
          <cell r="BP260">
            <v>269.07971864767433</v>
          </cell>
          <cell r="BQ260">
            <v>286.41061215904409</v>
          </cell>
          <cell r="BR260">
            <v>502.75726121476987</v>
          </cell>
          <cell r="BS260">
            <v>513.93209107261441</v>
          </cell>
          <cell r="BT260">
            <v>522.95543462984597</v>
          </cell>
          <cell r="BU260">
            <v>538.99179044180846</v>
          </cell>
        </row>
        <row r="261">
          <cell r="A261" t="str">
            <v>Churn</v>
          </cell>
          <cell r="I261">
            <v>2.2781828323978616E-4</v>
          </cell>
          <cell r="J261">
            <v>1.1891219548145137E-3</v>
          </cell>
          <cell r="K261">
            <v>1.9421861305445661E-3</v>
          </cell>
          <cell r="L261">
            <v>3.9461282310349023E-3</v>
          </cell>
          <cell r="M261">
            <v>3.1910537201293864E-3</v>
          </cell>
          <cell r="N261">
            <v>5.0000000000000001E-3</v>
          </cell>
          <cell r="O261">
            <v>5.0000000000000001E-3</v>
          </cell>
          <cell r="P261">
            <v>5.0000000000000001E-3</v>
          </cell>
          <cell r="Q261">
            <v>5.0000000000000001E-3</v>
          </cell>
          <cell r="R261">
            <v>5.0000000000000001E-3</v>
          </cell>
          <cell r="S261">
            <v>5.0000000000000001E-3</v>
          </cell>
          <cell r="T261">
            <v>5.0000000000000001E-3</v>
          </cell>
          <cell r="AU261">
            <v>0</v>
          </cell>
          <cell r="AV261">
            <v>5.0000000000000001E-4</v>
          </cell>
          <cell r="AW261">
            <v>1E-3</v>
          </cell>
          <cell r="AX261">
            <v>1E-3</v>
          </cell>
          <cell r="AY261">
            <v>1E-3</v>
          </cell>
          <cell r="AZ261">
            <v>1E-3</v>
          </cell>
          <cell r="BA261">
            <v>2E-3</v>
          </cell>
          <cell r="BB261">
            <v>2E-3</v>
          </cell>
          <cell r="BC261">
            <v>2E-3</v>
          </cell>
          <cell r="BD261">
            <v>2E-3</v>
          </cell>
          <cell r="BE261">
            <v>2E-3</v>
          </cell>
          <cell r="BF261">
            <v>4.0000000000000001E-3</v>
          </cell>
          <cell r="BG261">
            <v>4.0000000000000001E-3</v>
          </cell>
          <cell r="BH261">
            <v>4.0000000000000001E-3</v>
          </cell>
          <cell r="BI261">
            <v>4.0000000000000001E-3</v>
          </cell>
          <cell r="BJ261">
            <v>4.0000000000000001E-3</v>
          </cell>
          <cell r="BK261">
            <v>3.0000000000000001E-3</v>
          </cell>
          <cell r="BL261">
            <v>3.0000000000000001E-3</v>
          </cell>
          <cell r="BM261">
            <v>3.0000000000000001E-3</v>
          </cell>
          <cell r="BN261">
            <v>3.0000000000000001E-3</v>
          </cell>
          <cell r="BO261">
            <v>3.0000000000000001E-3</v>
          </cell>
          <cell r="BP261">
            <v>3.0000000000000001E-3</v>
          </cell>
          <cell r="BQ261">
            <v>3.0000000000000001E-3</v>
          </cell>
          <cell r="BR261">
            <v>5.0000000000000001E-3</v>
          </cell>
          <cell r="BS261">
            <v>5.0000000000000001E-3</v>
          </cell>
          <cell r="BT261">
            <v>5.0000000000000001E-3</v>
          </cell>
          <cell r="BU261">
            <v>5.0000000000000001E-3</v>
          </cell>
        </row>
        <row r="262">
          <cell r="A262" t="str">
            <v>AT&amp;T iPhone SUBS</v>
          </cell>
          <cell r="I262">
            <v>1839.8302364090637</v>
          </cell>
          <cell r="J262">
            <v>6597.4603773611561</v>
          </cell>
          <cell r="K262">
            <v>13449.303101416423</v>
          </cell>
          <cell r="L262">
            <v>20590.236765963782</v>
          </cell>
          <cell r="M262">
            <v>26962.339807700999</v>
          </cell>
          <cell r="N262">
            <v>32340.74719754366</v>
          </cell>
          <cell r="O262">
            <v>35997.397522605846</v>
          </cell>
          <cell r="P262">
            <v>37643.635288279293</v>
          </cell>
          <cell r="Q262">
            <v>39119.112237505738</v>
          </cell>
          <cell r="R262">
            <v>40416.931321364624</v>
          </cell>
          <cell r="S262">
            <v>41529.099991357944</v>
          </cell>
          <cell r="T262">
            <v>56689.778310277616</v>
          </cell>
          <cell r="AU262">
            <v>146</v>
          </cell>
          <cell r="AV262">
            <v>960.23032725455903</v>
          </cell>
          <cell r="AW262">
            <v>1839.8302364090637</v>
          </cell>
          <cell r="AX262">
            <v>2177.5042347023964</v>
          </cell>
          <cell r="AY262">
            <v>2845.0982769349403</v>
          </cell>
          <cell r="AZ262">
            <v>5017.3046725107715</v>
          </cell>
          <cell r="BA262">
            <v>6597.4603773611561</v>
          </cell>
          <cell r="BB262">
            <v>7846.1296074068523</v>
          </cell>
          <cell r="BC262">
            <v>9492.1148739627442</v>
          </cell>
          <cell r="BD262">
            <v>11572.919770030763</v>
          </cell>
          <cell r="BE262">
            <v>13449.303101416423</v>
          </cell>
          <cell r="BF262">
            <v>14893.844217502907</v>
          </cell>
          <cell r="BG262">
            <v>16434.195976339852</v>
          </cell>
          <cell r="BH262">
            <v>18814.384493520687</v>
          </cell>
          <cell r="BI262">
            <v>20590.236765963778</v>
          </cell>
          <cell r="BJ262">
            <v>22076.993385057649</v>
          </cell>
          <cell r="BK262">
            <v>23556.442921677342</v>
          </cell>
          <cell r="BL262">
            <v>24640.954632682722</v>
          </cell>
          <cell r="BM262">
            <v>26962.339807700995</v>
          </cell>
          <cell r="BN262">
            <v>28090.601571494615</v>
          </cell>
          <cell r="BO262">
            <v>29223.886375732094</v>
          </cell>
          <cell r="BP262">
            <v>30571.60665708442</v>
          </cell>
          <cell r="BQ262">
            <v>33075.196044925375</v>
          </cell>
          <cell r="BR262">
            <v>33959.105450377268</v>
          </cell>
          <cell r="BS262">
            <v>34565.173359304652</v>
          </cell>
          <cell r="BT262">
            <v>35162.217924674806</v>
          </cell>
          <cell r="BU262">
            <v>36703.354134232992</v>
          </cell>
        </row>
        <row r="263">
          <cell r="A263" t="str">
            <v xml:space="preserve">average </v>
          </cell>
          <cell r="I263">
            <v>1839.8302364090637</v>
          </cell>
          <cell r="J263">
            <v>4218.6453068851097</v>
          </cell>
          <cell r="K263">
            <v>10023.381739388789</v>
          </cell>
          <cell r="L263">
            <v>17019.769933690102</v>
          </cell>
          <cell r="M263">
            <v>23776.28828683239</v>
          </cell>
          <cell r="N263">
            <v>29651.543502622328</v>
          </cell>
          <cell r="O263">
            <v>34169.072360074751</v>
          </cell>
          <cell r="P263">
            <v>36820.51640544257</v>
          </cell>
          <cell r="Q263">
            <v>38381.373762892516</v>
          </cell>
          <cell r="R263">
            <v>39768.021779435177</v>
          </cell>
          <cell r="S263">
            <v>40973.015656361284</v>
          </cell>
          <cell r="T263">
            <v>49109.43915081778</v>
          </cell>
          <cell r="AU263">
            <v>146</v>
          </cell>
          <cell r="AV263">
            <v>553.11516362727957</v>
          </cell>
          <cell r="AW263">
            <v>1400.0302818318114</v>
          </cell>
          <cell r="AX263">
            <v>2008.66723555573</v>
          </cell>
          <cell r="AY263">
            <v>2511.3012558186683</v>
          </cell>
          <cell r="AZ263">
            <v>3931.2014747228559</v>
          </cell>
          <cell r="BA263">
            <v>5807.3825249359634</v>
          </cell>
          <cell r="BB263">
            <v>7221.7949923840042</v>
          </cell>
          <cell r="BC263">
            <v>8669.1222406847992</v>
          </cell>
          <cell r="BD263">
            <v>10532.517321996755</v>
          </cell>
          <cell r="BE263">
            <v>12511.111435723593</v>
          </cell>
          <cell r="BF263">
            <v>14171.573659459664</v>
          </cell>
          <cell r="BG263">
            <v>15664.02009692138</v>
          </cell>
          <cell r="BH263">
            <v>17624.290234930268</v>
          </cell>
          <cell r="BI263">
            <v>19702.310629742235</v>
          </cell>
          <cell r="BJ263">
            <v>21333.615075510716</v>
          </cell>
          <cell r="BK263">
            <v>22816.718153367496</v>
          </cell>
          <cell r="BL263">
            <v>24098.698777180034</v>
          </cell>
          <cell r="BM263">
            <v>25801.647220191859</v>
          </cell>
          <cell r="BN263">
            <v>27526.470689597805</v>
          </cell>
          <cell r="BO263">
            <v>28657.243973613353</v>
          </cell>
          <cell r="BP263">
            <v>29897.746516408257</v>
          </cell>
          <cell r="BQ263">
            <v>31823.401351004897</v>
          </cell>
          <cell r="BR263">
            <v>33517.150747651322</v>
          </cell>
          <cell r="BS263">
            <v>34262.139404840957</v>
          </cell>
          <cell r="BT263">
            <v>34863.695641989732</v>
          </cell>
          <cell r="BU263">
            <v>35932.786029453899</v>
          </cell>
        </row>
        <row r="264">
          <cell r="A264" t="str">
            <v>DILUTION/ACCRETION ANALYSIS</v>
          </cell>
        </row>
        <row r="265">
          <cell r="A265" t="str">
            <v>SUBSIDY</v>
          </cell>
        </row>
        <row r="266">
          <cell r="A266" t="str">
            <v>Cost per handset</v>
          </cell>
          <cell r="J266">
            <v>650</v>
          </cell>
          <cell r="K266">
            <v>600</v>
          </cell>
          <cell r="L266">
            <v>600</v>
          </cell>
          <cell r="M266">
            <v>600</v>
          </cell>
          <cell r="N266">
            <v>600</v>
          </cell>
          <cell r="O266">
            <v>600</v>
          </cell>
          <cell r="P266">
            <v>600</v>
          </cell>
          <cell r="Q266">
            <v>600</v>
          </cell>
          <cell r="R266">
            <v>600</v>
          </cell>
          <cell r="S266">
            <v>600</v>
          </cell>
          <cell r="T266">
            <v>600</v>
          </cell>
          <cell r="AW266">
            <v>650</v>
          </cell>
          <cell r="AX266">
            <v>650</v>
          </cell>
          <cell r="AY266">
            <v>650</v>
          </cell>
          <cell r="AZ266">
            <v>650</v>
          </cell>
          <cell r="BA266">
            <v>650</v>
          </cell>
          <cell r="BB266">
            <v>600</v>
          </cell>
          <cell r="BC266">
            <v>600</v>
          </cell>
          <cell r="BD266">
            <v>600</v>
          </cell>
          <cell r="BE266">
            <v>600</v>
          </cell>
          <cell r="BF266">
            <v>600</v>
          </cell>
          <cell r="BG266">
            <v>600</v>
          </cell>
          <cell r="BH266">
            <v>600</v>
          </cell>
          <cell r="BI266">
            <v>600</v>
          </cell>
          <cell r="BJ266">
            <v>600</v>
          </cell>
          <cell r="BK266">
            <v>600</v>
          </cell>
          <cell r="BL266">
            <v>600</v>
          </cell>
          <cell r="BM266">
            <v>600</v>
          </cell>
          <cell r="BN266">
            <v>600</v>
          </cell>
          <cell r="BO266">
            <v>600</v>
          </cell>
          <cell r="BP266">
            <v>600</v>
          </cell>
          <cell r="BQ266">
            <v>600</v>
          </cell>
          <cell r="BR266">
            <v>600</v>
          </cell>
          <cell r="BS266">
            <v>600</v>
          </cell>
          <cell r="BT266">
            <v>600</v>
          </cell>
          <cell r="BU266">
            <v>600</v>
          </cell>
        </row>
        <row r="267">
          <cell r="A267" t="str">
            <v>Total subsidy $M</v>
          </cell>
          <cell r="J267">
            <v>1720</v>
          </cell>
          <cell r="K267">
            <v>4120</v>
          </cell>
          <cell r="L267">
            <v>6080</v>
          </cell>
          <cell r="M267">
            <v>7000</v>
          </cell>
          <cell r="N267">
            <v>8180</v>
          </cell>
          <cell r="O267">
            <v>7133.4933333333329</v>
          </cell>
          <cell r="P267">
            <v>6562.5</v>
          </cell>
          <cell r="Q267">
            <v>6431.2500000000009</v>
          </cell>
          <cell r="R267">
            <v>6270.46875</v>
          </cell>
          <cell r="S267">
            <v>6077.53125</v>
          </cell>
          <cell r="T267">
            <v>6381.4078124999996</v>
          </cell>
          <cell r="AZ267">
            <v>960</v>
          </cell>
          <cell r="BA267">
            <v>760</v>
          </cell>
          <cell r="BB267">
            <v>640</v>
          </cell>
          <cell r="BC267">
            <v>960</v>
          </cell>
          <cell r="BD267">
            <v>1280</v>
          </cell>
          <cell r="BE267">
            <v>1240</v>
          </cell>
          <cell r="BF267">
            <v>1080</v>
          </cell>
          <cell r="BG267">
            <v>1280</v>
          </cell>
          <cell r="BH267">
            <v>2080</v>
          </cell>
          <cell r="BI267">
            <v>1640</v>
          </cell>
          <cell r="BJ267">
            <v>1440</v>
          </cell>
          <cell r="BK267">
            <v>1440</v>
          </cell>
          <cell r="BL267">
            <v>1080</v>
          </cell>
          <cell r="BM267">
            <v>3040</v>
          </cell>
          <cell r="BN267">
            <v>1720</v>
          </cell>
          <cell r="BO267">
            <v>1480</v>
          </cell>
          <cell r="BP267">
            <v>1880</v>
          </cell>
          <cell r="BQ267">
            <v>3100</v>
          </cell>
          <cell r="BR267">
            <v>1733.3333333333335</v>
          </cell>
          <cell r="BS267">
            <v>1400</v>
          </cell>
          <cell r="BT267">
            <v>1400</v>
          </cell>
          <cell r="BU267">
            <v>2600.16</v>
          </cell>
        </row>
        <row r="268">
          <cell r="A268" t="str">
            <v>per gross add $</v>
          </cell>
          <cell r="J268">
            <v>400</v>
          </cell>
          <cell r="K268">
            <v>400</v>
          </cell>
          <cell r="L268">
            <v>400</v>
          </cell>
          <cell r="M268">
            <v>400</v>
          </cell>
          <cell r="N268">
            <v>400</v>
          </cell>
          <cell r="O268">
            <v>400</v>
          </cell>
          <cell r="P268">
            <v>400</v>
          </cell>
          <cell r="Q268">
            <v>400</v>
          </cell>
          <cell r="R268">
            <v>400</v>
          </cell>
          <cell r="S268">
            <v>400</v>
          </cell>
          <cell r="T268">
            <v>400</v>
          </cell>
          <cell r="AZ268">
            <v>400</v>
          </cell>
          <cell r="BA268">
            <v>400</v>
          </cell>
          <cell r="BB268">
            <v>400</v>
          </cell>
          <cell r="BC268">
            <v>400</v>
          </cell>
          <cell r="BD268">
            <v>400</v>
          </cell>
          <cell r="BE268">
            <v>400</v>
          </cell>
          <cell r="BF268">
            <v>400</v>
          </cell>
          <cell r="BG268">
            <v>400</v>
          </cell>
          <cell r="BH268">
            <v>400</v>
          </cell>
          <cell r="BI268">
            <v>400</v>
          </cell>
          <cell r="BJ268">
            <v>400</v>
          </cell>
          <cell r="BK268">
            <v>400</v>
          </cell>
          <cell r="BL268">
            <v>400</v>
          </cell>
          <cell r="BM268">
            <v>400</v>
          </cell>
          <cell r="BN268">
            <v>400</v>
          </cell>
          <cell r="BO268">
            <v>400</v>
          </cell>
          <cell r="BP268">
            <v>400</v>
          </cell>
          <cell r="BQ268">
            <v>400</v>
          </cell>
          <cell r="BR268">
            <v>400</v>
          </cell>
          <cell r="BS268">
            <v>400</v>
          </cell>
          <cell r="BT268">
            <v>400</v>
          </cell>
          <cell r="BU268">
            <v>400</v>
          </cell>
        </row>
        <row r="269">
          <cell r="A269" t="str">
            <v>Less $$ on upgrade differential</v>
          </cell>
          <cell r="J269">
            <v>640.50036</v>
          </cell>
          <cell r="K269">
            <v>1275</v>
          </cell>
          <cell r="L269">
            <v>2242.6</v>
          </cell>
          <cell r="M269">
            <v>2762.8</v>
          </cell>
          <cell r="N269">
            <v>3323.125</v>
          </cell>
          <cell r="O269">
            <v>3031.7346666666672</v>
          </cell>
          <cell r="P269">
            <v>2953.125</v>
          </cell>
          <cell r="Q269">
            <v>2894.0625000000005</v>
          </cell>
          <cell r="R269">
            <v>2821.7109375</v>
          </cell>
          <cell r="S269">
            <v>2734.8890624999999</v>
          </cell>
          <cell r="T269">
            <v>2871.6335156250002</v>
          </cell>
          <cell r="AZ269">
            <v>288</v>
          </cell>
          <cell r="BA269">
            <v>228</v>
          </cell>
          <cell r="BB269">
            <v>176</v>
          </cell>
          <cell r="BC269">
            <v>312</v>
          </cell>
          <cell r="BD269">
            <v>384</v>
          </cell>
          <cell r="BE269">
            <v>403</v>
          </cell>
          <cell r="BF269">
            <v>361.8</v>
          </cell>
          <cell r="BG269">
            <v>467.2</v>
          </cell>
          <cell r="BH269">
            <v>790.4</v>
          </cell>
          <cell r="BI269">
            <v>623.20000000000005</v>
          </cell>
          <cell r="BJ269">
            <v>554.4</v>
          </cell>
          <cell r="BK269">
            <v>547.20000000000005</v>
          </cell>
          <cell r="BL269">
            <v>399.6</v>
          </cell>
          <cell r="BM269">
            <v>1261.5999999999999</v>
          </cell>
          <cell r="BN269">
            <v>731</v>
          </cell>
          <cell r="BO269">
            <v>577.20000000000005</v>
          </cell>
          <cell r="BP269">
            <v>770.8</v>
          </cell>
          <cell r="BQ269">
            <v>1240</v>
          </cell>
          <cell r="BR269">
            <v>736.66666666666674</v>
          </cell>
          <cell r="BS269">
            <v>595</v>
          </cell>
          <cell r="BT269">
            <v>595</v>
          </cell>
          <cell r="BU269">
            <v>1105.068</v>
          </cell>
        </row>
        <row r="270">
          <cell r="A270" t="str">
            <v>per upgrade $</v>
          </cell>
          <cell r="J270">
            <v>200</v>
          </cell>
          <cell r="K270">
            <v>200</v>
          </cell>
          <cell r="L270">
            <v>200</v>
          </cell>
          <cell r="M270">
            <v>200</v>
          </cell>
          <cell r="N270">
            <v>200</v>
          </cell>
          <cell r="O270">
            <v>200</v>
          </cell>
          <cell r="P270">
            <v>200</v>
          </cell>
          <cell r="Q270">
            <v>200</v>
          </cell>
          <cell r="R270">
            <v>200</v>
          </cell>
          <cell r="S270">
            <v>200</v>
          </cell>
          <cell r="T270">
            <v>200</v>
          </cell>
          <cell r="AZ270">
            <v>200</v>
          </cell>
          <cell r="BA270">
            <v>200</v>
          </cell>
          <cell r="BB270">
            <v>200</v>
          </cell>
          <cell r="BC270">
            <v>200</v>
          </cell>
          <cell r="BD270">
            <v>200</v>
          </cell>
          <cell r="BE270">
            <v>200</v>
          </cell>
          <cell r="BF270">
            <v>200</v>
          </cell>
          <cell r="BG270">
            <v>200</v>
          </cell>
          <cell r="BH270">
            <v>200</v>
          </cell>
          <cell r="BI270">
            <v>200</v>
          </cell>
          <cell r="BJ270">
            <v>200</v>
          </cell>
          <cell r="BK270">
            <v>200</v>
          </cell>
          <cell r="BL270">
            <v>200</v>
          </cell>
          <cell r="BM270">
            <v>200</v>
          </cell>
          <cell r="BN270">
            <v>200</v>
          </cell>
          <cell r="BO270">
            <v>200</v>
          </cell>
          <cell r="BP270">
            <v>200</v>
          </cell>
          <cell r="BQ270">
            <v>200</v>
          </cell>
          <cell r="BR270">
            <v>200</v>
          </cell>
          <cell r="BS270">
            <v>200</v>
          </cell>
          <cell r="BT270">
            <v>200</v>
          </cell>
          <cell r="BU270">
            <v>200</v>
          </cell>
        </row>
        <row r="271">
          <cell r="A271" t="str">
            <v>Subsidy dilution</v>
          </cell>
          <cell r="J271">
            <v>1079.49964</v>
          </cell>
          <cell r="K271">
            <v>2845</v>
          </cell>
          <cell r="L271">
            <v>3837.4</v>
          </cell>
          <cell r="M271">
            <v>4237.2</v>
          </cell>
          <cell r="N271">
            <v>4856.875</v>
          </cell>
          <cell r="O271">
            <v>4101.7586666666657</v>
          </cell>
          <cell r="P271">
            <v>3609.375</v>
          </cell>
          <cell r="Q271">
            <v>3537.1875000000005</v>
          </cell>
          <cell r="R271">
            <v>3448.7578125</v>
          </cell>
          <cell r="S271">
            <v>3342.6421875000001</v>
          </cell>
          <cell r="T271">
            <v>3509.7742968749994</v>
          </cell>
          <cell r="AZ271">
            <v>672</v>
          </cell>
          <cell r="BA271">
            <v>532</v>
          </cell>
          <cell r="BB271">
            <v>464</v>
          </cell>
          <cell r="BC271">
            <v>648</v>
          </cell>
          <cell r="BD271">
            <v>896</v>
          </cell>
          <cell r="BE271">
            <v>837</v>
          </cell>
          <cell r="BF271">
            <v>718.2</v>
          </cell>
          <cell r="BG271">
            <v>812.8</v>
          </cell>
          <cell r="BH271">
            <v>1289.5999999999999</v>
          </cell>
          <cell r="BI271">
            <v>1016.8</v>
          </cell>
          <cell r="BJ271">
            <v>885.6</v>
          </cell>
          <cell r="BK271">
            <v>892.8</v>
          </cell>
          <cell r="BL271">
            <v>680.4</v>
          </cell>
          <cell r="BM271">
            <v>1778.4</v>
          </cell>
          <cell r="BN271">
            <v>989</v>
          </cell>
          <cell r="BO271">
            <v>902.8</v>
          </cell>
          <cell r="BP271">
            <v>1109.2</v>
          </cell>
          <cell r="BQ271">
            <v>1860</v>
          </cell>
          <cell r="BR271">
            <v>996.66666666666674</v>
          </cell>
          <cell r="BS271">
            <v>805</v>
          </cell>
          <cell r="BT271">
            <v>805</v>
          </cell>
          <cell r="BU271">
            <v>1495.0919999999999</v>
          </cell>
        </row>
        <row r="272">
          <cell r="A272" t="str">
            <v>Shares</v>
          </cell>
          <cell r="J272">
            <v>5959</v>
          </cell>
          <cell r="K272">
            <v>5917</v>
          </cell>
          <cell r="L272">
            <v>5931.25</v>
          </cell>
          <cell r="M272">
            <v>5946.25</v>
          </cell>
          <cell r="N272">
            <v>5820.25</v>
          </cell>
          <cell r="O272">
            <v>5510.4285714285706</v>
          </cell>
          <cell r="P272">
            <v>5296.1428571428569</v>
          </cell>
          <cell r="Q272">
            <v>5181.8571428571431</v>
          </cell>
          <cell r="R272">
            <v>5139</v>
          </cell>
          <cell r="S272">
            <v>5110.4285714285725</v>
          </cell>
          <cell r="T272">
            <v>5081.8571428571431</v>
          </cell>
          <cell r="AZ272">
            <v>5921</v>
          </cell>
          <cell r="BA272">
            <v>5920</v>
          </cell>
          <cell r="BB272">
            <v>5896</v>
          </cell>
          <cell r="BC272">
            <v>5923</v>
          </cell>
          <cell r="BD272">
            <v>5922</v>
          </cell>
          <cell r="BE272">
            <v>5927</v>
          </cell>
          <cell r="BF272">
            <v>5935</v>
          </cell>
          <cell r="BG272">
            <v>5937</v>
          </cell>
          <cell r="BH272">
            <v>5938</v>
          </cell>
          <cell r="BI272">
            <v>5915</v>
          </cell>
          <cell r="BJ272">
            <v>5945</v>
          </cell>
          <cell r="BK272">
            <v>5953</v>
          </cell>
          <cell r="BL272">
            <v>5954</v>
          </cell>
          <cell r="BM272">
            <v>5933</v>
          </cell>
          <cell r="BN272">
            <v>5940</v>
          </cell>
          <cell r="BO272">
            <v>5876</v>
          </cell>
          <cell r="BP272">
            <v>5792</v>
          </cell>
          <cell r="BQ272">
            <v>5673</v>
          </cell>
          <cell r="BR272">
            <v>5606.8571428571431</v>
          </cell>
          <cell r="BS272">
            <v>5542.5714285714275</v>
          </cell>
          <cell r="BT272">
            <v>5478.2857142857138</v>
          </cell>
          <cell r="BU272">
            <v>5413.9999999999982</v>
          </cell>
        </row>
        <row r="273">
          <cell r="A273" t="str">
            <v>Tax</v>
          </cell>
          <cell r="J273">
            <v>0.33421252723816586</v>
          </cell>
          <cell r="K273">
            <v>0.3370927975659655</v>
          </cell>
          <cell r="L273">
            <v>0.34072354109524255</v>
          </cell>
          <cell r="M273">
            <v>0.3354151939065067</v>
          </cell>
          <cell r="N273">
            <v>0.33510440861538859</v>
          </cell>
          <cell r="O273">
            <v>0.33999999999999997</v>
          </cell>
          <cell r="P273">
            <v>0.33999999999999997</v>
          </cell>
          <cell r="Q273">
            <v>0.33999999999999997</v>
          </cell>
          <cell r="R273">
            <v>0.33999999999999997</v>
          </cell>
          <cell r="S273">
            <v>0.33999999999999997</v>
          </cell>
          <cell r="T273">
            <v>0.33999999999999997</v>
          </cell>
          <cell r="AZ273">
            <v>0.33437867502940022</v>
          </cell>
          <cell r="BA273">
            <v>0.27819422689639728</v>
          </cell>
          <cell r="BB273">
            <v>0.36512096774193548</v>
          </cell>
          <cell r="BC273">
            <v>0.32939714108141704</v>
          </cell>
          <cell r="BD273">
            <v>0.30835117773019272</v>
          </cell>
          <cell r="BE273">
            <v>0.34411636995223621</v>
          </cell>
          <cell r="BF273">
            <v>0.34493612294019627</v>
          </cell>
          <cell r="BG273">
            <v>0.34546103085428931</v>
          </cell>
          <cell r="BH273">
            <v>0.34503271861986912</v>
          </cell>
          <cell r="BI273">
            <v>0.3267791952894995</v>
          </cell>
          <cell r="BJ273">
            <v>0.34193548387096773</v>
          </cell>
          <cell r="BK273">
            <v>0.3410196361016033</v>
          </cell>
          <cell r="BL273">
            <v>0.34001790510295432</v>
          </cell>
          <cell r="BM273">
            <v>0.31064520510730781</v>
          </cell>
          <cell r="BN273">
            <v>0.33804603951422874</v>
          </cell>
          <cell r="BO273">
            <v>0.34256342231802356</v>
          </cell>
          <cell r="BP273">
            <v>0.3199191473722896</v>
          </cell>
          <cell r="BQ273">
            <v>0.34</v>
          </cell>
          <cell r="BR273">
            <v>0.34</v>
          </cell>
          <cell r="BS273">
            <v>0.34</v>
          </cell>
          <cell r="BT273">
            <v>0.34</v>
          </cell>
          <cell r="BU273">
            <v>0.34</v>
          </cell>
        </row>
        <row r="274">
          <cell r="A274" t="str">
            <v>Dilution</v>
          </cell>
          <cell r="J274">
            <v>-0.1206103938853683</v>
          </cell>
          <cell r="K274">
            <v>-0.31873770338428736</v>
          </cell>
          <cell r="L274">
            <v>-0.42653866948807023</v>
          </cell>
          <cell r="M274">
            <v>-0.47357220775772124</v>
          </cell>
          <cell r="N274">
            <v>-0.55484124829794845</v>
          </cell>
          <cell r="O274">
            <v>-0.49127952298239697</v>
          </cell>
          <cell r="P274">
            <v>-0.4497966849189437</v>
          </cell>
          <cell r="Q274">
            <v>-0.45052259945413947</v>
          </cell>
          <cell r="R274">
            <v>-0.44292277802101576</v>
          </cell>
          <cell r="S274">
            <v>-0.43169448763732415</v>
          </cell>
          <cell r="T274">
            <v>-0.45582765725585411</v>
          </cell>
          <cell r="AZ274">
            <v>-7.5544254413146952E-2</v>
          </cell>
          <cell r="BA274">
            <v>-6.4864978258634562E-2</v>
          </cell>
          <cell r="BB274">
            <v>-4.9963343108504393E-2</v>
          </cell>
          <cell r="BC274">
            <v>-7.3366647404903215E-2</v>
          </cell>
          <cell r="BD274">
            <v>-0.10464663031978171</v>
          </cell>
          <cell r="BE274">
            <v>-9.2622675611604227E-2</v>
          </cell>
          <cell r="BF274">
            <v>-7.9269903370573061E-2</v>
          </cell>
          <cell r="BG274">
            <v>-8.9609107987474068E-2</v>
          </cell>
          <cell r="BH274">
            <v>-0.14224415730343831</v>
          </cell>
          <cell r="BI274">
            <v>-0.11572796521211105</v>
          </cell>
          <cell r="BJ274">
            <v>-9.8028921023359306E-2</v>
          </cell>
          <cell r="BK274">
            <v>-9.8830450006465384E-2</v>
          </cell>
          <cell r="BL274">
            <v>-7.5420191025856537E-2</v>
          </cell>
          <cell r="BM274">
            <v>-0.2066321535879258</v>
          </cell>
          <cell r="BN274">
            <v>-0.11021422002027405</v>
          </cell>
          <cell r="BO274">
            <v>-0.10100982680927302</v>
          </cell>
          <cell r="BP274">
            <v>-0.13023924063098349</v>
          </cell>
          <cell r="BQ274">
            <v>-0.21639344262295079</v>
          </cell>
          <cell r="BR274">
            <v>-0.11732062780269056</v>
          </cell>
          <cell r="BS274">
            <v>-9.5858033919274194E-2</v>
          </cell>
          <cell r="BT274">
            <v>-9.6982893501616776E-2</v>
          </cell>
          <cell r="BU274">
            <v>-0.18226093830809015</v>
          </cell>
        </row>
        <row r="275">
          <cell r="A275" t="str">
            <v>UPGRADES</v>
          </cell>
        </row>
        <row r="276">
          <cell r="A276" t="str">
            <v>Upgrades from non-iphone</v>
          </cell>
          <cell r="J276">
            <v>2079</v>
          </cell>
          <cell r="K276">
            <v>3160.45</v>
          </cell>
          <cell r="L276">
            <v>3959.88</v>
          </cell>
          <cell r="M276">
            <v>3596.5600000000004</v>
          </cell>
          <cell r="N276">
            <v>3323.125</v>
          </cell>
          <cell r="O276">
            <v>3031.7346666666672</v>
          </cell>
          <cell r="P276">
            <v>2214.84375</v>
          </cell>
          <cell r="Q276">
            <v>2170.546875</v>
          </cell>
          <cell r="R276">
            <v>2116.283203125</v>
          </cell>
          <cell r="S276">
            <v>2051.1667968749998</v>
          </cell>
          <cell r="T276">
            <v>16511.892714843747</v>
          </cell>
          <cell r="AZ276">
            <v>1224</v>
          </cell>
          <cell r="BA276">
            <v>855</v>
          </cell>
          <cell r="BB276">
            <v>572</v>
          </cell>
          <cell r="BC276">
            <v>858.00000000000011</v>
          </cell>
          <cell r="BD276">
            <v>864</v>
          </cell>
          <cell r="BE276">
            <v>866.44999999999993</v>
          </cell>
          <cell r="BF276">
            <v>723.6</v>
          </cell>
          <cell r="BG276">
            <v>864.31999999999994</v>
          </cell>
          <cell r="BH276">
            <v>1343.68</v>
          </cell>
          <cell r="BI276">
            <v>1028.28</v>
          </cell>
          <cell r="BJ276">
            <v>914.76</v>
          </cell>
          <cell r="BK276">
            <v>820.8</v>
          </cell>
          <cell r="BL276">
            <v>599.4</v>
          </cell>
          <cell r="BM276">
            <v>1261.6000000000001</v>
          </cell>
          <cell r="BN276">
            <v>731</v>
          </cell>
          <cell r="BO276">
            <v>577.20000000000005</v>
          </cell>
          <cell r="BP276">
            <v>770.80000000000007</v>
          </cell>
          <cell r="BQ276">
            <v>1240</v>
          </cell>
          <cell r="BR276">
            <v>736.66666666666686</v>
          </cell>
          <cell r="BS276">
            <v>595</v>
          </cell>
          <cell r="BT276">
            <v>595</v>
          </cell>
          <cell r="BU276">
            <v>1105.068</v>
          </cell>
        </row>
        <row r="277">
          <cell r="A277" t="str">
            <v>New to data</v>
          </cell>
          <cell r="J277">
            <v>0.4</v>
          </cell>
          <cell r="K277">
            <v>0.4</v>
          </cell>
          <cell r="L277">
            <v>0.4</v>
          </cell>
          <cell r="M277">
            <v>0.3</v>
          </cell>
          <cell r="N277">
            <v>0.1</v>
          </cell>
          <cell r="O277">
            <v>0.1</v>
          </cell>
          <cell r="P277">
            <v>0.1</v>
          </cell>
          <cell r="Q277">
            <v>0.1</v>
          </cell>
          <cell r="R277">
            <v>0.1</v>
          </cell>
          <cell r="S277">
            <v>0.1</v>
          </cell>
          <cell r="T277">
            <v>0.1</v>
          </cell>
          <cell r="AZ277">
            <v>0.4</v>
          </cell>
          <cell r="BA277">
            <v>0.4</v>
          </cell>
          <cell r="BB277">
            <v>0.4</v>
          </cell>
          <cell r="BC277">
            <v>0.4</v>
          </cell>
          <cell r="BD277">
            <v>0.4</v>
          </cell>
          <cell r="BE277">
            <v>0.4</v>
          </cell>
          <cell r="BF277">
            <v>0.4</v>
          </cell>
          <cell r="BG277">
            <v>0.4</v>
          </cell>
          <cell r="BH277">
            <v>0.4</v>
          </cell>
          <cell r="BI277">
            <v>0.4</v>
          </cell>
          <cell r="BJ277">
            <v>0.3</v>
          </cell>
          <cell r="BK277">
            <v>0.3</v>
          </cell>
          <cell r="BL277">
            <v>0.3</v>
          </cell>
          <cell r="BM277">
            <v>0.3</v>
          </cell>
          <cell r="BN277">
            <v>0.1</v>
          </cell>
          <cell r="BO277">
            <v>0.1</v>
          </cell>
          <cell r="BP277">
            <v>0.1</v>
          </cell>
          <cell r="BQ277">
            <v>0.1</v>
          </cell>
          <cell r="BR277">
            <v>0.1</v>
          </cell>
          <cell r="BS277">
            <v>0.1</v>
          </cell>
          <cell r="BT277">
            <v>0.1</v>
          </cell>
          <cell r="BU277">
            <v>0.1</v>
          </cell>
        </row>
        <row r="278">
          <cell r="A278" t="str">
            <v>Upgrades new to data</v>
          </cell>
          <cell r="J278">
            <v>831.6</v>
          </cell>
          <cell r="K278">
            <v>1264.18</v>
          </cell>
          <cell r="L278">
            <v>1583.9520000000002</v>
          </cell>
          <cell r="M278">
            <v>1078.9680000000001</v>
          </cell>
          <cell r="N278">
            <v>332.3125</v>
          </cell>
          <cell r="O278">
            <v>303.17346666666674</v>
          </cell>
          <cell r="P278">
            <v>221.484375</v>
          </cell>
          <cell r="Q278">
            <v>217.0546875</v>
          </cell>
          <cell r="R278">
            <v>211.62832031250002</v>
          </cell>
          <cell r="S278">
            <v>205.11667968749998</v>
          </cell>
          <cell r="T278">
            <v>1651.1892714843748</v>
          </cell>
          <cell r="AZ278">
            <v>489.6</v>
          </cell>
          <cell r="BA278">
            <v>342</v>
          </cell>
          <cell r="BB278">
            <v>228.8</v>
          </cell>
          <cell r="BC278">
            <v>343.20000000000005</v>
          </cell>
          <cell r="BD278">
            <v>345.6</v>
          </cell>
          <cell r="BE278">
            <v>346.58</v>
          </cell>
          <cell r="BF278">
            <v>289.44</v>
          </cell>
          <cell r="BG278">
            <v>345.72800000000001</v>
          </cell>
          <cell r="BH278">
            <v>537.47200000000009</v>
          </cell>
          <cell r="BI278">
            <v>411.31200000000001</v>
          </cell>
          <cell r="BJ278">
            <v>274.428</v>
          </cell>
          <cell r="BK278">
            <v>246.23999999999998</v>
          </cell>
          <cell r="BL278">
            <v>179.82</v>
          </cell>
          <cell r="BM278">
            <v>378.48</v>
          </cell>
          <cell r="BN278">
            <v>73.100000000000009</v>
          </cell>
          <cell r="BO278">
            <v>57.720000000000006</v>
          </cell>
          <cell r="BP278">
            <v>77.080000000000013</v>
          </cell>
          <cell r="BQ278">
            <v>124</v>
          </cell>
          <cell r="BR278">
            <v>73.666666666666686</v>
          </cell>
          <cell r="BS278">
            <v>59.5</v>
          </cell>
          <cell r="BT278">
            <v>59.5</v>
          </cell>
          <cell r="BU278">
            <v>110.5068</v>
          </cell>
        </row>
        <row r="279">
          <cell r="A279" t="str">
            <v>Avg upgrades</v>
          </cell>
          <cell r="J279">
            <v>831.6</v>
          </cell>
          <cell r="K279">
            <v>1047.8900000000001</v>
          </cell>
          <cell r="L279">
            <v>1424.0660000000003</v>
          </cell>
          <cell r="M279">
            <v>1331.46</v>
          </cell>
          <cell r="N279">
            <v>705.64025000000004</v>
          </cell>
          <cell r="O279">
            <v>317.74298333333337</v>
          </cell>
          <cell r="P279">
            <v>262.32892083333337</v>
          </cell>
          <cell r="Q279">
            <v>219.26953125</v>
          </cell>
          <cell r="R279">
            <v>214.34150390625001</v>
          </cell>
          <cell r="S279">
            <v>208.3725</v>
          </cell>
          <cell r="T279">
            <v>928.15297558593738</v>
          </cell>
          <cell r="AZ279">
            <v>489.6</v>
          </cell>
          <cell r="BA279">
            <v>415.8</v>
          </cell>
          <cell r="BB279">
            <v>285.39999999999998</v>
          </cell>
          <cell r="BC279">
            <v>286</v>
          </cell>
          <cell r="BD279">
            <v>344.40000000000003</v>
          </cell>
          <cell r="BE279">
            <v>346.09000000000003</v>
          </cell>
          <cell r="BF279">
            <v>318.01</v>
          </cell>
          <cell r="BG279">
            <v>317.584</v>
          </cell>
          <cell r="BH279">
            <v>441.6</v>
          </cell>
          <cell r="BI279">
            <v>474.39200000000005</v>
          </cell>
          <cell r="BJ279">
            <v>342.87</v>
          </cell>
          <cell r="BK279">
            <v>260.334</v>
          </cell>
          <cell r="BL279">
            <v>213.02999999999997</v>
          </cell>
          <cell r="BM279">
            <v>279.14999999999998</v>
          </cell>
          <cell r="BN279">
            <v>225.79000000000002</v>
          </cell>
          <cell r="BO279">
            <v>65.410000000000011</v>
          </cell>
          <cell r="BP279">
            <v>67.400000000000006</v>
          </cell>
          <cell r="BQ279">
            <v>100.54</v>
          </cell>
          <cell r="BR279">
            <v>98.833333333333343</v>
          </cell>
          <cell r="BS279">
            <v>66.583333333333343</v>
          </cell>
          <cell r="BT279">
            <v>59.5</v>
          </cell>
          <cell r="BU279">
            <v>85.003399999999999</v>
          </cell>
        </row>
        <row r="280">
          <cell r="A280" t="str">
            <v>Incremental ARPU</v>
          </cell>
          <cell r="J280">
            <v>40</v>
          </cell>
          <cell r="K280">
            <v>40</v>
          </cell>
          <cell r="L280">
            <v>40</v>
          </cell>
          <cell r="M280">
            <v>40</v>
          </cell>
          <cell r="N280">
            <v>40</v>
          </cell>
          <cell r="O280">
            <v>40</v>
          </cell>
          <cell r="P280">
            <v>40</v>
          </cell>
          <cell r="Q280">
            <v>40</v>
          </cell>
          <cell r="R280">
            <v>40</v>
          </cell>
          <cell r="S280">
            <v>40</v>
          </cell>
          <cell r="T280">
            <v>40</v>
          </cell>
          <cell r="AZ280">
            <v>40</v>
          </cell>
          <cell r="BA280">
            <v>40</v>
          </cell>
          <cell r="BB280">
            <v>40</v>
          </cell>
          <cell r="BC280">
            <v>40</v>
          </cell>
          <cell r="BD280">
            <v>40</v>
          </cell>
          <cell r="BE280">
            <v>40</v>
          </cell>
          <cell r="BF280">
            <v>40</v>
          </cell>
          <cell r="BG280">
            <v>40</v>
          </cell>
          <cell r="BH280">
            <v>40</v>
          </cell>
          <cell r="BI280">
            <v>40</v>
          </cell>
          <cell r="BJ280">
            <v>40</v>
          </cell>
          <cell r="BK280">
            <v>40</v>
          </cell>
          <cell r="BL280">
            <v>40</v>
          </cell>
          <cell r="BM280">
            <v>40</v>
          </cell>
          <cell r="BN280">
            <v>40</v>
          </cell>
          <cell r="BO280">
            <v>40</v>
          </cell>
          <cell r="BP280">
            <v>40</v>
          </cell>
          <cell r="BQ280">
            <v>40</v>
          </cell>
          <cell r="BR280">
            <v>40</v>
          </cell>
          <cell r="BS280">
            <v>40</v>
          </cell>
          <cell r="BT280">
            <v>40</v>
          </cell>
          <cell r="BU280">
            <v>40</v>
          </cell>
        </row>
        <row r="281">
          <cell r="A281" t="str">
            <v>Revenue</v>
          </cell>
          <cell r="J281">
            <v>108.648</v>
          </cell>
          <cell r="K281">
            <v>151.42680000000001</v>
          </cell>
          <cell r="L281">
            <v>186.19031999999999</v>
          </cell>
          <cell r="M281">
            <v>131.44607999999999</v>
          </cell>
          <cell r="N281">
            <v>338.70731999999998</v>
          </cell>
          <cell r="O281">
            <v>152.51663200000002</v>
          </cell>
          <cell r="P281">
            <v>125.91788200000001</v>
          </cell>
          <cell r="Q281">
            <v>105.249375</v>
          </cell>
          <cell r="R281">
            <v>102.883921875</v>
          </cell>
          <cell r="S281">
            <v>100.01879999999998</v>
          </cell>
          <cell r="T281">
            <v>445.51342828124996</v>
          </cell>
          <cell r="AZ281">
            <v>58.752000000000002</v>
          </cell>
          <cell r="BA281">
            <v>49.896000000000001</v>
          </cell>
          <cell r="BB281">
            <v>34.247999999999998</v>
          </cell>
          <cell r="BC281">
            <v>34.32</v>
          </cell>
          <cell r="BD281">
            <v>41.32800000000001</v>
          </cell>
          <cell r="BE281">
            <v>41.530800000000006</v>
          </cell>
          <cell r="BF281">
            <v>38.161199999999994</v>
          </cell>
          <cell r="BG281">
            <v>38.110080000000004</v>
          </cell>
          <cell r="BH281">
            <v>52.991999999999997</v>
          </cell>
          <cell r="BI281">
            <v>56.927039999999998</v>
          </cell>
          <cell r="BJ281">
            <v>41.144399999999997</v>
          </cell>
          <cell r="BK281">
            <v>31.240080000000003</v>
          </cell>
          <cell r="BL281">
            <v>25.563599999999997</v>
          </cell>
          <cell r="BM281">
            <v>33.497999999999998</v>
          </cell>
          <cell r="BN281">
            <v>27.094800000000003</v>
          </cell>
          <cell r="BO281">
            <v>7.8492000000000015</v>
          </cell>
          <cell r="BP281">
            <v>8.0879999999999992</v>
          </cell>
          <cell r="BQ281">
            <v>12.064800000000002</v>
          </cell>
          <cell r="BR281">
            <v>11.860000000000001</v>
          </cell>
          <cell r="BS281">
            <v>7.990000000000002</v>
          </cell>
          <cell r="BT281">
            <v>7.14</v>
          </cell>
          <cell r="BU281">
            <v>10.200407999999999</v>
          </cell>
        </row>
        <row r="282">
          <cell r="A282" t="str">
            <v>Recurring revenue</v>
          </cell>
          <cell r="J282">
            <v>108.648</v>
          </cell>
          <cell r="K282">
            <v>260.07479999999998</v>
          </cell>
          <cell r="L282">
            <v>337.61712</v>
          </cell>
          <cell r="M282">
            <v>317.63639999999998</v>
          </cell>
          <cell r="N282">
            <v>470.15339999999998</v>
          </cell>
          <cell r="O282">
            <v>491.223952</v>
          </cell>
          <cell r="P282">
            <v>278.43451400000004</v>
          </cell>
          <cell r="Q282">
            <v>231.16725700000001</v>
          </cell>
          <cell r="R282">
            <v>208.13329687499998</v>
          </cell>
          <cell r="S282">
            <v>202.902721875</v>
          </cell>
          <cell r="T282">
            <v>545.5322282812499</v>
          </cell>
          <cell r="AZ282">
            <v>58.752000000000002</v>
          </cell>
          <cell r="BA282">
            <v>108.648</v>
          </cell>
          <cell r="BB282">
            <v>142.89599999999999</v>
          </cell>
          <cell r="BC282">
            <v>177.21599999999998</v>
          </cell>
          <cell r="BD282">
            <v>218.54399999999998</v>
          </cell>
          <cell r="BE282">
            <v>260.07479999999998</v>
          </cell>
          <cell r="BF282">
            <v>298.23599999999999</v>
          </cell>
          <cell r="BG282">
            <v>336.34607999999997</v>
          </cell>
          <cell r="BH282">
            <v>330.58607999999998</v>
          </cell>
          <cell r="BI282">
            <v>337.61712</v>
          </cell>
          <cell r="BJ282">
            <v>344.51352000000003</v>
          </cell>
          <cell r="BK282">
            <v>341.43360000000001</v>
          </cell>
          <cell r="BL282">
            <v>325.66919999999999</v>
          </cell>
          <cell r="BM282">
            <v>317.63639999999998</v>
          </cell>
          <cell r="BN282">
            <v>306.57000000000005</v>
          </cell>
          <cell r="BO282">
            <v>276.30912000000001</v>
          </cell>
          <cell r="BP282">
            <v>231.40511999999998</v>
          </cell>
          <cell r="BQ282">
            <v>186.54287999999997</v>
          </cell>
          <cell r="BR282">
            <v>157.25848000000002</v>
          </cell>
          <cell r="BS282">
            <v>134.00839999999999</v>
          </cell>
          <cell r="BT282">
            <v>115.58479999999999</v>
          </cell>
          <cell r="BU282">
            <v>92.287207999999993</v>
          </cell>
        </row>
        <row r="283">
          <cell r="A283" t="str">
            <v>EBITDA Impact</v>
          </cell>
          <cell r="J283">
            <v>59.756399999999999</v>
          </cell>
          <cell r="K283">
            <v>83.284740000000014</v>
          </cell>
          <cell r="L283">
            <v>102.40467600000001</v>
          </cell>
          <cell r="M283">
            <v>72.295344</v>
          </cell>
          <cell r="N283">
            <v>186.28902600000001</v>
          </cell>
          <cell r="O283">
            <v>83.88414760000002</v>
          </cell>
          <cell r="P283">
            <v>69.254835100000008</v>
          </cell>
          <cell r="Q283">
            <v>57.887156250000004</v>
          </cell>
          <cell r="R283">
            <v>56.586157031250004</v>
          </cell>
          <cell r="S283">
            <v>55.010339999999999</v>
          </cell>
          <cell r="T283">
            <v>245.03238555468749</v>
          </cell>
          <cell r="AZ283">
            <v>32.313600000000001</v>
          </cell>
          <cell r="BA283">
            <v>27.442800000000002</v>
          </cell>
          <cell r="BB283">
            <v>18.836400000000001</v>
          </cell>
          <cell r="BC283">
            <v>18.876000000000001</v>
          </cell>
          <cell r="BD283">
            <v>22.730400000000007</v>
          </cell>
          <cell r="BE283">
            <v>22.841940000000005</v>
          </cell>
          <cell r="BF283">
            <v>20.988659999999999</v>
          </cell>
          <cell r="BG283">
            <v>20.960544000000002</v>
          </cell>
          <cell r="BH283">
            <v>29.145600000000002</v>
          </cell>
          <cell r="BI283">
            <v>31.309872000000002</v>
          </cell>
          <cell r="BJ283">
            <v>22.62942</v>
          </cell>
          <cell r="BK283">
            <v>17.182044000000001</v>
          </cell>
          <cell r="BL283">
            <v>14.059979999999999</v>
          </cell>
          <cell r="BM283">
            <v>18.4239</v>
          </cell>
          <cell r="BN283">
            <v>14.902140000000003</v>
          </cell>
          <cell r="BO283">
            <v>4.3170600000000015</v>
          </cell>
          <cell r="BP283">
            <v>4.4484000000000004</v>
          </cell>
          <cell r="BQ283">
            <v>6.6356400000000013</v>
          </cell>
          <cell r="BR283">
            <v>6.5230000000000015</v>
          </cell>
          <cell r="BS283">
            <v>4.3945000000000016</v>
          </cell>
          <cell r="BT283">
            <v>3.927</v>
          </cell>
          <cell r="BU283">
            <v>5.6102243999999999</v>
          </cell>
        </row>
        <row r="284">
          <cell r="A284" t="str">
            <v>Recurring EBITDA</v>
          </cell>
          <cell r="J284">
            <v>59.756399999999999</v>
          </cell>
          <cell r="K284">
            <v>143.04114000000001</v>
          </cell>
          <cell r="L284">
            <v>185.68941600000002</v>
          </cell>
          <cell r="M284">
            <v>174.70001999999999</v>
          </cell>
          <cell r="N284">
            <v>258.58437000000004</v>
          </cell>
          <cell r="O284">
            <v>270.17317360000004</v>
          </cell>
          <cell r="P284">
            <v>153.13898270000004</v>
          </cell>
          <cell r="Q284">
            <v>127.14199135000001</v>
          </cell>
          <cell r="R284">
            <v>114.47331328125</v>
          </cell>
          <cell r="S284">
            <v>111.59649703125001</v>
          </cell>
          <cell r="T284">
            <v>300.04272555468748</v>
          </cell>
          <cell r="AZ284">
            <v>32.313600000000001</v>
          </cell>
          <cell r="BA284">
            <v>59.756399999999999</v>
          </cell>
          <cell r="BB284">
            <v>78.592799999999997</v>
          </cell>
          <cell r="BC284">
            <v>97.468800000000002</v>
          </cell>
          <cell r="BD284">
            <v>120.1992</v>
          </cell>
          <cell r="BE284">
            <v>143.04114000000001</v>
          </cell>
          <cell r="BF284">
            <v>164.02980000000002</v>
          </cell>
          <cell r="BG284">
            <v>184.99034400000002</v>
          </cell>
          <cell r="BH284">
            <v>181.82234400000002</v>
          </cell>
          <cell r="BI284">
            <v>185.68941600000002</v>
          </cell>
          <cell r="BJ284">
            <v>189.48243600000004</v>
          </cell>
          <cell r="BK284">
            <v>187.78848000000002</v>
          </cell>
          <cell r="BL284">
            <v>179.11805999999999</v>
          </cell>
          <cell r="BM284">
            <v>174.70001999999999</v>
          </cell>
          <cell r="BN284">
            <v>168.61350000000002</v>
          </cell>
          <cell r="BO284">
            <v>151.97001599999999</v>
          </cell>
          <cell r="BP284">
            <v>127.27281600000001</v>
          </cell>
          <cell r="BQ284">
            <v>102.598584</v>
          </cell>
          <cell r="BR284">
            <v>86.492164000000002</v>
          </cell>
          <cell r="BS284">
            <v>73.704620000000006</v>
          </cell>
          <cell r="BT284">
            <v>63.571640000000009</v>
          </cell>
          <cell r="BU284">
            <v>50.757964400000006</v>
          </cell>
        </row>
        <row r="285">
          <cell r="A285" t="str">
            <v>Margin (assumed)</v>
          </cell>
          <cell r="J285">
            <v>0.55000000000000004</v>
          </cell>
          <cell r="K285">
            <v>0.55000000000000004</v>
          </cell>
          <cell r="L285">
            <v>0.55000000000000004</v>
          </cell>
          <cell r="M285">
            <v>0.55000000000000004</v>
          </cell>
          <cell r="N285">
            <v>0.55000000000000004</v>
          </cell>
          <cell r="O285">
            <v>0.55000000000000004</v>
          </cell>
          <cell r="P285">
            <v>0.55000000000000004</v>
          </cell>
          <cell r="Q285">
            <v>0.55000000000000004</v>
          </cell>
          <cell r="R285">
            <v>0.55000000000000004</v>
          </cell>
          <cell r="S285">
            <v>0.55000000000000004</v>
          </cell>
          <cell r="T285">
            <v>0.55000000000000004</v>
          </cell>
          <cell r="AZ285">
            <v>0.55000000000000004</v>
          </cell>
          <cell r="BA285">
            <v>0.55000000000000004</v>
          </cell>
          <cell r="BB285">
            <v>0.55000000000000004</v>
          </cell>
          <cell r="BC285">
            <v>0.55000000000000004</v>
          </cell>
          <cell r="BD285">
            <v>0.55000000000000004</v>
          </cell>
          <cell r="BE285">
            <v>0.55000000000000004</v>
          </cell>
          <cell r="BF285">
            <v>0.55000000000000004</v>
          </cell>
          <cell r="BG285">
            <v>0.55000000000000004</v>
          </cell>
          <cell r="BH285">
            <v>0.55000000000000004</v>
          </cell>
          <cell r="BI285">
            <v>0.55000000000000004</v>
          </cell>
          <cell r="BJ285">
            <v>0.55000000000000004</v>
          </cell>
          <cell r="BK285">
            <v>0.55000000000000004</v>
          </cell>
          <cell r="BL285">
            <v>0.55000000000000004</v>
          </cell>
          <cell r="BM285">
            <v>0.55000000000000004</v>
          </cell>
          <cell r="BN285">
            <v>0.55000000000000004</v>
          </cell>
          <cell r="BO285">
            <v>0.55000000000000004</v>
          </cell>
          <cell r="BP285">
            <v>0.55000000000000004</v>
          </cell>
          <cell r="BQ285">
            <v>0.55000000000000004</v>
          </cell>
          <cell r="BR285">
            <v>0.55000000000000004</v>
          </cell>
          <cell r="BS285">
            <v>0.55000000000000004</v>
          </cell>
          <cell r="BT285">
            <v>0.55000000000000004</v>
          </cell>
          <cell r="BU285">
            <v>0.55000000000000004</v>
          </cell>
        </row>
        <row r="286">
          <cell r="A286" t="str">
            <v>accretion (EPS)</v>
          </cell>
          <cell r="J286">
            <v>6.6764662757753434E-3</v>
          </cell>
          <cell r="K286">
            <v>9.3307510560834781E-3</v>
          </cell>
          <cell r="L286">
            <v>1.1382590881950519E-2</v>
          </cell>
          <cell r="M286">
            <v>8.080115564213142E-3</v>
          </cell>
          <cell r="N286">
            <v>2.1281345665690177E-2</v>
          </cell>
          <cell r="O286">
            <v>1.0047047466155087E-2</v>
          </cell>
          <cell r="P286">
            <v>8.6304679459984369E-3</v>
          </cell>
          <cell r="Q286">
            <v>7.3729402551484585E-3</v>
          </cell>
          <cell r="R286">
            <v>7.2673406578371283E-3</v>
          </cell>
          <cell r="S286">
            <v>7.1044578536885354E-3</v>
          </cell>
          <cell r="T286">
            <v>3.1823282300133704E-2</v>
          </cell>
          <cell r="AX286">
            <v>0</v>
          </cell>
          <cell r="AY286">
            <v>0</v>
          </cell>
          <cell r="AZ286">
            <v>3.6325994336378945E-3</v>
          </cell>
          <cell r="BA286">
            <v>3.3460086942783025E-3</v>
          </cell>
          <cell r="BB286">
            <v>2.0282963709677419E-3</v>
          </cell>
          <cell r="BC286">
            <v>2.1371432660724585E-3</v>
          </cell>
          <cell r="BD286">
            <v>2.6547542029249633E-3</v>
          </cell>
          <cell r="BE286">
            <v>2.5276960561048116E-3</v>
          </cell>
          <cell r="BF286">
            <v>2.3165818018348813E-3</v>
          </cell>
          <cell r="BG286">
            <v>2.310846027032729E-3</v>
          </cell>
          <cell r="BH286">
            <v>3.2147885476916031E-3</v>
          </cell>
          <cell r="BI286">
            <v>3.5635599701137398E-3</v>
          </cell>
          <cell r="BJ286">
            <v>2.5048979516535991E-3</v>
          </cell>
          <cell r="BK286">
            <v>1.9020039656707985E-3</v>
          </cell>
          <cell r="BL286">
            <v>1.5585043759843069E-3</v>
          </cell>
          <cell r="BM286">
            <v>2.1406714656368566E-3</v>
          </cell>
          <cell r="BN286">
            <v>1.6606953859786926E-3</v>
          </cell>
          <cell r="BO286">
            <v>4.8301449149893702E-4</v>
          </cell>
          <cell r="BP286">
            <v>5.2231900290557794E-4</v>
          </cell>
          <cell r="BQ286">
            <v>7.7199407720782653E-4</v>
          </cell>
          <cell r="BR286">
            <v>7.6784192825112105E-4</v>
          </cell>
          <cell r="BS286">
            <v>5.2328960255683301E-4</v>
          </cell>
          <cell r="BT286">
            <v>4.7310785438614794E-4</v>
          </cell>
          <cell r="BU286">
            <v>6.8392096490579987E-4</v>
          </cell>
        </row>
        <row r="287">
          <cell r="A287" t="str">
            <v>recurring accretion</v>
          </cell>
          <cell r="J287">
            <v>1.0611207561554092E-2</v>
          </cell>
          <cell r="K287">
            <v>5.0276252255707865E-2</v>
          </cell>
          <cell r="L287">
            <v>8.0886786888325263E-2</v>
          </cell>
          <cell r="M287">
            <v>8.1636129148160902E-2</v>
          </cell>
          <cell r="N287">
            <v>2.9361461229903317E-2</v>
          </cell>
          <cell r="O287">
            <v>3.1328393131845267E-2</v>
          </cell>
          <cell r="P287">
            <v>1.8677515412153525E-2</v>
          </cell>
          <cell r="Q287">
            <v>1.6003408201146894E-2</v>
          </cell>
          <cell r="R287">
            <v>1.4640280912985587E-2</v>
          </cell>
          <cell r="S287">
            <v>1.4371798511525664E-2</v>
          </cell>
          <cell r="T287">
            <v>3.8927740153822242E-2</v>
          </cell>
          <cell r="AX287">
            <v>0</v>
          </cell>
          <cell r="AY287">
            <v>0</v>
          </cell>
          <cell r="AZ287">
            <v>3.6325994336378945E-3</v>
          </cell>
          <cell r="BA287">
            <v>6.9786081279161975E-3</v>
          </cell>
          <cell r="BB287">
            <v>9.006904498883939E-3</v>
          </cell>
          <cell r="BC287">
            <v>1.1144047764956398E-2</v>
          </cell>
          <cell r="BD287">
            <v>1.3798801967881361E-2</v>
          </cell>
          <cell r="BE287">
            <v>1.6326498023986172E-2</v>
          </cell>
          <cell r="BF287">
            <v>1.8643079825821054E-2</v>
          </cell>
          <cell r="BG287">
            <v>2.0953925852853782E-2</v>
          </cell>
          <cell r="BH287">
            <v>2.0536114966907493E-2</v>
          </cell>
          <cell r="BI287">
            <v>2.0753666242742927E-2</v>
          </cell>
          <cell r="BJ287">
            <v>2.1230267823428784E-2</v>
          </cell>
          <cell r="BK287">
            <v>2.0995128523027127E-2</v>
          </cell>
          <cell r="BL287">
            <v>1.9898878696086472E-2</v>
          </cell>
          <cell r="BM287">
            <v>1.9511854105618516E-2</v>
          </cell>
          <cell r="BN287">
            <v>1.8855967689762325E-2</v>
          </cell>
          <cell r="BO287">
            <v>1.7028136154228532E-2</v>
          </cell>
          <cell r="BP287">
            <v>1.4335666609442507E-2</v>
          </cell>
          <cell r="BQ287">
            <v>1.1544100716536594E-2</v>
          </cell>
          <cell r="BR287">
            <v>9.8070446931341187E-3</v>
          </cell>
          <cell r="BS287">
            <v>8.4283303300201513E-3</v>
          </cell>
          <cell r="BT287">
            <v>7.3429338084219937E-3</v>
          </cell>
          <cell r="BU287">
            <v>5.8861833076909358E-3</v>
          </cell>
        </row>
        <row r="288">
          <cell r="A288" t="str">
            <v>NEW TO AT&amp;T ACCRETION</v>
          </cell>
        </row>
        <row r="289">
          <cell r="A289" t="str">
            <v>iPhone ARPU</v>
          </cell>
          <cell r="J289">
            <v>83</v>
          </cell>
          <cell r="K289">
            <v>84</v>
          </cell>
          <cell r="L289">
            <v>93.75</v>
          </cell>
          <cell r="M289">
            <v>80</v>
          </cell>
          <cell r="N289">
            <v>80</v>
          </cell>
          <cell r="O289">
            <v>80</v>
          </cell>
          <cell r="P289">
            <v>80</v>
          </cell>
          <cell r="Q289">
            <v>80</v>
          </cell>
          <cell r="R289">
            <v>80</v>
          </cell>
          <cell r="S289">
            <v>80</v>
          </cell>
          <cell r="T289">
            <v>80</v>
          </cell>
          <cell r="BB289">
            <v>95</v>
          </cell>
          <cell r="BC289">
            <v>95</v>
          </cell>
          <cell r="BD289">
            <v>95</v>
          </cell>
          <cell r="BE289">
            <v>95</v>
          </cell>
          <cell r="BF289">
            <v>95</v>
          </cell>
          <cell r="BG289">
            <v>95</v>
          </cell>
          <cell r="BH289">
            <v>95</v>
          </cell>
          <cell r="BI289">
            <v>90</v>
          </cell>
          <cell r="BJ289">
            <v>80</v>
          </cell>
          <cell r="BK289">
            <v>80</v>
          </cell>
          <cell r="BL289">
            <v>80</v>
          </cell>
          <cell r="BM289">
            <v>80</v>
          </cell>
          <cell r="BN289">
            <v>80</v>
          </cell>
          <cell r="BO289">
            <v>80</v>
          </cell>
          <cell r="BP289">
            <v>80</v>
          </cell>
          <cell r="BQ289">
            <v>80</v>
          </cell>
          <cell r="BR289">
            <v>80</v>
          </cell>
          <cell r="BS289">
            <v>80</v>
          </cell>
          <cell r="BT289">
            <v>80</v>
          </cell>
          <cell r="BU289">
            <v>80</v>
          </cell>
        </row>
        <row r="290">
          <cell r="A290" t="str">
            <v>Revenue</v>
          </cell>
          <cell r="J290">
            <v>1436.9297976000003</v>
          </cell>
          <cell r="K290">
            <v>3054.2406048000003</v>
          </cell>
          <cell r="L290">
            <v>4450.5</v>
          </cell>
          <cell r="M290">
            <v>3683.04</v>
          </cell>
          <cell r="N290">
            <v>3609.78</v>
          </cell>
          <cell r="O290">
            <v>3124.5287999999996</v>
          </cell>
          <cell r="P290">
            <v>2071.5287999999996</v>
          </cell>
          <cell r="Q290">
            <v>1559.25</v>
          </cell>
          <cell r="R290">
            <v>1524.20625</v>
          </cell>
          <cell r="S290">
            <v>1481.76</v>
          </cell>
          <cell r="T290">
            <v>1495.0726875000003</v>
          </cell>
          <cell r="BB290">
            <v>210.9</v>
          </cell>
          <cell r="BC290">
            <v>222.3</v>
          </cell>
          <cell r="BD290">
            <v>302.10000000000002</v>
          </cell>
          <cell r="BE290">
            <v>337.01249999999999</v>
          </cell>
          <cell r="BF290">
            <v>281.58</v>
          </cell>
          <cell r="BG290">
            <v>250.08750000000001</v>
          </cell>
          <cell r="BH290">
            <v>300.95999999999998</v>
          </cell>
          <cell r="BI290">
            <v>301.32</v>
          </cell>
          <cell r="BJ290">
            <v>217.44</v>
          </cell>
          <cell r="BK290">
            <v>203.04</v>
          </cell>
          <cell r="BL290">
            <v>187.92</v>
          </cell>
          <cell r="BM290">
            <v>239.28</v>
          </cell>
          <cell r="BN290">
            <v>232.44</v>
          </cell>
          <cell r="BO290">
            <v>175.08</v>
          </cell>
          <cell r="BP290">
            <v>199.2</v>
          </cell>
          <cell r="BQ290">
            <v>287.52</v>
          </cell>
          <cell r="BR290">
            <v>264</v>
          </cell>
          <cell r="BS290">
            <v>141</v>
          </cell>
          <cell r="BT290">
            <v>126</v>
          </cell>
          <cell r="BU290">
            <v>180.00719999999998</v>
          </cell>
        </row>
        <row r="291">
          <cell r="A291" t="str">
            <v>Recurring revenue</v>
          </cell>
          <cell r="J291">
            <v>1436.9297976000003</v>
          </cell>
          <cell r="K291">
            <v>4491.170402400001</v>
          </cell>
          <cell r="L291">
            <v>7504.7406048000003</v>
          </cell>
          <cell r="M291">
            <v>8133.54</v>
          </cell>
          <cell r="N291">
            <v>7292.82</v>
          </cell>
          <cell r="O291">
            <v>6734.3087999999998</v>
          </cell>
          <cell r="P291">
            <v>5196.0575999999992</v>
          </cell>
          <cell r="Q291">
            <v>3630.7787999999996</v>
          </cell>
          <cell r="R291">
            <v>3083.4562500000002</v>
          </cell>
          <cell r="S291">
            <v>3005.9662499999999</v>
          </cell>
          <cell r="T291">
            <v>2976.8326875000002</v>
          </cell>
          <cell r="BB291">
            <v>210.9</v>
          </cell>
          <cell r="BC291">
            <v>433.20000000000005</v>
          </cell>
          <cell r="BD291">
            <v>735.30000000000007</v>
          </cell>
          <cell r="BE291">
            <v>1072.3125</v>
          </cell>
          <cell r="BF291">
            <v>1353.8924999999999</v>
          </cell>
          <cell r="BG291">
            <v>1603.98</v>
          </cell>
          <cell r="BH291">
            <v>1904.94</v>
          </cell>
          <cell r="BI291">
            <v>2206.2600000000002</v>
          </cell>
          <cell r="BJ291">
            <v>2212.8000000000002</v>
          </cell>
          <cell r="BK291">
            <v>2193.54</v>
          </cell>
          <cell r="BL291">
            <v>2079.3599999999997</v>
          </cell>
          <cell r="BM291">
            <v>1981.6275000000001</v>
          </cell>
          <cell r="BN291">
            <v>1932.4875000000002</v>
          </cell>
          <cell r="BO291">
            <v>1857.48</v>
          </cell>
          <cell r="BP291">
            <v>1755.72</v>
          </cell>
          <cell r="BQ291">
            <v>1741.9199999999998</v>
          </cell>
          <cell r="BR291">
            <v>1788.48</v>
          </cell>
          <cell r="BS291">
            <v>1726.44</v>
          </cell>
          <cell r="BT291">
            <v>1664.52</v>
          </cell>
          <cell r="BU291">
            <v>1605.2472</v>
          </cell>
        </row>
        <row r="292">
          <cell r="A292" t="str">
            <v>EBITDA Impact</v>
          </cell>
          <cell r="J292">
            <v>790.31138868000016</v>
          </cell>
          <cell r="K292">
            <v>1679.8323326400002</v>
          </cell>
          <cell r="L292">
            <v>2447.7750000000001</v>
          </cell>
          <cell r="M292">
            <v>2025.6720000000003</v>
          </cell>
          <cell r="N292">
            <v>1985.3790000000004</v>
          </cell>
          <cell r="O292">
            <v>1718.4908399999999</v>
          </cell>
          <cell r="P292">
            <v>1139.3408399999998</v>
          </cell>
          <cell r="Q292">
            <v>857.58750000000009</v>
          </cell>
          <cell r="R292">
            <v>838.31343750000008</v>
          </cell>
          <cell r="S292">
            <v>814.96800000000007</v>
          </cell>
          <cell r="T292">
            <v>822.28997812500018</v>
          </cell>
          <cell r="BB292">
            <v>115.99500000000002</v>
          </cell>
          <cell r="BC292">
            <v>122.26500000000001</v>
          </cell>
          <cell r="BD292">
            <v>166.15500000000003</v>
          </cell>
          <cell r="BE292">
            <v>185.356875</v>
          </cell>
          <cell r="BF292">
            <v>154.869</v>
          </cell>
          <cell r="BG292">
            <v>137.54812500000003</v>
          </cell>
          <cell r="BH292">
            <v>165.52799999999999</v>
          </cell>
          <cell r="BI292">
            <v>165.726</v>
          </cell>
          <cell r="BJ292">
            <v>119.59200000000001</v>
          </cell>
          <cell r="BK292">
            <v>111.67200000000001</v>
          </cell>
          <cell r="BL292">
            <v>103.35599999999999</v>
          </cell>
          <cell r="BM292">
            <v>131.60400000000001</v>
          </cell>
          <cell r="BN292">
            <v>127.84200000000001</v>
          </cell>
          <cell r="BO292">
            <v>96.294000000000011</v>
          </cell>
          <cell r="BP292">
            <v>109.56</v>
          </cell>
          <cell r="BQ292">
            <v>158.136</v>
          </cell>
          <cell r="BR292">
            <v>145.20000000000002</v>
          </cell>
          <cell r="BS292">
            <v>77.550000000000011</v>
          </cell>
          <cell r="BT292">
            <v>69.300000000000011</v>
          </cell>
          <cell r="BU292">
            <v>99.003959999999992</v>
          </cell>
        </row>
        <row r="293">
          <cell r="A293" t="str">
            <v>Recurring EBITDA</v>
          </cell>
          <cell r="J293">
            <v>790.31138868000016</v>
          </cell>
          <cell r="K293">
            <v>2470.1437213200006</v>
          </cell>
          <cell r="L293">
            <v>4127.6073326400001</v>
          </cell>
          <cell r="M293">
            <v>4473.4470000000001</v>
          </cell>
          <cell r="N293">
            <v>4011.0510000000004</v>
          </cell>
          <cell r="O293">
            <v>3703.8698400000003</v>
          </cell>
          <cell r="P293">
            <v>2857.8316799999998</v>
          </cell>
          <cell r="Q293">
            <v>1996.9283399999999</v>
          </cell>
          <cell r="R293">
            <v>1695.9009375000001</v>
          </cell>
          <cell r="S293">
            <v>1653.2814375000003</v>
          </cell>
          <cell r="T293">
            <v>1637.2579781250001</v>
          </cell>
          <cell r="BB293">
            <v>115.99500000000002</v>
          </cell>
          <cell r="BC293">
            <v>238.26000000000005</v>
          </cell>
          <cell r="BD293">
            <v>404.41500000000008</v>
          </cell>
          <cell r="BE293">
            <v>589.77187500000014</v>
          </cell>
          <cell r="BF293">
            <v>744.64087500000016</v>
          </cell>
          <cell r="BG293">
            <v>882.18900000000019</v>
          </cell>
          <cell r="BH293">
            <v>1047.7170000000001</v>
          </cell>
          <cell r="BI293">
            <v>1213.4430000000002</v>
          </cell>
          <cell r="BJ293">
            <v>1217.0400000000002</v>
          </cell>
          <cell r="BK293">
            <v>1206.4470000000001</v>
          </cell>
          <cell r="BL293">
            <v>1143.6479999999999</v>
          </cell>
          <cell r="BM293">
            <v>1089.895125</v>
          </cell>
          <cell r="BN293">
            <v>1062.8681250000002</v>
          </cell>
          <cell r="BO293">
            <v>1021.614</v>
          </cell>
          <cell r="BP293">
            <v>965.64599999999996</v>
          </cell>
          <cell r="BQ293">
            <v>958.05600000000004</v>
          </cell>
          <cell r="BR293">
            <v>983.66399999999999</v>
          </cell>
          <cell r="BS293">
            <v>949.54199999999992</v>
          </cell>
          <cell r="BT293">
            <v>915.4860000000001</v>
          </cell>
          <cell r="BU293">
            <v>882.88596000000007</v>
          </cell>
        </row>
        <row r="294">
          <cell r="A294" t="str">
            <v>Margin (assumed)</v>
          </cell>
          <cell r="J294">
            <v>0.55000000000000004</v>
          </cell>
          <cell r="K294">
            <v>0.55000000000000004</v>
          </cell>
          <cell r="L294">
            <v>0.55000000000000004</v>
          </cell>
          <cell r="M294">
            <v>0.55000000000000004</v>
          </cell>
          <cell r="N294">
            <v>0.55000000000000004</v>
          </cell>
          <cell r="O294">
            <v>0.55000000000000004</v>
          </cell>
          <cell r="P294">
            <v>0.55000000000000004</v>
          </cell>
          <cell r="Q294">
            <v>0.55000000000000004</v>
          </cell>
          <cell r="R294">
            <v>0.55000000000000004</v>
          </cell>
          <cell r="S294">
            <v>0.55000000000000004</v>
          </cell>
          <cell r="T294">
            <v>0.55000000000000004</v>
          </cell>
          <cell r="BB294">
            <v>0.55000000000000004</v>
          </cell>
          <cell r="BC294">
            <v>0.55000000000000004</v>
          </cell>
          <cell r="BD294">
            <v>0.55000000000000004</v>
          </cell>
          <cell r="BE294">
            <v>0.55000000000000004</v>
          </cell>
          <cell r="BF294">
            <v>0.55000000000000004</v>
          </cell>
          <cell r="BG294">
            <v>0.55000000000000004</v>
          </cell>
          <cell r="BH294">
            <v>0.55000000000000004</v>
          </cell>
          <cell r="BI294">
            <v>0.55000000000000004</v>
          </cell>
          <cell r="BJ294">
            <v>0.55000000000000004</v>
          </cell>
          <cell r="BK294">
            <v>0.55000000000000004</v>
          </cell>
          <cell r="BL294">
            <v>0.55000000000000004</v>
          </cell>
          <cell r="BM294">
            <v>0.55000000000000004</v>
          </cell>
          <cell r="BN294">
            <v>0.55000000000000004</v>
          </cell>
          <cell r="BO294">
            <v>0.55000000000000004</v>
          </cell>
          <cell r="BP294">
            <v>0.55000000000000004</v>
          </cell>
          <cell r="BQ294">
            <v>0.55000000000000004</v>
          </cell>
          <cell r="BR294">
            <v>0.55000000000000004</v>
          </cell>
          <cell r="BS294">
            <v>0.55000000000000004</v>
          </cell>
          <cell r="BT294">
            <v>0.55000000000000004</v>
          </cell>
          <cell r="BU294">
            <v>0.55000000000000004</v>
          </cell>
        </row>
        <row r="295">
          <cell r="A295" t="str">
            <v>one time accretion</v>
          </cell>
          <cell r="J295">
            <v>8.829995337542422E-2</v>
          </cell>
          <cell r="K295">
            <v>0.1881989102904548</v>
          </cell>
          <cell r="L295">
            <v>0.27207762852612732</v>
          </cell>
          <cell r="M295">
            <v>0.22639997197040473</v>
          </cell>
          <cell r="N295">
            <v>0.22680636473134122</v>
          </cell>
          <cell r="O295">
            <v>0.20582862833588264</v>
          </cell>
          <cell r="P295">
            <v>0.14198351039300838</v>
          </cell>
          <cell r="Q295">
            <v>0.1092287445207179</v>
          </cell>
          <cell r="R295">
            <v>0.10766430604203153</v>
          </cell>
          <cell r="S295">
            <v>0.10525122746205239</v>
          </cell>
          <cell r="T295">
            <v>0.10679390827137157</v>
          </cell>
          <cell r="BB295">
            <v>1.2490297379032261E-2</v>
          </cell>
          <cell r="BC295">
            <v>1.3842859791605698E-2</v>
          </cell>
          <cell r="BD295">
            <v>1.9405759889267113E-2</v>
          </cell>
          <cell r="BE295">
            <v>2.0511648393674642E-2</v>
          </cell>
          <cell r="BF295">
            <v>1.709335932205135E-2</v>
          </cell>
          <cell r="BG295">
            <v>1.5164326755166813E-2</v>
          </cell>
          <cell r="BH295">
            <v>1.8257902349661549E-2</v>
          </cell>
          <cell r="BI295">
            <v>1.8862247012925173E-2</v>
          </cell>
          <cell r="BJ295">
            <v>1.3237889253642261E-2</v>
          </cell>
          <cell r="BK295">
            <v>1.2361776448389344E-2</v>
          </cell>
          <cell r="BL295">
            <v>1.14566861605944E-2</v>
          </cell>
          <cell r="BM295">
            <v>1.5291058221314321E-2</v>
          </cell>
          <cell r="BN295">
            <v>1.4246720238454878E-2</v>
          </cell>
          <cell r="BO295">
            <v>1.0773859396070158E-2</v>
          </cell>
          <cell r="BP295">
            <v>1.2864236570078031E-2</v>
          </cell>
          <cell r="BQ295">
            <v>1.8397630883130615E-2</v>
          </cell>
          <cell r="BR295">
            <v>1.7091928251121075E-2</v>
          </cell>
          <cell r="BS295">
            <v>9.2345223980617574E-3</v>
          </cell>
          <cell r="BT295">
            <v>8.3489621362261394E-3</v>
          </cell>
          <cell r="BU295">
            <v>1.2069193498337646E-2</v>
          </cell>
        </row>
        <row r="296">
          <cell r="A296" t="str">
            <v>recurring accretion</v>
          </cell>
          <cell r="J296">
            <v>8.829995337542422E-2</v>
          </cell>
          <cell r="K296">
            <v>0.276498863665879</v>
          </cell>
          <cell r="L296">
            <v>0.46027653881658215</v>
          </cell>
          <cell r="M296">
            <v>0.49847760049653206</v>
          </cell>
          <cell r="N296">
            <v>0.45320633670174593</v>
          </cell>
          <cell r="O296">
            <v>0.43263499306722386</v>
          </cell>
          <cell r="P296">
            <v>0.34781213872889105</v>
          </cell>
          <cell r="Q296">
            <v>0.25121225491372629</v>
          </cell>
          <cell r="R296">
            <v>0.21689305056274943</v>
          </cell>
          <cell r="S296">
            <v>0.21291553350408393</v>
          </cell>
          <cell r="T296">
            <v>0.21204513573342396</v>
          </cell>
          <cell r="BB296">
            <v>1.2490297379032261E-2</v>
          </cell>
          <cell r="BC296">
            <v>2.6333157170637958E-2</v>
          </cell>
          <cell r="BD296">
            <v>4.5738917059905071E-2</v>
          </cell>
          <cell r="BE296">
            <v>6.6250565453579713E-2</v>
          </cell>
          <cell r="BF296">
            <v>8.3343924775631059E-2</v>
          </cell>
          <cell r="BG296">
            <v>9.8508251530797869E-2</v>
          </cell>
          <cell r="BH296">
            <v>0.11676615388045941</v>
          </cell>
          <cell r="BI296">
            <v>0.13562840089338457</v>
          </cell>
          <cell r="BJ296">
            <v>0.13637599276799459</v>
          </cell>
          <cell r="BK296">
            <v>0.13489490942477825</v>
          </cell>
          <cell r="BL296">
            <v>0.12694583569610551</v>
          </cell>
          <cell r="BM296">
            <v>0.12172524552374522</v>
          </cell>
          <cell r="BN296">
            <v>0.11887860644014875</v>
          </cell>
          <cell r="BO296">
            <v>0.11448813908105208</v>
          </cell>
          <cell r="BP296">
            <v>0.10909447330146857</v>
          </cell>
          <cell r="BQ296">
            <v>0.108629857171674</v>
          </cell>
          <cell r="BR296">
            <v>0.1124838961691528</v>
          </cell>
          <cell r="BS296">
            <v>0.10935664211882525</v>
          </cell>
          <cell r="BT296">
            <v>0.10624891809445697</v>
          </cell>
          <cell r="BU296">
            <v>0.10302705337148031</v>
          </cell>
        </row>
        <row r="297">
          <cell r="A297" t="str">
            <v>Total dilution/accretion</v>
          </cell>
          <cell r="J297">
            <v>-2.169923294838999E-2</v>
          </cell>
          <cell r="K297">
            <v>8.0374125372995042E-3</v>
          </cell>
          <cell r="L297">
            <v>0.11462465621683715</v>
          </cell>
          <cell r="M297">
            <v>0.10654152188697169</v>
          </cell>
          <cell r="N297">
            <v>-7.2273450366299175E-2</v>
          </cell>
          <cell r="O297">
            <v>-2.7316136783327838E-2</v>
          </cell>
          <cell r="P297">
            <v>-8.3307030777899138E-2</v>
          </cell>
          <cell r="Q297">
            <v>-0.18330693633926631</v>
          </cell>
          <cell r="R297">
            <v>-0.21138944654528075</v>
          </cell>
          <cell r="S297">
            <v>-0.20440715562171458</v>
          </cell>
          <cell r="T297">
            <v>-0.20485478136860794</v>
          </cell>
          <cell r="BB297">
            <v>-2.8466141230588195E-2</v>
          </cell>
          <cell r="BC297">
            <v>-3.5889442469308863E-2</v>
          </cell>
          <cell r="BD297">
            <v>-4.5108911291995277E-2</v>
          </cell>
          <cell r="BE297">
            <v>-1.0045612134038345E-2</v>
          </cell>
          <cell r="BF297">
            <v>2.2717101230879055E-2</v>
          </cell>
          <cell r="BG297">
            <v>2.9853069396177587E-2</v>
          </cell>
          <cell r="BH297">
            <v>-4.9418884560714083E-3</v>
          </cell>
          <cell r="BI297">
            <v>4.0654101924016445E-2</v>
          </cell>
          <cell r="BJ297">
            <v>5.9577339568064061E-2</v>
          </cell>
          <cell r="BK297">
            <v>5.7059587941339987E-2</v>
          </cell>
          <cell r="BL297">
            <v>7.1424523366335452E-2</v>
          </cell>
          <cell r="BM297">
            <v>-6.5395053958562072E-2</v>
          </cell>
          <cell r="BN297">
            <v>2.7520354109637019E-2</v>
          </cell>
          <cell r="BO297">
            <v>3.0506448426007596E-2</v>
          </cell>
          <cell r="BP297">
            <v>-6.8091007200724168E-3</v>
          </cell>
          <cell r="BQ297">
            <v>-9.6219484734740207E-2</v>
          </cell>
          <cell r="BR297">
            <v>4.9703130595963596E-3</v>
          </cell>
          <cell r="BS297">
            <v>2.1926938529571199E-2</v>
          </cell>
          <cell r="BT297">
            <v>1.6608958401262183E-2</v>
          </cell>
          <cell r="BU297">
            <v>-7.334770162891889E-2</v>
          </cell>
        </row>
        <row r="301">
          <cell r="A301" t="str">
            <v>iPad</v>
          </cell>
        </row>
        <row r="302">
          <cell r="A302" t="str">
            <v>Global Unit Sale</v>
          </cell>
          <cell r="L302">
            <v>12958</v>
          </cell>
          <cell r="M302">
            <v>30000</v>
          </cell>
          <cell r="N302">
            <v>36000</v>
          </cell>
          <cell r="O302">
            <v>50700</v>
          </cell>
          <cell r="P302">
            <v>65910</v>
          </cell>
          <cell r="Q302">
            <v>85683</v>
          </cell>
          <cell r="R302">
            <v>111387.90000000001</v>
          </cell>
          <cell r="S302">
            <v>144804.27000000002</v>
          </cell>
          <cell r="T302">
            <v>188245.55100000004</v>
          </cell>
          <cell r="BF302">
            <v>0</v>
          </cell>
          <cell r="BG302">
            <v>3270</v>
          </cell>
          <cell r="BH302">
            <v>4188</v>
          </cell>
          <cell r="BI302">
            <v>5500</v>
          </cell>
          <cell r="BJ302">
            <v>5500</v>
          </cell>
          <cell r="BK302">
            <v>6500</v>
          </cell>
          <cell r="BL302">
            <v>8000</v>
          </cell>
          <cell r="BM302">
            <v>10000</v>
          </cell>
          <cell r="BN302">
            <v>7500</v>
          </cell>
          <cell r="BO302">
            <v>7500</v>
          </cell>
          <cell r="BP302">
            <v>7500</v>
          </cell>
          <cell r="BQ302">
            <v>13500</v>
          </cell>
          <cell r="BR302">
            <v>12675</v>
          </cell>
          <cell r="BS302">
            <v>12675</v>
          </cell>
          <cell r="BT302">
            <v>12675</v>
          </cell>
          <cell r="BU302">
            <v>12675</v>
          </cell>
        </row>
        <row r="303">
          <cell r="A303" t="str">
            <v>q/q growth</v>
          </cell>
          <cell r="BH303">
            <v>0.2807339449541284</v>
          </cell>
          <cell r="BI303">
            <v>0.31327602674307542</v>
          </cell>
          <cell r="BJ303">
            <v>0</v>
          </cell>
          <cell r="BK303">
            <v>0.18181818181818188</v>
          </cell>
          <cell r="BL303">
            <v>0.23076923076923084</v>
          </cell>
          <cell r="BM303">
            <v>0.25</v>
          </cell>
          <cell r="BN303">
            <v>-0.25</v>
          </cell>
          <cell r="BO303">
            <v>0</v>
          </cell>
          <cell r="BP303">
            <v>0</v>
          </cell>
          <cell r="BQ303">
            <v>0.8</v>
          </cell>
          <cell r="BR303">
            <v>-6.1111111111111116E-2</v>
          </cell>
          <cell r="BS303">
            <v>0</v>
          </cell>
          <cell r="BT303">
            <v>0</v>
          </cell>
          <cell r="BU303">
            <v>0</v>
          </cell>
        </row>
        <row r="304">
          <cell r="A304" t="str">
            <v>y/y growth</v>
          </cell>
          <cell r="M304">
            <v>1.3151720944590215</v>
          </cell>
          <cell r="N304">
            <v>0.19999999999999996</v>
          </cell>
          <cell r="O304">
            <v>0.40833333333333344</v>
          </cell>
          <cell r="P304">
            <v>0.3</v>
          </cell>
          <cell r="Q304">
            <v>0.3</v>
          </cell>
          <cell r="R304">
            <v>0.3</v>
          </cell>
          <cell r="S304">
            <v>0.3</v>
          </cell>
          <cell r="T304">
            <v>0.3</v>
          </cell>
        </row>
        <row r="305">
          <cell r="A305" t="str">
            <v>US Share</v>
          </cell>
          <cell r="L305">
            <v>0.5</v>
          </cell>
          <cell r="M305">
            <v>0.5</v>
          </cell>
          <cell r="N305">
            <v>0.5</v>
          </cell>
          <cell r="O305">
            <v>0.3</v>
          </cell>
          <cell r="P305">
            <v>0.25</v>
          </cell>
          <cell r="Q305">
            <v>0.25</v>
          </cell>
          <cell r="R305">
            <v>0.25</v>
          </cell>
          <cell r="S305">
            <v>0.25</v>
          </cell>
          <cell r="T305">
            <v>0.25</v>
          </cell>
          <cell r="BG305">
            <v>0.5</v>
          </cell>
          <cell r="BH305">
            <v>0.5</v>
          </cell>
          <cell r="BI305">
            <v>0.5</v>
          </cell>
          <cell r="BJ305">
            <v>0.5</v>
          </cell>
          <cell r="BK305">
            <v>0.5</v>
          </cell>
          <cell r="BL305">
            <v>0.5</v>
          </cell>
          <cell r="BM305">
            <v>0.5</v>
          </cell>
          <cell r="BN305">
            <v>0.5</v>
          </cell>
          <cell r="BO305">
            <v>0.5</v>
          </cell>
          <cell r="BP305">
            <v>0.5</v>
          </cell>
          <cell r="BQ305">
            <v>0.5</v>
          </cell>
          <cell r="BR305">
            <v>0.3</v>
          </cell>
          <cell r="BS305">
            <v>0.3</v>
          </cell>
          <cell r="BT305">
            <v>0.3</v>
          </cell>
          <cell r="BU305">
            <v>0.3</v>
          </cell>
        </row>
        <row r="306">
          <cell r="A306" t="str">
            <v>US Units</v>
          </cell>
          <cell r="L306">
            <v>6479</v>
          </cell>
          <cell r="M306">
            <v>15000</v>
          </cell>
          <cell r="N306">
            <v>18000</v>
          </cell>
          <cell r="O306">
            <v>15210</v>
          </cell>
          <cell r="P306">
            <v>16477.5</v>
          </cell>
          <cell r="Q306">
            <v>21420.75</v>
          </cell>
          <cell r="R306">
            <v>27846.975000000002</v>
          </cell>
          <cell r="S306">
            <v>36201.067500000005</v>
          </cell>
          <cell r="T306">
            <v>47061.387750000009</v>
          </cell>
          <cell r="BG306">
            <v>1635</v>
          </cell>
          <cell r="BH306">
            <v>2094</v>
          </cell>
          <cell r="BI306">
            <v>2750</v>
          </cell>
          <cell r="BJ306">
            <v>2750</v>
          </cell>
          <cell r="BK306">
            <v>3250</v>
          </cell>
          <cell r="BL306">
            <v>4000</v>
          </cell>
          <cell r="BM306">
            <v>5000</v>
          </cell>
          <cell r="BN306">
            <v>3750</v>
          </cell>
          <cell r="BO306">
            <v>3750</v>
          </cell>
          <cell r="BP306">
            <v>3750</v>
          </cell>
          <cell r="BQ306">
            <v>6750</v>
          </cell>
          <cell r="BR306">
            <v>3802.5</v>
          </cell>
          <cell r="BS306">
            <v>3802.5</v>
          </cell>
          <cell r="BT306">
            <v>3802.5</v>
          </cell>
          <cell r="BU306">
            <v>3802.5</v>
          </cell>
        </row>
        <row r="307">
          <cell r="A307" t="str">
            <v>US 3G Share</v>
          </cell>
          <cell r="L307">
            <v>0.21727951844420437</v>
          </cell>
          <cell r="M307">
            <v>0.2</v>
          </cell>
          <cell r="N307">
            <v>0.2</v>
          </cell>
          <cell r="O307">
            <v>0.2</v>
          </cell>
          <cell r="P307">
            <v>0.2</v>
          </cell>
          <cell r="Q307">
            <v>0.2</v>
          </cell>
          <cell r="R307">
            <v>0.2</v>
          </cell>
          <cell r="S307">
            <v>0.2</v>
          </cell>
          <cell r="T307">
            <v>0.2</v>
          </cell>
          <cell r="BG307">
            <v>0.28000000000000003</v>
          </cell>
          <cell r="BH307">
            <v>0.191</v>
          </cell>
          <cell r="BI307">
            <v>0.2</v>
          </cell>
          <cell r="BJ307">
            <v>0.2</v>
          </cell>
          <cell r="BK307">
            <v>0.2</v>
          </cell>
          <cell r="BL307">
            <v>0.2</v>
          </cell>
          <cell r="BM307">
            <v>0.2</v>
          </cell>
          <cell r="BN307">
            <v>0.2</v>
          </cell>
          <cell r="BO307">
            <v>0.2</v>
          </cell>
          <cell r="BP307">
            <v>0.2</v>
          </cell>
          <cell r="BQ307">
            <v>0.2</v>
          </cell>
          <cell r="BR307">
            <v>0.2</v>
          </cell>
          <cell r="BS307">
            <v>0.2</v>
          </cell>
          <cell r="BT307">
            <v>0.2</v>
          </cell>
          <cell r="BU307">
            <v>0.2</v>
          </cell>
        </row>
        <row r="308">
          <cell r="A308" t="str">
            <v>US 3G Units</v>
          </cell>
          <cell r="L308">
            <v>1407.7540000000001</v>
          </cell>
          <cell r="M308">
            <v>3000</v>
          </cell>
          <cell r="N308">
            <v>3600</v>
          </cell>
          <cell r="O308">
            <v>3042</v>
          </cell>
          <cell r="P308">
            <v>3295.5</v>
          </cell>
          <cell r="Q308">
            <v>4284.1500000000005</v>
          </cell>
          <cell r="R308">
            <v>5569.3950000000004</v>
          </cell>
          <cell r="S308">
            <v>7240.2135000000017</v>
          </cell>
          <cell r="T308">
            <v>9412.2775500000025</v>
          </cell>
          <cell r="BG308">
            <v>457.80000000000007</v>
          </cell>
          <cell r="BH308">
            <v>399.95400000000001</v>
          </cell>
          <cell r="BI308">
            <v>550</v>
          </cell>
          <cell r="BJ308">
            <v>550</v>
          </cell>
          <cell r="BK308">
            <v>650</v>
          </cell>
          <cell r="BL308">
            <v>800</v>
          </cell>
          <cell r="BM308">
            <v>1000</v>
          </cell>
          <cell r="BN308">
            <v>750</v>
          </cell>
          <cell r="BO308">
            <v>750</v>
          </cell>
          <cell r="BP308">
            <v>750</v>
          </cell>
          <cell r="BQ308">
            <v>1350</v>
          </cell>
          <cell r="BR308">
            <v>760.5</v>
          </cell>
          <cell r="BS308">
            <v>760.5</v>
          </cell>
          <cell r="BT308">
            <v>760.5</v>
          </cell>
          <cell r="BU308">
            <v>760.5</v>
          </cell>
        </row>
        <row r="309">
          <cell r="BG309">
            <v>0.14000000000000001</v>
          </cell>
          <cell r="BH309">
            <v>9.5500000000000002E-2</v>
          </cell>
          <cell r="BI309">
            <v>0.1</v>
          </cell>
          <cell r="BJ309">
            <v>0.1</v>
          </cell>
          <cell r="BK309">
            <v>0.1</v>
          </cell>
          <cell r="BL309">
            <v>0.1</v>
          </cell>
          <cell r="BM309">
            <v>0.1</v>
          </cell>
          <cell r="BN309">
            <v>0.1</v>
          </cell>
          <cell r="BO309">
            <v>0.1</v>
          </cell>
          <cell r="BP309">
            <v>0.1</v>
          </cell>
          <cell r="BQ309">
            <v>0.1</v>
          </cell>
          <cell r="BR309">
            <v>0.06</v>
          </cell>
          <cell r="BS309">
            <v>0.06</v>
          </cell>
          <cell r="BT309">
            <v>0.06</v>
          </cell>
          <cell r="BU309">
            <v>0.06</v>
          </cell>
        </row>
      </sheetData>
      <sheetData sheetId="12" refreshError="1"/>
      <sheetData sheetId="13" refreshError="1"/>
      <sheetData sheetId="14" refreshError="1"/>
      <sheetData sheetId="15" refreshError="1">
        <row r="1">
          <cell r="A1" t="str">
            <v>AT&amp;T, Inc.</v>
          </cell>
        </row>
        <row r="2">
          <cell r="A2" t="str">
            <v>Morgan Stanley Research</v>
          </cell>
        </row>
        <row r="3">
          <cell r="A3" t="str">
            <v>Simon Flannery 212-761-6432</v>
          </cell>
        </row>
        <row r="5">
          <cell r="CS5" t="str">
            <v>ElementName</v>
          </cell>
          <cell r="CT5" t="str">
            <v>ScaleOverride</v>
          </cell>
          <cell r="CU5" t="str">
            <v>UnitOverride</v>
          </cell>
          <cell r="CV5" t="str">
            <v>ReverseSign</v>
          </cell>
          <cell r="CW5" t="str">
            <v>IsDrivingAssumption</v>
          </cell>
          <cell r="CX5" t="str">
            <v>SegmentID</v>
          </cell>
        </row>
        <row r="6">
          <cell r="C6">
            <v>2001</v>
          </cell>
          <cell r="D6">
            <v>2002</v>
          </cell>
          <cell r="E6">
            <v>2003</v>
          </cell>
          <cell r="F6">
            <v>2004</v>
          </cell>
          <cell r="G6">
            <v>2005</v>
          </cell>
          <cell r="H6">
            <v>2006</v>
          </cell>
          <cell r="I6">
            <v>2007</v>
          </cell>
          <cell r="J6">
            <v>2008</v>
          </cell>
          <cell r="K6">
            <v>2009</v>
          </cell>
          <cell r="L6">
            <v>2010</v>
          </cell>
          <cell r="M6">
            <v>2011</v>
          </cell>
          <cell r="N6">
            <v>2012</v>
          </cell>
          <cell r="O6">
            <v>2013</v>
          </cell>
          <cell r="P6">
            <v>2014</v>
          </cell>
          <cell r="Q6">
            <v>2015</v>
          </cell>
          <cell r="R6">
            <v>2016</v>
          </cell>
          <cell r="S6">
            <v>2017</v>
          </cell>
          <cell r="T6">
            <v>2018</v>
          </cell>
          <cell r="X6" t="str">
            <v>1Q00</v>
          </cell>
          <cell r="Y6" t="str">
            <v>2Q00</v>
          </cell>
          <cell r="Z6" t="str">
            <v>3Q00</v>
          </cell>
          <cell r="AA6" t="str">
            <v>4Q00</v>
          </cell>
          <cell r="AB6" t="str">
            <v>1Q01</v>
          </cell>
          <cell r="AC6" t="str">
            <v>2Q01</v>
          </cell>
          <cell r="AD6" t="str">
            <v>3Q01</v>
          </cell>
          <cell r="AE6" t="str">
            <v>4Q01</v>
          </cell>
          <cell r="AF6" t="str">
            <v>1Q02</v>
          </cell>
          <cell r="AG6" t="str">
            <v>2Q02</v>
          </cell>
          <cell r="AH6" t="str">
            <v>3Q02</v>
          </cell>
          <cell r="AI6" t="str">
            <v>4Q02</v>
          </cell>
          <cell r="AJ6" t="str">
            <v>1Q03</v>
          </cell>
          <cell r="AK6" t="str">
            <v>2Q03</v>
          </cell>
          <cell r="AL6" t="str">
            <v>3Q03</v>
          </cell>
          <cell r="AM6" t="str">
            <v>4Q03</v>
          </cell>
          <cell r="AN6" t="str">
            <v>1Q04</v>
          </cell>
          <cell r="AO6" t="str">
            <v>2Q04</v>
          </cell>
          <cell r="AP6" t="str">
            <v>3Q04</v>
          </cell>
          <cell r="AQ6" t="str">
            <v>4Q04</v>
          </cell>
          <cell r="AR6" t="str">
            <v>1Q05</v>
          </cell>
          <cell r="AS6" t="str">
            <v>2Q05</v>
          </cell>
          <cell r="AT6" t="str">
            <v>3Q05</v>
          </cell>
          <cell r="AU6" t="str">
            <v>4Q05</v>
          </cell>
          <cell r="AV6" t="str">
            <v>1Q06</v>
          </cell>
          <cell r="AW6" t="str">
            <v>2Q06</v>
          </cell>
          <cell r="AX6" t="str">
            <v>3Q06</v>
          </cell>
          <cell r="AY6" t="str">
            <v>4Q06</v>
          </cell>
          <cell r="AZ6" t="str">
            <v>1Q07</v>
          </cell>
          <cell r="BA6" t="str">
            <v>2Q07</v>
          </cell>
          <cell r="BB6" t="str">
            <v>3Q07</v>
          </cell>
          <cell r="BC6" t="str">
            <v>4Q07</v>
          </cell>
          <cell r="BD6" t="str">
            <v>1Q08</v>
          </cell>
          <cell r="BE6" t="str">
            <v>2Q08</v>
          </cell>
          <cell r="BF6" t="str">
            <v>3Q08</v>
          </cell>
          <cell r="BG6" t="str">
            <v>4Q08</v>
          </cell>
          <cell r="BH6" t="str">
            <v>1Q09</v>
          </cell>
          <cell r="BI6" t="str">
            <v>2Q09</v>
          </cell>
          <cell r="BJ6" t="str">
            <v>3Q09</v>
          </cell>
          <cell r="BK6" t="str">
            <v>4Q09</v>
          </cell>
          <cell r="BL6" t="str">
            <v>1Q10</v>
          </cell>
          <cell r="BM6" t="str">
            <v>2Q10</v>
          </cell>
          <cell r="BN6" t="str">
            <v>3Q10</v>
          </cell>
          <cell r="BO6" t="str">
            <v>4Q10</v>
          </cell>
          <cell r="BP6" t="str">
            <v>1Q11</v>
          </cell>
          <cell r="BQ6" t="str">
            <v>2Q11</v>
          </cell>
          <cell r="BR6" t="str">
            <v>3Q11</v>
          </cell>
          <cell r="BS6" t="str">
            <v>4Q11</v>
          </cell>
          <cell r="BT6" t="str">
            <v>1Q12</v>
          </cell>
          <cell r="BU6" t="str">
            <v>2Q12</v>
          </cell>
          <cell r="BV6" t="str">
            <v>3Q12</v>
          </cell>
          <cell r="BW6" t="str">
            <v>4Q12E</v>
          </cell>
          <cell r="BX6" t="str">
            <v>1Q13E</v>
          </cell>
          <cell r="BY6" t="str">
            <v>2Q13E</v>
          </cell>
          <cell r="BZ6" t="str">
            <v>3Q13E</v>
          </cell>
          <cell r="CA6" t="str">
            <v>4Q13E</v>
          </cell>
        </row>
        <row r="7">
          <cell r="A7" t="str">
            <v>EPS (at right as reported for acquisitions)</v>
          </cell>
          <cell r="D7">
            <v>0</v>
          </cell>
          <cell r="H7">
            <v>0</v>
          </cell>
          <cell r="I7">
            <v>1.9358595037684874</v>
          </cell>
          <cell r="J7">
            <v>2.3660630978352075</v>
          </cell>
          <cell r="K7">
            <v>2.0836572587459861</v>
          </cell>
          <cell r="L7">
            <v>2.2973336143308747</v>
          </cell>
          <cell r="M7">
            <v>2.2046693294092914</v>
          </cell>
          <cell r="N7">
            <v>2.395647456290142</v>
          </cell>
          <cell r="O7">
            <v>2.5261646022986359</v>
          </cell>
          <cell r="P7">
            <v>2.6073980664195426</v>
          </cell>
          <cell r="Q7">
            <v>2.7002713845811726</v>
          </cell>
          <cell r="R7">
            <v>2.9386847755783063</v>
          </cell>
          <cell r="S7">
            <v>3.1870376228522521</v>
          </cell>
          <cell r="T7">
            <v>3.2698236540371659</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0</v>
          </cell>
          <cell r="AW7">
            <v>0</v>
          </cell>
          <cell r="AX7">
            <v>0</v>
          </cell>
          <cell r="AY7">
            <v>0</v>
          </cell>
          <cell r="AZ7">
            <v>0.45770826683689758</v>
          </cell>
          <cell r="BA7">
            <v>0.46876513317191282</v>
          </cell>
          <cell r="BB7">
            <v>0.49975526186979929</v>
          </cell>
          <cell r="BC7">
            <v>0.51452009844134539</v>
          </cell>
          <cell r="BD7">
            <v>0.62466766119675121</v>
          </cell>
          <cell r="BE7">
            <v>0.64424689701442472</v>
          </cell>
          <cell r="BF7">
            <v>0.56358723188650561</v>
          </cell>
          <cell r="BG7">
            <v>0.53255912162162178</v>
          </cell>
          <cell r="BH7">
            <v>0.52137042062415195</v>
          </cell>
          <cell r="BI7">
            <v>0.53351342225223708</v>
          </cell>
          <cell r="BJ7">
            <v>0.53157716987504222</v>
          </cell>
          <cell r="BK7">
            <v>0.49721612957651423</v>
          </cell>
          <cell r="BL7">
            <v>0.58146588037068236</v>
          </cell>
          <cell r="BM7">
            <v>0.6048509348155634</v>
          </cell>
          <cell r="BN7">
            <v>0.54328056584708662</v>
          </cell>
          <cell r="BO7">
            <v>0.56771935756551151</v>
          </cell>
          <cell r="BP7">
            <v>0.57325483599663585</v>
          </cell>
          <cell r="BQ7">
            <v>0.60322526457248449</v>
          </cell>
          <cell r="BR7">
            <v>0.60849848841115217</v>
          </cell>
          <cell r="BS7">
            <v>0.41926765548626327</v>
          </cell>
          <cell r="BT7">
            <v>0.60336700336700333</v>
          </cell>
          <cell r="BU7">
            <v>0.6640571817562968</v>
          </cell>
          <cell r="BV7">
            <v>0.62758977900552482</v>
          </cell>
          <cell r="BW7">
            <v>0.49749111712897803</v>
          </cell>
          <cell r="BX7">
            <v>0.63973682777432805</v>
          </cell>
          <cell r="BY7">
            <v>0.70214995064314745</v>
          </cell>
          <cell r="BZ7">
            <v>0.69138690040090633</v>
          </cell>
          <cell r="CA7">
            <v>0.49021155592251925</v>
          </cell>
        </row>
        <row r="8">
          <cell r="A8" t="str">
            <v>% y/y growth</v>
          </cell>
          <cell r="H8">
            <v>0.34302325581395343</v>
          </cell>
          <cell r="I8">
            <v>-0.16196558278420459</v>
          </cell>
          <cell r="J8">
            <v>0.22222872746149913</v>
          </cell>
          <cell r="K8">
            <v>-0.11935685035094978</v>
          </cell>
          <cell r="L8">
            <v>0.10254870597743415</v>
          </cell>
          <cell r="M8">
            <v>-4.0335580493637946E-2</v>
          </cell>
          <cell r="N8">
            <v>8.6624385949080285E-2</v>
          </cell>
          <cell r="O8">
            <v>5.4480948632821935E-2</v>
          </cell>
          <cell r="P8">
            <v>3.2156837304659236E-2</v>
          </cell>
          <cell r="Q8">
            <v>3.5619155877170128E-2</v>
          </cell>
          <cell r="R8">
            <v>8.8292381409697862E-2</v>
          </cell>
          <cell r="S8">
            <v>8.4511564267750527E-2</v>
          </cell>
          <cell r="T8">
            <v>2.5975856259526697E-2</v>
          </cell>
          <cell r="AJ8">
            <v>-0.14583333333333337</v>
          </cell>
          <cell r="AK8">
            <v>-0.30508474576271183</v>
          </cell>
          <cell r="AL8">
            <v>-0.26530612244897955</v>
          </cell>
          <cell r="AM8">
            <v>-0.54237288135593209</v>
          </cell>
          <cell r="AN8">
            <v>-0.12195121951219512</v>
          </cell>
          <cell r="AO8">
            <v>-4.8780487804877981E-2</v>
          </cell>
          <cell r="AP8">
            <v>5.555555555555558E-2</v>
          </cell>
          <cell r="AQ8">
            <v>0.2592592592592593</v>
          </cell>
          <cell r="AR8">
            <v>-5.5555555555555469E-2</v>
          </cell>
          <cell r="AS8">
            <v>0.10256410256410242</v>
          </cell>
          <cell r="AT8">
            <v>0.21052631578947367</v>
          </cell>
          <cell r="AU8">
            <v>0.41176470588235281</v>
          </cell>
          <cell r="AV8">
            <v>0.52941176470588225</v>
          </cell>
          <cell r="AW8">
            <v>0.34883720930232553</v>
          </cell>
          <cell r="AX8">
            <v>0.30434782608695632</v>
          </cell>
          <cell r="AY8">
            <v>0.27083333333333326</v>
          </cell>
          <cell r="AZ8">
            <v>0</v>
          </cell>
          <cell r="BA8">
            <v>0</v>
          </cell>
          <cell r="BB8">
            <v>0</v>
          </cell>
          <cell r="BC8">
            <v>0</v>
          </cell>
          <cell r="BD8">
            <v>0.3647725122241432</v>
          </cell>
          <cell r="BE8">
            <v>0.37434901067643289</v>
          </cell>
          <cell r="BF8">
            <v>0.12772645910296876</v>
          </cell>
          <cell r="BG8">
            <v>3.5059899962941454E-2</v>
          </cell>
          <cell r="BH8">
            <v>-0.16536351565678986</v>
          </cell>
          <cell r="BI8">
            <v>-0.1718804937600007</v>
          </cell>
          <cell r="BJ8">
            <v>-5.6796996454862025E-2</v>
          </cell>
          <cell r="BK8">
            <v>-6.636444783349027E-2</v>
          </cell>
          <cell r="BL8">
            <v>0.11526442116640956</v>
          </cell>
          <cell r="BM8">
            <v>0.13371268573182959</v>
          </cell>
          <cell r="BN8">
            <v>2.2016363070662903E-2</v>
          </cell>
          <cell r="BO8">
            <v>0.14179593901960863</v>
          </cell>
          <cell r="BP8">
            <v>-1.4121283210653757E-2</v>
          </cell>
          <cell r="BQ8">
            <v>-2.6877204770703322E-3</v>
          </cell>
          <cell r="BR8">
            <v>0.12004464481879151</v>
          </cell>
          <cell r="BS8">
            <v>-0.26148782862687181</v>
          </cell>
          <cell r="BT8">
            <v>5.2528414030761361E-2</v>
          </cell>
          <cell r="BU8">
            <v>0.10084444527853931</v>
          </cell>
          <cell r="BV8">
            <v>3.1374425669029815E-2</v>
          </cell>
          <cell r="BW8">
            <v>0.18657165803069597</v>
          </cell>
          <cell r="BX8">
            <v>6.0278112996514643E-2</v>
          </cell>
          <cell r="BY8">
            <v>5.7363687847036049E-2</v>
          </cell>
          <cell r="BZ8">
            <v>0.10165417527429166</v>
          </cell>
          <cell r="CA8">
            <v>-1.4632545096421312E-2</v>
          </cell>
        </row>
        <row r="9">
          <cell r="A9" t="str">
            <v>SWITCHED ACCESS LINES</v>
          </cell>
          <cell r="H9">
            <v>2006</v>
          </cell>
          <cell r="I9">
            <v>2007</v>
          </cell>
          <cell r="J9">
            <v>2008</v>
          </cell>
          <cell r="K9">
            <v>2009</v>
          </cell>
          <cell r="L9">
            <v>2010</v>
          </cell>
          <cell r="M9">
            <v>2011</v>
          </cell>
          <cell r="N9">
            <v>2012</v>
          </cell>
          <cell r="O9">
            <v>2013</v>
          </cell>
          <cell r="P9">
            <v>2014</v>
          </cell>
          <cell r="Q9">
            <v>2015</v>
          </cell>
          <cell r="R9">
            <v>2016</v>
          </cell>
          <cell r="S9">
            <v>2017</v>
          </cell>
          <cell r="T9">
            <v>2018</v>
          </cell>
          <cell r="X9" t="str">
            <v>1Q00</v>
          </cell>
          <cell r="Y9" t="str">
            <v>2Q00</v>
          </cell>
          <cell r="Z9" t="str">
            <v>3Q00</v>
          </cell>
          <cell r="AA9" t="str">
            <v>4Q00</v>
          </cell>
          <cell r="AB9" t="str">
            <v>1Q01</v>
          </cell>
          <cell r="AC9" t="str">
            <v>2Q01</v>
          </cell>
          <cell r="AD9" t="str">
            <v>3Q01</v>
          </cell>
          <cell r="AE9" t="str">
            <v>4Q01</v>
          </cell>
          <cell r="AF9" t="str">
            <v>1Q02</v>
          </cell>
          <cell r="AG9" t="str">
            <v>2Q02</v>
          </cell>
          <cell r="AH9" t="str">
            <v>3Q02</v>
          </cell>
          <cell r="AI9" t="str">
            <v>4Q02</v>
          </cell>
          <cell r="AJ9" t="str">
            <v>1Q03</v>
          </cell>
          <cell r="AK9" t="str">
            <v>2Q03</v>
          </cell>
          <cell r="AL9" t="str">
            <v>3Q03</v>
          </cell>
          <cell r="AM9" t="str">
            <v>4Q03</v>
          </cell>
          <cell r="AN9" t="str">
            <v>1Q04</v>
          </cell>
          <cell r="AO9" t="str">
            <v>2Q04</v>
          </cell>
          <cell r="AP9" t="str">
            <v>3Q04</v>
          </cell>
          <cell r="AQ9" t="str">
            <v>4Q04</v>
          </cell>
          <cell r="AR9" t="str">
            <v>1Q05</v>
          </cell>
          <cell r="AS9" t="str">
            <v>2Q05</v>
          </cell>
          <cell r="AT9" t="str">
            <v>3Q05</v>
          </cell>
          <cell r="AU9" t="str">
            <v>4Q05</v>
          </cell>
          <cell r="AV9" t="str">
            <v>1Q06</v>
          </cell>
          <cell r="AW9" t="str">
            <v>2Q06</v>
          </cell>
          <cell r="AX9" t="str">
            <v>3Q06</v>
          </cell>
          <cell r="AY9" t="str">
            <v>4Q06</v>
          </cell>
          <cell r="AZ9" t="str">
            <v>1Q07</v>
          </cell>
          <cell r="BA9" t="str">
            <v>2Q07</v>
          </cell>
          <cell r="BB9" t="str">
            <v>3Q07</v>
          </cell>
          <cell r="BC9" t="str">
            <v>4Q07</v>
          </cell>
          <cell r="BD9" t="str">
            <v>1Q08</v>
          </cell>
          <cell r="BE9" t="str">
            <v>2Q08</v>
          </cell>
          <cell r="BF9" t="str">
            <v>3Q08</v>
          </cell>
          <cell r="BG9" t="str">
            <v>4Q08</v>
          </cell>
          <cell r="BH9" t="str">
            <v>1Q09</v>
          </cell>
          <cell r="BI9" t="str">
            <v>2Q09</v>
          </cell>
          <cell r="BJ9" t="str">
            <v>3Q09</v>
          </cell>
          <cell r="BK9" t="str">
            <v>4Q09</v>
          </cell>
          <cell r="BL9" t="str">
            <v>1Q10</v>
          </cell>
          <cell r="BM9" t="str">
            <v>2Q10</v>
          </cell>
          <cell r="BN9" t="str">
            <v>3Q10</v>
          </cell>
          <cell r="BO9" t="str">
            <v>4Q10</v>
          </cell>
          <cell r="BP9" t="str">
            <v>1Q11</v>
          </cell>
          <cell r="BQ9" t="str">
            <v>2Q11</v>
          </cell>
          <cell r="BR9" t="str">
            <v>3Q11</v>
          </cell>
          <cell r="BS9" t="str">
            <v>4Q11</v>
          </cell>
          <cell r="BT9" t="str">
            <v>1Q12</v>
          </cell>
          <cell r="BU9" t="str">
            <v>2Q12</v>
          </cell>
          <cell r="BV9" t="str">
            <v>3Q12</v>
          </cell>
          <cell r="BW9" t="str">
            <v>4Q12E</v>
          </cell>
          <cell r="BX9" t="str">
            <v>1Q13E</v>
          </cell>
          <cell r="BY9" t="str">
            <v>2Q13E</v>
          </cell>
          <cell r="BZ9" t="str">
            <v>3Q13E</v>
          </cell>
          <cell r="CA9" t="str">
            <v>4Q13E</v>
          </cell>
        </row>
        <row r="10">
          <cell r="A10" t="str">
            <v>RETAIL</v>
          </cell>
        </row>
        <row r="11">
          <cell r="A11" t="str">
            <v>Residential:</v>
          </cell>
        </row>
        <row r="12">
          <cell r="A12" t="str">
            <v>Resi Primary [includes U-verse VoIP]</v>
          </cell>
          <cell r="B12">
            <v>29038</v>
          </cell>
          <cell r="C12">
            <v>27909</v>
          </cell>
          <cell r="D12">
            <v>25636</v>
          </cell>
          <cell r="E12">
            <v>23949</v>
          </cell>
          <cell r="F12">
            <v>23206</v>
          </cell>
          <cell r="G12">
            <v>22793</v>
          </cell>
          <cell r="H12">
            <v>21841</v>
          </cell>
          <cell r="I12">
            <v>31005</v>
          </cell>
          <cell r="J12">
            <v>27479</v>
          </cell>
          <cell r="K12">
            <v>24562</v>
          </cell>
          <cell r="L12">
            <v>21737.663690911751</v>
          </cell>
          <cell r="M12">
            <v>19635.663690911751</v>
          </cell>
          <cell r="N12">
            <v>17889.275690911752</v>
          </cell>
          <cell r="O12">
            <v>16340.107453036753</v>
          </cell>
          <cell r="P12">
            <v>14908.314450843003</v>
          </cell>
          <cell r="Q12">
            <v>13656.290398978315</v>
          </cell>
          <cell r="X12">
            <v>29655</v>
          </cell>
          <cell r="Y12">
            <v>29449</v>
          </cell>
          <cell r="Z12">
            <v>29237</v>
          </cell>
          <cell r="AA12">
            <v>29038</v>
          </cell>
          <cell r="AB12">
            <v>28887</v>
          </cell>
          <cell r="AC12">
            <v>28408</v>
          </cell>
          <cell r="AD12">
            <v>28225</v>
          </cell>
          <cell r="AE12">
            <v>27909</v>
          </cell>
          <cell r="AF12">
            <v>27629</v>
          </cell>
          <cell r="AG12">
            <v>26917</v>
          </cell>
          <cell r="AH12">
            <v>26307</v>
          </cell>
          <cell r="AI12">
            <v>25636</v>
          </cell>
          <cell r="AJ12">
            <v>25129</v>
          </cell>
          <cell r="AK12">
            <v>24642</v>
          </cell>
          <cell r="AL12">
            <v>24257</v>
          </cell>
          <cell r="AM12">
            <v>23949</v>
          </cell>
          <cell r="AN12">
            <v>23792</v>
          </cell>
          <cell r="AO12">
            <v>23398</v>
          </cell>
          <cell r="AP12">
            <v>23279</v>
          </cell>
          <cell r="AQ12">
            <v>23206</v>
          </cell>
          <cell r="AR12">
            <v>23222</v>
          </cell>
          <cell r="AS12">
            <v>23036</v>
          </cell>
          <cell r="AT12">
            <v>22922</v>
          </cell>
          <cell r="AU12">
            <v>22793</v>
          </cell>
          <cell r="AV12">
            <v>22630</v>
          </cell>
          <cell r="AW12">
            <v>22310</v>
          </cell>
          <cell r="AX12">
            <v>22068</v>
          </cell>
          <cell r="AY12">
            <v>21841</v>
          </cell>
          <cell r="AZ12">
            <v>32315</v>
          </cell>
          <cell r="BA12">
            <v>32124</v>
          </cell>
          <cell r="BB12">
            <v>31658</v>
          </cell>
          <cell r="BC12">
            <v>31005</v>
          </cell>
          <cell r="BD12">
            <v>30316</v>
          </cell>
          <cell r="BE12">
            <v>29349</v>
          </cell>
          <cell r="BF12">
            <v>28329</v>
          </cell>
          <cell r="BG12">
            <v>27479</v>
          </cell>
          <cell r="BH12">
            <v>26780</v>
          </cell>
          <cell r="BI12">
            <v>26008</v>
          </cell>
          <cell r="BJ12">
            <v>25205</v>
          </cell>
          <cell r="BK12">
            <v>24562</v>
          </cell>
          <cell r="BL12">
            <v>23933.841138592128</v>
          </cell>
          <cell r="BM12">
            <v>23167.289623884091</v>
          </cell>
          <cell r="BN12">
            <v>22383.663690911751</v>
          </cell>
          <cell r="BO12">
            <v>21737.663690911751</v>
          </cell>
          <cell r="BP12">
            <v>21243.663690911751</v>
          </cell>
          <cell r="BQ12">
            <v>20730.663690911751</v>
          </cell>
          <cell r="BR12">
            <v>20174.663690911751</v>
          </cell>
          <cell r="BS12">
            <v>19635.663690911751</v>
          </cell>
          <cell r="BT12">
            <v>19124.663690911751</v>
          </cell>
          <cell r="BU12">
            <v>18574.663690911751</v>
          </cell>
          <cell r="BV12">
            <v>18065.663690911751</v>
          </cell>
          <cell r="BW12">
            <v>17589.275690911752</v>
          </cell>
          <cell r="BX12">
            <v>17071.510190911751</v>
          </cell>
          <cell r="BY12">
            <v>16530.15951591175</v>
          </cell>
          <cell r="BZ12">
            <v>15975.443908411749</v>
          </cell>
          <cell r="CA12">
            <v>15440.10745303675</v>
          </cell>
        </row>
        <row r="13">
          <cell r="A13" t="str">
            <v>% y/y growth</v>
          </cell>
          <cell r="C13">
            <v>-3.8880088160341608E-2</v>
          </cell>
          <cell r="D13">
            <v>-8.1443262030169494E-2</v>
          </cell>
          <cell r="E13">
            <v>-6.5805897955999337E-2</v>
          </cell>
          <cell r="F13">
            <v>-3.1024259885590211E-2</v>
          </cell>
          <cell r="G13">
            <v>-1.7797121434111829E-2</v>
          </cell>
          <cell r="H13">
            <v>-4.1767209230904268E-2</v>
          </cell>
          <cell r="I13">
            <v>0.41957785815667781</v>
          </cell>
          <cell r="J13">
            <v>-0.11372359296887602</v>
          </cell>
          <cell r="K13">
            <v>-0.10615379016703663</v>
          </cell>
          <cell r="L13">
            <v>-0.11498804287469455</v>
          </cell>
          <cell r="M13">
            <v>-9.6698524270518504E-2</v>
          </cell>
          <cell r="N13">
            <v>-8.8939596210761307E-2</v>
          </cell>
          <cell r="O13">
            <v>-8.6597594259337107E-2</v>
          </cell>
          <cell r="P13">
            <v>-8.7624454509181104E-2</v>
          </cell>
          <cell r="Q13">
            <v>-8.3981596711886541E-2</v>
          </cell>
          <cell r="AB13">
            <v>-2.5897824987354601E-2</v>
          </cell>
          <cell r="AC13">
            <v>-3.5349247852219046E-2</v>
          </cell>
          <cell r="AD13">
            <v>-3.4613674453603305E-2</v>
          </cell>
          <cell r="AE13">
            <v>-3.8880088160341608E-2</v>
          </cell>
          <cell r="AF13">
            <v>-4.3549001280852928E-2</v>
          </cell>
          <cell r="AG13">
            <v>-5.2485215432272581E-2</v>
          </cell>
          <cell r="AH13">
            <v>-6.7953941541186946E-2</v>
          </cell>
          <cell r="AI13">
            <v>-8.1443262030169494E-2</v>
          </cell>
          <cell r="AJ13">
            <v>-9.0484635708856676E-2</v>
          </cell>
          <cell r="AK13">
            <v>-8.4519077163131118E-2</v>
          </cell>
          <cell r="AL13">
            <v>-7.7926027293115929E-2</v>
          </cell>
          <cell r="AM13">
            <v>-6.5805897955999337E-2</v>
          </cell>
          <cell r="AN13">
            <v>-5.320545982729119E-2</v>
          </cell>
          <cell r="AO13">
            <v>-5.0482915347780266E-2</v>
          </cell>
          <cell r="AP13">
            <v>-4.0318258646988459E-2</v>
          </cell>
          <cell r="AQ13">
            <v>-3.1024259885590211E-2</v>
          </cell>
          <cell r="AR13">
            <v>-2.3957632817753871E-2</v>
          </cell>
          <cell r="AS13">
            <v>-1.5471407812633564E-2</v>
          </cell>
          <cell r="AT13">
            <v>-1.5335710296834004E-2</v>
          </cell>
          <cell r="AU13">
            <v>-1.7797121434111829E-2</v>
          </cell>
          <cell r="AV13">
            <v>-2.5493066919300644E-2</v>
          </cell>
          <cell r="AW13">
            <v>-3.1515888175030371E-2</v>
          </cell>
          <cell r="AX13">
            <v>-3.7256783875752597E-2</v>
          </cell>
          <cell r="AY13">
            <v>-4.1767209230904268E-2</v>
          </cell>
          <cell r="AZ13">
            <v>0.42797171895713659</v>
          </cell>
          <cell r="BA13">
            <v>0.43989242492155989</v>
          </cell>
          <cell r="BB13">
            <v>0.43456588725756751</v>
          </cell>
          <cell r="BC13">
            <v>0.41957785815667781</v>
          </cell>
          <cell r="BD13">
            <v>-6.1859817422249774E-2</v>
          </cell>
          <cell r="BE13">
            <v>-8.6384011953679507E-2</v>
          </cell>
          <cell r="BF13">
            <v>-0.10515509507865306</v>
          </cell>
          <cell r="BG13">
            <v>-0.11372359296887602</v>
          </cell>
          <cell r="BH13">
            <v>-0.11663807890222988</v>
          </cell>
          <cell r="BI13">
            <v>-0.11383692800436129</v>
          </cell>
          <cell r="BJ13">
            <v>-0.11027568922305764</v>
          </cell>
          <cell r="BK13">
            <v>-0.10615379016703663</v>
          </cell>
          <cell r="BL13">
            <v>-0.10627927040357998</v>
          </cell>
          <cell r="BM13">
            <v>-0.10922448385557937</v>
          </cell>
          <cell r="BN13">
            <v>-0.11193558060258868</v>
          </cell>
          <cell r="BO13">
            <v>-0.11498804287469455</v>
          </cell>
          <cell r="BP13">
            <v>-0.11240057256595559</v>
          </cell>
          <cell r="BQ13">
            <v>-0.10517526963794355</v>
          </cell>
          <cell r="BR13">
            <v>-9.8688044571403233E-2</v>
          </cell>
          <cell r="BS13">
            <v>-9.6698524270518504E-2</v>
          </cell>
          <cell r="BT13">
            <v>-9.9747389660782892E-2</v>
          </cell>
          <cell r="BU13">
            <v>-0.10400052946424398</v>
          </cell>
          <cell r="BV13">
            <v>-0.10453705857560636</v>
          </cell>
          <cell r="BW13">
            <v>-0.10421791858999685</v>
          </cell>
          <cell r="BX13">
            <v>-0.1073563192107625</v>
          </cell>
          <cell r="BY13">
            <v>-0.11006951237563134</v>
          </cell>
          <cell r="BZ13">
            <v>-0.11570124509466673</v>
          </cell>
          <cell r="CA13">
            <v>-0.12218628416777055</v>
          </cell>
        </row>
        <row r="14">
          <cell r="A14" t="str">
            <v>% q/q growth</v>
          </cell>
          <cell r="Y14">
            <v>-6.9465520148372928E-3</v>
          </cell>
          <cell r="Z14">
            <v>-7.198886210058042E-3</v>
          </cell>
          <cell r="AA14">
            <v>-6.806443889591951E-3</v>
          </cell>
          <cell r="AB14">
            <v>-5.2000826503202369E-3</v>
          </cell>
          <cell r="AC14">
            <v>-1.6581853428878079E-2</v>
          </cell>
          <cell r="AD14">
            <v>-6.4418473669388687E-3</v>
          </cell>
          <cell r="AE14">
            <v>-1.1195748449955745E-2</v>
          </cell>
          <cell r="AF14">
            <v>-1.0032605969400588E-2</v>
          </cell>
          <cell r="AG14">
            <v>-2.5770024249882395E-2</v>
          </cell>
          <cell r="AH14">
            <v>-2.2662258052531858E-2</v>
          </cell>
          <cell r="AI14">
            <v>-2.5506519177405207E-2</v>
          </cell>
          <cell r="AJ14">
            <v>-1.9776876267748489E-2</v>
          </cell>
          <cell r="AK14">
            <v>-1.9379999204106824E-2</v>
          </cell>
          <cell r="AL14">
            <v>-1.562373183994803E-2</v>
          </cell>
          <cell r="AM14">
            <v>-1.2697365708867592E-2</v>
          </cell>
          <cell r="AN14">
            <v>-6.5555973109524546E-3</v>
          </cell>
          <cell r="AO14">
            <v>-1.6560188298587741E-2</v>
          </cell>
          <cell r="AP14">
            <v>-5.0859047781861566E-3</v>
          </cell>
          <cell r="AQ14">
            <v>-3.1358735340865085E-3</v>
          </cell>
          <cell r="AR14">
            <v>6.8947685943299142E-4</v>
          </cell>
          <cell r="AS14">
            <v>-8.0096460253208379E-3</v>
          </cell>
          <cell r="AT14">
            <v>-4.9487758291369977E-3</v>
          </cell>
          <cell r="AU14">
            <v>-5.6277811709275483E-3</v>
          </cell>
          <cell r="AV14">
            <v>-7.1513183872241592E-3</v>
          </cell>
          <cell r="AW14">
            <v>-1.4140521431727837E-2</v>
          </cell>
          <cell r="AX14">
            <v>-1.0847153742716276E-2</v>
          </cell>
          <cell r="AY14">
            <v>-1.0286387529454433E-2</v>
          </cell>
          <cell r="AZ14">
            <v>0.479556796849961</v>
          </cell>
          <cell r="BA14">
            <v>-5.9105678477486823E-3</v>
          </cell>
          <cell r="BB14">
            <v>-1.4506288133482759E-2</v>
          </cell>
          <cell r="BC14">
            <v>-2.0626697833091123E-2</v>
          </cell>
          <cell r="BD14">
            <v>-2.2222222222222254E-2</v>
          </cell>
          <cell r="BE14">
            <v>-3.1897347935083809E-2</v>
          </cell>
          <cell r="BF14">
            <v>-3.475416538894005E-2</v>
          </cell>
          <cell r="BG14">
            <v>-3.0004588937131538E-2</v>
          </cell>
          <cell r="BH14">
            <v>-2.5437606899814447E-2</v>
          </cell>
          <cell r="BI14">
            <v>-2.882748319641526E-2</v>
          </cell>
          <cell r="BJ14">
            <v>-3.087511534912335E-2</v>
          </cell>
          <cell r="BK14">
            <v>-2.5510811346954987E-2</v>
          </cell>
          <cell r="BL14">
            <v>-2.557441826430551E-2</v>
          </cell>
          <cell r="BM14">
            <v>-3.2027935268276297E-2</v>
          </cell>
          <cell r="BN14">
            <v>-3.3824670287044167E-2</v>
          </cell>
          <cell r="BO14">
            <v>-2.8860333541478767E-2</v>
          </cell>
          <cell r="BP14">
            <v>-2.2725533296687028E-2</v>
          </cell>
          <cell r="BQ14">
            <v>-2.4148377015564715E-2</v>
          </cell>
          <cell r="BR14">
            <v>-2.6820173646623258E-2</v>
          </cell>
          <cell r="BS14">
            <v>-2.6716678317805553E-2</v>
          </cell>
          <cell r="BT14">
            <v>-2.6024075785964551E-2</v>
          </cell>
          <cell r="BU14">
            <v>-2.875867564988166E-2</v>
          </cell>
          <cell r="BV14">
            <v>-2.7402918753734684E-2</v>
          </cell>
          <cell r="BW14">
            <v>-2.6369803409971304E-2</v>
          </cell>
          <cell r="BX14">
            <v>-2.9436430987748174E-2</v>
          </cell>
          <cell r="BY14">
            <v>-3.1710766589835515E-2</v>
          </cell>
          <cell r="BZ14">
            <v>-3.3557789140875371E-2</v>
          </cell>
          <cell r="CA14">
            <v>-3.3509958060891298E-2</v>
          </cell>
        </row>
        <row r="15">
          <cell r="A15" t="str">
            <v>Average primary lines</v>
          </cell>
          <cell r="C15">
            <v>28473.5</v>
          </cell>
          <cell r="D15">
            <v>26772.5</v>
          </cell>
          <cell r="E15">
            <v>24792.5</v>
          </cell>
          <cell r="F15">
            <v>23577.5</v>
          </cell>
          <cell r="G15">
            <v>22999.5</v>
          </cell>
          <cell r="H15">
            <v>22317</v>
          </cell>
          <cell r="I15">
            <v>26423</v>
          </cell>
          <cell r="J15">
            <v>29242</v>
          </cell>
          <cell r="K15">
            <v>26020.5</v>
          </cell>
          <cell r="L15">
            <v>23149.831845455876</v>
          </cell>
          <cell r="M15">
            <v>20686.663690911751</v>
          </cell>
          <cell r="N15">
            <v>18762.469690911752</v>
          </cell>
          <cell r="O15">
            <v>17114.691571974254</v>
          </cell>
          <cell r="P15">
            <v>15624.210951939878</v>
          </cell>
          <cell r="Q15">
            <v>14282.30242491066</v>
          </cell>
          <cell r="Y15">
            <v>29552</v>
          </cell>
          <cell r="Z15">
            <v>29343</v>
          </cell>
          <cell r="AA15">
            <v>29137.5</v>
          </cell>
          <cell r="AB15">
            <v>28962.5</v>
          </cell>
          <cell r="AC15">
            <v>28647.5</v>
          </cell>
          <cell r="AD15">
            <v>28316.5</v>
          </cell>
          <cell r="AE15">
            <v>28067</v>
          </cell>
          <cell r="AF15">
            <v>27769</v>
          </cell>
          <cell r="AG15">
            <v>27273</v>
          </cell>
          <cell r="AH15">
            <v>26612</v>
          </cell>
          <cell r="AI15">
            <v>25971.5</v>
          </cell>
          <cell r="AJ15">
            <v>25382.5</v>
          </cell>
          <cell r="AK15">
            <v>24885.5</v>
          </cell>
          <cell r="AL15">
            <v>24449.5</v>
          </cell>
          <cell r="AM15">
            <v>24103</v>
          </cell>
          <cell r="AN15">
            <v>23870.5</v>
          </cell>
          <cell r="AO15">
            <v>23595</v>
          </cell>
          <cell r="AP15">
            <v>23338.5</v>
          </cell>
          <cell r="AQ15">
            <v>23242.5</v>
          </cell>
          <cell r="AR15">
            <v>23214</v>
          </cell>
          <cell r="AS15">
            <v>23129</v>
          </cell>
          <cell r="AT15">
            <v>22979</v>
          </cell>
          <cell r="AU15">
            <v>22857.5</v>
          </cell>
          <cell r="AV15">
            <v>22711.5</v>
          </cell>
          <cell r="AW15">
            <v>22470</v>
          </cell>
          <cell r="AX15">
            <v>22189</v>
          </cell>
          <cell r="AY15">
            <v>21954.5</v>
          </cell>
          <cell r="AZ15">
            <v>27078</v>
          </cell>
          <cell r="BA15">
            <v>32219.5</v>
          </cell>
          <cell r="BB15">
            <v>31891</v>
          </cell>
          <cell r="BC15">
            <v>31331.5</v>
          </cell>
          <cell r="BD15">
            <v>30660.5</v>
          </cell>
          <cell r="BE15">
            <v>29832.5</v>
          </cell>
          <cell r="BF15">
            <v>28839</v>
          </cell>
          <cell r="BG15">
            <v>27904</v>
          </cell>
          <cell r="BH15">
            <v>27129.5</v>
          </cell>
          <cell r="BI15">
            <v>26394</v>
          </cell>
          <cell r="BJ15">
            <v>25606.5</v>
          </cell>
          <cell r="BK15">
            <v>24883.5</v>
          </cell>
          <cell r="BL15">
            <v>24247.920569296064</v>
          </cell>
          <cell r="BM15">
            <v>23550.56538123811</v>
          </cell>
          <cell r="BN15">
            <v>22775.476657397921</v>
          </cell>
          <cell r="BO15">
            <v>22060.663690911751</v>
          </cell>
          <cell r="BP15">
            <v>21490.663690911751</v>
          </cell>
          <cell r="BQ15">
            <v>20987.163690911751</v>
          </cell>
          <cell r="BR15">
            <v>20452.663690911751</v>
          </cell>
          <cell r="BS15">
            <v>19905.163690911751</v>
          </cell>
          <cell r="BT15">
            <v>19380.163690911751</v>
          </cell>
          <cell r="BU15">
            <v>18849.663690911751</v>
          </cell>
          <cell r="BV15">
            <v>18320.163690911751</v>
          </cell>
          <cell r="BW15">
            <v>17827.469690911752</v>
          </cell>
          <cell r="BX15">
            <v>17330.392940911752</v>
          </cell>
          <cell r="BY15">
            <v>16800.83485341175</v>
          </cell>
          <cell r="BZ15">
            <v>16252.801712161749</v>
          </cell>
          <cell r="CA15">
            <v>15707.775680724249</v>
          </cell>
        </row>
        <row r="16">
          <cell r="A16" t="str">
            <v>Net sequential lines added (lost)</v>
          </cell>
          <cell r="C16">
            <v>-1129</v>
          </cell>
          <cell r="D16">
            <v>-2273</v>
          </cell>
          <cell r="E16">
            <v>-1687</v>
          </cell>
          <cell r="F16">
            <v>-743</v>
          </cell>
          <cell r="G16">
            <v>-413</v>
          </cell>
          <cell r="H16">
            <v>-952</v>
          </cell>
          <cell r="I16">
            <v>9164</v>
          </cell>
          <cell r="J16">
            <v>-3526</v>
          </cell>
          <cell r="K16">
            <v>-2917</v>
          </cell>
          <cell r="L16">
            <v>-2824.3363090882485</v>
          </cell>
          <cell r="M16">
            <v>-2102</v>
          </cell>
          <cell r="N16">
            <v>-1746.3879999999999</v>
          </cell>
          <cell r="O16">
            <v>-1549.1682378749999</v>
          </cell>
          <cell r="P16">
            <v>-1431.79300219375</v>
          </cell>
          <cell r="Q16">
            <v>-1252.0240518646874</v>
          </cell>
          <cell r="Y16">
            <v>-206</v>
          </cell>
          <cell r="Z16">
            <v>-212</v>
          </cell>
          <cell r="AA16">
            <v>-199</v>
          </cell>
          <cell r="AB16">
            <v>-151</v>
          </cell>
          <cell r="AC16">
            <v>-479</v>
          </cell>
          <cell r="AD16">
            <v>-183</v>
          </cell>
          <cell r="AE16">
            <v>-316</v>
          </cell>
          <cell r="AF16">
            <v>-280</v>
          </cell>
          <cell r="AG16">
            <v>-712</v>
          </cell>
          <cell r="AH16">
            <v>-610</v>
          </cell>
          <cell r="AI16">
            <v>-671</v>
          </cell>
          <cell r="AJ16">
            <v>-507</v>
          </cell>
          <cell r="AK16">
            <v>-487</v>
          </cell>
          <cell r="AL16">
            <v>-385</v>
          </cell>
          <cell r="AM16">
            <v>-308</v>
          </cell>
          <cell r="AN16">
            <v>-157</v>
          </cell>
          <cell r="AO16">
            <v>-394</v>
          </cell>
          <cell r="AP16">
            <v>-119</v>
          </cell>
          <cell r="AQ16">
            <v>-73</v>
          </cell>
          <cell r="AR16">
            <v>16</v>
          </cell>
          <cell r="AS16">
            <v>-186</v>
          </cell>
          <cell r="AT16">
            <v>-114</v>
          </cell>
          <cell r="AU16">
            <v>-129</v>
          </cell>
          <cell r="AV16">
            <v>-163</v>
          </cell>
          <cell r="AW16">
            <v>-320</v>
          </cell>
          <cell r="AX16">
            <v>-242</v>
          </cell>
          <cell r="AY16">
            <v>-227</v>
          </cell>
          <cell r="AZ16">
            <v>10474</v>
          </cell>
          <cell r="BA16">
            <v>-191</v>
          </cell>
          <cell r="BB16">
            <v>-466</v>
          </cell>
          <cell r="BC16">
            <v>-653</v>
          </cell>
          <cell r="BD16">
            <v>-689</v>
          </cell>
          <cell r="BE16">
            <v>-967</v>
          </cell>
          <cell r="BF16">
            <v>-1020</v>
          </cell>
          <cell r="BG16">
            <v>-850</v>
          </cell>
          <cell r="BH16">
            <v>-699</v>
          </cell>
          <cell r="BI16">
            <v>-772</v>
          </cell>
          <cell r="BJ16">
            <v>-803</v>
          </cell>
          <cell r="BK16">
            <v>-643</v>
          </cell>
          <cell r="BL16">
            <v>-628.15886140787188</v>
          </cell>
          <cell r="BM16">
            <v>-766.55151470803685</v>
          </cell>
          <cell r="BN16">
            <v>-783.6259329723398</v>
          </cell>
          <cell r="BO16">
            <v>-646</v>
          </cell>
          <cell r="BP16">
            <v>-494</v>
          </cell>
          <cell r="BQ16">
            <v>-513</v>
          </cell>
          <cell r="BR16">
            <v>-556</v>
          </cell>
          <cell r="BS16">
            <v>-539</v>
          </cell>
          <cell r="BT16">
            <v>-511</v>
          </cell>
          <cell r="BU16">
            <v>-550</v>
          </cell>
          <cell r="BV16">
            <v>-509</v>
          </cell>
          <cell r="BW16">
            <v>-476.38799999999998</v>
          </cell>
          <cell r="BX16">
            <v>-517.76549999999997</v>
          </cell>
          <cell r="BY16">
            <v>-541.35067500000002</v>
          </cell>
          <cell r="BZ16">
            <v>-554.71560750000003</v>
          </cell>
          <cell r="CA16">
            <v>-535.33645537500001</v>
          </cell>
        </row>
        <row r="17">
          <cell r="A17" t="str">
            <v>Net adds switched (lost)</v>
          </cell>
          <cell r="J17">
            <v>-3499</v>
          </cell>
          <cell r="K17">
            <v>-3647</v>
          </cell>
          <cell r="L17">
            <v>-3550.3363090882485</v>
          </cell>
          <cell r="M17">
            <v>-2700</v>
          </cell>
          <cell r="N17">
            <v>-2400</v>
          </cell>
          <cell r="O17">
            <v>-2100</v>
          </cell>
          <cell r="P17">
            <v>-1900</v>
          </cell>
          <cell r="Q17">
            <v>-1650</v>
          </cell>
          <cell r="BD17">
            <v>-442</v>
          </cell>
          <cell r="BE17">
            <v>-995</v>
          </cell>
          <cell r="BF17">
            <v>-1092</v>
          </cell>
          <cell r="BG17">
            <v>-970</v>
          </cell>
          <cell r="BH17">
            <v>-869</v>
          </cell>
          <cell r="BI17">
            <v>-948</v>
          </cell>
          <cell r="BJ17">
            <v>-968</v>
          </cell>
          <cell r="BK17">
            <v>-862</v>
          </cell>
          <cell r="BL17">
            <v>-819.15886140787188</v>
          </cell>
          <cell r="BM17">
            <v>-949.55151470803685</v>
          </cell>
          <cell r="BN17">
            <v>-949.6259329723398</v>
          </cell>
          <cell r="BO17">
            <v>-832</v>
          </cell>
          <cell r="BP17">
            <v>-675</v>
          </cell>
          <cell r="BQ17">
            <v>-675</v>
          </cell>
          <cell r="BR17">
            <v>-675</v>
          </cell>
          <cell r="BS17">
            <v>-675</v>
          </cell>
          <cell r="BT17">
            <v>-675</v>
          </cell>
          <cell r="BU17">
            <v>-675</v>
          </cell>
          <cell r="BV17">
            <v>-675</v>
          </cell>
          <cell r="BW17">
            <v>-675</v>
          </cell>
          <cell r="BX17">
            <v>-675</v>
          </cell>
          <cell r="BY17">
            <v>-675</v>
          </cell>
          <cell r="BZ17">
            <v>-675</v>
          </cell>
          <cell r="CA17">
            <v>-675</v>
          </cell>
        </row>
        <row r="18">
          <cell r="A18" t="str">
            <v>Net adds VoIP (lost)</v>
          </cell>
          <cell r="J18">
            <v>-27</v>
          </cell>
          <cell r="K18">
            <v>730</v>
          </cell>
          <cell r="L18">
            <v>726</v>
          </cell>
          <cell r="M18">
            <v>598</v>
          </cell>
          <cell r="N18">
            <v>653.61200000000008</v>
          </cell>
          <cell r="O18">
            <v>550.83176212500007</v>
          </cell>
          <cell r="P18">
            <v>468.20699780625</v>
          </cell>
          <cell r="Q18">
            <v>397.97594813531248</v>
          </cell>
          <cell r="BD18">
            <v>-247</v>
          </cell>
          <cell r="BE18">
            <v>28</v>
          </cell>
          <cell r="BF18">
            <v>72</v>
          </cell>
          <cell r="BG18">
            <v>120</v>
          </cell>
          <cell r="BH18">
            <v>170</v>
          </cell>
          <cell r="BI18">
            <v>176</v>
          </cell>
          <cell r="BJ18">
            <v>165</v>
          </cell>
          <cell r="BK18">
            <v>219</v>
          </cell>
          <cell r="BL18">
            <v>191</v>
          </cell>
          <cell r="BM18">
            <v>183</v>
          </cell>
          <cell r="BN18">
            <v>166</v>
          </cell>
          <cell r="BO18">
            <v>186</v>
          </cell>
          <cell r="BP18">
            <v>181</v>
          </cell>
          <cell r="BQ18">
            <v>162</v>
          </cell>
          <cell r="BR18">
            <v>119</v>
          </cell>
          <cell r="BS18">
            <v>136</v>
          </cell>
          <cell r="BT18">
            <v>164</v>
          </cell>
          <cell r="BU18">
            <v>125</v>
          </cell>
          <cell r="BV18">
            <v>166</v>
          </cell>
          <cell r="BW18">
            <v>198.61200000000002</v>
          </cell>
          <cell r="BX18">
            <v>157.2345</v>
          </cell>
          <cell r="BY18">
            <v>133.649325</v>
          </cell>
          <cell r="BZ18">
            <v>120.28439250000001</v>
          </cell>
          <cell r="CA18">
            <v>139.66354462500001</v>
          </cell>
        </row>
        <row r="19">
          <cell r="A19" t="str">
            <v>Resi Add Access Lines</v>
          </cell>
          <cell r="B19">
            <v>7040</v>
          </cell>
          <cell r="C19">
            <v>6609</v>
          </cell>
          <cell r="D19">
            <v>5723</v>
          </cell>
          <cell r="E19">
            <v>4894</v>
          </cell>
          <cell r="F19">
            <v>4322</v>
          </cell>
          <cell r="G19">
            <v>3890</v>
          </cell>
          <cell r="H19">
            <v>3466</v>
          </cell>
          <cell r="I19">
            <v>4004</v>
          </cell>
          <cell r="J19">
            <v>3359</v>
          </cell>
          <cell r="K19">
            <v>2770</v>
          </cell>
          <cell r="L19">
            <v>2457.3363090882485</v>
          </cell>
          <cell r="M19">
            <v>1596.3363090882485</v>
          </cell>
          <cell r="N19">
            <v>1196.3363090882485</v>
          </cell>
          <cell r="O19">
            <v>796.33630908824853</v>
          </cell>
          <cell r="P19">
            <v>396.33630908824853</v>
          </cell>
          <cell r="Q19">
            <v>-3.6636909117514733</v>
          </cell>
          <cell r="X19">
            <v>7168</v>
          </cell>
          <cell r="Y19">
            <v>7145</v>
          </cell>
          <cell r="Z19">
            <v>7082</v>
          </cell>
          <cell r="AA19">
            <v>7040</v>
          </cell>
          <cell r="AB19">
            <v>6991</v>
          </cell>
          <cell r="AC19">
            <v>6847</v>
          </cell>
          <cell r="AD19">
            <v>6721</v>
          </cell>
          <cell r="AE19">
            <v>6609</v>
          </cell>
          <cell r="AF19">
            <v>6500</v>
          </cell>
          <cell r="AG19">
            <v>6251</v>
          </cell>
          <cell r="AH19">
            <v>5990</v>
          </cell>
          <cell r="AI19">
            <v>5723</v>
          </cell>
          <cell r="AJ19">
            <v>5482</v>
          </cell>
          <cell r="AK19">
            <v>5248</v>
          </cell>
          <cell r="AL19">
            <v>5009</v>
          </cell>
          <cell r="AM19">
            <v>4894</v>
          </cell>
          <cell r="AN19">
            <v>4745</v>
          </cell>
          <cell r="AO19">
            <v>4581</v>
          </cell>
          <cell r="AP19">
            <v>4441</v>
          </cell>
          <cell r="AQ19">
            <v>4322</v>
          </cell>
          <cell r="AR19">
            <v>4218</v>
          </cell>
          <cell r="AS19">
            <v>4108</v>
          </cell>
          <cell r="AT19">
            <v>3989</v>
          </cell>
          <cell r="AU19">
            <v>3890</v>
          </cell>
          <cell r="AV19">
            <v>3786</v>
          </cell>
          <cell r="AW19">
            <v>3680</v>
          </cell>
          <cell r="AX19">
            <v>3571</v>
          </cell>
          <cell r="AY19">
            <v>3466</v>
          </cell>
          <cell r="AZ19">
            <v>4345</v>
          </cell>
          <cell r="BA19">
            <v>4232</v>
          </cell>
          <cell r="BB19">
            <v>4112</v>
          </cell>
          <cell r="BC19">
            <v>4004</v>
          </cell>
          <cell r="BD19">
            <v>3866</v>
          </cell>
          <cell r="BE19">
            <v>3703</v>
          </cell>
          <cell r="BF19">
            <v>3526</v>
          </cell>
          <cell r="BG19">
            <v>3359</v>
          </cell>
          <cell r="BH19">
            <v>3189</v>
          </cell>
          <cell r="BI19">
            <v>3040</v>
          </cell>
          <cell r="BJ19">
            <v>2893</v>
          </cell>
          <cell r="BK19">
            <v>2770</v>
          </cell>
          <cell r="BL19">
            <v>2699.1588614078737</v>
          </cell>
          <cell r="BM19">
            <v>2612.7103761159083</v>
          </cell>
          <cell r="BN19">
            <v>2524.3363090882481</v>
          </cell>
          <cell r="BO19">
            <v>2457.3363090882485</v>
          </cell>
          <cell r="BP19">
            <v>2235.3363090882485</v>
          </cell>
          <cell r="BQ19">
            <v>2004.3363090882485</v>
          </cell>
          <cell r="BR19">
            <v>1766.3363090882485</v>
          </cell>
          <cell r="BS19">
            <v>1596.3363090882485</v>
          </cell>
          <cell r="BT19">
            <v>1412.3363090882485</v>
          </cell>
          <cell r="BU19">
            <v>1293.3363090882485</v>
          </cell>
          <cell r="BV19">
            <v>1156.3363090882485</v>
          </cell>
          <cell r="BW19">
            <v>1007.7243090882475</v>
          </cell>
          <cell r="BX19">
            <v>950.48980908824888</v>
          </cell>
          <cell r="BY19">
            <v>971.84048408825038</v>
          </cell>
          <cell r="BZ19">
            <v>1056.5560915882506</v>
          </cell>
          <cell r="CA19">
            <v>1176.8925469632504</v>
          </cell>
        </row>
        <row r="20">
          <cell r="A20" t="str">
            <v>% y/y growth</v>
          </cell>
          <cell r="C20">
            <v>-6.1221590909090962E-2</v>
          </cell>
          <cell r="D20">
            <v>-0.13405961567559388</v>
          </cell>
          <cell r="E20">
            <v>-0.14485409750131051</v>
          </cell>
          <cell r="F20">
            <v>-0.11687780956272986</v>
          </cell>
          <cell r="G20">
            <v>-9.9953725127255866E-2</v>
          </cell>
          <cell r="H20">
            <v>-0.10899742930591261</v>
          </cell>
          <cell r="I20">
            <v>0.15522215810732831</v>
          </cell>
          <cell r="J20">
            <v>-0.1610889110889111</v>
          </cell>
          <cell r="K20">
            <v>-0.17534980649002674</v>
          </cell>
          <cell r="L20">
            <v>-0.11287497866850238</v>
          </cell>
          <cell r="M20">
            <v>-0.35037939121953521</v>
          </cell>
          <cell r="N20">
            <v>-0.25057376551715538</v>
          </cell>
          <cell r="O20">
            <v>-0.33435414185902945</v>
          </cell>
          <cell r="P20">
            <v>-0.5023003414951317</v>
          </cell>
          <cell r="Q20">
            <v>-1.0092438942073705</v>
          </cell>
          <cell r="X20">
            <v>0.1017522287119581</v>
          </cell>
          <cell r="Y20">
            <v>8.0937972768532429E-2</v>
          </cell>
          <cell r="Z20">
            <v>5.465376023827262E-2</v>
          </cell>
          <cell r="AA20">
            <v>9.4637223974762819E-3</v>
          </cell>
          <cell r="AB20">
            <v>-2.4693080357142905E-2</v>
          </cell>
          <cell r="AC20">
            <v>-4.1707487753673944E-2</v>
          </cell>
          <cell r="AD20">
            <v>-5.0974301044902526E-2</v>
          </cell>
          <cell r="AE20">
            <v>-6.1221590909090962E-2</v>
          </cell>
          <cell r="AF20">
            <v>-7.0233156916034933E-2</v>
          </cell>
          <cell r="AG20">
            <v>-8.7045421352417107E-2</v>
          </cell>
          <cell r="AH20">
            <v>-0.10876357684868321</v>
          </cell>
          <cell r="AI20">
            <v>-0.13405961567559388</v>
          </cell>
          <cell r="AJ20">
            <v>-0.1566153846153846</v>
          </cell>
          <cell r="AK20">
            <v>-0.16045432730763076</v>
          </cell>
          <cell r="AL20">
            <v>-0.16377295492487476</v>
          </cell>
          <cell r="AM20">
            <v>-0.14485409750131051</v>
          </cell>
          <cell r="AN20">
            <v>-0.13443998540678581</v>
          </cell>
          <cell r="AO20">
            <v>-0.12709603658536583</v>
          </cell>
          <cell r="AP20">
            <v>-0.11339588740267514</v>
          </cell>
          <cell r="AQ20">
            <v>-0.11687780956272986</v>
          </cell>
          <cell r="AR20">
            <v>-0.11106427818756581</v>
          </cell>
          <cell r="AS20">
            <v>-0.1032525649421524</v>
          </cell>
          <cell r="AT20">
            <v>-0.10177887863093893</v>
          </cell>
          <cell r="AU20">
            <v>-9.9953725127255866E-2</v>
          </cell>
          <cell r="AV20">
            <v>-0.10241820768136556</v>
          </cell>
          <cell r="AW20">
            <v>-0.10418695228821806</v>
          </cell>
          <cell r="AX20">
            <v>-0.10478816746051645</v>
          </cell>
          <cell r="AY20">
            <v>-0.10899742930591261</v>
          </cell>
          <cell r="AZ20">
            <v>0.14764923402007391</v>
          </cell>
          <cell r="BA20">
            <v>0.14999999999999991</v>
          </cell>
          <cell r="BB20">
            <v>0.15149817978157376</v>
          </cell>
          <cell r="BC20">
            <v>0.15522215810732831</v>
          </cell>
          <cell r="BD20">
            <v>-0.1102416570771001</v>
          </cell>
          <cell r="BE20">
            <v>-0.125</v>
          </cell>
          <cell r="BF20">
            <v>-0.14250972762645919</v>
          </cell>
          <cell r="BG20">
            <v>-0.1610889110889111</v>
          </cell>
          <cell r="BH20">
            <v>-0.17511639937920331</v>
          </cell>
          <cell r="BI20">
            <v>-0.17904401836348904</v>
          </cell>
          <cell r="BJ20">
            <v>-0.17952353942144073</v>
          </cell>
          <cell r="BK20">
            <v>-0.17534980649002674</v>
          </cell>
          <cell r="BL20">
            <v>-0.1536033673854269</v>
          </cell>
          <cell r="BM20">
            <v>-0.14055579733029333</v>
          </cell>
          <cell r="BN20">
            <v>-0.12743300757405873</v>
          </cell>
          <cell r="BO20">
            <v>-0.11287497866850238</v>
          </cell>
          <cell r="BP20">
            <v>-0.17183966418252861</v>
          </cell>
          <cell r="BQ20">
            <v>-0.23285170548910095</v>
          </cell>
          <cell r="BR20">
            <v>-0.30027694696265639</v>
          </cell>
          <cell r="BS20">
            <v>-0.35037939121953521</v>
          </cell>
          <cell r="BT20">
            <v>-0.36817726113690974</v>
          </cell>
          <cell r="BU20">
            <v>-0.35473088861191482</v>
          </cell>
          <cell r="BV20">
            <v>-0.34534759709201202</v>
          </cell>
          <cell r="BW20">
            <v>-0.36872681317146017</v>
          </cell>
          <cell r="BX20">
            <v>-0.3270088696495741</v>
          </cell>
          <cell r="BY20">
            <v>-0.24857867419390722</v>
          </cell>
          <cell r="BZ20">
            <v>-8.6289963149797533E-2</v>
          </cell>
          <cell r="CA20">
            <v>0.1678715461653002</v>
          </cell>
        </row>
        <row r="21">
          <cell r="A21" t="str">
            <v>% q/q growth</v>
          </cell>
          <cell r="X21">
            <v>2.7817608259248727E-2</v>
          </cell>
          <cell r="Y21">
            <v>-3.2087053571429047E-3</v>
          </cell>
          <cell r="Z21">
            <v>-8.8173547935619379E-3</v>
          </cell>
          <cell r="AA21">
            <v>-5.9305280994069731E-3</v>
          </cell>
          <cell r="AB21">
            <v>-6.9602272727272707E-3</v>
          </cell>
          <cell r="AC21">
            <v>-2.0597911600629404E-2</v>
          </cell>
          <cell r="AD21">
            <v>-1.840221995034319E-2</v>
          </cell>
          <cell r="AE21">
            <v>-1.6664186876952813E-2</v>
          </cell>
          <cell r="AF21">
            <v>-1.6492661522166774E-2</v>
          </cell>
          <cell r="AG21">
            <v>-3.8307692307692265E-2</v>
          </cell>
          <cell r="AH21">
            <v>-4.1753319468884942E-2</v>
          </cell>
          <cell r="AI21">
            <v>-4.4574290484140189E-2</v>
          </cell>
          <cell r="AJ21">
            <v>-4.2110781058885216E-2</v>
          </cell>
          <cell r="AK21">
            <v>-4.2685151404596833E-2</v>
          </cell>
          <cell r="AL21">
            <v>-4.5541158536585358E-2</v>
          </cell>
          <cell r="AM21">
            <v>-2.2958674386104994E-2</v>
          </cell>
          <cell r="AN21">
            <v>-3.0445443400081706E-2</v>
          </cell>
          <cell r="AO21">
            <v>-3.4562697576396184E-2</v>
          </cell>
          <cell r="AP21">
            <v>-3.0561012879284033E-2</v>
          </cell>
          <cell r="AQ21">
            <v>-2.6795766719207359E-2</v>
          </cell>
          <cell r="AR21">
            <v>-2.4062933826932031E-2</v>
          </cell>
          <cell r="AS21">
            <v>-2.6078710289236584E-2</v>
          </cell>
          <cell r="AT21">
            <v>-2.8967867575462547E-2</v>
          </cell>
          <cell r="AU21">
            <v>-2.4818250188017088E-2</v>
          </cell>
          <cell r="AV21">
            <v>-2.6735218508997405E-2</v>
          </cell>
          <cell r="AW21">
            <v>-2.7997886951928175E-2</v>
          </cell>
          <cell r="AX21">
            <v>-2.9619565217391286E-2</v>
          </cell>
          <cell r="AY21">
            <v>-2.9403528423410763E-2</v>
          </cell>
          <cell r="AZ21">
            <v>0.25360646278130416</v>
          </cell>
          <cell r="BA21">
            <v>-2.6006904487917093E-2</v>
          </cell>
          <cell r="BB21">
            <v>-2.8355387523629538E-2</v>
          </cell>
          <cell r="BC21">
            <v>-2.6264591439688734E-2</v>
          </cell>
          <cell r="BD21">
            <v>-3.4465534465534464E-2</v>
          </cell>
          <cell r="BE21">
            <v>-4.2162441800310368E-2</v>
          </cell>
          <cell r="BF21">
            <v>-4.7799081825546819E-2</v>
          </cell>
          <cell r="BG21">
            <v>-4.736245036868969E-2</v>
          </cell>
          <cell r="BH21">
            <v>-5.0610300684727605E-2</v>
          </cell>
          <cell r="BI21">
            <v>-4.6723110693007164E-2</v>
          </cell>
          <cell r="BJ21">
            <v>-4.8355263157894735E-2</v>
          </cell>
          <cell r="BK21">
            <v>-4.2516418942274425E-2</v>
          </cell>
          <cell r="BL21">
            <v>-2.557441826430551E-2</v>
          </cell>
          <cell r="BM21">
            <v>-3.2027935268276186E-2</v>
          </cell>
          <cell r="BN21">
            <v>-3.3824670287044389E-2</v>
          </cell>
          <cell r="BO21">
            <v>-2.6541629876646211E-2</v>
          </cell>
          <cell r="BP21">
            <v>-9.034172456531564E-2</v>
          </cell>
          <cell r="BQ21">
            <v>-0.10334015470549962</v>
          </cell>
          <cell r="BR21">
            <v>-0.11874254780539484</v>
          </cell>
          <cell r="BS21">
            <v>-9.6244412304331228E-2</v>
          </cell>
          <cell r="BT21">
            <v>-0.11526393213789143</v>
          </cell>
          <cell r="BU21">
            <v>-8.4257551996820057E-2</v>
          </cell>
          <cell r="BV21">
            <v>-0.10592759132895579</v>
          </cell>
          <cell r="BW21">
            <v>-0.12851970385430433</v>
          </cell>
          <cell r="BX21">
            <v>-5.6795791749612912E-2</v>
          </cell>
          <cell r="BY21">
            <v>2.2462813168383056E-2</v>
          </cell>
          <cell r="BZ21">
            <v>8.7170280397896427E-2</v>
          </cell>
          <cell r="CA21">
            <v>0.1138949993597651</v>
          </cell>
        </row>
        <row r="22">
          <cell r="A22" t="str">
            <v>% penetration</v>
          </cell>
          <cell r="B22">
            <v>0.2424409394586404</v>
          </cell>
          <cell r="C22">
            <v>0.23680533161345801</v>
          </cell>
          <cell r="D22">
            <v>0.22324075518801687</v>
          </cell>
          <cell r="E22">
            <v>0.20435091235542194</v>
          </cell>
          <cell r="F22">
            <v>0.18624493665431355</v>
          </cell>
          <cell r="G22">
            <v>0.17066643267669898</v>
          </cell>
          <cell r="H22">
            <v>0.15869236756558766</v>
          </cell>
          <cell r="I22">
            <v>0.12914046121593292</v>
          </cell>
          <cell r="J22">
            <v>0.12223880053859311</v>
          </cell>
          <cell r="K22">
            <v>0.11277583258692289</v>
          </cell>
          <cell r="L22">
            <v>0.11304509739543125</v>
          </cell>
          <cell r="M22">
            <v>8.1297802519764234E-2</v>
          </cell>
          <cell r="N22">
            <v>6.6874496752041254E-2</v>
          </cell>
          <cell r="O22">
            <v>4.8735071747661743E-2</v>
          </cell>
          <cell r="P22">
            <v>2.6584917456301531E-2</v>
          </cell>
          <cell r="Q22">
            <v>-2.6827863238947889E-4</v>
          </cell>
          <cell r="X22">
            <v>0.2417130332153094</v>
          </cell>
          <cell r="Y22">
            <v>0.24262283948521171</v>
          </cell>
          <cell r="Z22">
            <v>0.24222731470397099</v>
          </cell>
          <cell r="AA22">
            <v>0.2424409394586404</v>
          </cell>
          <cell r="AB22">
            <v>0.24201197770623464</v>
          </cell>
          <cell r="AC22">
            <v>0.24102365530836384</v>
          </cell>
          <cell r="AD22">
            <v>0.23812223206377325</v>
          </cell>
          <cell r="AE22">
            <v>0.23680533161345801</v>
          </cell>
          <cell r="AF22">
            <v>0.23526005284302726</v>
          </cell>
          <cell r="AG22">
            <v>0.23223241817438794</v>
          </cell>
          <cell r="AH22">
            <v>0.22769605048086061</v>
          </cell>
          <cell r="AI22">
            <v>0.22324075518801687</v>
          </cell>
          <cell r="AJ22">
            <v>0.21815432368976084</v>
          </cell>
          <cell r="AK22">
            <v>0.21296972648324</v>
          </cell>
          <cell r="AL22">
            <v>0.20649709362245949</v>
          </cell>
          <cell r="AM22">
            <v>0.20435091235542194</v>
          </cell>
          <cell r="AN22">
            <v>0.19943678547410895</v>
          </cell>
          <cell r="AO22">
            <v>0.19578596461236003</v>
          </cell>
          <cell r="AP22">
            <v>0.19077279951887968</v>
          </cell>
          <cell r="AQ22">
            <v>0.18624493665431355</v>
          </cell>
          <cell r="AR22">
            <v>0.18163810180001722</v>
          </cell>
          <cell r="AS22">
            <v>0.17832957110609482</v>
          </cell>
          <cell r="AT22">
            <v>0.17402495419247885</v>
          </cell>
          <cell r="AU22">
            <v>0.17066643267669898</v>
          </cell>
          <cell r="AV22">
            <v>0.16730004418912947</v>
          </cell>
          <cell r="AW22">
            <v>0.16494845360824742</v>
          </cell>
          <cell r="AX22">
            <v>0.16181801703824542</v>
          </cell>
          <cell r="AY22">
            <v>0.15869236756558766</v>
          </cell>
          <cell r="AZ22">
            <v>0.13445768219093301</v>
          </cell>
          <cell r="BA22">
            <v>0.13173950940107085</v>
          </cell>
          <cell r="BB22">
            <v>0.12988817992292628</v>
          </cell>
          <cell r="BC22">
            <v>0.12914046121593292</v>
          </cell>
          <cell r="BD22">
            <v>0.12752341997625016</v>
          </cell>
          <cell r="BE22">
            <v>0.12617124944631844</v>
          </cell>
          <cell r="BF22">
            <v>0.12446609481450104</v>
          </cell>
          <cell r="BG22">
            <v>0.12223880053859311</v>
          </cell>
          <cell r="BH22">
            <v>0.11908140403286034</v>
          </cell>
          <cell r="BI22">
            <v>0.1168871116579514</v>
          </cell>
          <cell r="BJ22">
            <v>0.11477881372743504</v>
          </cell>
          <cell r="BK22">
            <v>0.11277583258692289</v>
          </cell>
          <cell r="BL22">
            <v>0.11277583258692289</v>
          </cell>
          <cell r="BM22">
            <v>0.11277583258692291</v>
          </cell>
          <cell r="BN22">
            <v>0.11277583258692288</v>
          </cell>
          <cell r="BO22">
            <v>0.11304509739543125</v>
          </cell>
          <cell r="BP22">
            <v>0.1052236724141207</v>
          </cell>
          <cell r="BQ22">
            <v>9.6684618446004816E-2</v>
          </cell>
          <cell r="BR22">
            <v>8.7552205883062367E-2</v>
          </cell>
          <cell r="BS22">
            <v>8.1297802519764234E-2</v>
          </cell>
          <cell r="BT22">
            <v>7.3848948766581768E-2</v>
          </cell>
          <cell r="BU22">
            <v>6.9629056579961379E-2</v>
          </cell>
          <cell r="BV22">
            <v>6.4007408134690552E-2</v>
          </cell>
          <cell r="BW22">
            <v>5.7291973063389484E-2</v>
          </cell>
          <cell r="BX22">
            <v>5.5676961115851069E-2</v>
          </cell>
          <cell r="BY22">
            <v>5.8791960425594647E-2</v>
          </cell>
          <cell r="BZ22">
            <v>6.6136258725926794E-2</v>
          </cell>
          <cell r="CA22">
            <v>7.622308008820107E-2</v>
          </cell>
        </row>
        <row r="23">
          <cell r="A23" t="str">
            <v>sequential lines added (lost)</v>
          </cell>
          <cell r="C23">
            <v>-431</v>
          </cell>
          <cell r="D23">
            <v>-886</v>
          </cell>
          <cell r="E23">
            <v>-829</v>
          </cell>
          <cell r="F23">
            <v>-572</v>
          </cell>
          <cell r="G23">
            <v>-432</v>
          </cell>
          <cell r="H23">
            <v>-424</v>
          </cell>
          <cell r="I23">
            <v>538</v>
          </cell>
          <cell r="J23">
            <v>-645</v>
          </cell>
          <cell r="K23">
            <v>-589</v>
          </cell>
          <cell r="L23">
            <v>-312.66369091175147</v>
          </cell>
          <cell r="M23">
            <v>-861</v>
          </cell>
          <cell r="N23">
            <v>-400</v>
          </cell>
          <cell r="O23">
            <v>-400</v>
          </cell>
          <cell r="P23">
            <v>-400</v>
          </cell>
          <cell r="Q23">
            <v>-400</v>
          </cell>
          <cell r="X23">
            <v>194</v>
          </cell>
          <cell r="Y23">
            <v>-23</v>
          </cell>
          <cell r="Z23">
            <v>-63</v>
          </cell>
          <cell r="AA23">
            <v>-42</v>
          </cell>
          <cell r="AB23">
            <v>-49</v>
          </cell>
          <cell r="AC23">
            <v>-144</v>
          </cell>
          <cell r="AD23">
            <v>-126</v>
          </cell>
          <cell r="AE23">
            <v>-112</v>
          </cell>
          <cell r="AF23">
            <v>-109</v>
          </cell>
          <cell r="AG23">
            <v>-249</v>
          </cell>
          <cell r="AH23">
            <v>-261</v>
          </cell>
          <cell r="AI23">
            <v>-267</v>
          </cell>
          <cell r="AJ23">
            <v>-241</v>
          </cell>
          <cell r="AK23">
            <v>-234</v>
          </cell>
          <cell r="AL23">
            <v>-239</v>
          </cell>
          <cell r="AM23">
            <v>-115</v>
          </cell>
          <cell r="AN23">
            <v>-149</v>
          </cell>
          <cell r="AO23">
            <v>-164</v>
          </cell>
          <cell r="AP23">
            <v>-140</v>
          </cell>
          <cell r="AQ23">
            <v>-119</v>
          </cell>
          <cell r="AR23">
            <v>-104</v>
          </cell>
          <cell r="AS23">
            <v>-110</v>
          </cell>
          <cell r="AT23">
            <v>-119</v>
          </cell>
          <cell r="AU23">
            <v>-99</v>
          </cell>
          <cell r="AV23">
            <v>-104</v>
          </cell>
          <cell r="AW23">
            <v>-106</v>
          </cell>
          <cell r="AX23">
            <v>-109</v>
          </cell>
          <cell r="AY23">
            <v>-105</v>
          </cell>
          <cell r="AZ23">
            <v>879</v>
          </cell>
          <cell r="BA23">
            <v>-113</v>
          </cell>
          <cell r="BB23">
            <v>-120</v>
          </cell>
          <cell r="BC23">
            <v>-108</v>
          </cell>
          <cell r="BD23">
            <v>-138</v>
          </cell>
          <cell r="BE23">
            <v>-163</v>
          </cell>
          <cell r="BF23">
            <v>-177</v>
          </cell>
          <cell r="BG23">
            <v>-167</v>
          </cell>
          <cell r="BH23">
            <v>-170</v>
          </cell>
          <cell r="BI23">
            <v>-149</v>
          </cell>
          <cell r="BJ23">
            <v>-147</v>
          </cell>
          <cell r="BK23">
            <v>-123</v>
          </cell>
          <cell r="BL23">
            <v>-70.841138592126299</v>
          </cell>
          <cell r="BM23">
            <v>-86.448485291965426</v>
          </cell>
          <cell r="BN23">
            <v>-88.374067027660203</v>
          </cell>
          <cell r="BO23">
            <v>-66.999999999999545</v>
          </cell>
          <cell r="BP23">
            <v>-222</v>
          </cell>
          <cell r="BQ23">
            <v>-231</v>
          </cell>
          <cell r="BR23">
            <v>-238</v>
          </cell>
          <cell r="BS23">
            <v>-170</v>
          </cell>
          <cell r="BT23">
            <v>-184</v>
          </cell>
          <cell r="BU23">
            <v>-119</v>
          </cell>
          <cell r="BV23">
            <v>-137</v>
          </cell>
          <cell r="BW23">
            <v>-148.61200000000099</v>
          </cell>
          <cell r="BX23">
            <v>-57.234499999998661</v>
          </cell>
          <cell r="BY23">
            <v>21.350675000001502</v>
          </cell>
          <cell r="BZ23">
            <v>84.71560750000026</v>
          </cell>
          <cell r="CA23">
            <v>120.33645537499979</v>
          </cell>
        </row>
        <row r="24">
          <cell r="A24" t="str">
            <v>note: DSL lines added</v>
          </cell>
          <cell r="C24">
            <v>566</v>
          </cell>
          <cell r="D24">
            <v>866</v>
          </cell>
          <cell r="E24">
            <v>1316.4899999999998</v>
          </cell>
          <cell r="F24">
            <v>1589.0100000000002</v>
          </cell>
          <cell r="G24">
            <v>1817</v>
          </cell>
          <cell r="H24">
            <v>1608</v>
          </cell>
          <cell r="I24">
            <v>1746</v>
          </cell>
          <cell r="J24">
            <v>89</v>
          </cell>
          <cell r="K24">
            <v>-307</v>
          </cell>
          <cell r="L24">
            <v>-611</v>
          </cell>
          <cell r="M24">
            <v>-1826</v>
          </cell>
          <cell r="N24">
            <v>-2619</v>
          </cell>
          <cell r="O24">
            <v>-2650</v>
          </cell>
          <cell r="P24">
            <v>-2200</v>
          </cell>
          <cell r="Q24">
            <v>-1750</v>
          </cell>
          <cell r="Y24">
            <v>198</v>
          </cell>
          <cell r="Z24">
            <v>117</v>
          </cell>
          <cell r="AA24">
            <v>251</v>
          </cell>
          <cell r="AB24">
            <v>187</v>
          </cell>
          <cell r="AC24">
            <v>83</v>
          </cell>
          <cell r="AD24">
            <v>150</v>
          </cell>
          <cell r="AE24">
            <v>146</v>
          </cell>
          <cell r="AF24">
            <v>182</v>
          </cell>
          <cell r="AG24">
            <v>213</v>
          </cell>
          <cell r="AH24">
            <v>226</v>
          </cell>
          <cell r="AI24">
            <v>245</v>
          </cell>
          <cell r="AJ24">
            <v>271</v>
          </cell>
          <cell r="AK24">
            <v>303</v>
          </cell>
          <cell r="AL24">
            <v>365</v>
          </cell>
          <cell r="AM24">
            <v>377.49</v>
          </cell>
          <cell r="AN24">
            <v>447.01</v>
          </cell>
          <cell r="AO24">
            <v>315</v>
          </cell>
          <cell r="AP24">
            <v>402</v>
          </cell>
          <cell r="AQ24">
            <v>425</v>
          </cell>
          <cell r="AR24">
            <v>504</v>
          </cell>
          <cell r="AS24">
            <v>360</v>
          </cell>
          <cell r="AT24">
            <v>528</v>
          </cell>
          <cell r="AU24">
            <v>425</v>
          </cell>
          <cell r="AV24">
            <v>511</v>
          </cell>
          <cell r="AW24">
            <v>342</v>
          </cell>
          <cell r="AX24">
            <v>374</v>
          </cell>
          <cell r="AY24">
            <v>381</v>
          </cell>
          <cell r="AZ24">
            <v>681</v>
          </cell>
          <cell r="BA24">
            <v>361</v>
          </cell>
          <cell r="BB24">
            <v>418</v>
          </cell>
          <cell r="BC24">
            <v>286</v>
          </cell>
          <cell r="BD24">
            <v>338</v>
          </cell>
          <cell r="BE24">
            <v>-129</v>
          </cell>
          <cell r="BF24">
            <v>-84</v>
          </cell>
          <cell r="BG24">
            <v>-36</v>
          </cell>
          <cell r="BH24">
            <v>75</v>
          </cell>
          <cell r="BI24">
            <v>-136</v>
          </cell>
          <cell r="BJ24">
            <v>-149</v>
          </cell>
          <cell r="BK24">
            <v>-97</v>
          </cell>
          <cell r="BL24">
            <v>24</v>
          </cell>
          <cell r="BM24">
            <v>-347</v>
          </cell>
          <cell r="BN24">
            <v>-150</v>
          </cell>
          <cell r="BO24">
            <v>-138</v>
          </cell>
          <cell r="BP24">
            <v>-238</v>
          </cell>
          <cell r="BQ24">
            <v>-451</v>
          </cell>
          <cell r="BR24">
            <v>-501</v>
          </cell>
          <cell r="BS24">
            <v>-636</v>
          </cell>
          <cell r="BT24">
            <v>-615</v>
          </cell>
          <cell r="BU24">
            <v>-649</v>
          </cell>
          <cell r="BV24">
            <v>-655</v>
          </cell>
          <cell r="BW24">
            <v>-700</v>
          </cell>
          <cell r="BX24">
            <v>-650</v>
          </cell>
          <cell r="BY24">
            <v>-600</v>
          </cell>
          <cell r="BZ24">
            <v>-700</v>
          </cell>
          <cell r="CA24">
            <v>-700</v>
          </cell>
        </row>
        <row r="25">
          <cell r="A25" t="str">
            <v>lines lost as % of DSL lines added</v>
          </cell>
          <cell r="C25">
            <v>0.7614840989399293</v>
          </cell>
          <cell r="D25">
            <v>1.0230946882217089</v>
          </cell>
          <cell r="E25">
            <v>0.62970474519365904</v>
          </cell>
          <cell r="F25">
            <v>0.35997256153202306</v>
          </cell>
          <cell r="G25">
            <v>0.23775454045129335</v>
          </cell>
          <cell r="H25">
            <v>0.26368159203980102</v>
          </cell>
          <cell r="I25">
            <v>-0.30813287514318444</v>
          </cell>
          <cell r="K25">
            <v>-1.9185667752442996</v>
          </cell>
          <cell r="L25">
            <v>-0.51172453504378312</v>
          </cell>
          <cell r="M25">
            <v>-0.4715224534501643</v>
          </cell>
          <cell r="N25">
            <v>-0.15273004963726614</v>
          </cell>
          <cell r="O25">
            <v>-0.15094339622641509</v>
          </cell>
          <cell r="P25">
            <v>-0.18181818181818182</v>
          </cell>
          <cell r="Q25">
            <v>-0.22857142857142856</v>
          </cell>
          <cell r="Y25">
            <v>0.11616161616161616</v>
          </cell>
          <cell r="Z25">
            <v>0.53846153846153844</v>
          </cell>
          <cell r="AA25">
            <v>0.16733067729083664</v>
          </cell>
          <cell r="AB25">
            <v>0.26203208556149732</v>
          </cell>
          <cell r="AC25">
            <v>1.7349397590361446</v>
          </cell>
          <cell r="AD25">
            <v>0.84</v>
          </cell>
          <cell r="AE25">
            <v>0.76712328767123283</v>
          </cell>
          <cell r="AF25">
            <v>0.59890109890109888</v>
          </cell>
          <cell r="AG25">
            <v>1.1690140845070423</v>
          </cell>
          <cell r="AH25">
            <v>1.154867256637168</v>
          </cell>
          <cell r="AI25">
            <v>1.0897959183673469</v>
          </cell>
          <cell r="AJ25">
            <v>0.88929889298892983</v>
          </cell>
          <cell r="AK25">
            <v>0.7722772277227723</v>
          </cell>
          <cell r="AL25">
            <v>0.65479452054794518</v>
          </cell>
          <cell r="AM25">
            <v>0.30464383162467878</v>
          </cell>
          <cell r="AN25">
            <v>0.3333258763786045</v>
          </cell>
          <cell r="AO25">
            <v>0.52063492063492067</v>
          </cell>
          <cell r="AP25">
            <v>0.34825870646766172</v>
          </cell>
          <cell r="AQ25">
            <v>0.28000000000000003</v>
          </cell>
          <cell r="AR25">
            <v>0.20634920634920634</v>
          </cell>
          <cell r="AS25">
            <v>0.30555555555555558</v>
          </cell>
          <cell r="AT25">
            <v>0.22537878787878787</v>
          </cell>
          <cell r="AU25">
            <v>0.23294117647058823</v>
          </cell>
          <cell r="AV25">
            <v>0.20352250489236789</v>
          </cell>
          <cell r="AW25">
            <v>0.30994152046783624</v>
          </cell>
          <cell r="AX25">
            <v>0.29144385026737968</v>
          </cell>
          <cell r="AY25">
            <v>0.27559055118110237</v>
          </cell>
          <cell r="AZ25">
            <v>-1.2907488986784141</v>
          </cell>
          <cell r="BA25">
            <v>0.31301939058171746</v>
          </cell>
          <cell r="BB25">
            <v>0.28708133971291866</v>
          </cell>
          <cell r="BC25">
            <v>0.3776223776223776</v>
          </cell>
          <cell r="BD25">
            <v>0.40828402366863903</v>
          </cell>
          <cell r="BE25">
            <v>-1.2635658914728682</v>
          </cell>
          <cell r="BF25">
            <v>-2.1071428571428572</v>
          </cell>
          <cell r="BG25">
            <v>-4.6388888888888893</v>
          </cell>
          <cell r="BH25">
            <v>2.2666666666666666</v>
          </cell>
          <cell r="BI25">
            <v>-1.0955882352941178</v>
          </cell>
          <cell r="BJ25">
            <v>-0.98657718120805371</v>
          </cell>
          <cell r="BK25">
            <v>-1.268041237113402</v>
          </cell>
          <cell r="BL25">
            <v>2.9517141080052625</v>
          </cell>
          <cell r="BM25">
            <v>-0.24913108153304156</v>
          </cell>
          <cell r="BN25">
            <v>-0.58916044685106805</v>
          </cell>
          <cell r="BO25">
            <v>-0.48550724637680831</v>
          </cell>
          <cell r="BP25">
            <v>-0.9327731092436975</v>
          </cell>
          <cell r="BQ25">
            <v>-0.51219512195121952</v>
          </cell>
          <cell r="BR25">
            <v>-0.47504990019960081</v>
          </cell>
          <cell r="BS25">
            <v>-0.26729559748427673</v>
          </cell>
          <cell r="BT25">
            <v>-0.29918699186991871</v>
          </cell>
          <cell r="BU25">
            <v>-0.18335901386748846</v>
          </cell>
          <cell r="BV25">
            <v>-0.20916030534351146</v>
          </cell>
          <cell r="BW25">
            <v>-0.21230285714285857</v>
          </cell>
          <cell r="BX25">
            <v>-8.8053076923074861E-2</v>
          </cell>
          <cell r="BY25">
            <v>3.5584458333335837E-2</v>
          </cell>
          <cell r="BZ25">
            <v>0.1210222964285718</v>
          </cell>
          <cell r="CA25">
            <v>0.1719092219642854</v>
          </cell>
        </row>
        <row r="26">
          <cell r="A26" t="str">
            <v>Total Residential retail lines</v>
          </cell>
          <cell r="B26">
            <v>36078</v>
          </cell>
          <cell r="C26">
            <v>34518</v>
          </cell>
          <cell r="D26">
            <v>31359</v>
          </cell>
          <cell r="E26">
            <v>28843</v>
          </cell>
          <cell r="F26">
            <v>27528</v>
          </cell>
          <cell r="G26">
            <v>26683</v>
          </cell>
          <cell r="H26">
            <v>25307</v>
          </cell>
          <cell r="I26">
            <v>35009</v>
          </cell>
          <cell r="J26">
            <v>30838</v>
          </cell>
          <cell r="K26">
            <v>27332</v>
          </cell>
          <cell r="L26">
            <v>24195</v>
          </cell>
          <cell r="M26">
            <v>21232</v>
          </cell>
          <cell r="N26">
            <v>18597</v>
          </cell>
          <cell r="O26">
            <v>16617</v>
          </cell>
          <cell r="P26">
            <v>14867</v>
          </cell>
          <cell r="Q26">
            <v>13467</v>
          </cell>
          <cell r="R26">
            <v>12267</v>
          </cell>
          <cell r="S26">
            <v>11267</v>
          </cell>
          <cell r="T26">
            <v>10267</v>
          </cell>
          <cell r="X26">
            <v>36823</v>
          </cell>
          <cell r="Y26">
            <v>36594</v>
          </cell>
          <cell r="Z26">
            <v>36319</v>
          </cell>
          <cell r="AA26">
            <v>36078</v>
          </cell>
          <cell r="AB26">
            <v>35878</v>
          </cell>
          <cell r="AC26">
            <v>35255</v>
          </cell>
          <cell r="AD26">
            <v>34946</v>
          </cell>
          <cell r="AE26">
            <v>34518</v>
          </cell>
          <cell r="AF26">
            <v>34129</v>
          </cell>
          <cell r="AG26">
            <v>33168</v>
          </cell>
          <cell r="AH26">
            <v>32297</v>
          </cell>
          <cell r="AI26">
            <v>31359</v>
          </cell>
          <cell r="AJ26">
            <v>30611</v>
          </cell>
          <cell r="AK26">
            <v>29890</v>
          </cell>
          <cell r="AL26">
            <v>29266</v>
          </cell>
          <cell r="AM26">
            <v>28843</v>
          </cell>
          <cell r="AN26">
            <v>28537</v>
          </cell>
          <cell r="AO26">
            <v>27979</v>
          </cell>
          <cell r="AP26">
            <v>27720</v>
          </cell>
          <cell r="AQ26">
            <v>27528</v>
          </cell>
          <cell r="AR26">
            <v>27440</v>
          </cell>
          <cell r="AS26">
            <v>27144</v>
          </cell>
          <cell r="AT26">
            <v>26911</v>
          </cell>
          <cell r="AU26">
            <v>26683</v>
          </cell>
          <cell r="AV26">
            <v>26416</v>
          </cell>
          <cell r="AW26">
            <v>25990</v>
          </cell>
          <cell r="AX26">
            <v>25639</v>
          </cell>
          <cell r="AY26">
            <v>25307</v>
          </cell>
          <cell r="AZ26">
            <v>36660</v>
          </cell>
          <cell r="BA26">
            <v>36356</v>
          </cell>
          <cell r="BB26">
            <v>35770</v>
          </cell>
          <cell r="BC26">
            <v>35009</v>
          </cell>
          <cell r="BD26">
            <v>34182</v>
          </cell>
          <cell r="BE26">
            <v>33052</v>
          </cell>
          <cell r="BF26">
            <v>31855</v>
          </cell>
          <cell r="BG26">
            <v>30838</v>
          </cell>
          <cell r="BH26">
            <v>29969</v>
          </cell>
          <cell r="BI26">
            <v>29048</v>
          </cell>
          <cell r="BJ26">
            <v>28098</v>
          </cell>
          <cell r="BK26">
            <v>27332</v>
          </cell>
          <cell r="BL26">
            <v>26633</v>
          </cell>
          <cell r="BM26">
            <v>25780</v>
          </cell>
          <cell r="BN26">
            <v>24908</v>
          </cell>
          <cell r="BO26">
            <v>24195</v>
          </cell>
          <cell r="BP26">
            <v>23479</v>
          </cell>
          <cell r="BQ26">
            <v>22735</v>
          </cell>
          <cell r="BR26">
            <v>21941</v>
          </cell>
          <cell r="BS26">
            <v>21232</v>
          </cell>
          <cell r="BT26">
            <v>20537</v>
          </cell>
          <cell r="BU26">
            <v>19868</v>
          </cell>
          <cell r="BV26">
            <v>19222</v>
          </cell>
          <cell r="BW26">
            <v>18597</v>
          </cell>
          <cell r="BX26">
            <v>18022</v>
          </cell>
          <cell r="BY26">
            <v>17502</v>
          </cell>
          <cell r="BZ26">
            <v>17032</v>
          </cell>
          <cell r="CA26">
            <v>16617</v>
          </cell>
        </row>
        <row r="27">
          <cell r="A27" t="str">
            <v>% y/y growth</v>
          </cell>
          <cell r="C27">
            <v>-4.3239647430567074E-2</v>
          </cell>
          <cell r="D27">
            <v>-9.1517469146532249E-2</v>
          </cell>
          <cell r="E27">
            <v>-8.0232150259893498E-2</v>
          </cell>
          <cell r="F27">
            <v>-4.5591651353881324E-2</v>
          </cell>
          <cell r="G27">
            <v>-3.0696018599244423E-2</v>
          </cell>
          <cell r="H27">
            <v>-5.1568414346212954E-2</v>
          </cell>
          <cell r="I27">
            <v>0.38337218951278307</v>
          </cell>
          <cell r="J27">
            <v>-0.11914079236767683</v>
          </cell>
          <cell r="K27">
            <v>-0.11369090083663014</v>
          </cell>
          <cell r="L27">
            <v>-0.11477389140933703</v>
          </cell>
          <cell r="M27">
            <v>-0.12246331886753459</v>
          </cell>
          <cell r="N27">
            <v>-0.12410512434061793</v>
          </cell>
          <cell r="O27">
            <v>-0.10646878528794967</v>
          </cell>
          <cell r="P27">
            <v>-0.10531383522898241</v>
          </cell>
          <cell r="Q27">
            <v>-9.4168292190758063E-2</v>
          </cell>
          <cell r="R27">
            <v>-8.9106705279572318E-2</v>
          </cell>
          <cell r="S27">
            <v>-8.1519523925980275E-2</v>
          </cell>
          <cell r="T27">
            <v>-8.8754770568918118E-2</v>
          </cell>
          <cell r="AB27">
            <v>-2.5663308258425443E-2</v>
          </cell>
          <cell r="AC27">
            <v>-3.6590697928622129E-2</v>
          </cell>
          <cell r="AD27">
            <v>-3.7803904292519119E-2</v>
          </cell>
          <cell r="AE27">
            <v>-4.3239647430567074E-2</v>
          </cell>
          <cell r="AF27">
            <v>-4.8748536707731716E-2</v>
          </cell>
          <cell r="AG27">
            <v>-5.91972769819884E-2</v>
          </cell>
          <cell r="AH27">
            <v>-7.5802666971899524E-2</v>
          </cell>
          <cell r="AI27">
            <v>-9.1517469146532249E-2</v>
          </cell>
          <cell r="AJ27">
            <v>-0.10307949251369808</v>
          </cell>
          <cell r="AK27">
            <v>-9.8830197780993778E-2</v>
          </cell>
          <cell r="AL27">
            <v>-9.3847725794965475E-2</v>
          </cell>
          <cell r="AM27">
            <v>-8.0232150259893498E-2</v>
          </cell>
          <cell r="AN27">
            <v>-6.7753421972493566E-2</v>
          </cell>
          <cell r="AO27">
            <v>-6.3934426229508179E-2</v>
          </cell>
          <cell r="AP27">
            <v>-5.2825804688033884E-2</v>
          </cell>
          <cell r="AQ27">
            <v>-4.5591651353881324E-2</v>
          </cell>
          <cell r="AR27">
            <v>-3.8441321792760275E-2</v>
          </cell>
          <cell r="AS27">
            <v>-2.9843811430001033E-2</v>
          </cell>
          <cell r="AT27">
            <v>-2.9184704184704202E-2</v>
          </cell>
          <cell r="AU27">
            <v>-3.0696018599244423E-2</v>
          </cell>
          <cell r="AV27">
            <v>-3.7317784256559738E-2</v>
          </cell>
          <cell r="AW27">
            <v>-4.2513999410551118E-2</v>
          </cell>
          <cell r="AX27">
            <v>-4.7266916874140641E-2</v>
          </cell>
          <cell r="AY27">
            <v>-5.1568414346212954E-2</v>
          </cell>
          <cell r="AZ27">
            <v>0.38779527559055116</v>
          </cell>
          <cell r="BA27">
            <v>0.39884570988841861</v>
          </cell>
          <cell r="BB27">
            <v>0.39514021607707006</v>
          </cell>
          <cell r="BC27">
            <v>0.38337218951278307</v>
          </cell>
          <cell r="BD27">
            <v>-6.7594108019639942E-2</v>
          </cell>
          <cell r="BE27">
            <v>-9.0879084607767613E-2</v>
          </cell>
          <cell r="BF27">
            <v>-0.10944925915571713</v>
          </cell>
          <cell r="BG27">
            <v>-0.11914079236767683</v>
          </cell>
          <cell r="BH27">
            <v>-0.12325200397870228</v>
          </cell>
          <cell r="BI27">
            <v>-0.12114244221227155</v>
          </cell>
          <cell r="BJ27">
            <v>-0.11794066865484221</v>
          </cell>
          <cell r="BK27">
            <v>-0.11369090083663014</v>
          </cell>
          <cell r="BL27">
            <v>-0.11131502552637729</v>
          </cell>
          <cell r="BM27">
            <v>-0.1125034425778022</v>
          </cell>
          <cell r="BN27">
            <v>-0.11353121218592066</v>
          </cell>
          <cell r="BO27">
            <v>-0.11477389140933703</v>
          </cell>
          <cell r="BP27">
            <v>-0.11842451094506812</v>
          </cell>
          <cell r="BQ27">
            <v>-0.11811481768813037</v>
          </cell>
          <cell r="BR27">
            <v>-0.11911835554841821</v>
          </cell>
          <cell r="BS27">
            <v>-0.12246331886753459</v>
          </cell>
          <cell r="BT27">
            <v>-0.1253034626687678</v>
          </cell>
          <cell r="BU27">
            <v>-0.12610512425775233</v>
          </cell>
          <cell r="BV27">
            <v>-0.12392324871245608</v>
          </cell>
          <cell r="BW27">
            <v>-0.12410512434061793</v>
          </cell>
          <cell r="BX27">
            <v>-0.12246189803768803</v>
          </cell>
          <cell r="BY27">
            <v>-0.11908596738473931</v>
          </cell>
          <cell r="BZ27">
            <v>-0.11393195297055458</v>
          </cell>
          <cell r="CA27">
            <v>-0.10646878528794967</v>
          </cell>
        </row>
        <row r="28">
          <cell r="A28" t="str">
            <v>% q/q growth</v>
          </cell>
          <cell r="Y28">
            <v>-6.2189392499253371E-3</v>
          </cell>
          <cell r="Z28">
            <v>-7.5148931518828066E-3</v>
          </cell>
          <cell r="AA28">
            <v>-6.63564525454996E-3</v>
          </cell>
          <cell r="AB28">
            <v>-5.5435445423803742E-3</v>
          </cell>
          <cell r="AC28">
            <v>-1.7364401583142897E-2</v>
          </cell>
          <cell r="AD28">
            <v>-8.7647142249326349E-3</v>
          </cell>
          <cell r="AE28">
            <v>-1.2247467521318556E-2</v>
          </cell>
          <cell r="AF28">
            <v>-1.1269482588794233E-2</v>
          </cell>
          <cell r="AG28">
            <v>-2.815787160479355E-2</v>
          </cell>
          <cell r="AH28">
            <v>-2.626025084418715E-2</v>
          </cell>
          <cell r="AI28">
            <v>-2.9042945165185574E-2</v>
          </cell>
          <cell r="AJ28">
            <v>-2.385280142861701E-2</v>
          </cell>
          <cell r="AK28">
            <v>-2.355362451406362E-2</v>
          </cell>
          <cell r="AL28">
            <v>-2.0876547340247575E-2</v>
          </cell>
          <cell r="AM28">
            <v>-1.4453632201189115E-2</v>
          </cell>
          <cell r="AN28">
            <v>-1.060915993481959E-2</v>
          </cell>
          <cell r="AO28">
            <v>-1.9553562042260886E-2</v>
          </cell>
          <cell r="AP28">
            <v>-9.2569427070302579E-3</v>
          </cell>
          <cell r="AQ28">
            <v>-6.9264069264068917E-3</v>
          </cell>
          <cell r="AR28">
            <v>-3.1967451322290064E-3</v>
          </cell>
          <cell r="AS28">
            <v>-1.0787172011661794E-2</v>
          </cell>
          <cell r="AT28">
            <v>-8.5838491010904461E-3</v>
          </cell>
          <cell r="AU28">
            <v>-8.4723718925346914E-3</v>
          </cell>
          <cell r="AV28">
            <v>-1.0006371097702638E-2</v>
          </cell>
          <cell r="AW28">
            <v>-1.6126589945487546E-2</v>
          </cell>
          <cell r="AX28">
            <v>-1.3505194305502122E-2</v>
          </cell>
          <cell r="AY28">
            <v>-1.2949022972814861E-2</v>
          </cell>
          <cell r="AZ28">
            <v>0.44861105622950181</v>
          </cell>
          <cell r="BA28">
            <v>-8.2924168030551471E-3</v>
          </cell>
          <cell r="BB28">
            <v>-1.6118384860820734E-2</v>
          </cell>
          <cell r="BC28">
            <v>-2.1274811294380802E-2</v>
          </cell>
          <cell r="BD28">
            <v>-2.3622497072181448E-2</v>
          </cell>
          <cell r="BE28">
            <v>-3.3058334796091549E-2</v>
          </cell>
          <cell r="BF28">
            <v>-3.6215660171850406E-2</v>
          </cell>
          <cell r="BG28">
            <v>-3.1925914299168134E-2</v>
          </cell>
          <cell r="BH28">
            <v>-2.8179518775536705E-2</v>
          </cell>
          <cell r="BI28">
            <v>-3.0731756148019596E-2</v>
          </cell>
          <cell r="BJ28">
            <v>-3.2704489121454183E-2</v>
          </cell>
          <cell r="BK28">
            <v>-2.7261726813296305E-2</v>
          </cell>
          <cell r="BL28">
            <v>-2.5574418264305621E-2</v>
          </cell>
          <cell r="BM28">
            <v>-3.2027935268276186E-2</v>
          </cell>
          <cell r="BN28">
            <v>-3.3824670287044167E-2</v>
          </cell>
          <cell r="BO28">
            <v>-2.862534125582139E-2</v>
          </cell>
          <cell r="BP28">
            <v>-2.9592891093201068E-2</v>
          </cell>
          <cell r="BQ28">
            <v>-3.1687891307125571E-2</v>
          </cell>
          <cell r="BR28">
            <v>-3.4924125797228922E-2</v>
          </cell>
          <cell r="BS28">
            <v>-3.2313932819834967E-2</v>
          </cell>
          <cell r="BT28">
            <v>-3.2733609645817618E-2</v>
          </cell>
          <cell r="BU28">
            <v>-3.2575351804061015E-2</v>
          </cell>
          <cell r="BV28">
            <v>-3.2514596335816437E-2</v>
          </cell>
          <cell r="BW28">
            <v>-3.2514826761003035E-2</v>
          </cell>
          <cell r="BX28">
            <v>-3.0918965424530875E-2</v>
          </cell>
          <cell r="BY28">
            <v>-2.8853623349239799E-2</v>
          </cell>
          <cell r="BZ28">
            <v>-2.6854073820134827E-2</v>
          </cell>
          <cell r="CA28">
            <v>-2.4365899483325459E-2</v>
          </cell>
        </row>
        <row r="29">
          <cell r="A29" t="str">
            <v>sequential lines added (lost)</v>
          </cell>
          <cell r="C29">
            <v>-1560</v>
          </cell>
          <cell r="D29">
            <v>-3159</v>
          </cell>
          <cell r="E29">
            <v>-2516</v>
          </cell>
          <cell r="F29">
            <v>-1315</v>
          </cell>
          <cell r="G29">
            <v>-845</v>
          </cell>
          <cell r="H29">
            <v>-1376</v>
          </cell>
          <cell r="I29">
            <v>9702</v>
          </cell>
          <cell r="J29">
            <v>-4171</v>
          </cell>
          <cell r="K29">
            <v>-3506</v>
          </cell>
          <cell r="L29">
            <v>-3137</v>
          </cell>
          <cell r="M29">
            <v>-2963</v>
          </cell>
          <cell r="N29">
            <v>-2635</v>
          </cell>
          <cell r="O29">
            <v>-1980</v>
          </cell>
          <cell r="P29">
            <v>-1750</v>
          </cell>
          <cell r="Q29">
            <v>-1400</v>
          </cell>
          <cell r="R29">
            <v>-1200</v>
          </cell>
          <cell r="S29">
            <v>-1000</v>
          </cell>
          <cell r="T29">
            <v>-1000</v>
          </cell>
          <cell r="X29">
            <v>36823</v>
          </cell>
          <cell r="Y29">
            <v>-229</v>
          </cell>
          <cell r="Z29">
            <v>-275</v>
          </cell>
          <cell r="AA29">
            <v>-241</v>
          </cell>
          <cell r="AB29">
            <v>-200</v>
          </cell>
          <cell r="AC29">
            <v>-623</v>
          </cell>
          <cell r="AD29">
            <v>-309</v>
          </cell>
          <cell r="AE29">
            <v>-428</v>
          </cell>
          <cell r="AF29">
            <v>-389</v>
          </cell>
          <cell r="AG29">
            <v>-961</v>
          </cell>
          <cell r="AH29">
            <v>-871</v>
          </cell>
          <cell r="AI29">
            <v>-938</v>
          </cell>
          <cell r="AJ29">
            <v>-748</v>
          </cell>
          <cell r="AK29">
            <v>-721</v>
          </cell>
          <cell r="AL29">
            <v>-624</v>
          </cell>
          <cell r="AM29">
            <v>-423</v>
          </cell>
          <cell r="AN29">
            <v>-306</v>
          </cell>
          <cell r="AO29">
            <v>-558</v>
          </cell>
          <cell r="AP29">
            <v>-259</v>
          </cell>
          <cell r="AQ29">
            <v>-192</v>
          </cell>
          <cell r="AR29">
            <v>-88</v>
          </cell>
          <cell r="AS29">
            <v>-296</v>
          </cell>
          <cell r="AT29">
            <v>-233</v>
          </cell>
          <cell r="AU29">
            <v>-228</v>
          </cell>
          <cell r="AV29">
            <v>-267</v>
          </cell>
          <cell r="AW29">
            <v>-426</v>
          </cell>
          <cell r="AX29">
            <v>-351</v>
          </cell>
          <cell r="AY29">
            <v>-332</v>
          </cell>
          <cell r="AZ29">
            <v>11353</v>
          </cell>
          <cell r="BA29">
            <v>-304</v>
          </cell>
          <cell r="BB29">
            <v>-586</v>
          </cell>
          <cell r="BC29">
            <v>-761</v>
          </cell>
          <cell r="BD29">
            <v>-827</v>
          </cell>
          <cell r="BE29">
            <v>-1130</v>
          </cell>
          <cell r="BF29">
            <v>-1197</v>
          </cell>
          <cell r="BG29">
            <v>-1017</v>
          </cell>
          <cell r="BH29">
            <v>-869</v>
          </cell>
          <cell r="BI29">
            <v>-921</v>
          </cell>
          <cell r="BJ29">
            <v>-950</v>
          </cell>
          <cell r="BK29">
            <v>-766</v>
          </cell>
          <cell r="BL29">
            <v>-699</v>
          </cell>
          <cell r="BM29">
            <v>-853</v>
          </cell>
          <cell r="BN29">
            <v>-872</v>
          </cell>
          <cell r="BO29">
            <v>-713</v>
          </cell>
          <cell r="BP29">
            <v>-716</v>
          </cell>
          <cell r="BQ29">
            <v>-744</v>
          </cell>
          <cell r="BR29">
            <v>-794</v>
          </cell>
          <cell r="BS29">
            <v>-709</v>
          </cell>
          <cell r="BT29">
            <v>-695</v>
          </cell>
          <cell r="BU29">
            <v>-669</v>
          </cell>
          <cell r="BV29">
            <v>-646</v>
          </cell>
          <cell r="BW29">
            <v>-625</v>
          </cell>
          <cell r="BX29">
            <v>-575</v>
          </cell>
          <cell r="BY29">
            <v>-520</v>
          </cell>
          <cell r="BZ29">
            <v>-470</v>
          </cell>
          <cell r="CA29">
            <v>-415</v>
          </cell>
        </row>
        <row r="30">
          <cell r="A30" t="str">
            <v>% total retail lines</v>
          </cell>
          <cell r="B30">
            <v>0.62283987915407857</v>
          </cell>
          <cell r="C30">
            <v>0.62339491791732138</v>
          </cell>
          <cell r="D30">
            <v>0.61719380424727899</v>
          </cell>
          <cell r="E30">
            <v>0.61228692126435558</v>
          </cell>
          <cell r="F30">
            <v>0.6106477373558119</v>
          </cell>
          <cell r="G30">
            <v>0.60450838241957405</v>
          </cell>
          <cell r="H30">
            <v>0.59625851141530994</v>
          </cell>
          <cell r="I30">
            <v>0.60539876876253718</v>
          </cell>
          <cell r="J30">
            <v>0.5855612942427465</v>
          </cell>
          <cell r="K30">
            <v>0.59964896884598506</v>
          </cell>
          <cell r="L30">
            <v>0.58821384289986145</v>
          </cell>
          <cell r="M30">
            <v>0.57625186592482014</v>
          </cell>
          <cell r="N30">
            <v>0.56498359460444769</v>
          </cell>
          <cell r="O30">
            <v>0.55277602208842025</v>
          </cell>
          <cell r="P30">
            <v>0.5365017502074988</v>
          </cell>
          <cell r="Q30">
            <v>0.51974065068889663</v>
          </cell>
          <cell r="R30">
            <v>0.50355075735807231</v>
          </cell>
          <cell r="S30">
            <v>0.48751676690753321</v>
          </cell>
          <cell r="T30">
            <v>0.46964914688257625</v>
          </cell>
          <cell r="X30">
            <v>0.6290014007037682</v>
          </cell>
          <cell r="Y30">
            <v>0.62635218403395865</v>
          </cell>
          <cell r="Z30">
            <v>0.62382342837512883</v>
          </cell>
          <cell r="AA30">
            <v>0.62283987915407857</v>
          </cell>
          <cell r="AB30">
            <v>0.62267654766656833</v>
          </cell>
          <cell r="AC30">
            <v>0.62120064137578634</v>
          </cell>
          <cell r="AD30">
            <v>0.6222245962644446</v>
          </cell>
          <cell r="AE30">
            <v>0.62339491791732138</v>
          </cell>
          <cell r="AF30">
            <v>0.62518776332661663</v>
          </cell>
          <cell r="AG30">
            <v>0.62287323943661976</v>
          </cell>
          <cell r="AH30">
            <v>0.6208812334192011</v>
          </cell>
          <cell r="AI30">
            <v>0.61719380424727899</v>
          </cell>
          <cell r="AJ30">
            <v>0.61523464978394127</v>
          </cell>
          <cell r="AK30">
            <v>0.61460325293524976</v>
          </cell>
          <cell r="AL30">
            <v>0.61251569694432817</v>
          </cell>
          <cell r="AM30">
            <v>0.61228692126435558</v>
          </cell>
          <cell r="AN30">
            <v>0.61292123971734791</v>
          </cell>
          <cell r="AO30">
            <v>0.61125554366111023</v>
          </cell>
          <cell r="AP30">
            <v>0.61129978388391482</v>
          </cell>
          <cell r="AQ30">
            <v>0.6106477373558119</v>
          </cell>
          <cell r="AR30">
            <v>0.61049680735087997</v>
          </cell>
          <cell r="AS30">
            <v>0.60783303849340531</v>
          </cell>
          <cell r="AT30">
            <v>0.60580343073251997</v>
          </cell>
          <cell r="AU30">
            <v>0.60450838241957405</v>
          </cell>
          <cell r="AV30">
            <v>0.60320142488525563</v>
          </cell>
          <cell r="AW30">
            <v>0.60061933814013679</v>
          </cell>
          <cell r="AX30">
            <v>0.59832909383678323</v>
          </cell>
          <cell r="AY30">
            <v>0.59625851141530994</v>
          </cell>
          <cell r="AZ30">
            <v>0.61122411550902001</v>
          </cell>
          <cell r="BA30">
            <v>0.61096360030921248</v>
          </cell>
          <cell r="BB30">
            <v>0.60852996716626118</v>
          </cell>
          <cell r="BC30">
            <v>0.60539876876253718</v>
          </cell>
          <cell r="BD30">
            <v>0.6014886765559837</v>
          </cell>
          <cell r="BE30">
            <v>0.59574621485219903</v>
          </cell>
          <cell r="BF30">
            <v>0.58975450809049501</v>
          </cell>
          <cell r="BG30">
            <v>0.5855612942427465</v>
          </cell>
          <cell r="BH30">
            <v>0.5838154793212943</v>
          </cell>
          <cell r="BI30">
            <v>0.60438600141483911</v>
          </cell>
          <cell r="BJ30">
            <v>0.60093675813247216</v>
          </cell>
          <cell r="BK30">
            <v>0.59964896884598506</v>
          </cell>
          <cell r="BL30">
            <v>0.59656392796344415</v>
          </cell>
          <cell r="BM30">
            <v>0.59377663127346436</v>
          </cell>
          <cell r="BN30">
            <v>0.59036287359863482</v>
          </cell>
          <cell r="BO30">
            <v>0.58821384289986145</v>
          </cell>
          <cell r="BP30">
            <v>0.58500062289772015</v>
          </cell>
          <cell r="BQ30">
            <v>0.58253049092958897</v>
          </cell>
          <cell r="BR30">
            <v>0.57904043069777267</v>
          </cell>
          <cell r="BS30">
            <v>0.57625186592482014</v>
          </cell>
          <cell r="BT30">
            <v>0.57377140781717095</v>
          </cell>
          <cell r="BU30">
            <v>0.57000229515721823</v>
          </cell>
          <cell r="BV30">
            <v>0.5680092195857096</v>
          </cell>
          <cell r="BW30">
            <v>0.56498359460444769</v>
          </cell>
          <cell r="BX30">
            <v>0.56071684141750411</v>
          </cell>
          <cell r="BY30">
            <v>0.55790379649995214</v>
          </cell>
          <cell r="BZ30">
            <v>0.55522232364063107</v>
          </cell>
          <cell r="CA30">
            <v>0.55277602208842025</v>
          </cell>
        </row>
        <row r="31">
          <cell r="A31" t="str">
            <v>Incremntal line loss growth (Y/Y)</v>
          </cell>
          <cell r="K31">
            <v>-0.15943418844401824</v>
          </cell>
          <cell r="L31">
            <v>-0.10524814603536792</v>
          </cell>
          <cell r="M31">
            <v>-5.5467006694293941E-2</v>
          </cell>
          <cell r="N31">
            <v>-0.11069861626729671</v>
          </cell>
          <cell r="O31">
            <v>-0.24857685009487662</v>
          </cell>
          <cell r="P31">
            <v>-0.11616161616161613</v>
          </cell>
          <cell r="Q31">
            <v>-0.19999999999999996</v>
          </cell>
          <cell r="R31">
            <v>-0.1428571428571429</v>
          </cell>
          <cell r="S31">
            <v>-0.16666666666666663</v>
          </cell>
          <cell r="T31">
            <v>0</v>
          </cell>
          <cell r="BH31">
            <v>5.0785973397823536E-2</v>
          </cell>
          <cell r="BI31">
            <v>-0.18495575221238936</v>
          </cell>
          <cell r="BJ31">
            <v>-0.20634920634920639</v>
          </cell>
          <cell r="BK31">
            <v>-0.24680432645034411</v>
          </cell>
          <cell r="BL31">
            <v>-0.19562715765247407</v>
          </cell>
          <cell r="BM31">
            <v>-7.3832790445168328E-2</v>
          </cell>
          <cell r="BN31">
            <v>-8.2105263157894792E-2</v>
          </cell>
          <cell r="BO31">
            <v>-6.9190600522193169E-2</v>
          </cell>
          <cell r="BP31">
            <v>2.4320457796852546E-2</v>
          </cell>
          <cell r="BQ31">
            <v>-0.12778429073856978</v>
          </cell>
          <cell r="BR31">
            <v>-8.9449541284403633E-2</v>
          </cell>
          <cell r="BS31">
            <v>-5.6100981767180924E-3</v>
          </cell>
          <cell r="BT31">
            <v>-2.9329608938547524E-2</v>
          </cell>
          <cell r="BU31">
            <v>-0.10080645161290325</v>
          </cell>
          <cell r="BV31">
            <v>-0.18639798488664983</v>
          </cell>
          <cell r="BW31">
            <v>-0.11847672778561358</v>
          </cell>
          <cell r="BX31">
            <v>-0.17266187050359716</v>
          </cell>
          <cell r="BY31">
            <v>-0.22272047832585951</v>
          </cell>
          <cell r="BZ31">
            <v>-0.27244582043343657</v>
          </cell>
          <cell r="CA31">
            <v>-0.33599999999999997</v>
          </cell>
        </row>
        <row r="32">
          <cell r="A32" t="str">
            <v>U-verse VoIP [Incl. in resi line count]</v>
          </cell>
          <cell r="J32">
            <v>224</v>
          </cell>
          <cell r="K32">
            <v>954</v>
          </cell>
          <cell r="L32">
            <v>1680</v>
          </cell>
          <cell r="M32">
            <v>2278</v>
          </cell>
          <cell r="N32">
            <v>2931.6120000000001</v>
          </cell>
          <cell r="O32">
            <v>3482.4437621250004</v>
          </cell>
          <cell r="P32">
            <v>3950.6507599312504</v>
          </cell>
          <cell r="Q32">
            <v>4348.626708066563</v>
          </cell>
          <cell r="R32">
            <v>4686.9062639815784</v>
          </cell>
          <cell r="S32">
            <v>4974.4438865093416</v>
          </cell>
          <cell r="T32">
            <v>5218.8508656579406</v>
          </cell>
          <cell r="BC32">
            <v>251</v>
          </cell>
          <cell r="BD32">
            <v>4</v>
          </cell>
          <cell r="BE32">
            <v>32</v>
          </cell>
          <cell r="BF32">
            <v>104</v>
          </cell>
          <cell r="BG32">
            <v>224</v>
          </cell>
          <cell r="BH32">
            <v>394</v>
          </cell>
          <cell r="BI32">
            <v>570</v>
          </cell>
          <cell r="BJ32">
            <v>735</v>
          </cell>
          <cell r="BK32">
            <v>954</v>
          </cell>
          <cell r="BL32">
            <v>1145</v>
          </cell>
          <cell r="BM32">
            <v>1328</v>
          </cell>
          <cell r="BN32">
            <v>1494</v>
          </cell>
          <cell r="BO32">
            <v>1680</v>
          </cell>
          <cell r="BP32">
            <v>1861</v>
          </cell>
          <cell r="BQ32">
            <v>2023</v>
          </cell>
          <cell r="BR32">
            <v>2142</v>
          </cell>
          <cell r="BS32">
            <v>2278</v>
          </cell>
          <cell r="BT32">
            <v>2442</v>
          </cell>
          <cell r="BU32">
            <v>2567</v>
          </cell>
          <cell r="BV32">
            <v>2733</v>
          </cell>
          <cell r="BW32">
            <v>2931.6120000000001</v>
          </cell>
          <cell r="BX32">
            <v>3088.8465000000001</v>
          </cell>
          <cell r="BY32">
            <v>3222.495825</v>
          </cell>
          <cell r="BZ32">
            <v>3342.7802175000002</v>
          </cell>
          <cell r="CA32">
            <v>3482.4437621250004</v>
          </cell>
        </row>
        <row r="33">
          <cell r="A33" t="str">
            <v>% y/y growth</v>
          </cell>
          <cell r="L33">
            <v>0.76100628930817615</v>
          </cell>
          <cell r="M33">
            <v>0.35595238095238102</v>
          </cell>
          <cell r="N33">
            <v>0.28692361720807735</v>
          </cell>
          <cell r="O33">
            <v>0.18789381477664868</v>
          </cell>
          <cell r="P33">
            <v>0.13444782738445382</v>
          </cell>
          <cell r="Q33">
            <v>0.10073680826756704</v>
          </cell>
          <cell r="R33">
            <v>7.7789973392638601E-2</v>
          </cell>
          <cell r="S33">
            <v>6.1349130179424005E-2</v>
          </cell>
          <cell r="T33">
            <v>4.9132523096989678E-2</v>
          </cell>
          <cell r="BK33">
            <v>3.2589285714285712</v>
          </cell>
          <cell r="BL33">
            <v>1.9060913705583755</v>
          </cell>
          <cell r="BM33">
            <v>1.3298245614035089</v>
          </cell>
          <cell r="BN33">
            <v>1.0326530612244897</v>
          </cell>
          <cell r="BO33">
            <v>0.76100628930817615</v>
          </cell>
          <cell r="BP33">
            <v>0.62532751091703065</v>
          </cell>
          <cell r="BQ33">
            <v>0.52334337349397586</v>
          </cell>
          <cell r="BR33">
            <v>0.43373493975903621</v>
          </cell>
          <cell r="BS33">
            <v>0.35595238095238102</v>
          </cell>
          <cell r="BT33">
            <v>0.31219774314884474</v>
          </cell>
          <cell r="BU33">
            <v>0.26890756302521002</v>
          </cell>
          <cell r="BV33">
            <v>0.27591036414565817</v>
          </cell>
          <cell r="BW33">
            <v>0.28692361720807735</v>
          </cell>
          <cell r="BX33">
            <v>0.2648839066339066</v>
          </cell>
          <cell r="BY33">
            <v>0.25535482080249317</v>
          </cell>
          <cell r="BZ33">
            <v>0.22311753293084524</v>
          </cell>
          <cell r="CA33">
            <v>0.18789381477664868</v>
          </cell>
        </row>
        <row r="34">
          <cell r="A34" t="str">
            <v>U-verse VoIP adds</v>
          </cell>
          <cell r="J34">
            <v>-27</v>
          </cell>
          <cell r="K34">
            <v>730</v>
          </cell>
          <cell r="L34">
            <v>726</v>
          </cell>
          <cell r="M34">
            <v>598</v>
          </cell>
          <cell r="N34">
            <v>653.61200000000008</v>
          </cell>
          <cell r="O34">
            <v>550.83176212500007</v>
          </cell>
          <cell r="P34">
            <v>468.20699780625</v>
          </cell>
          <cell r="Q34">
            <v>397.97594813531248</v>
          </cell>
          <cell r="R34">
            <v>338.27955591501564</v>
          </cell>
          <cell r="S34">
            <v>287.53762252776323</v>
          </cell>
          <cell r="T34">
            <v>244.40697914859874</v>
          </cell>
          <cell r="BD34">
            <v>-247</v>
          </cell>
          <cell r="BE34">
            <v>28</v>
          </cell>
          <cell r="BF34">
            <v>72</v>
          </cell>
          <cell r="BG34">
            <v>120</v>
          </cell>
          <cell r="BH34">
            <v>170</v>
          </cell>
          <cell r="BI34">
            <v>176</v>
          </cell>
          <cell r="BJ34">
            <v>165</v>
          </cell>
          <cell r="BK34">
            <v>219</v>
          </cell>
          <cell r="BL34">
            <v>191</v>
          </cell>
          <cell r="BM34">
            <v>183</v>
          </cell>
          <cell r="BN34">
            <v>166</v>
          </cell>
          <cell r="BO34">
            <v>186</v>
          </cell>
          <cell r="BP34">
            <v>181</v>
          </cell>
          <cell r="BQ34">
            <v>162</v>
          </cell>
          <cell r="BR34">
            <v>119</v>
          </cell>
          <cell r="BS34">
            <v>136</v>
          </cell>
          <cell r="BT34">
            <v>164</v>
          </cell>
          <cell r="BU34">
            <v>125</v>
          </cell>
          <cell r="BV34">
            <v>166</v>
          </cell>
          <cell r="BW34">
            <v>198.61200000000002</v>
          </cell>
          <cell r="BX34">
            <v>157.2345</v>
          </cell>
          <cell r="BY34">
            <v>133.649325</v>
          </cell>
          <cell r="BZ34">
            <v>120.28439250000001</v>
          </cell>
          <cell r="CA34">
            <v>139.66354462500001</v>
          </cell>
        </row>
        <row r="35">
          <cell r="A35" t="str">
            <v>U-verse VoIP attach rate</v>
          </cell>
          <cell r="J35">
            <v>-3.3169533169533166E-2</v>
          </cell>
          <cell r="K35">
            <v>0.7163886162904809</v>
          </cell>
          <cell r="L35">
            <v>0.64134275618374559</v>
          </cell>
          <cell r="M35">
            <v>0.3076131687242798</v>
          </cell>
          <cell r="N35">
            <v>0.25671709792462022</v>
          </cell>
          <cell r="O35">
            <v>0.24422252431245423</v>
          </cell>
          <cell r="P35">
            <v>0.24422252431245423</v>
          </cell>
          <cell r="Q35">
            <v>0.24422252431245423</v>
          </cell>
          <cell r="R35">
            <v>0.24422252431245423</v>
          </cell>
          <cell r="S35">
            <v>0.24422252431245423</v>
          </cell>
          <cell r="T35">
            <v>0.24422252431245423</v>
          </cell>
          <cell r="BD35">
            <v>-1.6689189189189189</v>
          </cell>
          <cell r="BE35">
            <v>0.1647058823529412</v>
          </cell>
          <cell r="BF35">
            <v>0.31034482758620691</v>
          </cell>
          <cell r="BG35">
            <v>0.45454545454545453</v>
          </cell>
          <cell r="BH35">
            <v>0.59859154929577463</v>
          </cell>
          <cell r="BI35">
            <v>0.70967741935483875</v>
          </cell>
          <cell r="BJ35">
            <v>0.69037656903765687</v>
          </cell>
          <cell r="BK35">
            <v>0.88306451612903225</v>
          </cell>
          <cell r="BL35">
            <v>0.82683982683982682</v>
          </cell>
          <cell r="BM35">
            <v>0.71764705882352942</v>
          </cell>
          <cell r="BN35">
            <v>0.55704697986577179</v>
          </cell>
          <cell r="BO35">
            <v>0.53448275862068972</v>
          </cell>
          <cell r="BP35">
            <v>0.43719806763285024</v>
          </cell>
          <cell r="BQ35">
            <v>0.36902050113895218</v>
          </cell>
          <cell r="BR35">
            <v>0.23611111111111113</v>
          </cell>
          <cell r="BS35">
            <v>0.23168654173764905</v>
          </cell>
          <cell r="BT35">
            <v>0.22841225626740946</v>
          </cell>
          <cell r="BU35">
            <v>0.2260397830018083</v>
          </cell>
          <cell r="BV35">
            <v>0.2707993474714519</v>
          </cell>
          <cell r="BW35">
            <v>0.3</v>
          </cell>
          <cell r="BX35">
            <v>0.25</v>
          </cell>
          <cell r="BY35">
            <v>0.25</v>
          </cell>
          <cell r="BZ35">
            <v>0.25</v>
          </cell>
          <cell r="CA35">
            <v>0.25</v>
          </cell>
        </row>
        <row r="36">
          <cell r="A36" t="str">
            <v>Total Switched Residential Access Lines</v>
          </cell>
          <cell r="C36">
            <v>36442</v>
          </cell>
          <cell r="D36">
            <v>35233</v>
          </cell>
          <cell r="E36">
            <v>34091</v>
          </cell>
          <cell r="F36">
            <v>32467</v>
          </cell>
          <cell r="G36">
            <v>29855</v>
          </cell>
          <cell r="H36" t="str">
            <v>NA</v>
          </cell>
          <cell r="I36" t="str">
            <v>NA</v>
          </cell>
          <cell r="J36" t="str">
            <v>NA</v>
          </cell>
          <cell r="K36" t="str">
            <v>NA</v>
          </cell>
          <cell r="L36" t="str">
            <v>NA</v>
          </cell>
          <cell r="M36" t="str">
            <v>NA</v>
          </cell>
          <cell r="N36" t="str">
            <v>NA</v>
          </cell>
          <cell r="O36" t="str">
            <v>NA</v>
          </cell>
          <cell r="P36" t="str">
            <v>NA</v>
          </cell>
          <cell r="Q36" t="str">
            <v>NA</v>
          </cell>
          <cell r="R36" t="str">
            <v>NA</v>
          </cell>
          <cell r="S36" t="str">
            <v>NA</v>
          </cell>
          <cell r="T36" t="str">
            <v>NA</v>
          </cell>
          <cell r="AC36">
            <v>36533</v>
          </cell>
          <cell r="AD36">
            <v>36450</v>
          </cell>
          <cell r="AE36">
            <v>36192</v>
          </cell>
          <cell r="AF36">
            <v>36053</v>
          </cell>
          <cell r="AG36">
            <v>35643</v>
          </cell>
          <cell r="AH36">
            <v>35433</v>
          </cell>
          <cell r="AI36">
            <v>35233</v>
          </cell>
          <cell r="AJ36">
            <v>35164</v>
          </cell>
          <cell r="AK36">
            <v>34725</v>
          </cell>
          <cell r="AL36">
            <v>34400</v>
          </cell>
          <cell r="AM36">
            <v>34091</v>
          </cell>
          <cell r="AN36">
            <v>33882</v>
          </cell>
          <cell r="AO36">
            <v>33409</v>
          </cell>
          <cell r="AP36">
            <v>32920</v>
          </cell>
          <cell r="AQ36">
            <v>32467</v>
          </cell>
          <cell r="AR36">
            <v>32071</v>
          </cell>
          <cell r="AS36">
            <v>31208</v>
          </cell>
          <cell r="AT36">
            <v>30465</v>
          </cell>
          <cell r="AU36">
            <v>29855</v>
          </cell>
          <cell r="AV36" t="str">
            <v>NA</v>
          </cell>
          <cell r="AW36" t="str">
            <v>NA</v>
          </cell>
          <cell r="AX36" t="str">
            <v>NA</v>
          </cell>
          <cell r="AY36" t="str">
            <v>NA</v>
          </cell>
          <cell r="AZ36" t="str">
            <v>NA</v>
          </cell>
          <cell r="BA36" t="str">
            <v>NA</v>
          </cell>
          <cell r="BB36" t="str">
            <v>NA</v>
          </cell>
          <cell r="BC36" t="str">
            <v>NA</v>
          </cell>
          <cell r="BD36" t="str">
            <v>NA</v>
          </cell>
          <cell r="BE36" t="str">
            <v>NA</v>
          </cell>
          <cell r="BF36" t="str">
            <v>NA</v>
          </cell>
          <cell r="BG36" t="str">
            <v>NA</v>
          </cell>
          <cell r="BH36" t="str">
            <v>NA</v>
          </cell>
          <cell r="BI36" t="str">
            <v>NA</v>
          </cell>
          <cell r="BJ36" t="str">
            <v>NA</v>
          </cell>
        </row>
        <row r="37">
          <cell r="A37" t="str">
            <v>% y/y growth</v>
          </cell>
          <cell r="D37">
            <v>-3.3176005707699852E-2</v>
          </cell>
          <cell r="E37">
            <v>-3.2412794823035274E-2</v>
          </cell>
          <cell r="F37">
            <v>-4.7637206300783164E-2</v>
          </cell>
          <cell r="G37">
            <v>-8.0450919395078091E-2</v>
          </cell>
          <cell r="AG37">
            <v>-2.4361536145402818E-2</v>
          </cell>
          <cell r="AH37">
            <v>-2.7901234567901279E-2</v>
          </cell>
          <cell r="AI37">
            <v>-2.6497568523430548E-2</v>
          </cell>
          <cell r="AJ37">
            <v>-2.4658142179568965E-2</v>
          </cell>
          <cell r="AK37">
            <v>-2.5755407793956686E-2</v>
          </cell>
          <cell r="AL37">
            <v>-2.9153613862783256E-2</v>
          </cell>
          <cell r="AM37">
            <v>-3.2412794823035274E-2</v>
          </cell>
          <cell r="AN37">
            <v>-3.6457740871345679E-2</v>
          </cell>
          <cell r="AO37">
            <v>-3.7897768178545732E-2</v>
          </cell>
          <cell r="AP37">
            <v>-4.3023255813953498E-2</v>
          </cell>
          <cell r="AQ37">
            <v>-4.7637206300783164E-2</v>
          </cell>
          <cell r="AR37">
            <v>-5.3450209550793937E-2</v>
          </cell>
          <cell r="AS37">
            <v>-6.5880451375377902E-2</v>
          </cell>
          <cell r="AT37">
            <v>-7.457472660996356E-2</v>
          </cell>
          <cell r="AU37">
            <v>-8.0450919395078091E-2</v>
          </cell>
        </row>
        <row r="38">
          <cell r="A38" t="str">
            <v>% q/q growth</v>
          </cell>
          <cell r="AF38">
            <v>-3.8406277630415042E-3</v>
          </cell>
          <cell r="AG38">
            <v>-1.1372146562005914E-2</v>
          </cell>
          <cell r="AH38">
            <v>-5.8917599528659492E-3</v>
          </cell>
          <cell r="AI38">
            <v>-5.6444557333559242E-3</v>
          </cell>
          <cell r="AJ38">
            <v>-1.9583912809014725E-3</v>
          </cell>
          <cell r="AK38">
            <v>-1.2484359003526291E-2</v>
          </cell>
          <cell r="AL38">
            <v>-9.3592512598992261E-3</v>
          </cell>
          <cell r="AM38">
            <v>-8.9825581395348575E-3</v>
          </cell>
          <cell r="AN38">
            <v>-6.1306503182658734E-3</v>
          </cell>
          <cell r="AO38">
            <v>-1.3960214863349307E-2</v>
          </cell>
          <cell r="AP38">
            <v>-1.4636774521835427E-2</v>
          </cell>
          <cell r="AQ38">
            <v>-1.3760631834750958E-2</v>
          </cell>
          <cell r="AR38">
            <v>-1.2197000030800487E-2</v>
          </cell>
          <cell r="AS38">
            <v>-2.6909045555174482E-2</v>
          </cell>
          <cell r="AT38">
            <v>-2.380799794924382E-2</v>
          </cell>
          <cell r="AU38">
            <v>-2.0022977186935798E-2</v>
          </cell>
        </row>
        <row r="39">
          <cell r="A39" t="str">
            <v>sequential lines added (lost)</v>
          </cell>
          <cell r="D39">
            <v>-1209</v>
          </cell>
          <cell r="E39">
            <v>-1142</v>
          </cell>
          <cell r="F39">
            <v>-1624</v>
          </cell>
          <cell r="G39">
            <v>-2612</v>
          </cell>
          <cell r="AF39">
            <v>-139</v>
          </cell>
          <cell r="AG39">
            <v>-410</v>
          </cell>
          <cell r="AH39">
            <v>-210</v>
          </cell>
          <cell r="AI39">
            <v>-200</v>
          </cell>
          <cell r="AJ39">
            <v>-69</v>
          </cell>
          <cell r="AK39">
            <v>-439</v>
          </cell>
          <cell r="AL39">
            <v>-325</v>
          </cell>
          <cell r="AM39">
            <v>-309</v>
          </cell>
          <cell r="AN39">
            <v>-209</v>
          </cell>
          <cell r="AO39">
            <v>-473</v>
          </cell>
          <cell r="AP39">
            <v>-489</v>
          </cell>
          <cell r="AQ39">
            <v>-453</v>
          </cell>
          <cell r="AR39">
            <v>-396</v>
          </cell>
          <cell r="AS39">
            <v>-863</v>
          </cell>
          <cell r="AT39">
            <v>-743</v>
          </cell>
          <cell r="AU39">
            <v>-610</v>
          </cell>
        </row>
        <row r="41">
          <cell r="A41" t="str">
            <v>Business:</v>
          </cell>
        </row>
        <row r="42">
          <cell r="A42" t="str">
            <v>ISDN lines</v>
          </cell>
          <cell r="B42">
            <v>3269</v>
          </cell>
          <cell r="C42">
            <v>3362</v>
          </cell>
          <cell r="D42">
            <v>3022</v>
          </cell>
          <cell r="E42">
            <v>2794</v>
          </cell>
          <cell r="F42">
            <v>2802</v>
          </cell>
          <cell r="G42">
            <v>2911</v>
          </cell>
          <cell r="H42">
            <v>2959</v>
          </cell>
          <cell r="I42">
            <v>4108</v>
          </cell>
          <cell r="J42">
            <v>3928.68</v>
          </cell>
          <cell r="K42">
            <v>3284.64</v>
          </cell>
          <cell r="L42">
            <v>3048.8399999999997</v>
          </cell>
          <cell r="M42">
            <v>2810.3399999999997</v>
          </cell>
          <cell r="N42">
            <v>2610.3399999999997</v>
          </cell>
          <cell r="O42">
            <v>2460.3399999999997</v>
          </cell>
          <cell r="P42">
            <v>2410.3399999999997</v>
          </cell>
          <cell r="Q42">
            <v>2360.3399999999997</v>
          </cell>
          <cell r="R42">
            <v>2310.3399999999997</v>
          </cell>
          <cell r="S42">
            <v>2260.3399999999997</v>
          </cell>
          <cell r="T42">
            <v>2210.3399999999997</v>
          </cell>
          <cell r="X42">
            <v>2789</v>
          </cell>
          <cell r="Y42">
            <v>2967</v>
          </cell>
          <cell r="Z42">
            <v>3124</v>
          </cell>
          <cell r="AA42">
            <v>3269</v>
          </cell>
          <cell r="AB42">
            <v>3385</v>
          </cell>
          <cell r="AC42">
            <v>3421</v>
          </cell>
          <cell r="AD42">
            <v>3401</v>
          </cell>
          <cell r="AE42">
            <v>3362</v>
          </cell>
          <cell r="AF42">
            <v>3265</v>
          </cell>
          <cell r="AG42">
            <v>3174</v>
          </cell>
          <cell r="AH42">
            <v>3058</v>
          </cell>
          <cell r="AI42">
            <v>3022</v>
          </cell>
          <cell r="AJ42">
            <v>2974</v>
          </cell>
          <cell r="AK42">
            <v>2814</v>
          </cell>
          <cell r="AL42">
            <v>2819</v>
          </cell>
          <cell r="AM42">
            <v>2794</v>
          </cell>
          <cell r="AN42">
            <v>2774</v>
          </cell>
          <cell r="AO42">
            <v>2747</v>
          </cell>
          <cell r="AP42">
            <v>2743</v>
          </cell>
          <cell r="AQ42">
            <v>2802</v>
          </cell>
          <cell r="AR42">
            <v>2816</v>
          </cell>
          <cell r="AS42">
            <v>2850</v>
          </cell>
          <cell r="AT42">
            <v>2886</v>
          </cell>
          <cell r="AU42">
            <v>2911</v>
          </cell>
          <cell r="AV42">
            <v>2918</v>
          </cell>
          <cell r="AW42">
            <v>2932</v>
          </cell>
          <cell r="AX42">
            <v>2958</v>
          </cell>
          <cell r="AY42">
            <v>2959</v>
          </cell>
          <cell r="AZ42">
            <v>4137</v>
          </cell>
          <cell r="BA42">
            <v>4118</v>
          </cell>
          <cell r="BB42">
            <v>4128</v>
          </cell>
          <cell r="BC42">
            <v>4108</v>
          </cell>
          <cell r="BD42">
            <v>4076.46</v>
          </cell>
          <cell r="BE42">
            <v>4037.04</v>
          </cell>
          <cell r="BF42">
            <v>3988.62</v>
          </cell>
          <cell r="BG42">
            <v>3928.68</v>
          </cell>
          <cell r="BH42">
            <v>3845.52</v>
          </cell>
          <cell r="BI42">
            <v>3422.52</v>
          </cell>
          <cell r="BJ42">
            <v>3358.62</v>
          </cell>
          <cell r="BK42">
            <v>3284.64</v>
          </cell>
          <cell r="BL42">
            <v>3241.98</v>
          </cell>
          <cell r="BM42">
            <v>3174.66</v>
          </cell>
          <cell r="BN42">
            <v>3110.94</v>
          </cell>
          <cell r="BO42">
            <v>3048.8399999999997</v>
          </cell>
          <cell r="BP42">
            <v>2998.08</v>
          </cell>
          <cell r="BQ42">
            <v>2932.74</v>
          </cell>
          <cell r="BR42">
            <v>2871.18</v>
          </cell>
          <cell r="BS42">
            <v>2810.3399999999997</v>
          </cell>
          <cell r="BT42">
            <v>2746.08</v>
          </cell>
          <cell r="BU42">
            <v>2697.8399999999997</v>
          </cell>
          <cell r="BV42">
            <v>2631.42</v>
          </cell>
          <cell r="BW42">
            <v>2585.42</v>
          </cell>
          <cell r="BX42">
            <v>2539.42</v>
          </cell>
          <cell r="BY42">
            <v>2493.42</v>
          </cell>
          <cell r="BZ42">
            <v>2447.42</v>
          </cell>
          <cell r="CA42">
            <v>2401.42</v>
          </cell>
        </row>
        <row r="43">
          <cell r="A43" t="str">
            <v>% y/y growth</v>
          </cell>
          <cell r="C43">
            <v>2.8449066992964234E-2</v>
          </cell>
          <cell r="D43">
            <v>-0.10113027959547893</v>
          </cell>
          <cell r="E43">
            <v>-7.544672402382524E-2</v>
          </cell>
          <cell r="F43">
            <v>2.8632784538296097E-3</v>
          </cell>
          <cell r="G43">
            <v>3.8900785153461737E-2</v>
          </cell>
          <cell r="H43">
            <v>1.648917897629687E-2</v>
          </cell>
          <cell r="I43">
            <v>0.38830686042581952</v>
          </cell>
          <cell r="J43">
            <v>-4.3651411879260027E-2</v>
          </cell>
          <cell r="K43">
            <v>-0.16393292403555393</v>
          </cell>
          <cell r="L43">
            <v>-7.178868917141612E-2</v>
          </cell>
          <cell r="M43">
            <v>-7.8226473019246678E-2</v>
          </cell>
          <cell r="N43">
            <v>-7.1165766419721499E-2</v>
          </cell>
          <cell r="O43">
            <v>-5.7463778664848308E-2</v>
          </cell>
          <cell r="P43">
            <v>-2.0322394465805527E-2</v>
          </cell>
          <cell r="Q43">
            <v>-2.0743961432826863E-2</v>
          </cell>
          <cell r="R43">
            <v>-2.11833888338121E-2</v>
          </cell>
          <cell r="S43">
            <v>-2.1641836266523495E-2</v>
          </cell>
          <cell r="T43">
            <v>-2.2120565932558844E-2</v>
          </cell>
          <cell r="AB43">
            <v>0.21369666547149513</v>
          </cell>
          <cell r="AC43">
            <v>0.1530165149983147</v>
          </cell>
          <cell r="AD43">
            <v>8.8668373879641438E-2</v>
          </cell>
          <cell r="AE43">
            <v>2.8449066992964234E-2</v>
          </cell>
          <cell r="AF43">
            <v>-3.5450516986706093E-2</v>
          </cell>
          <cell r="AG43">
            <v>-7.2201110786319744E-2</v>
          </cell>
          <cell r="AH43">
            <v>-0.10085269038518085</v>
          </cell>
          <cell r="AI43">
            <v>-0.10113027959547893</v>
          </cell>
          <cell r="AJ43">
            <v>-8.9127105666156226E-2</v>
          </cell>
          <cell r="AK43">
            <v>-0.11342155009451793</v>
          </cell>
          <cell r="AL43">
            <v>-7.8155657292347969E-2</v>
          </cell>
          <cell r="AM43">
            <v>-7.544672402382524E-2</v>
          </cell>
          <cell r="AN43">
            <v>-6.7249495628782796E-2</v>
          </cell>
          <cell r="AO43">
            <v>-2.3809523809523836E-2</v>
          </cell>
          <cell r="AP43">
            <v>-2.6959914863426748E-2</v>
          </cell>
          <cell r="AQ43">
            <v>2.8632784538296097E-3</v>
          </cell>
          <cell r="AR43">
            <v>1.5140591204037435E-2</v>
          </cell>
          <cell r="AS43">
            <v>3.7495449581361529E-2</v>
          </cell>
          <cell r="AT43">
            <v>5.2132701421800931E-2</v>
          </cell>
          <cell r="AU43">
            <v>3.8900785153461737E-2</v>
          </cell>
          <cell r="AV43">
            <v>3.6221590909090828E-2</v>
          </cell>
          <cell r="AW43">
            <v>2.8771929824561449E-2</v>
          </cell>
          <cell r="AX43">
            <v>2.4948024948024949E-2</v>
          </cell>
          <cell r="AY43">
            <v>1.648917897629687E-2</v>
          </cell>
          <cell r="AZ43">
            <v>0.4177518848526387</v>
          </cell>
          <cell r="BA43">
            <v>0.40450204638472043</v>
          </cell>
          <cell r="BB43">
            <v>0.39553752535496955</v>
          </cell>
          <cell r="BC43">
            <v>0.38830686042581952</v>
          </cell>
          <cell r="BD43">
            <v>-1.4633792603335749E-2</v>
          </cell>
          <cell r="BE43">
            <v>-1.9660029140359359E-2</v>
          </cell>
          <cell r="BF43">
            <v>-3.3764534883720998E-2</v>
          </cell>
          <cell r="BG43">
            <v>-4.3651411879260027E-2</v>
          </cell>
          <cell r="BH43">
            <v>-5.6652095200247277E-2</v>
          </cell>
          <cell r="BI43">
            <v>-0.15222043873729263</v>
          </cell>
          <cell r="BJ43">
            <v>-0.15794936594611675</v>
          </cell>
          <cell r="BK43">
            <v>-0.16393292403555393</v>
          </cell>
          <cell r="BL43">
            <v>-0.15694626474442985</v>
          </cell>
          <cell r="BM43">
            <v>-7.2420321868097215E-2</v>
          </cell>
          <cell r="BN43">
            <v>-7.374457366418341E-2</v>
          </cell>
          <cell r="BO43">
            <v>-7.178868917141612E-2</v>
          </cell>
          <cell r="BP43">
            <v>-7.5231802787185664E-2</v>
          </cell>
          <cell r="BQ43">
            <v>-7.6203435958496324E-2</v>
          </cell>
          <cell r="BR43">
            <v>-7.7069953133136693E-2</v>
          </cell>
          <cell r="BS43">
            <v>-7.8226473019246678E-2</v>
          </cell>
          <cell r="BT43">
            <v>-8.4053794428434192E-2</v>
          </cell>
          <cell r="BU43">
            <v>-8.0095746639661236E-2</v>
          </cell>
          <cell r="BV43">
            <v>-8.3505736317472157E-2</v>
          </cell>
          <cell r="BW43">
            <v>-8.0033020915618591E-2</v>
          </cell>
          <cell r="BX43">
            <v>-7.5256365437277761E-2</v>
          </cell>
          <cell r="BY43">
            <v>-7.5771728493906121E-2</v>
          </cell>
          <cell r="BZ43">
            <v>-6.9924223423094789E-2</v>
          </cell>
          <cell r="CA43">
            <v>-7.1168320814413155E-2</v>
          </cell>
        </row>
        <row r="44">
          <cell r="A44" t="str">
            <v>% q/q growth</v>
          </cell>
          <cell r="Y44">
            <v>6.382215847974182E-2</v>
          </cell>
          <cell r="Z44">
            <v>5.2915402763734409E-2</v>
          </cell>
          <cell r="AA44">
            <v>4.6414852752880931E-2</v>
          </cell>
          <cell r="AB44">
            <v>3.5484857754665144E-2</v>
          </cell>
          <cell r="AC44">
            <v>1.0635155096011761E-2</v>
          </cell>
          <cell r="AD44">
            <v>-5.8462437883659568E-3</v>
          </cell>
          <cell r="AE44">
            <v>-1.1467215524845642E-2</v>
          </cell>
          <cell r="AF44">
            <v>-2.8851873884592538E-2</v>
          </cell>
          <cell r="AG44">
            <v>-2.7871362940275701E-2</v>
          </cell>
          <cell r="AH44">
            <v>-3.6546943919344654E-2</v>
          </cell>
          <cell r="AI44">
            <v>-1.1772400261608862E-2</v>
          </cell>
          <cell r="AJ44">
            <v>-1.588352084712108E-2</v>
          </cell>
          <cell r="AK44">
            <v>-5.3799596503026237E-2</v>
          </cell>
          <cell r="AL44">
            <v>1.7768301350391535E-3</v>
          </cell>
          <cell r="AM44">
            <v>-8.8683930471799011E-3</v>
          </cell>
          <cell r="AN44">
            <v>-7.1581961345741352E-3</v>
          </cell>
          <cell r="AO44">
            <v>-9.7332372025955571E-3</v>
          </cell>
          <cell r="AP44">
            <v>-1.4561339643247573E-3</v>
          </cell>
          <cell r="AQ44">
            <v>2.1509296390813004E-2</v>
          </cell>
          <cell r="AR44">
            <v>4.9964311206280865E-3</v>
          </cell>
          <cell r="AS44">
            <v>1.2073863636363535E-2</v>
          </cell>
          <cell r="AT44">
            <v>1.2631578947368327E-2</v>
          </cell>
          <cell r="AU44">
            <v>8.6625086625087278E-3</v>
          </cell>
          <cell r="AV44">
            <v>2.4046719340433675E-3</v>
          </cell>
          <cell r="AW44">
            <v>4.7978067169294203E-3</v>
          </cell>
          <cell r="AX44">
            <v>8.8676671214187319E-3</v>
          </cell>
          <cell r="AY44">
            <v>3.3806626098709103E-4</v>
          </cell>
          <cell r="AZ44">
            <v>0.39810746873943903</v>
          </cell>
          <cell r="BA44">
            <v>-4.5927000241721139E-3</v>
          </cell>
          <cell r="BB44">
            <v>2.4283632831472168E-3</v>
          </cell>
          <cell r="BC44">
            <v>-4.8449612403100861E-3</v>
          </cell>
          <cell r="BD44">
            <v>-7.6777020447906796E-3</v>
          </cell>
          <cell r="BE44">
            <v>-9.6701549874155246E-3</v>
          </cell>
          <cell r="BF44">
            <v>-1.1993936151239559E-2</v>
          </cell>
          <cell r="BG44">
            <v>-1.502775396001621E-2</v>
          </cell>
          <cell r="BH44">
            <v>-2.1167415009621493E-2</v>
          </cell>
          <cell r="BI44">
            <v>-0.10999812769144357</v>
          </cell>
          <cell r="BJ44">
            <v>-1.8670453350163041E-2</v>
          </cell>
          <cell r="BK44">
            <v>-2.2026903906961826E-2</v>
          </cell>
          <cell r="BL44">
            <v>-1.298772468215692E-2</v>
          </cell>
          <cell r="BM44">
            <v>-2.0765088001776788E-2</v>
          </cell>
          <cell r="BN44">
            <v>-2.0071440721211031E-2</v>
          </cell>
          <cell r="BO44">
            <v>-1.996181218538462E-2</v>
          </cell>
          <cell r="BP44">
            <v>-1.6648955012398048E-2</v>
          </cell>
          <cell r="BQ44">
            <v>-2.1793948126801244E-2</v>
          </cell>
          <cell r="BR44">
            <v>-2.0990609464187071E-2</v>
          </cell>
          <cell r="BS44">
            <v>-2.1189894050529845E-2</v>
          </cell>
          <cell r="BT44">
            <v>-2.2865560750656377E-2</v>
          </cell>
          <cell r="BU44">
            <v>-1.7566858940744723E-2</v>
          </cell>
          <cell r="BV44">
            <v>-2.4619695756605164E-2</v>
          </cell>
          <cell r="BW44">
            <v>-1.7481055855773642E-2</v>
          </cell>
          <cell r="BX44">
            <v>-1.7792080203603233E-2</v>
          </cell>
          <cell r="BY44">
            <v>-1.8114372573264759E-2</v>
          </cell>
          <cell r="BZ44">
            <v>-1.8448556600973776E-2</v>
          </cell>
          <cell r="CA44">
            <v>-1.8795302808672032E-2</v>
          </cell>
        </row>
        <row r="45">
          <cell r="A45" t="str">
            <v>sequential lines added (lost)</v>
          </cell>
          <cell r="C45">
            <v>93</v>
          </cell>
          <cell r="D45">
            <v>-340</v>
          </cell>
          <cell r="E45">
            <v>-228</v>
          </cell>
          <cell r="F45">
            <v>8</v>
          </cell>
          <cell r="G45">
            <v>109</v>
          </cell>
          <cell r="H45">
            <v>48</v>
          </cell>
          <cell r="I45">
            <v>1149</v>
          </cell>
          <cell r="J45">
            <v>-179.32000000000016</v>
          </cell>
          <cell r="K45">
            <v>-644.04</v>
          </cell>
          <cell r="L45">
            <v>-235.80000000000018</v>
          </cell>
          <cell r="M45">
            <v>-238.5</v>
          </cell>
          <cell r="N45">
            <v>-200</v>
          </cell>
          <cell r="O45">
            <v>-150</v>
          </cell>
          <cell r="P45">
            <v>-50</v>
          </cell>
          <cell r="Q45">
            <v>-50</v>
          </cell>
          <cell r="R45">
            <v>-50</v>
          </cell>
          <cell r="S45">
            <v>-50</v>
          </cell>
          <cell r="T45">
            <v>-50</v>
          </cell>
          <cell r="Y45">
            <v>178</v>
          </cell>
          <cell r="Z45">
            <v>157</v>
          </cell>
          <cell r="AA45">
            <v>145</v>
          </cell>
          <cell r="AB45">
            <v>116</v>
          </cell>
          <cell r="AC45">
            <v>36</v>
          </cell>
          <cell r="AD45">
            <v>-20</v>
          </cell>
          <cell r="AE45">
            <v>-39</v>
          </cell>
          <cell r="AF45">
            <v>-97</v>
          </cell>
          <cell r="AG45">
            <v>-91</v>
          </cell>
          <cell r="AH45">
            <v>-116</v>
          </cell>
          <cell r="AI45">
            <v>-36</v>
          </cell>
          <cell r="AJ45">
            <v>-48</v>
          </cell>
          <cell r="AK45">
            <v>-160</v>
          </cell>
          <cell r="AL45">
            <v>5</v>
          </cell>
          <cell r="AM45">
            <v>-25</v>
          </cell>
          <cell r="AN45">
            <v>-20</v>
          </cell>
          <cell r="AO45">
            <v>-27</v>
          </cell>
          <cell r="AP45">
            <v>-4</v>
          </cell>
          <cell r="AQ45">
            <v>59</v>
          </cell>
          <cell r="AR45">
            <v>14</v>
          </cell>
          <cell r="AS45">
            <v>34</v>
          </cell>
          <cell r="AT45">
            <v>36</v>
          </cell>
          <cell r="AU45">
            <v>25</v>
          </cell>
          <cell r="AV45">
            <v>7</v>
          </cell>
          <cell r="AW45">
            <v>14</v>
          </cell>
          <cell r="AX45">
            <v>26</v>
          </cell>
          <cell r="AY45">
            <v>1</v>
          </cell>
          <cell r="AZ45">
            <v>1178</v>
          </cell>
          <cell r="BA45">
            <v>-19</v>
          </cell>
          <cell r="BB45">
            <v>10</v>
          </cell>
          <cell r="BC45">
            <v>-20</v>
          </cell>
          <cell r="BD45">
            <v>-31.539999999999964</v>
          </cell>
          <cell r="BE45">
            <v>-39.420000000000073</v>
          </cell>
          <cell r="BF45">
            <v>-48.420000000000073</v>
          </cell>
          <cell r="BG45">
            <v>-59.940000000000055</v>
          </cell>
          <cell r="BH45">
            <v>-83.159999999999854</v>
          </cell>
          <cell r="BI45">
            <v>-423</v>
          </cell>
          <cell r="BJ45">
            <v>-63.900000000000091</v>
          </cell>
          <cell r="BK45">
            <v>-73.980000000000018</v>
          </cell>
          <cell r="BL45">
            <v>-42.659999999999854</v>
          </cell>
          <cell r="BM45">
            <v>-67.320000000000164</v>
          </cell>
          <cell r="BN45">
            <v>-63.7199999999998</v>
          </cell>
          <cell r="BO45">
            <v>-62.100000000000364</v>
          </cell>
          <cell r="BP45">
            <v>-50.759999999999764</v>
          </cell>
          <cell r="BQ45">
            <v>-65.340000000000146</v>
          </cell>
          <cell r="BR45">
            <v>-61.559999999999945</v>
          </cell>
          <cell r="BS45">
            <v>-60.840000000000146</v>
          </cell>
          <cell r="BT45">
            <v>-64.259999999999764</v>
          </cell>
          <cell r="BU45">
            <v>-48.240000000000236</v>
          </cell>
          <cell r="BV45">
            <v>-66.419999999999618</v>
          </cell>
          <cell r="BW45">
            <v>-46</v>
          </cell>
          <cell r="BX45">
            <v>-46</v>
          </cell>
          <cell r="BY45">
            <v>-46</v>
          </cell>
          <cell r="BZ45">
            <v>-46</v>
          </cell>
          <cell r="CA45">
            <v>-46</v>
          </cell>
        </row>
        <row r="46">
          <cell r="A46" t="str">
            <v>Voice business lines</v>
          </cell>
          <cell r="B46">
            <v>18578</v>
          </cell>
          <cell r="C46">
            <v>17491</v>
          </cell>
          <cell r="D46">
            <v>16428</v>
          </cell>
          <cell r="E46">
            <v>15470</v>
          </cell>
          <cell r="F46">
            <v>14750</v>
          </cell>
          <cell r="G46">
            <v>14546</v>
          </cell>
          <cell r="H46">
            <v>14177</v>
          </cell>
          <cell r="I46">
            <v>18711</v>
          </cell>
          <cell r="J46">
            <v>17897.32</v>
          </cell>
          <cell r="K46">
            <v>14963.36</v>
          </cell>
          <cell r="L46">
            <v>13889.16</v>
          </cell>
          <cell r="M46">
            <v>12802.66</v>
          </cell>
          <cell r="N46">
            <v>12202.66</v>
          </cell>
          <cell r="O46">
            <v>11802.66</v>
          </cell>
          <cell r="P46">
            <v>11452.66</v>
          </cell>
          <cell r="Q46">
            <v>11202.66</v>
          </cell>
          <cell r="R46">
            <v>10952.66</v>
          </cell>
          <cell r="S46">
            <v>10702.66</v>
          </cell>
          <cell r="T46">
            <v>10453.66</v>
          </cell>
          <cell r="X46">
            <v>18930</v>
          </cell>
          <cell r="Y46">
            <v>18863</v>
          </cell>
          <cell r="Z46">
            <v>18777</v>
          </cell>
          <cell r="AA46">
            <v>18578</v>
          </cell>
          <cell r="AB46">
            <v>18356</v>
          </cell>
          <cell r="AC46">
            <v>18077</v>
          </cell>
          <cell r="AD46">
            <v>17816</v>
          </cell>
          <cell r="AE46">
            <v>17491</v>
          </cell>
          <cell r="AF46">
            <v>17196</v>
          </cell>
          <cell r="AG46">
            <v>16908</v>
          </cell>
          <cell r="AH46">
            <v>16663</v>
          </cell>
          <cell r="AI46">
            <v>16428</v>
          </cell>
          <cell r="AJ46">
            <v>16170</v>
          </cell>
          <cell r="AK46">
            <v>15929</v>
          </cell>
          <cell r="AL46">
            <v>15695</v>
          </cell>
          <cell r="AM46">
            <v>15470</v>
          </cell>
          <cell r="AN46">
            <v>15248</v>
          </cell>
          <cell r="AO46">
            <v>15047</v>
          </cell>
          <cell r="AP46">
            <v>14883</v>
          </cell>
          <cell r="AQ46">
            <v>14750</v>
          </cell>
          <cell r="AR46">
            <v>14691</v>
          </cell>
          <cell r="AS46">
            <v>14663</v>
          </cell>
          <cell r="AT46">
            <v>14625</v>
          </cell>
          <cell r="AU46">
            <v>14546</v>
          </cell>
          <cell r="AV46">
            <v>14459</v>
          </cell>
          <cell r="AW46">
            <v>14350</v>
          </cell>
          <cell r="AX46">
            <v>14254</v>
          </cell>
          <cell r="AY46">
            <v>14177</v>
          </cell>
          <cell r="AZ46">
            <v>19181</v>
          </cell>
          <cell r="BA46">
            <v>19032</v>
          </cell>
          <cell r="BB46">
            <v>18883</v>
          </cell>
          <cell r="BC46">
            <v>18711</v>
          </cell>
          <cell r="BD46">
            <v>18570.54</v>
          </cell>
          <cell r="BE46">
            <v>18390.96</v>
          </cell>
          <cell r="BF46">
            <v>18170.38</v>
          </cell>
          <cell r="BG46">
            <v>17897.32</v>
          </cell>
          <cell r="BH46">
            <v>17518.48</v>
          </cell>
          <cell r="BI46">
            <v>15591.48</v>
          </cell>
          <cell r="BJ46">
            <v>15300.380000000001</v>
          </cell>
          <cell r="BK46">
            <v>14963.36</v>
          </cell>
          <cell r="BL46">
            <v>14769.02</v>
          </cell>
          <cell r="BM46">
            <v>14462.34</v>
          </cell>
          <cell r="BN46">
            <v>14172.06</v>
          </cell>
          <cell r="BO46">
            <v>13889.16</v>
          </cell>
          <cell r="BP46">
            <v>13657.92</v>
          </cell>
          <cell r="BQ46">
            <v>13360.26</v>
          </cell>
          <cell r="BR46">
            <v>13079.82</v>
          </cell>
          <cell r="BS46">
            <v>12802.66</v>
          </cell>
          <cell r="BT46">
            <v>12509.92</v>
          </cell>
          <cell r="BU46">
            <v>12290.16</v>
          </cell>
          <cell r="BV46">
            <v>11987.58</v>
          </cell>
          <cell r="BW46">
            <v>11733.58</v>
          </cell>
          <cell r="BX46">
            <v>11579.58</v>
          </cell>
          <cell r="BY46">
            <v>11375.58</v>
          </cell>
          <cell r="BZ46">
            <v>11196.58</v>
          </cell>
          <cell r="CA46">
            <v>11042.58</v>
          </cell>
        </row>
        <row r="47">
          <cell r="A47" t="str">
            <v>% y/y growth</v>
          </cell>
          <cell r="C47">
            <v>-5.851006566907091E-2</v>
          </cell>
          <cell r="D47">
            <v>-6.0774112400663216E-2</v>
          </cell>
          <cell r="E47">
            <v>-5.8315071828585308E-2</v>
          </cell>
          <cell r="F47">
            <v>-4.6541693600517076E-2</v>
          </cell>
          <cell r="G47">
            <v>-1.3830508474576231E-2</v>
          </cell>
          <cell r="H47">
            <v>-2.5367798707548461E-2</v>
          </cell>
          <cell r="I47">
            <v>0.31981378288777607</v>
          </cell>
          <cell r="J47">
            <v>-4.3486719042274635E-2</v>
          </cell>
          <cell r="K47">
            <v>-0.16393292403555393</v>
          </cell>
          <cell r="L47">
            <v>-7.178868917141612E-2</v>
          </cell>
          <cell r="M47">
            <v>-7.8226473019246678E-2</v>
          </cell>
          <cell r="N47">
            <v>-4.6865260812987253E-2</v>
          </cell>
          <cell r="O47">
            <v>-3.27797381882311E-2</v>
          </cell>
          <cell r="P47">
            <v>-2.9654332159021801E-2</v>
          </cell>
          <cell r="Q47">
            <v>-2.1828989946440336E-2</v>
          </cell>
          <cell r="R47">
            <v>-2.2316128490912024E-2</v>
          </cell>
          <cell r="S47">
            <v>-2.2825505402340629E-2</v>
          </cell>
          <cell r="T47">
            <v>-2.3265244341126423E-2</v>
          </cell>
          <cell r="AB47">
            <v>-3.0322239830956166E-2</v>
          </cell>
          <cell r="AC47">
            <v>-4.1668875576525433E-2</v>
          </cell>
          <cell r="AD47">
            <v>-5.1179634659423767E-2</v>
          </cell>
          <cell r="AE47">
            <v>-5.851006566907091E-2</v>
          </cell>
          <cell r="AF47">
            <v>-6.3194595772499418E-2</v>
          </cell>
          <cell r="AG47">
            <v>-6.466780992421306E-2</v>
          </cell>
          <cell r="AH47">
            <v>-6.4717108217332786E-2</v>
          </cell>
          <cell r="AI47">
            <v>-6.0774112400663216E-2</v>
          </cell>
          <cell r="AJ47">
            <v>-5.9665038381018887E-2</v>
          </cell>
          <cell r="AK47">
            <v>-5.7901585048497739E-2</v>
          </cell>
          <cell r="AL47">
            <v>-5.8092780411690526E-2</v>
          </cell>
          <cell r="AM47">
            <v>-5.8315071828585308E-2</v>
          </cell>
          <cell r="AN47">
            <v>-5.7019171304885541E-2</v>
          </cell>
          <cell r="AO47">
            <v>-5.5370707514596051E-2</v>
          </cell>
          <cell r="AP47">
            <v>-5.1736221726664589E-2</v>
          </cell>
          <cell r="AQ47">
            <v>-4.6541693600517076E-2</v>
          </cell>
          <cell r="AR47">
            <v>-3.6529380902413422E-2</v>
          </cell>
          <cell r="AS47">
            <v>-2.5520037216720914E-2</v>
          </cell>
          <cell r="AT47">
            <v>-1.7335214674460753E-2</v>
          </cell>
          <cell r="AU47">
            <v>-1.3830508474576231E-2</v>
          </cell>
          <cell r="AV47">
            <v>-1.5791981485263062E-2</v>
          </cell>
          <cell r="AW47">
            <v>-2.1346245652322127E-2</v>
          </cell>
          <cell r="AX47">
            <v>-2.5367521367521406E-2</v>
          </cell>
          <cell r="AY47">
            <v>-2.5367798707548461E-2</v>
          </cell>
          <cell r="AZ47">
            <v>0.3265786015630403</v>
          </cell>
          <cell r="BA47">
            <v>0.32627177700348442</v>
          </cell>
          <cell r="BB47">
            <v>0.3247509471025678</v>
          </cell>
          <cell r="BC47">
            <v>0.31981378288777607</v>
          </cell>
          <cell r="BD47">
            <v>-3.1826286429278983E-2</v>
          </cell>
          <cell r="BE47">
            <v>-3.3682219419924331E-2</v>
          </cell>
          <cell r="BF47">
            <v>-3.7738706773288055E-2</v>
          </cell>
          <cell r="BG47">
            <v>-4.3486719042274635E-2</v>
          </cell>
          <cell r="BH47">
            <v>-5.6652095200247388E-2</v>
          </cell>
          <cell r="BI47">
            <v>-0.15222043873729263</v>
          </cell>
          <cell r="BJ47">
            <v>-0.15794936594611664</v>
          </cell>
          <cell r="BK47">
            <v>-0.16393292403555393</v>
          </cell>
          <cell r="BL47">
            <v>-0.15694626474442985</v>
          </cell>
          <cell r="BM47">
            <v>-7.2420321868097104E-2</v>
          </cell>
          <cell r="BN47">
            <v>-7.3744573664183632E-2</v>
          </cell>
          <cell r="BO47">
            <v>-7.178868917141612E-2</v>
          </cell>
          <cell r="BP47">
            <v>-7.5231802787185664E-2</v>
          </cell>
          <cell r="BQ47">
            <v>-7.6203435958496324E-2</v>
          </cell>
          <cell r="BR47">
            <v>-7.7069953133136582E-2</v>
          </cell>
          <cell r="BS47">
            <v>-7.8226473019246678E-2</v>
          </cell>
          <cell r="BT47">
            <v>-8.4053794428434192E-2</v>
          </cell>
          <cell r="BU47">
            <v>-8.0095746639661236E-2</v>
          </cell>
          <cell r="BV47">
            <v>-8.3505736317472268E-2</v>
          </cell>
          <cell r="BW47">
            <v>-8.3504521716580737E-2</v>
          </cell>
          <cell r="BX47">
            <v>-7.4368181411232026E-2</v>
          </cell>
          <cell r="BY47">
            <v>-7.4415630065027605E-2</v>
          </cell>
          <cell r="BZ47">
            <v>-6.5984961101406614E-2</v>
          </cell>
          <cell r="CA47">
            <v>-5.8890807409162416E-2</v>
          </cell>
        </row>
        <row r="48">
          <cell r="A48" t="str">
            <v>% q/q growth</v>
          </cell>
          <cell r="Y48">
            <v>-3.5393555203381277E-3</v>
          </cell>
          <cell r="Z48">
            <v>-4.5591899485766252E-3</v>
          </cell>
          <cell r="AA48">
            <v>-1.0598072109495704E-2</v>
          </cell>
          <cell r="AB48">
            <v>-1.1949617827537895E-2</v>
          </cell>
          <cell r="AC48">
            <v>-1.5199389845282241E-2</v>
          </cell>
          <cell r="AD48">
            <v>-1.4438236433036433E-2</v>
          </cell>
          <cell r="AE48">
            <v>-1.8242029636281964E-2</v>
          </cell>
          <cell r="AF48">
            <v>-1.6865816705734393E-2</v>
          </cell>
          <cell r="AG48">
            <v>-1.6748080949057886E-2</v>
          </cell>
          <cell r="AH48">
            <v>-1.4490182162290033E-2</v>
          </cell>
          <cell r="AI48">
            <v>-1.4103102682590185E-2</v>
          </cell>
          <cell r="AJ48">
            <v>-1.5704894083272469E-2</v>
          </cell>
          <cell r="AK48">
            <v>-1.4904143475572007E-2</v>
          </cell>
          <cell r="AL48">
            <v>-1.469018770795405E-2</v>
          </cell>
          <cell r="AM48">
            <v>-1.4335775724753086E-2</v>
          </cell>
          <cell r="AN48">
            <v>-1.4350355526826064E-2</v>
          </cell>
          <cell r="AO48">
            <v>-1.3182056663168962E-2</v>
          </cell>
          <cell r="AP48">
            <v>-1.0899182561307952E-2</v>
          </cell>
          <cell r="AQ48">
            <v>-8.9363703554390383E-3</v>
          </cell>
          <cell r="AR48">
            <v>-4.0000000000000036E-3</v>
          </cell>
          <cell r="AS48">
            <v>-1.9059287999455554E-3</v>
          </cell>
          <cell r="AT48">
            <v>-2.5915569801541194E-3</v>
          </cell>
          <cell r="AU48">
            <v>-5.4017094017093648E-3</v>
          </cell>
          <cell r="AV48">
            <v>-5.9810257115358034E-3</v>
          </cell>
          <cell r="AW48">
            <v>-7.5385572999515649E-3</v>
          </cell>
          <cell r="AX48">
            <v>-6.6898954703832336E-3</v>
          </cell>
          <cell r="AY48">
            <v>-5.4019924231795136E-3</v>
          </cell>
          <cell r="AZ48">
            <v>0.35296607180644712</v>
          </cell>
          <cell r="BA48">
            <v>-7.7681038527709356E-3</v>
          </cell>
          <cell r="BB48">
            <v>-7.8289197141656608E-3</v>
          </cell>
          <cell r="BC48">
            <v>-9.1087221310173216E-3</v>
          </cell>
          <cell r="BD48">
            <v>-7.5068141734807581E-3</v>
          </cell>
          <cell r="BE48">
            <v>-9.6701549874156356E-3</v>
          </cell>
          <cell r="BF48">
            <v>-1.1993936151239448E-2</v>
          </cell>
          <cell r="BG48">
            <v>-1.5027753960016321E-2</v>
          </cell>
          <cell r="BH48">
            <v>-2.1167415009621604E-2</v>
          </cell>
          <cell r="BI48">
            <v>-0.10999812769144357</v>
          </cell>
          <cell r="BJ48">
            <v>-1.867045335016293E-2</v>
          </cell>
          <cell r="BK48">
            <v>-2.2026903906961826E-2</v>
          </cell>
          <cell r="BL48">
            <v>-1.298772468215692E-2</v>
          </cell>
          <cell r="BM48">
            <v>-2.0765088001776677E-2</v>
          </cell>
          <cell r="BN48">
            <v>-2.0071440721211142E-2</v>
          </cell>
          <cell r="BO48">
            <v>-1.9961812185384509E-2</v>
          </cell>
          <cell r="BP48">
            <v>-1.6648955012398159E-2</v>
          </cell>
          <cell r="BQ48">
            <v>-2.1793948126801133E-2</v>
          </cell>
          <cell r="BR48">
            <v>-2.0990609464187071E-2</v>
          </cell>
          <cell r="BS48">
            <v>-2.1189894050529734E-2</v>
          </cell>
          <cell r="BT48">
            <v>-2.2865560750656488E-2</v>
          </cell>
          <cell r="BU48">
            <v>-1.7566858940744612E-2</v>
          </cell>
          <cell r="BV48">
            <v>-2.4619695756605275E-2</v>
          </cell>
          <cell r="BW48">
            <v>-2.1188596864421316E-2</v>
          </cell>
          <cell r="BX48">
            <v>-1.312472408250509E-2</v>
          </cell>
          <cell r="BY48">
            <v>-1.7617219277383134E-2</v>
          </cell>
          <cell r="BZ48">
            <v>-1.5735461400649409E-2</v>
          </cell>
          <cell r="CA48">
            <v>-1.3754199943196932E-2</v>
          </cell>
        </row>
        <row r="49">
          <cell r="A49" t="str">
            <v>sequential lines added (lost)</v>
          </cell>
          <cell r="C49">
            <v>-1087</v>
          </cell>
          <cell r="D49">
            <v>-1063</v>
          </cell>
          <cell r="E49">
            <v>-958</v>
          </cell>
          <cell r="F49">
            <v>-720</v>
          </cell>
          <cell r="G49">
            <v>-204</v>
          </cell>
          <cell r="H49">
            <v>-369</v>
          </cell>
          <cell r="I49">
            <v>4534</v>
          </cell>
          <cell r="J49">
            <v>-813.68000000000029</v>
          </cell>
          <cell r="K49">
            <v>-2933.9599999999991</v>
          </cell>
          <cell r="L49">
            <v>-1074.2000000000007</v>
          </cell>
          <cell r="M49">
            <v>-1086.5</v>
          </cell>
          <cell r="N49">
            <v>-600</v>
          </cell>
          <cell r="O49">
            <v>-400</v>
          </cell>
          <cell r="P49">
            <v>-350</v>
          </cell>
          <cell r="Q49">
            <v>-250</v>
          </cell>
          <cell r="R49">
            <v>-250</v>
          </cell>
          <cell r="S49">
            <v>-250</v>
          </cell>
          <cell r="T49">
            <v>-249</v>
          </cell>
          <cell r="Y49">
            <v>-67</v>
          </cell>
          <cell r="Z49">
            <v>-86</v>
          </cell>
          <cell r="AA49">
            <v>-199</v>
          </cell>
          <cell r="AB49">
            <v>-222</v>
          </cell>
          <cell r="AC49">
            <v>-279</v>
          </cell>
          <cell r="AD49">
            <v>-261</v>
          </cell>
          <cell r="AE49">
            <v>-325</v>
          </cell>
          <cell r="AF49">
            <v>-295</v>
          </cell>
          <cell r="AG49">
            <v>-288</v>
          </cell>
          <cell r="AH49">
            <v>-245</v>
          </cell>
          <cell r="AI49">
            <v>-235</v>
          </cell>
          <cell r="AJ49">
            <v>-258</v>
          </cell>
          <cell r="AK49">
            <v>-241</v>
          </cell>
          <cell r="AL49">
            <v>-234</v>
          </cell>
          <cell r="AM49">
            <v>-225</v>
          </cell>
          <cell r="AN49">
            <v>-222</v>
          </cell>
          <cell r="AO49">
            <v>-201</v>
          </cell>
          <cell r="AP49">
            <v>-164</v>
          </cell>
          <cell r="AQ49">
            <v>-133</v>
          </cell>
          <cell r="AR49">
            <v>-59</v>
          </cell>
          <cell r="AS49">
            <v>-28</v>
          </cell>
          <cell r="AT49">
            <v>-38</v>
          </cell>
          <cell r="AU49">
            <v>-79</v>
          </cell>
          <cell r="AV49">
            <v>-87</v>
          </cell>
          <cell r="AW49">
            <v>-109</v>
          </cell>
          <cell r="AX49">
            <v>-96</v>
          </cell>
          <cell r="AY49">
            <v>-77</v>
          </cell>
          <cell r="AZ49">
            <v>5004</v>
          </cell>
          <cell r="BA49">
            <v>-149</v>
          </cell>
          <cell r="BB49">
            <v>-149</v>
          </cell>
          <cell r="BC49">
            <v>-172</v>
          </cell>
          <cell r="BD49">
            <v>-140.45999999999913</v>
          </cell>
          <cell r="BE49">
            <v>-179.58000000000175</v>
          </cell>
          <cell r="BF49">
            <v>-220.57999999999811</v>
          </cell>
          <cell r="BG49">
            <v>-273.06000000000131</v>
          </cell>
          <cell r="BH49">
            <v>-378.84000000000015</v>
          </cell>
          <cell r="BI49">
            <v>-1927</v>
          </cell>
          <cell r="BJ49">
            <v>-291.09999999999854</v>
          </cell>
          <cell r="BK49">
            <v>-337.02000000000044</v>
          </cell>
          <cell r="BL49">
            <v>-194.34000000000015</v>
          </cell>
          <cell r="BM49">
            <v>-306.68000000000029</v>
          </cell>
          <cell r="BN49">
            <v>-290.28000000000065</v>
          </cell>
          <cell r="BO49">
            <v>-282.89999999999964</v>
          </cell>
          <cell r="BP49">
            <v>-231.23999999999978</v>
          </cell>
          <cell r="BQ49">
            <v>-297.65999999999985</v>
          </cell>
          <cell r="BR49">
            <v>-280.44000000000051</v>
          </cell>
          <cell r="BS49">
            <v>-277.15999999999985</v>
          </cell>
          <cell r="BT49">
            <v>-292.73999999999978</v>
          </cell>
          <cell r="BU49">
            <v>-219.76000000000022</v>
          </cell>
          <cell r="BV49">
            <v>-302.57999999999993</v>
          </cell>
          <cell r="BW49">
            <v>-254</v>
          </cell>
          <cell r="BX49">
            <v>-154</v>
          </cell>
          <cell r="BY49">
            <v>-204</v>
          </cell>
          <cell r="BZ49">
            <v>-179</v>
          </cell>
          <cell r="CA49">
            <v>-154</v>
          </cell>
        </row>
        <row r="50">
          <cell r="A50" t="str">
            <v>Total Business retail lines</v>
          </cell>
          <cell r="B50">
            <v>21847</v>
          </cell>
          <cell r="C50">
            <v>20853</v>
          </cell>
          <cell r="D50">
            <v>19450</v>
          </cell>
          <cell r="E50">
            <v>18264</v>
          </cell>
          <cell r="F50">
            <v>17552</v>
          </cell>
          <cell r="G50">
            <v>17457</v>
          </cell>
          <cell r="H50">
            <v>17136</v>
          </cell>
          <cell r="I50">
            <v>22819</v>
          </cell>
          <cell r="J50">
            <v>21826</v>
          </cell>
          <cell r="K50">
            <v>18248</v>
          </cell>
          <cell r="L50">
            <v>16938</v>
          </cell>
          <cell r="M50">
            <v>15613</v>
          </cell>
          <cell r="N50">
            <v>14319</v>
          </cell>
          <cell r="O50">
            <v>13444</v>
          </cell>
          <cell r="P50">
            <v>12844</v>
          </cell>
          <cell r="Q50">
            <v>12444</v>
          </cell>
          <cell r="R50">
            <v>12094</v>
          </cell>
          <cell r="S50">
            <v>11844</v>
          </cell>
          <cell r="T50">
            <v>11594</v>
          </cell>
          <cell r="X50">
            <v>21719</v>
          </cell>
          <cell r="Y50">
            <v>21830</v>
          </cell>
          <cell r="Z50">
            <v>21901</v>
          </cell>
          <cell r="AA50">
            <v>21847</v>
          </cell>
          <cell r="AB50">
            <v>21741</v>
          </cell>
          <cell r="AC50">
            <v>21498</v>
          </cell>
          <cell r="AD50">
            <v>21217</v>
          </cell>
          <cell r="AE50">
            <v>20853</v>
          </cell>
          <cell r="AF50">
            <v>20461</v>
          </cell>
          <cell r="AG50">
            <v>20082</v>
          </cell>
          <cell r="AH50">
            <v>19721</v>
          </cell>
          <cell r="AI50">
            <v>19450</v>
          </cell>
          <cell r="AJ50">
            <v>19144</v>
          </cell>
          <cell r="AK50">
            <v>18743</v>
          </cell>
          <cell r="AL50">
            <v>18514</v>
          </cell>
          <cell r="AM50">
            <v>18264</v>
          </cell>
          <cell r="AN50">
            <v>18022</v>
          </cell>
          <cell r="AO50">
            <v>17794</v>
          </cell>
          <cell r="AP50">
            <v>17626</v>
          </cell>
          <cell r="AQ50">
            <v>17552</v>
          </cell>
          <cell r="AR50">
            <v>17507</v>
          </cell>
          <cell r="AS50">
            <v>17513</v>
          </cell>
          <cell r="AT50">
            <v>17511</v>
          </cell>
          <cell r="AU50">
            <v>17457</v>
          </cell>
          <cell r="AV50">
            <v>17377</v>
          </cell>
          <cell r="AW50">
            <v>17282</v>
          </cell>
          <cell r="AX50">
            <v>17212</v>
          </cell>
          <cell r="AY50">
            <v>17136</v>
          </cell>
          <cell r="AZ50">
            <v>23318</v>
          </cell>
          <cell r="BA50">
            <v>23150</v>
          </cell>
          <cell r="BB50">
            <v>23011</v>
          </cell>
          <cell r="BC50">
            <v>22819</v>
          </cell>
          <cell r="BD50">
            <v>22647</v>
          </cell>
          <cell r="BE50">
            <v>22428</v>
          </cell>
          <cell r="BF50">
            <v>22159</v>
          </cell>
          <cell r="BG50">
            <v>21826</v>
          </cell>
          <cell r="BH50">
            <v>21364</v>
          </cell>
          <cell r="BI50">
            <v>19014</v>
          </cell>
          <cell r="BJ50">
            <v>18659</v>
          </cell>
          <cell r="BK50">
            <v>18248</v>
          </cell>
          <cell r="BL50">
            <v>18011</v>
          </cell>
          <cell r="BM50">
            <v>17637</v>
          </cell>
          <cell r="BN50">
            <v>17283</v>
          </cell>
          <cell r="BO50">
            <v>16938</v>
          </cell>
          <cell r="BP50">
            <v>16656</v>
          </cell>
          <cell r="BQ50">
            <v>16293</v>
          </cell>
          <cell r="BR50">
            <v>15951</v>
          </cell>
          <cell r="BS50">
            <v>15613</v>
          </cell>
          <cell r="BT50">
            <v>15256</v>
          </cell>
          <cell r="BU50">
            <v>14988</v>
          </cell>
          <cell r="BV50">
            <v>14619</v>
          </cell>
          <cell r="BW50">
            <v>14319</v>
          </cell>
          <cell r="BX50">
            <v>14119</v>
          </cell>
          <cell r="BY50">
            <v>13869</v>
          </cell>
          <cell r="BZ50">
            <v>13644</v>
          </cell>
          <cell r="CA50">
            <v>13444</v>
          </cell>
        </row>
        <row r="51">
          <cell r="A51" t="str">
            <v>% y/y growth</v>
          </cell>
          <cell r="C51">
            <v>-4.5498237744312719E-2</v>
          </cell>
          <cell r="D51">
            <v>-6.72804872200643E-2</v>
          </cell>
          <cell r="E51">
            <v>-6.0976863753213317E-2</v>
          </cell>
          <cell r="F51">
            <v>-3.8983793254489751E-2</v>
          </cell>
          <cell r="G51">
            <v>-5.4124886052870913E-3</v>
          </cell>
          <cell r="H51">
            <v>-1.8388039181990057E-2</v>
          </cell>
          <cell r="I51">
            <v>0.33164098972922496</v>
          </cell>
          <cell r="J51">
            <v>-4.3516367938998157E-2</v>
          </cell>
          <cell r="K51">
            <v>-0.16393292403555393</v>
          </cell>
          <cell r="L51">
            <v>-7.1788689171416009E-2</v>
          </cell>
          <cell r="M51">
            <v>-7.8226473019246678E-2</v>
          </cell>
          <cell r="N51">
            <v>-8.287965157240762E-2</v>
          </cell>
          <cell r="O51">
            <v>-6.1107619247154132E-2</v>
          </cell>
          <cell r="P51">
            <v>-4.4629574531389493E-2</v>
          </cell>
          <cell r="Q51">
            <v>-3.1142946122703186E-2</v>
          </cell>
          <cell r="R51">
            <v>-2.8126004500160673E-2</v>
          </cell>
          <cell r="S51">
            <v>-2.067140730940964E-2</v>
          </cell>
          <cell r="T51">
            <v>-2.1107733873691359E-2</v>
          </cell>
          <cell r="AB51">
            <v>1.0129379805701166E-3</v>
          </cell>
          <cell r="AC51">
            <v>-1.5208428767750748E-2</v>
          </cell>
          <cell r="AD51">
            <v>-3.1231450618693257E-2</v>
          </cell>
          <cell r="AE51">
            <v>-4.5498237744312719E-2</v>
          </cell>
          <cell r="AF51">
            <v>-5.8874936755438978E-2</v>
          </cell>
          <cell r="AG51">
            <v>-6.5866592241138666E-2</v>
          </cell>
          <cell r="AH51">
            <v>-7.0509497101380991E-2</v>
          </cell>
          <cell r="AI51">
            <v>-6.72804872200643E-2</v>
          </cell>
          <cell r="AJ51">
            <v>-6.4366355505595996E-2</v>
          </cell>
          <cell r="AK51">
            <v>-6.6676625834080294E-2</v>
          </cell>
          <cell r="AL51">
            <v>-6.120379291111E-2</v>
          </cell>
          <cell r="AM51">
            <v>-6.0976863753213317E-2</v>
          </cell>
          <cell r="AN51">
            <v>-5.8608441287087309E-2</v>
          </cell>
          <cell r="AO51">
            <v>-5.0632236034786282E-2</v>
          </cell>
          <cell r="AP51">
            <v>-4.7963703143567016E-2</v>
          </cell>
          <cell r="AQ51">
            <v>-3.8983793254489751E-2</v>
          </cell>
          <cell r="AR51">
            <v>-2.8576184663189452E-2</v>
          </cell>
          <cell r="AS51">
            <v>-1.5791839946049269E-2</v>
          </cell>
          <cell r="AT51">
            <v>-6.524452513332557E-3</v>
          </cell>
          <cell r="AU51">
            <v>-5.4124886052870913E-3</v>
          </cell>
          <cell r="AV51">
            <v>-7.4256011880962092E-3</v>
          </cell>
          <cell r="AW51">
            <v>-1.3190201564552084E-2</v>
          </cell>
          <cell r="AX51">
            <v>-1.7074981440237558E-2</v>
          </cell>
          <cell r="AY51">
            <v>-1.8388039181990057E-2</v>
          </cell>
          <cell r="AZ51">
            <v>0.34188870345859468</v>
          </cell>
          <cell r="BA51">
            <v>0.33954403425529445</v>
          </cell>
          <cell r="BB51">
            <v>0.33691610504299319</v>
          </cell>
          <cell r="BC51">
            <v>0.33164098972922496</v>
          </cell>
          <cell r="BD51">
            <v>-2.8776052834719956E-2</v>
          </cell>
          <cell r="BE51">
            <v>-3.1187904967602598E-2</v>
          </cell>
          <cell r="BF51">
            <v>-3.7025770283777293E-2</v>
          </cell>
          <cell r="BG51">
            <v>-4.3516367938998157E-2</v>
          </cell>
          <cell r="BH51" t="str">
            <v>NM</v>
          </cell>
          <cell r="BI51" t="str">
            <v>NM</v>
          </cell>
          <cell r="BJ51" t="str">
            <v>NM</v>
          </cell>
          <cell r="BK51" t="str">
            <v>NM</v>
          </cell>
          <cell r="BL51" t="str">
            <v>NM</v>
          </cell>
          <cell r="BM51">
            <v>-7.2420321868097215E-2</v>
          </cell>
          <cell r="BN51">
            <v>-7.3744573664183521E-2</v>
          </cell>
          <cell r="BO51">
            <v>-7.1788689171416009E-2</v>
          </cell>
          <cell r="BP51">
            <v>-7.5231802787185664E-2</v>
          </cell>
          <cell r="BQ51">
            <v>-7.6203435958496324E-2</v>
          </cell>
          <cell r="BR51">
            <v>-7.7069953133136582E-2</v>
          </cell>
          <cell r="BS51">
            <v>-7.8226473019246678E-2</v>
          </cell>
          <cell r="BT51">
            <v>-8.4053794428434192E-2</v>
          </cell>
          <cell r="BU51">
            <v>-8.0095746639661236E-2</v>
          </cell>
          <cell r="BV51">
            <v>-8.3505736317472268E-2</v>
          </cell>
          <cell r="BW51">
            <v>-8.287965157240762E-2</v>
          </cell>
          <cell r="BX51">
            <v>-7.4528054535920263E-2</v>
          </cell>
          <cell r="BY51">
            <v>-7.4659727782225738E-2</v>
          </cell>
          <cell r="BZ51">
            <v>-6.6694028319310483E-2</v>
          </cell>
          <cell r="CA51">
            <v>-6.1107619247154132E-2</v>
          </cell>
        </row>
        <row r="52">
          <cell r="A52" t="str">
            <v>% q/q growth</v>
          </cell>
          <cell r="Y52">
            <v>5.110732538330387E-3</v>
          </cell>
          <cell r="Z52">
            <v>3.2524049473201533E-3</v>
          </cell>
          <cell r="AA52">
            <v>-2.4656408383179063E-3</v>
          </cell>
          <cell r="AB52">
            <v>-4.8519247493935547E-3</v>
          </cell>
          <cell r="AC52">
            <v>-1.117703877466536E-2</v>
          </cell>
          <cell r="AD52">
            <v>-1.3070983347288068E-2</v>
          </cell>
          <cell r="AE52">
            <v>-1.7156054107555274E-2</v>
          </cell>
          <cell r="AF52">
            <v>-1.8798254447801255E-2</v>
          </cell>
          <cell r="AG52">
            <v>-1.8523043839499542E-2</v>
          </cell>
          <cell r="AH52">
            <v>-1.7976297181555578E-2</v>
          </cell>
          <cell r="AI52">
            <v>-1.3741696668525982E-2</v>
          </cell>
          <cell r="AJ52">
            <v>-1.5732647814910017E-2</v>
          </cell>
          <cell r="AK52">
            <v>-2.0946510656080219E-2</v>
          </cell>
          <cell r="AL52">
            <v>-1.2217894680680796E-2</v>
          </cell>
          <cell r="AM52">
            <v>-1.3503294803932198E-2</v>
          </cell>
          <cell r="AN52">
            <v>-1.3250109505037244E-2</v>
          </cell>
          <cell r="AO52">
            <v>-1.2651204083897416E-2</v>
          </cell>
          <cell r="AP52">
            <v>-9.4413847364279713E-3</v>
          </cell>
          <cell r="AQ52">
            <v>-4.198343356405343E-3</v>
          </cell>
          <cell r="AR52">
            <v>-2.5638103919781718E-3</v>
          </cell>
          <cell r="AS52">
            <v>3.42720054835155E-4</v>
          </cell>
          <cell r="AT52">
            <v>-1.1420087934677081E-4</v>
          </cell>
          <cell r="AU52">
            <v>-3.0837759122837038E-3</v>
          </cell>
          <cell r="AV52">
            <v>-4.5826888927077425E-3</v>
          </cell>
          <cell r="AW52">
            <v>-5.466996604707397E-3</v>
          </cell>
          <cell r="AX52">
            <v>-4.050457123018214E-3</v>
          </cell>
          <cell r="AY52">
            <v>-4.415524052986286E-3</v>
          </cell>
          <cell r="AZ52">
            <v>0.36076097105508875</v>
          </cell>
          <cell r="BA52">
            <v>-7.2047345398404961E-3</v>
          </cell>
          <cell r="BB52">
            <v>-6.0043196544276034E-3</v>
          </cell>
          <cell r="BC52">
            <v>-8.3438355569075418E-3</v>
          </cell>
          <cell r="BD52">
            <v>-7.5375783338446078E-3</v>
          </cell>
          <cell r="BE52">
            <v>-9.6701549874155246E-3</v>
          </cell>
          <cell r="BF52">
            <v>-1.1993936151239559E-2</v>
          </cell>
          <cell r="BG52">
            <v>-1.502775396001621E-2</v>
          </cell>
          <cell r="BH52">
            <v>-2.1167415009621604E-2</v>
          </cell>
          <cell r="BI52">
            <v>-0.10999812769144357</v>
          </cell>
          <cell r="BJ52">
            <v>-1.8670453350163041E-2</v>
          </cell>
          <cell r="BK52">
            <v>-2.2026903906961826E-2</v>
          </cell>
          <cell r="BL52">
            <v>-1.298772468215692E-2</v>
          </cell>
          <cell r="BM52">
            <v>-2.0765088001776677E-2</v>
          </cell>
          <cell r="BN52">
            <v>-2.0071440721211142E-2</v>
          </cell>
          <cell r="BO52">
            <v>-1.9961812185384509E-2</v>
          </cell>
          <cell r="BP52">
            <v>-1.6648955012398159E-2</v>
          </cell>
          <cell r="BQ52">
            <v>-2.1793948126801133E-2</v>
          </cell>
          <cell r="BR52">
            <v>-2.0990609464187071E-2</v>
          </cell>
          <cell r="BS52">
            <v>-2.1189894050529734E-2</v>
          </cell>
          <cell r="BT52">
            <v>-2.2865560750656488E-2</v>
          </cell>
          <cell r="BU52">
            <v>-1.7566858940744612E-2</v>
          </cell>
          <cell r="BV52">
            <v>-2.4619695756605275E-2</v>
          </cell>
          <cell r="BW52">
            <v>-2.0521239482864773E-2</v>
          </cell>
          <cell r="BX52">
            <v>-1.3967455827920916E-2</v>
          </cell>
          <cell r="BY52">
            <v>-1.7706636447340496E-2</v>
          </cell>
          <cell r="BZ52">
            <v>-1.6223231667748195E-2</v>
          </cell>
          <cell r="CA52">
            <v>-1.4658457930225688E-2</v>
          </cell>
        </row>
        <row r="53">
          <cell r="A53" t="str">
            <v>sequential lines added (lost)</v>
          </cell>
          <cell r="C53">
            <v>-994</v>
          </cell>
          <cell r="D53">
            <v>-1403</v>
          </cell>
          <cell r="E53">
            <v>-1186</v>
          </cell>
          <cell r="F53">
            <v>-712</v>
          </cell>
          <cell r="G53">
            <v>-95</v>
          </cell>
          <cell r="H53">
            <v>-321</v>
          </cell>
          <cell r="I53">
            <v>5683</v>
          </cell>
          <cell r="J53">
            <v>-993</v>
          </cell>
          <cell r="K53">
            <v>-3578</v>
          </cell>
          <cell r="L53">
            <v>-1310</v>
          </cell>
          <cell r="M53">
            <v>-1325</v>
          </cell>
          <cell r="N53">
            <v>-1294</v>
          </cell>
          <cell r="O53">
            <v>-875</v>
          </cell>
          <cell r="P53">
            <v>-600</v>
          </cell>
          <cell r="Q53">
            <v>-400</v>
          </cell>
          <cell r="R53">
            <v>-350</v>
          </cell>
          <cell r="S53">
            <v>-250</v>
          </cell>
          <cell r="T53">
            <v>-250</v>
          </cell>
          <cell r="Y53">
            <v>111</v>
          </cell>
          <cell r="Z53">
            <v>71</v>
          </cell>
          <cell r="AA53">
            <v>-54</v>
          </cell>
          <cell r="AB53">
            <v>-106</v>
          </cell>
          <cell r="AC53">
            <v>-243</v>
          </cell>
          <cell r="AD53">
            <v>-281</v>
          </cell>
          <cell r="AE53">
            <v>-364</v>
          </cell>
          <cell r="AF53">
            <v>-392</v>
          </cell>
          <cell r="AG53">
            <v>-379</v>
          </cell>
          <cell r="AH53">
            <v>-361</v>
          </cell>
          <cell r="AI53">
            <v>-271</v>
          </cell>
          <cell r="AJ53">
            <v>-306</v>
          </cell>
          <cell r="AK53">
            <v>-401</v>
          </cell>
          <cell r="AL53">
            <v>-229</v>
          </cell>
          <cell r="AM53">
            <v>-250</v>
          </cell>
          <cell r="AN53">
            <v>-242</v>
          </cell>
          <cell r="AO53">
            <v>-228</v>
          </cell>
          <cell r="AP53">
            <v>-168</v>
          </cell>
          <cell r="AQ53">
            <v>-74</v>
          </cell>
          <cell r="AR53">
            <v>-45</v>
          </cell>
          <cell r="AS53">
            <v>6</v>
          </cell>
          <cell r="AT53">
            <v>-2</v>
          </cell>
          <cell r="AU53">
            <v>-54</v>
          </cell>
          <cell r="AV53">
            <v>-80</v>
          </cell>
          <cell r="AW53">
            <v>-95</v>
          </cell>
          <cell r="AX53">
            <v>-70</v>
          </cell>
          <cell r="AY53">
            <v>-76</v>
          </cell>
          <cell r="AZ53">
            <v>6182</v>
          </cell>
          <cell r="BA53">
            <v>-168</v>
          </cell>
          <cell r="BB53">
            <v>-139</v>
          </cell>
          <cell r="BC53">
            <v>-192</v>
          </cell>
          <cell r="BD53">
            <v>-172</v>
          </cell>
          <cell r="BE53">
            <v>-219</v>
          </cell>
          <cell r="BF53">
            <v>-269</v>
          </cell>
          <cell r="BG53">
            <v>-333</v>
          </cell>
          <cell r="BH53">
            <v>-462</v>
          </cell>
          <cell r="BI53">
            <v>-2350</v>
          </cell>
          <cell r="BJ53">
            <v>-355</v>
          </cell>
          <cell r="BK53">
            <v>-411</v>
          </cell>
          <cell r="BL53">
            <v>-237</v>
          </cell>
          <cell r="BM53">
            <v>-374</v>
          </cell>
          <cell r="BN53">
            <v>-354</v>
          </cell>
          <cell r="BO53">
            <v>-345</v>
          </cell>
          <cell r="BP53">
            <v>-282</v>
          </cell>
          <cell r="BQ53">
            <v>-363</v>
          </cell>
          <cell r="BR53">
            <v>-342</v>
          </cell>
          <cell r="BS53">
            <v>-338</v>
          </cell>
          <cell r="BT53">
            <v>-357</v>
          </cell>
          <cell r="BU53">
            <v>-268</v>
          </cell>
          <cell r="BV53">
            <v>-369</v>
          </cell>
          <cell r="BW53">
            <v>-300</v>
          </cell>
          <cell r="BX53">
            <v>-200</v>
          </cell>
          <cell r="BY53">
            <v>-250</v>
          </cell>
          <cell r="BZ53">
            <v>-225</v>
          </cell>
          <cell r="CA53">
            <v>-200</v>
          </cell>
        </row>
        <row r="54">
          <cell r="A54" t="str">
            <v>% total retail lines</v>
          </cell>
          <cell r="B54">
            <v>0.37716012084592143</v>
          </cell>
          <cell r="C54">
            <v>0.37660508208267868</v>
          </cell>
          <cell r="D54">
            <v>0.38280619575272096</v>
          </cell>
          <cell r="E54">
            <v>0.38771307873564437</v>
          </cell>
          <cell r="F54">
            <v>0.3893522626441881</v>
          </cell>
          <cell r="G54">
            <v>0.39549161758042589</v>
          </cell>
          <cell r="H54">
            <v>0.40374148858469006</v>
          </cell>
          <cell r="I54">
            <v>0.39460123123746282</v>
          </cell>
          <cell r="J54">
            <v>0.41443870575725356</v>
          </cell>
          <cell r="K54">
            <v>0.40035103115401494</v>
          </cell>
          <cell r="L54">
            <v>0.41178615710013855</v>
          </cell>
          <cell r="M54">
            <v>0.42374813407517981</v>
          </cell>
          <cell r="N54">
            <v>0.43501640539555231</v>
          </cell>
          <cell r="O54">
            <v>0.44722397791157981</v>
          </cell>
          <cell r="P54">
            <v>0.46349824979250115</v>
          </cell>
          <cell r="Q54">
            <v>0.48025934931110337</v>
          </cell>
          <cell r="R54">
            <v>0.49644924264192769</v>
          </cell>
          <cell r="S54">
            <v>0.51248323309246679</v>
          </cell>
          <cell r="T54">
            <v>0.53035085311742369</v>
          </cell>
          <cell r="X54">
            <v>0.37099859929623175</v>
          </cell>
          <cell r="Y54">
            <v>0.37364781596604135</v>
          </cell>
          <cell r="Z54">
            <v>0.37617657162487117</v>
          </cell>
          <cell r="AA54">
            <v>0.37716012084592143</v>
          </cell>
          <cell r="AB54">
            <v>0.37732345233343167</v>
          </cell>
          <cell r="AC54">
            <v>0.37879935862421371</v>
          </cell>
          <cell r="AD54">
            <v>0.37777540373555546</v>
          </cell>
          <cell r="AE54">
            <v>0.37660508208267868</v>
          </cell>
          <cell r="AF54">
            <v>0.37481223667338343</v>
          </cell>
          <cell r="AG54">
            <v>0.37712676056338029</v>
          </cell>
          <cell r="AH54">
            <v>0.37911876658079896</v>
          </cell>
          <cell r="AI54">
            <v>0.38280619575272096</v>
          </cell>
          <cell r="AJ54">
            <v>0.38476535021605868</v>
          </cell>
          <cell r="AK54">
            <v>0.38539674706475024</v>
          </cell>
          <cell r="AL54">
            <v>0.38748430305567183</v>
          </cell>
          <cell r="AM54">
            <v>0.38771307873564437</v>
          </cell>
          <cell r="AN54">
            <v>0.38707876028265215</v>
          </cell>
          <cell r="AO54">
            <v>0.38874445633888977</v>
          </cell>
          <cell r="AP54">
            <v>0.38870021611608518</v>
          </cell>
          <cell r="AQ54">
            <v>0.3893522626441881</v>
          </cell>
          <cell r="AR54">
            <v>0.38950319264912009</v>
          </cell>
          <cell r="AS54">
            <v>0.39216696150659469</v>
          </cell>
          <cell r="AT54">
            <v>0.39419656926748009</v>
          </cell>
          <cell r="AU54">
            <v>0.39549161758042589</v>
          </cell>
          <cell r="AV54">
            <v>0.39679857511474437</v>
          </cell>
          <cell r="AW54">
            <v>0.39938066185986321</v>
          </cell>
          <cell r="AX54">
            <v>0.40167090616321671</v>
          </cell>
          <cell r="AY54">
            <v>0.40374148858469006</v>
          </cell>
          <cell r="AZ54">
            <v>0.38877588449098005</v>
          </cell>
          <cell r="BA54">
            <v>0.38903639969078746</v>
          </cell>
          <cell r="BB54">
            <v>0.39147003283373877</v>
          </cell>
          <cell r="BC54">
            <v>0.39460123123746282</v>
          </cell>
          <cell r="BD54">
            <v>0.39851132344401624</v>
          </cell>
          <cell r="BE54">
            <v>0.40425378514780103</v>
          </cell>
          <cell r="BF54">
            <v>0.41024549190950493</v>
          </cell>
          <cell r="BG54">
            <v>0.41443870575725356</v>
          </cell>
          <cell r="BH54">
            <v>0.4161845206787057</v>
          </cell>
          <cell r="BI54">
            <v>0.39561399858516083</v>
          </cell>
          <cell r="BJ54">
            <v>0.39906324186752784</v>
          </cell>
          <cell r="BK54">
            <v>0.40035103115401494</v>
          </cell>
          <cell r="BL54">
            <v>0.40343607203655585</v>
          </cell>
          <cell r="BM54">
            <v>0.40622336872653569</v>
          </cell>
          <cell r="BN54">
            <v>0.40963712640136524</v>
          </cell>
          <cell r="BO54">
            <v>0.41178615710013855</v>
          </cell>
          <cell r="BP54">
            <v>0.4149993771022798</v>
          </cell>
          <cell r="BQ54">
            <v>0.41746950907041097</v>
          </cell>
          <cell r="BR54">
            <v>0.42095956930222739</v>
          </cell>
          <cell r="BS54">
            <v>0.42374813407517981</v>
          </cell>
          <cell r="BT54">
            <v>0.42622859218282905</v>
          </cell>
          <cell r="BU54">
            <v>0.42999770484278171</v>
          </cell>
          <cell r="BV54">
            <v>0.43199078041429034</v>
          </cell>
          <cell r="BW54">
            <v>0.43501640539555231</v>
          </cell>
          <cell r="BX54">
            <v>0.43928315858249589</v>
          </cell>
          <cell r="BY54">
            <v>0.4420962035000478</v>
          </cell>
          <cell r="BZ54">
            <v>0.44477767635936888</v>
          </cell>
          <cell r="CA54">
            <v>0.44722397791157981</v>
          </cell>
        </row>
        <row r="55">
          <cell r="A55" t="str">
            <v>Total Switched Business Access Lines</v>
          </cell>
          <cell r="C55">
            <v>20853</v>
          </cell>
          <cell r="D55">
            <v>20539</v>
          </cell>
          <cell r="E55">
            <v>19680</v>
          </cell>
          <cell r="F55">
            <v>19110</v>
          </cell>
          <cell r="G55">
            <v>18585</v>
          </cell>
          <cell r="H55" t="str">
            <v>NA</v>
          </cell>
          <cell r="I55" t="str">
            <v>NA</v>
          </cell>
          <cell r="J55" t="str">
            <v>NA</v>
          </cell>
          <cell r="K55" t="str">
            <v>NA</v>
          </cell>
          <cell r="L55" t="str">
            <v>NA</v>
          </cell>
          <cell r="M55" t="str">
            <v>NA</v>
          </cell>
          <cell r="N55" t="str">
            <v>NA</v>
          </cell>
          <cell r="O55" t="str">
            <v>NA</v>
          </cell>
          <cell r="P55" t="str">
            <v>NA</v>
          </cell>
          <cell r="Q55" t="str">
            <v>NA</v>
          </cell>
          <cell r="R55" t="str">
            <v>NA</v>
          </cell>
          <cell r="S55" t="str">
            <v>NA</v>
          </cell>
          <cell r="T55" t="str">
            <v>NA</v>
          </cell>
          <cell r="X55">
            <v>21719</v>
          </cell>
          <cell r="Y55">
            <v>21830</v>
          </cell>
          <cell r="Z55">
            <v>21901</v>
          </cell>
          <cell r="AA55">
            <v>21847</v>
          </cell>
          <cell r="AB55">
            <v>21741</v>
          </cell>
          <cell r="AC55">
            <v>21980</v>
          </cell>
          <cell r="AD55">
            <v>21872</v>
          </cell>
          <cell r="AE55">
            <v>21579</v>
          </cell>
          <cell r="AF55">
            <v>21288</v>
          </cell>
          <cell r="AG55">
            <v>21020</v>
          </cell>
          <cell r="AH55">
            <v>20750</v>
          </cell>
          <cell r="AI55">
            <v>20539</v>
          </cell>
          <cell r="AJ55">
            <v>20320</v>
          </cell>
          <cell r="AK55">
            <v>20010</v>
          </cell>
          <cell r="AL55">
            <v>19875</v>
          </cell>
          <cell r="AM55">
            <v>19680</v>
          </cell>
          <cell r="AN55">
            <v>19498</v>
          </cell>
          <cell r="AO55">
            <v>19338</v>
          </cell>
          <cell r="AP55">
            <v>19208</v>
          </cell>
          <cell r="AQ55">
            <v>19110</v>
          </cell>
          <cell r="AR55">
            <v>19009</v>
          </cell>
          <cell r="AS55">
            <v>18893</v>
          </cell>
          <cell r="AT55">
            <v>18760</v>
          </cell>
          <cell r="AU55">
            <v>18585</v>
          </cell>
          <cell r="AV55" t="str">
            <v>NA</v>
          </cell>
          <cell r="AW55" t="str">
            <v>NA</v>
          </cell>
          <cell r="AX55" t="str">
            <v>NA</v>
          </cell>
          <cell r="AY55" t="str">
            <v>NA</v>
          </cell>
          <cell r="AZ55" t="str">
            <v>NA</v>
          </cell>
          <cell r="BA55" t="str">
            <v>NA</v>
          </cell>
          <cell r="BB55" t="str">
            <v>NA</v>
          </cell>
          <cell r="BC55" t="str">
            <v>NA</v>
          </cell>
          <cell r="BD55" t="str">
            <v>NA</v>
          </cell>
          <cell r="BE55" t="str">
            <v>NA</v>
          </cell>
          <cell r="BF55" t="str">
            <v>NA</v>
          </cell>
          <cell r="BG55" t="str">
            <v>NA</v>
          </cell>
          <cell r="BH55" t="str">
            <v>NA</v>
          </cell>
          <cell r="BI55" t="str">
            <v>NA</v>
          </cell>
          <cell r="BJ55" t="str">
            <v>NA</v>
          </cell>
        </row>
        <row r="56">
          <cell r="A56" t="str">
            <v>% y/y growth</v>
          </cell>
          <cell r="D56">
            <v>-1.5057785450534711E-2</v>
          </cell>
          <cell r="E56">
            <v>-4.1822873557622042E-2</v>
          </cell>
          <cell r="F56">
            <v>-2.8963414634146312E-2</v>
          </cell>
          <cell r="G56">
            <v>-2.7472527472527486E-2</v>
          </cell>
          <cell r="AG56">
            <v>-4.3676069153776198E-2</v>
          </cell>
          <cell r="AH56">
            <v>-5.1298463789319682E-2</v>
          </cell>
          <cell r="AI56">
            <v>-4.8195004402428299E-2</v>
          </cell>
          <cell r="AJ56">
            <v>-4.5471627207816612E-2</v>
          </cell>
          <cell r="AK56">
            <v>-4.804947668886772E-2</v>
          </cell>
          <cell r="AL56">
            <v>-4.216867469879515E-2</v>
          </cell>
          <cell r="AM56">
            <v>-4.1822873557622042E-2</v>
          </cell>
          <cell r="AN56">
            <v>-4.0452755905511784E-2</v>
          </cell>
          <cell r="AO56">
            <v>-3.3583208395802089E-2</v>
          </cell>
          <cell r="AP56">
            <v>-3.3559748427672953E-2</v>
          </cell>
          <cell r="AQ56">
            <v>-2.8963414634146312E-2</v>
          </cell>
          <cell r="AR56">
            <v>-2.5079495332854695E-2</v>
          </cell>
          <cell r="AS56">
            <v>-2.3011686834212397E-2</v>
          </cell>
          <cell r="AT56">
            <v>-2.3323615160349864E-2</v>
          </cell>
          <cell r="AU56">
            <v>-2.7472527472527486E-2</v>
          </cell>
        </row>
        <row r="57">
          <cell r="A57" t="str">
            <v>% q/q growth</v>
          </cell>
          <cell r="AF57">
            <v>-1.348533296260257E-2</v>
          </cell>
          <cell r="AG57">
            <v>-1.2589252160841835E-2</v>
          </cell>
          <cell r="AH57">
            <v>-1.2844909609895372E-2</v>
          </cell>
          <cell r="AI57">
            <v>-1.0168674698795233E-2</v>
          </cell>
          <cell r="AJ57">
            <v>-1.0662641803398376E-2</v>
          </cell>
          <cell r="AK57">
            <v>-1.5255905511810997E-2</v>
          </cell>
          <cell r="AL57">
            <v>-6.7466266866567093E-3</v>
          </cell>
          <cell r="AM57">
            <v>-9.8113207547170234E-3</v>
          </cell>
          <cell r="AN57">
            <v>-9.2479674796748235E-3</v>
          </cell>
          <cell r="AO57">
            <v>-8.2059698430608785E-3</v>
          </cell>
          <cell r="AP57">
            <v>-6.7225152549384992E-3</v>
          </cell>
          <cell r="AQ57">
            <v>-5.1020408163264808E-3</v>
          </cell>
          <cell r="AR57">
            <v>-5.2851909994766633E-3</v>
          </cell>
          <cell r="AS57">
            <v>-6.1023725603661649E-3</v>
          </cell>
          <cell r="AT57">
            <v>-7.0396443127084263E-3</v>
          </cell>
          <cell r="AU57">
            <v>-9.3283582089552786E-3</v>
          </cell>
        </row>
        <row r="58">
          <cell r="A58" t="str">
            <v>sequential lines added (lost)</v>
          </cell>
          <cell r="C58">
            <v>20853</v>
          </cell>
          <cell r="D58">
            <v>-314</v>
          </cell>
          <cell r="E58">
            <v>-859</v>
          </cell>
          <cell r="F58">
            <v>-570</v>
          </cell>
          <cell r="G58">
            <v>-525</v>
          </cell>
          <cell r="Y58">
            <v>111</v>
          </cell>
          <cell r="Z58">
            <v>71</v>
          </cell>
          <cell r="AA58">
            <v>-54</v>
          </cell>
          <cell r="AB58">
            <v>-106</v>
          </cell>
          <cell r="AC58">
            <v>239</v>
          </cell>
          <cell r="AD58">
            <v>-108</v>
          </cell>
          <cell r="AE58">
            <v>-293</v>
          </cell>
          <cell r="AF58">
            <v>-291</v>
          </cell>
          <cell r="AG58">
            <v>-268</v>
          </cell>
          <cell r="AH58">
            <v>-270</v>
          </cell>
          <cell r="AI58">
            <v>-211</v>
          </cell>
          <cell r="AJ58">
            <v>-219</v>
          </cell>
          <cell r="AK58">
            <v>-310</v>
          </cell>
          <cell r="AL58">
            <v>-135</v>
          </cell>
          <cell r="AM58">
            <v>-195</v>
          </cell>
          <cell r="AN58">
            <v>-182</v>
          </cell>
          <cell r="AO58">
            <v>-160</v>
          </cell>
          <cell r="AP58">
            <v>-130</v>
          </cell>
          <cell r="AQ58">
            <v>-98</v>
          </cell>
          <cell r="AR58">
            <v>-101</v>
          </cell>
          <cell r="AS58">
            <v>-116</v>
          </cell>
          <cell r="AT58">
            <v>-133</v>
          </cell>
          <cell r="AU58">
            <v>-175</v>
          </cell>
        </row>
        <row r="60">
          <cell r="A60" t="str">
            <v>Total Retail Access Lines</v>
          </cell>
          <cell r="B60">
            <v>57925</v>
          </cell>
          <cell r="C60">
            <v>55371</v>
          </cell>
          <cell r="D60">
            <v>50809</v>
          </cell>
          <cell r="E60">
            <v>47107</v>
          </cell>
          <cell r="F60">
            <v>45080</v>
          </cell>
          <cell r="G60">
            <v>44140</v>
          </cell>
          <cell r="H60">
            <v>42443</v>
          </cell>
          <cell r="I60">
            <v>57828</v>
          </cell>
          <cell r="J60">
            <v>52664</v>
          </cell>
          <cell r="K60">
            <v>45580</v>
          </cell>
          <cell r="L60">
            <v>41133</v>
          </cell>
          <cell r="M60">
            <v>36845</v>
          </cell>
          <cell r="N60">
            <v>32916</v>
          </cell>
          <cell r="O60">
            <v>30061</v>
          </cell>
          <cell r="P60">
            <v>27711</v>
          </cell>
          <cell r="Q60">
            <v>25911</v>
          </cell>
          <cell r="R60">
            <v>24361</v>
          </cell>
          <cell r="S60">
            <v>23111</v>
          </cell>
          <cell r="T60">
            <v>21861</v>
          </cell>
          <cell r="X60">
            <v>58542</v>
          </cell>
          <cell r="Y60">
            <v>58424</v>
          </cell>
          <cell r="Z60">
            <v>58220</v>
          </cell>
          <cell r="AA60">
            <v>57925</v>
          </cell>
          <cell r="AB60">
            <v>57619</v>
          </cell>
          <cell r="AC60">
            <v>56753</v>
          </cell>
          <cell r="AD60">
            <v>56163</v>
          </cell>
          <cell r="AE60">
            <v>55371</v>
          </cell>
          <cell r="AF60">
            <v>54590</v>
          </cell>
          <cell r="AG60">
            <v>53250</v>
          </cell>
          <cell r="AH60">
            <v>52018</v>
          </cell>
          <cell r="AI60">
            <v>50809</v>
          </cell>
          <cell r="AJ60">
            <v>49755</v>
          </cell>
          <cell r="AK60">
            <v>48633</v>
          </cell>
          <cell r="AL60">
            <v>47780</v>
          </cell>
          <cell r="AM60">
            <v>47107</v>
          </cell>
          <cell r="AN60">
            <v>46559</v>
          </cell>
          <cell r="AO60">
            <v>45773</v>
          </cell>
          <cell r="AP60">
            <v>45346</v>
          </cell>
          <cell r="AQ60">
            <v>45080</v>
          </cell>
          <cell r="AR60">
            <v>44947</v>
          </cell>
          <cell r="AS60">
            <v>44657</v>
          </cell>
          <cell r="AT60">
            <v>44422</v>
          </cell>
          <cell r="AU60">
            <v>44140</v>
          </cell>
          <cell r="AV60">
            <v>43793</v>
          </cell>
          <cell r="AW60">
            <v>43272</v>
          </cell>
          <cell r="AX60">
            <v>42851</v>
          </cell>
          <cell r="AY60">
            <v>42443</v>
          </cell>
          <cell r="AZ60">
            <v>59978</v>
          </cell>
          <cell r="BA60">
            <v>59506</v>
          </cell>
          <cell r="BB60">
            <v>58781</v>
          </cell>
          <cell r="BC60">
            <v>57828</v>
          </cell>
          <cell r="BD60">
            <v>56829</v>
          </cell>
          <cell r="BE60">
            <v>55480</v>
          </cell>
          <cell r="BF60">
            <v>54014</v>
          </cell>
          <cell r="BG60">
            <v>52664</v>
          </cell>
          <cell r="BH60">
            <v>51333</v>
          </cell>
          <cell r="BI60">
            <v>48062</v>
          </cell>
          <cell r="BJ60">
            <v>46757</v>
          </cell>
          <cell r="BK60">
            <v>45580</v>
          </cell>
          <cell r="BL60">
            <v>44644</v>
          </cell>
          <cell r="BM60">
            <v>43417</v>
          </cell>
          <cell r="BN60">
            <v>42191</v>
          </cell>
          <cell r="BO60">
            <v>41133</v>
          </cell>
          <cell r="BP60">
            <v>40135</v>
          </cell>
          <cell r="BQ60">
            <v>39028</v>
          </cell>
          <cell r="BR60">
            <v>37892</v>
          </cell>
          <cell r="BS60">
            <v>36845</v>
          </cell>
          <cell r="BT60">
            <v>35793</v>
          </cell>
          <cell r="BU60">
            <v>34856</v>
          </cell>
          <cell r="BV60">
            <v>33841</v>
          </cell>
          <cell r="BW60">
            <v>32916</v>
          </cell>
          <cell r="BX60">
            <v>32141</v>
          </cell>
          <cell r="BY60">
            <v>31371</v>
          </cell>
          <cell r="BZ60">
            <v>30676</v>
          </cell>
          <cell r="CA60">
            <v>30061</v>
          </cell>
        </row>
        <row r="61">
          <cell r="A61" t="str">
            <v>% y/y growth</v>
          </cell>
          <cell r="C61">
            <v>-4.4091497626240872E-2</v>
          </cell>
          <cell r="D61">
            <v>-8.2389698578678394E-2</v>
          </cell>
          <cell r="E61">
            <v>-7.2861107284142523E-2</v>
          </cell>
          <cell r="F61">
            <v>-4.3029698346317979E-2</v>
          </cell>
          <cell r="G61">
            <v>-2.0851818988464998E-2</v>
          </cell>
          <cell r="H61">
            <v>-3.8445854100588983E-2</v>
          </cell>
          <cell r="I61">
            <v>0.36248615790589733</v>
          </cell>
          <cell r="J61">
            <v>-8.9299301376495777E-2</v>
          </cell>
          <cell r="K61">
            <v>-0.13451313990581804</v>
          </cell>
          <cell r="L61">
            <v>-9.7564721369021501E-2</v>
          </cell>
          <cell r="M61">
            <v>-0.10424719811343686</v>
          </cell>
          <cell r="N61">
            <v>-0.10663590717872162</v>
          </cell>
          <cell r="O61">
            <v>-8.6735933892332029E-2</v>
          </cell>
          <cell r="P61">
            <v>-7.8174378763181562E-2</v>
          </cell>
          <cell r="Q61">
            <v>-6.4956154595647964E-2</v>
          </cell>
          <cell r="R61">
            <v>-5.9820153602716974E-2</v>
          </cell>
          <cell r="S61">
            <v>-5.1311522515496089E-2</v>
          </cell>
          <cell r="T61">
            <v>-5.4086798494223487E-2</v>
          </cell>
          <cell r="AB61">
            <v>-1.5766458269276806E-2</v>
          </cell>
          <cell r="AC61">
            <v>-2.8601259756264596E-2</v>
          </cell>
          <cell r="AD61">
            <v>-3.5331501202335969E-2</v>
          </cell>
          <cell r="AE61">
            <v>-4.4091497626240872E-2</v>
          </cell>
          <cell r="AF61">
            <v>-5.2569464933442056E-2</v>
          </cell>
          <cell r="AG61">
            <v>-6.1723609324617179E-2</v>
          </cell>
          <cell r="AH61">
            <v>-7.3803037587023446E-2</v>
          </cell>
          <cell r="AI61">
            <v>-8.2389698578678394E-2</v>
          </cell>
          <cell r="AJ61">
            <v>-8.8569335043048203E-2</v>
          </cell>
          <cell r="AK61">
            <v>-8.670422535211264E-2</v>
          </cell>
          <cell r="AL61">
            <v>-8.1471798223691771E-2</v>
          </cell>
          <cell r="AM61">
            <v>-7.2861107284142523E-2</v>
          </cell>
          <cell r="AN61">
            <v>-6.4234750276354169E-2</v>
          </cell>
          <cell r="AO61">
            <v>-5.8807805399625823E-2</v>
          </cell>
          <cell r="AP61">
            <v>-5.094181665969022E-2</v>
          </cell>
          <cell r="AQ61">
            <v>-4.3029698346317979E-2</v>
          </cell>
          <cell r="AR61">
            <v>-3.4622736742627613E-2</v>
          </cell>
          <cell r="AS61">
            <v>-2.4381185414982687E-2</v>
          </cell>
          <cell r="AT61">
            <v>-2.0376659462797209E-2</v>
          </cell>
          <cell r="AU61">
            <v>-2.0851818988464998E-2</v>
          </cell>
          <cell r="AV61">
            <v>-2.5674683516141217E-2</v>
          </cell>
          <cell r="AW61">
            <v>-3.1014174709452003E-2</v>
          </cell>
          <cell r="AX61">
            <v>-3.5365359506550842E-2</v>
          </cell>
          <cell r="AY61">
            <v>-3.8445854100588983E-2</v>
          </cell>
          <cell r="AZ61">
            <v>0.3695796131801885</v>
          </cell>
          <cell r="BA61">
            <v>0.37516176742466256</v>
          </cell>
          <cell r="BB61">
            <v>0.37175328463746471</v>
          </cell>
          <cell r="BC61">
            <v>0.36248615790589733</v>
          </cell>
          <cell r="BD61">
            <v>-5.2502584280903042E-2</v>
          </cell>
          <cell r="BE61">
            <v>-6.7657042987261828E-2</v>
          </cell>
          <cell r="BF61">
            <v>-8.109763358908495E-2</v>
          </cell>
          <cell r="BG61">
            <v>-8.9299301376495777E-2</v>
          </cell>
          <cell r="BH61">
            <v>-9.6711186190149401E-2</v>
          </cell>
          <cell r="BI61">
            <v>-0.13370583994232155</v>
          </cell>
          <cell r="BJ61">
            <v>-0.13435405635575959</v>
          </cell>
          <cell r="BK61">
            <v>-0.13451313990581804</v>
          </cell>
          <cell r="BL61">
            <v>-0.13030604094831788</v>
          </cell>
          <cell r="BM61">
            <v>-9.6645998918064135E-2</v>
          </cell>
          <cell r="BN61">
            <v>-9.7653827234424839E-2</v>
          </cell>
          <cell r="BO61">
            <v>-9.7564721369021501E-2</v>
          </cell>
          <cell r="BP61">
            <v>-0.10099901442523074</v>
          </cell>
          <cell r="BQ61">
            <v>-0.10108943501393464</v>
          </cell>
          <cell r="BR61">
            <v>-0.10189376881325396</v>
          </cell>
          <cell r="BS61">
            <v>-0.10424719811343686</v>
          </cell>
          <cell r="BT61">
            <v>-0.10818487604335369</v>
          </cell>
          <cell r="BU61">
            <v>-0.10689761197089265</v>
          </cell>
          <cell r="BV61">
            <v>-0.10690911010239623</v>
          </cell>
          <cell r="BW61">
            <v>-0.10663590717872162</v>
          </cell>
          <cell r="BX61">
            <v>-0.10203112340401754</v>
          </cell>
          <cell r="BY61">
            <v>-9.9982786320862993E-2</v>
          </cell>
          <cell r="BZ61">
            <v>-9.3525605035312154E-2</v>
          </cell>
          <cell r="CA61">
            <v>-8.6735933892332029E-2</v>
          </cell>
        </row>
        <row r="62">
          <cell r="A62" t="str">
            <v>% q/q growth</v>
          </cell>
          <cell r="Y62">
            <v>-2.0156468859964249E-3</v>
          </cell>
          <cell r="Z62">
            <v>-3.4917157332603477E-3</v>
          </cell>
          <cell r="AA62">
            <v>-5.0669872895912071E-3</v>
          </cell>
          <cell r="AB62">
            <v>-5.2826931376780406E-3</v>
          </cell>
          <cell r="AC62">
            <v>-1.502976448740867E-2</v>
          </cell>
          <cell r="AD62">
            <v>-1.039592620654417E-2</v>
          </cell>
          <cell r="AE62">
            <v>-1.410181080070505E-2</v>
          </cell>
          <cell r="AF62">
            <v>-1.4104856332737392E-2</v>
          </cell>
          <cell r="AG62">
            <v>-2.4546620260120888E-2</v>
          </cell>
          <cell r="AH62">
            <v>-2.3136150234741804E-2</v>
          </cell>
          <cell r="AI62">
            <v>-2.3241954707985735E-2</v>
          </cell>
          <cell r="AJ62">
            <v>-2.0744356314826073E-2</v>
          </cell>
          <cell r="AK62">
            <v>-2.2550497437443529E-2</v>
          </cell>
          <cell r="AL62">
            <v>-1.7539530771287004E-2</v>
          </cell>
          <cell r="AM62">
            <v>-1.4085391377145262E-2</v>
          </cell>
          <cell r="AN62">
            <v>-1.1633090623474174E-2</v>
          </cell>
          <cell r="AO62">
            <v>-1.6881805880710532E-2</v>
          </cell>
          <cell r="AP62">
            <v>-9.3286435234745113E-3</v>
          </cell>
          <cell r="AQ62">
            <v>-5.8660080271688564E-3</v>
          </cell>
          <cell r="AR62">
            <v>-2.9503105590061862E-3</v>
          </cell>
          <cell r="AS62">
            <v>-6.4520435179210578E-3</v>
          </cell>
          <cell r="AT62">
            <v>-5.2623328929395363E-3</v>
          </cell>
          <cell r="AU62">
            <v>-6.3482058439512379E-3</v>
          </cell>
          <cell r="AV62">
            <v>-7.8613502492070886E-3</v>
          </cell>
          <cell r="AW62">
            <v>-1.1896878496563401E-2</v>
          </cell>
          <cell r="AX62">
            <v>-9.7291551118505737E-3</v>
          </cell>
          <cell r="AY62">
            <v>-9.5213647289444925E-3</v>
          </cell>
          <cell r="AZ62">
            <v>0.4131423320688925</v>
          </cell>
          <cell r="BA62">
            <v>-7.8695521691286574E-3</v>
          </cell>
          <cell r="BB62">
            <v>-1.2183645346687699E-2</v>
          </cell>
          <cell r="BC62">
            <v>-1.6212721797859819E-2</v>
          </cell>
          <cell r="BD62">
            <v>-1.7275368333679153E-2</v>
          </cell>
          <cell r="BE62">
            <v>-2.3737880307589387E-2</v>
          </cell>
          <cell r="BF62">
            <v>-2.6423936553713001E-2</v>
          </cell>
          <cell r="BG62">
            <v>-2.4993520198467012E-2</v>
          </cell>
          <cell r="BH62">
            <v>-2.5273431566155247E-2</v>
          </cell>
          <cell r="BI62">
            <v>-6.3721192994759757E-2</v>
          </cell>
          <cell r="BJ62">
            <v>-2.7152428113686455E-2</v>
          </cell>
          <cell r="BK62">
            <v>-2.51727014136921E-2</v>
          </cell>
          <cell r="BL62">
            <v>-2.0535322509872778E-2</v>
          </cell>
          <cell r="BM62">
            <v>-2.7484096407132008E-2</v>
          </cell>
          <cell r="BN62">
            <v>-2.8237787041942131E-2</v>
          </cell>
          <cell r="BO62">
            <v>-2.5076438102912935E-2</v>
          </cell>
          <cell r="BP62">
            <v>-2.4262757396737444E-2</v>
          </cell>
          <cell r="BQ62">
            <v>-2.7581911050205576E-2</v>
          </cell>
          <cell r="BR62">
            <v>-2.9107307574049446E-2</v>
          </cell>
          <cell r="BS62">
            <v>-2.7631162250607022E-2</v>
          </cell>
          <cell r="BT62">
            <v>-2.8552042339530459E-2</v>
          </cell>
          <cell r="BU62">
            <v>-2.6178303020143567E-2</v>
          </cell>
          <cell r="BV62">
            <v>-2.9119807206793635E-2</v>
          </cell>
          <cell r="BW62">
            <v>-2.7333707632753224E-2</v>
          </cell>
          <cell r="BX62">
            <v>-2.3544780653785402E-2</v>
          </cell>
          <cell r="BY62">
            <v>-2.3956939734295801E-2</v>
          </cell>
          <cell r="BZ62">
            <v>-2.2154218864556485E-2</v>
          </cell>
          <cell r="CA62">
            <v>-2.0048246185943364E-2</v>
          </cell>
        </row>
        <row r="63">
          <cell r="A63" t="str">
            <v>sequential lines added (lost)</v>
          </cell>
          <cell r="C63">
            <v>-2554</v>
          </cell>
          <cell r="D63">
            <v>-4562</v>
          </cell>
          <cell r="E63">
            <v>-3702</v>
          </cell>
          <cell r="F63">
            <v>-2027</v>
          </cell>
          <cell r="G63">
            <v>-940</v>
          </cell>
          <cell r="H63">
            <v>-1697</v>
          </cell>
          <cell r="I63">
            <v>15385</v>
          </cell>
          <cell r="J63">
            <v>-5164</v>
          </cell>
          <cell r="K63">
            <v>-7084</v>
          </cell>
          <cell r="L63">
            <v>-4447</v>
          </cell>
          <cell r="M63">
            <v>-4288</v>
          </cell>
          <cell r="N63">
            <v>-3929</v>
          </cell>
          <cell r="O63">
            <v>-2855</v>
          </cell>
          <cell r="P63">
            <v>-2350</v>
          </cell>
          <cell r="Q63">
            <v>-1800</v>
          </cell>
          <cell r="R63">
            <v>-1550</v>
          </cell>
          <cell r="S63">
            <v>-1250</v>
          </cell>
          <cell r="T63">
            <v>-1250</v>
          </cell>
          <cell r="Y63">
            <v>-118</v>
          </cell>
          <cell r="Z63">
            <v>-204</v>
          </cell>
          <cell r="AA63">
            <v>-295</v>
          </cell>
          <cell r="AB63">
            <v>-306</v>
          </cell>
          <cell r="AC63">
            <v>-866</v>
          </cell>
          <cell r="AD63">
            <v>-590</v>
          </cell>
          <cell r="AE63">
            <v>-792</v>
          </cell>
          <cell r="AF63">
            <v>-781</v>
          </cell>
          <cell r="AG63">
            <v>-1340</v>
          </cell>
          <cell r="AH63">
            <v>-1232</v>
          </cell>
          <cell r="AI63">
            <v>-1209</v>
          </cell>
          <cell r="AJ63">
            <v>-1054</v>
          </cell>
          <cell r="AK63">
            <v>-1122</v>
          </cell>
          <cell r="AL63">
            <v>-853</v>
          </cell>
          <cell r="AM63">
            <v>-673</v>
          </cell>
          <cell r="AN63">
            <v>-548</v>
          </cell>
          <cell r="AO63">
            <v>-786</v>
          </cell>
          <cell r="AP63">
            <v>-427</v>
          </cell>
          <cell r="AQ63">
            <v>-266</v>
          </cell>
          <cell r="AR63">
            <v>-133</v>
          </cell>
          <cell r="AS63">
            <v>-290</v>
          </cell>
          <cell r="AT63">
            <v>-235</v>
          </cell>
          <cell r="AU63">
            <v>-282</v>
          </cell>
          <cell r="AV63">
            <v>-347</v>
          </cell>
          <cell r="AW63">
            <v>-521</v>
          </cell>
          <cell r="AX63">
            <v>-421</v>
          </cell>
          <cell r="AY63">
            <v>-408</v>
          </cell>
          <cell r="AZ63">
            <v>17535</v>
          </cell>
          <cell r="BA63">
            <v>-472</v>
          </cell>
          <cell r="BB63">
            <v>-725</v>
          </cell>
          <cell r="BC63">
            <v>-953</v>
          </cell>
          <cell r="BD63">
            <v>-999</v>
          </cell>
          <cell r="BE63">
            <v>-1349</v>
          </cell>
          <cell r="BF63">
            <v>-1466</v>
          </cell>
          <cell r="BG63">
            <v>-1350</v>
          </cell>
          <cell r="BH63">
            <v>-1331</v>
          </cell>
          <cell r="BI63">
            <v>-3271</v>
          </cell>
          <cell r="BJ63">
            <v>-1305</v>
          </cell>
          <cell r="BK63">
            <v>-1177</v>
          </cell>
          <cell r="BL63">
            <v>-936</v>
          </cell>
          <cell r="BM63">
            <v>-1227</v>
          </cell>
          <cell r="BN63">
            <v>-1226</v>
          </cell>
          <cell r="BO63">
            <v>-1058</v>
          </cell>
          <cell r="BP63">
            <v>-998</v>
          </cell>
          <cell r="BQ63">
            <v>-1107</v>
          </cell>
          <cell r="BR63">
            <v>-1136</v>
          </cell>
          <cell r="BS63">
            <v>-1047</v>
          </cell>
          <cell r="BT63">
            <v>-1052</v>
          </cell>
          <cell r="BU63">
            <v>-937</v>
          </cell>
          <cell r="BV63">
            <v>-1015</v>
          </cell>
          <cell r="BW63">
            <v>-925</v>
          </cell>
          <cell r="BX63">
            <v>-775</v>
          </cell>
          <cell r="BY63">
            <v>-770</v>
          </cell>
          <cell r="BZ63">
            <v>-695</v>
          </cell>
          <cell r="CA63">
            <v>-615</v>
          </cell>
        </row>
        <row r="64">
          <cell r="A64" t="str">
            <v>% total reported lines</v>
          </cell>
          <cell r="B64">
            <v>0.94540558185082424</v>
          </cell>
          <cell r="C64">
            <v>0.93010481757710139</v>
          </cell>
          <cell r="D64">
            <v>0.89008986913792199</v>
          </cell>
          <cell r="E64">
            <v>0.86145602838176394</v>
          </cell>
          <cell r="F64">
            <v>0.8610283444113378</v>
          </cell>
          <cell r="G64">
            <v>0.88727185012462817</v>
          </cell>
          <cell r="H64">
            <v>0.911654781338603</v>
          </cell>
          <cell r="I64">
            <v>0.9390406287551557</v>
          </cell>
          <cell r="J64">
            <v>0.94702391656176943</v>
          </cell>
          <cell r="K64">
            <v>0.95889258215172302</v>
          </cell>
          <cell r="L64">
            <v>0.98209297328271616</v>
          </cell>
          <cell r="M64">
            <v>1.0030217237436707</v>
          </cell>
          <cell r="N64">
            <v>1.0310612688957421</v>
          </cell>
          <cell r="O64">
            <v>1.061530105824906</v>
          </cell>
          <cell r="P64">
            <v>1.0931210350427838</v>
          </cell>
          <cell r="Q64">
            <v>1.1230314138970265</v>
          </cell>
          <cell r="R64">
            <v>1.1543258054442302</v>
          </cell>
          <cell r="S64">
            <v>1.185997149285918</v>
          </cell>
          <cell r="T64">
            <v>1.2204565647617911</v>
          </cell>
          <cell r="X64">
            <v>0.9572881577656408</v>
          </cell>
          <cell r="Y64">
            <v>0.95411046150831236</v>
          </cell>
          <cell r="Z64">
            <v>0.9499567608138757</v>
          </cell>
          <cell r="AA64">
            <v>0.94540558185082424</v>
          </cell>
          <cell r="AB64">
            <v>0.94065693668984884</v>
          </cell>
          <cell r="AC64">
            <v>0.93685826537686945</v>
          </cell>
          <cell r="AD64">
            <v>0.93247551054291877</v>
          </cell>
          <cell r="AE64">
            <v>0.93010481757710139</v>
          </cell>
          <cell r="AF64">
            <v>0.92469001964902775</v>
          </cell>
          <cell r="AG64">
            <v>0.91408462792893319</v>
          </cell>
          <cell r="AH64">
            <v>0.90265148885958213</v>
          </cell>
          <cell r="AI64">
            <v>0.89008986913792199</v>
          </cell>
          <cell r="AJ64">
            <v>0.87785384099650654</v>
          </cell>
          <cell r="AK64">
            <v>0.87144981812317446</v>
          </cell>
          <cell r="AL64">
            <v>0.86463988418385818</v>
          </cell>
          <cell r="AM64">
            <v>0.86145602838176394</v>
          </cell>
          <cell r="AN64">
            <v>0.85813550575051611</v>
          </cell>
          <cell r="AO64">
            <v>0.85413323381227846</v>
          </cell>
          <cell r="AP64">
            <v>0.85661931388846912</v>
          </cell>
          <cell r="AQ64">
            <v>0.8610283444113378</v>
          </cell>
          <cell r="AR64">
            <v>0.86656512686049203</v>
          </cell>
          <cell r="AS64">
            <v>0.87507838219156608</v>
          </cell>
          <cell r="AT64">
            <v>0.88460083238743847</v>
          </cell>
          <cell r="AU64">
            <v>0.89328719162973302</v>
          </cell>
          <cell r="AV64">
            <v>0.89798638451443569</v>
          </cell>
          <cell r="AW64">
            <v>0.9031746363048152</v>
          </cell>
          <cell r="AX64">
            <v>0.91003886423004221</v>
          </cell>
          <cell r="AY64">
            <v>0.91655689204655888</v>
          </cell>
          <cell r="AZ64">
            <v>0.9166883186354674</v>
          </cell>
          <cell r="BA64">
            <v>0.9286494584724867</v>
          </cell>
          <cell r="BB64">
            <v>0.93494615959663441</v>
          </cell>
          <cell r="BC64">
            <v>0.9390406287551557</v>
          </cell>
          <cell r="BD64">
            <v>0.94064387983116771</v>
          </cell>
          <cell r="BE64">
            <v>0.94257560312606181</v>
          </cell>
          <cell r="BF64">
            <v>0.94444930146351702</v>
          </cell>
          <cell r="BG64">
            <v>0.94702391656176943</v>
          </cell>
          <cell r="BH64">
            <v>0.95075196325381539</v>
          </cell>
          <cell r="BI64">
            <v>0.95260935920559731</v>
          </cell>
          <cell r="BJ64">
            <v>0.95504309816577471</v>
          </cell>
          <cell r="BK64">
            <v>0.95889258215172302</v>
          </cell>
          <cell r="BL64">
            <v>0.96548442906574394</v>
          </cell>
          <cell r="BM64">
            <v>0.97064609881511288</v>
          </cell>
          <cell r="BN64">
            <v>0.97434298646713779</v>
          </cell>
          <cell r="BO64">
            <v>0.98209297328271616</v>
          </cell>
          <cell r="BP64">
            <v>0.98864420139915266</v>
          </cell>
          <cell r="BQ64">
            <v>0.99371101209420754</v>
          </cell>
          <cell r="BR64">
            <v>0.99831383707450727</v>
          </cell>
          <cell r="BS64">
            <v>1.0030217237436707</v>
          </cell>
          <cell r="BT64">
            <v>1.0100745005079581</v>
          </cell>
          <cell r="BU64">
            <v>1.0169808017739395</v>
          </cell>
          <cell r="BV64">
            <v>1.0227574951644101</v>
          </cell>
          <cell r="BW64">
            <v>1.0310612688957421</v>
          </cell>
          <cell r="BX64">
            <v>1.0389126459226443</v>
          </cell>
          <cell r="BY64">
            <v>1.0473232052156047</v>
          </cell>
          <cell r="BZ64">
            <v>1.0540414507141826</v>
          </cell>
          <cell r="CA64">
            <v>1.061530105824906</v>
          </cell>
        </row>
        <row r="65">
          <cell r="AI65">
            <v>54683</v>
          </cell>
        </row>
        <row r="66">
          <cell r="A66" t="str">
            <v>WHOLESALE</v>
          </cell>
          <cell r="K66">
            <v>54672.311249999999</v>
          </cell>
          <cell r="L66">
            <v>51536.933125000003</v>
          </cell>
          <cell r="M66">
            <v>48616.170425000004</v>
          </cell>
          <cell r="N66">
            <v>45892.498811999998</v>
          </cell>
          <cell r="O66">
            <v>45892.498811999998</v>
          </cell>
          <cell r="P66">
            <v>45892.498811999998</v>
          </cell>
          <cell r="Q66">
            <v>45892.498811999998</v>
          </cell>
          <cell r="R66">
            <v>45892.498811999998</v>
          </cell>
          <cell r="S66">
            <v>45892.498811999998</v>
          </cell>
          <cell r="T66">
            <v>45893.498811999998</v>
          </cell>
        </row>
        <row r="67">
          <cell r="A67" t="str">
            <v>Resale</v>
          </cell>
          <cell r="B67">
            <v>1600</v>
          </cell>
          <cell r="C67">
            <v>1235</v>
          </cell>
          <cell r="D67">
            <v>801</v>
          </cell>
          <cell r="E67">
            <v>445</v>
          </cell>
          <cell r="F67">
            <v>349</v>
          </cell>
          <cell r="G67">
            <v>638</v>
          </cell>
          <cell r="H67" t="str">
            <v>NA</v>
          </cell>
          <cell r="I67" t="str">
            <v>NA</v>
          </cell>
          <cell r="J67" t="str">
            <v>NA</v>
          </cell>
          <cell r="K67" t="str">
            <v>NA</v>
          </cell>
          <cell r="L67" t="str">
            <v>NA</v>
          </cell>
          <cell r="M67" t="str">
            <v>NA</v>
          </cell>
          <cell r="N67" t="str">
            <v>NA</v>
          </cell>
          <cell r="O67" t="str">
            <v>NA</v>
          </cell>
          <cell r="P67" t="str">
            <v>NA</v>
          </cell>
          <cell r="Q67" t="str">
            <v>NA</v>
          </cell>
          <cell r="R67" t="str">
            <v>NA</v>
          </cell>
          <cell r="S67" t="str">
            <v>NA</v>
          </cell>
          <cell r="T67" t="str">
            <v>NA</v>
          </cell>
          <cell r="X67">
            <v>1561</v>
          </cell>
          <cell r="Y67">
            <v>1564</v>
          </cell>
          <cell r="Z67">
            <v>1586</v>
          </cell>
          <cell r="AA67">
            <v>1600</v>
          </cell>
          <cell r="AB67">
            <v>1550</v>
          </cell>
          <cell r="AC67">
            <v>1476</v>
          </cell>
          <cell r="AD67">
            <v>1351</v>
          </cell>
          <cell r="AE67">
            <v>1235</v>
          </cell>
          <cell r="AF67">
            <v>1184</v>
          </cell>
          <cell r="AG67">
            <v>1063</v>
          </cell>
          <cell r="AH67">
            <v>933</v>
          </cell>
          <cell r="AI67">
            <v>801</v>
          </cell>
          <cell r="AJ67">
            <v>695</v>
          </cell>
          <cell r="AK67">
            <v>580</v>
          </cell>
          <cell r="AL67">
            <v>502</v>
          </cell>
          <cell r="AM67">
            <v>445</v>
          </cell>
          <cell r="AN67">
            <v>417</v>
          </cell>
          <cell r="AO67">
            <v>389</v>
          </cell>
          <cell r="AP67">
            <v>368</v>
          </cell>
          <cell r="AQ67">
            <v>349</v>
          </cell>
          <cell r="AR67">
            <v>370</v>
          </cell>
          <cell r="AS67">
            <v>533</v>
          </cell>
          <cell r="AT67">
            <v>620</v>
          </cell>
          <cell r="AU67">
            <v>638</v>
          </cell>
          <cell r="AV67" t="str">
            <v>NA</v>
          </cell>
          <cell r="AW67" t="str">
            <v>NA</v>
          </cell>
          <cell r="AX67" t="str">
            <v>NA</v>
          </cell>
          <cell r="AY67" t="str">
            <v>NA</v>
          </cell>
          <cell r="AZ67" t="str">
            <v>NA</v>
          </cell>
          <cell r="BA67" t="str">
            <v>NA</v>
          </cell>
          <cell r="BB67" t="str">
            <v>NA</v>
          </cell>
          <cell r="BC67" t="str">
            <v>NA</v>
          </cell>
          <cell r="BD67" t="str">
            <v>NA</v>
          </cell>
          <cell r="BE67" t="str">
            <v>NA</v>
          </cell>
          <cell r="BF67" t="str">
            <v>NA</v>
          </cell>
          <cell r="BG67" t="str">
            <v>NA</v>
          </cell>
          <cell r="BH67" t="str">
            <v>NA</v>
          </cell>
          <cell r="BI67" t="str">
            <v>NA</v>
          </cell>
          <cell r="BJ67" t="str">
            <v>NA</v>
          </cell>
        </row>
        <row r="68">
          <cell r="A68" t="str">
            <v>% y/y growth</v>
          </cell>
          <cell r="C68">
            <v>-0.22812500000000002</v>
          </cell>
          <cell r="D68">
            <v>-0.351417004048583</v>
          </cell>
          <cell r="E68">
            <v>-0.44444444444444442</v>
          </cell>
          <cell r="F68">
            <v>-0.21573033707865163</v>
          </cell>
          <cell r="G68">
            <v>0.82808022922636093</v>
          </cell>
          <cell r="AB68">
            <v>-7.0467648942985628E-3</v>
          </cell>
          <cell r="AC68">
            <v>-5.6265984654731427E-2</v>
          </cell>
          <cell r="AD68">
            <v>-0.14817150063051698</v>
          </cell>
          <cell r="AE68">
            <v>-0.22812500000000002</v>
          </cell>
          <cell r="AF68">
            <v>-0.23612903225806448</v>
          </cell>
          <cell r="AG68">
            <v>-0.27981029810298108</v>
          </cell>
          <cell r="AH68">
            <v>-0.30940044411547007</v>
          </cell>
          <cell r="AI68">
            <v>-0.351417004048583</v>
          </cell>
          <cell r="AJ68">
            <v>-0.4130067567567568</v>
          </cell>
          <cell r="AK68">
            <v>-0.45437441204139228</v>
          </cell>
          <cell r="AL68">
            <v>-0.46195069667738475</v>
          </cell>
          <cell r="AM68">
            <v>-0.44444444444444442</v>
          </cell>
          <cell r="AN68">
            <v>-0.4</v>
          </cell>
          <cell r="AO68">
            <v>-0.32931034482758625</v>
          </cell>
          <cell r="AP68">
            <v>-0.26693227091633465</v>
          </cell>
          <cell r="AQ68">
            <v>-0.21573033707865163</v>
          </cell>
          <cell r="AR68">
            <v>-0.11270983213429253</v>
          </cell>
          <cell r="AS68">
            <v>0.37017994858611836</v>
          </cell>
          <cell r="AT68">
            <v>0.68478260869565211</v>
          </cell>
          <cell r="AU68">
            <v>0.82808022922636093</v>
          </cell>
        </row>
        <row r="69">
          <cell r="A69" t="str">
            <v>% q/q growth</v>
          </cell>
          <cell r="Y69">
            <v>1.9218449711724261E-3</v>
          </cell>
          <cell r="Z69">
            <v>1.406649616368294E-2</v>
          </cell>
          <cell r="AA69">
            <v>8.8272383354350836E-3</v>
          </cell>
          <cell r="AB69">
            <v>-3.125E-2</v>
          </cell>
          <cell r="AC69">
            <v>-4.7741935483870956E-2</v>
          </cell>
          <cell r="AD69">
            <v>-8.4688346883468824E-2</v>
          </cell>
          <cell r="AE69">
            <v>-8.5862324204293072E-2</v>
          </cell>
          <cell r="AF69">
            <v>-4.1295546558704488E-2</v>
          </cell>
          <cell r="AG69">
            <v>-0.10219594594594594</v>
          </cell>
          <cell r="AH69">
            <v>-0.12229539040451554</v>
          </cell>
          <cell r="AI69">
            <v>-0.14147909967845662</v>
          </cell>
          <cell r="AJ69">
            <v>-0.13233458177278401</v>
          </cell>
          <cell r="AK69">
            <v>-0.16546762589928055</v>
          </cell>
          <cell r="AL69">
            <v>-0.1344827586206897</v>
          </cell>
          <cell r="AM69">
            <v>-0.11354581673306774</v>
          </cell>
          <cell r="AN69">
            <v>-6.2921348314606718E-2</v>
          </cell>
          <cell r="AO69">
            <v>-6.714628297362113E-2</v>
          </cell>
          <cell r="AP69">
            <v>-5.3984575835475557E-2</v>
          </cell>
          <cell r="AQ69">
            <v>-5.1630434782608647E-2</v>
          </cell>
          <cell r="AR69">
            <v>6.0171919770773741E-2</v>
          </cell>
          <cell r="AS69">
            <v>0.44054054054054048</v>
          </cell>
          <cell r="AT69">
            <v>0.16322701688555341</v>
          </cell>
          <cell r="AU69">
            <v>2.9032258064516148E-2</v>
          </cell>
        </row>
        <row r="70">
          <cell r="A70" t="str">
            <v>sequential lines added (lost)</v>
          </cell>
          <cell r="C70">
            <v>-365</v>
          </cell>
          <cell r="D70">
            <v>-434</v>
          </cell>
          <cell r="E70">
            <v>-356</v>
          </cell>
          <cell r="F70">
            <v>-96</v>
          </cell>
          <cell r="G70">
            <v>289</v>
          </cell>
          <cell r="Y70">
            <v>3</v>
          </cell>
          <cell r="Z70">
            <v>22</v>
          </cell>
          <cell r="AA70">
            <v>14</v>
          </cell>
          <cell r="AB70">
            <v>-50</v>
          </cell>
          <cell r="AC70">
            <v>-74</v>
          </cell>
          <cell r="AD70">
            <v>-125</v>
          </cell>
          <cell r="AE70">
            <v>-116</v>
          </cell>
          <cell r="AF70">
            <v>-51</v>
          </cell>
          <cell r="AG70">
            <v>-121</v>
          </cell>
          <cell r="AH70">
            <v>-130</v>
          </cell>
          <cell r="AI70">
            <v>-132</v>
          </cell>
          <cell r="AJ70">
            <v>-106</v>
          </cell>
          <cell r="AK70">
            <v>-115</v>
          </cell>
          <cell r="AL70">
            <v>-78</v>
          </cell>
          <cell r="AM70">
            <v>-57</v>
          </cell>
          <cell r="AN70">
            <v>-28</v>
          </cell>
          <cell r="AO70">
            <v>-28</v>
          </cell>
          <cell r="AP70">
            <v>-21</v>
          </cell>
          <cell r="AQ70">
            <v>-19</v>
          </cell>
          <cell r="AR70">
            <v>21</v>
          </cell>
          <cell r="AS70">
            <v>163</v>
          </cell>
          <cell r="AT70">
            <v>87</v>
          </cell>
          <cell r="AU70">
            <v>18</v>
          </cell>
          <cell r="AZ70">
            <v>0</v>
          </cell>
          <cell r="BA70">
            <v>0</v>
          </cell>
          <cell r="BB70">
            <v>0</v>
          </cell>
          <cell r="BC70">
            <v>0</v>
          </cell>
        </row>
        <row r="71">
          <cell r="A71" t="str">
            <v>Residential UNE-P</v>
          </cell>
          <cell r="C71">
            <v>1924</v>
          </cell>
          <cell r="D71">
            <v>3874</v>
          </cell>
          <cell r="E71">
            <v>5248</v>
          </cell>
          <cell r="F71">
            <v>4939</v>
          </cell>
          <cell r="G71">
            <v>3172</v>
          </cell>
          <cell r="H71" t="str">
            <v>NA</v>
          </cell>
          <cell r="I71" t="str">
            <v>NA</v>
          </cell>
          <cell r="J71" t="str">
            <v>NA</v>
          </cell>
          <cell r="K71" t="str">
            <v>NA</v>
          </cell>
          <cell r="L71" t="str">
            <v>NA</v>
          </cell>
          <cell r="M71" t="str">
            <v>NA</v>
          </cell>
          <cell r="N71" t="str">
            <v>NA</v>
          </cell>
          <cell r="O71" t="str">
            <v>NA</v>
          </cell>
          <cell r="P71" t="str">
            <v>NA</v>
          </cell>
          <cell r="Q71" t="str">
            <v>NA</v>
          </cell>
          <cell r="R71" t="str">
            <v>NA</v>
          </cell>
          <cell r="S71" t="str">
            <v>NA</v>
          </cell>
          <cell r="T71" t="str">
            <v>NA</v>
          </cell>
          <cell r="AC71">
            <v>1278</v>
          </cell>
          <cell r="AD71">
            <v>1504</v>
          </cell>
          <cell r="AE71">
            <v>1674</v>
          </cell>
          <cell r="AF71">
            <v>1924</v>
          </cell>
          <cell r="AG71">
            <v>2475</v>
          </cell>
          <cell r="AH71">
            <v>3136</v>
          </cell>
          <cell r="AI71">
            <v>3874</v>
          </cell>
          <cell r="AJ71">
            <v>4553</v>
          </cell>
          <cell r="AK71">
            <v>4835</v>
          </cell>
          <cell r="AL71">
            <v>5134</v>
          </cell>
          <cell r="AM71">
            <v>5248</v>
          </cell>
          <cell r="AN71">
            <v>5345</v>
          </cell>
          <cell r="AO71">
            <v>5430</v>
          </cell>
          <cell r="AP71">
            <v>5200</v>
          </cell>
          <cell r="AQ71">
            <v>4939</v>
          </cell>
          <cell r="AR71">
            <v>4631</v>
          </cell>
          <cell r="AS71">
            <v>4064</v>
          </cell>
          <cell r="AT71">
            <v>3554</v>
          </cell>
          <cell r="AU71">
            <v>3172</v>
          </cell>
          <cell r="AV71" t="str">
            <v>NA</v>
          </cell>
          <cell r="AW71" t="str">
            <v>NA</v>
          </cell>
          <cell r="AX71" t="str">
            <v>NA</v>
          </cell>
          <cell r="AY71" t="str">
            <v>NA</v>
          </cell>
          <cell r="AZ71" t="str">
            <v>NA</v>
          </cell>
          <cell r="BA71" t="str">
            <v>NA</v>
          </cell>
          <cell r="BB71" t="str">
            <v>NA</v>
          </cell>
          <cell r="BC71" t="str">
            <v>NA</v>
          </cell>
          <cell r="BD71" t="str">
            <v>NA</v>
          </cell>
          <cell r="BE71" t="str">
            <v>NA</v>
          </cell>
          <cell r="BF71" t="str">
            <v>NA</v>
          </cell>
          <cell r="BG71" t="str">
            <v>NA</v>
          </cell>
          <cell r="BH71" t="str">
            <v>NA</v>
          </cell>
          <cell r="BI71" t="str">
            <v>NA</v>
          </cell>
          <cell r="BJ71" t="str">
            <v>NA</v>
          </cell>
        </row>
        <row r="72">
          <cell r="A72" t="str">
            <v>% y/y growth</v>
          </cell>
          <cell r="E72">
            <v>0.35467217346411983</v>
          </cell>
          <cell r="F72">
            <v>-5.8879573170731669E-2</v>
          </cell>
          <cell r="G72">
            <v>-0.35776472970236894</v>
          </cell>
          <cell r="AG72">
            <v>0.93661971830985924</v>
          </cell>
          <cell r="AH72">
            <v>1.0851063829787235</v>
          </cell>
          <cell r="AI72">
            <v>1.3142174432497011</v>
          </cell>
          <cell r="AJ72">
            <v>1.3664241164241164</v>
          </cell>
          <cell r="AK72">
            <v>0.95353535353535346</v>
          </cell>
          <cell r="AL72">
            <v>0.63711734693877542</v>
          </cell>
          <cell r="AM72">
            <v>0.35467217346411983</v>
          </cell>
          <cell r="AN72">
            <v>0.17395124094003944</v>
          </cell>
          <cell r="AO72">
            <v>0.12306101344364007</v>
          </cell>
          <cell r="AP72">
            <v>1.2855473315153798E-2</v>
          </cell>
          <cell r="AQ72">
            <v>-5.8879573170731669E-2</v>
          </cell>
          <cell r="AR72">
            <v>-0.13358278765201126</v>
          </cell>
          <cell r="AS72">
            <v>-0.25156537753222841</v>
          </cell>
          <cell r="AT72">
            <v>-0.31653846153846155</v>
          </cell>
          <cell r="AU72">
            <v>-0.35776472970236894</v>
          </cell>
        </row>
        <row r="73">
          <cell r="A73" t="str">
            <v>% q/q growth</v>
          </cell>
          <cell r="AD73">
            <v>0.17683881064162765</v>
          </cell>
          <cell r="AE73">
            <v>0.11303191489361697</v>
          </cell>
          <cell r="AF73">
            <v>0.14934289127837519</v>
          </cell>
          <cell r="AG73">
            <v>0.2863825363825363</v>
          </cell>
          <cell r="AH73">
            <v>0.26707070707070701</v>
          </cell>
          <cell r="AI73">
            <v>0.23533163265306123</v>
          </cell>
          <cell r="AJ73">
            <v>0.17527103768714514</v>
          </cell>
          <cell r="AK73">
            <v>6.1937184274104995E-2</v>
          </cell>
          <cell r="AL73">
            <v>6.1840744570837547E-2</v>
          </cell>
          <cell r="AM73">
            <v>2.2204908453447691E-2</v>
          </cell>
          <cell r="AN73">
            <v>1.8483231707317138E-2</v>
          </cell>
          <cell r="AO73">
            <v>1.5902712815715647E-2</v>
          </cell>
          <cell r="AP73">
            <v>-4.2357274401473299E-2</v>
          </cell>
          <cell r="AQ73">
            <v>-5.0192307692307647E-2</v>
          </cell>
          <cell r="AR73">
            <v>-6.2360801781737196E-2</v>
          </cell>
          <cell r="AS73">
            <v>-0.12243575901533144</v>
          </cell>
          <cell r="AT73">
            <v>-0.12549212598425197</v>
          </cell>
          <cell r="AU73">
            <v>-0.10748452447945978</v>
          </cell>
        </row>
        <row r="74">
          <cell r="A74" t="str">
            <v>sequential lines added (lost)</v>
          </cell>
          <cell r="E74">
            <v>1374</v>
          </cell>
          <cell r="F74">
            <v>-309</v>
          </cell>
          <cell r="G74">
            <v>-1767</v>
          </cell>
          <cell r="AC74">
            <v>1278</v>
          </cell>
          <cell r="AD74">
            <v>226</v>
          </cell>
          <cell r="AE74">
            <v>170</v>
          </cell>
          <cell r="AF74">
            <v>250</v>
          </cell>
          <cell r="AG74">
            <v>551</v>
          </cell>
          <cell r="AH74">
            <v>661</v>
          </cell>
          <cell r="AI74">
            <v>738</v>
          </cell>
          <cell r="AJ74">
            <v>679</v>
          </cell>
          <cell r="AK74">
            <v>282</v>
          </cell>
          <cell r="AL74">
            <v>299</v>
          </cell>
          <cell r="AM74">
            <v>114</v>
          </cell>
          <cell r="AN74">
            <v>97</v>
          </cell>
          <cell r="AO74">
            <v>85</v>
          </cell>
          <cell r="AP74">
            <v>-230</v>
          </cell>
          <cell r="AQ74">
            <v>-261</v>
          </cell>
          <cell r="AR74">
            <v>-308</v>
          </cell>
          <cell r="AS74">
            <v>-567</v>
          </cell>
          <cell r="AT74">
            <v>-510</v>
          </cell>
          <cell r="AU74">
            <v>-382</v>
          </cell>
        </row>
        <row r="75">
          <cell r="A75" t="str">
            <v>Business UNE-P</v>
          </cell>
          <cell r="D75">
            <v>1089</v>
          </cell>
          <cell r="E75">
            <v>1416</v>
          </cell>
          <cell r="F75">
            <v>1558</v>
          </cell>
          <cell r="G75">
            <v>1128</v>
          </cell>
          <cell r="H75" t="str">
            <v>NA</v>
          </cell>
          <cell r="I75" t="str">
            <v>NA</v>
          </cell>
          <cell r="J75" t="str">
            <v>NA</v>
          </cell>
          <cell r="K75" t="str">
            <v>NA</v>
          </cell>
          <cell r="L75" t="str">
            <v>NA</v>
          </cell>
          <cell r="M75" t="str">
            <v>NA</v>
          </cell>
          <cell r="N75" t="str">
            <v>NA</v>
          </cell>
          <cell r="O75" t="str">
            <v>NA</v>
          </cell>
          <cell r="P75" t="str">
            <v>NA</v>
          </cell>
          <cell r="Q75" t="str">
            <v>NA</v>
          </cell>
          <cell r="R75" t="str">
            <v>NA</v>
          </cell>
          <cell r="S75" t="str">
            <v>NA</v>
          </cell>
          <cell r="T75" t="str">
            <v>NA</v>
          </cell>
          <cell r="AC75">
            <v>482</v>
          </cell>
          <cell r="AD75">
            <v>655</v>
          </cell>
          <cell r="AE75">
            <v>726</v>
          </cell>
          <cell r="AF75">
            <v>827</v>
          </cell>
          <cell r="AG75">
            <v>938</v>
          </cell>
          <cell r="AH75">
            <v>1029</v>
          </cell>
          <cell r="AI75">
            <v>1089</v>
          </cell>
          <cell r="AJ75">
            <v>1176</v>
          </cell>
          <cell r="AK75">
            <v>1267</v>
          </cell>
          <cell r="AL75">
            <v>1361</v>
          </cell>
          <cell r="AM75">
            <v>1416</v>
          </cell>
          <cell r="AN75">
            <v>1476</v>
          </cell>
          <cell r="AO75">
            <v>1544</v>
          </cell>
          <cell r="AP75">
            <v>1582</v>
          </cell>
          <cell r="AQ75">
            <v>1558</v>
          </cell>
          <cell r="AR75">
            <v>1502</v>
          </cell>
          <cell r="AS75">
            <v>1380</v>
          </cell>
          <cell r="AT75">
            <v>1249</v>
          </cell>
          <cell r="AU75">
            <v>1128</v>
          </cell>
          <cell r="AV75" t="str">
            <v>NA</v>
          </cell>
          <cell r="AW75" t="str">
            <v>NA</v>
          </cell>
          <cell r="AX75" t="str">
            <v>NA</v>
          </cell>
          <cell r="AY75" t="str">
            <v>NA</v>
          </cell>
          <cell r="AZ75" t="str">
            <v>NA</v>
          </cell>
          <cell r="BA75" t="str">
            <v>NA</v>
          </cell>
          <cell r="BB75" t="str">
            <v>NA</v>
          </cell>
          <cell r="BC75" t="str">
            <v>NA</v>
          </cell>
          <cell r="BD75" t="str">
            <v>NA</v>
          </cell>
          <cell r="BE75" t="str">
            <v>NA</v>
          </cell>
          <cell r="BF75" t="str">
            <v>NA</v>
          </cell>
          <cell r="BG75" t="str">
            <v>NA</v>
          </cell>
          <cell r="BH75" t="str">
            <v>NA</v>
          </cell>
          <cell r="BI75" t="str">
            <v>NA</v>
          </cell>
          <cell r="BJ75" t="str">
            <v>NA</v>
          </cell>
        </row>
        <row r="76">
          <cell r="A76" t="str">
            <v>% y/y growth</v>
          </cell>
          <cell r="E76">
            <v>0.30027548209366395</v>
          </cell>
          <cell r="F76">
            <v>0.10028248587570632</v>
          </cell>
          <cell r="G76">
            <v>-0.27599486521181005</v>
          </cell>
          <cell r="AG76">
            <v>0.94605809128630702</v>
          </cell>
          <cell r="AH76">
            <v>0.57099236641221385</v>
          </cell>
          <cell r="AI76">
            <v>0.5</v>
          </cell>
          <cell r="AJ76">
            <v>0.42200725513905679</v>
          </cell>
          <cell r="AK76">
            <v>0.35074626865671643</v>
          </cell>
          <cell r="AL76">
            <v>0.32264334305150633</v>
          </cell>
          <cell r="AM76">
            <v>0.30027548209366395</v>
          </cell>
          <cell r="AN76">
            <v>0.25510204081632648</v>
          </cell>
          <cell r="AO76">
            <v>0.218626677190213</v>
          </cell>
          <cell r="AP76">
            <v>0.16238060249816311</v>
          </cell>
          <cell r="AQ76">
            <v>0.10028248587570632</v>
          </cell>
          <cell r="AR76">
            <v>1.7615176151761558E-2</v>
          </cell>
          <cell r="AS76">
            <v>-0.10621761658031093</v>
          </cell>
          <cell r="AT76">
            <v>-0.2104930467762326</v>
          </cell>
          <cell r="AU76">
            <v>-0.27599486521181005</v>
          </cell>
        </row>
        <row r="77">
          <cell r="A77" t="str">
            <v>% q/q growth</v>
          </cell>
          <cell r="AD77">
            <v>0.3589211618257262</v>
          </cell>
          <cell r="AE77">
            <v>0.10839694656488552</v>
          </cell>
          <cell r="AF77">
            <v>0.1391184573002755</v>
          </cell>
          <cell r="AG77">
            <v>0.13422007255139068</v>
          </cell>
          <cell r="AH77">
            <v>9.7014925373134275E-2</v>
          </cell>
          <cell r="AI77">
            <v>5.8309037900874605E-2</v>
          </cell>
          <cell r="AJ77">
            <v>7.9889807162534465E-2</v>
          </cell>
          <cell r="AK77">
            <v>7.7380952380952328E-2</v>
          </cell>
          <cell r="AL77">
            <v>7.4191002367797854E-2</v>
          </cell>
          <cell r="AM77">
            <v>4.0411462160176326E-2</v>
          </cell>
          <cell r="AN77">
            <v>4.2372881355932313E-2</v>
          </cell>
          <cell r="AO77">
            <v>4.6070460704606964E-2</v>
          </cell>
          <cell r="AP77">
            <v>2.4611398963730657E-2</v>
          </cell>
          <cell r="AQ77">
            <v>-1.5170670037926715E-2</v>
          </cell>
          <cell r="AR77">
            <v>-3.5943517329910191E-2</v>
          </cell>
          <cell r="AS77">
            <v>-8.1225033288948034E-2</v>
          </cell>
          <cell r="AT77">
            <v>-9.4927536231884102E-2</v>
          </cell>
          <cell r="AU77">
            <v>-9.6877502001601279E-2</v>
          </cell>
        </row>
        <row r="78">
          <cell r="A78" t="str">
            <v>sequential lines added (lost)</v>
          </cell>
          <cell r="E78">
            <v>327</v>
          </cell>
          <cell r="F78">
            <v>142</v>
          </cell>
          <cell r="G78">
            <v>-430</v>
          </cell>
          <cell r="AC78">
            <v>482</v>
          </cell>
          <cell r="AD78">
            <v>173</v>
          </cell>
          <cell r="AE78">
            <v>71</v>
          </cell>
          <cell r="AF78">
            <v>101</v>
          </cell>
          <cell r="AG78">
            <v>111</v>
          </cell>
          <cell r="AH78">
            <v>91</v>
          </cell>
          <cell r="AI78">
            <v>60</v>
          </cell>
          <cell r="AJ78">
            <v>87</v>
          </cell>
          <cell r="AK78">
            <v>91</v>
          </cell>
          <cell r="AL78">
            <v>94</v>
          </cell>
          <cell r="AM78">
            <v>55</v>
          </cell>
          <cell r="AN78">
            <v>60</v>
          </cell>
          <cell r="AO78">
            <v>68</v>
          </cell>
          <cell r="AP78">
            <v>38</v>
          </cell>
          <cell r="AQ78">
            <v>-24</v>
          </cell>
          <cell r="AR78">
            <v>-56</v>
          </cell>
          <cell r="AS78">
            <v>-122</v>
          </cell>
          <cell r="AT78">
            <v>-131</v>
          </cell>
          <cell r="AU78">
            <v>-121</v>
          </cell>
        </row>
        <row r="79">
          <cell r="A79" t="str">
            <v>Total UNE-P</v>
          </cell>
          <cell r="B79">
            <v>1012</v>
          </cell>
          <cell r="C79">
            <v>2400</v>
          </cell>
          <cell r="D79">
            <v>4963</v>
          </cell>
          <cell r="E79">
            <v>6664</v>
          </cell>
          <cell r="F79">
            <v>6497</v>
          </cell>
          <cell r="G79">
            <v>4300</v>
          </cell>
          <cell r="H79" t="str">
            <v>NA</v>
          </cell>
          <cell r="I79" t="str">
            <v>NA</v>
          </cell>
          <cell r="J79" t="str">
            <v>NA</v>
          </cell>
          <cell r="K79" t="str">
            <v>NA</v>
          </cell>
          <cell r="L79" t="str">
            <v>NA</v>
          </cell>
          <cell r="M79" t="str">
            <v>NA</v>
          </cell>
          <cell r="N79" t="str">
            <v>NA</v>
          </cell>
          <cell r="O79" t="str">
            <v>NA</v>
          </cell>
          <cell r="P79" t="str">
            <v>NA</v>
          </cell>
          <cell r="Q79" t="str">
            <v>NA</v>
          </cell>
          <cell r="R79" t="str">
            <v>NA</v>
          </cell>
          <cell r="S79" t="str">
            <v>NA</v>
          </cell>
          <cell r="T79" t="str">
            <v>NA</v>
          </cell>
          <cell r="X79">
            <v>263</v>
          </cell>
          <cell r="Y79">
            <v>479</v>
          </cell>
          <cell r="Z79">
            <v>735</v>
          </cell>
          <cell r="AA79">
            <v>1012</v>
          </cell>
          <cell r="AB79">
            <v>1373</v>
          </cell>
          <cell r="AC79">
            <v>1760</v>
          </cell>
          <cell r="AD79">
            <v>2159</v>
          </cell>
          <cell r="AE79">
            <v>2400</v>
          </cell>
          <cell r="AF79">
            <v>2751</v>
          </cell>
          <cell r="AG79">
            <v>3413</v>
          </cell>
          <cell r="AH79">
            <v>4165</v>
          </cell>
          <cell r="AI79">
            <v>4963</v>
          </cell>
          <cell r="AJ79">
            <v>5729</v>
          </cell>
          <cell r="AK79">
            <v>6102</v>
          </cell>
          <cell r="AL79">
            <v>6495</v>
          </cell>
          <cell r="AM79">
            <v>6664</v>
          </cell>
          <cell r="AN79">
            <v>6821</v>
          </cell>
          <cell r="AO79">
            <v>6974</v>
          </cell>
          <cell r="AP79">
            <v>6782</v>
          </cell>
          <cell r="AQ79">
            <v>6497</v>
          </cell>
          <cell r="AR79">
            <v>6133</v>
          </cell>
          <cell r="AS79">
            <v>5444</v>
          </cell>
          <cell r="AT79">
            <v>4803</v>
          </cell>
          <cell r="AU79">
            <v>4300</v>
          </cell>
          <cell r="AV79" t="str">
            <v>NA</v>
          </cell>
          <cell r="AW79" t="str">
            <v>NA</v>
          </cell>
          <cell r="AX79" t="str">
            <v>NA</v>
          </cell>
          <cell r="AY79" t="str">
            <v>NA</v>
          </cell>
          <cell r="AZ79" t="str">
            <v>NA</v>
          </cell>
          <cell r="BA79" t="str">
            <v>NA</v>
          </cell>
          <cell r="BB79" t="str">
            <v>NA</v>
          </cell>
          <cell r="BC79" t="str">
            <v>NA</v>
          </cell>
          <cell r="BD79" t="str">
            <v>NA</v>
          </cell>
          <cell r="BE79" t="str">
            <v>NA</v>
          </cell>
          <cell r="BF79" t="str">
            <v>NA</v>
          </cell>
          <cell r="BG79" t="str">
            <v>NA</v>
          </cell>
          <cell r="BH79" t="str">
            <v>NA</v>
          </cell>
          <cell r="BI79" t="str">
            <v>NA</v>
          </cell>
          <cell r="BJ79" t="str">
            <v>NA</v>
          </cell>
        </row>
        <row r="80">
          <cell r="A80" t="str">
            <v>% y/y growth</v>
          </cell>
          <cell r="C80">
            <v>1.3715415019762847</v>
          </cell>
          <cell r="D80">
            <v>1.0679166666666666</v>
          </cell>
          <cell r="E80">
            <v>0.34273624823695337</v>
          </cell>
          <cell r="F80">
            <v>-2.5060024009603832E-2</v>
          </cell>
          <cell r="G80">
            <v>-0.33815607203324616</v>
          </cell>
          <cell r="AB80">
            <v>4.2205323193916353</v>
          </cell>
          <cell r="AC80">
            <v>2.6743215031315239</v>
          </cell>
          <cell r="AD80">
            <v>1.9374149659863944</v>
          </cell>
          <cell r="AE80">
            <v>1.3715415019762847</v>
          </cell>
          <cell r="AF80">
            <v>1.0036416605972325</v>
          </cell>
          <cell r="AG80">
            <v>0.93920454545454546</v>
          </cell>
          <cell r="AH80">
            <v>0.92913385826771644</v>
          </cell>
          <cell r="AI80">
            <v>1.0679166666666666</v>
          </cell>
          <cell r="AJ80">
            <v>1.0825154489276625</v>
          </cell>
          <cell r="AK80">
            <v>0.78786990917081745</v>
          </cell>
          <cell r="AL80">
            <v>0.55942376950780304</v>
          </cell>
          <cell r="AM80">
            <v>0.34273624823695337</v>
          </cell>
          <cell r="AN80">
            <v>0.19060918135800309</v>
          </cell>
          <cell r="AO80">
            <v>0.14290396591281551</v>
          </cell>
          <cell r="AP80">
            <v>4.4187836797536573E-2</v>
          </cell>
          <cell r="AQ80">
            <v>-2.5060024009603832E-2</v>
          </cell>
          <cell r="AR80">
            <v>-0.10086497580999854</v>
          </cell>
          <cell r="AS80">
            <v>-0.21938629194149695</v>
          </cell>
          <cell r="AT80">
            <v>-0.29180182836921265</v>
          </cell>
          <cell r="AU80">
            <v>-0.33815607203324616</v>
          </cell>
        </row>
        <row r="81">
          <cell r="A81" t="str">
            <v>% q/q growth</v>
          </cell>
          <cell r="Y81">
            <v>0.82129277566539916</v>
          </cell>
          <cell r="Z81">
            <v>0.53444676409185798</v>
          </cell>
          <cell r="AA81">
            <v>0.37687074829931966</v>
          </cell>
          <cell r="AB81">
            <v>0.35671936758893286</v>
          </cell>
          <cell r="AC81">
            <v>0.28186453022578295</v>
          </cell>
          <cell r="AD81">
            <v>0.22670454545454555</v>
          </cell>
          <cell r="AE81">
            <v>0.11162575266327002</v>
          </cell>
          <cell r="AF81">
            <v>0.14624999999999999</v>
          </cell>
          <cell r="AG81">
            <v>0.24063976735732462</v>
          </cell>
          <cell r="AH81">
            <v>0.22033401699384703</v>
          </cell>
          <cell r="AI81">
            <v>0.19159663865546217</v>
          </cell>
          <cell r="AJ81">
            <v>0.15434213177513612</v>
          </cell>
          <cell r="AK81">
            <v>6.5107348577413182E-2</v>
          </cell>
          <cell r="AL81">
            <v>6.4405113077679488E-2</v>
          </cell>
          <cell r="AM81">
            <v>2.6020015396458707E-2</v>
          </cell>
          <cell r="AN81">
            <v>2.3559423769507815E-2</v>
          </cell>
          <cell r="AO81">
            <v>2.2430728632165442E-2</v>
          </cell>
          <cell r="AP81">
            <v>-2.7530828792658446E-2</v>
          </cell>
          <cell r="AQ81">
            <v>-4.2023002064287773E-2</v>
          </cell>
          <cell r="AR81">
            <v>-5.6025858088348479E-2</v>
          </cell>
          <cell r="AS81">
            <v>-0.11234306212294143</v>
          </cell>
          <cell r="AT81">
            <v>-0.11774430565760474</v>
          </cell>
          <cell r="AU81">
            <v>-0.10472621278367689</v>
          </cell>
        </row>
        <row r="82">
          <cell r="A82" t="str">
            <v>sequential lines added (lost)</v>
          </cell>
          <cell r="C82">
            <v>1388</v>
          </cell>
          <cell r="D82">
            <v>2563</v>
          </cell>
          <cell r="E82">
            <v>1701</v>
          </cell>
          <cell r="F82">
            <v>-167</v>
          </cell>
          <cell r="G82">
            <v>-2197</v>
          </cell>
          <cell r="Y82">
            <v>216</v>
          </cell>
          <cell r="Z82">
            <v>256</v>
          </cell>
          <cell r="AA82">
            <v>277</v>
          </cell>
          <cell r="AB82">
            <v>361</v>
          </cell>
          <cell r="AC82">
            <v>387</v>
          </cell>
          <cell r="AD82">
            <v>399</v>
          </cell>
          <cell r="AE82">
            <v>241</v>
          </cell>
          <cell r="AF82">
            <v>351</v>
          </cell>
          <cell r="AG82">
            <v>662</v>
          </cell>
          <cell r="AH82">
            <v>752</v>
          </cell>
          <cell r="AI82">
            <v>798</v>
          </cell>
          <cell r="AJ82">
            <v>766</v>
          </cell>
          <cell r="AK82">
            <v>373</v>
          </cell>
          <cell r="AL82">
            <v>393</v>
          </cell>
          <cell r="AM82">
            <v>169</v>
          </cell>
          <cell r="AN82">
            <v>157</v>
          </cell>
          <cell r="AO82">
            <v>153</v>
          </cell>
          <cell r="AP82">
            <v>-192</v>
          </cell>
          <cell r="AQ82">
            <v>-285</v>
          </cell>
          <cell r="AR82">
            <v>-364</v>
          </cell>
          <cell r="AS82">
            <v>-689</v>
          </cell>
          <cell r="AT82">
            <v>-641</v>
          </cell>
          <cell r="AU82">
            <v>-503</v>
          </cell>
        </row>
        <row r="83">
          <cell r="A83" t="str">
            <v>Total Wholesale Access Lines</v>
          </cell>
          <cell r="B83">
            <v>3345</v>
          </cell>
          <cell r="C83">
            <v>4162</v>
          </cell>
          <cell r="D83">
            <v>6274</v>
          </cell>
          <cell r="E83">
            <v>7577</v>
          </cell>
          <cell r="F83">
            <v>7276</v>
          </cell>
          <cell r="G83">
            <v>5273</v>
          </cell>
          <cell r="H83">
            <v>3864</v>
          </cell>
          <cell r="I83">
            <v>3754</v>
          </cell>
          <cell r="J83">
            <v>3170</v>
          </cell>
          <cell r="K83">
            <v>2908</v>
          </cell>
          <cell r="L83">
            <v>2430</v>
          </cell>
          <cell r="M83">
            <v>2167</v>
          </cell>
          <cell r="N83">
            <v>1940</v>
          </cell>
          <cell r="O83">
            <v>1740</v>
          </cell>
          <cell r="P83">
            <v>1590</v>
          </cell>
          <cell r="Q83">
            <v>1510</v>
          </cell>
          <cell r="R83">
            <v>1430</v>
          </cell>
          <cell r="S83">
            <v>1350</v>
          </cell>
          <cell r="T83">
            <v>1270</v>
          </cell>
          <cell r="X83">
            <v>2612</v>
          </cell>
          <cell r="Y83">
            <v>2810</v>
          </cell>
          <cell r="Z83">
            <v>3067</v>
          </cell>
          <cell r="AA83">
            <v>3345</v>
          </cell>
          <cell r="AB83">
            <v>3635</v>
          </cell>
          <cell r="AC83">
            <v>3825</v>
          </cell>
          <cell r="AD83">
            <v>4067</v>
          </cell>
          <cell r="AE83">
            <v>4162</v>
          </cell>
          <cell r="AF83">
            <v>4446</v>
          </cell>
          <cell r="AG83">
            <v>5005</v>
          </cell>
          <cell r="AH83">
            <v>5610</v>
          </cell>
          <cell r="AI83">
            <v>6274</v>
          </cell>
          <cell r="AJ83">
            <v>6923</v>
          </cell>
          <cell r="AK83">
            <v>7174</v>
          </cell>
          <cell r="AL83">
            <v>7480</v>
          </cell>
          <cell r="AM83">
            <v>7577</v>
          </cell>
          <cell r="AN83">
            <v>7697</v>
          </cell>
          <cell r="AO83">
            <v>7817</v>
          </cell>
          <cell r="AP83">
            <v>7590</v>
          </cell>
          <cell r="AQ83">
            <v>7276</v>
          </cell>
          <cell r="AR83">
            <v>6921</v>
          </cell>
          <cell r="AS83">
            <v>6375</v>
          </cell>
          <cell r="AT83">
            <v>5795</v>
          </cell>
          <cell r="AU83">
            <v>5273</v>
          </cell>
          <cell r="AV83">
            <v>4975</v>
          </cell>
          <cell r="AW83">
            <v>4639</v>
          </cell>
          <cell r="AX83">
            <v>4236</v>
          </cell>
          <cell r="AY83">
            <v>3864</v>
          </cell>
          <cell r="AZ83">
            <v>5451</v>
          </cell>
          <cell r="BA83">
            <v>4572</v>
          </cell>
          <cell r="BB83">
            <v>4090</v>
          </cell>
          <cell r="BC83">
            <v>3754</v>
          </cell>
          <cell r="BD83">
            <v>3590</v>
          </cell>
          <cell r="BE83">
            <v>3412</v>
          </cell>
          <cell r="BF83">
            <v>3281</v>
          </cell>
          <cell r="BG83">
            <v>3170</v>
          </cell>
          <cell r="BH83">
            <v>3053</v>
          </cell>
          <cell r="BI83">
            <v>2961</v>
          </cell>
          <cell r="BJ83">
            <v>2936</v>
          </cell>
          <cell r="BK83">
            <v>2908</v>
          </cell>
          <cell r="BL83">
            <v>2741</v>
          </cell>
          <cell r="BM83">
            <v>2641</v>
          </cell>
          <cell r="BN83">
            <v>2605</v>
          </cell>
          <cell r="BO83">
            <v>2430</v>
          </cell>
          <cell r="BP83">
            <v>2322</v>
          </cell>
          <cell r="BQ83">
            <v>2270</v>
          </cell>
          <cell r="BR83">
            <v>2206</v>
          </cell>
          <cell r="BS83">
            <v>2167</v>
          </cell>
          <cell r="BT83">
            <v>2085</v>
          </cell>
          <cell r="BU83">
            <v>1985</v>
          </cell>
          <cell r="BV83">
            <v>1980</v>
          </cell>
          <cell r="BW83">
            <v>1940</v>
          </cell>
          <cell r="BX83">
            <v>1885</v>
          </cell>
          <cell r="BY83">
            <v>1805</v>
          </cell>
          <cell r="BZ83">
            <v>1770</v>
          </cell>
          <cell r="CA83">
            <v>1740</v>
          </cell>
        </row>
        <row r="84">
          <cell r="A84" t="str">
            <v>% y/y growth</v>
          </cell>
          <cell r="C84">
            <v>0.24424514200298963</v>
          </cell>
          <cell r="D84">
            <v>0.50744834214320034</v>
          </cell>
          <cell r="E84">
            <v>0.20768249920306014</v>
          </cell>
          <cell r="F84">
            <v>-3.9725485020456697E-2</v>
          </cell>
          <cell r="G84">
            <v>-0.27528862012094557</v>
          </cell>
          <cell r="H84">
            <v>-0.26721031670775652</v>
          </cell>
          <cell r="I84">
            <v>-2.8467908902691463E-2</v>
          </cell>
          <cell r="J84">
            <v>-0.15556739477890247</v>
          </cell>
          <cell r="K84">
            <v>-8.264984227129335E-2</v>
          </cell>
          <cell r="L84">
            <v>-0.16437414030261344</v>
          </cell>
          <cell r="M84">
            <v>-0.10823045267489717</v>
          </cell>
          <cell r="N84">
            <v>-0.10475311490539918</v>
          </cell>
          <cell r="O84">
            <v>-0.10309278350515461</v>
          </cell>
          <cell r="P84">
            <v>-8.6206896551724088E-2</v>
          </cell>
          <cell r="Q84">
            <v>-5.031446540880502E-2</v>
          </cell>
          <cell r="R84">
            <v>-5.2980132450331174E-2</v>
          </cell>
          <cell r="S84">
            <v>-5.5944055944055937E-2</v>
          </cell>
          <cell r="T84">
            <v>-5.9259259259259234E-2</v>
          </cell>
          <cell r="AB84">
            <v>0.39165390505359876</v>
          </cell>
          <cell r="AC84">
            <v>0.36120996441281128</v>
          </cell>
          <cell r="AD84">
            <v>0.32605151613955008</v>
          </cell>
          <cell r="AE84">
            <v>0.24424514200298963</v>
          </cell>
          <cell r="AF84">
            <v>0.22310866574965615</v>
          </cell>
          <cell r="AG84">
            <v>0.30849673202614381</v>
          </cell>
          <cell r="AH84">
            <v>0.37939513154659443</v>
          </cell>
          <cell r="AI84">
            <v>0.50744834214320034</v>
          </cell>
          <cell r="AJ84">
            <v>0.55713000449842554</v>
          </cell>
          <cell r="AK84">
            <v>0.43336663336663328</v>
          </cell>
          <cell r="AL84">
            <v>0.33333333333333326</v>
          </cell>
          <cell r="AM84">
            <v>0.20768249920306014</v>
          </cell>
          <cell r="AN84">
            <v>0.11180124223602483</v>
          </cell>
          <cell r="AO84">
            <v>8.9629216615556118E-2</v>
          </cell>
          <cell r="AP84">
            <v>1.4705882352941124E-2</v>
          </cell>
          <cell r="AQ84">
            <v>-3.9725485020456697E-2</v>
          </cell>
          <cell r="AR84">
            <v>-0.10081850071456411</v>
          </cell>
          <cell r="AS84">
            <v>-0.1844697454266343</v>
          </cell>
          <cell r="AT84">
            <v>-0.23649538866930175</v>
          </cell>
          <cell r="AU84">
            <v>-0.27528862012094557</v>
          </cell>
          <cell r="AV84">
            <v>-0.28117324086114726</v>
          </cell>
          <cell r="AW84">
            <v>-0.27231372549019606</v>
          </cell>
          <cell r="AX84">
            <v>-0.26902502157031927</v>
          </cell>
          <cell r="AY84">
            <v>-0.26721031670775652</v>
          </cell>
          <cell r="AZ84">
            <v>9.5678391959798992E-2</v>
          </cell>
          <cell r="BA84">
            <v>-1.4442767837896109E-2</v>
          </cell>
          <cell r="BB84">
            <v>-3.4466477809254048E-2</v>
          </cell>
          <cell r="BC84">
            <v>-2.8467908902691463E-2</v>
          </cell>
          <cell r="BD84">
            <v>-0.34140524674371675</v>
          </cell>
          <cell r="BE84">
            <v>-0.25371828521434825</v>
          </cell>
          <cell r="BF84">
            <v>-0.19779951100244497</v>
          </cell>
          <cell r="BG84">
            <v>-0.15556739477890247</v>
          </cell>
          <cell r="BH84">
            <v>-0.14958217270194984</v>
          </cell>
          <cell r="BI84">
            <v>-0.13218053927315354</v>
          </cell>
          <cell r="BJ84">
            <v>-0.10515086863761047</v>
          </cell>
          <cell r="BK84">
            <v>-8.264984227129335E-2</v>
          </cell>
          <cell r="BL84">
            <v>-0.10219456272518834</v>
          </cell>
          <cell r="BM84">
            <v>-0.10807159743329953</v>
          </cell>
          <cell r="BN84">
            <v>-0.1127384196185286</v>
          </cell>
          <cell r="BO84">
            <v>-0.16437414030261344</v>
          </cell>
          <cell r="BP84">
            <v>-0.15286391827800072</v>
          </cell>
          <cell r="BQ84">
            <v>-0.14047709201060199</v>
          </cell>
          <cell r="BR84">
            <v>-0.15316698656429939</v>
          </cell>
          <cell r="BS84">
            <v>-0.10823045267489717</v>
          </cell>
          <cell r="BT84">
            <v>-0.1020671834625323</v>
          </cell>
          <cell r="BU84">
            <v>-0.12555066079295152</v>
          </cell>
          <cell r="BV84">
            <v>-0.10244786944696282</v>
          </cell>
          <cell r="BW84">
            <v>-0.10475311490539918</v>
          </cell>
          <cell r="BX84">
            <v>-9.5923261390887249E-2</v>
          </cell>
          <cell r="BY84">
            <v>-9.0680100755667459E-2</v>
          </cell>
          <cell r="BZ84">
            <v>-0.10606060606060608</v>
          </cell>
          <cell r="CA84">
            <v>-0.10309278350515461</v>
          </cell>
        </row>
        <row r="85">
          <cell r="A85" t="str">
            <v>% q/q growth</v>
          </cell>
          <cell r="Y85">
            <v>7.5803981623277172E-2</v>
          </cell>
          <cell r="Z85">
            <v>9.1459074733096113E-2</v>
          </cell>
          <cell r="AA85">
            <v>9.0642321486794852E-2</v>
          </cell>
          <cell r="AB85">
            <v>8.6696562032885005E-2</v>
          </cell>
          <cell r="AC85">
            <v>5.2269601100412677E-2</v>
          </cell>
          <cell r="AD85">
            <v>6.3267973856209192E-2</v>
          </cell>
          <cell r="AE85">
            <v>2.3358741086796142E-2</v>
          </cell>
          <cell r="AF85">
            <v>6.8236424795771189E-2</v>
          </cell>
          <cell r="AG85">
            <v>0.1257309941520468</v>
          </cell>
          <cell r="AH85">
            <v>0.12087912087912089</v>
          </cell>
          <cell r="AI85">
            <v>0.11836007130124782</v>
          </cell>
          <cell r="AJ85">
            <v>0.10344277972585281</v>
          </cell>
          <cell r="AK85">
            <v>3.625595839953788E-2</v>
          </cell>
          <cell r="AL85">
            <v>4.2654028436019065E-2</v>
          </cell>
          <cell r="AM85">
            <v>1.2967914438502648E-2</v>
          </cell>
          <cell r="AN85">
            <v>1.5837402665962674E-2</v>
          </cell>
          <cell r="AO85">
            <v>1.5590489801221352E-2</v>
          </cell>
          <cell r="AP85">
            <v>-2.9039273378533959E-2</v>
          </cell>
          <cell r="AQ85">
            <v>-4.1370223978919651E-2</v>
          </cell>
          <cell r="AR85">
            <v>-4.8790544255085222E-2</v>
          </cell>
          <cell r="AS85">
            <v>-7.8890333766796661E-2</v>
          </cell>
          <cell r="AT85">
            <v>-9.0980392156862711E-2</v>
          </cell>
          <cell r="AU85">
            <v>-9.0077653149266634E-2</v>
          </cell>
          <cell r="AV85">
            <v>-5.6514318224919369E-2</v>
          </cell>
          <cell r="AW85">
            <v>-6.7537688442211086E-2</v>
          </cell>
          <cell r="AX85">
            <v>-8.6872170726449705E-2</v>
          </cell>
          <cell r="AY85">
            <v>-8.7818696883852687E-2</v>
          </cell>
          <cell r="AZ85">
            <v>0.41071428571428581</v>
          </cell>
          <cell r="BA85">
            <v>-0.16125481563015964</v>
          </cell>
          <cell r="BB85">
            <v>-0.10542432195975504</v>
          </cell>
          <cell r="BC85">
            <v>-8.2151589242053791E-2</v>
          </cell>
          <cell r="BD85">
            <v>-4.3686734150239714E-2</v>
          </cell>
          <cell r="BE85">
            <v>-4.9582172701949867E-2</v>
          </cell>
          <cell r="BF85">
            <v>-3.8393903868698676E-2</v>
          </cell>
          <cell r="BG85">
            <v>-3.38311490399269E-2</v>
          </cell>
          <cell r="BH85">
            <v>-3.6908517350157766E-2</v>
          </cell>
          <cell r="BI85">
            <v>-3.0134294136914486E-2</v>
          </cell>
          <cell r="BJ85">
            <v>-8.4430935494764769E-3</v>
          </cell>
          <cell r="BK85">
            <v>-9.5367847411443885E-3</v>
          </cell>
          <cell r="BL85">
            <v>-5.7427785419532307E-2</v>
          </cell>
          <cell r="BM85">
            <v>-3.648303538854436E-2</v>
          </cell>
          <cell r="BN85">
            <v>-1.3631200302915536E-2</v>
          </cell>
          <cell r="BO85">
            <v>-6.7178502879078672E-2</v>
          </cell>
          <cell r="BP85">
            <v>-4.4444444444444398E-2</v>
          </cell>
          <cell r="BQ85">
            <v>-2.2394487510766559E-2</v>
          </cell>
          <cell r="BR85">
            <v>-2.8193832599118895E-2</v>
          </cell>
          <cell r="BS85">
            <v>-1.7679057116953723E-2</v>
          </cell>
          <cell r="BT85">
            <v>-3.7840332256575904E-2</v>
          </cell>
          <cell r="BU85">
            <v>-4.796163069544368E-2</v>
          </cell>
          <cell r="BV85">
            <v>-2.5188916876573986E-3</v>
          </cell>
          <cell r="BW85">
            <v>-2.0202020202020221E-2</v>
          </cell>
          <cell r="BX85">
            <v>-2.8350515463917536E-2</v>
          </cell>
          <cell r="BY85">
            <v>-4.2440318302387259E-2</v>
          </cell>
          <cell r="BZ85">
            <v>-1.939058171745156E-2</v>
          </cell>
          <cell r="CA85">
            <v>-1.6949152542372836E-2</v>
          </cell>
        </row>
        <row r="86">
          <cell r="A86" t="str">
            <v>sequential lines added (lost)</v>
          </cell>
          <cell r="C86">
            <v>817</v>
          </cell>
          <cell r="D86">
            <v>2112</v>
          </cell>
          <cell r="E86">
            <v>1303</v>
          </cell>
          <cell r="F86">
            <v>-301</v>
          </cell>
          <cell r="G86">
            <v>-2003</v>
          </cell>
          <cell r="H86">
            <v>-1409</v>
          </cell>
          <cell r="I86">
            <v>-110</v>
          </cell>
          <cell r="J86">
            <v>-584</v>
          </cell>
          <cell r="K86">
            <v>-262</v>
          </cell>
          <cell r="L86">
            <v>-478</v>
          </cell>
          <cell r="M86">
            <v>-263</v>
          </cell>
          <cell r="N86">
            <v>-227</v>
          </cell>
          <cell r="O86">
            <v>-200</v>
          </cell>
          <cell r="P86">
            <v>-150</v>
          </cell>
          <cell r="Q86">
            <v>-80</v>
          </cell>
          <cell r="R86">
            <v>-80</v>
          </cell>
          <cell r="S86">
            <v>-80</v>
          </cell>
          <cell r="T86">
            <v>-80</v>
          </cell>
          <cell r="Y86">
            <v>198</v>
          </cell>
          <cell r="Z86">
            <v>257</v>
          </cell>
          <cell r="AA86">
            <v>278</v>
          </cell>
          <cell r="AB86">
            <v>290</v>
          </cell>
          <cell r="AC86">
            <v>190</v>
          </cell>
          <cell r="AD86">
            <v>242</v>
          </cell>
          <cell r="AE86">
            <v>95</v>
          </cell>
          <cell r="AF86">
            <v>284</v>
          </cell>
          <cell r="AG86">
            <v>559</v>
          </cell>
          <cell r="AH86">
            <v>605</v>
          </cell>
          <cell r="AI86">
            <v>664</v>
          </cell>
          <cell r="AJ86">
            <v>649</v>
          </cell>
          <cell r="AK86">
            <v>251</v>
          </cell>
          <cell r="AL86">
            <v>306</v>
          </cell>
          <cell r="AM86">
            <v>97</v>
          </cell>
          <cell r="AN86">
            <v>120</v>
          </cell>
          <cell r="AO86">
            <v>120</v>
          </cell>
          <cell r="AP86">
            <v>-227</v>
          </cell>
          <cell r="AQ86">
            <v>-314</v>
          </cell>
          <cell r="AR86">
            <v>-355</v>
          </cell>
          <cell r="AS86">
            <v>-546</v>
          </cell>
          <cell r="AT86">
            <v>-580</v>
          </cell>
          <cell r="AU86">
            <v>-522</v>
          </cell>
          <cell r="AV86">
            <v>-298</v>
          </cell>
          <cell r="AW86">
            <v>-336</v>
          </cell>
          <cell r="AX86">
            <v>-403</v>
          </cell>
          <cell r="AY86">
            <v>-372</v>
          </cell>
          <cell r="AZ86">
            <v>1587</v>
          </cell>
          <cell r="BA86">
            <v>-879</v>
          </cell>
          <cell r="BB86">
            <v>-482</v>
          </cell>
          <cell r="BC86">
            <v>-336</v>
          </cell>
          <cell r="BD86">
            <v>-164</v>
          </cell>
          <cell r="BE86">
            <v>-178</v>
          </cell>
          <cell r="BF86">
            <v>-131</v>
          </cell>
          <cell r="BG86">
            <v>-111</v>
          </cell>
          <cell r="BH86">
            <v>-117</v>
          </cell>
          <cell r="BI86">
            <v>-92</v>
          </cell>
          <cell r="BJ86">
            <v>-25</v>
          </cell>
          <cell r="BK86">
            <v>-28</v>
          </cell>
          <cell r="BL86">
            <v>-167</v>
          </cell>
          <cell r="BM86">
            <v>-100</v>
          </cell>
          <cell r="BN86">
            <v>-36</v>
          </cell>
          <cell r="BO86">
            <v>-175</v>
          </cell>
          <cell r="BP86">
            <v>-108</v>
          </cell>
          <cell r="BQ86">
            <v>-52</v>
          </cell>
          <cell r="BR86">
            <v>-64</v>
          </cell>
          <cell r="BS86">
            <v>-39</v>
          </cell>
          <cell r="BT86">
            <v>-82</v>
          </cell>
          <cell r="BU86">
            <v>-100</v>
          </cell>
          <cell r="BV86">
            <v>-5</v>
          </cell>
          <cell r="BW86">
            <v>-40</v>
          </cell>
          <cell r="BX86">
            <v>-55</v>
          </cell>
          <cell r="BY86">
            <v>-80</v>
          </cell>
          <cell r="BZ86">
            <v>-35</v>
          </cell>
          <cell r="CA86">
            <v>-30</v>
          </cell>
        </row>
        <row r="87">
          <cell r="A87" t="str">
            <v>% total reported lines</v>
          </cell>
          <cell r="B87">
            <v>5.4594418149175782E-2</v>
          </cell>
          <cell r="C87">
            <v>6.9911980111536653E-2</v>
          </cell>
          <cell r="D87">
            <v>0.10991013086207803</v>
          </cell>
          <cell r="E87">
            <v>0.13856225883729861</v>
          </cell>
          <cell r="F87">
            <v>0.13897165558866223</v>
          </cell>
          <cell r="G87">
            <v>0.10599421082254563</v>
          </cell>
          <cell r="H87">
            <v>8.2996821032734772E-2</v>
          </cell>
          <cell r="I87">
            <v>6.0959371244844275E-2</v>
          </cell>
          <cell r="J87">
            <v>5.7004135946772165E-2</v>
          </cell>
          <cell r="K87">
            <v>6.1177262590987505E-2</v>
          </cell>
          <cell r="L87">
            <v>5.8018766563999714E-2</v>
          </cell>
          <cell r="M87">
            <v>5.8991669842652583E-2</v>
          </cell>
          <cell r="N87">
            <v>6.0768588578737986E-2</v>
          </cell>
          <cell r="O87">
            <v>6.1443810390051444E-2</v>
          </cell>
          <cell r="P87">
            <v>6.2721029400527817E-2</v>
          </cell>
          <cell r="Q87">
            <v>6.5446236539867628E-2</v>
          </cell>
          <cell r="R87">
            <v>6.7759365452372614E-2</v>
          </cell>
          <cell r="S87">
            <v>6.9278531934403059E-2</v>
          </cell>
          <cell r="T87">
            <v>7.0901598154131773E-2</v>
          </cell>
          <cell r="X87">
            <v>4.2711842234359157E-2</v>
          </cell>
          <cell r="Y87">
            <v>4.5889538491687622E-2</v>
          </cell>
          <cell r="Z87">
            <v>5.00432391861243E-2</v>
          </cell>
          <cell r="AA87">
            <v>5.4594418149175782E-2</v>
          </cell>
          <cell r="AB87">
            <v>5.9343063310151177E-2</v>
          </cell>
          <cell r="AC87">
            <v>6.314173462313051E-2</v>
          </cell>
          <cell r="AD87">
            <v>6.7524489457081185E-2</v>
          </cell>
          <cell r="AE87">
            <v>6.9911980111536653E-2</v>
          </cell>
          <cell r="AF87">
            <v>7.5309980350972291E-2</v>
          </cell>
          <cell r="AG87">
            <v>8.5915372071066864E-2</v>
          </cell>
          <cell r="AH87">
            <v>9.7348511140417857E-2</v>
          </cell>
          <cell r="AI87">
            <v>0.10991013086207803</v>
          </cell>
          <cell r="AJ87">
            <v>0.12214615900349342</v>
          </cell>
          <cell r="AK87">
            <v>0.12855018187682549</v>
          </cell>
          <cell r="AL87">
            <v>0.13536011581614188</v>
          </cell>
          <cell r="AM87">
            <v>0.13856225883729861</v>
          </cell>
          <cell r="AN87">
            <v>0.14186449424948394</v>
          </cell>
          <cell r="AO87">
            <v>0.1458667661877216</v>
          </cell>
          <cell r="AP87">
            <v>0.1433806861115309</v>
          </cell>
          <cell r="AQ87">
            <v>0.13897165558866223</v>
          </cell>
          <cell r="AR87">
            <v>0.13343487313950797</v>
          </cell>
          <cell r="AS87">
            <v>0.12492161780843393</v>
          </cell>
          <cell r="AT87">
            <v>0.11539916761256148</v>
          </cell>
          <cell r="AU87">
            <v>0.10671280837026693</v>
          </cell>
          <cell r="AV87">
            <v>0.1020136154855643</v>
          </cell>
          <cell r="AW87">
            <v>9.6825363695184824E-2</v>
          </cell>
          <cell r="AX87">
            <v>8.9961135769957734E-2</v>
          </cell>
          <cell r="AY87">
            <v>8.3443107953441162E-2</v>
          </cell>
          <cell r="AZ87">
            <v>8.3311681364532542E-2</v>
          </cell>
          <cell r="BA87">
            <v>7.1350541527513342E-2</v>
          </cell>
          <cell r="BB87">
            <v>6.505384040336562E-2</v>
          </cell>
          <cell r="BC87">
            <v>6.0959371244844275E-2</v>
          </cell>
          <cell r="BD87">
            <v>5.9422328891831501E-2</v>
          </cell>
          <cell r="BE87">
            <v>5.7968059802922189E-2</v>
          </cell>
          <cell r="BF87">
            <v>5.7369166477242925E-2</v>
          </cell>
          <cell r="BG87">
            <v>5.7004135946772165E-2</v>
          </cell>
          <cell r="BH87">
            <v>5.654541413542747E-2</v>
          </cell>
          <cell r="BI87">
            <v>5.86882841456405E-2</v>
          </cell>
          <cell r="BJ87">
            <v>5.9969770006944728E-2</v>
          </cell>
          <cell r="BK87">
            <v>6.1177262590987505E-2</v>
          </cell>
          <cell r="BL87">
            <v>5.9277681660899653E-2</v>
          </cell>
          <cell r="BM87">
            <v>5.9043147775542142E-2</v>
          </cell>
          <cell r="BN87">
            <v>6.0158884116207102E-2</v>
          </cell>
          <cell r="BO87">
            <v>5.8018766563999714E-2</v>
          </cell>
          <cell r="BP87">
            <v>5.7197753473248597E-2</v>
          </cell>
          <cell r="BQ87">
            <v>5.7797581158497771E-2</v>
          </cell>
          <cell r="BR87">
            <v>5.8119928338075666E-2</v>
          </cell>
          <cell r="BS87">
            <v>5.8991669842652583E-2</v>
          </cell>
          <cell r="BT87">
            <v>5.8838469353200133E-2</v>
          </cell>
          <cell r="BU87">
            <v>5.791562117056661E-2</v>
          </cell>
          <cell r="BV87">
            <v>5.9840425531914897E-2</v>
          </cell>
          <cell r="BW87">
            <v>6.0768588578737986E-2</v>
          </cell>
          <cell r="BX87">
            <v>6.092997534501679E-2</v>
          </cell>
          <cell r="BY87">
            <v>6.026006137560698E-2</v>
          </cell>
          <cell r="BZ87">
            <v>6.0818013031819773E-2</v>
          </cell>
          <cell r="CA87">
            <v>6.1443810390051444E-2</v>
          </cell>
        </row>
        <row r="89">
          <cell r="A89" t="str">
            <v>Coin Access Lines</v>
          </cell>
          <cell r="B89">
            <v>733</v>
          </cell>
          <cell r="C89">
            <v>527</v>
          </cell>
          <cell r="D89">
            <v>510</v>
          </cell>
          <cell r="E89">
            <v>468</v>
          </cell>
          <cell r="F89">
            <v>430</v>
          </cell>
          <cell r="G89">
            <v>335</v>
          </cell>
          <cell r="H89">
            <v>249</v>
          </cell>
          <cell r="I89">
            <v>251</v>
          </cell>
          <cell r="J89">
            <v>135</v>
          </cell>
          <cell r="K89">
            <v>87</v>
          </cell>
          <cell r="L89">
            <v>0</v>
          </cell>
          <cell r="M89">
            <v>0</v>
          </cell>
          <cell r="N89">
            <v>0</v>
          </cell>
          <cell r="O89">
            <v>0</v>
          </cell>
          <cell r="P89">
            <v>0</v>
          </cell>
          <cell r="Q89">
            <v>-8</v>
          </cell>
          <cell r="R89">
            <v>-16</v>
          </cell>
          <cell r="S89">
            <v>-24</v>
          </cell>
          <cell r="T89">
            <v>-32</v>
          </cell>
          <cell r="X89">
            <v>788</v>
          </cell>
          <cell r="Y89">
            <v>767</v>
          </cell>
          <cell r="Z89">
            <v>746</v>
          </cell>
          <cell r="AA89">
            <v>733</v>
          </cell>
          <cell r="AB89">
            <v>712</v>
          </cell>
          <cell r="AC89">
            <v>589</v>
          </cell>
          <cell r="AD89">
            <v>557</v>
          </cell>
          <cell r="AE89">
            <v>527</v>
          </cell>
          <cell r="AF89">
            <v>511</v>
          </cell>
          <cell r="AG89">
            <v>529</v>
          </cell>
          <cell r="AH89">
            <v>512</v>
          </cell>
          <cell r="AI89">
            <v>510</v>
          </cell>
          <cell r="AJ89">
            <v>499</v>
          </cell>
          <cell r="AK89">
            <v>492</v>
          </cell>
          <cell r="AL89">
            <v>483</v>
          </cell>
          <cell r="AM89">
            <v>468</v>
          </cell>
          <cell r="AN89">
            <v>459</v>
          </cell>
          <cell r="AO89">
            <v>454</v>
          </cell>
          <cell r="AP89">
            <v>440</v>
          </cell>
          <cell r="AQ89">
            <v>430</v>
          </cell>
          <cell r="AR89">
            <v>418</v>
          </cell>
          <cell r="AS89">
            <v>398</v>
          </cell>
          <cell r="AT89">
            <v>372</v>
          </cell>
          <cell r="AU89">
            <v>335</v>
          </cell>
          <cell r="AV89">
            <v>308</v>
          </cell>
          <cell r="AW89">
            <v>281</v>
          </cell>
          <cell r="AX89">
            <v>264</v>
          </cell>
          <cell r="AY89">
            <v>249</v>
          </cell>
          <cell r="AZ89">
            <v>315</v>
          </cell>
          <cell r="BA89">
            <v>295</v>
          </cell>
          <cell r="BB89">
            <v>270</v>
          </cell>
          <cell r="BC89">
            <v>251</v>
          </cell>
          <cell r="BD89">
            <v>183</v>
          </cell>
          <cell r="BE89">
            <v>164</v>
          </cell>
          <cell r="BF89">
            <v>150</v>
          </cell>
          <cell r="BG89">
            <v>135</v>
          </cell>
          <cell r="BH89">
            <v>120</v>
          </cell>
          <cell r="BI89">
            <v>98</v>
          </cell>
          <cell r="BJ89">
            <v>92</v>
          </cell>
          <cell r="BK89">
            <v>87</v>
          </cell>
          <cell r="BL89">
            <v>88.66807313642758</v>
          </cell>
          <cell r="BM89">
            <v>89</v>
          </cell>
          <cell r="BN89">
            <v>0</v>
          </cell>
          <cell r="BO89">
            <v>0</v>
          </cell>
        </row>
        <row r="90">
          <cell r="A90" t="str">
            <v>% y/y growth</v>
          </cell>
          <cell r="C90">
            <v>-0.28103683492496589</v>
          </cell>
          <cell r="D90">
            <v>-3.2258064516129004E-2</v>
          </cell>
          <cell r="E90">
            <v>-8.2352941176470629E-2</v>
          </cell>
          <cell r="F90">
            <v>-8.1196581196581241E-2</v>
          </cell>
          <cell r="G90">
            <v>-0.22093023255813948</v>
          </cell>
          <cell r="H90">
            <v>-0.25671641791044775</v>
          </cell>
          <cell r="I90">
            <v>8.0321285140563248E-3</v>
          </cell>
          <cell r="J90">
            <v>-0.46215139442231079</v>
          </cell>
          <cell r="K90">
            <v>-0.35555555555555551</v>
          </cell>
          <cell r="L90">
            <v>-1</v>
          </cell>
          <cell r="Q90" t="e">
            <v>#DIV/0!</v>
          </cell>
          <cell r="R90">
            <v>1</v>
          </cell>
          <cell r="S90">
            <v>0.5</v>
          </cell>
          <cell r="T90">
            <v>0.33333333333333326</v>
          </cell>
          <cell r="AB90">
            <v>-9.6446700507614169E-2</v>
          </cell>
          <cell r="AC90">
            <v>-0.23207301173402872</v>
          </cell>
          <cell r="AD90">
            <v>-0.2533512064343163</v>
          </cell>
          <cell r="AE90">
            <v>-0.28103683492496589</v>
          </cell>
          <cell r="AF90">
            <v>-0.28230337078651691</v>
          </cell>
          <cell r="AG90">
            <v>-0.10186757215619691</v>
          </cell>
          <cell r="AH90">
            <v>-8.0789946140035873E-2</v>
          </cell>
          <cell r="AI90">
            <v>-3.2258064516129004E-2</v>
          </cell>
          <cell r="AJ90">
            <v>-2.3483365949119372E-2</v>
          </cell>
          <cell r="AK90">
            <v>-6.9943289224952743E-2</v>
          </cell>
          <cell r="AL90">
            <v>-5.6640625E-2</v>
          </cell>
          <cell r="AM90">
            <v>-8.2352941176470629E-2</v>
          </cell>
          <cell r="AN90">
            <v>-8.0160320641282534E-2</v>
          </cell>
          <cell r="AO90">
            <v>-7.7235772357723609E-2</v>
          </cell>
          <cell r="AP90">
            <v>-8.9026915113871619E-2</v>
          </cell>
          <cell r="AQ90">
            <v>-8.1196581196581241E-2</v>
          </cell>
          <cell r="AR90">
            <v>-8.9324618736383421E-2</v>
          </cell>
          <cell r="AS90">
            <v>-0.12334801762114533</v>
          </cell>
          <cell r="AT90">
            <v>-0.15454545454545454</v>
          </cell>
          <cell r="AU90">
            <v>-0.22093023255813948</v>
          </cell>
          <cell r="AV90">
            <v>-0.26315789473684215</v>
          </cell>
          <cell r="AW90">
            <v>-0.29396984924623115</v>
          </cell>
          <cell r="AX90">
            <v>-0.29032258064516125</v>
          </cell>
          <cell r="AY90">
            <v>-0.25671641791044775</v>
          </cell>
          <cell r="AZ90">
            <v>2.2727272727272707E-2</v>
          </cell>
          <cell r="BA90">
            <v>4.9822064056939563E-2</v>
          </cell>
          <cell r="BB90">
            <v>2.2727272727272707E-2</v>
          </cell>
          <cell r="BC90">
            <v>8.0321285140563248E-3</v>
          </cell>
          <cell r="BD90">
            <v>-0.419047619047619</v>
          </cell>
          <cell r="BE90">
            <v>-0.44406779661016949</v>
          </cell>
          <cell r="BF90">
            <v>-0.44444444444444442</v>
          </cell>
          <cell r="BG90">
            <v>-0.46215139442231079</v>
          </cell>
          <cell r="BH90">
            <v>-0.34426229508196726</v>
          </cell>
          <cell r="BI90">
            <v>-0.40243902439024393</v>
          </cell>
          <cell r="BJ90">
            <v>-0.38666666666666671</v>
          </cell>
          <cell r="BK90">
            <v>-0.35555555555555551</v>
          </cell>
          <cell r="BL90">
            <v>-0.26109939052977016</v>
          </cell>
          <cell r="BM90">
            <v>-9.1836734693877542E-2</v>
          </cell>
          <cell r="BN90">
            <v>-1</v>
          </cell>
          <cell r="BO90">
            <v>-1</v>
          </cell>
        </row>
        <row r="91">
          <cell r="A91" t="str">
            <v>sequential lines added (lost)</v>
          </cell>
          <cell r="C91">
            <v>-206</v>
          </cell>
          <cell r="D91">
            <v>-17</v>
          </cell>
          <cell r="E91">
            <v>-42</v>
          </cell>
          <cell r="F91">
            <v>-38</v>
          </cell>
          <cell r="G91">
            <v>-95</v>
          </cell>
          <cell r="H91">
            <v>-86</v>
          </cell>
          <cell r="I91">
            <v>2</v>
          </cell>
          <cell r="J91">
            <v>-116</v>
          </cell>
          <cell r="K91">
            <v>-48</v>
          </cell>
          <cell r="L91">
            <v>-87</v>
          </cell>
          <cell r="M91">
            <v>0</v>
          </cell>
          <cell r="N91">
            <v>0</v>
          </cell>
          <cell r="O91">
            <v>0</v>
          </cell>
          <cell r="P91">
            <v>0</v>
          </cell>
          <cell r="Q91">
            <v>-8</v>
          </cell>
          <cell r="R91">
            <v>-8</v>
          </cell>
          <cell r="S91">
            <v>-8</v>
          </cell>
          <cell r="T91">
            <v>-8</v>
          </cell>
          <cell r="Y91">
            <v>-21</v>
          </cell>
          <cell r="Z91">
            <v>-21</v>
          </cell>
          <cell r="AA91">
            <v>-13</v>
          </cell>
          <cell r="AB91">
            <v>-21</v>
          </cell>
          <cell r="AC91">
            <v>-123</v>
          </cell>
          <cell r="AD91">
            <v>-32</v>
          </cell>
          <cell r="AE91">
            <v>-30</v>
          </cell>
          <cell r="AF91">
            <v>-16</v>
          </cell>
          <cell r="AG91">
            <v>18</v>
          </cell>
          <cell r="AH91">
            <v>-17</v>
          </cell>
          <cell r="AI91">
            <v>-2</v>
          </cell>
          <cell r="AJ91">
            <v>-11</v>
          </cell>
          <cell r="AK91">
            <v>-7</v>
          </cell>
          <cell r="AL91">
            <v>-9</v>
          </cell>
          <cell r="AM91">
            <v>-15</v>
          </cell>
          <cell r="AN91">
            <v>-9</v>
          </cell>
          <cell r="AO91">
            <v>-5</v>
          </cell>
          <cell r="AP91">
            <v>-14</v>
          </cell>
          <cell r="AQ91">
            <v>-10</v>
          </cell>
          <cell r="AR91">
            <v>-12</v>
          </cell>
          <cell r="AS91">
            <v>-20</v>
          </cell>
          <cell r="AT91">
            <v>-26</v>
          </cell>
          <cell r="AU91">
            <v>-37</v>
          </cell>
          <cell r="AV91">
            <v>-27</v>
          </cell>
          <cell r="AW91">
            <v>-27</v>
          </cell>
          <cell r="AX91">
            <v>-17</v>
          </cell>
          <cell r="AY91">
            <v>-15</v>
          </cell>
          <cell r="AZ91">
            <v>66</v>
          </cell>
          <cell r="BA91">
            <v>-20</v>
          </cell>
          <cell r="BB91">
            <v>-25</v>
          </cell>
          <cell r="BC91">
            <v>-19</v>
          </cell>
          <cell r="BD91">
            <v>-68</v>
          </cell>
          <cell r="BE91">
            <v>-19</v>
          </cell>
          <cell r="BF91">
            <v>-14</v>
          </cell>
          <cell r="BG91">
            <v>-15</v>
          </cell>
          <cell r="BH91">
            <v>-15</v>
          </cell>
          <cell r="BI91">
            <v>-22</v>
          </cell>
          <cell r="BJ91">
            <v>-6</v>
          </cell>
          <cell r="BK91">
            <v>-5</v>
          </cell>
          <cell r="BL91">
            <v>1.66807313642758</v>
          </cell>
          <cell r="BM91">
            <v>0.33192686357241996</v>
          </cell>
          <cell r="BN91">
            <v>-89</v>
          </cell>
          <cell r="BO91">
            <v>0</v>
          </cell>
        </row>
        <row r="92">
          <cell r="A92" t="str">
            <v>% total reported lines</v>
          </cell>
          <cell r="B92">
            <v>1.1963440509221478E-2</v>
          </cell>
          <cell r="C92">
            <v>8.8523819122488748E-3</v>
          </cell>
          <cell r="D92">
            <v>8.9343587407809677E-3</v>
          </cell>
          <cell r="E92">
            <v>8.5584185212954668E-3</v>
          </cell>
          <cell r="F92">
            <v>8.2130032852013139E-3</v>
          </cell>
          <cell r="G92">
            <v>6.7339390528262447E-3</v>
          </cell>
          <cell r="H92">
            <v>5.3483976286622563E-3</v>
          </cell>
          <cell r="I92">
            <v>4.0758663245753632E-3</v>
          </cell>
          <cell r="J92">
            <v>2.4276209314871428E-3</v>
          </cell>
          <cell r="K92">
            <v>1.8302688601842892E-3</v>
          </cell>
          <cell r="L92">
            <v>0</v>
          </cell>
          <cell r="M92">
            <v>0</v>
          </cell>
          <cell r="N92">
            <v>0</v>
          </cell>
          <cell r="O92">
            <v>0</v>
          </cell>
          <cell r="P92">
            <v>0</v>
          </cell>
          <cell r="Q92">
            <v>-3.4673502802578875E-4</v>
          </cell>
          <cell r="R92">
            <v>-7.5814674632025301E-4</v>
          </cell>
          <cell r="S92">
            <v>-1.2316183455004989E-3</v>
          </cell>
          <cell r="T92">
            <v>-1.7864969613639501E-3</v>
          </cell>
          <cell r="X92">
            <v>1.2885502174837296E-2</v>
          </cell>
          <cell r="Y92">
            <v>1.2525721004670608E-2</v>
          </cell>
          <cell r="Z92">
            <v>1.2172238810840797E-2</v>
          </cell>
          <cell r="AA92">
            <v>1.1963440509221478E-2</v>
          </cell>
          <cell r="AB92">
            <v>1.1623730695138277E-2</v>
          </cell>
          <cell r="AC92">
            <v>9.7230017498101621E-3</v>
          </cell>
          <cell r="AD92">
            <v>9.2478831147268809E-3</v>
          </cell>
          <cell r="AE92">
            <v>8.8523819122488748E-3</v>
          </cell>
          <cell r="AF92">
            <v>8.6557354834338376E-3</v>
          </cell>
          <cell r="AG92">
            <v>9.0807655995193554E-3</v>
          </cell>
          <cell r="AH92">
            <v>8.8845700006941076E-3</v>
          </cell>
          <cell r="AI92">
            <v>8.9343587407809677E-3</v>
          </cell>
          <cell r="AJ92">
            <v>8.8041215286354495E-3</v>
          </cell>
          <cell r="AK92">
            <v>8.8160983389180565E-3</v>
          </cell>
          <cell r="AL92">
            <v>8.740499457111835E-3</v>
          </cell>
          <cell r="AM92">
            <v>8.5584185212954668E-3</v>
          </cell>
          <cell r="AN92">
            <v>8.4598938366263633E-3</v>
          </cell>
          <cell r="AO92">
            <v>8.4717298003358834E-3</v>
          </cell>
          <cell r="AP92">
            <v>8.3119238325525171E-3</v>
          </cell>
          <cell r="AQ92">
            <v>8.2130032852013139E-3</v>
          </cell>
          <cell r="AR92">
            <v>8.0589187938613395E-3</v>
          </cell>
          <cell r="AS92">
            <v>7.799028060824581E-3</v>
          </cell>
          <cell r="AT92">
            <v>7.4078499312981664E-3</v>
          </cell>
          <cell r="AU92">
            <v>6.7795924149515307E-3</v>
          </cell>
          <cell r="AV92">
            <v>6.3156167979002628E-3</v>
          </cell>
          <cell r="AW92">
            <v>5.865041430986621E-3</v>
          </cell>
          <cell r="AX92">
            <v>5.6066430224902836E-3</v>
          </cell>
          <cell r="AY92">
            <v>5.3771568013475284E-3</v>
          </cell>
          <cell r="AZ92">
            <v>4.8143789451160802E-3</v>
          </cell>
          <cell r="BA92">
            <v>4.6037641624270421E-3</v>
          </cell>
          <cell r="BB92">
            <v>4.2945078016891729E-3</v>
          </cell>
          <cell r="BC92">
            <v>4.0758663245753632E-3</v>
          </cell>
          <cell r="BD92">
            <v>3.0290490772159231E-3</v>
          </cell>
          <cell r="BE92">
            <v>2.7862725110431533E-3</v>
          </cell>
          <cell r="BF92">
            <v>2.6227902991729467E-3</v>
          </cell>
          <cell r="BG92">
            <v>2.4276209314871428E-3</v>
          </cell>
          <cell r="BH92">
            <v>2.2225514891094978E-3</v>
          </cell>
          <cell r="BI92">
            <v>1.9424018393356193E-3</v>
          </cell>
          <cell r="BJ92">
            <v>1.8791617304628457E-3</v>
          </cell>
          <cell r="BK92">
            <v>1.8302688601842892E-3</v>
          </cell>
          <cell r="BL92">
            <v>1.9175621353033647E-3</v>
          </cell>
          <cell r="BM92">
            <v>1.9897160742231167E-3</v>
          </cell>
          <cell r="BN92">
            <v>0</v>
          </cell>
          <cell r="BO92">
            <v>0</v>
          </cell>
        </row>
        <row r="93">
          <cell r="A93" t="str">
            <v>Total Switched Access Lines</v>
          </cell>
          <cell r="B93">
            <v>61270</v>
          </cell>
          <cell r="C93">
            <v>59532</v>
          </cell>
          <cell r="D93">
            <v>57083</v>
          </cell>
          <cell r="E93">
            <v>54683</v>
          </cell>
          <cell r="F93">
            <v>52356</v>
          </cell>
          <cell r="G93">
            <v>49748</v>
          </cell>
          <cell r="H93">
            <v>46556</v>
          </cell>
          <cell r="I93">
            <v>61582</v>
          </cell>
          <cell r="J93">
            <v>55610</v>
          </cell>
          <cell r="K93">
            <v>47534</v>
          </cell>
          <cell r="L93">
            <v>41883</v>
          </cell>
          <cell r="M93">
            <v>36734</v>
          </cell>
          <cell r="N93">
            <v>31924.387999999999</v>
          </cell>
          <cell r="O93">
            <v>28318.556237875</v>
          </cell>
          <cell r="P93">
            <v>25350.34924006875</v>
          </cell>
          <cell r="Q93">
            <v>23072.373291933436</v>
          </cell>
          <cell r="R93">
            <v>21104.093736018422</v>
          </cell>
          <cell r="S93">
            <v>19486.55611349066</v>
          </cell>
          <cell r="T93">
            <v>17912.14913434206</v>
          </cell>
          <cell r="X93">
            <v>61154</v>
          </cell>
          <cell r="Y93">
            <v>61234</v>
          </cell>
          <cell r="Z93">
            <v>61287</v>
          </cell>
          <cell r="AA93">
            <v>61270</v>
          </cell>
          <cell r="AB93">
            <v>61254</v>
          </cell>
          <cell r="AC93">
            <v>60578</v>
          </cell>
          <cell r="AD93">
            <v>60230</v>
          </cell>
          <cell r="AE93">
            <v>59532</v>
          </cell>
          <cell r="AF93">
            <v>59036</v>
          </cell>
          <cell r="AG93">
            <v>58255</v>
          </cell>
          <cell r="AH93">
            <v>57628</v>
          </cell>
          <cell r="AI93">
            <v>57083</v>
          </cell>
          <cell r="AJ93">
            <v>56678</v>
          </cell>
          <cell r="AK93">
            <v>55807</v>
          </cell>
          <cell r="AL93">
            <v>55260</v>
          </cell>
          <cell r="AM93">
            <v>54683</v>
          </cell>
          <cell r="AN93">
            <v>54256</v>
          </cell>
          <cell r="AO93">
            <v>53590</v>
          </cell>
          <cell r="AP93">
            <v>52936</v>
          </cell>
          <cell r="AQ93">
            <v>52356</v>
          </cell>
          <cell r="AR93">
            <v>51868</v>
          </cell>
          <cell r="AS93">
            <v>51032</v>
          </cell>
          <cell r="AT93">
            <v>50217</v>
          </cell>
          <cell r="AU93">
            <v>49413</v>
          </cell>
          <cell r="AV93">
            <v>48768</v>
          </cell>
          <cell r="AW93">
            <v>47911</v>
          </cell>
          <cell r="AX93">
            <v>47087</v>
          </cell>
          <cell r="AY93">
            <v>46307</v>
          </cell>
          <cell r="AZ93">
            <v>65429</v>
          </cell>
          <cell r="BA93">
            <v>64078</v>
          </cell>
          <cell r="BB93">
            <v>62871</v>
          </cell>
          <cell r="BC93">
            <v>61582</v>
          </cell>
          <cell r="BD93">
            <v>60415</v>
          </cell>
          <cell r="BE93">
            <v>58860</v>
          </cell>
          <cell r="BF93">
            <v>57191</v>
          </cell>
          <cell r="BG93">
            <v>55610</v>
          </cell>
          <cell r="BH93">
            <v>53992</v>
          </cell>
          <cell r="BI93">
            <v>50453</v>
          </cell>
          <cell r="BJ93">
            <v>48958</v>
          </cell>
          <cell r="BK93">
            <v>47534</v>
          </cell>
          <cell r="BL93">
            <v>46240</v>
          </cell>
          <cell r="BM93">
            <v>44730</v>
          </cell>
          <cell r="BN93">
            <v>43302</v>
          </cell>
          <cell r="BO93">
            <v>41883</v>
          </cell>
          <cell r="BP93">
            <v>40596</v>
          </cell>
          <cell r="BQ93">
            <v>39275</v>
          </cell>
          <cell r="BR93">
            <v>37956</v>
          </cell>
          <cell r="BS93">
            <v>36734</v>
          </cell>
          <cell r="BT93">
            <v>35436</v>
          </cell>
          <cell r="BU93">
            <v>34274</v>
          </cell>
          <cell r="BV93">
            <v>33088</v>
          </cell>
          <cell r="BW93">
            <v>31924.387999999999</v>
          </cell>
          <cell r="BX93">
            <v>30937.1535</v>
          </cell>
          <cell r="BY93">
            <v>29953.504175000002</v>
          </cell>
          <cell r="BZ93">
            <v>29103.2197825</v>
          </cell>
          <cell r="CA93">
            <v>28318.556237875</v>
          </cell>
        </row>
        <row r="94">
          <cell r="A94" t="str">
            <v>% y/y growth</v>
          </cell>
          <cell r="C94">
            <v>-2.836624775583485E-2</v>
          </cell>
          <cell r="D94">
            <v>-4.113753947456833E-2</v>
          </cell>
          <cell r="E94">
            <v>-4.2044041133086907E-2</v>
          </cell>
          <cell r="F94">
            <v>-4.2554358758663535E-2</v>
          </cell>
          <cell r="G94">
            <v>-4.9812819925127982E-2</v>
          </cell>
          <cell r="H94">
            <v>-6.4163383452601086E-2</v>
          </cell>
          <cell r="I94">
            <v>0.32275109545493597</v>
          </cell>
          <cell r="J94">
            <v>-9.6976389204637692E-2</v>
          </cell>
          <cell r="K94">
            <v>-0.14522567883474191</v>
          </cell>
          <cell r="L94">
            <v>-0.1188833256195565</v>
          </cell>
          <cell r="M94">
            <v>-0.12293770742305943</v>
          </cell>
          <cell r="N94">
            <v>-0.13093079980399636</v>
          </cell>
          <cell r="O94">
            <v>-0.11294912723542261</v>
          </cell>
          <cell r="P94">
            <v>-0.10481491262737419</v>
          </cell>
          <cell r="Q94">
            <v>-8.985974617401904E-2</v>
          </cell>
          <cell r="R94">
            <v>-8.5308933372847395E-2</v>
          </cell>
          <cell r="S94">
            <v>-7.6645680348126244E-2</v>
          </cell>
          <cell r="T94">
            <v>-8.0794521616809889E-2</v>
          </cell>
          <cell r="AB94">
            <v>1.6352160120352011E-3</v>
          </cell>
          <cell r="AC94">
            <v>-1.0713002580265862E-2</v>
          </cell>
          <cell r="AD94">
            <v>-1.7246724427692706E-2</v>
          </cell>
          <cell r="AE94">
            <v>-2.836624775583485E-2</v>
          </cell>
          <cell r="AF94">
            <v>-3.6209880171090836E-2</v>
          </cell>
          <cell r="AG94">
            <v>-3.8347254778962614E-2</v>
          </cell>
          <cell r="AH94">
            <v>-4.3201062593391959E-2</v>
          </cell>
          <cell r="AI94">
            <v>-4.113753947456833E-2</v>
          </cell>
          <cell r="AJ94">
            <v>-3.9941730469543968E-2</v>
          </cell>
          <cell r="AK94">
            <v>-4.2022144021972352E-2</v>
          </cell>
          <cell r="AL94">
            <v>-4.1091136253210259E-2</v>
          </cell>
          <cell r="AM94">
            <v>-4.2044041133086907E-2</v>
          </cell>
          <cell r="AN94">
            <v>-4.2732629944599365E-2</v>
          </cell>
          <cell r="AO94">
            <v>-3.9726199222319791E-2</v>
          </cell>
          <cell r="AP94">
            <v>-4.2055736518277209E-2</v>
          </cell>
          <cell r="AQ94">
            <v>-4.2554358758663535E-2</v>
          </cell>
          <cell r="AR94">
            <v>-4.4013565319964587E-2</v>
          </cell>
          <cell r="AS94">
            <v>-4.7732785967531277E-2</v>
          </cell>
          <cell r="AT94">
            <v>-5.1363911137977891E-2</v>
          </cell>
          <cell r="AU94">
            <v>-5.6211322484528981E-2</v>
          </cell>
          <cell r="AV94">
            <v>-5.9767101102799369E-2</v>
          </cell>
          <cell r="AW94">
            <v>-6.1157704969430959E-2</v>
          </cell>
          <cell r="AX94">
            <v>-6.2329490013342093E-2</v>
          </cell>
          <cell r="AY94">
            <v>-6.2857952360714786E-2</v>
          </cell>
          <cell r="AZ94">
            <v>0.34163795931758534</v>
          </cell>
          <cell r="BA94">
            <v>0.33743816660057191</v>
          </cell>
          <cell r="BB94">
            <v>0.3352092934355555</v>
          </cell>
          <cell r="BC94">
            <v>0.32986373550435144</v>
          </cell>
          <cell r="BD94">
            <v>-7.6632685812101697E-2</v>
          </cell>
          <cell r="BE94">
            <v>-8.1432004744217967E-2</v>
          </cell>
          <cell r="BF94">
            <v>-9.0343719679979673E-2</v>
          </cell>
          <cell r="BG94">
            <v>-9.6976389204637692E-2</v>
          </cell>
          <cell r="BH94">
            <v>-0.10631465695605391</v>
          </cell>
          <cell r="BI94">
            <v>-0.1428304451240231</v>
          </cell>
          <cell r="BJ94">
            <v>-0.14395621688727245</v>
          </cell>
          <cell r="BK94">
            <v>-0.14522567883474191</v>
          </cell>
          <cell r="BL94">
            <v>-0.14357682619647361</v>
          </cell>
          <cell r="BM94">
            <v>-0.11343230333181376</v>
          </cell>
          <cell r="BN94">
            <v>-0.11552759508149846</v>
          </cell>
          <cell r="BO94">
            <v>-0.1188833256195565</v>
          </cell>
          <cell r="BP94">
            <v>-0.12205882352941178</v>
          </cell>
          <cell r="BQ94">
            <v>-0.12195394589760788</v>
          </cell>
          <cell r="BR94">
            <v>-0.12345850076208953</v>
          </cell>
          <cell r="BS94">
            <v>-0.12293770742305943</v>
          </cell>
          <cell r="BT94">
            <v>-0.12710611882944134</v>
          </cell>
          <cell r="BU94">
            <v>-0.12733290897517502</v>
          </cell>
          <cell r="BV94">
            <v>-0.12825376752028661</v>
          </cell>
          <cell r="BW94">
            <v>-0.13093079980399636</v>
          </cell>
          <cell r="BX94">
            <v>-0.12695695055875378</v>
          </cell>
          <cell r="BY94">
            <v>-0.12605753121899976</v>
          </cell>
          <cell r="BZ94">
            <v>-0.12042976962947294</v>
          </cell>
          <cell r="CA94">
            <v>-0.11294912723542261</v>
          </cell>
        </row>
        <row r="95">
          <cell r="A95" t="str">
            <v>% q/q growth</v>
          </cell>
          <cell r="Y95">
            <v>1.3081728096282497E-3</v>
          </cell>
          <cell r="Z95">
            <v>8.655322206616578E-4</v>
          </cell>
          <cell r="AA95">
            <v>-2.7738345815586651E-4</v>
          </cell>
          <cell r="AB95">
            <v>-2.6113921984660671E-4</v>
          </cell>
          <cell r="AC95">
            <v>-1.1036013974597525E-2</v>
          </cell>
          <cell r="AD95">
            <v>-5.744659777476957E-3</v>
          </cell>
          <cell r="AE95">
            <v>-1.1588909181471041E-2</v>
          </cell>
          <cell r="AF95">
            <v>-8.3316535644695211E-3</v>
          </cell>
          <cell r="AG95">
            <v>-1.3229216071549588E-2</v>
          </cell>
          <cell r="AH95">
            <v>-1.0763024633078655E-2</v>
          </cell>
          <cell r="AI95">
            <v>-9.4572083015200814E-3</v>
          </cell>
          <cell r="AJ95">
            <v>-7.094931941208471E-3</v>
          </cell>
          <cell r="AK95">
            <v>-1.5367514732347654E-2</v>
          </cell>
          <cell r="AL95">
            <v>-9.8016377873743066E-3</v>
          </cell>
          <cell r="AM95">
            <v>-1.0441549040897558E-2</v>
          </cell>
          <cell r="AN95">
            <v>-7.808642539729016E-3</v>
          </cell>
          <cell r="AO95">
            <v>-1.2275140076673519E-2</v>
          </cell>
          <cell r="AP95">
            <v>-1.2203769359955263E-2</v>
          </cell>
          <cell r="AQ95">
            <v>-1.095662687018284E-2</v>
          </cell>
          <cell r="AR95">
            <v>-9.3208037283214473E-3</v>
          </cell>
          <cell r="AS95">
            <v>-1.6117837587722672E-2</v>
          </cell>
          <cell r="AT95">
            <v>-1.5970371531587979E-2</v>
          </cell>
          <cell r="AU95">
            <v>-1.6010514367644446E-2</v>
          </cell>
          <cell r="AV95">
            <v>-1.3053245097443988E-2</v>
          </cell>
          <cell r="AW95">
            <v>-1.7572998687664043E-2</v>
          </cell>
          <cell r="AX95">
            <v>-1.7198555655277503E-2</v>
          </cell>
          <cell r="AY95">
            <v>-1.6565081657357705E-2</v>
          </cell>
          <cell r="AZ95">
            <v>0.41293972833480908</v>
          </cell>
          <cell r="BA95">
            <v>-2.0648336364608944E-2</v>
          </cell>
          <cell r="BB95">
            <v>-1.8836418115421805E-2</v>
          </cell>
          <cell r="BC95">
            <v>-2.0502298356953164E-2</v>
          </cell>
          <cell r="BD95">
            <v>-1.8950342632587436E-2</v>
          </cell>
          <cell r="BE95">
            <v>-2.5738641065960466E-2</v>
          </cell>
          <cell r="BF95">
            <v>-2.8355419639823354E-2</v>
          </cell>
          <cell r="BG95">
            <v>-2.7644209753282856E-2</v>
          </cell>
          <cell r="BH95">
            <v>-2.9095486423305172E-2</v>
          </cell>
          <cell r="BI95">
            <v>-6.5546747666320959E-2</v>
          </cell>
          <cell r="BJ95">
            <v>-2.9631538263334201E-2</v>
          </cell>
          <cell r="BK95">
            <v>-2.9086155480207543E-2</v>
          </cell>
          <cell r="BL95">
            <v>-2.7222619598603059E-2</v>
          </cell>
          <cell r="BM95">
            <v>-3.2655709342560568E-2</v>
          </cell>
          <cell r="BN95">
            <v>-3.1924882629107976E-2</v>
          </cell>
          <cell r="BO95">
            <v>-3.2769848967715065E-2</v>
          </cell>
          <cell r="BP95">
            <v>-3.072845784685907E-2</v>
          </cell>
          <cell r="BQ95">
            <v>-3.2540151739087642E-2</v>
          </cell>
          <cell r="BR95">
            <v>-3.3583704646721779E-2</v>
          </cell>
          <cell r="BS95">
            <v>-3.2195173358625762E-2</v>
          </cell>
          <cell r="BT95">
            <v>-3.5335111885446691E-2</v>
          </cell>
          <cell r="BU95">
            <v>-3.2791511457275102E-2</v>
          </cell>
          <cell r="BV95">
            <v>-3.4603489525587894E-2</v>
          </cell>
          <cell r="BW95">
            <v>-3.5167190522243708E-2</v>
          </cell>
          <cell r="BX95">
            <v>-3.0924148021255649E-2</v>
          </cell>
          <cell r="BY95">
            <v>-3.1795081761481381E-2</v>
          </cell>
          <cell r="BZ95">
            <v>-2.8386808686299614E-2</v>
          </cell>
          <cell r="CA95">
            <v>-2.6961399820676357E-2</v>
          </cell>
        </row>
        <row r="96">
          <cell r="A96" t="str">
            <v>sequential lines added (lost)</v>
          </cell>
          <cell r="C96">
            <v>-1738</v>
          </cell>
          <cell r="D96">
            <v>-2449</v>
          </cell>
          <cell r="E96">
            <v>-2400</v>
          </cell>
          <cell r="F96">
            <v>-2327</v>
          </cell>
          <cell r="G96">
            <v>-2608</v>
          </cell>
          <cell r="H96">
            <v>-3192</v>
          </cell>
          <cell r="I96">
            <v>15026</v>
          </cell>
          <cell r="J96">
            <v>-5972</v>
          </cell>
          <cell r="K96">
            <v>-8076</v>
          </cell>
          <cell r="L96">
            <v>-5651</v>
          </cell>
          <cell r="M96">
            <v>-5149</v>
          </cell>
          <cell r="N96">
            <v>-4809.612000000001</v>
          </cell>
          <cell r="O96">
            <v>-3605.8317621249989</v>
          </cell>
          <cell r="P96">
            <v>-2968.20699780625</v>
          </cell>
          <cell r="Q96">
            <v>-2277.975948135314</v>
          </cell>
          <cell r="R96">
            <v>-1968.2795559150145</v>
          </cell>
          <cell r="S96">
            <v>-1617.5376225277614</v>
          </cell>
          <cell r="T96">
            <v>-1574.4069791485999</v>
          </cell>
          <cell r="Y96">
            <v>80</v>
          </cell>
          <cell r="Z96">
            <v>53</v>
          </cell>
          <cell r="AA96">
            <v>-17</v>
          </cell>
          <cell r="AB96">
            <v>-16</v>
          </cell>
          <cell r="AC96">
            <v>-676</v>
          </cell>
          <cell r="AD96">
            <v>-348</v>
          </cell>
          <cell r="AE96">
            <v>-698</v>
          </cell>
          <cell r="AF96">
            <v>-496</v>
          </cell>
          <cell r="AG96">
            <v>-781</v>
          </cell>
          <cell r="AH96">
            <v>-627</v>
          </cell>
          <cell r="AI96">
            <v>-545</v>
          </cell>
          <cell r="AJ96">
            <v>-405</v>
          </cell>
          <cell r="AK96">
            <v>-871</v>
          </cell>
          <cell r="AL96">
            <v>-547</v>
          </cell>
          <cell r="AM96">
            <v>-577</v>
          </cell>
          <cell r="AN96">
            <v>-427</v>
          </cell>
          <cell r="AO96">
            <v>-666</v>
          </cell>
          <cell r="AP96">
            <v>-654</v>
          </cell>
          <cell r="AQ96">
            <v>-580</v>
          </cell>
          <cell r="AR96">
            <v>-488</v>
          </cell>
          <cell r="AS96">
            <v>-836</v>
          </cell>
          <cell r="AT96">
            <v>-815</v>
          </cell>
          <cell r="AU96">
            <v>-804</v>
          </cell>
          <cell r="AV96">
            <v>-645</v>
          </cell>
          <cell r="AW96">
            <v>-857</v>
          </cell>
          <cell r="AX96">
            <v>-824</v>
          </cell>
          <cell r="AY96">
            <v>-780</v>
          </cell>
          <cell r="AZ96">
            <v>19122</v>
          </cell>
          <cell r="BA96">
            <v>-1351</v>
          </cell>
          <cell r="BB96">
            <v>-1207</v>
          </cell>
          <cell r="BC96">
            <v>-1289</v>
          </cell>
          <cell r="BD96">
            <v>-1167</v>
          </cell>
          <cell r="BE96">
            <v>-1555</v>
          </cell>
          <cell r="BF96">
            <v>-1669</v>
          </cell>
          <cell r="BG96">
            <v>-1581</v>
          </cell>
          <cell r="BH96">
            <v>-1618</v>
          </cell>
          <cell r="BI96">
            <v>-3539</v>
          </cell>
          <cell r="BJ96">
            <v>-1495</v>
          </cell>
          <cell r="BK96">
            <v>-1424</v>
          </cell>
          <cell r="BL96">
            <v>-1294</v>
          </cell>
          <cell r="BM96">
            <v>-1510</v>
          </cell>
          <cell r="BN96">
            <v>-1428</v>
          </cell>
          <cell r="BO96">
            <v>-1419</v>
          </cell>
          <cell r="BP96">
            <v>-1287</v>
          </cell>
          <cell r="BQ96">
            <v>-1321</v>
          </cell>
          <cell r="BR96">
            <v>-1319</v>
          </cell>
          <cell r="BS96">
            <v>-1222</v>
          </cell>
          <cell r="BT96">
            <v>-1298</v>
          </cell>
          <cell r="BU96">
            <v>-1162</v>
          </cell>
          <cell r="BV96">
            <v>-1186</v>
          </cell>
          <cell r="BW96">
            <v>-1163.612000000001</v>
          </cell>
          <cell r="BX96">
            <v>-987.23449999999866</v>
          </cell>
          <cell r="BY96">
            <v>-983.6493249999985</v>
          </cell>
          <cell r="BZ96">
            <v>-850.28439250000156</v>
          </cell>
          <cell r="CA96">
            <v>-784.66354462500021</v>
          </cell>
        </row>
        <row r="97">
          <cell r="A97" t="str">
            <v>% y/y growth [Pro-forma]</v>
          </cell>
          <cell r="K97">
            <v>0.35231078365706625</v>
          </cell>
          <cell r="L97">
            <v>-0.30027241208519073</v>
          </cell>
          <cell r="M97">
            <v>-8.8833834719518667E-2</v>
          </cell>
          <cell r="N97">
            <v>-6.5913381239075308E-2</v>
          </cell>
          <cell r="O97">
            <v>-0.25028635113913589</v>
          </cell>
          <cell r="P97">
            <v>-0.17683153468673818</v>
          </cell>
          <cell r="Q97">
            <v>-0.23254141310935317</v>
          </cell>
          <cell r="R97">
            <v>-0.13595244167253306</v>
          </cell>
          <cell r="S97">
            <v>-0.17819721407622913</v>
          </cell>
          <cell r="T97">
            <v>-2.6664383429771621E-2</v>
          </cell>
          <cell r="BI97">
            <v>1.2758842443729903</v>
          </cell>
          <cell r="BJ97">
            <v>-0.10425404433792695</v>
          </cell>
          <cell r="BK97">
            <v>-9.9304237824161978E-2</v>
          </cell>
          <cell r="BL97">
            <v>-0.20024721878862795</v>
          </cell>
          <cell r="BM97">
            <v>-0.5733257982480926</v>
          </cell>
          <cell r="BN97">
            <v>-4.48160535117057E-2</v>
          </cell>
          <cell r="BO97">
            <v>-3.5112359550562022E-3</v>
          </cell>
          <cell r="BP97">
            <v>-5.4095826893354459E-3</v>
          </cell>
          <cell r="BQ97">
            <v>-0.12516556291390724</v>
          </cell>
          <cell r="BR97">
            <v>-7.6330532212885105E-2</v>
          </cell>
          <cell r="BS97">
            <v>-0.13883016208597609</v>
          </cell>
          <cell r="BT97">
            <v>8.5470085470085166E-3</v>
          </cell>
          <cell r="BU97">
            <v>-0.12036336109008328</v>
          </cell>
          <cell r="BV97">
            <v>-0.10083396512509479</v>
          </cell>
          <cell r="BW97">
            <v>-4.7780687397707911E-2</v>
          </cell>
          <cell r="BX97">
            <v>-0.2394187211094001</v>
          </cell>
          <cell r="BY97">
            <v>-0.15348595094664497</v>
          </cell>
          <cell r="BZ97">
            <v>-0.28306543634063952</v>
          </cell>
          <cell r="CA97">
            <v>-0.3256656474623848</v>
          </cell>
        </row>
        <row r="98">
          <cell r="A98" t="str">
            <v>Total Switched Access Lines + U-verse</v>
          </cell>
          <cell r="I98">
            <v>61833</v>
          </cell>
          <cell r="J98">
            <v>55834</v>
          </cell>
          <cell r="K98">
            <v>48488</v>
          </cell>
          <cell r="L98">
            <v>43563</v>
          </cell>
          <cell r="M98">
            <v>39012</v>
          </cell>
          <cell r="N98">
            <v>34856</v>
          </cell>
          <cell r="O98">
            <v>31801</v>
          </cell>
          <cell r="P98">
            <v>29301</v>
          </cell>
          <cell r="Q98">
            <v>27421</v>
          </cell>
          <cell r="R98">
            <v>25791</v>
          </cell>
          <cell r="S98">
            <v>24461</v>
          </cell>
          <cell r="T98">
            <v>23131</v>
          </cell>
          <cell r="AR98">
            <v>51868</v>
          </cell>
          <cell r="AS98">
            <v>51032</v>
          </cell>
          <cell r="AT98">
            <v>50217</v>
          </cell>
          <cell r="AU98">
            <v>49413</v>
          </cell>
          <cell r="AV98">
            <v>48768</v>
          </cell>
          <cell r="AW98">
            <v>47911</v>
          </cell>
          <cell r="AX98">
            <v>47087</v>
          </cell>
          <cell r="AY98">
            <v>46307</v>
          </cell>
          <cell r="AZ98">
            <v>65429</v>
          </cell>
          <cell r="BA98">
            <v>64078</v>
          </cell>
          <cell r="BB98">
            <v>62871</v>
          </cell>
          <cell r="BC98">
            <v>61833</v>
          </cell>
          <cell r="BD98">
            <v>60419</v>
          </cell>
          <cell r="BE98">
            <v>58892</v>
          </cell>
          <cell r="BF98">
            <v>57295</v>
          </cell>
          <cell r="BG98">
            <v>55834</v>
          </cell>
          <cell r="BH98">
            <v>54386</v>
          </cell>
          <cell r="BI98">
            <v>51023</v>
          </cell>
          <cell r="BJ98">
            <v>49693</v>
          </cell>
          <cell r="BK98">
            <v>48488</v>
          </cell>
          <cell r="BL98">
            <v>47385</v>
          </cell>
          <cell r="BM98">
            <v>46058</v>
          </cell>
          <cell r="BN98">
            <v>44796</v>
          </cell>
          <cell r="BO98">
            <v>43563</v>
          </cell>
          <cell r="BP98">
            <v>42457</v>
          </cell>
          <cell r="BQ98">
            <v>41298</v>
          </cell>
          <cell r="BR98">
            <v>40098</v>
          </cell>
          <cell r="BS98">
            <v>39012</v>
          </cell>
          <cell r="BT98">
            <v>37878</v>
          </cell>
          <cell r="BU98">
            <v>36841</v>
          </cell>
          <cell r="BV98">
            <v>35821</v>
          </cell>
          <cell r="BW98">
            <v>34856</v>
          </cell>
          <cell r="BX98">
            <v>34026</v>
          </cell>
          <cell r="BY98">
            <v>33176</v>
          </cell>
          <cell r="BZ98">
            <v>32446</v>
          </cell>
          <cell r="CA98">
            <v>31801</v>
          </cell>
        </row>
        <row r="99">
          <cell r="A99" t="str">
            <v>% y/y growth</v>
          </cell>
          <cell r="K99">
            <v>-0.1315685782856324</v>
          </cell>
          <cell r="L99">
            <v>-0.10157152285101467</v>
          </cell>
          <cell r="M99">
            <v>-0.10446938916052617</v>
          </cell>
          <cell r="N99">
            <v>-0.10653132369527329</v>
          </cell>
          <cell r="O99">
            <v>-8.7646316272664726E-2</v>
          </cell>
          <cell r="P99">
            <v>-7.8613880066664588E-2</v>
          </cell>
          <cell r="Q99">
            <v>-6.416163270878128E-2</v>
          </cell>
          <cell r="R99">
            <v>-5.9443492213996585E-2</v>
          </cell>
          <cell r="S99">
            <v>-5.1568376565468532E-2</v>
          </cell>
          <cell r="T99">
            <v>-5.437226605617107E-2</v>
          </cell>
          <cell r="AV99">
            <v>-5.9767101102799369E-2</v>
          </cell>
          <cell r="AW99">
            <v>-6.1157704969430959E-2</v>
          </cell>
          <cell r="AX99">
            <v>-6.2329490013342093E-2</v>
          </cell>
          <cell r="AY99">
            <v>-6.2857952360714786E-2</v>
          </cell>
          <cell r="AZ99">
            <v>0.34163795931758534</v>
          </cell>
          <cell r="BA99">
            <v>0.33743816660057191</v>
          </cell>
          <cell r="BB99">
            <v>0.3352092934355555</v>
          </cell>
          <cell r="BC99">
            <v>0.33528408232016749</v>
          </cell>
          <cell r="BD99">
            <v>-7.6571550841370017E-2</v>
          </cell>
          <cell r="BE99">
            <v>-8.0932613377446283E-2</v>
          </cell>
          <cell r="BF99">
            <v>-8.8689538897106734E-2</v>
          </cell>
          <cell r="BG99">
            <v>-9.7019390940112915E-2</v>
          </cell>
          <cell r="BH99" t="str">
            <v>NM</v>
          </cell>
          <cell r="BI99" t="str">
            <v>NM</v>
          </cell>
          <cell r="BJ99" t="str">
            <v>NM</v>
          </cell>
          <cell r="BK99" t="str">
            <v>NM</v>
          </cell>
          <cell r="BL99" t="str">
            <v>nm</v>
          </cell>
          <cell r="BM99">
            <v>-9.7309056699919627E-2</v>
          </cell>
          <cell r="BN99">
            <v>-9.8545066709596951E-2</v>
          </cell>
          <cell r="BO99">
            <v>-0.10157152285101467</v>
          </cell>
          <cell r="BP99">
            <v>-0.10399915585100772</v>
          </cell>
          <cell r="BQ99">
            <v>-0.10334795258152762</v>
          </cell>
          <cell r="BR99">
            <v>-0.10487543530672383</v>
          </cell>
          <cell r="BS99">
            <v>-0.10446938916052617</v>
          </cell>
          <cell r="BT99">
            <v>-0.10785029559318837</v>
          </cell>
          <cell r="BU99">
            <v>-0.10792290183543995</v>
          </cell>
          <cell r="BV99">
            <v>-0.10666367399870313</v>
          </cell>
          <cell r="BW99">
            <v>-0.10653132369527329</v>
          </cell>
          <cell r="BX99">
            <v>-0.10169491525423724</v>
          </cell>
          <cell r="BY99">
            <v>-9.9481555875247651E-2</v>
          </cell>
          <cell r="BZ99">
            <v>-9.4218475196114038E-2</v>
          </cell>
          <cell r="CA99">
            <v>-8.7646316272664726E-2</v>
          </cell>
        </row>
        <row r="100">
          <cell r="A100" t="str">
            <v>sequential lines added (lost)</v>
          </cell>
          <cell r="J100">
            <v>-5999</v>
          </cell>
          <cell r="K100">
            <v>-7346</v>
          </cell>
          <cell r="L100">
            <v>-4925</v>
          </cell>
          <cell r="M100">
            <v>-4551</v>
          </cell>
          <cell r="N100">
            <v>-4156</v>
          </cell>
          <cell r="O100">
            <v>-3055</v>
          </cell>
          <cell r="P100">
            <v>-2500</v>
          </cell>
          <cell r="Q100">
            <v>-1880</v>
          </cell>
          <cell r="R100">
            <v>-1630</v>
          </cell>
          <cell r="S100">
            <v>-1330</v>
          </cell>
          <cell r="T100">
            <v>-1330</v>
          </cell>
          <cell r="AZ100">
            <v>19122</v>
          </cell>
          <cell r="BA100">
            <v>-1351</v>
          </cell>
          <cell r="BB100">
            <v>-1207</v>
          </cell>
          <cell r="BC100">
            <v>-1038</v>
          </cell>
          <cell r="BD100">
            <v>-1414</v>
          </cell>
          <cell r="BE100">
            <v>-1527</v>
          </cell>
          <cell r="BF100">
            <v>-1597</v>
          </cell>
          <cell r="BG100">
            <v>-1461</v>
          </cell>
          <cell r="BH100">
            <v>-1448</v>
          </cell>
          <cell r="BI100">
            <v>-3363</v>
          </cell>
          <cell r="BJ100">
            <v>-1330</v>
          </cell>
          <cell r="BK100">
            <v>-1205</v>
          </cell>
          <cell r="BL100">
            <v>-1103</v>
          </cell>
          <cell r="BM100">
            <v>-1327</v>
          </cell>
          <cell r="BN100">
            <v>-1262</v>
          </cell>
          <cell r="BO100">
            <v>-1233</v>
          </cell>
          <cell r="BP100">
            <v>-1106</v>
          </cell>
          <cell r="BQ100">
            <v>-1159</v>
          </cell>
          <cell r="BR100">
            <v>-1200</v>
          </cell>
          <cell r="BS100">
            <v>-1086</v>
          </cell>
          <cell r="BT100">
            <v>-1134</v>
          </cell>
          <cell r="BU100">
            <v>-1037</v>
          </cell>
          <cell r="BV100">
            <v>-1020</v>
          </cell>
          <cell r="BW100">
            <v>-965</v>
          </cell>
          <cell r="BX100">
            <v>-830</v>
          </cell>
          <cell r="BY100">
            <v>-850</v>
          </cell>
          <cell r="BZ100">
            <v>-730</v>
          </cell>
          <cell r="CA100">
            <v>-645</v>
          </cell>
        </row>
        <row r="101">
          <cell r="A101" t="str">
            <v>% y/y growth [Pro-forma]</v>
          </cell>
          <cell r="K101">
            <v>0.22453742290381729</v>
          </cell>
          <cell r="L101">
            <v>-0.32956711135311734</v>
          </cell>
          <cell r="M101">
            <v>-7.5939086294416258E-2</v>
          </cell>
          <cell r="N101">
            <v>-8.6794111184355094E-2</v>
          </cell>
          <cell r="O101">
            <v>-0.26491819056785371</v>
          </cell>
          <cell r="P101">
            <v>-0.18166939443535191</v>
          </cell>
          <cell r="Q101">
            <v>-0.248</v>
          </cell>
          <cell r="R101">
            <v>-0.13297872340425532</v>
          </cell>
          <cell r="S101">
            <v>-0.18404907975460127</v>
          </cell>
          <cell r="T101">
            <v>0</v>
          </cell>
          <cell r="BI101">
            <v>1.2023575638506876</v>
          </cell>
          <cell r="BJ101">
            <v>-0.16718847839699436</v>
          </cell>
          <cell r="BK101">
            <v>-0.17522245037645445</v>
          </cell>
          <cell r="BL101" t="str">
            <v>NM</v>
          </cell>
          <cell r="BM101" t="str">
            <v>NM</v>
          </cell>
          <cell r="BN101">
            <v>-5.1127819548872133E-2</v>
          </cell>
          <cell r="BO101">
            <v>2.3236514522821494E-2</v>
          </cell>
          <cell r="BP101">
            <v>2.7198549410698547E-3</v>
          </cell>
          <cell r="BQ101">
            <v>-0.12660135644310477</v>
          </cell>
          <cell r="BR101">
            <v>-4.9128367670364548E-2</v>
          </cell>
          <cell r="BS101">
            <v>-0.11922141119221408</v>
          </cell>
          <cell r="BT101">
            <v>2.5316455696202445E-2</v>
          </cell>
          <cell r="BU101">
            <v>-0.10526315789473684</v>
          </cell>
          <cell r="BV101">
            <v>-0.15000000000000002</v>
          </cell>
          <cell r="BW101">
            <v>-0.11141804788213627</v>
          </cell>
          <cell r="BX101">
            <v>-0.26807760141093473</v>
          </cell>
          <cell r="BY101">
            <v>-0.18032786885245899</v>
          </cell>
          <cell r="BZ101">
            <v>-0.28431372549019607</v>
          </cell>
          <cell r="CA101">
            <v>-0.33160621761658027</v>
          </cell>
        </row>
        <row r="102">
          <cell r="A102" t="str">
            <v>Unbundled Loops (UNE-L)</v>
          </cell>
          <cell r="B102">
            <v>1161</v>
          </cell>
          <cell r="C102">
            <v>1588</v>
          </cell>
          <cell r="D102">
            <v>1781</v>
          </cell>
          <cell r="E102">
            <v>1642</v>
          </cell>
          <cell r="F102">
            <v>1537</v>
          </cell>
          <cell r="G102">
            <v>1695</v>
          </cell>
          <cell r="H102">
            <v>1588</v>
          </cell>
          <cell r="X102">
            <v>616</v>
          </cell>
          <cell r="Y102">
            <v>814</v>
          </cell>
          <cell r="Z102">
            <v>1013</v>
          </cell>
          <cell r="AA102">
            <v>1161</v>
          </cell>
          <cell r="AB102">
            <v>1313</v>
          </cell>
          <cell r="AC102">
            <v>1438</v>
          </cell>
          <cell r="AD102">
            <v>1515</v>
          </cell>
          <cell r="AE102">
            <v>1588</v>
          </cell>
          <cell r="AF102">
            <v>1685</v>
          </cell>
          <cell r="AG102">
            <v>1745</v>
          </cell>
          <cell r="AH102">
            <v>1782</v>
          </cell>
          <cell r="AI102">
            <v>1781</v>
          </cell>
          <cell r="AJ102">
            <v>1754</v>
          </cell>
          <cell r="AK102">
            <v>1684</v>
          </cell>
          <cell r="AL102">
            <v>1664</v>
          </cell>
          <cell r="AM102">
            <v>1642</v>
          </cell>
          <cell r="AN102">
            <v>1603</v>
          </cell>
          <cell r="AO102">
            <v>1579</v>
          </cell>
          <cell r="AP102">
            <v>1558</v>
          </cell>
          <cell r="AQ102">
            <v>1537</v>
          </cell>
          <cell r="AR102">
            <v>1502</v>
          </cell>
          <cell r="AS102">
            <v>1526</v>
          </cell>
          <cell r="AT102">
            <v>1598</v>
          </cell>
          <cell r="AU102">
            <v>1695</v>
          </cell>
          <cell r="AV102">
            <v>1664</v>
          </cell>
          <cell r="AW102">
            <v>1640</v>
          </cell>
          <cell r="AX102">
            <v>1637</v>
          </cell>
          <cell r="AY102">
            <v>1588</v>
          </cell>
          <cell r="AZ102">
            <v>2110</v>
          </cell>
          <cell r="BA102">
            <v>2110</v>
          </cell>
        </row>
        <row r="103">
          <cell r="A103" t="str">
            <v>% y/y growth</v>
          </cell>
          <cell r="C103">
            <v>0.36778639104220501</v>
          </cell>
          <cell r="D103">
            <v>0.12153652392947101</v>
          </cell>
          <cell r="E103">
            <v>-7.8046041549691192E-2</v>
          </cell>
          <cell r="F103">
            <v>-6.3946406820950097E-2</v>
          </cell>
          <cell r="G103">
            <v>0.10279765777488614</v>
          </cell>
          <cell r="H103">
            <v>-6.3126843657817067E-2</v>
          </cell>
          <cell r="AB103">
            <v>1.1314935064935066</v>
          </cell>
          <cell r="AC103">
            <v>0.76658476658476649</v>
          </cell>
          <cell r="AD103">
            <v>0.49555774925962481</v>
          </cell>
          <cell r="AE103">
            <v>0.36778639104220501</v>
          </cell>
          <cell r="AF103">
            <v>0.2833206397562833</v>
          </cell>
          <cell r="AG103">
            <v>0.21349095966620313</v>
          </cell>
          <cell r="AH103">
            <v>0.17623762376237617</v>
          </cell>
          <cell r="AI103">
            <v>0.12153652392947101</v>
          </cell>
          <cell r="AJ103">
            <v>4.0949554896142493E-2</v>
          </cell>
          <cell r="AK103">
            <v>-3.4957020057306609E-2</v>
          </cell>
          <cell r="AL103">
            <v>-6.6217732884399583E-2</v>
          </cell>
          <cell r="AM103">
            <v>-7.8046041549691192E-2</v>
          </cell>
          <cell r="AN103">
            <v>-8.6088939566704714E-2</v>
          </cell>
          <cell r="AO103">
            <v>-6.2351543942992915E-2</v>
          </cell>
          <cell r="AP103">
            <v>-6.3701923076923128E-2</v>
          </cell>
          <cell r="AQ103">
            <v>-6.3946406820950097E-2</v>
          </cell>
          <cell r="AR103">
            <v>-6.3006862133499708E-2</v>
          </cell>
          <cell r="AS103">
            <v>-3.3565547815072816E-2</v>
          </cell>
          <cell r="AT103">
            <v>2.5673940949935803E-2</v>
          </cell>
          <cell r="AU103">
            <v>0.10279765777488614</v>
          </cell>
          <cell r="AV103">
            <v>0.1078561917443408</v>
          </cell>
          <cell r="AW103">
            <v>7.4705111402359137E-2</v>
          </cell>
          <cell r="AX103">
            <v>2.4405506883604433E-2</v>
          </cell>
          <cell r="AY103">
            <v>-6.3126843657817067E-2</v>
          </cell>
          <cell r="AZ103">
            <v>0.26802884615384626</v>
          </cell>
          <cell r="BA103">
            <v>0.28658536585365857</v>
          </cell>
        </row>
        <row r="104">
          <cell r="A104" t="str">
            <v>sequential lines added (lost)</v>
          </cell>
          <cell r="C104">
            <v>427</v>
          </cell>
          <cell r="D104">
            <v>193</v>
          </cell>
          <cell r="E104">
            <v>-139</v>
          </cell>
          <cell r="F104">
            <v>-105</v>
          </cell>
          <cell r="G104">
            <v>158</v>
          </cell>
          <cell r="H104">
            <v>-107</v>
          </cell>
          <cell r="I104">
            <v>-1588</v>
          </cell>
          <cell r="J104">
            <v>0</v>
          </cell>
          <cell r="K104">
            <v>0</v>
          </cell>
          <cell r="L104">
            <v>0</v>
          </cell>
          <cell r="M104">
            <v>0</v>
          </cell>
          <cell r="N104">
            <v>0</v>
          </cell>
          <cell r="O104">
            <v>0</v>
          </cell>
          <cell r="P104">
            <v>0</v>
          </cell>
          <cell r="Q104">
            <v>0</v>
          </cell>
          <cell r="Y104">
            <v>198</v>
          </cell>
          <cell r="Z104">
            <v>199</v>
          </cell>
          <cell r="AA104">
            <v>148</v>
          </cell>
          <cell r="AB104">
            <v>152</v>
          </cell>
          <cell r="AC104">
            <v>125</v>
          </cell>
          <cell r="AD104">
            <v>77</v>
          </cell>
          <cell r="AE104">
            <v>73</v>
          </cell>
          <cell r="AF104">
            <v>97</v>
          </cell>
          <cell r="AG104">
            <v>60</v>
          </cell>
          <cell r="AH104">
            <v>37</v>
          </cell>
          <cell r="AI104">
            <v>-1</v>
          </cell>
          <cell r="AJ104">
            <v>-27</v>
          </cell>
          <cell r="AK104">
            <v>-70</v>
          </cell>
          <cell r="AL104">
            <v>-20</v>
          </cell>
          <cell r="AM104">
            <v>-22</v>
          </cell>
          <cell r="AN104">
            <v>-39</v>
          </cell>
          <cell r="AO104">
            <v>-24</v>
          </cell>
          <cell r="AP104">
            <v>-21</v>
          </cell>
          <cell r="AQ104">
            <v>-21</v>
          </cell>
          <cell r="AR104">
            <v>-35</v>
          </cell>
          <cell r="AS104">
            <v>24</v>
          </cell>
          <cell r="AT104">
            <v>72</v>
          </cell>
          <cell r="AU104">
            <v>97</v>
          </cell>
          <cell r="AV104">
            <v>-31</v>
          </cell>
          <cell r="AW104">
            <v>-24</v>
          </cell>
          <cell r="AX104">
            <v>-3</v>
          </cell>
          <cell r="AY104">
            <v>-49</v>
          </cell>
          <cell r="AZ104">
            <v>522</v>
          </cell>
          <cell r="BA104">
            <v>0</v>
          </cell>
        </row>
        <row r="105">
          <cell r="A105" t="str">
            <v>% total switched + UNE-L</v>
          </cell>
          <cell r="B105">
            <v>1.8596530569749001E-2</v>
          </cell>
          <cell r="C105">
            <v>2.5981250306768542E-2</v>
          </cell>
          <cell r="D105">
            <v>3.0256183745583039E-2</v>
          </cell>
          <cell r="E105">
            <v>2.9151723893051165E-2</v>
          </cell>
          <cell r="F105">
            <v>2.8519473772103985E-2</v>
          </cell>
          <cell r="G105">
            <v>3.3165062221178682E-2</v>
          </cell>
          <cell r="H105">
            <v>3.3155861780979227E-2</v>
          </cell>
          <cell r="I105">
            <v>0</v>
          </cell>
          <cell r="J105">
            <v>0</v>
          </cell>
          <cell r="K105">
            <v>3.4945751019128259E-2</v>
          </cell>
          <cell r="L105">
            <v>3.4945751019128259E-2</v>
          </cell>
          <cell r="M105">
            <v>3.5000000000000003E-2</v>
          </cell>
          <cell r="N105">
            <v>3.5000000000000003E-2</v>
          </cell>
          <cell r="O105">
            <v>3.5000000000000003E-2</v>
          </cell>
          <cell r="P105">
            <v>3.5000000000000003E-2</v>
          </cell>
          <cell r="Q105">
            <v>3.5000000000000003E-2</v>
          </cell>
          <cell r="X105">
            <v>9.972478549457665E-3</v>
          </cell>
          <cell r="Y105">
            <v>1.3118875709128416E-2</v>
          </cell>
          <cell r="Z105">
            <v>1.6260032102728732E-2</v>
          </cell>
          <cell r="AA105">
            <v>1.8596530569749001E-2</v>
          </cell>
          <cell r="AB105">
            <v>2.0985503540204901E-2</v>
          </cell>
          <cell r="AC105">
            <v>2.3187564499484004E-2</v>
          </cell>
          <cell r="AD105">
            <v>2.4536399708478419E-2</v>
          </cell>
          <cell r="AE105">
            <v>2.5981250306768542E-2</v>
          </cell>
          <cell r="AF105">
            <v>2.7749872367055877E-2</v>
          </cell>
          <cell r="AG105">
            <v>2.9083333333333333E-2</v>
          </cell>
          <cell r="AH105">
            <v>2.9994950345059754E-2</v>
          </cell>
          <cell r="AI105">
            <v>3.0256183745583039E-2</v>
          </cell>
          <cell r="AJ105">
            <v>3.0017798466593647E-2</v>
          </cell>
          <cell r="AK105">
            <v>2.9291541284722826E-2</v>
          </cell>
          <cell r="AL105">
            <v>2.9231958400674583E-2</v>
          </cell>
          <cell r="AM105">
            <v>2.9151723893051165E-2</v>
          </cell>
          <cell r="AN105">
            <v>2.8697255589967597E-2</v>
          </cell>
          <cell r="AO105">
            <v>2.8621145933404629E-2</v>
          </cell>
          <cell r="AP105">
            <v>2.859030351965354E-2</v>
          </cell>
          <cell r="AQ105">
            <v>2.8519473772103985E-2</v>
          </cell>
          <cell r="AR105">
            <v>2.814315158328649E-2</v>
          </cell>
          <cell r="AS105">
            <v>2.9034590357319534E-2</v>
          </cell>
          <cell r="AT105">
            <v>3.0840490205538938E-2</v>
          </cell>
          <cell r="AU105">
            <v>3.3165062221178682E-2</v>
          </cell>
          <cell r="AV105">
            <v>3.2994923857868022E-2</v>
          </cell>
          <cell r="AW105">
            <v>3.309721297249299E-2</v>
          </cell>
          <cell r="AX105">
            <v>3.3597405795911667E-2</v>
          </cell>
          <cell r="AY105">
            <v>3.3155861780979227E-2</v>
          </cell>
          <cell r="AZ105">
            <v>3.1241208783073484E-2</v>
          </cell>
          <cell r="BA105">
            <v>3.1878890433311172E-2</v>
          </cell>
        </row>
        <row r="107">
          <cell r="A107" t="str">
            <v>Total switched + UNE-L lines</v>
          </cell>
          <cell r="B107">
            <v>62431</v>
          </cell>
          <cell r="C107">
            <v>61121</v>
          </cell>
          <cell r="D107">
            <v>58864</v>
          </cell>
          <cell r="E107">
            <v>56326</v>
          </cell>
          <cell r="F107">
            <v>53893</v>
          </cell>
          <cell r="G107">
            <v>51108</v>
          </cell>
          <cell r="H107">
            <v>47895</v>
          </cell>
          <cell r="I107">
            <v>61582</v>
          </cell>
          <cell r="J107">
            <v>55834</v>
          </cell>
          <cell r="K107">
            <v>48488</v>
          </cell>
          <cell r="L107">
            <v>43563</v>
          </cell>
          <cell r="M107">
            <v>39012</v>
          </cell>
          <cell r="N107">
            <v>34856</v>
          </cell>
          <cell r="O107">
            <v>31801</v>
          </cell>
          <cell r="P107">
            <v>29301</v>
          </cell>
          <cell r="Q107">
            <v>27421</v>
          </cell>
          <cell r="X107">
            <v>61770</v>
          </cell>
          <cell r="Y107">
            <v>62048</v>
          </cell>
          <cell r="Z107">
            <v>62300</v>
          </cell>
          <cell r="AA107">
            <v>62431</v>
          </cell>
          <cell r="AB107">
            <v>62567</v>
          </cell>
          <cell r="AC107">
            <v>62016</v>
          </cell>
          <cell r="AD107">
            <v>61745</v>
          </cell>
          <cell r="AE107">
            <v>61121</v>
          </cell>
          <cell r="AF107">
            <v>60721</v>
          </cell>
          <cell r="AG107">
            <v>60000</v>
          </cell>
          <cell r="AH107">
            <v>59410</v>
          </cell>
          <cell r="AI107">
            <v>58864</v>
          </cell>
          <cell r="AJ107">
            <v>58432</v>
          </cell>
          <cell r="AK107">
            <v>57491</v>
          </cell>
          <cell r="AL107">
            <v>56924</v>
          </cell>
          <cell r="AM107">
            <v>56326</v>
          </cell>
          <cell r="AN107">
            <v>55859</v>
          </cell>
          <cell r="AO107">
            <v>55169</v>
          </cell>
          <cell r="AP107">
            <v>54494</v>
          </cell>
          <cell r="AQ107">
            <v>53893</v>
          </cell>
          <cell r="AR107">
            <v>53370</v>
          </cell>
          <cell r="AS107">
            <v>52558</v>
          </cell>
          <cell r="AT107">
            <v>51815</v>
          </cell>
          <cell r="AU107">
            <v>51108</v>
          </cell>
          <cell r="AV107">
            <v>50432</v>
          </cell>
          <cell r="AW107">
            <v>49551</v>
          </cell>
          <cell r="AX107">
            <v>48724</v>
          </cell>
          <cell r="AY107">
            <v>47895</v>
          </cell>
          <cell r="AZ107">
            <v>67539</v>
          </cell>
          <cell r="BA107">
            <v>66188</v>
          </cell>
          <cell r="BB107">
            <v>62871</v>
          </cell>
          <cell r="BC107">
            <v>61582</v>
          </cell>
          <cell r="BD107">
            <v>60419</v>
          </cell>
          <cell r="BE107">
            <v>58892</v>
          </cell>
          <cell r="BF107">
            <v>57295</v>
          </cell>
          <cell r="BG107">
            <v>55834</v>
          </cell>
        </row>
        <row r="108">
          <cell r="A108" t="str">
            <v>% y/y growth</v>
          </cell>
          <cell r="C108">
            <v>-2.0983165414617755E-2</v>
          </cell>
          <cell r="D108">
            <v>-3.6926751852881967E-2</v>
          </cell>
          <cell r="E108">
            <v>-4.3116335960858954E-2</v>
          </cell>
          <cell r="F108">
            <v>-4.3194972126548992E-2</v>
          </cell>
          <cell r="G108">
            <v>-5.1676470042491651E-2</v>
          </cell>
          <cell r="H108">
            <v>-6.2866870157313959E-2</v>
          </cell>
          <cell r="I108">
            <v>0.28577095730243229</v>
          </cell>
          <cell r="J108">
            <v>-9.3338962683901183E-2</v>
          </cell>
          <cell r="K108">
            <v>-0.1315685782856324</v>
          </cell>
          <cell r="L108">
            <v>-0.10157152285101467</v>
          </cell>
          <cell r="M108">
            <v>-0.10446938916052617</v>
          </cell>
          <cell r="N108">
            <v>-0.10653132369527329</v>
          </cell>
          <cell r="O108">
            <v>-8.7646316272664726E-2</v>
          </cell>
          <cell r="P108">
            <v>-7.8613880066664588E-2</v>
          </cell>
          <cell r="Q108">
            <v>-6.416163270878128E-2</v>
          </cell>
          <cell r="AB108">
            <v>1.2902703577788666E-2</v>
          </cell>
          <cell r="AC108">
            <v>-5.1572975760705297E-4</v>
          </cell>
          <cell r="AD108">
            <v>-8.9085072231139817E-3</v>
          </cell>
          <cell r="AE108">
            <v>-2.0983165414617755E-2</v>
          </cell>
          <cell r="AF108">
            <v>-2.950437131395145E-2</v>
          </cell>
          <cell r="AG108">
            <v>-3.2507739938080538E-2</v>
          </cell>
          <cell r="AH108">
            <v>-3.7816827273463471E-2</v>
          </cell>
          <cell r="AI108">
            <v>-3.6926751852881967E-2</v>
          </cell>
          <cell r="AJ108">
            <v>-3.7697007625039136E-2</v>
          </cell>
          <cell r="AK108">
            <v>-4.1816666666666613E-2</v>
          </cell>
          <cell r="AL108">
            <v>-4.1844807271503082E-2</v>
          </cell>
          <cell r="AM108">
            <v>-4.3116335960858954E-2</v>
          </cell>
          <cell r="AN108">
            <v>-4.4034090909090939E-2</v>
          </cell>
          <cell r="AO108">
            <v>-4.0388930441286441E-2</v>
          </cell>
          <cell r="AP108">
            <v>-4.2688496943292797E-2</v>
          </cell>
          <cell r="AQ108">
            <v>-4.3194972126548992E-2</v>
          </cell>
          <cell r="AR108">
            <v>-4.4558620813118788E-2</v>
          </cell>
          <cell r="AS108">
            <v>-4.732730337689639E-2</v>
          </cell>
          <cell r="AT108">
            <v>-4.916137556428235E-2</v>
          </cell>
          <cell r="AU108">
            <v>-5.1676470042491651E-2</v>
          </cell>
          <cell r="AV108">
            <v>-5.5049653363312689E-2</v>
          </cell>
          <cell r="AW108">
            <v>-5.7212983751284252E-2</v>
          </cell>
          <cell r="AX108">
            <v>-5.9654540191064309E-2</v>
          </cell>
          <cell r="AY108">
            <v>-6.2866870157313959E-2</v>
          </cell>
          <cell r="AZ108">
            <v>0.33920923223350252</v>
          </cell>
          <cell r="BA108">
            <v>0.3357550806240035</v>
          </cell>
          <cell r="BB108">
            <v>0.29034972498152856</v>
          </cell>
          <cell r="BC108">
            <v>0.28577095730243229</v>
          </cell>
          <cell r="BD108">
            <v>-0.10542057181776454</v>
          </cell>
          <cell r="BE108">
            <v>-0.11023146189641631</v>
          </cell>
          <cell r="BF108">
            <v>-8.8689538897106734E-2</v>
          </cell>
          <cell r="BG108">
            <v>-9.3338962683901183E-2</v>
          </cell>
        </row>
        <row r="109">
          <cell r="A109" t="str">
            <v>sequential lines added (lost)</v>
          </cell>
          <cell r="C109">
            <v>-1310</v>
          </cell>
          <cell r="D109">
            <v>-2257</v>
          </cell>
          <cell r="E109">
            <v>-2538</v>
          </cell>
          <cell r="F109">
            <v>-2433</v>
          </cell>
          <cell r="G109">
            <v>-2785</v>
          </cell>
          <cell r="H109">
            <v>-3213</v>
          </cell>
          <cell r="I109">
            <v>13687</v>
          </cell>
          <cell r="J109">
            <v>-5748</v>
          </cell>
          <cell r="K109">
            <v>-7346</v>
          </cell>
          <cell r="L109">
            <v>-4925</v>
          </cell>
          <cell r="M109">
            <v>-4551</v>
          </cell>
          <cell r="N109">
            <v>-4156</v>
          </cell>
          <cell r="O109">
            <v>-3055</v>
          </cell>
          <cell r="P109">
            <v>-2500</v>
          </cell>
          <cell r="Q109">
            <v>-1880</v>
          </cell>
          <cell r="Y109">
            <v>278</v>
          </cell>
          <cell r="Z109">
            <v>252</v>
          </cell>
          <cell r="AA109">
            <v>131</v>
          </cell>
          <cell r="AB109">
            <v>136</v>
          </cell>
          <cell r="AC109">
            <v>-551</v>
          </cell>
          <cell r="AD109">
            <v>-271</v>
          </cell>
          <cell r="AE109">
            <v>-624</v>
          </cell>
          <cell r="AF109">
            <v>-400</v>
          </cell>
          <cell r="AG109">
            <v>-721</v>
          </cell>
          <cell r="AH109">
            <v>-590</v>
          </cell>
          <cell r="AI109">
            <v>-546</v>
          </cell>
          <cell r="AJ109">
            <v>-432</v>
          </cell>
          <cell r="AK109">
            <v>-941</v>
          </cell>
          <cell r="AL109">
            <v>-567</v>
          </cell>
          <cell r="AM109">
            <v>-598</v>
          </cell>
          <cell r="AN109">
            <v>-467</v>
          </cell>
          <cell r="AO109">
            <v>-690</v>
          </cell>
          <cell r="AP109">
            <v>-675</v>
          </cell>
          <cell r="AQ109">
            <v>-601</v>
          </cell>
          <cell r="AR109">
            <v>-523</v>
          </cell>
          <cell r="AS109">
            <v>-812</v>
          </cell>
          <cell r="AT109">
            <v>-743</v>
          </cell>
          <cell r="AU109">
            <v>-707</v>
          </cell>
          <cell r="AV109">
            <v>-676</v>
          </cell>
          <cell r="AW109">
            <v>-881</v>
          </cell>
          <cell r="AX109">
            <v>-827</v>
          </cell>
          <cell r="AY109">
            <v>-829</v>
          </cell>
          <cell r="AZ109">
            <v>19644</v>
          </cell>
          <cell r="BA109">
            <v>-1351</v>
          </cell>
          <cell r="BB109">
            <v>-3317</v>
          </cell>
          <cell r="BC109">
            <v>-1289</v>
          </cell>
          <cell r="BD109">
            <v>-1163</v>
          </cell>
          <cell r="BE109">
            <v>-1527</v>
          </cell>
          <cell r="BF109">
            <v>-1597</v>
          </cell>
          <cell r="BG109">
            <v>-1461</v>
          </cell>
        </row>
        <row r="111">
          <cell r="A111" t="str">
            <v>Total % lines lost to wholesale/unbundling</v>
          </cell>
          <cell r="B111">
            <v>7.2175681952875978E-2</v>
          </cell>
          <cell r="C111">
            <v>9.4075685934457878E-2</v>
          </cell>
          <cell r="D111">
            <v>0.13684085349279695</v>
          </cell>
          <cell r="E111">
            <v>0.16367219401342187</v>
          </cell>
          <cell r="F111">
            <v>0.16352773087413949</v>
          </cell>
          <cell r="G111">
            <v>0.13633873366204899</v>
          </cell>
          <cell r="H111">
            <v>0.11383234158054077</v>
          </cell>
          <cell r="I111">
            <v>6.0959371244844275E-2</v>
          </cell>
          <cell r="J111">
            <v>5.6775441487265821E-2</v>
          </cell>
          <cell r="K111">
            <v>5.9973601715888468E-2</v>
          </cell>
          <cell r="L111">
            <v>5.5781282280834656E-2</v>
          </cell>
          <cell r="M111">
            <v>5.5547011176048398E-2</v>
          </cell>
          <cell r="N111">
            <v>5.5657562543034195E-2</v>
          </cell>
          <cell r="O111">
            <v>5.4715260526398538E-2</v>
          </cell>
          <cell r="P111">
            <v>5.4264359578171391E-2</v>
          </cell>
          <cell r="Q111">
            <v>5.5067284198242222E-2</v>
          </cell>
          <cell r="X111">
            <v>5.2258377853326855E-2</v>
          </cell>
          <cell r="Y111">
            <v>5.8406395048994329E-2</v>
          </cell>
          <cell r="Z111">
            <v>6.5489566613162117E-2</v>
          </cell>
          <cell r="AA111">
            <v>7.2175681952875978E-2</v>
          </cell>
          <cell r="AB111">
            <v>7.9083222785174295E-2</v>
          </cell>
          <cell r="AC111">
            <v>8.4865196078431376E-2</v>
          </cell>
          <cell r="AD111">
            <v>9.0404081302129721E-2</v>
          </cell>
          <cell r="AE111">
            <v>9.4075685934457878E-2</v>
          </cell>
          <cell r="AF111">
            <v>0.1009700103753232</v>
          </cell>
          <cell r="AG111">
            <v>0.1125</v>
          </cell>
          <cell r="AH111">
            <v>0.12442349772765528</v>
          </cell>
          <cell r="AI111">
            <v>0.13684085349279695</v>
          </cell>
          <cell r="AJ111">
            <v>0.1484973986856517</v>
          </cell>
          <cell r="AK111">
            <v>0.15407629020194466</v>
          </cell>
          <cell r="AL111">
            <v>0.1606352329421685</v>
          </cell>
          <cell r="AM111">
            <v>0.16367219401342187</v>
          </cell>
          <cell r="AN111">
            <v>0.16649062818883259</v>
          </cell>
          <cell r="AO111">
            <v>0.17031303811923362</v>
          </cell>
          <cell r="AP111">
            <v>0.16787169229639962</v>
          </cell>
          <cell r="AQ111">
            <v>0.16352773087413949</v>
          </cell>
          <cell r="AR111">
            <v>0.15782274686153269</v>
          </cell>
          <cell r="AS111">
            <v>0.15032916016591194</v>
          </cell>
          <cell r="AT111">
            <v>0.14268069091961788</v>
          </cell>
          <cell r="AU111">
            <v>0.13633873366204899</v>
          </cell>
          <cell r="AV111">
            <v>0.13164260786802032</v>
          </cell>
          <cell r="AW111">
            <v>0.12671792698431919</v>
          </cell>
          <cell r="AX111">
            <v>0.12053608078154503</v>
          </cell>
          <cell r="AY111">
            <v>0.11383234158054077</v>
          </cell>
          <cell r="AZ111">
            <v>0.11195013251602777</v>
          </cell>
          <cell r="BA111">
            <v>0.10095485586511151</v>
          </cell>
          <cell r="BB111">
            <v>6.505384040336562E-2</v>
          </cell>
          <cell r="BC111">
            <v>6.0959371244844275E-2</v>
          </cell>
          <cell r="BD111">
            <v>5.9418394875784104E-2</v>
          </cell>
          <cell r="BE111">
            <v>5.7936561842015892E-2</v>
          </cell>
          <cell r="BF111">
            <v>5.7265031852692209E-2</v>
          </cell>
          <cell r="BG111">
            <v>5.6775441487265821E-2</v>
          </cell>
        </row>
        <row r="112">
          <cell r="A112" t="str">
            <v>Incremental increase (decrease)</v>
          </cell>
          <cell r="C112">
            <v>2.19000039815819E-2</v>
          </cell>
          <cell r="D112">
            <v>4.2765167558339076E-2</v>
          </cell>
          <cell r="E112">
            <v>2.6831340520624913E-2</v>
          </cell>
          <cell r="F112">
            <v>-1.4446313928237475E-4</v>
          </cell>
          <cell r="G112">
            <v>-2.7188997212090504E-2</v>
          </cell>
          <cell r="H112">
            <v>-2.2506392081508217E-2</v>
          </cell>
          <cell r="I112">
            <v>-5.2872970335696497E-2</v>
          </cell>
          <cell r="J112">
            <v>-4.1839297575784543E-3</v>
          </cell>
          <cell r="K112">
            <v>3.1981602286226471E-3</v>
          </cell>
          <cell r="L112">
            <v>-4.1923194350538123E-3</v>
          </cell>
          <cell r="M112">
            <v>-2.3427110478625723E-4</v>
          </cell>
          <cell r="N112">
            <v>1.1055136698579632E-4</v>
          </cell>
          <cell r="O112">
            <v>-9.4230201663565716E-4</v>
          </cell>
          <cell r="P112">
            <v>-4.5090094822714671E-4</v>
          </cell>
          <cell r="Q112">
            <v>8.0292462007083149E-4</v>
          </cell>
          <cell r="Y112">
            <v>6.148017195667474E-3</v>
          </cell>
          <cell r="Z112">
            <v>7.0831715641677881E-3</v>
          </cell>
          <cell r="AA112">
            <v>6.6861153397138606E-3</v>
          </cell>
          <cell r="AB112">
            <v>6.9075408322983173E-3</v>
          </cell>
          <cell r="AC112">
            <v>5.7819732932570811E-3</v>
          </cell>
          <cell r="AD112">
            <v>5.5388852236983449E-3</v>
          </cell>
          <cell r="AE112">
            <v>3.671604632328157E-3</v>
          </cell>
          <cell r="AF112">
            <v>6.8943244408653237E-3</v>
          </cell>
          <cell r="AG112">
            <v>1.1529989624676801E-2</v>
          </cell>
          <cell r="AH112">
            <v>1.1923497727655274E-2</v>
          </cell>
          <cell r="AI112">
            <v>1.2417355765141677E-2</v>
          </cell>
          <cell r="AJ112">
            <v>1.165654519285475E-2</v>
          </cell>
          <cell r="AK112">
            <v>5.5788915162929553E-3</v>
          </cell>
          <cell r="AL112">
            <v>6.5589427402238387E-3</v>
          </cell>
          <cell r="AM112">
            <v>3.036961071253369E-3</v>
          </cell>
          <cell r="AN112">
            <v>2.8184341754107223E-3</v>
          </cell>
          <cell r="AO112">
            <v>3.8224099304010328E-3</v>
          </cell>
          <cell r="AP112">
            <v>-2.4413458228340068E-3</v>
          </cell>
          <cell r="AQ112">
            <v>-4.3439614222601231E-3</v>
          </cell>
          <cell r="AR112">
            <v>-5.7049840126068008E-3</v>
          </cell>
          <cell r="AS112">
            <v>-7.493586695620752E-3</v>
          </cell>
          <cell r="AT112">
            <v>-7.6484692462940596E-3</v>
          </cell>
          <cell r="AU112">
            <v>-6.3419572575688921E-3</v>
          </cell>
          <cell r="AV112">
            <v>-4.6961257940286716E-3</v>
          </cell>
          <cell r="AW112">
            <v>-4.9246808837011269E-3</v>
          </cell>
          <cell r="AX112">
            <v>-6.1818462027741633E-3</v>
          </cell>
          <cell r="AY112">
            <v>-6.7037392010042551E-3</v>
          </cell>
          <cell r="AZ112">
            <v>-1.8822090645130019E-3</v>
          </cell>
          <cell r="BA112">
            <v>-1.0995276650916264E-2</v>
          </cell>
          <cell r="BB112">
            <v>-3.5901015461745886E-2</v>
          </cell>
          <cell r="BC112">
            <v>-4.0944691585213452E-3</v>
          </cell>
          <cell r="BD112">
            <v>-1.5409763690601708E-3</v>
          </cell>
          <cell r="BE112">
            <v>-1.4818330337682123E-3</v>
          </cell>
          <cell r="BF112">
            <v>-6.7152998932368257E-4</v>
          </cell>
          <cell r="BG112">
            <v>-4.8959036542638862E-4</v>
          </cell>
        </row>
        <row r="113">
          <cell r="A113" t="str">
            <v>DSL SUBSCRIBERS</v>
          </cell>
        </row>
        <row r="114">
          <cell r="A114" t="str">
            <v>DSL subscribers</v>
          </cell>
          <cell r="B114">
            <v>767</v>
          </cell>
          <cell r="C114">
            <v>1333</v>
          </cell>
          <cell r="D114">
            <v>2199</v>
          </cell>
          <cell r="E114">
            <v>3515.49</v>
          </cell>
          <cell r="F114">
            <v>5104.5</v>
          </cell>
          <cell r="G114">
            <v>6921.5</v>
          </cell>
          <cell r="H114">
            <v>8529.5</v>
          </cell>
          <cell r="I114">
            <v>13907</v>
          </cell>
          <cell r="J114">
            <v>13996</v>
          </cell>
          <cell r="K114">
            <v>13689</v>
          </cell>
          <cell r="L114">
            <v>13078</v>
          </cell>
          <cell r="M114">
            <v>11252</v>
          </cell>
          <cell r="N114">
            <v>8633</v>
          </cell>
          <cell r="O114">
            <v>5983</v>
          </cell>
          <cell r="P114">
            <v>3783</v>
          </cell>
          <cell r="Q114">
            <v>2033</v>
          </cell>
          <cell r="R114">
            <v>1283</v>
          </cell>
          <cell r="S114">
            <v>783</v>
          </cell>
          <cell r="T114">
            <v>283</v>
          </cell>
          <cell r="X114">
            <v>201</v>
          </cell>
          <cell r="Y114">
            <v>399</v>
          </cell>
          <cell r="Z114">
            <v>516</v>
          </cell>
          <cell r="AA114">
            <v>767</v>
          </cell>
          <cell r="AB114">
            <v>954</v>
          </cell>
          <cell r="AC114">
            <v>1037</v>
          </cell>
          <cell r="AD114">
            <v>1187</v>
          </cell>
          <cell r="AE114">
            <v>1333</v>
          </cell>
          <cell r="AF114">
            <v>1515</v>
          </cell>
          <cell r="AG114">
            <v>1728</v>
          </cell>
          <cell r="AH114">
            <v>1954</v>
          </cell>
          <cell r="AI114">
            <v>2199</v>
          </cell>
          <cell r="AJ114">
            <v>2470</v>
          </cell>
          <cell r="AK114">
            <v>2773</v>
          </cell>
          <cell r="AL114">
            <v>3138</v>
          </cell>
          <cell r="AM114">
            <v>3515.49</v>
          </cell>
          <cell r="AN114">
            <v>3962.5</v>
          </cell>
          <cell r="AO114">
            <v>4277.5</v>
          </cell>
          <cell r="AP114">
            <v>4679.5</v>
          </cell>
          <cell r="AQ114">
            <v>5104.5</v>
          </cell>
          <cell r="AR114">
            <v>5608.5</v>
          </cell>
          <cell r="AS114">
            <v>5968.5</v>
          </cell>
          <cell r="AT114">
            <v>6496.5</v>
          </cell>
          <cell r="AU114">
            <v>6921.5</v>
          </cell>
          <cell r="AV114">
            <v>7432.5</v>
          </cell>
          <cell r="AW114">
            <v>7774.5</v>
          </cell>
          <cell r="AX114">
            <v>8148.5</v>
          </cell>
          <cell r="AY114">
            <v>8529.5</v>
          </cell>
          <cell r="AZ114">
            <v>12842</v>
          </cell>
          <cell r="BA114">
            <v>13203</v>
          </cell>
          <cell r="BB114">
            <v>13621</v>
          </cell>
          <cell r="BC114">
            <v>13907</v>
          </cell>
          <cell r="BD114">
            <v>14245</v>
          </cell>
          <cell r="BE114">
            <v>14116</v>
          </cell>
          <cell r="BF114">
            <v>14032</v>
          </cell>
          <cell r="BG114">
            <v>13996</v>
          </cell>
          <cell r="BH114">
            <v>14071</v>
          </cell>
          <cell r="BI114">
            <v>13935</v>
          </cell>
          <cell r="BJ114">
            <v>13786</v>
          </cell>
          <cell r="BK114">
            <v>13689</v>
          </cell>
          <cell r="BL114">
            <v>13713</v>
          </cell>
          <cell r="BM114">
            <v>13366</v>
          </cell>
          <cell r="BN114">
            <v>13216</v>
          </cell>
          <cell r="BO114">
            <v>13078</v>
          </cell>
          <cell r="BP114">
            <v>12840</v>
          </cell>
          <cell r="BQ114">
            <v>12389</v>
          </cell>
          <cell r="BR114">
            <v>11888</v>
          </cell>
          <cell r="BS114">
            <v>11252</v>
          </cell>
          <cell r="BT114">
            <v>10637</v>
          </cell>
          <cell r="BU114">
            <v>9988</v>
          </cell>
          <cell r="BV114">
            <v>9333</v>
          </cell>
          <cell r="BW114">
            <v>8633</v>
          </cell>
          <cell r="BX114">
            <v>7983</v>
          </cell>
          <cell r="BY114">
            <v>7383</v>
          </cell>
          <cell r="BZ114">
            <v>6683</v>
          </cell>
          <cell r="CA114">
            <v>5983</v>
          </cell>
        </row>
        <row r="115">
          <cell r="A115" t="str">
            <v>Net adds</v>
          </cell>
          <cell r="C115">
            <v>566</v>
          </cell>
          <cell r="D115">
            <v>866</v>
          </cell>
          <cell r="E115">
            <v>1316.4899999999998</v>
          </cell>
          <cell r="F115">
            <v>1589.0100000000002</v>
          </cell>
          <cell r="G115">
            <v>1817</v>
          </cell>
          <cell r="H115">
            <v>1608</v>
          </cell>
          <cell r="I115">
            <v>1746</v>
          </cell>
          <cell r="J115">
            <v>89</v>
          </cell>
          <cell r="K115">
            <v>-307</v>
          </cell>
          <cell r="L115">
            <v>-611</v>
          </cell>
          <cell r="M115">
            <v>-1826</v>
          </cell>
          <cell r="N115">
            <v>-2619</v>
          </cell>
          <cell r="O115">
            <v>-2650</v>
          </cell>
          <cell r="P115">
            <v>-2200</v>
          </cell>
          <cell r="Q115">
            <v>-1750</v>
          </cell>
          <cell r="R115">
            <v>-750</v>
          </cell>
          <cell r="S115">
            <v>-500</v>
          </cell>
          <cell r="T115">
            <v>-500</v>
          </cell>
          <cell r="X115">
            <v>201</v>
          </cell>
          <cell r="Y115">
            <v>198</v>
          </cell>
          <cell r="Z115">
            <v>117</v>
          </cell>
          <cell r="AA115">
            <v>251</v>
          </cell>
          <cell r="AB115">
            <v>187</v>
          </cell>
          <cell r="AC115">
            <v>83</v>
          </cell>
          <cell r="AD115">
            <v>150</v>
          </cell>
          <cell r="AE115">
            <v>146</v>
          </cell>
          <cell r="AF115">
            <v>182</v>
          </cell>
          <cell r="AG115">
            <v>213</v>
          </cell>
          <cell r="AH115">
            <v>226</v>
          </cell>
          <cell r="AI115">
            <v>245</v>
          </cell>
          <cell r="AJ115">
            <v>271</v>
          </cell>
          <cell r="AK115">
            <v>303</v>
          </cell>
          <cell r="AL115">
            <v>365</v>
          </cell>
          <cell r="AM115">
            <v>377.49</v>
          </cell>
          <cell r="AN115">
            <v>447.01</v>
          </cell>
          <cell r="AO115">
            <v>315</v>
          </cell>
          <cell r="AP115">
            <v>402</v>
          </cell>
          <cell r="AQ115">
            <v>425</v>
          </cell>
          <cell r="AR115">
            <v>504</v>
          </cell>
          <cell r="AS115">
            <v>360</v>
          </cell>
          <cell r="AT115">
            <v>528</v>
          </cell>
          <cell r="AU115">
            <v>425</v>
          </cell>
          <cell r="AV115">
            <v>511</v>
          </cell>
          <cell r="AW115">
            <v>342</v>
          </cell>
          <cell r="AX115">
            <v>374</v>
          </cell>
          <cell r="AY115">
            <v>381</v>
          </cell>
          <cell r="AZ115">
            <v>681</v>
          </cell>
          <cell r="BA115">
            <v>361</v>
          </cell>
          <cell r="BB115">
            <v>418</v>
          </cell>
          <cell r="BC115">
            <v>286</v>
          </cell>
          <cell r="BD115">
            <v>338</v>
          </cell>
          <cell r="BE115">
            <v>-129</v>
          </cell>
          <cell r="BF115">
            <v>-84</v>
          </cell>
          <cell r="BG115">
            <v>-36</v>
          </cell>
          <cell r="BH115">
            <v>75</v>
          </cell>
          <cell r="BI115">
            <v>-136</v>
          </cell>
          <cell r="BJ115">
            <v>-149</v>
          </cell>
          <cell r="BK115">
            <v>-97</v>
          </cell>
          <cell r="BL115">
            <v>24</v>
          </cell>
          <cell r="BM115">
            <v>-347</v>
          </cell>
          <cell r="BN115">
            <v>-150</v>
          </cell>
          <cell r="BO115">
            <v>-138</v>
          </cell>
          <cell r="BP115">
            <v>-238</v>
          </cell>
          <cell r="BQ115">
            <v>-451</v>
          </cell>
          <cell r="BR115">
            <v>-501</v>
          </cell>
          <cell r="BS115">
            <v>-636</v>
          </cell>
          <cell r="BT115">
            <v>-615</v>
          </cell>
          <cell r="BU115">
            <v>-649</v>
          </cell>
          <cell r="BV115">
            <v>-655</v>
          </cell>
          <cell r="BW115">
            <v>-700</v>
          </cell>
          <cell r="BX115">
            <v>-650</v>
          </cell>
          <cell r="BY115">
            <v>-600</v>
          </cell>
          <cell r="BZ115">
            <v>-700</v>
          </cell>
          <cell r="CA115">
            <v>-700</v>
          </cell>
        </row>
        <row r="116">
          <cell r="A116" t="str">
            <v xml:space="preserve">  Base</v>
          </cell>
          <cell r="BW116">
            <v>-700</v>
          </cell>
          <cell r="BX116">
            <v>-650</v>
          </cell>
          <cell r="BY116">
            <v>-600</v>
          </cell>
          <cell r="BZ116">
            <v>-700</v>
          </cell>
          <cell r="CA116">
            <v>-700</v>
          </cell>
        </row>
        <row r="117">
          <cell r="A117" t="str">
            <v xml:space="preserve">  Bull</v>
          </cell>
          <cell r="BW117">
            <v>-650</v>
          </cell>
          <cell r="BX117">
            <v>-600</v>
          </cell>
          <cell r="BY117">
            <v>-550</v>
          </cell>
          <cell r="BZ117">
            <v>-650</v>
          </cell>
          <cell r="CA117">
            <v>-650</v>
          </cell>
        </row>
        <row r="118">
          <cell r="A118" t="str">
            <v xml:space="preserve">  Bear</v>
          </cell>
          <cell r="BW118">
            <v>-800</v>
          </cell>
          <cell r="BX118">
            <v>-750</v>
          </cell>
          <cell r="BY118">
            <v>-700</v>
          </cell>
          <cell r="BZ118">
            <v>-800</v>
          </cell>
          <cell r="CA118">
            <v>-800</v>
          </cell>
        </row>
        <row r="119">
          <cell r="A119" t="str">
            <v>average subs</v>
          </cell>
          <cell r="B119">
            <v>767</v>
          </cell>
          <cell r="C119">
            <v>1050</v>
          </cell>
          <cell r="D119">
            <v>1766</v>
          </cell>
          <cell r="E119">
            <v>2857.2449999999999</v>
          </cell>
          <cell r="F119">
            <v>4309.9949999999999</v>
          </cell>
          <cell r="G119">
            <v>6013</v>
          </cell>
          <cell r="H119">
            <v>7725.5</v>
          </cell>
          <cell r="I119">
            <v>11218.25</v>
          </cell>
          <cell r="J119">
            <v>13951.5</v>
          </cell>
          <cell r="K119">
            <v>13842.5</v>
          </cell>
          <cell r="L119">
            <v>13383.5</v>
          </cell>
          <cell r="M119">
            <v>12165</v>
          </cell>
          <cell r="N119">
            <v>9942.5</v>
          </cell>
          <cell r="O119">
            <v>7308</v>
          </cell>
          <cell r="P119">
            <v>4883</v>
          </cell>
          <cell r="Q119">
            <v>2908</v>
          </cell>
          <cell r="R119">
            <v>1658</v>
          </cell>
          <cell r="S119">
            <v>1033</v>
          </cell>
          <cell r="T119">
            <v>533</v>
          </cell>
          <cell r="X119">
            <v>201</v>
          </cell>
          <cell r="Y119">
            <v>300</v>
          </cell>
          <cell r="Z119">
            <v>457.5</v>
          </cell>
          <cell r="AA119">
            <v>641.5</v>
          </cell>
          <cell r="AB119">
            <v>860.5</v>
          </cell>
          <cell r="AC119">
            <v>995.5</v>
          </cell>
          <cell r="AD119">
            <v>1112</v>
          </cell>
          <cell r="AE119">
            <v>1260</v>
          </cell>
          <cell r="AF119">
            <v>1424</v>
          </cell>
          <cell r="AG119">
            <v>1621.5</v>
          </cell>
          <cell r="AH119">
            <v>1841</v>
          </cell>
          <cell r="AI119">
            <v>2076.5</v>
          </cell>
          <cell r="AJ119">
            <v>2334.5</v>
          </cell>
          <cell r="AK119">
            <v>2621.5</v>
          </cell>
          <cell r="AL119">
            <v>2955.5</v>
          </cell>
          <cell r="AM119">
            <v>3326.7449999999999</v>
          </cell>
          <cell r="AN119">
            <v>3738.9949999999999</v>
          </cell>
          <cell r="AO119">
            <v>4120</v>
          </cell>
          <cell r="AP119">
            <v>4478.5</v>
          </cell>
          <cell r="AQ119">
            <v>4892</v>
          </cell>
          <cell r="AR119">
            <v>5356.5</v>
          </cell>
          <cell r="AS119">
            <v>5788.5</v>
          </cell>
          <cell r="AT119">
            <v>6232.5</v>
          </cell>
          <cell r="AU119">
            <v>6709</v>
          </cell>
          <cell r="AV119">
            <v>7177</v>
          </cell>
          <cell r="AW119">
            <v>7603.5</v>
          </cell>
          <cell r="AX119">
            <v>7961.5</v>
          </cell>
          <cell r="AY119">
            <v>8339</v>
          </cell>
          <cell r="AZ119">
            <v>10685.75</v>
          </cell>
          <cell r="BA119">
            <v>13022.5</v>
          </cell>
          <cell r="BB119">
            <v>13412</v>
          </cell>
          <cell r="BC119">
            <v>13764</v>
          </cell>
          <cell r="BD119">
            <v>14076</v>
          </cell>
          <cell r="BE119">
            <v>14180.5</v>
          </cell>
          <cell r="BF119">
            <v>14074</v>
          </cell>
          <cell r="BG119">
            <v>14014</v>
          </cell>
          <cell r="BH119">
            <v>14033.5</v>
          </cell>
          <cell r="BI119">
            <v>14003</v>
          </cell>
          <cell r="BJ119">
            <v>13860.5</v>
          </cell>
          <cell r="BK119">
            <v>13737.5</v>
          </cell>
          <cell r="BL119">
            <v>13701</v>
          </cell>
          <cell r="BM119">
            <v>13539.5</v>
          </cell>
          <cell r="BN119">
            <v>13291</v>
          </cell>
          <cell r="BO119">
            <v>13147</v>
          </cell>
          <cell r="BP119">
            <v>12959</v>
          </cell>
          <cell r="BQ119">
            <v>12614.5</v>
          </cell>
          <cell r="BR119">
            <v>12138.5</v>
          </cell>
          <cell r="BS119">
            <v>11570</v>
          </cell>
          <cell r="BT119">
            <v>10944.5</v>
          </cell>
          <cell r="BU119">
            <v>10312.5</v>
          </cell>
          <cell r="BV119">
            <v>9660.5</v>
          </cell>
          <cell r="BW119">
            <v>8983</v>
          </cell>
          <cell r="BX119">
            <v>8308</v>
          </cell>
          <cell r="BY119">
            <v>7683</v>
          </cell>
          <cell r="BZ119">
            <v>7033</v>
          </cell>
          <cell r="CA119">
            <v>6333</v>
          </cell>
        </row>
        <row r="120">
          <cell r="A120" t="str">
            <v>Subs as % of primary access lines</v>
          </cell>
          <cell r="B120">
            <v>2.6413664852951307E-2</v>
          </cell>
          <cell r="C120">
            <v>4.7762370561467628E-2</v>
          </cell>
          <cell r="D120">
            <v>8.5777812451240443E-2</v>
          </cell>
          <cell r="E120">
            <v>0.14679068019541525</v>
          </cell>
          <cell r="F120">
            <v>0.21996466431095407</v>
          </cell>
          <cell r="G120">
            <v>0.30366779274338612</v>
          </cell>
          <cell r="H120">
            <v>0.39052699052241197</v>
          </cell>
          <cell r="I120">
            <v>0.44854055797452025</v>
          </cell>
          <cell r="J120">
            <v>0.5093344008151679</v>
          </cell>
          <cell r="K120">
            <v>0.55732432212360561</v>
          </cell>
          <cell r="L120">
            <v>0.60162859201229391</v>
          </cell>
          <cell r="M120">
            <v>0.57303894470386152</v>
          </cell>
          <cell r="N120">
            <v>0.4825796275466761</v>
          </cell>
          <cell r="O120">
            <v>0.36615426288938385</v>
          </cell>
          <cell r="P120">
            <v>0.25375102010851985</v>
          </cell>
          <cell r="Q120">
            <v>0.14886912482119574</v>
          </cell>
          <cell r="X120">
            <v>6.7779463834092063E-3</v>
          </cell>
          <cell r="Y120">
            <v>1.3548847159496079E-2</v>
          </cell>
          <cell r="Z120">
            <v>1.7648869583062558E-2</v>
          </cell>
          <cell r="AA120">
            <v>2.6413664852951307E-2</v>
          </cell>
          <cell r="AB120">
            <v>3.3025236265448128E-2</v>
          </cell>
          <cell r="AC120">
            <v>3.6503801745987045E-2</v>
          </cell>
          <cell r="AD120">
            <v>4.2054915854738709E-2</v>
          </cell>
          <cell r="AE120">
            <v>4.7762370561467628E-2</v>
          </cell>
          <cell r="AF120">
            <v>5.4833689239567121E-2</v>
          </cell>
          <cell r="AG120">
            <v>6.4197347401270574E-2</v>
          </cell>
          <cell r="AH120">
            <v>7.4276808454023638E-2</v>
          </cell>
          <cell r="AI120">
            <v>8.5777812451240443E-2</v>
          </cell>
          <cell r="AJ120">
            <v>9.82928091050181E-2</v>
          </cell>
          <cell r="AK120">
            <v>0.1125314503692882</v>
          </cell>
          <cell r="AL120">
            <v>0.12936471946242323</v>
          </cell>
          <cell r="AM120">
            <v>0.14679068019541525</v>
          </cell>
          <cell r="AN120">
            <v>0.16654757901815737</v>
          </cell>
          <cell r="AO120">
            <v>0.18281477049320455</v>
          </cell>
          <cell r="AP120">
            <v>0.20101808496928561</v>
          </cell>
          <cell r="AQ120">
            <v>0.21996466431095407</v>
          </cell>
          <cell r="AR120">
            <v>0.24151666523124624</v>
          </cell>
          <cell r="AS120">
            <v>0.25909446084389653</v>
          </cell>
          <cell r="AT120">
            <v>0.28341767734054618</v>
          </cell>
          <cell r="AU120">
            <v>0.30366779274338612</v>
          </cell>
          <cell r="AV120">
            <v>0.3284357048166151</v>
          </cell>
          <cell r="AW120">
            <v>0.34847601972209774</v>
          </cell>
          <cell r="AX120">
            <v>0.36924506072140656</v>
          </cell>
          <cell r="AY120">
            <v>0.39052699052241197</v>
          </cell>
          <cell r="AZ120">
            <v>0.39740058796224664</v>
          </cell>
          <cell r="BA120">
            <v>0.41100112065745237</v>
          </cell>
          <cell r="BB120">
            <v>0.43025459599469329</v>
          </cell>
          <cell r="BC120">
            <v>0.44854055797452025</v>
          </cell>
          <cell r="BD120">
            <v>0.46988388969521044</v>
          </cell>
          <cell r="BE120">
            <v>0.48097039081399706</v>
          </cell>
          <cell r="BF120">
            <v>0.49532281407744716</v>
          </cell>
          <cell r="BG120">
            <v>0.5093344008151679</v>
          </cell>
          <cell r="BH120">
            <v>0.52542942494398803</v>
          </cell>
          <cell r="BI120">
            <v>0.53579667794524766</v>
          </cell>
          <cell r="BJ120">
            <v>0.54695496925213249</v>
          </cell>
          <cell r="BK120">
            <v>0.55732432212360561</v>
          </cell>
          <cell r="BL120">
            <v>0.57295441716158424</v>
          </cell>
          <cell r="BM120">
            <v>0.57693412639087716</v>
          </cell>
          <cell r="BN120">
            <v>0.59043060074950915</v>
          </cell>
          <cell r="BO120">
            <v>0.60162859201229391</v>
          </cell>
          <cell r="BP120">
            <v>0.60441551828430984</v>
          </cell>
          <cell r="BQ120">
            <v>0.59761714264031462</v>
          </cell>
          <cell r="BR120">
            <v>0.58925393662722048</v>
          </cell>
          <cell r="BS120">
            <v>0.57303894470386152</v>
          </cell>
          <cell r="BT120">
            <v>0.55619278706871156</v>
          </cell>
          <cell r="BU120">
            <v>0.53772171416955172</v>
          </cell>
          <cell r="BV120">
            <v>0.51661539590682903</v>
          </cell>
          <cell r="BW120">
            <v>0.49081043197592306</v>
          </cell>
          <cell r="BX120">
            <v>0.46762119523847739</v>
          </cell>
          <cell r="BY120">
            <v>0.44663815814319308</v>
          </cell>
          <cell r="BZ120">
            <v>0.41832953364639319</v>
          </cell>
          <cell r="CA120">
            <v>0.38749730325375864</v>
          </cell>
        </row>
        <row r="121">
          <cell r="A121" t="str">
            <v>Net adds annual growth %</v>
          </cell>
          <cell r="J121">
            <v>-0.94902634593356239</v>
          </cell>
          <cell r="L121">
            <v>0.99022801302931596</v>
          </cell>
          <cell r="M121">
            <v>1.9885433715220948</v>
          </cell>
          <cell r="N121">
            <v>0.43428258488499449</v>
          </cell>
          <cell r="O121">
            <v>1.1836578846888157E-2</v>
          </cell>
          <cell r="P121">
            <v>-0.16981132075471694</v>
          </cell>
          <cell r="Q121">
            <v>-0.20454545454545459</v>
          </cell>
          <cell r="R121">
            <v>-0.5714285714285714</v>
          </cell>
          <cell r="S121">
            <v>-0.33333333333333337</v>
          </cell>
          <cell r="T121">
            <v>0</v>
          </cell>
          <cell r="AZ121">
            <v>0.33268101761252455</v>
          </cell>
          <cell r="BA121">
            <v>5.555555555555558E-2</v>
          </cell>
          <cell r="BB121">
            <v>0.11764705882352944</v>
          </cell>
          <cell r="BC121">
            <v>-0.24934383202099741</v>
          </cell>
          <cell r="BD121">
            <v>-0.5036710719530102</v>
          </cell>
          <cell r="BE121">
            <v>-1.3573407202216066</v>
          </cell>
          <cell r="BF121">
            <v>-1.200956937799043</v>
          </cell>
          <cell r="BG121">
            <v>-1.1258741258741258</v>
          </cell>
          <cell r="BH121">
            <v>-0.77810650887573962</v>
          </cell>
          <cell r="BI121">
            <v>5.4263565891472965E-2</v>
          </cell>
          <cell r="BJ121">
            <v>0.77380952380952372</v>
          </cell>
          <cell r="BK121">
            <v>1.6944444444444446</v>
          </cell>
          <cell r="BL121">
            <v>-0.67999999999999994</v>
          </cell>
          <cell r="BM121">
            <v>1.5514705882352939</v>
          </cell>
          <cell r="BN121">
            <v>6.7114093959732557E-3</v>
          </cell>
          <cell r="BO121">
            <v>0.42268041237113407</v>
          </cell>
          <cell r="BP121">
            <v>-10.916666666666666</v>
          </cell>
          <cell r="BQ121">
            <v>0.29971181556195958</v>
          </cell>
          <cell r="BR121">
            <v>2.34</v>
          </cell>
          <cell r="BS121">
            <v>3.6086956521739131</v>
          </cell>
          <cell r="BT121">
            <v>1.5840336134453783</v>
          </cell>
          <cell r="BU121">
            <v>0.43902439024390238</v>
          </cell>
          <cell r="BV121">
            <v>0.30738522954091807</v>
          </cell>
          <cell r="BW121">
            <v>0.10062893081761004</v>
          </cell>
          <cell r="BX121">
            <v>5.6910569105691033E-2</v>
          </cell>
          <cell r="BY121">
            <v>-7.5500770416024654E-2</v>
          </cell>
          <cell r="BZ121">
            <v>6.8702290076335881E-2</v>
          </cell>
          <cell r="CA121">
            <v>0</v>
          </cell>
        </row>
        <row r="122">
          <cell r="A122" t="str">
            <v>DSL disconnects</v>
          </cell>
          <cell r="C122">
            <v>634.20000000000005</v>
          </cell>
          <cell r="D122">
            <v>975.25199999999995</v>
          </cell>
          <cell r="E122">
            <v>1304.9424599999998</v>
          </cell>
          <cell r="F122">
            <v>1633.6779899999992</v>
          </cell>
          <cell r="G122">
            <v>2167.7849999999989</v>
          </cell>
          <cell r="H122">
            <v>2704.047</v>
          </cell>
          <cell r="I122">
            <v>4274.277</v>
          </cell>
          <cell r="J122">
            <v>4732.9380000000001</v>
          </cell>
          <cell r="K122">
            <v>4673.2979999999998</v>
          </cell>
          <cell r="L122">
            <v>4508.9940000000006</v>
          </cell>
          <cell r="M122">
            <v>4139.6880000000001</v>
          </cell>
          <cell r="N122">
            <v>3351.6420000000003</v>
          </cell>
          <cell r="O122">
            <v>2717.3744999999999</v>
          </cell>
          <cell r="P122">
            <v>2343.8399999999997</v>
          </cell>
          <cell r="Q122">
            <v>1814.5920000000001</v>
          </cell>
          <cell r="R122">
            <v>795.83999999999992</v>
          </cell>
          <cell r="S122">
            <v>557.82000000000005</v>
          </cell>
          <cell r="T122">
            <v>287.82</v>
          </cell>
          <cell r="X122">
            <v>30.150000000000002</v>
          </cell>
          <cell r="Y122">
            <v>45</v>
          </cell>
          <cell r="Z122">
            <v>68.625</v>
          </cell>
          <cell r="AA122">
            <v>96.225000000000009</v>
          </cell>
          <cell r="AB122">
            <v>129.07500000000002</v>
          </cell>
          <cell r="AC122">
            <v>149.32500000000002</v>
          </cell>
          <cell r="AD122">
            <v>166.8</v>
          </cell>
          <cell r="AE122">
            <v>189</v>
          </cell>
          <cell r="AF122">
            <v>213.60000000000002</v>
          </cell>
          <cell r="AG122">
            <v>233.49600000000004</v>
          </cell>
          <cell r="AH122">
            <v>254.05799999999999</v>
          </cell>
          <cell r="AI122">
            <v>274.09800000000001</v>
          </cell>
          <cell r="AJ122">
            <v>294.14699999999999</v>
          </cell>
          <cell r="AK122">
            <v>314.57999999999993</v>
          </cell>
          <cell r="AL122">
            <v>336.92699999999996</v>
          </cell>
          <cell r="AM122">
            <v>359.28845999999987</v>
          </cell>
          <cell r="AN122">
            <v>381.37748999999985</v>
          </cell>
          <cell r="AO122">
            <v>395.51999999999987</v>
          </cell>
          <cell r="AP122">
            <v>416.50049999999976</v>
          </cell>
          <cell r="AQ122">
            <v>440.2799999999998</v>
          </cell>
          <cell r="AR122">
            <v>482.0849999999997</v>
          </cell>
          <cell r="AS122">
            <v>520.96499999999969</v>
          </cell>
          <cell r="AT122">
            <v>560.92499999999973</v>
          </cell>
          <cell r="AU122">
            <v>603.80999999999972</v>
          </cell>
          <cell r="AV122">
            <v>624.399</v>
          </cell>
          <cell r="AW122">
            <v>661.50450000000001</v>
          </cell>
          <cell r="AX122">
            <v>692.65049999999997</v>
          </cell>
          <cell r="AY122">
            <v>725.49300000000005</v>
          </cell>
          <cell r="AZ122">
            <v>897.60300000000007</v>
          </cell>
          <cell r="BA122">
            <v>1093.8899999999999</v>
          </cell>
          <cell r="BB122">
            <v>1126.6079999999999</v>
          </cell>
          <cell r="BC122">
            <v>1156.1759999999999</v>
          </cell>
          <cell r="BD122">
            <v>1182.384</v>
          </cell>
          <cell r="BE122">
            <v>1191.162</v>
          </cell>
          <cell r="BF122">
            <v>1182.2159999999999</v>
          </cell>
          <cell r="BG122">
            <v>1177.1759999999999</v>
          </cell>
          <cell r="BH122">
            <v>1178.8139999999999</v>
          </cell>
          <cell r="BI122">
            <v>1176.252</v>
          </cell>
          <cell r="BJ122">
            <v>1164.2819999999999</v>
          </cell>
          <cell r="BK122">
            <v>1153.95</v>
          </cell>
          <cell r="BL122">
            <v>1150.884</v>
          </cell>
          <cell r="BM122">
            <v>1137.318</v>
          </cell>
          <cell r="BN122">
            <v>1116.444</v>
          </cell>
          <cell r="BO122">
            <v>1104.348</v>
          </cell>
          <cell r="BP122">
            <v>1088.556</v>
          </cell>
          <cell r="BQ122">
            <v>1059.6179999999999</v>
          </cell>
          <cell r="BR122">
            <v>1019.634</v>
          </cell>
          <cell r="BS122">
            <v>971.87999999999988</v>
          </cell>
          <cell r="BT122">
            <v>919.33800000000008</v>
          </cell>
          <cell r="BU122">
            <v>866.25</v>
          </cell>
          <cell r="BV122">
            <v>811.48200000000008</v>
          </cell>
          <cell r="BW122">
            <v>754.572</v>
          </cell>
          <cell r="BX122">
            <v>623.1</v>
          </cell>
          <cell r="BY122">
            <v>633.84749999999997</v>
          </cell>
          <cell r="BZ122">
            <v>738.46500000000015</v>
          </cell>
          <cell r="CA122">
            <v>721.96199999999999</v>
          </cell>
        </row>
        <row r="123">
          <cell r="A123" t="str">
            <v>% monthly churn</v>
          </cell>
          <cell r="C123">
            <v>5.0333333333333341E-2</v>
          </cell>
          <cell r="D123">
            <v>4.6019818799546995E-2</v>
          </cell>
          <cell r="E123">
            <v>3.8059461124264803E-2</v>
          </cell>
          <cell r="F123">
            <v>3.158700474130479E-2</v>
          </cell>
          <cell r="G123">
            <v>3.0043031764510213E-2</v>
          </cell>
          <cell r="H123">
            <v>2.9167982654844344E-2</v>
          </cell>
          <cell r="I123">
            <v>3.1750919261025558E-2</v>
          </cell>
          <cell r="J123">
            <v>2.8270186001505215E-2</v>
          </cell>
          <cell r="K123">
            <v>2.8133754740834387E-2</v>
          </cell>
          <cell r="L123">
            <v>2.8075578137258569E-2</v>
          </cell>
          <cell r="M123">
            <v>2.8357912042745584E-2</v>
          </cell>
          <cell r="N123">
            <v>2.8091878300226303E-2</v>
          </cell>
          <cell r="O123">
            <v>3.0986299261083743E-2</v>
          </cell>
          <cell r="P123">
            <v>0.04</v>
          </cell>
          <cell r="Q123">
            <v>5.1999999999999998E-2</v>
          </cell>
          <cell r="R123">
            <v>0.04</v>
          </cell>
          <cell r="S123">
            <v>4.4999999999999998E-2</v>
          </cell>
          <cell r="T123">
            <v>4.4999999999999998E-2</v>
          </cell>
          <cell r="X123">
            <v>0.05</v>
          </cell>
          <cell r="Y123">
            <v>0.05</v>
          </cell>
          <cell r="Z123">
            <v>0.05</v>
          </cell>
          <cell r="AA123">
            <v>0.05</v>
          </cell>
          <cell r="AB123">
            <v>0.05</v>
          </cell>
          <cell r="AC123">
            <v>0.05</v>
          </cell>
          <cell r="AD123">
            <v>0.05</v>
          </cell>
          <cell r="AE123">
            <v>0.05</v>
          </cell>
          <cell r="AF123">
            <v>0.05</v>
          </cell>
          <cell r="AG123">
            <v>4.8000000000000001E-2</v>
          </cell>
          <cell r="AH123">
            <v>4.5999999999999999E-2</v>
          </cell>
          <cell r="AI123">
            <v>4.3999999999999997E-2</v>
          </cell>
          <cell r="AJ123">
            <v>4.1999999999999996E-2</v>
          </cell>
          <cell r="AK123">
            <v>3.9999999999999994E-2</v>
          </cell>
          <cell r="AL123">
            <v>3.7999999999999992E-2</v>
          </cell>
          <cell r="AM123">
            <v>3.599999999999999E-2</v>
          </cell>
          <cell r="AN123">
            <v>3.3999999999999989E-2</v>
          </cell>
          <cell r="AO123">
            <v>3.1999999999999987E-2</v>
          </cell>
          <cell r="AP123">
            <v>3.0999999999999986E-2</v>
          </cell>
          <cell r="AQ123">
            <v>2.9999999999999985E-2</v>
          </cell>
          <cell r="AR123">
            <v>2.9999999999999985E-2</v>
          </cell>
          <cell r="AS123">
            <v>2.9999999999999985E-2</v>
          </cell>
          <cell r="AT123">
            <v>2.9999999999999985E-2</v>
          </cell>
          <cell r="AU123">
            <v>2.9999999999999985E-2</v>
          </cell>
          <cell r="AV123">
            <v>2.9000000000000001E-2</v>
          </cell>
          <cell r="AW123">
            <v>2.9000000000000001E-2</v>
          </cell>
          <cell r="AX123">
            <v>2.9000000000000001E-2</v>
          </cell>
          <cell r="AY123">
            <v>2.9000000000000001E-2</v>
          </cell>
          <cell r="AZ123">
            <v>2.8000000000000001E-2</v>
          </cell>
          <cell r="BA123">
            <v>2.8000000000000001E-2</v>
          </cell>
          <cell r="BB123">
            <v>2.8000000000000001E-2</v>
          </cell>
          <cell r="BC123">
            <v>2.8000000000000001E-2</v>
          </cell>
          <cell r="BD123">
            <v>2.8000000000000001E-2</v>
          </cell>
          <cell r="BE123">
            <v>2.8000000000000001E-2</v>
          </cell>
          <cell r="BF123">
            <v>2.8000000000000001E-2</v>
          </cell>
          <cell r="BG123">
            <v>2.8000000000000001E-2</v>
          </cell>
          <cell r="BH123">
            <v>2.8000000000000001E-2</v>
          </cell>
          <cell r="BI123">
            <v>2.8000000000000001E-2</v>
          </cell>
          <cell r="BJ123">
            <v>2.8000000000000001E-2</v>
          </cell>
          <cell r="BK123">
            <v>2.8000000000000001E-2</v>
          </cell>
          <cell r="BL123">
            <v>2.8000000000000001E-2</v>
          </cell>
          <cell r="BM123">
            <v>2.8000000000000001E-2</v>
          </cell>
          <cell r="BN123">
            <v>2.8000000000000001E-2</v>
          </cell>
          <cell r="BO123">
            <v>2.8000000000000001E-2</v>
          </cell>
          <cell r="BP123">
            <v>2.8000000000000001E-2</v>
          </cell>
          <cell r="BQ123">
            <v>2.8000000000000001E-2</v>
          </cell>
          <cell r="BR123">
            <v>2.8000000000000001E-2</v>
          </cell>
          <cell r="BS123">
            <v>2.8000000000000001E-2</v>
          </cell>
          <cell r="BT123">
            <v>2.8000000000000001E-2</v>
          </cell>
          <cell r="BU123">
            <v>2.8000000000000001E-2</v>
          </cell>
          <cell r="BV123">
            <v>2.8000000000000001E-2</v>
          </cell>
          <cell r="BW123">
            <v>2.8000000000000001E-2</v>
          </cell>
          <cell r="BX123">
            <v>2.5000000000000001E-2</v>
          </cell>
          <cell r="BY123">
            <v>2.75E-2</v>
          </cell>
          <cell r="BZ123">
            <v>3.5000000000000003E-2</v>
          </cell>
          <cell r="CA123">
            <v>3.7999999999999999E-2</v>
          </cell>
        </row>
        <row r="124">
          <cell r="A124" t="str">
            <v>Gross adds</v>
          </cell>
          <cell r="C124">
            <v>1200.2</v>
          </cell>
          <cell r="D124">
            <v>1841.252</v>
          </cell>
          <cell r="E124">
            <v>2621.4324599999995</v>
          </cell>
          <cell r="F124">
            <v>3222.6879899999994</v>
          </cell>
          <cell r="G124">
            <v>3984.7849999999989</v>
          </cell>
          <cell r="H124">
            <v>4312.0470000000005</v>
          </cell>
          <cell r="I124">
            <v>6020.277</v>
          </cell>
          <cell r="J124">
            <v>4821.9380000000001</v>
          </cell>
          <cell r="K124">
            <v>4366.2979999999998</v>
          </cell>
          <cell r="L124">
            <v>3897.9940000000006</v>
          </cell>
          <cell r="M124">
            <v>2313.6880000000001</v>
          </cell>
          <cell r="N124">
            <v>732.64200000000028</v>
          </cell>
          <cell r="O124">
            <v>67.374499999999898</v>
          </cell>
          <cell r="P124">
            <v>143.83999999999969</v>
          </cell>
          <cell r="Q124">
            <v>64.592000000000098</v>
          </cell>
          <cell r="R124">
            <v>45.839999999999918</v>
          </cell>
          <cell r="S124">
            <v>57.82000000000005</v>
          </cell>
          <cell r="T124">
            <v>-212.18</v>
          </cell>
          <cell r="X124">
            <v>231.15</v>
          </cell>
          <cell r="Y124">
            <v>243</v>
          </cell>
          <cell r="Z124">
            <v>185.625</v>
          </cell>
          <cell r="AA124">
            <v>347.22500000000002</v>
          </cell>
          <cell r="AB124">
            <v>316.07500000000005</v>
          </cell>
          <cell r="AC124">
            <v>232.32500000000002</v>
          </cell>
          <cell r="AD124">
            <v>316.8</v>
          </cell>
          <cell r="AE124">
            <v>335</v>
          </cell>
          <cell r="AF124">
            <v>395.6</v>
          </cell>
          <cell r="AG124">
            <v>446.49600000000004</v>
          </cell>
          <cell r="AH124">
            <v>480.05799999999999</v>
          </cell>
          <cell r="AI124">
            <v>519.09799999999996</v>
          </cell>
          <cell r="AJ124">
            <v>565.14699999999993</v>
          </cell>
          <cell r="AK124">
            <v>617.57999999999993</v>
          </cell>
          <cell r="AL124">
            <v>701.92699999999991</v>
          </cell>
          <cell r="AM124">
            <v>736.77845999999988</v>
          </cell>
          <cell r="AN124">
            <v>828.38748999999984</v>
          </cell>
          <cell r="AO124">
            <v>710.51999999999987</v>
          </cell>
          <cell r="AP124">
            <v>818.50049999999976</v>
          </cell>
          <cell r="AQ124">
            <v>865.27999999999975</v>
          </cell>
          <cell r="AR124">
            <v>986.0849999999997</v>
          </cell>
          <cell r="AS124">
            <v>880.96499999999969</v>
          </cell>
          <cell r="AT124">
            <v>1088.9249999999997</v>
          </cell>
          <cell r="AU124">
            <v>1028.8099999999997</v>
          </cell>
          <cell r="AV124">
            <v>1135.3989999999999</v>
          </cell>
          <cell r="AW124">
            <v>1003.5045</v>
          </cell>
          <cell r="AX124">
            <v>1066.6505</v>
          </cell>
          <cell r="AY124">
            <v>1106.4929999999999</v>
          </cell>
          <cell r="AZ124">
            <v>1578.6030000000001</v>
          </cell>
          <cell r="BA124">
            <v>1454.8899999999999</v>
          </cell>
          <cell r="BB124">
            <v>1544.6079999999999</v>
          </cell>
          <cell r="BC124">
            <v>1442.1759999999999</v>
          </cell>
          <cell r="BD124">
            <v>1520.384</v>
          </cell>
          <cell r="BE124">
            <v>1062.162</v>
          </cell>
          <cell r="BF124">
            <v>1098.2159999999999</v>
          </cell>
          <cell r="BG124">
            <v>1141.1759999999999</v>
          </cell>
          <cell r="BH124">
            <v>1253.8139999999999</v>
          </cell>
          <cell r="BI124">
            <v>1040.252</v>
          </cell>
          <cell r="BJ124">
            <v>1015.2819999999999</v>
          </cell>
          <cell r="BK124">
            <v>1056.95</v>
          </cell>
          <cell r="BL124">
            <v>1174.884</v>
          </cell>
          <cell r="BM124">
            <v>790.31799999999998</v>
          </cell>
          <cell r="BN124">
            <v>966.44399999999996</v>
          </cell>
          <cell r="BO124">
            <v>966.34799999999996</v>
          </cell>
          <cell r="BP124">
            <v>850.55600000000004</v>
          </cell>
          <cell r="BQ124">
            <v>608.61799999999994</v>
          </cell>
          <cell r="BR124">
            <v>518.63400000000001</v>
          </cell>
          <cell r="BS124">
            <v>335.87999999999988</v>
          </cell>
          <cell r="BT124">
            <v>304.33800000000008</v>
          </cell>
          <cell r="BU124">
            <v>217.25</v>
          </cell>
          <cell r="BV124">
            <v>156.48200000000008</v>
          </cell>
          <cell r="BW124">
            <v>54.572000000000003</v>
          </cell>
          <cell r="BX124">
            <v>-26.899999999999977</v>
          </cell>
          <cell r="BY124">
            <v>33.847499999999968</v>
          </cell>
          <cell r="BZ124">
            <v>38.465000000000146</v>
          </cell>
          <cell r="CA124">
            <v>21.961999999999989</v>
          </cell>
        </row>
        <row r="125">
          <cell r="A125" t="str">
            <v>% y/y growth</v>
          </cell>
          <cell r="D125">
            <v>0.53412097983669371</v>
          </cell>
          <cell r="E125">
            <v>0.42372280383130589</v>
          </cell>
          <cell r="F125">
            <v>0.22936144233141897</v>
          </cell>
          <cell r="G125">
            <v>0.23647868250503512</v>
          </cell>
          <cell r="H125">
            <v>8.2127893976714272E-2</v>
          </cell>
          <cell r="I125">
            <v>0.39615291762821681</v>
          </cell>
          <cell r="J125">
            <v>-0.19905047558442912</v>
          </cell>
          <cell r="K125">
            <v>-9.4493127037303282E-2</v>
          </cell>
          <cell r="L125">
            <v>-0.1072542460455056</v>
          </cell>
          <cell r="M125">
            <v>-0.40644136445566625</v>
          </cell>
          <cell r="N125">
            <v>-0.68334451317550149</v>
          </cell>
          <cell r="O125">
            <v>-0.90803898766382507</v>
          </cell>
          <cell r="P125">
            <v>1.1349323557132136</v>
          </cell>
          <cell r="Q125">
            <v>-0.55094549499443657</v>
          </cell>
          <cell r="R125">
            <v>-0.2903145900421128</v>
          </cell>
          <cell r="S125">
            <v>0.26134380453752515</v>
          </cell>
          <cell r="T125">
            <v>-4.6696644759598724</v>
          </cell>
          <cell r="AC125">
            <v>-4.3930041152263288E-2</v>
          </cell>
          <cell r="AD125">
            <v>0.70666666666666678</v>
          </cell>
          <cell r="AE125">
            <v>-3.5207718338253313E-2</v>
          </cell>
          <cell r="AF125">
            <v>0.25160167681721091</v>
          </cell>
          <cell r="AG125">
            <v>0.92185946411277309</v>
          </cell>
          <cell r="AH125">
            <v>0.51533459595959585</v>
          </cell>
          <cell r="AI125">
            <v>0.5495462686567163</v>
          </cell>
          <cell r="AJ125">
            <v>0.42858190091000981</v>
          </cell>
          <cell r="AK125">
            <v>0.38317028596000835</v>
          </cell>
          <cell r="AL125">
            <v>0.46217123764211809</v>
          </cell>
          <cell r="AM125">
            <v>0.41934366921082322</v>
          </cell>
          <cell r="AN125">
            <v>0.46579118353277993</v>
          </cell>
          <cell r="AO125">
            <v>0.15049062469639551</v>
          </cell>
          <cell r="AP125">
            <v>0.16607638686074178</v>
          </cell>
          <cell r="AQ125">
            <v>0.17441001193221628</v>
          </cell>
          <cell r="AR125">
            <v>0.19036684148863703</v>
          </cell>
          <cell r="AS125">
            <v>0.23988768789055892</v>
          </cell>
          <cell r="AT125">
            <v>0.33039014637132169</v>
          </cell>
          <cell r="AU125">
            <v>0.1889908468934911</v>
          </cell>
          <cell r="AV125">
            <v>0.15142102354259546</v>
          </cell>
          <cell r="AW125">
            <v>0.13909689942279235</v>
          </cell>
          <cell r="AX125">
            <v>-2.045549509837663E-2</v>
          </cell>
          <cell r="AY125">
            <v>7.5507625314684246E-2</v>
          </cell>
          <cell r="AZ125">
            <v>0.39035088105591087</v>
          </cell>
          <cell r="BA125">
            <v>0.44980914385535886</v>
          </cell>
          <cell r="BB125">
            <v>0.4480919476435814</v>
          </cell>
          <cell r="BC125">
            <v>0.30337562008977925</v>
          </cell>
          <cell r="BD125">
            <v>-3.6880076878100465E-2</v>
          </cell>
          <cell r="BE125">
            <v>-0.26993655877763945</v>
          </cell>
          <cell r="BF125">
            <v>-0.28900018645507475</v>
          </cell>
          <cell r="BG125">
            <v>-0.20871239016597143</v>
          </cell>
          <cell r="BH125">
            <v>-0.17533070592692379</v>
          </cell>
          <cell r="BI125">
            <v>-2.0627738518229854E-2</v>
          </cell>
          <cell r="BJ125">
            <v>-7.551702033115526E-2</v>
          </cell>
          <cell r="BK125">
            <v>-7.3806319095389261E-2</v>
          </cell>
          <cell r="BL125">
            <v>-6.2951921098344576E-2</v>
          </cell>
          <cell r="BM125">
            <v>-0.24026293628851469</v>
          </cell>
          <cell r="BN125">
            <v>-4.8102891610409704E-2</v>
          </cell>
          <cell r="BO125">
            <v>-8.572023274516305E-2</v>
          </cell>
          <cell r="BP125">
            <v>-0.27605108248984578</v>
          </cell>
          <cell r="BQ125">
            <v>-0.2299074549738207</v>
          </cell>
          <cell r="BR125">
            <v>-0.46335845636167228</v>
          </cell>
          <cell r="BS125">
            <v>-0.65242335059419598</v>
          </cell>
          <cell r="BT125">
            <v>-0.64218934438179254</v>
          </cell>
          <cell r="BU125">
            <v>-0.64304374829531818</v>
          </cell>
          <cell r="BV125">
            <v>-0.69828048296100897</v>
          </cell>
          <cell r="BW125">
            <v>-0.83752530665713942</v>
          </cell>
          <cell r="BX125">
            <v>-1.0883885679737659</v>
          </cell>
          <cell r="BY125">
            <v>-0.84420023014959744</v>
          </cell>
          <cell r="BZ125">
            <v>-0.75418898020219505</v>
          </cell>
          <cell r="CA125">
            <v>-0.59755918786190743</v>
          </cell>
        </row>
        <row r="127">
          <cell r="A127" t="str">
            <v>DSL subscribers (pro forma for BLS</v>
          </cell>
          <cell r="G127">
            <v>9803</v>
          </cell>
          <cell r="H127">
            <v>12161</v>
          </cell>
          <cell r="I127">
            <v>13907</v>
          </cell>
          <cell r="J127">
            <v>13996</v>
          </cell>
          <cell r="K127">
            <v>13689</v>
          </cell>
          <cell r="L127">
            <v>13078</v>
          </cell>
          <cell r="M127">
            <v>11252</v>
          </cell>
          <cell r="N127">
            <v>8633</v>
          </cell>
          <cell r="O127">
            <v>5983</v>
          </cell>
          <cell r="P127">
            <v>3783</v>
          </cell>
          <cell r="Q127">
            <v>2033</v>
          </cell>
          <cell r="R127">
            <v>1283</v>
          </cell>
          <cell r="S127">
            <v>783</v>
          </cell>
          <cell r="T127">
            <v>283</v>
          </cell>
          <cell r="AR127">
            <v>7956</v>
          </cell>
          <cell r="AS127">
            <v>8441</v>
          </cell>
          <cell r="AT127">
            <v>9174</v>
          </cell>
          <cell r="AU127">
            <v>9803</v>
          </cell>
          <cell r="AV127">
            <v>10576</v>
          </cell>
          <cell r="AW127">
            <v>11047</v>
          </cell>
          <cell r="AX127">
            <v>11597</v>
          </cell>
          <cell r="AY127">
            <v>12161</v>
          </cell>
          <cell r="AZ127">
            <v>12842</v>
          </cell>
          <cell r="BA127">
            <v>13203</v>
          </cell>
          <cell r="BB127">
            <v>13621</v>
          </cell>
          <cell r="BC127">
            <v>13907</v>
          </cell>
          <cell r="BD127">
            <v>14245</v>
          </cell>
          <cell r="BE127">
            <v>14116</v>
          </cell>
          <cell r="BF127">
            <v>14032</v>
          </cell>
          <cell r="BG127">
            <v>13996</v>
          </cell>
          <cell r="BH127">
            <v>14071</v>
          </cell>
          <cell r="BI127">
            <v>13935</v>
          </cell>
          <cell r="BJ127">
            <v>13786</v>
          </cell>
          <cell r="BK127">
            <v>13689</v>
          </cell>
          <cell r="BL127">
            <v>13713</v>
          </cell>
          <cell r="BM127">
            <v>13366</v>
          </cell>
          <cell r="BN127">
            <v>13216</v>
          </cell>
          <cell r="BO127">
            <v>13078</v>
          </cell>
          <cell r="BP127">
            <v>12840</v>
          </cell>
          <cell r="BQ127">
            <v>12389</v>
          </cell>
          <cell r="BR127">
            <v>11888</v>
          </cell>
          <cell r="BS127">
            <v>11252</v>
          </cell>
          <cell r="BT127">
            <v>10637</v>
          </cell>
          <cell r="BU127">
            <v>9988</v>
          </cell>
          <cell r="BV127">
            <v>9333</v>
          </cell>
          <cell r="BW127">
            <v>8633</v>
          </cell>
          <cell r="BX127">
            <v>7983</v>
          </cell>
          <cell r="BY127">
            <v>7383</v>
          </cell>
          <cell r="BZ127">
            <v>6683</v>
          </cell>
          <cell r="CA127">
            <v>5983</v>
          </cell>
        </row>
        <row r="128">
          <cell r="A128" t="str">
            <v>Net adds</v>
          </cell>
          <cell r="H128">
            <v>2358</v>
          </cell>
          <cell r="I128">
            <v>1746</v>
          </cell>
          <cell r="J128">
            <v>89</v>
          </cell>
          <cell r="K128">
            <v>-307</v>
          </cell>
          <cell r="L128">
            <v>-611</v>
          </cell>
          <cell r="M128">
            <v>-1826</v>
          </cell>
          <cell r="N128">
            <v>-2619</v>
          </cell>
          <cell r="O128">
            <v>-2650</v>
          </cell>
          <cell r="P128">
            <v>-2200</v>
          </cell>
          <cell r="Q128">
            <v>-1750</v>
          </cell>
          <cell r="R128">
            <v>-750</v>
          </cell>
          <cell r="S128">
            <v>-500</v>
          </cell>
          <cell r="T128">
            <v>-500</v>
          </cell>
          <cell r="AW128">
            <v>471</v>
          </cell>
          <cell r="AX128">
            <v>550</v>
          </cell>
          <cell r="AY128">
            <v>564</v>
          </cell>
          <cell r="AZ128">
            <v>681</v>
          </cell>
          <cell r="BA128">
            <v>361</v>
          </cell>
          <cell r="BB128">
            <v>418</v>
          </cell>
          <cell r="BC128">
            <v>286</v>
          </cell>
          <cell r="BD128">
            <v>338</v>
          </cell>
          <cell r="BE128">
            <v>-129</v>
          </cell>
          <cell r="BF128">
            <v>-84</v>
          </cell>
          <cell r="BG128">
            <v>-36</v>
          </cell>
          <cell r="BH128">
            <v>75</v>
          </cell>
          <cell r="BI128">
            <v>-136</v>
          </cell>
          <cell r="BJ128">
            <v>-149</v>
          </cell>
          <cell r="BK128">
            <v>-97</v>
          </cell>
          <cell r="BL128">
            <v>24</v>
          </cell>
          <cell r="BM128">
            <v>-347</v>
          </cell>
          <cell r="BN128">
            <v>-150</v>
          </cell>
          <cell r="BO128">
            <v>-138</v>
          </cell>
          <cell r="BP128">
            <v>-238</v>
          </cell>
          <cell r="BQ128">
            <v>-451</v>
          </cell>
          <cell r="BR128">
            <v>-501</v>
          </cell>
          <cell r="BS128">
            <v>-636</v>
          </cell>
          <cell r="BT128">
            <v>-615</v>
          </cell>
          <cell r="BU128">
            <v>-649</v>
          </cell>
          <cell r="BV128">
            <v>-655</v>
          </cell>
          <cell r="BW128">
            <v>-700</v>
          </cell>
          <cell r="BX128">
            <v>-650</v>
          </cell>
          <cell r="BY128">
            <v>-600</v>
          </cell>
          <cell r="BZ128">
            <v>-700</v>
          </cell>
          <cell r="CA128">
            <v>-700</v>
          </cell>
        </row>
        <row r="130">
          <cell r="A130" t="str">
            <v>Total Broadband subscribers</v>
          </cell>
          <cell r="H130">
            <v>12170</v>
          </cell>
          <cell r="I130">
            <v>14156</v>
          </cell>
          <cell r="J130">
            <v>15077</v>
          </cell>
          <cell r="K130">
            <v>15789</v>
          </cell>
          <cell r="L130">
            <v>16310</v>
          </cell>
          <cell r="M130">
            <v>16427</v>
          </cell>
          <cell r="N130">
            <v>16356.04</v>
          </cell>
          <cell r="O130">
            <v>15961.49028525</v>
          </cell>
          <cell r="P130">
            <v>15678.623027712501</v>
          </cell>
          <cell r="Q130">
            <v>15558.185858805628</v>
          </cell>
          <cell r="R130">
            <v>16193.314265234783</v>
          </cell>
          <cell r="S130">
            <v>16870.673410699565</v>
          </cell>
          <cell r="T130">
            <v>17371.428684344632</v>
          </cell>
          <cell r="AR130">
            <v>7956</v>
          </cell>
          <cell r="AS130">
            <v>8441</v>
          </cell>
          <cell r="AT130">
            <v>9174</v>
          </cell>
          <cell r="AU130">
            <v>9803</v>
          </cell>
          <cell r="AV130">
            <v>10576</v>
          </cell>
          <cell r="AW130">
            <v>11048</v>
          </cell>
          <cell r="AX130">
            <v>11604</v>
          </cell>
          <cell r="AY130">
            <v>12170</v>
          </cell>
          <cell r="AZ130">
            <v>12861</v>
          </cell>
          <cell r="BA130">
            <v>13261</v>
          </cell>
          <cell r="BB130">
            <v>13760</v>
          </cell>
          <cell r="BC130">
            <v>14156</v>
          </cell>
          <cell r="BD130">
            <v>14647</v>
          </cell>
          <cell r="BE130">
            <v>14693</v>
          </cell>
          <cell r="BF130">
            <v>14841</v>
          </cell>
          <cell r="BG130">
            <v>15077</v>
          </cell>
          <cell r="BH130">
            <v>15436</v>
          </cell>
          <cell r="BI130">
            <v>15548</v>
          </cell>
          <cell r="BJ130">
            <v>15638</v>
          </cell>
          <cell r="BK130">
            <v>15789</v>
          </cell>
          <cell r="BL130">
            <v>16044</v>
          </cell>
          <cell r="BM130">
            <v>15952</v>
          </cell>
          <cell r="BN130">
            <v>16100</v>
          </cell>
          <cell r="BO130">
            <v>16310</v>
          </cell>
          <cell r="BP130">
            <v>16485</v>
          </cell>
          <cell r="BQ130">
            <v>16473</v>
          </cell>
          <cell r="BR130">
            <v>16476</v>
          </cell>
          <cell r="BS130">
            <v>16427</v>
          </cell>
          <cell r="BT130">
            <v>16530</v>
          </cell>
          <cell r="BU130">
            <v>16434</v>
          </cell>
          <cell r="BV130">
            <v>16392</v>
          </cell>
          <cell r="BW130">
            <v>16356.04</v>
          </cell>
          <cell r="BX130">
            <v>16334.977999999999</v>
          </cell>
          <cell r="BY130">
            <v>16269.5753</v>
          </cell>
          <cell r="BZ130">
            <v>16077.442735000001</v>
          </cell>
          <cell r="CA130">
            <v>15961.49028525</v>
          </cell>
        </row>
        <row r="131">
          <cell r="A131" t="str">
            <v>Net adds</v>
          </cell>
          <cell r="I131">
            <v>1986</v>
          </cell>
          <cell r="J131">
            <v>921</v>
          </cell>
          <cell r="K131">
            <v>712</v>
          </cell>
          <cell r="L131">
            <v>521</v>
          </cell>
          <cell r="M131">
            <v>117</v>
          </cell>
          <cell r="N131">
            <v>-70.959999999999127</v>
          </cell>
          <cell r="O131">
            <v>-394.54971475000093</v>
          </cell>
          <cell r="P131">
            <v>-282.86725753749852</v>
          </cell>
          <cell r="Q131">
            <v>-120.43716890687392</v>
          </cell>
          <cell r="R131">
            <v>635.1284064291558</v>
          </cell>
          <cell r="S131">
            <v>677.35914546478125</v>
          </cell>
          <cell r="T131">
            <v>500.75527364506706</v>
          </cell>
          <cell r="AV131">
            <v>773</v>
          </cell>
          <cell r="AW131">
            <v>472</v>
          </cell>
          <cell r="AX131">
            <v>556</v>
          </cell>
          <cell r="AY131">
            <v>566</v>
          </cell>
          <cell r="AZ131">
            <v>691</v>
          </cell>
          <cell r="BA131">
            <v>400</v>
          </cell>
          <cell r="BB131">
            <v>499</v>
          </cell>
          <cell r="BC131">
            <v>396</v>
          </cell>
          <cell r="BD131">
            <v>491</v>
          </cell>
          <cell r="BE131">
            <v>46</v>
          </cell>
          <cell r="BF131">
            <v>148</v>
          </cell>
          <cell r="BG131">
            <v>236</v>
          </cell>
          <cell r="BH131">
            <v>359</v>
          </cell>
          <cell r="BI131">
            <v>112</v>
          </cell>
          <cell r="BJ131">
            <v>90</v>
          </cell>
          <cell r="BK131">
            <v>151</v>
          </cell>
          <cell r="BL131">
            <v>255</v>
          </cell>
          <cell r="BM131">
            <v>-92</v>
          </cell>
          <cell r="BN131">
            <v>148</v>
          </cell>
          <cell r="BO131">
            <v>210</v>
          </cell>
          <cell r="BP131">
            <v>175</v>
          </cell>
          <cell r="BQ131">
            <v>-12</v>
          </cell>
          <cell r="BR131">
            <v>3</v>
          </cell>
          <cell r="BS131">
            <v>-49</v>
          </cell>
          <cell r="BT131">
            <v>103</v>
          </cell>
          <cell r="BU131">
            <v>-96</v>
          </cell>
          <cell r="BV131">
            <v>-42</v>
          </cell>
          <cell r="BW131">
            <v>-35.959999999999127</v>
          </cell>
          <cell r="BX131">
            <v>-21.062000000001717</v>
          </cell>
          <cell r="BY131">
            <v>-65.402699999998731</v>
          </cell>
          <cell r="BZ131">
            <v>-192.13256499999989</v>
          </cell>
          <cell r="CA131">
            <v>-115.9524497500006</v>
          </cell>
        </row>
        <row r="133">
          <cell r="A133" t="str">
            <v>Wired Consumer Broadband connections</v>
          </cell>
          <cell r="I133">
            <v>12082</v>
          </cell>
          <cell r="J133">
            <v>12970</v>
          </cell>
          <cell r="K133">
            <v>13717</v>
          </cell>
          <cell r="L133">
            <v>14320</v>
          </cell>
          <cell r="M133">
            <v>14492</v>
          </cell>
          <cell r="N133">
            <v>14469.188387018059</v>
          </cell>
          <cell r="O133">
            <v>14120.154381796623</v>
          </cell>
          <cell r="P133">
            <v>13869.919016889884</v>
          </cell>
          <cell r="Q133">
            <v>13763.375618505394</v>
          </cell>
          <cell r="R133">
            <v>14325.234880439824</v>
          </cell>
          <cell r="S133">
            <v>14924.453094714152</v>
          </cell>
          <cell r="T133">
            <v>15367.440663230936</v>
          </cell>
          <cell r="BA133">
            <v>11260</v>
          </cell>
          <cell r="BB133">
            <v>11716</v>
          </cell>
          <cell r="BC133">
            <v>12082</v>
          </cell>
          <cell r="BD133">
            <v>12547</v>
          </cell>
          <cell r="BE133">
            <v>12581</v>
          </cell>
          <cell r="BF133">
            <v>12729</v>
          </cell>
          <cell r="BG133">
            <v>12970</v>
          </cell>
          <cell r="BH133">
            <v>13344</v>
          </cell>
          <cell r="BI133">
            <v>13454</v>
          </cell>
          <cell r="BJ133">
            <v>13550</v>
          </cell>
          <cell r="BK133">
            <v>13717</v>
          </cell>
          <cell r="BL133">
            <v>13989</v>
          </cell>
          <cell r="BM133">
            <v>13925</v>
          </cell>
          <cell r="BN133">
            <v>14092</v>
          </cell>
          <cell r="BO133">
            <v>14320</v>
          </cell>
          <cell r="BP133">
            <v>14515</v>
          </cell>
          <cell r="BQ133">
            <v>14520</v>
          </cell>
          <cell r="BR133">
            <v>14530</v>
          </cell>
          <cell r="BS133">
            <v>14492</v>
          </cell>
          <cell r="BT133">
            <v>14595</v>
          </cell>
          <cell r="BU133">
            <v>14517</v>
          </cell>
          <cell r="BV133">
            <v>14501</v>
          </cell>
          <cell r="BW133">
            <v>14469.188387018059</v>
          </cell>
          <cell r="BX133">
            <v>14450.556123596876</v>
          </cell>
          <cell r="BY133">
            <v>14392.698354398488</v>
          </cell>
          <cell r="BZ133">
            <v>14222.730423391595</v>
          </cell>
          <cell r="CA133">
            <v>14120.154381796623</v>
          </cell>
        </row>
        <row r="134">
          <cell r="A134" t="str">
            <v>% of total</v>
          </cell>
          <cell r="I134">
            <v>0.85348968635207689</v>
          </cell>
          <cell r="J134">
            <v>0.8602507130065663</v>
          </cell>
          <cell r="K134">
            <v>0.86876939641522577</v>
          </cell>
          <cell r="L134">
            <v>0.87798896382587366</v>
          </cell>
          <cell r="M134">
            <v>0.88220612406404086</v>
          </cell>
          <cell r="N134">
            <v>0.88463884821864325</v>
          </cell>
          <cell r="O134">
            <v>0.88463884821864325</v>
          </cell>
          <cell r="P134">
            <v>0.88463884821864325</v>
          </cell>
          <cell r="Q134">
            <v>0.88463884821864325</v>
          </cell>
          <cell r="R134">
            <v>0.88463884821864325</v>
          </cell>
          <cell r="S134">
            <v>0.88463884821864325</v>
          </cell>
          <cell r="T134">
            <v>0.88463884821864325</v>
          </cell>
          <cell r="BA134">
            <v>0.8491064022321092</v>
          </cell>
          <cell r="BB134">
            <v>0.851453488372093</v>
          </cell>
          <cell r="BC134">
            <v>0.85348968635207689</v>
          </cell>
          <cell r="BD134">
            <v>0.85662593022461941</v>
          </cell>
          <cell r="BE134">
            <v>0.85625808207990195</v>
          </cell>
          <cell r="BF134">
            <v>0.85769153022033551</v>
          </cell>
          <cell r="BG134">
            <v>0.8602507130065663</v>
          </cell>
          <cell r="BH134">
            <v>0.86447266131122047</v>
          </cell>
          <cell r="BI134">
            <v>0.86532029843066627</v>
          </cell>
          <cell r="BJ134">
            <v>0.86647908939762119</v>
          </cell>
          <cell r="BK134">
            <v>0.86876939641522577</v>
          </cell>
          <cell r="BL134">
            <v>0.87191473448017953</v>
          </cell>
          <cell r="BM134">
            <v>0.87293129388164492</v>
          </cell>
          <cell r="BN134">
            <v>0.87527950310559011</v>
          </cell>
          <cell r="BO134">
            <v>0.87798896382587366</v>
          </cell>
          <cell r="BP134">
            <v>0.88049742189869573</v>
          </cell>
          <cell r="BQ134">
            <v>0.88144236022582412</v>
          </cell>
          <cell r="BR134">
            <v>0.88188880796309788</v>
          </cell>
          <cell r="BS134">
            <v>0.88220612406404086</v>
          </cell>
          <cell r="BT134">
            <v>0.88294010889292196</v>
          </cell>
          <cell r="BU134">
            <v>0.88335158817086523</v>
          </cell>
          <cell r="BV134">
            <v>0.88463884821864325</v>
          </cell>
          <cell r="BW134">
            <v>0.88463884821864325</v>
          </cell>
          <cell r="BX134">
            <v>0.88463884821864325</v>
          </cell>
          <cell r="BY134">
            <v>0.88463884821864325</v>
          </cell>
          <cell r="BZ134">
            <v>0.88463884821864325</v>
          </cell>
          <cell r="CA134">
            <v>0.88463884821864325</v>
          </cell>
        </row>
        <row r="135">
          <cell r="A135" t="str">
            <v xml:space="preserve">average </v>
          </cell>
          <cell r="I135">
            <v>12082</v>
          </cell>
          <cell r="J135">
            <v>12526</v>
          </cell>
          <cell r="K135">
            <v>13343.5</v>
          </cell>
          <cell r="L135">
            <v>14018.5</v>
          </cell>
          <cell r="M135">
            <v>14406</v>
          </cell>
          <cell r="N135">
            <v>14480.59419350903</v>
          </cell>
          <cell r="O135">
            <v>14294.671384407342</v>
          </cell>
          <cell r="P135">
            <v>13995.036699343254</v>
          </cell>
          <cell r="Q135">
            <v>13816.64731769764</v>
          </cell>
          <cell r="R135">
            <v>14044.305249472609</v>
          </cell>
          <cell r="S135">
            <v>14624.843987576987</v>
          </cell>
          <cell r="T135">
            <v>15145.946878972543</v>
          </cell>
          <cell r="BB135">
            <v>11488</v>
          </cell>
          <cell r="BC135">
            <v>11899</v>
          </cell>
          <cell r="BD135">
            <v>12314.5</v>
          </cell>
          <cell r="BE135">
            <v>12564</v>
          </cell>
          <cell r="BF135">
            <v>12655</v>
          </cell>
          <cell r="BG135">
            <v>12849.5</v>
          </cell>
          <cell r="BH135">
            <v>13157</v>
          </cell>
          <cell r="BI135">
            <v>13399</v>
          </cell>
          <cell r="BJ135">
            <v>13502</v>
          </cell>
          <cell r="BK135">
            <v>13633.5</v>
          </cell>
          <cell r="BL135">
            <v>13853</v>
          </cell>
          <cell r="BM135">
            <v>13957</v>
          </cell>
          <cell r="BN135">
            <v>14008.5</v>
          </cell>
          <cell r="BO135">
            <v>14206</v>
          </cell>
          <cell r="BP135">
            <v>14417.5</v>
          </cell>
          <cell r="BQ135">
            <v>14517.5</v>
          </cell>
          <cell r="BR135">
            <v>14525</v>
          </cell>
          <cell r="BS135">
            <v>14511</v>
          </cell>
          <cell r="BT135">
            <v>14543.5</v>
          </cell>
          <cell r="BU135">
            <v>14556</v>
          </cell>
          <cell r="BV135">
            <v>14509</v>
          </cell>
          <cell r="BW135">
            <v>14485.09419350903</v>
          </cell>
          <cell r="BX135">
            <v>14459.872255307468</v>
          </cell>
          <cell r="BY135">
            <v>14421.627238997682</v>
          </cell>
          <cell r="BZ135">
            <v>14307.714388895041</v>
          </cell>
          <cell r="CA135">
            <v>14171.442402594108</v>
          </cell>
        </row>
        <row r="136">
          <cell r="A136" t="str">
            <v>Net adds</v>
          </cell>
          <cell r="I136">
            <v>12082</v>
          </cell>
          <cell r="J136">
            <v>888</v>
          </cell>
          <cell r="K136">
            <v>747</v>
          </cell>
          <cell r="L136">
            <v>603</v>
          </cell>
          <cell r="M136">
            <v>172</v>
          </cell>
          <cell r="N136">
            <v>-22.811612981940925</v>
          </cell>
          <cell r="O136">
            <v>-349.03400522143602</v>
          </cell>
          <cell r="P136">
            <v>-250.23536490673905</v>
          </cell>
          <cell r="Q136">
            <v>-106.5433983844905</v>
          </cell>
          <cell r="R136">
            <v>561.85926193443083</v>
          </cell>
          <cell r="S136">
            <v>599.21821427432769</v>
          </cell>
          <cell r="T136">
            <v>442.98756851678445</v>
          </cell>
          <cell r="BA136">
            <v>11260</v>
          </cell>
          <cell r="BB136">
            <v>456</v>
          </cell>
          <cell r="BC136">
            <v>366</v>
          </cell>
          <cell r="BD136">
            <v>465</v>
          </cell>
          <cell r="BE136">
            <v>34</v>
          </cell>
          <cell r="BF136">
            <v>148</v>
          </cell>
          <cell r="BG136">
            <v>241</v>
          </cell>
          <cell r="BH136">
            <v>374</v>
          </cell>
          <cell r="BI136">
            <v>110</v>
          </cell>
          <cell r="BJ136">
            <v>96</v>
          </cell>
          <cell r="BK136">
            <v>167</v>
          </cell>
          <cell r="BL136">
            <v>272</v>
          </cell>
          <cell r="BM136">
            <v>-64</v>
          </cell>
          <cell r="BN136">
            <v>167</v>
          </cell>
          <cell r="BO136">
            <v>228</v>
          </cell>
          <cell r="BP136">
            <v>195</v>
          </cell>
          <cell r="BQ136">
            <v>5</v>
          </cell>
          <cell r="BR136">
            <v>10</v>
          </cell>
          <cell r="BS136">
            <v>-38</v>
          </cell>
          <cell r="BT136">
            <v>103</v>
          </cell>
          <cell r="BU136">
            <v>-78</v>
          </cell>
          <cell r="BV136">
            <v>-16</v>
          </cell>
          <cell r="BW136">
            <v>-31.811612981940925</v>
          </cell>
          <cell r="BX136">
            <v>-18.63226342118287</v>
          </cell>
          <cell r="BY136">
            <v>-57.857769198388269</v>
          </cell>
          <cell r="BZ136">
            <v>-169.9679310068932</v>
          </cell>
          <cell r="CA136">
            <v>-102.57604159497168</v>
          </cell>
        </row>
        <row r="137">
          <cell r="A137" t="str">
            <v>% of total</v>
          </cell>
          <cell r="J137">
            <v>0.96416938110749184</v>
          </cell>
          <cell r="K137">
            <v>1.0491573033707866</v>
          </cell>
          <cell r="L137">
            <v>1.1573896353166986</v>
          </cell>
          <cell r="M137">
            <v>1.4700854700854702</v>
          </cell>
          <cell r="N137">
            <v>0.3214714343565559</v>
          </cell>
          <cell r="O137">
            <v>0.88463884821864569</v>
          </cell>
          <cell r="P137">
            <v>0.88463884821864336</v>
          </cell>
          <cell r="Q137">
            <v>0.88463884821863792</v>
          </cell>
          <cell r="R137">
            <v>0.88463884821864347</v>
          </cell>
          <cell r="S137">
            <v>0.88463884821864203</v>
          </cell>
          <cell r="T137">
            <v>0.8846388482186448</v>
          </cell>
          <cell r="BA137">
            <v>28.15</v>
          </cell>
          <cell r="BB137">
            <v>0.91382765531062127</v>
          </cell>
          <cell r="BC137">
            <v>0.9242424242424242</v>
          </cell>
          <cell r="BD137">
            <v>0.94704684317718946</v>
          </cell>
          <cell r="BE137">
            <v>0.73913043478260865</v>
          </cell>
          <cell r="BF137">
            <v>1</v>
          </cell>
          <cell r="BG137">
            <v>1.021186440677966</v>
          </cell>
          <cell r="BH137">
            <v>1.041782729805014</v>
          </cell>
          <cell r="BI137">
            <v>0.9821428571428571</v>
          </cell>
          <cell r="BJ137">
            <v>1.0666666666666667</v>
          </cell>
          <cell r="BK137">
            <v>1.1059602649006623</v>
          </cell>
          <cell r="BL137">
            <v>1.0666666666666667</v>
          </cell>
          <cell r="BM137">
            <v>0.69565217391304346</v>
          </cell>
          <cell r="BN137">
            <v>1.1283783783783783</v>
          </cell>
          <cell r="BO137">
            <v>1.0857142857142856</v>
          </cell>
          <cell r="BP137">
            <v>1.1142857142857143</v>
          </cell>
          <cell r="BQ137">
            <v>-0.41666666666666669</v>
          </cell>
          <cell r="BR137">
            <v>3.3333333333333335</v>
          </cell>
          <cell r="BS137">
            <v>0.77551020408163263</v>
          </cell>
          <cell r="BT137">
            <v>1</v>
          </cell>
          <cell r="BU137">
            <v>0.8125</v>
          </cell>
          <cell r="BV137">
            <v>0.38095238095238093</v>
          </cell>
          <cell r="BW137">
            <v>0.88463884821862337</v>
          </cell>
          <cell r="BX137">
            <v>0.8846388482186569</v>
          </cell>
          <cell r="BY137">
            <v>0.88463884821864225</v>
          </cell>
          <cell r="BZ137">
            <v>0.88463884821864158</v>
          </cell>
          <cell r="CA137">
            <v>0.88463884821865224</v>
          </cell>
        </row>
        <row r="139">
          <cell r="A139" t="str">
            <v>Wired Biz Broadband coonections</v>
          </cell>
          <cell r="I139">
            <v>2074</v>
          </cell>
          <cell r="J139">
            <v>2107</v>
          </cell>
          <cell r="K139">
            <v>2072</v>
          </cell>
          <cell r="L139">
            <v>1990</v>
          </cell>
          <cell r="M139">
            <v>1935</v>
          </cell>
          <cell r="N139">
            <v>1886.8516129819418</v>
          </cell>
          <cell r="O139">
            <v>1841.3359034533769</v>
          </cell>
          <cell r="P139">
            <v>1808.7040108226174</v>
          </cell>
          <cell r="Q139">
            <v>1794.810240300234</v>
          </cell>
          <cell r="R139">
            <v>1868.079384794959</v>
          </cell>
          <cell r="S139">
            <v>1946.2203159854125</v>
          </cell>
          <cell r="T139">
            <v>2003.9880211136951</v>
          </cell>
          <cell r="BA139">
            <v>2001</v>
          </cell>
          <cell r="BB139">
            <v>2044</v>
          </cell>
          <cell r="BC139">
            <v>2074</v>
          </cell>
          <cell r="BD139">
            <v>2100</v>
          </cell>
          <cell r="BE139">
            <v>2112</v>
          </cell>
          <cell r="BF139">
            <v>2112</v>
          </cell>
          <cell r="BG139">
            <v>2107</v>
          </cell>
          <cell r="BH139">
            <v>2092</v>
          </cell>
          <cell r="BI139">
            <v>2094</v>
          </cell>
          <cell r="BJ139">
            <v>2088</v>
          </cell>
          <cell r="BK139">
            <v>2072</v>
          </cell>
          <cell r="BL139">
            <v>2055</v>
          </cell>
          <cell r="BM139">
            <v>2027</v>
          </cell>
          <cell r="BN139">
            <v>2008</v>
          </cell>
          <cell r="BO139">
            <v>1990</v>
          </cell>
          <cell r="BP139">
            <v>1970</v>
          </cell>
          <cell r="BQ139">
            <v>1953</v>
          </cell>
          <cell r="BR139">
            <v>1946</v>
          </cell>
          <cell r="BS139">
            <v>1935</v>
          </cell>
          <cell r="BT139">
            <v>1935</v>
          </cell>
          <cell r="BU139">
            <v>1917</v>
          </cell>
          <cell r="BV139">
            <v>1891</v>
          </cell>
          <cell r="BW139">
            <v>1886.8516129819418</v>
          </cell>
          <cell r="BX139">
            <v>1884.421876403123</v>
          </cell>
          <cell r="BY139">
            <v>1876.8769456015125</v>
          </cell>
          <cell r="BZ139">
            <v>1854.7123116084058</v>
          </cell>
          <cell r="CA139">
            <v>1841.3359034533769</v>
          </cell>
        </row>
        <row r="140">
          <cell r="A140" t="str">
            <v>% of total</v>
          </cell>
          <cell r="I140">
            <v>0.14651031364792311</v>
          </cell>
          <cell r="J140">
            <v>0.1397492869934337</v>
          </cell>
          <cell r="K140">
            <v>0.13123060358477423</v>
          </cell>
          <cell r="L140">
            <v>0.12201103617412634</v>
          </cell>
          <cell r="M140">
            <v>0.11779387593595914</v>
          </cell>
          <cell r="N140">
            <v>0.11536115178135675</v>
          </cell>
          <cell r="O140">
            <v>0.11536115178135675</v>
          </cell>
          <cell r="P140">
            <v>0.11536115178135675</v>
          </cell>
          <cell r="Q140">
            <v>0.11536115178135675</v>
          </cell>
          <cell r="R140">
            <v>0.11536115178135675</v>
          </cell>
          <cell r="S140">
            <v>0.11536115178135675</v>
          </cell>
          <cell r="T140">
            <v>0.11536115178135675</v>
          </cell>
          <cell r="BA140">
            <v>0.1508935977678908</v>
          </cell>
          <cell r="BB140">
            <v>0.14854651162790697</v>
          </cell>
          <cell r="BC140">
            <v>0.14651031364792313</v>
          </cell>
          <cell r="BD140">
            <v>0.14337406977538061</v>
          </cell>
          <cell r="BE140">
            <v>0.14374191792009799</v>
          </cell>
          <cell r="BF140">
            <v>0.14230846977966444</v>
          </cell>
          <cell r="BG140">
            <v>0.1397492869934337</v>
          </cell>
          <cell r="BH140">
            <v>0.13552733868877948</v>
          </cell>
          <cell r="BI140">
            <v>0.13467970156933373</v>
          </cell>
          <cell r="BJ140">
            <v>0.13352091060237881</v>
          </cell>
          <cell r="BK140">
            <v>0.13123060358477423</v>
          </cell>
          <cell r="BL140">
            <v>0.12808526551982047</v>
          </cell>
          <cell r="BM140">
            <v>0.12706870611835508</v>
          </cell>
          <cell r="BN140">
            <v>0.12472049689440989</v>
          </cell>
          <cell r="BO140">
            <v>0.12201103617412634</v>
          </cell>
          <cell r="BP140">
            <v>0.11950257810130427</v>
          </cell>
          <cell r="BQ140">
            <v>0.11855763977417588</v>
          </cell>
          <cell r="BR140">
            <v>0.11811119203690212</v>
          </cell>
          <cell r="BS140">
            <v>0.11779387593595914</v>
          </cell>
          <cell r="BT140">
            <v>0.11705989110707804</v>
          </cell>
          <cell r="BU140">
            <v>0.11664841182913477</v>
          </cell>
          <cell r="BV140">
            <v>0.11536115178135675</v>
          </cell>
          <cell r="BW140">
            <v>0.11536115178135675</v>
          </cell>
          <cell r="BX140">
            <v>0.11536115178135675</v>
          </cell>
          <cell r="BY140">
            <v>0.11536115178135675</v>
          </cell>
          <cell r="BZ140">
            <v>0.11536115178135675</v>
          </cell>
          <cell r="CA140">
            <v>0.11536115178135675</v>
          </cell>
        </row>
        <row r="141">
          <cell r="A141" t="str">
            <v xml:space="preserve">average </v>
          </cell>
          <cell r="I141">
            <v>2074</v>
          </cell>
          <cell r="J141">
            <v>2090.5</v>
          </cell>
          <cell r="K141">
            <v>2089.5</v>
          </cell>
          <cell r="L141">
            <v>2031</v>
          </cell>
          <cell r="M141">
            <v>1962.5</v>
          </cell>
          <cell r="N141">
            <v>1910.9258064909709</v>
          </cell>
          <cell r="O141">
            <v>1864.0937582176593</v>
          </cell>
          <cell r="P141">
            <v>1825.0199571379972</v>
          </cell>
          <cell r="Q141">
            <v>1801.7571255614257</v>
          </cell>
          <cell r="R141">
            <v>1831.4448125475965</v>
          </cell>
          <cell r="S141">
            <v>1907.1498503901857</v>
          </cell>
          <cell r="T141">
            <v>1975.1041685495538</v>
          </cell>
          <cell r="BB141">
            <v>2022.5</v>
          </cell>
          <cell r="BC141">
            <v>2059</v>
          </cell>
          <cell r="BD141">
            <v>2087</v>
          </cell>
          <cell r="BE141">
            <v>2106</v>
          </cell>
          <cell r="BF141">
            <v>2112</v>
          </cell>
          <cell r="BG141">
            <v>2109.5</v>
          </cell>
          <cell r="BH141">
            <v>2099.5</v>
          </cell>
          <cell r="BI141">
            <v>2093</v>
          </cell>
          <cell r="BJ141">
            <v>2091</v>
          </cell>
          <cell r="BK141">
            <v>2080</v>
          </cell>
          <cell r="BL141">
            <v>2063.5</v>
          </cell>
          <cell r="BM141">
            <v>2041</v>
          </cell>
          <cell r="BN141">
            <v>2017.5</v>
          </cell>
          <cell r="BO141">
            <v>1999</v>
          </cell>
          <cell r="BP141">
            <v>1980</v>
          </cell>
          <cell r="BQ141">
            <v>1961.5</v>
          </cell>
          <cell r="BR141">
            <v>1949.5</v>
          </cell>
          <cell r="BS141">
            <v>1940.5</v>
          </cell>
          <cell r="BT141">
            <v>1935</v>
          </cell>
          <cell r="BU141">
            <v>1926</v>
          </cell>
          <cell r="BV141">
            <v>1904</v>
          </cell>
          <cell r="BW141">
            <v>1888.9258064909709</v>
          </cell>
          <cell r="BX141">
            <v>1885.6367446925324</v>
          </cell>
          <cell r="BY141">
            <v>1880.6494110023177</v>
          </cell>
          <cell r="BZ141">
            <v>1865.7946286049591</v>
          </cell>
          <cell r="CA141">
            <v>1848.0241075308913</v>
          </cell>
        </row>
        <row r="142">
          <cell r="A142" t="str">
            <v>Net adds</v>
          </cell>
          <cell r="I142">
            <v>2074</v>
          </cell>
          <cell r="J142">
            <v>33</v>
          </cell>
          <cell r="K142">
            <v>-35</v>
          </cell>
          <cell r="L142">
            <v>-82</v>
          </cell>
          <cell r="M142">
            <v>-55</v>
          </cell>
          <cell r="N142">
            <v>-48.148387018058202</v>
          </cell>
          <cell r="O142">
            <v>-45.515709528564912</v>
          </cell>
          <cell r="P142">
            <v>-32.631892630759467</v>
          </cell>
          <cell r="Q142">
            <v>-13.89377052238342</v>
          </cell>
          <cell r="R142">
            <v>73.269144494724969</v>
          </cell>
          <cell r="S142">
            <v>78.140931190453557</v>
          </cell>
          <cell r="T142">
            <v>57.767705128282614</v>
          </cell>
          <cell r="BA142">
            <v>2001</v>
          </cell>
          <cell r="BB142">
            <v>43</v>
          </cell>
          <cell r="BC142">
            <v>30</v>
          </cell>
          <cell r="BD142">
            <v>26</v>
          </cell>
          <cell r="BE142">
            <v>12</v>
          </cell>
          <cell r="BF142">
            <v>0</v>
          </cell>
          <cell r="BG142">
            <v>-5</v>
          </cell>
          <cell r="BH142">
            <v>-15</v>
          </cell>
          <cell r="BI142">
            <v>2</v>
          </cell>
          <cell r="BJ142">
            <v>-6</v>
          </cell>
          <cell r="BK142">
            <v>-16</v>
          </cell>
          <cell r="BL142">
            <v>-17</v>
          </cell>
          <cell r="BM142">
            <v>-28</v>
          </cell>
          <cell r="BN142">
            <v>-19</v>
          </cell>
          <cell r="BO142">
            <v>-18</v>
          </cell>
          <cell r="BP142">
            <v>-20</v>
          </cell>
          <cell r="BQ142">
            <v>-17</v>
          </cell>
          <cell r="BR142">
            <v>-7</v>
          </cell>
          <cell r="BS142">
            <v>-11</v>
          </cell>
          <cell r="BT142">
            <v>0</v>
          </cell>
          <cell r="BU142">
            <v>-18</v>
          </cell>
          <cell r="BV142">
            <v>-26</v>
          </cell>
          <cell r="BW142">
            <v>-4.1483870180582016</v>
          </cell>
          <cell r="BX142">
            <v>-2.4297365788188472</v>
          </cell>
          <cell r="BY142">
            <v>-7.5449308016104624</v>
          </cell>
          <cell r="BZ142">
            <v>-22.16463399310669</v>
          </cell>
          <cell r="CA142">
            <v>-13.376408155028912</v>
          </cell>
        </row>
        <row r="143">
          <cell r="A143" t="str">
            <v>% of total</v>
          </cell>
          <cell r="J143">
            <v>3.5830618892508159E-2</v>
          </cell>
          <cell r="K143">
            <v>-4.9157303370786609E-2</v>
          </cell>
          <cell r="L143">
            <v>-0.15738963531669858</v>
          </cell>
          <cell r="M143">
            <v>-0.47008547008547019</v>
          </cell>
          <cell r="N143">
            <v>0.6785285656434441</v>
          </cell>
          <cell r="O143">
            <v>0.11536115178135431</v>
          </cell>
          <cell r="P143">
            <v>0.11536115178135664</v>
          </cell>
          <cell r="Q143">
            <v>0.11536115178136208</v>
          </cell>
          <cell r="R143">
            <v>0.11536115178135653</v>
          </cell>
          <cell r="S143">
            <v>0.11536115178135797</v>
          </cell>
          <cell r="T143">
            <v>0.1153611517813552</v>
          </cell>
          <cell r="BA143">
            <v>5.0025000000000004</v>
          </cell>
          <cell r="BB143">
            <v>8.617234468937876E-2</v>
          </cell>
          <cell r="BC143">
            <v>7.575757575757576E-2</v>
          </cell>
          <cell r="BD143">
            <v>5.2953156822810592E-2</v>
          </cell>
          <cell r="BE143">
            <v>0.2608695652173913</v>
          </cell>
          <cell r="BF143">
            <v>0</v>
          </cell>
          <cell r="BG143">
            <v>-2.1186440677966101E-2</v>
          </cell>
          <cell r="BH143">
            <v>-4.1782729805013928E-2</v>
          </cell>
          <cell r="BI143">
            <v>1.7857142857142856E-2</v>
          </cell>
          <cell r="BJ143">
            <v>-6.6666666666666666E-2</v>
          </cell>
          <cell r="BK143">
            <v>-0.10596026490066225</v>
          </cell>
          <cell r="BL143">
            <v>-6.6666666666666666E-2</v>
          </cell>
          <cell r="BM143">
            <v>0.30434782608695654</v>
          </cell>
          <cell r="BN143">
            <v>-0.12837837837837837</v>
          </cell>
          <cell r="BO143">
            <v>-8.5714285714285715E-2</v>
          </cell>
          <cell r="BP143">
            <v>-0.11428571428571428</v>
          </cell>
          <cell r="BQ143">
            <v>1.4166666666666667</v>
          </cell>
          <cell r="BR143">
            <v>-2.3333333333333335</v>
          </cell>
          <cell r="BS143">
            <v>0.22448979591836735</v>
          </cell>
          <cell r="BT143">
            <v>0</v>
          </cell>
          <cell r="BU143">
            <v>0.1875</v>
          </cell>
          <cell r="BV143">
            <v>0.61904761904761907</v>
          </cell>
          <cell r="BW143">
            <v>0.1153611517813766</v>
          </cell>
          <cell r="BX143">
            <v>0.11536115178134314</v>
          </cell>
          <cell r="BY143">
            <v>0.11536115178135778</v>
          </cell>
          <cell r="BZ143">
            <v>0.11536115178135838</v>
          </cell>
          <cell r="CA143">
            <v>0.1153611517813477</v>
          </cell>
        </row>
        <row r="145">
          <cell r="A145" t="str">
            <v>Satellite Broadband subscribers</v>
          </cell>
          <cell r="I145">
            <v>18</v>
          </cell>
          <cell r="J145">
            <v>36</v>
          </cell>
          <cell r="K145">
            <v>36</v>
          </cell>
          <cell r="L145">
            <v>37</v>
          </cell>
          <cell r="M145">
            <v>37</v>
          </cell>
          <cell r="N145">
            <v>37</v>
          </cell>
          <cell r="O145">
            <v>37</v>
          </cell>
          <cell r="P145">
            <v>37</v>
          </cell>
          <cell r="Q145">
            <v>37</v>
          </cell>
          <cell r="R145">
            <v>37</v>
          </cell>
          <cell r="S145">
            <v>37</v>
          </cell>
          <cell r="T145">
            <v>37</v>
          </cell>
          <cell r="AV145">
            <v>0</v>
          </cell>
          <cell r="AW145" t="e">
            <v>#REF!</v>
          </cell>
          <cell r="AX145">
            <v>4</v>
          </cell>
          <cell r="AY145">
            <v>5</v>
          </cell>
          <cell r="AZ145">
            <v>6</v>
          </cell>
          <cell r="BA145">
            <v>8</v>
          </cell>
          <cell r="BB145">
            <v>13</v>
          </cell>
          <cell r="BC145">
            <v>18</v>
          </cell>
          <cell r="BD145">
            <v>23</v>
          </cell>
          <cell r="BE145">
            <v>28</v>
          </cell>
          <cell r="BF145">
            <v>28</v>
          </cell>
          <cell r="BG145">
            <v>36</v>
          </cell>
          <cell r="BH145">
            <v>36</v>
          </cell>
          <cell r="BI145">
            <v>36</v>
          </cell>
          <cell r="BJ145">
            <v>36</v>
          </cell>
          <cell r="BK145">
            <v>36</v>
          </cell>
          <cell r="BL145">
            <v>36</v>
          </cell>
          <cell r="BM145">
            <v>36</v>
          </cell>
          <cell r="BN145">
            <v>36</v>
          </cell>
          <cell r="BO145">
            <v>37</v>
          </cell>
          <cell r="BP145">
            <v>36</v>
          </cell>
          <cell r="BQ145">
            <v>36</v>
          </cell>
          <cell r="BR145">
            <v>37</v>
          </cell>
          <cell r="BS145">
            <v>37</v>
          </cell>
          <cell r="BT145">
            <v>37</v>
          </cell>
          <cell r="BU145">
            <v>37</v>
          </cell>
          <cell r="BV145">
            <v>37</v>
          </cell>
          <cell r="BW145">
            <v>37</v>
          </cell>
          <cell r="BX145">
            <v>37</v>
          </cell>
          <cell r="BY145">
            <v>37</v>
          </cell>
          <cell r="BZ145">
            <v>37</v>
          </cell>
          <cell r="CA145">
            <v>37</v>
          </cell>
        </row>
        <row r="146">
          <cell r="A146" t="str">
            <v>Net adds</v>
          </cell>
          <cell r="J146">
            <v>18</v>
          </cell>
          <cell r="K146">
            <v>0</v>
          </cell>
          <cell r="L146">
            <v>1</v>
          </cell>
          <cell r="M146">
            <v>0</v>
          </cell>
          <cell r="N146">
            <v>0</v>
          </cell>
          <cell r="O146">
            <v>0</v>
          </cell>
          <cell r="P146">
            <v>0</v>
          </cell>
          <cell r="Q146">
            <v>0</v>
          </cell>
          <cell r="R146">
            <v>0</v>
          </cell>
          <cell r="S146">
            <v>0</v>
          </cell>
          <cell r="T146">
            <v>0</v>
          </cell>
          <cell r="AY146">
            <v>1</v>
          </cell>
          <cell r="AZ146">
            <v>1</v>
          </cell>
          <cell r="BA146">
            <v>2</v>
          </cell>
          <cell r="BB146">
            <v>5</v>
          </cell>
          <cell r="BC146">
            <v>5</v>
          </cell>
          <cell r="BD146">
            <v>5</v>
          </cell>
          <cell r="BE146">
            <v>5</v>
          </cell>
          <cell r="BF146">
            <v>0</v>
          </cell>
          <cell r="BG146">
            <v>8</v>
          </cell>
          <cell r="BH146">
            <v>0</v>
          </cell>
          <cell r="BI146">
            <v>0</v>
          </cell>
          <cell r="BJ146">
            <v>0</v>
          </cell>
          <cell r="BK146">
            <v>0</v>
          </cell>
          <cell r="BL146">
            <v>0</v>
          </cell>
          <cell r="BM146">
            <v>0</v>
          </cell>
          <cell r="BN146">
            <v>0</v>
          </cell>
          <cell r="BO146">
            <v>1</v>
          </cell>
          <cell r="BP146">
            <v>-1</v>
          </cell>
          <cell r="BQ146">
            <v>0</v>
          </cell>
          <cell r="BR146">
            <v>1</v>
          </cell>
          <cell r="BS146">
            <v>0</v>
          </cell>
          <cell r="BT146">
            <v>0</v>
          </cell>
          <cell r="BU146">
            <v>0</v>
          </cell>
          <cell r="BV146">
            <v>0</v>
          </cell>
          <cell r="BW146">
            <v>0</v>
          </cell>
          <cell r="BX146">
            <v>0</v>
          </cell>
          <cell r="BY146">
            <v>0</v>
          </cell>
          <cell r="BZ146">
            <v>0</v>
          </cell>
          <cell r="CA146">
            <v>0</v>
          </cell>
        </row>
        <row r="149">
          <cell r="A149" t="str">
            <v>Video Connections</v>
          </cell>
        </row>
        <row r="150">
          <cell r="A150" t="str">
            <v>U-verse</v>
          </cell>
          <cell r="J150">
            <v>1045</v>
          </cell>
          <cell r="K150">
            <v>2065</v>
          </cell>
          <cell r="L150">
            <v>2987</v>
          </cell>
          <cell r="M150">
            <v>3791</v>
          </cell>
          <cell r="N150">
            <v>4532.1000000000004</v>
          </cell>
          <cell r="O150">
            <v>5257.1056803000001</v>
          </cell>
          <cell r="P150">
            <v>6018.3616446149999</v>
          </cell>
          <cell r="Q150">
            <v>6817.6804071457509</v>
          </cell>
          <cell r="R150">
            <v>7656.9651078030383</v>
          </cell>
          <cell r="S150">
            <v>8538.2140434931916</v>
          </cell>
          <cell r="T150">
            <v>9463.5254259678495</v>
          </cell>
          <cell r="AZ150">
            <v>13</v>
          </cell>
          <cell r="BA150">
            <v>51</v>
          </cell>
          <cell r="BB150">
            <v>126</v>
          </cell>
          <cell r="BC150">
            <v>231</v>
          </cell>
          <cell r="BD150">
            <v>379</v>
          </cell>
          <cell r="BE150">
            <v>549</v>
          </cell>
          <cell r="BF150">
            <v>781</v>
          </cell>
          <cell r="BG150">
            <v>1045</v>
          </cell>
          <cell r="BH150">
            <v>1329</v>
          </cell>
          <cell r="BI150">
            <v>1577</v>
          </cell>
          <cell r="BJ150">
            <v>1817</v>
          </cell>
          <cell r="BK150">
            <v>2065</v>
          </cell>
          <cell r="BL150">
            <v>2296</v>
          </cell>
          <cell r="BM150">
            <v>2505</v>
          </cell>
          <cell r="BN150">
            <v>2741</v>
          </cell>
          <cell r="BO150">
            <v>2987</v>
          </cell>
          <cell r="BP150">
            <v>3205</v>
          </cell>
          <cell r="BQ150">
            <v>3407</v>
          </cell>
          <cell r="BR150">
            <v>3583</v>
          </cell>
          <cell r="BS150">
            <v>3791</v>
          </cell>
          <cell r="BT150">
            <v>3991</v>
          </cell>
          <cell r="BU150">
            <v>4146</v>
          </cell>
          <cell r="BV150">
            <v>4344</v>
          </cell>
          <cell r="BW150">
            <v>4532.1000000000004</v>
          </cell>
          <cell r="BX150">
            <v>4725.8429999999998</v>
          </cell>
          <cell r="BY150">
            <v>4890.5245500000001</v>
          </cell>
          <cell r="BZ150">
            <v>5063.4401775000006</v>
          </cell>
          <cell r="CA150">
            <v>5257.1056803000001</v>
          </cell>
        </row>
        <row r="151">
          <cell r="A151" t="str">
            <v>Satellite</v>
          </cell>
          <cell r="J151">
            <v>2190</v>
          </cell>
          <cell r="K151">
            <v>2174</v>
          </cell>
          <cell r="L151">
            <v>1930</v>
          </cell>
          <cell r="M151">
            <v>1765</v>
          </cell>
          <cell r="N151">
            <v>1585</v>
          </cell>
          <cell r="O151">
            <v>1440</v>
          </cell>
          <cell r="P151">
            <v>1240</v>
          </cell>
          <cell r="Q151">
            <v>1040</v>
          </cell>
          <cell r="R151">
            <v>840</v>
          </cell>
          <cell r="S151">
            <v>640</v>
          </cell>
          <cell r="T151">
            <v>440</v>
          </cell>
          <cell r="BA151">
            <v>1846</v>
          </cell>
          <cell r="BB151">
            <v>1986</v>
          </cell>
          <cell r="BC151">
            <v>2116</v>
          </cell>
          <cell r="BD151">
            <v>2232</v>
          </cell>
          <cell r="BE151">
            <v>2235</v>
          </cell>
          <cell r="BF151">
            <v>2182</v>
          </cell>
          <cell r="BG151">
            <v>2190</v>
          </cell>
          <cell r="BH151">
            <v>2205</v>
          </cell>
          <cell r="BI151">
            <v>2210</v>
          </cell>
          <cell r="BJ151">
            <v>2195</v>
          </cell>
          <cell r="BK151">
            <v>2174</v>
          </cell>
          <cell r="BL151">
            <v>2127</v>
          </cell>
          <cell r="BM151">
            <v>2053</v>
          </cell>
          <cell r="BN151">
            <v>1994</v>
          </cell>
          <cell r="BO151">
            <v>1930</v>
          </cell>
          <cell r="BP151">
            <v>1886</v>
          </cell>
          <cell r="BQ151">
            <v>1852</v>
          </cell>
          <cell r="BR151">
            <v>1809</v>
          </cell>
          <cell r="BS151">
            <v>1765</v>
          </cell>
          <cell r="BT151">
            <v>1732</v>
          </cell>
          <cell r="BU151">
            <v>1684</v>
          </cell>
          <cell r="BV151">
            <v>1633</v>
          </cell>
          <cell r="BW151">
            <v>1585</v>
          </cell>
          <cell r="BX151">
            <v>1545</v>
          </cell>
          <cell r="BY151">
            <v>1505</v>
          </cell>
          <cell r="BZ151">
            <v>1470</v>
          </cell>
          <cell r="CA151">
            <v>1440</v>
          </cell>
        </row>
        <row r="152">
          <cell r="A152" t="str">
            <v>Net adds</v>
          </cell>
          <cell r="J152">
            <v>74</v>
          </cell>
          <cell r="K152">
            <v>-16</v>
          </cell>
          <cell r="L152">
            <v>-244</v>
          </cell>
          <cell r="M152">
            <v>-165</v>
          </cell>
          <cell r="N152">
            <v>-180</v>
          </cell>
          <cell r="O152">
            <v>-145</v>
          </cell>
          <cell r="P152">
            <v>-200</v>
          </cell>
          <cell r="Q152">
            <v>-200</v>
          </cell>
          <cell r="R152">
            <v>-200</v>
          </cell>
          <cell r="S152">
            <v>-200</v>
          </cell>
          <cell r="T152">
            <v>-200</v>
          </cell>
          <cell r="BB152">
            <v>140</v>
          </cell>
          <cell r="BC152">
            <v>130</v>
          </cell>
          <cell r="BD152">
            <v>116</v>
          </cell>
          <cell r="BE152">
            <v>3</v>
          </cell>
          <cell r="BF152">
            <v>-53</v>
          </cell>
          <cell r="BG152">
            <v>8</v>
          </cell>
          <cell r="BH152">
            <v>15</v>
          </cell>
          <cell r="BI152">
            <v>5</v>
          </cell>
          <cell r="BJ152">
            <v>-15</v>
          </cell>
          <cell r="BK152">
            <v>-21</v>
          </cell>
          <cell r="BL152">
            <v>-47</v>
          </cell>
          <cell r="BM152">
            <v>-74</v>
          </cell>
          <cell r="BN152">
            <v>-59</v>
          </cell>
          <cell r="BO152">
            <v>-64</v>
          </cell>
          <cell r="BP152">
            <v>-44</v>
          </cell>
          <cell r="BQ152">
            <v>-34</v>
          </cell>
          <cell r="BR152">
            <v>-43</v>
          </cell>
          <cell r="BS152">
            <v>-44</v>
          </cell>
          <cell r="BT152">
            <v>-33</v>
          </cell>
          <cell r="BU152">
            <v>-48</v>
          </cell>
          <cell r="BV152">
            <v>-51</v>
          </cell>
          <cell r="BW152">
            <v>-48</v>
          </cell>
          <cell r="BX152">
            <v>-40</v>
          </cell>
          <cell r="BY152">
            <v>-40</v>
          </cell>
          <cell r="BZ152">
            <v>-35</v>
          </cell>
          <cell r="CA152">
            <v>-30</v>
          </cell>
        </row>
        <row r="155">
          <cell r="A155" t="str">
            <v>Total Households In Service</v>
          </cell>
          <cell r="J155">
            <v>28475</v>
          </cell>
          <cell r="K155">
            <v>26527</v>
          </cell>
          <cell r="L155">
            <v>24990</v>
          </cell>
          <cell r="M155">
            <v>23207</v>
          </cell>
          <cell r="N155">
            <v>20886.3</v>
          </cell>
          <cell r="O155">
            <v>19841.984999999997</v>
          </cell>
          <cell r="P155">
            <v>18849.885749999998</v>
          </cell>
          <cell r="Q155">
            <v>17907.391462499996</v>
          </cell>
          <cell r="R155">
            <v>17549.243633249996</v>
          </cell>
          <cell r="S155">
            <v>17198.258760584995</v>
          </cell>
          <cell r="T155">
            <v>16854.293585373296</v>
          </cell>
          <cell r="BA155">
            <v>32142</v>
          </cell>
          <cell r="BB155">
            <v>31718</v>
          </cell>
          <cell r="BC155">
            <v>31167</v>
          </cell>
          <cell r="BD155">
            <v>30657</v>
          </cell>
          <cell r="BE155">
            <v>29885</v>
          </cell>
          <cell r="BF155">
            <v>29116</v>
          </cell>
          <cell r="BG155">
            <v>28475</v>
          </cell>
          <cell r="BH155">
            <v>28057</v>
          </cell>
          <cell r="BI155">
            <v>27505</v>
          </cell>
          <cell r="BJ155">
            <v>26948</v>
          </cell>
          <cell r="BK155">
            <v>26527</v>
          </cell>
          <cell r="BL155">
            <v>26155</v>
          </cell>
          <cell r="BM155">
            <v>25521</v>
          </cell>
          <cell r="BN155">
            <v>25144</v>
          </cell>
          <cell r="BO155">
            <v>24990</v>
          </cell>
          <cell r="BP155">
            <v>24766</v>
          </cell>
          <cell r="BQ155">
            <v>24385</v>
          </cell>
          <cell r="BR155">
            <v>23841</v>
          </cell>
          <cell r="BS155">
            <v>23207</v>
          </cell>
          <cell r="BT155">
            <v>22474</v>
          </cell>
          <cell r="BU155">
            <v>22004</v>
          </cell>
          <cell r="BV155">
            <v>21445</v>
          </cell>
          <cell r="BW155">
            <v>20886.3</v>
          </cell>
          <cell r="BX155">
            <v>20676.080000000002</v>
          </cell>
          <cell r="BY155">
            <v>20463.719999999998</v>
          </cell>
          <cell r="BZ155">
            <v>20158.3</v>
          </cell>
          <cell r="CA155">
            <v>19841.984999999997</v>
          </cell>
        </row>
        <row r="156">
          <cell r="A156" t="str">
            <v>% y/y growth</v>
          </cell>
          <cell r="K156">
            <v>-6.8410886742756749E-2</v>
          </cell>
          <cell r="L156">
            <v>-5.7940965808421563E-2</v>
          </cell>
          <cell r="M156">
            <v>-7.1348539415766354E-2</v>
          </cell>
          <cell r="N156">
            <v>-9.9999999999999978E-2</v>
          </cell>
          <cell r="O156">
            <v>-5.0000000000000155E-2</v>
          </cell>
          <cell r="P156">
            <v>-0.05</v>
          </cell>
          <cell r="Q156">
            <v>-0.05</v>
          </cell>
          <cell r="R156">
            <v>-0.02</v>
          </cell>
          <cell r="S156">
            <v>-0.02</v>
          </cell>
          <cell r="T156">
            <v>-0.02</v>
          </cell>
          <cell r="BE156">
            <v>-7.0219650301785785E-2</v>
          </cell>
          <cell r="BF156">
            <v>-8.2035437291128055E-2</v>
          </cell>
          <cell r="BG156">
            <v>-8.6373407771039856E-2</v>
          </cell>
          <cell r="BH156">
            <v>-8.4809342075219396E-2</v>
          </cell>
          <cell r="BI156">
            <v>-7.9638614689643616E-2</v>
          </cell>
          <cell r="BJ156">
            <v>-7.4460777579337778E-2</v>
          </cell>
          <cell r="BK156">
            <v>-6.8410886742756749E-2</v>
          </cell>
          <cell r="BL156">
            <v>-6.7790569198417527E-2</v>
          </cell>
          <cell r="BM156">
            <v>-7.2132339574622839E-2</v>
          </cell>
          <cell r="BN156">
            <v>-6.6943743506011621E-2</v>
          </cell>
          <cell r="BO156">
            <v>-5.7940965808421563E-2</v>
          </cell>
          <cell r="BP156">
            <v>-5.3106480596444294E-2</v>
          </cell>
          <cell r="BQ156">
            <v>-4.4512362368245739E-2</v>
          </cell>
          <cell r="BR156">
            <v>-5.1821508113267578E-2</v>
          </cell>
          <cell r="BS156">
            <v>-7.1348539415766354E-2</v>
          </cell>
          <cell r="BT156">
            <v>-9.2546232738431766E-2</v>
          </cell>
          <cell r="BU156">
            <v>-9.7641993028501073E-2</v>
          </cell>
          <cell r="BV156">
            <v>-0.10049914013673922</v>
          </cell>
          <cell r="BW156">
            <v>-0.1</v>
          </cell>
          <cell r="BX156">
            <v>-0.08</v>
          </cell>
          <cell r="BY156">
            <v>-7.0000000000000007E-2</v>
          </cell>
          <cell r="BZ156">
            <v>-0.06</v>
          </cell>
          <cell r="CA156">
            <v>-0.05</v>
          </cell>
        </row>
        <row r="157">
          <cell r="A157" t="str">
            <v xml:space="preserve">average </v>
          </cell>
          <cell r="K157">
            <v>27501</v>
          </cell>
          <cell r="L157">
            <v>25758.5</v>
          </cell>
          <cell r="M157">
            <v>24098.5</v>
          </cell>
          <cell r="N157">
            <v>22046.65</v>
          </cell>
          <cell r="O157">
            <v>20364.142499999998</v>
          </cell>
          <cell r="P157">
            <v>19345.935374999997</v>
          </cell>
          <cell r="Q157">
            <v>18378.638606249995</v>
          </cell>
          <cell r="R157">
            <v>17728.317547874998</v>
          </cell>
          <cell r="S157">
            <v>17373.751196917496</v>
          </cell>
          <cell r="T157">
            <v>17026.276172979145</v>
          </cell>
          <cell r="BB157">
            <v>31930</v>
          </cell>
          <cell r="BC157">
            <v>31442.5</v>
          </cell>
          <cell r="BD157">
            <v>30912</v>
          </cell>
          <cell r="BE157">
            <v>30271</v>
          </cell>
          <cell r="BF157">
            <v>29500.5</v>
          </cell>
          <cell r="BG157">
            <v>28795.5</v>
          </cell>
          <cell r="BH157">
            <v>28266</v>
          </cell>
          <cell r="BI157">
            <v>27781</v>
          </cell>
          <cell r="BJ157">
            <v>27226.5</v>
          </cell>
          <cell r="BK157">
            <v>26737.5</v>
          </cell>
          <cell r="BL157">
            <v>26341</v>
          </cell>
          <cell r="BM157">
            <v>25838</v>
          </cell>
          <cell r="BN157">
            <v>25332.5</v>
          </cell>
          <cell r="BO157">
            <v>25067</v>
          </cell>
          <cell r="BP157">
            <v>24878</v>
          </cell>
          <cell r="BQ157">
            <v>24575.5</v>
          </cell>
          <cell r="BR157">
            <v>24113</v>
          </cell>
          <cell r="BS157">
            <v>23524</v>
          </cell>
          <cell r="BT157">
            <v>22840.5</v>
          </cell>
          <cell r="BU157">
            <v>22239</v>
          </cell>
          <cell r="BV157">
            <v>21724.5</v>
          </cell>
          <cell r="BW157">
            <v>21165.65</v>
          </cell>
          <cell r="BX157">
            <v>20781.190000000002</v>
          </cell>
          <cell r="BY157">
            <v>20569.900000000001</v>
          </cell>
          <cell r="BZ157">
            <v>20311.009999999998</v>
          </cell>
          <cell r="CA157">
            <v>20000.142499999998</v>
          </cell>
        </row>
        <row r="158">
          <cell r="A158" t="str">
            <v>Net adds</v>
          </cell>
          <cell r="J158">
            <v>-2692</v>
          </cell>
          <cell r="K158">
            <v>-1948</v>
          </cell>
          <cell r="L158">
            <v>-1537</v>
          </cell>
          <cell r="M158">
            <v>-1783</v>
          </cell>
          <cell r="N158">
            <v>-2320.7000000000007</v>
          </cell>
          <cell r="O158">
            <v>-1044.3150000000023</v>
          </cell>
          <cell r="P158">
            <v>-992.0992499999993</v>
          </cell>
          <cell r="Q158">
            <v>-942.49428750000152</v>
          </cell>
          <cell r="R158">
            <v>-358.14782924999963</v>
          </cell>
          <cell r="S158">
            <v>-350.9848726650016</v>
          </cell>
          <cell r="T158">
            <v>-343.96517521169881</v>
          </cell>
          <cell r="BD158">
            <v>-510</v>
          </cell>
          <cell r="BE158">
            <v>-772</v>
          </cell>
          <cell r="BF158">
            <v>-769</v>
          </cell>
          <cell r="BG158">
            <v>-641</v>
          </cell>
          <cell r="BH158">
            <v>-418</v>
          </cell>
          <cell r="BI158">
            <v>-552</v>
          </cell>
          <cell r="BJ158">
            <v>-557</v>
          </cell>
          <cell r="BK158">
            <v>-421</v>
          </cell>
          <cell r="BL158">
            <v>-372</v>
          </cell>
          <cell r="BM158">
            <v>-634</v>
          </cell>
          <cell r="BN158">
            <v>-377</v>
          </cell>
          <cell r="BO158">
            <v>-154</v>
          </cell>
          <cell r="BP158">
            <v>-224</v>
          </cell>
          <cell r="BQ158">
            <v>-381</v>
          </cell>
          <cell r="BR158">
            <v>-544</v>
          </cell>
          <cell r="BS158">
            <v>-634</v>
          </cell>
          <cell r="BT158">
            <v>-733</v>
          </cell>
          <cell r="BU158">
            <v>-470</v>
          </cell>
          <cell r="BV158">
            <v>-559</v>
          </cell>
          <cell r="BW158">
            <v>-558.70000000000073</v>
          </cell>
          <cell r="BX158">
            <v>-210.21999999999753</v>
          </cell>
          <cell r="BY158">
            <v>-212.36000000000422</v>
          </cell>
          <cell r="BZ158">
            <v>-305.41999999999825</v>
          </cell>
          <cell r="CA158">
            <v>-316.31500000000233</v>
          </cell>
        </row>
        <row r="160">
          <cell r="A160" t="str">
            <v xml:space="preserve">    3G LaptopConnect Cards</v>
          </cell>
          <cell r="J160">
            <v>1188</v>
          </cell>
          <cell r="BA160">
            <v>400</v>
          </cell>
          <cell r="BB160">
            <v>517</v>
          </cell>
          <cell r="BC160">
            <v>646</v>
          </cell>
          <cell r="BD160">
            <v>772</v>
          </cell>
          <cell r="BE160">
            <v>938</v>
          </cell>
          <cell r="BF160">
            <v>1124</v>
          </cell>
          <cell r="BG160">
            <v>1188</v>
          </cell>
          <cell r="BH160">
            <v>1300</v>
          </cell>
          <cell r="BI160">
            <v>1397</v>
          </cell>
          <cell r="BJ160">
            <v>1445</v>
          </cell>
          <cell r="BK160">
            <v>1465</v>
          </cell>
          <cell r="BL160">
            <v>1488</v>
          </cell>
          <cell r="BM160">
            <v>1487</v>
          </cell>
          <cell r="BN160">
            <v>1462</v>
          </cell>
          <cell r="BO160">
            <v>1445</v>
          </cell>
          <cell r="BP160">
            <v>0</v>
          </cell>
        </row>
        <row r="164">
          <cell r="A164" t="str">
            <v>POSTPAID WIRELESS (as reported)</v>
          </cell>
          <cell r="BH164">
            <v>60535</v>
          </cell>
          <cell r="BI164">
            <v>61647</v>
          </cell>
          <cell r="BJ164">
            <v>62961</v>
          </cell>
          <cell r="BK164">
            <v>64627</v>
          </cell>
          <cell r="BL164">
            <v>65108</v>
          </cell>
          <cell r="BM164">
            <v>66970</v>
          </cell>
          <cell r="BN164">
            <v>67688</v>
          </cell>
          <cell r="BO164">
            <v>68041</v>
          </cell>
          <cell r="BP164">
            <v>68062</v>
          </cell>
          <cell r="BQ164">
            <v>68353</v>
          </cell>
          <cell r="BR164">
            <v>68614</v>
          </cell>
          <cell r="BS164">
            <v>69309</v>
          </cell>
          <cell r="BT164">
            <v>69403</v>
          </cell>
          <cell r="BU164">
            <v>69666</v>
          </cell>
          <cell r="BV164">
            <v>69747</v>
          </cell>
          <cell r="BW164">
            <v>70251.301253564059</v>
          </cell>
          <cell r="BX164">
            <v>70416.164114216343</v>
          </cell>
          <cell r="BY164">
            <v>70558.130670295635</v>
          </cell>
          <cell r="BZ164">
            <v>70709.841669496804</v>
          </cell>
          <cell r="CA164">
            <v>71214.300504405663</v>
          </cell>
        </row>
        <row r="166">
          <cell r="A166" t="str">
            <v>RGUs [ADJUSTED]</v>
          </cell>
        </row>
        <row r="167">
          <cell r="A167" t="str">
            <v>ACCESS LINES</v>
          </cell>
          <cell r="I167">
            <v>61833</v>
          </cell>
          <cell r="J167">
            <v>55834</v>
          </cell>
          <cell r="K167">
            <v>48488</v>
          </cell>
          <cell r="L167">
            <v>43563</v>
          </cell>
          <cell r="M167">
            <v>39012</v>
          </cell>
          <cell r="N167">
            <v>34856</v>
          </cell>
          <cell r="O167">
            <v>31801</v>
          </cell>
          <cell r="P167">
            <v>29301</v>
          </cell>
          <cell r="Q167">
            <v>27421</v>
          </cell>
          <cell r="R167">
            <v>25791</v>
          </cell>
          <cell r="S167">
            <v>24461</v>
          </cell>
          <cell r="T167">
            <v>23131</v>
          </cell>
          <cell r="BH167">
            <v>54386</v>
          </cell>
          <cell r="BI167">
            <v>51023</v>
          </cell>
          <cell r="BJ167">
            <v>49693</v>
          </cell>
          <cell r="BK167">
            <v>48488</v>
          </cell>
          <cell r="BL167">
            <v>47385</v>
          </cell>
          <cell r="BM167">
            <v>46058</v>
          </cell>
          <cell r="BN167">
            <v>44796</v>
          </cell>
          <cell r="BO167">
            <v>43563</v>
          </cell>
          <cell r="BP167">
            <v>42457</v>
          </cell>
          <cell r="BQ167">
            <v>41298</v>
          </cell>
          <cell r="BR167">
            <v>40098</v>
          </cell>
          <cell r="BS167">
            <v>39012</v>
          </cell>
          <cell r="BT167">
            <v>37878</v>
          </cell>
          <cell r="BU167">
            <v>36841</v>
          </cell>
          <cell r="BV167">
            <v>35821</v>
          </cell>
          <cell r="BW167">
            <v>34856</v>
          </cell>
          <cell r="BX167">
            <v>34026</v>
          </cell>
          <cell r="BY167">
            <v>33176</v>
          </cell>
          <cell r="BZ167">
            <v>32446</v>
          </cell>
          <cell r="CA167">
            <v>31801</v>
          </cell>
        </row>
        <row r="168">
          <cell r="A168" t="str">
            <v>DSL</v>
          </cell>
          <cell r="I168">
            <v>13907</v>
          </cell>
          <cell r="J168">
            <v>13996</v>
          </cell>
          <cell r="K168">
            <v>13689</v>
          </cell>
          <cell r="L168">
            <v>13078</v>
          </cell>
          <cell r="M168">
            <v>11252</v>
          </cell>
          <cell r="N168">
            <v>8633</v>
          </cell>
          <cell r="O168">
            <v>5983</v>
          </cell>
          <cell r="P168">
            <v>3783</v>
          </cell>
          <cell r="Q168">
            <v>2033</v>
          </cell>
          <cell r="R168">
            <v>1283</v>
          </cell>
          <cell r="S168">
            <v>783</v>
          </cell>
          <cell r="T168">
            <v>0</v>
          </cell>
          <cell r="BH168">
            <v>14071</v>
          </cell>
          <cell r="BI168">
            <v>13935</v>
          </cell>
          <cell r="BJ168">
            <v>13786</v>
          </cell>
          <cell r="BK168">
            <v>13689</v>
          </cell>
          <cell r="BL168">
            <v>13713</v>
          </cell>
          <cell r="BM168">
            <v>13366</v>
          </cell>
          <cell r="BN168">
            <v>13216</v>
          </cell>
          <cell r="BO168">
            <v>13078</v>
          </cell>
          <cell r="BP168">
            <v>12840</v>
          </cell>
          <cell r="BQ168">
            <v>12389</v>
          </cell>
          <cell r="BR168">
            <v>11888</v>
          </cell>
          <cell r="BS168">
            <v>11252</v>
          </cell>
          <cell r="BT168">
            <v>10637</v>
          </cell>
          <cell r="BU168">
            <v>9988</v>
          </cell>
          <cell r="BV168">
            <v>9333</v>
          </cell>
          <cell r="BW168">
            <v>8633</v>
          </cell>
          <cell r="BX168">
            <v>7983</v>
          </cell>
          <cell r="BY168">
            <v>7383</v>
          </cell>
          <cell r="BZ168">
            <v>6683</v>
          </cell>
          <cell r="CA168">
            <v>5983</v>
          </cell>
        </row>
        <row r="169">
          <cell r="A169" t="str">
            <v>U-VERSE DATA</v>
          </cell>
          <cell r="I169">
            <v>231</v>
          </cell>
          <cell r="J169">
            <v>1045</v>
          </cell>
          <cell r="K169">
            <v>2064</v>
          </cell>
          <cell r="L169">
            <v>3196</v>
          </cell>
          <cell r="M169">
            <v>5140</v>
          </cell>
          <cell r="N169">
            <v>7686.04</v>
          </cell>
          <cell r="O169">
            <v>9941.4902852499999</v>
          </cell>
          <cell r="P169">
            <v>11858.623027712501</v>
          </cell>
          <cell r="Q169">
            <v>13488.185858805628</v>
          </cell>
          <cell r="R169">
            <v>14873.314265234783</v>
          </cell>
          <cell r="S169">
            <v>16050.673410699566</v>
          </cell>
          <cell r="T169">
            <v>17051.428684344632</v>
          </cell>
          <cell r="BH169">
            <v>1329</v>
          </cell>
          <cell r="BI169">
            <v>1577</v>
          </cell>
          <cell r="BJ169">
            <v>1816</v>
          </cell>
          <cell r="BK169">
            <v>2064</v>
          </cell>
          <cell r="BL169">
            <v>2295</v>
          </cell>
          <cell r="BM169">
            <v>2550</v>
          </cell>
          <cell r="BN169">
            <v>2848</v>
          </cell>
          <cell r="BO169">
            <v>3196</v>
          </cell>
          <cell r="BP169">
            <v>3610</v>
          </cell>
          <cell r="BQ169">
            <v>4049</v>
          </cell>
          <cell r="BR169">
            <v>4553</v>
          </cell>
          <cell r="BS169">
            <v>5140</v>
          </cell>
          <cell r="BT169">
            <v>5858</v>
          </cell>
          <cell r="BU169">
            <v>6411</v>
          </cell>
          <cell r="BV169">
            <v>7024</v>
          </cell>
          <cell r="BW169">
            <v>7686.04</v>
          </cell>
          <cell r="BX169">
            <v>8314.9779999999992</v>
          </cell>
          <cell r="BY169">
            <v>8849.5753000000004</v>
          </cell>
          <cell r="BZ169">
            <v>9357.4427350000005</v>
          </cell>
          <cell r="CA169">
            <v>9941.4902852499999</v>
          </cell>
        </row>
        <row r="170">
          <cell r="A170" t="str">
            <v>U-VERSE VIDEO</v>
          </cell>
          <cell r="I170">
            <v>231</v>
          </cell>
          <cell r="J170">
            <v>1045</v>
          </cell>
          <cell r="K170">
            <v>2065</v>
          </cell>
          <cell r="L170">
            <v>2987</v>
          </cell>
          <cell r="M170">
            <v>3791</v>
          </cell>
          <cell r="N170">
            <v>4532.1000000000004</v>
          </cell>
          <cell r="O170">
            <v>5257.1056803000001</v>
          </cell>
          <cell r="P170">
            <v>6018.3616446149999</v>
          </cell>
          <cell r="Q170">
            <v>6817.6804071457509</v>
          </cell>
          <cell r="R170">
            <v>7656.9651078030383</v>
          </cell>
          <cell r="S170">
            <v>8538.2140434931916</v>
          </cell>
          <cell r="T170">
            <v>9463.5254259678495</v>
          </cell>
          <cell r="BH170">
            <v>1329</v>
          </cell>
          <cell r="BI170">
            <v>1577</v>
          </cell>
          <cell r="BJ170">
            <v>1817</v>
          </cell>
          <cell r="BK170">
            <v>2065</v>
          </cell>
          <cell r="BL170">
            <v>2296</v>
          </cell>
          <cell r="BM170">
            <v>2505</v>
          </cell>
          <cell r="BN170">
            <v>2741</v>
          </cell>
          <cell r="BO170">
            <v>2987</v>
          </cell>
          <cell r="BP170">
            <v>3205</v>
          </cell>
          <cell r="BQ170">
            <v>3407</v>
          </cell>
          <cell r="BR170">
            <v>3583</v>
          </cell>
          <cell r="BS170">
            <v>3791</v>
          </cell>
          <cell r="BT170">
            <v>3991</v>
          </cell>
          <cell r="BU170">
            <v>4146</v>
          </cell>
          <cell r="BV170">
            <v>4344</v>
          </cell>
          <cell r="BW170">
            <v>4532.1000000000004</v>
          </cell>
          <cell r="BX170">
            <v>4725.8429999999998</v>
          </cell>
          <cell r="BY170">
            <v>4890.5245500000001</v>
          </cell>
          <cell r="BZ170">
            <v>5063.4401775000006</v>
          </cell>
          <cell r="CA170">
            <v>5257.1056803000001</v>
          </cell>
        </row>
        <row r="171">
          <cell r="A171" t="str">
            <v>POSTPAID WIRELESS</v>
          </cell>
          <cell r="I171">
            <v>55310</v>
          </cell>
          <cell r="J171">
            <v>59499</v>
          </cell>
          <cell r="K171">
            <v>63852</v>
          </cell>
          <cell r="L171">
            <v>66780</v>
          </cell>
          <cell r="M171">
            <v>69470</v>
          </cell>
          <cell r="N171">
            <v>70251.301253564059</v>
          </cell>
          <cell r="O171">
            <v>71214.300504405677</v>
          </cell>
          <cell r="P171">
            <v>72008.361307677915</v>
          </cell>
          <cell r="Q171">
            <v>72681.813101769221</v>
          </cell>
          <cell r="R171">
            <v>73228.582061231849</v>
          </cell>
          <cell r="S171">
            <v>73467.741217563977</v>
          </cell>
          <cell r="T171">
            <v>73563.413764111305</v>
          </cell>
          <cell r="BH171">
            <v>60396</v>
          </cell>
          <cell r="BI171">
            <v>61658</v>
          </cell>
          <cell r="BJ171">
            <v>62989</v>
          </cell>
          <cell r="BK171">
            <v>63852</v>
          </cell>
          <cell r="BL171">
            <v>64349</v>
          </cell>
          <cell r="BM171">
            <v>64829</v>
          </cell>
          <cell r="BN171">
            <v>65555</v>
          </cell>
          <cell r="BO171">
            <v>66780</v>
          </cell>
          <cell r="BP171">
            <v>66811</v>
          </cell>
          <cell r="BQ171">
            <v>68508</v>
          </cell>
          <cell r="BR171">
            <v>68800</v>
          </cell>
          <cell r="BS171">
            <v>69470</v>
          </cell>
          <cell r="BT171">
            <v>69616</v>
          </cell>
          <cell r="BU171">
            <v>69896</v>
          </cell>
          <cell r="BV171">
            <v>69989</v>
          </cell>
          <cell r="BW171">
            <v>70471.301253564059</v>
          </cell>
          <cell r="BX171">
            <v>70543.164114216343</v>
          </cell>
          <cell r="BY171">
            <v>70628.130670295635</v>
          </cell>
          <cell r="BZ171">
            <v>70709.841669496804</v>
          </cell>
          <cell r="CA171">
            <v>71214.300504405663</v>
          </cell>
        </row>
        <row r="172">
          <cell r="A172" t="str">
            <v>TOTAL</v>
          </cell>
          <cell r="I172">
            <v>131512</v>
          </cell>
          <cell r="J172">
            <v>131419</v>
          </cell>
          <cell r="K172">
            <v>130158</v>
          </cell>
          <cell r="L172">
            <v>129604</v>
          </cell>
          <cell r="M172">
            <v>128665</v>
          </cell>
          <cell r="N172">
            <v>125958.44125356406</v>
          </cell>
          <cell r="O172">
            <v>124196.89646995568</v>
          </cell>
          <cell r="P172">
            <v>122969.34598000541</v>
          </cell>
          <cell r="Q172">
            <v>122441.6793677206</v>
          </cell>
          <cell r="R172">
            <v>122832.86143426967</v>
          </cell>
          <cell r="S172">
            <v>123300.62867175674</v>
          </cell>
          <cell r="T172">
            <v>123209.36787442378</v>
          </cell>
          <cell r="BH172">
            <v>131511</v>
          </cell>
          <cell r="BI172">
            <v>129770</v>
          </cell>
          <cell r="BJ172">
            <v>130101</v>
          </cell>
          <cell r="BK172">
            <v>130158</v>
          </cell>
          <cell r="BL172">
            <v>130038</v>
          </cell>
          <cell r="BM172">
            <v>129308</v>
          </cell>
          <cell r="BN172">
            <v>129156</v>
          </cell>
          <cell r="BO172">
            <v>129604</v>
          </cell>
          <cell r="BP172">
            <v>128923</v>
          </cell>
          <cell r="BQ172">
            <v>129651</v>
          </cell>
          <cell r="BR172">
            <v>128922</v>
          </cell>
          <cell r="BS172">
            <v>128665</v>
          </cell>
          <cell r="BT172">
            <v>127980</v>
          </cell>
          <cell r="BU172">
            <v>127282</v>
          </cell>
          <cell r="BV172">
            <v>126511</v>
          </cell>
          <cell r="BW172">
            <v>126178.44125356406</v>
          </cell>
          <cell r="BX172">
            <v>125592.98511421634</v>
          </cell>
          <cell r="BY172">
            <v>124927.23052029563</v>
          </cell>
          <cell r="BZ172">
            <v>124259.72458199681</v>
          </cell>
          <cell r="CA172">
            <v>124196.89646995567</v>
          </cell>
        </row>
        <row r="173">
          <cell r="A173" t="str">
            <v>TOTAL reported</v>
          </cell>
          <cell r="BH173">
            <v>131650</v>
          </cell>
          <cell r="BI173">
            <v>129759</v>
          </cell>
          <cell r="BJ173">
            <v>130073</v>
          </cell>
          <cell r="BK173">
            <v>130933</v>
          </cell>
          <cell r="BL173">
            <v>130797</v>
          </cell>
          <cell r="BM173">
            <v>131449</v>
          </cell>
          <cell r="BN173">
            <v>131289</v>
          </cell>
          <cell r="BO173">
            <v>130865</v>
          </cell>
          <cell r="BP173">
            <v>130174</v>
          </cell>
          <cell r="BQ173">
            <v>129496</v>
          </cell>
          <cell r="BR173">
            <v>128736</v>
          </cell>
          <cell r="BS173">
            <v>128504</v>
          </cell>
          <cell r="BT173">
            <v>127767</v>
          </cell>
          <cell r="BU173">
            <v>127052</v>
          </cell>
          <cell r="BV173">
            <v>126269</v>
          </cell>
          <cell r="BW173">
            <v>125958.44125356406</v>
          </cell>
          <cell r="BX173">
            <v>125465.98511421634</v>
          </cell>
          <cell r="BY173">
            <v>124857.23052029563</v>
          </cell>
          <cell r="BZ173">
            <v>124259.72458199681</v>
          </cell>
          <cell r="CA173">
            <v>124196.89646995567</v>
          </cell>
        </row>
        <row r="175">
          <cell r="A175" t="str">
            <v>RGUs net adds</v>
          </cell>
        </row>
        <row r="176">
          <cell r="A176" t="str">
            <v>ACCESS LINES</v>
          </cell>
          <cell r="BL176">
            <v>-1103</v>
          </cell>
          <cell r="BM176">
            <v>-1327</v>
          </cell>
          <cell r="BN176">
            <v>-1262</v>
          </cell>
          <cell r="BO176">
            <v>-1233</v>
          </cell>
          <cell r="BP176">
            <v>-1106</v>
          </cell>
          <cell r="BQ176">
            <v>-1159</v>
          </cell>
          <cell r="BR176">
            <v>-1200</v>
          </cell>
          <cell r="BS176">
            <v>-1086</v>
          </cell>
          <cell r="BT176">
            <v>-1134</v>
          </cell>
          <cell r="BU176">
            <v>-1037</v>
          </cell>
          <cell r="BV176">
            <v>-1020</v>
          </cell>
          <cell r="BW176">
            <v>-965</v>
          </cell>
          <cell r="BX176">
            <v>-830</v>
          </cell>
          <cell r="BY176">
            <v>-850</v>
          </cell>
          <cell r="BZ176">
            <v>-730</v>
          </cell>
          <cell r="CA176">
            <v>-645</v>
          </cell>
        </row>
        <row r="177">
          <cell r="A177" t="str">
            <v>DSL</v>
          </cell>
          <cell r="BL177">
            <v>24</v>
          </cell>
          <cell r="BM177">
            <v>-347</v>
          </cell>
          <cell r="BN177">
            <v>-150</v>
          </cell>
          <cell r="BO177">
            <v>-138</v>
          </cell>
          <cell r="BP177">
            <v>-238</v>
          </cell>
          <cell r="BQ177">
            <v>-451</v>
          </cell>
          <cell r="BR177">
            <v>-501</v>
          </cell>
          <cell r="BS177">
            <v>-636</v>
          </cell>
          <cell r="BT177">
            <v>-615</v>
          </cell>
          <cell r="BU177">
            <v>-649</v>
          </cell>
          <cell r="BV177">
            <v>-655</v>
          </cell>
          <cell r="BW177">
            <v>-700</v>
          </cell>
          <cell r="BX177">
            <v>-650</v>
          </cell>
          <cell r="BY177">
            <v>-600</v>
          </cell>
          <cell r="BZ177">
            <v>-700</v>
          </cell>
          <cell r="CA177">
            <v>-700</v>
          </cell>
        </row>
        <row r="178">
          <cell r="A178" t="str">
            <v>U-VERSE DATA</v>
          </cell>
          <cell r="BL178">
            <v>231</v>
          </cell>
          <cell r="BM178">
            <v>255</v>
          </cell>
          <cell r="BN178">
            <v>298</v>
          </cell>
          <cell r="BO178">
            <v>348</v>
          </cell>
          <cell r="BP178">
            <v>414</v>
          </cell>
          <cell r="BQ178">
            <v>439</v>
          </cell>
          <cell r="BR178">
            <v>504</v>
          </cell>
          <cell r="BS178">
            <v>587</v>
          </cell>
          <cell r="BT178">
            <v>718</v>
          </cell>
          <cell r="BU178">
            <v>553</v>
          </cell>
          <cell r="BV178">
            <v>613</v>
          </cell>
          <cell r="BW178">
            <v>662.04</v>
          </cell>
          <cell r="BX178">
            <v>628.93799999999919</v>
          </cell>
          <cell r="BY178">
            <v>534.59730000000127</v>
          </cell>
          <cell r="BZ178">
            <v>507.86743500000011</v>
          </cell>
          <cell r="CA178">
            <v>584.0475502499994</v>
          </cell>
        </row>
        <row r="179">
          <cell r="A179" t="str">
            <v>U-VERSE VIDEO</v>
          </cell>
          <cell r="BL179">
            <v>231</v>
          </cell>
          <cell r="BM179">
            <v>209</v>
          </cell>
          <cell r="BN179">
            <v>236</v>
          </cell>
          <cell r="BO179">
            <v>246</v>
          </cell>
          <cell r="BP179">
            <v>218</v>
          </cell>
          <cell r="BQ179">
            <v>202</v>
          </cell>
          <cell r="BR179">
            <v>176</v>
          </cell>
          <cell r="BS179">
            <v>208</v>
          </cell>
          <cell r="BT179">
            <v>200</v>
          </cell>
          <cell r="BU179">
            <v>155</v>
          </cell>
          <cell r="BV179">
            <v>198</v>
          </cell>
          <cell r="BW179">
            <v>188.10000000000036</v>
          </cell>
          <cell r="BX179">
            <v>193.74299999999948</v>
          </cell>
          <cell r="BY179">
            <v>164.68155000000024</v>
          </cell>
          <cell r="BZ179">
            <v>172.91562750000048</v>
          </cell>
          <cell r="CA179">
            <v>193.66550279999956</v>
          </cell>
        </row>
        <row r="180">
          <cell r="A180" t="str">
            <v>POSTPAID WIRELESS</v>
          </cell>
          <cell r="BH180">
            <v>60550</v>
          </cell>
          <cell r="BI180">
            <v>1128</v>
          </cell>
          <cell r="BJ180">
            <v>1333</v>
          </cell>
          <cell r="BK180">
            <v>841</v>
          </cell>
          <cell r="BL180">
            <v>512</v>
          </cell>
          <cell r="BM180">
            <v>496</v>
          </cell>
          <cell r="BN180">
            <v>745</v>
          </cell>
          <cell r="BO180">
            <v>400</v>
          </cell>
          <cell r="BP180">
            <v>62</v>
          </cell>
          <cell r="BQ180">
            <v>331</v>
          </cell>
          <cell r="BR180">
            <v>319</v>
          </cell>
          <cell r="BS180">
            <v>717</v>
          </cell>
          <cell r="BT180">
            <v>187</v>
          </cell>
          <cell r="BU180">
            <v>320</v>
          </cell>
          <cell r="BV180">
            <v>151</v>
          </cell>
          <cell r="BW180">
            <v>504.30125356405915</v>
          </cell>
          <cell r="BX180">
            <v>164.86286065228342</v>
          </cell>
          <cell r="BY180">
            <v>141.96655607929279</v>
          </cell>
          <cell r="BZ180">
            <v>151.71099920118286</v>
          </cell>
          <cell r="CA180">
            <v>504.45883490885899</v>
          </cell>
        </row>
        <row r="181">
          <cell r="A181" t="str">
            <v>TOTAL</v>
          </cell>
          <cell r="BL181">
            <v>-105</v>
          </cell>
          <cell r="BM181">
            <v>-714</v>
          </cell>
          <cell r="BN181">
            <v>-133</v>
          </cell>
          <cell r="BO181">
            <v>-377</v>
          </cell>
          <cell r="BP181">
            <v>-650</v>
          </cell>
          <cell r="BQ181">
            <v>-638</v>
          </cell>
          <cell r="BR181">
            <v>-702</v>
          </cell>
          <cell r="BS181">
            <v>-210</v>
          </cell>
          <cell r="BT181">
            <v>-644</v>
          </cell>
          <cell r="BU181">
            <v>-658</v>
          </cell>
          <cell r="BV181">
            <v>-713</v>
          </cell>
          <cell r="BW181">
            <v>-310.55874643594052</v>
          </cell>
          <cell r="BX181">
            <v>-492.45613934771791</v>
          </cell>
          <cell r="BY181">
            <v>-608.7545939207057</v>
          </cell>
          <cell r="BZ181">
            <v>-597.50593829881655</v>
          </cell>
          <cell r="CA181">
            <v>-62.828112041142049</v>
          </cell>
        </row>
        <row r="184">
          <cell r="A184" t="str">
            <v>RGU GROWTH</v>
          </cell>
        </row>
        <row r="185">
          <cell r="A185" t="str">
            <v>ACCESS LINES</v>
          </cell>
          <cell r="BL185">
            <v>-0.12872798146581843</v>
          </cell>
          <cell r="BM185">
            <v>-9.7309056699919627E-2</v>
          </cell>
          <cell r="BN185">
            <v>-9.8545066709596951E-2</v>
          </cell>
          <cell r="BO185">
            <v>-0.10157152285101467</v>
          </cell>
          <cell r="BP185">
            <v>-0.10399915585100772</v>
          </cell>
          <cell r="BQ185">
            <v>-0.10334795258152762</v>
          </cell>
          <cell r="BR185">
            <v>-0.10487543530672383</v>
          </cell>
          <cell r="BS185">
            <v>-0.10446938916052617</v>
          </cell>
          <cell r="BT185">
            <v>-0.10785029559318837</v>
          </cell>
          <cell r="BU185">
            <v>-0.10792290183543995</v>
          </cell>
          <cell r="BV185">
            <v>-0.10666367399870313</v>
          </cell>
          <cell r="BW185">
            <v>-0.10653132369527329</v>
          </cell>
          <cell r="BX185">
            <v>-0.10169491525423724</v>
          </cell>
          <cell r="BY185">
            <v>-9.9481555875247651E-2</v>
          </cell>
          <cell r="BZ185">
            <v>-9.4218475196114038E-2</v>
          </cell>
          <cell r="CA185">
            <v>-8.7646316272664726E-2</v>
          </cell>
        </row>
        <row r="186">
          <cell r="A186" t="str">
            <v>DSL</v>
          </cell>
          <cell r="BL186">
            <v>-2.5442399260891202E-2</v>
          </cell>
          <cell r="BM186">
            <v>-4.0832436311445952E-2</v>
          </cell>
          <cell r="BN186">
            <v>-4.134629334107065E-2</v>
          </cell>
          <cell r="BO186">
            <v>-4.4634377967711303E-2</v>
          </cell>
          <cell r="BP186">
            <v>-6.3662218332968701E-2</v>
          </cell>
          <cell r="BQ186">
            <v>-7.3095915008229873E-2</v>
          </cell>
          <cell r="BR186">
            <v>-0.1004842615012107</v>
          </cell>
          <cell r="BS186">
            <v>-0.13962379568741401</v>
          </cell>
          <cell r="BT186">
            <v>-0.1715732087227414</v>
          </cell>
          <cell r="BU186">
            <v>-0.19380095245782547</v>
          </cell>
          <cell r="BV186">
            <v>-0.21492261103633914</v>
          </cell>
          <cell r="BW186">
            <v>-0.23275862068965514</v>
          </cell>
          <cell r="BX186">
            <v>-0.2495064397856539</v>
          </cell>
          <cell r="BY186">
            <v>-0.26081297557068484</v>
          </cell>
          <cell r="BZ186">
            <v>-0.28393871209686061</v>
          </cell>
          <cell r="CA186">
            <v>-0.3069616587513031</v>
          </cell>
        </row>
        <row r="187">
          <cell r="A187" t="str">
            <v>U-VERSE DATA</v>
          </cell>
          <cell r="BL187">
            <v>0.72686230248307004</v>
          </cell>
          <cell r="BM187">
            <v>0.61699429296131902</v>
          </cell>
          <cell r="BN187">
            <v>0.56828193832599116</v>
          </cell>
          <cell r="BO187">
            <v>0.54844961240310086</v>
          </cell>
          <cell r="BP187">
            <v>0.57298474945533773</v>
          </cell>
          <cell r="BQ187">
            <v>0.587843137254902</v>
          </cell>
          <cell r="BR187">
            <v>0.59866573033707859</v>
          </cell>
          <cell r="BS187">
            <v>0.60826032540675845</v>
          </cell>
          <cell r="BT187">
            <v>0.62271468144044317</v>
          </cell>
          <cell r="BU187">
            <v>0.58335391454680163</v>
          </cell>
          <cell r="BV187">
            <v>0.54271908631671417</v>
          </cell>
          <cell r="BW187">
            <v>0.49533852140077816</v>
          </cell>
          <cell r="BX187">
            <v>0.41942266985319199</v>
          </cell>
          <cell r="BY187">
            <v>0.38037362345967884</v>
          </cell>
          <cell r="BZ187">
            <v>0.33220995657744878</v>
          </cell>
          <cell r="CA187">
            <v>0.29344763821812014</v>
          </cell>
        </row>
        <row r="188">
          <cell r="A188" t="str">
            <v>U-VERSE VIDEO</v>
          </cell>
          <cell r="BL188">
            <v>0.72761474793077507</v>
          </cell>
          <cell r="BM188">
            <v>0.58845909955611919</v>
          </cell>
          <cell r="BN188">
            <v>0.50853054485415528</v>
          </cell>
          <cell r="BO188">
            <v>0.44648910411622267</v>
          </cell>
          <cell r="BP188">
            <v>0.39590592334494779</v>
          </cell>
          <cell r="BQ188">
            <v>0.36007984031936124</v>
          </cell>
          <cell r="BR188">
            <v>0.30718715797154328</v>
          </cell>
          <cell r="BS188">
            <v>0.26916638767994638</v>
          </cell>
          <cell r="BT188">
            <v>0.24524180967238696</v>
          </cell>
          <cell r="BU188">
            <v>0.21690636923980033</v>
          </cell>
          <cell r="BV188">
            <v>0.21239185040468889</v>
          </cell>
          <cell r="BW188">
            <v>0.19548931680295456</v>
          </cell>
          <cell r="BX188">
            <v>0.18412503132047098</v>
          </cell>
          <cell r="BY188">
            <v>0.17957659189580322</v>
          </cell>
          <cell r="BZ188">
            <v>0.16561698377071843</v>
          </cell>
          <cell r="CA188">
            <v>0.15997124518435157</v>
          </cell>
        </row>
        <row r="189">
          <cell r="A189" t="str">
            <v>POSTPAID WIRELESS</v>
          </cell>
          <cell r="BL189">
            <v>6.5451354394330696E-2</v>
          </cell>
          <cell r="BM189">
            <v>5.1428849459923986E-2</v>
          </cell>
          <cell r="BN189">
            <v>4.0737271587102608E-2</v>
          </cell>
          <cell r="BO189">
            <v>4.5856042097350169E-2</v>
          </cell>
          <cell r="BP189">
            <v>3.8260112822266157E-2</v>
          </cell>
          <cell r="BQ189">
            <v>5.6749294297305131E-2</v>
          </cell>
          <cell r="BR189">
            <v>4.950041949508055E-2</v>
          </cell>
          <cell r="BS189">
            <v>4.0281521413596977E-2</v>
          </cell>
          <cell r="BT189">
            <v>4.1984104413943735E-2</v>
          </cell>
          <cell r="BU189">
            <v>2.0260407543644554E-2</v>
          </cell>
          <cell r="BV189">
            <v>1.7281976744186078E-2</v>
          </cell>
          <cell r="BW189">
            <v>1.4413433907644491E-2</v>
          </cell>
          <cell r="BX189">
            <v>1.3318261810738141E-2</v>
          </cell>
          <cell r="BY189">
            <v>1.0474571796606824E-2</v>
          </cell>
          <cell r="BZ189">
            <v>1.0299356605992349E-2</v>
          </cell>
          <cell r="CA189">
            <v>1.0543288368809911E-2</v>
          </cell>
        </row>
        <row r="190">
          <cell r="A190" t="str">
            <v>TOTAL</v>
          </cell>
          <cell r="BL190">
            <v>-1.224458792252181E-2</v>
          </cell>
          <cell r="BM190">
            <v>-3.4756741343567876E-3</v>
          </cell>
          <cell r="BN190">
            <v>-7.0498873709378129E-3</v>
          </cell>
          <cell r="BO190">
            <v>-1.0150229506694308E-2</v>
          </cell>
          <cell r="BP190">
            <v>-1.4327545738816672E-2</v>
          </cell>
          <cell r="BQ190">
            <v>-1.3678308697669839E-2</v>
          </cell>
          <cell r="BR190">
            <v>-1.8028928546946044E-2</v>
          </cell>
          <cell r="BS190">
            <v>-1.6811217667061507E-2</v>
          </cell>
          <cell r="BT190">
            <v>-1.6854364158741419E-2</v>
          </cell>
          <cell r="BU190">
            <v>-1.7097053190832101E-2</v>
          </cell>
          <cell r="BV190">
            <v>-1.7283432761620698E-2</v>
          </cell>
          <cell r="BW190">
            <v>-1.8097170099264925E-2</v>
          </cell>
          <cell r="BX190">
            <v>-1.7015464758377785E-2</v>
          </cell>
          <cell r="BY190">
            <v>-1.6723620877312939E-2</v>
          </cell>
          <cell r="BZ190">
            <v>-1.5912658039607397E-2</v>
          </cell>
          <cell r="CA190">
            <v>-1.3985126888497068E-2</v>
          </cell>
        </row>
        <row r="192">
          <cell r="A192" t="str">
            <v>RGU GROWTH COMPONENTS</v>
          </cell>
        </row>
        <row r="193">
          <cell r="A193" t="str">
            <v>ACCESS LINES</v>
          </cell>
          <cell r="BL193">
            <v>-5.3178883402962396E-2</v>
          </cell>
          <cell r="BM193">
            <v>-3.826324185605634E-2</v>
          </cell>
          <cell r="BN193">
            <v>-3.7648089918737804E-2</v>
          </cell>
          <cell r="BO193">
            <v>-3.761465787845697E-2</v>
          </cell>
          <cell r="BP193">
            <v>-3.76767051232062E-2</v>
          </cell>
          <cell r="BQ193">
            <v>-3.6211762736878872E-2</v>
          </cell>
          <cell r="BR193">
            <v>-3.5783652857436565E-2</v>
          </cell>
          <cell r="BS193">
            <v>-3.4776296183089417E-2</v>
          </cell>
          <cell r="BT193">
            <v>-3.5175995206416011E-2</v>
          </cell>
          <cell r="BU193">
            <v>-3.4418051522826953E-2</v>
          </cell>
          <cell r="BV193">
            <v>-3.3223030077056848E-2</v>
          </cell>
          <cell r="BW193">
            <v>-3.2341405714997107E-2</v>
          </cell>
          <cell r="BX193">
            <v>-3.0148629927915671E-2</v>
          </cell>
          <cell r="BY193">
            <v>-2.8846456568963896E-2</v>
          </cell>
          <cell r="BZ193">
            <v>-2.6728650737710691E-2</v>
          </cell>
          <cell r="CA193">
            <v>-2.4254031485274274E-2</v>
          </cell>
        </row>
        <row r="194">
          <cell r="A194" t="str">
            <v>DSL</v>
          </cell>
          <cell r="BL194">
            <v>-2.7193315609570501E-3</v>
          </cell>
          <cell r="BM194">
            <v>-4.385052289244018E-3</v>
          </cell>
          <cell r="BN194">
            <v>-4.3821546362426966E-3</v>
          </cell>
          <cell r="BO194">
            <v>-4.6665088251243159E-3</v>
          </cell>
          <cell r="BP194">
            <v>-6.6744650106653758E-3</v>
          </cell>
          <cell r="BQ194">
            <v>-7.4325403768762399E-3</v>
          </cell>
          <cell r="BR194">
            <v>-1.0115089611467787E-2</v>
          </cell>
          <cell r="BS194">
            <v>-1.3953310663661012E-2</v>
          </cell>
          <cell r="BT194">
            <v>-1.6923502389110001E-2</v>
          </cell>
          <cell r="BU194">
            <v>-1.8541113239018969E-2</v>
          </cell>
          <cell r="BV194">
            <v>-1.9846818294804836E-2</v>
          </cell>
          <cell r="BW194">
            <v>-2.03806885388782E-2</v>
          </cell>
          <cell r="BX194">
            <v>-2.0772186871414355E-2</v>
          </cell>
          <cell r="BY194">
            <v>-2.0503415924188584E-2</v>
          </cell>
          <cell r="BZ194">
            <v>-2.0986940579239555E-2</v>
          </cell>
          <cell r="CA194">
            <v>-2.1038685249092137E-2</v>
          </cell>
        </row>
        <row r="195">
          <cell r="A195" t="str">
            <v>U-VERSE DATA</v>
          </cell>
          <cell r="BL195">
            <v>7.3376376756552064E-3</v>
          </cell>
          <cell r="BM195">
            <v>7.4985164805524418E-3</v>
          </cell>
          <cell r="BN195">
            <v>7.9340062887763851E-3</v>
          </cell>
          <cell r="BO195">
            <v>8.6456431915559184E-3</v>
          </cell>
          <cell r="BP195">
            <v>1.0053747410108782E-2</v>
          </cell>
          <cell r="BQ195">
            <v>1.140366225684486E-2</v>
          </cell>
          <cell r="BR195">
            <v>1.2986617309904136E-2</v>
          </cell>
          <cell r="BS195">
            <v>1.4855003247621568E-2</v>
          </cell>
          <cell r="BT195">
            <v>1.7269193540952799E-2</v>
          </cell>
          <cell r="BU195">
            <v>1.8239945635386445E-2</v>
          </cell>
          <cell r="BV195">
            <v>1.9194320159085287E-2</v>
          </cell>
          <cell r="BW195">
            <v>1.9812924111311636E-2</v>
          </cell>
          <cell r="BX195">
            <v>1.923014549922919E-2</v>
          </cell>
          <cell r="BY195">
            <v>1.9193521550231352E-2</v>
          </cell>
          <cell r="BZ195">
            <v>1.8479933594152231E-2</v>
          </cell>
          <cell r="CA195">
            <v>1.7906305149565926E-2</v>
          </cell>
        </row>
        <row r="196">
          <cell r="A196" t="str">
            <v>U-VERSE VIDEO</v>
          </cell>
          <cell r="BL196">
            <v>7.3452335738701802E-3</v>
          </cell>
          <cell r="BM196">
            <v>7.1517197265700272E-3</v>
          </cell>
          <cell r="BN196">
            <v>7.103703305067155E-3</v>
          </cell>
          <cell r="BO196">
            <v>7.0417694546065501E-3</v>
          </cell>
          <cell r="BP196">
            <v>6.9497006812082596E-3</v>
          </cell>
          <cell r="BQ196">
            <v>6.8619768883749765E-3</v>
          </cell>
          <cell r="BR196">
            <v>6.4133324193191843E-3</v>
          </cell>
          <cell r="BS196">
            <v>6.1437359110533274E-3</v>
          </cell>
          <cell r="BT196">
            <v>6.0380721188562081E-3</v>
          </cell>
          <cell r="BU196">
            <v>5.7067399765243776E-3</v>
          </cell>
          <cell r="BV196">
            <v>5.9113223962217187E-3</v>
          </cell>
          <cell r="BW196">
            <v>5.767135653364952E-3</v>
          </cell>
          <cell r="BX196">
            <v>5.7514303380371556E-3</v>
          </cell>
          <cell r="BY196">
            <v>5.8599986619651823E-3</v>
          </cell>
          <cell r="BZ196">
            <v>5.697678586985E-3</v>
          </cell>
          <cell r="CA196">
            <v>5.7559118157114453E-3</v>
          </cell>
        </row>
        <row r="197">
          <cell r="A197" t="str">
            <v>POSTPAID WIRELESS</v>
          </cell>
          <cell r="BL197">
            <v>2.8970755791872471E-2</v>
          </cell>
          <cell r="BM197">
            <v>2.452238380382088E-2</v>
          </cell>
          <cell r="BN197">
            <v>1.9942647590199369E-2</v>
          </cell>
          <cell r="BO197">
            <v>1.6443524550724398E-2</v>
          </cell>
          <cell r="BP197">
            <v>1.3020176303737863E-2</v>
          </cell>
          <cell r="BQ197">
            <v>1.1700355270865437E-2</v>
          </cell>
          <cell r="BR197">
            <v>8.4698641927350993E-3</v>
          </cell>
          <cell r="BS197">
            <v>1.0919650021014027E-2</v>
          </cell>
          <cell r="BT197">
            <v>1.1937867776975364E-2</v>
          </cell>
          <cell r="BU197">
            <v>1.1915425959102999E-2</v>
          </cell>
          <cell r="BV197">
            <v>1.068077305493409E-2</v>
          </cell>
          <cell r="BW197">
            <v>9.0448643899339043E-3</v>
          </cell>
          <cell r="BX197">
            <v>8.9237762036860069E-3</v>
          </cell>
          <cell r="BY197">
            <v>7.5727314036428961E-3</v>
          </cell>
          <cell r="BZ197">
            <v>7.6253210962058393E-3</v>
          </cell>
          <cell r="CA197">
            <v>7.6453728805916388E-3</v>
          </cell>
        </row>
        <row r="198">
          <cell r="A198" t="str">
            <v>Check</v>
          </cell>
          <cell r="BL198">
            <v>-2.2204460492503131E-16</v>
          </cell>
          <cell r="BM198">
            <v>2.2204460492503131E-16</v>
          </cell>
          <cell r="BN198">
            <v>-2.2204460492503131E-16</v>
          </cell>
          <cell r="BO198">
            <v>1.1102230246251565E-16</v>
          </cell>
          <cell r="BP198">
            <v>0</v>
          </cell>
          <cell r="BQ198">
            <v>0</v>
          </cell>
          <cell r="BR198">
            <v>-1.1102230246251565E-16</v>
          </cell>
          <cell r="BS198">
            <v>0</v>
          </cell>
          <cell r="BT198">
            <v>2.2204460492503131E-16</v>
          </cell>
          <cell r="BU198">
            <v>0</v>
          </cell>
          <cell r="BV198">
            <v>-1.1102230246251565E-16</v>
          </cell>
          <cell r="BW198">
            <v>-1.1102230246251565E-16</v>
          </cell>
          <cell r="BX198">
            <v>-1.1102230246251565E-16</v>
          </cell>
          <cell r="BY198">
            <v>1.1102230246251565E-16</v>
          </cell>
          <cell r="BZ198">
            <v>-2.2204460492503131E-16</v>
          </cell>
          <cell r="CA198">
            <v>3.3306690738754696E-16</v>
          </cell>
        </row>
        <row r="201">
          <cell r="A201" t="str">
            <v>POSTPAID WIRELESS reported</v>
          </cell>
          <cell r="BH201">
            <v>60535</v>
          </cell>
          <cell r="BI201">
            <v>61647</v>
          </cell>
          <cell r="BJ201">
            <v>62961</v>
          </cell>
          <cell r="BK201">
            <v>64627</v>
          </cell>
          <cell r="BL201">
            <v>65108</v>
          </cell>
          <cell r="BM201">
            <v>66970</v>
          </cell>
          <cell r="BN201">
            <v>67688</v>
          </cell>
          <cell r="BO201">
            <v>68041</v>
          </cell>
          <cell r="BP201">
            <v>68062</v>
          </cell>
          <cell r="BQ201">
            <v>68353</v>
          </cell>
          <cell r="BR201">
            <v>68614</v>
          </cell>
          <cell r="BS201">
            <v>69309</v>
          </cell>
          <cell r="BT201">
            <v>69403</v>
          </cell>
          <cell r="BU201">
            <v>69666</v>
          </cell>
          <cell r="BV201">
            <v>69747</v>
          </cell>
          <cell r="BW201">
            <v>70251.301253564059</v>
          </cell>
          <cell r="BX201">
            <v>70416.164114216343</v>
          </cell>
          <cell r="BY201">
            <v>70558.130670295635</v>
          </cell>
          <cell r="BZ201">
            <v>70709.841669496804</v>
          </cell>
          <cell r="CA201">
            <v>71214.300504405663</v>
          </cell>
        </row>
        <row r="202">
          <cell r="A202" t="str">
            <v>POSTPAID WIRELESS adj</v>
          </cell>
          <cell r="BH202">
            <v>60550</v>
          </cell>
          <cell r="BI202">
            <v>61663</v>
          </cell>
          <cell r="BJ202">
            <v>62980</v>
          </cell>
          <cell r="BK202">
            <v>63802</v>
          </cell>
          <cell r="BL202">
            <v>65139</v>
          </cell>
          <cell r="BM202">
            <v>65604</v>
          </cell>
          <cell r="BN202">
            <v>67715</v>
          </cell>
          <cell r="BO202">
            <v>68088</v>
          </cell>
          <cell r="BP202">
            <v>68103</v>
          </cell>
          <cell r="BQ202">
            <v>68393</v>
          </cell>
          <cell r="BR202">
            <v>68672</v>
          </cell>
          <cell r="BS202">
            <v>69331</v>
          </cell>
          <cell r="BT202">
            <v>69496</v>
          </cell>
          <cell r="BU202">
            <v>69723</v>
          </cell>
          <cell r="BV202">
            <v>69817</v>
          </cell>
          <cell r="BW202">
            <v>70251.301253564059</v>
          </cell>
          <cell r="BX202">
            <v>70416.164114216343</v>
          </cell>
          <cell r="BY202">
            <v>70558.130670295635</v>
          </cell>
          <cell r="BZ202">
            <v>70709.841669496804</v>
          </cell>
          <cell r="CA202">
            <v>71214.300504405663</v>
          </cell>
        </row>
        <row r="260">
          <cell r="D260" t="str">
            <v>2002-FY</v>
          </cell>
          <cell r="E260" t="str">
            <v>2003-FY</v>
          </cell>
          <cell r="F260" t="str">
            <v>2004-FY</v>
          </cell>
          <cell r="G260" t="str">
            <v>2005-FY</v>
          </cell>
          <cell r="H260" t="str">
            <v>2006-FY</v>
          </cell>
          <cell r="I260" t="str">
            <v>2007-FY</v>
          </cell>
          <cell r="J260" t="str">
            <v>2008-FY</v>
          </cell>
          <cell r="K260" t="str">
            <v>2009-FY</v>
          </cell>
          <cell r="L260" t="str">
            <v>2010-FY</v>
          </cell>
          <cell r="M260" t="str">
            <v>2011-FY</v>
          </cell>
          <cell r="N260" t="str">
            <v>2012-FY</v>
          </cell>
          <cell r="O260" t="str">
            <v>2013-FY</v>
          </cell>
          <cell r="P260" t="str">
            <v>2014-FY</v>
          </cell>
          <cell r="Q260" t="str">
            <v>2015-FY</v>
          </cell>
          <cell r="R260" t="str">
            <v>2016-FY</v>
          </cell>
          <cell r="S260" t="str">
            <v>2017-FY</v>
          </cell>
          <cell r="T260" t="str">
            <v>2018-FY</v>
          </cell>
          <cell r="AF260" t="str">
            <v>2002-Q1</v>
          </cell>
          <cell r="AG260" t="str">
            <v>2002-Q2</v>
          </cell>
          <cell r="AH260" t="str">
            <v>2002-Q3</v>
          </cell>
          <cell r="AI260" t="str">
            <v>2002-Q4</v>
          </cell>
          <cell r="AJ260" t="str">
            <v>2003-Q1</v>
          </cell>
          <cell r="AK260" t="str">
            <v>2003-Q2</v>
          </cell>
          <cell r="AL260" t="str">
            <v>2003-Q3</v>
          </cell>
          <cell r="AM260" t="str">
            <v>2003-Q4</v>
          </cell>
          <cell r="AN260" t="str">
            <v>2004-Q1</v>
          </cell>
          <cell r="AO260" t="str">
            <v>2004-Q2</v>
          </cell>
          <cell r="AP260" t="str">
            <v>2004-Q3</v>
          </cell>
          <cell r="AQ260" t="str">
            <v>2004-Q4</v>
          </cell>
          <cell r="AR260" t="str">
            <v>2005-Q1</v>
          </cell>
          <cell r="AS260" t="str">
            <v>2005-Q2</v>
          </cell>
          <cell r="AT260" t="str">
            <v>2005-Q3</v>
          </cell>
          <cell r="AU260" t="str">
            <v>2005-Q4</v>
          </cell>
          <cell r="AV260" t="str">
            <v>2006-Q1</v>
          </cell>
          <cell r="AW260" t="str">
            <v>2006-Q2</v>
          </cell>
          <cell r="AX260" t="str">
            <v>2006-Q3</v>
          </cell>
          <cell r="AY260" t="str">
            <v>2006-Q4</v>
          </cell>
          <cell r="AZ260" t="str">
            <v>2007-Q1</v>
          </cell>
          <cell r="BA260" t="str">
            <v>2007-Q2</v>
          </cell>
          <cell r="BB260" t="str">
            <v>2007-Q3</v>
          </cell>
          <cell r="BC260" t="str">
            <v>2007-Q4</v>
          </cell>
        </row>
        <row r="261">
          <cell r="D261" t="str">
            <v>2002-FY</v>
          </cell>
          <cell r="E261" t="str">
            <v>2003-FY</v>
          </cell>
          <cell r="F261" t="str">
            <v>2004-FY</v>
          </cell>
          <cell r="G261" t="str">
            <v>2005-FY</v>
          </cell>
          <cell r="H261" t="str">
            <v>2006-FY</v>
          </cell>
          <cell r="I261" t="str">
            <v>2007-FY</v>
          </cell>
          <cell r="J261" t="str">
            <v>2008-FY</v>
          </cell>
          <cell r="K261" t="str">
            <v>2009-FY</v>
          </cell>
          <cell r="L261" t="str">
            <v>2010-FY</v>
          </cell>
          <cell r="M261" t="str">
            <v>2011-FY</v>
          </cell>
          <cell r="N261" t="str">
            <v>2012-FY</v>
          </cell>
          <cell r="O261" t="str">
            <v>2013-FY</v>
          </cell>
          <cell r="P261" t="str">
            <v>2014-FY</v>
          </cell>
          <cell r="Q261" t="str">
            <v>2015-FY</v>
          </cell>
          <cell r="R261" t="str">
            <v>2016-FY</v>
          </cell>
          <cell r="S261" t="str">
            <v>2017-FY</v>
          </cell>
          <cell r="T261" t="str">
            <v>2018-FY</v>
          </cell>
          <cell r="AF261" t="str">
            <v>2002-Q1</v>
          </cell>
          <cell r="AG261" t="str">
            <v>2002-Q2</v>
          </cell>
          <cell r="AH261" t="str">
            <v>2002-Q3</v>
          </cell>
          <cell r="AI261" t="str">
            <v>2002-Q4</v>
          </cell>
          <cell r="AJ261" t="str">
            <v>2003-Q1</v>
          </cell>
          <cell r="AK261" t="str">
            <v>2003-Q2</v>
          </cell>
          <cell r="AL261" t="str">
            <v>2003-Q3</v>
          </cell>
          <cell r="AM261" t="str">
            <v>2003-Q4</v>
          </cell>
          <cell r="AN261" t="str">
            <v>2004-Q1</v>
          </cell>
          <cell r="AO261" t="str">
            <v>2004-Q2</v>
          </cell>
          <cell r="AP261" t="str">
            <v>2004-Q3</v>
          </cell>
          <cell r="AQ261" t="str">
            <v>2004-Q4</v>
          </cell>
          <cell r="AR261" t="str">
            <v>2005-Q1</v>
          </cell>
          <cell r="AS261" t="str">
            <v>2005-Q2</v>
          </cell>
          <cell r="AT261" t="str">
            <v>2005-Q3</v>
          </cell>
          <cell r="AU261" t="str">
            <v>2005-Q4</v>
          </cell>
          <cell r="AV261" t="str">
            <v>2006-Q1</v>
          </cell>
          <cell r="AW261" t="str">
            <v>2006-Q2</v>
          </cell>
          <cell r="AX261" t="str">
            <v>2006-Q3</v>
          </cell>
          <cell r="AY261" t="str">
            <v>2006-Q4</v>
          </cell>
          <cell r="AZ261" t="str">
            <v>2007-Q1</v>
          </cell>
          <cell r="BA261" t="str">
            <v>2007-Q2</v>
          </cell>
          <cell r="BB261" t="str">
            <v>2007-Q3</v>
          </cell>
          <cell r="BC261" t="str">
            <v>2007-Q4</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heet1 (2)"/>
      <sheetName val="Sheet1"/>
      <sheetName val="Synergies"/>
      <sheetName val="Unemploy"/>
      <sheetName val="Sheet2"/>
    </sheetNames>
    <sheetDataSet>
      <sheetData sheetId="0"/>
      <sheetData sheetId="1"/>
      <sheetData sheetId="2">
        <row r="3">
          <cell r="C3" t="str">
            <v>EMBARQ</v>
          </cell>
          <cell r="H3" t="str">
            <v>CTL</v>
          </cell>
          <cell r="L3" t="str">
            <v>CTL + EQ</v>
          </cell>
          <cell r="R3" t="str">
            <v>Y/Y Change in Unemployment (bps)</v>
          </cell>
          <cell r="X3" t="str">
            <v>Y/Y Change in Business Bankruptcies (%)</v>
          </cell>
        </row>
        <row r="4">
          <cell r="C4" t="str">
            <v>Employees</v>
          </cell>
          <cell r="D4" t="str">
            <v>Retirees</v>
          </cell>
          <cell r="E4" t="str">
            <v>Access lines</v>
          </cell>
          <cell r="F4" t="str">
            <v>DSL enabled</v>
          </cell>
          <cell r="G4" t="str">
            <v>2006 bkdw</v>
          </cell>
          <cell r="H4" t="str">
            <v>Employees</v>
          </cell>
          <cell r="I4" t="str">
            <v>Retirees</v>
          </cell>
          <cell r="J4" t="str">
            <v>Access lines</v>
          </cell>
          <cell r="K4" t="str">
            <v>DSL enabled</v>
          </cell>
          <cell r="Q4" t="str">
            <v>% of 
access lines</v>
          </cell>
          <cell r="R4" t="str">
            <v>4Q07</v>
          </cell>
          <cell r="S4" t="str">
            <v>1Q08</v>
          </cell>
          <cell r="T4" t="str">
            <v>2Q08</v>
          </cell>
          <cell r="U4" t="str">
            <v>3Q08</v>
          </cell>
          <cell r="V4" t="str">
            <v>4Q08</v>
          </cell>
          <cell r="W4" t="str">
            <v>1Q09</v>
          </cell>
          <cell r="X4" t="str">
            <v>4Q07</v>
          </cell>
          <cell r="Y4" t="str">
            <v>1Q08</v>
          </cell>
          <cell r="Z4" t="str">
            <v>2Q08</v>
          </cell>
          <cell r="AA4" t="str">
            <v>3Q08</v>
          </cell>
          <cell r="AB4" t="str">
            <v>4Q08</v>
          </cell>
          <cell r="AC4" t="str">
            <v>1Q09</v>
          </cell>
          <cell r="AD4" t="str">
            <v>2Q09</v>
          </cell>
          <cell r="AN4">
            <v>39747</v>
          </cell>
          <cell r="AO4">
            <v>39813</v>
          </cell>
          <cell r="AP4">
            <v>39903</v>
          </cell>
          <cell r="AQ4">
            <v>39957</v>
          </cell>
          <cell r="AR4">
            <v>39988</v>
          </cell>
        </row>
        <row r="5">
          <cell r="A5">
            <v>1</v>
          </cell>
          <cell r="B5" t="str">
            <v>Florida</v>
          </cell>
          <cell r="C5">
            <v>4451</v>
          </cell>
          <cell r="D5">
            <v>3583</v>
          </cell>
          <cell r="E5">
            <v>1532907.2</v>
          </cell>
          <cell r="F5" t="str">
            <v>na</v>
          </cell>
          <cell r="G5">
            <v>0.27610000000000001</v>
          </cell>
          <cell r="L5">
            <v>1532907.2</v>
          </cell>
          <cell r="M5">
            <v>0.20389840642352119</v>
          </cell>
          <cell r="P5" t="str">
            <v>Florida</v>
          </cell>
          <cell r="Q5">
            <v>0.20389840642352119</v>
          </cell>
          <cell r="W5">
            <v>420.00000000000011</v>
          </cell>
          <cell r="AB5">
            <v>0.68524096385542177</v>
          </cell>
          <cell r="AC5">
            <v>0.42312579415501905</v>
          </cell>
          <cell r="AD5">
            <v>0.65272496831432192</v>
          </cell>
          <cell r="AM5" t="str">
            <v>CTL</v>
          </cell>
          <cell r="AN5">
            <v>29.5</v>
          </cell>
          <cell r="AO5">
            <v>27.330000000000002</v>
          </cell>
          <cell r="AP5">
            <v>28.12</v>
          </cell>
          <cell r="AQ5">
            <v>29.400000000000002</v>
          </cell>
          <cell r="AR5">
            <v>31.51</v>
          </cell>
        </row>
        <row r="6">
          <cell r="A6">
            <v>2</v>
          </cell>
          <cell r="B6" t="str">
            <v>North Carolina</v>
          </cell>
          <cell r="C6">
            <v>2913</v>
          </cell>
          <cell r="D6">
            <v>3826</v>
          </cell>
          <cell r="E6">
            <v>1032672</v>
          </cell>
          <cell r="F6" t="str">
            <v>na</v>
          </cell>
          <cell r="G6">
            <v>0.186</v>
          </cell>
          <cell r="H6">
            <v>35</v>
          </cell>
          <cell r="J6">
            <v>12621</v>
          </cell>
          <cell r="K6">
            <v>0.94640000000000002</v>
          </cell>
          <cell r="L6">
            <v>1045293</v>
          </cell>
          <cell r="M6">
            <v>0.13903879957355653</v>
          </cell>
          <cell r="P6" t="str">
            <v>North Carolina</v>
          </cell>
          <cell r="Q6">
            <v>0.13903879957355653</v>
          </cell>
          <cell r="W6">
            <v>309.99999999999989</v>
          </cell>
          <cell r="AB6">
            <v>0.40677966101694918</v>
          </cell>
          <cell r="AC6">
            <v>0.68306010928961758</v>
          </cell>
          <cell r="AD6">
            <v>0.54672897196261672</v>
          </cell>
          <cell r="AM6" t="str">
            <v>WIN</v>
          </cell>
          <cell r="AN6">
            <v>7.66</v>
          </cell>
          <cell r="AO6">
            <v>9.2000000000000011</v>
          </cell>
          <cell r="AP6">
            <v>8.06</v>
          </cell>
          <cell r="AQ6">
            <v>8.1300000000000008</v>
          </cell>
          <cell r="AR6">
            <v>8.51</v>
          </cell>
        </row>
        <row r="7">
          <cell r="A7">
            <v>3</v>
          </cell>
          <cell r="B7" t="str">
            <v>Nevada</v>
          </cell>
          <cell r="C7">
            <v>1123</v>
          </cell>
          <cell r="D7">
            <v>906</v>
          </cell>
          <cell r="E7">
            <v>577408</v>
          </cell>
          <cell r="F7" t="str">
            <v>na</v>
          </cell>
          <cell r="G7">
            <v>0.104</v>
          </cell>
          <cell r="L7">
            <v>577408</v>
          </cell>
          <cell r="M7">
            <v>7.6803456240659915E-2</v>
          </cell>
          <cell r="P7" t="str">
            <v>Nevada</v>
          </cell>
          <cell r="Q7">
            <v>7.6803456240659915E-2</v>
          </cell>
          <cell r="W7">
            <v>460</v>
          </cell>
          <cell r="AB7">
            <v>0.78651685393258419</v>
          </cell>
          <cell r="AC7">
            <v>1.2735849056603774</v>
          </cell>
          <cell r="AD7">
            <v>1.0849056603773586</v>
          </cell>
          <cell r="AM7" t="str">
            <v>FTR</v>
          </cell>
          <cell r="AN7">
            <v>7.71</v>
          </cell>
          <cell r="AO7">
            <v>8.74</v>
          </cell>
          <cell r="AP7">
            <v>7.18</v>
          </cell>
          <cell r="AQ7">
            <v>7.01</v>
          </cell>
          <cell r="AR7">
            <v>7.01</v>
          </cell>
        </row>
        <row r="8">
          <cell r="A8">
            <v>4</v>
          </cell>
          <cell r="B8" t="str">
            <v>Missouri</v>
          </cell>
          <cell r="C8">
            <v>485</v>
          </cell>
          <cell r="D8">
            <v>780</v>
          </cell>
          <cell r="E8">
            <v>177108.8</v>
          </cell>
          <cell r="F8" t="str">
            <v>na</v>
          </cell>
          <cell r="G8">
            <v>3.1899999999999998E-2</v>
          </cell>
          <cell r="H8">
            <v>794</v>
          </cell>
          <cell r="J8">
            <v>381706</v>
          </cell>
          <cell r="K8">
            <v>0.86760000000000004</v>
          </cell>
          <cell r="L8">
            <v>558814.80000000005</v>
          </cell>
          <cell r="M8">
            <v>7.4330296841112573E-2</v>
          </cell>
          <cell r="P8" t="str">
            <v>Missouri</v>
          </cell>
          <cell r="Q8">
            <v>7.4330296841112573E-2</v>
          </cell>
          <cell r="W8">
            <v>250.00000000000009</v>
          </cell>
          <cell r="AB8">
            <v>0.33333333333333326</v>
          </cell>
          <cell r="AC8">
            <v>0.20408163265306123</v>
          </cell>
          <cell r="AD8">
            <v>0.35294117647058831</v>
          </cell>
          <cell r="AM8" t="str">
            <v>Q</v>
          </cell>
          <cell r="AN8">
            <v>2.29</v>
          </cell>
          <cell r="AO8">
            <v>3.64</v>
          </cell>
          <cell r="AP8">
            <v>3.42</v>
          </cell>
          <cell r="AQ8">
            <v>4.01</v>
          </cell>
          <cell r="AR8">
            <v>3.96</v>
          </cell>
        </row>
        <row r="9">
          <cell r="A9">
            <v>5</v>
          </cell>
          <cell r="B9" t="str">
            <v>Ohio</v>
          </cell>
          <cell r="C9">
            <v>1086</v>
          </cell>
          <cell r="D9">
            <v>1829</v>
          </cell>
          <cell r="E9">
            <v>388084.80000000005</v>
          </cell>
          <cell r="F9" t="str">
            <v>na</v>
          </cell>
          <cell r="G9">
            <v>6.9900000000000004E-2</v>
          </cell>
          <cell r="H9">
            <v>126</v>
          </cell>
          <cell r="J9">
            <v>55476</v>
          </cell>
          <cell r="K9">
            <v>0.99760000000000004</v>
          </cell>
          <cell r="L9">
            <v>443560.80000000005</v>
          </cell>
          <cell r="M9">
            <v>5.8999879622159912E-2</v>
          </cell>
          <cell r="P9" t="str">
            <v>Ohio</v>
          </cell>
          <cell r="Q9">
            <v>5.8999879622159912E-2</v>
          </cell>
          <cell r="W9">
            <v>349.99999999999989</v>
          </cell>
          <cell r="AB9">
            <v>0.3267326732673268</v>
          </cell>
          <cell r="AC9">
            <v>0.39882697947214085</v>
          </cell>
          <cell r="AD9">
            <v>0.42500000000000004</v>
          </cell>
          <cell r="AM9" t="str">
            <v>T</v>
          </cell>
          <cell r="AN9">
            <v>24.68</v>
          </cell>
          <cell r="AO9">
            <v>28.5</v>
          </cell>
          <cell r="AP9">
            <v>25.200000000000003</v>
          </cell>
          <cell r="AQ9">
            <v>23.68</v>
          </cell>
          <cell r="AR9">
            <v>24.650000000000002</v>
          </cell>
        </row>
        <row r="10">
          <cell r="A10">
            <v>6</v>
          </cell>
          <cell r="B10" t="str">
            <v>Virginia</v>
          </cell>
          <cell r="C10">
            <v>472</v>
          </cell>
          <cell r="D10">
            <v>1153</v>
          </cell>
          <cell r="E10">
            <v>277600</v>
          </cell>
          <cell r="G10">
            <v>0.05</v>
          </cell>
          <cell r="H10">
            <v>372</v>
          </cell>
          <cell r="J10">
            <v>144078</v>
          </cell>
          <cell r="K10">
            <v>0.90400000000000003</v>
          </cell>
          <cell r="L10">
            <v>421678</v>
          </cell>
          <cell r="M10">
            <v>5.6089156749904737E-2</v>
          </cell>
          <cell r="P10" t="str">
            <v>Virginia</v>
          </cell>
          <cell r="Q10">
            <v>5.6089156749904737E-2</v>
          </cell>
          <cell r="W10">
            <v>190.00000000000003</v>
          </cell>
          <cell r="AB10">
            <v>0.35532994923857864</v>
          </cell>
          <cell r="AC10">
            <v>0.43497757847533625</v>
          </cell>
          <cell r="AD10">
            <v>0.15481171548117145</v>
          </cell>
          <cell r="AM10" t="str">
            <v>VZ</v>
          </cell>
          <cell r="AN10">
            <v>25.080000000000002</v>
          </cell>
          <cell r="AO10">
            <v>33.9</v>
          </cell>
          <cell r="AP10">
            <v>30.200000000000003</v>
          </cell>
          <cell r="AQ10">
            <v>28.810000000000002</v>
          </cell>
          <cell r="AR10">
            <v>30.8</v>
          </cell>
        </row>
        <row r="11">
          <cell r="A11">
            <v>7</v>
          </cell>
          <cell r="B11" t="str">
            <v>Wisconsin</v>
          </cell>
          <cell r="E11">
            <v>0</v>
          </cell>
          <cell r="H11">
            <v>1255</v>
          </cell>
          <cell r="J11">
            <v>355597</v>
          </cell>
          <cell r="K11">
            <v>0.88959999999999995</v>
          </cell>
          <cell r="L11">
            <v>355597</v>
          </cell>
          <cell r="M11">
            <v>4.7299446195428439E-2</v>
          </cell>
          <cell r="P11" t="str">
            <v>Wisconsin</v>
          </cell>
          <cell r="Q11">
            <v>4.7299446195428439E-2</v>
          </cell>
          <cell r="W11">
            <v>279.99999999999989</v>
          </cell>
          <cell r="AB11">
            <v>0.50387596899224807</v>
          </cell>
          <cell r="AC11">
            <v>0.68503937007874005</v>
          </cell>
          <cell r="AD11">
            <v>0.32515337423312873</v>
          </cell>
          <cell r="AM11" t="str">
            <v>IWA</v>
          </cell>
          <cell r="AN11">
            <v>14.88</v>
          </cell>
          <cell r="AO11">
            <v>14.280000000000001</v>
          </cell>
          <cell r="AP11">
            <v>11.46</v>
          </cell>
          <cell r="AQ11">
            <v>11.43</v>
          </cell>
          <cell r="AR11">
            <v>12.92</v>
          </cell>
        </row>
        <row r="12">
          <cell r="A12">
            <v>8</v>
          </cell>
          <cell r="B12" t="str">
            <v>Texas</v>
          </cell>
          <cell r="C12">
            <v>668</v>
          </cell>
          <cell r="D12">
            <v>803</v>
          </cell>
          <cell r="E12">
            <v>266496</v>
          </cell>
          <cell r="G12">
            <v>4.8000000000000001E-2</v>
          </cell>
          <cell r="H12">
            <v>139</v>
          </cell>
          <cell r="J12">
            <v>30374</v>
          </cell>
          <cell r="K12">
            <v>0.99929999999999997</v>
          </cell>
          <cell r="L12">
            <v>296870</v>
          </cell>
          <cell r="M12">
            <v>3.9487921979197919E-2</v>
          </cell>
          <cell r="P12" t="str">
            <v>Texas</v>
          </cell>
          <cell r="Q12">
            <v>3.9487921979197919E-2</v>
          </cell>
          <cell r="W12">
            <v>270.00000000000011</v>
          </cell>
          <cell r="AB12">
            <v>0.39221556886227549</v>
          </cell>
          <cell r="AC12">
            <v>0.58513931888544901</v>
          </cell>
          <cell r="AD12">
            <v>0.7009602194787381</v>
          </cell>
          <cell r="AM12" t="str">
            <v>EQ</v>
          </cell>
          <cell r="AN12">
            <v>29.740000000000002</v>
          </cell>
          <cell r="AO12">
            <v>35.96</v>
          </cell>
          <cell r="AP12">
            <v>37.85</v>
          </cell>
          <cell r="AQ12">
            <v>39.93</v>
          </cell>
          <cell r="AR12">
            <v>43.02</v>
          </cell>
        </row>
        <row r="13">
          <cell r="A13">
            <v>9</v>
          </cell>
          <cell r="B13" t="str">
            <v>Pennsylvania</v>
          </cell>
          <cell r="C13">
            <v>750</v>
          </cell>
          <cell r="D13">
            <v>1047</v>
          </cell>
          <cell r="E13">
            <v>288704</v>
          </cell>
          <cell r="G13">
            <v>5.1999999999999998E-2</v>
          </cell>
          <cell r="L13">
            <v>288704</v>
          </cell>
          <cell r="M13">
            <v>3.8401728120329957E-2</v>
          </cell>
          <cell r="P13" t="str">
            <v>Pennsylvania</v>
          </cell>
          <cell r="Q13">
            <v>3.8401728120329957E-2</v>
          </cell>
          <cell r="W13">
            <v>250.00000000000009</v>
          </cell>
          <cell r="AB13">
            <v>0.15916955017301038</v>
          </cell>
          <cell r="AC13">
            <v>0.67543859649122817</v>
          </cell>
          <cell r="AD13">
            <v>0.41964285714285721</v>
          </cell>
          <cell r="AM13" t="str">
            <v>CBB</v>
          </cell>
          <cell r="AN13">
            <v>1.94</v>
          </cell>
          <cell r="AO13">
            <v>1.93</v>
          </cell>
          <cell r="AP13">
            <v>2.3000000000000003</v>
          </cell>
          <cell r="AQ13">
            <v>2.5300000000000002</v>
          </cell>
          <cell r="AR13">
            <v>2.95</v>
          </cell>
        </row>
        <row r="14">
          <cell r="A14">
            <v>10</v>
          </cell>
          <cell r="B14" t="str">
            <v>Alabama</v>
          </cell>
          <cell r="E14">
            <v>0</v>
          </cell>
          <cell r="H14">
            <v>539</v>
          </cell>
          <cell r="J14">
            <v>263480</v>
          </cell>
          <cell r="K14">
            <v>0.91349999999999998</v>
          </cell>
          <cell r="L14">
            <v>263480</v>
          </cell>
          <cell r="M14">
            <v>3.5046578243268324E-2</v>
          </cell>
          <cell r="P14" t="str">
            <v>Alabama</v>
          </cell>
          <cell r="Q14">
            <v>3.5046578243268324E-2</v>
          </cell>
          <cell r="W14">
            <v>450</v>
          </cell>
          <cell r="AB14">
            <v>0.71428571428571419</v>
          </cell>
          <cell r="AC14">
            <v>0.67543859649122817</v>
          </cell>
          <cell r="AD14">
            <v>0.61417322834645671</v>
          </cell>
        </row>
        <row r="15">
          <cell r="A15">
            <v>11</v>
          </cell>
          <cell r="B15" t="str">
            <v>Arkansas</v>
          </cell>
          <cell r="E15">
            <v>0</v>
          </cell>
          <cell r="H15">
            <v>430</v>
          </cell>
          <cell r="J15">
            <v>194652</v>
          </cell>
          <cell r="K15">
            <v>0.8901</v>
          </cell>
          <cell r="L15">
            <v>194652</v>
          </cell>
          <cell r="M15">
            <v>2.5891477714470416E-2</v>
          </cell>
          <cell r="P15" t="str">
            <v>Arkansas</v>
          </cell>
          <cell r="Q15">
            <v>2.5891477714470416E-2</v>
          </cell>
          <cell r="W15">
            <v>199.99999999999997</v>
          </cell>
          <cell r="AB15">
            <v>0.375</v>
          </cell>
          <cell r="AC15">
            <v>0.42452830188679247</v>
          </cell>
          <cell r="AD15">
            <v>0.41964285714285721</v>
          </cell>
          <cell r="AN15" t="str">
            <v>Since announcement</v>
          </cell>
          <cell r="AO15" t="str">
            <v>YTD</v>
          </cell>
          <cell r="AP15" t="str">
            <v>QTD</v>
          </cell>
          <cell r="AQ15" t="str">
            <v>MTD</v>
          </cell>
        </row>
        <row r="16">
          <cell r="A16">
            <v>12</v>
          </cell>
          <cell r="B16" t="str">
            <v>Indiana</v>
          </cell>
          <cell r="C16">
            <v>427</v>
          </cell>
          <cell r="D16">
            <v>675</v>
          </cell>
          <cell r="E16">
            <v>185436.79999999999</v>
          </cell>
          <cell r="F16" t="str">
            <v>na</v>
          </cell>
          <cell r="G16">
            <v>3.3399999999999999E-2</v>
          </cell>
          <cell r="H16">
            <v>11</v>
          </cell>
          <cell r="J16">
            <v>4014</v>
          </cell>
          <cell r="K16">
            <v>0.75509999999999999</v>
          </cell>
          <cell r="L16">
            <v>189450.8</v>
          </cell>
          <cell r="M16">
            <v>2.5199644320061401E-2</v>
          </cell>
          <cell r="P16" t="str">
            <v>Indiana</v>
          </cell>
          <cell r="Q16">
            <v>2.5199644320061401E-2</v>
          </cell>
          <cell r="W16">
            <v>210.00000000000006</v>
          </cell>
          <cell r="AB16">
            <v>0.30813953488372103</v>
          </cell>
          <cell r="AC16">
            <v>9.4444444444444553E-2</v>
          </cell>
          <cell r="AD16">
            <v>0.20304568527918776</v>
          </cell>
          <cell r="AM16" t="str">
            <v>CTL</v>
          </cell>
          <cell r="AN16">
            <v>6.813559322033913E-2</v>
          </cell>
          <cell r="AO16">
            <v>0.15294548115623852</v>
          </cell>
          <cell r="AP16">
            <v>0.12055476529160747</v>
          </cell>
          <cell r="AQ16">
            <v>7.1768707482993133E-2</v>
          </cell>
        </row>
        <row r="17">
          <cell r="A17">
            <v>13</v>
          </cell>
          <cell r="B17" t="str">
            <v>Tennessee</v>
          </cell>
          <cell r="C17">
            <v>738</v>
          </cell>
          <cell r="D17">
            <v>878</v>
          </cell>
          <cell r="E17">
            <v>163228.79999999999</v>
          </cell>
          <cell r="G17">
            <v>2.9399999999999999E-2</v>
          </cell>
          <cell r="H17">
            <v>44</v>
          </cell>
          <cell r="J17">
            <v>21128</v>
          </cell>
          <cell r="K17">
            <v>0.90910000000000002</v>
          </cell>
          <cell r="L17">
            <v>184356.8</v>
          </cell>
          <cell r="M17">
            <v>2.4522070046601521E-2</v>
          </cell>
          <cell r="P17" t="str">
            <v>Tennessee</v>
          </cell>
          <cell r="Q17">
            <v>2.4522070046601521E-2</v>
          </cell>
          <cell r="W17">
            <v>330</v>
          </cell>
          <cell r="AB17">
            <v>1.0499999999999998</v>
          </cell>
          <cell r="AC17">
            <v>0.63276836158192085</v>
          </cell>
          <cell r="AD17">
            <v>0.61650485436893199</v>
          </cell>
          <cell r="AM17" t="str">
            <v>WIN</v>
          </cell>
          <cell r="AN17">
            <v>0.11096605744125321</v>
          </cell>
          <cell r="AO17">
            <v>-7.5000000000000178E-2</v>
          </cell>
          <cell r="AP17">
            <v>5.583126550868478E-2</v>
          </cell>
          <cell r="AQ17">
            <v>4.6740467404673858E-2</v>
          </cell>
        </row>
        <row r="18">
          <cell r="A18">
            <v>14</v>
          </cell>
          <cell r="B18" t="str">
            <v>Minnesota</v>
          </cell>
          <cell r="C18">
            <v>149</v>
          </cell>
          <cell r="D18">
            <v>201</v>
          </cell>
          <cell r="E18">
            <v>144352</v>
          </cell>
          <cell r="F18" t="str">
            <v>na</v>
          </cell>
          <cell r="G18">
            <v>2.5999999999999999E-2</v>
          </cell>
          <cell r="H18">
            <v>40</v>
          </cell>
          <cell r="J18">
            <v>24921</v>
          </cell>
          <cell r="K18">
            <v>0.80640000000000001</v>
          </cell>
          <cell r="L18">
            <v>169273</v>
          </cell>
          <cell r="M18">
            <v>2.2515710638275236E-2</v>
          </cell>
          <cell r="P18" t="str">
            <v>Minnesota</v>
          </cell>
          <cell r="Q18">
            <v>2.2515710638275236E-2</v>
          </cell>
          <cell r="W18">
            <v>80.000000000000071</v>
          </cell>
          <cell r="AB18">
            <v>0.79411764705882359</v>
          </cell>
          <cell r="AC18">
            <v>0.10000000000000009</v>
          </cell>
          <cell r="AD18">
            <v>0.17346938775510212</v>
          </cell>
          <cell r="AM18" t="str">
            <v>FTR</v>
          </cell>
          <cell r="AN18">
            <v>-9.079118028534372E-2</v>
          </cell>
          <cell r="AO18">
            <v>-0.19794050343249436</v>
          </cell>
          <cell r="AP18">
            <v>-2.3676880222841201E-2</v>
          </cell>
          <cell r="AQ18">
            <v>0</v>
          </cell>
        </row>
        <row r="19">
          <cell r="A19">
            <v>15</v>
          </cell>
          <cell r="B19" t="str">
            <v>New Jersey</v>
          </cell>
          <cell r="C19">
            <v>216</v>
          </cell>
          <cell r="D19">
            <v>190</v>
          </cell>
          <cell r="E19">
            <v>152680</v>
          </cell>
          <cell r="F19" t="str">
            <v>na</v>
          </cell>
          <cell r="G19">
            <v>2.75E-2</v>
          </cell>
          <cell r="L19">
            <v>152680</v>
          </cell>
          <cell r="M19">
            <v>2.0308606217482192E-2</v>
          </cell>
          <cell r="P19" t="str">
            <v>New Jersey</v>
          </cell>
          <cell r="Q19">
            <v>2.0308606217482192E-2</v>
          </cell>
          <cell r="W19">
            <v>329.99999999999989</v>
          </cell>
          <cell r="AB19">
            <v>0.34347826086956523</v>
          </cell>
          <cell r="AC19">
            <v>0.67226890756302526</v>
          </cell>
          <cell r="AD19">
            <v>0.54393305439330542</v>
          </cell>
          <cell r="AM19" t="str">
            <v>Q</v>
          </cell>
          <cell r="AN19">
            <v>0.72925764192139741</v>
          </cell>
          <cell r="AO19">
            <v>8.7912087912087822E-2</v>
          </cell>
          <cell r="AP19">
            <v>0.15789473684210531</v>
          </cell>
          <cell r="AQ19">
            <v>-1.2468827930174564E-2</v>
          </cell>
        </row>
        <row r="20">
          <cell r="A20">
            <v>16</v>
          </cell>
          <cell r="B20" t="str">
            <v>Oregon</v>
          </cell>
          <cell r="C20">
            <v>419</v>
          </cell>
          <cell r="D20">
            <v>251</v>
          </cell>
          <cell r="E20">
            <v>53854.400000000001</v>
          </cell>
          <cell r="G20">
            <v>9.7000000000000003E-3</v>
          </cell>
          <cell r="H20">
            <v>96</v>
          </cell>
          <cell r="J20">
            <v>61098</v>
          </cell>
          <cell r="K20">
            <v>0.86260000000000003</v>
          </cell>
          <cell r="L20">
            <v>114952.4</v>
          </cell>
          <cell r="M20">
            <v>1.529030013986442E-2</v>
          </cell>
          <cell r="P20" t="str">
            <v>Oregon</v>
          </cell>
          <cell r="Q20">
            <v>1.529030013986442E-2</v>
          </cell>
          <cell r="W20">
            <v>269.99999999999994</v>
          </cell>
          <cell r="AB20">
            <v>1.3134328358208953</v>
          </cell>
          <cell r="AC20">
            <v>1.1129032258064515</v>
          </cell>
          <cell r="AD20">
            <v>0.84782608695652173</v>
          </cell>
          <cell r="AM20" t="str">
            <v>T</v>
          </cell>
          <cell r="AN20">
            <v>-1.2155591572121649E-3</v>
          </cell>
          <cell r="AO20">
            <v>-0.13508771929824559</v>
          </cell>
          <cell r="AP20">
            <v>-2.1825396825396859E-2</v>
          </cell>
          <cell r="AQ20">
            <v>4.096283783783794E-2</v>
          </cell>
        </row>
        <row r="21">
          <cell r="A21">
            <v>17</v>
          </cell>
          <cell r="B21" t="str">
            <v>Michigan</v>
          </cell>
          <cell r="E21">
            <v>0</v>
          </cell>
          <cell r="H21">
            <v>118</v>
          </cell>
          <cell r="J21">
            <v>85065</v>
          </cell>
          <cell r="K21">
            <v>0.83440000000000003</v>
          </cell>
          <cell r="L21">
            <v>85065</v>
          </cell>
          <cell r="M21">
            <v>1.1314851898677774E-2</v>
          </cell>
          <cell r="P21" t="str">
            <v>Michigan</v>
          </cell>
          <cell r="Q21">
            <v>1.1314851898677774E-2</v>
          </cell>
          <cell r="W21">
            <v>440</v>
          </cell>
          <cell r="AB21">
            <v>0.34441087613293053</v>
          </cell>
          <cell r="AC21">
            <v>0.32352941176470584</v>
          </cell>
          <cell r="AD21">
            <v>0.4688279301745637</v>
          </cell>
          <cell r="AM21" t="str">
            <v>VZ</v>
          </cell>
          <cell r="AN21">
            <v>0.22807017543859653</v>
          </cell>
          <cell r="AO21">
            <v>-9.1445427728613526E-2</v>
          </cell>
          <cell r="AP21">
            <v>1.9867549668874052E-2</v>
          </cell>
          <cell r="AQ21">
            <v>6.9073238458868369E-2</v>
          </cell>
        </row>
        <row r="22">
          <cell r="A22">
            <v>18</v>
          </cell>
          <cell r="B22" t="str">
            <v>Colorado</v>
          </cell>
          <cell r="E22">
            <v>0</v>
          </cell>
          <cell r="H22">
            <v>137</v>
          </cell>
          <cell r="J22">
            <v>80611</v>
          </cell>
          <cell r="K22">
            <v>0.76910000000000001</v>
          </cell>
          <cell r="L22">
            <v>80611</v>
          </cell>
          <cell r="M22">
            <v>1.0722406705511245E-2</v>
          </cell>
          <cell r="P22" t="str">
            <v>Colorado</v>
          </cell>
          <cell r="Q22">
            <v>1.0722406705511245E-2</v>
          </cell>
          <cell r="W22">
            <v>170</v>
          </cell>
          <cell r="AB22">
            <v>0.71597633136094685</v>
          </cell>
          <cell r="AC22">
            <v>0.58045977011494254</v>
          </cell>
          <cell r="AD22">
            <v>0.66666666666666674</v>
          </cell>
          <cell r="AM22" t="str">
            <v>IWA</v>
          </cell>
          <cell r="AN22">
            <v>-0.13172043010752699</v>
          </cell>
          <cell r="AO22">
            <v>-9.5238095238095344E-2</v>
          </cell>
          <cell r="AP22">
            <v>0.12739965095986028</v>
          </cell>
          <cell r="AQ22">
            <v>0.13035870516185488</v>
          </cell>
        </row>
        <row r="23">
          <cell r="A23">
            <v>19</v>
          </cell>
          <cell r="B23" t="str">
            <v>Kansas</v>
          </cell>
          <cell r="C23">
            <v>3804</v>
          </cell>
          <cell r="D23">
            <v>677</v>
          </cell>
          <cell r="E23">
            <v>80504</v>
          </cell>
          <cell r="F23" t="str">
            <v>na</v>
          </cell>
          <cell r="G23">
            <v>1.4500000000000001E-2</v>
          </cell>
          <cell r="L23">
            <v>80504</v>
          </cell>
          <cell r="M23">
            <v>1.0708174187399701E-2</v>
          </cell>
          <cell r="P23" t="str">
            <v>Kansas</v>
          </cell>
          <cell r="Q23">
            <v>1.0708174187399701E-2</v>
          </cell>
          <cell r="W23">
            <v>160</v>
          </cell>
          <cell r="AB23">
            <v>9.0909090909090828E-2</v>
          </cell>
          <cell r="AC23">
            <v>0.52542372881355925</v>
          </cell>
          <cell r="AD23">
            <v>0.33823529411764697</v>
          </cell>
          <cell r="AM23" t="str">
            <v>EQ</v>
          </cell>
          <cell r="AN23">
            <v>0.44653665097511763</v>
          </cell>
          <cell r="AO23">
            <v>0.19632925472747509</v>
          </cell>
          <cell r="AP23">
            <v>0.13659180977542928</v>
          </cell>
          <cell r="AQ23">
            <v>7.7385424492862676E-2</v>
          </cell>
        </row>
        <row r="24">
          <cell r="A24">
            <v>20</v>
          </cell>
          <cell r="B24" t="str">
            <v>South Carolina</v>
          </cell>
          <cell r="C24">
            <v>151</v>
          </cell>
          <cell r="D24">
            <v>251</v>
          </cell>
          <cell r="E24">
            <v>79948.800000000003</v>
          </cell>
          <cell r="G24">
            <v>1.44E-2</v>
          </cell>
          <cell r="L24">
            <v>79948.800000000003</v>
          </cell>
          <cell r="M24">
            <v>1.0634324710245221E-2</v>
          </cell>
          <cell r="P24" t="str">
            <v>South Carolina</v>
          </cell>
          <cell r="Q24">
            <v>1.0634324710245221E-2</v>
          </cell>
          <cell r="W24">
            <v>379.99999999999994</v>
          </cell>
          <cell r="AB24">
            <v>1.2051282051282053</v>
          </cell>
          <cell r="AC24">
            <v>1.54</v>
          </cell>
          <cell r="AD24">
            <v>0.47222222222222232</v>
          </cell>
          <cell r="AM24" t="str">
            <v>CBB</v>
          </cell>
          <cell r="AN24">
            <v>0.52061855670103108</v>
          </cell>
          <cell r="AO24">
            <v>0.52849740932642497</v>
          </cell>
          <cell r="AP24">
            <v>0.28260869565217384</v>
          </cell>
          <cell r="AQ24">
            <v>0.16600790513833985</v>
          </cell>
        </row>
        <row r="25">
          <cell r="A25">
            <v>21</v>
          </cell>
          <cell r="B25" t="str">
            <v>Louisiana</v>
          </cell>
          <cell r="E25">
            <v>0</v>
          </cell>
          <cell r="H25">
            <v>1834</v>
          </cell>
          <cell r="J25">
            <v>79006</v>
          </cell>
          <cell r="K25">
            <v>0.88829999999999998</v>
          </cell>
          <cell r="L25">
            <v>79006</v>
          </cell>
          <cell r="M25">
            <v>1.0508918933838079E-2</v>
          </cell>
          <cell r="P25" t="str">
            <v>Louisiana</v>
          </cell>
          <cell r="Q25">
            <v>1.0508918933838079E-2</v>
          </cell>
          <cell r="W25">
            <v>199.99999999999997</v>
          </cell>
          <cell r="AB25">
            <v>-2.515723270440251E-2</v>
          </cell>
          <cell r="AC25">
            <v>0.37037037037037046</v>
          </cell>
          <cell r="AD25">
            <v>0.47972972972972983</v>
          </cell>
        </row>
        <row r="26">
          <cell r="A26">
            <v>22</v>
          </cell>
          <cell r="B26" t="str">
            <v>Washington</v>
          </cell>
          <cell r="C26">
            <v>80</v>
          </cell>
          <cell r="D26">
            <v>162</v>
          </cell>
          <cell r="E26">
            <v>72176</v>
          </cell>
          <cell r="G26">
            <v>1.2999999999999999E-2</v>
          </cell>
          <cell r="L26">
            <v>72176</v>
          </cell>
          <cell r="M26">
            <v>9.6004320300824893E-3</v>
          </cell>
          <cell r="P26" t="str">
            <v>Washington</v>
          </cell>
          <cell r="Q26">
            <v>9.6004320300824893E-3</v>
          </cell>
          <cell r="W26">
            <v>300</v>
          </cell>
          <cell r="AB26">
            <v>0.51677852348993292</v>
          </cell>
          <cell r="AC26">
            <v>0.59459459459459452</v>
          </cell>
          <cell r="AD26">
            <v>1.2550335570469797</v>
          </cell>
          <cell r="AM26" t="str">
            <v>MAX</v>
          </cell>
          <cell r="AN26">
            <v>0.72925764192139741</v>
          </cell>
          <cell r="AO26">
            <v>0.19632925472747509</v>
          </cell>
          <cell r="AP26">
            <v>0.15789473684210531</v>
          </cell>
          <cell r="AQ26">
            <v>0.13035870516185488</v>
          </cell>
        </row>
        <row r="27">
          <cell r="A27">
            <v>23</v>
          </cell>
          <cell r="B27" t="str">
            <v>Nebraska</v>
          </cell>
          <cell r="C27">
            <v>29</v>
          </cell>
          <cell r="D27">
            <v>216</v>
          </cell>
          <cell r="E27">
            <v>71065.600000000006</v>
          </cell>
          <cell r="F27" t="str">
            <v>na</v>
          </cell>
          <cell r="G27">
            <v>1.2800000000000001E-2</v>
          </cell>
          <cell r="L27">
            <v>71065.600000000006</v>
          </cell>
          <cell r="M27">
            <v>9.4527330757735294E-3</v>
          </cell>
          <cell r="P27" t="str">
            <v>Nebraska</v>
          </cell>
          <cell r="Q27">
            <v>9.4527330757735294E-3</v>
          </cell>
          <cell r="W27">
            <v>80</v>
          </cell>
          <cell r="AB27">
            <v>0.2407407407407407</v>
          </cell>
          <cell r="AC27">
            <v>0.11475409836065564</v>
          </cell>
          <cell r="AD27">
            <v>0.7407407407407407</v>
          </cell>
        </row>
        <row r="28">
          <cell r="A28">
            <v>24</v>
          </cell>
          <cell r="B28" t="str">
            <v>Montana</v>
          </cell>
          <cell r="E28">
            <v>0</v>
          </cell>
          <cell r="H28">
            <v>90</v>
          </cell>
          <cell r="J28">
            <v>52107</v>
          </cell>
          <cell r="K28">
            <v>0.93030000000000002</v>
          </cell>
          <cell r="L28">
            <v>52107</v>
          </cell>
          <cell r="M28">
            <v>6.930970291946191E-3</v>
          </cell>
          <cell r="P28" t="str">
            <v>Montana</v>
          </cell>
          <cell r="Q28">
            <v>6.930970291946191E-3</v>
          </cell>
          <cell r="W28">
            <v>170</v>
          </cell>
          <cell r="AB28">
            <v>0.61538461538461542</v>
          </cell>
          <cell r="AC28">
            <v>0.68421052631578938</v>
          </cell>
          <cell r="AD28">
            <v>0.75</v>
          </cell>
          <cell r="AO28">
            <v>-7.22E-2</v>
          </cell>
        </row>
        <row r="29">
          <cell r="A29">
            <v>25</v>
          </cell>
          <cell r="B29" t="str">
            <v>Illinois</v>
          </cell>
          <cell r="E29">
            <v>0</v>
          </cell>
          <cell r="H29">
            <v>138</v>
          </cell>
          <cell r="J29">
            <v>51968</v>
          </cell>
          <cell r="K29">
            <v>0.94750000000000001</v>
          </cell>
          <cell r="L29">
            <v>51968</v>
          </cell>
          <cell r="M29">
            <v>6.9124813198199794E-3</v>
          </cell>
          <cell r="P29" t="str">
            <v>Illinois</v>
          </cell>
          <cell r="Q29">
            <v>6.9124813198199794E-3</v>
          </cell>
          <cell r="W29">
            <v>389.99999999999994</v>
          </cell>
          <cell r="AB29">
            <v>0.73239436619718301</v>
          </cell>
          <cell r="AC29">
            <v>1.2807692307692307</v>
          </cell>
          <cell r="AD29">
            <v>0.55585831062670299</v>
          </cell>
          <cell r="AO29">
            <v>2251.4548115623852</v>
          </cell>
        </row>
        <row r="30">
          <cell r="A30">
            <v>26</v>
          </cell>
          <cell r="B30" t="str">
            <v>Georgia</v>
          </cell>
          <cell r="E30">
            <v>0</v>
          </cell>
          <cell r="H30">
            <v>68</v>
          </cell>
          <cell r="J30">
            <v>29787</v>
          </cell>
          <cell r="K30">
            <v>1</v>
          </cell>
          <cell r="L30">
            <v>29787</v>
          </cell>
          <cell r="M30">
            <v>3.9620936167156272E-3</v>
          </cell>
          <cell r="P30" t="str">
            <v>Georgia</v>
          </cell>
          <cell r="Q30">
            <v>3.9620936167156272E-3</v>
          </cell>
          <cell r="W30">
            <v>280.00000000000011</v>
          </cell>
          <cell r="AB30">
            <v>0.81155778894472363</v>
          </cell>
          <cell r="AC30">
            <v>0.76957494407158844</v>
          </cell>
          <cell r="AD30">
            <v>0.63168724279835398</v>
          </cell>
        </row>
        <row r="31">
          <cell r="A31">
            <v>27</v>
          </cell>
          <cell r="B31" t="str">
            <v>Mississippi</v>
          </cell>
          <cell r="E31">
            <v>0</v>
          </cell>
          <cell r="H31">
            <v>30</v>
          </cell>
          <cell r="J31">
            <v>19998</v>
          </cell>
          <cell r="K31">
            <v>0.97050000000000003</v>
          </cell>
          <cell r="L31">
            <v>19998</v>
          </cell>
          <cell r="M31">
            <v>2.660017730791255E-3</v>
          </cell>
          <cell r="P31" t="str">
            <v>Mississippi</v>
          </cell>
          <cell r="Q31">
            <v>2.660017730791255E-3</v>
          </cell>
          <cell r="W31">
            <v>279.99999999999994</v>
          </cell>
          <cell r="AB31">
            <v>0.37681159420289845</v>
          </cell>
          <cell r="AC31">
            <v>0.29487179487179493</v>
          </cell>
          <cell r="AD31">
            <v>0.45121951219512191</v>
          </cell>
        </row>
        <row r="32">
          <cell r="A32">
            <v>28</v>
          </cell>
          <cell r="B32" t="str">
            <v>Wyoming</v>
          </cell>
          <cell r="C32">
            <v>5</v>
          </cell>
          <cell r="D32">
            <v>13</v>
          </cell>
          <cell r="E32">
            <v>7772.8</v>
          </cell>
          <cell r="G32">
            <v>1.4E-3</v>
          </cell>
          <cell r="H32">
            <v>11</v>
          </cell>
          <cell r="J32">
            <v>6388</v>
          </cell>
          <cell r="K32">
            <v>0.76129999999999998</v>
          </cell>
          <cell r="L32">
            <v>14160.8</v>
          </cell>
          <cell r="M32">
            <v>1.8835873128407244E-3</v>
          </cell>
          <cell r="P32" t="str">
            <v>Wyoming</v>
          </cell>
          <cell r="Q32">
            <v>1.8835873128407244E-3</v>
          </cell>
          <cell r="W32">
            <v>429.99999999999994</v>
          </cell>
          <cell r="AB32">
            <v>1.2000000000000002</v>
          </cell>
          <cell r="AC32">
            <v>3.4000000000000004</v>
          </cell>
          <cell r="AD32">
            <v>0.11764705882352944</v>
          </cell>
        </row>
        <row r="33">
          <cell r="A33">
            <v>29</v>
          </cell>
          <cell r="B33" t="str">
            <v>New Mexico</v>
          </cell>
          <cell r="E33">
            <v>0</v>
          </cell>
          <cell r="H33">
            <v>12</v>
          </cell>
          <cell r="J33">
            <v>5188</v>
          </cell>
          <cell r="K33" t="str">
            <v>na</v>
          </cell>
          <cell r="L33">
            <v>5188</v>
          </cell>
          <cell r="M33">
            <v>6.9007760712796443E-4</v>
          </cell>
          <cell r="P33" t="str">
            <v>New Mexico</v>
          </cell>
          <cell r="Q33">
            <v>6.9007760712796443E-4</v>
          </cell>
          <cell r="W33">
            <v>360.00000000000006</v>
          </cell>
          <cell r="AB33">
            <v>0.11904761904761907</v>
          </cell>
          <cell r="AC33">
            <v>0.95121951219512191</v>
          </cell>
          <cell r="AD33">
            <v>0.58490566037735858</v>
          </cell>
        </row>
        <row r="34">
          <cell r="A34">
            <v>30</v>
          </cell>
          <cell r="B34" t="str">
            <v>Idaho</v>
          </cell>
          <cell r="E34">
            <v>0</v>
          </cell>
          <cell r="H34">
            <v>7</v>
          </cell>
          <cell r="J34">
            <v>5129</v>
          </cell>
          <cell r="K34">
            <v>0.66500000000000004</v>
          </cell>
          <cell r="L34">
            <v>5129</v>
          </cell>
          <cell r="M34">
            <v>6.8222977003842128E-4</v>
          </cell>
          <cell r="P34" t="str">
            <v>Idaho</v>
          </cell>
          <cell r="Q34">
            <v>6.8222977003842128E-4</v>
          </cell>
          <cell r="W34">
            <v>300</v>
          </cell>
          <cell r="AB34">
            <v>0.96666666666666656</v>
          </cell>
          <cell r="AC34">
            <v>0.5</v>
          </cell>
          <cell r="AD34">
            <v>0.68421052631578938</v>
          </cell>
        </row>
        <row r="35">
          <cell r="A35">
            <v>31</v>
          </cell>
          <cell r="B35" t="str">
            <v>Iowa</v>
          </cell>
          <cell r="E35">
            <v>0</v>
          </cell>
          <cell r="H35">
            <v>5</v>
          </cell>
          <cell r="J35">
            <v>1603</v>
          </cell>
          <cell r="K35">
            <v>0.83909999999999996</v>
          </cell>
          <cell r="L35">
            <v>1603</v>
          </cell>
          <cell r="M35">
            <v>2.1322174329724882E-4</v>
          </cell>
          <cell r="P35" t="str">
            <v>Iowa</v>
          </cell>
          <cell r="Q35">
            <v>2.1322174329724882E-4</v>
          </cell>
          <cell r="W35">
            <v>220</v>
          </cell>
          <cell r="AB35">
            <v>0.77192982456140347</v>
          </cell>
          <cell r="AC35">
            <v>0.625</v>
          </cell>
          <cell r="AD35">
            <v>0.39473684210526305</v>
          </cell>
        </row>
        <row r="36">
          <cell r="A36">
            <v>32</v>
          </cell>
          <cell r="B36" t="str">
            <v>California</v>
          </cell>
          <cell r="E36">
            <v>0</v>
          </cell>
          <cell r="L36">
            <v>0</v>
          </cell>
          <cell r="M36">
            <v>0</v>
          </cell>
          <cell r="P36" t="str">
            <v>California</v>
          </cell>
          <cell r="Q36">
            <v>0</v>
          </cell>
          <cell r="W36">
            <v>370.00000000000006</v>
          </cell>
          <cell r="AB36">
            <v>0.77268292682926831</v>
          </cell>
          <cell r="AC36">
            <v>0.71050454921422657</v>
          </cell>
          <cell r="AD36">
            <v>0.46477052359405291</v>
          </cell>
        </row>
        <row r="37">
          <cell r="A37">
            <v>33</v>
          </cell>
          <cell r="B37" t="str">
            <v>Oklahoma</v>
          </cell>
          <cell r="E37">
            <v>0</v>
          </cell>
          <cell r="L37">
            <v>0</v>
          </cell>
          <cell r="M37">
            <v>0</v>
          </cell>
          <cell r="P37" t="str">
            <v>Oklahoma</v>
          </cell>
          <cell r="Q37">
            <v>0</v>
          </cell>
          <cell r="W37">
            <v>200.00000000000003</v>
          </cell>
          <cell r="AB37">
            <v>0.56470588235294117</v>
          </cell>
          <cell r="AC37">
            <v>0.54545454545454541</v>
          </cell>
          <cell r="AD37">
            <v>0.31192660550458706</v>
          </cell>
        </row>
        <row r="38">
          <cell r="E38">
            <v>5552000</v>
          </cell>
          <cell r="G38">
            <v>1.0000000000000002</v>
          </cell>
          <cell r="J38">
            <v>1965995</v>
          </cell>
          <cell r="L38">
            <v>7517994.9999999991</v>
          </cell>
          <cell r="M38">
            <v>1.0000000000000004</v>
          </cell>
          <cell r="P38" t="str">
            <v>US avg</v>
          </cell>
          <cell r="Q38">
            <v>0</v>
          </cell>
          <cell r="W38">
            <v>279.99999999999994</v>
          </cell>
          <cell r="AB38">
            <v>0.61164010931478929</v>
          </cell>
          <cell r="AC38">
            <v>0.72105324841913565</v>
          </cell>
          <cell r="AD38">
            <v>0.6441012822565777</v>
          </cell>
        </row>
        <row r="40">
          <cell r="B40" t="str">
            <v>* Two thirds</v>
          </cell>
          <cell r="E40">
            <v>5551999.9999999991</v>
          </cell>
          <cell r="L40">
            <v>0.73849477154480692</v>
          </cell>
        </row>
        <row r="42">
          <cell r="X42">
            <v>25.76</v>
          </cell>
          <cell r="Y42">
            <v>31.51</v>
          </cell>
        </row>
        <row r="43">
          <cell r="Y43">
            <v>0.22321428571428581</v>
          </cell>
        </row>
        <row r="44">
          <cell r="A44">
            <v>1</v>
          </cell>
          <cell r="B44" t="str">
            <v>Florida</v>
          </cell>
          <cell r="M44">
            <v>0.20389840642352119</v>
          </cell>
        </row>
        <row r="45">
          <cell r="A45">
            <v>2</v>
          </cell>
          <cell r="B45" t="str">
            <v>North Carolina</v>
          </cell>
          <cell r="M45">
            <v>0.13903879957355653</v>
          </cell>
        </row>
        <row r="46">
          <cell r="A46">
            <v>3</v>
          </cell>
          <cell r="B46" t="str">
            <v>Nevada</v>
          </cell>
          <cell r="M46">
            <v>7.6803456240659915E-2</v>
          </cell>
        </row>
        <row r="47">
          <cell r="A47">
            <v>4</v>
          </cell>
          <cell r="B47" t="str">
            <v>Missouri</v>
          </cell>
          <cell r="M47">
            <v>7.4330296841112573E-2</v>
          </cell>
        </row>
        <row r="48">
          <cell r="A48">
            <v>5</v>
          </cell>
          <cell r="B48" t="str">
            <v>Ohio</v>
          </cell>
          <cell r="M48">
            <v>5.8999879622159912E-2</v>
          </cell>
          <cell r="U48">
            <v>0.36619513580416063</v>
          </cell>
          <cell r="V48">
            <v>0.29145305363996654</v>
          </cell>
          <cell r="W48">
            <v>5.3609479655147431E-2</v>
          </cell>
          <cell r="X48">
            <v>0.28852910915742841</v>
          </cell>
        </row>
        <row r="49">
          <cell r="B49" t="str">
            <v>28 Other States</v>
          </cell>
          <cell r="M49">
            <v>0.44692916129898985</v>
          </cell>
          <cell r="P49" t="str">
            <v>FL</v>
          </cell>
          <cell r="Q49" t="str">
            <v>Florida</v>
          </cell>
          <cell r="R49">
            <v>420.00000000000011</v>
          </cell>
          <cell r="S49">
            <v>0.65272496831432192</v>
          </cell>
          <cell r="T49">
            <v>0.20389840642352119</v>
          </cell>
          <cell r="U49">
            <v>0.20389840642352119</v>
          </cell>
        </row>
        <row r="50">
          <cell r="P50" t="str">
            <v>NC</v>
          </cell>
          <cell r="Q50" t="str">
            <v>North Carolina</v>
          </cell>
          <cell r="R50">
            <v>309.99999999999989</v>
          </cell>
          <cell r="S50">
            <v>0.54672897196261672</v>
          </cell>
          <cell r="T50">
            <v>0.13903879957355653</v>
          </cell>
          <cell r="V50">
            <v>0.13903879957355653</v>
          </cell>
        </row>
        <row r="51">
          <cell r="P51" t="str">
            <v>NV</v>
          </cell>
          <cell r="Q51" t="str">
            <v>Nevada</v>
          </cell>
          <cell r="R51">
            <v>460</v>
          </cell>
          <cell r="S51">
            <v>1.0849056603773586</v>
          </cell>
          <cell r="T51">
            <v>7.6803456240659915E-2</v>
          </cell>
          <cell r="U51">
            <v>7.6803456240659915E-2</v>
          </cell>
        </row>
        <row r="52">
          <cell r="P52" t="str">
            <v>MO</v>
          </cell>
          <cell r="Q52" t="str">
            <v>Missouri</v>
          </cell>
          <cell r="R52">
            <v>250.00000000000009</v>
          </cell>
          <cell r="S52">
            <v>0.35294117647058831</v>
          </cell>
          <cell r="T52">
            <v>7.4330296841112573E-2</v>
          </cell>
          <cell r="X52">
            <v>7.4330296841112573E-2</v>
          </cell>
        </row>
        <row r="53">
          <cell r="P53" t="str">
            <v>OH</v>
          </cell>
          <cell r="Q53" t="str">
            <v>Ohio</v>
          </cell>
          <cell r="R53">
            <v>349.99999999999989</v>
          </cell>
          <cell r="S53">
            <v>0.42500000000000004</v>
          </cell>
          <cell r="T53">
            <v>5.8999879622159912E-2</v>
          </cell>
          <cell r="V53">
            <v>5.8999879622159912E-2</v>
          </cell>
        </row>
        <row r="54">
          <cell r="P54" t="str">
            <v>VA</v>
          </cell>
          <cell r="Q54" t="str">
            <v>Virginia</v>
          </cell>
          <cell r="R54">
            <v>190.00000000000003</v>
          </cell>
          <cell r="S54">
            <v>0.15481171548117145</v>
          </cell>
          <cell r="T54">
            <v>5.6089156749904737E-2</v>
          </cell>
          <cell r="X54">
            <v>5.6089156749904737E-2</v>
          </cell>
        </row>
        <row r="55">
          <cell r="P55" t="str">
            <v>WI</v>
          </cell>
          <cell r="Q55" t="str">
            <v>Wisconsin</v>
          </cell>
          <cell r="R55">
            <v>279.99999999999989</v>
          </cell>
          <cell r="S55">
            <v>0.32515337423312873</v>
          </cell>
          <cell r="T55">
            <v>4.7299446195428439E-2</v>
          </cell>
          <cell r="V55">
            <v>4.7299446195428439E-2</v>
          </cell>
        </row>
        <row r="56">
          <cell r="P56" t="str">
            <v>TX</v>
          </cell>
          <cell r="Q56" t="str">
            <v>Texas</v>
          </cell>
          <cell r="R56">
            <v>270.00000000000011</v>
          </cell>
          <cell r="S56">
            <v>0.7009602194787381</v>
          </cell>
          <cell r="T56">
            <v>3.9487921979197919E-2</v>
          </cell>
          <cell r="X56">
            <v>3.9487921979197919E-2</v>
          </cell>
        </row>
        <row r="57">
          <cell r="P57" t="str">
            <v>PA</v>
          </cell>
          <cell r="Q57" t="str">
            <v>Pennsylvania</v>
          </cell>
          <cell r="R57">
            <v>250.00000000000009</v>
          </cell>
          <cell r="S57">
            <v>0.41964285714285721</v>
          </cell>
          <cell r="T57">
            <v>3.8401728120329957E-2</v>
          </cell>
          <cell r="X57">
            <v>3.8401728120329957E-2</v>
          </cell>
        </row>
        <row r="58">
          <cell r="P58" t="str">
            <v>AL</v>
          </cell>
          <cell r="Q58" t="str">
            <v>Alabama</v>
          </cell>
          <cell r="R58">
            <v>450</v>
          </cell>
          <cell r="S58">
            <v>0.61417322834645671</v>
          </cell>
          <cell r="T58">
            <v>3.5046578243268324E-2</v>
          </cell>
          <cell r="U58">
            <v>3.5046578243268324E-2</v>
          </cell>
        </row>
        <row r="59">
          <cell r="P59" t="str">
            <v>AK</v>
          </cell>
          <cell r="Q59" t="str">
            <v>Arkansas</v>
          </cell>
          <cell r="R59">
            <v>199.99999999999997</v>
          </cell>
          <cell r="S59">
            <v>0.41964285714285721</v>
          </cell>
          <cell r="T59">
            <v>2.5891477714470416E-2</v>
          </cell>
          <cell r="X59">
            <v>2.5891477714470416E-2</v>
          </cell>
        </row>
        <row r="60">
          <cell r="P60" t="str">
            <v>IN</v>
          </cell>
          <cell r="Q60" t="str">
            <v>Indiana</v>
          </cell>
          <cell r="R60">
            <v>210.00000000000006</v>
          </cell>
          <cell r="S60">
            <v>0.20304568527918776</v>
          </cell>
          <cell r="T60">
            <v>2.5199644320061401E-2</v>
          </cell>
          <cell r="V60">
            <v>2.5199644320061401E-2</v>
          </cell>
        </row>
        <row r="61">
          <cell r="P61" t="str">
            <v>TN</v>
          </cell>
          <cell r="Q61" t="str">
            <v>Tennessee</v>
          </cell>
          <cell r="R61">
            <v>330</v>
          </cell>
          <cell r="S61">
            <v>0.61650485436893199</v>
          </cell>
          <cell r="T61">
            <v>2.4522070046601521E-2</v>
          </cell>
          <cell r="U61">
            <v>2.4522070046601521E-2</v>
          </cell>
        </row>
        <row r="62">
          <cell r="P62" t="str">
            <v>MN</v>
          </cell>
          <cell r="Q62" t="str">
            <v>Minnesota</v>
          </cell>
          <cell r="R62">
            <v>80.000000000000071</v>
          </cell>
          <cell r="S62">
            <v>0.17346938775510212</v>
          </cell>
          <cell r="T62">
            <v>2.2515710638275236E-2</v>
          </cell>
          <cell r="W62">
            <v>2.2515710638275236E-2</v>
          </cell>
        </row>
        <row r="63">
          <cell r="P63" t="str">
            <v>NJ</v>
          </cell>
          <cell r="Q63" t="str">
            <v>New Jersey</v>
          </cell>
          <cell r="R63">
            <v>329.99999999999989</v>
          </cell>
          <cell r="S63">
            <v>0.54393305439330542</v>
          </cell>
          <cell r="T63">
            <v>2.0308606217482192E-2</v>
          </cell>
          <cell r="X63">
            <v>2.0308606217482192E-2</v>
          </cell>
        </row>
        <row r="64">
          <cell r="P64" t="str">
            <v>OR</v>
          </cell>
          <cell r="Q64" t="str">
            <v>Oregon</v>
          </cell>
          <cell r="R64">
            <v>269.99999999999994</v>
          </cell>
          <cell r="S64">
            <v>0.84782608695652173</v>
          </cell>
          <cell r="T64">
            <v>1.529030013986442E-2</v>
          </cell>
          <cell r="U64">
            <v>1.529030013986442E-2</v>
          </cell>
        </row>
        <row r="65">
          <cell r="P65" t="str">
            <v>MI</v>
          </cell>
          <cell r="Q65" t="str">
            <v>Michigan</v>
          </cell>
          <cell r="R65">
            <v>440</v>
          </cell>
          <cell r="S65">
            <v>0.4688279301745637</v>
          </cell>
          <cell r="T65">
            <v>1.1314851898677774E-2</v>
          </cell>
          <cell r="V65">
            <v>1.1314851898677774E-2</v>
          </cell>
        </row>
        <row r="66">
          <cell r="P66" t="str">
            <v>CO</v>
          </cell>
          <cell r="Q66" t="str">
            <v>Colorado</v>
          </cell>
          <cell r="R66">
            <v>170</v>
          </cell>
          <cell r="S66">
            <v>0.66666666666666674</v>
          </cell>
          <cell r="T66">
            <v>1.0722406705511245E-2</v>
          </cell>
          <cell r="W66">
            <v>1.0722406705511245E-2</v>
          </cell>
        </row>
        <row r="67">
          <cell r="P67" t="str">
            <v>KS</v>
          </cell>
          <cell r="Q67" t="str">
            <v>Kansas</v>
          </cell>
          <cell r="R67">
            <v>160</v>
          </cell>
          <cell r="S67">
            <v>0.33823529411764697</v>
          </cell>
          <cell r="T67">
            <v>1.0708174187399701E-2</v>
          </cell>
          <cell r="X67">
            <v>1.0708174187399701E-2</v>
          </cell>
        </row>
        <row r="68">
          <cell r="P68" t="str">
            <v>SC</v>
          </cell>
          <cell r="Q68" t="str">
            <v>South Carolina</v>
          </cell>
          <cell r="R68">
            <v>379.99999999999994</v>
          </cell>
          <cell r="S68">
            <v>0.47222222222222232</v>
          </cell>
          <cell r="T68">
            <v>1.0634324710245221E-2</v>
          </cell>
          <cell r="U68">
            <v>1.0634324710245221E-2</v>
          </cell>
        </row>
        <row r="69">
          <cell r="P69" t="str">
            <v>LA</v>
          </cell>
          <cell r="Q69" t="str">
            <v>Louisiana</v>
          </cell>
          <cell r="R69">
            <v>199.99999999999997</v>
          </cell>
          <cell r="S69">
            <v>0.47972972972972983</v>
          </cell>
          <cell r="T69">
            <v>1.0508918933838079E-2</v>
          </cell>
          <cell r="X69">
            <v>1.0508918933838079E-2</v>
          </cell>
        </row>
        <row r="70">
          <cell r="P70" t="str">
            <v>WA</v>
          </cell>
          <cell r="Q70" t="str">
            <v>Washington</v>
          </cell>
          <cell r="R70">
            <v>300</v>
          </cell>
          <cell r="S70">
            <v>1.2550335570469797</v>
          </cell>
          <cell r="T70">
            <v>9.6004320300824893E-3</v>
          </cell>
          <cell r="V70">
            <v>9.6004320300824893E-3</v>
          </cell>
        </row>
        <row r="71">
          <cell r="E71" t="str">
            <v>Access lines</v>
          </cell>
          <cell r="F71">
            <v>2041</v>
          </cell>
          <cell r="G71">
            <v>5853</v>
          </cell>
          <cell r="H71">
            <v>7894</v>
          </cell>
          <cell r="P71" t="str">
            <v>NE</v>
          </cell>
          <cell r="Q71" t="str">
            <v>Nebraska</v>
          </cell>
          <cell r="R71">
            <v>80</v>
          </cell>
          <cell r="S71">
            <v>0.7407407407407407</v>
          </cell>
          <cell r="T71">
            <v>9.4527330757735294E-3</v>
          </cell>
          <cell r="X71">
            <v>9.4527330757735294E-3</v>
          </cell>
        </row>
        <row r="72">
          <cell r="E72" t="str">
            <v>Broadband</v>
          </cell>
          <cell r="F72">
            <v>628</v>
          </cell>
          <cell r="G72">
            <v>1388</v>
          </cell>
          <cell r="H72">
            <v>2016</v>
          </cell>
          <cell r="P72" t="str">
            <v>MT</v>
          </cell>
          <cell r="Q72" t="str">
            <v>Montana</v>
          </cell>
          <cell r="R72">
            <v>170</v>
          </cell>
          <cell r="S72">
            <v>0.75</v>
          </cell>
          <cell r="T72">
            <v>6.930970291946191E-3</v>
          </cell>
          <cell r="W72">
            <v>6.930970291946191E-3</v>
          </cell>
        </row>
        <row r="73">
          <cell r="E73" t="str">
            <v>Revenue</v>
          </cell>
          <cell r="F73">
            <v>2613</v>
          </cell>
          <cell r="G73">
            <v>6222</v>
          </cell>
          <cell r="H73">
            <v>8835</v>
          </cell>
          <cell r="P73" t="str">
            <v>IL</v>
          </cell>
          <cell r="Q73" t="str">
            <v>Illinois</v>
          </cell>
          <cell r="R73">
            <v>389.99999999999994</v>
          </cell>
          <cell r="S73">
            <v>0.55585831062670299</v>
          </cell>
          <cell r="T73">
            <v>6.9124813198199794E-3</v>
          </cell>
          <cell r="W73">
            <v>6.9124813198199794E-3</v>
          </cell>
        </row>
        <row r="74">
          <cell r="E74" t="str">
            <v>EBITDA</v>
          </cell>
          <cell r="F74">
            <v>1246</v>
          </cell>
          <cell r="G74">
            <v>2598</v>
          </cell>
          <cell r="H74">
            <v>3844</v>
          </cell>
          <cell r="P74" t="str">
            <v>GA</v>
          </cell>
          <cell r="Q74" t="str">
            <v>Georgia</v>
          </cell>
          <cell r="R74">
            <v>280.00000000000011</v>
          </cell>
          <cell r="S74">
            <v>0.63168724279835398</v>
          </cell>
          <cell r="T74">
            <v>3.9620936167156272E-3</v>
          </cell>
          <cell r="W74">
            <v>3.9620936167156272E-3</v>
          </cell>
        </row>
        <row r="75">
          <cell r="E75" t="str">
            <v>Net Debt</v>
          </cell>
          <cell r="F75">
            <v>3086</v>
          </cell>
          <cell r="G75">
            <v>5757</v>
          </cell>
          <cell r="H75">
            <v>8843</v>
          </cell>
          <cell r="P75" t="str">
            <v>MS</v>
          </cell>
          <cell r="Q75" t="str">
            <v>Mississippi</v>
          </cell>
          <cell r="R75">
            <v>279.99999999999994</v>
          </cell>
          <cell r="S75">
            <v>0.45121951219512191</v>
          </cell>
          <cell r="T75">
            <v>2.660017730791255E-3</v>
          </cell>
          <cell r="X75">
            <v>2.660017730791255E-3</v>
          </cell>
        </row>
        <row r="76">
          <cell r="P76" t="str">
            <v>WY</v>
          </cell>
          <cell r="Q76" t="str">
            <v>Wyoming</v>
          </cell>
          <cell r="R76">
            <v>429.99999999999994</v>
          </cell>
          <cell r="S76">
            <v>0.11764705882352944</v>
          </cell>
          <cell r="T76">
            <v>1.8835873128407244E-3</v>
          </cell>
          <cell r="W76">
            <v>1.8835873128407244E-3</v>
          </cell>
        </row>
        <row r="77">
          <cell r="F77" t="str">
            <v>CenturyTel</v>
          </cell>
          <cell r="G77" t="str">
            <v>Embarq</v>
          </cell>
          <cell r="P77" t="str">
            <v>NM</v>
          </cell>
          <cell r="Q77" t="str">
            <v>New Mexico</v>
          </cell>
          <cell r="R77">
            <v>360.00000000000006</v>
          </cell>
          <cell r="S77">
            <v>0.58490566037735858</v>
          </cell>
          <cell r="T77">
            <v>6.9007760712796443E-4</v>
          </cell>
          <cell r="X77">
            <v>6.9007760712796443E-4</v>
          </cell>
        </row>
        <row r="78">
          <cell r="E78" t="str">
            <v>Access lines</v>
          </cell>
          <cell r="F78">
            <v>0.25855079807448694</v>
          </cell>
          <cell r="G78">
            <v>0.741449201925513</v>
          </cell>
          <cell r="P78" t="str">
            <v>ID</v>
          </cell>
          <cell r="Q78" t="str">
            <v>Idaho</v>
          </cell>
          <cell r="R78">
            <v>300</v>
          </cell>
          <cell r="S78">
            <v>0.68421052631578938</v>
          </cell>
          <cell r="T78">
            <v>6.8222977003842128E-4</v>
          </cell>
          <cell r="W78">
            <v>6.8222977003842128E-4</v>
          </cell>
        </row>
        <row r="79">
          <cell r="E79" t="str">
            <v>Broadband</v>
          </cell>
          <cell r="F79">
            <v>0.31150793650793651</v>
          </cell>
          <cell r="G79">
            <v>0.68849206349206349</v>
          </cell>
          <cell r="P79" t="str">
            <v>IA</v>
          </cell>
          <cell r="Q79" t="str">
            <v>Iowa</v>
          </cell>
          <cell r="R79">
            <v>220</v>
          </cell>
          <cell r="S79">
            <v>0.39473684210526305</v>
          </cell>
          <cell r="T79">
            <v>2.1322174329724882E-4</v>
          </cell>
        </row>
        <row r="80">
          <cell r="E80" t="str">
            <v>Revenue</v>
          </cell>
          <cell r="F80">
            <v>0.29575551782682513</v>
          </cell>
          <cell r="G80">
            <v>0.70424448217317492</v>
          </cell>
          <cell r="P80" t="str">
            <v>CA</v>
          </cell>
          <cell r="Q80" t="str">
            <v>California</v>
          </cell>
          <cell r="R80">
            <v>370.00000000000006</v>
          </cell>
          <cell r="S80">
            <v>0.46477052359405291</v>
          </cell>
          <cell r="T80">
            <v>0</v>
          </cell>
        </row>
        <row r="81">
          <cell r="E81" t="str">
            <v>EBITDA</v>
          </cell>
          <cell r="F81">
            <v>0.32414151925078044</v>
          </cell>
          <cell r="G81">
            <v>0.67585848074921961</v>
          </cell>
          <cell r="P81" t="str">
            <v>OK</v>
          </cell>
          <cell r="Q81" t="str">
            <v>Oklahoma</v>
          </cell>
          <cell r="R81">
            <v>200.00000000000003</v>
          </cell>
          <cell r="S81">
            <v>0.31192660550458706</v>
          </cell>
          <cell r="T81">
            <v>0</v>
          </cell>
        </row>
        <row r="82">
          <cell r="E82" t="str">
            <v>Net Debt</v>
          </cell>
          <cell r="F82">
            <v>0.34897659165441591</v>
          </cell>
          <cell r="G82">
            <v>0.65102340834558403</v>
          </cell>
          <cell r="P82" t="str">
            <v>US AVG</v>
          </cell>
          <cell r="Q82" t="str">
            <v>US avg</v>
          </cell>
          <cell r="R82">
            <v>279.99999999999994</v>
          </cell>
          <cell r="S82">
            <v>0.6441012822565777</v>
          </cell>
          <cell r="T82">
            <v>0</v>
          </cell>
        </row>
      </sheetData>
      <sheetData sheetId="3"/>
      <sheetData sheetId="4"/>
      <sheetData sheetId="5">
        <row r="4">
          <cell r="B4" t="str">
            <v>Access Lines</v>
          </cell>
          <cell r="C4" t="str">
            <v>Broadband</v>
          </cell>
          <cell r="D4" t="str">
            <v>LTM</v>
          </cell>
        </row>
        <row r="5">
          <cell r="B5" t="str">
            <v>Access 
Lines</v>
          </cell>
          <cell r="C5" t="str">
            <v>Broadband</v>
          </cell>
          <cell r="D5" t="str">
            <v>LTM 
Revenue</v>
          </cell>
          <cell r="E5" t="str">
            <v>LTM 
EBITDA</v>
          </cell>
          <cell r="F5" t="str">
            <v>LTM 
FCF</v>
          </cell>
          <cell r="G5" t="str">
            <v>Net 
Debt</v>
          </cell>
          <cell r="H5" t="str">
            <v>LTM Cash Opex</v>
          </cell>
        </row>
        <row r="6">
          <cell r="A6" t="str">
            <v>Embarq</v>
          </cell>
          <cell r="B6">
            <v>5552</v>
          </cell>
          <cell r="C6">
            <v>1452</v>
          </cell>
          <cell r="D6">
            <v>5579</v>
          </cell>
          <cell r="E6">
            <v>2605</v>
          </cell>
          <cell r="F6">
            <v>1186</v>
          </cell>
          <cell r="G6">
            <v>5195</v>
          </cell>
          <cell r="H6">
            <v>2974</v>
          </cell>
          <cell r="J6">
            <v>0.46692955726832763</v>
          </cell>
        </row>
        <row r="7">
          <cell r="A7" t="str">
            <v>CenturyTel</v>
          </cell>
          <cell r="B7">
            <v>1967</v>
          </cell>
          <cell r="C7">
            <v>665</v>
          </cell>
          <cell r="D7">
            <v>2587.4488675051889</v>
          </cell>
          <cell r="E7">
            <v>1247.108867505189</v>
          </cell>
          <cell r="F7">
            <v>0</v>
          </cell>
          <cell r="G7">
            <v>0</v>
          </cell>
          <cell r="H7">
            <v>1340.34</v>
          </cell>
          <cell r="J7">
            <v>0.48198396620206369</v>
          </cell>
        </row>
        <row r="8">
          <cell r="A8" t="str">
            <v>Century Link</v>
          </cell>
          <cell r="B8">
            <v>7519</v>
          </cell>
          <cell r="C8">
            <v>2117</v>
          </cell>
          <cell r="D8">
            <v>8166.4488675051889</v>
          </cell>
          <cell r="E8">
            <v>3852.1088675051888</v>
          </cell>
          <cell r="F8">
            <v>1186</v>
          </cell>
          <cell r="G8">
            <v>5195</v>
          </cell>
          <cell r="H8">
            <v>4314.34</v>
          </cell>
        </row>
        <row r="11">
          <cell r="A11" t="str">
            <v>Embarq</v>
          </cell>
          <cell r="B11">
            <v>0.73839606330629071</v>
          </cell>
          <cell r="C11">
            <v>0.6858762399622107</v>
          </cell>
          <cell r="D11">
            <v>0.68316107656036273</v>
          </cell>
          <cell r="E11">
            <v>0.67625295379751904</v>
          </cell>
          <cell r="F11">
            <v>1</v>
          </cell>
          <cell r="G11">
            <v>1</v>
          </cell>
          <cell r="H11">
            <v>0.68932907466727233</v>
          </cell>
        </row>
        <row r="12">
          <cell r="A12" t="str">
            <v>CenturyTel</v>
          </cell>
          <cell r="B12">
            <v>0.26160393669370929</v>
          </cell>
          <cell r="C12">
            <v>0.3141237600377893</v>
          </cell>
          <cell r="D12">
            <v>0.31683892343963727</v>
          </cell>
          <cell r="E12">
            <v>0.32374704620248096</v>
          </cell>
          <cell r="F12">
            <v>0</v>
          </cell>
          <cell r="G12">
            <v>0</v>
          </cell>
          <cell r="H12">
            <v>0.31067092533272755</v>
          </cell>
        </row>
        <row r="19">
          <cell r="B19" t="str">
            <v>LTM OCF</v>
          </cell>
          <cell r="C19" t="str">
            <v>LTM Capex</v>
          </cell>
          <cell r="D19" t="str">
            <v>LTM FCF</v>
          </cell>
        </row>
        <row r="20">
          <cell r="A20" t="str">
            <v>Embarq</v>
          </cell>
          <cell r="B20">
            <v>1789</v>
          </cell>
          <cell r="C20">
            <v>-603</v>
          </cell>
          <cell r="D20">
            <v>1186</v>
          </cell>
        </row>
        <row r="21">
          <cell r="A21" t="str">
            <v>CenturyTel</v>
          </cell>
          <cell r="B21">
            <v>0</v>
          </cell>
          <cell r="C21">
            <v>0</v>
          </cell>
          <cell r="D21">
            <v>0</v>
          </cell>
        </row>
        <row r="22">
          <cell r="A22" t="str">
            <v>Century Link</v>
          </cell>
          <cell r="B22">
            <v>1789</v>
          </cell>
          <cell r="C22">
            <v>-603</v>
          </cell>
          <cell r="D22">
            <v>1186</v>
          </cell>
        </row>
        <row r="27">
          <cell r="B27" t="str">
            <v>Cash</v>
          </cell>
          <cell r="C27" t="str">
            <v>Debt</v>
          </cell>
          <cell r="D27" t="str">
            <v>Net Debt</v>
          </cell>
        </row>
        <row r="28">
          <cell r="A28" t="str">
            <v>Embarq</v>
          </cell>
          <cell r="B28">
            <v>5195</v>
          </cell>
          <cell r="D28">
            <v>5195</v>
          </cell>
        </row>
        <row r="29">
          <cell r="A29" t="str">
            <v>CenturyTel</v>
          </cell>
          <cell r="D29">
            <v>0</v>
          </cell>
        </row>
        <row r="30">
          <cell r="A30" t="str">
            <v>Century Link</v>
          </cell>
          <cell r="D30">
            <v>5195</v>
          </cell>
        </row>
        <row r="56">
          <cell r="B56" t="str">
            <v>1Q06</v>
          </cell>
          <cell r="C56" t="str">
            <v>2Q06</v>
          </cell>
          <cell r="D56" t="str">
            <v>3Q06</v>
          </cell>
          <cell r="E56" t="str">
            <v>4Q06</v>
          </cell>
          <cell r="F56" t="str">
            <v>1Q07</v>
          </cell>
          <cell r="G56" t="str">
            <v>2Q07</v>
          </cell>
          <cell r="H56" t="str">
            <v>3Q07</v>
          </cell>
          <cell r="I56" t="str">
            <v>4Q07</v>
          </cell>
          <cell r="J56" t="str">
            <v>1Q08</v>
          </cell>
          <cell r="K56" t="str">
            <v>2Q08</v>
          </cell>
          <cell r="L56" t="str">
            <v>3Q08</v>
          </cell>
          <cell r="M56" t="str">
            <v>4Q08</v>
          </cell>
          <cell r="N56" t="str">
            <v>1Q09</v>
          </cell>
          <cell r="O56" t="str">
            <v>2Q09E</v>
          </cell>
        </row>
        <row r="57">
          <cell r="A57" t="str">
            <v>Total capital expenditures</v>
          </cell>
          <cell r="B57">
            <v>264.08800000000002</v>
          </cell>
          <cell r="C57">
            <v>382.36700000000002</v>
          </cell>
          <cell r="D57">
            <v>342.57900000000001</v>
          </cell>
          <cell r="E57">
            <v>315.03699999999998</v>
          </cell>
          <cell r="F57">
            <v>231.88</v>
          </cell>
          <cell r="G57">
            <v>245.976</v>
          </cell>
          <cell r="H57">
            <v>272.44499999999999</v>
          </cell>
          <cell r="I57">
            <v>404.74400000000003</v>
          </cell>
          <cell r="J57">
            <v>231.739</v>
          </cell>
          <cell r="K57">
            <v>238.65899999999999</v>
          </cell>
          <cell r="L57">
            <v>240.60599999999999</v>
          </cell>
          <cell r="M57">
            <v>250.81299999999999</v>
          </cell>
          <cell r="N57">
            <v>150.49600000000001</v>
          </cell>
          <cell r="O57">
            <v>232.30500000000001</v>
          </cell>
        </row>
        <row r="58">
          <cell r="A58" t="str">
            <v xml:space="preserve">   % growth</v>
          </cell>
          <cell r="B58">
            <v>2.525733281711013</v>
          </cell>
          <cell r="C58">
            <v>2.748291850878827</v>
          </cell>
          <cell r="D58">
            <v>2.2612905068352309</v>
          </cell>
          <cell r="E58">
            <v>1.3702318792602735</v>
          </cell>
          <cell r="F58">
            <v>-0.12195934688437193</v>
          </cell>
          <cell r="G58">
            <v>-0.35670180742585011</v>
          </cell>
          <cell r="H58">
            <v>-0.20472358200590235</v>
          </cell>
          <cell r="I58">
            <v>0.28475068007884796</v>
          </cell>
          <cell r="J58">
            <v>-6.0807314127997447E-4</v>
          </cell>
          <cell r="K58">
            <v>-2.974680456629919E-2</v>
          </cell>
          <cell r="L58">
            <v>-0.11686395419258933</v>
          </cell>
          <cell r="M58">
            <v>-0.38031694107880543</v>
          </cell>
          <cell r="N58">
            <v>-0.35057974704300954</v>
          </cell>
          <cell r="O58">
            <v>-2.6623760260455209E-2</v>
          </cell>
        </row>
        <row r="59">
          <cell r="A59" t="str">
            <v xml:space="preserve">   % revenues</v>
          </cell>
          <cell r="B59">
            <v>0.1243740395424749</v>
          </cell>
          <cell r="C59">
            <v>0.18198151376568142</v>
          </cell>
          <cell r="D59">
            <v>0.1630993052857698</v>
          </cell>
          <cell r="E59">
            <v>0.14932822042996738</v>
          </cell>
          <cell r="F59">
            <v>0.1114349630320229</v>
          </cell>
          <cell r="G59">
            <v>0.11596504114331944</v>
          </cell>
          <cell r="H59">
            <v>0.12489994526215029</v>
          </cell>
          <cell r="I59">
            <v>0.1907508839001511</v>
          </cell>
          <cell r="J59">
            <v>0.11010997741153485</v>
          </cell>
          <cell r="K59">
            <v>0.11386006117153361</v>
          </cell>
          <cell r="L59">
            <v>0.11690838954692084</v>
          </cell>
          <cell r="M59">
            <v>0.12363560540596762</v>
          </cell>
          <cell r="N59">
            <v>7.5956024078447246E-2</v>
          </cell>
          <cell r="O59">
            <v>0.11855507793182744</v>
          </cell>
        </row>
        <row r="117">
          <cell r="A117" t="str">
            <v>25% of CTL are unionized</v>
          </cell>
        </row>
        <row r="120">
          <cell r="A120" t="str">
            <v>CTL</v>
          </cell>
        </row>
        <row r="122">
          <cell r="C122">
            <v>2008</v>
          </cell>
          <cell r="E122">
            <v>2007</v>
          </cell>
        </row>
        <row r="123">
          <cell r="B123" t="str">
            <v>USF</v>
          </cell>
          <cell r="C123">
            <v>151.69999999999999</v>
          </cell>
          <cell r="D123">
            <v>5.8000000000000003E-2</v>
          </cell>
          <cell r="E123">
            <v>166.5</v>
          </cell>
          <cell r="F123">
            <v>6.3E-2</v>
          </cell>
        </row>
        <row r="124">
          <cell r="B124" t="str">
            <v>other federal</v>
          </cell>
          <cell r="C124">
            <v>128.5</v>
          </cell>
          <cell r="D124">
            <v>0.05</v>
          </cell>
          <cell r="E124">
            <v>133.9</v>
          </cell>
          <cell r="F124">
            <v>0.05</v>
          </cell>
        </row>
        <row r="125">
          <cell r="C125">
            <v>280.2</v>
          </cell>
          <cell r="D125">
            <v>0.10800000000000001</v>
          </cell>
          <cell r="E125">
            <v>300.39999999999998</v>
          </cell>
          <cell r="F125">
            <v>0.113</v>
          </cell>
        </row>
        <row r="127">
          <cell r="B127" t="str">
            <v>state support</v>
          </cell>
          <cell r="C127">
            <v>39.700000000000003</v>
          </cell>
          <cell r="D127">
            <v>1.4999999999999999E-2</v>
          </cell>
          <cell r="E127">
            <v>35.6</v>
          </cell>
          <cell r="F127">
            <v>1.2999999999999999E-2</v>
          </cell>
        </row>
        <row r="129">
          <cell r="C129">
            <v>319.89999999999998</v>
          </cell>
          <cell r="D129">
            <v>0.12300000000000001</v>
          </cell>
          <cell r="E129">
            <v>336</v>
          </cell>
          <cell r="F129">
            <v>0.126</v>
          </cell>
        </row>
        <row r="132">
          <cell r="A132" t="str">
            <v>CTL</v>
          </cell>
          <cell r="B132" t="str">
            <v>CTL</v>
          </cell>
          <cell r="C132" t="str">
            <v>EQ</v>
          </cell>
        </row>
        <row r="133">
          <cell r="A133" t="str">
            <v>Consumer</v>
          </cell>
          <cell r="B133">
            <v>0.73</v>
          </cell>
          <cell r="C133">
            <v>0.66228386167146969</v>
          </cell>
          <cell r="D133">
            <v>0.67999198589517551</v>
          </cell>
        </row>
        <row r="134">
          <cell r="A134" t="str">
            <v>Business</v>
          </cell>
          <cell r="B134">
            <v>0.27</v>
          </cell>
          <cell r="C134">
            <v>0.33771613832853026</v>
          </cell>
          <cell r="D134">
            <v>0.32000801410482449</v>
          </cell>
        </row>
        <row r="136">
          <cell r="B136">
            <v>1435.17635</v>
          </cell>
          <cell r="C136">
            <v>3677</v>
          </cell>
          <cell r="D136">
            <v>5112.1763499999997</v>
          </cell>
        </row>
        <row r="137">
          <cell r="B137">
            <v>530.81865000000005</v>
          </cell>
          <cell r="C137">
            <v>1875</v>
          </cell>
          <cell r="D137">
            <v>2405.8186500000002</v>
          </cell>
        </row>
        <row r="138">
          <cell r="B138">
            <v>1965.9949999999999</v>
          </cell>
          <cell r="C138">
            <v>5552</v>
          </cell>
          <cell r="D138">
            <v>7517.9949999999999</v>
          </cell>
        </row>
        <row r="145">
          <cell r="D145" t="str">
            <v>2006</v>
          </cell>
          <cell r="E145" t="str">
            <v>2007</v>
          </cell>
          <cell r="F145">
            <v>2008</v>
          </cell>
          <cell r="G145" t="str">
            <v>2009E</v>
          </cell>
          <cell r="H145" t="str">
            <v>2010E</v>
          </cell>
          <cell r="I145" t="str">
            <v>2011E</v>
          </cell>
          <cell r="J145" t="str">
            <v>2012E</v>
          </cell>
          <cell r="K145" t="str">
            <v>2013E</v>
          </cell>
          <cell r="L145" t="str">
            <v>2014E</v>
          </cell>
          <cell r="M145" t="str">
            <v>2015E</v>
          </cell>
        </row>
        <row r="146">
          <cell r="A146" t="str">
            <v>Total access lines</v>
          </cell>
          <cell r="D146">
            <v>9017000</v>
          </cell>
          <cell r="E146">
            <v>8447000</v>
          </cell>
          <cell r="F146">
            <v>7694000</v>
          </cell>
          <cell r="G146">
            <v>6947682</v>
          </cell>
          <cell r="H146">
            <v>6322390.6200000001</v>
          </cell>
          <cell r="I146">
            <v>5784987.4173000008</v>
          </cell>
          <cell r="J146">
            <v>5310618.4490814013</v>
          </cell>
          <cell r="K146">
            <v>4907011.4469512152</v>
          </cell>
          <cell r="L146">
            <v>4553706.6227707276</v>
          </cell>
          <cell r="M146">
            <v>4244054.5724223182</v>
          </cell>
        </row>
        <row r="147">
          <cell r="A147" t="str">
            <v xml:space="preserve">   % Y/Y growth</v>
          </cell>
          <cell r="D147">
            <v>-7.4269945532638992E-2</v>
          </cell>
          <cell r="E147">
            <v>-6.3213929244759881E-2</v>
          </cell>
          <cell r="F147">
            <v>-8.9144074819462515E-2</v>
          </cell>
          <cell r="G147">
            <v>-9.6999999999999975E-2</v>
          </cell>
          <cell r="H147">
            <v>-0.09</v>
          </cell>
          <cell r="I147">
            <v>-8.5000000000000006E-2</v>
          </cell>
          <cell r="J147">
            <v>-8.2000000000000003E-2</v>
          </cell>
          <cell r="K147">
            <v>-7.5999999999999998E-2</v>
          </cell>
          <cell r="L147">
            <v>-7.1999999999999995E-2</v>
          </cell>
          <cell r="M147">
            <v>-6.8000000000000005E-2</v>
          </cell>
        </row>
        <row r="148">
          <cell r="A148" t="str">
            <v>Total DSL subscribers</v>
          </cell>
          <cell r="D148">
            <v>1439710.409679878</v>
          </cell>
          <cell r="E148">
            <v>1832000</v>
          </cell>
          <cell r="F148">
            <v>2053000</v>
          </cell>
          <cell r="G148">
            <v>2201829.7872340423</v>
          </cell>
          <cell r="H148">
            <v>2306010.6382978722</v>
          </cell>
          <cell r="I148">
            <v>2384146.2765957443</v>
          </cell>
          <cell r="J148">
            <v>2443529.3617021274</v>
          </cell>
          <cell r="K148">
            <v>2489254.3372340421</v>
          </cell>
          <cell r="L148">
            <v>2524919.8181489357</v>
          </cell>
          <cell r="M148">
            <v>2553095.5480717015</v>
          </cell>
        </row>
        <row r="149">
          <cell r="A149" t="str">
            <v xml:space="preserve">   % growth</v>
          </cell>
          <cell r="D149">
            <v>0.45826685541503442</v>
          </cell>
          <cell r="E149">
            <v>0.27247812315766207</v>
          </cell>
          <cell r="F149">
            <v>0.12063318777292587</v>
          </cell>
          <cell r="G149">
            <v>7.2493807712636249E-2</v>
          </cell>
          <cell r="H149">
            <v>4.7315578918887713E-2</v>
          </cell>
          <cell r="I149">
            <v>3.3883468272091877E-2</v>
          </cell>
          <cell r="J149">
            <v>2.490748394480824E-2</v>
          </cell>
          <cell r="K149">
            <v>1.8712676937126416E-2</v>
          </cell>
          <cell r="L149">
            <v>1.4327776949672133E-2</v>
          </cell>
          <cell r="M149">
            <v>1.1159059277938477E-2</v>
          </cell>
        </row>
        <row r="151">
          <cell r="A151" t="str">
            <v>RGUs</v>
          </cell>
          <cell r="D151">
            <v>10456710.409679879</v>
          </cell>
          <cell r="E151">
            <v>10279000</v>
          </cell>
          <cell r="F151">
            <v>9747000</v>
          </cell>
          <cell r="G151">
            <v>9149511.7872340418</v>
          </cell>
          <cell r="H151">
            <v>8628401.2582978718</v>
          </cell>
          <cell r="I151">
            <v>8169133.6938957451</v>
          </cell>
          <cell r="J151">
            <v>7754147.8107835287</v>
          </cell>
          <cell r="K151">
            <v>7396265.7841852568</v>
          </cell>
          <cell r="L151">
            <v>7078626.4409196638</v>
          </cell>
          <cell r="M151">
            <v>6797150.1204940192</v>
          </cell>
        </row>
        <row r="152">
          <cell r="E152">
            <v>-1.6994867670368952E-2</v>
          </cell>
          <cell r="F152">
            <v>-5.1756007393715331E-2</v>
          </cell>
          <cell r="G152">
            <v>-6.1299703782287662E-2</v>
          </cell>
          <cell r="H152">
            <v>-5.6955009300414861E-2</v>
          </cell>
          <cell r="I152">
            <v>-5.3227423094220683E-2</v>
          </cell>
          <cell r="J152">
            <v>-5.0799252241679915E-2</v>
          </cell>
          <cell r="K152">
            <v>-4.6153624528613268E-2</v>
          </cell>
          <cell r="L152">
            <v>-4.2945907101495928E-2</v>
          </cell>
          <cell r="M152">
            <v>-3.9764256918334406E-2</v>
          </cell>
        </row>
        <row r="156">
          <cell r="D156" t="str">
            <v>2006</v>
          </cell>
          <cell r="E156" t="str">
            <v>2007</v>
          </cell>
          <cell r="F156" t="str">
            <v>2008</v>
          </cell>
          <cell r="G156" t="str">
            <v>2009E</v>
          </cell>
          <cell r="H156" t="str">
            <v>2010E</v>
          </cell>
          <cell r="I156" t="str">
            <v>2011E</v>
          </cell>
          <cell r="J156" t="str">
            <v>2012E</v>
          </cell>
          <cell r="K156" t="str">
            <v>2013E</v>
          </cell>
          <cell r="L156" t="str">
            <v>2014E</v>
          </cell>
          <cell r="M156" t="str">
            <v>2015E</v>
          </cell>
        </row>
        <row r="157">
          <cell r="A157" t="str">
            <v>Total revenues</v>
          </cell>
          <cell r="D157">
            <v>8434.5950000000012</v>
          </cell>
          <cell r="E157">
            <v>8505.128999999999</v>
          </cell>
          <cell r="F157">
            <v>8287.4069999999992</v>
          </cell>
          <cell r="G157">
            <v>7709.8521178268256</v>
          </cell>
          <cell r="H157">
            <v>7224.3624475156084</v>
          </cell>
          <cell r="I157">
            <v>6796.7692682399575</v>
          </cell>
          <cell r="J157">
            <v>6415.5305821667307</v>
          </cell>
          <cell r="K157">
            <v>6080.9489715872351</v>
          </cell>
          <cell r="L157">
            <v>5782.4025308056016</v>
          </cell>
          <cell r="M157">
            <v>5512.4651581324915</v>
          </cell>
        </row>
        <row r="158">
          <cell r="A158" t="str">
            <v>% growth</v>
          </cell>
          <cell r="D158">
            <v>2.4020724799253972</v>
          </cell>
          <cell r="E158">
            <v>8.3624643506887697E-3</v>
          </cell>
          <cell r="F158">
            <v>-2.5598906259975518E-2</v>
          </cell>
          <cell r="G158">
            <v>-6.9690662250951774E-2</v>
          </cell>
          <cell r="H158">
            <v>-6.2970036635159543E-2</v>
          </cell>
          <cell r="I158">
            <v>-5.9187669829978695E-2</v>
          </cell>
          <cell r="J158">
            <v>-5.609116199584474E-2</v>
          </cell>
          <cell r="K158">
            <v>-5.2151822252945568E-2</v>
          </cell>
          <cell r="L158">
            <v>-4.9095370176031494E-2</v>
          </cell>
          <cell r="M158">
            <v>-4.6682563386935771E-2</v>
          </cell>
        </row>
        <row r="159">
          <cell r="A159" t="str">
            <v>Total operating income</v>
          </cell>
          <cell r="D159">
            <v>2280.3963294460655</v>
          </cell>
          <cell r="E159">
            <v>2096.3149999999996</v>
          </cell>
          <cell r="F159">
            <v>2205.0133333333324</v>
          </cell>
          <cell r="G159">
            <v>2141.7830678348582</v>
          </cell>
          <cell r="H159">
            <v>2002.7831223800977</v>
          </cell>
          <cell r="I159">
            <v>1769.6752691956481</v>
          </cell>
          <cell r="J159">
            <v>1563.5786378908351</v>
          </cell>
          <cell r="K159">
            <v>1383.947512103623</v>
          </cell>
          <cell r="L159">
            <v>1224.9426552574014</v>
          </cell>
          <cell r="M159">
            <v>1082.4680427894791</v>
          </cell>
        </row>
        <row r="160">
          <cell r="A160" t="str">
            <v>% growth</v>
          </cell>
          <cell r="D160">
            <v>2.0722504492332376</v>
          </cell>
          <cell r="E160">
            <v>-8.0723393152795198E-2</v>
          </cell>
          <cell r="F160">
            <v>5.1852099199467983E-2</v>
          </cell>
          <cell r="G160">
            <v>-2.8675683970984744E-2</v>
          </cell>
          <cell r="H160">
            <v>-6.4899170948847007E-2</v>
          </cell>
          <cell r="I160">
            <v>-0.11639196005777463</v>
          </cell>
          <cell r="J160">
            <v>-0.11646014096048696</v>
          </cell>
          <cell r="K160">
            <v>-0.11488461241036307</v>
          </cell>
          <cell r="L160">
            <v>-0.1148922596092764</v>
          </cell>
          <cell r="M160">
            <v>-0.11631125086258309</v>
          </cell>
        </row>
        <row r="161">
          <cell r="A161" t="str">
            <v>% margin</v>
          </cell>
          <cell r="D161">
            <v>0.2703622793324475</v>
          </cell>
          <cell r="E161">
            <v>0.24647656725723971</v>
          </cell>
          <cell r="F161">
            <v>0.2660679430047701</v>
          </cell>
          <cell r="G161">
            <v>0.27779820353267193</v>
          </cell>
          <cell r="H161">
            <v>0.27722627940252864</v>
          </cell>
          <cell r="I161">
            <v>0.26037006691767695</v>
          </cell>
          <cell r="J161">
            <v>0.24371774366365259</v>
          </cell>
          <cell r="K161">
            <v>0.22758742403036286</v>
          </cell>
          <cell r="L161">
            <v>0.21183974113381951</v>
          </cell>
          <cell r="M161">
            <v>0.19636732600341672</v>
          </cell>
        </row>
        <row r="162">
          <cell r="A162" t="str">
            <v>EBITDA</v>
          </cell>
          <cell r="D162">
            <v>3867.9813294460655</v>
          </cell>
          <cell r="E162">
            <v>3852.5699999999997</v>
          </cell>
          <cell r="F162">
            <v>3894.465999999999</v>
          </cell>
          <cell r="G162">
            <v>3796.6270589134128</v>
          </cell>
          <cell r="H162">
            <v>3641.0786735478669</v>
          </cell>
          <cell r="I162">
            <v>3391.5878648517391</v>
          </cell>
          <cell r="J162">
            <v>3169.2721075903655</v>
          </cell>
          <cell r="K162">
            <v>2973.5840471061583</v>
          </cell>
          <cell r="L162">
            <v>2798.6828249099108</v>
          </cell>
          <cell r="M162">
            <v>2640.4708107454635</v>
          </cell>
        </row>
        <row r="163">
          <cell r="A163" t="str">
            <v>% growth</v>
          </cell>
          <cell r="D163">
            <v>2.0356465176980034</v>
          </cell>
          <cell r="E163">
            <v>-3.9843339802968503E-3</v>
          </cell>
          <cell r="F163">
            <v>1.0874818627565341E-2</v>
          </cell>
          <cell r="G163">
            <v>-2.5122556234047577E-2</v>
          </cell>
          <cell r="H163">
            <v>-4.0970151387495934E-2</v>
          </cell>
          <cell r="I163">
            <v>-6.8521125486427303E-2</v>
          </cell>
          <cell r="J163">
            <v>-6.5549166384663904E-2</v>
          </cell>
          <cell r="K163">
            <v>-6.1745427290871291E-2</v>
          </cell>
          <cell r="L163">
            <v>-5.8818321401225671E-2</v>
          </cell>
          <cell r="M163">
            <v>-5.6530884013103577E-2</v>
          </cell>
        </row>
        <row r="164">
          <cell r="D164">
            <v>0.45858530604564474</v>
          </cell>
          <cell r="E164">
            <v>0.45297020186289944</v>
          </cell>
          <cell r="F164">
            <v>0.46992575602960002</v>
          </cell>
          <cell r="G164">
            <v>0.49243837636454785</v>
          </cell>
          <cell r="H164">
            <v>0.504</v>
          </cell>
          <cell r="I164">
            <v>0.49900000000000005</v>
          </cell>
          <cell r="J164">
            <v>0.49400000000000011</v>
          </cell>
          <cell r="K164">
            <v>0.48900000000000005</v>
          </cell>
          <cell r="L164">
            <v>0.48399999999999993</v>
          </cell>
          <cell r="M164">
            <v>0.47900000000000004</v>
          </cell>
        </row>
        <row r="166">
          <cell r="D166" t="str">
            <v>2006</v>
          </cell>
          <cell r="E166" t="str">
            <v>2007</v>
          </cell>
          <cell r="F166" t="str">
            <v>2008</v>
          </cell>
          <cell r="G166" t="str">
            <v>2009E</v>
          </cell>
          <cell r="H166" t="str">
            <v>2010E</v>
          </cell>
          <cell r="I166" t="str">
            <v>2011E</v>
          </cell>
          <cell r="J166" t="str">
            <v>2012E</v>
          </cell>
          <cell r="K166" t="str">
            <v>2013E</v>
          </cell>
          <cell r="L166" t="str">
            <v>2014E</v>
          </cell>
          <cell r="M166" t="str">
            <v>2015E</v>
          </cell>
        </row>
        <row r="167">
          <cell r="A167" t="str">
            <v>Levered Free Cash Flow (OCF - capex)</v>
          </cell>
          <cell r="D167">
            <v>1143.6777069824577</v>
          </cell>
          <cell r="E167">
            <v>1498.9409999999998</v>
          </cell>
          <cell r="F167">
            <v>1639.4830000000002</v>
          </cell>
          <cell r="G167">
            <v>1905.6792362536066</v>
          </cell>
          <cell r="H167">
            <v>1571.8639253336798</v>
          </cell>
          <cell r="I167">
            <v>1454.8976818234999</v>
          </cell>
          <cell r="J167">
            <v>1347.886859811864</v>
          </cell>
          <cell r="K167">
            <v>1279.0980556319537</v>
          </cell>
          <cell r="L167">
            <v>1216.299299845417</v>
          </cell>
          <cell r="M167">
            <v>1158.9421703269045</v>
          </cell>
        </row>
        <row r="168">
          <cell r="D168" t="e">
            <v>#DIV/0!</v>
          </cell>
          <cell r="E168">
            <v>0.31063234934856632</v>
          </cell>
          <cell r="F168">
            <v>9.3760861835122444E-2</v>
          </cell>
          <cell r="G168">
            <v>0.16236596308324414</v>
          </cell>
          <cell r="H168">
            <v>-0.1751686771674007</v>
          </cell>
          <cell r="I168">
            <v>-7.4412448574611822E-2</v>
          </cell>
          <cell r="J168">
            <v>-7.3552129024986534E-2</v>
          </cell>
          <cell r="K168">
            <v>-5.1034553589692111E-2</v>
          </cell>
          <cell r="L168">
            <v>-4.9096123248745238E-2</v>
          </cell>
          <cell r="M168">
            <v>-4.7157085041323432E-2</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ldIS"/>
      <sheetName val="MW-Cache"/>
      <sheetName val="ImportantDisclosures"/>
      <sheetName val="CircularReferenceAlert"/>
      <sheetName val="Valuation"/>
      <sheetName val="Q"/>
      <sheetName val="IS"/>
      <sheetName val="BS"/>
      <sheetName val="CFS"/>
      <sheetName val="Wless"/>
      <sheetName val="Wireline"/>
      <sheetName val="FiOS"/>
      <sheetName val="Lines"/>
      <sheetName val="Capex"/>
      <sheetName val="MinInterest"/>
      <sheetName val="Other"/>
      <sheetName val="Segments"/>
      <sheetName val="Pension - NEW"/>
      <sheetName val="OPEB - NEW"/>
      <sheetName val="Cash Taxes"/>
      <sheetName val="NormInputs"/>
      <sheetName val="Links"/>
      <sheetName val="IndexInformation"/>
      <sheetName val="ModPubIndex"/>
      <sheetName val="Wireless Link"/>
      <sheetName val="Scenario"/>
      <sheetName val="Synergies"/>
      <sheetName val="InfoSvs"/>
      <sheetName val="__FDSCACHE__"/>
      <sheetName val="Buy-in"/>
      <sheetName val="MCI"/>
      <sheetName val="DomTelco"/>
      <sheetName val="RptdInputs"/>
      <sheetName val="Cover"/>
      <sheetName val="Global links"/>
      <sheetName val="VZ Morgan Stanley"/>
      <sheetName val="VZW Assumptions"/>
      <sheetName val="MWA RR"/>
      <sheetName val="mwareDates"/>
      <sheetName val="mwareSettings"/>
      <sheetName val="VZ Pensions"/>
      <sheetName val="VZ OPEBs"/>
      <sheetName val="SheetVisibilityStatus"/>
    </sheetNames>
    <sheetDataSet>
      <sheetData sheetId="0" refreshError="1">
        <row r="2">
          <cell r="I2">
            <v>2001</v>
          </cell>
          <cell r="J2">
            <v>2002</v>
          </cell>
        </row>
        <row r="3">
          <cell r="I3" t="e">
            <v>#REF!</v>
          </cell>
          <cell r="J3" t="e">
            <v>#REF!</v>
          </cell>
        </row>
        <row r="4">
          <cell r="I4" t="e">
            <v>#REF!</v>
          </cell>
          <cell r="J4" t="e">
            <v>#REF!</v>
          </cell>
        </row>
        <row r="10">
          <cell r="I10" t="e">
            <v>#REF!</v>
          </cell>
          <cell r="J10" t="e">
            <v>#REF!</v>
          </cell>
        </row>
        <row r="11">
          <cell r="I11" t="e">
            <v>#REF!</v>
          </cell>
          <cell r="J11" t="e">
            <v>#REF!</v>
          </cell>
        </row>
        <row r="13">
          <cell r="I13" t="e">
            <v>#REF!</v>
          </cell>
          <cell r="J13" t="e">
            <v>#REF!</v>
          </cell>
        </row>
        <row r="14">
          <cell r="I14" t="e">
            <v>#REF!</v>
          </cell>
          <cell r="J14" t="e">
            <v>#REF!</v>
          </cell>
        </row>
        <row r="15">
          <cell r="I15" t="e">
            <v>#REF!</v>
          </cell>
          <cell r="J15" t="e">
            <v>#REF!</v>
          </cell>
        </row>
        <row r="17">
          <cell r="I17" t="e">
            <v>#REF!</v>
          </cell>
          <cell r="J17" t="e">
            <v>#REF!</v>
          </cell>
        </row>
        <row r="18">
          <cell r="I18" t="e">
            <v>#REF!</v>
          </cell>
          <cell r="J18" t="e">
            <v>#REF!</v>
          </cell>
        </row>
        <row r="19">
          <cell r="I19" t="e">
            <v>#REF!</v>
          </cell>
          <cell r="J19" t="e">
            <v>#REF!</v>
          </cell>
        </row>
        <row r="21">
          <cell r="I21" t="e">
            <v>#REF!</v>
          </cell>
          <cell r="J21" t="e">
            <v>#REF!</v>
          </cell>
        </row>
        <row r="22">
          <cell r="I22" t="e">
            <v>#REF!</v>
          </cell>
          <cell r="J22" t="e">
            <v>#REF!</v>
          </cell>
        </row>
        <row r="23">
          <cell r="I23" t="e">
            <v>#REF!</v>
          </cell>
          <cell r="J23" t="e">
            <v>#REF!</v>
          </cell>
        </row>
        <row r="25">
          <cell r="I25" t="e">
            <v>#REF!</v>
          </cell>
          <cell r="J25" t="e">
            <v>#REF!</v>
          </cell>
        </row>
        <row r="26">
          <cell r="I26" t="e">
            <v>#REF!</v>
          </cell>
          <cell r="J26" t="e">
            <v>#REF!</v>
          </cell>
        </row>
        <row r="27">
          <cell r="I27" t="e">
            <v>#REF!</v>
          </cell>
          <cell r="J27" t="e">
            <v>#REF!</v>
          </cell>
        </row>
        <row r="28">
          <cell r="I28" t="e">
            <v>#REF!</v>
          </cell>
          <cell r="J28" t="e">
            <v>#REF!</v>
          </cell>
        </row>
        <row r="29">
          <cell r="I29" t="e">
            <v>#REF!</v>
          </cell>
          <cell r="J29" t="e">
            <v>#REF!</v>
          </cell>
        </row>
        <row r="30">
          <cell r="I30" t="e">
            <v>#REF!</v>
          </cell>
          <cell r="J30" t="e">
            <v>#REF!</v>
          </cell>
        </row>
        <row r="32">
          <cell r="I32" t="e">
            <v>#REF!</v>
          </cell>
          <cell r="J32" t="e">
            <v>#REF!</v>
          </cell>
        </row>
        <row r="33">
          <cell r="I33" t="e">
            <v>#REF!</v>
          </cell>
          <cell r="J33" t="e">
            <v>#REF!</v>
          </cell>
        </row>
        <row r="36">
          <cell r="J36" t="e">
            <v>#REF!</v>
          </cell>
        </row>
        <row r="38">
          <cell r="J38" t="e">
            <v>#REF!</v>
          </cell>
        </row>
        <row r="39">
          <cell r="J39" t="e">
            <v>#REF!</v>
          </cell>
        </row>
        <row r="42">
          <cell r="I42" t="e">
            <v>#REF!</v>
          </cell>
          <cell r="J42" t="e">
            <v>#REF!</v>
          </cell>
        </row>
        <row r="43">
          <cell r="I43" t="e">
            <v>#REF!</v>
          </cell>
          <cell r="J43" t="e">
            <v>#REF!</v>
          </cell>
        </row>
        <row r="44">
          <cell r="I44" t="e">
            <v>#REF!</v>
          </cell>
          <cell r="J44" t="e">
            <v>#REF!</v>
          </cell>
        </row>
        <row r="45">
          <cell r="I45" t="e">
            <v>#REF!</v>
          </cell>
          <cell r="J45" t="e">
            <v>#REF!</v>
          </cell>
        </row>
        <row r="46">
          <cell r="I46" t="e">
            <v>#REF!</v>
          </cell>
          <cell r="J46" t="e">
            <v>#REF!</v>
          </cell>
        </row>
        <row r="47">
          <cell r="I47" t="e">
            <v>#REF!</v>
          </cell>
          <cell r="J47" t="e">
            <v>#REF!</v>
          </cell>
        </row>
        <row r="48">
          <cell r="I48" t="e">
            <v>#REF!</v>
          </cell>
          <cell r="J48" t="e">
            <v>#REF!</v>
          </cell>
        </row>
        <row r="49">
          <cell r="I49" t="e">
            <v>#REF!</v>
          </cell>
          <cell r="J49" t="e">
            <v>#REF!</v>
          </cell>
        </row>
        <row r="50">
          <cell r="I50" t="e">
            <v>#REF!</v>
          </cell>
          <cell r="J50" t="e">
            <v>#REF!</v>
          </cell>
        </row>
        <row r="51">
          <cell r="I51" t="e">
            <v>#REF!</v>
          </cell>
          <cell r="J51" t="e">
            <v>#REF!</v>
          </cell>
        </row>
        <row r="52">
          <cell r="I52" t="e">
            <v>#REF!</v>
          </cell>
          <cell r="J52" t="e">
            <v>#REF!</v>
          </cell>
        </row>
        <row r="53">
          <cell r="I53" t="e">
            <v>#REF!</v>
          </cell>
          <cell r="J53" t="e">
            <v>#REF!</v>
          </cell>
        </row>
        <row r="54">
          <cell r="I54" t="e">
            <v>#REF!</v>
          </cell>
          <cell r="J54" t="e">
            <v>#REF!</v>
          </cell>
        </row>
        <row r="55">
          <cell r="I55" t="e">
            <v>#REF!</v>
          </cell>
          <cell r="J55" t="e">
            <v>#REF!</v>
          </cell>
        </row>
        <row r="56">
          <cell r="I56" t="e">
            <v>#REF!</v>
          </cell>
          <cell r="J56" t="e">
            <v>#REF!</v>
          </cell>
        </row>
        <row r="57">
          <cell r="I57" t="e">
            <v>#REF!</v>
          </cell>
          <cell r="J57" t="e">
            <v>#REF!</v>
          </cell>
        </row>
        <row r="58">
          <cell r="I58" t="e">
            <v>#REF!</v>
          </cell>
          <cell r="J58" t="e">
            <v>#REF!</v>
          </cell>
        </row>
        <row r="60">
          <cell r="J60">
            <v>382</v>
          </cell>
        </row>
        <row r="62">
          <cell r="I62" t="e">
            <v>#REF!</v>
          </cell>
          <cell r="J62" t="e">
            <v>#REF!</v>
          </cell>
        </row>
        <row r="63">
          <cell r="I63" t="e">
            <v>#REF!</v>
          </cell>
          <cell r="J63" t="e">
            <v>#REF!</v>
          </cell>
        </row>
        <row r="64">
          <cell r="I64" t="e">
            <v>#REF!</v>
          </cell>
          <cell r="J64" t="e">
            <v>#REF!</v>
          </cell>
        </row>
        <row r="65">
          <cell r="I65" t="e">
            <v>#REF!</v>
          </cell>
          <cell r="J65" t="e">
            <v>#REF!</v>
          </cell>
        </row>
        <row r="66">
          <cell r="I66" t="e">
            <v>#REF!</v>
          </cell>
          <cell r="J66" t="e">
            <v>#REF!</v>
          </cell>
        </row>
        <row r="67">
          <cell r="I67">
            <v>383</v>
          </cell>
          <cell r="J67">
            <v>187</v>
          </cell>
        </row>
        <row r="68">
          <cell r="I68" t="e">
            <v>#REF!</v>
          </cell>
          <cell r="J68" t="e">
            <v>#REF!</v>
          </cell>
        </row>
        <row r="69">
          <cell r="I69" t="e">
            <v>#REF!</v>
          </cell>
          <cell r="J69" t="e">
            <v>#REF!</v>
          </cell>
        </row>
        <row r="70">
          <cell r="I70" t="e">
            <v>#REF!</v>
          </cell>
          <cell r="J70" t="e">
            <v>#REF!</v>
          </cell>
        </row>
        <row r="71">
          <cell r="I71" t="e">
            <v>#REF!</v>
          </cell>
          <cell r="J71" t="e">
            <v>#REF!</v>
          </cell>
        </row>
        <row r="72">
          <cell r="I72" t="e">
            <v>#REF!</v>
          </cell>
          <cell r="J72" t="e">
            <v>#REF!</v>
          </cell>
        </row>
        <row r="73">
          <cell r="I73" t="e">
            <v>#REF!</v>
          </cell>
          <cell r="J73" t="e">
            <v>#REF!</v>
          </cell>
        </row>
        <row r="74">
          <cell r="I74" t="e">
            <v>#REF!</v>
          </cell>
          <cell r="J74" t="e">
            <v>#REF!</v>
          </cell>
        </row>
        <row r="75">
          <cell r="I75" t="e">
            <v>#REF!</v>
          </cell>
          <cell r="J75" t="e">
            <v>#REF!</v>
          </cell>
        </row>
        <row r="76">
          <cell r="I76" t="e">
            <v>#REF!</v>
          </cell>
          <cell r="J76" t="e">
            <v>#REF!</v>
          </cell>
        </row>
        <row r="77">
          <cell r="I77" t="e">
            <v>#REF!</v>
          </cell>
          <cell r="J77" t="e">
            <v>#REF!</v>
          </cell>
        </row>
        <row r="78">
          <cell r="I78" t="e">
            <v>#REF!</v>
          </cell>
          <cell r="J78" t="e">
            <v>#REF!</v>
          </cell>
        </row>
        <row r="79">
          <cell r="I79" t="e">
            <v>#REF!</v>
          </cell>
          <cell r="J79" t="e">
            <v>#REF!</v>
          </cell>
        </row>
        <row r="80">
          <cell r="I80" t="e">
            <v>#REF!</v>
          </cell>
          <cell r="J80" t="e">
            <v>#REF!</v>
          </cell>
        </row>
        <row r="81">
          <cell r="I81" t="e">
            <v>#REF!</v>
          </cell>
          <cell r="J81" t="e">
            <v>#REF!</v>
          </cell>
        </row>
        <row r="82">
          <cell r="I82">
            <v>0.46500000000000002</v>
          </cell>
          <cell r="J82">
            <v>0.42799999999999999</v>
          </cell>
        </row>
        <row r="85">
          <cell r="J85">
            <v>-83</v>
          </cell>
        </row>
        <row r="87">
          <cell r="I87" t="e">
            <v>#REF!</v>
          </cell>
          <cell r="J87" t="e">
            <v>#REF!</v>
          </cell>
        </row>
        <row r="88">
          <cell r="I88" t="e">
            <v>#REF!</v>
          </cell>
          <cell r="J88" t="e">
            <v>#REF!</v>
          </cell>
        </row>
        <row r="89">
          <cell r="I89" t="e">
            <v>#REF!</v>
          </cell>
          <cell r="J89" t="e">
            <v>#REF!</v>
          </cell>
        </row>
        <row r="91">
          <cell r="I91" t="e">
            <v>#REF!</v>
          </cell>
          <cell r="J91" t="e">
            <v>#REF!</v>
          </cell>
        </row>
        <row r="92">
          <cell r="I92" t="e">
            <v>#REF!</v>
          </cell>
          <cell r="J92" t="e">
            <v>#REF!</v>
          </cell>
        </row>
        <row r="94">
          <cell r="I94" t="e">
            <v>#REF!</v>
          </cell>
          <cell r="J94" t="e">
            <v>#REF!</v>
          </cell>
        </row>
        <row r="95">
          <cell r="I95" t="e">
            <v>#REF!</v>
          </cell>
          <cell r="J95" t="e">
            <v>#REF!</v>
          </cell>
        </row>
        <row r="97">
          <cell r="J97">
            <v>0</v>
          </cell>
        </row>
        <row r="99">
          <cell r="I99" t="e">
            <v>#REF!</v>
          </cell>
          <cell r="J99" t="e">
            <v>#REF!</v>
          </cell>
        </row>
        <row r="100">
          <cell r="I100" t="e">
            <v>#REF!</v>
          </cell>
          <cell r="J100" t="e">
            <v>#REF!</v>
          </cell>
        </row>
        <row r="101">
          <cell r="I101" t="e">
            <v>#REF!</v>
          </cell>
          <cell r="J101" t="e">
            <v>#REF!</v>
          </cell>
        </row>
        <row r="105">
          <cell r="I105" t="e">
            <v>#REF!</v>
          </cell>
          <cell r="J105" t="e">
            <v>#REF!</v>
          </cell>
        </row>
        <row r="106">
          <cell r="I106" t="e">
            <v>#REF!</v>
          </cell>
          <cell r="J106" t="e">
            <v>#REF!</v>
          </cell>
        </row>
        <row r="107">
          <cell r="I107" t="e">
            <v>#REF!</v>
          </cell>
          <cell r="J107" t="e">
            <v>#REF!</v>
          </cell>
        </row>
        <row r="108">
          <cell r="I108" t="e">
            <v>#REF!</v>
          </cell>
          <cell r="J108" t="e">
            <v>#REF!</v>
          </cell>
        </row>
        <row r="109">
          <cell r="I109">
            <v>20</v>
          </cell>
          <cell r="J109">
            <v>24.875</v>
          </cell>
        </row>
        <row r="110">
          <cell r="I110">
            <v>0.25984251968503935</v>
          </cell>
          <cell r="J110">
            <v>0.24374999999999991</v>
          </cell>
        </row>
        <row r="115">
          <cell r="I115" t="e">
            <v>#REF!</v>
          </cell>
          <cell r="J115" t="e">
            <v>#REF!</v>
          </cell>
        </row>
        <row r="116">
          <cell r="I116" t="e">
            <v>#REF!</v>
          </cell>
          <cell r="J116" t="e">
            <v>#REF!</v>
          </cell>
        </row>
        <row r="117">
          <cell r="I117" t="e">
            <v>#REF!</v>
          </cell>
          <cell r="J117" t="e">
            <v>#REF!</v>
          </cell>
        </row>
        <row r="118">
          <cell r="I118">
            <v>716</v>
          </cell>
          <cell r="J118">
            <v>1164</v>
          </cell>
        </row>
        <row r="124">
          <cell r="I124" t="e">
            <v>#REF!</v>
          </cell>
          <cell r="J124" t="e">
            <v>#REF!</v>
          </cell>
        </row>
        <row r="125">
          <cell r="I125" t="e">
            <v>#REF!</v>
          </cell>
          <cell r="J125" t="e">
            <v>#REF!</v>
          </cell>
        </row>
        <row r="126">
          <cell r="I126" t="e">
            <v>#REF!</v>
          </cell>
          <cell r="J126" t="e">
            <v>#REF!</v>
          </cell>
        </row>
        <row r="127">
          <cell r="I127" t="e">
            <v>#REF!</v>
          </cell>
          <cell r="J127" t="e">
            <v>#REF!</v>
          </cell>
        </row>
        <row r="128">
          <cell r="I128" t="e">
            <v>#REF!</v>
          </cell>
          <cell r="J128" t="e">
            <v>#REF!</v>
          </cell>
        </row>
        <row r="129">
          <cell r="I129">
            <v>4176</v>
          </cell>
          <cell r="J129">
            <v>4208</v>
          </cell>
        </row>
        <row r="130">
          <cell r="I130" t="e">
            <v>#REF!</v>
          </cell>
          <cell r="J130" t="e">
            <v>#REF!</v>
          </cell>
        </row>
        <row r="131">
          <cell r="I131" t="e">
            <v>#REF!</v>
          </cell>
          <cell r="J131" t="e">
            <v>#REF!</v>
          </cell>
        </row>
        <row r="132">
          <cell r="I132" t="e">
            <v>#REF!</v>
          </cell>
          <cell r="J132" t="e">
            <v>#REF!</v>
          </cell>
        </row>
        <row r="136">
          <cell r="I136">
            <v>590</v>
          </cell>
          <cell r="J136">
            <v>4079</v>
          </cell>
        </row>
        <row r="137">
          <cell r="J137">
            <v>83</v>
          </cell>
        </row>
        <row r="138">
          <cell r="J138">
            <v>0</v>
          </cell>
        </row>
        <row r="139">
          <cell r="J139">
            <v>1264</v>
          </cell>
        </row>
        <row r="140">
          <cell r="J140">
            <v>496</v>
          </cell>
        </row>
        <row r="141">
          <cell r="J141">
            <v>0</v>
          </cell>
        </row>
        <row r="142">
          <cell r="J142">
            <v>0</v>
          </cell>
        </row>
        <row r="143">
          <cell r="J143">
            <v>0</v>
          </cell>
        </row>
        <row r="144">
          <cell r="J144">
            <v>-1895</v>
          </cell>
        </row>
        <row r="145">
          <cell r="J145">
            <v>288</v>
          </cell>
        </row>
        <row r="146">
          <cell r="J146">
            <v>0</v>
          </cell>
        </row>
        <row r="147">
          <cell r="I147">
            <v>5716</v>
          </cell>
          <cell r="J147">
            <v>5652</v>
          </cell>
        </row>
        <row r="148">
          <cell r="I148">
            <v>1884</v>
          </cell>
          <cell r="J148">
            <v>210</v>
          </cell>
        </row>
        <row r="149">
          <cell r="J149">
            <v>259</v>
          </cell>
        </row>
        <row r="150">
          <cell r="J150">
            <v>114</v>
          </cell>
        </row>
        <row r="151">
          <cell r="J151">
            <v>-2104</v>
          </cell>
        </row>
        <row r="152">
          <cell r="J152">
            <v>0</v>
          </cell>
        </row>
        <row r="153">
          <cell r="I153">
            <v>8190</v>
          </cell>
          <cell r="J153">
            <v>8446</v>
          </cell>
        </row>
        <row r="154">
          <cell r="I154" t="e">
            <v>#REF!</v>
          </cell>
          <cell r="J154" t="e">
            <v>#REF!</v>
          </cell>
        </row>
        <row r="155">
          <cell r="J155">
            <v>4367</v>
          </cell>
        </row>
        <row r="157">
          <cell r="J157">
            <v>6150</v>
          </cell>
        </row>
        <row r="158">
          <cell r="J158">
            <v>496</v>
          </cell>
        </row>
        <row r="159">
          <cell r="J159">
            <v>-2362</v>
          </cell>
        </row>
        <row r="162">
          <cell r="J162" t="str">
            <v>Value</v>
          </cell>
        </row>
        <row r="163">
          <cell r="J163">
            <v>59756</v>
          </cell>
        </row>
        <row r="165">
          <cell r="I165">
            <v>25580</v>
          </cell>
          <cell r="J165">
            <v>25580</v>
          </cell>
        </row>
        <row r="168">
          <cell r="J168" t="e">
            <v>#REF!</v>
          </cell>
        </row>
        <row r="169">
          <cell r="J169" t="e">
            <v>#REF!</v>
          </cell>
        </row>
        <row r="170">
          <cell r="J170" t="e">
            <v>#REF!</v>
          </cell>
        </row>
        <row r="171">
          <cell r="J171" t="e">
            <v>#REF!</v>
          </cell>
        </row>
        <row r="173">
          <cell r="J173" t="e">
            <v>#REF!</v>
          </cell>
        </row>
        <row r="174">
          <cell r="J174" t="e">
            <v>#REF!</v>
          </cell>
        </row>
      </sheetData>
      <sheetData sheetId="1"/>
      <sheetData sheetId="2"/>
      <sheetData sheetId="3"/>
      <sheetData sheetId="4">
        <row r="5">
          <cell r="E5">
            <v>3875</v>
          </cell>
        </row>
      </sheetData>
      <sheetData sheetId="5"/>
      <sheetData sheetId="6">
        <row r="1">
          <cell r="A1" t="str">
            <v>Verizon Communications</v>
          </cell>
        </row>
      </sheetData>
      <sheetData sheetId="7">
        <row r="1">
          <cell r="A1" t="str">
            <v>Verizon Communications</v>
          </cell>
        </row>
        <row r="5">
          <cell r="D5">
            <v>1996</v>
          </cell>
          <cell r="E5">
            <v>1997</v>
          </cell>
        </row>
      </sheetData>
      <sheetData sheetId="8">
        <row r="1">
          <cell r="A1" t="str">
            <v>Verizon Communications</v>
          </cell>
        </row>
      </sheetData>
      <sheetData sheetId="9">
        <row r="1">
          <cell r="A1" t="str">
            <v>Verizon Communications</v>
          </cell>
        </row>
      </sheetData>
      <sheetData sheetId="10">
        <row r="1">
          <cell r="A1" t="str">
            <v>Verizon Communications</v>
          </cell>
        </row>
      </sheetData>
      <sheetData sheetId="11">
        <row r="9">
          <cell r="O9">
            <v>19998000</v>
          </cell>
        </row>
      </sheetData>
      <sheetData sheetId="12">
        <row r="11">
          <cell r="W11">
            <v>9545.3279999999995</v>
          </cell>
        </row>
      </sheetData>
      <sheetData sheetId="13">
        <row r="108">
          <cell r="CN108">
            <v>1465</v>
          </cell>
        </row>
      </sheetData>
      <sheetData sheetId="14"/>
      <sheetData sheetId="15"/>
      <sheetData sheetId="16"/>
      <sheetData sheetId="17"/>
      <sheetData sheetId="18"/>
      <sheetData sheetId="19"/>
      <sheetData sheetId="20"/>
      <sheetData sheetId="21">
        <row r="22">
          <cell r="AS22">
            <v>61650</v>
          </cell>
        </row>
      </sheetData>
      <sheetData sheetId="22"/>
      <sheetData sheetId="23"/>
      <sheetData sheetId="24">
        <row r="5">
          <cell r="S5">
            <v>68808.971877583681</v>
          </cell>
        </row>
      </sheetData>
      <sheetData sheetId="25">
        <row r="1">
          <cell r="B1" t="str">
            <v>Scenario</v>
          </cell>
        </row>
        <row r="2">
          <cell r="B2">
            <v>1</v>
          </cell>
        </row>
      </sheetData>
      <sheetData sheetId="26">
        <row r="2">
          <cell r="D2">
            <v>1998</v>
          </cell>
        </row>
      </sheetData>
      <sheetData sheetId="27"/>
      <sheetData sheetId="28"/>
      <sheetData sheetId="29"/>
      <sheetData sheetId="30"/>
      <sheetData sheetId="31" refreshError="1">
        <row r="2">
          <cell r="H2">
            <v>2000</v>
          </cell>
        </row>
        <row r="3">
          <cell r="H3" t="e">
            <v>#REF!</v>
          </cell>
        </row>
        <row r="4">
          <cell r="H4" t="e">
            <v>#REF!</v>
          </cell>
        </row>
        <row r="6">
          <cell r="H6" t="str">
            <v>local exchange services, value-added services such as caller ID and call waiting, wholesale revenues from UNE platforms, certain data transport revenues, and wireless interconnection revenues</v>
          </cell>
        </row>
        <row r="7">
          <cell r="H7" t="str">
            <v>usage-based switched access services, dedicated transport for special access, DSL revenues, and other access line related charges, such as subscriber line charges (SLC)</v>
          </cell>
        </row>
        <row r="8">
          <cell r="H8" t="str">
            <v>includes both intraLATA toll services and interLATA long-distance voice and data services</v>
          </cell>
        </row>
        <row r="9">
          <cell r="H9" t="str">
            <v>public (coin) telephone services, billing and collection for other carriers, collocation for CLECs, data solutions and systems integration, telephone equipment sales, inventory management and purchasing services</v>
          </cell>
        </row>
        <row r="13">
          <cell r="H13">
            <v>21576</v>
          </cell>
        </row>
        <row r="14">
          <cell r="H14">
            <v>4.7378640776698955E-2</v>
          </cell>
        </row>
        <row r="16">
          <cell r="H16">
            <v>0.50980577477434907</v>
          </cell>
        </row>
        <row r="17">
          <cell r="H17" t="e">
            <v>#REF!</v>
          </cell>
        </row>
        <row r="18">
          <cell r="H18">
            <v>12698</v>
          </cell>
        </row>
        <row r="19">
          <cell r="H19">
            <v>-1.0056911202931285E-2</v>
          </cell>
        </row>
        <row r="21">
          <cell r="H21">
            <v>0.30003307972213034</v>
          </cell>
        </row>
        <row r="22">
          <cell r="H22" t="e">
            <v>#REF!</v>
          </cell>
        </row>
        <row r="23">
          <cell r="H23">
            <v>3111</v>
          </cell>
        </row>
        <row r="24">
          <cell r="H24">
            <v>-2.2620169651272337E-2</v>
          </cell>
        </row>
        <row r="26">
          <cell r="H26">
            <v>7.3507868248192429E-2</v>
          </cell>
        </row>
        <row r="27">
          <cell r="H27" t="e">
            <v>#REF!</v>
          </cell>
        </row>
        <row r="28">
          <cell r="H28">
            <v>4937</v>
          </cell>
        </row>
        <row r="29">
          <cell r="H29">
            <v>-3.4422061412086813E-2</v>
          </cell>
        </row>
        <row r="31">
          <cell r="H31">
            <v>0.1166532772553282</v>
          </cell>
        </row>
        <row r="32">
          <cell r="H32" t="e">
            <v>#REF!</v>
          </cell>
        </row>
        <row r="33">
          <cell r="H33">
            <v>42322</v>
          </cell>
        </row>
        <row r="34">
          <cell r="H34">
            <v>1.4356589890468063E-2</v>
          </cell>
        </row>
        <row r="36">
          <cell r="H36" t="e">
            <v>#REF!</v>
          </cell>
        </row>
        <row r="45">
          <cell r="H45">
            <v>24200</v>
          </cell>
        </row>
        <row r="46">
          <cell r="H46">
            <v>2.1484952091511467E-2</v>
          </cell>
        </row>
        <row r="47">
          <cell r="H47">
            <v>0.5718066253957752</v>
          </cell>
        </row>
        <row r="48">
          <cell r="H48">
            <v>8550</v>
          </cell>
        </row>
        <row r="49">
          <cell r="H49">
            <v>4.2682926829268331E-2</v>
          </cell>
        </row>
        <row r="50">
          <cell r="H50">
            <v>0.20202258872454043</v>
          </cell>
        </row>
        <row r="51">
          <cell r="H51" t="e">
            <v>#REF!</v>
          </cell>
        </row>
        <row r="52">
          <cell r="H52" t="e">
            <v>#REF!</v>
          </cell>
        </row>
        <row r="53">
          <cell r="H53">
            <v>32750</v>
          </cell>
        </row>
        <row r="54">
          <cell r="H54">
            <v>2.693549904361725E-2</v>
          </cell>
        </row>
        <row r="55">
          <cell r="H55">
            <v>0.77382921412031569</v>
          </cell>
        </row>
        <row r="58">
          <cell r="H58">
            <v>9572</v>
          </cell>
        </row>
        <row r="59">
          <cell r="H59">
            <v>-2.644426362896668E-2</v>
          </cell>
        </row>
        <row r="60">
          <cell r="H60">
            <v>0.22617078587968434</v>
          </cell>
        </row>
        <row r="65">
          <cell r="H65">
            <v>18122</v>
          </cell>
        </row>
        <row r="66">
          <cell r="H66">
            <v>4.991126885536934E-3</v>
          </cell>
        </row>
        <row r="67">
          <cell r="H67">
            <v>0.42819337460422474</v>
          </cell>
        </row>
        <row r="72">
          <cell r="H72">
            <v>42322</v>
          </cell>
        </row>
        <row r="73">
          <cell r="H73">
            <v>1.4356589890468063E-2</v>
          </cell>
        </row>
        <row r="74">
          <cell r="H74">
            <v>0</v>
          </cell>
        </row>
        <row r="75">
          <cell r="H75" t="e">
            <v>#REF!</v>
          </cell>
        </row>
        <row r="77">
          <cell r="H77">
            <v>16810.786305147056</v>
          </cell>
        </row>
        <row r="80">
          <cell r="H80">
            <v>64.796431950150534</v>
          </cell>
        </row>
        <row r="83">
          <cell r="H83">
            <v>263552</v>
          </cell>
        </row>
        <row r="84">
          <cell r="H84">
            <v>3.2209550068931003E-2</v>
          </cell>
        </row>
        <row r="85">
          <cell r="H85" t="str">
            <v>NA</v>
          </cell>
        </row>
        <row r="86">
          <cell r="H86">
            <v>8224</v>
          </cell>
        </row>
        <row r="87">
          <cell r="H87">
            <v>259440</v>
          </cell>
        </row>
        <row r="89">
          <cell r="H89">
            <v>163128.27628738823</v>
          </cell>
        </row>
        <row r="90">
          <cell r="H90">
            <v>-1.2728059933090341E-3</v>
          </cell>
        </row>
        <row r="92">
          <cell r="H92" t="str">
            <v>NA</v>
          </cell>
        </row>
        <row r="98">
          <cell r="H98" t="e">
            <v>#REF!</v>
          </cell>
        </row>
        <row r="99">
          <cell r="H99" t="e">
            <v>#REF!</v>
          </cell>
        </row>
        <row r="100">
          <cell r="H100" t="e">
            <v>#REF!</v>
          </cell>
        </row>
        <row r="101">
          <cell r="H101" t="e">
            <v>#REF!</v>
          </cell>
        </row>
        <row r="102">
          <cell r="H102" t="e">
            <v>#REF!</v>
          </cell>
        </row>
        <row r="103">
          <cell r="H103" t="e">
            <v>#REF!</v>
          </cell>
        </row>
        <row r="104">
          <cell r="H104" t="e">
            <v>#REF!</v>
          </cell>
        </row>
        <row r="106">
          <cell r="H106" t="str">
            <v>NA</v>
          </cell>
        </row>
        <row r="110">
          <cell r="H110" t="str">
            <v>NA</v>
          </cell>
        </row>
        <row r="112">
          <cell r="H112">
            <v>0</v>
          </cell>
        </row>
        <row r="113">
          <cell r="H113">
            <v>0</v>
          </cell>
        </row>
        <row r="115">
          <cell r="H115" t="str">
            <v>NA</v>
          </cell>
        </row>
        <row r="121">
          <cell r="H121">
            <v>21576</v>
          </cell>
        </row>
        <row r="122">
          <cell r="H122">
            <v>4.7378640776698955E-2</v>
          </cell>
        </row>
        <row r="124">
          <cell r="H124" t="e">
            <v>#REF!</v>
          </cell>
        </row>
        <row r="125">
          <cell r="H125">
            <v>3111</v>
          </cell>
        </row>
        <row r="126">
          <cell r="H126">
            <v>-2.2620169651272337E-2</v>
          </cell>
        </row>
        <row r="128">
          <cell r="H128" t="e">
            <v>#REF!</v>
          </cell>
        </row>
        <row r="129">
          <cell r="H129">
            <v>24687</v>
          </cell>
        </row>
        <row r="130">
          <cell r="H130">
            <v>3.8010343522684176E-2</v>
          </cell>
        </row>
        <row r="132">
          <cell r="H132" t="e">
            <v>#REF!</v>
          </cell>
        </row>
        <row r="133">
          <cell r="H133">
            <v>33.36117147212402</v>
          </cell>
        </row>
        <row r="137">
          <cell r="H137">
            <v>21576</v>
          </cell>
        </row>
        <row r="138">
          <cell r="H138">
            <v>4.7378640776698955E-2</v>
          </cell>
        </row>
        <row r="142">
          <cell r="H142">
            <v>10784.493</v>
          </cell>
        </row>
        <row r="143">
          <cell r="H143">
            <v>-4.5708018274951412E-3</v>
          </cell>
        </row>
        <row r="144">
          <cell r="H144">
            <v>22.998381400824016</v>
          </cell>
        </row>
        <row r="145">
          <cell r="H145">
            <v>8.8983790050176648E-3</v>
          </cell>
        </row>
        <row r="146">
          <cell r="H146">
            <v>39077</v>
          </cell>
        </row>
        <row r="154">
          <cell r="H154">
            <v>10791.507</v>
          </cell>
        </row>
        <row r="155">
          <cell r="H155">
            <v>0.10500936979909836</v>
          </cell>
        </row>
        <row r="156">
          <cell r="H156">
            <v>40.990576142941798</v>
          </cell>
        </row>
        <row r="157">
          <cell r="H157">
            <v>9.3025314264005399E-2</v>
          </cell>
        </row>
        <row r="158">
          <cell r="H158">
            <v>21939</v>
          </cell>
        </row>
        <row r="161">
          <cell r="H161">
            <v>3111</v>
          </cell>
        </row>
        <row r="162">
          <cell r="H162">
            <v>-2.2620169651272337E-2</v>
          </cell>
        </row>
        <row r="165">
          <cell r="H165">
            <v>5350</v>
          </cell>
        </row>
        <row r="166">
          <cell r="H166">
            <v>1908</v>
          </cell>
        </row>
        <row r="167">
          <cell r="H167">
            <v>8.7681919496525498E-2</v>
          </cell>
        </row>
        <row r="169">
          <cell r="H169">
            <v>4396</v>
          </cell>
        </row>
        <row r="170">
          <cell r="H170">
            <v>0.41875100855252545</v>
          </cell>
        </row>
        <row r="173">
          <cell r="H173">
            <v>48.457943925233643</v>
          </cell>
        </row>
        <row r="175">
          <cell r="H175">
            <v>259.25</v>
          </cell>
        </row>
        <row r="176">
          <cell r="H176">
            <v>-2.2620169651272337E-2</v>
          </cell>
        </row>
        <row r="180">
          <cell r="H180">
            <v>144.6765</v>
          </cell>
        </row>
        <row r="182">
          <cell r="H182">
            <v>5079</v>
          </cell>
        </row>
        <row r="184">
          <cell r="H184">
            <v>785</v>
          </cell>
        </row>
        <row r="186">
          <cell r="H186">
            <v>12682.3235</v>
          </cell>
        </row>
        <row r="188">
          <cell r="H188">
            <v>12827</v>
          </cell>
        </row>
        <row r="189">
          <cell r="H189">
            <v>-8.88579817647972E-3</v>
          </cell>
        </row>
        <row r="193">
          <cell r="H193">
            <v>144.6765</v>
          </cell>
        </row>
        <row r="196">
          <cell r="H196">
            <v>540</v>
          </cell>
        </row>
        <row r="199">
          <cell r="H199">
            <v>453</v>
          </cell>
        </row>
        <row r="201">
          <cell r="H201">
            <v>313.5</v>
          </cell>
        </row>
        <row r="203">
          <cell r="H203">
            <v>38.457336523125996</v>
          </cell>
        </row>
        <row r="209">
          <cell r="H209">
            <v>5079</v>
          </cell>
        </row>
        <row r="210">
          <cell r="H210" t="e">
            <v>#DIV/0!</v>
          </cell>
        </row>
        <row r="212">
          <cell r="H212">
            <v>785</v>
          </cell>
        </row>
        <row r="213">
          <cell r="H213" t="e">
            <v>#DIV/0!</v>
          </cell>
        </row>
        <row r="215">
          <cell r="H215">
            <v>5864</v>
          </cell>
        </row>
        <row r="216">
          <cell r="H216">
            <v>0.26871484205971452</v>
          </cell>
        </row>
        <row r="217">
          <cell r="H217" t="e">
            <v>#REF!</v>
          </cell>
        </row>
        <row r="221">
          <cell r="H221">
            <v>12682.3235</v>
          </cell>
        </row>
        <row r="222">
          <cell r="H222">
            <v>-2.0064634523257574E-2</v>
          </cell>
        </row>
        <row r="224">
          <cell r="H224">
            <v>17.0415108144561</v>
          </cell>
        </row>
        <row r="225">
          <cell r="H225">
            <v>-2.7251285341171716E-2</v>
          </cell>
        </row>
        <row r="227">
          <cell r="H227">
            <v>72587</v>
          </cell>
        </row>
        <row r="228">
          <cell r="H228">
            <v>-0.73682722114460786</v>
          </cell>
        </row>
        <row r="230">
          <cell r="H230">
            <v>98.09160099028098</v>
          </cell>
        </row>
        <row r="232">
          <cell r="H232">
            <v>7.2802816860982431E-2</v>
          </cell>
        </row>
        <row r="233">
          <cell r="H233">
            <v>0.50764328143411608</v>
          </cell>
        </row>
      </sheetData>
      <sheetData sheetId="32" refreshError="1">
        <row r="2">
          <cell r="G2">
            <v>1999</v>
          </cell>
        </row>
        <row r="6">
          <cell r="G6">
            <v>42983</v>
          </cell>
        </row>
        <row r="7">
          <cell r="G7">
            <v>11968</v>
          </cell>
        </row>
        <row r="8">
          <cell r="G8">
            <v>1957</v>
          </cell>
        </row>
        <row r="9">
          <cell r="G9">
            <v>4086</v>
          </cell>
        </row>
        <row r="10">
          <cell r="G10">
            <v>-278</v>
          </cell>
        </row>
        <row r="11">
          <cell r="G11">
            <v>60716</v>
          </cell>
        </row>
        <row r="12">
          <cell r="G12">
            <v>0</v>
          </cell>
        </row>
        <row r="19">
          <cell r="G19">
            <v>34624</v>
          </cell>
        </row>
        <row r="20">
          <cell r="G20">
            <v>11270</v>
          </cell>
        </row>
        <row r="21">
          <cell r="G21">
            <v>45894</v>
          </cell>
        </row>
        <row r="22">
          <cell r="G22">
            <v>0</v>
          </cell>
        </row>
        <row r="27">
          <cell r="G27">
            <v>14822</v>
          </cell>
        </row>
        <row r="28">
          <cell r="G28">
            <v>620</v>
          </cell>
        </row>
        <row r="29">
          <cell r="G29">
            <v>136</v>
          </cell>
        </row>
        <row r="30">
          <cell r="G30">
            <v>2714</v>
          </cell>
        </row>
        <row r="31">
          <cell r="G31">
            <v>-538</v>
          </cell>
        </row>
        <row r="32">
          <cell r="G32">
            <v>12326</v>
          </cell>
        </row>
        <row r="33">
          <cell r="G33">
            <v>4423</v>
          </cell>
        </row>
        <row r="35">
          <cell r="G35">
            <v>7903</v>
          </cell>
        </row>
        <row r="40">
          <cell r="G40">
            <v>2.85</v>
          </cell>
        </row>
        <row r="41">
          <cell r="G41">
            <v>2777</v>
          </cell>
        </row>
        <row r="42">
          <cell r="G42">
            <v>-4.1231544832553979E-3</v>
          </cell>
        </row>
        <row r="50">
          <cell r="G50">
            <v>2033</v>
          </cell>
        </row>
        <row r="51">
          <cell r="G51">
            <v>1035</v>
          </cell>
        </row>
        <row r="52">
          <cell r="G52">
            <v>11998</v>
          </cell>
        </row>
        <row r="53">
          <cell r="G53">
            <v>1366</v>
          </cell>
        </row>
        <row r="54">
          <cell r="G54">
            <v>1802</v>
          </cell>
        </row>
        <row r="55">
          <cell r="G55">
            <v>1761</v>
          </cell>
        </row>
        <row r="56">
          <cell r="G56">
            <v>19995</v>
          </cell>
        </row>
        <row r="57">
          <cell r="G57">
            <v>0</v>
          </cell>
        </row>
        <row r="58">
          <cell r="G58">
            <v>142989</v>
          </cell>
        </row>
        <row r="59">
          <cell r="G59">
            <v>80816</v>
          </cell>
        </row>
        <row r="60">
          <cell r="G60">
            <v>62173</v>
          </cell>
        </row>
        <row r="61">
          <cell r="G61">
            <v>10177</v>
          </cell>
        </row>
        <row r="62">
          <cell r="G62">
            <v>8645</v>
          </cell>
        </row>
        <row r="63">
          <cell r="G63">
            <v>11840</v>
          </cell>
        </row>
        <row r="64">
          <cell r="G64">
            <v>112830</v>
          </cell>
        </row>
        <row r="65">
          <cell r="G65">
            <v>0</v>
          </cell>
        </row>
        <row r="69">
          <cell r="G69">
            <v>15063</v>
          </cell>
        </row>
        <row r="70">
          <cell r="G70">
            <v>10878</v>
          </cell>
        </row>
        <row r="71">
          <cell r="G71">
            <v>3809</v>
          </cell>
        </row>
        <row r="72">
          <cell r="G72">
            <v>29750</v>
          </cell>
        </row>
        <row r="73">
          <cell r="G73">
            <v>0</v>
          </cell>
        </row>
        <row r="74">
          <cell r="G74">
            <v>32419</v>
          </cell>
        </row>
        <row r="75">
          <cell r="G75">
            <v>13744</v>
          </cell>
        </row>
        <row r="76">
          <cell r="G76">
            <v>7288</v>
          </cell>
        </row>
        <row r="77">
          <cell r="G77">
            <v>1353</v>
          </cell>
        </row>
        <row r="78">
          <cell r="G78">
            <v>84554</v>
          </cell>
        </row>
        <row r="80">
          <cell r="G80">
            <v>1900</v>
          </cell>
        </row>
        <row r="83">
          <cell r="G83">
            <v>276</v>
          </cell>
        </row>
        <row r="84">
          <cell r="G84">
            <v>20134</v>
          </cell>
        </row>
        <row r="85">
          <cell r="G85">
            <v>7428</v>
          </cell>
        </row>
        <row r="86">
          <cell r="G86">
            <v>75</v>
          </cell>
        </row>
        <row r="87">
          <cell r="G87">
            <v>27913</v>
          </cell>
        </row>
        <row r="88">
          <cell r="G88">
            <v>640</v>
          </cell>
        </row>
        <row r="89">
          <cell r="G89">
            <v>897</v>
          </cell>
        </row>
        <row r="90">
          <cell r="G90">
            <v>26376</v>
          </cell>
        </row>
        <row r="91">
          <cell r="G91">
            <v>0</v>
          </cell>
        </row>
        <row r="92">
          <cell r="G92">
            <v>112830</v>
          </cell>
        </row>
        <row r="93">
          <cell r="G93">
            <v>0</v>
          </cell>
        </row>
        <row r="97">
          <cell r="G97">
            <v>1.54</v>
          </cell>
        </row>
        <row r="98">
          <cell r="G98">
            <v>2733</v>
          </cell>
        </row>
        <row r="101">
          <cell r="G101">
            <v>10087</v>
          </cell>
        </row>
        <row r="102">
          <cell r="G102">
            <v>1497</v>
          </cell>
        </row>
        <row r="103">
          <cell r="G103">
            <v>521</v>
          </cell>
        </row>
        <row r="104">
          <cell r="G104">
            <v>50</v>
          </cell>
        </row>
        <row r="105">
          <cell r="G105">
            <v>858</v>
          </cell>
        </row>
        <row r="106">
          <cell r="G106">
            <v>13013</v>
          </cell>
        </row>
        <row r="108">
          <cell r="G108">
            <v>255328</v>
          </cell>
        </row>
        <row r="113">
          <cell r="G113">
            <v>21145</v>
          </cell>
        </row>
        <row r="114">
          <cell r="G114">
            <v>13381</v>
          </cell>
        </row>
        <row r="115">
          <cell r="G115">
            <v>3253</v>
          </cell>
        </row>
        <row r="116">
          <cell r="G116">
            <v>5204</v>
          </cell>
        </row>
        <row r="117">
          <cell r="G117">
            <v>42983</v>
          </cell>
        </row>
        <row r="118">
          <cell r="G118">
            <v>0</v>
          </cell>
        </row>
        <row r="121">
          <cell r="G121">
            <v>24178</v>
          </cell>
        </row>
        <row r="122">
          <cell r="G122">
            <v>8200</v>
          </cell>
        </row>
        <row r="123">
          <cell r="G123">
            <v>32378</v>
          </cell>
        </row>
        <row r="124">
          <cell r="G124">
            <v>0</v>
          </cell>
        </row>
        <row r="126">
          <cell r="G126">
            <v>10605</v>
          </cell>
        </row>
        <row r="127">
          <cell r="G127">
            <v>0.24672544959635204</v>
          </cell>
        </row>
        <row r="129">
          <cell r="G129">
            <v>18805</v>
          </cell>
        </row>
        <row r="130">
          <cell r="G130">
            <v>0.43749854593676568</v>
          </cell>
        </row>
        <row r="134">
          <cell r="G134">
            <v>40882</v>
          </cell>
        </row>
        <row r="135">
          <cell r="G135">
            <v>22147</v>
          </cell>
        </row>
        <row r="136">
          <cell r="G136">
            <v>710</v>
          </cell>
        </row>
        <row r="137">
          <cell r="G137">
            <v>63739</v>
          </cell>
        </row>
        <row r="138">
          <cell r="G138">
            <v>28926</v>
          </cell>
        </row>
        <row r="139">
          <cell r="G139">
            <v>92665</v>
          </cell>
        </row>
        <row r="141">
          <cell r="G141">
            <v>1236</v>
          </cell>
        </row>
        <row r="142">
          <cell r="G142">
            <v>1785</v>
          </cell>
        </row>
        <row r="144">
          <cell r="G144">
            <v>275815</v>
          </cell>
        </row>
        <row r="145">
          <cell r="G145">
            <v>3442</v>
          </cell>
        </row>
        <row r="149">
          <cell r="G149">
            <v>2769</v>
          </cell>
        </row>
        <row r="150">
          <cell r="G150">
            <v>1231</v>
          </cell>
        </row>
        <row r="151">
          <cell r="G151">
            <v>690</v>
          </cell>
        </row>
        <row r="152">
          <cell r="G152">
            <v>4690</v>
          </cell>
        </row>
        <row r="155">
          <cell r="G155">
            <v>1447</v>
          </cell>
        </row>
        <row r="156">
          <cell r="G156">
            <v>1119</v>
          </cell>
        </row>
        <row r="157">
          <cell r="G157">
            <v>1357</v>
          </cell>
        </row>
        <row r="162">
          <cell r="G162">
            <v>9946</v>
          </cell>
        </row>
        <row r="163">
          <cell r="G163">
            <v>961</v>
          </cell>
        </row>
        <row r="164">
          <cell r="G164">
            <v>1061</v>
          </cell>
        </row>
        <row r="165">
          <cell r="G165">
            <v>11968</v>
          </cell>
        </row>
        <row r="166">
          <cell r="G166">
            <v>0</v>
          </cell>
        </row>
        <row r="169">
          <cell r="G169">
            <v>7902</v>
          </cell>
        </row>
        <row r="170">
          <cell r="G170">
            <v>2648</v>
          </cell>
        </row>
        <row r="171">
          <cell r="G171">
            <v>10550</v>
          </cell>
        </row>
        <row r="172">
          <cell r="G172">
            <v>0</v>
          </cell>
        </row>
        <row r="174">
          <cell r="G174">
            <v>1418</v>
          </cell>
        </row>
        <row r="175">
          <cell r="G175">
            <v>0.11848262032085562</v>
          </cell>
        </row>
        <row r="177">
          <cell r="G177">
            <v>4066</v>
          </cell>
        </row>
        <row r="178">
          <cell r="G178">
            <v>0.33973930481283421</v>
          </cell>
        </row>
        <row r="182">
          <cell r="G182">
            <v>23999</v>
          </cell>
        </row>
        <row r="183">
          <cell r="G183">
            <v>0.1</v>
          </cell>
        </row>
        <row r="184">
          <cell r="G184">
            <v>3004</v>
          </cell>
        </row>
        <row r="185">
          <cell r="G185" t="str">
            <v>NA</v>
          </cell>
        </row>
        <row r="189">
          <cell r="G189">
            <v>964</v>
          </cell>
        </row>
        <row r="190">
          <cell r="G190">
            <v>993</v>
          </cell>
        </row>
        <row r="191">
          <cell r="G191">
            <v>1957</v>
          </cell>
        </row>
        <row r="192">
          <cell r="G192">
            <v>0</v>
          </cell>
        </row>
        <row r="195">
          <cell r="G195">
            <v>1340</v>
          </cell>
        </row>
        <row r="196">
          <cell r="G196">
            <v>310</v>
          </cell>
        </row>
        <row r="197">
          <cell r="G197">
            <v>1650</v>
          </cell>
        </row>
        <row r="198">
          <cell r="G198">
            <v>0</v>
          </cell>
        </row>
        <row r="200">
          <cell r="G200">
            <v>307</v>
          </cell>
        </row>
        <row r="201">
          <cell r="G201">
            <v>0.15687276443536025</v>
          </cell>
        </row>
        <row r="203">
          <cell r="G203">
            <v>617</v>
          </cell>
        </row>
        <row r="204">
          <cell r="G204">
            <v>0.31527848748083803</v>
          </cell>
        </row>
        <row r="206">
          <cell r="G206">
            <v>538</v>
          </cell>
        </row>
        <row r="209">
          <cell r="G209">
            <v>5522</v>
          </cell>
        </row>
        <row r="210">
          <cell r="G210">
            <v>1314</v>
          </cell>
        </row>
        <row r="211">
          <cell r="G211">
            <v>2160</v>
          </cell>
        </row>
        <row r="213">
          <cell r="G213">
            <v>4033</v>
          </cell>
        </row>
        <row r="214">
          <cell r="G214">
            <v>5591</v>
          </cell>
        </row>
        <row r="218">
          <cell r="G218">
            <v>4086</v>
          </cell>
        </row>
        <row r="221">
          <cell r="G221">
            <v>2007</v>
          </cell>
        </row>
        <row r="222">
          <cell r="G222">
            <v>76</v>
          </cell>
        </row>
        <row r="223">
          <cell r="G223">
            <v>2083</v>
          </cell>
        </row>
        <row r="224">
          <cell r="G224">
            <v>0</v>
          </cell>
        </row>
        <row r="226">
          <cell r="G226">
            <v>2003</v>
          </cell>
        </row>
        <row r="227">
          <cell r="G227">
            <v>0.49021047479197261</v>
          </cell>
        </row>
        <row r="229">
          <cell r="G229">
            <v>2079</v>
          </cell>
        </row>
        <row r="230">
          <cell r="G230">
            <v>0.50881057268722463</v>
          </cell>
        </row>
      </sheetData>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cenario"/>
      <sheetName val="Sheet1"/>
      <sheetName val="GWP"/>
      <sheetName val="ImportantDisclosures"/>
      <sheetName val="IndexInformation"/>
      <sheetName val="Income"/>
      <sheetName val="Income Statement"/>
      <sheetName val="Margins"/>
      <sheetName val="Euro vs. PM"/>
      <sheetName val="Ruble"/>
      <sheetName val="MS_IRI_Methodology"/>
      <sheetName val="MARKET_SHARE ($)_RAW_DATA"/>
      <sheetName val="NEXXUS_RAW_DATA"/>
      <sheetName val="HAIR_CARE_MARKET SHARE ROLL-UP"/>
      <sheetName val="TOTAL_ACV_DOLLAR_SALES"/>
      <sheetName val="Comps"/>
      <sheetName val="Switches"/>
      <sheetName val="EBITDA"/>
      <sheetName val="TimeSeries"/>
      <sheetName val="Valuation Analyzer"/>
      <sheetName val="GWP-WLine"/>
      <sheetName val="SSB Nielsen Sales"/>
      <sheetName val="TS_Stnd_Dev_Band"/>
      <sheetName val="Print "/>
      <sheetName val="Lookup"/>
      <sheetName val="Input"/>
      <sheetName val="99 cons YTD"/>
      <sheetName val="KPN"/>
      <sheetName val="Realizations vs Average"/>
      <sheetName val="summary"/>
      <sheetName val="B"/>
      <sheetName val="Ratios"/>
      <sheetName val="C"/>
      <sheetName val="rev change analysis"/>
      <sheetName val="Oil Consumption – barrels"/>
      <sheetName val="O1000"/>
      <sheetName val="SO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Pension"/>
      <sheetName val="OPEB"/>
      <sheetName val="mwareSettings"/>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file://///Msad/../../root/na/ny/lib/Roaming/Microsoft/Excel/&#21364;&#20278;&#44084;&#20300;&#44836;&#19204;&#1444;&#19205;%0d&#20406;&#59908;&#20602;&#26500;&#20406;&#42692;&#20372;&#7300;&#20406;&#516;&#19205;&#44964;&#19204;" TargetMode="External" Type="http://schemas.openxmlformats.org/officeDocument/2006/relationships/hyperlink"/>
<Relationship Id="rId2"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1.xml" Type="http://schemas.openxmlformats.org/officeDocument/2006/relationships/drawing"/>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drawing2.xml" Type="http://schemas.openxmlformats.org/officeDocument/2006/relationships/drawing"/>
<Relationship Id="rId3" Target="../drawings/vmlDrawing12.vml" Type="http://schemas.openxmlformats.org/officeDocument/2006/relationships/vmlDrawing"/>
<Relationship Id="rId4" Target="../comments12.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drawing3.xml" Type="http://schemas.openxmlformats.org/officeDocument/2006/relationships/drawing"/>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 Id="rId2" Target="../drawings/drawing4.xml" Type="http://schemas.openxmlformats.org/officeDocument/2006/relationships/drawing"/>
</Relationships>

</file>

<file path=xl/worksheets/_rels/sheet25.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printerSettings/printerSettings26.bin" Type="http://schemas.openxmlformats.org/officeDocument/2006/relationships/printerSettings"/>
<Relationship Id="rId2" Target="../drawings/drawing6.xml" Type="http://schemas.openxmlformats.org/officeDocument/2006/relationships/drawing"/>
<Relationship Id="rId3" Target="../drawings/vmlDrawing14.vml" Type="http://schemas.openxmlformats.org/officeDocument/2006/relationships/vmlDrawing"/>
<Relationship Id="rId4" Target="../ctrlProps/ctrlProp1.xml" Type="http://schemas.openxmlformats.org/officeDocument/2006/relationships/ctrlProp"/>
<Relationship Id="rId5" Target="../comments14.xml" Type="http://schemas.openxmlformats.org/officeDocument/2006/relationships/comments"/>
</Relationships>

</file>

<file path=xl/worksheets/_rels/sheet27.xml.rels><?xml version="1.0" encoding="UTF-8" standalone="yes"?>
<Relationships xmlns="http://schemas.openxmlformats.org/package/2006/relationships">
<Relationship Id="rId1" Target="../printerSettings/printerSettings27.bin" Type="http://schemas.openxmlformats.org/officeDocument/2006/relationships/printerSettings"/>
<Relationship Id="rId2" Target="../drawings/drawing7.xml" Type="http://schemas.openxmlformats.org/officeDocument/2006/relationships/drawing"/>
<Relationship Id="rId3" Target="../drawings/vmlDrawing15.vml" Type="http://schemas.openxmlformats.org/officeDocument/2006/relationships/vmlDrawing"/>
<Relationship Id="rId4" Target="../ctrlProps/ctrlProp2.xml" Type="http://schemas.openxmlformats.org/officeDocument/2006/relationships/ctrlProp"/>
<Relationship Id="rId5" Target="../comments15.xml" Type="http://schemas.openxmlformats.org/officeDocument/2006/relationships/comments"/>
</Relationships>

</file>

<file path=xl/worksheets/_rels/sheet28.xml.rels><?xml version="1.0" encoding="UTF-8" standalone="yes"?>
<Relationships xmlns="http://schemas.openxmlformats.org/package/2006/relationships">
<Relationship Id="rId1" Target="../printerSettings/printerSettings28.bin" Type="http://schemas.openxmlformats.org/officeDocument/2006/relationships/printerSettings"/>
<Relationship Id="rId2" Target="../drawings/drawing8.xml" Type="http://schemas.openxmlformats.org/officeDocument/2006/relationships/drawing"/>
<Relationship Id="rId3" Target="../drawings/vmlDrawing16.vml" Type="http://schemas.openxmlformats.org/officeDocument/2006/relationships/vmlDrawing"/>
<Relationship Id="rId4" Target="../ctrlProps/ctrlProp3.xml" Type="http://schemas.openxmlformats.org/officeDocument/2006/relationships/ctrlProp"/>
<Relationship Id="rId5" Target="../comments16.xml" Type="http://schemas.openxmlformats.org/officeDocument/2006/relationships/comments"/>
</Relationships>

</file>

<file path=xl/worksheets/_rels/sheet29.xml.rels><?xml version="1.0" encoding="UTF-8" standalone="yes"?>
<Relationships xmlns="http://schemas.openxmlformats.org/package/2006/relationships">
<Relationship Id="rId1" Target="../printerSettings/printerSettings29.bin" Type="http://schemas.openxmlformats.org/officeDocument/2006/relationships/printerSettings"/>
<Relationship Id="rId2" Target="../drawings/drawing9.xml" Type="http://schemas.openxmlformats.org/officeDocument/2006/relationships/drawing"/>
<Relationship Id="rId3" Target="../drawings/vmlDrawing17.vml" Type="http://schemas.openxmlformats.org/officeDocument/2006/relationships/vmlDrawing"/>
<Relationship Id="rId4" Target="../ctrlProps/ctrlProp4.xml" Type="http://schemas.openxmlformats.org/officeDocument/2006/relationships/ctrlProp"/>
<Relationship Id="rId5" Target="../comments17.xml" Type="http://schemas.openxmlformats.org/officeDocument/2006/relationships/comments"/>
</Relationships>

</file>

<file path=xl/worksheets/_rels/sheet30.xml.rels><?xml version="1.0" encoding="UTF-8" standalone="yes"?>
<Relationships xmlns="http://schemas.openxmlformats.org/package/2006/relationships">
<Relationship Id="rId1" Target="../printerSettings/printerSettings30.bin" Type="http://schemas.openxmlformats.org/officeDocument/2006/relationships/printerSettings"/>
<Relationship Id="rId2" Target="../drawings/drawing10.xml" Type="http://schemas.openxmlformats.org/officeDocument/2006/relationships/drawing"/>
<Relationship Id="rId3" Target="../drawings/vmlDrawing18.vml" Type="http://schemas.openxmlformats.org/officeDocument/2006/relationships/vmlDrawing"/>
<Relationship Id="rId4" Target="../ctrlProps/ctrlProp5.xml" Type="http://schemas.openxmlformats.org/officeDocument/2006/relationships/ctrlProp"/>
<Relationship Id="rId5" Target="../comments18.xml" Type="http://schemas.openxmlformats.org/officeDocument/2006/relationships/comments"/>
</Relationships>

</file>

<file path=xl/worksheets/_rels/sheet31.xml.rels><?xml version="1.0" encoding="UTF-8" standalone="yes"?>
<Relationships xmlns="http://schemas.openxmlformats.org/package/2006/relationships">
<Relationship Id="rId1" Target="../printerSettings/printerSettings31.bin" Type="http://schemas.openxmlformats.org/officeDocument/2006/relationships/printerSettings"/>
<Relationship Id="rId2" Target="../drawings/vmlDrawing19.vml" Type="http://schemas.openxmlformats.org/officeDocument/2006/relationships/vmlDrawing"/>
<Relationship Id="rId3" Target="../comments19.xml" Type="http://schemas.openxmlformats.org/officeDocument/2006/relationships/comments"/>
</Relationships>

</file>

<file path=xl/worksheets/_rels/sheet32.xml.rels><?xml version="1.0" encoding="UTF-8" standalone="yes"?>
<Relationships xmlns="http://schemas.openxmlformats.org/package/2006/relationships">
<Relationship Id="rId1" Target="../printerSettings/printerSettings32.bin" Type="http://schemas.openxmlformats.org/officeDocument/2006/relationships/printerSettings"/>
<Relationship Id="rId2" Target="../drawings/vmlDrawing20.vml" Type="http://schemas.openxmlformats.org/officeDocument/2006/relationships/vmlDrawing"/>
<Relationship Id="rId3" Target="../comments20.xml" Type="http://schemas.openxmlformats.org/officeDocument/2006/relationships/comments"/>
</Relationships>

</file>

<file path=xl/worksheets/_rels/sheet33.xml.rels><?xml version="1.0" encoding="UTF-8" standalone="yes"?>
<Relationships xmlns="http://schemas.openxmlformats.org/package/2006/relationships">
<Relationship Id="rId1" Target="../printerSettings/printerSettings33.bin" Type="http://schemas.openxmlformats.org/officeDocument/2006/relationships/printerSettings"/>
<Relationship Id="rId10" Target="../comments21.xml" Type="http://schemas.openxmlformats.org/officeDocument/2006/relationships/comments"/>
<Relationship Id="rId2" Target="../drawings/drawing11.xml" Type="http://schemas.openxmlformats.org/officeDocument/2006/relationships/drawing"/>
<Relationship Id="rId3" Target="../drawings/vmlDrawing21.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activeX/activeX2.xml" Type="http://schemas.openxmlformats.org/officeDocument/2006/relationships/control"/>
<Relationship Id="rId7" Target="../media/image5.emf" Type="http://schemas.openxmlformats.org/officeDocument/2006/relationships/image"/>
<Relationship Id="rId8" Target="../activeX/activeX3.xml" Type="http://schemas.openxmlformats.org/officeDocument/2006/relationships/control"/>
<Relationship Id="rId9" Target="../media/image6.emf" Type="http://schemas.openxmlformats.org/officeDocument/2006/relationships/image"/>
</Relationships>

</file>

<file path=xl/worksheets/_rels/sheet34.xml.rels><?xml version="1.0" encoding="UTF-8" standalone="yes"?>
<Relationships xmlns="http://schemas.openxmlformats.org/package/2006/relationships">
<Relationship Id="rId1" Target="../printerSettings/printerSettings34.bin" Type="http://schemas.openxmlformats.org/officeDocument/2006/relationships/printerSettings"/>
<Relationship Id="rId2" Target="../drawings/drawing12.xml" Type="http://schemas.openxmlformats.org/officeDocument/2006/relationships/drawing"/>
<Relationship Id="rId3" Target="../drawings/vmlDrawing22.vml" Type="http://schemas.openxmlformats.org/officeDocument/2006/relationships/vmlDrawing"/>
<Relationship Id="rId4" Target="../activeX/activeX4.xml" Type="http://schemas.openxmlformats.org/officeDocument/2006/relationships/control"/>
<Relationship Id="rId5" Target="../media/image7.emf" Type="http://schemas.openxmlformats.org/officeDocument/2006/relationships/image"/>
<Relationship Id="rId6" Target="../comments22.xml" Type="http://schemas.openxmlformats.org/officeDocument/2006/relationships/comments"/>
</Relationships>

</file>

<file path=xl/worksheets/_rels/sheet35.xml.rels><?xml version="1.0" encoding="UTF-8" standalone="yes"?>
<Relationships xmlns="http://schemas.openxmlformats.org/package/2006/relationships">
<Relationship Id="rId1" Target="../printerSettings/printerSettings35.bin" Type="http://schemas.openxmlformats.org/officeDocument/2006/relationships/printerSettings"/>
<Relationship Id="rId2" Target="../drawings/vmlDrawing23.vml" Type="http://schemas.openxmlformats.org/officeDocument/2006/relationships/vmlDrawing"/>
<Relationship Id="rId3" Target="../comments23.xml" Type="http://schemas.openxmlformats.org/officeDocument/2006/relationships/comments"/>
</Relationships>

</file>

<file path=xl/worksheets/_rels/sheet36.xml.rels><?xml version="1.0" encoding="UTF-8" standalone="yes"?>
<Relationships xmlns="http://schemas.openxmlformats.org/package/2006/relationships">
<Relationship Id="rId1" Target="../printerSettings/printerSettings36.bin" Type="http://schemas.openxmlformats.org/officeDocument/2006/relationships/printerSettings"/>
<Relationship Id="rId2" Target="../drawings/vmlDrawing24.vml" Type="http://schemas.openxmlformats.org/officeDocument/2006/relationships/vmlDrawing"/>
<Relationship Id="rId3" Target="../comments24.xml" Type="http://schemas.openxmlformats.org/officeDocument/2006/relationships/comments"/>
</Relationships>

</file>

<file path=xl/worksheets/_rels/sheet37.xml.rels><?xml version="1.0" encoding="UTF-8" standalone="yes"?>
<Relationships xmlns="http://schemas.openxmlformats.org/package/2006/relationships">
<Relationship Id="rId1" Target="../printerSettings/printerSettings37.bin" Type="http://schemas.openxmlformats.org/officeDocument/2006/relationships/printerSettings"/>
</Relationships>

</file>

<file path=xl/worksheets/_rels/sheet38.xml.rels><?xml version="1.0" encoding="UTF-8" standalone="yes"?>
<Relationships xmlns="http://schemas.openxmlformats.org/package/2006/relationships">
<Relationship Id="rId1" Target="../printerSettings/printerSettings38.bin" Type="http://schemas.openxmlformats.org/officeDocument/2006/relationships/printerSettings"/>
</Relationships>

</file>

<file path=xl/worksheets/_rels/sheet40.xml.rels><?xml version="1.0" encoding="UTF-8" standalone="yes"?>
<Relationships xmlns="http://schemas.openxmlformats.org/package/2006/relationships">
<Relationship Id="rId1" Target="../printerSettings/printerSettings39.bin" Type="http://schemas.openxmlformats.org/officeDocument/2006/relationships/printerSettings"/>
<Relationship Id="rId2" Target="../drawings/vmlDrawing25.vml" Type="http://schemas.openxmlformats.org/officeDocument/2006/relationships/vmlDrawing"/>
<Relationship Id="rId3" Target="../comments25.xml" Type="http://schemas.openxmlformats.org/officeDocument/2006/relationships/comments"/>
</Relationships>

</file>

<file path=xl/worksheets/_rels/sheet41.xml.rels><?xml version="1.0" encoding="UTF-8" standalone="yes"?>
<Relationships xmlns="http://schemas.openxmlformats.org/package/2006/relationships">
<Relationship Id="rId1" Target="../printerSettings/printerSettings40.bin" Type="http://schemas.openxmlformats.org/officeDocument/2006/relationships/printerSettings"/>
<Relationship Id="rId2" Target="../drawings/drawing13.xml" Type="http://schemas.openxmlformats.org/officeDocument/2006/relationships/drawing"/>
<Relationship Id="rId3" Target="../drawings/vmlDrawing26.vml" Type="http://schemas.openxmlformats.org/officeDocument/2006/relationships/vmlDrawing"/>
<Relationship Id="rId4" Target="../comments26.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A239"/>
  <sheetViews>
    <sheetView zoomScale="85" workbookViewId="0">
      <pane xSplit="1" ySplit="8" topLeftCell="O88" activePane="bottomRight" state="frozen"/>
      <selection activeCell="O133" sqref="O133"/>
      <selection pane="topRight" activeCell="O133" sqref="O133"/>
      <selection pane="bottomLeft" activeCell="O133" sqref="O133"/>
      <selection pane="bottomRight" activeCell="O133" sqref="O133"/>
    </sheetView>
  </sheetViews>
  <sheetFormatPr defaultRowHeight="12.75"/>
  <cols>
    <col min="1" max="1" width="44.7109375" customWidth="1"/>
    <col min="2" max="5" width="11" customWidth="1"/>
    <col min="6" max="6" width="10.5703125" bestFit="1" customWidth="1"/>
    <col min="7" max="7" width="10.7109375" customWidth="1"/>
    <col min="8" max="8" width="10" customWidth="1"/>
    <col min="9" max="13" width="11" customWidth="1"/>
    <col min="14" max="22" width="11.5703125" bestFit="1" customWidth="1"/>
    <col min="23" max="23" width="13" bestFit="1" customWidth="1"/>
    <col min="24" max="24" width="11.5703125" bestFit="1" customWidth="1"/>
    <col min="25" max="25" width="12.28515625" bestFit="1" customWidth="1"/>
  </cols>
  <sheetData>
    <row r="1" spans="1:25">
      <c r="A1" s="1902" t="s">
        <v>930</v>
      </c>
      <c r="B1" s="21"/>
      <c r="C1" s="21"/>
      <c r="D1" s="21"/>
      <c r="E1" s="21"/>
      <c r="F1" s="21"/>
      <c r="G1" s="21"/>
      <c r="H1" s="21"/>
      <c r="I1" s="21"/>
      <c r="J1" s="21"/>
      <c r="K1" s="21"/>
      <c r="L1" s="21"/>
      <c r="M1" s="21"/>
      <c r="N1" s="21"/>
      <c r="O1" s="21"/>
      <c r="P1" s="21"/>
      <c r="Q1" s="21"/>
      <c r="R1" s="21"/>
      <c r="S1" s="21"/>
      <c r="T1" s="21"/>
      <c r="U1" s="21"/>
      <c r="V1" s="21"/>
      <c r="W1" s="21"/>
      <c r="X1" s="21"/>
    </row>
    <row r="2" spans="1:25">
      <c r="A2" s="4" t="s">
        <v>788</v>
      </c>
      <c r="B2" s="21"/>
      <c r="C2" s="21"/>
      <c r="D2" s="21"/>
      <c r="E2" s="21"/>
      <c r="F2" s="21"/>
      <c r="G2" s="21"/>
      <c r="H2" s="21"/>
      <c r="I2" s="21"/>
      <c r="J2" s="21"/>
      <c r="K2" s="21"/>
      <c r="L2" s="21"/>
      <c r="M2" s="21"/>
      <c r="N2" s="21"/>
      <c r="O2" s="22">
        <f t="shared" ref="O2:V2" si="0">+O136+P139</f>
        <v>236880</v>
      </c>
      <c r="P2" s="22">
        <f t="shared" si="0"/>
        <v>252976</v>
      </c>
      <c r="Q2" s="22">
        <f t="shared" si="0"/>
        <v>340445</v>
      </c>
      <c r="R2" s="22">
        <f t="shared" si="0"/>
        <v>318744</v>
      </c>
      <c r="S2" s="22">
        <f t="shared" si="0"/>
        <v>233739</v>
      </c>
      <c r="T2" s="22">
        <f t="shared" si="0"/>
        <v>229659</v>
      </c>
      <c r="U2" s="22">
        <f t="shared" si="0"/>
        <v>219606</v>
      </c>
      <c r="V2" s="22">
        <f t="shared" si="0"/>
        <v>206813</v>
      </c>
      <c r="W2" s="22">
        <f>+W136+X139</f>
        <v>192496</v>
      </c>
      <c r="X2" s="22"/>
    </row>
    <row r="3" spans="1:25">
      <c r="A3" s="4" t="s">
        <v>986</v>
      </c>
      <c r="B3" s="21"/>
      <c r="C3" s="21"/>
      <c r="D3" s="21"/>
      <c r="E3" s="21"/>
      <c r="F3" s="21"/>
      <c r="G3" s="21"/>
      <c r="H3" s="21"/>
      <c r="I3" s="21"/>
      <c r="J3" s="21"/>
      <c r="K3" s="21"/>
      <c r="L3" s="21"/>
      <c r="M3" s="21"/>
      <c r="N3" s="21"/>
      <c r="O3" s="21"/>
      <c r="P3" s="21"/>
      <c r="Q3" s="21"/>
      <c r="R3" s="21"/>
      <c r="S3" s="21"/>
      <c r="T3" s="21"/>
      <c r="U3" s="21"/>
      <c r="V3" s="22"/>
      <c r="W3" s="22"/>
      <c r="X3" s="22"/>
    </row>
    <row r="4" spans="1:25">
      <c r="A4" s="3" t="s">
        <v>763</v>
      </c>
      <c r="B4" s="21"/>
      <c r="C4" s="21"/>
      <c r="D4" s="21"/>
      <c r="E4" s="21"/>
      <c r="F4" s="21"/>
      <c r="G4" s="21"/>
      <c r="H4" s="21"/>
      <c r="I4" s="21"/>
      <c r="J4" s="21"/>
      <c r="K4" s="21"/>
      <c r="L4" s="21"/>
      <c r="M4" s="21"/>
      <c r="N4" s="21"/>
      <c r="O4" s="21"/>
      <c r="P4" s="21"/>
      <c r="Q4" s="21"/>
      <c r="R4" s="21"/>
      <c r="S4" s="21"/>
      <c r="T4" s="22">
        <f>+T45+T106</f>
        <v>8904243</v>
      </c>
      <c r="U4" s="22">
        <f>+U45+U106</f>
        <v>9137266</v>
      </c>
      <c r="V4" s="22">
        <f>+V45+V106</f>
        <v>9037119</v>
      </c>
      <c r="W4" s="22">
        <f>+W45+W106</f>
        <v>8290402</v>
      </c>
      <c r="X4" s="22">
        <f>+X45+X106</f>
        <v>7955936</v>
      </c>
    </row>
    <row r="5" spans="1:25">
      <c r="A5" s="25"/>
      <c r="B5" s="21"/>
      <c r="C5" s="21"/>
      <c r="D5" s="21"/>
      <c r="E5" s="21"/>
      <c r="F5" s="21"/>
      <c r="G5" s="21"/>
      <c r="H5" s="21"/>
      <c r="I5" s="21"/>
      <c r="J5" s="21"/>
      <c r="K5" s="21"/>
      <c r="L5" s="21"/>
      <c r="M5" s="21"/>
      <c r="N5" s="21"/>
      <c r="O5" s="21"/>
      <c r="P5" s="21"/>
      <c r="Q5" s="21"/>
      <c r="R5" s="21"/>
      <c r="S5" s="21"/>
      <c r="T5" s="21"/>
      <c r="U5" s="21"/>
      <c r="V5" s="21"/>
      <c r="W5" s="21"/>
      <c r="X5" s="21"/>
    </row>
    <row r="6" spans="1:25" ht="15.75">
      <c r="A6" s="118"/>
      <c r="B6" s="21"/>
      <c r="C6" s="21"/>
      <c r="D6" s="21"/>
      <c r="E6" s="21"/>
      <c r="F6" s="21"/>
      <c r="G6" s="21"/>
      <c r="H6" s="21"/>
      <c r="I6" s="21"/>
      <c r="J6" s="21"/>
      <c r="K6" s="21"/>
      <c r="L6" s="21"/>
      <c r="M6" s="21"/>
      <c r="N6" s="21"/>
      <c r="O6" s="21"/>
      <c r="P6" s="21"/>
      <c r="Q6" s="21"/>
      <c r="R6" s="21"/>
      <c r="S6" s="21"/>
      <c r="T6" s="21"/>
      <c r="U6" s="21"/>
      <c r="V6" s="21"/>
      <c r="W6" s="21"/>
      <c r="X6" s="21"/>
    </row>
    <row r="7" spans="1:25">
      <c r="A7" s="27" t="s">
        <v>1113</v>
      </c>
      <c r="B7" s="28" t="s">
        <v>767</v>
      </c>
      <c r="C7" s="28" t="s">
        <v>768</v>
      </c>
      <c r="D7" s="28" t="s">
        <v>769</v>
      </c>
      <c r="E7" s="28" t="s">
        <v>770</v>
      </c>
      <c r="F7" s="28" t="s">
        <v>771</v>
      </c>
      <c r="G7" s="28" t="s">
        <v>800</v>
      </c>
      <c r="H7" s="43" t="s">
        <v>801</v>
      </c>
      <c r="I7" s="43" t="s">
        <v>802</v>
      </c>
      <c r="J7" s="43" t="s">
        <v>803</v>
      </c>
      <c r="K7" s="300" t="s">
        <v>804</v>
      </c>
      <c r="L7" s="43" t="s">
        <v>805</v>
      </c>
      <c r="M7" s="43" t="s">
        <v>806</v>
      </c>
      <c r="N7" s="43" t="s">
        <v>807</v>
      </c>
      <c r="O7" s="300" t="s">
        <v>808</v>
      </c>
      <c r="P7" s="43" t="s">
        <v>809</v>
      </c>
      <c r="Q7" s="43" t="s">
        <v>810</v>
      </c>
      <c r="R7" s="43" t="s">
        <v>811</v>
      </c>
      <c r="S7" s="300" t="s">
        <v>812</v>
      </c>
      <c r="T7" s="43" t="s">
        <v>813</v>
      </c>
      <c r="U7" s="43" t="s">
        <v>814</v>
      </c>
      <c r="V7" s="43" t="s">
        <v>430</v>
      </c>
      <c r="W7" s="300" t="s">
        <v>431</v>
      </c>
      <c r="X7" s="43" t="s">
        <v>486</v>
      </c>
    </row>
    <row r="8" spans="1:25">
      <c r="A8" s="25" t="s">
        <v>815</v>
      </c>
      <c r="B8" s="21"/>
      <c r="C8" s="21"/>
      <c r="D8" s="21"/>
      <c r="E8" s="21"/>
      <c r="F8" s="21"/>
      <c r="G8" s="21"/>
      <c r="H8" s="22"/>
      <c r="I8" s="21"/>
      <c r="J8" s="21"/>
      <c r="K8" s="207"/>
      <c r="L8" s="21"/>
      <c r="M8" s="21"/>
      <c r="N8" s="21"/>
      <c r="O8" s="207"/>
      <c r="P8" s="21"/>
      <c r="Q8" s="21"/>
      <c r="R8" s="21"/>
      <c r="S8" s="316"/>
      <c r="T8" s="44"/>
      <c r="U8" s="21"/>
      <c r="V8" s="21"/>
      <c r="W8" s="207"/>
      <c r="X8" s="21"/>
    </row>
    <row r="9" spans="1:25" ht="15.75">
      <c r="A9" s="118" t="s">
        <v>901</v>
      </c>
      <c r="B9" s="21"/>
      <c r="C9" s="21"/>
      <c r="D9" s="21"/>
      <c r="E9" s="21"/>
      <c r="F9" s="21"/>
      <c r="G9" s="21"/>
      <c r="H9" s="22"/>
      <c r="I9" s="21"/>
      <c r="J9" s="21"/>
      <c r="K9" s="207"/>
      <c r="L9" s="21"/>
      <c r="M9" s="21"/>
      <c r="N9" s="21"/>
      <c r="O9" s="207"/>
      <c r="P9" s="21"/>
      <c r="Q9" s="21"/>
      <c r="R9" s="21"/>
      <c r="S9" s="316"/>
      <c r="T9" s="44"/>
      <c r="U9" s="21"/>
      <c r="V9" s="21"/>
      <c r="W9" s="207"/>
      <c r="X9" s="21"/>
    </row>
    <row r="10" spans="1:25">
      <c r="A10" s="45" t="s">
        <v>816</v>
      </c>
      <c r="B10" s="46"/>
      <c r="C10" s="46"/>
      <c r="D10" s="46"/>
      <c r="E10" s="46"/>
      <c r="F10" s="46"/>
      <c r="G10" s="46"/>
      <c r="H10" s="47"/>
      <c r="I10" s="47"/>
      <c r="J10" s="47"/>
      <c r="K10" s="301"/>
      <c r="L10" s="47"/>
      <c r="M10" s="47"/>
      <c r="N10" s="47"/>
      <c r="O10" s="301"/>
      <c r="P10" s="47"/>
      <c r="Q10" s="47"/>
      <c r="R10" s="47"/>
      <c r="S10" s="301"/>
      <c r="T10" s="47"/>
      <c r="U10" s="47"/>
      <c r="V10" s="47"/>
      <c r="W10" s="301"/>
      <c r="X10" s="47"/>
      <c r="Y10" s="59"/>
    </row>
    <row r="11" spans="1:25">
      <c r="A11" s="48"/>
      <c r="B11" s="21"/>
      <c r="C11" s="21"/>
      <c r="D11" s="21"/>
      <c r="E11" s="21"/>
      <c r="F11" s="21"/>
      <c r="G11" s="21"/>
      <c r="H11" s="22"/>
      <c r="I11" s="22"/>
      <c r="J11" s="22"/>
      <c r="K11" s="308"/>
      <c r="L11" s="22"/>
      <c r="M11" s="21"/>
      <c r="N11" s="21"/>
      <c r="O11" s="207"/>
      <c r="P11" s="21"/>
      <c r="Q11" s="21"/>
      <c r="R11" s="21"/>
      <c r="S11" s="316"/>
      <c r="T11" s="44"/>
      <c r="U11" s="21"/>
      <c r="V11" s="21"/>
      <c r="W11" s="207"/>
      <c r="X11" s="21"/>
      <c r="Y11" s="59"/>
    </row>
    <row r="12" spans="1:25">
      <c r="A12" s="29" t="s">
        <v>817</v>
      </c>
      <c r="B12" s="21"/>
      <c r="C12" s="21"/>
      <c r="D12" s="21"/>
      <c r="E12" s="21"/>
      <c r="F12" s="21"/>
      <c r="G12" s="21"/>
      <c r="H12" s="22"/>
      <c r="I12" s="22"/>
      <c r="J12" s="22"/>
      <c r="K12" s="308"/>
      <c r="L12" s="22"/>
      <c r="M12" s="21"/>
      <c r="N12" s="21"/>
      <c r="O12" s="207"/>
      <c r="P12" s="21"/>
      <c r="Q12" s="21"/>
      <c r="R12" s="21"/>
      <c r="S12" s="207"/>
      <c r="T12" s="21"/>
      <c r="U12" s="21"/>
      <c r="V12" s="21"/>
      <c r="W12" s="207"/>
      <c r="X12" s="21"/>
      <c r="Y12" s="59"/>
    </row>
    <row r="13" spans="1:25">
      <c r="A13" s="33" t="s">
        <v>818</v>
      </c>
      <c r="B13" s="50">
        <v>203181</v>
      </c>
      <c r="C13" s="298">
        <v>273293</v>
      </c>
      <c r="D13" s="49">
        <v>96386</v>
      </c>
      <c r="E13" s="49">
        <v>168975</v>
      </c>
      <c r="F13" s="49">
        <v>167215</v>
      </c>
      <c r="G13" s="49">
        <v>129331</v>
      </c>
      <c r="H13" s="49">
        <v>100462</v>
      </c>
      <c r="I13" s="49">
        <v>268501</v>
      </c>
      <c r="J13" s="49">
        <v>158846</v>
      </c>
      <c r="K13" s="302">
        <v>15320</v>
      </c>
      <c r="L13" s="49">
        <v>1769</v>
      </c>
      <c r="M13" s="49">
        <v>32694</v>
      </c>
      <c r="N13" s="49">
        <v>25668</v>
      </c>
      <c r="O13" s="302">
        <v>763749</v>
      </c>
      <c r="P13" s="49">
        <v>43525</v>
      </c>
      <c r="Q13" s="49">
        <v>58714</v>
      </c>
      <c r="R13" s="49">
        <v>34402</v>
      </c>
      <c r="S13" s="302">
        <v>37539</v>
      </c>
      <c r="T13" s="49">
        <v>63900</v>
      </c>
      <c r="U13" s="49">
        <v>258957</v>
      </c>
      <c r="V13" s="49">
        <v>243327</v>
      </c>
      <c r="W13" s="302">
        <v>61230</v>
      </c>
      <c r="X13" s="49">
        <v>59144</v>
      </c>
      <c r="Y13" s="59"/>
    </row>
    <row r="14" spans="1:25">
      <c r="A14" s="33" t="s">
        <v>819</v>
      </c>
      <c r="B14" s="49">
        <v>236187</v>
      </c>
      <c r="C14" s="49">
        <v>213681</v>
      </c>
      <c r="D14" s="49">
        <v>219694</v>
      </c>
      <c r="E14" s="49">
        <v>242764</v>
      </c>
      <c r="F14" s="49">
        <v>232580</v>
      </c>
      <c r="G14" s="49">
        <v>225693</v>
      </c>
      <c r="H14" s="49">
        <v>228095</v>
      </c>
      <c r="I14" s="49">
        <v>239046</v>
      </c>
      <c r="J14" s="49">
        <v>236714</v>
      </c>
      <c r="K14" s="302">
        <v>213096</v>
      </c>
      <c r="L14" s="49">
        <v>214989</v>
      </c>
      <c r="M14" s="49">
        <v>215114</v>
      </c>
      <c r="N14" s="49">
        <v>227346</v>
      </c>
      <c r="O14" s="302">
        <v>211534</v>
      </c>
      <c r="P14" s="49">
        <v>214810</v>
      </c>
      <c r="Q14" s="49">
        <v>233960</v>
      </c>
      <c r="R14" s="49">
        <v>223027</v>
      </c>
      <c r="S14" s="302">
        <v>218507</v>
      </c>
      <c r="T14" s="49">
        <v>232501</v>
      </c>
      <c r="U14" s="49">
        <v>214012</v>
      </c>
      <c r="V14" s="49">
        <v>230292</v>
      </c>
      <c r="W14" s="302">
        <v>194194</v>
      </c>
      <c r="X14" s="49">
        <v>199100</v>
      </c>
      <c r="Y14" s="59"/>
    </row>
    <row r="15" spans="1:25">
      <c r="A15" s="33" t="s">
        <v>820</v>
      </c>
      <c r="B15" s="49">
        <v>9229</v>
      </c>
      <c r="C15" s="49">
        <v>9488</v>
      </c>
      <c r="D15" s="49">
        <v>6739</v>
      </c>
      <c r="E15" s="49">
        <v>5965</v>
      </c>
      <c r="F15" s="49">
        <v>5361</v>
      </c>
      <c r="G15" s="49">
        <v>6120</v>
      </c>
      <c r="H15" s="49">
        <v>6121</v>
      </c>
      <c r="I15" s="49"/>
      <c r="J15" s="49"/>
      <c r="K15" s="302"/>
      <c r="L15" s="23"/>
      <c r="M15" s="23"/>
      <c r="N15" s="23"/>
      <c r="O15" s="305"/>
      <c r="P15" s="50"/>
      <c r="Q15" s="50"/>
      <c r="R15" s="50"/>
      <c r="S15" s="196"/>
      <c r="T15" s="50"/>
      <c r="U15" s="50"/>
      <c r="V15" s="50"/>
      <c r="W15" s="196"/>
      <c r="X15" s="50"/>
      <c r="Y15" s="59"/>
    </row>
    <row r="16" spans="1:25">
      <c r="A16" s="33" t="s">
        <v>821</v>
      </c>
      <c r="B16" s="49">
        <v>14342</v>
      </c>
      <c r="C16" s="49">
        <v>16638</v>
      </c>
      <c r="D16" s="49">
        <v>14061</v>
      </c>
      <c r="E16" s="49">
        <v>13132</v>
      </c>
      <c r="F16" s="49">
        <v>14691</v>
      </c>
      <c r="G16" s="49">
        <v>17462</v>
      </c>
      <c r="H16" s="49">
        <v>16679</v>
      </c>
      <c r="I16" s="49">
        <f>259850-I14</f>
        <v>20804</v>
      </c>
      <c r="J16" s="49">
        <f>264170-J14</f>
        <v>27456</v>
      </c>
      <c r="K16" s="302">
        <f>237763-K14</f>
        <v>24667</v>
      </c>
      <c r="L16" s="49">
        <f>238483-L14</f>
        <v>23494</v>
      </c>
      <c r="M16" s="49">
        <f>235852-M14</f>
        <v>20738</v>
      </c>
      <c r="N16" s="49">
        <f>264449-N14</f>
        <v>37103</v>
      </c>
      <c r="O16" s="302">
        <f>249114-O14</f>
        <v>37580</v>
      </c>
      <c r="P16" s="49">
        <f>250881-P14</f>
        <v>36071</v>
      </c>
      <c r="Q16" s="49">
        <f>269166-Q14</f>
        <v>35206</v>
      </c>
      <c r="R16" s="49">
        <f>257997-R14</f>
        <v>34970</v>
      </c>
      <c r="S16" s="302">
        <f>254698-S14</f>
        <v>36191</v>
      </c>
      <c r="T16" s="49">
        <f>267416-T14</f>
        <v>34915</v>
      </c>
      <c r="U16" s="49">
        <f>249826-U14</f>
        <v>35814</v>
      </c>
      <c r="V16" s="49">
        <f>72926+8862</f>
        <v>81788</v>
      </c>
      <c r="W16" s="302">
        <f>8781+56425</f>
        <v>65206</v>
      </c>
      <c r="X16" s="49">
        <f>9384+52675</f>
        <v>62059</v>
      </c>
      <c r="Y16" s="59"/>
    </row>
    <row r="17" spans="1:25">
      <c r="A17" s="33" t="s">
        <v>822</v>
      </c>
      <c r="B17" s="86">
        <f t="shared" ref="B17:U17" si="1">SUM(B13:B16)</f>
        <v>462939</v>
      </c>
      <c r="C17" s="339">
        <f t="shared" si="1"/>
        <v>513100</v>
      </c>
      <c r="D17" s="53">
        <f t="shared" si="1"/>
        <v>336880</v>
      </c>
      <c r="E17" s="53">
        <f t="shared" si="1"/>
        <v>430836</v>
      </c>
      <c r="F17" s="53">
        <f t="shared" si="1"/>
        <v>419847</v>
      </c>
      <c r="G17" s="53">
        <f t="shared" si="1"/>
        <v>378606</v>
      </c>
      <c r="H17" s="53">
        <f t="shared" si="1"/>
        <v>351357</v>
      </c>
      <c r="I17" s="49">
        <f t="shared" si="1"/>
        <v>528351</v>
      </c>
      <c r="J17" s="49">
        <f t="shared" si="1"/>
        <v>423016</v>
      </c>
      <c r="K17" s="302">
        <f t="shared" si="1"/>
        <v>253083</v>
      </c>
      <c r="L17" s="49">
        <f t="shared" si="1"/>
        <v>240252</v>
      </c>
      <c r="M17" s="49">
        <f t="shared" si="1"/>
        <v>268546</v>
      </c>
      <c r="N17" s="49">
        <f t="shared" si="1"/>
        <v>290117</v>
      </c>
      <c r="O17" s="302">
        <f t="shared" si="1"/>
        <v>1012863</v>
      </c>
      <c r="P17" s="49">
        <f t="shared" si="1"/>
        <v>294406</v>
      </c>
      <c r="Q17" s="49">
        <f t="shared" si="1"/>
        <v>327880</v>
      </c>
      <c r="R17" s="49">
        <f t="shared" si="1"/>
        <v>292399</v>
      </c>
      <c r="S17" s="302">
        <f t="shared" si="1"/>
        <v>292237</v>
      </c>
      <c r="T17" s="49">
        <f t="shared" si="1"/>
        <v>331316</v>
      </c>
      <c r="U17" s="49">
        <f t="shared" si="1"/>
        <v>508783</v>
      </c>
      <c r="V17" s="49">
        <f>SUM(V13:V16)</f>
        <v>555407</v>
      </c>
      <c r="W17" s="302">
        <f>SUM(W13:W16)</f>
        <v>320630</v>
      </c>
      <c r="X17" s="49">
        <f>SUM(X13:X16)</f>
        <v>320303</v>
      </c>
      <c r="Y17" s="59"/>
    </row>
    <row r="18" spans="1:25">
      <c r="A18" s="33"/>
      <c r="B18" s="21"/>
      <c r="C18" s="22"/>
      <c r="D18" s="23"/>
      <c r="E18" s="23"/>
      <c r="F18" s="23"/>
      <c r="G18" s="23"/>
      <c r="H18" s="23"/>
      <c r="I18" s="23"/>
      <c r="J18" s="23"/>
      <c r="K18" s="305"/>
      <c r="L18" s="23"/>
      <c r="M18" s="23"/>
      <c r="N18" s="23"/>
      <c r="O18" s="305"/>
      <c r="P18" s="21"/>
      <c r="Q18" s="21"/>
      <c r="R18" s="21"/>
      <c r="S18" s="207"/>
      <c r="T18" s="21"/>
      <c r="U18" s="21"/>
      <c r="V18" s="21"/>
      <c r="W18" s="207"/>
      <c r="X18" s="21"/>
      <c r="Y18" s="59"/>
    </row>
    <row r="19" spans="1:25">
      <c r="A19" s="29" t="s">
        <v>823</v>
      </c>
      <c r="B19" s="21"/>
      <c r="C19" s="22"/>
      <c r="D19" s="23"/>
      <c r="E19" s="23"/>
      <c r="F19" s="23"/>
      <c r="G19" s="23"/>
      <c r="H19" s="23"/>
      <c r="I19" s="23"/>
      <c r="J19" s="23"/>
      <c r="K19" s="305"/>
      <c r="L19" s="23"/>
      <c r="M19" s="23"/>
      <c r="N19" s="23"/>
      <c r="O19" s="305"/>
      <c r="P19" s="21"/>
      <c r="Q19" s="21"/>
      <c r="R19" s="21"/>
      <c r="S19" s="207"/>
      <c r="T19" s="21"/>
      <c r="U19" s="21"/>
      <c r="V19" s="21"/>
      <c r="W19" s="207"/>
      <c r="X19" s="21"/>
      <c r="Y19" s="59"/>
    </row>
    <row r="20" spans="1:25">
      <c r="A20" s="33" t="s">
        <v>824</v>
      </c>
      <c r="B20" s="21">
        <v>6596600</v>
      </c>
      <c r="C20" s="22"/>
      <c r="D20" s="23"/>
      <c r="E20" s="23"/>
      <c r="F20" s="23"/>
      <c r="G20" s="23"/>
      <c r="H20" s="23"/>
      <c r="I20" s="23"/>
      <c r="J20" s="23"/>
      <c r="K20" s="305"/>
      <c r="L20" s="23"/>
      <c r="M20" s="23"/>
      <c r="N20" s="23"/>
      <c r="O20" s="305"/>
      <c r="P20" s="21"/>
      <c r="Q20" s="21"/>
      <c r="R20" s="21"/>
      <c r="S20" s="207"/>
      <c r="T20" s="21"/>
      <c r="U20" s="21"/>
      <c r="V20" s="21"/>
      <c r="W20" s="207"/>
      <c r="X20" s="21"/>
      <c r="Y20" s="59"/>
    </row>
    <row r="21" spans="1:25">
      <c r="A21" s="33" t="s">
        <v>825</v>
      </c>
      <c r="B21" s="50"/>
      <c r="C21" s="298"/>
      <c r="D21" s="49"/>
      <c r="E21" s="49"/>
      <c r="F21" s="49"/>
      <c r="G21" s="49"/>
      <c r="H21" s="49"/>
      <c r="I21" s="49"/>
      <c r="J21" s="49"/>
      <c r="K21" s="305"/>
      <c r="L21" s="23"/>
      <c r="M21" s="23"/>
      <c r="N21" s="23"/>
      <c r="O21" s="305"/>
      <c r="P21" s="21"/>
      <c r="Q21" s="21"/>
      <c r="R21" s="21"/>
      <c r="S21" s="207"/>
      <c r="T21" s="21"/>
      <c r="U21" s="21"/>
      <c r="V21" s="21"/>
      <c r="W21" s="207"/>
      <c r="X21" s="21"/>
      <c r="Y21" s="59"/>
    </row>
    <row r="22" spans="1:25">
      <c r="A22" s="33" t="s">
        <v>792</v>
      </c>
      <c r="B22" s="50">
        <v>587555</v>
      </c>
      <c r="C22" s="298"/>
      <c r="D22" s="49"/>
      <c r="E22" s="49"/>
      <c r="F22" s="49"/>
      <c r="G22" s="49"/>
      <c r="H22" s="49"/>
      <c r="I22" s="49"/>
      <c r="J22" s="49"/>
      <c r="K22" s="305"/>
      <c r="L22" s="23"/>
      <c r="M22" s="23"/>
      <c r="N22" s="23"/>
      <c r="O22" s="305"/>
      <c r="P22" s="22"/>
      <c r="Q22" s="22"/>
      <c r="R22" s="22"/>
      <c r="S22" s="308"/>
      <c r="T22" s="22"/>
      <c r="U22" s="21"/>
      <c r="V22" s="21"/>
      <c r="W22" s="207"/>
      <c r="X22" s="21"/>
      <c r="Y22" s="59"/>
    </row>
    <row r="23" spans="1:25">
      <c r="A23" s="33" t="s">
        <v>826</v>
      </c>
      <c r="B23" s="86">
        <f>SUM(B20:B22)</f>
        <v>7184155</v>
      </c>
      <c r="C23" s="339">
        <v>7227139</v>
      </c>
      <c r="D23" s="53">
        <v>7254584</v>
      </c>
      <c r="E23" s="53">
        <v>7333871</v>
      </c>
      <c r="F23" s="53">
        <v>7431017</v>
      </c>
      <c r="G23" s="53">
        <v>7496363</v>
      </c>
      <c r="H23" s="53">
        <v>7633844</v>
      </c>
      <c r="I23" s="53">
        <v>7699418</v>
      </c>
      <c r="J23" s="53">
        <v>7801377</v>
      </c>
      <c r="K23" s="309">
        <v>7837651</v>
      </c>
      <c r="L23" s="53">
        <v>7844529</v>
      </c>
      <c r="M23" s="53">
        <v>7866852</v>
      </c>
      <c r="N23" s="53">
        <v>7893760</v>
      </c>
      <c r="O23" s="309">
        <v>7919996</v>
      </c>
      <c r="P23" s="53">
        <v>8560266</v>
      </c>
      <c r="Q23" s="53">
        <v>8598777</v>
      </c>
      <c r="R23" s="53">
        <v>8666106</v>
      </c>
      <c r="S23" s="309">
        <v>8706712</v>
      </c>
      <c r="T23" s="53">
        <v>8751414</v>
      </c>
      <c r="U23" s="53">
        <v>8793320</v>
      </c>
      <c r="V23" s="49">
        <v>8868451</v>
      </c>
      <c r="W23" s="302">
        <v>8900683</v>
      </c>
      <c r="X23" s="49">
        <v>8974039</v>
      </c>
      <c r="Y23" s="59"/>
    </row>
    <row r="24" spans="1:25">
      <c r="A24" s="33" t="s">
        <v>827</v>
      </c>
      <c r="B24" s="50">
        <v>-3728674</v>
      </c>
      <c r="C24" s="298">
        <v>-3838323</v>
      </c>
      <c r="D24" s="49">
        <v>-3906613</v>
      </c>
      <c r="E24" s="49">
        <v>-3998332</v>
      </c>
      <c r="F24" s="49">
        <v>-4089616</v>
      </c>
      <c r="G24" s="49">
        <v>-4208514</v>
      </c>
      <c r="H24" s="49">
        <v>-4313990</v>
      </c>
      <c r="I24" s="49">
        <v>-4400303</v>
      </c>
      <c r="J24" s="49">
        <v>-4496891</v>
      </c>
      <c r="K24" s="302">
        <v>-4603609</v>
      </c>
      <c r="L24" s="49">
        <v>-4672522</v>
      </c>
      <c r="M24" s="49">
        <v>-4736812</v>
      </c>
      <c r="N24" s="49">
        <v>-4784483</v>
      </c>
      <c r="O24" s="302">
        <v>-4885439</v>
      </c>
      <c r="P24" s="49">
        <v>-5355716</v>
      </c>
      <c r="Q24" s="49">
        <v>-5453958</v>
      </c>
      <c r="R24" s="49">
        <v>-5557730</v>
      </c>
      <c r="S24" s="302">
        <v>-5673578</v>
      </c>
      <c r="T24" s="49">
        <v>-5783574</v>
      </c>
      <c r="U24" s="49">
        <v>-5877970</v>
      </c>
      <c r="V24" s="49">
        <v>-5972559</v>
      </c>
      <c r="W24" s="302">
        <v>-6079113</v>
      </c>
      <c r="X24" s="49">
        <v>-6187829</v>
      </c>
      <c r="Y24" s="59"/>
    </row>
    <row r="25" spans="1:25">
      <c r="A25" s="33" t="s">
        <v>828</v>
      </c>
      <c r="B25" s="30">
        <f t="shared" ref="B25:U25" si="2">SUM(B23:B24)</f>
        <v>3455481</v>
      </c>
      <c r="C25" s="51">
        <f t="shared" si="2"/>
        <v>3388816</v>
      </c>
      <c r="D25" s="52">
        <f t="shared" si="2"/>
        <v>3347971</v>
      </c>
      <c r="E25" s="52">
        <f t="shared" si="2"/>
        <v>3335539</v>
      </c>
      <c r="F25" s="52">
        <f t="shared" si="2"/>
        <v>3341401</v>
      </c>
      <c r="G25" s="52">
        <f t="shared" si="2"/>
        <v>3287849</v>
      </c>
      <c r="H25" s="52">
        <f t="shared" si="2"/>
        <v>3319854</v>
      </c>
      <c r="I25" s="52">
        <f t="shared" si="2"/>
        <v>3299115</v>
      </c>
      <c r="J25" s="52">
        <f t="shared" si="2"/>
        <v>3304486</v>
      </c>
      <c r="K25" s="303">
        <f t="shared" si="2"/>
        <v>3234042</v>
      </c>
      <c r="L25" s="52">
        <f t="shared" si="2"/>
        <v>3172007</v>
      </c>
      <c r="M25" s="52">
        <f t="shared" si="2"/>
        <v>3130040</v>
      </c>
      <c r="N25" s="52">
        <f t="shared" si="2"/>
        <v>3109277</v>
      </c>
      <c r="O25" s="303">
        <f t="shared" si="2"/>
        <v>3034557</v>
      </c>
      <c r="P25" s="52">
        <f t="shared" si="2"/>
        <v>3204550</v>
      </c>
      <c r="Q25" s="52">
        <f t="shared" si="2"/>
        <v>3144819</v>
      </c>
      <c r="R25" s="52">
        <f t="shared" si="2"/>
        <v>3108376</v>
      </c>
      <c r="S25" s="303">
        <f t="shared" si="2"/>
        <v>3033134</v>
      </c>
      <c r="T25" s="52">
        <f t="shared" si="2"/>
        <v>2967840</v>
      </c>
      <c r="U25" s="52">
        <f t="shared" si="2"/>
        <v>2915350</v>
      </c>
      <c r="V25" s="52">
        <f>SUM(V23:V24)</f>
        <v>2895892</v>
      </c>
      <c r="W25" s="303">
        <f>SUM(W23:W24)</f>
        <v>2821570</v>
      </c>
      <c r="X25" s="52">
        <f>SUM(X23:X24)</f>
        <v>2786210</v>
      </c>
      <c r="Y25" s="59"/>
    </row>
    <row r="26" spans="1:25">
      <c r="A26" s="33"/>
      <c r="B26" s="21"/>
      <c r="C26" s="22"/>
      <c r="D26" s="23"/>
      <c r="E26" s="23"/>
      <c r="F26" s="23"/>
      <c r="G26" s="23"/>
      <c r="H26" s="23"/>
      <c r="I26" s="23"/>
      <c r="J26" s="23"/>
      <c r="K26" s="305"/>
      <c r="L26" s="23"/>
      <c r="M26" s="23"/>
      <c r="N26" s="23"/>
      <c r="O26" s="305"/>
      <c r="P26" s="21"/>
      <c r="Q26" s="21"/>
      <c r="R26" s="21"/>
      <c r="S26" s="207"/>
      <c r="T26" s="21"/>
      <c r="U26" s="21"/>
      <c r="V26" s="21"/>
      <c r="W26" s="207"/>
      <c r="X26" s="21"/>
      <c r="Y26" s="59"/>
    </row>
    <row r="27" spans="1:25">
      <c r="A27" s="29" t="s">
        <v>829</v>
      </c>
      <c r="B27" s="21"/>
      <c r="C27" s="22"/>
      <c r="D27" s="23"/>
      <c r="E27" s="23"/>
      <c r="F27" s="23"/>
      <c r="G27" s="23"/>
      <c r="H27" s="23"/>
      <c r="I27" s="23"/>
      <c r="J27" s="23"/>
      <c r="K27" s="305"/>
      <c r="L27" s="23"/>
      <c r="M27" s="23"/>
      <c r="N27" s="23"/>
      <c r="O27" s="305"/>
      <c r="P27" s="21"/>
      <c r="Q27" s="21"/>
      <c r="R27" s="21"/>
      <c r="S27" s="207"/>
      <c r="T27" s="21"/>
      <c r="U27" s="21"/>
      <c r="V27" s="21"/>
      <c r="W27" s="207"/>
      <c r="X27" s="21"/>
      <c r="Y27" s="59"/>
    </row>
    <row r="28" spans="1:25">
      <c r="A28" s="33" t="s">
        <v>830</v>
      </c>
      <c r="B28" s="50">
        <v>3425001</v>
      </c>
      <c r="C28" s="298">
        <v>3426714</v>
      </c>
      <c r="D28" s="49">
        <v>3426766</v>
      </c>
      <c r="E28" s="49">
        <v>3430302</v>
      </c>
      <c r="F28" s="49">
        <v>3433864</v>
      </c>
      <c r="G28" s="49">
        <v>3433864</v>
      </c>
      <c r="H28" s="49">
        <v>3444198</v>
      </c>
      <c r="I28" s="49">
        <v>3432623</v>
      </c>
      <c r="J28" s="49">
        <v>3432649</v>
      </c>
      <c r="K28" s="302">
        <v>3432649</v>
      </c>
      <c r="L28" s="49">
        <v>3431136</v>
      </c>
      <c r="M28" s="49">
        <v>3431136</v>
      </c>
      <c r="N28" s="49">
        <v>3431136</v>
      </c>
      <c r="O28" s="302">
        <v>3431136</v>
      </c>
      <c r="P28" s="49">
        <v>3999526</v>
      </c>
      <c r="Q28" s="49">
        <v>3997028</v>
      </c>
      <c r="R28" s="49">
        <v>4010916</v>
      </c>
      <c r="S28" s="302">
        <v>4010916</v>
      </c>
      <c r="T28" s="49">
        <v>4010027</v>
      </c>
      <c r="U28" s="49">
        <v>4010027</v>
      </c>
      <c r="V28" s="49">
        <v>4015674</v>
      </c>
      <c r="W28" s="302">
        <v>4015674</v>
      </c>
      <c r="X28" s="49">
        <v>4015674</v>
      </c>
      <c r="Y28" s="59"/>
    </row>
    <row r="29" spans="1:25">
      <c r="A29" s="33" t="s">
        <v>792</v>
      </c>
      <c r="B29" s="50">
        <v>552431</v>
      </c>
      <c r="C29" s="298">
        <v>567875</v>
      </c>
      <c r="D29" s="49">
        <v>572721</v>
      </c>
      <c r="E29" s="49">
        <v>593657</v>
      </c>
      <c r="F29" s="49">
        <v>601841</v>
      </c>
      <c r="G29" s="49">
        <v>602205</v>
      </c>
      <c r="H29" s="49">
        <v>594629</v>
      </c>
      <c r="I29" s="49">
        <v>582447</v>
      </c>
      <c r="J29" s="49">
        <v>602556</v>
      </c>
      <c r="K29" s="302">
        <v>604367</v>
      </c>
      <c r="L29" s="49">
        <v>590589</v>
      </c>
      <c r="M29" s="49">
        <v>575904</v>
      </c>
      <c r="N29" s="49">
        <v>610477</v>
      </c>
      <c r="O29" s="302">
        <v>611555</v>
      </c>
      <c r="P29" s="49">
        <v>775054</v>
      </c>
      <c r="Q29" s="49">
        <v>762923</v>
      </c>
      <c r="R29" s="49">
        <v>772862</v>
      </c>
      <c r="S29" s="302">
        <v>781840</v>
      </c>
      <c r="T29" s="49">
        <v>858881</v>
      </c>
      <c r="U29" s="49">
        <v>838742</v>
      </c>
      <c r="V29" s="49">
        <v>787222</v>
      </c>
      <c r="W29" s="302">
        <v>775939</v>
      </c>
      <c r="X29" s="49">
        <v>764513</v>
      </c>
      <c r="Y29" s="59"/>
    </row>
    <row r="30" spans="1:25">
      <c r="A30" s="33" t="s">
        <v>831</v>
      </c>
      <c r="B30" s="30">
        <f>SUM(B28:B29)</f>
        <v>3977432</v>
      </c>
      <c r="C30" s="51">
        <f>SUM(C28:C29)</f>
        <v>3994589</v>
      </c>
      <c r="D30" s="52">
        <f>SUM(D28:D29)</f>
        <v>3999487</v>
      </c>
      <c r="E30" s="52">
        <f>SUM(E28:E29)</f>
        <v>4023959</v>
      </c>
      <c r="F30" s="52">
        <v>4035705</v>
      </c>
      <c r="G30" s="52">
        <f t="shared" ref="G30:U30" si="3">SUM(G28:G29)</f>
        <v>4036069</v>
      </c>
      <c r="H30" s="52">
        <f t="shared" si="3"/>
        <v>4038827</v>
      </c>
      <c r="I30" s="52">
        <f t="shared" si="3"/>
        <v>4015070</v>
      </c>
      <c r="J30" s="52">
        <f t="shared" si="3"/>
        <v>4035205</v>
      </c>
      <c r="K30" s="303">
        <f t="shared" si="3"/>
        <v>4037016</v>
      </c>
      <c r="L30" s="52">
        <f t="shared" si="3"/>
        <v>4021725</v>
      </c>
      <c r="M30" s="52">
        <f t="shared" si="3"/>
        <v>4007040</v>
      </c>
      <c r="N30" s="52">
        <f t="shared" si="3"/>
        <v>4041613</v>
      </c>
      <c r="O30" s="303">
        <f t="shared" si="3"/>
        <v>4042691</v>
      </c>
      <c r="P30" s="52">
        <f t="shared" si="3"/>
        <v>4774580</v>
      </c>
      <c r="Q30" s="52">
        <f t="shared" si="3"/>
        <v>4759951</v>
      </c>
      <c r="R30" s="52">
        <f t="shared" si="3"/>
        <v>4783778</v>
      </c>
      <c r="S30" s="303">
        <f t="shared" si="3"/>
        <v>4792756</v>
      </c>
      <c r="T30" s="52">
        <f t="shared" si="3"/>
        <v>4868908</v>
      </c>
      <c r="U30" s="52">
        <f t="shared" si="3"/>
        <v>4848769</v>
      </c>
      <c r="V30" s="52">
        <f>SUM(V28:V29)</f>
        <v>4802896</v>
      </c>
      <c r="W30" s="303">
        <f>SUM(W28:W29)</f>
        <v>4791613</v>
      </c>
      <c r="X30" s="52">
        <f>SUM(X28:X29)</f>
        <v>4780187</v>
      </c>
      <c r="Y30" s="59"/>
    </row>
    <row r="31" spans="1:25">
      <c r="A31" s="29" t="s">
        <v>832</v>
      </c>
      <c r="B31" s="21">
        <v>0</v>
      </c>
      <c r="C31" s="22">
        <v>0</v>
      </c>
      <c r="D31" s="23">
        <v>0</v>
      </c>
      <c r="E31" s="23">
        <v>0</v>
      </c>
      <c r="F31" s="23">
        <v>0</v>
      </c>
      <c r="G31" s="23">
        <v>0</v>
      </c>
      <c r="H31" s="23"/>
      <c r="I31" s="23"/>
      <c r="J31" s="23"/>
      <c r="K31" s="305"/>
      <c r="L31" s="23"/>
      <c r="M31" s="23"/>
      <c r="N31" s="23"/>
      <c r="O31" s="305"/>
      <c r="P31" s="21"/>
      <c r="Q31" s="21"/>
      <c r="R31" s="21"/>
      <c r="S31" s="207"/>
      <c r="T31" s="21"/>
      <c r="U31" s="21"/>
      <c r="V31" s="21"/>
      <c r="W31" s="207"/>
      <c r="X31" s="21"/>
      <c r="Y31" s="59"/>
    </row>
    <row r="32" spans="1:25">
      <c r="A32" s="29" t="s">
        <v>833</v>
      </c>
      <c r="B32" s="31">
        <v>7895852</v>
      </c>
      <c r="C32" s="117">
        <v>7896505</v>
      </c>
      <c r="D32" s="54">
        <v>7684338</v>
      </c>
      <c r="E32" s="54">
        <v>7790334</v>
      </c>
      <c r="F32" s="54">
        <v>7796953</v>
      </c>
      <c r="G32" s="54">
        <v>7702524</v>
      </c>
      <c r="H32" s="54">
        <v>7710038</v>
      </c>
      <c r="I32" s="54">
        <f t="shared" ref="I32:U32" si="4">+I30+I25+I17</f>
        <v>7842536</v>
      </c>
      <c r="J32" s="54">
        <f t="shared" si="4"/>
        <v>7762707</v>
      </c>
      <c r="K32" s="304">
        <f t="shared" si="4"/>
        <v>7524141</v>
      </c>
      <c r="L32" s="54">
        <f t="shared" si="4"/>
        <v>7433984</v>
      </c>
      <c r="M32" s="54">
        <f t="shared" si="4"/>
        <v>7405626</v>
      </c>
      <c r="N32" s="54">
        <f t="shared" si="4"/>
        <v>7441007</v>
      </c>
      <c r="O32" s="304">
        <f t="shared" si="4"/>
        <v>8090111</v>
      </c>
      <c r="P32" s="54">
        <f t="shared" si="4"/>
        <v>8273536</v>
      </c>
      <c r="Q32" s="54">
        <f t="shared" si="4"/>
        <v>8232650</v>
      </c>
      <c r="R32" s="54">
        <f t="shared" si="4"/>
        <v>8184553</v>
      </c>
      <c r="S32" s="304">
        <f t="shared" si="4"/>
        <v>8118127</v>
      </c>
      <c r="T32" s="54">
        <f t="shared" si="4"/>
        <v>8168064</v>
      </c>
      <c r="U32" s="54">
        <f t="shared" si="4"/>
        <v>8272902</v>
      </c>
      <c r="V32" s="54">
        <f>+V30+V25+V17</f>
        <v>8254195</v>
      </c>
      <c r="W32" s="304">
        <f>+W30+W25+W17</f>
        <v>7933813</v>
      </c>
      <c r="X32" s="54">
        <f>+X30+X25+X17</f>
        <v>7886700</v>
      </c>
      <c r="Y32" s="59"/>
    </row>
    <row r="33" spans="1:25">
      <c r="A33" s="32" t="s">
        <v>793</v>
      </c>
      <c r="B33" s="30">
        <f t="shared" ref="B33:H33" si="5">B17+B25+B30-B32+B31</f>
        <v>0</v>
      </c>
      <c r="C33" s="51">
        <f t="shared" si="5"/>
        <v>0</v>
      </c>
      <c r="D33" s="52">
        <f t="shared" si="5"/>
        <v>0</v>
      </c>
      <c r="E33" s="52">
        <f t="shared" si="5"/>
        <v>0</v>
      </c>
      <c r="F33" s="52">
        <f t="shared" si="5"/>
        <v>0</v>
      </c>
      <c r="G33" s="52">
        <f t="shared" si="5"/>
        <v>0</v>
      </c>
      <c r="H33" s="52">
        <f t="shared" si="5"/>
        <v>0</v>
      </c>
      <c r="I33" s="52"/>
      <c r="J33" s="52"/>
      <c r="K33" s="303"/>
      <c r="L33" s="52"/>
      <c r="M33" s="52"/>
      <c r="N33" s="52"/>
      <c r="O33" s="303"/>
      <c r="P33" s="21"/>
      <c r="Q33" s="21"/>
      <c r="R33" s="21"/>
      <c r="S33" s="207"/>
      <c r="T33" s="21"/>
      <c r="U33" s="21"/>
      <c r="V33" s="21"/>
      <c r="W33" s="207"/>
      <c r="X33" s="21"/>
      <c r="Y33" s="59"/>
    </row>
    <row r="34" spans="1:25">
      <c r="A34" s="33"/>
      <c r="B34" s="30"/>
      <c r="C34" s="30"/>
      <c r="D34" s="30"/>
      <c r="E34" s="38"/>
      <c r="F34" s="38"/>
      <c r="G34" s="21"/>
      <c r="H34" s="23"/>
      <c r="I34" s="23"/>
      <c r="J34" s="23"/>
      <c r="K34" s="305"/>
      <c r="L34" s="23"/>
      <c r="M34" s="23"/>
      <c r="N34" s="23"/>
      <c r="O34" s="305"/>
      <c r="P34" s="21"/>
      <c r="Q34" s="21"/>
      <c r="R34" s="21"/>
      <c r="S34" s="207"/>
      <c r="T34" s="21"/>
      <c r="U34" s="21"/>
      <c r="V34" s="21"/>
      <c r="W34" s="207"/>
      <c r="X34" s="21"/>
      <c r="Y34" s="59"/>
    </row>
    <row r="35" spans="1:25">
      <c r="A35" s="45" t="s">
        <v>834</v>
      </c>
      <c r="B35" s="35"/>
      <c r="C35" s="35"/>
      <c r="D35" s="35"/>
      <c r="E35" s="39"/>
      <c r="F35" s="39"/>
      <c r="G35" s="46"/>
      <c r="H35" s="47"/>
      <c r="I35" s="47"/>
      <c r="J35" s="47"/>
      <c r="K35" s="301"/>
      <c r="L35" s="47"/>
      <c r="M35" s="47"/>
      <c r="N35" s="47"/>
      <c r="O35" s="301"/>
      <c r="P35" s="47"/>
      <c r="Q35" s="47"/>
      <c r="R35" s="47"/>
      <c r="S35" s="301"/>
      <c r="T35" s="47"/>
      <c r="U35" s="47"/>
      <c r="V35" s="47"/>
      <c r="W35" s="301"/>
      <c r="X35" s="47"/>
      <c r="Y35" s="59"/>
    </row>
    <row r="36" spans="1:25">
      <c r="A36" s="33"/>
      <c r="B36" s="30"/>
      <c r="C36" s="30"/>
      <c r="D36" s="30"/>
      <c r="E36" s="38"/>
      <c r="F36" s="38"/>
      <c r="G36" s="21"/>
      <c r="H36" s="23"/>
      <c r="I36" s="23"/>
      <c r="J36" s="23"/>
      <c r="K36" s="305"/>
      <c r="L36" s="23"/>
      <c r="M36" s="23"/>
      <c r="N36" s="23"/>
      <c r="O36" s="305"/>
      <c r="P36" s="21"/>
      <c r="Q36" s="21"/>
      <c r="R36" s="21"/>
      <c r="S36" s="207"/>
      <c r="T36" s="21"/>
      <c r="U36" s="21"/>
      <c r="V36" s="21"/>
      <c r="W36" s="207"/>
      <c r="X36" s="21"/>
      <c r="Y36" s="59"/>
    </row>
    <row r="37" spans="1:25">
      <c r="A37" s="29" t="s">
        <v>835</v>
      </c>
      <c r="B37" s="30"/>
      <c r="C37" s="30"/>
      <c r="D37" s="30"/>
      <c r="E37" s="38"/>
      <c r="F37" s="38"/>
      <c r="G37" s="21"/>
      <c r="H37" s="23"/>
      <c r="I37" s="23"/>
      <c r="J37" s="23"/>
      <c r="K37" s="305"/>
      <c r="L37" s="23"/>
      <c r="M37" s="23"/>
      <c r="N37" s="23"/>
      <c r="O37" s="305"/>
      <c r="P37" s="21"/>
      <c r="Q37" s="21"/>
      <c r="R37" s="21"/>
      <c r="S37" s="207"/>
      <c r="T37" s="21"/>
      <c r="U37" s="21"/>
      <c r="V37" s="21"/>
      <c r="W37" s="207"/>
      <c r="X37" s="21"/>
      <c r="Y37" s="59"/>
    </row>
    <row r="38" spans="1:25">
      <c r="A38" s="33" t="s">
        <v>836</v>
      </c>
      <c r="B38" s="86">
        <v>72453</v>
      </c>
      <c r="C38" s="86">
        <v>172258</v>
      </c>
      <c r="D38" s="86">
        <v>121456</v>
      </c>
      <c r="E38" s="56">
        <v>121156</v>
      </c>
      <c r="F38" s="56">
        <v>249617</v>
      </c>
      <c r="G38" s="56">
        <v>144811</v>
      </c>
      <c r="H38" s="49">
        <v>144135</v>
      </c>
      <c r="I38" s="49">
        <v>334576</v>
      </c>
      <c r="J38" s="49">
        <v>276736</v>
      </c>
      <c r="K38" s="302">
        <v>571456</v>
      </c>
      <c r="L38" s="49">
        <v>381455</v>
      </c>
      <c r="M38" s="49">
        <v>194117</v>
      </c>
      <c r="N38" s="49">
        <v>178012</v>
      </c>
      <c r="O38" s="302">
        <v>360749</v>
      </c>
      <c r="P38" s="49">
        <v>511307</v>
      </c>
      <c r="Q38" s="49">
        <v>254895</v>
      </c>
      <c r="R38" s="49">
        <v>279898</v>
      </c>
      <c r="S38" s="302">
        <v>85444</v>
      </c>
      <c r="T38" s="49">
        <v>45344</v>
      </c>
      <c r="U38" s="49">
        <v>45357</v>
      </c>
      <c r="V38" s="49">
        <v>20407</v>
      </c>
      <c r="W38" s="302">
        <v>20148</v>
      </c>
      <c r="X38" s="49">
        <v>19924</v>
      </c>
      <c r="Y38" s="59"/>
    </row>
    <row r="39" spans="1:25">
      <c r="A39" s="33" t="s">
        <v>837</v>
      </c>
      <c r="B39" s="86">
        <v>113274</v>
      </c>
      <c r="C39" s="86">
        <v>127833</v>
      </c>
      <c r="D39" s="86">
        <v>137886</v>
      </c>
      <c r="E39" s="49">
        <v>144977</v>
      </c>
      <c r="F39" s="49">
        <v>141618</v>
      </c>
      <c r="G39" s="49">
        <v>141524</v>
      </c>
      <c r="H39" s="49">
        <v>141382</v>
      </c>
      <c r="I39" s="49">
        <v>108391</v>
      </c>
      <c r="J39" s="49">
        <v>104444</v>
      </c>
      <c r="K39" s="302">
        <v>99810</v>
      </c>
      <c r="L39" s="49">
        <v>101891</v>
      </c>
      <c r="M39" s="49">
        <v>108230</v>
      </c>
      <c r="N39" s="49">
        <v>129350</v>
      </c>
      <c r="O39" s="302">
        <v>126765</v>
      </c>
      <c r="P39" s="49">
        <v>135185</v>
      </c>
      <c r="Q39" s="49">
        <v>97914</v>
      </c>
      <c r="R39" s="49">
        <v>120381</v>
      </c>
      <c r="S39" s="302">
        <v>108308</v>
      </c>
      <c r="T39" s="49">
        <v>114762</v>
      </c>
      <c r="U39" s="49">
        <v>98736</v>
      </c>
      <c r="V39" s="49">
        <v>135086</v>
      </c>
      <c r="W39" s="302">
        <v>125218</v>
      </c>
      <c r="X39" s="49">
        <v>139847</v>
      </c>
      <c r="Y39" s="59"/>
    </row>
    <row r="40" spans="1:25">
      <c r="A40" s="33" t="s">
        <v>838</v>
      </c>
      <c r="B40" s="86">
        <v>198358</v>
      </c>
      <c r="C40" s="86">
        <v>236524</v>
      </c>
      <c r="D40" s="86">
        <v>192301</v>
      </c>
      <c r="E40" s="49">
        <v>180009</v>
      </c>
      <c r="F40" s="49">
        <v>230648</v>
      </c>
      <c r="G40" s="49">
        <v>258102</v>
      </c>
      <c r="H40" s="49">
        <v>246649</v>
      </c>
      <c r="I40" s="49">
        <v>288047</v>
      </c>
      <c r="J40" s="49">
        <v>316133</v>
      </c>
      <c r="K40" s="302">
        <v>256080</v>
      </c>
      <c r="L40" s="49">
        <v>285463</v>
      </c>
      <c r="M40" s="49">
        <v>260643</v>
      </c>
      <c r="N40" s="49">
        <v>258589</v>
      </c>
      <c r="O40" s="302">
        <v>225345</v>
      </c>
      <c r="P40" s="49">
        <v>256369</v>
      </c>
      <c r="Q40" s="49">
        <v>269538</v>
      </c>
      <c r="R40" s="49">
        <v>278619</v>
      </c>
      <c r="S40" s="302">
        <v>271468</v>
      </c>
      <c r="T40" s="49">
        <v>268950</v>
      </c>
      <c r="U40" s="49">
        <v>270307</v>
      </c>
      <c r="V40" s="49">
        <v>246327</v>
      </c>
      <c r="W40" s="302">
        <v>212947</v>
      </c>
      <c r="X40" s="49">
        <f>56507+20556+52829+73260+27838</f>
        <v>230990</v>
      </c>
      <c r="Y40" s="59"/>
    </row>
    <row r="41" spans="1:25">
      <c r="A41" s="33" t="s">
        <v>839</v>
      </c>
      <c r="B41" s="86">
        <v>44612</v>
      </c>
      <c r="C41" s="86">
        <v>45083</v>
      </c>
      <c r="D41" s="86">
        <v>45026</v>
      </c>
      <c r="E41" s="49">
        <v>51177</v>
      </c>
      <c r="F41" s="49">
        <v>50860</v>
      </c>
      <c r="G41" s="49">
        <v>52299</v>
      </c>
      <c r="H41" s="49">
        <v>53810</v>
      </c>
      <c r="I41" s="49">
        <v>54834</v>
      </c>
      <c r="J41" s="49">
        <v>48917</v>
      </c>
      <c r="K41" s="302">
        <v>51031</v>
      </c>
      <c r="L41" s="49">
        <v>51287</v>
      </c>
      <c r="M41" s="49">
        <v>51220</v>
      </c>
      <c r="N41" s="49">
        <v>51614</v>
      </c>
      <c r="O41" s="302">
        <v>57237</v>
      </c>
      <c r="P41" s="49">
        <v>57413</v>
      </c>
      <c r="Q41" s="49">
        <v>57569</v>
      </c>
      <c r="R41" s="49">
        <v>57637</v>
      </c>
      <c r="S41" s="302">
        <v>60813</v>
      </c>
      <c r="T41" s="49">
        <v>61062</v>
      </c>
      <c r="U41" s="49">
        <v>60313</v>
      </c>
      <c r="V41" s="49">
        <v>56570</v>
      </c>
      <c r="W41" s="302">
        <v>56549</v>
      </c>
      <c r="X41" s="49">
        <v>56656</v>
      </c>
      <c r="Y41" s="59"/>
    </row>
    <row r="42" spans="1:25">
      <c r="A42" s="33" t="s">
        <v>840</v>
      </c>
      <c r="B42" s="86">
        <v>42686</v>
      </c>
      <c r="C42" s="86">
        <v>28739</v>
      </c>
      <c r="D42" s="86">
        <v>37228</v>
      </c>
      <c r="E42" s="49">
        <v>42767</v>
      </c>
      <c r="F42" s="49">
        <v>18875</v>
      </c>
      <c r="G42" s="49">
        <v>14342</v>
      </c>
      <c r="H42" s="49">
        <v>15322</v>
      </c>
      <c r="I42" s="49">
        <v>21719</v>
      </c>
      <c r="J42" s="49"/>
      <c r="K42" s="302"/>
      <c r="L42" s="49"/>
      <c r="M42" s="49"/>
      <c r="N42" s="49"/>
      <c r="O42" s="302"/>
      <c r="P42" s="49"/>
      <c r="Q42" s="49"/>
      <c r="R42" s="49"/>
      <c r="S42" s="302"/>
      <c r="T42" s="49"/>
      <c r="U42" s="49"/>
      <c r="V42" s="49"/>
      <c r="W42" s="302"/>
      <c r="X42" s="49"/>
      <c r="Y42" s="59"/>
    </row>
    <row r="43" spans="1:25">
      <c r="A43" s="33" t="s">
        <v>841</v>
      </c>
      <c r="B43" s="30">
        <f>SUM(B38:B42)</f>
        <v>471383</v>
      </c>
      <c r="C43" s="30">
        <f t="shared" ref="C43:U43" si="6">SUM(C38:C42)</f>
        <v>610437</v>
      </c>
      <c r="D43" s="30">
        <f t="shared" si="6"/>
        <v>533897</v>
      </c>
      <c r="E43" s="30">
        <f t="shared" si="6"/>
        <v>540086</v>
      </c>
      <c r="F43" s="30">
        <f t="shared" si="6"/>
        <v>691618</v>
      </c>
      <c r="G43" s="30">
        <f t="shared" si="6"/>
        <v>611078</v>
      </c>
      <c r="H43" s="30">
        <f t="shared" si="6"/>
        <v>601298</v>
      </c>
      <c r="I43" s="30">
        <f t="shared" si="6"/>
        <v>807567</v>
      </c>
      <c r="J43" s="30">
        <f t="shared" si="6"/>
        <v>746230</v>
      </c>
      <c r="K43" s="306">
        <f t="shared" si="6"/>
        <v>978377</v>
      </c>
      <c r="L43" s="30">
        <f t="shared" si="6"/>
        <v>820096</v>
      </c>
      <c r="M43" s="30">
        <f t="shared" si="6"/>
        <v>614210</v>
      </c>
      <c r="N43" s="30">
        <f t="shared" si="6"/>
        <v>617565</v>
      </c>
      <c r="O43" s="306">
        <f t="shared" si="6"/>
        <v>770096</v>
      </c>
      <c r="P43" s="30">
        <f t="shared" si="6"/>
        <v>960274</v>
      </c>
      <c r="Q43" s="30">
        <f t="shared" si="6"/>
        <v>679916</v>
      </c>
      <c r="R43" s="30">
        <f t="shared" si="6"/>
        <v>736535</v>
      </c>
      <c r="S43" s="306">
        <f t="shared" si="6"/>
        <v>526033</v>
      </c>
      <c r="T43" s="30">
        <f t="shared" si="6"/>
        <v>490118</v>
      </c>
      <c r="U43" s="30">
        <f t="shared" si="6"/>
        <v>474713</v>
      </c>
      <c r="V43" s="30">
        <f>SUM(V38:V42)</f>
        <v>458390</v>
      </c>
      <c r="W43" s="306">
        <f>SUM(W38:W42)</f>
        <v>414862</v>
      </c>
      <c r="X43" s="30">
        <f>SUM(X38:X42)</f>
        <v>447417</v>
      </c>
      <c r="Y43" s="59"/>
    </row>
    <row r="44" spans="1:25">
      <c r="A44" s="33"/>
      <c r="B44" s="30"/>
      <c r="C44" s="30"/>
      <c r="D44" s="30"/>
      <c r="E44" s="38"/>
      <c r="F44" s="38"/>
      <c r="G44" s="21"/>
      <c r="H44" s="23"/>
      <c r="I44" s="23"/>
      <c r="J44" s="23"/>
      <c r="K44" s="305"/>
      <c r="L44" s="23"/>
      <c r="M44" s="23"/>
      <c r="N44" s="23"/>
      <c r="O44" s="305"/>
      <c r="P44" s="23"/>
      <c r="Q44" s="23"/>
      <c r="R44" s="23"/>
      <c r="S44" s="305"/>
      <c r="T44" s="23"/>
      <c r="U44" s="21"/>
      <c r="V44" s="21"/>
      <c r="W44" s="207"/>
      <c r="X44" s="21"/>
      <c r="Y44" s="59"/>
    </row>
    <row r="45" spans="1:25">
      <c r="A45" s="29" t="s">
        <v>842</v>
      </c>
      <c r="B45" s="86">
        <v>3109302</v>
      </c>
      <c r="C45" s="86">
        <v>3016992</v>
      </c>
      <c r="D45" s="86">
        <v>2883784</v>
      </c>
      <c r="E45" s="56">
        <v>2900964</v>
      </c>
      <c r="F45" s="56">
        <v>2762019</v>
      </c>
      <c r="G45" s="56">
        <v>2694203</v>
      </c>
      <c r="H45" s="49">
        <v>2709399</v>
      </c>
      <c r="I45" s="49">
        <v>2500270</v>
      </c>
      <c r="J45" s="49">
        <v>2376070</v>
      </c>
      <c r="K45" s="302">
        <v>2353859</v>
      </c>
      <c r="L45" s="49">
        <v>2239263</v>
      </c>
      <c r="M45" s="49">
        <v>2417807</v>
      </c>
      <c r="N45" s="49">
        <v>2412852</v>
      </c>
      <c r="O45" s="302">
        <v>2916511</v>
      </c>
      <c r="P45" s="49">
        <v>2735073</v>
      </c>
      <c r="Q45" s="49">
        <v>2747576</v>
      </c>
      <c r="R45" s="49">
        <v>2734357</v>
      </c>
      <c r="S45" s="302">
        <v>2881310</v>
      </c>
      <c r="T45" s="49">
        <v>3016243</v>
      </c>
      <c r="U45" s="49">
        <v>3299266</v>
      </c>
      <c r="V45" s="49">
        <v>3294119</v>
      </c>
      <c r="W45" s="302">
        <v>3002402</v>
      </c>
      <c r="X45" s="49">
        <v>2899936</v>
      </c>
      <c r="Y45" s="59"/>
    </row>
    <row r="46" spans="1:25">
      <c r="A46" s="29" t="s">
        <v>843</v>
      </c>
      <c r="B46" s="86">
        <v>836651</v>
      </c>
      <c r="C46" s="86">
        <v>854432</v>
      </c>
      <c r="D46" s="86">
        <v>913513</v>
      </c>
      <c r="E46" s="56">
        <v>941539</v>
      </c>
      <c r="F46" s="56">
        <v>933551</v>
      </c>
      <c r="G46" s="56">
        <v>968059</v>
      </c>
      <c r="H46" s="49">
        <v>956234</v>
      </c>
      <c r="I46" s="49">
        <v>979264</v>
      </c>
      <c r="J46" s="49">
        <v>1023134</v>
      </c>
      <c r="K46" s="302">
        <v>1049124</v>
      </c>
      <c r="L46" s="49">
        <v>1073065</v>
      </c>
      <c r="M46" s="49">
        <v>1068570</v>
      </c>
      <c r="N46" s="49">
        <v>1219639</v>
      </c>
      <c r="O46" s="302">
        <v>1276274</v>
      </c>
      <c r="P46" s="49">
        <v>1441155</v>
      </c>
      <c r="Q46" s="49">
        <v>1440737</v>
      </c>
      <c r="R46" s="49">
        <v>1304456</v>
      </c>
      <c r="S46" s="302">
        <v>1310800</v>
      </c>
      <c r="T46" s="49">
        <v>1286666</v>
      </c>
      <c r="U46" s="49">
        <v>1302683</v>
      </c>
      <c r="V46" s="49">
        <v>1338446</v>
      </c>
      <c r="W46" s="302">
        <v>1341340</v>
      </c>
      <c r="X46" s="49">
        <v>1353025</v>
      </c>
      <c r="Y46" s="59"/>
    </row>
    <row r="47" spans="1:25">
      <c r="A47" s="29" t="s">
        <v>844</v>
      </c>
      <c r="B47" s="30"/>
      <c r="C47" s="30"/>
      <c r="D47" s="30"/>
      <c r="E47" s="38"/>
      <c r="F47" s="38"/>
      <c r="G47" s="21"/>
      <c r="H47" s="23"/>
      <c r="I47" s="23"/>
      <c r="J47" s="23"/>
      <c r="K47" s="305"/>
      <c r="L47" s="23"/>
      <c r="M47" s="23"/>
      <c r="N47" s="23"/>
      <c r="O47" s="305"/>
      <c r="P47" s="23"/>
      <c r="Q47" s="23"/>
      <c r="R47" s="23"/>
      <c r="S47" s="305"/>
      <c r="T47" s="23"/>
      <c r="U47" s="21"/>
      <c r="V47" s="21"/>
      <c r="W47" s="207"/>
      <c r="X47" s="21"/>
      <c r="Y47" s="59"/>
    </row>
    <row r="48" spans="1:25">
      <c r="A48" s="33" t="s">
        <v>845</v>
      </c>
      <c r="B48" s="86">
        <v>144364</v>
      </c>
      <c r="C48" s="86">
        <v>139494</v>
      </c>
      <c r="D48" s="86">
        <v>134993</v>
      </c>
      <c r="E48" s="56">
        <v>134447</v>
      </c>
      <c r="F48" s="56">
        <v>132374</v>
      </c>
      <c r="G48" s="50">
        <v>131272</v>
      </c>
      <c r="H48" s="49">
        <v>129907</v>
      </c>
      <c r="I48" s="49">
        <v>130977</v>
      </c>
      <c r="J48" s="49">
        <v>131074</v>
      </c>
      <c r="K48" s="302">
        <v>115984</v>
      </c>
      <c r="L48" s="49">
        <v>116301</v>
      </c>
      <c r="M48" s="49">
        <v>115400</v>
      </c>
      <c r="N48" s="49">
        <v>113254</v>
      </c>
      <c r="O48" s="302">
        <v>110311</v>
      </c>
      <c r="P48" s="49">
        <v>108201</v>
      </c>
      <c r="Q48" s="49">
        <v>111179</v>
      </c>
      <c r="R48" s="49">
        <v>108492</v>
      </c>
      <c r="S48" s="302">
        <v>106259</v>
      </c>
      <c r="T48" s="49">
        <v>103677</v>
      </c>
      <c r="U48" s="50">
        <v>100121</v>
      </c>
      <c r="V48" s="50">
        <v>100277</v>
      </c>
      <c r="W48" s="196">
        <v>100579</v>
      </c>
      <c r="X48" s="49">
        <v>101140</v>
      </c>
      <c r="Y48" s="59"/>
    </row>
    <row r="49" spans="1:25">
      <c r="A49" s="33" t="s">
        <v>846</v>
      </c>
      <c r="B49" s="86">
        <v>576515</v>
      </c>
      <c r="C49" s="86">
        <v>445000</v>
      </c>
      <c r="D49" s="86">
        <v>310247</v>
      </c>
      <c r="E49" s="56">
        <v>287802</v>
      </c>
      <c r="F49" s="56">
        <v>222205</v>
      </c>
      <c r="G49" s="50">
        <v>175886</v>
      </c>
      <c r="H49" s="49">
        <v>113206</v>
      </c>
      <c r="I49" s="49">
        <v>140303</v>
      </c>
      <c r="J49" s="49">
        <v>129806</v>
      </c>
      <c r="K49" s="302">
        <v>95446</v>
      </c>
      <c r="L49" s="49">
        <v>107927</v>
      </c>
      <c r="M49" s="49">
        <v>71439</v>
      </c>
      <c r="N49" s="49">
        <v>24256</v>
      </c>
      <c r="O49" s="302">
        <v>50771</v>
      </c>
      <c r="P49" s="49">
        <v>81666</v>
      </c>
      <c r="Q49" s="49">
        <v>196998</v>
      </c>
      <c r="R49" s="49">
        <v>91147</v>
      </c>
      <c r="S49" s="302">
        <v>3286</v>
      </c>
      <c r="T49" s="49">
        <v>16317</v>
      </c>
      <c r="U49" s="50">
        <v>26340</v>
      </c>
      <c r="V49" s="50">
        <v>39961</v>
      </c>
      <c r="W49" s="196">
        <v>43489</v>
      </c>
      <c r="X49" s="49">
        <v>53312</v>
      </c>
      <c r="Y49" s="59"/>
    </row>
    <row r="50" spans="1:25">
      <c r="A50" s="33" t="s">
        <v>945</v>
      </c>
      <c r="B50" s="86"/>
      <c r="C50" s="86">
        <v>0</v>
      </c>
      <c r="D50" s="86">
        <v>0</v>
      </c>
      <c r="E50" s="56">
        <v>0</v>
      </c>
      <c r="F50" s="56">
        <v>0</v>
      </c>
      <c r="G50" s="50">
        <v>0</v>
      </c>
      <c r="H50" s="49">
        <v>0</v>
      </c>
      <c r="I50" s="49">
        <v>0</v>
      </c>
      <c r="J50" s="49">
        <v>0</v>
      </c>
      <c r="K50" s="302">
        <v>0</v>
      </c>
      <c r="L50" s="49">
        <v>0</v>
      </c>
      <c r="M50" s="49">
        <v>0</v>
      </c>
      <c r="N50" s="49">
        <v>0</v>
      </c>
      <c r="O50" s="302">
        <v>0</v>
      </c>
      <c r="P50" s="49">
        <v>0</v>
      </c>
      <c r="Q50" s="49">
        <v>0</v>
      </c>
      <c r="R50" s="49">
        <v>0</v>
      </c>
      <c r="S50" s="302">
        <v>0</v>
      </c>
      <c r="T50" s="49">
        <v>0</v>
      </c>
      <c r="U50" s="50">
        <v>0</v>
      </c>
      <c r="V50" s="50">
        <v>0</v>
      </c>
      <c r="W50" s="196">
        <v>0</v>
      </c>
      <c r="X50" s="49">
        <v>0</v>
      </c>
      <c r="Y50" s="59"/>
    </row>
    <row r="51" spans="1:25">
      <c r="A51" s="33" t="s">
        <v>847</v>
      </c>
      <c r="B51" s="86">
        <v>0</v>
      </c>
      <c r="C51" s="86">
        <v>-2763</v>
      </c>
      <c r="D51" s="86">
        <v>-507</v>
      </c>
      <c r="E51" s="56">
        <v>-1237</v>
      </c>
      <c r="F51" s="56">
        <v>-8334</v>
      </c>
      <c r="G51" s="50">
        <v>-13036</v>
      </c>
      <c r="H51" s="49">
        <v>-12304</v>
      </c>
      <c r="I51" s="49">
        <v>-11476</v>
      </c>
      <c r="J51" s="49">
        <v>-9619</v>
      </c>
      <c r="K51" s="302">
        <v>-10782</v>
      </c>
      <c r="L51" s="49">
        <v>-9620</v>
      </c>
      <c r="M51" s="49">
        <v>-9353</v>
      </c>
      <c r="N51" s="49">
        <v>-104942</v>
      </c>
      <c r="O51" s="302">
        <v>-102962</v>
      </c>
      <c r="P51" s="49">
        <v>-91911</v>
      </c>
      <c r="Q51" s="49">
        <v>-88590</v>
      </c>
      <c r="R51" s="49">
        <v>-42707</v>
      </c>
      <c r="S51" s="302">
        <v>-43333</v>
      </c>
      <c r="T51" s="49">
        <v>-47011</v>
      </c>
      <c r="U51" s="50">
        <v>-46757</v>
      </c>
      <c r="V51" s="50">
        <v>-123489</v>
      </c>
      <c r="W51" s="196">
        <v>-116605</v>
      </c>
      <c r="X51" s="49">
        <v>-114472</v>
      </c>
      <c r="Y51" s="59"/>
    </row>
    <row r="52" spans="1:25">
      <c r="A52" s="33" t="s">
        <v>848</v>
      </c>
      <c r="B52" s="86">
        <v>2750162</v>
      </c>
      <c r="C52" s="86">
        <v>2825188</v>
      </c>
      <c r="D52" s="86">
        <v>2900436</v>
      </c>
      <c r="E52" s="56">
        <v>2978758</v>
      </c>
      <c r="F52" s="56">
        <v>3055545</v>
      </c>
      <c r="G52" s="50">
        <v>3127087</v>
      </c>
      <c r="H52" s="49">
        <v>3204323</v>
      </c>
      <c r="I52" s="49">
        <v>3287781</v>
      </c>
      <c r="J52" s="49">
        <v>3358162</v>
      </c>
      <c r="K52" s="302">
        <v>2934283</v>
      </c>
      <c r="L52" s="49">
        <v>3079291</v>
      </c>
      <c r="M52" s="49">
        <v>3120092</v>
      </c>
      <c r="N52" s="49">
        <v>3150933</v>
      </c>
      <c r="O52" s="302">
        <v>3061660</v>
      </c>
      <c r="P52" s="49">
        <v>3031639</v>
      </c>
      <c r="Q52" s="49">
        <v>3137480</v>
      </c>
      <c r="R52" s="49">
        <v>3245302</v>
      </c>
      <c r="S52" s="302">
        <v>3326801</v>
      </c>
      <c r="T52" s="49">
        <v>3301180</v>
      </c>
      <c r="U52" s="50">
        <v>3116300</v>
      </c>
      <c r="V52" s="50">
        <v>3146255</v>
      </c>
      <c r="W52" s="196">
        <v>3143036</v>
      </c>
      <c r="X52" s="49">
        <v>3141334</v>
      </c>
      <c r="Y52" s="59"/>
    </row>
    <row r="53" spans="1:25">
      <c r="A53" s="33" t="s">
        <v>849</v>
      </c>
      <c r="B53" s="86">
        <v>-500</v>
      </c>
      <c r="C53" s="86">
        <v>-250</v>
      </c>
      <c r="D53" s="86">
        <v>0</v>
      </c>
      <c r="E53" s="56">
        <v>0</v>
      </c>
      <c r="F53" s="56">
        <v>0</v>
      </c>
      <c r="G53" s="50">
        <v>0</v>
      </c>
      <c r="H53" s="49">
        <v>0</v>
      </c>
      <c r="I53" s="49">
        <v>0</v>
      </c>
      <c r="J53" s="49">
        <v>0</v>
      </c>
      <c r="K53" s="302">
        <v>0</v>
      </c>
      <c r="L53" s="49">
        <v>0</v>
      </c>
      <c r="M53" s="49">
        <v>0</v>
      </c>
      <c r="N53" s="49">
        <v>0</v>
      </c>
      <c r="O53" s="302">
        <v>0</v>
      </c>
      <c r="P53" s="49">
        <v>0</v>
      </c>
      <c r="Q53" s="49">
        <v>0</v>
      </c>
      <c r="R53" s="49">
        <v>0</v>
      </c>
      <c r="S53" s="302">
        <v>0</v>
      </c>
      <c r="T53" s="49">
        <v>0</v>
      </c>
      <c r="U53" s="50">
        <v>0</v>
      </c>
      <c r="V53" s="50">
        <v>0</v>
      </c>
      <c r="W53" s="196">
        <v>0</v>
      </c>
      <c r="X53" s="49">
        <v>0</v>
      </c>
      <c r="Y53" s="59"/>
    </row>
    <row r="54" spans="1:25">
      <c r="A54" s="33" t="s">
        <v>850</v>
      </c>
      <c r="B54" s="86">
        <v>7975</v>
      </c>
      <c r="C54" s="86">
        <v>7975</v>
      </c>
      <c r="D54" s="86">
        <v>7975</v>
      </c>
      <c r="E54" s="56">
        <v>7975</v>
      </c>
      <c r="F54" s="56">
        <v>7975</v>
      </c>
      <c r="G54" s="56">
        <v>7975</v>
      </c>
      <c r="H54" s="49">
        <v>7975</v>
      </c>
      <c r="I54" s="49">
        <v>7850</v>
      </c>
      <c r="J54" s="49">
        <v>7850</v>
      </c>
      <c r="K54" s="302">
        <v>7850</v>
      </c>
      <c r="L54" s="49">
        <v>7661</v>
      </c>
      <c r="M54" s="49">
        <v>7461</v>
      </c>
      <c r="N54" s="49">
        <v>7450</v>
      </c>
      <c r="O54" s="302">
        <v>7450</v>
      </c>
      <c r="P54" s="49">
        <v>7439</v>
      </c>
      <c r="Q54" s="49">
        <v>7354</v>
      </c>
      <c r="R54" s="49">
        <v>6971</v>
      </c>
      <c r="S54" s="302">
        <v>6971</v>
      </c>
      <c r="T54" s="49">
        <v>874</v>
      </c>
      <c r="U54" s="49">
        <v>236</v>
      </c>
      <c r="V54" s="49">
        <v>236</v>
      </c>
      <c r="W54" s="302">
        <v>236</v>
      </c>
      <c r="X54" s="49">
        <v>236</v>
      </c>
      <c r="Y54" s="59"/>
    </row>
    <row r="55" spans="1:25">
      <c r="A55" s="33" t="s">
        <v>432</v>
      </c>
      <c r="B55" s="30"/>
      <c r="C55" s="30"/>
      <c r="D55" s="30"/>
      <c r="E55" s="38"/>
      <c r="F55" s="38"/>
      <c r="G55" s="38"/>
      <c r="H55" s="23"/>
      <c r="I55" s="49"/>
      <c r="J55" s="49"/>
      <c r="K55" s="302"/>
      <c r="L55" s="49"/>
      <c r="M55" s="49"/>
      <c r="N55" s="49"/>
      <c r="O55" s="302"/>
      <c r="P55" s="49"/>
      <c r="Q55" s="49"/>
      <c r="R55" s="49"/>
      <c r="S55" s="302"/>
      <c r="T55" s="49"/>
      <c r="U55" s="49"/>
      <c r="V55" s="49"/>
      <c r="W55" s="302">
        <v>4474</v>
      </c>
      <c r="X55" s="49">
        <v>4772</v>
      </c>
      <c r="Y55" s="59"/>
    </row>
    <row r="56" spans="1:25">
      <c r="A56" s="29" t="s">
        <v>988</v>
      </c>
      <c r="B56" s="30">
        <f>SUM(B48:B54)</f>
        <v>3478516</v>
      </c>
      <c r="C56" s="30">
        <f t="shared" ref="C56:U56" si="7">SUM(C48:C54)</f>
        <v>3414644</v>
      </c>
      <c r="D56" s="30">
        <f t="shared" si="7"/>
        <v>3353144</v>
      </c>
      <c r="E56" s="38">
        <f t="shared" si="7"/>
        <v>3407745</v>
      </c>
      <c r="F56" s="38">
        <f t="shared" si="7"/>
        <v>3409765</v>
      </c>
      <c r="G56" s="21">
        <f t="shared" si="7"/>
        <v>3429184</v>
      </c>
      <c r="H56" s="23">
        <f t="shared" si="7"/>
        <v>3443107</v>
      </c>
      <c r="I56" s="41">
        <f t="shared" si="7"/>
        <v>3555435</v>
      </c>
      <c r="J56" s="41">
        <f t="shared" si="7"/>
        <v>3617273</v>
      </c>
      <c r="K56" s="310">
        <f t="shared" si="7"/>
        <v>3142781</v>
      </c>
      <c r="L56" s="41">
        <f t="shared" si="7"/>
        <v>3301560</v>
      </c>
      <c r="M56" s="41">
        <f t="shared" si="7"/>
        <v>3305039</v>
      </c>
      <c r="N56" s="41">
        <f t="shared" si="7"/>
        <v>3190951</v>
      </c>
      <c r="O56" s="310">
        <f t="shared" si="7"/>
        <v>3127230</v>
      </c>
      <c r="P56" s="41">
        <f t="shared" si="7"/>
        <v>3137034</v>
      </c>
      <c r="Q56" s="41">
        <f t="shared" si="7"/>
        <v>3364421</v>
      </c>
      <c r="R56" s="41">
        <f t="shared" si="7"/>
        <v>3409205</v>
      </c>
      <c r="S56" s="304">
        <f t="shared" si="7"/>
        <v>3399984</v>
      </c>
      <c r="T56" s="54">
        <f t="shared" si="7"/>
        <v>3375037</v>
      </c>
      <c r="U56" s="54">
        <f t="shared" si="7"/>
        <v>3196240</v>
      </c>
      <c r="V56" s="54">
        <f>SUM(V48:V54)</f>
        <v>3163240</v>
      </c>
      <c r="W56" s="304">
        <f>SUM(W48:W55)</f>
        <v>3175209</v>
      </c>
      <c r="X56" s="54">
        <f>SUM(X48:X55)</f>
        <v>3186322</v>
      </c>
      <c r="Y56" s="59"/>
    </row>
    <row r="57" spans="1:25">
      <c r="A57" s="29" t="s">
        <v>851</v>
      </c>
      <c r="B57" s="31">
        <f>B56+B47+B46+B45+B43</f>
        <v>7895852</v>
      </c>
      <c r="C57" s="31">
        <f t="shared" ref="C57:U57" si="8">C56+C47+C46+C45+C43</f>
        <v>7896505</v>
      </c>
      <c r="D57" s="31">
        <f t="shared" si="8"/>
        <v>7684338</v>
      </c>
      <c r="E57" s="40">
        <f t="shared" si="8"/>
        <v>7790334</v>
      </c>
      <c r="F57" s="40">
        <f t="shared" si="8"/>
        <v>7796953</v>
      </c>
      <c r="G57" s="40">
        <f t="shared" si="8"/>
        <v>7702524</v>
      </c>
      <c r="H57" s="54">
        <f t="shared" si="8"/>
        <v>7710038</v>
      </c>
      <c r="I57" s="54">
        <f t="shared" si="8"/>
        <v>7842536</v>
      </c>
      <c r="J57" s="54">
        <f t="shared" si="8"/>
        <v>7762707</v>
      </c>
      <c r="K57" s="304">
        <f t="shared" si="8"/>
        <v>7524141</v>
      </c>
      <c r="L57" s="54">
        <f t="shared" si="8"/>
        <v>7433984</v>
      </c>
      <c r="M57" s="54">
        <f t="shared" si="8"/>
        <v>7405626</v>
      </c>
      <c r="N57" s="54">
        <f t="shared" si="8"/>
        <v>7441007</v>
      </c>
      <c r="O57" s="304">
        <f t="shared" si="8"/>
        <v>8090111</v>
      </c>
      <c r="P57" s="54">
        <f t="shared" si="8"/>
        <v>8273536</v>
      </c>
      <c r="Q57" s="54">
        <f t="shared" si="8"/>
        <v>8232650</v>
      </c>
      <c r="R57" s="54">
        <f t="shared" si="8"/>
        <v>8184553</v>
      </c>
      <c r="S57" s="304">
        <f t="shared" si="8"/>
        <v>8118127</v>
      </c>
      <c r="T57" s="54">
        <f t="shared" si="8"/>
        <v>8168064</v>
      </c>
      <c r="U57" s="54">
        <f t="shared" si="8"/>
        <v>8272902</v>
      </c>
      <c r="V57" s="54">
        <f>V56+V47+V46+V45+V43</f>
        <v>8254195</v>
      </c>
      <c r="W57" s="304">
        <f>W56+W47+W46+W45+W43</f>
        <v>7933813</v>
      </c>
      <c r="X57" s="54">
        <f>X56+X47+X46+X45+X43</f>
        <v>7886700</v>
      </c>
      <c r="Y57" s="59"/>
    </row>
    <row r="58" spans="1:25">
      <c r="A58" s="32" t="s">
        <v>793</v>
      </c>
      <c r="B58" s="30">
        <f t="shared" ref="B58:G58" si="9">B57-B32</f>
        <v>0</v>
      </c>
      <c r="C58" s="30">
        <f t="shared" si="9"/>
        <v>0</v>
      </c>
      <c r="D58" s="30">
        <f t="shared" si="9"/>
        <v>0</v>
      </c>
      <c r="E58" s="30">
        <f t="shared" si="9"/>
        <v>0</v>
      </c>
      <c r="F58" s="30">
        <f t="shared" si="9"/>
        <v>0</v>
      </c>
      <c r="G58" s="30">
        <f t="shared" si="9"/>
        <v>0</v>
      </c>
      <c r="H58" s="51">
        <f t="shared" ref="H58:S58" si="10">H57-H32</f>
        <v>0</v>
      </c>
      <c r="I58" s="51">
        <f t="shared" si="10"/>
        <v>0</v>
      </c>
      <c r="J58" s="51">
        <f t="shared" si="10"/>
        <v>0</v>
      </c>
      <c r="K58" s="307">
        <f t="shared" si="10"/>
        <v>0</v>
      </c>
      <c r="L58" s="51">
        <f t="shared" si="10"/>
        <v>0</v>
      </c>
      <c r="M58" s="51">
        <f t="shared" si="10"/>
        <v>0</v>
      </c>
      <c r="N58" s="51">
        <f t="shared" si="10"/>
        <v>0</v>
      </c>
      <c r="O58" s="307">
        <f t="shared" si="10"/>
        <v>0</v>
      </c>
      <c r="P58" s="51">
        <f t="shared" si="10"/>
        <v>0</v>
      </c>
      <c r="Q58" s="51">
        <f t="shared" si="10"/>
        <v>0</v>
      </c>
      <c r="R58" s="51">
        <f t="shared" si="10"/>
        <v>0</v>
      </c>
      <c r="S58" s="307">
        <f t="shared" si="10"/>
        <v>0</v>
      </c>
      <c r="T58" s="51">
        <f>T57-T32</f>
        <v>0</v>
      </c>
      <c r="U58" s="51">
        <f>U57-U32</f>
        <v>0</v>
      </c>
      <c r="V58" s="51">
        <f>V57-V32</f>
        <v>0</v>
      </c>
      <c r="W58" s="307">
        <f>W57-W32</f>
        <v>0</v>
      </c>
      <c r="X58" s="51">
        <f>X57-X32</f>
        <v>0</v>
      </c>
      <c r="Y58" s="59"/>
    </row>
    <row r="59" spans="1:25">
      <c r="A59" s="55" t="s">
        <v>852</v>
      </c>
      <c r="B59" s="38">
        <f t="shared" ref="B59:G59" si="11">+B45+B38</f>
        <v>3181755</v>
      </c>
      <c r="C59" s="38">
        <f t="shared" si="11"/>
        <v>3189250</v>
      </c>
      <c r="D59" s="38">
        <f t="shared" si="11"/>
        <v>3005240</v>
      </c>
      <c r="E59" s="38">
        <f t="shared" si="11"/>
        <v>3022120</v>
      </c>
      <c r="F59" s="38">
        <f t="shared" si="11"/>
        <v>3011636</v>
      </c>
      <c r="G59" s="38">
        <f t="shared" si="11"/>
        <v>2839014</v>
      </c>
      <c r="H59" s="22">
        <f t="shared" ref="H59:U59" si="12">+H45+H38</f>
        <v>2853534</v>
      </c>
      <c r="I59" s="22">
        <f t="shared" si="12"/>
        <v>2834846</v>
      </c>
      <c r="J59" s="22">
        <f t="shared" si="12"/>
        <v>2652806</v>
      </c>
      <c r="K59" s="308">
        <f t="shared" si="12"/>
        <v>2925315</v>
      </c>
      <c r="L59" s="22">
        <f t="shared" si="12"/>
        <v>2620718</v>
      </c>
      <c r="M59" s="22">
        <f t="shared" si="12"/>
        <v>2611924</v>
      </c>
      <c r="N59" s="22">
        <f t="shared" si="12"/>
        <v>2590864</v>
      </c>
      <c r="O59" s="308">
        <f t="shared" si="12"/>
        <v>3277260</v>
      </c>
      <c r="P59" s="22">
        <f t="shared" si="12"/>
        <v>3246380</v>
      </c>
      <c r="Q59" s="22">
        <f t="shared" si="12"/>
        <v>3002471</v>
      </c>
      <c r="R59" s="22">
        <f t="shared" si="12"/>
        <v>3014255</v>
      </c>
      <c r="S59" s="308">
        <f t="shared" si="12"/>
        <v>2966754</v>
      </c>
      <c r="T59" s="22">
        <f t="shared" si="12"/>
        <v>3061587</v>
      </c>
      <c r="U59" s="22">
        <f t="shared" si="12"/>
        <v>3344623</v>
      </c>
      <c r="V59" s="22">
        <f>+V45+V38</f>
        <v>3314526</v>
      </c>
      <c r="W59" s="308">
        <f>+W45+W38</f>
        <v>3022550</v>
      </c>
      <c r="X59" s="22">
        <f>+X45+X38</f>
        <v>2919860</v>
      </c>
      <c r="Y59" s="59"/>
    </row>
    <row r="60" spans="1:25">
      <c r="A60" s="55"/>
      <c r="B60" s="38"/>
      <c r="C60" s="38"/>
      <c r="D60" s="38"/>
      <c r="E60" s="38"/>
      <c r="F60" s="38"/>
      <c r="G60" s="38"/>
      <c r="H60" s="22"/>
      <c r="I60" s="22"/>
      <c r="J60" s="22"/>
      <c r="K60" s="308"/>
      <c r="L60" s="22"/>
      <c r="M60" s="22"/>
      <c r="N60" s="22"/>
      <c r="O60" s="308"/>
      <c r="P60" s="22"/>
      <c r="Q60" s="22"/>
      <c r="R60" s="22"/>
      <c r="S60" s="308"/>
      <c r="T60" s="22"/>
      <c r="U60" s="22"/>
      <c r="V60" s="22"/>
      <c r="W60" s="308"/>
      <c r="X60" s="22"/>
      <c r="Y60" s="59"/>
    </row>
    <row r="61" spans="1:25" ht="15.75">
      <c r="A61" s="118"/>
      <c r="B61" s="21"/>
      <c r="C61" s="21"/>
      <c r="D61" s="21"/>
      <c r="E61" s="21"/>
      <c r="F61" s="21"/>
      <c r="G61" s="21"/>
      <c r="H61" s="21"/>
      <c r="I61" s="21"/>
      <c r="J61" s="21"/>
      <c r="K61" s="207"/>
      <c r="L61" s="21"/>
      <c r="M61" s="21"/>
      <c r="N61" s="21"/>
      <c r="O61" s="207"/>
      <c r="P61" s="21"/>
      <c r="Q61" s="21"/>
      <c r="R61" s="21"/>
      <c r="S61" s="207"/>
      <c r="T61" s="21"/>
      <c r="U61" s="21"/>
      <c r="V61" s="21"/>
      <c r="W61" s="207"/>
      <c r="X61" s="21"/>
      <c r="Y61" s="59"/>
    </row>
    <row r="62" spans="1:25">
      <c r="A62" s="27" t="s">
        <v>799</v>
      </c>
      <c r="B62" s="28" t="s">
        <v>767</v>
      </c>
      <c r="C62" s="28" t="s">
        <v>768</v>
      </c>
      <c r="D62" s="28" t="s">
        <v>769</v>
      </c>
      <c r="E62" s="28" t="s">
        <v>770</v>
      </c>
      <c r="F62" s="28" t="s">
        <v>771</v>
      </c>
      <c r="G62" s="28" t="s">
        <v>800</v>
      </c>
      <c r="H62" s="43" t="s">
        <v>801</v>
      </c>
      <c r="I62" s="43" t="s">
        <v>802</v>
      </c>
      <c r="J62" s="43" t="s">
        <v>803</v>
      </c>
      <c r="K62" s="300" t="s">
        <v>804</v>
      </c>
      <c r="L62" s="43" t="s">
        <v>805</v>
      </c>
      <c r="M62" s="43" t="s">
        <v>806</v>
      </c>
      <c r="N62" s="43" t="s">
        <v>807</v>
      </c>
      <c r="O62" s="300" t="s">
        <v>808</v>
      </c>
      <c r="P62" s="43" t="s">
        <v>809</v>
      </c>
      <c r="Q62" s="43" t="s">
        <v>810</v>
      </c>
      <c r="R62" s="43" t="s">
        <v>811</v>
      </c>
      <c r="S62" s="300" t="s">
        <v>812</v>
      </c>
      <c r="T62" s="43" t="s">
        <v>813</v>
      </c>
      <c r="U62" s="43" t="s">
        <v>814</v>
      </c>
      <c r="V62" s="43" t="s">
        <v>430</v>
      </c>
      <c r="W62" s="300" t="s">
        <v>431</v>
      </c>
      <c r="X62" s="43" t="s">
        <v>486</v>
      </c>
      <c r="Y62" s="59"/>
    </row>
    <row r="63" spans="1:25">
      <c r="A63" s="25" t="s">
        <v>815</v>
      </c>
      <c r="B63" s="21"/>
      <c r="C63" s="21"/>
      <c r="D63" s="21"/>
      <c r="E63" s="21"/>
      <c r="F63" s="21"/>
      <c r="G63" s="21"/>
      <c r="H63" s="22"/>
      <c r="I63" s="21"/>
      <c r="J63" s="21"/>
      <c r="K63" s="207"/>
      <c r="L63" s="21"/>
      <c r="M63" s="21"/>
      <c r="N63" s="21"/>
      <c r="O63" s="207"/>
      <c r="P63" s="21"/>
      <c r="Q63" s="21"/>
      <c r="R63" s="21"/>
      <c r="S63" s="316"/>
      <c r="T63" s="44"/>
      <c r="U63" s="21"/>
      <c r="V63" s="21"/>
      <c r="W63" s="207"/>
      <c r="X63" s="21"/>
      <c r="Y63" s="59"/>
    </row>
    <row r="64" spans="1:25" ht="15.75">
      <c r="A64" s="118" t="s">
        <v>902</v>
      </c>
      <c r="B64" s="21"/>
      <c r="C64" s="21"/>
      <c r="D64" s="21"/>
      <c r="E64" s="21"/>
      <c r="F64" s="21"/>
      <c r="G64" s="21"/>
      <c r="H64" s="22"/>
      <c r="I64" s="21"/>
      <c r="J64" s="21"/>
      <c r="K64" s="207"/>
      <c r="L64" s="21"/>
      <c r="M64" s="21"/>
      <c r="N64" s="21"/>
      <c r="O64" s="207"/>
      <c r="P64" s="21"/>
      <c r="Q64" s="21"/>
      <c r="R64" s="21"/>
      <c r="S64" s="316"/>
      <c r="T64" s="44"/>
      <c r="U64" s="21"/>
      <c r="V64" s="21"/>
      <c r="W64" s="207"/>
      <c r="X64" s="21"/>
      <c r="Y64" s="59"/>
    </row>
    <row r="65" spans="1:25">
      <c r="A65" s="45" t="s">
        <v>816</v>
      </c>
      <c r="B65" s="46"/>
      <c r="C65" s="46"/>
      <c r="D65" s="46"/>
      <c r="E65" s="46"/>
      <c r="F65" s="46"/>
      <c r="G65" s="46"/>
      <c r="H65" s="47"/>
      <c r="I65" s="47"/>
      <c r="J65" s="47"/>
      <c r="K65" s="301"/>
      <c r="L65" s="47"/>
      <c r="M65" s="47"/>
      <c r="N65" s="47"/>
      <c r="O65" s="301"/>
      <c r="P65" s="47"/>
      <c r="Q65" s="47"/>
      <c r="R65" s="47"/>
      <c r="S65" s="301"/>
      <c r="T65" s="47"/>
      <c r="U65" s="47"/>
      <c r="V65" s="47"/>
      <c r="W65" s="301"/>
      <c r="X65" s="47"/>
      <c r="Y65" s="59"/>
    </row>
    <row r="66" spans="1:25">
      <c r="A66" s="48"/>
      <c r="B66" s="21"/>
      <c r="C66" s="21"/>
      <c r="D66" s="21"/>
      <c r="E66" s="21"/>
      <c r="F66" s="21"/>
      <c r="G66" s="21"/>
      <c r="H66" s="22"/>
      <c r="I66" s="22"/>
      <c r="J66" s="22"/>
      <c r="K66" s="308"/>
      <c r="L66" s="22"/>
      <c r="M66" s="21"/>
      <c r="N66" s="21"/>
      <c r="O66" s="207"/>
      <c r="P66" s="21"/>
      <c r="Q66" s="21"/>
      <c r="R66" s="21"/>
      <c r="S66" s="316"/>
      <c r="T66" s="44"/>
      <c r="U66" s="21"/>
      <c r="V66" s="21"/>
      <c r="W66" s="207"/>
      <c r="X66" s="21"/>
      <c r="Y66" s="59"/>
    </row>
    <row r="67" spans="1:25">
      <c r="A67" s="29" t="s">
        <v>817</v>
      </c>
      <c r="B67" s="21"/>
      <c r="C67" s="21"/>
      <c r="D67" s="21"/>
      <c r="E67" s="21"/>
      <c r="F67" s="21"/>
      <c r="G67" s="21"/>
      <c r="H67" s="22"/>
      <c r="I67" s="22"/>
      <c r="J67" s="22"/>
      <c r="K67" s="308"/>
      <c r="L67" s="22"/>
      <c r="M67" s="21"/>
      <c r="N67" s="21"/>
      <c r="O67" s="207"/>
      <c r="P67" s="21"/>
      <c r="Q67" s="21"/>
      <c r="R67" s="21"/>
      <c r="S67" s="207"/>
      <c r="T67" s="21"/>
      <c r="U67" s="21"/>
      <c r="V67" s="21"/>
      <c r="W67" s="207"/>
      <c r="X67" s="21"/>
      <c r="Y67" s="59"/>
    </row>
    <row r="68" spans="1:25">
      <c r="A68" s="33" t="s">
        <v>818</v>
      </c>
      <c r="B68" s="21"/>
      <c r="C68" s="22"/>
      <c r="D68" s="23"/>
      <c r="E68" s="23"/>
      <c r="F68" s="23"/>
      <c r="G68" s="23"/>
      <c r="H68" s="23"/>
      <c r="I68" s="49"/>
      <c r="J68" s="49"/>
      <c r="K68" s="302">
        <v>442945.55912915507</v>
      </c>
      <c r="L68" s="49">
        <v>50000</v>
      </c>
      <c r="M68" s="49">
        <v>34000</v>
      </c>
      <c r="N68" s="49">
        <v>53000</v>
      </c>
      <c r="O68" s="302">
        <v>46000</v>
      </c>
      <c r="P68" s="49">
        <v>14000</v>
      </c>
      <c r="Q68" s="49">
        <v>10000</v>
      </c>
      <c r="R68" s="49">
        <v>69000</v>
      </c>
      <c r="S68" s="302">
        <v>52000</v>
      </c>
      <c r="T68" s="49">
        <v>50000</v>
      </c>
      <c r="U68" s="49">
        <v>83000</v>
      </c>
      <c r="V68" s="49">
        <v>107000</v>
      </c>
      <c r="W68" s="302">
        <v>95000</v>
      </c>
      <c r="X68" s="49">
        <f>+X236*1000</f>
        <v>77579.000000000015</v>
      </c>
      <c r="Y68" s="59"/>
    </row>
    <row r="69" spans="1:25">
      <c r="A69" s="33" t="s">
        <v>819</v>
      </c>
      <c r="B69" s="23"/>
      <c r="C69" s="23"/>
      <c r="D69" s="23"/>
      <c r="E69" s="23"/>
      <c r="F69" s="23"/>
      <c r="G69" s="23"/>
      <c r="H69" s="23"/>
      <c r="I69" s="23"/>
      <c r="J69" s="23"/>
      <c r="K69" s="305">
        <v>641131.85530921817</v>
      </c>
      <c r="L69" s="23">
        <v>674000</v>
      </c>
      <c r="M69" s="23">
        <v>678000</v>
      </c>
      <c r="N69" s="23">
        <v>660000</v>
      </c>
      <c r="O69" s="305">
        <v>629000</v>
      </c>
      <c r="P69" s="23">
        <v>656000</v>
      </c>
      <c r="Q69" s="23">
        <v>672000</v>
      </c>
      <c r="R69" s="23">
        <v>616000</v>
      </c>
      <c r="S69" s="305">
        <v>579000</v>
      </c>
      <c r="T69" s="23">
        <v>581000</v>
      </c>
      <c r="U69" s="23">
        <v>548000</v>
      </c>
      <c r="V69" s="23">
        <v>520000</v>
      </c>
      <c r="W69" s="305">
        <v>444000</v>
      </c>
      <c r="X69" s="23">
        <v>444000</v>
      </c>
      <c r="Y69" s="59"/>
    </row>
    <row r="70" spans="1:25">
      <c r="A70" s="33" t="s">
        <v>898</v>
      </c>
      <c r="B70" s="23"/>
      <c r="C70" s="23"/>
      <c r="D70" s="23"/>
      <c r="E70" s="23"/>
      <c r="F70" s="23"/>
      <c r="G70" s="23"/>
      <c r="H70" s="23"/>
      <c r="I70" s="23"/>
      <c r="J70" s="23"/>
      <c r="K70" s="305">
        <v>165257.69854132901</v>
      </c>
      <c r="L70" s="23">
        <v>176000</v>
      </c>
      <c r="M70" s="23">
        <v>188000</v>
      </c>
      <c r="N70" s="23">
        <v>179000</v>
      </c>
      <c r="O70" s="305">
        <v>183000</v>
      </c>
      <c r="P70" s="23">
        <v>170000</v>
      </c>
      <c r="Q70" s="23">
        <v>160000</v>
      </c>
      <c r="R70" s="23">
        <v>138000</v>
      </c>
      <c r="S70" s="305">
        <v>128000</v>
      </c>
      <c r="T70" s="23">
        <v>119000</v>
      </c>
      <c r="U70" s="23">
        <v>116000</v>
      </c>
      <c r="V70" s="23">
        <v>93000</v>
      </c>
      <c r="W70" s="305">
        <v>51000</v>
      </c>
      <c r="X70" s="23">
        <v>51000</v>
      </c>
      <c r="Y70" s="59"/>
    </row>
    <row r="71" spans="1:25">
      <c r="A71" s="33" t="s">
        <v>903</v>
      </c>
      <c r="B71" s="23"/>
      <c r="C71" s="23"/>
      <c r="D71" s="23"/>
      <c r="E71" s="23"/>
      <c r="F71" s="23"/>
      <c r="G71" s="23"/>
      <c r="H71" s="23"/>
      <c r="I71" s="23"/>
      <c r="J71" s="23"/>
      <c r="K71" s="305">
        <v>22000</v>
      </c>
      <c r="L71" s="23">
        <v>22000</v>
      </c>
      <c r="M71" s="23">
        <v>22000</v>
      </c>
      <c r="N71" s="23">
        <v>22000</v>
      </c>
      <c r="O71" s="305">
        <v>22000</v>
      </c>
      <c r="P71" s="23">
        <v>22000</v>
      </c>
      <c r="Q71" s="23">
        <v>22000</v>
      </c>
      <c r="R71" s="23">
        <v>22000</v>
      </c>
      <c r="S71" s="305">
        <v>22000</v>
      </c>
      <c r="T71" s="23">
        <v>22000</v>
      </c>
      <c r="U71" s="23">
        <v>22000</v>
      </c>
      <c r="V71" s="23">
        <v>22000</v>
      </c>
      <c r="W71" s="305">
        <v>22000</v>
      </c>
      <c r="X71" s="23">
        <v>22000</v>
      </c>
      <c r="Y71" s="59"/>
    </row>
    <row r="72" spans="1:25">
      <c r="A72" s="33" t="s">
        <v>904</v>
      </c>
      <c r="B72" s="23"/>
      <c r="C72" s="23"/>
      <c r="D72" s="23"/>
      <c r="E72" s="23"/>
      <c r="F72" s="23"/>
      <c r="G72" s="23"/>
      <c r="H72" s="23"/>
      <c r="I72" s="23"/>
      <c r="J72" s="23"/>
      <c r="K72" s="305">
        <v>55000</v>
      </c>
      <c r="L72" s="23">
        <v>51000</v>
      </c>
      <c r="M72" s="23">
        <v>51000</v>
      </c>
      <c r="N72" s="23">
        <v>51000</v>
      </c>
      <c r="O72" s="305">
        <v>51000</v>
      </c>
      <c r="P72" s="23">
        <v>51000</v>
      </c>
      <c r="Q72" s="23">
        <v>51000</v>
      </c>
      <c r="R72" s="23">
        <v>51000</v>
      </c>
      <c r="S72" s="305">
        <v>51000</v>
      </c>
      <c r="T72" s="23">
        <v>51000</v>
      </c>
      <c r="U72" s="23">
        <v>51000</v>
      </c>
      <c r="V72" s="23">
        <v>51000</v>
      </c>
      <c r="W72" s="305">
        <v>51000</v>
      </c>
      <c r="X72" s="23">
        <v>51000</v>
      </c>
      <c r="Y72" s="59"/>
    </row>
    <row r="73" spans="1:25">
      <c r="A73" s="33" t="s">
        <v>821</v>
      </c>
      <c r="B73" s="23"/>
      <c r="C73" s="23"/>
      <c r="D73" s="23"/>
      <c r="E73" s="23"/>
      <c r="F73" s="23"/>
      <c r="G73" s="23"/>
      <c r="H73" s="23"/>
      <c r="I73" s="23"/>
      <c r="J73" s="23"/>
      <c r="K73" s="305">
        <v>80627.187864644104</v>
      </c>
      <c r="L73" s="23">
        <v>13000</v>
      </c>
      <c r="M73" s="23">
        <v>40000</v>
      </c>
      <c r="N73" s="23">
        <v>58000</v>
      </c>
      <c r="O73" s="305">
        <v>77000</v>
      </c>
      <c r="P73" s="23">
        <v>79000</v>
      </c>
      <c r="Q73" s="23">
        <v>77000</v>
      </c>
      <c r="R73" s="23">
        <v>90000</v>
      </c>
      <c r="S73" s="305">
        <v>109000</v>
      </c>
      <c r="T73" s="23">
        <v>92000</v>
      </c>
      <c r="U73" s="23">
        <v>109000</v>
      </c>
      <c r="V73" s="23">
        <v>97000</v>
      </c>
      <c r="W73" s="305">
        <v>69000</v>
      </c>
      <c r="X73" s="23">
        <v>69000</v>
      </c>
      <c r="Y73" s="59"/>
    </row>
    <row r="74" spans="1:25">
      <c r="A74" s="33" t="s">
        <v>822</v>
      </c>
      <c r="B74" s="30"/>
      <c r="C74" s="51"/>
      <c r="D74" s="52"/>
      <c r="E74" s="52"/>
      <c r="F74" s="52"/>
      <c r="G74" s="52"/>
      <c r="H74" s="52"/>
      <c r="I74" s="52"/>
      <c r="J74" s="52"/>
      <c r="K74" s="303">
        <f t="shared" ref="K74:U74" si="13">SUM(K68:K73)</f>
        <v>1406962.3008443462</v>
      </c>
      <c r="L74" s="52">
        <f t="shared" si="13"/>
        <v>986000</v>
      </c>
      <c r="M74" s="52">
        <f t="shared" si="13"/>
        <v>1013000</v>
      </c>
      <c r="N74" s="52">
        <f t="shared" si="13"/>
        <v>1023000</v>
      </c>
      <c r="O74" s="303">
        <f t="shared" si="13"/>
        <v>1008000</v>
      </c>
      <c r="P74" s="52">
        <f t="shared" si="13"/>
        <v>992000</v>
      </c>
      <c r="Q74" s="52">
        <f t="shared" si="13"/>
        <v>992000</v>
      </c>
      <c r="R74" s="52">
        <f t="shared" si="13"/>
        <v>986000</v>
      </c>
      <c r="S74" s="303">
        <f t="shared" si="13"/>
        <v>941000</v>
      </c>
      <c r="T74" s="52">
        <f t="shared" si="13"/>
        <v>915000</v>
      </c>
      <c r="U74" s="52">
        <f t="shared" si="13"/>
        <v>929000</v>
      </c>
      <c r="V74" s="52">
        <f>SUM(V68:V73)</f>
        <v>890000</v>
      </c>
      <c r="W74" s="303">
        <f>SUM(W68:W73)</f>
        <v>732000</v>
      </c>
      <c r="X74" s="52">
        <f>SUM(X68:X73)</f>
        <v>714579</v>
      </c>
      <c r="Y74" s="59"/>
    </row>
    <row r="75" spans="1:25">
      <c r="A75" s="33"/>
      <c r="B75" s="21"/>
      <c r="C75" s="22"/>
      <c r="D75" s="23"/>
      <c r="E75" s="23"/>
      <c r="F75" s="23"/>
      <c r="G75" s="23"/>
      <c r="H75" s="23"/>
      <c r="I75" s="23"/>
      <c r="J75" s="23"/>
      <c r="K75" s="305"/>
      <c r="L75" s="23"/>
      <c r="M75" s="23"/>
      <c r="N75" s="23"/>
      <c r="O75" s="305"/>
      <c r="P75" s="21"/>
      <c r="Q75" s="21"/>
      <c r="R75" s="21"/>
      <c r="S75" s="207"/>
      <c r="T75" s="21"/>
      <c r="U75" s="21"/>
      <c r="V75" s="21"/>
      <c r="W75" s="207"/>
      <c r="X75" s="21"/>
      <c r="Y75" s="59"/>
    </row>
    <row r="76" spans="1:25">
      <c r="A76" s="29" t="s">
        <v>823</v>
      </c>
      <c r="B76" s="21"/>
      <c r="C76" s="22"/>
      <c r="D76" s="23"/>
      <c r="E76" s="23"/>
      <c r="F76" s="23"/>
      <c r="G76" s="23"/>
      <c r="H76" s="23"/>
      <c r="I76" s="23"/>
      <c r="J76" s="23"/>
      <c r="K76" s="305"/>
      <c r="L76" s="23"/>
      <c r="M76" s="23"/>
      <c r="N76" s="23"/>
      <c r="O76" s="305"/>
      <c r="P76" s="21"/>
      <c r="Q76" s="21"/>
      <c r="R76" s="21"/>
      <c r="S76" s="207"/>
      <c r="T76" s="21"/>
      <c r="U76" s="21"/>
      <c r="V76" s="21"/>
      <c r="W76" s="207"/>
      <c r="X76" s="21"/>
      <c r="Y76" s="59"/>
    </row>
    <row r="77" spans="1:25">
      <c r="A77" s="33" t="s">
        <v>824</v>
      </c>
      <c r="B77" s="21"/>
      <c r="C77" s="22"/>
      <c r="D77" s="23"/>
      <c r="E77" s="23"/>
      <c r="F77" s="23"/>
      <c r="G77" s="23"/>
      <c r="H77" s="23"/>
      <c r="I77" s="23"/>
      <c r="J77" s="23"/>
      <c r="K77" s="305"/>
      <c r="L77" s="23"/>
      <c r="M77" s="23"/>
      <c r="N77" s="23"/>
      <c r="O77" s="305"/>
      <c r="P77" s="21"/>
      <c r="Q77" s="21"/>
      <c r="R77" s="21"/>
      <c r="S77" s="207"/>
      <c r="T77" s="21"/>
      <c r="U77" s="21"/>
      <c r="V77" s="21"/>
      <c r="W77" s="207"/>
      <c r="X77" s="21"/>
      <c r="Y77" s="59"/>
    </row>
    <row r="78" spans="1:25">
      <c r="A78" s="33" t="s">
        <v>825</v>
      </c>
      <c r="B78" s="21"/>
      <c r="C78" s="22"/>
      <c r="D78" s="23"/>
      <c r="E78" s="23"/>
      <c r="F78" s="23"/>
      <c r="G78" s="23"/>
      <c r="H78" s="23"/>
      <c r="I78" s="23"/>
      <c r="J78" s="23"/>
      <c r="K78" s="305"/>
      <c r="L78" s="23"/>
      <c r="M78" s="23"/>
      <c r="N78" s="23"/>
      <c r="O78" s="305"/>
      <c r="P78" s="21"/>
      <c r="Q78" s="21"/>
      <c r="R78" s="21"/>
      <c r="S78" s="207"/>
      <c r="T78" s="21"/>
      <c r="U78" s="21"/>
      <c r="V78" s="21"/>
      <c r="W78" s="207"/>
      <c r="X78" s="21"/>
      <c r="Y78" s="59"/>
    </row>
    <row r="79" spans="1:25">
      <c r="A79" s="33" t="s">
        <v>792</v>
      </c>
      <c r="B79" s="21"/>
      <c r="C79" s="22"/>
      <c r="D79" s="23"/>
      <c r="E79" s="23"/>
      <c r="F79" s="23"/>
      <c r="G79" s="23"/>
      <c r="H79" s="23"/>
      <c r="I79" s="23"/>
      <c r="J79" s="23"/>
      <c r="K79" s="305"/>
      <c r="L79" s="23"/>
      <c r="M79" s="23"/>
      <c r="N79" s="23"/>
      <c r="O79" s="305"/>
      <c r="P79" s="22"/>
      <c r="Q79" s="22"/>
      <c r="R79" s="22"/>
      <c r="S79" s="308"/>
      <c r="T79" s="22"/>
      <c r="U79" s="21"/>
      <c r="V79" s="21"/>
      <c r="W79" s="207"/>
      <c r="X79" s="21"/>
      <c r="Y79" s="59"/>
    </row>
    <row r="80" spans="1:25">
      <c r="A80" s="33" t="s">
        <v>826</v>
      </c>
      <c r="B80" s="30"/>
      <c r="C80" s="51"/>
      <c r="D80" s="52"/>
      <c r="E80" s="52"/>
      <c r="F80" s="52"/>
      <c r="G80" s="52"/>
      <c r="H80" s="52"/>
      <c r="I80" s="53"/>
      <c r="J80" s="53"/>
      <c r="K80" s="309">
        <v>20518236.10013175</v>
      </c>
      <c r="L80" s="53">
        <v>20608000</v>
      </c>
      <c r="M80" s="53">
        <v>20721000</v>
      </c>
      <c r="N80" s="53">
        <v>20805000</v>
      </c>
      <c r="O80" s="309">
        <v>20820000</v>
      </c>
      <c r="P80" s="53">
        <v>20880000</v>
      </c>
      <c r="Q80" s="53">
        <v>20833000</v>
      </c>
      <c r="R80" s="53">
        <v>20802000</v>
      </c>
      <c r="S80" s="309">
        <v>20780000</v>
      </c>
      <c r="T80" s="53">
        <v>20792323.345351413</v>
      </c>
      <c r="U80" s="53">
        <v>21031000</v>
      </c>
      <c r="V80" s="53">
        <v>21256556.831775367</v>
      </c>
      <c r="W80" s="309">
        <v>21202132.655537054</v>
      </c>
      <c r="X80" s="336">
        <f>+W80-X221*1000</f>
        <v>21349132.655537054</v>
      </c>
      <c r="Y80" s="59"/>
    </row>
    <row r="81" spans="1:26">
      <c r="A81" s="33" t="s">
        <v>827</v>
      </c>
      <c r="B81" s="21"/>
      <c r="C81" s="22"/>
      <c r="D81" s="23"/>
      <c r="E81" s="23"/>
      <c r="F81" s="23"/>
      <c r="G81" s="23"/>
      <c r="H81" s="23"/>
      <c r="I81" s="49"/>
      <c r="J81" s="49"/>
      <c r="K81" s="302">
        <v>-12423236.100131754</v>
      </c>
      <c r="L81" s="49">
        <v>-12561000</v>
      </c>
      <c r="M81" s="49">
        <v>-12667000</v>
      </c>
      <c r="N81" s="49">
        <v>-12817000</v>
      </c>
      <c r="O81" s="302">
        <v>-12910000</v>
      </c>
      <c r="P81" s="49">
        <v>-13043000</v>
      </c>
      <c r="Q81" s="49">
        <v>-13072000</v>
      </c>
      <c r="R81" s="49">
        <v>-13054000</v>
      </c>
      <c r="S81" s="302">
        <v>-13121000</v>
      </c>
      <c r="T81" s="49">
        <v>-13203323.345351411</v>
      </c>
      <c r="U81" s="49">
        <v>-13523000</v>
      </c>
      <c r="V81" s="49">
        <v>-13845556.831775367</v>
      </c>
      <c r="W81" s="302">
        <v>-13951132.655537054</v>
      </c>
      <c r="X81" s="331">
        <f>+W81-'IS Inputs '!Z52</f>
        <v>-14193586.667287862</v>
      </c>
      <c r="Y81" s="59"/>
    </row>
    <row r="82" spans="1:26">
      <c r="A82" s="33" t="s">
        <v>828</v>
      </c>
      <c r="B82" s="30"/>
      <c r="C82" s="51"/>
      <c r="D82" s="52"/>
      <c r="E82" s="52"/>
      <c r="F82" s="52"/>
      <c r="G82" s="52"/>
      <c r="H82" s="52"/>
      <c r="I82" s="52"/>
      <c r="J82" s="52"/>
      <c r="K82" s="303">
        <f t="shared" ref="K82:U82" si="14">SUM(K80:K81)</f>
        <v>8094999.9999999963</v>
      </c>
      <c r="L82" s="52">
        <f t="shared" si="14"/>
        <v>8047000</v>
      </c>
      <c r="M82" s="52">
        <f t="shared" si="14"/>
        <v>8054000</v>
      </c>
      <c r="N82" s="52">
        <f t="shared" si="14"/>
        <v>7988000</v>
      </c>
      <c r="O82" s="303">
        <f t="shared" si="14"/>
        <v>7910000</v>
      </c>
      <c r="P82" s="52">
        <f t="shared" si="14"/>
        <v>7837000</v>
      </c>
      <c r="Q82" s="52">
        <f t="shared" si="14"/>
        <v>7761000</v>
      </c>
      <c r="R82" s="52">
        <f t="shared" si="14"/>
        <v>7748000</v>
      </c>
      <c r="S82" s="303">
        <f t="shared" si="14"/>
        <v>7659000</v>
      </c>
      <c r="T82" s="52">
        <f t="shared" si="14"/>
        <v>7589000.0000000019</v>
      </c>
      <c r="U82" s="52">
        <f t="shared" si="14"/>
        <v>7508000</v>
      </c>
      <c r="V82" s="52">
        <f>SUM(V80:V81)</f>
        <v>7411000</v>
      </c>
      <c r="W82" s="303">
        <f>SUM(W80:W81)</f>
        <v>7251000</v>
      </c>
      <c r="X82" s="52">
        <f>SUM(X80:X81)</f>
        <v>7155545.988249192</v>
      </c>
      <c r="Y82" s="59"/>
    </row>
    <row r="83" spans="1:26">
      <c r="A83" s="33"/>
      <c r="B83" s="21"/>
      <c r="C83" s="22"/>
      <c r="D83" s="23"/>
      <c r="E83" s="23"/>
      <c r="F83" s="23"/>
      <c r="G83" s="23"/>
      <c r="H83" s="23"/>
      <c r="I83" s="23"/>
      <c r="J83" s="23"/>
      <c r="K83" s="305"/>
      <c r="L83" s="23"/>
      <c r="M83" s="23"/>
      <c r="N83" s="23"/>
      <c r="O83" s="305"/>
      <c r="P83" s="21"/>
      <c r="Q83" s="21"/>
      <c r="R83" s="21"/>
      <c r="S83" s="207"/>
      <c r="T83" s="21"/>
      <c r="U83" s="21"/>
      <c r="V83" s="21"/>
      <c r="W83" s="207"/>
      <c r="X83" s="21"/>
      <c r="Y83" s="59"/>
    </row>
    <row r="84" spans="1:26">
      <c r="A84" s="29" t="s">
        <v>829</v>
      </c>
      <c r="B84" s="21"/>
      <c r="C84" s="22"/>
      <c r="D84" s="23"/>
      <c r="E84" s="23"/>
      <c r="F84" s="23"/>
      <c r="G84" s="23"/>
      <c r="H84" s="23"/>
      <c r="I84" s="23"/>
      <c r="J84" s="23"/>
      <c r="K84" s="305"/>
      <c r="L84" s="23"/>
      <c r="M84" s="23"/>
      <c r="N84" s="23"/>
      <c r="O84" s="305"/>
      <c r="P84" s="21"/>
      <c r="Q84" s="21"/>
      <c r="R84" s="21"/>
      <c r="S84" s="207"/>
      <c r="T84" s="21"/>
      <c r="U84" s="21"/>
      <c r="V84" s="21"/>
      <c r="W84" s="207"/>
      <c r="X84" s="21"/>
      <c r="Y84" s="59"/>
    </row>
    <row r="85" spans="1:26">
      <c r="A85" s="33" t="s">
        <v>900</v>
      </c>
      <c r="B85" s="21"/>
      <c r="C85" s="22"/>
      <c r="D85" s="23"/>
      <c r="E85" s="23"/>
      <c r="F85" s="23"/>
      <c r="G85" s="23"/>
      <c r="H85" s="23"/>
      <c r="I85" s="49"/>
      <c r="J85" s="49"/>
      <c r="K85" s="302">
        <v>27000</v>
      </c>
      <c r="L85" s="49">
        <v>27000</v>
      </c>
      <c r="M85" s="49">
        <v>27000</v>
      </c>
      <c r="N85" s="49">
        <v>27000</v>
      </c>
      <c r="O85" s="302">
        <v>27000</v>
      </c>
      <c r="P85" s="49">
        <v>27000</v>
      </c>
      <c r="Q85" s="49">
        <v>27000</v>
      </c>
      <c r="R85" s="49">
        <v>27000</v>
      </c>
      <c r="S85" s="302">
        <v>27000</v>
      </c>
      <c r="T85" s="49">
        <v>27000</v>
      </c>
      <c r="U85" s="49">
        <v>27000</v>
      </c>
      <c r="V85" s="49">
        <v>27000</v>
      </c>
      <c r="W85" s="302">
        <v>25000</v>
      </c>
      <c r="X85" s="335">
        <f>+W85</f>
        <v>25000</v>
      </c>
      <c r="Y85" s="59"/>
    </row>
    <row r="86" spans="1:26">
      <c r="A86" s="33" t="s">
        <v>905</v>
      </c>
      <c r="B86" s="21"/>
      <c r="C86" s="22"/>
      <c r="D86" s="23"/>
      <c r="E86" s="23"/>
      <c r="F86" s="23"/>
      <c r="G86" s="23"/>
      <c r="H86" s="23"/>
      <c r="I86" s="49"/>
      <c r="J86" s="49"/>
      <c r="K86" s="302">
        <v>219000</v>
      </c>
      <c r="L86" s="49">
        <v>0</v>
      </c>
      <c r="M86" s="49">
        <v>781000</v>
      </c>
      <c r="N86" s="49">
        <v>0</v>
      </c>
      <c r="O86" s="302">
        <v>0</v>
      </c>
      <c r="P86" s="49">
        <v>0</v>
      </c>
      <c r="Q86" s="49">
        <v>58000</v>
      </c>
      <c r="R86" s="49">
        <v>108000</v>
      </c>
      <c r="S86" s="302">
        <v>126000</v>
      </c>
      <c r="T86" s="49">
        <v>130000</v>
      </c>
      <c r="U86" s="49">
        <v>186000</v>
      </c>
      <c r="V86" s="49">
        <v>0</v>
      </c>
      <c r="W86" s="302">
        <v>0</v>
      </c>
      <c r="X86" s="49"/>
      <c r="Y86" s="59"/>
    </row>
    <row r="87" spans="1:26">
      <c r="A87" s="33" t="s">
        <v>906</v>
      </c>
      <c r="B87" s="30"/>
      <c r="C87" s="51"/>
      <c r="D87" s="52"/>
      <c r="E87" s="52"/>
      <c r="F87" s="52"/>
      <c r="G87" s="52"/>
      <c r="H87" s="52"/>
      <c r="I87" s="52"/>
      <c r="J87" s="52"/>
      <c r="K87" s="303">
        <v>-117540.84014002334</v>
      </c>
      <c r="L87" s="52">
        <v>119000</v>
      </c>
      <c r="M87" s="52">
        <v>43000</v>
      </c>
      <c r="N87" s="52">
        <v>53000</v>
      </c>
      <c r="O87" s="303">
        <v>38000</v>
      </c>
      <c r="P87" s="52">
        <v>35000</v>
      </c>
      <c r="Q87" s="52">
        <v>33000</v>
      </c>
      <c r="R87" s="52">
        <v>32000</v>
      </c>
      <c r="S87" s="303">
        <v>35000</v>
      </c>
      <c r="T87" s="52">
        <v>45000</v>
      </c>
      <c r="U87" s="52">
        <v>44000</v>
      </c>
      <c r="V87" s="52">
        <v>43000</v>
      </c>
      <c r="W87" s="303">
        <v>43000</v>
      </c>
      <c r="X87" s="335">
        <f>+W87</f>
        <v>43000</v>
      </c>
      <c r="Y87" s="59"/>
    </row>
    <row r="88" spans="1:26">
      <c r="A88" s="29" t="s">
        <v>907</v>
      </c>
      <c r="B88" s="21"/>
      <c r="C88" s="22"/>
      <c r="D88" s="23"/>
      <c r="E88" s="23"/>
      <c r="F88" s="23"/>
      <c r="G88" s="23"/>
      <c r="H88" s="23"/>
      <c r="I88" s="23"/>
      <c r="J88" s="23"/>
      <c r="K88" s="305">
        <f t="shared" ref="K88:T88" si="15">SUM(K85:K87)</f>
        <v>128459.15985997666</v>
      </c>
      <c r="L88" s="23">
        <f t="shared" si="15"/>
        <v>146000</v>
      </c>
      <c r="M88" s="23">
        <f t="shared" si="15"/>
        <v>851000</v>
      </c>
      <c r="N88" s="23">
        <f t="shared" si="15"/>
        <v>80000</v>
      </c>
      <c r="O88" s="305">
        <f t="shared" si="15"/>
        <v>65000</v>
      </c>
      <c r="P88" s="23">
        <f t="shared" si="15"/>
        <v>62000</v>
      </c>
      <c r="Q88" s="23">
        <f t="shared" si="15"/>
        <v>118000</v>
      </c>
      <c r="R88" s="23">
        <f t="shared" si="15"/>
        <v>167000</v>
      </c>
      <c r="S88" s="305">
        <f t="shared" si="15"/>
        <v>188000</v>
      </c>
      <c r="T88" s="23">
        <f t="shared" si="15"/>
        <v>202000</v>
      </c>
      <c r="U88" s="23">
        <f>SUM(U85:U87)</f>
        <v>257000</v>
      </c>
      <c r="V88" s="23">
        <f>SUM(V85:V87)</f>
        <v>70000</v>
      </c>
      <c r="W88" s="305">
        <f>SUM(W85:W87)</f>
        <v>68000</v>
      </c>
      <c r="X88" s="23">
        <f>SUM(X85:X87)</f>
        <v>68000</v>
      </c>
      <c r="Y88" s="59"/>
    </row>
    <row r="89" spans="1:26">
      <c r="A89" s="29" t="s">
        <v>833</v>
      </c>
      <c r="B89" s="31"/>
      <c r="C89" s="117"/>
      <c r="D89" s="54"/>
      <c r="E89" s="54"/>
      <c r="F89" s="54"/>
      <c r="G89" s="54"/>
      <c r="H89" s="54"/>
      <c r="I89" s="54"/>
      <c r="J89" s="54"/>
      <c r="K89" s="304">
        <f t="shared" ref="K89:U89" si="16">SUM(K88+K82+K74)</f>
        <v>9630421.4607043192</v>
      </c>
      <c r="L89" s="54">
        <f t="shared" si="16"/>
        <v>9179000</v>
      </c>
      <c r="M89" s="54">
        <f t="shared" si="16"/>
        <v>9918000</v>
      </c>
      <c r="N89" s="54">
        <f t="shared" si="16"/>
        <v>9091000</v>
      </c>
      <c r="O89" s="304">
        <f t="shared" si="16"/>
        <v>8983000</v>
      </c>
      <c r="P89" s="54">
        <f t="shared" si="16"/>
        <v>8891000</v>
      </c>
      <c r="Q89" s="54">
        <f t="shared" si="16"/>
        <v>8871000</v>
      </c>
      <c r="R89" s="54">
        <f t="shared" si="16"/>
        <v>8901000</v>
      </c>
      <c r="S89" s="304">
        <f t="shared" si="16"/>
        <v>8788000</v>
      </c>
      <c r="T89" s="54">
        <f t="shared" si="16"/>
        <v>8706000.0000000019</v>
      </c>
      <c r="U89" s="54">
        <f t="shared" si="16"/>
        <v>8694000</v>
      </c>
      <c r="V89" s="54">
        <f>SUM(V88+V82+V74)</f>
        <v>8371000</v>
      </c>
      <c r="W89" s="304">
        <f>SUM(W88+W82+W74)</f>
        <v>8051000</v>
      </c>
      <c r="X89" s="54">
        <f>SUM(X88+X82+X74)</f>
        <v>7938124.988249192</v>
      </c>
      <c r="Y89" s="59"/>
    </row>
    <row r="90" spans="1:26">
      <c r="A90" s="32" t="s">
        <v>793</v>
      </c>
      <c r="B90" s="30"/>
      <c r="C90" s="51"/>
      <c r="D90" s="52"/>
      <c r="E90" s="52"/>
      <c r="F90" s="52"/>
      <c r="G90" s="52"/>
      <c r="H90" s="52"/>
      <c r="I90" s="52"/>
      <c r="J90" s="52"/>
      <c r="K90" s="303"/>
      <c r="L90" s="52"/>
      <c r="M90" s="52"/>
      <c r="N90" s="52"/>
      <c r="O90" s="303"/>
      <c r="P90" s="21"/>
      <c r="Q90" s="21"/>
      <c r="R90" s="21"/>
      <c r="S90" s="207"/>
      <c r="T90" s="21"/>
      <c r="U90" s="21"/>
      <c r="V90" s="21"/>
      <c r="W90" s="207"/>
      <c r="X90" s="21"/>
      <c r="Y90" s="59"/>
    </row>
    <row r="91" spans="1:26">
      <c r="A91" s="33"/>
      <c r="B91" s="30"/>
      <c r="C91" s="30"/>
      <c r="D91" s="30"/>
      <c r="E91" s="38"/>
      <c r="F91" s="38"/>
      <c r="G91" s="21"/>
      <c r="H91" s="23"/>
      <c r="I91" s="23"/>
      <c r="J91" s="23"/>
      <c r="K91" s="305"/>
      <c r="L91" s="23"/>
      <c r="M91" s="23"/>
      <c r="N91" s="23"/>
      <c r="O91" s="305"/>
      <c r="P91" s="21"/>
      <c r="Q91" s="21"/>
      <c r="R91" s="21"/>
      <c r="S91" s="207"/>
      <c r="T91" s="21"/>
      <c r="U91" s="21"/>
      <c r="V91" s="21"/>
      <c r="W91" s="207"/>
      <c r="X91" s="21"/>
    </row>
    <row r="92" spans="1:26">
      <c r="A92" s="45" t="s">
        <v>834</v>
      </c>
      <c r="B92" s="35"/>
      <c r="C92" s="35"/>
      <c r="D92" s="35"/>
      <c r="E92" s="39"/>
      <c r="F92" s="39"/>
      <c r="G92" s="46"/>
      <c r="H92" s="47"/>
      <c r="I92" s="47"/>
      <c r="J92" s="47"/>
      <c r="K92" s="301"/>
      <c r="L92" s="47"/>
      <c r="M92" s="47"/>
      <c r="N92" s="47"/>
      <c r="O92" s="301"/>
      <c r="P92" s="47"/>
      <c r="Q92" s="47"/>
      <c r="R92" s="47"/>
      <c r="S92" s="301"/>
      <c r="T92" s="47"/>
      <c r="U92" s="47"/>
      <c r="V92" s="47"/>
      <c r="W92" s="301"/>
      <c r="X92" s="47"/>
      <c r="Z92" s="59"/>
    </row>
    <row r="93" spans="1:26">
      <c r="A93" s="33"/>
      <c r="B93" s="30"/>
      <c r="C93" s="30"/>
      <c r="D93" s="30"/>
      <c r="E93" s="38"/>
      <c r="F93" s="38"/>
      <c r="G93" s="21"/>
      <c r="H93" s="23"/>
      <c r="I93" s="23"/>
      <c r="J93" s="23"/>
      <c r="K93" s="305"/>
      <c r="L93" s="23"/>
      <c r="M93" s="23"/>
      <c r="N93" s="23"/>
      <c r="O93" s="305"/>
      <c r="P93" s="21"/>
      <c r="Q93" s="21"/>
      <c r="R93" s="21"/>
      <c r="S93" s="207"/>
      <c r="T93" s="21"/>
      <c r="U93" s="21"/>
      <c r="V93" s="21"/>
      <c r="W93" s="207"/>
      <c r="X93" s="21"/>
    </row>
    <row r="94" spans="1:26">
      <c r="A94" s="29" t="s">
        <v>835</v>
      </c>
      <c r="B94" s="30"/>
      <c r="C94" s="30"/>
      <c r="D94" s="30"/>
      <c r="E94" s="38"/>
      <c r="F94" s="38"/>
      <c r="G94" s="21"/>
      <c r="H94" s="23"/>
      <c r="I94" s="23"/>
      <c r="J94" s="23"/>
      <c r="K94" s="305"/>
      <c r="L94" s="23"/>
      <c r="M94" s="23"/>
      <c r="N94" s="23"/>
      <c r="O94" s="305"/>
      <c r="P94" s="21"/>
      <c r="Q94" s="21"/>
      <c r="R94" s="21"/>
      <c r="S94" s="207"/>
      <c r="T94" s="21"/>
      <c r="U94" s="21"/>
      <c r="V94" s="21"/>
      <c r="W94" s="207"/>
      <c r="X94" s="21"/>
    </row>
    <row r="95" spans="1:26">
      <c r="A95" s="33" t="s">
        <v>836</v>
      </c>
      <c r="B95" s="30"/>
      <c r="C95" s="30"/>
      <c r="D95" s="30"/>
      <c r="E95" s="38"/>
      <c r="F95" s="38"/>
      <c r="G95" s="38"/>
      <c r="H95" s="23"/>
      <c r="I95" s="49"/>
      <c r="J95" s="49"/>
      <c r="K95" s="302">
        <v>2000</v>
      </c>
      <c r="L95" s="49">
        <v>2000</v>
      </c>
      <c r="M95" s="49">
        <v>37000</v>
      </c>
      <c r="N95" s="49">
        <v>37000</v>
      </c>
      <c r="O95" s="302">
        <v>37000</v>
      </c>
      <c r="P95" s="49">
        <v>54000</v>
      </c>
      <c r="Q95" s="49">
        <v>99000</v>
      </c>
      <c r="R95" s="49">
        <v>99000</v>
      </c>
      <c r="S95" s="302">
        <v>99000</v>
      </c>
      <c r="T95" s="49">
        <v>82000</v>
      </c>
      <c r="U95" s="49">
        <v>2000</v>
      </c>
      <c r="V95" s="49">
        <v>2000</v>
      </c>
      <c r="W95" s="302">
        <v>2000</v>
      </c>
      <c r="X95" s="335">
        <f>+W95</f>
        <v>2000</v>
      </c>
    </row>
    <row r="96" spans="1:26">
      <c r="A96" s="33" t="s">
        <v>837</v>
      </c>
      <c r="B96" s="30"/>
      <c r="C96" s="30"/>
      <c r="D96" s="30"/>
      <c r="E96" s="23"/>
      <c r="F96" s="23"/>
      <c r="G96" s="23"/>
      <c r="H96" s="23"/>
      <c r="I96" s="49"/>
      <c r="J96" s="49"/>
      <c r="K96" s="302">
        <v>520150.64420218038</v>
      </c>
      <c r="L96" s="49">
        <v>437000</v>
      </c>
      <c r="M96" s="49">
        <v>495000</v>
      </c>
      <c r="N96" s="49">
        <v>503000</v>
      </c>
      <c r="O96" s="302">
        <v>447000</v>
      </c>
      <c r="P96" s="49">
        <v>436000</v>
      </c>
      <c r="Q96" s="49">
        <v>407000</v>
      </c>
      <c r="R96" s="49">
        <v>387000</v>
      </c>
      <c r="S96" s="302">
        <v>404000</v>
      </c>
      <c r="T96" s="49">
        <v>337000</v>
      </c>
      <c r="U96" s="49">
        <v>303000</v>
      </c>
      <c r="V96" s="49">
        <v>308000</v>
      </c>
      <c r="W96" s="302">
        <v>245000</v>
      </c>
      <c r="X96" s="335">
        <f>+W96</f>
        <v>245000</v>
      </c>
    </row>
    <row r="97" spans="1:24">
      <c r="A97" s="33" t="s">
        <v>908</v>
      </c>
      <c r="B97" s="30"/>
      <c r="C97" s="30"/>
      <c r="D97" s="30"/>
      <c r="E97" s="23"/>
      <c r="F97" s="23"/>
      <c r="G97" s="23"/>
      <c r="H97" s="23"/>
      <c r="I97" s="49"/>
      <c r="J97" s="49"/>
      <c r="K97" s="302">
        <v>157621.40733399405</v>
      </c>
      <c r="L97" s="49">
        <v>0</v>
      </c>
      <c r="M97" s="49">
        <v>169000</v>
      </c>
      <c r="N97" s="49">
        <v>198000</v>
      </c>
      <c r="O97" s="302">
        <v>179000</v>
      </c>
      <c r="P97" s="49">
        <v>159000</v>
      </c>
      <c r="Q97" s="49">
        <v>183000</v>
      </c>
      <c r="R97" s="49">
        <v>208000</v>
      </c>
      <c r="S97" s="302">
        <v>140000</v>
      </c>
      <c r="T97" s="49">
        <v>146000</v>
      </c>
      <c r="U97" s="49">
        <v>218000</v>
      </c>
      <c r="V97" s="49">
        <v>0</v>
      </c>
      <c r="W97" s="302">
        <v>0</v>
      </c>
      <c r="X97" s="49"/>
    </row>
    <row r="98" spans="1:24">
      <c r="A98" s="33" t="s">
        <v>909</v>
      </c>
      <c r="B98" s="30"/>
      <c r="C98" s="30"/>
      <c r="D98" s="30"/>
      <c r="E98" s="23"/>
      <c r="F98" s="23"/>
      <c r="G98" s="23"/>
      <c r="H98" s="23"/>
      <c r="I98" s="49"/>
      <c r="J98" s="49"/>
      <c r="K98" s="302">
        <v>104000</v>
      </c>
      <c r="L98" s="49">
        <v>193000</v>
      </c>
      <c r="M98" s="49">
        <v>181000</v>
      </c>
      <c r="N98" s="49">
        <v>164000</v>
      </c>
      <c r="O98" s="302">
        <v>242000</v>
      </c>
      <c r="P98" s="49">
        <v>146000</v>
      </c>
      <c r="Q98" s="49">
        <v>169000</v>
      </c>
      <c r="R98" s="49">
        <v>27000</v>
      </c>
      <c r="S98" s="302">
        <v>153000</v>
      </c>
      <c r="T98" s="49">
        <v>68000</v>
      </c>
      <c r="U98" s="49">
        <v>40000</v>
      </c>
      <c r="V98" s="49">
        <v>78000</v>
      </c>
      <c r="W98" s="302">
        <v>86000</v>
      </c>
      <c r="X98" s="335">
        <f>+W98</f>
        <v>86000</v>
      </c>
    </row>
    <row r="99" spans="1:24">
      <c r="A99" s="33" t="s">
        <v>910</v>
      </c>
      <c r="B99" s="30"/>
      <c r="C99" s="30"/>
      <c r="D99" s="30"/>
      <c r="E99" s="23"/>
      <c r="F99" s="23"/>
      <c r="G99" s="23"/>
      <c r="H99" s="23"/>
      <c r="I99" s="49"/>
      <c r="J99" s="49"/>
      <c r="K99" s="302">
        <v>0</v>
      </c>
      <c r="L99" s="49">
        <v>0</v>
      </c>
      <c r="M99" s="49">
        <v>0</v>
      </c>
      <c r="N99" s="49">
        <v>0</v>
      </c>
      <c r="O99" s="302">
        <v>0</v>
      </c>
      <c r="P99" s="49">
        <v>0</v>
      </c>
      <c r="Q99" s="49">
        <v>0</v>
      </c>
      <c r="R99" s="49">
        <v>0</v>
      </c>
      <c r="S99" s="302">
        <v>0</v>
      </c>
      <c r="T99" s="49">
        <v>0</v>
      </c>
      <c r="U99" s="49">
        <v>0</v>
      </c>
      <c r="V99" s="49">
        <v>0</v>
      </c>
      <c r="W99" s="302">
        <v>0</v>
      </c>
      <c r="X99" s="49"/>
    </row>
    <row r="100" spans="1:24">
      <c r="A100" s="33" t="s">
        <v>911</v>
      </c>
      <c r="B100" s="30"/>
      <c r="C100" s="30"/>
      <c r="D100" s="30"/>
      <c r="E100" s="30"/>
      <c r="F100" s="30"/>
      <c r="G100" s="30"/>
      <c r="H100" s="30"/>
      <c r="I100" s="49"/>
      <c r="J100" s="49"/>
      <c r="K100" s="302">
        <v>116245.78790882061</v>
      </c>
      <c r="L100" s="49">
        <v>153000</v>
      </c>
      <c r="M100" s="49">
        <v>0</v>
      </c>
      <c r="N100" s="49">
        <v>0</v>
      </c>
      <c r="O100" s="302">
        <v>0</v>
      </c>
      <c r="P100" s="49">
        <v>0</v>
      </c>
      <c r="Q100" s="49">
        <v>0</v>
      </c>
      <c r="R100" s="49">
        <v>0</v>
      </c>
      <c r="S100" s="302">
        <v>0</v>
      </c>
      <c r="T100" s="49">
        <v>0</v>
      </c>
      <c r="U100" s="49">
        <v>0</v>
      </c>
      <c r="V100" s="49">
        <v>0</v>
      </c>
      <c r="W100" s="302">
        <v>0</v>
      </c>
      <c r="X100" s="49"/>
    </row>
    <row r="101" spans="1:24">
      <c r="A101" s="33" t="s">
        <v>912</v>
      </c>
      <c r="B101" s="30"/>
      <c r="C101" s="30"/>
      <c r="D101" s="30"/>
      <c r="E101" s="38"/>
      <c r="F101" s="38"/>
      <c r="G101" s="21"/>
      <c r="H101" s="23"/>
      <c r="I101" s="49"/>
      <c r="J101" s="49"/>
      <c r="K101" s="302">
        <v>55000</v>
      </c>
      <c r="L101" s="49">
        <v>213000</v>
      </c>
      <c r="M101" s="49">
        <v>212000</v>
      </c>
      <c r="N101" s="49">
        <v>211000</v>
      </c>
      <c r="O101" s="302">
        <v>211000</v>
      </c>
      <c r="P101" s="49">
        <v>207000</v>
      </c>
      <c r="Q101" s="49">
        <v>206000</v>
      </c>
      <c r="R101" s="49">
        <v>202000</v>
      </c>
      <c r="S101" s="302">
        <v>200000</v>
      </c>
      <c r="T101" s="49">
        <v>189000</v>
      </c>
      <c r="U101" s="49">
        <v>190000</v>
      </c>
      <c r="V101" s="49">
        <v>184000</v>
      </c>
      <c r="W101" s="302">
        <v>175000</v>
      </c>
      <c r="X101" s="335">
        <f>+W101</f>
        <v>175000</v>
      </c>
    </row>
    <row r="102" spans="1:24">
      <c r="A102" s="33" t="s">
        <v>913</v>
      </c>
      <c r="B102" s="30"/>
      <c r="C102" s="30"/>
      <c r="D102" s="30"/>
      <c r="E102" s="38"/>
      <c r="F102" s="38"/>
      <c r="G102" s="38"/>
      <c r="H102" s="23"/>
      <c r="I102" s="49"/>
      <c r="J102" s="49"/>
      <c r="K102" s="302">
        <v>35000</v>
      </c>
      <c r="L102" s="49">
        <v>71000</v>
      </c>
      <c r="M102" s="49">
        <v>147000</v>
      </c>
      <c r="N102" s="49">
        <v>52000</v>
      </c>
      <c r="O102" s="302">
        <v>126000</v>
      </c>
      <c r="P102" s="49">
        <v>55000</v>
      </c>
      <c r="Q102" s="49">
        <v>136000</v>
      </c>
      <c r="R102" s="49">
        <v>56000</v>
      </c>
      <c r="S102" s="302">
        <v>136000</v>
      </c>
      <c r="T102" s="49">
        <v>59000</v>
      </c>
      <c r="U102" s="49">
        <v>137000</v>
      </c>
      <c r="V102" s="49">
        <v>58000</v>
      </c>
      <c r="W102" s="302">
        <v>139000</v>
      </c>
      <c r="X102" s="335">
        <f>+W102</f>
        <v>139000</v>
      </c>
    </row>
    <row r="103" spans="1:24">
      <c r="A103" s="33" t="s">
        <v>914</v>
      </c>
      <c r="B103" s="30"/>
      <c r="C103" s="30"/>
      <c r="D103" s="30"/>
      <c r="E103" s="38"/>
      <c r="F103" s="38"/>
      <c r="G103" s="38"/>
      <c r="H103" s="23"/>
      <c r="I103" s="49"/>
      <c r="J103" s="49"/>
      <c r="K103" s="302">
        <v>152695.73835480673</v>
      </c>
      <c r="L103" s="49">
        <v>102000</v>
      </c>
      <c r="M103" s="49">
        <v>101000</v>
      </c>
      <c r="N103" s="49">
        <v>99000</v>
      </c>
      <c r="O103" s="302">
        <v>175000</v>
      </c>
      <c r="P103" s="49">
        <v>108000</v>
      </c>
      <c r="Q103" s="49">
        <v>131000</v>
      </c>
      <c r="R103" s="49">
        <v>219000</v>
      </c>
      <c r="S103" s="302">
        <v>197000</v>
      </c>
      <c r="T103" s="49">
        <v>199000</v>
      </c>
      <c r="U103" s="49">
        <v>185000</v>
      </c>
      <c r="V103" s="49">
        <v>266000</v>
      </c>
      <c r="W103" s="302">
        <v>248000</v>
      </c>
      <c r="X103" s="335">
        <f>+W103</f>
        <v>248000</v>
      </c>
    </row>
    <row r="104" spans="1:24">
      <c r="A104" s="29" t="s">
        <v>915</v>
      </c>
      <c r="B104" s="30"/>
      <c r="C104" s="30"/>
      <c r="D104" s="30"/>
      <c r="E104" s="38"/>
      <c r="F104" s="38"/>
      <c r="G104" s="21"/>
      <c r="H104" s="23"/>
      <c r="I104" s="41"/>
      <c r="J104" s="41"/>
      <c r="K104" s="310">
        <f t="shared" ref="K104:U104" si="17">SUM(K95:K103)</f>
        <v>1142713.5777998019</v>
      </c>
      <c r="L104" s="41">
        <f t="shared" si="17"/>
        <v>1171000</v>
      </c>
      <c r="M104" s="41">
        <f t="shared" si="17"/>
        <v>1342000</v>
      </c>
      <c r="N104" s="41">
        <f t="shared" si="17"/>
        <v>1264000</v>
      </c>
      <c r="O104" s="310">
        <f t="shared" si="17"/>
        <v>1417000</v>
      </c>
      <c r="P104" s="41">
        <f t="shared" si="17"/>
        <v>1165000</v>
      </c>
      <c r="Q104" s="41">
        <f t="shared" si="17"/>
        <v>1331000</v>
      </c>
      <c r="R104" s="41">
        <f t="shared" si="17"/>
        <v>1198000</v>
      </c>
      <c r="S104" s="310">
        <f t="shared" si="17"/>
        <v>1329000</v>
      </c>
      <c r="T104" s="41">
        <f t="shared" si="17"/>
        <v>1080000</v>
      </c>
      <c r="U104" s="41">
        <f t="shared" si="17"/>
        <v>1075000</v>
      </c>
      <c r="V104" s="41">
        <f>SUM(V95:V103)</f>
        <v>896000</v>
      </c>
      <c r="W104" s="310">
        <f>SUM(W95:W103)</f>
        <v>895000</v>
      </c>
      <c r="X104" s="41">
        <f>SUM(X95:X103)</f>
        <v>895000</v>
      </c>
    </row>
    <row r="105" spans="1:24">
      <c r="A105" s="29"/>
      <c r="B105" s="30"/>
      <c r="C105" s="30"/>
      <c r="D105" s="30"/>
      <c r="E105" s="38"/>
      <c r="F105" s="38"/>
      <c r="G105" s="21"/>
      <c r="H105" s="23"/>
      <c r="I105" s="23"/>
      <c r="J105" s="23"/>
      <c r="K105" s="305"/>
      <c r="L105" s="23"/>
      <c r="M105" s="23"/>
      <c r="N105" s="23"/>
      <c r="O105" s="305"/>
      <c r="P105" s="23"/>
      <c r="Q105" s="23"/>
      <c r="R105" s="23"/>
      <c r="S105" s="305"/>
      <c r="T105" s="23"/>
      <c r="U105" s="23"/>
      <c r="V105" s="23"/>
      <c r="W105" s="305"/>
      <c r="X105" s="23"/>
    </row>
    <row r="106" spans="1:24">
      <c r="A106" s="33" t="s">
        <v>916</v>
      </c>
      <c r="B106" s="30"/>
      <c r="C106" s="30"/>
      <c r="D106" s="30"/>
      <c r="E106" s="38"/>
      <c r="F106" s="38"/>
      <c r="G106" s="21"/>
      <c r="H106" s="23"/>
      <c r="I106" s="23"/>
      <c r="J106" s="23"/>
      <c r="K106" s="305">
        <v>7248000</v>
      </c>
      <c r="L106" s="23">
        <v>6746000</v>
      </c>
      <c r="M106" s="23">
        <v>6506000</v>
      </c>
      <c r="N106" s="23">
        <v>6421000</v>
      </c>
      <c r="O106" s="305">
        <v>6058000</v>
      </c>
      <c r="P106" s="23">
        <v>6069000</v>
      </c>
      <c r="Q106" s="23">
        <v>5774000</v>
      </c>
      <c r="R106" s="23">
        <v>5779000</v>
      </c>
      <c r="S106" s="305">
        <v>5575000</v>
      </c>
      <c r="T106" s="23">
        <v>5888000</v>
      </c>
      <c r="U106" s="21">
        <v>5838000</v>
      </c>
      <c r="V106" s="21">
        <v>5743000</v>
      </c>
      <c r="W106" s="207">
        <v>5288000</v>
      </c>
      <c r="X106" s="298">
        <v>5056000</v>
      </c>
    </row>
    <row r="107" spans="1:24">
      <c r="A107" s="33" t="s">
        <v>917</v>
      </c>
      <c r="B107" s="30"/>
      <c r="C107" s="30"/>
      <c r="D107" s="30"/>
      <c r="E107" s="38"/>
      <c r="F107" s="38"/>
      <c r="G107" s="21"/>
      <c r="H107" s="23"/>
      <c r="I107" s="23"/>
      <c r="J107" s="23"/>
      <c r="K107" s="305">
        <v>908000</v>
      </c>
      <c r="L107" s="23">
        <v>894000</v>
      </c>
      <c r="M107" s="23">
        <v>803000</v>
      </c>
      <c r="N107" s="23">
        <v>685000</v>
      </c>
      <c r="O107" s="305">
        <v>682000</v>
      </c>
      <c r="P107" s="23">
        <v>359000</v>
      </c>
      <c r="Q107" s="23">
        <v>336000</v>
      </c>
      <c r="R107" s="23">
        <v>320000</v>
      </c>
      <c r="S107" s="305">
        <v>320000</v>
      </c>
      <c r="T107" s="23">
        <v>318000</v>
      </c>
      <c r="U107" s="21">
        <v>317000</v>
      </c>
      <c r="V107" s="21">
        <v>1341000</v>
      </c>
      <c r="W107" s="207">
        <v>1332000</v>
      </c>
      <c r="X107" s="335">
        <f>+W107</f>
        <v>1332000</v>
      </c>
    </row>
    <row r="108" spans="1:24">
      <c r="A108" s="33" t="s">
        <v>918</v>
      </c>
      <c r="B108" s="30"/>
      <c r="C108" s="30"/>
      <c r="D108" s="30"/>
      <c r="E108" s="38"/>
      <c r="F108" s="38"/>
      <c r="G108" s="21"/>
      <c r="H108" s="23"/>
      <c r="I108" s="23"/>
      <c r="J108" s="23"/>
      <c r="K108" s="305">
        <v>1091000</v>
      </c>
      <c r="L108" s="23">
        <v>1008000</v>
      </c>
      <c r="M108" s="23">
        <v>1318000</v>
      </c>
      <c r="N108" s="23">
        <v>1039000</v>
      </c>
      <c r="O108" s="305">
        <v>1000000</v>
      </c>
      <c r="P108" s="23">
        <v>1098000</v>
      </c>
      <c r="Q108" s="23">
        <v>1104000</v>
      </c>
      <c r="R108" s="23">
        <v>1130000</v>
      </c>
      <c r="S108" s="305">
        <v>1124000</v>
      </c>
      <c r="T108" s="23">
        <v>1114000</v>
      </c>
      <c r="U108" s="21">
        <v>1166000</v>
      </c>
      <c r="V108" s="21">
        <v>793000</v>
      </c>
      <c r="W108" s="207">
        <v>872000</v>
      </c>
      <c r="X108" s="335">
        <f>+W108</f>
        <v>872000</v>
      </c>
    </row>
    <row r="109" spans="1:24">
      <c r="A109" s="33" t="s">
        <v>919</v>
      </c>
      <c r="B109" s="30"/>
      <c r="C109" s="30"/>
      <c r="D109" s="30"/>
      <c r="E109" s="38"/>
      <c r="F109" s="38"/>
      <c r="G109" s="21"/>
      <c r="H109" s="23"/>
      <c r="I109" s="23"/>
      <c r="J109" s="23"/>
      <c r="K109" s="305">
        <v>137918.7314172448</v>
      </c>
      <c r="L109" s="23">
        <v>143000</v>
      </c>
      <c r="M109" s="23">
        <v>144000</v>
      </c>
      <c r="N109" s="23">
        <v>150000</v>
      </c>
      <c r="O109" s="305">
        <v>157000</v>
      </c>
      <c r="P109" s="23">
        <v>165000</v>
      </c>
      <c r="Q109" s="23">
        <v>204000</v>
      </c>
      <c r="R109" s="23">
        <v>210000</v>
      </c>
      <c r="S109" s="305">
        <v>207000</v>
      </c>
      <c r="T109" s="23">
        <v>217000</v>
      </c>
      <c r="U109" s="23">
        <v>230000</v>
      </c>
      <c r="V109" s="23">
        <v>206000</v>
      </c>
      <c r="W109" s="305">
        <v>191000</v>
      </c>
      <c r="X109" s="331">
        <f>+W109</f>
        <v>191000</v>
      </c>
    </row>
    <row r="110" spans="1:24">
      <c r="A110" s="29" t="s">
        <v>920</v>
      </c>
      <c r="B110" s="30"/>
      <c r="C110" s="30"/>
      <c r="D110" s="30"/>
      <c r="E110" s="38"/>
      <c r="F110" s="38"/>
      <c r="G110" s="21"/>
      <c r="H110" s="23"/>
      <c r="I110" s="41"/>
      <c r="J110" s="41"/>
      <c r="K110" s="310">
        <f t="shared" ref="K110:U110" si="18">SUM(K106:K109)</f>
        <v>9384918.7314172443</v>
      </c>
      <c r="L110" s="41">
        <f t="shared" si="18"/>
        <v>8791000</v>
      </c>
      <c r="M110" s="41">
        <f t="shared" si="18"/>
        <v>8771000</v>
      </c>
      <c r="N110" s="41">
        <f t="shared" si="18"/>
        <v>8295000</v>
      </c>
      <c r="O110" s="310">
        <f t="shared" si="18"/>
        <v>7897000</v>
      </c>
      <c r="P110" s="41">
        <f t="shared" si="18"/>
        <v>7691000</v>
      </c>
      <c r="Q110" s="41">
        <f t="shared" si="18"/>
        <v>7418000</v>
      </c>
      <c r="R110" s="41">
        <f t="shared" si="18"/>
        <v>7439000</v>
      </c>
      <c r="S110" s="310">
        <f t="shared" si="18"/>
        <v>7226000</v>
      </c>
      <c r="T110" s="41">
        <f t="shared" si="18"/>
        <v>7537000</v>
      </c>
      <c r="U110" s="41">
        <f t="shared" si="18"/>
        <v>7551000</v>
      </c>
      <c r="V110" s="41">
        <f>SUM(V106:V109)</f>
        <v>8083000</v>
      </c>
      <c r="W110" s="310">
        <f>SUM(W106:W109)</f>
        <v>7683000</v>
      </c>
      <c r="X110" s="41">
        <f>SUM(X106:X109)</f>
        <v>7451000</v>
      </c>
    </row>
    <row r="111" spans="1:24">
      <c r="A111" s="29"/>
      <c r="B111" s="30"/>
      <c r="C111" s="30"/>
      <c r="D111" s="30"/>
      <c r="E111" s="38"/>
      <c r="F111" s="38"/>
      <c r="G111" s="21"/>
      <c r="H111" s="23"/>
      <c r="I111" s="41"/>
      <c r="J111" s="41"/>
      <c r="K111" s="310"/>
      <c r="L111" s="41"/>
      <c r="M111" s="41"/>
      <c r="N111" s="41"/>
      <c r="O111" s="310"/>
      <c r="P111" s="41"/>
      <c r="Q111" s="41"/>
      <c r="R111" s="41"/>
      <c r="S111" s="310"/>
      <c r="T111" s="41"/>
      <c r="U111" s="41"/>
      <c r="V111" s="41"/>
      <c r="W111" s="310"/>
      <c r="X111" s="41"/>
    </row>
    <row r="112" spans="1:24">
      <c r="A112" s="33" t="s">
        <v>921</v>
      </c>
      <c r="B112" s="30"/>
      <c r="C112" s="30"/>
      <c r="D112" s="30"/>
      <c r="E112" s="38"/>
      <c r="F112" s="38"/>
      <c r="G112" s="21"/>
      <c r="H112" s="23"/>
      <c r="I112" s="23"/>
      <c r="J112" s="23"/>
      <c r="K112" s="305">
        <v>1000</v>
      </c>
      <c r="L112" s="23">
        <v>1000</v>
      </c>
      <c r="M112" s="23">
        <v>1000</v>
      </c>
      <c r="N112" s="23">
        <v>1000</v>
      </c>
      <c r="O112" s="305">
        <v>2000</v>
      </c>
      <c r="P112" s="23">
        <v>2000</v>
      </c>
      <c r="Q112" s="23">
        <v>2000</v>
      </c>
      <c r="R112" s="23">
        <v>2000</v>
      </c>
      <c r="S112" s="305">
        <v>2000</v>
      </c>
      <c r="T112" s="23">
        <v>2000</v>
      </c>
      <c r="U112" s="23">
        <v>2000</v>
      </c>
      <c r="V112" s="23">
        <v>2000</v>
      </c>
      <c r="W112" s="305">
        <v>2000</v>
      </c>
      <c r="X112" s="335">
        <f>+W112</f>
        <v>2000</v>
      </c>
    </row>
    <row r="113" spans="1:25">
      <c r="A113" s="33" t="s">
        <v>922</v>
      </c>
      <c r="B113" s="30"/>
      <c r="C113" s="30"/>
      <c r="D113" s="30"/>
      <c r="E113" s="38"/>
      <c r="F113" s="38"/>
      <c r="G113" s="38"/>
      <c r="H113" s="23"/>
      <c r="I113" s="23"/>
      <c r="J113" s="23"/>
      <c r="K113" s="305">
        <v>-601000</v>
      </c>
      <c r="L113" s="23">
        <v>-465000</v>
      </c>
      <c r="M113" s="23">
        <v>-414000</v>
      </c>
      <c r="N113" s="23">
        <v>-414000</v>
      </c>
      <c r="O113" s="305">
        <v>-360000</v>
      </c>
      <c r="P113" s="23">
        <v>-274000</v>
      </c>
      <c r="Q113" s="23">
        <v>-246000</v>
      </c>
      <c r="R113" s="23">
        <v>-231000</v>
      </c>
      <c r="S113" s="305">
        <v>-232000</v>
      </c>
      <c r="T113" s="23">
        <v>-214000</v>
      </c>
      <c r="U113" s="23">
        <v>-199000</v>
      </c>
      <c r="V113" s="23">
        <v>-193000</v>
      </c>
      <c r="W113" s="305">
        <v>-193000</v>
      </c>
      <c r="X113" s="335">
        <f>+W113</f>
        <v>-193000</v>
      </c>
    </row>
    <row r="114" spans="1:25">
      <c r="A114" s="33" t="s">
        <v>923</v>
      </c>
      <c r="B114" s="30"/>
      <c r="C114" s="30"/>
      <c r="D114" s="30"/>
      <c r="E114" s="38"/>
      <c r="F114" s="38"/>
      <c r="G114" s="21"/>
      <c r="H114" s="23"/>
      <c r="I114" s="23"/>
      <c r="J114" s="23"/>
      <c r="K114" s="305">
        <v>0</v>
      </c>
      <c r="L114" s="23">
        <v>0</v>
      </c>
      <c r="M114" s="23">
        <v>0</v>
      </c>
      <c r="N114" s="23">
        <v>0</v>
      </c>
      <c r="O114" s="305">
        <v>0</v>
      </c>
      <c r="P114" s="23">
        <v>0</v>
      </c>
      <c r="Q114" s="23">
        <v>0</v>
      </c>
      <c r="R114" s="23">
        <v>0</v>
      </c>
      <c r="S114" s="305">
        <v>0</v>
      </c>
      <c r="T114" s="23">
        <v>0</v>
      </c>
      <c r="U114" s="23">
        <v>0</v>
      </c>
      <c r="V114" s="23">
        <v>0</v>
      </c>
      <c r="W114" s="305">
        <v>0</v>
      </c>
      <c r="X114" s="335">
        <f>+W114</f>
        <v>0</v>
      </c>
    </row>
    <row r="115" spans="1:25">
      <c r="A115" s="33" t="s">
        <v>924</v>
      </c>
      <c r="B115" s="31"/>
      <c r="C115" s="31"/>
      <c r="D115" s="31"/>
      <c r="E115" s="40"/>
      <c r="F115" s="40"/>
      <c r="G115" s="40"/>
      <c r="H115" s="54"/>
      <c r="I115" s="23"/>
      <c r="J115" s="23"/>
      <c r="K115" s="305">
        <v>173789.15148727427</v>
      </c>
      <c r="L115" s="23">
        <v>104000</v>
      </c>
      <c r="M115" s="23">
        <v>189000</v>
      </c>
      <c r="N115" s="23">
        <v>308000</v>
      </c>
      <c r="O115" s="305">
        <v>391000</v>
      </c>
      <c r="P115" s="23">
        <v>470000</v>
      </c>
      <c r="Q115" s="23">
        <v>529000</v>
      </c>
      <c r="R115" s="23">
        <v>623000</v>
      </c>
      <c r="S115" s="305">
        <v>728000</v>
      </c>
      <c r="T115" s="23">
        <v>832000</v>
      </c>
      <c r="U115" s="23">
        <v>894000</v>
      </c>
      <c r="V115" s="23">
        <v>986000</v>
      </c>
      <c r="W115" s="305">
        <v>1062000</v>
      </c>
      <c r="X115" s="23">
        <f>+W115+'BS CF Inputs'!X200*1000+'BS CF Inputs'!X229*1000</f>
        <v>1166579</v>
      </c>
    </row>
    <row r="116" spans="1:25">
      <c r="A116" s="32" t="s">
        <v>925</v>
      </c>
      <c r="B116" s="30"/>
      <c r="C116" s="30"/>
      <c r="D116" s="30"/>
      <c r="E116" s="30"/>
      <c r="F116" s="30"/>
      <c r="G116" s="30"/>
      <c r="K116" s="305">
        <v>-471000</v>
      </c>
      <c r="L116" s="23">
        <v>-423000</v>
      </c>
      <c r="M116" s="23">
        <v>29000</v>
      </c>
      <c r="N116" s="23">
        <v>-363000</v>
      </c>
      <c r="O116" s="305">
        <v>-362000</v>
      </c>
      <c r="P116" s="23">
        <v>-163000</v>
      </c>
      <c r="Q116" s="23">
        <v>-163000</v>
      </c>
      <c r="R116" s="23">
        <v>-130000</v>
      </c>
      <c r="S116" s="305">
        <v>-130000</v>
      </c>
      <c r="T116" s="23">
        <v>-130000</v>
      </c>
      <c r="U116" s="23">
        <v>-129000</v>
      </c>
      <c r="V116" s="23">
        <v>-903000</v>
      </c>
      <c r="W116" s="305">
        <v>-898000</v>
      </c>
      <c r="X116" s="337">
        <v>-883454.01175080799</v>
      </c>
    </row>
    <row r="117" spans="1:25">
      <c r="A117" s="32" t="s">
        <v>926</v>
      </c>
      <c r="B117" s="30"/>
      <c r="C117" s="30"/>
      <c r="D117" s="30"/>
      <c r="E117" s="30"/>
      <c r="F117" s="30"/>
      <c r="G117" s="30"/>
      <c r="K117" s="305">
        <v>0</v>
      </c>
      <c r="L117" s="23">
        <v>0</v>
      </c>
      <c r="M117" s="23">
        <v>0</v>
      </c>
      <c r="N117" s="23">
        <v>0</v>
      </c>
      <c r="O117" s="305">
        <v>-2000</v>
      </c>
      <c r="P117" s="23">
        <v>0</v>
      </c>
      <c r="Q117" s="23">
        <v>0</v>
      </c>
      <c r="R117" s="23">
        <v>0</v>
      </c>
      <c r="S117" s="305">
        <v>-135000</v>
      </c>
      <c r="T117" s="23">
        <v>-401000</v>
      </c>
      <c r="U117" s="23">
        <v>-500000</v>
      </c>
      <c r="V117" s="23">
        <v>-500000</v>
      </c>
      <c r="W117" s="305">
        <v>-500000</v>
      </c>
      <c r="X117" s="335">
        <f>+W117</f>
        <v>-500000</v>
      </c>
    </row>
    <row r="118" spans="1:25">
      <c r="A118" s="38" t="s">
        <v>927</v>
      </c>
      <c r="B118" s="38"/>
      <c r="C118" s="38"/>
      <c r="D118" s="38"/>
      <c r="E118" s="38"/>
      <c r="F118" s="38"/>
      <c r="G118" s="38"/>
      <c r="K118" s="305">
        <v>0</v>
      </c>
      <c r="L118" s="23">
        <v>0</v>
      </c>
      <c r="M118" s="23">
        <v>0</v>
      </c>
      <c r="N118" s="23">
        <v>0</v>
      </c>
      <c r="O118" s="305">
        <v>0</v>
      </c>
      <c r="P118" s="23">
        <v>0</v>
      </c>
      <c r="Q118" s="23">
        <v>0</v>
      </c>
      <c r="R118" s="23">
        <v>0</v>
      </c>
      <c r="S118" s="305">
        <v>0</v>
      </c>
      <c r="T118" s="23">
        <v>0</v>
      </c>
      <c r="U118" s="23">
        <v>0</v>
      </c>
      <c r="V118" s="23">
        <v>0</v>
      </c>
      <c r="W118" s="305">
        <v>0</v>
      </c>
      <c r="X118" s="23">
        <v>0</v>
      </c>
    </row>
    <row r="119" spans="1:25">
      <c r="A119" s="119" t="s">
        <v>928</v>
      </c>
      <c r="B119" s="30"/>
      <c r="C119" s="30"/>
      <c r="D119" s="30"/>
      <c r="E119" s="21"/>
      <c r="F119" s="21"/>
      <c r="G119" s="21"/>
      <c r="K119" s="218">
        <f t="shared" ref="K119:U119" si="19">SUM(K112:K118)</f>
        <v>-897210.84851272567</v>
      </c>
      <c r="L119" s="120">
        <f t="shared" si="19"/>
        <v>-783000</v>
      </c>
      <c r="M119" s="120">
        <f t="shared" si="19"/>
        <v>-195000</v>
      </c>
      <c r="N119" s="120">
        <f t="shared" si="19"/>
        <v>-468000</v>
      </c>
      <c r="O119" s="218">
        <f t="shared" si="19"/>
        <v>-331000</v>
      </c>
      <c r="P119" s="120">
        <f t="shared" si="19"/>
        <v>35000</v>
      </c>
      <c r="Q119" s="120">
        <f t="shared" si="19"/>
        <v>122000</v>
      </c>
      <c r="R119" s="120">
        <f t="shared" si="19"/>
        <v>264000</v>
      </c>
      <c r="S119" s="218">
        <f t="shared" si="19"/>
        <v>233000</v>
      </c>
      <c r="T119" s="120">
        <f t="shared" si="19"/>
        <v>89000</v>
      </c>
      <c r="U119" s="120">
        <f t="shared" si="19"/>
        <v>68000</v>
      </c>
      <c r="V119" s="120">
        <f>SUM(V112:V118)</f>
        <v>-608000</v>
      </c>
      <c r="W119" s="218">
        <f>SUM(W112:W118)</f>
        <v>-527000</v>
      </c>
      <c r="X119" s="117">
        <f>SUM(X112:X118)</f>
        <v>-407875.01175080799</v>
      </c>
    </row>
    <row r="120" spans="1:25">
      <c r="A120" s="119" t="s">
        <v>929</v>
      </c>
      <c r="B120" s="30"/>
      <c r="C120" s="30"/>
      <c r="D120" s="30"/>
      <c r="E120" s="21"/>
      <c r="F120" s="21"/>
      <c r="G120" s="21"/>
      <c r="K120" s="311">
        <f t="shared" ref="K120:U120" si="20">SUM(K119+K110+K104)</f>
        <v>9630421.460704321</v>
      </c>
      <c r="L120" s="83">
        <f t="shared" si="20"/>
        <v>9179000</v>
      </c>
      <c r="M120" s="83">
        <f t="shared" si="20"/>
        <v>9918000</v>
      </c>
      <c r="N120" s="83">
        <f t="shared" si="20"/>
        <v>9091000</v>
      </c>
      <c r="O120" s="311">
        <f t="shared" si="20"/>
        <v>8983000</v>
      </c>
      <c r="P120" s="83">
        <f t="shared" si="20"/>
        <v>8891000</v>
      </c>
      <c r="Q120" s="83">
        <f t="shared" si="20"/>
        <v>8871000</v>
      </c>
      <c r="R120" s="83">
        <f t="shared" si="20"/>
        <v>8901000</v>
      </c>
      <c r="S120" s="311">
        <f t="shared" si="20"/>
        <v>8788000</v>
      </c>
      <c r="T120" s="83">
        <f t="shared" si="20"/>
        <v>8706000</v>
      </c>
      <c r="U120" s="83">
        <f t="shared" si="20"/>
        <v>8694000</v>
      </c>
      <c r="V120" s="83">
        <f>SUM(V119+V110+V104)</f>
        <v>8371000</v>
      </c>
      <c r="W120" s="218">
        <f>SUM(W119+W110+W104)</f>
        <v>8051000</v>
      </c>
      <c r="X120" s="218">
        <f>SUM(X119+X110+X104)</f>
        <v>7938124.988249192</v>
      </c>
    </row>
    <row r="121" spans="1:25">
      <c r="A121" s="82" t="s">
        <v>795</v>
      </c>
      <c r="B121" s="30"/>
      <c r="C121" s="30"/>
      <c r="D121" s="30"/>
      <c r="E121" s="21"/>
      <c r="F121" s="21"/>
      <c r="G121" s="21"/>
      <c r="K121" s="170">
        <f t="shared" ref="K121:U121" si="21">K120-K89</f>
        <v>0</v>
      </c>
      <c r="L121" s="58">
        <f t="shared" si="21"/>
        <v>0</v>
      </c>
      <c r="M121" s="58">
        <f t="shared" si="21"/>
        <v>0</v>
      </c>
      <c r="N121" s="58">
        <f t="shared" si="21"/>
        <v>0</v>
      </c>
      <c r="O121" s="170">
        <f t="shared" si="21"/>
        <v>0</v>
      </c>
      <c r="P121" s="58">
        <f t="shared" si="21"/>
        <v>0</v>
      </c>
      <c r="Q121" s="58">
        <f t="shared" si="21"/>
        <v>0</v>
      </c>
      <c r="R121" s="58">
        <f t="shared" si="21"/>
        <v>0</v>
      </c>
      <c r="S121" s="170">
        <f t="shared" si="21"/>
        <v>0</v>
      </c>
      <c r="T121" s="58">
        <f t="shared" si="21"/>
        <v>0</v>
      </c>
      <c r="U121" s="58">
        <f t="shared" si="21"/>
        <v>0</v>
      </c>
      <c r="V121" s="58">
        <f>V120-V89</f>
        <v>0</v>
      </c>
      <c r="W121" s="170">
        <f>W120-W89</f>
        <v>0</v>
      </c>
      <c r="X121" s="58">
        <f>X120-X89</f>
        <v>0</v>
      </c>
    </row>
    <row r="122" spans="1:25">
      <c r="A122" s="33"/>
      <c r="B122" s="30"/>
      <c r="C122" s="30"/>
      <c r="D122" s="30"/>
      <c r="E122" s="21"/>
      <c r="F122" s="21"/>
      <c r="G122" s="21"/>
      <c r="H122" s="21"/>
      <c r="I122" s="21"/>
      <c r="J122" s="21"/>
      <c r="K122" s="207"/>
      <c r="L122" s="21"/>
      <c r="M122" s="21"/>
      <c r="N122" s="21"/>
      <c r="O122" s="207"/>
      <c r="P122" s="21"/>
      <c r="Q122" s="21"/>
      <c r="R122" s="21"/>
      <c r="S122" s="316"/>
      <c r="T122" s="21"/>
      <c r="U122" s="21"/>
      <c r="V122" s="21"/>
      <c r="W122" s="207"/>
      <c r="X122" s="21"/>
    </row>
    <row r="123" spans="1:25">
      <c r="A123" s="45" t="s">
        <v>933</v>
      </c>
      <c r="B123" s="35"/>
      <c r="C123" s="35"/>
      <c r="D123" s="35"/>
      <c r="E123" s="39"/>
      <c r="F123" s="39"/>
      <c r="G123" s="46"/>
      <c r="H123" s="47"/>
      <c r="I123" s="47"/>
      <c r="J123" s="47"/>
      <c r="K123" s="301"/>
      <c r="L123" s="47"/>
      <c r="M123" s="47"/>
      <c r="N123" s="47"/>
      <c r="O123" s="301"/>
      <c r="P123" s="47"/>
      <c r="Q123" s="47"/>
      <c r="R123" s="47"/>
      <c r="S123" s="301"/>
      <c r="T123" s="47"/>
      <c r="U123" s="47"/>
      <c r="V123" s="47"/>
      <c r="W123" s="301"/>
      <c r="X123" s="47"/>
      <c r="Y123" s="59"/>
    </row>
    <row r="124" spans="1:25">
      <c r="A124" s="32" t="s">
        <v>931</v>
      </c>
      <c r="B124" s="22">
        <v>0</v>
      </c>
      <c r="C124" s="22">
        <v>0</v>
      </c>
      <c r="D124" s="22">
        <v>0</v>
      </c>
      <c r="E124" s="22">
        <v>0</v>
      </c>
      <c r="F124" s="22">
        <v>0</v>
      </c>
      <c r="G124" s="22">
        <v>2465889.7812603372</v>
      </c>
      <c r="H124" s="22">
        <v>2439224.5480102771</v>
      </c>
      <c r="I124" s="22">
        <v>2416616.4736842108</v>
      </c>
      <c r="J124" s="22">
        <v>2381420.5</v>
      </c>
      <c r="K124" s="308">
        <v>2357014</v>
      </c>
      <c r="L124" s="22">
        <v>2329413.7200000002</v>
      </c>
      <c r="M124" s="22">
        <v>2295000</v>
      </c>
      <c r="N124" s="22">
        <v>2263000</v>
      </c>
      <c r="O124" s="308">
        <v>2236750</v>
      </c>
      <c r="P124" s="22">
        <v>2205000</v>
      </c>
      <c r="Q124" s="22">
        <v>2171000</v>
      </c>
      <c r="R124" s="22">
        <v>2135000</v>
      </c>
      <c r="S124" s="308">
        <v>2108000</v>
      </c>
      <c r="T124" s="22">
        <v>2077000</v>
      </c>
      <c r="U124" s="22">
        <v>2041000</v>
      </c>
      <c r="V124" s="22">
        <v>1998000</v>
      </c>
      <c r="W124" s="308">
        <v>1967000</v>
      </c>
      <c r="X124" s="298">
        <v>1933000</v>
      </c>
      <c r="Y124" s="59"/>
    </row>
    <row r="125" spans="1:25" ht="12" customHeight="1">
      <c r="A125" s="32" t="s">
        <v>932</v>
      </c>
      <c r="B125" s="22">
        <v>0</v>
      </c>
      <c r="C125" s="22">
        <v>0</v>
      </c>
      <c r="D125" s="22">
        <v>0</v>
      </c>
      <c r="E125" s="22">
        <v>0</v>
      </c>
      <c r="F125" s="22">
        <v>182137</v>
      </c>
      <c r="G125" s="22">
        <v>215625</v>
      </c>
      <c r="H125" s="22">
        <v>237674</v>
      </c>
      <c r="I125" s="22">
        <v>264282</v>
      </c>
      <c r="J125" s="22">
        <v>294275</v>
      </c>
      <c r="K125" s="308">
        <v>334783</v>
      </c>
      <c r="L125" s="22">
        <v>364294.6</v>
      </c>
      <c r="M125" s="22">
        <v>392800</v>
      </c>
      <c r="N125" s="22">
        <v>422710.40967987804</v>
      </c>
      <c r="O125" s="308">
        <v>468053.169921875</v>
      </c>
      <c r="P125" s="22">
        <v>500000</v>
      </c>
      <c r="Q125" s="22">
        <v>530000</v>
      </c>
      <c r="R125" s="22">
        <v>555000</v>
      </c>
      <c r="S125" s="308">
        <v>586000</v>
      </c>
      <c r="T125" s="22">
        <v>607000</v>
      </c>
      <c r="U125" s="22">
        <v>628000</v>
      </c>
      <c r="V125" s="22">
        <v>641000</v>
      </c>
      <c r="W125" s="308">
        <v>665000</v>
      </c>
      <c r="X125" s="298">
        <v>681000</v>
      </c>
      <c r="Y125" s="59"/>
    </row>
    <row r="126" spans="1:25">
      <c r="B126" s="30"/>
      <c r="C126" s="30"/>
      <c r="D126" s="30"/>
      <c r="E126" s="21"/>
      <c r="F126" s="21"/>
      <c r="G126" s="21"/>
      <c r="H126" s="21"/>
      <c r="I126" s="21"/>
      <c r="J126" s="21"/>
      <c r="K126" s="207"/>
      <c r="L126" s="21"/>
      <c r="M126" s="21"/>
      <c r="N126" s="21"/>
      <c r="O126" s="207"/>
      <c r="P126" s="21"/>
      <c r="Q126" s="21"/>
      <c r="R126" s="21"/>
      <c r="S126" s="316"/>
      <c r="T126" s="21"/>
      <c r="U126" s="21"/>
      <c r="V126" s="21"/>
      <c r="W126" s="207"/>
      <c r="X126" s="21"/>
      <c r="Y126" s="59"/>
    </row>
    <row r="127" spans="1:25">
      <c r="A127" s="45" t="s">
        <v>934</v>
      </c>
      <c r="B127" s="35"/>
      <c r="C127" s="35"/>
      <c r="D127" s="35"/>
      <c r="E127" s="39"/>
      <c r="F127" s="39"/>
      <c r="G127" s="46"/>
      <c r="H127" s="47"/>
      <c r="I127" s="47"/>
      <c r="J127" s="47"/>
      <c r="K127" s="301"/>
      <c r="L127" s="47"/>
      <c r="M127" s="47"/>
      <c r="N127" s="47"/>
      <c r="O127" s="301"/>
      <c r="P127" s="47"/>
      <c r="Q127" s="47"/>
      <c r="R127" s="47"/>
      <c r="S127" s="301"/>
      <c r="T127" s="47"/>
      <c r="U127" s="47"/>
      <c r="V127" s="47"/>
      <c r="W127" s="301"/>
      <c r="X127" s="47"/>
      <c r="Y127" s="59"/>
    </row>
    <row r="128" spans="1:25">
      <c r="A128" s="32" t="s">
        <v>931</v>
      </c>
      <c r="B128" s="22">
        <v>7907000</v>
      </c>
      <c r="C128" s="22">
        <v>7876000</v>
      </c>
      <c r="D128" s="22">
        <v>7780000</v>
      </c>
      <c r="E128" s="22">
        <v>7718000</v>
      </c>
      <c r="F128" s="22">
        <v>7668000</v>
      </c>
      <c r="G128" s="22">
        <v>7649000</v>
      </c>
      <c r="H128" s="22">
        <v>7540000</v>
      </c>
      <c r="I128" s="22">
        <v>7448000</v>
      </c>
      <c r="J128" s="22">
        <v>7359000</v>
      </c>
      <c r="K128" s="308">
        <v>7119000</v>
      </c>
      <c r="L128" s="22">
        <v>6967000</v>
      </c>
      <c r="M128" s="22">
        <v>6845000</v>
      </c>
      <c r="N128" s="22">
        <v>6754000</v>
      </c>
      <c r="O128" s="308">
        <v>6681000</v>
      </c>
      <c r="P128" s="22">
        <v>6533000</v>
      </c>
      <c r="Q128" s="22">
        <v>6403000</v>
      </c>
      <c r="R128" s="22">
        <v>6312000</v>
      </c>
      <c r="S128" s="308">
        <v>6192000</v>
      </c>
      <c r="T128" s="22">
        <v>6022000</v>
      </c>
      <c r="U128" s="22">
        <v>5853000</v>
      </c>
      <c r="V128" s="22">
        <v>5696000</v>
      </c>
      <c r="W128" s="308">
        <v>5552000</v>
      </c>
      <c r="X128" s="298">
        <v>5389000</v>
      </c>
      <c r="Y128" s="59"/>
    </row>
    <row r="129" spans="1:25">
      <c r="A129" s="32" t="s">
        <v>932</v>
      </c>
      <c r="B129" s="22">
        <v>304000</v>
      </c>
      <c r="C129" s="22">
        <v>349000</v>
      </c>
      <c r="D129" s="22">
        <v>383000</v>
      </c>
      <c r="E129" s="22">
        <v>432000</v>
      </c>
      <c r="F129" s="22">
        <v>492000</v>
      </c>
      <c r="G129" s="22">
        <v>551000</v>
      </c>
      <c r="H129" s="22">
        <v>590000</v>
      </c>
      <c r="I129" s="22">
        <v>638000</v>
      </c>
      <c r="J129" s="22">
        <v>693000</v>
      </c>
      <c r="K129" s="308">
        <v>777000</v>
      </c>
      <c r="L129" s="22">
        <v>849000</v>
      </c>
      <c r="M129" s="22">
        <v>933000</v>
      </c>
      <c r="N129" s="22">
        <v>1017000</v>
      </c>
      <c r="O129" s="308">
        <v>1104000</v>
      </c>
      <c r="P129" s="22">
        <v>1156000</v>
      </c>
      <c r="Q129" s="22">
        <v>1216000</v>
      </c>
      <c r="R129" s="22">
        <v>1277000</v>
      </c>
      <c r="S129" s="308">
        <v>1340000</v>
      </c>
      <c r="T129" s="22">
        <v>1364000</v>
      </c>
      <c r="U129" s="22">
        <v>1388000</v>
      </c>
      <c r="V129" s="22">
        <v>1412000</v>
      </c>
      <c r="W129" s="308">
        <v>1452000</v>
      </c>
      <c r="X129" s="298">
        <v>1465000</v>
      </c>
      <c r="Y129" s="59"/>
    </row>
    <row r="130" spans="1:25">
      <c r="B130" s="30"/>
      <c r="C130" s="30"/>
      <c r="D130" s="30"/>
      <c r="E130" s="21"/>
      <c r="F130" s="21"/>
      <c r="G130" s="21"/>
      <c r="H130" s="21"/>
      <c r="I130" s="21"/>
      <c r="J130" s="21"/>
      <c r="K130" s="207"/>
      <c r="L130" s="21"/>
      <c r="M130" s="21"/>
      <c r="N130" s="21"/>
      <c r="O130" s="207"/>
      <c r="P130" s="21"/>
      <c r="Q130" s="21"/>
      <c r="R130" s="21"/>
      <c r="S130" s="316"/>
      <c r="T130" s="21"/>
      <c r="U130" s="21"/>
      <c r="V130" s="21"/>
      <c r="W130" s="207"/>
      <c r="X130" s="21"/>
      <c r="Y130" s="59"/>
    </row>
    <row r="131" spans="1:25">
      <c r="A131" s="45" t="s">
        <v>935</v>
      </c>
      <c r="B131" s="35"/>
      <c r="C131" s="35"/>
      <c r="D131" s="35"/>
      <c r="E131" s="39"/>
      <c r="F131" s="39"/>
      <c r="G131" s="46"/>
      <c r="H131" s="47"/>
      <c r="I131" s="47"/>
      <c r="J131" s="47"/>
      <c r="K131" s="301"/>
      <c r="L131" s="47"/>
      <c r="M131" s="47"/>
      <c r="N131" s="47"/>
      <c r="O131" s="301"/>
      <c r="P131" s="47"/>
      <c r="Q131" s="47"/>
      <c r="R131" s="47"/>
      <c r="S131" s="301"/>
      <c r="T131" s="47"/>
      <c r="U131" s="47"/>
      <c r="V131" s="47"/>
      <c r="W131" s="301"/>
      <c r="X131" s="47"/>
      <c r="Y131" s="59"/>
    </row>
    <row r="132" spans="1:25">
      <c r="A132" s="32" t="s">
        <v>931</v>
      </c>
      <c r="B132" s="22">
        <f t="shared" ref="B132:H132" si="22">B128+B124</f>
        <v>7907000</v>
      </c>
      <c r="C132" s="22">
        <f t="shared" si="22"/>
        <v>7876000</v>
      </c>
      <c r="D132" s="22">
        <f t="shared" si="22"/>
        <v>7780000</v>
      </c>
      <c r="E132" s="22">
        <f t="shared" si="22"/>
        <v>7718000</v>
      </c>
      <c r="F132" s="22">
        <f t="shared" si="22"/>
        <v>7668000</v>
      </c>
      <c r="G132" s="22">
        <f t="shared" si="22"/>
        <v>10114889.781260338</v>
      </c>
      <c r="H132" s="22">
        <f t="shared" si="22"/>
        <v>9979224.5480102766</v>
      </c>
      <c r="I132" s="22">
        <f>I128+I124</f>
        <v>9864616.4736842103</v>
      </c>
      <c r="J132" s="22">
        <f t="shared" ref="J132:U133" si="23">J128+J124</f>
        <v>9740420.5</v>
      </c>
      <c r="K132" s="308">
        <f t="shared" si="23"/>
        <v>9476014</v>
      </c>
      <c r="L132" s="22">
        <f t="shared" si="23"/>
        <v>9296413.7200000007</v>
      </c>
      <c r="M132" s="22">
        <f t="shared" si="23"/>
        <v>9140000</v>
      </c>
      <c r="N132" s="22">
        <f t="shared" si="23"/>
        <v>9017000</v>
      </c>
      <c r="O132" s="308">
        <f t="shared" si="23"/>
        <v>8917750</v>
      </c>
      <c r="P132" s="22">
        <f t="shared" si="23"/>
        <v>8738000</v>
      </c>
      <c r="Q132" s="22">
        <f t="shared" si="23"/>
        <v>8574000</v>
      </c>
      <c r="R132" s="22">
        <f t="shared" si="23"/>
        <v>8447000</v>
      </c>
      <c r="S132" s="308">
        <f t="shared" si="23"/>
        <v>8300000</v>
      </c>
      <c r="T132" s="22">
        <f t="shared" si="23"/>
        <v>8099000</v>
      </c>
      <c r="U132" s="22">
        <f t="shared" si="23"/>
        <v>7894000</v>
      </c>
      <c r="V132" s="22">
        <f t="shared" ref="V132:X133" si="24">V128+V124</f>
        <v>7694000</v>
      </c>
      <c r="W132" s="308">
        <f t="shared" si="24"/>
        <v>7519000</v>
      </c>
      <c r="X132" s="22">
        <f t="shared" si="24"/>
        <v>7322000</v>
      </c>
      <c r="Y132" s="59"/>
    </row>
    <row r="133" spans="1:25">
      <c r="A133" s="32" t="s">
        <v>932</v>
      </c>
      <c r="B133" s="22">
        <f t="shared" ref="B133:H133" si="25">B129+B125</f>
        <v>304000</v>
      </c>
      <c r="C133" s="22">
        <f t="shared" si="25"/>
        <v>349000</v>
      </c>
      <c r="D133" s="22">
        <f t="shared" si="25"/>
        <v>383000</v>
      </c>
      <c r="E133" s="22">
        <f t="shared" si="25"/>
        <v>432000</v>
      </c>
      <c r="F133" s="22">
        <f t="shared" si="25"/>
        <v>674137</v>
      </c>
      <c r="G133" s="22">
        <f t="shared" si="25"/>
        <v>766625</v>
      </c>
      <c r="H133" s="22">
        <f t="shared" si="25"/>
        <v>827674</v>
      </c>
      <c r="I133" s="22">
        <f>I129+I125</f>
        <v>902282</v>
      </c>
      <c r="J133" s="22">
        <f t="shared" si="23"/>
        <v>987275</v>
      </c>
      <c r="K133" s="308">
        <f t="shared" si="23"/>
        <v>1111783</v>
      </c>
      <c r="L133" s="22">
        <f t="shared" si="23"/>
        <v>1213294.6000000001</v>
      </c>
      <c r="M133" s="22">
        <f t="shared" si="23"/>
        <v>1325800</v>
      </c>
      <c r="N133" s="22">
        <f t="shared" si="23"/>
        <v>1439710.409679878</v>
      </c>
      <c r="O133" s="308">
        <f t="shared" si="23"/>
        <v>1572053.169921875</v>
      </c>
      <c r="P133" s="22">
        <f t="shared" si="23"/>
        <v>1656000</v>
      </c>
      <c r="Q133" s="22">
        <f t="shared" si="23"/>
        <v>1746000</v>
      </c>
      <c r="R133" s="22">
        <f t="shared" si="23"/>
        <v>1832000</v>
      </c>
      <c r="S133" s="308">
        <f t="shared" si="23"/>
        <v>1926000</v>
      </c>
      <c r="T133" s="22">
        <f t="shared" si="23"/>
        <v>1971000</v>
      </c>
      <c r="U133" s="22">
        <f t="shared" si="23"/>
        <v>2016000</v>
      </c>
      <c r="V133" s="22">
        <f t="shared" si="24"/>
        <v>2053000</v>
      </c>
      <c r="W133" s="308">
        <f t="shared" si="24"/>
        <v>2117000</v>
      </c>
      <c r="X133" s="22">
        <f t="shared" si="24"/>
        <v>2146000</v>
      </c>
      <c r="Y133" s="59"/>
    </row>
    <row r="134" spans="1:25">
      <c r="B134" s="30"/>
      <c r="C134" s="30"/>
      <c r="D134" s="30"/>
      <c r="E134" s="21"/>
      <c r="F134" s="21"/>
      <c r="G134" s="21"/>
      <c r="H134" s="21"/>
      <c r="I134" s="21"/>
      <c r="J134" s="21"/>
      <c r="K134" s="207"/>
      <c r="L134" s="21"/>
      <c r="M134" s="21"/>
      <c r="N134" s="21"/>
      <c r="O134" s="207"/>
      <c r="P134" s="21"/>
      <c r="Q134" s="21"/>
      <c r="R134" s="21"/>
      <c r="S134" s="316"/>
      <c r="T134" s="21"/>
      <c r="U134" s="21"/>
      <c r="V134" s="21"/>
      <c r="W134" s="207"/>
      <c r="X134" s="21"/>
      <c r="Y134" s="59"/>
    </row>
    <row r="135" spans="1:25">
      <c r="A135" s="45" t="s">
        <v>1037</v>
      </c>
      <c r="B135" s="35"/>
      <c r="C135" s="35"/>
      <c r="D135" s="35"/>
      <c r="E135" s="39"/>
      <c r="F135" s="39"/>
      <c r="G135" s="46"/>
      <c r="H135" s="47"/>
      <c r="I135" s="47"/>
      <c r="J135" s="47"/>
      <c r="K135" s="301"/>
      <c r="L135" s="47"/>
      <c r="M135" s="47"/>
      <c r="N135" s="47"/>
      <c r="O135" s="301"/>
      <c r="P135" s="47"/>
      <c r="Q135" s="47"/>
      <c r="R135" s="47"/>
      <c r="S135" s="301"/>
      <c r="T135" s="47"/>
      <c r="U135" s="47"/>
      <c r="V135" s="47"/>
      <c r="W135" s="301"/>
      <c r="X135" s="47"/>
      <c r="Y135" s="59"/>
    </row>
    <row r="136" spans="1:25">
      <c r="A136" s="32" t="s">
        <v>1038</v>
      </c>
      <c r="B136" s="30">
        <v>121480</v>
      </c>
      <c r="C136" s="30">
        <v>61745</v>
      </c>
      <c r="D136" s="30">
        <v>94269</v>
      </c>
      <c r="E136" s="30">
        <v>97583</v>
      </c>
      <c r="F136" s="30">
        <v>131719</v>
      </c>
      <c r="G136" s="30">
        <v>74903</v>
      </c>
      <c r="H136" s="30">
        <v>102011</v>
      </c>
      <c r="I136" s="30">
        <v>105044</v>
      </c>
      <c r="J136" s="30">
        <v>132914</v>
      </c>
      <c r="K136" s="306">
        <v>60088</v>
      </c>
      <c r="L136" s="30">
        <v>70367</v>
      </c>
      <c r="M136" s="30">
        <v>82579</v>
      </c>
      <c r="N136" s="30">
        <v>101037</v>
      </c>
      <c r="O136" s="306">
        <v>48880</v>
      </c>
      <c r="P136" s="30">
        <v>57976</v>
      </c>
      <c r="Q136" s="30">
        <v>77445</v>
      </c>
      <c r="R136" s="30">
        <v>141744</v>
      </c>
      <c r="S136" s="306">
        <v>54739</v>
      </c>
      <c r="T136" s="30">
        <v>59659</v>
      </c>
      <c r="U136" s="30">
        <v>70606</v>
      </c>
      <c r="V136" s="30">
        <v>101813</v>
      </c>
      <c r="W136" s="306">
        <v>45496</v>
      </c>
      <c r="X136" s="86">
        <v>85305</v>
      </c>
      <c r="Y136" s="59"/>
    </row>
    <row r="137" spans="1:25">
      <c r="B137" s="30"/>
      <c r="C137" s="30"/>
      <c r="D137" s="30"/>
      <c r="E137" s="21"/>
      <c r="F137" s="21"/>
      <c r="G137" s="21"/>
      <c r="H137" s="21"/>
      <c r="I137" s="21"/>
      <c r="J137" s="21"/>
      <c r="K137" s="207"/>
      <c r="L137" s="21"/>
      <c r="M137" s="21"/>
      <c r="N137" s="21"/>
      <c r="O137" s="207"/>
      <c r="P137" s="21"/>
      <c r="Q137" s="21"/>
      <c r="R137" s="21"/>
      <c r="S137" s="316"/>
      <c r="T137" s="21"/>
      <c r="U137" s="21"/>
      <c r="V137" s="21"/>
      <c r="W137" s="207"/>
      <c r="X137" s="50"/>
      <c r="Y137" s="59"/>
    </row>
    <row r="138" spans="1:25">
      <c r="A138" s="45" t="s">
        <v>1039</v>
      </c>
      <c r="B138" s="35"/>
      <c r="C138" s="35"/>
      <c r="D138" s="35"/>
      <c r="E138" s="39"/>
      <c r="F138" s="39"/>
      <c r="G138" s="46"/>
      <c r="H138" s="47"/>
      <c r="I138" s="47"/>
      <c r="J138" s="47"/>
      <c r="K138" s="301"/>
      <c r="L138" s="47"/>
      <c r="M138" s="47"/>
      <c r="N138" s="47"/>
      <c r="O138" s="301"/>
      <c r="P138" s="47"/>
      <c r="Q138" s="47"/>
      <c r="R138" s="47"/>
      <c r="S138" s="301"/>
      <c r="T138" s="47"/>
      <c r="U138" s="47"/>
      <c r="V138" s="47"/>
      <c r="W138" s="301"/>
      <c r="X138" s="299"/>
      <c r="Y138" s="59"/>
    </row>
    <row r="139" spans="1:25">
      <c r="A139" s="32" t="s">
        <v>1038</v>
      </c>
      <c r="B139" s="30"/>
      <c r="C139" s="30"/>
      <c r="D139" s="30"/>
      <c r="E139" s="30"/>
      <c r="F139" s="30"/>
      <c r="G139" s="30"/>
      <c r="H139" s="30"/>
      <c r="I139" s="30"/>
      <c r="J139" s="30"/>
      <c r="K139" s="306">
        <v>204000</v>
      </c>
      <c r="L139" s="30">
        <v>312000</v>
      </c>
      <c r="M139" s="30">
        <v>260000</v>
      </c>
      <c r="N139" s="30">
        <v>214000</v>
      </c>
      <c r="O139" s="306">
        <v>183000</v>
      </c>
      <c r="P139" s="30">
        <v>188000</v>
      </c>
      <c r="Q139" s="30">
        <v>195000</v>
      </c>
      <c r="R139" s="30">
        <v>263000</v>
      </c>
      <c r="S139" s="306">
        <v>177000</v>
      </c>
      <c r="T139" s="30">
        <v>179000</v>
      </c>
      <c r="U139" s="30">
        <v>170000</v>
      </c>
      <c r="V139" s="30">
        <v>149000</v>
      </c>
      <c r="W139" s="306">
        <v>105000</v>
      </c>
      <c r="X139" s="86">
        <v>147000</v>
      </c>
      <c r="Y139" s="59"/>
    </row>
    <row r="140" spans="1:25">
      <c r="B140" s="30"/>
      <c r="C140" s="30"/>
      <c r="D140" s="30"/>
      <c r="E140" s="21"/>
      <c r="F140" s="21"/>
      <c r="G140" s="21"/>
      <c r="H140" s="21"/>
      <c r="I140" s="21"/>
      <c r="J140" s="21"/>
      <c r="K140" s="207"/>
      <c r="L140" s="21"/>
      <c r="M140" s="21"/>
      <c r="N140" s="21"/>
      <c r="O140" s="207"/>
      <c r="P140" s="21"/>
      <c r="Q140" s="21"/>
      <c r="R140" s="21"/>
      <c r="S140" s="316"/>
      <c r="T140" s="21"/>
      <c r="U140" s="21"/>
      <c r="V140" s="21"/>
      <c r="W140" s="207"/>
      <c r="X140" s="21"/>
      <c r="Y140" s="59"/>
    </row>
    <row r="141" spans="1:25">
      <c r="A141" s="45" t="s">
        <v>1036</v>
      </c>
      <c r="B141" s="35"/>
      <c r="C141" s="35"/>
      <c r="D141" s="35"/>
      <c r="E141" s="39"/>
      <c r="F141" s="39"/>
      <c r="G141" s="46"/>
      <c r="H141" s="47"/>
      <c r="I141" s="47"/>
      <c r="J141" s="47"/>
      <c r="K141" s="301"/>
      <c r="L141" s="47"/>
      <c r="M141" s="47"/>
      <c r="N141" s="47"/>
      <c r="O141" s="301"/>
      <c r="P141" s="47"/>
      <c r="Q141" s="47"/>
      <c r="R141" s="47"/>
      <c r="S141" s="301"/>
      <c r="T141" s="47"/>
      <c r="U141" s="47"/>
      <c r="V141" s="47"/>
      <c r="W141" s="301"/>
      <c r="X141" s="47"/>
      <c r="Y141" s="59"/>
    </row>
    <row r="142" spans="1:25">
      <c r="A142" s="32" t="s">
        <v>1038</v>
      </c>
      <c r="B142" s="30">
        <f t="shared" ref="B142:U142" si="26">SUM(B139+B136)</f>
        <v>121480</v>
      </c>
      <c r="C142" s="30">
        <f t="shared" si="26"/>
        <v>61745</v>
      </c>
      <c r="D142" s="30">
        <f t="shared" si="26"/>
        <v>94269</v>
      </c>
      <c r="E142" s="30">
        <f t="shared" si="26"/>
        <v>97583</v>
      </c>
      <c r="F142" s="30">
        <f t="shared" si="26"/>
        <v>131719</v>
      </c>
      <c r="G142" s="30">
        <f t="shared" si="26"/>
        <v>74903</v>
      </c>
      <c r="H142" s="30">
        <f t="shared" si="26"/>
        <v>102011</v>
      </c>
      <c r="I142" s="30">
        <f t="shared" si="26"/>
        <v>105044</v>
      </c>
      <c r="J142" s="30">
        <f t="shared" si="26"/>
        <v>132914</v>
      </c>
      <c r="K142" s="306">
        <f t="shared" si="26"/>
        <v>264088</v>
      </c>
      <c r="L142" s="30">
        <f t="shared" si="26"/>
        <v>382367</v>
      </c>
      <c r="M142" s="30">
        <f t="shared" si="26"/>
        <v>342579</v>
      </c>
      <c r="N142" s="30">
        <f t="shared" si="26"/>
        <v>315037</v>
      </c>
      <c r="O142" s="306">
        <f t="shared" si="26"/>
        <v>231880</v>
      </c>
      <c r="P142" s="30">
        <f t="shared" si="26"/>
        <v>245976</v>
      </c>
      <c r="Q142" s="30">
        <f t="shared" si="26"/>
        <v>272445</v>
      </c>
      <c r="R142" s="30">
        <f t="shared" si="26"/>
        <v>404744</v>
      </c>
      <c r="S142" s="306">
        <f t="shared" si="26"/>
        <v>231739</v>
      </c>
      <c r="T142" s="30">
        <f t="shared" si="26"/>
        <v>238659</v>
      </c>
      <c r="U142" s="30">
        <f t="shared" si="26"/>
        <v>240606</v>
      </c>
      <c r="V142" s="30">
        <f>SUM(V139+V136)</f>
        <v>250813</v>
      </c>
      <c r="W142" s="306">
        <f>SUM(W139+W136)</f>
        <v>150496</v>
      </c>
      <c r="X142" s="30">
        <f>SUM(X139+X136)</f>
        <v>232305</v>
      </c>
      <c r="Y142" s="59"/>
    </row>
    <row r="143" spans="1:25">
      <c r="B143" s="30"/>
      <c r="C143" s="30"/>
      <c r="D143" s="30"/>
      <c r="E143" s="21"/>
      <c r="F143" s="21"/>
      <c r="G143" s="21"/>
      <c r="H143" s="21"/>
      <c r="I143" s="21"/>
      <c r="J143" s="21"/>
      <c r="K143" s="207"/>
      <c r="L143" s="21"/>
      <c r="M143" s="21"/>
      <c r="N143" s="21"/>
      <c r="O143" s="207"/>
      <c r="P143" s="21"/>
      <c r="Q143" s="21"/>
      <c r="R143" s="21"/>
      <c r="S143" s="316"/>
      <c r="T143" s="21"/>
      <c r="U143" s="21"/>
      <c r="V143" s="21"/>
      <c r="W143" s="207"/>
      <c r="X143" s="21"/>
      <c r="Y143" s="59"/>
    </row>
    <row r="144" spans="1:25" ht="15.75">
      <c r="A144" s="118" t="s">
        <v>1111</v>
      </c>
      <c r="B144" s="21"/>
      <c r="C144" s="21"/>
      <c r="D144" s="21"/>
      <c r="E144" s="21"/>
      <c r="F144" s="21"/>
      <c r="G144" s="21"/>
      <c r="H144" s="22"/>
      <c r="I144" s="21"/>
      <c r="J144" s="21"/>
      <c r="K144" s="207"/>
      <c r="L144" s="21"/>
      <c r="M144" s="21"/>
      <c r="N144" s="21"/>
      <c r="O144" s="207"/>
      <c r="P144" s="21"/>
      <c r="Q144" s="21"/>
      <c r="R144" s="21"/>
      <c r="S144" s="316"/>
      <c r="T144" s="44"/>
      <c r="U144" s="21"/>
      <c r="V144" s="21"/>
      <c r="W144" s="207"/>
      <c r="X144" s="21"/>
      <c r="Y144" s="59"/>
    </row>
    <row r="145" spans="1:27">
      <c r="A145" s="45"/>
      <c r="B145" s="46"/>
      <c r="C145" s="46"/>
      <c r="D145" s="46"/>
      <c r="E145" s="46"/>
      <c r="F145" s="46"/>
      <c r="G145" s="46"/>
      <c r="H145" s="47"/>
      <c r="I145" s="47"/>
      <c r="J145" s="47"/>
      <c r="K145" s="301"/>
      <c r="L145" s="47"/>
      <c r="M145" s="47"/>
      <c r="N145" s="47"/>
      <c r="O145" s="301"/>
      <c r="P145" s="47"/>
      <c r="Q145" s="47"/>
      <c r="R145" s="47"/>
      <c r="S145" s="301"/>
      <c r="T145" s="47"/>
      <c r="U145" s="47"/>
      <c r="V145" s="47"/>
      <c r="W145" s="301"/>
      <c r="X145" s="47"/>
      <c r="Y145" s="59"/>
    </row>
    <row r="146" spans="1:27">
      <c r="A146" s="48"/>
      <c r="B146" s="21"/>
      <c r="C146" s="21"/>
      <c r="D146" s="21"/>
      <c r="E146" s="21"/>
      <c r="F146" s="21"/>
      <c r="G146" s="21"/>
      <c r="H146" s="22"/>
      <c r="I146" s="22"/>
      <c r="J146" s="22"/>
      <c r="K146" s="308"/>
      <c r="L146" s="22"/>
      <c r="M146" s="21"/>
      <c r="N146" s="21"/>
      <c r="O146" s="207"/>
      <c r="P146" s="21"/>
      <c r="Q146" s="21"/>
      <c r="R146" s="21"/>
      <c r="S146" s="316"/>
      <c r="T146" s="44"/>
      <c r="U146" s="21"/>
      <c r="V146" s="21"/>
      <c r="W146" s="207"/>
      <c r="X146" s="21"/>
      <c r="Y146" s="59"/>
    </row>
    <row r="147" spans="1:27">
      <c r="A147" s="29" t="s">
        <v>1041</v>
      </c>
      <c r="B147" s="116">
        <v>82442</v>
      </c>
      <c r="C147" s="126">
        <v>83279</v>
      </c>
      <c r="D147" s="116">
        <v>83284</v>
      </c>
      <c r="E147" s="127">
        <v>86192</v>
      </c>
      <c r="F147" s="127">
        <v>84489</v>
      </c>
      <c r="G147" s="126">
        <v>79616</v>
      </c>
      <c r="H147" s="127">
        <v>85118</v>
      </c>
      <c r="I147" s="126">
        <v>91411</v>
      </c>
      <c r="J147" s="126">
        <v>78334</v>
      </c>
      <c r="K147" s="125">
        <v>69425</v>
      </c>
      <c r="L147" s="126">
        <v>152368</v>
      </c>
      <c r="M147" s="126">
        <v>76483</v>
      </c>
      <c r="N147" s="126">
        <v>71751</v>
      </c>
      <c r="O147" s="125">
        <v>77870</v>
      </c>
      <c r="P147" s="126">
        <v>112265</v>
      </c>
      <c r="Q147" s="126">
        <v>113202</v>
      </c>
      <c r="R147" s="126">
        <v>115033</v>
      </c>
      <c r="S147" s="125">
        <v>88760</v>
      </c>
      <c r="T147" s="126">
        <v>92167</v>
      </c>
      <c r="U147" s="126">
        <v>84733</v>
      </c>
      <c r="V147" s="126">
        <v>100072</v>
      </c>
      <c r="W147" s="125">
        <v>67154</v>
      </c>
      <c r="X147" s="126">
        <f>136708-W147</f>
        <v>69554</v>
      </c>
      <c r="Y147" s="340">
        <f>+X147+W147</f>
        <v>136708</v>
      </c>
      <c r="Z147" s="341">
        <v>136708</v>
      </c>
      <c r="AA147" s="287">
        <f>+Y147-Z147</f>
        <v>0</v>
      </c>
    </row>
    <row r="148" spans="1:27">
      <c r="A148" s="33" t="s">
        <v>1042</v>
      </c>
      <c r="B148" s="116"/>
      <c r="C148" s="126"/>
      <c r="D148" s="116"/>
      <c r="E148" s="124"/>
      <c r="F148" s="124"/>
      <c r="G148" s="116"/>
      <c r="H148" s="127"/>
      <c r="I148" s="116"/>
      <c r="J148" s="116"/>
      <c r="K148" s="9"/>
      <c r="L148" s="116"/>
      <c r="M148" s="116"/>
      <c r="N148" s="116"/>
      <c r="O148" s="125"/>
      <c r="P148" s="126"/>
      <c r="Q148" s="116"/>
      <c r="R148" s="126"/>
      <c r="S148" s="9"/>
      <c r="T148" s="116"/>
      <c r="U148" s="116"/>
      <c r="V148" s="116"/>
      <c r="W148" s="9"/>
      <c r="X148" s="116"/>
      <c r="Y148" s="59"/>
    </row>
    <row r="149" spans="1:27">
      <c r="A149" s="33"/>
      <c r="B149" s="116"/>
      <c r="C149" s="126"/>
      <c r="D149" s="116"/>
      <c r="E149" s="124"/>
      <c r="F149" s="124"/>
      <c r="G149" s="116"/>
      <c r="H149" s="127"/>
      <c r="I149" s="116"/>
      <c r="J149" s="116"/>
      <c r="K149" s="9"/>
      <c r="L149" s="116"/>
      <c r="M149" s="116"/>
      <c r="N149" s="116"/>
      <c r="O149" s="125"/>
      <c r="P149" s="126"/>
      <c r="Q149" s="116"/>
      <c r="R149" s="126"/>
      <c r="S149" s="9"/>
      <c r="T149" s="116"/>
      <c r="U149" s="116"/>
      <c r="V149" s="116"/>
      <c r="W149" s="9"/>
      <c r="X149" s="116"/>
      <c r="Y149" s="59"/>
    </row>
    <row r="150" spans="1:27">
      <c r="A150" s="33" t="s">
        <v>1043</v>
      </c>
      <c r="B150" s="116"/>
      <c r="C150" s="126"/>
      <c r="D150" s="116"/>
      <c r="E150" s="124"/>
      <c r="F150" s="124"/>
      <c r="G150" s="116"/>
      <c r="H150" s="127"/>
      <c r="I150" s="116"/>
      <c r="J150" s="116"/>
      <c r="K150" s="9"/>
      <c r="L150" s="116"/>
      <c r="M150" s="116"/>
      <c r="N150" s="116"/>
      <c r="O150" s="125"/>
      <c r="P150" s="126"/>
      <c r="Q150" s="116"/>
      <c r="R150" s="126"/>
      <c r="S150" s="9"/>
      <c r="T150" s="116"/>
      <c r="U150" s="116"/>
      <c r="V150" s="116"/>
      <c r="W150" s="9"/>
      <c r="X150" s="116"/>
      <c r="Y150" s="59"/>
    </row>
    <row r="151" spans="1:27">
      <c r="A151" s="33" t="s">
        <v>999</v>
      </c>
      <c r="B151" s="116">
        <v>118981</v>
      </c>
      <c r="C151" s="126">
        <v>126992</v>
      </c>
      <c r="D151" s="116">
        <v>130751</v>
      </c>
      <c r="E151" s="127">
        <v>113857</v>
      </c>
      <c r="F151" s="127">
        <v>129304</v>
      </c>
      <c r="G151" s="126">
        <v>132175</v>
      </c>
      <c r="H151" s="127">
        <v>130452</v>
      </c>
      <c r="I151" s="126">
        <v>133526</v>
      </c>
      <c r="J151" s="126">
        <v>135778</v>
      </c>
      <c r="K151" s="125">
        <v>134565</v>
      </c>
      <c r="L151" s="126">
        <v>131820</v>
      </c>
      <c r="M151" s="126">
        <v>129840</v>
      </c>
      <c r="N151" s="152">
        <v>127281</v>
      </c>
      <c r="O151" s="125">
        <v>127784</v>
      </c>
      <c r="P151" s="126">
        <v>134311</v>
      </c>
      <c r="Q151" s="126">
        <v>136606</v>
      </c>
      <c r="R151" s="126">
        <v>137554</v>
      </c>
      <c r="S151" s="125">
        <v>135684</v>
      </c>
      <c r="T151" s="126">
        <v>130954</v>
      </c>
      <c r="U151" s="126">
        <v>128352</v>
      </c>
      <c r="V151" s="126">
        <v>128796</v>
      </c>
      <c r="W151" s="125">
        <v>127572</v>
      </c>
      <c r="X151" s="126">
        <v>128552</v>
      </c>
      <c r="Y151" s="340">
        <f>+X151+W151</f>
        <v>256124</v>
      </c>
    </row>
    <row r="152" spans="1:27">
      <c r="A152" s="33" t="s">
        <v>1049</v>
      </c>
      <c r="B152" s="116">
        <v>-1265</v>
      </c>
      <c r="C152" s="126">
        <v>-2059</v>
      </c>
      <c r="D152" s="126">
        <v>-2126</v>
      </c>
      <c r="E152" s="127">
        <v>-1929</v>
      </c>
      <c r="F152" s="127">
        <v>-953</v>
      </c>
      <c r="G152" s="126">
        <v>-1313</v>
      </c>
      <c r="H152" s="127">
        <v>-724</v>
      </c>
      <c r="I152" s="127">
        <v>-1270</v>
      </c>
      <c r="J152" s="127">
        <v>-1603</v>
      </c>
      <c r="K152" s="143">
        <v>-2073</v>
      </c>
      <c r="L152" s="127">
        <v>-2076</v>
      </c>
      <c r="M152" s="127">
        <v>-891</v>
      </c>
      <c r="N152" s="127">
        <v>-821</v>
      </c>
      <c r="O152" s="143">
        <v>0</v>
      </c>
      <c r="P152" s="127">
        <v>0</v>
      </c>
      <c r="Q152" s="124">
        <v>0</v>
      </c>
      <c r="R152" s="127">
        <v>-4349</v>
      </c>
      <c r="S152" s="143">
        <v>-3306</v>
      </c>
      <c r="T152" s="127">
        <v>-5389</v>
      </c>
      <c r="U152" s="126">
        <v>491</v>
      </c>
      <c r="V152" s="126">
        <v>-3841</v>
      </c>
      <c r="W152" s="125">
        <f>-4723+4088</f>
        <v>-635</v>
      </c>
      <c r="X152" s="126">
        <f>-9914+9602-W152</f>
        <v>323</v>
      </c>
      <c r="Y152" s="340">
        <f>+X152+W152</f>
        <v>-312</v>
      </c>
    </row>
    <row r="153" spans="1:27">
      <c r="A153" s="33" t="s">
        <v>1050</v>
      </c>
      <c r="B153" s="116"/>
      <c r="C153" s="116"/>
      <c r="D153" s="116"/>
      <c r="E153" s="124"/>
      <c r="F153" s="124"/>
      <c r="G153" s="126"/>
      <c r="H153" s="127"/>
      <c r="I153" s="116"/>
      <c r="J153" s="116"/>
      <c r="K153" s="9"/>
      <c r="L153" s="116"/>
      <c r="M153" s="126"/>
      <c r="N153" s="116"/>
      <c r="O153" s="125"/>
      <c r="P153" s="126"/>
      <c r="Q153" s="116"/>
      <c r="R153" s="126"/>
      <c r="S153" s="125"/>
      <c r="T153" s="116"/>
      <c r="U153" s="116"/>
      <c r="V153" s="116"/>
      <c r="W153" s="9"/>
      <c r="X153" s="116"/>
      <c r="Y153" s="59"/>
      <c r="Z153" s="59"/>
      <c r="AA153" s="59"/>
    </row>
    <row r="154" spans="1:27">
      <c r="A154" s="33" t="s">
        <v>1051</v>
      </c>
      <c r="B154" s="116">
        <v>60684</v>
      </c>
      <c r="C154" s="126">
        <v>26673</v>
      </c>
      <c r="D154" s="116">
        <v>30365</v>
      </c>
      <c r="E154" s="124">
        <v>18370</v>
      </c>
      <c r="F154" s="124">
        <v>-1034</v>
      </c>
      <c r="G154" s="126">
        <v>22141</v>
      </c>
      <c r="H154" s="127">
        <v>3806</v>
      </c>
      <c r="I154" s="126">
        <v>7471</v>
      </c>
      <c r="J154" s="126">
        <v>36112</v>
      </c>
      <c r="K154" s="125">
        <v>9522</v>
      </c>
      <c r="L154" s="126">
        <v>12830</v>
      </c>
      <c r="M154" s="127">
        <v>11361</v>
      </c>
      <c r="N154" s="126">
        <v>15972</v>
      </c>
      <c r="O154" s="125">
        <v>13371</v>
      </c>
      <c r="P154" s="126">
        <v>16634</v>
      </c>
      <c r="Q154" s="126">
        <v>13106</v>
      </c>
      <c r="R154" s="126">
        <v>-42093</v>
      </c>
      <c r="S154" s="125">
        <v>8357</v>
      </c>
      <c r="T154" s="126">
        <v>5068</v>
      </c>
      <c r="U154" s="126">
        <v>10532</v>
      </c>
      <c r="V154" s="126">
        <v>43561</v>
      </c>
      <c r="W154" s="125">
        <v>17249</v>
      </c>
      <c r="X154" s="126">
        <v>8582</v>
      </c>
      <c r="Y154" s="59"/>
      <c r="Z154" s="59"/>
      <c r="AA154" s="59"/>
    </row>
    <row r="155" spans="1:27">
      <c r="A155" s="33" t="s">
        <v>1052</v>
      </c>
      <c r="B155" s="116">
        <v>0</v>
      </c>
      <c r="C155" s="116">
        <v>0</v>
      </c>
      <c r="D155" s="116">
        <v>0</v>
      </c>
      <c r="E155" s="124">
        <v>0</v>
      </c>
      <c r="F155" s="124">
        <v>0</v>
      </c>
      <c r="G155" s="126">
        <v>0</v>
      </c>
      <c r="H155" s="127">
        <v>0</v>
      </c>
      <c r="I155" s="116">
        <v>0</v>
      </c>
      <c r="J155" s="116">
        <v>0</v>
      </c>
      <c r="K155" s="9">
        <v>0</v>
      </c>
      <c r="L155" s="126">
        <v>-118649</v>
      </c>
      <c r="M155" s="127">
        <v>0</v>
      </c>
      <c r="N155" s="116">
        <v>0</v>
      </c>
      <c r="O155" s="125">
        <v>0</v>
      </c>
      <c r="P155" s="126">
        <v>0</v>
      </c>
      <c r="Q155" s="126">
        <v>-10436</v>
      </c>
      <c r="R155" s="126">
        <v>-5207</v>
      </c>
      <c r="S155" s="125">
        <v>-4135</v>
      </c>
      <c r="T155" s="126">
        <v>-4506</v>
      </c>
      <c r="U155" s="126">
        <v>-3811</v>
      </c>
      <c r="V155" s="126">
        <v>0</v>
      </c>
      <c r="W155" s="125">
        <v>0</v>
      </c>
      <c r="X155" s="126"/>
      <c r="Y155" s="59"/>
      <c r="Z155" s="59"/>
      <c r="AA155" s="59"/>
    </row>
    <row r="156" spans="1:27">
      <c r="A156" s="33" t="s">
        <v>1053</v>
      </c>
      <c r="B156" s="116"/>
      <c r="C156" s="116"/>
      <c r="D156" s="116"/>
      <c r="E156" s="124"/>
      <c r="F156" s="124"/>
      <c r="G156" s="126"/>
      <c r="H156" s="127"/>
      <c r="I156" s="116"/>
      <c r="J156" s="116"/>
      <c r="K156" s="9"/>
      <c r="L156" s="116"/>
      <c r="M156" s="127"/>
      <c r="N156" s="116"/>
      <c r="O156" s="125"/>
      <c r="P156" s="126"/>
      <c r="Q156" s="116"/>
      <c r="R156" s="126"/>
      <c r="S156" s="125"/>
      <c r="T156" s="126"/>
      <c r="U156" s="116"/>
      <c r="V156" s="116"/>
      <c r="W156" s="9"/>
      <c r="X156" s="116"/>
      <c r="Y156" s="59"/>
      <c r="Z156" s="59"/>
      <c r="AA156" s="59"/>
    </row>
    <row r="157" spans="1:27">
      <c r="A157" s="33" t="s">
        <v>819</v>
      </c>
      <c r="B157" s="116">
        <v>10157</v>
      </c>
      <c r="C157" s="126">
        <v>22506</v>
      </c>
      <c r="D157" s="126">
        <v>-6518</v>
      </c>
      <c r="E157" s="127">
        <v>-23236</v>
      </c>
      <c r="F157" s="127">
        <v>10185</v>
      </c>
      <c r="G157" s="126">
        <v>6887</v>
      </c>
      <c r="H157" s="126">
        <v>973</v>
      </c>
      <c r="I157" s="126">
        <v>-10127</v>
      </c>
      <c r="J157" s="126">
        <v>-2366</v>
      </c>
      <c r="K157" s="143">
        <v>23618</v>
      </c>
      <c r="L157" s="127">
        <v>-1977</v>
      </c>
      <c r="M157" s="127">
        <v>-1500</v>
      </c>
      <c r="N157" s="127">
        <v>-12232</v>
      </c>
      <c r="O157" s="125">
        <v>15812</v>
      </c>
      <c r="P157" s="126">
        <v>8504</v>
      </c>
      <c r="Q157" s="126">
        <v>-19329</v>
      </c>
      <c r="R157" s="126">
        <v>10933</v>
      </c>
      <c r="S157" s="125">
        <v>4520</v>
      </c>
      <c r="T157" s="126">
        <v>-14135</v>
      </c>
      <c r="U157" s="126">
        <v>17917</v>
      </c>
      <c r="V157" s="126">
        <v>-16280</v>
      </c>
      <c r="W157" s="125">
        <v>36098</v>
      </c>
      <c r="X157" s="126">
        <f>31192-W157</f>
        <v>-4906</v>
      </c>
      <c r="Y157" s="59"/>
      <c r="Z157" s="59"/>
      <c r="AA157" s="59"/>
    </row>
    <row r="158" spans="1:27">
      <c r="A158" s="33" t="s">
        <v>837</v>
      </c>
      <c r="B158" s="116">
        <v>-5960</v>
      </c>
      <c r="C158" s="126">
        <v>14559</v>
      </c>
      <c r="D158" s="126">
        <v>10053</v>
      </c>
      <c r="E158" s="127">
        <v>7130</v>
      </c>
      <c r="F158" s="127">
        <v>-16228</v>
      </c>
      <c r="G158" s="126">
        <v>-94</v>
      </c>
      <c r="H158" s="127">
        <v>-142</v>
      </c>
      <c r="I158" s="127">
        <v>-32991</v>
      </c>
      <c r="J158" s="124">
        <v>0</v>
      </c>
      <c r="K158" s="143">
        <v>-4634</v>
      </c>
      <c r="L158" s="127">
        <v>2081</v>
      </c>
      <c r="M158" s="127">
        <v>6339</v>
      </c>
      <c r="N158" s="127">
        <v>21120</v>
      </c>
      <c r="O158" s="143">
        <v>-2585</v>
      </c>
      <c r="P158" s="127">
        <v>3691</v>
      </c>
      <c r="Q158" s="127">
        <v>-37271</v>
      </c>
      <c r="R158" s="127">
        <v>22467</v>
      </c>
      <c r="S158" s="143">
        <v>-12073</v>
      </c>
      <c r="T158" s="127">
        <v>5792</v>
      </c>
      <c r="U158" s="126">
        <v>-16026</v>
      </c>
      <c r="V158" s="126">
        <v>36350</v>
      </c>
      <c r="W158" s="125">
        <v>-9868</v>
      </c>
      <c r="X158" s="126">
        <f>4761-W158</f>
        <v>14629</v>
      </c>
      <c r="Y158" s="59"/>
      <c r="Z158" s="59"/>
      <c r="AA158" s="59"/>
    </row>
    <row r="159" spans="1:27">
      <c r="A159" s="33" t="s">
        <v>1054</v>
      </c>
      <c r="B159" s="116">
        <v>29782</v>
      </c>
      <c r="C159" s="126">
        <v>19921</v>
      </c>
      <c r="D159" s="116">
        <v>-25643</v>
      </c>
      <c r="E159" s="124">
        <v>30903</v>
      </c>
      <c r="F159" s="124">
        <v>1859</v>
      </c>
      <c r="G159" s="126">
        <v>36540</v>
      </c>
      <c r="H159" s="127">
        <v>-24356</v>
      </c>
      <c r="I159" s="127">
        <v>63538</v>
      </c>
      <c r="J159" s="124">
        <v>0</v>
      </c>
      <c r="K159" s="143">
        <v>-37072</v>
      </c>
      <c r="L159" s="127">
        <v>8959</v>
      </c>
      <c r="M159" s="127">
        <v>-2740</v>
      </c>
      <c r="N159" s="127">
        <v>-18882</v>
      </c>
      <c r="O159" s="143">
        <v>35695</v>
      </c>
      <c r="P159" s="127">
        <v>-8624</v>
      </c>
      <c r="Q159" s="127">
        <v>22590</v>
      </c>
      <c r="R159" s="127">
        <v>-38057</v>
      </c>
      <c r="S159" s="143">
        <v>9699</v>
      </c>
      <c r="T159" s="127">
        <v>-42328</v>
      </c>
      <c r="U159" s="126">
        <v>7413</v>
      </c>
      <c r="V159" s="126">
        <v>-39562</v>
      </c>
      <c r="W159" s="125">
        <v>19103</v>
      </c>
      <c r="X159" s="126">
        <f>31094-W159</f>
        <v>11991</v>
      </c>
      <c r="Y159" s="59"/>
      <c r="Z159" s="59"/>
      <c r="AA159" s="59"/>
    </row>
    <row r="160" spans="1:27">
      <c r="A160" s="33" t="s">
        <v>1055</v>
      </c>
      <c r="B160" s="116">
        <v>-1542</v>
      </c>
      <c r="C160" s="126">
        <v>709</v>
      </c>
      <c r="D160" s="116">
        <v>-3317</v>
      </c>
      <c r="E160" s="124">
        <v>-1175</v>
      </c>
      <c r="F160" s="124">
        <v>16614</v>
      </c>
      <c r="G160" s="126">
        <v>-15710</v>
      </c>
      <c r="H160" s="127">
        <v>14856</v>
      </c>
      <c r="I160" s="126">
        <v>-10007</v>
      </c>
      <c r="J160" s="116">
        <v>0</v>
      </c>
      <c r="K160" s="143">
        <v>-13892</v>
      </c>
      <c r="L160" s="127">
        <v>22611</v>
      </c>
      <c r="M160" s="127">
        <v>-16034</v>
      </c>
      <c r="N160" s="127">
        <v>17584</v>
      </c>
      <c r="O160" s="125">
        <v>-15030</v>
      </c>
      <c r="P160" s="126">
        <v>33372</v>
      </c>
      <c r="Q160" s="126">
        <v>-8311</v>
      </c>
      <c r="R160" s="126">
        <v>13751</v>
      </c>
      <c r="S160" s="125">
        <v>-14423</v>
      </c>
      <c r="T160" s="126">
        <v>5922</v>
      </c>
      <c r="U160" s="126">
        <v>-5967</v>
      </c>
      <c r="V160" s="126">
        <v>-1144</v>
      </c>
      <c r="W160" s="125">
        <v>-12302</v>
      </c>
      <c r="X160" s="126">
        <f>-3425-W160</f>
        <v>8877</v>
      </c>
      <c r="Y160" s="59"/>
      <c r="Z160" s="59"/>
      <c r="AA160" s="59"/>
    </row>
    <row r="161" spans="1:27">
      <c r="A161" s="33" t="s">
        <v>1056</v>
      </c>
      <c r="B161" s="116">
        <v>-5248</v>
      </c>
      <c r="C161" s="126">
        <v>-11032</v>
      </c>
      <c r="D161" s="116">
        <v>-6877</v>
      </c>
      <c r="E161" s="124">
        <v>-8565</v>
      </c>
      <c r="F161" s="124">
        <v>-5240</v>
      </c>
      <c r="G161" s="126">
        <v>-1358</v>
      </c>
      <c r="H161" s="127">
        <v>-119</v>
      </c>
      <c r="I161" s="126">
        <v>-2730</v>
      </c>
      <c r="J161" s="126">
        <v>6180</v>
      </c>
      <c r="K161" s="125">
        <v>-2193</v>
      </c>
      <c r="L161" s="126">
        <v>3162</v>
      </c>
      <c r="M161" s="126">
        <v>4427</v>
      </c>
      <c r="N161" s="126">
        <v>3682</v>
      </c>
      <c r="O161" s="125">
        <v>1032</v>
      </c>
      <c r="P161" s="126">
        <v>2621</v>
      </c>
      <c r="Q161" s="126">
        <v>4400</v>
      </c>
      <c r="R161" s="126">
        <v>4665</v>
      </c>
      <c r="S161" s="125">
        <v>-789</v>
      </c>
      <c r="T161" s="126">
        <v>3043</v>
      </c>
      <c r="U161" s="126">
        <v>3854</v>
      </c>
      <c r="V161" s="126">
        <v>3636</v>
      </c>
      <c r="W161" s="125">
        <v>-306</v>
      </c>
      <c r="X161" s="148">
        <v>2848</v>
      </c>
      <c r="Y161" s="59"/>
      <c r="Z161" s="59"/>
      <c r="AA161" s="59"/>
    </row>
    <row r="162" spans="1:27">
      <c r="A162" s="33" t="s">
        <v>1057</v>
      </c>
      <c r="B162" s="116">
        <v>-13198</v>
      </c>
      <c r="C162" s="126">
        <v>-3949</v>
      </c>
      <c r="D162" s="116">
        <v>405</v>
      </c>
      <c r="E162" s="116">
        <v>-1152</v>
      </c>
      <c r="F162" s="124">
        <v>-1524</v>
      </c>
      <c r="G162" s="126">
        <v>-729</v>
      </c>
      <c r="H162" s="127">
        <v>145</v>
      </c>
      <c r="I162" s="126">
        <v>3080</v>
      </c>
      <c r="J162" s="126">
        <v>142</v>
      </c>
      <c r="K162" s="125">
        <v>957</v>
      </c>
      <c r="L162" s="126">
        <v>593</v>
      </c>
      <c r="M162" s="126">
        <v>-2052</v>
      </c>
      <c r="N162" s="126">
        <v>1211</v>
      </c>
      <c r="O162" s="125">
        <v>-401</v>
      </c>
      <c r="P162" s="126">
        <v>-11266</v>
      </c>
      <c r="Q162" s="126">
        <v>-2542</v>
      </c>
      <c r="R162" s="126">
        <v>-6572</v>
      </c>
      <c r="S162" s="125">
        <v>-2790</v>
      </c>
      <c r="T162" s="126">
        <v>-2689</v>
      </c>
      <c r="U162" s="126">
        <v>1501</v>
      </c>
      <c r="V162" s="126">
        <v>-23583</v>
      </c>
      <c r="W162" s="125">
        <v>-2779</v>
      </c>
      <c r="X162" s="148">
        <v>-2044</v>
      </c>
      <c r="Y162" s="59"/>
      <c r="Z162" s="59"/>
      <c r="AA162" s="59"/>
    </row>
    <row r="163" spans="1:27">
      <c r="A163" s="33" t="s">
        <v>1058</v>
      </c>
      <c r="B163" s="116">
        <v>-35291</v>
      </c>
      <c r="C163" s="126">
        <v>5841</v>
      </c>
      <c r="D163" s="116">
        <v>9541</v>
      </c>
      <c r="E163" s="116">
        <v>12041</v>
      </c>
      <c r="F163" s="124">
        <v>2565</v>
      </c>
      <c r="G163" s="126">
        <v>-1336</v>
      </c>
      <c r="H163" s="127">
        <v>12085</v>
      </c>
      <c r="I163" s="126">
        <v>12555</v>
      </c>
      <c r="J163" s="126">
        <v>-21207</v>
      </c>
      <c r="K163" s="125">
        <v>5807</v>
      </c>
      <c r="L163" s="126">
        <v>10565</v>
      </c>
      <c r="M163" s="126">
        <v>10958</v>
      </c>
      <c r="N163" s="126">
        <v>-8455</v>
      </c>
      <c r="O163" s="125">
        <v>5162</v>
      </c>
      <c r="P163" s="126">
        <v>7807</v>
      </c>
      <c r="Q163" s="126">
        <v>19393</v>
      </c>
      <c r="R163" s="126">
        <v>32428</v>
      </c>
      <c r="S163" s="125">
        <v>20706</v>
      </c>
      <c r="T163" s="126">
        <v>22878</v>
      </c>
      <c r="U163" s="126">
        <v>11257</v>
      </c>
      <c r="V163" s="126">
        <v>-41938</v>
      </c>
      <c r="W163" s="125">
        <f>4487+8226-23497-335</f>
        <v>-11119</v>
      </c>
      <c r="X163" s="148">
        <f>9859+7944-14537-753-W163</f>
        <v>13632</v>
      </c>
      <c r="Y163" s="59"/>
      <c r="Z163" s="59"/>
      <c r="AA163" s="59"/>
    </row>
    <row r="164" spans="1:27">
      <c r="A164" s="24" t="s">
        <v>1059</v>
      </c>
      <c r="B164" s="130">
        <v>239542</v>
      </c>
      <c r="C164" s="130">
        <v>283440</v>
      </c>
      <c r="D164" s="130">
        <f t="shared" ref="D164:N164" si="27">SUM(D147:D163)</f>
        <v>219918</v>
      </c>
      <c r="E164" s="130">
        <f t="shared" si="27"/>
        <v>232436</v>
      </c>
      <c r="F164" s="138">
        <f t="shared" si="27"/>
        <v>220037</v>
      </c>
      <c r="G164" s="130">
        <f t="shared" si="27"/>
        <v>256819</v>
      </c>
      <c r="H164" s="138">
        <f t="shared" si="27"/>
        <v>222094</v>
      </c>
      <c r="I164" s="130">
        <f t="shared" si="27"/>
        <v>254456</v>
      </c>
      <c r="J164" s="130">
        <f t="shared" si="27"/>
        <v>231370</v>
      </c>
      <c r="K164" s="140">
        <f t="shared" si="27"/>
        <v>184030</v>
      </c>
      <c r="L164" s="130">
        <f t="shared" si="27"/>
        <v>222287</v>
      </c>
      <c r="M164" s="130">
        <f t="shared" si="27"/>
        <v>216191</v>
      </c>
      <c r="N164" s="130">
        <f t="shared" si="27"/>
        <v>218211</v>
      </c>
      <c r="O164" s="140">
        <f t="shared" ref="O164:U164" si="28">SUM(O147:O163)</f>
        <v>258710</v>
      </c>
      <c r="P164" s="130">
        <f t="shared" si="28"/>
        <v>299315</v>
      </c>
      <c r="Q164" s="130">
        <f t="shared" si="28"/>
        <v>231408</v>
      </c>
      <c r="R164" s="130">
        <f t="shared" si="28"/>
        <v>240553</v>
      </c>
      <c r="S164" s="140">
        <f t="shared" si="28"/>
        <v>230210</v>
      </c>
      <c r="T164" s="134">
        <f t="shared" si="28"/>
        <v>196777</v>
      </c>
      <c r="U164" s="130">
        <f t="shared" si="28"/>
        <v>240246</v>
      </c>
      <c r="V164" s="130">
        <f>SUM(V147:V163)</f>
        <v>186067</v>
      </c>
      <c r="W164" s="140">
        <f>SUM(W147:W163)</f>
        <v>230167</v>
      </c>
      <c r="X164" s="134">
        <f>SUM(X147:X163)</f>
        <v>252038</v>
      </c>
      <c r="Y164" s="59"/>
      <c r="Z164" s="59"/>
      <c r="AA164" s="59"/>
    </row>
    <row r="165" spans="1:27">
      <c r="A165" s="29"/>
      <c r="B165" s="116"/>
      <c r="C165" s="116"/>
      <c r="D165" s="116"/>
      <c r="E165" s="116"/>
      <c r="F165" s="124"/>
      <c r="G165" s="116"/>
      <c r="H165" s="124"/>
      <c r="I165" s="116"/>
      <c r="J165" s="116"/>
      <c r="K165" s="9"/>
      <c r="L165" s="116"/>
      <c r="M165" s="116"/>
      <c r="N165" s="116"/>
      <c r="O165" s="9"/>
      <c r="P165" s="116"/>
      <c r="Q165" s="116"/>
      <c r="R165" s="116"/>
      <c r="S165" s="9"/>
      <c r="T165" s="116"/>
      <c r="U165" s="116"/>
      <c r="V165" s="116"/>
      <c r="W165" s="9"/>
      <c r="X165" s="8"/>
      <c r="Y165" s="59"/>
      <c r="Z165" s="59"/>
      <c r="AA165" s="59"/>
    </row>
    <row r="166" spans="1:27">
      <c r="A166" s="24" t="s">
        <v>1060</v>
      </c>
      <c r="B166" s="116"/>
      <c r="C166" s="116"/>
      <c r="D166" s="116"/>
      <c r="E166" s="116"/>
      <c r="F166" s="124"/>
      <c r="G166" s="116"/>
      <c r="H166" s="124"/>
      <c r="I166" s="116"/>
      <c r="J166" s="116"/>
      <c r="K166" s="9"/>
      <c r="L166" s="116"/>
      <c r="M166" s="116"/>
      <c r="N166" s="116"/>
      <c r="O166" s="9"/>
      <c r="P166" s="116"/>
      <c r="Q166" s="116"/>
      <c r="R166" s="126"/>
      <c r="S166" s="9"/>
      <c r="T166" s="116"/>
      <c r="U166" s="116"/>
      <c r="V166" s="116"/>
      <c r="W166" s="9"/>
      <c r="X166" s="8"/>
      <c r="Y166" s="59"/>
      <c r="Z166" s="59"/>
      <c r="AA166" s="59"/>
    </row>
    <row r="167" spans="1:27">
      <c r="A167" s="158" t="s">
        <v>1061</v>
      </c>
      <c r="B167" s="127">
        <v>-48298</v>
      </c>
      <c r="C167" s="127">
        <v>0</v>
      </c>
      <c r="D167" s="127">
        <v>-2000</v>
      </c>
      <c r="E167" s="127">
        <v>0</v>
      </c>
      <c r="F167" s="127">
        <v>0</v>
      </c>
      <c r="G167" s="127">
        <v>0</v>
      </c>
      <c r="H167" s="127">
        <v>-73152</v>
      </c>
      <c r="I167" s="126">
        <v>-2272</v>
      </c>
      <c r="J167" s="126">
        <v>-29</v>
      </c>
      <c r="K167" s="125">
        <v>0</v>
      </c>
      <c r="L167" s="126">
        <v>0</v>
      </c>
      <c r="M167" s="126">
        <v>0</v>
      </c>
      <c r="N167" s="126">
        <v>0</v>
      </c>
      <c r="O167" s="125">
        <v>0</v>
      </c>
      <c r="P167" s="126">
        <v>-307424</v>
      </c>
      <c r="Q167" s="126">
        <v>659</v>
      </c>
      <c r="R167" s="126">
        <v>-40</v>
      </c>
      <c r="S167" s="125">
        <v>-25000</v>
      </c>
      <c r="T167" s="126">
        <v>-123964</v>
      </c>
      <c r="U167" s="126">
        <v>0</v>
      </c>
      <c r="V167" s="126">
        <v>0</v>
      </c>
      <c r="W167" s="125">
        <v>0</v>
      </c>
      <c r="X167" s="126"/>
      <c r="Y167" s="59"/>
      <c r="Z167" s="59"/>
      <c r="AA167" s="59"/>
    </row>
    <row r="168" spans="1:27">
      <c r="A168" s="158" t="s">
        <v>1062</v>
      </c>
      <c r="B168" s="127">
        <v>-121480</v>
      </c>
      <c r="C168" s="127">
        <v>-61745</v>
      </c>
      <c r="D168" s="127">
        <v>-94269</v>
      </c>
      <c r="E168" s="127">
        <v>-97583</v>
      </c>
      <c r="F168" s="127">
        <v>-131719</v>
      </c>
      <c r="G168" s="127">
        <v>-74903</v>
      </c>
      <c r="H168" s="127">
        <v>-102011</v>
      </c>
      <c r="I168" s="126">
        <v>-105044</v>
      </c>
      <c r="J168" s="126">
        <v>-132914</v>
      </c>
      <c r="K168" s="125">
        <v>-60088</v>
      </c>
      <c r="L168" s="126">
        <v>-70367</v>
      </c>
      <c r="M168" s="126">
        <v>-82579</v>
      </c>
      <c r="N168" s="126">
        <v>-101037</v>
      </c>
      <c r="O168" s="125">
        <v>-48880</v>
      </c>
      <c r="P168" s="126">
        <v>-57976</v>
      </c>
      <c r="Q168" s="126">
        <v>-77445</v>
      </c>
      <c r="R168" s="126">
        <v>-141744</v>
      </c>
      <c r="S168" s="125">
        <v>-54739</v>
      </c>
      <c r="T168" s="126">
        <v>-59659</v>
      </c>
      <c r="U168" s="126">
        <v>-70606</v>
      </c>
      <c r="V168" s="126">
        <v>-101813</v>
      </c>
      <c r="W168" s="125">
        <v>-45496</v>
      </c>
      <c r="X168" s="126">
        <v>-85305</v>
      </c>
      <c r="Y168" s="59"/>
      <c r="Z168" s="59"/>
      <c r="AA168" s="59"/>
    </row>
    <row r="169" spans="1:27">
      <c r="A169" s="158" t="s">
        <v>1063</v>
      </c>
      <c r="B169" s="127">
        <v>0</v>
      </c>
      <c r="C169" s="127">
        <v>0</v>
      </c>
      <c r="D169" s="127">
        <v>0</v>
      </c>
      <c r="E169" s="127">
        <v>0</v>
      </c>
      <c r="F169" s="127">
        <v>0</v>
      </c>
      <c r="G169" s="127">
        <v>0</v>
      </c>
      <c r="H169" s="127">
        <v>0</v>
      </c>
      <c r="I169" s="126">
        <v>0</v>
      </c>
      <c r="J169" s="126">
        <v>0</v>
      </c>
      <c r="K169" s="125">
        <v>0</v>
      </c>
      <c r="L169" s="126">
        <v>128684</v>
      </c>
      <c r="M169" s="126">
        <v>0</v>
      </c>
      <c r="N169" s="126">
        <v>0</v>
      </c>
      <c r="O169" s="125">
        <v>0</v>
      </c>
      <c r="P169" s="126">
        <v>0</v>
      </c>
      <c r="Q169" s="126">
        <v>8231</v>
      </c>
      <c r="R169" s="126">
        <v>0</v>
      </c>
      <c r="S169" s="125">
        <v>4209</v>
      </c>
      <c r="T169" s="126">
        <v>34945</v>
      </c>
      <c r="U169" s="126">
        <v>-4209</v>
      </c>
      <c r="V169" s="126">
        <v>0</v>
      </c>
      <c r="W169" s="125">
        <v>0</v>
      </c>
      <c r="X169" s="126"/>
      <c r="Y169" s="59"/>
      <c r="Z169" s="59"/>
      <c r="AA169" s="59"/>
    </row>
    <row r="170" spans="1:27">
      <c r="A170" s="158" t="s">
        <v>1064</v>
      </c>
      <c r="B170" s="116"/>
      <c r="C170" s="126"/>
      <c r="D170" s="116"/>
      <c r="E170" s="124"/>
      <c r="F170" s="124"/>
      <c r="G170" s="116"/>
      <c r="H170" s="126"/>
      <c r="I170" s="116"/>
      <c r="J170" s="116"/>
      <c r="K170" s="125"/>
      <c r="L170" s="126"/>
      <c r="M170" s="116"/>
      <c r="N170" s="116"/>
      <c r="O170" s="125"/>
      <c r="P170" s="126"/>
      <c r="Q170" s="116"/>
      <c r="R170" s="126"/>
      <c r="S170" s="125"/>
      <c r="T170" s="116"/>
      <c r="U170" s="116"/>
      <c r="V170" s="116"/>
      <c r="W170" s="9"/>
      <c r="X170" s="116"/>
      <c r="Y170" s="59"/>
      <c r="Z170" s="59"/>
      <c r="AA170" s="59"/>
    </row>
    <row r="171" spans="1:27">
      <c r="A171" s="158" t="s">
        <v>1065</v>
      </c>
      <c r="B171" s="116">
        <v>0</v>
      </c>
      <c r="C171" s="126">
        <v>490</v>
      </c>
      <c r="D171" s="116">
        <v>3743</v>
      </c>
      <c r="E171" s="124">
        <v>2026</v>
      </c>
      <c r="F171" s="124">
        <v>1960</v>
      </c>
      <c r="G171" s="126">
        <v>0</v>
      </c>
      <c r="H171" s="127">
        <v>2339</v>
      </c>
      <c r="I171" s="126">
        <v>0</v>
      </c>
      <c r="J171" s="126">
        <v>0</v>
      </c>
      <c r="K171" s="125">
        <v>-5222</v>
      </c>
      <c r="L171" s="126">
        <v>0</v>
      </c>
      <c r="M171" s="126">
        <v>0</v>
      </c>
      <c r="N171" s="116"/>
      <c r="O171" s="125"/>
      <c r="P171" s="126"/>
      <c r="Q171" s="116"/>
      <c r="R171" s="126">
        <v>-2667</v>
      </c>
      <c r="S171" s="125"/>
      <c r="T171" s="116"/>
      <c r="U171" s="116"/>
      <c r="V171" s="116"/>
      <c r="W171" s="9"/>
      <c r="X171" s="116"/>
      <c r="Y171" s="59"/>
      <c r="Z171" s="59"/>
      <c r="AA171" s="59"/>
    </row>
    <row r="172" spans="1:27">
      <c r="A172" s="158" t="s">
        <v>1066</v>
      </c>
      <c r="B172" s="116"/>
      <c r="C172" s="126"/>
      <c r="D172" s="116"/>
      <c r="E172" s="124"/>
      <c r="F172" s="124"/>
      <c r="G172" s="116"/>
      <c r="H172" s="127"/>
      <c r="I172" s="116"/>
      <c r="J172" s="116"/>
      <c r="K172" s="125"/>
      <c r="L172" s="126"/>
      <c r="M172" s="116"/>
      <c r="N172" s="116"/>
      <c r="O172" s="125"/>
      <c r="P172" s="126"/>
      <c r="Q172" s="116"/>
      <c r="R172" s="126"/>
      <c r="S172" s="125"/>
      <c r="T172" s="116"/>
      <c r="U172" s="116"/>
      <c r="V172" s="116"/>
      <c r="W172" s="9"/>
      <c r="X172" s="116"/>
      <c r="Y172" s="59"/>
      <c r="Z172" s="59"/>
      <c r="AA172" s="59"/>
    </row>
    <row r="173" spans="1:27">
      <c r="A173" s="158" t="s">
        <v>1067</v>
      </c>
      <c r="B173" s="116"/>
      <c r="C173" s="126"/>
      <c r="D173" s="116"/>
      <c r="E173" s="124"/>
      <c r="F173" s="124"/>
      <c r="G173" s="116"/>
      <c r="H173" s="127"/>
      <c r="I173" s="116"/>
      <c r="J173" s="116"/>
      <c r="K173" s="125"/>
      <c r="L173" s="126"/>
      <c r="M173" s="116"/>
      <c r="N173" s="116"/>
      <c r="O173" s="125"/>
      <c r="P173" s="126"/>
      <c r="Q173" s="116"/>
      <c r="R173" s="126"/>
      <c r="S173" s="125"/>
      <c r="T173" s="116"/>
      <c r="U173" s="116"/>
      <c r="V173" s="116"/>
      <c r="W173" s="9"/>
      <c r="X173" s="116"/>
      <c r="Y173" s="59"/>
      <c r="Z173" s="59"/>
      <c r="AA173" s="59"/>
    </row>
    <row r="174" spans="1:27">
      <c r="A174" s="158" t="s">
        <v>1058</v>
      </c>
      <c r="B174" s="116">
        <v>3624</v>
      </c>
      <c r="C174" s="126">
        <v>-511</v>
      </c>
      <c r="D174" s="116">
        <v>-2790</v>
      </c>
      <c r="E174" s="124">
        <v>-28067</v>
      </c>
      <c r="F174" s="124">
        <v>-2846</v>
      </c>
      <c r="G174" s="126">
        <v>-2716</v>
      </c>
      <c r="H174" s="127">
        <v>-239</v>
      </c>
      <c r="I174" s="126">
        <v>5886</v>
      </c>
      <c r="J174" s="126">
        <v>3663</v>
      </c>
      <c r="K174" s="125">
        <v>-408</v>
      </c>
      <c r="L174" s="126">
        <v>-888</v>
      </c>
      <c r="M174" s="126">
        <v>-569</v>
      </c>
      <c r="N174" s="126">
        <v>-1257</v>
      </c>
      <c r="O174" s="125">
        <v>-1635</v>
      </c>
      <c r="P174" s="126">
        <v>3158</v>
      </c>
      <c r="Q174" s="126">
        <v>-1120</v>
      </c>
      <c r="R174" s="126">
        <v>7695</v>
      </c>
      <c r="S174" s="125">
        <v>-2017</v>
      </c>
      <c r="T174" s="126">
        <v>147</v>
      </c>
      <c r="U174" s="116">
        <v>14112</v>
      </c>
      <c r="V174" s="116">
        <v>-401</v>
      </c>
      <c r="W174" s="125">
        <v>128</v>
      </c>
      <c r="X174" s="126">
        <f>210-W174</f>
        <v>82</v>
      </c>
      <c r="Y174" s="59"/>
      <c r="Z174" s="59"/>
      <c r="AA174" s="59"/>
    </row>
    <row r="175" spans="1:27">
      <c r="A175" s="24" t="s">
        <v>1068</v>
      </c>
      <c r="B175" s="130">
        <v>-166154</v>
      </c>
      <c r="C175" s="130">
        <v>-61766</v>
      </c>
      <c r="D175" s="130">
        <f t="shared" ref="D175:T175" si="29">SUM(D167:D174)</f>
        <v>-95316</v>
      </c>
      <c r="E175" s="130">
        <f t="shared" si="29"/>
        <v>-123624</v>
      </c>
      <c r="F175" s="138">
        <f t="shared" si="29"/>
        <v>-132605</v>
      </c>
      <c r="G175" s="130">
        <f t="shared" si="29"/>
        <v>-77619</v>
      </c>
      <c r="H175" s="138">
        <f t="shared" si="29"/>
        <v>-173063</v>
      </c>
      <c r="I175" s="130">
        <f t="shared" si="29"/>
        <v>-101430</v>
      </c>
      <c r="J175" s="130">
        <f t="shared" si="29"/>
        <v>-129280</v>
      </c>
      <c r="K175" s="140">
        <f t="shared" si="29"/>
        <v>-65718</v>
      </c>
      <c r="L175" s="130">
        <f t="shared" si="29"/>
        <v>57429</v>
      </c>
      <c r="M175" s="130">
        <f t="shared" si="29"/>
        <v>-83148</v>
      </c>
      <c r="N175" s="130">
        <f t="shared" si="29"/>
        <v>-102294</v>
      </c>
      <c r="O175" s="140">
        <f t="shared" si="29"/>
        <v>-50515</v>
      </c>
      <c r="P175" s="130">
        <f t="shared" si="29"/>
        <v>-362242</v>
      </c>
      <c r="Q175" s="130">
        <f t="shared" si="29"/>
        <v>-69675</v>
      </c>
      <c r="R175" s="130">
        <f t="shared" si="29"/>
        <v>-136756</v>
      </c>
      <c r="S175" s="140">
        <f t="shared" si="29"/>
        <v>-77547</v>
      </c>
      <c r="T175" s="130">
        <f t="shared" si="29"/>
        <v>-148531</v>
      </c>
      <c r="U175" s="130">
        <f>SUM(U167:U174)</f>
        <v>-60703</v>
      </c>
      <c r="V175" s="130">
        <f>SUM(V167:V174)</f>
        <v>-102214</v>
      </c>
      <c r="W175" s="140">
        <f>SUM(W167:W174)</f>
        <v>-45368</v>
      </c>
      <c r="X175" s="130">
        <f>SUM(X167:X174)</f>
        <v>-85223</v>
      </c>
      <c r="Y175" s="59"/>
      <c r="Z175" s="59"/>
      <c r="AA175" s="59"/>
    </row>
    <row r="176" spans="1:27">
      <c r="A176" s="33"/>
      <c r="B176" s="116"/>
      <c r="C176" s="116"/>
      <c r="D176" s="116"/>
      <c r="E176" s="116"/>
      <c r="F176" s="124"/>
      <c r="G176" s="116"/>
      <c r="H176" s="124"/>
      <c r="I176" s="116"/>
      <c r="J176" s="116"/>
      <c r="K176" s="9"/>
      <c r="L176" s="116"/>
      <c r="M176" s="116"/>
      <c r="N176" s="116"/>
      <c r="O176" s="9"/>
      <c r="P176" s="116"/>
      <c r="Q176" s="116"/>
      <c r="R176" s="116"/>
      <c r="S176" s="9"/>
      <c r="T176" s="116"/>
      <c r="U176" s="116"/>
      <c r="V176" s="116"/>
      <c r="W176" s="9"/>
      <c r="X176" s="116"/>
      <c r="Y176" s="59"/>
      <c r="Z176" s="59"/>
      <c r="AA176" s="59"/>
    </row>
    <row r="177" spans="1:27">
      <c r="A177" s="24" t="s">
        <v>1073</v>
      </c>
      <c r="B177" s="116"/>
      <c r="C177" s="116"/>
      <c r="D177" s="116"/>
      <c r="E177" s="116"/>
      <c r="F177" s="124"/>
      <c r="G177" s="116"/>
      <c r="H177" s="127"/>
      <c r="I177" s="116"/>
      <c r="J177" s="116"/>
      <c r="K177" s="9"/>
      <c r="L177" s="116"/>
      <c r="M177" s="116"/>
      <c r="N177" s="116"/>
      <c r="O177" s="9"/>
      <c r="P177" s="116"/>
      <c r="Q177" s="116"/>
      <c r="R177" s="116"/>
      <c r="S177" s="9"/>
      <c r="T177" s="116"/>
      <c r="U177" s="116"/>
      <c r="V177" s="116"/>
      <c r="W177" s="9"/>
      <c r="X177" s="116"/>
      <c r="Y177" s="59"/>
      <c r="Z177" s="59"/>
      <c r="AA177" s="59"/>
    </row>
    <row r="178" spans="1:27">
      <c r="A178" s="158" t="s">
        <v>1074</v>
      </c>
      <c r="B178" s="116">
        <v>-26027</v>
      </c>
      <c r="C178" s="126">
        <v>-7029</v>
      </c>
      <c r="D178" s="116">
        <v>-155695</v>
      </c>
      <c r="E178" s="124">
        <v>-5687</v>
      </c>
      <c r="F178" s="124">
        <v>-10982</v>
      </c>
      <c r="G178" s="126">
        <v>-159254</v>
      </c>
      <c r="H178" s="127">
        <v>-8198</v>
      </c>
      <c r="I178" s="126">
        <v>-4468</v>
      </c>
      <c r="J178" s="126">
        <v>-177252</v>
      </c>
      <c r="K178" s="125">
        <v>282998</v>
      </c>
      <c r="L178" s="126">
        <v>-295557</v>
      </c>
      <c r="M178" s="126">
        <v>-26387</v>
      </c>
      <c r="N178" s="126">
        <v>-20049</v>
      </c>
      <c r="O178" s="125">
        <v>696916</v>
      </c>
      <c r="P178" s="126">
        <v>-558208</v>
      </c>
      <c r="Q178" s="126">
        <v>-106213</v>
      </c>
      <c r="R178" s="126">
        <v>-3635</v>
      </c>
      <c r="S178" s="125">
        <v>-70058</v>
      </c>
      <c r="T178" s="126">
        <v>94833</v>
      </c>
      <c r="U178" s="126">
        <v>283036</v>
      </c>
      <c r="V178" s="126">
        <v>-30097</v>
      </c>
      <c r="W178" s="125">
        <v>-291976</v>
      </c>
      <c r="X178" s="126">
        <f>+X38-W38+X45-W45</f>
        <v>-102690</v>
      </c>
      <c r="Y178" s="59"/>
      <c r="Z178" s="59"/>
      <c r="AA178" s="59"/>
    </row>
    <row r="179" spans="1:27">
      <c r="A179" s="158" t="s">
        <v>1075</v>
      </c>
      <c r="B179" s="116">
        <v>0</v>
      </c>
      <c r="C179" s="116"/>
      <c r="D179" s="116"/>
      <c r="E179" s="124"/>
      <c r="F179" s="124"/>
      <c r="G179" s="126"/>
      <c r="H179" s="127"/>
      <c r="I179" s="116"/>
      <c r="J179" s="126"/>
      <c r="K179" s="125"/>
      <c r="L179" s="126"/>
      <c r="M179" s="126"/>
      <c r="N179" s="116"/>
      <c r="O179" s="125"/>
      <c r="P179" s="126"/>
      <c r="Q179" s="116"/>
      <c r="R179" s="126"/>
      <c r="S179" s="125"/>
      <c r="T179" s="126"/>
      <c r="U179" s="116"/>
      <c r="V179" s="116"/>
      <c r="W179" s="9"/>
      <c r="X179" s="116"/>
      <c r="Y179" s="59"/>
      <c r="Z179" s="59"/>
      <c r="AA179" s="59"/>
    </row>
    <row r="180" spans="1:27">
      <c r="A180" s="158" t="s">
        <v>1076</v>
      </c>
      <c r="B180" s="116">
        <v>5069</v>
      </c>
      <c r="C180" s="126">
        <v>-137138</v>
      </c>
      <c r="D180" s="116">
        <v>-139584</v>
      </c>
      <c r="E180" s="124">
        <v>-23473</v>
      </c>
      <c r="F180" s="124">
        <v>-71333</v>
      </c>
      <c r="G180" s="126">
        <v>-48042</v>
      </c>
      <c r="H180" s="127">
        <v>-462201</v>
      </c>
      <c r="I180" s="126">
        <v>27029</v>
      </c>
      <c r="J180" s="126">
        <v>-18171</v>
      </c>
      <c r="K180" s="125">
        <v>-541265</v>
      </c>
      <c r="L180" s="126">
        <v>8583</v>
      </c>
      <c r="M180" s="126">
        <v>-71832</v>
      </c>
      <c r="N180" s="126">
        <v>-99871</v>
      </c>
      <c r="O180" s="125">
        <v>-164009</v>
      </c>
      <c r="P180" s="126">
        <v>-95732</v>
      </c>
      <c r="Q180" s="126">
        <v>-33705</v>
      </c>
      <c r="R180" s="126">
        <v>-117826</v>
      </c>
      <c r="S180" s="125">
        <v>-93282</v>
      </c>
      <c r="T180" s="126">
        <v>-110359</v>
      </c>
      <c r="U180" s="126">
        <v>-132948</v>
      </c>
      <c r="V180" s="126">
        <v>3924</v>
      </c>
      <c r="W180" s="125">
        <v>-1078</v>
      </c>
      <c r="X180" s="126">
        <f>7295-4786-W180</f>
        <v>3587</v>
      </c>
      <c r="Y180" s="59"/>
      <c r="Z180" s="59"/>
      <c r="AA180" s="59"/>
    </row>
    <row r="181" spans="1:27">
      <c r="A181" s="158" t="s">
        <v>1077</v>
      </c>
      <c r="B181" s="116">
        <v>-8031</v>
      </c>
      <c r="C181" s="126">
        <v>-8253</v>
      </c>
      <c r="D181" s="116">
        <v>-8036</v>
      </c>
      <c r="E181" s="124">
        <v>-7870</v>
      </c>
      <c r="F181" s="124">
        <v>-7702</v>
      </c>
      <c r="G181" s="126">
        <v>-8074</v>
      </c>
      <c r="H181" s="127">
        <v>-7882</v>
      </c>
      <c r="I181" s="126">
        <v>-7953</v>
      </c>
      <c r="J181" s="126">
        <v>-7953</v>
      </c>
      <c r="K181" s="125">
        <v>-7301</v>
      </c>
      <c r="L181" s="126">
        <v>-7360</v>
      </c>
      <c r="M181" s="126">
        <v>-7315</v>
      </c>
      <c r="N181" s="126">
        <v>-7227</v>
      </c>
      <c r="O181" s="125">
        <v>-7309</v>
      </c>
      <c r="P181" s="126">
        <v>-7171</v>
      </c>
      <c r="Q181" s="126">
        <v>-7361</v>
      </c>
      <c r="R181" s="126">
        <v>-7211</v>
      </c>
      <c r="S181" s="125">
        <v>-7261</v>
      </c>
      <c r="T181" s="126">
        <v>-7085</v>
      </c>
      <c r="U181" s="126">
        <v>-135803</v>
      </c>
      <c r="V181" s="126">
        <v>-70117</v>
      </c>
      <c r="W181" s="125">
        <v>-70373</v>
      </c>
      <c r="X181" s="126">
        <f>-141105-W181</f>
        <v>-70732</v>
      </c>
      <c r="Y181" s="59"/>
      <c r="Z181" s="59"/>
      <c r="AA181" s="59"/>
    </row>
    <row r="182" spans="1:27">
      <c r="A182" s="158" t="s">
        <v>1078</v>
      </c>
      <c r="B182" s="116"/>
      <c r="C182" s="126"/>
      <c r="D182" s="116"/>
      <c r="E182" s="116"/>
      <c r="F182" s="124"/>
      <c r="G182" s="126"/>
      <c r="H182" s="127"/>
      <c r="I182" s="116"/>
      <c r="J182" s="116"/>
      <c r="K182" s="125"/>
      <c r="L182" s="126"/>
      <c r="M182" s="126"/>
      <c r="N182" s="116"/>
      <c r="O182" s="9"/>
      <c r="P182" s="126"/>
      <c r="Q182" s="116"/>
      <c r="R182" s="126"/>
      <c r="S182" s="125"/>
      <c r="T182" s="116"/>
      <c r="U182" s="116"/>
      <c r="V182" s="116"/>
      <c r="W182" s="9"/>
      <c r="X182" s="116"/>
      <c r="Y182" s="59"/>
      <c r="Z182" s="59"/>
      <c r="AA182" s="59"/>
    </row>
    <row r="183" spans="1:27">
      <c r="A183" s="158" t="s">
        <v>1079</v>
      </c>
      <c r="B183" s="116"/>
      <c r="C183" s="126"/>
      <c r="D183" s="116"/>
      <c r="E183" s="116"/>
      <c r="F183" s="116"/>
      <c r="G183" s="126"/>
      <c r="H183" s="127">
        <v>398164</v>
      </c>
      <c r="I183" s="126">
        <v>0</v>
      </c>
      <c r="J183" s="126">
        <v>0</v>
      </c>
      <c r="K183" s="125"/>
      <c r="L183" s="126"/>
      <c r="M183" s="126"/>
      <c r="N183" s="116"/>
      <c r="O183" s="9"/>
      <c r="P183" s="126"/>
      <c r="Q183" s="116"/>
      <c r="R183" s="126"/>
      <c r="S183" s="125"/>
      <c r="T183" s="116"/>
      <c r="U183" s="116"/>
      <c r="V183" s="116"/>
      <c r="W183" s="9"/>
      <c r="X183" s="116"/>
      <c r="Y183" s="59"/>
      <c r="Z183" s="59"/>
      <c r="AA183" s="59"/>
    </row>
    <row r="184" spans="1:27">
      <c r="A184" s="158" t="s">
        <v>1058</v>
      </c>
      <c r="B184" s="116">
        <v>838</v>
      </c>
      <c r="C184" s="126">
        <v>858</v>
      </c>
      <c r="D184" s="116">
        <v>1806</v>
      </c>
      <c r="E184" s="116">
        <v>807</v>
      </c>
      <c r="F184" s="116">
        <v>825</v>
      </c>
      <c r="G184" s="126">
        <v>-1714</v>
      </c>
      <c r="H184" s="127">
        <v>2217</v>
      </c>
      <c r="I184" s="126">
        <v>405</v>
      </c>
      <c r="J184" s="126">
        <v>-8369</v>
      </c>
      <c r="K184" s="125">
        <v>3730</v>
      </c>
      <c r="L184" s="126">
        <v>1067</v>
      </c>
      <c r="M184" s="126">
        <v>3416</v>
      </c>
      <c r="N184" s="126">
        <v>4204</v>
      </c>
      <c r="O184" s="125">
        <v>4288</v>
      </c>
      <c r="P184" s="126">
        <v>3814</v>
      </c>
      <c r="Q184" s="126">
        <v>735</v>
      </c>
      <c r="R184" s="127">
        <v>563</v>
      </c>
      <c r="S184" s="125">
        <v>21075</v>
      </c>
      <c r="T184" s="126">
        <v>726</v>
      </c>
      <c r="U184" s="126">
        <v>1229</v>
      </c>
      <c r="V184" s="126">
        <v>-3193</v>
      </c>
      <c r="W184" s="125">
        <v>-3469</v>
      </c>
      <c r="X184" s="127">
        <f>753-3288-W184</f>
        <v>934</v>
      </c>
      <c r="Y184" s="59"/>
      <c r="Z184" s="59"/>
      <c r="AA184" s="59"/>
    </row>
    <row r="185" spans="1:27">
      <c r="A185" s="24" t="s">
        <v>1080</v>
      </c>
      <c r="B185" s="130">
        <v>-28151</v>
      </c>
      <c r="C185" s="130">
        <v>-151562</v>
      </c>
      <c r="D185" s="130">
        <f t="shared" ref="D185:T185" si="30">SUM(D178:D184)</f>
        <v>-301509</v>
      </c>
      <c r="E185" s="130">
        <f t="shared" si="30"/>
        <v>-36223</v>
      </c>
      <c r="F185" s="130">
        <f t="shared" si="30"/>
        <v>-89192</v>
      </c>
      <c r="G185" s="130">
        <f t="shared" si="30"/>
        <v>-217084</v>
      </c>
      <c r="H185" s="138">
        <f t="shared" si="30"/>
        <v>-77900</v>
      </c>
      <c r="I185" s="130">
        <f t="shared" si="30"/>
        <v>15013</v>
      </c>
      <c r="J185" s="130">
        <f t="shared" si="30"/>
        <v>-211745</v>
      </c>
      <c r="K185" s="140">
        <f t="shared" si="30"/>
        <v>-261838</v>
      </c>
      <c r="L185" s="130">
        <f t="shared" si="30"/>
        <v>-293267</v>
      </c>
      <c r="M185" s="130">
        <f t="shared" si="30"/>
        <v>-102118</v>
      </c>
      <c r="N185" s="130">
        <f t="shared" si="30"/>
        <v>-122943</v>
      </c>
      <c r="O185" s="140">
        <f t="shared" si="30"/>
        <v>529886</v>
      </c>
      <c r="P185" s="130">
        <f t="shared" si="30"/>
        <v>-657297</v>
      </c>
      <c r="Q185" s="130">
        <f t="shared" si="30"/>
        <v>-146544</v>
      </c>
      <c r="R185" s="130">
        <f t="shared" si="30"/>
        <v>-128109</v>
      </c>
      <c r="S185" s="140">
        <f t="shared" si="30"/>
        <v>-149526</v>
      </c>
      <c r="T185" s="130">
        <f t="shared" si="30"/>
        <v>-21885</v>
      </c>
      <c r="U185" s="130">
        <f>SUM(U178:U184)</f>
        <v>15514</v>
      </c>
      <c r="V185" s="130">
        <f>SUM(V178:V184)</f>
        <v>-99483</v>
      </c>
      <c r="W185" s="140">
        <f>SUM(W178:W184)</f>
        <v>-366896</v>
      </c>
      <c r="X185" s="130">
        <f>SUM(X178:X184)</f>
        <v>-168901</v>
      </c>
      <c r="Y185" s="59"/>
      <c r="Z185" s="59"/>
      <c r="AA185" s="59"/>
    </row>
    <row r="186" spans="1:27">
      <c r="A186" s="21"/>
      <c r="B186" s="116"/>
      <c r="C186" s="116"/>
      <c r="D186" s="116"/>
      <c r="E186" s="116"/>
      <c r="F186" s="116"/>
      <c r="G186" s="116"/>
      <c r="H186" s="116"/>
      <c r="I186" s="116"/>
      <c r="J186" s="116"/>
      <c r="K186" s="9"/>
      <c r="L186" s="116"/>
      <c r="M186" s="116"/>
      <c r="N186" s="116"/>
      <c r="O186" s="9"/>
      <c r="P186" s="116"/>
      <c r="Q186" s="116"/>
      <c r="R186" s="116"/>
      <c r="S186" s="9"/>
      <c r="T186" s="116"/>
      <c r="U186" s="116"/>
      <c r="V186" s="116"/>
      <c r="W186" s="9"/>
      <c r="X186" s="116"/>
      <c r="Y186" s="59"/>
      <c r="Z186" s="59"/>
      <c r="AA186" s="59"/>
    </row>
    <row r="187" spans="1:27">
      <c r="A187" s="21" t="s">
        <v>1081</v>
      </c>
      <c r="B187" s="126">
        <v>0</v>
      </c>
      <c r="C187" s="126"/>
      <c r="D187" s="126"/>
      <c r="E187" s="126"/>
      <c r="F187" s="126"/>
      <c r="G187" s="116"/>
      <c r="H187" s="116"/>
      <c r="I187" s="116"/>
      <c r="J187" s="116"/>
      <c r="K187" s="19"/>
      <c r="L187" s="116"/>
      <c r="M187" s="116"/>
      <c r="N187" s="116"/>
      <c r="O187" s="9"/>
      <c r="P187" s="116"/>
      <c r="Q187" s="116"/>
      <c r="R187" s="116"/>
      <c r="S187" s="9"/>
      <c r="T187" s="116"/>
      <c r="U187" s="116"/>
      <c r="V187" s="116"/>
      <c r="W187" s="9"/>
      <c r="X187" s="116"/>
      <c r="Y187" s="59"/>
      <c r="Z187" s="59"/>
      <c r="AA187" s="59"/>
    </row>
    <row r="188" spans="1:27">
      <c r="A188" s="21"/>
      <c r="B188" s="116"/>
      <c r="C188" s="116"/>
      <c r="D188" s="116"/>
      <c r="E188" s="116"/>
      <c r="F188" s="116"/>
      <c r="G188" s="116"/>
      <c r="H188" s="116"/>
      <c r="I188" s="116"/>
      <c r="J188" s="116"/>
      <c r="K188" s="9"/>
      <c r="L188" s="116"/>
      <c r="M188" s="116"/>
      <c r="N188" s="116"/>
      <c r="O188" s="9"/>
      <c r="P188" s="116"/>
      <c r="Q188" s="116"/>
      <c r="R188" s="116"/>
      <c r="S188" s="9"/>
      <c r="T188" s="116"/>
      <c r="U188" s="116"/>
      <c r="V188" s="116"/>
      <c r="W188" s="9"/>
      <c r="X188" s="116"/>
      <c r="Y188" s="59"/>
      <c r="Z188" s="59"/>
      <c r="AA188" s="59"/>
    </row>
    <row r="189" spans="1:27">
      <c r="A189" s="24" t="s">
        <v>1082</v>
      </c>
      <c r="B189" s="130">
        <v>45237</v>
      </c>
      <c r="C189" s="130">
        <v>70112</v>
      </c>
      <c r="D189" s="130">
        <f t="shared" ref="D189:J189" si="31">+D164+D175+D185+D187</f>
        <v>-176907</v>
      </c>
      <c r="E189" s="130">
        <f t="shared" si="31"/>
        <v>72589</v>
      </c>
      <c r="F189" s="130">
        <f t="shared" si="31"/>
        <v>-1760</v>
      </c>
      <c r="G189" s="130">
        <f t="shared" si="31"/>
        <v>-37884</v>
      </c>
      <c r="H189" s="130">
        <f t="shared" si="31"/>
        <v>-28869</v>
      </c>
      <c r="I189" s="130">
        <f t="shared" si="31"/>
        <v>168039</v>
      </c>
      <c r="J189" s="130">
        <f t="shared" si="31"/>
        <v>-109655</v>
      </c>
      <c r="K189" s="140">
        <f>+K164+K175+K185+K188</f>
        <v>-143526</v>
      </c>
      <c r="L189" s="130">
        <f t="shared" ref="L189:U189" si="32">+L164+L175+L185+L187</f>
        <v>-13551</v>
      </c>
      <c r="M189" s="130">
        <f t="shared" si="32"/>
        <v>30925</v>
      </c>
      <c r="N189" s="130">
        <f t="shared" si="32"/>
        <v>-7026</v>
      </c>
      <c r="O189" s="140">
        <f t="shared" si="32"/>
        <v>738081</v>
      </c>
      <c r="P189" s="130">
        <f t="shared" si="32"/>
        <v>-720224</v>
      </c>
      <c r="Q189" s="130">
        <f t="shared" si="32"/>
        <v>15189</v>
      </c>
      <c r="R189" s="130">
        <f t="shared" si="32"/>
        <v>-24312</v>
      </c>
      <c r="S189" s="140">
        <f t="shared" si="32"/>
        <v>3137</v>
      </c>
      <c r="T189" s="130">
        <f t="shared" si="32"/>
        <v>26361</v>
      </c>
      <c r="U189" s="130">
        <f t="shared" si="32"/>
        <v>195057</v>
      </c>
      <c r="V189" s="130">
        <f>+V164+V175+V185+V187</f>
        <v>-15630</v>
      </c>
      <c r="W189" s="140">
        <f>+W164+W175+W185+W187</f>
        <v>-182097</v>
      </c>
      <c r="X189" s="130">
        <f>+X164+X175+X185+X187</f>
        <v>-2086</v>
      </c>
      <c r="Y189" s="59"/>
      <c r="Z189" s="59"/>
      <c r="AA189" s="59"/>
    </row>
    <row r="190" spans="1:27">
      <c r="A190" s="21"/>
      <c r="B190" s="116"/>
      <c r="C190" s="116"/>
      <c r="D190" s="116"/>
      <c r="E190" s="116"/>
      <c r="F190" s="116"/>
      <c r="G190" s="116"/>
      <c r="H190" s="116"/>
      <c r="I190" s="116"/>
      <c r="J190" s="116"/>
      <c r="K190" s="9"/>
      <c r="L190" s="116"/>
      <c r="M190" s="116"/>
      <c r="N190" s="116"/>
      <c r="O190" s="9"/>
      <c r="P190" s="124"/>
      <c r="Q190" s="116"/>
      <c r="R190" s="116"/>
      <c r="S190" s="9"/>
      <c r="T190" s="116"/>
      <c r="U190" s="116"/>
      <c r="V190" s="116"/>
      <c r="W190" s="9"/>
      <c r="X190" s="116"/>
      <c r="Y190" s="59"/>
    </row>
    <row r="191" spans="1:27">
      <c r="A191" s="21" t="s">
        <v>1083</v>
      </c>
      <c r="B191" s="116">
        <v>157944</v>
      </c>
      <c r="C191" s="116">
        <v>203181</v>
      </c>
      <c r="D191" s="116">
        <f t="shared" ref="D191:U191" si="33">+C192</f>
        <v>273293</v>
      </c>
      <c r="E191" s="116">
        <f t="shared" si="33"/>
        <v>96386</v>
      </c>
      <c r="F191" s="116">
        <f t="shared" si="33"/>
        <v>168975</v>
      </c>
      <c r="G191" s="116">
        <f t="shared" si="33"/>
        <v>167215</v>
      </c>
      <c r="H191" s="116">
        <f t="shared" si="33"/>
        <v>129331</v>
      </c>
      <c r="I191" s="116">
        <f t="shared" si="33"/>
        <v>100462</v>
      </c>
      <c r="J191" s="116">
        <f t="shared" si="33"/>
        <v>268501</v>
      </c>
      <c r="K191" s="9">
        <f t="shared" si="33"/>
        <v>158846</v>
      </c>
      <c r="L191" s="116">
        <f t="shared" si="33"/>
        <v>15320</v>
      </c>
      <c r="M191" s="116">
        <f t="shared" si="33"/>
        <v>1769</v>
      </c>
      <c r="N191" s="116">
        <f t="shared" si="33"/>
        <v>32694</v>
      </c>
      <c r="O191" s="9">
        <f t="shared" si="33"/>
        <v>25668</v>
      </c>
      <c r="P191" s="116">
        <f t="shared" si="33"/>
        <v>763749</v>
      </c>
      <c r="Q191" s="116">
        <f t="shared" si="33"/>
        <v>43525</v>
      </c>
      <c r="R191" s="116">
        <f t="shared" si="33"/>
        <v>58714</v>
      </c>
      <c r="S191" s="9">
        <f t="shared" si="33"/>
        <v>34402</v>
      </c>
      <c r="T191" s="116">
        <f t="shared" si="33"/>
        <v>37539</v>
      </c>
      <c r="U191" s="116">
        <f t="shared" si="33"/>
        <v>63900</v>
      </c>
      <c r="V191" s="116">
        <f>+U192</f>
        <v>258957</v>
      </c>
      <c r="W191" s="9">
        <f>+V192</f>
        <v>243327</v>
      </c>
      <c r="X191" s="116">
        <f>+W192</f>
        <v>61230</v>
      </c>
      <c r="Y191" s="59"/>
    </row>
    <row r="192" spans="1:27">
      <c r="A192" s="24" t="s">
        <v>1084</v>
      </c>
      <c r="B192" s="128">
        <v>203181</v>
      </c>
      <c r="C192" s="128">
        <v>273293</v>
      </c>
      <c r="D192" s="128">
        <f t="shared" ref="D192:U192" si="34">+D191+D189</f>
        <v>96386</v>
      </c>
      <c r="E192" s="128">
        <f t="shared" si="34"/>
        <v>168975</v>
      </c>
      <c r="F192" s="128">
        <f t="shared" si="34"/>
        <v>167215</v>
      </c>
      <c r="G192" s="128">
        <f t="shared" si="34"/>
        <v>129331</v>
      </c>
      <c r="H192" s="128">
        <f t="shared" si="34"/>
        <v>100462</v>
      </c>
      <c r="I192" s="128">
        <f t="shared" si="34"/>
        <v>268501</v>
      </c>
      <c r="J192" s="128">
        <f t="shared" si="34"/>
        <v>158846</v>
      </c>
      <c r="K192" s="129">
        <f t="shared" si="34"/>
        <v>15320</v>
      </c>
      <c r="L192" s="128">
        <f t="shared" si="34"/>
        <v>1769</v>
      </c>
      <c r="M192" s="128">
        <f t="shared" si="34"/>
        <v>32694</v>
      </c>
      <c r="N192" s="128">
        <f t="shared" si="34"/>
        <v>25668</v>
      </c>
      <c r="O192" s="129">
        <f t="shared" si="34"/>
        <v>763749</v>
      </c>
      <c r="P192" s="128">
        <f t="shared" si="34"/>
        <v>43525</v>
      </c>
      <c r="Q192" s="128">
        <f t="shared" si="34"/>
        <v>58714</v>
      </c>
      <c r="R192" s="128">
        <f t="shared" si="34"/>
        <v>34402</v>
      </c>
      <c r="S192" s="129">
        <f>+S191+S189</f>
        <v>37539</v>
      </c>
      <c r="T192" s="128">
        <f t="shared" si="34"/>
        <v>63900</v>
      </c>
      <c r="U192" s="128">
        <f t="shared" si="34"/>
        <v>258957</v>
      </c>
      <c r="V192" s="128">
        <f>+V191+V189</f>
        <v>243327</v>
      </c>
      <c r="W192" s="129">
        <f>+W191+W189</f>
        <v>61230</v>
      </c>
      <c r="X192" s="129">
        <f>+X191+X189</f>
        <v>59144</v>
      </c>
      <c r="Y192" s="59"/>
    </row>
    <row r="193" spans="1:25">
      <c r="A193" s="24"/>
      <c r="B193" s="153"/>
      <c r="C193" s="153"/>
      <c r="D193" s="153"/>
      <c r="E193" s="153"/>
      <c r="F193" s="153"/>
      <c r="G193" s="153"/>
      <c r="H193" s="153"/>
      <c r="I193" s="153"/>
      <c r="J193" s="153"/>
      <c r="K193" s="154"/>
      <c r="L193" s="153"/>
      <c r="M193" s="153"/>
      <c r="N193" s="153"/>
      <c r="O193" s="4"/>
      <c r="P193" s="153"/>
      <c r="Q193" s="153"/>
      <c r="R193" s="153"/>
      <c r="S193" s="154"/>
      <c r="T193" s="153"/>
      <c r="U193" s="153"/>
      <c r="V193" s="153"/>
      <c r="W193" s="154"/>
      <c r="X193" s="153"/>
      <c r="Y193" s="59"/>
    </row>
    <row r="194" spans="1:25">
      <c r="A194" s="21" t="s">
        <v>795</v>
      </c>
      <c r="B194" s="116">
        <v>0</v>
      </c>
      <c r="C194" s="116">
        <v>0</v>
      </c>
      <c r="D194" s="116"/>
      <c r="E194" s="116"/>
      <c r="F194" s="116"/>
      <c r="G194" s="116"/>
      <c r="H194" s="116"/>
      <c r="I194" s="116"/>
      <c r="J194" s="116"/>
      <c r="K194" s="9"/>
      <c r="L194" s="116"/>
      <c r="M194" s="116"/>
      <c r="N194" s="116"/>
      <c r="O194" s="155"/>
      <c r="P194" s="135"/>
      <c r="Q194" s="135"/>
      <c r="R194" s="135"/>
      <c r="S194" s="156"/>
      <c r="T194" s="135"/>
      <c r="U194" s="135"/>
      <c r="V194" s="135"/>
      <c r="W194" s="156"/>
      <c r="X194" s="135"/>
      <c r="Y194" s="59"/>
    </row>
    <row r="195" spans="1:25">
      <c r="A195" s="21"/>
      <c r="B195" s="21"/>
      <c r="C195" s="21"/>
      <c r="D195" s="21"/>
      <c r="E195" s="21"/>
      <c r="F195" s="21"/>
      <c r="G195" s="21"/>
      <c r="H195" s="21"/>
      <c r="I195" s="21"/>
      <c r="J195" s="21"/>
      <c r="K195" s="21"/>
      <c r="L195" s="21"/>
      <c r="M195" s="21"/>
      <c r="N195" s="21"/>
      <c r="O195" s="21"/>
      <c r="P195" s="21"/>
      <c r="Q195" s="21"/>
      <c r="R195" s="21"/>
      <c r="S195" s="21"/>
      <c r="T195" s="21"/>
      <c r="U195" s="21"/>
      <c r="V195" s="21"/>
      <c r="W195" s="207"/>
      <c r="X195" s="338"/>
      <c r="Y195" s="59"/>
    </row>
    <row r="196" spans="1:25" ht="15.75">
      <c r="A196" s="118" t="s">
        <v>1112</v>
      </c>
      <c r="B196" s="21"/>
      <c r="C196" s="21"/>
      <c r="D196" s="21"/>
      <c r="E196" s="21"/>
      <c r="F196" s="21"/>
      <c r="G196" s="21"/>
      <c r="H196" s="21"/>
      <c r="I196" s="21"/>
      <c r="J196" s="21"/>
      <c r="K196" s="21"/>
      <c r="L196" s="21"/>
      <c r="M196" s="21"/>
      <c r="N196" s="21"/>
      <c r="O196" s="21"/>
      <c r="P196" s="21"/>
      <c r="Q196" s="21"/>
      <c r="R196" s="21"/>
      <c r="S196" s="21"/>
      <c r="T196" s="21"/>
      <c r="U196" s="21"/>
      <c r="V196" s="21"/>
      <c r="W196" s="207"/>
      <c r="X196" s="21"/>
      <c r="Y196" s="59"/>
    </row>
    <row r="197" spans="1:25">
      <c r="A197" s="45"/>
      <c r="B197" s="45"/>
      <c r="C197" s="45"/>
      <c r="D197" s="45"/>
      <c r="E197" s="45"/>
      <c r="F197" s="45"/>
      <c r="G197" s="45"/>
      <c r="H197" s="45"/>
      <c r="I197" s="45"/>
      <c r="J197" s="45"/>
      <c r="K197" s="45"/>
      <c r="L197" s="45"/>
      <c r="M197" s="45"/>
      <c r="N197" s="45"/>
      <c r="O197" s="45"/>
      <c r="P197" s="45"/>
      <c r="Q197" s="45"/>
      <c r="R197" s="45"/>
      <c r="S197" s="45"/>
      <c r="T197" s="45"/>
      <c r="U197" s="45"/>
      <c r="V197" s="45"/>
      <c r="W197" s="312"/>
      <c r="X197" s="45"/>
      <c r="Y197" s="59"/>
    </row>
    <row r="198" spans="1:25">
      <c r="A198" s="21"/>
      <c r="B198" s="21"/>
      <c r="C198" s="21"/>
      <c r="D198" s="21"/>
      <c r="E198" s="21"/>
      <c r="F198" s="21"/>
      <c r="G198" s="21"/>
      <c r="H198" s="21"/>
      <c r="I198" s="21"/>
      <c r="J198" s="21"/>
      <c r="K198" s="21"/>
      <c r="L198" s="21"/>
      <c r="M198" s="21"/>
      <c r="N198" s="21"/>
      <c r="O198" s="21"/>
      <c r="P198" s="21"/>
      <c r="Q198" s="21"/>
      <c r="R198" s="21"/>
      <c r="S198" s="21"/>
      <c r="T198" s="334"/>
      <c r="U198" s="21"/>
      <c r="V198" s="21"/>
      <c r="W198" s="207"/>
      <c r="X198" s="334"/>
    </row>
    <row r="199" spans="1:25">
      <c r="A199" s="159" t="s">
        <v>1114</v>
      </c>
      <c r="B199" s="21"/>
      <c r="C199" s="21"/>
      <c r="D199" s="21"/>
      <c r="E199" s="21"/>
      <c r="F199" s="21"/>
      <c r="G199" s="21"/>
      <c r="H199" s="21"/>
      <c r="I199" s="21"/>
      <c r="J199" s="21"/>
      <c r="K199" s="21"/>
      <c r="L199" s="21"/>
      <c r="M199" s="21"/>
      <c r="N199" s="21"/>
      <c r="O199" s="21"/>
      <c r="P199" s="21"/>
      <c r="Q199" s="21"/>
      <c r="R199" s="21"/>
      <c r="S199" s="21"/>
      <c r="T199" s="21"/>
      <c r="U199" s="21"/>
      <c r="V199" s="21"/>
      <c r="W199" s="207"/>
      <c r="X199" s="21"/>
    </row>
    <row r="200" spans="1:25">
      <c r="A200" s="58" t="s">
        <v>870</v>
      </c>
      <c r="B200" s="167"/>
      <c r="C200" s="168"/>
      <c r="D200" s="168"/>
      <c r="E200" s="168"/>
      <c r="F200" s="169"/>
      <c r="G200" s="168"/>
      <c r="H200" s="168"/>
      <c r="I200" s="168"/>
      <c r="J200" s="168"/>
      <c r="K200" s="170">
        <v>173.78915148727427</v>
      </c>
      <c r="L200" s="58">
        <v>188.2405554951834</v>
      </c>
      <c r="M200" s="58">
        <v>160</v>
      </c>
      <c r="N200" s="58">
        <v>194</v>
      </c>
      <c r="O200" s="170">
        <v>160</v>
      </c>
      <c r="P200" s="58">
        <v>176</v>
      </c>
      <c r="Q200" s="171">
        <v>157</v>
      </c>
      <c r="R200" s="58">
        <v>190</v>
      </c>
      <c r="S200" s="170">
        <v>212</v>
      </c>
      <c r="T200" s="161">
        <v>206</v>
      </c>
      <c r="U200" s="161">
        <v>160</v>
      </c>
      <c r="V200" s="161">
        <v>191</v>
      </c>
      <c r="W200" s="170">
        <v>174</v>
      </c>
      <c r="X200" s="173">
        <v>204</v>
      </c>
    </row>
    <row r="201" spans="1:25">
      <c r="A201" s="160" t="s">
        <v>1115</v>
      </c>
      <c r="B201" s="172"/>
      <c r="C201" s="173"/>
      <c r="D201" s="173"/>
      <c r="E201" s="173"/>
      <c r="F201" s="174"/>
      <c r="G201" s="173"/>
      <c r="H201" s="173"/>
      <c r="I201" s="173"/>
      <c r="J201" s="173"/>
      <c r="K201" s="175"/>
      <c r="L201" s="173"/>
      <c r="M201" s="173"/>
      <c r="N201" s="173"/>
      <c r="O201" s="175"/>
      <c r="P201" s="173"/>
      <c r="Q201" s="173"/>
      <c r="R201" s="173"/>
      <c r="S201" s="175"/>
      <c r="T201" s="173"/>
      <c r="U201" s="173"/>
      <c r="V201" s="173"/>
      <c r="W201" s="175"/>
      <c r="X201" s="173"/>
    </row>
    <row r="202" spans="1:25">
      <c r="A202" s="58" t="s">
        <v>1116</v>
      </c>
      <c r="B202" s="172"/>
      <c r="C202" s="173"/>
      <c r="D202" s="173"/>
      <c r="E202" s="173"/>
      <c r="F202" s="174"/>
      <c r="G202" s="173"/>
      <c r="H202" s="173"/>
      <c r="I202" s="173"/>
      <c r="J202" s="173"/>
      <c r="K202" s="175">
        <v>0</v>
      </c>
      <c r="L202" s="173">
        <v>0</v>
      </c>
      <c r="M202" s="173">
        <v>0</v>
      </c>
      <c r="N202" s="173">
        <v>0</v>
      </c>
      <c r="O202" s="175">
        <v>0</v>
      </c>
      <c r="P202" s="173">
        <v>0</v>
      </c>
      <c r="Q202" s="173">
        <v>0</v>
      </c>
      <c r="R202" s="173">
        <v>0</v>
      </c>
      <c r="S202" s="175">
        <v>0</v>
      </c>
      <c r="T202" s="173">
        <v>0</v>
      </c>
      <c r="U202" s="173">
        <v>0</v>
      </c>
      <c r="V202" s="173">
        <v>0</v>
      </c>
      <c r="W202" s="175">
        <v>26</v>
      </c>
      <c r="X202" s="173"/>
    </row>
    <row r="203" spans="1:25">
      <c r="A203" s="161" t="s">
        <v>1117</v>
      </c>
      <c r="B203" s="167"/>
      <c r="C203" s="168"/>
      <c r="D203" s="168"/>
      <c r="E203" s="168"/>
      <c r="F203" s="169"/>
      <c r="G203" s="168"/>
      <c r="H203" s="168"/>
      <c r="I203" s="168"/>
      <c r="J203" s="168"/>
      <c r="K203" s="176"/>
      <c r="L203" s="168"/>
      <c r="M203" s="168"/>
      <c r="N203" s="168"/>
      <c r="O203" s="176"/>
      <c r="P203" s="168"/>
      <c r="Q203" s="168"/>
      <c r="R203" s="168"/>
      <c r="S203" s="176"/>
      <c r="T203" s="168"/>
      <c r="U203" s="168"/>
      <c r="V203" s="168"/>
      <c r="W203" s="176"/>
      <c r="X203" s="168"/>
    </row>
    <row r="204" spans="1:25">
      <c r="A204" s="58" t="s">
        <v>1118</v>
      </c>
      <c r="B204" s="167"/>
      <c r="C204" s="168"/>
      <c r="D204" s="168"/>
      <c r="E204" s="168"/>
      <c r="F204" s="169"/>
      <c r="G204" s="168"/>
      <c r="H204" s="168"/>
      <c r="I204" s="168"/>
      <c r="J204" s="168"/>
      <c r="K204" s="170">
        <v>263</v>
      </c>
      <c r="L204" s="58">
        <v>267</v>
      </c>
      <c r="M204" s="58">
        <v>267</v>
      </c>
      <c r="N204" s="58">
        <v>268</v>
      </c>
      <c r="O204" s="170">
        <v>270</v>
      </c>
      <c r="P204" s="58">
        <v>264</v>
      </c>
      <c r="Q204" s="58">
        <v>260</v>
      </c>
      <c r="R204" s="58">
        <v>263</v>
      </c>
      <c r="S204" s="170">
        <v>251</v>
      </c>
      <c r="T204" s="161">
        <v>247</v>
      </c>
      <c r="U204" s="161">
        <v>252</v>
      </c>
      <c r="V204" s="161">
        <v>253</v>
      </c>
      <c r="W204" s="170">
        <v>244</v>
      </c>
      <c r="X204" s="173">
        <v>244</v>
      </c>
      <c r="Y204">
        <f>+X204*1000</f>
        <v>244000</v>
      </c>
    </row>
    <row r="205" spans="1:25">
      <c r="A205" s="58" t="s">
        <v>1051</v>
      </c>
      <c r="B205" s="172"/>
      <c r="C205" s="173"/>
      <c r="D205" s="173"/>
      <c r="E205" s="173"/>
      <c r="F205" s="174"/>
      <c r="G205" s="173"/>
      <c r="H205" s="173"/>
      <c r="I205" s="173"/>
      <c r="J205" s="173"/>
      <c r="K205" s="175"/>
      <c r="L205" s="173">
        <v>0</v>
      </c>
      <c r="M205" s="173">
        <v>0</v>
      </c>
      <c r="N205" s="173">
        <v>0</v>
      </c>
      <c r="O205" s="175">
        <v>-36</v>
      </c>
      <c r="P205" s="173">
        <v>-16</v>
      </c>
      <c r="Q205" s="173">
        <v>34</v>
      </c>
      <c r="R205" s="173">
        <v>-25</v>
      </c>
      <c r="S205" s="175">
        <v>-20</v>
      </c>
      <c r="T205" s="173">
        <v>-1</v>
      </c>
      <c r="U205" s="173">
        <v>36</v>
      </c>
      <c r="V205" s="173">
        <v>83</v>
      </c>
      <c r="W205" s="175">
        <v>79</v>
      </c>
      <c r="X205" s="173"/>
    </row>
    <row r="206" spans="1:25">
      <c r="A206" s="58" t="s">
        <v>1119</v>
      </c>
      <c r="B206" s="172"/>
      <c r="C206" s="173"/>
      <c r="D206" s="173"/>
      <c r="E206" s="173"/>
      <c r="F206" s="174"/>
      <c r="G206" s="173"/>
      <c r="H206" s="173"/>
      <c r="I206" s="173"/>
      <c r="J206" s="173"/>
      <c r="K206" s="175">
        <v>0</v>
      </c>
      <c r="L206" s="173">
        <v>0</v>
      </c>
      <c r="M206" s="173">
        <v>0</v>
      </c>
      <c r="N206" s="173">
        <v>0</v>
      </c>
      <c r="O206" s="175">
        <v>39</v>
      </c>
      <c r="P206" s="173">
        <v>43</v>
      </c>
      <c r="Q206" s="173">
        <v>56</v>
      </c>
      <c r="R206" s="173">
        <v>44</v>
      </c>
      <c r="S206" s="175">
        <v>41</v>
      </c>
      <c r="T206" s="177">
        <v>47</v>
      </c>
      <c r="U206" s="173">
        <v>0</v>
      </c>
      <c r="V206" s="173">
        <v>0</v>
      </c>
      <c r="W206" s="175">
        <v>40</v>
      </c>
      <c r="X206" s="173"/>
    </row>
    <row r="207" spans="1:25">
      <c r="A207" s="162" t="s">
        <v>1120</v>
      </c>
      <c r="B207" s="172"/>
      <c r="C207" s="173"/>
      <c r="D207" s="173"/>
      <c r="E207" s="173"/>
      <c r="F207" s="174"/>
      <c r="G207" s="173"/>
      <c r="H207" s="173"/>
      <c r="I207" s="173"/>
      <c r="J207" s="173"/>
      <c r="K207" s="175"/>
      <c r="L207" s="173"/>
      <c r="M207" s="173"/>
      <c r="N207" s="173"/>
      <c r="O207" s="175"/>
      <c r="P207" s="173"/>
      <c r="Q207" s="173"/>
      <c r="R207" s="173"/>
      <c r="S207" s="175"/>
      <c r="T207" s="173"/>
      <c r="U207" s="173"/>
      <c r="V207" s="173"/>
      <c r="W207" s="175"/>
      <c r="X207" s="173"/>
    </row>
    <row r="208" spans="1:25">
      <c r="A208" s="58" t="s">
        <v>1121</v>
      </c>
      <c r="B208" s="172"/>
      <c r="C208" s="173"/>
      <c r="D208" s="173"/>
      <c r="E208" s="173"/>
      <c r="F208" s="174"/>
      <c r="G208" s="173"/>
      <c r="H208" s="173"/>
      <c r="I208" s="173"/>
      <c r="J208" s="173"/>
      <c r="K208" s="170">
        <v>18.868144690781833</v>
      </c>
      <c r="L208" s="58">
        <v>-32.868144690781833</v>
      </c>
      <c r="M208" s="58">
        <v>-4</v>
      </c>
      <c r="N208" s="58">
        <v>18</v>
      </c>
      <c r="O208" s="175">
        <v>14</v>
      </c>
      <c r="P208" s="178">
        <v>-40</v>
      </c>
      <c r="Q208" s="178">
        <v>-46</v>
      </c>
      <c r="R208" s="178">
        <v>-3</v>
      </c>
      <c r="S208" s="175">
        <v>16</v>
      </c>
      <c r="T208" s="173">
        <v>-30</v>
      </c>
      <c r="U208" s="173">
        <v>11</v>
      </c>
      <c r="V208" s="173">
        <v>-2</v>
      </c>
      <c r="W208" s="175">
        <v>28</v>
      </c>
      <c r="X208" s="173"/>
    </row>
    <row r="209" spans="1:24">
      <c r="A209" s="58" t="s">
        <v>898</v>
      </c>
      <c r="B209" s="167"/>
      <c r="C209" s="168"/>
      <c r="D209" s="168"/>
      <c r="E209" s="168"/>
      <c r="F209" s="169"/>
      <c r="G209" s="168"/>
      <c r="H209" s="168"/>
      <c r="I209" s="168"/>
      <c r="J209" s="168"/>
      <c r="K209" s="170">
        <v>8.742301458670994</v>
      </c>
      <c r="L209" s="58">
        <v>-10.742301458670994</v>
      </c>
      <c r="M209" s="58">
        <v>-12</v>
      </c>
      <c r="N209" s="58">
        <v>9</v>
      </c>
      <c r="O209" s="175">
        <v>-28</v>
      </c>
      <c r="P209" s="178">
        <v>-2</v>
      </c>
      <c r="Q209" s="178">
        <v>13</v>
      </c>
      <c r="R209" s="178">
        <v>13</v>
      </c>
      <c r="S209" s="175">
        <v>-15</v>
      </c>
      <c r="T209" s="173">
        <v>11</v>
      </c>
      <c r="U209" s="173">
        <v>-9</v>
      </c>
      <c r="V209" s="173">
        <v>14</v>
      </c>
      <c r="W209" s="175">
        <v>-3</v>
      </c>
      <c r="X209" s="173"/>
    </row>
    <row r="210" spans="1:24">
      <c r="A210" s="58" t="s">
        <v>1122</v>
      </c>
      <c r="B210" s="167"/>
      <c r="C210" s="168"/>
      <c r="D210" s="168"/>
      <c r="E210" s="168"/>
      <c r="F210" s="169"/>
      <c r="G210" s="168"/>
      <c r="H210" s="168"/>
      <c r="I210" s="168"/>
      <c r="J210" s="168"/>
      <c r="K210" s="170">
        <v>0</v>
      </c>
      <c r="L210" s="58">
        <v>0</v>
      </c>
      <c r="M210" s="58">
        <v>0</v>
      </c>
      <c r="N210" s="58">
        <v>0</v>
      </c>
      <c r="O210" s="175">
        <v>0</v>
      </c>
      <c r="P210" s="178">
        <v>0</v>
      </c>
      <c r="Q210" s="178">
        <v>0</v>
      </c>
      <c r="R210" s="58">
        <v>0</v>
      </c>
      <c r="S210" s="175">
        <v>0</v>
      </c>
      <c r="T210" s="173">
        <v>0</v>
      </c>
      <c r="U210" s="161">
        <v>0</v>
      </c>
      <c r="V210" s="161">
        <v>0</v>
      </c>
      <c r="W210" s="170">
        <v>0</v>
      </c>
      <c r="X210" s="161"/>
    </row>
    <row r="211" spans="1:24">
      <c r="A211" s="58" t="s">
        <v>821</v>
      </c>
      <c r="B211" s="167"/>
      <c r="C211" s="168"/>
      <c r="D211" s="168"/>
      <c r="E211" s="168"/>
      <c r="F211" s="169"/>
      <c r="G211" s="168"/>
      <c r="H211" s="168"/>
      <c r="I211" s="168"/>
      <c r="J211" s="168"/>
      <c r="K211" s="170">
        <v>-2.3728121353559004</v>
      </c>
      <c r="L211" s="58">
        <v>-63.6271878646441</v>
      </c>
      <c r="M211" s="58">
        <v>27</v>
      </c>
      <c r="N211" s="58">
        <v>18</v>
      </c>
      <c r="O211" s="175">
        <v>0</v>
      </c>
      <c r="P211" s="178">
        <v>0</v>
      </c>
      <c r="Q211" s="178">
        <v>0</v>
      </c>
      <c r="R211" s="58">
        <v>0</v>
      </c>
      <c r="S211" s="175">
        <v>0</v>
      </c>
      <c r="T211" s="173">
        <v>0</v>
      </c>
      <c r="U211" s="161">
        <v>0</v>
      </c>
      <c r="V211" s="161">
        <v>0</v>
      </c>
      <c r="W211" s="170">
        <v>0</v>
      </c>
      <c r="X211" s="161"/>
    </row>
    <row r="212" spans="1:24" ht="13.5">
      <c r="A212" s="163" t="s">
        <v>837</v>
      </c>
      <c r="B212" s="179"/>
      <c r="C212" s="180"/>
      <c r="D212" s="180"/>
      <c r="E212" s="180"/>
      <c r="F212" s="181"/>
      <c r="G212" s="180"/>
      <c r="H212" s="180"/>
      <c r="I212" s="180"/>
      <c r="J212" s="180"/>
      <c r="K212" s="170">
        <v>-7.8493557978196122</v>
      </c>
      <c r="L212" s="58">
        <v>-83.150644202180388</v>
      </c>
      <c r="M212" s="58">
        <v>58</v>
      </c>
      <c r="N212" s="58">
        <v>8</v>
      </c>
      <c r="O212" s="175">
        <v>75</v>
      </c>
      <c r="P212" s="178">
        <v>-221</v>
      </c>
      <c r="Q212" s="178">
        <v>122</v>
      </c>
      <c r="R212" s="178">
        <v>-74</v>
      </c>
      <c r="S212" s="175">
        <v>133</v>
      </c>
      <c r="T212" s="173">
        <v>-231</v>
      </c>
      <c r="U212" s="173">
        <v>80</v>
      </c>
      <c r="V212" s="173">
        <v>-165</v>
      </c>
      <c r="W212" s="175">
        <v>60</v>
      </c>
      <c r="X212" s="173"/>
    </row>
    <row r="213" spans="1:24" ht="13.5">
      <c r="A213" s="163" t="s">
        <v>840</v>
      </c>
      <c r="B213" s="179"/>
      <c r="C213" s="180"/>
      <c r="D213" s="180"/>
      <c r="E213" s="180"/>
      <c r="F213" s="181"/>
      <c r="G213" s="180"/>
      <c r="H213" s="180"/>
      <c r="I213" s="180"/>
      <c r="J213" s="180"/>
      <c r="K213" s="170">
        <v>-6.4370664023786048</v>
      </c>
      <c r="L213" s="58">
        <v>111.4370664023786</v>
      </c>
      <c r="M213" s="58">
        <v>78</v>
      </c>
      <c r="N213" s="58">
        <v>-86</v>
      </c>
      <c r="O213" s="175">
        <v>0</v>
      </c>
      <c r="P213" s="178">
        <v>0</v>
      </c>
      <c r="Q213" s="178">
        <v>0</v>
      </c>
      <c r="R213" s="58">
        <v>0</v>
      </c>
      <c r="S213" s="175">
        <v>0</v>
      </c>
      <c r="T213" s="173">
        <v>0</v>
      </c>
      <c r="U213" s="161">
        <v>0</v>
      </c>
      <c r="V213" s="161">
        <v>0</v>
      </c>
      <c r="W213" s="170">
        <v>0</v>
      </c>
      <c r="X213" s="161"/>
    </row>
    <row r="214" spans="1:24">
      <c r="A214" s="58" t="s">
        <v>1123</v>
      </c>
      <c r="B214" s="182"/>
      <c r="C214" s="183"/>
      <c r="D214" s="183"/>
      <c r="E214" s="183"/>
      <c r="F214" s="184"/>
      <c r="G214" s="183"/>
      <c r="H214" s="50"/>
      <c r="I214" s="50"/>
      <c r="J214" s="50"/>
      <c r="K214" s="170">
        <v>0</v>
      </c>
      <c r="L214" s="58">
        <v>0</v>
      </c>
      <c r="M214" s="58">
        <v>0</v>
      </c>
      <c r="N214" s="58">
        <v>0</v>
      </c>
      <c r="O214" s="175">
        <v>-14</v>
      </c>
      <c r="P214" s="178">
        <v>21</v>
      </c>
      <c r="Q214" s="178">
        <v>-74</v>
      </c>
      <c r="R214" s="178">
        <v>-11</v>
      </c>
      <c r="S214" s="175">
        <v>-25</v>
      </c>
      <c r="T214" s="173">
        <v>1</v>
      </c>
      <c r="U214" s="173">
        <v>-55</v>
      </c>
      <c r="V214" s="173">
        <v>-50</v>
      </c>
      <c r="W214" s="175">
        <v>-14</v>
      </c>
      <c r="X214" s="173"/>
    </row>
    <row r="215" spans="1:24">
      <c r="A215" s="58" t="s">
        <v>900</v>
      </c>
      <c r="B215" s="182"/>
      <c r="C215" s="183"/>
      <c r="D215" s="183"/>
      <c r="E215" s="183"/>
      <c r="F215" s="184"/>
      <c r="G215" s="183"/>
      <c r="H215" s="50"/>
      <c r="I215" s="50"/>
      <c r="J215" s="50"/>
      <c r="K215" s="170">
        <v>0</v>
      </c>
      <c r="L215" s="58">
        <v>0</v>
      </c>
      <c r="M215" s="58">
        <v>27</v>
      </c>
      <c r="N215" s="58">
        <v>0</v>
      </c>
      <c r="O215" s="170">
        <v>0</v>
      </c>
      <c r="P215" s="58">
        <v>0</v>
      </c>
      <c r="Q215" s="58">
        <v>0</v>
      </c>
      <c r="R215" s="58">
        <v>0</v>
      </c>
      <c r="S215" s="170">
        <v>0</v>
      </c>
      <c r="T215" s="161">
        <v>0</v>
      </c>
      <c r="U215" s="161">
        <v>0</v>
      </c>
      <c r="V215" s="161">
        <v>0</v>
      </c>
      <c r="W215" s="170">
        <v>0</v>
      </c>
      <c r="X215" s="161"/>
    </row>
    <row r="216" spans="1:24">
      <c r="A216" s="58" t="s">
        <v>1124</v>
      </c>
      <c r="B216" s="182"/>
      <c r="C216" s="183"/>
      <c r="D216" s="183"/>
      <c r="E216" s="183"/>
      <c r="F216" s="184"/>
      <c r="G216" s="183"/>
      <c r="H216" s="50"/>
      <c r="I216" s="50"/>
      <c r="J216" s="50"/>
      <c r="K216" s="170">
        <v>0</v>
      </c>
      <c r="L216" s="58">
        <v>-83</v>
      </c>
      <c r="M216" s="58">
        <v>310</v>
      </c>
      <c r="N216" s="58">
        <v>-279</v>
      </c>
      <c r="O216" s="170">
        <v>0</v>
      </c>
      <c r="P216" s="58">
        <v>0</v>
      </c>
      <c r="Q216" s="58">
        <v>0</v>
      </c>
      <c r="R216" s="58">
        <v>0</v>
      </c>
      <c r="S216" s="170">
        <v>0</v>
      </c>
      <c r="T216" s="161">
        <v>0</v>
      </c>
      <c r="U216" s="161">
        <v>0</v>
      </c>
      <c r="V216" s="161">
        <v>0</v>
      </c>
      <c r="W216" s="170">
        <v>0</v>
      </c>
      <c r="X216" s="161"/>
    </row>
    <row r="217" spans="1:24">
      <c r="A217" s="58" t="s">
        <v>1058</v>
      </c>
      <c r="B217" s="182"/>
      <c r="C217" s="183"/>
      <c r="D217" s="183"/>
      <c r="E217" s="183"/>
      <c r="F217" s="184"/>
      <c r="G217" s="183"/>
      <c r="H217" s="50"/>
      <c r="I217" s="50"/>
      <c r="J217" s="50"/>
      <c r="K217" s="170">
        <v>-5.5404284427318657</v>
      </c>
      <c r="L217" s="58">
        <v>-26.459571557268134</v>
      </c>
      <c r="M217" s="58">
        <v>-822</v>
      </c>
      <c r="N217" s="58">
        <v>659</v>
      </c>
      <c r="O217" s="185">
        <v>0</v>
      </c>
      <c r="P217" s="178">
        <v>0</v>
      </c>
      <c r="Q217" s="58">
        <v>0</v>
      </c>
      <c r="R217" s="58">
        <v>0</v>
      </c>
      <c r="S217" s="170">
        <v>0</v>
      </c>
      <c r="T217" s="161">
        <v>0</v>
      </c>
      <c r="U217" s="173">
        <v>55</v>
      </c>
      <c r="V217" s="173">
        <v>51</v>
      </c>
      <c r="W217" s="175">
        <v>0</v>
      </c>
      <c r="X217" s="173">
        <v>0</v>
      </c>
    </row>
    <row r="218" spans="1:24" ht="13.5">
      <c r="A218" s="164" t="s">
        <v>1125</v>
      </c>
      <c r="B218" s="186"/>
      <c r="C218" s="187"/>
      <c r="D218" s="187"/>
      <c r="E218" s="187"/>
      <c r="F218" s="188"/>
      <c r="G218" s="187"/>
      <c r="H218" s="187"/>
      <c r="I218" s="187"/>
      <c r="J218" s="187"/>
      <c r="K218" s="189">
        <f t="shared" ref="K218:V218" si="35">SUM(K200:K217)</f>
        <v>442.19993485844111</v>
      </c>
      <c r="L218" s="187">
        <f t="shared" si="35"/>
        <v>266.82977212401659</v>
      </c>
      <c r="M218" s="187">
        <f t="shared" si="35"/>
        <v>89</v>
      </c>
      <c r="N218" s="187">
        <f t="shared" si="35"/>
        <v>809</v>
      </c>
      <c r="O218" s="189">
        <f t="shared" si="35"/>
        <v>480</v>
      </c>
      <c r="P218" s="187">
        <f t="shared" si="35"/>
        <v>225</v>
      </c>
      <c r="Q218" s="187">
        <f t="shared" si="35"/>
        <v>522</v>
      </c>
      <c r="R218" s="187">
        <f t="shared" si="35"/>
        <v>397</v>
      </c>
      <c r="S218" s="189">
        <f t="shared" si="35"/>
        <v>593</v>
      </c>
      <c r="T218" s="187">
        <f t="shared" si="35"/>
        <v>250</v>
      </c>
      <c r="U218" s="187">
        <f t="shared" si="35"/>
        <v>530</v>
      </c>
      <c r="V218" s="187">
        <f t="shared" si="35"/>
        <v>375</v>
      </c>
      <c r="W218" s="189">
        <f>SUM(W200:W217)</f>
        <v>634</v>
      </c>
      <c r="X218" s="187">
        <f>SUM(X200:X217)</f>
        <v>448</v>
      </c>
    </row>
    <row r="219" spans="1:24" ht="13.5">
      <c r="A219" s="165"/>
      <c r="B219" s="190"/>
      <c r="C219" s="191"/>
      <c r="D219" s="191"/>
      <c r="E219" s="191"/>
      <c r="F219" s="192"/>
      <c r="G219" s="191"/>
      <c r="H219" s="193"/>
      <c r="I219" s="193"/>
      <c r="J219" s="193"/>
      <c r="K219" s="194"/>
      <c r="L219" s="193"/>
      <c r="M219" s="193"/>
      <c r="N219" s="193"/>
      <c r="O219" s="194"/>
      <c r="P219" s="193"/>
      <c r="Q219" s="193"/>
      <c r="R219" s="193"/>
      <c r="S219" s="194"/>
      <c r="T219" s="191"/>
      <c r="U219" s="195"/>
      <c r="V219" s="195"/>
      <c r="W219" s="313"/>
      <c r="X219" s="195"/>
    </row>
    <row r="220" spans="1:24">
      <c r="A220" s="159" t="s">
        <v>1128</v>
      </c>
      <c r="B220" s="182"/>
      <c r="C220" s="183"/>
      <c r="D220" s="183"/>
      <c r="E220" s="183"/>
      <c r="F220" s="184"/>
      <c r="G220" s="183"/>
      <c r="H220" s="50"/>
      <c r="I220" s="50"/>
      <c r="J220" s="50"/>
      <c r="K220" s="196"/>
      <c r="L220" s="50"/>
      <c r="M220" s="50"/>
      <c r="N220" s="50"/>
      <c r="O220" s="196"/>
      <c r="P220" s="50"/>
      <c r="Q220" s="50"/>
      <c r="R220" s="197"/>
      <c r="S220" s="196"/>
      <c r="T220" s="183"/>
      <c r="U220" s="183"/>
      <c r="V220" s="183"/>
      <c r="W220" s="196"/>
      <c r="X220" s="183"/>
    </row>
    <row r="221" spans="1:24">
      <c r="A221" s="58" t="s">
        <v>1129</v>
      </c>
      <c r="B221" s="198"/>
      <c r="C221" s="161"/>
      <c r="D221" s="161"/>
      <c r="E221" s="161"/>
      <c r="F221" s="199"/>
      <c r="G221" s="161"/>
      <c r="H221" s="58"/>
      <c r="I221" s="58"/>
      <c r="J221" s="58"/>
      <c r="K221" s="170">
        <v>-204</v>
      </c>
      <c r="L221" s="58">
        <v>-312</v>
      </c>
      <c r="M221" s="58">
        <v>-260</v>
      </c>
      <c r="N221" s="58">
        <v>-214</v>
      </c>
      <c r="O221" s="170">
        <v>-183</v>
      </c>
      <c r="P221" s="58">
        <v>-188</v>
      </c>
      <c r="Q221" s="58">
        <v>-195</v>
      </c>
      <c r="R221" s="58">
        <v>-263</v>
      </c>
      <c r="S221" s="170">
        <v>-177</v>
      </c>
      <c r="T221" s="161">
        <v>-179</v>
      </c>
      <c r="U221" s="161">
        <v>-170</v>
      </c>
      <c r="V221" s="161">
        <v>-149</v>
      </c>
      <c r="W221" s="170">
        <v>-105</v>
      </c>
      <c r="X221" s="173">
        <v>-147</v>
      </c>
    </row>
    <row r="222" spans="1:24">
      <c r="A222" s="58" t="s">
        <v>1130</v>
      </c>
      <c r="B222" s="190"/>
      <c r="C222" s="200"/>
      <c r="D222" s="200"/>
      <c r="E222" s="200"/>
      <c r="F222" s="201"/>
      <c r="G222" s="200"/>
      <c r="H222" s="25"/>
      <c r="I222" s="25"/>
      <c r="J222" s="25"/>
      <c r="K222" s="202">
        <v>0</v>
      </c>
      <c r="L222" s="25">
        <v>0</v>
      </c>
      <c r="M222" s="25">
        <v>0</v>
      </c>
      <c r="N222" s="25">
        <v>0</v>
      </c>
      <c r="O222" s="175">
        <v>3</v>
      </c>
      <c r="P222" s="178">
        <v>2</v>
      </c>
      <c r="Q222" s="178">
        <v>2</v>
      </c>
      <c r="R222" s="197">
        <v>3</v>
      </c>
      <c r="S222" s="175">
        <v>0</v>
      </c>
      <c r="T222" s="200">
        <v>0</v>
      </c>
      <c r="U222" s="183">
        <v>8</v>
      </c>
      <c r="V222" s="183">
        <v>1</v>
      </c>
      <c r="W222" s="196">
        <v>12</v>
      </c>
      <c r="X222" s="183"/>
    </row>
    <row r="223" spans="1:24">
      <c r="A223" s="58" t="s">
        <v>1058</v>
      </c>
      <c r="B223" s="203"/>
      <c r="C223" s="204"/>
      <c r="D223" s="191"/>
      <c r="E223" s="191"/>
      <c r="F223" s="192"/>
      <c r="G223" s="191"/>
      <c r="H223" s="193"/>
      <c r="I223" s="193"/>
      <c r="J223" s="193"/>
      <c r="K223" s="194">
        <v>0</v>
      </c>
      <c r="L223" s="193">
        <v>0</v>
      </c>
      <c r="M223" s="193">
        <v>0</v>
      </c>
      <c r="N223" s="193">
        <v>0</v>
      </c>
      <c r="O223" s="175">
        <v>17</v>
      </c>
      <c r="P223" s="178">
        <v>1</v>
      </c>
      <c r="Q223" s="178">
        <v>1</v>
      </c>
      <c r="R223" s="205">
        <v>6</v>
      </c>
      <c r="S223" s="175">
        <v>2</v>
      </c>
      <c r="T223" s="191">
        <v>0</v>
      </c>
      <c r="U223" s="191">
        <v>0</v>
      </c>
      <c r="V223" s="191">
        <v>0</v>
      </c>
      <c r="W223" s="194">
        <v>7</v>
      </c>
      <c r="X223" s="191"/>
    </row>
    <row r="224" spans="1:24" ht="13.5">
      <c r="A224" s="164" t="s">
        <v>1131</v>
      </c>
      <c r="B224" s="206"/>
      <c r="C224" s="189"/>
      <c r="D224" s="187"/>
      <c r="E224" s="187"/>
      <c r="F224" s="187"/>
      <c r="G224" s="189"/>
      <c r="H224" s="187"/>
      <c r="I224" s="187"/>
      <c r="J224" s="187"/>
      <c r="K224" s="189">
        <f t="shared" ref="K224:V224" si="36">SUM(K221:K223)</f>
        <v>-204</v>
      </c>
      <c r="L224" s="187">
        <f t="shared" si="36"/>
        <v>-312</v>
      </c>
      <c r="M224" s="187">
        <f t="shared" si="36"/>
        <v>-260</v>
      </c>
      <c r="N224" s="187">
        <f t="shared" si="36"/>
        <v>-214</v>
      </c>
      <c r="O224" s="189">
        <f t="shared" si="36"/>
        <v>-163</v>
      </c>
      <c r="P224" s="187">
        <f t="shared" si="36"/>
        <v>-185</v>
      </c>
      <c r="Q224" s="187">
        <f t="shared" si="36"/>
        <v>-192</v>
      </c>
      <c r="R224" s="187">
        <f t="shared" si="36"/>
        <v>-254</v>
      </c>
      <c r="S224" s="189">
        <f t="shared" si="36"/>
        <v>-175</v>
      </c>
      <c r="T224" s="187">
        <f t="shared" si="36"/>
        <v>-179</v>
      </c>
      <c r="U224" s="187">
        <f t="shared" si="36"/>
        <v>-162</v>
      </c>
      <c r="V224" s="187">
        <f t="shared" si="36"/>
        <v>-148</v>
      </c>
      <c r="W224" s="189">
        <f>SUM(W221:W223)</f>
        <v>-86</v>
      </c>
      <c r="X224" s="187">
        <f>SUM(X221:X223)</f>
        <v>-147</v>
      </c>
    </row>
    <row r="225" spans="1:24">
      <c r="A225" s="58"/>
      <c r="B225" s="182"/>
      <c r="C225" s="207"/>
      <c r="D225" s="21"/>
      <c r="E225" s="21"/>
      <c r="F225" s="21"/>
      <c r="G225" s="207"/>
      <c r="H225" s="21"/>
      <c r="I225" s="21"/>
      <c r="J225" s="21"/>
      <c r="K225" s="207"/>
      <c r="L225" s="21"/>
      <c r="M225" s="21"/>
      <c r="N225" s="21"/>
      <c r="O225" s="207"/>
      <c r="P225" s="21"/>
      <c r="Q225" s="21"/>
      <c r="R225" s="21"/>
      <c r="S225" s="207"/>
      <c r="T225" s="208"/>
      <c r="U225" s="209"/>
      <c r="V225" s="209"/>
      <c r="W225" s="314"/>
      <c r="X225" s="209"/>
    </row>
    <row r="226" spans="1:24">
      <c r="A226" s="159" t="s">
        <v>1132</v>
      </c>
      <c r="B226" s="182"/>
      <c r="C226" s="207"/>
      <c r="D226" s="21"/>
      <c r="E226" s="21"/>
      <c r="F226" s="21"/>
      <c r="G226" s="207"/>
      <c r="H226" s="21"/>
      <c r="I226" s="21"/>
      <c r="J226" s="21"/>
      <c r="K226" s="207"/>
      <c r="L226" s="21"/>
      <c r="M226" s="21"/>
      <c r="N226" s="21"/>
      <c r="O226" s="207"/>
      <c r="P226" s="21"/>
      <c r="Q226" s="21"/>
      <c r="R226" s="21"/>
      <c r="S226" s="207"/>
      <c r="T226" s="208"/>
      <c r="U226" s="208"/>
      <c r="V226" s="208"/>
      <c r="W226" s="207"/>
      <c r="X226" s="208"/>
    </row>
    <row r="227" spans="1:24">
      <c r="A227" s="58" t="s">
        <v>1133</v>
      </c>
      <c r="B227" s="190"/>
      <c r="C227" s="170"/>
      <c r="D227" s="58"/>
      <c r="E227" s="58"/>
      <c r="F227" s="58"/>
      <c r="G227" s="170"/>
      <c r="H227" s="58"/>
      <c r="I227" s="58"/>
      <c r="J227" s="58"/>
      <c r="K227" s="170">
        <v>0</v>
      </c>
      <c r="L227" s="58">
        <v>-502</v>
      </c>
      <c r="M227" s="58">
        <v>-240</v>
      </c>
      <c r="N227" s="58">
        <v>-85</v>
      </c>
      <c r="O227" s="175">
        <v>-360</v>
      </c>
      <c r="P227" s="178">
        <v>28</v>
      </c>
      <c r="Q227" s="178">
        <v>-250</v>
      </c>
      <c r="R227" s="178">
        <v>5</v>
      </c>
      <c r="S227" s="175">
        <v>-205</v>
      </c>
      <c r="T227" s="173">
        <v>296</v>
      </c>
      <c r="U227" s="173">
        <v>-130</v>
      </c>
      <c r="V227" s="173">
        <v>-95</v>
      </c>
      <c r="W227" s="175">
        <v>-455</v>
      </c>
      <c r="X227" s="173">
        <f>(X106-W106)/1000</f>
        <v>-232</v>
      </c>
    </row>
    <row r="228" spans="1:24">
      <c r="A228" s="58" t="s">
        <v>1134</v>
      </c>
      <c r="B228" s="190"/>
      <c r="C228" s="170"/>
      <c r="D228" s="58"/>
      <c r="E228" s="58"/>
      <c r="F228" s="58"/>
      <c r="G228" s="170"/>
      <c r="H228" s="58"/>
      <c r="I228" s="58"/>
      <c r="J228" s="58"/>
      <c r="K228" s="170">
        <v>0</v>
      </c>
      <c r="L228" s="58">
        <v>0</v>
      </c>
      <c r="M228" s="58">
        <v>35</v>
      </c>
      <c r="N228" s="58">
        <v>0</v>
      </c>
      <c r="O228" s="175">
        <v>0</v>
      </c>
      <c r="P228" s="178">
        <v>0</v>
      </c>
      <c r="Q228" s="178">
        <v>0</v>
      </c>
      <c r="R228" s="58">
        <v>0</v>
      </c>
      <c r="S228" s="175">
        <v>0</v>
      </c>
      <c r="T228" s="173">
        <v>0</v>
      </c>
      <c r="U228" s="161">
        <v>0</v>
      </c>
      <c r="V228" s="161">
        <v>0</v>
      </c>
      <c r="W228" s="170">
        <v>0</v>
      </c>
      <c r="X228" s="161"/>
    </row>
    <row r="229" spans="1:24">
      <c r="A229" s="58" t="s">
        <v>1135</v>
      </c>
      <c r="B229" s="182"/>
      <c r="C229" s="170"/>
      <c r="D229" s="58"/>
      <c r="E229" s="58"/>
      <c r="F229" s="58"/>
      <c r="G229" s="170"/>
      <c r="H229" s="58"/>
      <c r="I229" s="58"/>
      <c r="J229" s="58"/>
      <c r="K229" s="170">
        <v>0</v>
      </c>
      <c r="L229" s="58">
        <v>0</v>
      </c>
      <c r="M229" s="58">
        <v>-75</v>
      </c>
      <c r="N229" s="58">
        <v>-75</v>
      </c>
      <c r="O229" s="175">
        <v>-4</v>
      </c>
      <c r="P229" s="178">
        <v>-170</v>
      </c>
      <c r="Q229" s="178">
        <v>-97</v>
      </c>
      <c r="R229" s="178">
        <v>-96</v>
      </c>
      <c r="S229" s="175">
        <v>-107</v>
      </c>
      <c r="T229" s="173">
        <v>-101</v>
      </c>
      <c r="U229" s="173">
        <v>-98</v>
      </c>
      <c r="V229" s="173">
        <v>-98</v>
      </c>
      <c r="W229" s="175">
        <v>-100</v>
      </c>
      <c r="X229" s="333">
        <v>-99.421000000000006</v>
      </c>
    </row>
    <row r="230" spans="1:24">
      <c r="A230" s="58" t="s">
        <v>1136</v>
      </c>
      <c r="B230" s="182"/>
      <c r="C230" s="170"/>
      <c r="D230" s="178"/>
      <c r="E230" s="178"/>
      <c r="F230" s="210"/>
      <c r="G230" s="170"/>
      <c r="H230" s="178"/>
      <c r="I230" s="178"/>
      <c r="J230" s="210"/>
      <c r="K230" s="170">
        <v>0</v>
      </c>
      <c r="L230" s="178">
        <v>0</v>
      </c>
      <c r="M230" s="178">
        <v>0</v>
      </c>
      <c r="N230" s="210">
        <v>0</v>
      </c>
      <c r="O230" s="211">
        <v>35</v>
      </c>
      <c r="P230" s="210">
        <v>53</v>
      </c>
      <c r="Q230" s="210">
        <v>7</v>
      </c>
      <c r="R230" s="210">
        <v>14</v>
      </c>
      <c r="S230" s="211">
        <v>-111</v>
      </c>
      <c r="T230" s="177">
        <v>-279</v>
      </c>
      <c r="U230" s="177">
        <v>-107</v>
      </c>
      <c r="V230" s="177">
        <v>1</v>
      </c>
      <c r="W230" s="211">
        <v>1</v>
      </c>
      <c r="X230" s="177"/>
    </row>
    <row r="231" spans="1:24">
      <c r="A231" s="58" t="s">
        <v>1058</v>
      </c>
      <c r="B231" s="212"/>
      <c r="C231" s="175"/>
      <c r="D231" s="178"/>
      <c r="E231" s="178"/>
      <c r="F231" s="178"/>
      <c r="G231" s="175"/>
      <c r="H231" s="178"/>
      <c r="I231" s="178"/>
      <c r="J231" s="178"/>
      <c r="K231" s="175">
        <v>4.74562427071396</v>
      </c>
      <c r="L231" s="178">
        <v>154.22466874682834</v>
      </c>
      <c r="M231" s="178">
        <v>435</v>
      </c>
      <c r="N231" s="178">
        <v>-416</v>
      </c>
      <c r="O231" s="175">
        <v>5</v>
      </c>
      <c r="P231" s="178">
        <v>17</v>
      </c>
      <c r="Q231" s="178">
        <v>6</v>
      </c>
      <c r="R231" s="178">
        <v>-7</v>
      </c>
      <c r="S231" s="175">
        <v>-12</v>
      </c>
      <c r="T231" s="173">
        <v>11</v>
      </c>
      <c r="U231" s="213">
        <v>0</v>
      </c>
      <c r="V231" s="213">
        <v>-11</v>
      </c>
      <c r="W231" s="302">
        <v>-6</v>
      </c>
      <c r="X231" s="213"/>
    </row>
    <row r="232" spans="1:24">
      <c r="A232" s="164" t="s">
        <v>1137</v>
      </c>
      <c r="B232" s="190"/>
      <c r="C232" s="189"/>
      <c r="D232" s="187"/>
      <c r="E232" s="187"/>
      <c r="F232" s="187"/>
      <c r="G232" s="189"/>
      <c r="H232" s="187"/>
      <c r="I232" s="187"/>
      <c r="J232" s="187"/>
      <c r="K232" s="189">
        <f t="shared" ref="K232:V232" si="37">SUM(K227:K231)</f>
        <v>4.74562427071396</v>
      </c>
      <c r="L232" s="187">
        <f t="shared" si="37"/>
        <v>-347.77533125317166</v>
      </c>
      <c r="M232" s="187">
        <f t="shared" si="37"/>
        <v>155</v>
      </c>
      <c r="N232" s="187">
        <f t="shared" si="37"/>
        <v>-576</v>
      </c>
      <c r="O232" s="189">
        <f t="shared" si="37"/>
        <v>-324</v>
      </c>
      <c r="P232" s="187">
        <f t="shared" si="37"/>
        <v>-72</v>
      </c>
      <c r="Q232" s="187">
        <f t="shared" si="37"/>
        <v>-334</v>
      </c>
      <c r="R232" s="187">
        <f t="shared" si="37"/>
        <v>-84</v>
      </c>
      <c r="S232" s="189">
        <f t="shared" si="37"/>
        <v>-435</v>
      </c>
      <c r="T232" s="187">
        <f t="shared" si="37"/>
        <v>-73</v>
      </c>
      <c r="U232" s="187">
        <f t="shared" si="37"/>
        <v>-335</v>
      </c>
      <c r="V232" s="187">
        <f t="shared" si="37"/>
        <v>-203</v>
      </c>
      <c r="W232" s="189">
        <f>SUM(W227:W231)</f>
        <v>-560</v>
      </c>
      <c r="X232" s="187">
        <f>SUM(X227:X231)</f>
        <v>-331.42099999999999</v>
      </c>
    </row>
    <row r="233" spans="1:24" ht="13.5">
      <c r="A233" s="120"/>
      <c r="B233" s="206"/>
      <c r="C233" s="214"/>
      <c r="D233" s="215"/>
      <c r="E233" s="215"/>
      <c r="F233" s="215"/>
      <c r="G233" s="214"/>
      <c r="H233" s="215"/>
      <c r="I233" s="215"/>
      <c r="J233" s="215"/>
      <c r="K233" s="214"/>
      <c r="L233" s="215"/>
      <c r="M233" s="215"/>
      <c r="N233" s="215"/>
      <c r="O233" s="214"/>
      <c r="P233" s="215"/>
      <c r="Q233" s="215"/>
      <c r="R233" s="215"/>
      <c r="S233" s="214"/>
      <c r="T233" s="216"/>
      <c r="U233" s="217"/>
      <c r="V233" s="217"/>
      <c r="W233" s="315"/>
      <c r="X233" s="217"/>
    </row>
    <row r="234" spans="1:24">
      <c r="A234" s="120" t="s">
        <v>1138</v>
      </c>
      <c r="B234" s="182"/>
      <c r="C234" s="218"/>
      <c r="D234" s="120"/>
      <c r="E234" s="120"/>
      <c r="F234" s="120"/>
      <c r="G234" s="218"/>
      <c r="H234" s="120"/>
      <c r="I234" s="120"/>
      <c r="J234" s="120"/>
      <c r="K234" s="219">
        <f t="shared" ref="K234:V234" si="38">SUM(K232,K224,K218)</f>
        <v>242.94555912915507</v>
      </c>
      <c r="L234" s="219">
        <f t="shared" si="38"/>
        <v>-392.94555912915507</v>
      </c>
      <c r="M234" s="219">
        <f t="shared" si="38"/>
        <v>-16</v>
      </c>
      <c r="N234" s="219">
        <f t="shared" si="38"/>
        <v>19</v>
      </c>
      <c r="O234" s="219">
        <f t="shared" si="38"/>
        <v>-7</v>
      </c>
      <c r="P234" s="219">
        <f t="shared" si="38"/>
        <v>-32</v>
      </c>
      <c r="Q234" s="219">
        <f t="shared" si="38"/>
        <v>-4</v>
      </c>
      <c r="R234" s="219">
        <f t="shared" si="38"/>
        <v>59</v>
      </c>
      <c r="S234" s="219">
        <f t="shared" si="38"/>
        <v>-17</v>
      </c>
      <c r="T234" s="219">
        <f t="shared" si="38"/>
        <v>-2</v>
      </c>
      <c r="U234" s="219">
        <f t="shared" si="38"/>
        <v>33</v>
      </c>
      <c r="V234" s="219">
        <f t="shared" si="38"/>
        <v>24</v>
      </c>
      <c r="W234" s="218">
        <f>SUM(W232,W224,W218)</f>
        <v>-12</v>
      </c>
      <c r="X234" s="219">
        <f>SUM(X232,X224,X218)</f>
        <v>-30.420999999999992</v>
      </c>
    </row>
    <row r="235" spans="1:24">
      <c r="A235" s="120" t="s">
        <v>1139</v>
      </c>
      <c r="B235" s="182"/>
      <c r="C235" s="218"/>
      <c r="D235" s="120"/>
      <c r="E235" s="120"/>
      <c r="F235" s="120"/>
      <c r="G235" s="218"/>
      <c r="H235" s="120"/>
      <c r="I235" s="120"/>
      <c r="J235" s="120"/>
      <c r="K235" s="218">
        <v>200</v>
      </c>
      <c r="L235" s="120">
        <v>442.94555912915507</v>
      </c>
      <c r="M235" s="120">
        <v>50</v>
      </c>
      <c r="N235" s="120">
        <v>34</v>
      </c>
      <c r="O235" s="218">
        <v>53</v>
      </c>
      <c r="P235" s="120">
        <v>46</v>
      </c>
      <c r="Q235" s="120">
        <v>14</v>
      </c>
      <c r="R235" s="120">
        <v>10</v>
      </c>
      <c r="S235" s="218">
        <v>69</v>
      </c>
      <c r="T235" s="219">
        <v>52</v>
      </c>
      <c r="U235" s="219">
        <v>50</v>
      </c>
      <c r="V235" s="219">
        <v>83</v>
      </c>
      <c r="W235" s="218">
        <v>107</v>
      </c>
      <c r="X235" s="219">
        <v>108</v>
      </c>
    </row>
    <row r="236" spans="1:24" ht="13.5" thickBot="1">
      <c r="A236" s="166" t="s">
        <v>1140</v>
      </c>
      <c r="B236" s="220"/>
      <c r="C236" s="221"/>
      <c r="D236" s="221"/>
      <c r="E236" s="221"/>
      <c r="F236" s="221"/>
      <c r="G236" s="222">
        <f t="shared" ref="G236:V236" si="39">SUM(G234:G235)</f>
        <v>0</v>
      </c>
      <c r="H236" s="221">
        <f t="shared" si="39"/>
        <v>0</v>
      </c>
      <c r="I236" s="221">
        <f t="shared" si="39"/>
        <v>0</v>
      </c>
      <c r="J236" s="221">
        <f t="shared" si="39"/>
        <v>0</v>
      </c>
      <c r="K236" s="222">
        <f t="shared" si="39"/>
        <v>442.94555912915507</v>
      </c>
      <c r="L236" s="221">
        <f t="shared" si="39"/>
        <v>50</v>
      </c>
      <c r="M236" s="221">
        <f t="shared" si="39"/>
        <v>34</v>
      </c>
      <c r="N236" s="221">
        <f t="shared" si="39"/>
        <v>53</v>
      </c>
      <c r="O236" s="222">
        <f t="shared" si="39"/>
        <v>46</v>
      </c>
      <c r="P236" s="221">
        <f t="shared" si="39"/>
        <v>14</v>
      </c>
      <c r="Q236" s="221">
        <f t="shared" si="39"/>
        <v>10</v>
      </c>
      <c r="R236" s="221">
        <f t="shared" si="39"/>
        <v>69</v>
      </c>
      <c r="S236" s="222">
        <f t="shared" si="39"/>
        <v>52</v>
      </c>
      <c r="T236" s="221">
        <f t="shared" si="39"/>
        <v>50</v>
      </c>
      <c r="U236" s="221">
        <f t="shared" si="39"/>
        <v>83</v>
      </c>
      <c r="V236" s="221">
        <f t="shared" si="39"/>
        <v>107</v>
      </c>
      <c r="W236" s="222">
        <f>SUM(W234:W235)</f>
        <v>95</v>
      </c>
      <c r="X236" s="221">
        <f>SUM(X234:X235)</f>
        <v>77.579000000000008</v>
      </c>
    </row>
    <row r="237" spans="1:24" ht="13.5" thickTop="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row>
    <row r="238" spans="1:24">
      <c r="A238" s="21"/>
      <c r="B238" s="21"/>
      <c r="C238" s="21"/>
      <c r="D238" s="21"/>
      <c r="E238" s="21"/>
      <c r="F238" s="21"/>
      <c r="G238" s="21"/>
      <c r="H238" s="21"/>
      <c r="I238" s="21"/>
      <c r="J238" s="21"/>
      <c r="K238" s="21"/>
      <c r="L238" s="21"/>
      <c r="M238" s="21"/>
      <c r="N238" s="21"/>
      <c r="O238" s="21"/>
      <c r="P238" s="21"/>
      <c r="Q238" s="21"/>
      <c r="R238" s="21"/>
      <c r="S238" s="21"/>
      <c r="T238" s="21"/>
      <c r="U238" s="21"/>
      <c r="V238" s="21"/>
      <c r="W238" s="269"/>
      <c r="X238" s="21"/>
    </row>
    <row r="239" spans="1:24">
      <c r="A239" s="21"/>
      <c r="B239" s="21"/>
      <c r="C239" s="21"/>
      <c r="D239" s="21"/>
      <c r="E239" s="21"/>
      <c r="F239" s="21"/>
      <c r="G239" s="21"/>
      <c r="H239" s="21"/>
      <c r="I239" s="21"/>
      <c r="J239" s="21"/>
      <c r="K239" s="21"/>
      <c r="L239" s="21"/>
      <c r="M239" s="21"/>
      <c r="N239" s="21"/>
      <c r="O239" s="21"/>
      <c r="P239" s="21"/>
      <c r="Q239" s="21"/>
      <c r="R239" s="21"/>
      <c r="S239" s="21"/>
      <c r="T239" s="21"/>
      <c r="U239" s="21"/>
      <c r="V239" s="21"/>
      <c r="W239" s="269" t="e">
        <f>W238/(#REF!*1000*4)</f>
        <v>#REF!</v>
      </c>
      <c r="X239" s="21"/>
    </row>
  </sheetData>
  <phoneticPr fontId="21" type="noConversion"/>
  <pageMargins left="0.75" right="0.75" top="1" bottom="1" header="0.5" footer="0.5"/>
  <pageSetup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T2"/>
  <sheetViews>
    <sheetView workbookViewId="0"/>
  </sheetViews>
  <sheetFormatPr defaultRowHeight="12.75"/>
  <sheetData>
    <row r="1" spans="1:98">
      <c r="A1" t="s">
        <v>1745</v>
      </c>
    </row>
    <row r="2" spans="1:98">
      <c r="A2" s="279" t="s">
        <v>461</v>
      </c>
      <c r="B2" s="279" t="s">
        <v>2033</v>
      </c>
      <c r="C2" s="279" t="s">
        <v>1710</v>
      </c>
      <c r="D2" s="279" t="s">
        <v>446</v>
      </c>
      <c r="E2" s="279" t="s">
        <v>1711</v>
      </c>
      <c r="F2" s="279" t="s">
        <v>1727</v>
      </c>
      <c r="G2" s="279" t="s">
        <v>448</v>
      </c>
      <c r="H2" s="279" t="s">
        <v>446</v>
      </c>
      <c r="I2" s="279" t="s">
        <v>1712</v>
      </c>
      <c r="J2" s="279" t="s">
        <v>446</v>
      </c>
      <c r="K2" s="279" t="s">
        <v>1706</v>
      </c>
      <c r="L2" s="279" t="s">
        <v>1708</v>
      </c>
      <c r="M2" s="279" t="s">
        <v>1713</v>
      </c>
      <c r="N2" s="279" t="s">
        <v>446</v>
      </c>
      <c r="O2" s="279" t="s">
        <v>1729</v>
      </c>
      <c r="P2" s="279" t="s">
        <v>1746</v>
      </c>
      <c r="Q2" s="279" t="s">
        <v>1730</v>
      </c>
      <c r="R2" s="279" t="s">
        <v>1747</v>
      </c>
      <c r="S2" s="279" t="s">
        <v>449</v>
      </c>
      <c r="T2" s="279" t="s">
        <v>451</v>
      </c>
      <c r="U2" s="279" t="s">
        <v>1728</v>
      </c>
      <c r="V2" s="279" t="s">
        <v>446</v>
      </c>
      <c r="W2" s="279" t="s">
        <v>1714</v>
      </c>
      <c r="X2" s="279" t="s">
        <v>446</v>
      </c>
      <c r="Y2" s="279" t="s">
        <v>520</v>
      </c>
      <c r="Z2" s="279" t="s">
        <v>446</v>
      </c>
      <c r="AA2" s="279" t="s">
        <v>1707</v>
      </c>
      <c r="AB2" s="279" t="s">
        <v>1709</v>
      </c>
      <c r="AC2" s="279" t="s">
        <v>1731</v>
      </c>
      <c r="AD2" s="279" t="s">
        <v>1748</v>
      </c>
      <c r="AE2" s="279" t="s">
        <v>1716</v>
      </c>
      <c r="AF2" s="279" t="s">
        <v>1727</v>
      </c>
      <c r="AG2" s="279" t="s">
        <v>1717</v>
      </c>
      <c r="AH2" s="279" t="s">
        <v>446</v>
      </c>
      <c r="AI2" s="279" t="s">
        <v>1732</v>
      </c>
      <c r="AJ2" s="279" t="s">
        <v>1749</v>
      </c>
      <c r="AK2" s="279" t="s">
        <v>1718</v>
      </c>
      <c r="AL2" s="279" t="s">
        <v>1727</v>
      </c>
      <c r="AM2" s="279" t="s">
        <v>444</v>
      </c>
      <c r="AN2" s="279" t="s">
        <v>446</v>
      </c>
      <c r="AO2" s="279" t="s">
        <v>1719</v>
      </c>
      <c r="AP2" s="279" t="s">
        <v>1727</v>
      </c>
      <c r="AQ2" s="279" t="s">
        <v>1733</v>
      </c>
      <c r="AR2" s="279" t="s">
        <v>446</v>
      </c>
      <c r="AS2" s="279" t="s">
        <v>521</v>
      </c>
      <c r="AT2" s="279" t="s">
        <v>446</v>
      </c>
      <c r="AU2" s="279" t="s">
        <v>1715</v>
      </c>
      <c r="AV2" s="279" t="s">
        <v>1727</v>
      </c>
      <c r="AW2" s="279" t="s">
        <v>1734</v>
      </c>
      <c r="AX2" s="279" t="s">
        <v>1750</v>
      </c>
      <c r="AY2" s="279" t="s">
        <v>447</v>
      </c>
      <c r="AZ2" s="279" t="s">
        <v>446</v>
      </c>
      <c r="BA2" s="279" t="s">
        <v>1735</v>
      </c>
      <c r="BB2" s="279" t="s">
        <v>446</v>
      </c>
      <c r="BC2" s="279" t="s">
        <v>450</v>
      </c>
      <c r="BD2" s="279" t="s">
        <v>452</v>
      </c>
      <c r="BE2" s="279" t="s">
        <v>1736</v>
      </c>
      <c r="BF2" s="279" t="s">
        <v>446</v>
      </c>
      <c r="BG2" s="279" t="s">
        <v>1720</v>
      </c>
      <c r="BH2" s="279" t="s">
        <v>1727</v>
      </c>
      <c r="BI2" s="279" t="s">
        <v>1737</v>
      </c>
      <c r="BJ2" s="279" t="s">
        <v>1751</v>
      </c>
      <c r="BK2" s="279" t="s">
        <v>519</v>
      </c>
      <c r="BL2" s="279" t="s">
        <v>446</v>
      </c>
      <c r="BM2" s="279" t="s">
        <v>1738</v>
      </c>
      <c r="BN2" s="279" t="s">
        <v>1752</v>
      </c>
      <c r="BO2" s="279" t="s">
        <v>1721</v>
      </c>
      <c r="BP2" s="279" t="s">
        <v>1727</v>
      </c>
      <c r="BQ2" s="279" t="s">
        <v>518</v>
      </c>
      <c r="BR2" s="279" t="s">
        <v>1126</v>
      </c>
      <c r="BS2" s="279" t="s">
        <v>1722</v>
      </c>
      <c r="BT2" s="279" t="s">
        <v>1727</v>
      </c>
      <c r="BU2" s="279" t="s">
        <v>1739</v>
      </c>
      <c r="BV2" s="279" t="s">
        <v>1753</v>
      </c>
      <c r="BW2" s="279" t="s">
        <v>1723</v>
      </c>
      <c r="BX2" s="279" t="s">
        <v>446</v>
      </c>
      <c r="BY2" s="279" t="s">
        <v>445</v>
      </c>
      <c r="BZ2" s="279" t="s">
        <v>446</v>
      </c>
      <c r="CA2" s="279" t="s">
        <v>1740</v>
      </c>
      <c r="CB2" s="279" t="s">
        <v>446</v>
      </c>
      <c r="CC2" s="279" t="s">
        <v>1741</v>
      </c>
      <c r="CD2" s="279" t="s">
        <v>1754</v>
      </c>
      <c r="CE2" s="279" t="s">
        <v>462</v>
      </c>
      <c r="CF2" s="279" t="s">
        <v>1127</v>
      </c>
      <c r="CG2" s="279" t="s">
        <v>1724</v>
      </c>
      <c r="CH2" s="279" t="s">
        <v>446</v>
      </c>
      <c r="CI2" s="279" t="s">
        <v>1742</v>
      </c>
      <c r="CJ2" s="279" t="s">
        <v>446</v>
      </c>
      <c r="CK2" s="279" t="s">
        <v>1725</v>
      </c>
      <c r="CL2" s="279" t="s">
        <v>446</v>
      </c>
      <c r="CM2" s="279" t="s">
        <v>463</v>
      </c>
      <c r="CN2" s="279" t="s">
        <v>453</v>
      </c>
      <c r="CO2" s="279" t="s">
        <v>1726</v>
      </c>
      <c r="CP2" s="279" t="s">
        <v>1727</v>
      </c>
      <c r="CQ2" s="279" t="s">
        <v>1743</v>
      </c>
      <c r="CR2" s="279" t="s">
        <v>446</v>
      </c>
      <c r="CS2" s="279" t="s">
        <v>1744</v>
      </c>
      <c r="CT2" s="279" t="s">
        <v>446</v>
      </c>
    </row>
  </sheetData>
  <phoneticPr fontId="21"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1"/>
  <sheetViews>
    <sheetView workbookViewId="0"/>
  </sheetViews>
  <sheetFormatPr defaultRowHeight="12.75"/>
  <sheetData>
    <row r="1" spans="1:2">
      <c r="B1" t="s">
        <v>434</v>
      </c>
    </row>
  </sheetData>
  <phoneticPr fontId="21" type="noConversion"/>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E147"/>
  <sheetViews>
    <sheetView zoomScale="85" workbookViewId="0">
      <pane xSplit="1" ySplit="10" topLeftCell="Q11" activePane="bottomRight" state="frozen"/>
      <selection activeCell="O133" sqref="O133"/>
      <selection pane="topRight" activeCell="O133" sqref="O133"/>
      <selection pane="bottomLeft" activeCell="O133" sqref="O133"/>
      <selection pane="bottomRight" activeCell="O133" sqref="O133"/>
    </sheetView>
  </sheetViews>
  <sheetFormatPr defaultRowHeight="12.75"/>
  <cols>
    <col min="1" max="1" width="45.7109375" customWidth="1"/>
    <col min="2" max="2" width="10.7109375" customWidth="1"/>
    <col min="8" max="15" width="9.28515625" bestFit="1" customWidth="1"/>
    <col min="16" max="16" width="9.5703125" bestFit="1" customWidth="1"/>
    <col min="17" max="17" width="9" bestFit="1" customWidth="1"/>
    <col min="18" max="18" width="9.28515625" bestFit="1" customWidth="1"/>
    <col min="19" max="19" width="9.42578125" customWidth="1"/>
    <col min="20" max="21" width="9.28515625" bestFit="1" customWidth="1"/>
    <col min="23" max="23" width="11.140625" customWidth="1"/>
    <col min="24" max="24" width="11.7109375" bestFit="1" customWidth="1"/>
    <col min="26" max="26" width="9.28515625" bestFit="1" customWidth="1"/>
    <col min="27" max="28" width="9.7109375" bestFit="1" customWidth="1"/>
    <col min="29" max="29" width="9.28515625" bestFit="1" customWidth="1"/>
    <col min="34" max="34" width="11" bestFit="1" customWidth="1"/>
  </cols>
  <sheetData>
    <row r="1" spans="1:26">
      <c r="A1" s="4" t="s">
        <v>930</v>
      </c>
      <c r="D1" s="59"/>
      <c r="E1" s="59"/>
    </row>
    <row r="2" spans="1:26">
      <c r="A2" s="4" t="s">
        <v>788</v>
      </c>
      <c r="D2" s="59"/>
      <c r="E2" s="59"/>
    </row>
    <row r="3" spans="1:26">
      <c r="A3" s="4" t="s">
        <v>986</v>
      </c>
      <c r="D3" s="59"/>
      <c r="E3" s="59"/>
    </row>
    <row r="4" spans="1:26">
      <c r="A4" s="3" t="s">
        <v>763</v>
      </c>
      <c r="D4" s="59"/>
      <c r="E4" s="59"/>
    </row>
    <row r="5" spans="1:26">
      <c r="A5" s="25"/>
      <c r="D5" s="59"/>
      <c r="E5" s="59"/>
    </row>
    <row r="6" spans="1:26">
      <c r="D6" s="59"/>
      <c r="E6" s="59"/>
    </row>
    <row r="7" spans="1:26">
      <c r="A7" s="26" t="s">
        <v>853</v>
      </c>
      <c r="D7" s="59"/>
      <c r="E7" s="59"/>
    </row>
    <row r="8" spans="1:26">
      <c r="A8" s="26" t="s">
        <v>854</v>
      </c>
      <c r="D8" s="59"/>
      <c r="E8" s="59"/>
    </row>
    <row r="9" spans="1:26">
      <c r="A9" s="26" t="s">
        <v>855</v>
      </c>
      <c r="D9" s="59"/>
      <c r="E9" s="59"/>
    </row>
    <row r="10" spans="1:26">
      <c r="A10" s="27" t="s">
        <v>856</v>
      </c>
      <c r="B10" s="60" t="s">
        <v>767</v>
      </c>
      <c r="C10" s="60" t="s">
        <v>768</v>
      </c>
      <c r="D10" s="61" t="s">
        <v>769</v>
      </c>
      <c r="E10" s="61" t="s">
        <v>770</v>
      </c>
      <c r="F10" s="61" t="s">
        <v>771</v>
      </c>
      <c r="G10" s="61" t="s">
        <v>800</v>
      </c>
      <c r="H10" s="61" t="s">
        <v>801</v>
      </c>
      <c r="I10" s="61" t="s">
        <v>802</v>
      </c>
      <c r="J10" s="61" t="s">
        <v>803</v>
      </c>
      <c r="K10" s="61" t="s">
        <v>804</v>
      </c>
      <c r="L10" s="61" t="s">
        <v>805</v>
      </c>
      <c r="M10" s="61" t="s">
        <v>806</v>
      </c>
      <c r="N10" s="61" t="s">
        <v>807</v>
      </c>
      <c r="O10" s="61" t="s">
        <v>808</v>
      </c>
      <c r="P10" s="61" t="s">
        <v>809</v>
      </c>
      <c r="Q10" s="61" t="s">
        <v>810</v>
      </c>
      <c r="R10" s="61" t="s">
        <v>811</v>
      </c>
      <c r="S10" s="61" t="s">
        <v>812</v>
      </c>
      <c r="T10" s="61" t="s">
        <v>813</v>
      </c>
      <c r="U10" s="61" t="s">
        <v>814</v>
      </c>
      <c r="V10" s="61" t="s">
        <v>430</v>
      </c>
      <c r="W10" s="61" t="s">
        <v>431</v>
      </c>
      <c r="X10" s="61" t="s">
        <v>772</v>
      </c>
      <c r="Y10" s="61" t="s">
        <v>773</v>
      </c>
      <c r="Z10" s="61" t="s">
        <v>774</v>
      </c>
    </row>
    <row r="11" spans="1:26">
      <c r="A11" s="25" t="s">
        <v>789</v>
      </c>
      <c r="D11" s="59"/>
      <c r="E11" s="59"/>
      <c r="F11" s="59"/>
      <c r="G11" s="59"/>
      <c r="H11" s="59"/>
      <c r="N11" s="74"/>
      <c r="R11" s="74"/>
    </row>
    <row r="12" spans="1:26">
      <c r="D12" s="59"/>
      <c r="E12" s="59"/>
      <c r="F12" s="59"/>
      <c r="G12" s="59"/>
      <c r="H12" s="59"/>
      <c r="N12" s="74"/>
      <c r="O12" s="74"/>
      <c r="R12" s="74"/>
      <c r="S12" s="74"/>
    </row>
    <row r="13" spans="1:26">
      <c r="A13" s="29" t="s">
        <v>790</v>
      </c>
      <c r="D13" s="59"/>
      <c r="E13" s="59"/>
      <c r="F13" s="59"/>
      <c r="G13" s="59"/>
      <c r="H13" s="59"/>
      <c r="N13" s="74"/>
      <c r="R13" s="74"/>
    </row>
    <row r="14" spans="1:26" ht="13.5">
      <c r="A14" s="84" t="s">
        <v>873</v>
      </c>
      <c r="D14" s="59"/>
      <c r="E14" s="59"/>
      <c r="F14" s="59"/>
      <c r="G14" s="59"/>
      <c r="H14" s="59"/>
      <c r="N14" s="74"/>
      <c r="R14" s="74"/>
    </row>
    <row r="15" spans="1:26">
      <c r="A15" s="82" t="s">
        <v>857</v>
      </c>
      <c r="B15" s="74">
        <v>220972</v>
      </c>
      <c r="C15" s="74">
        <v>222647</v>
      </c>
      <c r="D15" s="74">
        <v>225869</v>
      </c>
      <c r="E15" s="74">
        <v>229536</v>
      </c>
      <c r="F15" s="74">
        <v>224973</v>
      </c>
      <c r="G15" s="74">
        <v>224500</v>
      </c>
      <c r="H15" s="74">
        <v>221708</v>
      </c>
      <c r="I15" s="74">
        <v>225857</v>
      </c>
      <c r="J15" s="74">
        <v>220207</v>
      </c>
      <c r="K15" s="74">
        <v>217449</v>
      </c>
      <c r="L15" s="74">
        <v>216786</v>
      </c>
      <c r="M15" s="74">
        <v>216180</v>
      </c>
      <c r="N15" s="74">
        <v>211385</v>
      </c>
      <c r="O15" s="74">
        <v>209075</v>
      </c>
      <c r="P15" s="74">
        <v>222677</v>
      </c>
      <c r="Q15" s="74">
        <v>229862</v>
      </c>
      <c r="R15" s="74">
        <v>225525</v>
      </c>
      <c r="S15" s="74">
        <v>220480</v>
      </c>
      <c r="T15" s="317">
        <v>219901</v>
      </c>
      <c r="U15" s="317">
        <v>218253</v>
      </c>
      <c r="V15" s="317">
        <v>215407</v>
      </c>
      <c r="W15" s="317">
        <v>209918</v>
      </c>
      <c r="X15" s="317">
        <v>207603</v>
      </c>
      <c r="Y15" s="74">
        <v>207388.79214904588</v>
      </c>
      <c r="Z15" s="74">
        <v>204573.75115600001</v>
      </c>
    </row>
    <row r="16" spans="1:26">
      <c r="A16" s="82" t="s">
        <v>791</v>
      </c>
      <c r="B16" s="74">
        <v>252655</v>
      </c>
      <c r="C16" s="74">
        <v>240957</v>
      </c>
      <c r="D16" s="74">
        <v>245515</v>
      </c>
      <c r="E16" s="74">
        <v>240613</v>
      </c>
      <c r="F16" s="74">
        <v>242017</v>
      </c>
      <c r="G16" s="74">
        <v>230278</v>
      </c>
      <c r="H16" s="74">
        <v>239404</v>
      </c>
      <c r="I16" s="74">
        <v>257586</v>
      </c>
      <c r="J16" s="74">
        <v>232570</v>
      </c>
      <c r="K16" s="74">
        <v>224118</v>
      </c>
      <c r="L16" s="74">
        <v>221586</v>
      </c>
      <c r="M16" s="74">
        <v>219260</v>
      </c>
      <c r="N16" s="74">
        <v>211819</v>
      </c>
      <c r="O16" s="74">
        <v>211399</v>
      </c>
      <c r="P16" s="74">
        <v>217215</v>
      </c>
      <c r="Q16" s="74">
        <v>247963</v>
      </c>
      <c r="R16" s="74">
        <v>216631</v>
      </c>
      <c r="S16" s="74">
        <v>208698</v>
      </c>
      <c r="T16" s="317">
        <v>206892</v>
      </c>
      <c r="U16" s="317">
        <v>205385</v>
      </c>
      <c r="V16" s="317">
        <v>198089</v>
      </c>
      <c r="W16" s="317">
        <v>191816</v>
      </c>
      <c r="X16" s="317">
        <v>190366</v>
      </c>
      <c r="Y16" s="74">
        <v>189607.18614641816</v>
      </c>
      <c r="Z16" s="74">
        <v>190157.51643999998</v>
      </c>
    </row>
    <row r="17" spans="1:31">
      <c r="A17" s="82" t="s">
        <v>858</v>
      </c>
      <c r="B17" s="74">
        <v>64182</v>
      </c>
      <c r="C17" s="74">
        <v>65628</v>
      </c>
      <c r="D17" s="74">
        <v>68169</v>
      </c>
      <c r="E17" s="74">
        <v>69992</v>
      </c>
      <c r="F17" s="74">
        <v>72410</v>
      </c>
      <c r="G17" s="74">
        <v>72906</v>
      </c>
      <c r="H17" s="74">
        <v>76049</v>
      </c>
      <c r="I17" s="74">
        <v>88911</v>
      </c>
      <c r="J17" s="74">
        <v>80904</v>
      </c>
      <c r="K17" s="74">
        <v>83054</v>
      </c>
      <c r="L17" s="74">
        <v>84447</v>
      </c>
      <c r="M17" s="74">
        <v>91382</v>
      </c>
      <c r="N17" s="74">
        <v>92337</v>
      </c>
      <c r="O17" s="74">
        <v>95864</v>
      </c>
      <c r="P17" s="74">
        <v>108206</v>
      </c>
      <c r="Q17" s="74">
        <v>134630</v>
      </c>
      <c r="R17" s="74">
        <v>122123</v>
      </c>
      <c r="S17" s="74">
        <v>126772</v>
      </c>
      <c r="T17" s="317">
        <v>131039</v>
      </c>
      <c r="U17" s="317">
        <v>132631</v>
      </c>
      <c r="V17" s="317">
        <v>133731</v>
      </c>
      <c r="W17" s="317">
        <v>139937</v>
      </c>
      <c r="X17" s="317">
        <v>142923</v>
      </c>
      <c r="Y17" s="74">
        <v>140136.1759508489</v>
      </c>
      <c r="Z17" s="74">
        <v>140068.8405549681</v>
      </c>
    </row>
    <row r="18" spans="1:31">
      <c r="A18" s="82" t="s">
        <v>859</v>
      </c>
      <c r="B18" s="74">
        <v>14580</v>
      </c>
      <c r="C18" s="74">
        <v>17432</v>
      </c>
      <c r="D18" s="74">
        <v>18321</v>
      </c>
      <c r="E18" s="74">
        <v>19113</v>
      </c>
      <c r="F18" s="74">
        <v>19543</v>
      </c>
      <c r="G18" s="74">
        <v>20243</v>
      </c>
      <c r="H18" s="74">
        <v>21636</v>
      </c>
      <c r="I18" s="74">
        <v>36361</v>
      </c>
      <c r="J18" s="74">
        <v>37214</v>
      </c>
      <c r="K18" s="74">
        <v>35780</v>
      </c>
      <c r="L18" s="74">
        <v>36051</v>
      </c>
      <c r="M18" s="74">
        <v>37487</v>
      </c>
      <c r="N18" s="74">
        <v>39770</v>
      </c>
      <c r="O18" s="74">
        <v>38326</v>
      </c>
      <c r="P18" s="74">
        <v>40701</v>
      </c>
      <c r="Q18" s="74">
        <v>41811</v>
      </c>
      <c r="R18" s="74">
        <v>38466</v>
      </c>
      <c r="S18" s="74">
        <v>39633</v>
      </c>
      <c r="T18" s="317">
        <v>43166</v>
      </c>
      <c r="U18" s="317">
        <v>38006</v>
      </c>
      <c r="V18" s="317">
        <v>41245</v>
      </c>
      <c r="W18" s="317">
        <v>41498</v>
      </c>
      <c r="X18" s="317">
        <v>41764</v>
      </c>
      <c r="Y18" s="74">
        <v>0</v>
      </c>
      <c r="Z18" s="74">
        <v>0</v>
      </c>
    </row>
    <row r="19" spans="1:31">
      <c r="A19" s="82" t="s">
        <v>792</v>
      </c>
      <c r="B19" s="74">
        <v>48714</v>
      </c>
      <c r="C19" s="74">
        <v>47040</v>
      </c>
      <c r="D19" s="74">
        <v>45681</v>
      </c>
      <c r="E19" s="74">
        <v>48138</v>
      </c>
      <c r="F19" s="74">
        <v>47291</v>
      </c>
      <c r="G19" s="74">
        <v>47355</v>
      </c>
      <c r="H19" s="74">
        <v>47616</v>
      </c>
      <c r="I19" s="74">
        <v>48370</v>
      </c>
      <c r="J19" s="74">
        <v>49577</v>
      </c>
      <c r="K19" s="74">
        <v>49936</v>
      </c>
      <c r="L19" s="74">
        <v>50261</v>
      </c>
      <c r="M19" s="74">
        <v>55123</v>
      </c>
      <c r="N19" s="74">
        <v>52384</v>
      </c>
      <c r="O19" s="74">
        <v>46191</v>
      </c>
      <c r="P19" s="74">
        <v>50323</v>
      </c>
      <c r="Q19" s="74">
        <v>54040</v>
      </c>
      <c r="R19" s="74">
        <v>55101</v>
      </c>
      <c r="S19" s="74">
        <v>53031</v>
      </c>
      <c r="T19" s="317">
        <v>56075</v>
      </c>
      <c r="U19" s="317">
        <v>55798</v>
      </c>
      <c r="V19" s="317">
        <v>54175</v>
      </c>
      <c r="W19" s="317">
        <v>52188</v>
      </c>
      <c r="X19" s="317">
        <v>51813</v>
      </c>
      <c r="Y19" s="74">
        <v>0</v>
      </c>
      <c r="Z19" s="74">
        <v>0</v>
      </c>
    </row>
    <row r="20" spans="1:31">
      <c r="A20" s="29" t="s">
        <v>874</v>
      </c>
      <c r="B20" s="31">
        <f>SUM(B15:B19)</f>
        <v>601103</v>
      </c>
      <c r="C20" s="31">
        <f t="shared" ref="C20:U20" si="0">SUM(C15:C19)</f>
        <v>593704</v>
      </c>
      <c r="D20" s="63">
        <f t="shared" si="0"/>
        <v>603555</v>
      </c>
      <c r="E20" s="63">
        <f t="shared" si="0"/>
        <v>607392</v>
      </c>
      <c r="F20" s="63">
        <f t="shared" si="0"/>
        <v>606234</v>
      </c>
      <c r="G20" s="63">
        <f t="shared" si="0"/>
        <v>595282</v>
      </c>
      <c r="H20" s="63">
        <f t="shared" si="0"/>
        <v>606413</v>
      </c>
      <c r="I20" s="63">
        <f t="shared" si="0"/>
        <v>657085</v>
      </c>
      <c r="J20" s="63">
        <f t="shared" si="0"/>
        <v>620472</v>
      </c>
      <c r="K20" s="63">
        <f t="shared" si="0"/>
        <v>610337</v>
      </c>
      <c r="L20" s="63">
        <f t="shared" si="0"/>
        <v>609131</v>
      </c>
      <c r="M20" s="63">
        <f t="shared" si="0"/>
        <v>619432</v>
      </c>
      <c r="N20" s="63">
        <f t="shared" si="0"/>
        <v>607695</v>
      </c>
      <c r="O20" s="63">
        <f t="shared" si="0"/>
        <v>600855</v>
      </c>
      <c r="P20" s="63">
        <f t="shared" si="0"/>
        <v>639122</v>
      </c>
      <c r="Q20" s="63">
        <f t="shared" si="0"/>
        <v>708306</v>
      </c>
      <c r="R20" s="63">
        <f t="shared" si="0"/>
        <v>657846</v>
      </c>
      <c r="S20" s="63">
        <f t="shared" si="0"/>
        <v>648614</v>
      </c>
      <c r="T20" s="63">
        <f t="shared" si="0"/>
        <v>657073</v>
      </c>
      <c r="U20" s="63">
        <f t="shared" si="0"/>
        <v>650073</v>
      </c>
      <c r="V20" s="63">
        <f>SUM(V15:V19)</f>
        <v>642647</v>
      </c>
      <c r="W20" s="63">
        <f>SUM(W15:W19)</f>
        <v>635357</v>
      </c>
      <c r="X20" s="63">
        <f>SUM(X15:X19)</f>
        <v>634469</v>
      </c>
      <c r="Y20" s="63">
        <f>SUM(Y15:Y19)</f>
        <v>537132.15424631303</v>
      </c>
      <c r="Z20" s="63">
        <f>SUM(Z15:Z19)</f>
        <v>534800.1081509681</v>
      </c>
      <c r="AA20" s="293">
        <v>0.13</v>
      </c>
      <c r="AB20" s="74">
        <f>+SUM(S20:V20)</f>
        <v>2598407</v>
      </c>
      <c r="AC20">
        <f>+AB20*AA20</f>
        <v>337792.91000000003</v>
      </c>
      <c r="AD20" t="s">
        <v>480</v>
      </c>
    </row>
    <row r="21" spans="1:31">
      <c r="A21" s="29"/>
      <c r="B21" s="31"/>
      <c r="C21" s="31"/>
      <c r="D21" s="31"/>
      <c r="E21" s="31"/>
      <c r="F21" s="31"/>
      <c r="G21" s="31"/>
      <c r="H21" s="31"/>
      <c r="I21" s="31"/>
      <c r="J21" s="31"/>
      <c r="K21" s="31"/>
      <c r="L21" s="31"/>
      <c r="M21" s="31"/>
      <c r="N21" s="31"/>
      <c r="O21" s="31"/>
      <c r="P21" s="31"/>
      <c r="Q21" s="31"/>
      <c r="R21" s="31"/>
      <c r="S21" s="31"/>
      <c r="T21" s="31"/>
      <c r="U21" s="31"/>
    </row>
    <row r="22" spans="1:31" ht="14.25" thickBot="1">
      <c r="A22" s="84" t="s">
        <v>875</v>
      </c>
      <c r="B22" s="31"/>
      <c r="C22" s="31"/>
      <c r="D22" s="31"/>
      <c r="E22" s="31"/>
      <c r="F22" s="31"/>
      <c r="G22" s="31"/>
      <c r="H22" s="31"/>
      <c r="I22" s="31"/>
      <c r="J22" s="31"/>
      <c r="K22" s="31"/>
      <c r="L22" s="31"/>
      <c r="M22" s="31"/>
      <c r="N22" s="31"/>
      <c r="O22" s="31"/>
      <c r="P22" s="31"/>
      <c r="Q22" s="31"/>
      <c r="R22" s="31"/>
      <c r="S22" s="31"/>
      <c r="T22" s="31"/>
      <c r="U22" s="31"/>
      <c r="AB22" s="292"/>
    </row>
    <row r="23" spans="1:31">
      <c r="A23" s="82" t="s">
        <v>857</v>
      </c>
      <c r="B23" s="86"/>
      <c r="C23" s="86"/>
      <c r="D23" s="62"/>
      <c r="E23" s="62"/>
      <c r="F23" s="62"/>
      <c r="G23" s="62"/>
      <c r="H23" s="62"/>
      <c r="I23" s="62"/>
      <c r="J23" s="62"/>
      <c r="K23">
        <v>1155000</v>
      </c>
      <c r="L23">
        <v>1123000</v>
      </c>
      <c r="M23">
        <v>1101000</v>
      </c>
      <c r="N23">
        <v>1120000</v>
      </c>
      <c r="O23">
        <v>1084000</v>
      </c>
      <c r="P23">
        <v>1071000</v>
      </c>
      <c r="Q23" s="90">
        <v>1051000</v>
      </c>
      <c r="R23" s="90">
        <v>1032000</v>
      </c>
      <c r="S23" s="90">
        <v>1024000</v>
      </c>
      <c r="T23" s="90">
        <v>994200</v>
      </c>
      <c r="U23" s="90">
        <v>960000</v>
      </c>
      <c r="V23" s="90">
        <v>937000</v>
      </c>
      <c r="W23" s="90">
        <v>916100</v>
      </c>
      <c r="X23" s="318">
        <f>+X$30*AB23</f>
        <v>901068.00000000012</v>
      </c>
      <c r="Y23">
        <v>863623.35392199864</v>
      </c>
      <c r="Z23">
        <v>846028.59785045031</v>
      </c>
      <c r="AB23" s="320">
        <v>0.68</v>
      </c>
    </row>
    <row r="24" spans="1:31">
      <c r="A24" s="82" t="s">
        <v>878</v>
      </c>
      <c r="B24" s="86"/>
      <c r="C24" s="86"/>
      <c r="D24" s="62"/>
      <c r="E24" s="62"/>
      <c r="F24" s="62"/>
      <c r="G24" s="62"/>
      <c r="H24" s="62"/>
      <c r="I24" s="62"/>
      <c r="J24" s="62"/>
      <c r="K24">
        <v>273000</v>
      </c>
      <c r="L24">
        <v>279000</v>
      </c>
      <c r="M24">
        <v>289000</v>
      </c>
      <c r="N24">
        <v>295000</v>
      </c>
      <c r="O24">
        <v>314000</v>
      </c>
      <c r="P24">
        <v>320000</v>
      </c>
      <c r="Q24" s="90">
        <v>334000</v>
      </c>
      <c r="R24" s="90">
        <v>337000</v>
      </c>
      <c r="S24" s="90">
        <v>347000</v>
      </c>
      <c r="T24" s="90">
        <v>353200</v>
      </c>
      <c r="U24" s="90">
        <v>353000</v>
      </c>
      <c r="V24" s="90">
        <v>355000</v>
      </c>
      <c r="W24" s="90">
        <v>355100</v>
      </c>
      <c r="X24" s="318">
        <f>+X$30*AB24</f>
        <v>351151.5</v>
      </c>
      <c r="Y24">
        <v>354833.63372093026</v>
      </c>
      <c r="Z24">
        <v>356625.3125</v>
      </c>
      <c r="AB24" s="321">
        <v>0.26500000000000001</v>
      </c>
    </row>
    <row r="25" spans="1:31">
      <c r="A25" s="82" t="s">
        <v>879</v>
      </c>
      <c r="B25" s="86"/>
      <c r="C25" s="86"/>
      <c r="D25" s="86"/>
      <c r="E25" s="86"/>
      <c r="F25" s="86"/>
      <c r="G25" s="86"/>
      <c r="H25" s="86"/>
      <c r="I25" s="86"/>
      <c r="J25" s="86"/>
      <c r="K25">
        <v>66000</v>
      </c>
      <c r="L25">
        <v>61000</v>
      </c>
      <c r="M25">
        <v>64000</v>
      </c>
      <c r="N25">
        <v>57000</v>
      </c>
      <c r="O25">
        <v>60000</v>
      </c>
      <c r="P25">
        <v>63000</v>
      </c>
      <c r="Q25" s="90">
        <v>61000</v>
      </c>
      <c r="R25" s="90">
        <v>59000</v>
      </c>
      <c r="S25" s="90">
        <v>62000</v>
      </c>
      <c r="T25" s="90">
        <v>60100</v>
      </c>
      <c r="U25" s="90">
        <v>64000</v>
      </c>
      <c r="V25" s="90">
        <v>60000</v>
      </c>
      <c r="W25" s="90">
        <v>55000</v>
      </c>
      <c r="X25" s="318">
        <f>+X$30*AB25</f>
        <v>53004</v>
      </c>
      <c r="Y25">
        <v>61000</v>
      </c>
      <c r="Z25">
        <v>61000</v>
      </c>
      <c r="AB25" s="321">
        <v>0.04</v>
      </c>
    </row>
    <row r="26" spans="1:31">
      <c r="A26" s="81" t="s">
        <v>880</v>
      </c>
      <c r="B26" s="31"/>
      <c r="C26" s="31"/>
      <c r="D26" s="31"/>
      <c r="E26" s="31"/>
      <c r="F26" s="31"/>
      <c r="G26" s="31"/>
      <c r="H26" s="31"/>
      <c r="I26" s="31"/>
      <c r="J26" s="31"/>
      <c r="K26" s="31">
        <f t="shared" ref="K26:U26" si="1">SUM(K23:K25)</f>
        <v>1494000</v>
      </c>
      <c r="L26" s="31">
        <f t="shared" si="1"/>
        <v>1463000</v>
      </c>
      <c r="M26" s="31">
        <f t="shared" si="1"/>
        <v>1454000</v>
      </c>
      <c r="N26" s="31">
        <f t="shared" si="1"/>
        <v>1472000</v>
      </c>
      <c r="O26" s="31">
        <f t="shared" si="1"/>
        <v>1458000</v>
      </c>
      <c r="P26" s="31">
        <f t="shared" si="1"/>
        <v>1454000</v>
      </c>
      <c r="Q26" s="31">
        <f t="shared" si="1"/>
        <v>1446000</v>
      </c>
      <c r="R26" s="31">
        <f t="shared" si="1"/>
        <v>1428000</v>
      </c>
      <c r="S26" s="31">
        <f t="shared" si="1"/>
        <v>1433000</v>
      </c>
      <c r="T26" s="31">
        <f t="shared" si="1"/>
        <v>1407500</v>
      </c>
      <c r="U26" s="31">
        <f t="shared" si="1"/>
        <v>1377000</v>
      </c>
      <c r="V26" s="31">
        <f>SUM(V23:V25)</f>
        <v>1352000</v>
      </c>
      <c r="W26" s="31">
        <f>SUM(W23:W25)</f>
        <v>1326200</v>
      </c>
      <c r="X26" s="31">
        <f>SUM(X23:X25)</f>
        <v>1305223.5</v>
      </c>
      <c r="Y26" s="31">
        <f>SUM(Y23:Y25)</f>
        <v>1279456.987642929</v>
      </c>
      <c r="Z26" s="31">
        <f>SUM(Z23:Z25)</f>
        <v>1263653.9103504503</v>
      </c>
      <c r="AB26" s="322"/>
    </row>
    <row r="27" spans="1:31">
      <c r="A27" s="82" t="s">
        <v>881</v>
      </c>
      <c r="B27" s="86"/>
      <c r="C27" s="86"/>
      <c r="D27" s="86"/>
      <c r="E27" s="86"/>
      <c r="F27" s="86"/>
      <c r="G27" s="86"/>
      <c r="H27" s="86"/>
      <c r="I27" s="86"/>
      <c r="J27" s="86"/>
      <c r="K27" s="90">
        <v>0</v>
      </c>
      <c r="L27" s="90">
        <v>0</v>
      </c>
      <c r="M27" s="90">
        <v>0</v>
      </c>
      <c r="N27" s="90">
        <v>0</v>
      </c>
      <c r="O27" s="90">
        <v>0</v>
      </c>
      <c r="P27" s="90">
        <v>0</v>
      </c>
      <c r="Q27" s="90">
        <v>0</v>
      </c>
      <c r="R27" s="90">
        <v>0</v>
      </c>
      <c r="S27" s="90">
        <v>0</v>
      </c>
      <c r="T27" s="90">
        <v>0</v>
      </c>
      <c r="U27" s="90">
        <v>0</v>
      </c>
      <c r="V27" s="90">
        <v>0</v>
      </c>
      <c r="W27">
        <v>0</v>
      </c>
      <c r="X27">
        <v>0</v>
      </c>
      <c r="Y27">
        <v>0</v>
      </c>
      <c r="Z27">
        <v>0</v>
      </c>
      <c r="AA27" s="282"/>
      <c r="AB27" s="322"/>
    </row>
    <row r="28" spans="1:31" ht="13.5" thickBot="1">
      <c r="A28" s="82" t="s">
        <v>882</v>
      </c>
      <c r="B28" s="86"/>
      <c r="C28" s="86"/>
      <c r="D28" s="86"/>
      <c r="E28" s="86"/>
      <c r="F28" s="86"/>
      <c r="G28" s="86"/>
      <c r="H28" s="86"/>
      <c r="I28" s="86"/>
      <c r="J28" s="86"/>
      <c r="K28">
        <v>19000</v>
      </c>
      <c r="L28">
        <v>29000</v>
      </c>
      <c r="M28">
        <v>27000</v>
      </c>
      <c r="N28">
        <v>30000</v>
      </c>
      <c r="O28">
        <v>22000</v>
      </c>
      <c r="P28">
        <v>28000</v>
      </c>
      <c r="Q28">
        <v>27000</v>
      </c>
      <c r="R28">
        <v>36000</v>
      </c>
      <c r="S28">
        <v>23000</v>
      </c>
      <c r="T28">
        <v>32000</v>
      </c>
      <c r="U28">
        <v>31000</v>
      </c>
      <c r="V28">
        <v>34000</v>
      </c>
      <c r="W28">
        <v>20000</v>
      </c>
      <c r="X28" s="318">
        <f>+X$30*AB28</f>
        <v>19876.5</v>
      </c>
      <c r="Y28">
        <v>29992.898230088496</v>
      </c>
      <c r="Z28">
        <v>29992.898230088496</v>
      </c>
      <c r="AB28" s="323">
        <v>1.4999999999999999E-2</v>
      </c>
    </row>
    <row r="29" spans="1:31">
      <c r="A29" s="81" t="s">
        <v>883</v>
      </c>
      <c r="B29" s="85"/>
      <c r="C29" s="85"/>
      <c r="D29" s="85"/>
      <c r="E29" s="85"/>
      <c r="F29" s="85"/>
      <c r="G29" s="31"/>
      <c r="H29" s="31"/>
      <c r="I29" s="31"/>
      <c r="J29" s="31"/>
      <c r="K29" s="31">
        <f t="shared" ref="K29:U29" si="2">SUM(K27:K28)</f>
        <v>19000</v>
      </c>
      <c r="L29" s="31">
        <f t="shared" si="2"/>
        <v>29000</v>
      </c>
      <c r="M29" s="31">
        <f t="shared" si="2"/>
        <v>27000</v>
      </c>
      <c r="N29" s="31">
        <f t="shared" si="2"/>
        <v>30000</v>
      </c>
      <c r="O29" s="31">
        <f t="shared" si="2"/>
        <v>22000</v>
      </c>
      <c r="P29" s="31">
        <f t="shared" si="2"/>
        <v>28000</v>
      </c>
      <c r="Q29" s="31">
        <f t="shared" si="2"/>
        <v>27000</v>
      </c>
      <c r="R29" s="31">
        <f t="shared" si="2"/>
        <v>36000</v>
      </c>
      <c r="S29" s="31">
        <f t="shared" si="2"/>
        <v>23000</v>
      </c>
      <c r="T29" s="31">
        <f t="shared" si="2"/>
        <v>32000</v>
      </c>
      <c r="U29" s="31">
        <f t="shared" si="2"/>
        <v>31000</v>
      </c>
      <c r="V29" s="31">
        <f>SUM(V27:V28)</f>
        <v>34000</v>
      </c>
      <c r="W29" s="31">
        <f>SUM(W27:W28)</f>
        <v>20000</v>
      </c>
      <c r="X29" s="31">
        <f>SUM(X27:X28)</f>
        <v>19876.5</v>
      </c>
      <c r="Y29" s="31">
        <f>SUM(Y27:Y28)</f>
        <v>29992.898230088496</v>
      </c>
      <c r="Z29" s="31">
        <f>SUM(Z27:Z28)</f>
        <v>29992.898230088496</v>
      </c>
    </row>
    <row r="30" spans="1:31">
      <c r="A30" s="81" t="s">
        <v>876</v>
      </c>
      <c r="B30" s="31"/>
      <c r="C30" s="31"/>
      <c r="D30" s="31"/>
      <c r="E30" s="31"/>
      <c r="F30" s="31"/>
      <c r="G30" s="31"/>
      <c r="H30" s="31"/>
      <c r="I30" s="31"/>
      <c r="J30" s="31"/>
      <c r="K30" s="31">
        <f t="shared" ref="K30:U30" si="3">SUM(K29+K26)</f>
        <v>1513000</v>
      </c>
      <c r="L30" s="31">
        <f t="shared" si="3"/>
        <v>1492000</v>
      </c>
      <c r="M30" s="31">
        <f t="shared" si="3"/>
        <v>1481000</v>
      </c>
      <c r="N30" s="31">
        <f t="shared" si="3"/>
        <v>1502000</v>
      </c>
      <c r="O30" s="31">
        <f t="shared" si="3"/>
        <v>1480000</v>
      </c>
      <c r="P30" s="31">
        <f t="shared" si="3"/>
        <v>1482000</v>
      </c>
      <c r="Q30" s="31">
        <f t="shared" si="3"/>
        <v>1473000</v>
      </c>
      <c r="R30" s="31">
        <f t="shared" si="3"/>
        <v>1464000</v>
      </c>
      <c r="S30" s="31">
        <f t="shared" si="3"/>
        <v>1456000</v>
      </c>
      <c r="T30" s="31">
        <f t="shared" si="3"/>
        <v>1439500</v>
      </c>
      <c r="U30" s="31">
        <f t="shared" si="3"/>
        <v>1408000</v>
      </c>
      <c r="V30" s="31">
        <f>SUM(V29+V26)</f>
        <v>1386000</v>
      </c>
      <c r="W30" s="31">
        <f>SUM(W29+W26)</f>
        <v>1346200</v>
      </c>
      <c r="X30" s="85">
        <v>1325100</v>
      </c>
      <c r="Y30" s="31">
        <f>SUM(Y29+Y26)</f>
        <v>1309449.8858730174</v>
      </c>
      <c r="Z30" s="31">
        <f>SUM(Z29+Z26)</f>
        <v>1293646.8085805387</v>
      </c>
      <c r="AA30" s="293">
        <v>0.04</v>
      </c>
      <c r="AC30" s="74">
        <f>+SUM(S30:V30)</f>
        <v>5689500</v>
      </c>
      <c r="AD30">
        <f>+AC30*AA30</f>
        <v>227580</v>
      </c>
      <c r="AE30" t="s">
        <v>480</v>
      </c>
    </row>
    <row r="31" spans="1:31">
      <c r="A31" s="81"/>
      <c r="B31" s="31"/>
      <c r="C31" s="31"/>
      <c r="D31" s="31"/>
      <c r="E31" s="31"/>
      <c r="F31" s="31"/>
      <c r="G31" s="31"/>
      <c r="H31" s="31"/>
      <c r="I31" s="31"/>
      <c r="J31" s="31"/>
      <c r="K31" s="31"/>
      <c r="L31" s="31"/>
      <c r="M31" s="31"/>
      <c r="N31" s="31"/>
      <c r="O31" s="31"/>
      <c r="P31" s="31"/>
      <c r="Q31" s="31"/>
      <c r="R31" s="31"/>
      <c r="S31" s="31"/>
      <c r="T31" s="31"/>
      <c r="U31" s="31"/>
    </row>
    <row r="32" spans="1:31">
      <c r="A32" s="92" t="s">
        <v>884</v>
      </c>
      <c r="B32" s="36"/>
      <c r="C32" s="36"/>
      <c r="D32" s="36"/>
      <c r="E32" s="36"/>
      <c r="F32" s="36"/>
      <c r="G32" s="36"/>
      <c r="H32" s="36"/>
      <c r="I32" s="36"/>
      <c r="J32" s="36"/>
      <c r="K32" s="36"/>
      <c r="L32" s="36"/>
      <c r="M32" s="36"/>
      <c r="N32" s="36"/>
      <c r="O32" s="36"/>
      <c r="P32" s="36"/>
      <c r="Q32" s="36"/>
      <c r="R32" s="36"/>
      <c r="S32" s="36"/>
      <c r="T32" s="36"/>
      <c r="U32" s="36"/>
      <c r="V32" s="36"/>
      <c r="W32" s="36"/>
      <c r="X32" s="36"/>
      <c r="Y32" s="36"/>
      <c r="Z32" s="36"/>
      <c r="AA32" s="59"/>
      <c r="AB32" s="59"/>
      <c r="AC32" s="59"/>
      <c r="AD32" s="59"/>
      <c r="AE32" s="59"/>
    </row>
    <row r="33" spans="1:31">
      <c r="A33" s="93" t="s">
        <v>857</v>
      </c>
      <c r="B33" s="35">
        <f>SUM(B23+B15)</f>
        <v>220972</v>
      </c>
      <c r="C33" s="35">
        <f t="shared" ref="C33:U33" si="4">SUM(C23+C15)</f>
        <v>222647</v>
      </c>
      <c r="D33" s="35">
        <f t="shared" si="4"/>
        <v>225869</v>
      </c>
      <c r="E33" s="35">
        <f t="shared" si="4"/>
        <v>229536</v>
      </c>
      <c r="F33" s="35">
        <f t="shared" si="4"/>
        <v>224973</v>
      </c>
      <c r="G33" s="35">
        <f t="shared" si="4"/>
        <v>224500</v>
      </c>
      <c r="H33" s="35">
        <f t="shared" si="4"/>
        <v>221708</v>
      </c>
      <c r="I33" s="35">
        <f t="shared" si="4"/>
        <v>225857</v>
      </c>
      <c r="J33" s="35">
        <f t="shared" si="4"/>
        <v>220207</v>
      </c>
      <c r="K33" s="35">
        <f t="shared" si="4"/>
        <v>1372449</v>
      </c>
      <c r="L33" s="35">
        <f t="shared" si="4"/>
        <v>1339786</v>
      </c>
      <c r="M33" s="35">
        <f t="shared" si="4"/>
        <v>1317180</v>
      </c>
      <c r="N33" s="35">
        <f t="shared" si="4"/>
        <v>1331385</v>
      </c>
      <c r="O33" s="35">
        <f t="shared" si="4"/>
        <v>1293075</v>
      </c>
      <c r="P33" s="35">
        <f t="shared" si="4"/>
        <v>1293677</v>
      </c>
      <c r="Q33" s="35">
        <f t="shared" si="4"/>
        <v>1280862</v>
      </c>
      <c r="R33" s="35">
        <f t="shared" si="4"/>
        <v>1257525</v>
      </c>
      <c r="S33" s="35">
        <f t="shared" si="4"/>
        <v>1244480</v>
      </c>
      <c r="T33" s="35">
        <f t="shared" si="4"/>
        <v>1214101</v>
      </c>
      <c r="U33" s="35">
        <f t="shared" si="4"/>
        <v>1178253</v>
      </c>
      <c r="V33" s="35">
        <f>SUM(V23+V15)</f>
        <v>1152407</v>
      </c>
      <c r="W33" s="35">
        <f>SUM(W23+W15)</f>
        <v>1126018</v>
      </c>
      <c r="X33" s="35">
        <f>SUM(X23+X15)</f>
        <v>1108671</v>
      </c>
      <c r="Y33" s="35">
        <f>SUM(Y23+Y15)</f>
        <v>1071012.1460710445</v>
      </c>
      <c r="Z33" s="35">
        <f>SUM(Z23+Z15)</f>
        <v>1050602.3490064503</v>
      </c>
      <c r="AA33" s="59"/>
      <c r="AB33" s="59"/>
      <c r="AC33" s="59"/>
      <c r="AD33" s="59"/>
      <c r="AE33" s="59"/>
    </row>
    <row r="34" spans="1:31">
      <c r="A34" s="93" t="s">
        <v>858</v>
      </c>
      <c r="B34" s="35">
        <f>SUM(B24+B17)</f>
        <v>64182</v>
      </c>
      <c r="C34" s="35">
        <f t="shared" ref="C34:U34" si="5">SUM(C24+C17)</f>
        <v>65628</v>
      </c>
      <c r="D34" s="35">
        <f t="shared" si="5"/>
        <v>68169</v>
      </c>
      <c r="E34" s="35">
        <f t="shared" si="5"/>
        <v>69992</v>
      </c>
      <c r="F34" s="35">
        <f t="shared" si="5"/>
        <v>72410</v>
      </c>
      <c r="G34" s="35">
        <f t="shared" si="5"/>
        <v>72906</v>
      </c>
      <c r="H34" s="35">
        <f t="shared" si="5"/>
        <v>76049</v>
      </c>
      <c r="I34" s="35">
        <f t="shared" si="5"/>
        <v>88911</v>
      </c>
      <c r="J34" s="35">
        <f t="shared" si="5"/>
        <v>80904</v>
      </c>
      <c r="K34" s="35">
        <f t="shared" si="5"/>
        <v>356054</v>
      </c>
      <c r="L34" s="35">
        <f t="shared" si="5"/>
        <v>363447</v>
      </c>
      <c r="M34" s="35">
        <f t="shared" si="5"/>
        <v>380382</v>
      </c>
      <c r="N34" s="35">
        <f t="shared" si="5"/>
        <v>387337</v>
      </c>
      <c r="O34" s="35">
        <f t="shared" si="5"/>
        <v>409864</v>
      </c>
      <c r="P34" s="35">
        <f t="shared" si="5"/>
        <v>428206</v>
      </c>
      <c r="Q34" s="35">
        <f t="shared" si="5"/>
        <v>468630</v>
      </c>
      <c r="R34" s="35">
        <f t="shared" si="5"/>
        <v>459123</v>
      </c>
      <c r="S34" s="35">
        <f t="shared" si="5"/>
        <v>473772</v>
      </c>
      <c r="T34" s="35">
        <f t="shared" si="5"/>
        <v>484239</v>
      </c>
      <c r="U34" s="35">
        <f t="shared" si="5"/>
        <v>485631</v>
      </c>
      <c r="V34" s="35">
        <f>SUM(V24+V17)</f>
        <v>488731</v>
      </c>
      <c r="W34" s="35">
        <f>SUM(W24+W17)</f>
        <v>495037</v>
      </c>
      <c r="X34" s="35">
        <f>SUM(X24+X17)</f>
        <v>494074.5</v>
      </c>
      <c r="Y34" s="35">
        <f>SUM(Y24+Y17)</f>
        <v>494969.80967177916</v>
      </c>
      <c r="Z34" s="35">
        <f>SUM(Z24+Z17)</f>
        <v>496694.1530549681</v>
      </c>
      <c r="AA34" s="59"/>
      <c r="AB34" s="59"/>
      <c r="AC34" s="59"/>
      <c r="AD34" s="59"/>
      <c r="AE34" s="59"/>
    </row>
    <row r="35" spans="1:31">
      <c r="A35" s="93" t="s">
        <v>792</v>
      </c>
      <c r="B35" s="35">
        <f>B29+B25+B19+B18+B16</f>
        <v>315949</v>
      </c>
      <c r="C35" s="35">
        <f t="shared" ref="C35:U35" si="6">C29+C25+C19+C18+C16</f>
        <v>305429</v>
      </c>
      <c r="D35" s="35">
        <f t="shared" si="6"/>
        <v>309517</v>
      </c>
      <c r="E35" s="35">
        <f t="shared" si="6"/>
        <v>307864</v>
      </c>
      <c r="F35" s="35">
        <f t="shared" si="6"/>
        <v>308851</v>
      </c>
      <c r="G35" s="35">
        <f t="shared" si="6"/>
        <v>297876</v>
      </c>
      <c r="H35" s="35">
        <f t="shared" si="6"/>
        <v>308656</v>
      </c>
      <c r="I35" s="35">
        <f t="shared" si="6"/>
        <v>342317</v>
      </c>
      <c r="J35" s="35">
        <f t="shared" si="6"/>
        <v>319361</v>
      </c>
      <c r="K35" s="35">
        <f t="shared" si="6"/>
        <v>394834</v>
      </c>
      <c r="L35" s="35">
        <f t="shared" si="6"/>
        <v>397898</v>
      </c>
      <c r="M35" s="35">
        <f t="shared" si="6"/>
        <v>402870</v>
      </c>
      <c r="N35" s="35">
        <f t="shared" si="6"/>
        <v>390973</v>
      </c>
      <c r="O35" s="35">
        <f t="shared" si="6"/>
        <v>377916</v>
      </c>
      <c r="P35" s="35">
        <f t="shared" si="6"/>
        <v>399239</v>
      </c>
      <c r="Q35" s="35">
        <f t="shared" si="6"/>
        <v>431814</v>
      </c>
      <c r="R35" s="35">
        <f t="shared" si="6"/>
        <v>405198</v>
      </c>
      <c r="S35" s="35">
        <f t="shared" si="6"/>
        <v>386362</v>
      </c>
      <c r="T35" s="35">
        <f t="shared" si="6"/>
        <v>398233</v>
      </c>
      <c r="U35" s="35">
        <f t="shared" si="6"/>
        <v>394189</v>
      </c>
      <c r="V35" s="35">
        <f>V29+V25+V19+V18+V16</f>
        <v>387509</v>
      </c>
      <c r="W35" s="35">
        <f>W29+W25+W19+W18+W16</f>
        <v>360502</v>
      </c>
      <c r="X35" s="35">
        <f>X29+X25+X19+X18+X16</f>
        <v>356823.5</v>
      </c>
      <c r="Y35" s="35">
        <f>Y29+Y25+Y19+Y18+Y16</f>
        <v>280600.08437650662</v>
      </c>
      <c r="Z35" s="35">
        <f>Z29+Z25+Z19+Z18+Z16</f>
        <v>281150.41467008844</v>
      </c>
      <c r="AA35" s="59"/>
      <c r="AB35" s="59"/>
      <c r="AC35" s="59"/>
      <c r="AD35" s="59"/>
      <c r="AE35" s="59"/>
    </row>
    <row r="36" spans="1:31">
      <c r="A36" s="45" t="s">
        <v>877</v>
      </c>
      <c r="B36" s="36">
        <f>SUM(B33:B35)</f>
        <v>601103</v>
      </c>
      <c r="C36" s="36">
        <f t="shared" ref="C36:U36" si="7">SUM(C33:C35)</f>
        <v>593704</v>
      </c>
      <c r="D36" s="36">
        <f t="shared" si="7"/>
        <v>603555</v>
      </c>
      <c r="E36" s="36">
        <f t="shared" si="7"/>
        <v>607392</v>
      </c>
      <c r="F36" s="36">
        <f t="shared" si="7"/>
        <v>606234</v>
      </c>
      <c r="G36" s="36">
        <f t="shared" si="7"/>
        <v>595282</v>
      </c>
      <c r="H36" s="36">
        <f t="shared" si="7"/>
        <v>606413</v>
      </c>
      <c r="I36" s="36">
        <f t="shared" si="7"/>
        <v>657085</v>
      </c>
      <c r="J36" s="36">
        <f t="shared" si="7"/>
        <v>620472</v>
      </c>
      <c r="K36" s="36">
        <f t="shared" si="7"/>
        <v>2123337</v>
      </c>
      <c r="L36" s="36">
        <f t="shared" si="7"/>
        <v>2101131</v>
      </c>
      <c r="M36" s="36">
        <f t="shared" si="7"/>
        <v>2100432</v>
      </c>
      <c r="N36" s="36">
        <f t="shared" si="7"/>
        <v>2109695</v>
      </c>
      <c r="O36" s="36">
        <f t="shared" si="7"/>
        <v>2080855</v>
      </c>
      <c r="P36" s="36">
        <f t="shared" si="7"/>
        <v>2121122</v>
      </c>
      <c r="Q36" s="36">
        <f t="shared" si="7"/>
        <v>2181306</v>
      </c>
      <c r="R36" s="36">
        <f t="shared" si="7"/>
        <v>2121846</v>
      </c>
      <c r="S36" s="36">
        <f t="shared" si="7"/>
        <v>2104614</v>
      </c>
      <c r="T36" s="36">
        <f t="shared" si="7"/>
        <v>2096573</v>
      </c>
      <c r="U36" s="36">
        <f t="shared" si="7"/>
        <v>2058073</v>
      </c>
      <c r="V36" s="36">
        <f>SUM(V33:V35)</f>
        <v>2028647</v>
      </c>
      <c r="W36" s="36">
        <f>SUM(W33:W35)</f>
        <v>1981557</v>
      </c>
      <c r="X36" s="36">
        <f>SUM(X33:X35)</f>
        <v>1959569</v>
      </c>
      <c r="Y36" s="36">
        <f>SUM(Y33:Y35)</f>
        <v>1846582.0401193304</v>
      </c>
      <c r="Z36" s="36">
        <f>SUM(Z33:Z35)</f>
        <v>1828446.9167315066</v>
      </c>
      <c r="AA36" s="294">
        <f>+AC36/AB36</f>
        <v>6.8216608849496027E-2</v>
      </c>
      <c r="AB36" s="74">
        <f>+SUM(S36:V36)</f>
        <v>8287907</v>
      </c>
      <c r="AC36" s="59">
        <f>+AD30+AC20</f>
        <v>565372.91</v>
      </c>
      <c r="AD36" s="59"/>
      <c r="AE36" s="59"/>
    </row>
    <row r="37" spans="1:31">
      <c r="A37" s="29"/>
      <c r="B37" s="31"/>
      <c r="C37" s="31"/>
      <c r="D37" s="31"/>
      <c r="E37" s="31"/>
      <c r="F37" s="31"/>
      <c r="G37" s="31"/>
      <c r="H37" s="31"/>
      <c r="I37" s="31"/>
      <c r="J37" s="31"/>
      <c r="K37" s="31"/>
      <c r="L37" s="31"/>
      <c r="M37" s="31"/>
      <c r="N37" s="31"/>
      <c r="O37" s="31"/>
      <c r="P37" s="31"/>
      <c r="Q37" s="31"/>
      <c r="R37" s="31"/>
      <c r="S37" s="31"/>
      <c r="T37" s="31"/>
      <c r="U37" s="31"/>
    </row>
    <row r="38" spans="1:31">
      <c r="A38" s="33"/>
      <c r="B38" s="74"/>
      <c r="C38" s="74"/>
      <c r="D38" s="74"/>
      <c r="E38" s="74"/>
      <c r="F38" s="74"/>
      <c r="G38" s="74"/>
      <c r="H38" s="74"/>
      <c r="I38" s="74"/>
      <c r="J38" s="74"/>
      <c r="K38" s="74"/>
      <c r="L38" s="74"/>
      <c r="M38" s="74"/>
      <c r="N38" s="74"/>
      <c r="O38" s="74"/>
      <c r="P38" s="74"/>
      <c r="Q38" s="74"/>
      <c r="R38" s="74"/>
      <c r="S38" s="74"/>
      <c r="T38" s="74"/>
      <c r="U38" s="74"/>
    </row>
    <row r="39" spans="1:31">
      <c r="A39" s="29" t="s">
        <v>885</v>
      </c>
      <c r="D39" s="59"/>
      <c r="E39" s="59"/>
      <c r="F39" s="59"/>
      <c r="G39" s="59"/>
      <c r="H39" s="59"/>
      <c r="I39" s="59"/>
      <c r="J39" s="59"/>
      <c r="K39" s="59"/>
      <c r="L39" s="59"/>
      <c r="U39" s="59"/>
    </row>
    <row r="40" spans="1:31">
      <c r="A40" s="88" t="s">
        <v>873</v>
      </c>
      <c r="D40" s="59"/>
      <c r="E40" s="59"/>
      <c r="F40" s="59"/>
      <c r="G40" s="59"/>
      <c r="H40" s="59"/>
      <c r="I40" s="59"/>
      <c r="J40" s="59"/>
      <c r="K40" s="59"/>
      <c r="L40" s="59"/>
      <c r="U40" s="59"/>
    </row>
    <row r="41" spans="1:31">
      <c r="A41" s="82" t="s">
        <v>860</v>
      </c>
      <c r="B41" s="266">
        <v>187197</v>
      </c>
      <c r="C41" s="266">
        <v>181549</v>
      </c>
      <c r="D41" s="266">
        <v>190226</v>
      </c>
      <c r="E41" s="266">
        <v>191000</v>
      </c>
      <c r="F41" s="266">
        <v>192638</v>
      </c>
      <c r="G41" s="266">
        <v>191993</v>
      </c>
      <c r="H41" s="266">
        <v>194873</v>
      </c>
      <c r="I41" s="266">
        <v>216871</v>
      </c>
      <c r="J41" s="266">
        <v>212339</v>
      </c>
      <c r="K41" s="266">
        <v>217459</v>
      </c>
      <c r="L41" s="266">
        <v>216466</v>
      </c>
      <c r="M41" s="266">
        <v>223739</v>
      </c>
      <c r="N41" s="266">
        <v>223132</v>
      </c>
      <c r="O41" s="266">
        <v>213531</v>
      </c>
      <c r="P41" s="266">
        <v>230440</v>
      </c>
      <c r="Q41" s="324">
        <v>244463</v>
      </c>
      <c r="R41" s="324">
        <v>237286</v>
      </c>
      <c r="S41" s="324">
        <v>237812</v>
      </c>
      <c r="T41" s="324">
        <v>239626</v>
      </c>
      <c r="U41" s="324">
        <v>242243</v>
      </c>
      <c r="V41" s="324">
        <v>234309</v>
      </c>
      <c r="W41" s="324">
        <v>234631</v>
      </c>
      <c r="X41" s="324">
        <v>235732</v>
      </c>
      <c r="Y41" s="266">
        <v>235571.90452923495</v>
      </c>
      <c r="Z41" s="266">
        <v>235363.60374710328</v>
      </c>
    </row>
    <row r="42" spans="1:31">
      <c r="A42" s="82" t="s">
        <v>861</v>
      </c>
      <c r="B42" s="266">
        <v>93952</v>
      </c>
      <c r="C42" s="266">
        <v>101606</v>
      </c>
      <c r="D42" s="266">
        <v>92667</v>
      </c>
      <c r="E42" s="266">
        <v>108153</v>
      </c>
      <c r="F42" s="266">
        <v>94676</v>
      </c>
      <c r="G42" s="266">
        <v>94254</v>
      </c>
      <c r="H42" s="266">
        <v>95206</v>
      </c>
      <c r="I42" s="266">
        <v>99593</v>
      </c>
      <c r="J42" s="266">
        <v>99936</v>
      </c>
      <c r="K42" s="266">
        <v>95258</v>
      </c>
      <c r="L42" s="266">
        <v>95596</v>
      </c>
      <c r="M42" s="266">
        <v>94049</v>
      </c>
      <c r="N42" s="266">
        <v>84524</v>
      </c>
      <c r="O42" s="266">
        <v>91457</v>
      </c>
      <c r="P42" s="266">
        <v>97456</v>
      </c>
      <c r="Q42" s="324">
        <v>100838</v>
      </c>
      <c r="R42" s="324">
        <v>99088</v>
      </c>
      <c r="S42" s="324">
        <v>91625</v>
      </c>
      <c r="T42" s="324">
        <v>99181</v>
      </c>
      <c r="U42" s="324">
        <v>98751</v>
      </c>
      <c r="V42" s="324">
        <v>96394</v>
      </c>
      <c r="W42" s="324">
        <v>95205</v>
      </c>
      <c r="X42" s="324">
        <v>95144</v>
      </c>
      <c r="Y42" s="266">
        <v>96628.690061589674</v>
      </c>
      <c r="Z42" s="266">
        <v>97174.249268241037</v>
      </c>
    </row>
    <row r="43" spans="1:31">
      <c r="A43" s="82" t="s">
        <v>862</v>
      </c>
      <c r="B43" s="266">
        <v>127493</v>
      </c>
      <c r="C43" s="266">
        <v>126992</v>
      </c>
      <c r="D43" s="266">
        <v>130751</v>
      </c>
      <c r="E43" s="266">
        <v>127078</v>
      </c>
      <c r="F43" s="266">
        <v>129304</v>
      </c>
      <c r="G43" s="266">
        <v>132175</v>
      </c>
      <c r="H43" s="266">
        <v>130452</v>
      </c>
      <c r="I43" s="266">
        <v>133526</v>
      </c>
      <c r="J43" s="266">
        <v>135778</v>
      </c>
      <c r="K43" s="266">
        <v>134565</v>
      </c>
      <c r="L43" s="266">
        <v>131820</v>
      </c>
      <c r="M43" s="266">
        <v>129840</v>
      </c>
      <c r="N43" s="266">
        <v>126360</v>
      </c>
      <c r="O43" s="266">
        <v>127784</v>
      </c>
      <c r="P43" s="266">
        <v>134311</v>
      </c>
      <c r="Q43" s="324">
        <v>136606</v>
      </c>
      <c r="R43" s="324">
        <v>137554</v>
      </c>
      <c r="S43" s="324">
        <v>135684</v>
      </c>
      <c r="T43" s="324">
        <v>130954</v>
      </c>
      <c r="U43" s="324">
        <v>128352</v>
      </c>
      <c r="V43" s="324">
        <v>128796</v>
      </c>
      <c r="W43" s="324">
        <v>127572</v>
      </c>
      <c r="X43" s="324">
        <v>128552</v>
      </c>
      <c r="Y43" s="266">
        <v>123770.3544</v>
      </c>
      <c r="Z43" s="266">
        <v>122532.65085599999</v>
      </c>
    </row>
    <row r="44" spans="1:31">
      <c r="A44" s="29" t="s">
        <v>886</v>
      </c>
      <c r="B44" s="31">
        <f>SUM(B41:B43)</f>
        <v>408642</v>
      </c>
      <c r="C44" s="31">
        <f t="shared" ref="C44:U44" si="8">SUM(C41:C43)</f>
        <v>410147</v>
      </c>
      <c r="D44" s="63">
        <f t="shared" si="8"/>
        <v>413644</v>
      </c>
      <c r="E44" s="63">
        <f t="shared" si="8"/>
        <v>426231</v>
      </c>
      <c r="F44" s="63">
        <f t="shared" si="8"/>
        <v>416618</v>
      </c>
      <c r="G44" s="63">
        <f t="shared" si="8"/>
        <v>418422</v>
      </c>
      <c r="H44" s="63">
        <f t="shared" si="8"/>
        <v>420531</v>
      </c>
      <c r="I44" s="63">
        <f t="shared" si="8"/>
        <v>449990</v>
      </c>
      <c r="J44" s="63">
        <f t="shared" si="8"/>
        <v>448053</v>
      </c>
      <c r="K44" s="63">
        <f t="shared" si="8"/>
        <v>447282</v>
      </c>
      <c r="L44" s="63">
        <f t="shared" si="8"/>
        <v>443882</v>
      </c>
      <c r="M44" s="63">
        <f t="shared" si="8"/>
        <v>447628</v>
      </c>
      <c r="N44" s="63">
        <f t="shared" si="8"/>
        <v>434016</v>
      </c>
      <c r="O44" s="63">
        <f t="shared" si="8"/>
        <v>432772</v>
      </c>
      <c r="P44" s="63">
        <f t="shared" si="8"/>
        <v>462207</v>
      </c>
      <c r="Q44" s="63">
        <f t="shared" si="8"/>
        <v>481907</v>
      </c>
      <c r="R44" s="63">
        <f t="shared" si="8"/>
        <v>473928</v>
      </c>
      <c r="S44" s="63">
        <f t="shared" si="8"/>
        <v>465121</v>
      </c>
      <c r="T44" s="63">
        <f t="shared" si="8"/>
        <v>469761</v>
      </c>
      <c r="U44" s="63">
        <f t="shared" si="8"/>
        <v>469346</v>
      </c>
      <c r="V44" s="63">
        <f>SUM(V41:V43)</f>
        <v>459499</v>
      </c>
      <c r="W44" s="63">
        <f>SUM(W41:W43)</f>
        <v>457408</v>
      </c>
      <c r="X44" s="63">
        <f>SUM(X41:X43)</f>
        <v>459428</v>
      </c>
      <c r="Y44" s="63">
        <f>SUM(Y41:Y43)</f>
        <v>455970.94899082463</v>
      </c>
      <c r="Z44" s="63">
        <f>SUM(Z41:Z43)</f>
        <v>455070.50387134426</v>
      </c>
    </row>
    <row r="45" spans="1:31">
      <c r="A45" s="64"/>
      <c r="B45" s="57"/>
      <c r="C45" s="57"/>
      <c r="D45" s="57"/>
      <c r="E45" s="57"/>
      <c r="F45" s="57"/>
      <c r="G45" s="57"/>
      <c r="H45" s="57"/>
      <c r="I45" s="57"/>
      <c r="J45" s="57"/>
      <c r="K45" s="57"/>
      <c r="L45" s="57"/>
      <c r="M45" s="57"/>
      <c r="N45" s="57"/>
      <c r="O45" s="57"/>
      <c r="P45" s="57"/>
      <c r="Q45" s="57"/>
      <c r="R45" s="57"/>
      <c r="S45" s="57"/>
      <c r="T45" s="57"/>
      <c r="U45" s="57"/>
    </row>
    <row r="46" spans="1:31">
      <c r="A46" s="64" t="s">
        <v>875</v>
      </c>
      <c r="B46" s="57"/>
      <c r="C46" s="57"/>
      <c r="D46" s="57"/>
      <c r="E46" s="57"/>
      <c r="F46" s="57"/>
      <c r="G46" s="57"/>
      <c r="H46" s="57"/>
      <c r="I46" s="57"/>
      <c r="J46" s="57"/>
      <c r="K46" s="57"/>
      <c r="L46" s="57"/>
      <c r="M46" s="57"/>
      <c r="N46" s="57"/>
      <c r="O46" s="57"/>
      <c r="P46" s="57"/>
      <c r="Q46" s="57"/>
      <c r="R46" s="57"/>
      <c r="S46" s="57"/>
      <c r="T46" s="57"/>
      <c r="U46" s="57"/>
    </row>
    <row r="47" spans="1:31">
      <c r="A47" s="89" t="s">
        <v>887</v>
      </c>
      <c r="B47" s="86"/>
      <c r="C47" s="86"/>
      <c r="D47" s="86"/>
      <c r="E47" s="86"/>
      <c r="F47" s="86"/>
      <c r="G47" s="86"/>
      <c r="H47" s="86"/>
      <c r="I47" s="86"/>
      <c r="J47" s="86"/>
      <c r="K47">
        <v>408725.94752186583</v>
      </c>
      <c r="L47">
        <v>390000</v>
      </c>
      <c r="M47">
        <v>438000</v>
      </c>
      <c r="N47">
        <v>411000</v>
      </c>
      <c r="O47">
        <v>417000</v>
      </c>
      <c r="P47">
        <v>404000</v>
      </c>
      <c r="Q47">
        <v>417000</v>
      </c>
      <c r="R47">
        <v>399000</v>
      </c>
      <c r="S47">
        <v>390000</v>
      </c>
      <c r="T47">
        <v>381000</v>
      </c>
      <c r="U47">
        <v>421000</v>
      </c>
      <c r="V47">
        <v>342000</v>
      </c>
      <c r="W47">
        <v>343000</v>
      </c>
      <c r="X47" s="319">
        <f>358000*0.95</f>
        <v>340100</v>
      </c>
      <c r="Y47">
        <v>396948.1560423444</v>
      </c>
      <c r="Z47">
        <v>388276.65245055855</v>
      </c>
    </row>
    <row r="48" spans="1:31">
      <c r="A48" s="89" t="s">
        <v>888</v>
      </c>
      <c r="B48" s="86"/>
      <c r="C48" s="86"/>
      <c r="D48" s="62"/>
      <c r="E48" s="62"/>
      <c r="F48" s="62"/>
      <c r="G48" s="62"/>
      <c r="H48" s="62"/>
      <c r="I48" s="62"/>
      <c r="J48" s="62"/>
      <c r="K48" s="283">
        <v>25664.723032069945</v>
      </c>
      <c r="L48" s="283">
        <v>10000</v>
      </c>
      <c r="M48" s="283">
        <v>20000</v>
      </c>
      <c r="N48" s="283">
        <v>29000</v>
      </c>
      <c r="O48" s="283">
        <v>18000</v>
      </c>
      <c r="P48" s="283">
        <v>19000</v>
      </c>
      <c r="Q48" s="283">
        <v>28000</v>
      </c>
      <c r="R48" s="283">
        <v>28000</v>
      </c>
      <c r="S48" s="283">
        <v>23000</v>
      </c>
      <c r="T48" s="283">
        <v>22000</v>
      </c>
      <c r="U48" s="283">
        <v>20000</v>
      </c>
      <c r="V48" s="283">
        <v>19000</v>
      </c>
      <c r="W48">
        <v>20000</v>
      </c>
      <c r="X48" s="319">
        <f>358000*0.05</f>
        <v>17900</v>
      </c>
      <c r="Y48">
        <v>19456.907665275146</v>
      </c>
      <c r="Z48">
        <v>19222.092252311126</v>
      </c>
      <c r="AA48" s="90"/>
    </row>
    <row r="49" spans="1:31">
      <c r="A49" s="29" t="s">
        <v>893</v>
      </c>
      <c r="B49" s="85"/>
      <c r="C49" s="85"/>
      <c r="D49" s="85"/>
      <c r="E49" s="85"/>
      <c r="F49" s="85"/>
      <c r="G49" s="85"/>
      <c r="H49" s="85"/>
      <c r="I49" s="85"/>
      <c r="J49" s="85"/>
      <c r="K49" s="31">
        <f>SUM(K47:K48)</f>
        <v>434390.67055393581</v>
      </c>
      <c r="L49" s="31">
        <f t="shared" ref="L49:W49" si="9">SUM(L47:L48)</f>
        <v>400000</v>
      </c>
      <c r="M49" s="31">
        <f t="shared" si="9"/>
        <v>458000</v>
      </c>
      <c r="N49" s="31">
        <f t="shared" si="9"/>
        <v>440000</v>
      </c>
      <c r="O49" s="31">
        <f t="shared" si="9"/>
        <v>435000</v>
      </c>
      <c r="P49" s="31">
        <f t="shared" si="9"/>
        <v>423000</v>
      </c>
      <c r="Q49" s="31">
        <f t="shared" si="9"/>
        <v>445000</v>
      </c>
      <c r="R49" s="31">
        <f t="shared" si="9"/>
        <v>427000</v>
      </c>
      <c r="S49" s="31">
        <f t="shared" si="9"/>
        <v>413000</v>
      </c>
      <c r="T49" s="31">
        <f t="shared" si="9"/>
        <v>403000</v>
      </c>
      <c r="U49" s="31">
        <f t="shared" si="9"/>
        <v>441000</v>
      </c>
      <c r="V49" s="31">
        <f t="shared" si="9"/>
        <v>361000</v>
      </c>
      <c r="W49" s="31">
        <f t="shared" si="9"/>
        <v>363000</v>
      </c>
      <c r="X49" s="31">
        <f>SUM(X47:X48)</f>
        <v>358000</v>
      </c>
      <c r="Y49" s="31">
        <f>SUM(Y47:Y48)</f>
        <v>416405.06370761956</v>
      </c>
      <c r="Z49" s="31">
        <f>SUM(Z47:Z48)</f>
        <v>407498.74470286968</v>
      </c>
    </row>
    <row r="50" spans="1:31">
      <c r="A50" s="82" t="s">
        <v>861</v>
      </c>
      <c r="B50" s="86"/>
      <c r="C50" s="86"/>
      <c r="D50" s="86"/>
      <c r="E50" s="86"/>
      <c r="F50" s="86"/>
      <c r="G50" s="86"/>
      <c r="H50" s="86"/>
      <c r="I50" s="86"/>
      <c r="J50" s="86"/>
      <c r="K50">
        <v>408000</v>
      </c>
      <c r="L50">
        <v>398000</v>
      </c>
      <c r="M50">
        <v>390000</v>
      </c>
      <c r="N50">
        <v>388000</v>
      </c>
      <c r="O50">
        <v>404000</v>
      </c>
      <c r="P50">
        <v>395000</v>
      </c>
      <c r="Q50">
        <v>405000</v>
      </c>
      <c r="R50">
        <v>404000</v>
      </c>
      <c r="S50">
        <v>358000</v>
      </c>
      <c r="T50">
        <v>361000</v>
      </c>
      <c r="U50">
        <v>362000</v>
      </c>
      <c r="V50">
        <v>354000</v>
      </c>
      <c r="W50">
        <v>329000</v>
      </c>
      <c r="X50" s="319">
        <f>303000+15000</f>
        <v>318000</v>
      </c>
      <c r="Y50">
        <v>303792.37352254009</v>
      </c>
      <c r="Z50">
        <v>297538.76597352396</v>
      </c>
    </row>
    <row r="51" spans="1:31">
      <c r="A51" s="29" t="s">
        <v>889</v>
      </c>
      <c r="B51" s="31"/>
      <c r="C51" s="31"/>
      <c r="D51" s="31"/>
      <c r="E51" s="31"/>
      <c r="F51" s="31"/>
      <c r="G51" s="31"/>
      <c r="H51" s="31"/>
      <c r="I51" s="31"/>
      <c r="J51" s="31"/>
      <c r="K51" s="31">
        <f t="shared" ref="K51:U51" si="10">K50+K49</f>
        <v>842390.67055393581</v>
      </c>
      <c r="L51" s="31">
        <f t="shared" si="10"/>
        <v>798000</v>
      </c>
      <c r="M51" s="31">
        <f t="shared" si="10"/>
        <v>848000</v>
      </c>
      <c r="N51" s="31">
        <f t="shared" si="10"/>
        <v>828000</v>
      </c>
      <c r="O51" s="31">
        <f t="shared" si="10"/>
        <v>839000</v>
      </c>
      <c r="P51" s="31">
        <f t="shared" si="10"/>
        <v>818000</v>
      </c>
      <c r="Q51" s="31">
        <f t="shared" si="10"/>
        <v>850000</v>
      </c>
      <c r="R51" s="31">
        <f t="shared" si="10"/>
        <v>831000</v>
      </c>
      <c r="S51" s="31">
        <f t="shared" si="10"/>
        <v>771000</v>
      </c>
      <c r="T51" s="31">
        <f t="shared" si="10"/>
        <v>764000</v>
      </c>
      <c r="U51" s="31">
        <f t="shared" si="10"/>
        <v>803000</v>
      </c>
      <c r="V51" s="31">
        <f>V50+V49</f>
        <v>715000</v>
      </c>
      <c r="W51" s="31">
        <f>W50+W49</f>
        <v>692000</v>
      </c>
      <c r="X51" s="31">
        <f>X50+X49</f>
        <v>676000</v>
      </c>
      <c r="Y51" s="31">
        <f>Y50+Y49</f>
        <v>720197.43723015964</v>
      </c>
      <c r="Z51" s="31">
        <f>Z50+Z49</f>
        <v>705037.51067639363</v>
      </c>
    </row>
    <row r="52" spans="1:31">
      <c r="A52" s="82" t="s">
        <v>862</v>
      </c>
      <c r="B52" s="86"/>
      <c r="C52" s="86"/>
      <c r="D52" s="86"/>
      <c r="E52" s="86"/>
      <c r="F52" s="86"/>
      <c r="G52" s="86"/>
      <c r="H52" s="86"/>
      <c r="I52" s="86"/>
      <c r="J52" s="86"/>
      <c r="K52">
        <v>263000</v>
      </c>
      <c r="L52">
        <v>267000</v>
      </c>
      <c r="M52">
        <v>267000</v>
      </c>
      <c r="N52">
        <v>268000</v>
      </c>
      <c r="O52">
        <v>270000</v>
      </c>
      <c r="P52">
        <v>264000</v>
      </c>
      <c r="Q52" s="90">
        <v>260000</v>
      </c>
      <c r="R52" s="90">
        <v>263000</v>
      </c>
      <c r="S52" s="90">
        <v>251000</v>
      </c>
      <c r="T52" s="90">
        <v>247000</v>
      </c>
      <c r="U52" s="90">
        <v>252000</v>
      </c>
      <c r="V52" s="90">
        <v>253000</v>
      </c>
      <c r="W52" s="90">
        <v>244000</v>
      </c>
      <c r="X52" s="319">
        <v>244000</v>
      </c>
      <c r="Y52">
        <v>242334.34571936692</v>
      </c>
      <c r="Z52">
        <v>242454.01175080737</v>
      </c>
    </row>
    <row r="53" spans="1:31">
      <c r="A53" s="82"/>
      <c r="B53" s="86"/>
      <c r="C53" s="86"/>
      <c r="D53" s="86"/>
      <c r="E53" s="86"/>
      <c r="F53" s="86"/>
      <c r="G53" s="86"/>
      <c r="H53" s="86"/>
      <c r="I53" s="86"/>
      <c r="J53" s="86"/>
      <c r="K53" s="86"/>
      <c r="L53" s="86"/>
      <c r="M53" s="86"/>
      <c r="N53" s="86"/>
      <c r="O53" s="86"/>
      <c r="P53" s="86"/>
      <c r="Q53" s="86"/>
      <c r="R53" s="86"/>
      <c r="S53" s="86"/>
      <c r="T53" s="86"/>
      <c r="U53" s="86"/>
      <c r="X53" s="74">
        <f>+X20-X44</f>
        <v>175041</v>
      </c>
    </row>
    <row r="54" spans="1:31">
      <c r="A54" s="94" t="s">
        <v>884</v>
      </c>
      <c r="B54" s="95"/>
      <c r="C54" s="95"/>
      <c r="D54" s="95"/>
      <c r="E54" s="95"/>
      <c r="F54" s="95"/>
      <c r="G54" s="95"/>
      <c r="H54" s="95"/>
      <c r="I54" s="95"/>
      <c r="J54" s="95"/>
      <c r="K54" s="95"/>
      <c r="L54" s="95"/>
      <c r="M54" s="95"/>
      <c r="N54" s="95"/>
      <c r="O54" s="95"/>
      <c r="P54" s="95"/>
      <c r="Q54" s="95"/>
      <c r="R54" s="95"/>
      <c r="S54" s="95"/>
      <c r="T54" s="95"/>
      <c r="U54" s="95"/>
      <c r="V54" s="95"/>
      <c r="W54" s="95"/>
      <c r="X54" s="95"/>
      <c r="Y54" s="95"/>
      <c r="Z54" s="95"/>
    </row>
    <row r="55" spans="1:31">
      <c r="A55" s="45" t="s">
        <v>890</v>
      </c>
      <c r="B55" s="36">
        <f>SUM(B51+B44+B52)</f>
        <v>408642</v>
      </c>
      <c r="C55" s="36">
        <f t="shared" ref="C55:W55" si="11">SUM(C51+C44+C52)</f>
        <v>410147</v>
      </c>
      <c r="D55" s="36">
        <f t="shared" si="11"/>
        <v>413644</v>
      </c>
      <c r="E55" s="36">
        <f t="shared" si="11"/>
        <v>426231</v>
      </c>
      <c r="F55" s="36">
        <f t="shared" si="11"/>
        <v>416618</v>
      </c>
      <c r="G55" s="36">
        <f t="shared" si="11"/>
        <v>418422</v>
      </c>
      <c r="H55" s="36">
        <f t="shared" si="11"/>
        <v>420531</v>
      </c>
      <c r="I55" s="36">
        <f t="shared" si="11"/>
        <v>449990</v>
      </c>
      <c r="J55" s="36">
        <f t="shared" si="11"/>
        <v>448053</v>
      </c>
      <c r="K55" s="36">
        <f t="shared" si="11"/>
        <v>1552672.6705539357</v>
      </c>
      <c r="L55" s="36">
        <f t="shared" si="11"/>
        <v>1508882</v>
      </c>
      <c r="M55" s="36">
        <f t="shared" si="11"/>
        <v>1562628</v>
      </c>
      <c r="N55" s="36">
        <f t="shared" si="11"/>
        <v>1530016</v>
      </c>
      <c r="O55" s="36">
        <f t="shared" si="11"/>
        <v>1541772</v>
      </c>
      <c r="P55" s="36">
        <f t="shared" si="11"/>
        <v>1544207</v>
      </c>
      <c r="Q55" s="36">
        <f t="shared" si="11"/>
        <v>1591907</v>
      </c>
      <c r="R55" s="36">
        <f t="shared" si="11"/>
        <v>1567928</v>
      </c>
      <c r="S55" s="36">
        <f t="shared" si="11"/>
        <v>1487121</v>
      </c>
      <c r="T55" s="36">
        <f t="shared" si="11"/>
        <v>1480761</v>
      </c>
      <c r="U55" s="36">
        <f t="shared" si="11"/>
        <v>1524346</v>
      </c>
      <c r="V55" s="36">
        <f t="shared" si="11"/>
        <v>1427499</v>
      </c>
      <c r="W55" s="36">
        <f t="shared" si="11"/>
        <v>1393408</v>
      </c>
      <c r="X55" s="36">
        <f>SUM(X51+X44+X52)</f>
        <v>1379428</v>
      </c>
      <c r="Y55" s="36">
        <f>SUM(Y51+Y44+Y52)</f>
        <v>1418502.731940351</v>
      </c>
      <c r="Z55" s="36">
        <f>SUM(Z51+Z44+Z52)</f>
        <v>1402562.0262985451</v>
      </c>
    </row>
    <row r="56" spans="1:31">
      <c r="A56" s="64"/>
      <c r="B56" s="57"/>
      <c r="C56" s="57"/>
      <c r="D56" s="57"/>
      <c r="E56" s="57"/>
      <c r="F56" s="57"/>
      <c r="G56" s="57"/>
      <c r="H56" s="57"/>
      <c r="I56" s="57"/>
      <c r="J56" s="57"/>
      <c r="K56" s="57"/>
      <c r="L56" s="57"/>
      <c r="M56" s="57"/>
      <c r="N56" s="57"/>
      <c r="O56" s="57"/>
      <c r="P56" s="57"/>
      <c r="Q56" s="57"/>
      <c r="R56" s="57"/>
      <c r="S56" s="57"/>
      <c r="T56" s="57"/>
      <c r="U56" s="57"/>
    </row>
    <row r="57" spans="1:31">
      <c r="A57" s="33"/>
      <c r="D57" s="59"/>
      <c r="E57" s="59"/>
      <c r="F57" s="59"/>
      <c r="G57" s="59"/>
      <c r="H57" s="59"/>
      <c r="I57" s="59"/>
      <c r="J57" s="59"/>
      <c r="K57" s="59"/>
      <c r="L57" s="59"/>
      <c r="U57" s="59"/>
    </row>
    <row r="58" spans="1:31">
      <c r="A58" s="45" t="s">
        <v>891</v>
      </c>
      <c r="B58" s="36">
        <f>B36-B55</f>
        <v>192461</v>
      </c>
      <c r="C58" s="36">
        <f t="shared" ref="C58:U58" si="12">C36-C55</f>
        <v>183557</v>
      </c>
      <c r="D58" s="36">
        <f t="shared" si="12"/>
        <v>189911</v>
      </c>
      <c r="E58" s="36">
        <f t="shared" si="12"/>
        <v>181161</v>
      </c>
      <c r="F58" s="36">
        <f t="shared" si="12"/>
        <v>189616</v>
      </c>
      <c r="G58" s="36">
        <f t="shared" si="12"/>
        <v>176860</v>
      </c>
      <c r="H58" s="36">
        <f t="shared" si="12"/>
        <v>185882</v>
      </c>
      <c r="I58" s="36">
        <f t="shared" si="12"/>
        <v>207095</v>
      </c>
      <c r="J58" s="36">
        <f t="shared" si="12"/>
        <v>172419</v>
      </c>
      <c r="K58" s="36">
        <f t="shared" si="12"/>
        <v>570664.32944606431</v>
      </c>
      <c r="L58" s="36">
        <f t="shared" si="12"/>
        <v>592249</v>
      </c>
      <c r="M58" s="36">
        <f t="shared" si="12"/>
        <v>537804</v>
      </c>
      <c r="N58" s="36">
        <f t="shared" si="12"/>
        <v>579679</v>
      </c>
      <c r="O58" s="36">
        <f t="shared" si="12"/>
        <v>539083</v>
      </c>
      <c r="P58" s="36">
        <f t="shared" si="12"/>
        <v>576915</v>
      </c>
      <c r="Q58" s="36">
        <f t="shared" si="12"/>
        <v>589399</v>
      </c>
      <c r="R58" s="36">
        <f t="shared" si="12"/>
        <v>553918</v>
      </c>
      <c r="S58" s="36">
        <f t="shared" si="12"/>
        <v>617493</v>
      </c>
      <c r="T58" s="36">
        <f t="shared" si="12"/>
        <v>615812</v>
      </c>
      <c r="U58" s="36">
        <f t="shared" si="12"/>
        <v>533727</v>
      </c>
      <c r="V58" s="36">
        <f>V36-V55</f>
        <v>601148</v>
      </c>
      <c r="W58" s="36">
        <f>W36-W55</f>
        <v>588149</v>
      </c>
      <c r="X58" s="36">
        <f>X36-X55</f>
        <v>580141</v>
      </c>
      <c r="Y58" s="36">
        <f>Y36-Y55</f>
        <v>428079.30817897944</v>
      </c>
      <c r="Z58" s="36">
        <f>Z36-Z55</f>
        <v>425884.89043296152</v>
      </c>
    </row>
    <row r="59" spans="1:31">
      <c r="A59" s="37" t="s">
        <v>892</v>
      </c>
      <c r="B59" s="37">
        <f>B58/B36</f>
        <v>0.32017973625152429</v>
      </c>
      <c r="C59" s="37">
        <f t="shared" ref="C59:U59" si="13">C58/C36</f>
        <v>0.3091725843181114</v>
      </c>
      <c r="D59" s="37">
        <f t="shared" si="13"/>
        <v>0.31465400833395463</v>
      </c>
      <c r="E59" s="37">
        <f t="shared" si="13"/>
        <v>0.29826043148411568</v>
      </c>
      <c r="F59" s="37">
        <f t="shared" si="13"/>
        <v>0.31277691452475448</v>
      </c>
      <c r="G59" s="37">
        <f t="shared" si="13"/>
        <v>0.2971028856911514</v>
      </c>
      <c r="H59" s="37">
        <f t="shared" si="13"/>
        <v>0.3065270698352443</v>
      </c>
      <c r="I59" s="37">
        <f t="shared" si="13"/>
        <v>0.31517231408417479</v>
      </c>
      <c r="J59" s="37">
        <f t="shared" si="13"/>
        <v>0.27788361118632265</v>
      </c>
      <c r="K59" s="37">
        <f t="shared" si="13"/>
        <v>0.26875824678139376</v>
      </c>
      <c r="L59" s="37">
        <f t="shared" si="13"/>
        <v>0.28187152538323407</v>
      </c>
      <c r="M59" s="37">
        <f t="shared" si="13"/>
        <v>0.2560444708517105</v>
      </c>
      <c r="N59" s="37">
        <f t="shared" si="13"/>
        <v>0.27476910169479474</v>
      </c>
      <c r="O59" s="37">
        <f t="shared" si="13"/>
        <v>0.2590680273253062</v>
      </c>
      <c r="P59" s="37">
        <f t="shared" si="13"/>
        <v>0.27198576979541961</v>
      </c>
      <c r="Q59" s="37">
        <f t="shared" si="13"/>
        <v>0.27020463887230861</v>
      </c>
      <c r="R59" s="37">
        <f t="shared" si="13"/>
        <v>0.26105476080733475</v>
      </c>
      <c r="S59" s="37">
        <f t="shared" si="13"/>
        <v>0.29339964478046804</v>
      </c>
      <c r="T59" s="37">
        <f t="shared" si="13"/>
        <v>0.29372313771092157</v>
      </c>
      <c r="U59" s="37">
        <f t="shared" si="13"/>
        <v>0.2593333666978771</v>
      </c>
      <c r="V59" s="37">
        <f>V58/V36</f>
        <v>0.29632952406209656</v>
      </c>
      <c r="W59" s="37">
        <f>W58/W36</f>
        <v>0.29681154768699564</v>
      </c>
      <c r="X59" s="37">
        <f>X58/X36</f>
        <v>0.29605540810249603</v>
      </c>
      <c r="Y59" s="37">
        <f>Y58/Y36</f>
        <v>0.23182252338559298</v>
      </c>
      <c r="Z59" s="37">
        <f>Z58/Z36</f>
        <v>0.23292165965324518</v>
      </c>
      <c r="AA59" s="65"/>
      <c r="AB59" s="65"/>
      <c r="AC59" s="65"/>
      <c r="AD59" s="65"/>
      <c r="AE59" s="65"/>
    </row>
    <row r="60" spans="1:31">
      <c r="A60" s="33"/>
      <c r="D60" s="59"/>
      <c r="E60" s="59"/>
      <c r="F60" s="59"/>
      <c r="G60" s="59"/>
      <c r="H60" s="59"/>
      <c r="I60" s="59"/>
      <c r="J60" s="59"/>
      <c r="K60" s="59"/>
      <c r="L60" s="59"/>
      <c r="U60" s="59"/>
      <c r="V60" s="59"/>
      <c r="W60" s="59"/>
      <c r="X60" s="325"/>
      <c r="Y60" s="59"/>
      <c r="Z60" s="59"/>
    </row>
    <row r="61" spans="1:31">
      <c r="A61" s="45" t="s">
        <v>894</v>
      </c>
      <c r="B61" s="36">
        <f>B58+B52+B43</f>
        <v>319954</v>
      </c>
      <c r="C61" s="36">
        <f>C58+C52+C43</f>
        <v>310549</v>
      </c>
      <c r="D61" s="36">
        <f t="shared" ref="D61:U61" si="14">D58+D52+D43</f>
        <v>320662</v>
      </c>
      <c r="E61" s="36">
        <f t="shared" si="14"/>
        <v>308239</v>
      </c>
      <c r="F61" s="36">
        <f t="shared" si="14"/>
        <v>318920</v>
      </c>
      <c r="G61" s="36">
        <f t="shared" si="14"/>
        <v>309035</v>
      </c>
      <c r="H61" s="36">
        <f t="shared" si="14"/>
        <v>316334</v>
      </c>
      <c r="I61" s="36">
        <f t="shared" si="14"/>
        <v>340621</v>
      </c>
      <c r="J61" s="36">
        <f t="shared" si="14"/>
        <v>308197</v>
      </c>
      <c r="K61" s="36">
        <f t="shared" si="14"/>
        <v>968229.32944606431</v>
      </c>
      <c r="L61" s="36">
        <f t="shared" si="14"/>
        <v>991069</v>
      </c>
      <c r="M61" s="36">
        <f t="shared" si="14"/>
        <v>934644</v>
      </c>
      <c r="N61" s="36">
        <f t="shared" si="14"/>
        <v>974039</v>
      </c>
      <c r="O61" s="36">
        <f t="shared" si="14"/>
        <v>936867</v>
      </c>
      <c r="P61" s="36">
        <f t="shared" si="14"/>
        <v>975226</v>
      </c>
      <c r="Q61" s="36">
        <f t="shared" si="14"/>
        <v>986005</v>
      </c>
      <c r="R61" s="36">
        <f t="shared" si="14"/>
        <v>954472</v>
      </c>
      <c r="S61" s="36">
        <f t="shared" si="14"/>
        <v>1004177</v>
      </c>
      <c r="T61" s="36">
        <f t="shared" si="14"/>
        <v>993766</v>
      </c>
      <c r="U61" s="36">
        <f t="shared" si="14"/>
        <v>914079</v>
      </c>
      <c r="V61" s="36">
        <f>V58+V52+V43</f>
        <v>982944</v>
      </c>
      <c r="W61" s="36">
        <f>W58+W52+W43</f>
        <v>959721</v>
      </c>
      <c r="X61" s="36">
        <f>X58+X52+X43</f>
        <v>952693</v>
      </c>
      <c r="Y61" s="36">
        <f>Y58+Y52+Y43</f>
        <v>794184.00829834631</v>
      </c>
      <c r="Z61" s="36">
        <f>Z58+Z52+Z43</f>
        <v>790871.55303976894</v>
      </c>
      <c r="AA61" s="74"/>
    </row>
    <row r="62" spans="1:31">
      <c r="A62" s="37" t="s">
        <v>863</v>
      </c>
      <c r="B62" s="37">
        <f>B61/B36</f>
        <v>0.53227816197889544</v>
      </c>
      <c r="C62" s="37">
        <f t="shared" ref="C62:U62" si="15">C61/C36</f>
        <v>0.52307041892929806</v>
      </c>
      <c r="D62" s="37">
        <f t="shared" si="15"/>
        <v>0.53128878064136653</v>
      </c>
      <c r="E62" s="37">
        <f t="shared" si="15"/>
        <v>0.50747951899267685</v>
      </c>
      <c r="F62" s="37">
        <f t="shared" si="15"/>
        <v>0.52606749209051296</v>
      </c>
      <c r="G62" s="37">
        <f t="shared" si="15"/>
        <v>0.51914050819611546</v>
      </c>
      <c r="H62" s="37">
        <f t="shared" si="15"/>
        <v>0.52164778789372923</v>
      </c>
      <c r="I62" s="37">
        <f t="shared" si="15"/>
        <v>0.51838194449728725</v>
      </c>
      <c r="J62" s="37">
        <f t="shared" si="15"/>
        <v>0.49671379208086747</v>
      </c>
      <c r="K62" s="37">
        <f t="shared" si="15"/>
        <v>0.45599418719028789</v>
      </c>
      <c r="L62" s="37">
        <f t="shared" si="15"/>
        <v>0.47168358374608721</v>
      </c>
      <c r="M62" s="37">
        <f t="shared" si="15"/>
        <v>0.44497703329600768</v>
      </c>
      <c r="N62" s="37">
        <f t="shared" si="15"/>
        <v>0.46169659595344353</v>
      </c>
      <c r="O62" s="37">
        <f t="shared" si="15"/>
        <v>0.45023175569657664</v>
      </c>
      <c r="P62" s="37">
        <f t="shared" si="15"/>
        <v>0.45976893361155086</v>
      </c>
      <c r="Q62" s="37">
        <f t="shared" si="15"/>
        <v>0.45202507121880192</v>
      </c>
      <c r="R62" s="37">
        <f t="shared" si="15"/>
        <v>0.44983094908867088</v>
      </c>
      <c r="S62" s="37">
        <f t="shared" si="15"/>
        <v>0.47713119840502821</v>
      </c>
      <c r="T62" s="37">
        <f t="shared" si="15"/>
        <v>0.47399542014516072</v>
      </c>
      <c r="U62" s="37">
        <f t="shared" si="15"/>
        <v>0.44414313777985526</v>
      </c>
      <c r="V62" s="37">
        <f>V61/V36</f>
        <v>0.48453180863895984</v>
      </c>
      <c r="W62" s="37">
        <f>W61/W36</f>
        <v>0.4843267188377624</v>
      </c>
      <c r="X62" s="37">
        <f>X61/X36</f>
        <v>0.48617476598170312</v>
      </c>
      <c r="Y62" s="37">
        <f>Y61/Y36</f>
        <v>0.43008325167455019</v>
      </c>
      <c r="Z62" s="37">
        <f>Z61/Z36</f>
        <v>0.43253733307911085</v>
      </c>
      <c r="AA62" s="65"/>
      <c r="AB62" s="65"/>
      <c r="AC62" s="65"/>
      <c r="AD62" s="65"/>
      <c r="AE62" s="65"/>
    </row>
    <row r="63" spans="1:31">
      <c r="D63" s="59"/>
      <c r="E63" s="59"/>
      <c r="F63" s="59"/>
      <c r="G63" s="59"/>
      <c r="H63" s="59"/>
      <c r="I63" s="59"/>
      <c r="J63" s="59"/>
      <c r="K63" s="59"/>
      <c r="L63" s="59"/>
      <c r="U63" s="59"/>
    </row>
    <row r="64" spans="1:31">
      <c r="A64" s="29" t="s">
        <v>864</v>
      </c>
      <c r="B64" s="66"/>
      <c r="C64" s="66"/>
      <c r="D64" s="67"/>
      <c r="E64" s="67"/>
      <c r="F64" s="67"/>
      <c r="G64" s="67"/>
      <c r="H64" s="67"/>
      <c r="I64" s="67"/>
      <c r="J64" s="67"/>
      <c r="K64" s="67"/>
      <c r="L64" s="67"/>
      <c r="M64" s="68"/>
      <c r="N64" s="68"/>
      <c r="O64" s="68"/>
      <c r="P64" s="68"/>
      <c r="Q64" s="68"/>
      <c r="R64" s="68"/>
      <c r="S64" s="68"/>
      <c r="T64" s="68"/>
      <c r="U64" s="69"/>
      <c r="V64" s="68"/>
      <c r="W64" s="68"/>
      <c r="X64" s="68"/>
      <c r="Y64" s="68"/>
      <c r="Z64" s="68"/>
      <c r="AA64" s="68"/>
      <c r="AB64" s="68"/>
      <c r="AC64" s="68"/>
      <c r="AD64" s="68"/>
      <c r="AE64" s="68"/>
    </row>
    <row r="65" spans="1:31" ht="13.5">
      <c r="A65" s="87" t="s">
        <v>873</v>
      </c>
      <c r="B65" s="66"/>
      <c r="C65" s="66"/>
      <c r="D65" s="67"/>
      <c r="E65" s="67"/>
      <c r="F65" s="67"/>
      <c r="G65" s="67"/>
      <c r="H65" s="67"/>
      <c r="I65" s="67"/>
      <c r="J65" s="67"/>
      <c r="K65" s="67"/>
      <c r="L65" s="67"/>
      <c r="M65" s="68"/>
      <c r="N65" s="68"/>
      <c r="O65" s="68"/>
      <c r="P65" s="68"/>
      <c r="Q65" s="68"/>
      <c r="R65" s="68"/>
      <c r="S65" s="68"/>
      <c r="T65" s="68"/>
      <c r="U65" s="69"/>
      <c r="V65" s="68"/>
      <c r="W65" s="68"/>
      <c r="X65" s="68"/>
      <c r="Y65" s="68"/>
      <c r="Z65" s="68"/>
      <c r="AA65" s="68"/>
      <c r="AB65" s="68"/>
      <c r="AC65" s="68"/>
      <c r="AD65" s="68"/>
      <c r="AE65" s="68"/>
    </row>
    <row r="66" spans="1:31">
      <c r="A66" s="33" t="s">
        <v>865</v>
      </c>
      <c r="B66" s="71">
        <v>-53342</v>
      </c>
      <c r="C66" s="71">
        <v>-52543</v>
      </c>
      <c r="D66" s="71">
        <v>-53089</v>
      </c>
      <c r="E66" s="71">
        <v>-52174</v>
      </c>
      <c r="F66" s="71">
        <v>-53245</v>
      </c>
      <c r="G66" s="71">
        <v>-51429</v>
      </c>
      <c r="H66" s="71">
        <v>-49647</v>
      </c>
      <c r="I66" s="71">
        <v>-49904</v>
      </c>
      <c r="J66" s="71">
        <v>-49625</v>
      </c>
      <c r="K66" s="71">
        <v>-50086</v>
      </c>
      <c r="L66" s="71">
        <v>-50639</v>
      </c>
      <c r="M66" s="71">
        <v>-47857</v>
      </c>
      <c r="N66" s="71">
        <v>-47375</v>
      </c>
      <c r="O66" s="71">
        <v>-46961</v>
      </c>
      <c r="P66" s="71">
        <v>-57667</v>
      </c>
      <c r="Q66" s="71">
        <v>-55176</v>
      </c>
      <c r="R66" s="71">
        <v>-53102</v>
      </c>
      <c r="S66" s="329">
        <v>-50122</v>
      </c>
      <c r="T66" s="71">
        <v>-49166</v>
      </c>
      <c r="U66" s="71">
        <v>-49483</v>
      </c>
      <c r="V66" s="71">
        <v>-53446</v>
      </c>
      <c r="W66" s="71">
        <v>-52032</v>
      </c>
      <c r="X66" s="329">
        <v>-46637</v>
      </c>
      <c r="Y66" s="71">
        <v>-48758.325000000004</v>
      </c>
      <c r="Z66" s="71">
        <v>-48015.825000000004</v>
      </c>
      <c r="AA66" s="68"/>
      <c r="AB66" s="68"/>
      <c r="AC66" s="68"/>
      <c r="AD66" s="68"/>
      <c r="AE66" s="68"/>
    </row>
    <row r="67" spans="1:31">
      <c r="A67" s="33" t="s">
        <v>866</v>
      </c>
      <c r="B67" s="267">
        <v>1265</v>
      </c>
      <c r="C67" s="267">
        <v>2059</v>
      </c>
      <c r="D67" s="267">
        <v>2126</v>
      </c>
      <c r="E67" s="267">
        <v>1929</v>
      </c>
      <c r="F67" s="267">
        <v>953</v>
      </c>
      <c r="G67" s="267">
        <v>1313</v>
      </c>
      <c r="H67" s="267">
        <v>724</v>
      </c>
      <c r="I67" s="267">
        <v>1270</v>
      </c>
      <c r="J67" s="267">
        <v>1603</v>
      </c>
      <c r="K67" s="267">
        <v>2073</v>
      </c>
      <c r="L67" s="267">
        <v>2076</v>
      </c>
      <c r="M67" s="267">
        <v>891</v>
      </c>
      <c r="N67" s="267">
        <v>891</v>
      </c>
      <c r="O67" s="267">
        <v>0</v>
      </c>
      <c r="P67" s="267">
        <v>0</v>
      </c>
      <c r="Q67" s="267">
        <v>0</v>
      </c>
      <c r="R67" s="267">
        <v>0</v>
      </c>
      <c r="S67" s="267">
        <v>0</v>
      </c>
      <c r="T67" s="267">
        <v>0</v>
      </c>
      <c r="U67" s="267">
        <v>0</v>
      </c>
      <c r="V67" s="267">
        <v>0</v>
      </c>
      <c r="W67" s="267">
        <v>0</v>
      </c>
      <c r="X67" s="317">
        <v>0</v>
      </c>
      <c r="Y67" s="267">
        <v>0</v>
      </c>
      <c r="Z67" s="267">
        <v>0</v>
      </c>
      <c r="AA67" s="68"/>
      <c r="AB67" s="68"/>
      <c r="AC67" s="68"/>
      <c r="AD67" s="68"/>
      <c r="AE67" s="68"/>
    </row>
    <row r="68" spans="1:31">
      <c r="A68" s="33" t="s">
        <v>867</v>
      </c>
      <c r="B68" s="71">
        <v>188</v>
      </c>
      <c r="C68" s="71">
        <v>2304</v>
      </c>
      <c r="D68" s="71">
        <v>-3811</v>
      </c>
      <c r="E68" s="71">
        <v>678</v>
      </c>
      <c r="F68" s="71">
        <v>732</v>
      </c>
      <c r="G68" s="71">
        <v>3109</v>
      </c>
      <c r="H68" s="71">
        <v>1220</v>
      </c>
      <c r="I68" s="71">
        <v>2215</v>
      </c>
      <c r="J68" s="71">
        <v>5967</v>
      </c>
      <c r="K68" s="71">
        <v>2524</v>
      </c>
      <c r="L68" s="71">
        <v>2734</v>
      </c>
      <c r="M68" s="71">
        <v>1927</v>
      </c>
      <c r="N68" s="71">
        <v>1518</v>
      </c>
      <c r="O68" s="71">
        <v>5290</v>
      </c>
      <c r="P68" s="71">
        <v>8080</v>
      </c>
      <c r="Q68" s="71">
        <v>4324</v>
      </c>
      <c r="R68" s="71">
        <v>8433</v>
      </c>
      <c r="S68" s="71">
        <v>4281</v>
      </c>
      <c r="T68" s="71">
        <v>7482</v>
      </c>
      <c r="U68" s="71">
        <v>913</v>
      </c>
      <c r="V68" s="71">
        <v>5517</v>
      </c>
      <c r="W68" s="71">
        <v>6182</v>
      </c>
      <c r="X68" s="329">
        <v>6035</v>
      </c>
      <c r="Y68" s="71">
        <v>5639.2637534882833</v>
      </c>
      <c r="Z68" s="71">
        <v>5567.446087843241</v>
      </c>
      <c r="AA68" s="68"/>
      <c r="AB68" s="68"/>
      <c r="AC68" s="68"/>
      <c r="AD68" s="68"/>
      <c r="AE68" s="68"/>
    </row>
    <row r="69" spans="1:31">
      <c r="A69" s="33"/>
      <c r="B69" s="70"/>
      <c r="C69" s="70"/>
      <c r="D69" s="72"/>
      <c r="E69" s="72"/>
      <c r="F69" s="72"/>
      <c r="G69" s="72"/>
      <c r="H69" s="72"/>
      <c r="I69" s="73"/>
      <c r="J69" s="73"/>
      <c r="K69" s="73"/>
      <c r="L69" s="73"/>
      <c r="M69" s="73"/>
      <c r="N69" s="96"/>
      <c r="O69" s="73"/>
      <c r="P69" s="73"/>
      <c r="Q69" s="73"/>
      <c r="R69" s="73"/>
      <c r="S69" s="73"/>
      <c r="T69" s="73"/>
      <c r="U69" s="73"/>
      <c r="V69" s="68"/>
      <c r="W69" s="68"/>
      <c r="X69" s="68"/>
      <c r="Y69" s="68"/>
      <c r="Z69" s="68"/>
      <c r="AA69" s="68"/>
      <c r="AB69" s="68"/>
      <c r="AC69" s="68"/>
      <c r="AD69" s="68"/>
      <c r="AE69" s="68"/>
    </row>
    <row r="70" spans="1:31" ht="13.5">
      <c r="A70" s="87" t="s">
        <v>875</v>
      </c>
      <c r="B70" s="70"/>
      <c r="C70" s="70"/>
      <c r="D70" s="72"/>
      <c r="E70" s="72"/>
      <c r="F70" s="72"/>
      <c r="G70" s="72"/>
      <c r="H70" s="72"/>
      <c r="I70" s="73"/>
      <c r="J70" s="73"/>
      <c r="K70" s="73"/>
      <c r="L70" s="73"/>
      <c r="M70" s="73"/>
      <c r="N70" s="96"/>
      <c r="O70" s="73"/>
      <c r="P70" s="73"/>
      <c r="Q70" s="73"/>
      <c r="R70" s="73"/>
      <c r="S70" s="73"/>
      <c r="T70" s="73"/>
      <c r="U70" s="73"/>
      <c r="V70" s="68"/>
      <c r="W70" s="68"/>
      <c r="X70" s="68"/>
      <c r="Y70" s="68"/>
      <c r="Z70" s="68"/>
      <c r="AA70" s="68"/>
      <c r="AB70" s="68"/>
      <c r="AC70" s="68"/>
      <c r="AD70" s="68"/>
      <c r="AE70" s="68"/>
    </row>
    <row r="71" spans="1:31">
      <c r="A71" s="33" t="s">
        <v>865</v>
      </c>
      <c r="B71" s="108"/>
      <c r="C71" s="108"/>
      <c r="D71" s="73"/>
      <c r="E71" s="73"/>
      <c r="F71" s="73"/>
      <c r="G71" s="73"/>
      <c r="H71" s="73"/>
      <c r="I71" s="73"/>
      <c r="J71" s="73"/>
      <c r="K71" s="68">
        <v>-123906.25</v>
      </c>
      <c r="L71" s="68">
        <v>-120768.75</v>
      </c>
      <c r="M71" s="68">
        <v>-116000</v>
      </c>
      <c r="N71" s="68">
        <v>-121000</v>
      </c>
      <c r="O71" s="68">
        <v>-109000</v>
      </c>
      <c r="P71" s="68">
        <v>-111000</v>
      </c>
      <c r="Q71" s="68">
        <v>-108000</v>
      </c>
      <c r="R71" s="68">
        <v>-104000</v>
      </c>
      <c r="S71" s="68">
        <v>-104000</v>
      </c>
      <c r="T71" s="68">
        <v>-100000</v>
      </c>
      <c r="U71" s="68">
        <v>-101000</v>
      </c>
      <c r="V71" s="68">
        <v>-100000</v>
      </c>
      <c r="W71" s="68">
        <v>-96000</v>
      </c>
      <c r="X71" s="90">
        <v>-90000</v>
      </c>
      <c r="Y71" s="68">
        <v>-96706.25</v>
      </c>
      <c r="Z71" s="68">
        <v>-97001.25</v>
      </c>
      <c r="AA71" s="68"/>
      <c r="AB71" s="68"/>
      <c r="AC71" s="68"/>
      <c r="AD71" s="68"/>
      <c r="AE71" s="68"/>
    </row>
    <row r="72" spans="1:31">
      <c r="A72" s="33" t="s">
        <v>895</v>
      </c>
      <c r="B72" s="108"/>
      <c r="C72" s="108"/>
      <c r="D72" s="108"/>
      <c r="E72" s="108"/>
      <c r="F72" s="108"/>
      <c r="G72" s="108"/>
      <c r="H72" s="108"/>
      <c r="I72" s="108"/>
      <c r="J72" s="108"/>
      <c r="K72" s="68">
        <v>2411.0458467343315</v>
      </c>
      <c r="L72" s="68">
        <v>1910.1640416254759</v>
      </c>
      <c r="M72" s="68">
        <v>0</v>
      </c>
      <c r="N72" s="68">
        <v>0</v>
      </c>
      <c r="O72" s="68">
        <v>0</v>
      </c>
      <c r="P72" s="68">
        <v>0</v>
      </c>
      <c r="Q72" s="68">
        <v>0</v>
      </c>
      <c r="R72" s="68">
        <v>0</v>
      </c>
      <c r="S72" s="68">
        <v>0</v>
      </c>
      <c r="T72" s="68">
        <v>0</v>
      </c>
      <c r="U72" s="68">
        <v>0</v>
      </c>
      <c r="V72" s="68">
        <v>0</v>
      </c>
      <c r="W72" s="68">
        <v>0</v>
      </c>
      <c r="X72" s="68">
        <v>0</v>
      </c>
      <c r="Y72" s="68">
        <v>0</v>
      </c>
      <c r="Z72" s="68">
        <v>0</v>
      </c>
      <c r="AA72" s="68"/>
      <c r="AB72" s="68"/>
      <c r="AC72" s="68"/>
      <c r="AD72" s="68"/>
      <c r="AE72" s="68"/>
    </row>
    <row r="73" spans="1:31">
      <c r="A73" s="33" t="s">
        <v>867</v>
      </c>
      <c r="B73" s="108"/>
      <c r="C73" s="108"/>
      <c r="D73" s="108"/>
      <c r="E73" s="108"/>
      <c r="F73" s="108"/>
      <c r="G73" s="108"/>
      <c r="H73" s="108"/>
      <c r="I73" s="108"/>
      <c r="J73" s="108"/>
      <c r="K73" s="68">
        <v>750</v>
      </c>
      <c r="L73" s="68">
        <v>3000</v>
      </c>
      <c r="M73" s="68">
        <v>5000</v>
      </c>
      <c r="N73" s="68">
        <v>1000</v>
      </c>
      <c r="O73" s="68">
        <v>0</v>
      </c>
      <c r="P73" s="68">
        <v>0</v>
      </c>
      <c r="Q73" s="68">
        <v>2000</v>
      </c>
      <c r="R73" s="68">
        <v>1000</v>
      </c>
      <c r="S73" s="68">
        <v>1000</v>
      </c>
      <c r="T73" s="68">
        <v>1000</v>
      </c>
      <c r="U73" s="68">
        <v>1000</v>
      </c>
      <c r="V73" s="68">
        <v>1000</v>
      </c>
      <c r="W73" s="68">
        <v>1000</v>
      </c>
      <c r="X73" s="90">
        <v>-1000</v>
      </c>
      <c r="Y73" s="68">
        <v>0</v>
      </c>
      <c r="Z73" s="68">
        <v>0</v>
      </c>
      <c r="AA73" s="68"/>
      <c r="AB73" s="68"/>
      <c r="AC73" s="68"/>
      <c r="AD73" s="68"/>
      <c r="AE73" s="68"/>
    </row>
    <row r="74" spans="1:31">
      <c r="A74" s="33"/>
      <c r="B74" s="70"/>
      <c r="C74" s="70"/>
      <c r="D74" s="72"/>
      <c r="E74" s="72"/>
      <c r="F74" s="72"/>
      <c r="G74" s="72"/>
      <c r="H74" s="72"/>
      <c r="I74" s="73"/>
      <c r="J74" s="73"/>
      <c r="K74" s="73"/>
      <c r="L74" s="73"/>
      <c r="M74" s="73"/>
      <c r="N74" s="96"/>
      <c r="O74" s="73"/>
      <c r="P74" s="73"/>
      <c r="Q74" s="73"/>
      <c r="R74" s="73"/>
      <c r="S74" s="73"/>
      <c r="T74" s="73"/>
      <c r="U74" s="73"/>
      <c r="V74" s="68"/>
      <c r="W74" s="68"/>
      <c r="X74" s="68"/>
      <c r="Y74" s="68"/>
      <c r="Z74" s="68"/>
      <c r="AA74" s="68"/>
      <c r="AB74" s="68"/>
      <c r="AC74" s="68"/>
      <c r="AD74" s="68"/>
      <c r="AE74" s="68"/>
    </row>
    <row r="75" spans="1:31">
      <c r="A75" s="97" t="s">
        <v>884</v>
      </c>
      <c r="B75" s="98"/>
      <c r="C75" s="98"/>
      <c r="D75" s="98"/>
      <c r="E75" s="98"/>
      <c r="F75" s="98"/>
      <c r="G75" s="98"/>
      <c r="H75" s="98"/>
      <c r="I75" s="99"/>
      <c r="J75" s="99"/>
      <c r="K75" s="99"/>
      <c r="L75" s="99"/>
      <c r="M75" s="99"/>
      <c r="N75" s="100"/>
      <c r="O75" s="99"/>
      <c r="P75" s="99"/>
      <c r="Q75" s="99"/>
      <c r="R75" s="99"/>
      <c r="S75" s="99"/>
      <c r="T75" s="99"/>
      <c r="U75" s="99"/>
      <c r="V75" s="99"/>
      <c r="W75" s="99"/>
      <c r="X75" s="99"/>
      <c r="Y75" s="99"/>
      <c r="Z75" s="99"/>
      <c r="AA75" s="68"/>
      <c r="AB75" s="69"/>
      <c r="AC75" s="69"/>
      <c r="AD75" s="69"/>
      <c r="AE75" s="69"/>
    </row>
    <row r="76" spans="1:31">
      <c r="A76" s="102" t="s">
        <v>896</v>
      </c>
      <c r="B76" s="103">
        <f>SUM(B71:B73, B66:B68)</f>
        <v>-51889</v>
      </c>
      <c r="C76" s="103">
        <f t="shared" ref="C76:U76" si="16">SUM(C71:C73, C66:C68)</f>
        <v>-48180</v>
      </c>
      <c r="D76" s="103">
        <f t="shared" si="16"/>
        <v>-54774</v>
      </c>
      <c r="E76" s="103">
        <f t="shared" si="16"/>
        <v>-49567</v>
      </c>
      <c r="F76" s="103">
        <f t="shared" si="16"/>
        <v>-51560</v>
      </c>
      <c r="G76" s="103">
        <f t="shared" si="16"/>
        <v>-47007</v>
      </c>
      <c r="H76" s="103">
        <f t="shared" si="16"/>
        <v>-47703</v>
      </c>
      <c r="I76" s="103">
        <f t="shared" si="16"/>
        <v>-46419</v>
      </c>
      <c r="J76" s="103">
        <f t="shared" si="16"/>
        <v>-42055</v>
      </c>
      <c r="K76" s="103">
        <f t="shared" si="16"/>
        <v>-166234.20415326569</v>
      </c>
      <c r="L76" s="103">
        <f t="shared" si="16"/>
        <v>-161687.58595837452</v>
      </c>
      <c r="M76" s="103">
        <f t="shared" si="16"/>
        <v>-156039</v>
      </c>
      <c r="N76" s="103">
        <f t="shared" si="16"/>
        <v>-164966</v>
      </c>
      <c r="O76" s="103">
        <f t="shared" si="16"/>
        <v>-150671</v>
      </c>
      <c r="P76" s="103">
        <f t="shared" si="16"/>
        <v>-160587</v>
      </c>
      <c r="Q76" s="103">
        <f t="shared" si="16"/>
        <v>-156852</v>
      </c>
      <c r="R76" s="103">
        <f t="shared" si="16"/>
        <v>-147669</v>
      </c>
      <c r="S76" s="103">
        <f t="shared" si="16"/>
        <v>-148841</v>
      </c>
      <c r="T76" s="103">
        <f t="shared" si="16"/>
        <v>-140684</v>
      </c>
      <c r="U76" s="103">
        <f t="shared" si="16"/>
        <v>-148570</v>
      </c>
      <c r="V76" s="103">
        <f>SUM(V71:V73, V66:V68)</f>
        <v>-146929</v>
      </c>
      <c r="W76" s="103">
        <f>SUM(W71:W73, W66:W68)</f>
        <v>-140850</v>
      </c>
      <c r="X76" s="103">
        <f>SUM(X71:X73, X66:X68)</f>
        <v>-131602</v>
      </c>
      <c r="Y76" s="103">
        <f>SUM(Y71:Y73, Y66:Y68)</f>
        <v>-139825.31124651173</v>
      </c>
      <c r="Z76" s="103">
        <f>SUM(Z71:Z73, Z66:Z68)</f>
        <v>-139449.62891215677</v>
      </c>
      <c r="AA76" s="68"/>
      <c r="AB76" s="69"/>
      <c r="AC76" s="69"/>
      <c r="AD76" s="69"/>
      <c r="AE76" s="69"/>
    </row>
    <row r="77" spans="1:31">
      <c r="A77" s="33"/>
      <c r="B77" s="70"/>
      <c r="C77" s="70"/>
      <c r="D77" s="72"/>
      <c r="E77" s="72"/>
      <c r="F77" s="72"/>
      <c r="G77" s="72"/>
      <c r="H77" s="72"/>
      <c r="I77" s="73"/>
      <c r="J77" s="73"/>
      <c r="K77" s="73"/>
      <c r="L77" s="73"/>
      <c r="M77" s="73"/>
      <c r="N77" s="96"/>
      <c r="O77" s="73"/>
      <c r="P77" s="73"/>
      <c r="Q77" s="73"/>
      <c r="R77" s="73"/>
      <c r="S77" s="73"/>
      <c r="T77" s="73"/>
      <c r="U77" s="73"/>
      <c r="V77" s="68"/>
      <c r="W77" s="68"/>
      <c r="X77" s="68"/>
      <c r="Y77" s="68"/>
      <c r="Z77" s="68"/>
      <c r="AA77" s="68"/>
      <c r="AB77" s="68"/>
      <c r="AC77" s="68"/>
      <c r="AD77" s="68"/>
      <c r="AE77" s="68"/>
    </row>
    <row r="78" spans="1:31">
      <c r="A78" s="33"/>
      <c r="B78" s="66"/>
      <c r="C78" s="66"/>
      <c r="D78" s="67"/>
      <c r="E78" s="67"/>
      <c r="F78" s="67"/>
      <c r="G78" s="67"/>
      <c r="H78" s="67"/>
      <c r="I78" s="67"/>
      <c r="J78" s="67"/>
      <c r="K78" s="67"/>
      <c r="L78" s="67"/>
      <c r="M78" s="68"/>
      <c r="N78" s="68"/>
      <c r="O78" s="68"/>
      <c r="P78" s="68"/>
      <c r="Q78" s="68"/>
      <c r="R78" s="68"/>
      <c r="S78" s="68"/>
      <c r="T78" s="68"/>
      <c r="U78" s="68"/>
      <c r="V78" s="68"/>
      <c r="W78" s="68"/>
      <c r="X78" s="68"/>
      <c r="Y78" s="68"/>
      <c r="Z78" s="68"/>
      <c r="AA78" s="68"/>
      <c r="AB78" s="68"/>
      <c r="AC78" s="68"/>
      <c r="AD78" s="68"/>
      <c r="AE78" s="68"/>
    </row>
    <row r="79" spans="1:31">
      <c r="A79" s="45" t="s">
        <v>868</v>
      </c>
      <c r="B79" s="104">
        <f>SUM(B76+B58)</f>
        <v>140572</v>
      </c>
      <c r="C79" s="104">
        <f t="shared" ref="C79:W79" si="17">SUM(C76+C58)</f>
        <v>135377</v>
      </c>
      <c r="D79" s="104">
        <f t="shared" si="17"/>
        <v>135137</v>
      </c>
      <c r="E79" s="104">
        <f t="shared" si="17"/>
        <v>131594</v>
      </c>
      <c r="F79" s="104">
        <f t="shared" si="17"/>
        <v>138056</v>
      </c>
      <c r="G79" s="104">
        <f t="shared" si="17"/>
        <v>129853</v>
      </c>
      <c r="H79" s="104">
        <f t="shared" si="17"/>
        <v>138179</v>
      </c>
      <c r="I79" s="104">
        <f t="shared" si="17"/>
        <v>160676</v>
      </c>
      <c r="J79" s="104">
        <f t="shared" si="17"/>
        <v>130364</v>
      </c>
      <c r="K79" s="104">
        <f t="shared" si="17"/>
        <v>404430.12529279862</v>
      </c>
      <c r="L79" s="104">
        <f t="shared" si="17"/>
        <v>430561.41404162545</v>
      </c>
      <c r="M79" s="104">
        <f t="shared" si="17"/>
        <v>381765</v>
      </c>
      <c r="N79" s="104">
        <f t="shared" si="17"/>
        <v>414713</v>
      </c>
      <c r="O79" s="104">
        <f t="shared" si="17"/>
        <v>388412</v>
      </c>
      <c r="P79" s="104">
        <f t="shared" si="17"/>
        <v>416328</v>
      </c>
      <c r="Q79" s="104">
        <f t="shared" si="17"/>
        <v>432547</v>
      </c>
      <c r="R79" s="104">
        <f t="shared" si="17"/>
        <v>406249</v>
      </c>
      <c r="S79" s="104">
        <f t="shared" si="17"/>
        <v>468652</v>
      </c>
      <c r="T79" s="104">
        <f t="shared" si="17"/>
        <v>475128</v>
      </c>
      <c r="U79" s="104">
        <f t="shared" si="17"/>
        <v>385157</v>
      </c>
      <c r="V79" s="104">
        <f t="shared" si="17"/>
        <v>454219</v>
      </c>
      <c r="W79" s="104">
        <f t="shared" si="17"/>
        <v>447299</v>
      </c>
      <c r="X79" s="104">
        <f>SUM(X76+X58)</f>
        <v>448539</v>
      </c>
      <c r="Y79" s="104">
        <f>SUM(Y76+Y58)</f>
        <v>288253.99693246768</v>
      </c>
      <c r="Z79" s="104">
        <f>SUM(Z76+Z58)</f>
        <v>286435.26152080472</v>
      </c>
      <c r="AA79" s="68"/>
      <c r="AB79" s="68"/>
      <c r="AC79" s="68"/>
      <c r="AD79" s="68"/>
      <c r="AE79" s="68"/>
    </row>
    <row r="80" spans="1:31">
      <c r="A80" s="33"/>
      <c r="B80" s="68"/>
      <c r="C80" s="68"/>
      <c r="D80" s="69"/>
      <c r="E80" s="69"/>
      <c r="F80" s="69"/>
      <c r="G80" s="69"/>
      <c r="H80" s="69"/>
      <c r="I80" s="69"/>
      <c r="J80" s="69"/>
      <c r="K80" s="69"/>
      <c r="L80" s="69"/>
      <c r="M80" s="68"/>
      <c r="N80" s="68"/>
      <c r="O80" s="68"/>
      <c r="P80" s="68"/>
      <c r="Q80" s="68"/>
      <c r="R80" s="68"/>
      <c r="S80" s="68"/>
      <c r="T80" s="68"/>
      <c r="U80" s="69"/>
      <c r="V80" s="68"/>
      <c r="W80" s="68"/>
      <c r="X80" s="68"/>
      <c r="Y80" s="68"/>
      <c r="Z80" s="68"/>
      <c r="AA80" s="68"/>
      <c r="AB80" s="68"/>
      <c r="AC80" s="68"/>
      <c r="AD80" s="68"/>
      <c r="AE80" s="68"/>
    </row>
    <row r="81" spans="1:31">
      <c r="A81" s="88" t="s">
        <v>873</v>
      </c>
      <c r="B81" s="68"/>
      <c r="C81" s="68"/>
      <c r="D81" s="69"/>
      <c r="E81" s="69"/>
      <c r="F81" s="69"/>
      <c r="G81" s="69"/>
      <c r="H81" s="69"/>
      <c r="I81" s="69"/>
      <c r="J81" s="69"/>
      <c r="K81" s="69"/>
      <c r="L81" s="69"/>
      <c r="M81" s="68"/>
      <c r="N81" s="68"/>
      <c r="O81" s="68"/>
      <c r="P81" s="68"/>
      <c r="Q81" s="68"/>
      <c r="R81" s="71"/>
      <c r="S81" s="68"/>
      <c r="T81" s="71"/>
      <c r="U81" s="69"/>
      <c r="V81" s="68"/>
      <c r="W81" s="68"/>
      <c r="X81" s="68"/>
      <c r="Y81" s="68"/>
      <c r="Z81" s="68"/>
      <c r="AA81" s="68"/>
      <c r="AB81" s="68"/>
      <c r="AC81" s="68"/>
      <c r="AD81" s="68"/>
      <c r="AE81" s="68"/>
    </row>
    <row r="82" spans="1:31">
      <c r="A82" s="51" t="s">
        <v>869</v>
      </c>
      <c r="B82" s="71">
        <v>-51305</v>
      </c>
      <c r="C82" s="71">
        <v>-52098</v>
      </c>
      <c r="D82" s="71">
        <v>-51853</v>
      </c>
      <c r="E82" s="71">
        <v>-50459</v>
      </c>
      <c r="F82" s="71">
        <v>-52951</v>
      </c>
      <c r="G82" s="71">
        <v>-49862</v>
      </c>
      <c r="H82" s="71">
        <v>-53061</v>
      </c>
      <c r="I82" s="71">
        <v>-61699</v>
      </c>
      <c r="J82" s="71">
        <v>-48180</v>
      </c>
      <c r="K82" s="71">
        <v>-45145</v>
      </c>
      <c r="L82" s="71">
        <v>-45858</v>
      </c>
      <c r="M82" s="71">
        <v>-48678</v>
      </c>
      <c r="N82" s="71">
        <v>-49264</v>
      </c>
      <c r="O82" s="71">
        <v>-48542</v>
      </c>
      <c r="P82" s="71">
        <v>-48894</v>
      </c>
      <c r="Q82" s="71">
        <v>-67410</v>
      </c>
      <c r="R82" s="71">
        <v>-49427</v>
      </c>
      <c r="S82" s="71">
        <v>-51481</v>
      </c>
      <c r="T82" s="71">
        <v>-54466</v>
      </c>
      <c r="U82" s="71">
        <v>-49427.199999999997</v>
      </c>
      <c r="V82" s="71">
        <v>-48175</v>
      </c>
      <c r="W82" s="71">
        <v>-49975</v>
      </c>
      <c r="X82" s="329">
        <v>-50842</v>
      </c>
      <c r="Y82" s="71">
        <v>-49013.920544134431</v>
      </c>
      <c r="Z82" s="71">
        <v>-49388.612261333081</v>
      </c>
      <c r="AA82" s="68"/>
      <c r="AB82" s="71"/>
      <c r="AC82" s="71"/>
      <c r="AD82" s="71"/>
      <c r="AE82" s="71"/>
    </row>
    <row r="83" spans="1:31">
      <c r="A83" s="33"/>
      <c r="B83" s="90"/>
      <c r="C83" s="90"/>
      <c r="D83" s="91"/>
      <c r="E83" s="91"/>
      <c r="F83" s="91"/>
      <c r="G83" s="91"/>
      <c r="H83" s="91"/>
      <c r="I83" s="69"/>
      <c r="J83" s="69"/>
      <c r="K83" s="69"/>
      <c r="L83" s="69"/>
      <c r="M83" s="68"/>
      <c r="N83" s="68"/>
      <c r="O83" s="68"/>
      <c r="P83" s="68"/>
      <c r="Q83" s="68"/>
      <c r="R83" s="68"/>
      <c r="S83" s="68"/>
      <c r="T83" s="68"/>
      <c r="U83" s="69"/>
      <c r="V83" s="68"/>
      <c r="W83" s="68"/>
      <c r="X83" s="68"/>
      <c r="Y83" s="68"/>
      <c r="Z83" s="68"/>
      <c r="AA83" s="68"/>
      <c r="AB83" s="68"/>
      <c r="AC83" s="68"/>
      <c r="AD83" s="68"/>
      <c r="AE83" s="68"/>
    </row>
    <row r="84" spans="1:31">
      <c r="A84" s="88" t="s">
        <v>875</v>
      </c>
      <c r="B84" s="90"/>
      <c r="C84" s="90"/>
      <c r="D84" s="91"/>
      <c r="E84" s="91"/>
      <c r="F84" s="91"/>
      <c r="G84" s="91"/>
      <c r="H84" s="91"/>
      <c r="I84" s="69"/>
      <c r="J84" s="69"/>
      <c r="K84" s="69"/>
      <c r="L84" s="69"/>
      <c r="M84" s="68"/>
      <c r="N84" s="68"/>
      <c r="O84" s="68"/>
      <c r="P84" s="68"/>
      <c r="Q84" s="68"/>
      <c r="R84" s="68"/>
      <c r="S84" s="68"/>
      <c r="T84" s="68"/>
      <c r="U84" s="69"/>
      <c r="V84" s="68"/>
      <c r="W84" s="68"/>
      <c r="X84" s="68"/>
      <c r="Y84" s="68"/>
      <c r="Z84" s="68"/>
      <c r="AA84" s="68"/>
      <c r="AB84" s="68"/>
      <c r="AC84" s="68"/>
      <c r="AD84" s="68"/>
      <c r="AE84" s="68"/>
    </row>
    <row r="85" spans="1:31">
      <c r="A85" s="51" t="s">
        <v>869</v>
      </c>
      <c r="B85" s="108"/>
      <c r="C85" s="108"/>
      <c r="D85" s="73"/>
      <c r="E85" s="73"/>
      <c r="F85" s="73"/>
      <c r="G85" s="73"/>
      <c r="H85" s="73"/>
      <c r="I85" s="73"/>
      <c r="J85" s="73"/>
      <c r="K85" s="68">
        <v>-113465.64435946007</v>
      </c>
      <c r="L85" s="68">
        <v>-122900.85854644206</v>
      </c>
      <c r="M85" s="68">
        <v>-95000</v>
      </c>
      <c r="N85" s="68">
        <v>-92000</v>
      </c>
      <c r="O85" s="68">
        <v>-102000</v>
      </c>
      <c r="P85" s="68">
        <v>-113000</v>
      </c>
      <c r="Q85" s="68">
        <v>-100000</v>
      </c>
      <c r="R85" s="68">
        <v>-77000</v>
      </c>
      <c r="S85" s="68">
        <v>-119000</v>
      </c>
      <c r="T85" s="68">
        <v>-123000</v>
      </c>
      <c r="U85" s="68">
        <v>-93000</v>
      </c>
      <c r="V85" s="68">
        <v>-128000</v>
      </c>
      <c r="W85" s="68">
        <v>-115000</v>
      </c>
      <c r="X85" s="90">
        <v>-125000</v>
      </c>
      <c r="Y85" s="68">
        <v>-95080.504110926515</v>
      </c>
      <c r="Z85" s="68">
        <v>-94678.533738268394</v>
      </c>
      <c r="AA85" s="68"/>
      <c r="AB85" s="68"/>
      <c r="AC85" s="68"/>
      <c r="AD85" s="68"/>
      <c r="AE85" s="68"/>
    </row>
    <row r="86" spans="1:31">
      <c r="A86" s="51"/>
      <c r="B86" s="68"/>
      <c r="C86" s="68"/>
      <c r="D86" s="69"/>
      <c r="E86" s="69"/>
      <c r="F86" s="69"/>
      <c r="G86" s="69"/>
      <c r="H86" s="69"/>
      <c r="I86" s="69"/>
      <c r="J86" s="69"/>
      <c r="K86" s="69"/>
      <c r="L86" s="69"/>
      <c r="M86" s="68"/>
      <c r="N86" s="68"/>
      <c r="O86" s="68"/>
      <c r="P86" s="68"/>
      <c r="Q86" s="68"/>
      <c r="R86" s="68"/>
      <c r="S86" s="68"/>
      <c r="T86" s="68"/>
      <c r="U86" s="69"/>
      <c r="V86" s="68"/>
      <c r="W86" s="68"/>
      <c r="X86" s="68"/>
      <c r="Y86" s="68"/>
      <c r="Z86" s="68"/>
      <c r="AA86" s="68"/>
      <c r="AB86" s="68"/>
      <c r="AC86" s="68"/>
      <c r="AD86" s="68"/>
      <c r="AE86" s="68"/>
    </row>
    <row r="87" spans="1:31">
      <c r="A87" s="105" t="s">
        <v>884</v>
      </c>
      <c r="B87" s="101"/>
      <c r="C87" s="101"/>
      <c r="D87" s="101"/>
      <c r="E87" s="101"/>
      <c r="F87" s="101"/>
      <c r="G87" s="101"/>
      <c r="H87" s="101"/>
      <c r="I87" s="101"/>
      <c r="J87" s="101"/>
      <c r="K87" s="101"/>
      <c r="L87" s="101"/>
      <c r="M87" s="101"/>
      <c r="N87" s="101"/>
      <c r="O87" s="101"/>
      <c r="P87" s="101"/>
      <c r="Q87" s="101"/>
      <c r="R87" s="101"/>
      <c r="S87" s="101"/>
      <c r="T87" s="101"/>
      <c r="U87" s="101"/>
      <c r="V87" s="101"/>
      <c r="W87" s="101"/>
      <c r="X87" s="101"/>
      <c r="Y87" s="101"/>
      <c r="Z87" s="101"/>
      <c r="AA87" s="68"/>
      <c r="AB87" s="69"/>
      <c r="AC87" s="69"/>
      <c r="AD87" s="69"/>
      <c r="AE87" s="69"/>
    </row>
    <row r="88" spans="1:31">
      <c r="A88" s="102" t="s">
        <v>869</v>
      </c>
      <c r="B88" s="106">
        <f>B85+B82</f>
        <v>-51305</v>
      </c>
      <c r="C88" s="106">
        <f t="shared" ref="C88:U88" si="18">C85+C82</f>
        <v>-52098</v>
      </c>
      <c r="D88" s="106">
        <f t="shared" si="18"/>
        <v>-51853</v>
      </c>
      <c r="E88" s="106">
        <f t="shared" si="18"/>
        <v>-50459</v>
      </c>
      <c r="F88" s="106">
        <f t="shared" si="18"/>
        <v>-52951</v>
      </c>
      <c r="G88" s="106">
        <f t="shared" si="18"/>
        <v>-49862</v>
      </c>
      <c r="H88" s="106">
        <f t="shared" si="18"/>
        <v>-53061</v>
      </c>
      <c r="I88" s="106">
        <f t="shared" si="18"/>
        <v>-61699</v>
      </c>
      <c r="J88" s="106">
        <f t="shared" si="18"/>
        <v>-48180</v>
      </c>
      <c r="K88" s="106">
        <f t="shared" si="18"/>
        <v>-158610.64435946007</v>
      </c>
      <c r="L88" s="106">
        <f t="shared" si="18"/>
        <v>-168758.85854644206</v>
      </c>
      <c r="M88" s="106">
        <f t="shared" si="18"/>
        <v>-143678</v>
      </c>
      <c r="N88" s="106">
        <f t="shared" si="18"/>
        <v>-141264</v>
      </c>
      <c r="O88" s="106">
        <f t="shared" si="18"/>
        <v>-150542</v>
      </c>
      <c r="P88" s="107">
        <f t="shared" si="18"/>
        <v>-161894</v>
      </c>
      <c r="Q88" s="106">
        <f t="shared" si="18"/>
        <v>-167410</v>
      </c>
      <c r="R88" s="106">
        <f t="shared" si="18"/>
        <v>-126427</v>
      </c>
      <c r="S88" s="106">
        <f t="shared" si="18"/>
        <v>-170481</v>
      </c>
      <c r="T88" s="106">
        <f t="shared" si="18"/>
        <v>-177466</v>
      </c>
      <c r="U88" s="106">
        <f t="shared" si="18"/>
        <v>-142427.20000000001</v>
      </c>
      <c r="V88" s="106">
        <f>V85+V82</f>
        <v>-176175</v>
      </c>
      <c r="W88" s="106">
        <f>W85+W82</f>
        <v>-164975</v>
      </c>
      <c r="X88" s="106">
        <f>X85+X82</f>
        <v>-175842</v>
      </c>
      <c r="Y88" s="106">
        <f>Y85+Y82</f>
        <v>-144094.42465506095</v>
      </c>
      <c r="Z88" s="106">
        <f>Z85+Z82</f>
        <v>-144067.14599960146</v>
      </c>
      <c r="AA88" s="68"/>
      <c r="AB88" s="69"/>
      <c r="AC88" s="69"/>
      <c r="AD88" s="69"/>
      <c r="AE88" s="69"/>
    </row>
    <row r="89" spans="1:31">
      <c r="A89" s="33"/>
      <c r="B89" s="68"/>
      <c r="C89" s="68"/>
      <c r="D89" s="69"/>
      <c r="E89" s="69"/>
      <c r="F89" s="69"/>
      <c r="G89" s="69"/>
      <c r="H89" s="69"/>
      <c r="I89" s="69"/>
      <c r="J89" s="69"/>
      <c r="K89" s="69"/>
      <c r="L89" s="69"/>
      <c r="M89" s="68"/>
      <c r="N89" s="68"/>
      <c r="O89" s="68"/>
      <c r="P89" s="68"/>
      <c r="Q89" s="68"/>
      <c r="R89" s="68"/>
      <c r="S89" s="68"/>
      <c r="T89" s="68"/>
      <c r="U89" s="69"/>
      <c r="V89" s="69"/>
      <c r="W89" s="69"/>
      <c r="X89" s="69"/>
      <c r="Y89" s="69"/>
      <c r="Z89" s="69"/>
      <c r="AA89" s="68"/>
      <c r="AB89" s="68"/>
      <c r="AC89" s="68"/>
      <c r="AD89" s="68"/>
      <c r="AE89" s="68"/>
    </row>
    <row r="90" spans="1:31">
      <c r="A90" s="45" t="s">
        <v>870</v>
      </c>
      <c r="B90" s="104">
        <f>B88+B79</f>
        <v>89267</v>
      </c>
      <c r="C90" s="104">
        <f t="shared" ref="C90:U90" si="19">C88+C79</f>
        <v>83279</v>
      </c>
      <c r="D90" s="104">
        <f t="shared" si="19"/>
        <v>83284</v>
      </c>
      <c r="E90" s="104">
        <f t="shared" si="19"/>
        <v>81135</v>
      </c>
      <c r="F90" s="104">
        <f t="shared" si="19"/>
        <v>85105</v>
      </c>
      <c r="G90" s="104">
        <f t="shared" si="19"/>
        <v>79991</v>
      </c>
      <c r="H90" s="104">
        <f t="shared" si="19"/>
        <v>85118</v>
      </c>
      <c r="I90" s="104">
        <f t="shared" si="19"/>
        <v>98977</v>
      </c>
      <c r="J90" s="104">
        <f t="shared" si="19"/>
        <v>82184</v>
      </c>
      <c r="K90" s="104">
        <f t="shared" si="19"/>
        <v>245819.48093333855</v>
      </c>
      <c r="L90" s="104">
        <f t="shared" si="19"/>
        <v>261802.55549518339</v>
      </c>
      <c r="M90" s="104">
        <f t="shared" si="19"/>
        <v>238087</v>
      </c>
      <c r="N90" s="104">
        <f t="shared" si="19"/>
        <v>273449</v>
      </c>
      <c r="O90" s="104">
        <f t="shared" si="19"/>
        <v>237870</v>
      </c>
      <c r="P90" s="104">
        <f t="shared" si="19"/>
        <v>254434</v>
      </c>
      <c r="Q90" s="104">
        <f t="shared" si="19"/>
        <v>265137</v>
      </c>
      <c r="R90" s="104">
        <f t="shared" si="19"/>
        <v>279822</v>
      </c>
      <c r="S90" s="104">
        <f t="shared" si="19"/>
        <v>298171</v>
      </c>
      <c r="T90" s="104">
        <f t="shared" si="19"/>
        <v>297662</v>
      </c>
      <c r="U90" s="104">
        <f t="shared" si="19"/>
        <v>242729.8</v>
      </c>
      <c r="V90" s="104">
        <f>V88+V79</f>
        <v>278044</v>
      </c>
      <c r="W90" s="104">
        <f>W88+W79</f>
        <v>282324</v>
      </c>
      <c r="X90" s="104">
        <f>X88+X79</f>
        <v>272697</v>
      </c>
      <c r="Y90" s="104">
        <f>Y88+Y79</f>
        <v>144159.57227740673</v>
      </c>
      <c r="Z90" s="104">
        <f>Z88+Z79</f>
        <v>142368.11552120326</v>
      </c>
      <c r="AA90" s="68"/>
      <c r="AB90" s="68"/>
      <c r="AC90" s="68"/>
      <c r="AD90" s="68"/>
      <c r="AE90" s="68"/>
    </row>
    <row r="91" spans="1:31">
      <c r="A91" s="33"/>
      <c r="B91" s="68"/>
      <c r="C91" s="68"/>
      <c r="D91" s="69"/>
      <c r="E91" s="69"/>
      <c r="F91" s="69"/>
      <c r="G91" s="69"/>
      <c r="H91" s="69"/>
      <c r="I91" s="69"/>
      <c r="J91" s="69"/>
      <c r="K91" s="69"/>
      <c r="L91" s="69"/>
      <c r="M91" s="68"/>
      <c r="N91" s="68"/>
      <c r="O91" s="68"/>
      <c r="P91" s="68"/>
      <c r="Q91" s="68"/>
      <c r="R91" s="68"/>
      <c r="S91" s="68"/>
      <c r="T91" s="68"/>
      <c r="U91" s="69"/>
      <c r="V91" s="68"/>
      <c r="W91" s="267"/>
      <c r="X91" s="267"/>
      <c r="Y91" s="68"/>
      <c r="Z91" s="68"/>
      <c r="AA91" s="68"/>
      <c r="AB91" s="68"/>
      <c r="AC91" s="68"/>
      <c r="AD91" s="68"/>
      <c r="AE91" s="68"/>
    </row>
    <row r="92" spans="1:31">
      <c r="A92" s="29" t="s">
        <v>796</v>
      </c>
      <c r="B92" s="21"/>
      <c r="C92" s="21"/>
      <c r="D92" s="44"/>
      <c r="E92" s="44"/>
      <c r="F92" s="44"/>
      <c r="G92" s="44"/>
      <c r="H92" s="44"/>
      <c r="I92" s="44"/>
      <c r="J92" s="44"/>
      <c r="K92" s="44"/>
      <c r="L92" s="44"/>
      <c r="M92" s="21"/>
      <c r="N92" s="21"/>
      <c r="O92" s="21"/>
      <c r="P92" s="21"/>
      <c r="Q92" s="21"/>
      <c r="R92" s="21"/>
      <c r="S92" s="21"/>
      <c r="T92" s="21"/>
      <c r="U92" s="44"/>
      <c r="V92" s="21"/>
      <c r="W92" s="21"/>
      <c r="X92" s="38"/>
      <c r="Y92" s="22"/>
      <c r="Z92" s="22"/>
      <c r="AA92" s="68"/>
      <c r="AB92" s="21"/>
      <c r="AC92" s="21"/>
      <c r="AD92" s="21"/>
      <c r="AE92" s="21"/>
    </row>
    <row r="93" spans="1:31" ht="13.5">
      <c r="A93" s="87" t="s">
        <v>873</v>
      </c>
      <c r="B93" s="21"/>
      <c r="C93" s="21"/>
      <c r="D93" s="44"/>
      <c r="E93" s="44"/>
      <c r="F93" s="44"/>
      <c r="G93" s="44"/>
      <c r="H93" s="44"/>
      <c r="I93" s="44"/>
      <c r="J93" s="44"/>
      <c r="K93" s="44"/>
      <c r="L93" s="44"/>
      <c r="M93" s="21"/>
      <c r="N93" s="21"/>
      <c r="O93" s="21"/>
      <c r="P93" s="21"/>
      <c r="Q93" s="21"/>
      <c r="R93" s="21"/>
      <c r="S93" s="38"/>
      <c r="T93" s="21"/>
      <c r="U93" s="44"/>
      <c r="V93" s="21"/>
      <c r="W93" s="21"/>
      <c r="X93" s="21"/>
      <c r="Y93" s="21"/>
      <c r="Z93" s="21"/>
      <c r="AA93" s="68"/>
      <c r="AB93" s="21"/>
      <c r="AC93" s="21"/>
      <c r="AD93" s="21"/>
      <c r="AE93" s="21"/>
    </row>
    <row r="94" spans="1:31">
      <c r="A94" s="30" t="s">
        <v>797</v>
      </c>
      <c r="B94" s="56">
        <v>144204</v>
      </c>
      <c r="C94" s="56">
        <v>142585</v>
      </c>
      <c r="D94" s="75">
        <v>138066</v>
      </c>
      <c r="E94" s="75">
        <v>134885</v>
      </c>
      <c r="F94" s="75">
        <v>133324</v>
      </c>
      <c r="G94" s="75">
        <v>132183</v>
      </c>
      <c r="H94" s="75">
        <v>130299</v>
      </c>
      <c r="I94" s="75">
        <v>130150</v>
      </c>
      <c r="J94" s="75">
        <v>130730</v>
      </c>
      <c r="K94" s="75">
        <v>122394</v>
      </c>
      <c r="L94" s="75">
        <v>115441</v>
      </c>
      <c r="M94" s="56">
        <v>115221</v>
      </c>
      <c r="N94" s="56">
        <v>113629</v>
      </c>
      <c r="O94" s="56">
        <v>111031</v>
      </c>
      <c r="P94" s="56">
        <v>108405</v>
      </c>
      <c r="Q94" s="56">
        <v>109400</v>
      </c>
      <c r="R94" s="252">
        <v>109400</v>
      </c>
      <c r="S94" s="56">
        <v>106142</v>
      </c>
      <c r="T94" s="56">
        <v>103644</v>
      </c>
      <c r="U94" s="56">
        <v>100402</v>
      </c>
      <c r="V94" s="38">
        <v>98883</v>
      </c>
      <c r="W94" s="38">
        <v>99126</v>
      </c>
      <c r="X94" s="56">
        <v>99414</v>
      </c>
      <c r="Y94" s="56">
        <v>100234.30198726115</v>
      </c>
      <c r="Z94" s="56">
        <v>100234.30198726115</v>
      </c>
      <c r="AA94" s="68"/>
      <c r="AB94" s="38"/>
      <c r="AC94" s="38"/>
      <c r="AD94" s="38"/>
      <c r="AE94" s="38"/>
    </row>
    <row r="95" spans="1:31">
      <c r="A95" s="30" t="s">
        <v>798</v>
      </c>
      <c r="B95" s="56">
        <v>145354</v>
      </c>
      <c r="C95" s="56">
        <v>143347</v>
      </c>
      <c r="D95" s="75">
        <v>138889</v>
      </c>
      <c r="E95" s="75">
        <v>135737</v>
      </c>
      <c r="F95" s="75">
        <v>138368</v>
      </c>
      <c r="G95" s="75">
        <v>137169</v>
      </c>
      <c r="H95" s="75">
        <v>135345</v>
      </c>
      <c r="I95" s="75">
        <v>135916</v>
      </c>
      <c r="J95" s="75">
        <v>135917</v>
      </c>
      <c r="K95" s="75">
        <v>127959</v>
      </c>
      <c r="L95" s="75">
        <v>121636</v>
      </c>
      <c r="M95" s="56">
        <v>120448</v>
      </c>
      <c r="N95" s="56">
        <v>118875</v>
      </c>
      <c r="O95" s="56">
        <v>116308</v>
      </c>
      <c r="P95" s="56">
        <v>113721</v>
      </c>
      <c r="Q95" s="56">
        <v>113100</v>
      </c>
      <c r="R95" s="252">
        <v>113100</v>
      </c>
      <c r="S95" s="56">
        <v>106997</v>
      </c>
      <c r="T95" s="56">
        <v>104273</v>
      </c>
      <c r="U95" s="56">
        <v>100988</v>
      </c>
      <c r="V95" s="38">
        <v>99228</v>
      </c>
      <c r="W95" s="38">
        <v>99144</v>
      </c>
      <c r="X95" s="56">
        <v>99450</v>
      </c>
      <c r="Y95" s="56">
        <v>101234.30198726115</v>
      </c>
      <c r="Z95" s="56">
        <v>101234.30198726115</v>
      </c>
      <c r="AA95" s="68"/>
      <c r="AB95" s="38"/>
      <c r="AC95" s="38"/>
      <c r="AD95" s="38"/>
      <c r="AE95" s="38"/>
    </row>
    <row r="96" spans="1:31">
      <c r="A96" s="35" t="s">
        <v>1144</v>
      </c>
      <c r="B96" s="109">
        <f>B94</f>
        <v>144204</v>
      </c>
      <c r="C96" s="109">
        <f t="shared" ref="C96:J96" si="20">C94</f>
        <v>142585</v>
      </c>
      <c r="D96" s="109">
        <f t="shared" si="20"/>
        <v>138066</v>
      </c>
      <c r="E96" s="109">
        <f t="shared" si="20"/>
        <v>134885</v>
      </c>
      <c r="F96" s="109">
        <f t="shared" si="20"/>
        <v>133324</v>
      </c>
      <c r="G96" s="109">
        <f t="shared" si="20"/>
        <v>132183</v>
      </c>
      <c r="H96" s="109">
        <f t="shared" si="20"/>
        <v>130299</v>
      </c>
      <c r="I96" s="109">
        <f t="shared" si="20"/>
        <v>130150</v>
      </c>
      <c r="J96" s="109">
        <f t="shared" si="20"/>
        <v>130730</v>
      </c>
      <c r="K96" s="109">
        <f>K99*1.37+K94</f>
        <v>326661</v>
      </c>
      <c r="L96" s="109">
        <f t="shared" ref="L96:W96" si="21">L99*1.37+L94</f>
        <v>319708</v>
      </c>
      <c r="M96" s="109">
        <f t="shared" si="21"/>
        <v>319625</v>
      </c>
      <c r="N96" s="109">
        <f t="shared" si="21"/>
        <v>318581</v>
      </c>
      <c r="O96" s="109">
        <f t="shared" si="21"/>
        <v>316805</v>
      </c>
      <c r="P96" s="109">
        <f t="shared" si="21"/>
        <v>316371</v>
      </c>
      <c r="Q96" s="109">
        <f t="shared" si="21"/>
        <v>318736</v>
      </c>
      <c r="R96" s="109">
        <f t="shared" si="21"/>
        <v>317503</v>
      </c>
      <c r="S96" s="109">
        <f t="shared" si="21"/>
        <v>315341</v>
      </c>
      <c r="T96" s="109">
        <f t="shared" si="21"/>
        <v>304760</v>
      </c>
      <c r="U96" s="109">
        <f t="shared" si="21"/>
        <v>295764</v>
      </c>
      <c r="V96" s="109">
        <f t="shared" si="21"/>
        <v>293697</v>
      </c>
      <c r="W96" s="109">
        <f t="shared" si="21"/>
        <v>295310</v>
      </c>
      <c r="X96" s="109">
        <f>X99*1.37+X94</f>
        <v>296539.98130916635</v>
      </c>
      <c r="Y96" s="109">
        <f>Y99*1.37+Y94</f>
        <v>297360.28329642751</v>
      </c>
      <c r="Z96" s="109">
        <f>Z99*1.37+Z94</f>
        <v>297360.28329642751</v>
      </c>
      <c r="AA96" s="68"/>
      <c r="AB96" s="38"/>
      <c r="AC96" s="38"/>
      <c r="AD96" s="38"/>
      <c r="AE96" s="38"/>
    </row>
    <row r="97" spans="1:31">
      <c r="A97" s="30"/>
      <c r="B97" s="38"/>
      <c r="C97" s="38"/>
      <c r="D97" s="42"/>
      <c r="E97" s="42"/>
      <c r="F97" s="42"/>
      <c r="G97" s="42"/>
      <c r="H97" s="42"/>
      <c r="I97" s="75"/>
      <c r="J97" s="75"/>
      <c r="K97" s="75"/>
      <c r="L97" s="75"/>
      <c r="M97" s="56"/>
      <c r="N97" s="56"/>
      <c r="O97" s="56"/>
      <c r="P97" s="56"/>
      <c r="Q97" s="56"/>
      <c r="R97" s="56"/>
      <c r="S97" s="56"/>
      <c r="T97" s="56"/>
      <c r="U97" s="56"/>
      <c r="V97" s="38"/>
      <c r="W97" s="38"/>
      <c r="X97" s="38"/>
      <c r="Y97" s="38"/>
      <c r="Z97" s="38"/>
      <c r="AA97" s="68"/>
      <c r="AB97" s="38"/>
      <c r="AC97" s="38"/>
      <c r="AD97" s="38"/>
      <c r="AE97" s="38"/>
    </row>
    <row r="98" spans="1:31">
      <c r="A98" s="57" t="s">
        <v>875</v>
      </c>
      <c r="B98" s="38"/>
      <c r="C98" s="38"/>
      <c r="D98" s="42"/>
      <c r="E98" s="42"/>
      <c r="F98" s="42"/>
      <c r="G98" s="42"/>
      <c r="H98" s="42"/>
      <c r="I98" s="75"/>
      <c r="J98" s="75"/>
      <c r="K98" s="75"/>
      <c r="L98" s="75"/>
      <c r="M98" s="56"/>
      <c r="N98" s="56"/>
      <c r="O98" s="56"/>
      <c r="P98" s="56"/>
      <c r="Q98" s="56"/>
      <c r="R98" s="56"/>
      <c r="S98" s="56"/>
      <c r="T98" s="56"/>
      <c r="U98" s="56"/>
      <c r="V98" s="38"/>
      <c r="W98" s="38"/>
      <c r="X98" s="38"/>
      <c r="Y98" s="38"/>
      <c r="Z98" s="38"/>
      <c r="AA98" s="68"/>
      <c r="AB98" s="38"/>
      <c r="AC98" s="38"/>
      <c r="AD98" s="38"/>
      <c r="AE98" s="38"/>
    </row>
    <row r="99" spans="1:31">
      <c r="A99" s="30" t="s">
        <v>797</v>
      </c>
      <c r="B99" s="56"/>
      <c r="C99" s="56"/>
      <c r="D99" s="56"/>
      <c r="E99" s="56"/>
      <c r="F99" s="56"/>
      <c r="G99" s="56"/>
      <c r="H99" s="56"/>
      <c r="I99" s="56"/>
      <c r="J99" s="56"/>
      <c r="K99" s="56">
        <v>149100</v>
      </c>
      <c r="L99" s="56">
        <v>149100</v>
      </c>
      <c r="M99" s="56">
        <v>149200</v>
      </c>
      <c r="N99" s="56">
        <v>149600</v>
      </c>
      <c r="O99" s="56">
        <v>150200</v>
      </c>
      <c r="P99" s="56">
        <v>151800</v>
      </c>
      <c r="Q99" s="56">
        <v>152800</v>
      </c>
      <c r="R99" s="252">
        <v>151900</v>
      </c>
      <c r="S99" s="56">
        <v>152700</v>
      </c>
      <c r="T99" s="56">
        <v>146800</v>
      </c>
      <c r="U99" s="56">
        <v>142600</v>
      </c>
      <c r="V99" s="38">
        <v>142200</v>
      </c>
      <c r="W99" s="38">
        <v>143200</v>
      </c>
      <c r="X99" s="330">
        <v>143887.57759793164</v>
      </c>
      <c r="Y99" s="330">
        <v>143887.57759793164</v>
      </c>
      <c r="Z99" s="330">
        <v>143887.57759793164</v>
      </c>
      <c r="AA99" s="68"/>
      <c r="AB99" s="38"/>
      <c r="AC99" s="38"/>
      <c r="AD99" s="38"/>
      <c r="AE99" s="38"/>
    </row>
    <row r="100" spans="1:31">
      <c r="A100" s="30" t="s">
        <v>798</v>
      </c>
      <c r="B100" s="56"/>
      <c r="C100" s="56"/>
      <c r="D100" s="56"/>
      <c r="E100" s="56"/>
      <c r="F100" s="56"/>
      <c r="G100" s="56"/>
      <c r="H100" s="56"/>
      <c r="I100" s="56"/>
      <c r="J100" s="56"/>
      <c r="K100" s="56">
        <v>150000</v>
      </c>
      <c r="L100" s="56">
        <v>150000</v>
      </c>
      <c r="M100" s="56">
        <v>150500</v>
      </c>
      <c r="N100" s="56">
        <v>151400</v>
      </c>
      <c r="O100" s="56">
        <v>152400</v>
      </c>
      <c r="P100" s="56">
        <v>153600</v>
      </c>
      <c r="Q100" s="56">
        <v>154540</v>
      </c>
      <c r="R100" s="252">
        <v>153900</v>
      </c>
      <c r="S100" s="56">
        <v>154100</v>
      </c>
      <c r="T100" s="56">
        <v>148800</v>
      </c>
      <c r="U100" s="56">
        <v>144000</v>
      </c>
      <c r="V100" s="38">
        <v>143000</v>
      </c>
      <c r="W100" s="38">
        <v>143500</v>
      </c>
      <c r="X100" s="330">
        <v>149887.57759793164</v>
      </c>
      <c r="Y100" s="330">
        <v>144887.57759793164</v>
      </c>
      <c r="Z100" s="330">
        <v>144887.57759793164</v>
      </c>
      <c r="AA100" s="68"/>
      <c r="AB100" s="38"/>
      <c r="AC100" s="38"/>
      <c r="AD100" s="38"/>
      <c r="AE100" s="38"/>
    </row>
    <row r="101" spans="1:31">
      <c r="A101" s="30"/>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68"/>
      <c r="AB101" s="38"/>
      <c r="AC101" s="38"/>
      <c r="AD101" s="38"/>
      <c r="AE101" s="38"/>
    </row>
    <row r="102" spans="1:31">
      <c r="A102" s="35" t="s">
        <v>897</v>
      </c>
      <c r="B102" s="109">
        <f t="shared" ref="B102:J102" si="22">B95</f>
        <v>145354</v>
      </c>
      <c r="C102" s="109">
        <f t="shared" si="22"/>
        <v>143347</v>
      </c>
      <c r="D102" s="109">
        <f t="shared" si="22"/>
        <v>138889</v>
      </c>
      <c r="E102" s="109">
        <f t="shared" si="22"/>
        <v>135737</v>
      </c>
      <c r="F102" s="109">
        <f t="shared" si="22"/>
        <v>138368</v>
      </c>
      <c r="G102" s="109">
        <f t="shared" si="22"/>
        <v>137169</v>
      </c>
      <c r="H102" s="109">
        <f t="shared" si="22"/>
        <v>135345</v>
      </c>
      <c r="I102" s="109">
        <f t="shared" si="22"/>
        <v>135916</v>
      </c>
      <c r="J102" s="109">
        <f t="shared" si="22"/>
        <v>135917</v>
      </c>
      <c r="K102" s="109">
        <f>K95+1.37*K100</f>
        <v>333459</v>
      </c>
      <c r="L102" s="109">
        <f t="shared" ref="L102:W102" si="23">L95+1.37*L100</f>
        <v>327136</v>
      </c>
      <c r="M102" s="109">
        <f t="shared" si="23"/>
        <v>326633</v>
      </c>
      <c r="N102" s="109">
        <f t="shared" si="23"/>
        <v>326293</v>
      </c>
      <c r="O102" s="109">
        <f t="shared" si="23"/>
        <v>325096</v>
      </c>
      <c r="P102" s="109">
        <f t="shared" si="23"/>
        <v>324153</v>
      </c>
      <c r="Q102" s="109">
        <f t="shared" si="23"/>
        <v>324819.80000000005</v>
      </c>
      <c r="R102" s="109">
        <f t="shared" si="23"/>
        <v>323943</v>
      </c>
      <c r="S102" s="109">
        <f t="shared" si="23"/>
        <v>318114</v>
      </c>
      <c r="T102" s="109">
        <f t="shared" si="23"/>
        <v>308129</v>
      </c>
      <c r="U102" s="109">
        <f t="shared" si="23"/>
        <v>298268</v>
      </c>
      <c r="V102" s="109">
        <f t="shared" si="23"/>
        <v>295138</v>
      </c>
      <c r="W102" s="109">
        <f t="shared" si="23"/>
        <v>295739</v>
      </c>
      <c r="X102" s="109">
        <f>X95+1.37*X100</f>
        <v>304795.98130916635</v>
      </c>
      <c r="Y102" s="109">
        <f>Y95+1.37*Y100</f>
        <v>299730.28329642751</v>
      </c>
      <c r="Z102" s="109">
        <f>Z95+1.37*Z100</f>
        <v>299730.28329642751</v>
      </c>
      <c r="AA102" s="68"/>
      <c r="AB102" s="38"/>
      <c r="AC102" s="38"/>
      <c r="AD102" s="38"/>
      <c r="AE102" s="38"/>
    </row>
    <row r="103" spans="1:31">
      <c r="A103" s="30"/>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68"/>
      <c r="AB103" s="38"/>
      <c r="AC103" s="38"/>
      <c r="AD103" s="38"/>
      <c r="AE103" s="38"/>
    </row>
    <row r="104" spans="1:31">
      <c r="A104" s="33"/>
      <c r="B104" s="21"/>
      <c r="C104" s="21"/>
      <c r="D104" s="44"/>
      <c r="E104" s="44"/>
      <c r="F104" s="44"/>
      <c r="G104" s="44"/>
      <c r="H104" s="44"/>
      <c r="I104" s="44"/>
      <c r="J104" s="44"/>
      <c r="K104" s="44"/>
      <c r="L104" s="44"/>
      <c r="M104" s="21"/>
      <c r="N104" s="21"/>
      <c r="O104" s="21"/>
      <c r="P104" s="21"/>
      <c r="Q104" s="21"/>
      <c r="R104" s="21"/>
      <c r="S104" s="21"/>
      <c r="T104" s="21"/>
      <c r="U104" s="44"/>
      <c r="V104" s="21"/>
      <c r="W104" s="21"/>
      <c r="X104" s="21"/>
      <c r="Y104" s="21"/>
      <c r="Z104" s="21"/>
      <c r="AA104" s="68"/>
      <c r="AB104" s="21"/>
      <c r="AC104" s="21"/>
      <c r="AD104" s="21"/>
      <c r="AE104" s="21"/>
    </row>
    <row r="105" spans="1:31">
      <c r="A105" s="111" t="s">
        <v>871</v>
      </c>
      <c r="B105" s="110">
        <f>B90/B102</f>
        <v>0.61413514591961693</v>
      </c>
      <c r="C105" s="110">
        <f t="shared" ref="C105:W105" si="24">C90/C102</f>
        <v>0.58096088512490673</v>
      </c>
      <c r="D105" s="110">
        <f t="shared" si="24"/>
        <v>0.59964432028454373</v>
      </c>
      <c r="E105" s="110">
        <f t="shared" si="24"/>
        <v>0.59773679984086869</v>
      </c>
      <c r="F105" s="110">
        <f t="shared" si="24"/>
        <v>0.61506273126734501</v>
      </c>
      <c r="G105" s="110">
        <f t="shared" si="24"/>
        <v>0.58315654411711104</v>
      </c>
      <c r="H105" s="110">
        <f t="shared" si="24"/>
        <v>0.62889652369869598</v>
      </c>
      <c r="I105" s="110">
        <f t="shared" si="24"/>
        <v>0.72822184290296943</v>
      </c>
      <c r="J105" s="110">
        <f t="shared" si="24"/>
        <v>0.60466314000456156</v>
      </c>
      <c r="K105" s="110">
        <f t="shared" si="24"/>
        <v>0.73718052574181103</v>
      </c>
      <c r="L105" s="110">
        <f t="shared" si="24"/>
        <v>0.80028659485713405</v>
      </c>
      <c r="M105" s="110">
        <f t="shared" si="24"/>
        <v>0.72891287775576874</v>
      </c>
      <c r="N105" s="110">
        <f t="shared" si="24"/>
        <v>0.83804739911674475</v>
      </c>
      <c r="O105" s="110">
        <f t="shared" si="24"/>
        <v>0.73169156187710704</v>
      </c>
      <c r="P105" s="110">
        <f t="shared" si="24"/>
        <v>0.78491946704179816</v>
      </c>
      <c r="Q105" s="110">
        <f t="shared" si="24"/>
        <v>0.81625873792176451</v>
      </c>
      <c r="R105" s="110">
        <f t="shared" si="24"/>
        <v>0.86380011298283954</v>
      </c>
      <c r="S105" s="110">
        <f t="shared" si="24"/>
        <v>0.93730863778393914</v>
      </c>
      <c r="T105" s="110">
        <f t="shared" si="24"/>
        <v>0.96603046126784564</v>
      </c>
      <c r="U105" s="110">
        <f t="shared" si="24"/>
        <v>0.81379765848163388</v>
      </c>
      <c r="V105" s="110">
        <f t="shared" si="24"/>
        <v>0.94208133144495121</v>
      </c>
      <c r="W105" s="110">
        <f t="shared" si="24"/>
        <v>0.95463905673583804</v>
      </c>
      <c r="X105" s="110">
        <f>X90/X102</f>
        <v>0.89468699301318177</v>
      </c>
      <c r="Y105" s="110">
        <f>Y90/Y102</f>
        <v>0.48096432129560851</v>
      </c>
      <c r="Z105" s="110">
        <f>Z90/Z102</f>
        <v>0.47498742521256659</v>
      </c>
      <c r="AA105" s="68"/>
      <c r="AB105" s="76"/>
      <c r="AC105" s="76"/>
      <c r="AD105" s="76"/>
      <c r="AE105" s="76"/>
    </row>
    <row r="106" spans="1:31">
      <c r="A106" s="77" t="s">
        <v>872</v>
      </c>
      <c r="B106" s="78"/>
      <c r="C106" s="78"/>
      <c r="D106" s="79">
        <f>D105/C105-1</f>
        <v>3.2159540578398982E-2</v>
      </c>
      <c r="E106" s="79">
        <f t="shared" ref="E106:P106" si="25">E105/D105-1</f>
        <v>-3.1810864860186694E-3</v>
      </c>
      <c r="F106" s="79">
        <f t="shared" si="25"/>
        <v>2.8985887151483425E-2</v>
      </c>
      <c r="G106" s="79">
        <f t="shared" si="25"/>
        <v>-5.1874687781018447E-2</v>
      </c>
      <c r="H106" s="79">
        <f t="shared" si="25"/>
        <v>7.8435164696358584E-2</v>
      </c>
      <c r="I106" s="79">
        <f t="shared" si="25"/>
        <v>0.15793586935433623</v>
      </c>
      <c r="J106" s="79">
        <f t="shared" si="25"/>
        <v>-0.16967178903320979</v>
      </c>
      <c r="K106" s="79">
        <f t="shared" si="25"/>
        <v>0.21915902751447658</v>
      </c>
      <c r="L106" s="79">
        <f t="shared" si="25"/>
        <v>8.5604634023423998E-2</v>
      </c>
      <c r="M106" s="79">
        <f t="shared" si="25"/>
        <v>-8.9185196353447349E-2</v>
      </c>
      <c r="N106" s="79">
        <f t="shared" si="25"/>
        <v>0.14972231207793651</v>
      </c>
      <c r="O106" s="79">
        <f t="shared" si="25"/>
        <v>-0.12690909529906169</v>
      </c>
      <c r="P106" s="79">
        <f t="shared" si="25"/>
        <v>7.2746370107287239E-2</v>
      </c>
      <c r="Q106" s="79">
        <f t="shared" ref="Q106:W106" si="26">Q105/P105-1</f>
        <v>3.9926734137551323E-2</v>
      </c>
      <c r="R106" s="79">
        <f t="shared" si="26"/>
        <v>5.8243021302433862E-2</v>
      </c>
      <c r="S106" s="79">
        <f t="shared" si="26"/>
        <v>8.5098998826549144E-2</v>
      </c>
      <c r="T106" s="79">
        <f t="shared" si="26"/>
        <v>3.0642866528802104E-2</v>
      </c>
      <c r="U106" s="79">
        <f t="shared" si="26"/>
        <v>-0.1575859239328925</v>
      </c>
      <c r="V106" s="79">
        <f t="shared" si="26"/>
        <v>0.15763583444398965</v>
      </c>
      <c r="W106" s="79">
        <f t="shared" si="26"/>
        <v>1.3329767687494609E-2</v>
      </c>
      <c r="X106" s="79">
        <f>X105/W105-1</f>
        <v>-6.2800765692164418E-2</v>
      </c>
      <c r="Y106" s="79">
        <f>Y105/X105-1</f>
        <v>-0.46242169043300008</v>
      </c>
      <c r="Z106" s="79">
        <f>Z105/Y105-1</f>
        <v>-1.2426901161694315E-2</v>
      </c>
      <c r="AA106" s="68"/>
      <c r="AB106" s="78"/>
      <c r="AC106" s="78"/>
      <c r="AD106" s="78"/>
      <c r="AE106" s="78"/>
    </row>
    <row r="107" spans="1:31">
      <c r="A107" s="33"/>
      <c r="B107" s="21"/>
      <c r="C107" s="21"/>
      <c r="D107" s="44"/>
      <c r="E107" s="44"/>
      <c r="F107" s="44"/>
      <c r="G107" s="44"/>
      <c r="H107" s="44"/>
      <c r="I107" s="44"/>
      <c r="J107" s="44"/>
      <c r="K107" s="44"/>
      <c r="L107" s="44"/>
      <c r="M107" s="21"/>
      <c r="N107" s="21"/>
      <c r="O107" s="21"/>
      <c r="P107" s="21"/>
      <c r="Q107" s="21"/>
      <c r="R107" s="21"/>
      <c r="S107" s="21"/>
      <c r="T107" s="21"/>
      <c r="U107" s="44"/>
      <c r="V107" s="21"/>
      <c r="W107" s="21"/>
      <c r="X107" s="21"/>
      <c r="Y107" s="21"/>
      <c r="Z107" s="21"/>
      <c r="AA107" s="68"/>
      <c r="AB107" s="21"/>
      <c r="AC107" s="21"/>
      <c r="AD107" s="21"/>
      <c r="AE107" s="21"/>
    </row>
    <row r="108" spans="1:31">
      <c r="V108" s="80"/>
      <c r="W108" s="80"/>
      <c r="X108" s="80"/>
      <c r="Y108" s="80"/>
      <c r="Z108" s="80"/>
      <c r="AA108" s="327"/>
      <c r="AB108" s="80"/>
      <c r="AC108" s="80"/>
      <c r="AD108" s="80"/>
      <c r="AE108" s="80"/>
    </row>
    <row r="109" spans="1:31" ht="13.5">
      <c r="A109" s="87" t="s">
        <v>873</v>
      </c>
      <c r="V109" s="21"/>
      <c r="W109" s="21"/>
      <c r="X109" s="21"/>
      <c r="Y109" s="21"/>
      <c r="Z109" s="21"/>
      <c r="AA109" s="326"/>
      <c r="AB109" s="21"/>
      <c r="AC109" s="21"/>
      <c r="AD109" s="21"/>
      <c r="AE109" s="21"/>
    </row>
    <row r="110" spans="1:31">
      <c r="A110" s="35" t="s">
        <v>1142</v>
      </c>
      <c r="B110" s="38">
        <v>7931.22</v>
      </c>
      <c r="C110" s="38">
        <v>8198.6375000000007</v>
      </c>
      <c r="D110" s="38">
        <v>7938.7950000000001</v>
      </c>
      <c r="E110" s="38">
        <v>7755.8875000000007</v>
      </c>
      <c r="F110" s="38">
        <v>7666.13</v>
      </c>
      <c r="G110" s="38">
        <v>7930.98</v>
      </c>
      <c r="H110" s="38">
        <v>7817.94</v>
      </c>
      <c r="I110" s="38">
        <v>7809</v>
      </c>
      <c r="J110" s="38">
        <v>7843.8</v>
      </c>
      <c r="K110" s="38">
        <v>7649.625</v>
      </c>
      <c r="L110" s="38">
        <v>7215.0625</v>
      </c>
      <c r="M110" s="38">
        <v>7201.3125</v>
      </c>
      <c r="N110" s="38">
        <v>7101.8125</v>
      </c>
      <c r="O110" s="38">
        <v>7217.0150000000003</v>
      </c>
      <c r="P110" s="38">
        <v>7046.3249999999998</v>
      </c>
      <c r="Q110" s="38">
        <v>7084.74</v>
      </c>
      <c r="R110" s="38">
        <v>7085.52</v>
      </c>
      <c r="S110" s="38">
        <v>7164.585</v>
      </c>
      <c r="T110" s="38">
        <v>6995.97</v>
      </c>
      <c r="U110" s="38">
        <v>70281.399999999994</v>
      </c>
      <c r="V110" s="38">
        <v>69218.100000000006</v>
      </c>
      <c r="W110" s="38">
        <v>69388.2</v>
      </c>
      <c r="X110" s="56">
        <v>70164.011391082793</v>
      </c>
      <c r="Y110" s="56">
        <v>70164.011391082793</v>
      </c>
      <c r="Z110" s="56">
        <v>69615</v>
      </c>
      <c r="AA110" s="326"/>
      <c r="AB110" s="21"/>
      <c r="AC110" s="21"/>
      <c r="AD110" s="21"/>
      <c r="AE110" s="21"/>
    </row>
    <row r="111" spans="1:31" ht="13.5">
      <c r="A111" s="87" t="s">
        <v>875</v>
      </c>
      <c r="B111" s="21"/>
      <c r="C111" s="21"/>
      <c r="D111" s="44"/>
      <c r="E111" s="44"/>
      <c r="F111" s="21"/>
      <c r="G111" s="21"/>
      <c r="H111" s="21"/>
      <c r="I111" s="21"/>
      <c r="J111" s="21"/>
      <c r="K111" s="21"/>
      <c r="L111" s="21"/>
      <c r="M111" s="44"/>
      <c r="N111" s="44"/>
      <c r="O111" s="44"/>
      <c r="P111" s="44"/>
      <c r="Q111" s="44"/>
      <c r="R111" s="44"/>
      <c r="S111" s="44"/>
      <c r="T111" s="44"/>
      <c r="U111" s="44"/>
      <c r="V111" s="21"/>
      <c r="W111" s="21"/>
      <c r="X111" s="50"/>
      <c r="Y111" s="50"/>
      <c r="Z111" s="50"/>
      <c r="AA111" s="326"/>
      <c r="AB111" s="21"/>
      <c r="AC111" s="21"/>
      <c r="AD111" s="21"/>
      <c r="AE111" s="21"/>
    </row>
    <row r="112" spans="1:31">
      <c r="A112" s="35" t="s">
        <v>1142</v>
      </c>
      <c r="B112" s="46"/>
      <c r="C112" s="46"/>
      <c r="D112" s="46"/>
      <c r="E112" s="46"/>
      <c r="F112" s="46"/>
      <c r="G112" s="46"/>
      <c r="H112" s="46"/>
      <c r="I112" s="46"/>
      <c r="J112" s="46"/>
      <c r="K112" s="46"/>
      <c r="L112" s="22">
        <v>0</v>
      </c>
      <c r="M112" s="22">
        <v>75000</v>
      </c>
      <c r="N112" s="22">
        <v>75000</v>
      </c>
      <c r="O112" s="22">
        <v>93875</v>
      </c>
      <c r="P112" s="22">
        <v>94875</v>
      </c>
      <c r="Q112" s="22">
        <v>95500</v>
      </c>
      <c r="R112" s="22">
        <v>95625</v>
      </c>
      <c r="S112" s="22">
        <v>107000</v>
      </c>
      <c r="T112" s="22">
        <v>100925</v>
      </c>
      <c r="U112" s="22">
        <v>98037.5</v>
      </c>
      <c r="V112" s="22">
        <v>98000</v>
      </c>
      <c r="W112" s="22">
        <v>100000</v>
      </c>
      <c r="X112" s="298">
        <v>99421</v>
      </c>
      <c r="Y112" s="298">
        <v>99421.268058498506</v>
      </c>
      <c r="Z112" s="298">
        <v>99421.268058498506</v>
      </c>
      <c r="AA112" s="326"/>
      <c r="AB112" s="21"/>
      <c r="AC112" s="21"/>
      <c r="AD112" s="21"/>
      <c r="AE112" s="21"/>
    </row>
    <row r="113" spans="1:31" ht="13.5" thickBot="1">
      <c r="A113" t="s">
        <v>1143</v>
      </c>
      <c r="B113" s="40">
        <f>B112+B110</f>
        <v>7931.22</v>
      </c>
      <c r="C113" s="40">
        <f t="shared" ref="C113:U113" si="27">C112+C110</f>
        <v>8198.6375000000007</v>
      </c>
      <c r="D113" s="40">
        <f t="shared" si="27"/>
        <v>7938.7950000000001</v>
      </c>
      <c r="E113" s="40">
        <f t="shared" si="27"/>
        <v>7755.8875000000007</v>
      </c>
      <c r="F113" s="40">
        <f t="shared" si="27"/>
        <v>7666.13</v>
      </c>
      <c r="G113" s="40">
        <f t="shared" si="27"/>
        <v>7930.98</v>
      </c>
      <c r="H113" s="40">
        <f t="shared" si="27"/>
        <v>7817.94</v>
      </c>
      <c r="I113" s="40">
        <f t="shared" si="27"/>
        <v>7809</v>
      </c>
      <c r="J113" s="40">
        <f t="shared" si="27"/>
        <v>7843.8</v>
      </c>
      <c r="K113" s="40">
        <f t="shared" si="27"/>
        <v>7649.625</v>
      </c>
      <c r="L113" s="40">
        <f t="shared" si="27"/>
        <v>7215.0625</v>
      </c>
      <c r="M113" s="40">
        <f t="shared" si="27"/>
        <v>82201.3125</v>
      </c>
      <c r="N113" s="40">
        <f t="shared" si="27"/>
        <v>82101.8125</v>
      </c>
      <c r="O113" s="40">
        <f t="shared" si="27"/>
        <v>101092.015</v>
      </c>
      <c r="P113" s="40">
        <f t="shared" si="27"/>
        <v>101921.325</v>
      </c>
      <c r="Q113" s="40">
        <f t="shared" si="27"/>
        <v>102584.74</v>
      </c>
      <c r="R113" s="40">
        <f t="shared" si="27"/>
        <v>102710.52</v>
      </c>
      <c r="S113" s="40">
        <f t="shared" si="27"/>
        <v>114164.58500000001</v>
      </c>
      <c r="T113" s="40">
        <f t="shared" si="27"/>
        <v>107920.97</v>
      </c>
      <c r="U113" s="40">
        <f t="shared" si="27"/>
        <v>168318.9</v>
      </c>
      <c r="V113" s="40">
        <f>V112+V110</f>
        <v>167218.1</v>
      </c>
      <c r="W113" s="40">
        <f>W112+W110</f>
        <v>169388.2</v>
      </c>
      <c r="X113" s="40">
        <f>X112+X110</f>
        <v>169585.01139108278</v>
      </c>
      <c r="Y113" s="40">
        <f>Y112+Y110</f>
        <v>169585.27944958129</v>
      </c>
      <c r="Z113" s="40">
        <f>Z112+Z110</f>
        <v>169036.26805849851</v>
      </c>
      <c r="AA113" s="326"/>
      <c r="AB113" s="21"/>
      <c r="AC113" s="21"/>
      <c r="AD113" s="21"/>
      <c r="AE113" s="21"/>
    </row>
    <row r="114" spans="1:31" ht="13.5" thickBot="1">
      <c r="B114" s="21"/>
      <c r="C114" s="21"/>
      <c r="D114" s="44"/>
      <c r="E114" s="44"/>
      <c r="F114" s="21"/>
      <c r="G114" s="21"/>
      <c r="H114" s="21"/>
      <c r="I114" s="21"/>
      <c r="J114" s="21"/>
      <c r="K114" s="21"/>
      <c r="L114" s="21"/>
      <c r="M114" s="21"/>
      <c r="N114" s="21"/>
      <c r="O114" s="21"/>
      <c r="P114" s="21"/>
      <c r="Q114" s="21"/>
      <c r="R114" s="21"/>
      <c r="S114" s="21"/>
      <c r="T114" s="21"/>
      <c r="U114" s="21"/>
      <c r="V114" s="21"/>
      <c r="W114" s="21"/>
      <c r="X114" s="21"/>
      <c r="Y114" s="21"/>
      <c r="Z114" s="21"/>
      <c r="AA114" s="328"/>
      <c r="AB114" s="278"/>
      <c r="AC114" s="280"/>
      <c r="AD114" s="34"/>
      <c r="AE114" s="34"/>
    </row>
    <row r="115" spans="1:31" ht="13.5" thickBot="1">
      <c r="A115" s="4" t="s">
        <v>467</v>
      </c>
      <c r="B115" s="21"/>
      <c r="C115" s="21"/>
      <c r="D115" s="44"/>
      <c r="E115" s="44"/>
      <c r="F115" s="21"/>
      <c r="G115" s="21"/>
      <c r="H115" s="21"/>
      <c r="I115" s="21"/>
      <c r="J115" s="21"/>
      <c r="K115" s="21"/>
      <c r="L115" s="21"/>
      <c r="M115" s="21"/>
      <c r="N115" s="21"/>
      <c r="O115" s="21"/>
      <c r="P115" s="21"/>
      <c r="Q115" s="21"/>
      <c r="R115" s="21"/>
      <c r="S115" s="21"/>
      <c r="T115" s="21"/>
      <c r="U115" s="21"/>
      <c r="V115" s="21"/>
      <c r="W115" s="21"/>
      <c r="X115" s="21"/>
      <c r="Y115" s="21"/>
      <c r="Z115" s="21"/>
      <c r="AA115" s="326"/>
      <c r="AB115" s="21"/>
      <c r="AC115" s="280"/>
      <c r="AD115" s="21"/>
      <c r="AE115" s="21"/>
    </row>
    <row r="116" spans="1:31">
      <c r="A116" t="s">
        <v>465</v>
      </c>
      <c r="B116" s="38">
        <v>144364.16800000001</v>
      </c>
      <c r="C116" s="38">
        <v>139493.77100000001</v>
      </c>
      <c r="D116" s="38">
        <v>134993.424</v>
      </c>
      <c r="E116" s="38">
        <v>134571.04300000001</v>
      </c>
      <c r="F116" s="38">
        <v>132373.91200000001</v>
      </c>
      <c r="G116" s="38">
        <v>131272.29399999999</v>
      </c>
      <c r="H116" s="38">
        <v>129906.944</v>
      </c>
      <c r="I116" s="38">
        <v>130976.90399999999</v>
      </c>
      <c r="J116" s="38">
        <v>130426.26763636363</v>
      </c>
      <c r="K116" s="38">
        <v>115984.439</v>
      </c>
      <c r="L116" s="38">
        <v>116300.908</v>
      </c>
      <c r="M116" s="38">
        <v>115221</v>
      </c>
      <c r="N116" s="38">
        <v>113254</v>
      </c>
      <c r="O116" s="38">
        <v>110311</v>
      </c>
      <c r="P116" s="38">
        <v>108201</v>
      </c>
      <c r="Q116" s="38">
        <v>111178.96</v>
      </c>
      <c r="R116" s="38">
        <v>108491.736</v>
      </c>
      <c r="S116" s="38">
        <v>106259.145</v>
      </c>
      <c r="T116" s="38">
        <v>103644</v>
      </c>
      <c r="U116" s="38">
        <v>100138</v>
      </c>
      <c r="V116" s="38">
        <v>100277.216</v>
      </c>
      <c r="W116" s="38">
        <v>100234.30198726115</v>
      </c>
      <c r="X116" s="38">
        <v>100234.30198726115</v>
      </c>
      <c r="Y116" s="38">
        <v>100234.30198726115</v>
      </c>
      <c r="Z116" s="38">
        <v>100234.30198726115</v>
      </c>
      <c r="AA116" s="326"/>
      <c r="AB116" s="21"/>
      <c r="AC116" s="281"/>
      <c r="AD116" s="21"/>
      <c r="AE116" s="21"/>
    </row>
    <row r="117" spans="1:31">
      <c r="A117" t="s">
        <v>466</v>
      </c>
      <c r="B117" s="21"/>
      <c r="C117" s="21"/>
      <c r="D117" s="44"/>
      <c r="E117" s="44"/>
      <c r="F117" s="21"/>
      <c r="G117" s="21"/>
      <c r="H117" s="21"/>
      <c r="I117" s="21"/>
      <c r="J117" s="21"/>
      <c r="K117" s="21"/>
      <c r="L117" s="22">
        <v>149100</v>
      </c>
      <c r="M117" s="22">
        <v>149400</v>
      </c>
      <c r="N117" s="22">
        <v>149400</v>
      </c>
      <c r="O117" s="22">
        <v>150400</v>
      </c>
      <c r="P117" s="22">
        <v>151632.5581395349</v>
      </c>
      <c r="Q117" s="22">
        <v>151795.34883720931</v>
      </c>
      <c r="R117" s="22">
        <v>152120.93023255814</v>
      </c>
      <c r="S117" s="22">
        <v>148907.26491698201</v>
      </c>
      <c r="T117" s="22">
        <v>140829.67371837169</v>
      </c>
      <c r="U117" s="22">
        <v>143829.67371837169</v>
      </c>
      <c r="V117" s="22">
        <v>143858.62565815166</v>
      </c>
      <c r="W117" s="22">
        <v>143887.57759793164</v>
      </c>
      <c r="X117" s="22">
        <v>143887.57759793164</v>
      </c>
      <c r="Y117" s="22">
        <v>143887.57759793164</v>
      </c>
      <c r="Z117" s="22">
        <v>143887.57759793164</v>
      </c>
      <c r="AA117" s="326"/>
      <c r="AB117" s="21"/>
      <c r="AC117" s="21"/>
      <c r="AD117" s="21"/>
      <c r="AE117" s="21"/>
    </row>
    <row r="118" spans="1:31">
      <c r="A118" t="s">
        <v>1143</v>
      </c>
      <c r="B118" s="21"/>
      <c r="C118" s="21"/>
      <c r="D118" s="44"/>
      <c r="E118" s="44"/>
      <c r="F118" s="21"/>
      <c r="G118" s="21"/>
      <c r="H118" s="21"/>
      <c r="I118" s="21"/>
      <c r="J118" s="21"/>
      <c r="K118" s="21"/>
      <c r="L118" s="38">
        <f>SUM(L116:L117)</f>
        <v>265400.908</v>
      </c>
      <c r="M118" s="38">
        <f t="shared" ref="M118:W118" si="28">SUM(M116:M117)</f>
        <v>264621</v>
      </c>
      <c r="N118" s="38">
        <f t="shared" si="28"/>
        <v>262654</v>
      </c>
      <c r="O118" s="38">
        <f t="shared" si="28"/>
        <v>260711</v>
      </c>
      <c r="P118" s="38">
        <f t="shared" si="28"/>
        <v>259833.5581395349</v>
      </c>
      <c r="Q118" s="38">
        <f t="shared" si="28"/>
        <v>262974.3088372093</v>
      </c>
      <c r="R118" s="38">
        <f t="shared" si="28"/>
        <v>260612.66623255814</v>
      </c>
      <c r="S118" s="38">
        <f t="shared" si="28"/>
        <v>255166.409916982</v>
      </c>
      <c r="T118" s="38">
        <f t="shared" si="28"/>
        <v>244473.67371837169</v>
      </c>
      <c r="U118" s="38">
        <f t="shared" si="28"/>
        <v>243967.67371837169</v>
      </c>
      <c r="V118" s="38">
        <f t="shared" si="28"/>
        <v>244135.84165815165</v>
      </c>
      <c r="W118" s="38">
        <f t="shared" si="28"/>
        <v>244121.87958519277</v>
      </c>
      <c r="X118" s="38">
        <f>SUM(X116:X117)</f>
        <v>244121.87958519277</v>
      </c>
      <c r="Y118" s="38">
        <f>SUM(Y116:Y117)</f>
        <v>244121.87958519277</v>
      </c>
      <c r="Z118" s="38">
        <f>SUM(Z116:Z117)</f>
        <v>244121.87958519277</v>
      </c>
      <c r="AA118" s="326"/>
      <c r="AB118" s="21"/>
      <c r="AC118" s="21"/>
      <c r="AD118" s="21"/>
      <c r="AE118" s="21"/>
    </row>
    <row r="119" spans="1:31">
      <c r="D119" s="59"/>
      <c r="E119" s="59"/>
    </row>
    <row r="120" spans="1:31">
      <c r="A120" t="s">
        <v>468</v>
      </c>
      <c r="D120" s="59"/>
      <c r="E120" s="59"/>
    </row>
    <row r="121" spans="1:31">
      <c r="D121" s="59"/>
      <c r="E121" s="59"/>
    </row>
    <row r="122" spans="1:31">
      <c r="A122" t="s">
        <v>465</v>
      </c>
      <c r="D122" s="59"/>
      <c r="E122" s="59"/>
    </row>
    <row r="123" spans="1:31">
      <c r="A123" s="291" t="s">
        <v>1021</v>
      </c>
      <c r="B123" s="287">
        <v>82442</v>
      </c>
      <c r="C123" s="287">
        <v>83279.217827725864</v>
      </c>
      <c r="D123" s="287">
        <v>83284</v>
      </c>
      <c r="E123" s="287">
        <v>86192</v>
      </c>
      <c r="F123" s="287">
        <v>84489</v>
      </c>
      <c r="G123" s="287">
        <v>79616</v>
      </c>
      <c r="H123" s="287">
        <v>85118</v>
      </c>
      <c r="I123" s="287">
        <v>91411</v>
      </c>
      <c r="J123" s="287">
        <v>78334</v>
      </c>
      <c r="K123" s="287">
        <v>69425</v>
      </c>
      <c r="L123" s="287">
        <v>152368</v>
      </c>
      <c r="M123" s="287">
        <v>76483</v>
      </c>
      <c r="N123" s="287">
        <v>72233</v>
      </c>
      <c r="O123" s="287">
        <v>77870</v>
      </c>
      <c r="P123" s="287">
        <v>78434</v>
      </c>
      <c r="Q123" s="287">
        <v>108137</v>
      </c>
      <c r="R123" s="287">
        <v>89822</v>
      </c>
      <c r="S123" s="287">
        <v>88760</v>
      </c>
      <c r="T123" s="287">
        <v>92167</v>
      </c>
      <c r="U123" s="287">
        <v>84733</v>
      </c>
      <c r="V123" s="287">
        <v>100072</v>
      </c>
      <c r="W123" s="287">
        <v>67154</v>
      </c>
      <c r="X123" s="297"/>
    </row>
    <row r="124" spans="1:31">
      <c r="A124" s="124" t="s">
        <v>1026</v>
      </c>
      <c r="B124" s="287">
        <v>0</v>
      </c>
      <c r="C124" s="287">
        <v>0</v>
      </c>
      <c r="D124" s="287">
        <v>0</v>
      </c>
      <c r="E124" s="287">
        <v>0</v>
      </c>
      <c r="F124" s="287">
        <v>0</v>
      </c>
      <c r="G124" s="287">
        <v>0</v>
      </c>
      <c r="H124" s="287">
        <v>0</v>
      </c>
      <c r="I124" s="287">
        <v>0</v>
      </c>
      <c r="J124" s="287">
        <v>0</v>
      </c>
      <c r="K124" s="287">
        <v>0</v>
      </c>
      <c r="L124" s="287">
        <v>0</v>
      </c>
      <c r="M124" s="287">
        <v>0</v>
      </c>
      <c r="N124" s="287">
        <v>0</v>
      </c>
      <c r="O124" s="287">
        <v>0</v>
      </c>
      <c r="P124" s="287">
        <v>0</v>
      </c>
      <c r="Q124" s="287">
        <v>0</v>
      </c>
      <c r="R124" s="287">
        <v>0</v>
      </c>
      <c r="S124" s="287">
        <v>0</v>
      </c>
      <c r="T124" s="287">
        <v>0</v>
      </c>
      <c r="U124" s="287">
        <v>0</v>
      </c>
      <c r="V124" s="287">
        <v>0</v>
      </c>
      <c r="W124" s="287">
        <v>0</v>
      </c>
      <c r="X124" s="297"/>
    </row>
    <row r="125" spans="1:31">
      <c r="A125" s="124" t="s">
        <v>1027</v>
      </c>
      <c r="B125" s="287">
        <v>0</v>
      </c>
      <c r="C125" s="287">
        <v>0</v>
      </c>
      <c r="D125" s="287">
        <v>0</v>
      </c>
      <c r="E125" s="287">
        <v>0</v>
      </c>
      <c r="F125" s="287">
        <v>0</v>
      </c>
      <c r="G125" s="287">
        <v>0</v>
      </c>
      <c r="H125" s="287">
        <v>0</v>
      </c>
      <c r="I125" s="287">
        <v>0</v>
      </c>
      <c r="J125" s="287">
        <v>0</v>
      </c>
      <c r="K125" s="287">
        <v>0</v>
      </c>
      <c r="L125" s="287">
        <v>0</v>
      </c>
      <c r="M125" s="287">
        <v>0</v>
      </c>
      <c r="N125" s="287">
        <v>0</v>
      </c>
      <c r="O125" s="287">
        <v>0</v>
      </c>
      <c r="P125" s="287">
        <v>0</v>
      </c>
      <c r="Q125" s="287">
        <v>0</v>
      </c>
      <c r="R125" s="287">
        <v>0</v>
      </c>
      <c r="S125" s="287">
        <v>0</v>
      </c>
      <c r="T125" s="287">
        <v>0</v>
      </c>
      <c r="U125" s="287">
        <v>0</v>
      </c>
      <c r="V125" s="287">
        <v>-19734</v>
      </c>
      <c r="W125" s="287">
        <v>0</v>
      </c>
      <c r="X125" s="297"/>
    </row>
    <row r="126" spans="1:31">
      <c r="A126" s="124" t="s">
        <v>1028</v>
      </c>
      <c r="B126" s="287">
        <v>6825</v>
      </c>
      <c r="C126" s="287">
        <v>0</v>
      </c>
      <c r="D126" s="287">
        <v>0</v>
      </c>
      <c r="E126" s="287">
        <v>0</v>
      </c>
      <c r="F126" s="287">
        <v>0</v>
      </c>
      <c r="G126" s="287">
        <v>0</v>
      </c>
      <c r="H126" s="287">
        <v>0</v>
      </c>
      <c r="I126" s="287">
        <v>-4716</v>
      </c>
      <c r="J126" s="287">
        <v>0</v>
      </c>
      <c r="K126" s="287">
        <v>0</v>
      </c>
      <c r="L126" s="287">
        <v>-78806</v>
      </c>
      <c r="M126" s="287">
        <v>0</v>
      </c>
      <c r="N126" s="287">
        <v>0</v>
      </c>
      <c r="O126" s="287">
        <v>0</v>
      </c>
      <c r="P126" s="287">
        <v>0</v>
      </c>
      <c r="Q126" s="287">
        <v>0</v>
      </c>
      <c r="R126" s="287">
        <v>0</v>
      </c>
      <c r="S126" s="287">
        <v>0</v>
      </c>
      <c r="T126" s="287">
        <v>0</v>
      </c>
      <c r="U126" s="287">
        <v>0</v>
      </c>
      <c r="V126" s="287">
        <v>0</v>
      </c>
      <c r="W126" s="287">
        <v>0</v>
      </c>
      <c r="X126" s="297"/>
    </row>
    <row r="127" spans="1:31">
      <c r="A127" s="124" t="s">
        <v>1029</v>
      </c>
      <c r="B127" s="287">
        <v>0</v>
      </c>
      <c r="C127" s="287">
        <v>0</v>
      </c>
      <c r="D127" s="287">
        <v>0</v>
      </c>
      <c r="E127" s="287">
        <v>-4652.4399999999996</v>
      </c>
      <c r="F127" s="287">
        <v>0</v>
      </c>
      <c r="G127" s="287">
        <v>0</v>
      </c>
      <c r="H127" s="287">
        <v>0</v>
      </c>
      <c r="I127" s="287">
        <v>0</v>
      </c>
      <c r="J127" s="287">
        <v>0</v>
      </c>
      <c r="K127" s="287">
        <v>0</v>
      </c>
      <c r="L127" s="287">
        <v>0</v>
      </c>
      <c r="M127" s="287">
        <v>0</v>
      </c>
      <c r="N127" s="287">
        <v>0</v>
      </c>
      <c r="O127" s="287">
        <v>0</v>
      </c>
      <c r="P127" s="287">
        <v>0</v>
      </c>
      <c r="Q127" s="287">
        <v>0</v>
      </c>
      <c r="R127" s="287">
        <v>0</v>
      </c>
      <c r="S127" s="287">
        <v>0</v>
      </c>
      <c r="T127" s="287">
        <v>0</v>
      </c>
      <c r="U127" s="287">
        <v>0</v>
      </c>
      <c r="V127" s="287">
        <v>0</v>
      </c>
      <c r="W127" s="287">
        <v>0</v>
      </c>
      <c r="X127" s="297"/>
    </row>
    <row r="128" spans="1:31">
      <c r="A128" s="124" t="s">
        <v>1030</v>
      </c>
      <c r="B128" s="287">
        <v>0</v>
      </c>
      <c r="C128" s="287">
        <v>0</v>
      </c>
      <c r="D128" s="287">
        <v>0</v>
      </c>
      <c r="E128" s="287">
        <v>-404.56</v>
      </c>
      <c r="F128" s="287">
        <v>616</v>
      </c>
      <c r="G128" s="287">
        <v>0</v>
      </c>
      <c r="H128" s="287">
        <v>0</v>
      </c>
      <c r="I128" s="287">
        <v>5853</v>
      </c>
      <c r="J128" s="287">
        <v>3850</v>
      </c>
      <c r="K128" s="287">
        <v>0</v>
      </c>
      <c r="L128" s="287">
        <v>0</v>
      </c>
      <c r="M128" s="287">
        <v>0</v>
      </c>
      <c r="N128" s="287">
        <v>7216</v>
      </c>
      <c r="O128" s="287">
        <v>0</v>
      </c>
      <c r="P128" s="287">
        <v>0</v>
      </c>
      <c r="Q128" s="287">
        <v>0</v>
      </c>
      <c r="R128" s="287">
        <v>0</v>
      </c>
      <c r="S128" s="287">
        <v>0</v>
      </c>
      <c r="T128" s="287">
        <v>0</v>
      </c>
      <c r="U128" s="287">
        <v>0</v>
      </c>
      <c r="V128" s="287">
        <v>0</v>
      </c>
      <c r="W128" s="287">
        <v>0</v>
      </c>
      <c r="X128" s="297"/>
    </row>
    <row r="129" spans="1:24">
      <c r="A129" s="124" t="s">
        <v>1031</v>
      </c>
      <c r="B129" s="287">
        <v>0</v>
      </c>
      <c r="C129" s="287">
        <v>0</v>
      </c>
      <c r="D129" s="287">
        <v>0</v>
      </c>
      <c r="E129" s="287">
        <v>0</v>
      </c>
      <c r="F129" s="287">
        <v>0</v>
      </c>
      <c r="G129" s="287">
        <v>375</v>
      </c>
      <c r="H129" s="287">
        <v>0</v>
      </c>
      <c r="I129" s="287">
        <v>0</v>
      </c>
      <c r="J129" s="287">
        <v>0</v>
      </c>
      <c r="K129" s="287">
        <v>0</v>
      </c>
      <c r="L129" s="287">
        <v>0</v>
      </c>
      <c r="M129" s="287">
        <v>0</v>
      </c>
      <c r="N129" s="287">
        <v>0</v>
      </c>
      <c r="O129" s="287">
        <v>0</v>
      </c>
      <c r="P129" s="287">
        <v>0</v>
      </c>
      <c r="Q129" s="287">
        <v>0</v>
      </c>
      <c r="R129" s="287">
        <v>0</v>
      </c>
      <c r="S129" s="287">
        <v>0</v>
      </c>
      <c r="T129" s="287">
        <v>0</v>
      </c>
      <c r="U129" s="287">
        <v>0</v>
      </c>
      <c r="V129" s="287">
        <v>0</v>
      </c>
      <c r="W129" s="287">
        <v>0</v>
      </c>
      <c r="X129" s="297"/>
    </row>
    <row r="130" spans="1:24">
      <c r="A130" s="124" t="s">
        <v>1032</v>
      </c>
      <c r="B130" s="287">
        <v>0</v>
      </c>
      <c r="C130" s="287">
        <v>0</v>
      </c>
      <c r="D130" s="287">
        <v>0</v>
      </c>
      <c r="E130" s="287">
        <v>0</v>
      </c>
      <c r="F130" s="287">
        <v>0</v>
      </c>
      <c r="G130" s="287">
        <v>0</v>
      </c>
      <c r="H130" s="287">
        <v>0</v>
      </c>
      <c r="I130" s="287">
        <v>6429</v>
      </c>
      <c r="J130" s="287">
        <v>0</v>
      </c>
      <c r="K130" s="287">
        <v>2996</v>
      </c>
      <c r="L130" s="287">
        <v>0</v>
      </c>
      <c r="M130" s="287">
        <v>1604</v>
      </c>
      <c r="N130" s="287">
        <v>0</v>
      </c>
      <c r="O130" s="287">
        <v>0</v>
      </c>
      <c r="P130" s="287">
        <v>0</v>
      </c>
      <c r="Q130" s="287">
        <v>0</v>
      </c>
      <c r="R130" s="287">
        <v>0</v>
      </c>
      <c r="S130" s="287">
        <v>0</v>
      </c>
      <c r="T130" s="287">
        <v>0</v>
      </c>
      <c r="U130" s="287">
        <v>0</v>
      </c>
      <c r="V130" s="287">
        <v>6706</v>
      </c>
      <c r="W130" s="287">
        <v>14744</v>
      </c>
      <c r="X130" s="297"/>
    </row>
    <row r="131" spans="1:24">
      <c r="A131" s="124" t="s">
        <v>1033</v>
      </c>
      <c r="B131" s="287">
        <v>0</v>
      </c>
      <c r="C131" s="287">
        <v>0</v>
      </c>
      <c r="D131" s="287">
        <v>0</v>
      </c>
      <c r="E131" s="287">
        <v>0</v>
      </c>
      <c r="F131" s="287">
        <v>0</v>
      </c>
      <c r="G131" s="287">
        <v>0</v>
      </c>
      <c r="H131" s="287">
        <v>0</v>
      </c>
      <c r="I131" s="287">
        <v>0</v>
      </c>
      <c r="J131" s="287">
        <v>0</v>
      </c>
      <c r="K131" s="287">
        <v>0</v>
      </c>
      <c r="L131" s="287">
        <v>0</v>
      </c>
      <c r="M131" s="287">
        <v>0</v>
      </c>
      <c r="N131" s="287">
        <v>0</v>
      </c>
      <c r="O131" s="287">
        <v>0</v>
      </c>
      <c r="P131" s="287">
        <v>0</v>
      </c>
      <c r="Q131" s="287">
        <v>0</v>
      </c>
      <c r="R131" s="287">
        <v>0</v>
      </c>
      <c r="S131" s="287">
        <v>-2589</v>
      </c>
      <c r="T131" s="287">
        <v>-1005</v>
      </c>
      <c r="U131" s="287">
        <v>-2003</v>
      </c>
      <c r="V131" s="287">
        <v>0</v>
      </c>
      <c r="W131" s="287">
        <v>0</v>
      </c>
      <c r="X131" s="297"/>
    </row>
    <row r="132" spans="1:24">
      <c r="A132" s="130" t="s">
        <v>1034</v>
      </c>
      <c r="B132" s="287">
        <v>6825</v>
      </c>
      <c r="C132" s="287">
        <v>0</v>
      </c>
      <c r="D132" s="287">
        <v>0</v>
      </c>
      <c r="E132" s="287">
        <v>-5057</v>
      </c>
      <c r="F132" s="287">
        <v>616</v>
      </c>
      <c r="G132" s="287">
        <v>375</v>
      </c>
      <c r="H132" s="287">
        <v>0</v>
      </c>
      <c r="I132" s="287">
        <v>7566</v>
      </c>
      <c r="J132" s="287">
        <v>3850</v>
      </c>
      <c r="K132" s="287">
        <v>2996</v>
      </c>
      <c r="L132" s="287">
        <v>-78806</v>
      </c>
      <c r="M132" s="287">
        <v>1604</v>
      </c>
      <c r="N132" s="287">
        <v>7216</v>
      </c>
      <c r="O132" s="287">
        <v>0</v>
      </c>
      <c r="P132" s="287">
        <v>0</v>
      </c>
      <c r="Q132" s="287">
        <v>0</v>
      </c>
      <c r="R132" s="287">
        <v>0</v>
      </c>
      <c r="S132" s="287">
        <v>-2589</v>
      </c>
      <c r="T132" s="287">
        <v>-1005</v>
      </c>
      <c r="U132" s="287">
        <v>-2003</v>
      </c>
      <c r="V132" s="287">
        <v>-13028</v>
      </c>
      <c r="W132" s="287">
        <v>14744</v>
      </c>
      <c r="X132" s="297"/>
    </row>
    <row r="133" spans="1:24">
      <c r="A133" s="3"/>
      <c r="B133" s="287">
        <v>0</v>
      </c>
      <c r="C133" s="287">
        <v>0</v>
      </c>
      <c r="D133" s="287">
        <v>0</v>
      </c>
      <c r="E133" s="287">
        <v>0</v>
      </c>
      <c r="F133" s="287">
        <v>0</v>
      </c>
      <c r="G133" s="287">
        <v>0</v>
      </c>
      <c r="H133" s="287">
        <v>0</v>
      </c>
      <c r="I133" s="287">
        <v>0</v>
      </c>
      <c r="J133" s="287">
        <v>0</v>
      </c>
      <c r="K133" s="287">
        <v>0</v>
      </c>
      <c r="L133" s="287">
        <v>0</v>
      </c>
      <c r="M133" s="287">
        <v>0</v>
      </c>
      <c r="N133" s="287">
        <v>0</v>
      </c>
      <c r="O133" s="287">
        <v>0</v>
      </c>
      <c r="P133" s="287">
        <v>0</v>
      </c>
      <c r="Q133" s="287">
        <v>0</v>
      </c>
      <c r="R133" s="287">
        <v>0</v>
      </c>
      <c r="S133" s="287">
        <v>0</v>
      </c>
      <c r="T133" s="287">
        <v>0</v>
      </c>
      <c r="U133" s="287">
        <v>0</v>
      </c>
      <c r="V133" s="287">
        <v>0</v>
      </c>
      <c r="W133" s="287">
        <v>0</v>
      </c>
      <c r="X133" s="297"/>
    </row>
    <row r="134" spans="1:24">
      <c r="A134" s="290" t="s">
        <v>1035</v>
      </c>
      <c r="B134" s="287">
        <f>SUM(B132+B123)</f>
        <v>89267</v>
      </c>
      <c r="C134" s="287">
        <f t="shared" ref="C134:W134" si="29">SUM(C132+C123)</f>
        <v>83279.217827725864</v>
      </c>
      <c r="D134" s="287">
        <f t="shared" si="29"/>
        <v>83284</v>
      </c>
      <c r="E134" s="287">
        <f t="shared" si="29"/>
        <v>81135</v>
      </c>
      <c r="F134" s="287">
        <f t="shared" si="29"/>
        <v>85105</v>
      </c>
      <c r="G134" s="287">
        <f t="shared" si="29"/>
        <v>79991</v>
      </c>
      <c r="H134" s="287">
        <f t="shared" si="29"/>
        <v>85118</v>
      </c>
      <c r="I134" s="287">
        <f t="shared" si="29"/>
        <v>98977</v>
      </c>
      <c r="J134" s="287">
        <f t="shared" si="29"/>
        <v>82184</v>
      </c>
      <c r="K134" s="287">
        <f t="shared" si="29"/>
        <v>72421</v>
      </c>
      <c r="L134" s="287">
        <f t="shared" si="29"/>
        <v>73562</v>
      </c>
      <c r="M134" s="287">
        <f t="shared" si="29"/>
        <v>78087</v>
      </c>
      <c r="N134" s="287">
        <f t="shared" si="29"/>
        <v>79449</v>
      </c>
      <c r="O134" s="287">
        <f t="shared" si="29"/>
        <v>77870</v>
      </c>
      <c r="P134" s="287">
        <f t="shared" si="29"/>
        <v>78434</v>
      </c>
      <c r="Q134" s="287">
        <f t="shared" si="29"/>
        <v>108137</v>
      </c>
      <c r="R134" s="287">
        <f t="shared" si="29"/>
        <v>89822</v>
      </c>
      <c r="S134" s="287">
        <f t="shared" si="29"/>
        <v>86171</v>
      </c>
      <c r="T134" s="287">
        <f t="shared" si="29"/>
        <v>91162</v>
      </c>
      <c r="U134" s="287">
        <f t="shared" si="29"/>
        <v>82730</v>
      </c>
      <c r="V134" s="287">
        <f t="shared" si="29"/>
        <v>87044</v>
      </c>
      <c r="W134" s="287">
        <f t="shared" si="29"/>
        <v>81898</v>
      </c>
      <c r="X134" s="297"/>
    </row>
    <row r="135" spans="1:24">
      <c r="A135" s="151" t="s">
        <v>795</v>
      </c>
      <c r="B135" s="287">
        <v>0</v>
      </c>
      <c r="C135" s="287">
        <v>0.21782772586448118</v>
      </c>
      <c r="D135" s="287">
        <v>0</v>
      </c>
      <c r="E135" s="287">
        <v>0</v>
      </c>
      <c r="F135" s="287">
        <v>0</v>
      </c>
      <c r="G135" s="287">
        <v>0</v>
      </c>
      <c r="H135" s="287">
        <v>0</v>
      </c>
      <c r="I135" s="287">
        <v>0</v>
      </c>
      <c r="J135" s="287">
        <v>0</v>
      </c>
      <c r="K135" s="287">
        <v>0</v>
      </c>
      <c r="L135" s="287">
        <v>0</v>
      </c>
      <c r="M135" s="287">
        <v>0</v>
      </c>
      <c r="N135" s="287">
        <v>0</v>
      </c>
      <c r="O135" s="287">
        <v>0</v>
      </c>
      <c r="P135" s="287">
        <v>0</v>
      </c>
      <c r="Q135" s="287">
        <v>0</v>
      </c>
      <c r="R135" s="287">
        <v>0</v>
      </c>
      <c r="S135" s="287">
        <v>0</v>
      </c>
      <c r="T135" s="287">
        <v>0</v>
      </c>
      <c r="U135" s="287">
        <v>0.19999999999708962</v>
      </c>
      <c r="V135" s="287">
        <v>0</v>
      </c>
      <c r="W135" s="287">
        <v>0</v>
      </c>
      <c r="X135" s="297"/>
    </row>
    <row r="136" spans="1:24">
      <c r="D136" s="59"/>
      <c r="E136" s="59"/>
      <c r="X136" s="297"/>
    </row>
    <row r="137" spans="1:24">
      <c r="A137" t="s">
        <v>466</v>
      </c>
      <c r="D137" s="59"/>
      <c r="E137" s="59"/>
      <c r="X137" s="297"/>
    </row>
    <row r="138" spans="1:24">
      <c r="A138" s="288" t="s">
        <v>1021</v>
      </c>
      <c r="B138" s="287">
        <v>0</v>
      </c>
      <c r="C138" s="287">
        <v>222000</v>
      </c>
      <c r="D138" s="287">
        <v>236000</v>
      </c>
      <c r="E138" s="287">
        <v>202000</v>
      </c>
      <c r="F138" s="287">
        <v>257000</v>
      </c>
      <c r="G138" s="287">
        <v>193500</v>
      </c>
      <c r="H138" s="287">
        <v>225500</v>
      </c>
      <c r="I138" s="287">
        <v>219500</v>
      </c>
      <c r="J138" s="287">
        <v>182500</v>
      </c>
      <c r="K138" s="287">
        <v>173789.15148727427</v>
      </c>
      <c r="L138" s="287">
        <v>188240.55549518339</v>
      </c>
      <c r="M138" s="287">
        <v>160000</v>
      </c>
      <c r="N138" s="287">
        <v>194000</v>
      </c>
      <c r="O138" s="287">
        <v>160000</v>
      </c>
      <c r="P138" s="287">
        <v>176000</v>
      </c>
      <c r="Q138" s="287">
        <v>157000</v>
      </c>
      <c r="R138" s="287">
        <v>190000</v>
      </c>
      <c r="S138" s="287">
        <v>212000</v>
      </c>
      <c r="T138" s="287">
        <v>206000</v>
      </c>
      <c r="U138" s="287">
        <v>160000</v>
      </c>
      <c r="V138" s="287">
        <v>191000</v>
      </c>
      <c r="W138" s="287">
        <v>174000</v>
      </c>
      <c r="X138" s="297"/>
    </row>
    <row r="139" spans="1:24">
      <c r="A139" s="3" t="s">
        <v>469</v>
      </c>
      <c r="B139" s="287">
        <v>0</v>
      </c>
      <c r="C139" s="287">
        <v>1500</v>
      </c>
      <c r="D139" s="287">
        <v>-5500</v>
      </c>
      <c r="E139" s="287">
        <v>56500</v>
      </c>
      <c r="F139" s="287">
        <v>-12500</v>
      </c>
      <c r="G139" s="287">
        <v>0</v>
      </c>
      <c r="H139" s="287">
        <v>0</v>
      </c>
      <c r="I139" s="287">
        <v>0</v>
      </c>
      <c r="J139" s="287">
        <v>0</v>
      </c>
      <c r="K139" s="287">
        <v>0</v>
      </c>
      <c r="L139" s="287">
        <v>0</v>
      </c>
      <c r="M139" s="287">
        <v>0</v>
      </c>
      <c r="N139" s="287">
        <v>0</v>
      </c>
      <c r="O139" s="287">
        <v>0</v>
      </c>
      <c r="P139" s="287">
        <v>0</v>
      </c>
      <c r="Q139" s="287">
        <v>0</v>
      </c>
      <c r="R139" s="287">
        <v>0</v>
      </c>
      <c r="S139" s="287">
        <v>0</v>
      </c>
      <c r="T139" s="287">
        <v>0</v>
      </c>
      <c r="U139" s="287">
        <v>0</v>
      </c>
      <c r="V139" s="287">
        <v>0</v>
      </c>
      <c r="W139" s="287">
        <v>0</v>
      </c>
      <c r="X139" s="297"/>
    </row>
    <row r="140" spans="1:24">
      <c r="A140" s="3" t="s">
        <v>470</v>
      </c>
      <c r="B140" s="287">
        <v>0</v>
      </c>
      <c r="C140" s="287">
        <v>0</v>
      </c>
      <c r="D140" s="287">
        <v>0</v>
      </c>
      <c r="E140" s="287">
        <v>0</v>
      </c>
      <c r="F140" s="287">
        <v>0</v>
      </c>
      <c r="G140" s="287">
        <v>0</v>
      </c>
      <c r="H140" s="287">
        <v>0</v>
      </c>
      <c r="I140" s="287">
        <v>0</v>
      </c>
      <c r="J140" s="287">
        <v>0</v>
      </c>
      <c r="K140" s="287">
        <v>0</v>
      </c>
      <c r="L140" s="287">
        <v>0</v>
      </c>
      <c r="M140" s="287">
        <v>0</v>
      </c>
      <c r="N140" s="287">
        <v>0</v>
      </c>
      <c r="O140" s="287">
        <v>0</v>
      </c>
      <c r="P140" s="287">
        <v>0</v>
      </c>
      <c r="Q140" s="287">
        <v>0</v>
      </c>
      <c r="R140" s="287">
        <v>0</v>
      </c>
      <c r="S140" s="287">
        <v>0</v>
      </c>
      <c r="T140" s="287">
        <v>0</v>
      </c>
      <c r="U140" s="287">
        <v>0</v>
      </c>
      <c r="V140" s="287">
        <v>0</v>
      </c>
      <c r="W140" s="287">
        <v>0</v>
      </c>
      <c r="X140" s="297"/>
    </row>
    <row r="141" spans="1:24">
      <c r="A141" s="3" t="s">
        <v>471</v>
      </c>
      <c r="B141" s="287">
        <v>0</v>
      </c>
      <c r="C141" s="287">
        <v>0</v>
      </c>
      <c r="D141" s="287">
        <v>0</v>
      </c>
      <c r="E141" s="287">
        <v>0</v>
      </c>
      <c r="F141" s="287">
        <v>0</v>
      </c>
      <c r="G141" s="287">
        <v>0</v>
      </c>
      <c r="H141" s="287">
        <v>0</v>
      </c>
      <c r="I141" s="287">
        <v>0</v>
      </c>
      <c r="J141" s="287">
        <v>0</v>
      </c>
      <c r="K141" s="287">
        <v>0</v>
      </c>
      <c r="L141" s="287">
        <v>0</v>
      </c>
      <c r="M141" s="287">
        <v>0</v>
      </c>
      <c r="N141" s="287">
        <v>0</v>
      </c>
      <c r="O141" s="287">
        <v>0</v>
      </c>
      <c r="P141" s="287">
        <v>0</v>
      </c>
      <c r="Q141" s="287">
        <v>0</v>
      </c>
      <c r="R141" s="287">
        <v>0</v>
      </c>
      <c r="S141" s="287">
        <v>0</v>
      </c>
      <c r="T141" s="287">
        <v>0</v>
      </c>
      <c r="U141" s="287">
        <v>0</v>
      </c>
      <c r="V141" s="287">
        <v>0</v>
      </c>
      <c r="W141" s="287">
        <v>26000</v>
      </c>
      <c r="X141" s="297"/>
    </row>
    <row r="142" spans="1:24">
      <c r="A142" s="3" t="s">
        <v>1117</v>
      </c>
      <c r="B142" s="287">
        <v>0</v>
      </c>
      <c r="C142" s="287">
        <v>0</v>
      </c>
      <c r="D142" s="287">
        <v>0</v>
      </c>
      <c r="E142" s="287">
        <v>0</v>
      </c>
      <c r="F142" s="287">
        <v>0</v>
      </c>
      <c r="G142" s="287">
        <v>0</v>
      </c>
      <c r="H142" s="287">
        <v>0</v>
      </c>
      <c r="I142" s="287">
        <v>0</v>
      </c>
      <c r="J142" s="287">
        <v>0</v>
      </c>
      <c r="K142" s="287">
        <v>0</v>
      </c>
      <c r="L142" s="287">
        <v>0</v>
      </c>
      <c r="M142" s="287">
        <v>0</v>
      </c>
      <c r="N142" s="287">
        <v>0</v>
      </c>
      <c r="O142" s="287">
        <v>0</v>
      </c>
      <c r="P142" s="287">
        <v>0</v>
      </c>
      <c r="Q142" s="287">
        <v>0</v>
      </c>
      <c r="R142" s="287">
        <v>0</v>
      </c>
      <c r="S142" s="287">
        <v>0</v>
      </c>
      <c r="T142" s="287">
        <v>0</v>
      </c>
      <c r="U142" s="287">
        <v>0</v>
      </c>
      <c r="V142" s="287">
        <v>0</v>
      </c>
      <c r="W142" s="287">
        <v>0</v>
      </c>
      <c r="X142" s="297"/>
    </row>
    <row r="143" spans="1:24">
      <c r="A143" s="3" t="s">
        <v>472</v>
      </c>
      <c r="B143" s="287">
        <v>0</v>
      </c>
      <c r="C143" s="287">
        <v>0</v>
      </c>
      <c r="D143" s="287">
        <v>0</v>
      </c>
      <c r="E143" s="287">
        <v>0</v>
      </c>
      <c r="F143" s="287">
        <v>0</v>
      </c>
      <c r="G143" s="287">
        <v>0</v>
      </c>
      <c r="H143" s="287">
        <v>0</v>
      </c>
      <c r="I143" s="287">
        <v>0</v>
      </c>
      <c r="J143" s="287">
        <v>0</v>
      </c>
      <c r="K143" s="287">
        <v>0</v>
      </c>
      <c r="L143" s="287">
        <v>0</v>
      </c>
      <c r="M143" s="287">
        <v>0</v>
      </c>
      <c r="N143" s="287">
        <v>0</v>
      </c>
      <c r="O143" s="287">
        <v>0</v>
      </c>
      <c r="P143" s="287">
        <v>0</v>
      </c>
      <c r="Q143" s="287">
        <v>0</v>
      </c>
      <c r="R143" s="287">
        <v>0</v>
      </c>
      <c r="S143" s="287">
        <v>0</v>
      </c>
      <c r="T143" s="287">
        <v>0</v>
      </c>
      <c r="U143" s="287">
        <v>0</v>
      </c>
      <c r="V143" s="287">
        <v>0</v>
      </c>
      <c r="W143" s="287">
        <v>0</v>
      </c>
      <c r="X143" s="297"/>
    </row>
    <row r="144" spans="1:24">
      <c r="A144" s="3"/>
      <c r="B144" s="287">
        <v>0</v>
      </c>
      <c r="C144" s="287">
        <v>0</v>
      </c>
      <c r="D144" s="287">
        <v>0</v>
      </c>
      <c r="E144" s="287">
        <v>0</v>
      </c>
      <c r="F144" s="287">
        <v>0</v>
      </c>
      <c r="G144" s="287">
        <v>0</v>
      </c>
      <c r="H144" s="287">
        <v>0</v>
      </c>
      <c r="I144" s="287">
        <v>0</v>
      </c>
      <c r="J144" s="287">
        <v>0</v>
      </c>
      <c r="K144" s="287">
        <v>0</v>
      </c>
      <c r="L144" s="287">
        <v>0</v>
      </c>
      <c r="M144" s="287">
        <v>0</v>
      </c>
      <c r="N144" s="287">
        <v>0</v>
      </c>
      <c r="O144" s="287">
        <v>0</v>
      </c>
      <c r="P144" s="287">
        <v>0</v>
      </c>
      <c r="Q144" s="287">
        <v>0</v>
      </c>
      <c r="R144" s="287">
        <v>0</v>
      </c>
      <c r="S144" s="287">
        <v>0</v>
      </c>
      <c r="T144" s="287">
        <v>0</v>
      </c>
      <c r="U144" s="287">
        <v>0</v>
      </c>
      <c r="V144" s="287">
        <v>0</v>
      </c>
      <c r="W144" s="287">
        <v>0</v>
      </c>
      <c r="X144" s="297"/>
    </row>
    <row r="145" spans="1:24">
      <c r="A145" s="289" t="s">
        <v>1035</v>
      </c>
      <c r="B145" s="287">
        <v>0</v>
      </c>
      <c r="C145" s="287">
        <v>223500</v>
      </c>
      <c r="D145" s="287">
        <v>230500</v>
      </c>
      <c r="E145" s="287">
        <v>258500</v>
      </c>
      <c r="F145" s="287">
        <v>244500</v>
      </c>
      <c r="G145" s="287">
        <v>193500</v>
      </c>
      <c r="H145" s="287">
        <v>225500</v>
      </c>
      <c r="I145" s="287">
        <v>219500</v>
      </c>
      <c r="J145" s="287">
        <v>182500</v>
      </c>
      <c r="K145" s="287">
        <v>173789.15148727427</v>
      </c>
      <c r="L145" s="287">
        <v>188240.55549518339</v>
      </c>
      <c r="M145" s="287">
        <v>160000</v>
      </c>
      <c r="N145" s="287">
        <v>194000</v>
      </c>
      <c r="O145" s="287">
        <v>160000</v>
      </c>
      <c r="P145" s="287">
        <v>176000</v>
      </c>
      <c r="Q145" s="287">
        <v>157000</v>
      </c>
      <c r="R145" s="287">
        <v>190000</v>
      </c>
      <c r="S145" s="287">
        <v>212000</v>
      </c>
      <c r="T145" s="287">
        <v>206000</v>
      </c>
      <c r="U145" s="287">
        <v>160000</v>
      </c>
      <c r="V145" s="287">
        <v>191000</v>
      </c>
      <c r="W145" s="287">
        <v>200000</v>
      </c>
      <c r="X145" s="297"/>
    </row>
    <row r="146" spans="1:24">
      <c r="A146" s="3" t="s">
        <v>473</v>
      </c>
      <c r="B146" s="287">
        <v>0</v>
      </c>
      <c r="C146" s="287">
        <v>1500</v>
      </c>
      <c r="D146" s="287">
        <v>-5500</v>
      </c>
      <c r="E146" s="287">
        <v>56500</v>
      </c>
      <c r="F146" s="287">
        <v>-12500</v>
      </c>
      <c r="G146" s="287">
        <v>0</v>
      </c>
      <c r="H146" s="287">
        <v>0</v>
      </c>
      <c r="I146" s="287">
        <v>0</v>
      </c>
      <c r="J146" s="287">
        <v>0</v>
      </c>
      <c r="K146" s="287">
        <v>0</v>
      </c>
      <c r="L146" s="287">
        <v>0</v>
      </c>
      <c r="M146" s="287">
        <v>0</v>
      </c>
      <c r="N146" s="287">
        <v>0</v>
      </c>
      <c r="O146" s="287">
        <v>0</v>
      </c>
      <c r="P146" s="287">
        <v>0</v>
      </c>
      <c r="Q146" s="287">
        <v>0</v>
      </c>
      <c r="R146" s="287">
        <v>0</v>
      </c>
      <c r="S146" s="287">
        <v>0</v>
      </c>
      <c r="T146" s="287">
        <v>0</v>
      </c>
      <c r="U146" s="287">
        <v>0</v>
      </c>
      <c r="V146" s="287">
        <v>0</v>
      </c>
      <c r="W146" s="287">
        <v>26000</v>
      </c>
      <c r="X146" s="297"/>
    </row>
    <row r="147" spans="1:24">
      <c r="A147" s="5" t="s">
        <v>474</v>
      </c>
      <c r="B147" s="287">
        <v>0</v>
      </c>
      <c r="C147" s="287">
        <v>0</v>
      </c>
      <c r="D147" s="287">
        <v>0</v>
      </c>
      <c r="E147" s="287">
        <v>0</v>
      </c>
      <c r="F147" s="287">
        <v>0</v>
      </c>
      <c r="G147" s="287">
        <v>0</v>
      </c>
      <c r="H147" s="287">
        <v>0</v>
      </c>
      <c r="I147" s="287">
        <v>0</v>
      </c>
      <c r="J147" s="287">
        <v>0</v>
      </c>
      <c r="K147" s="287">
        <v>0</v>
      </c>
      <c r="L147" s="287">
        <v>0</v>
      </c>
      <c r="M147" s="287">
        <v>0</v>
      </c>
      <c r="N147" s="287">
        <v>0</v>
      </c>
      <c r="O147" s="287">
        <v>0</v>
      </c>
      <c r="P147" s="287">
        <v>0</v>
      </c>
      <c r="Q147" s="287">
        <v>0</v>
      </c>
      <c r="R147" s="287">
        <v>0</v>
      </c>
      <c r="S147" s="287">
        <v>0</v>
      </c>
      <c r="T147" s="287">
        <v>0</v>
      </c>
      <c r="U147" s="287">
        <v>0</v>
      </c>
      <c r="V147" s="287">
        <v>0</v>
      </c>
      <c r="W147" s="287">
        <v>0</v>
      </c>
    </row>
  </sheetData>
  <phoneticPr fontId="21" type="noConversion"/>
  <pageMargins left="0.75" right="0.75" top="1" bottom="1" header="0.5" footer="0.5"/>
  <pageSetup scale="25" orientation="landscape"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43"/>
  </sheetPr>
  <dimension ref="A1:K40"/>
  <sheetViews>
    <sheetView topLeftCell="A13" zoomScale="85" workbookViewId="0">
      <selection activeCell="O133" sqref="O133"/>
    </sheetView>
  </sheetViews>
  <sheetFormatPr defaultRowHeight="12.75"/>
  <cols>
    <col min="1" max="1" width="25.85546875" customWidth="1"/>
    <col min="2" max="2" width="2.85546875" customWidth="1"/>
    <col min="3" max="3" width="6.5703125" customWidth="1"/>
    <col min="4" max="4" width="8.7109375" customWidth="1"/>
    <col min="5" max="5" width="4.85546875" customWidth="1"/>
    <col min="6" max="6" width="9" customWidth="1"/>
  </cols>
  <sheetData>
    <row r="1" spans="1:11">
      <c r="A1" s="227" t="s">
        <v>12</v>
      </c>
      <c r="B1" s="228"/>
      <c r="C1" s="229" t="s">
        <v>321</v>
      </c>
      <c r="D1" s="229" t="s">
        <v>322</v>
      </c>
      <c r="E1" s="229"/>
      <c r="F1" s="228" t="s">
        <v>323</v>
      </c>
      <c r="G1" s="229"/>
      <c r="H1" s="228"/>
      <c r="I1" s="228"/>
      <c r="J1" s="229" t="s">
        <v>342</v>
      </c>
      <c r="K1" s="228"/>
    </row>
    <row r="2" spans="1:11" ht="15.75" customHeight="1">
      <c r="A2" s="230" t="s">
        <v>818</v>
      </c>
      <c r="B2" s="231" t="s">
        <v>13</v>
      </c>
      <c r="C2" s="232">
        <v>259</v>
      </c>
      <c r="D2" s="232">
        <v>83</v>
      </c>
      <c r="E2" s="232"/>
      <c r="F2" s="231" t="s">
        <v>13</v>
      </c>
      <c r="G2" s="232" t="s">
        <v>14</v>
      </c>
      <c r="H2" s="231"/>
      <c r="I2" s="231" t="s">
        <v>13</v>
      </c>
      <c r="J2" s="232">
        <v>342</v>
      </c>
      <c r="K2" s="231"/>
    </row>
    <row r="3" spans="1:11">
      <c r="A3" s="233" t="s">
        <v>819</v>
      </c>
      <c r="B3" s="228"/>
      <c r="C3" s="229">
        <v>214</v>
      </c>
      <c r="D3" s="229">
        <v>548</v>
      </c>
      <c r="E3" s="229"/>
      <c r="F3" s="228"/>
      <c r="G3" s="229" t="s">
        <v>14</v>
      </c>
      <c r="H3" s="228"/>
      <c r="I3" s="228"/>
      <c r="J3" s="229">
        <v>762</v>
      </c>
      <c r="K3" s="228"/>
    </row>
    <row r="4" spans="1:11" ht="12.75" customHeight="1" thickBot="1">
      <c r="A4" s="230" t="s">
        <v>821</v>
      </c>
      <c r="B4" s="231"/>
      <c r="C4" s="232">
        <v>36</v>
      </c>
      <c r="D4" s="232">
        <v>298</v>
      </c>
      <c r="E4" s="232"/>
      <c r="F4" s="231"/>
      <c r="G4" s="232" t="s">
        <v>14</v>
      </c>
      <c r="H4" s="231"/>
      <c r="I4" s="231"/>
      <c r="J4" s="232">
        <v>334</v>
      </c>
      <c r="K4" s="231"/>
    </row>
    <row r="5" spans="1:11">
      <c r="A5" s="234"/>
      <c r="B5" s="235"/>
      <c r="C5" s="235"/>
      <c r="D5" s="235"/>
      <c r="E5" s="235"/>
      <c r="F5" s="235"/>
      <c r="G5" s="235"/>
      <c r="H5" s="234"/>
      <c r="I5" s="235"/>
      <c r="J5" s="235"/>
      <c r="K5" s="234"/>
    </row>
    <row r="6" spans="1:11" ht="13.5" thickBot="1">
      <c r="A6" s="236" t="s">
        <v>822</v>
      </c>
      <c r="B6" s="228"/>
      <c r="C6" s="229">
        <v>509</v>
      </c>
      <c r="D6" s="229">
        <v>929</v>
      </c>
      <c r="E6" s="229"/>
      <c r="F6" s="228"/>
      <c r="G6" s="229"/>
      <c r="H6" s="228"/>
      <c r="I6" s="228"/>
      <c r="J6" s="237">
        <v>1438</v>
      </c>
      <c r="K6" s="228"/>
    </row>
    <row r="7" spans="1:11">
      <c r="A7" s="234"/>
      <c r="B7" s="235"/>
      <c r="C7" s="235"/>
      <c r="D7" s="235"/>
      <c r="E7" s="235"/>
      <c r="F7" s="235"/>
      <c r="G7" s="235"/>
      <c r="H7" s="234"/>
      <c r="I7" s="235"/>
      <c r="J7" s="235"/>
      <c r="K7" s="234"/>
    </row>
    <row r="8" spans="1:11" ht="26.25" thickBot="1">
      <c r="A8" s="238" t="s">
        <v>15</v>
      </c>
      <c r="B8" s="231"/>
      <c r="C8" s="239">
        <v>2915</v>
      </c>
      <c r="D8" s="239">
        <v>7508</v>
      </c>
      <c r="E8" s="239"/>
      <c r="F8" s="231"/>
      <c r="G8" s="232"/>
      <c r="H8" s="231"/>
      <c r="I8" s="231"/>
      <c r="J8" s="239">
        <v>10423</v>
      </c>
      <c r="K8" s="231"/>
    </row>
    <row r="9" spans="1:11">
      <c r="A9" s="234"/>
      <c r="B9" s="235"/>
      <c r="C9" s="235"/>
      <c r="D9" s="235"/>
      <c r="E9" s="235"/>
      <c r="F9" s="235"/>
      <c r="G9" s="235"/>
      <c r="H9" s="234"/>
      <c r="I9" s="235"/>
      <c r="J9" s="235"/>
      <c r="K9" s="234"/>
    </row>
    <row r="10" spans="1:11" ht="26.25" thickBot="1">
      <c r="A10" s="240" t="s">
        <v>16</v>
      </c>
      <c r="B10" s="228"/>
      <c r="C10" s="229"/>
      <c r="D10" s="229"/>
      <c r="E10" s="229"/>
      <c r="F10" s="228"/>
      <c r="G10" s="229"/>
      <c r="H10" s="228"/>
      <c r="I10" s="228"/>
      <c r="J10" s="229"/>
      <c r="K10" s="228"/>
    </row>
    <row r="11" spans="1:11" ht="13.5" thickBot="1">
      <c r="A11" s="241" t="s">
        <v>900</v>
      </c>
      <c r="B11" s="231"/>
      <c r="C11" s="239">
        <v>4010</v>
      </c>
      <c r="D11" s="232">
        <v>27</v>
      </c>
      <c r="E11" s="232"/>
      <c r="F11" s="231"/>
      <c r="G11" s="249">
        <v>3837</v>
      </c>
      <c r="H11" s="231" t="s">
        <v>17</v>
      </c>
      <c r="I11" s="231"/>
      <c r="J11" s="239">
        <v>7874</v>
      </c>
      <c r="K11" s="231"/>
    </row>
    <row r="12" spans="1:11" ht="13.5" thickBot="1">
      <c r="A12" s="233" t="s">
        <v>792</v>
      </c>
      <c r="B12" s="228"/>
      <c r="C12" s="229">
        <v>839</v>
      </c>
      <c r="D12" s="229">
        <v>230</v>
      </c>
      <c r="E12" s="229"/>
      <c r="F12" s="228"/>
      <c r="G12" s="249">
        <v>1214</v>
      </c>
      <c r="H12" s="228" t="s">
        <v>18</v>
      </c>
      <c r="I12" s="228"/>
      <c r="J12" s="237">
        <v>2283</v>
      </c>
      <c r="K12" s="228"/>
    </row>
    <row r="13" spans="1:11" ht="13.5" thickBot="1">
      <c r="A13" s="234"/>
      <c r="B13" s="235"/>
      <c r="C13" s="235"/>
      <c r="D13" s="235"/>
      <c r="E13" s="235"/>
      <c r="F13" s="235"/>
      <c r="G13" s="250"/>
      <c r="H13" s="234"/>
      <c r="I13" s="235"/>
      <c r="J13" s="235"/>
      <c r="K13" s="234"/>
    </row>
    <row r="14" spans="1:11" ht="26.25" thickBot="1">
      <c r="A14" s="242" t="s">
        <v>19</v>
      </c>
      <c r="B14" s="231"/>
      <c r="C14" s="239">
        <v>4849</v>
      </c>
      <c r="D14" s="232">
        <v>257</v>
      </c>
      <c r="E14" s="232"/>
      <c r="F14" s="231"/>
      <c r="G14" s="249">
        <v>5051</v>
      </c>
      <c r="H14" s="231"/>
      <c r="I14" s="231"/>
      <c r="J14" s="239">
        <v>10157</v>
      </c>
      <c r="K14" s="231"/>
    </row>
    <row r="15" spans="1:11" ht="13.5" thickBot="1">
      <c r="A15" s="234"/>
      <c r="B15" s="235"/>
      <c r="C15" s="235"/>
      <c r="D15" s="235"/>
      <c r="E15" s="235"/>
      <c r="F15" s="235"/>
      <c r="G15" s="250"/>
      <c r="H15" s="234"/>
      <c r="I15" s="235"/>
      <c r="J15" s="235"/>
      <c r="K15" s="234"/>
    </row>
    <row r="16" spans="1:11" ht="13.5" thickBot="1">
      <c r="A16" s="227" t="s">
        <v>20</v>
      </c>
      <c r="B16" s="228" t="s">
        <v>13</v>
      </c>
      <c r="C16" s="237">
        <v>8273</v>
      </c>
      <c r="D16" s="237">
        <v>8694</v>
      </c>
      <c r="E16" s="237"/>
      <c r="F16" s="228" t="s">
        <v>13</v>
      </c>
      <c r="G16" s="249">
        <v>5051</v>
      </c>
      <c r="H16" s="228"/>
      <c r="I16" s="228" t="s">
        <v>13</v>
      </c>
      <c r="J16" s="237">
        <v>22018</v>
      </c>
      <c r="K16" s="228"/>
    </row>
    <row r="17" spans="1:11" ht="13.5" thickTop="1">
      <c r="A17" s="234"/>
      <c r="B17" s="243"/>
      <c r="C17" s="243"/>
      <c r="D17" s="243"/>
      <c r="E17" s="243"/>
      <c r="F17" s="243"/>
      <c r="G17" s="250"/>
      <c r="H17" s="234"/>
      <c r="I17" s="243"/>
      <c r="J17" s="243"/>
      <c r="K17" s="234"/>
    </row>
    <row r="18" spans="1:11">
      <c r="A18" s="4141"/>
      <c r="B18" s="4141"/>
      <c r="C18" s="4141"/>
      <c r="D18" s="4141"/>
      <c r="E18" s="4141"/>
      <c r="F18" s="4141"/>
      <c r="G18" s="4141"/>
      <c r="H18" s="4141"/>
      <c r="I18" s="4141"/>
      <c r="J18" s="4141"/>
      <c r="K18" s="4141"/>
    </row>
    <row r="19" spans="1:11" ht="12.75" customHeight="1">
      <c r="A19" s="4142" t="s">
        <v>22</v>
      </c>
      <c r="B19" s="4142"/>
      <c r="C19" s="4142"/>
      <c r="D19" s="4142"/>
      <c r="E19" s="4142"/>
      <c r="F19" s="4142"/>
      <c r="G19" s="4142"/>
      <c r="H19" s="4142"/>
      <c r="I19" s="4142"/>
      <c r="J19" s="4142"/>
      <c r="K19" s="4142"/>
    </row>
    <row r="20" spans="1:11">
      <c r="A20" s="227" t="s">
        <v>23</v>
      </c>
      <c r="B20" s="228"/>
      <c r="C20" s="229"/>
      <c r="D20" s="229"/>
      <c r="E20" s="229"/>
      <c r="F20" s="228"/>
      <c r="G20" s="229"/>
      <c r="H20" s="228"/>
      <c r="I20" s="228"/>
      <c r="J20" s="229"/>
      <c r="K20" s="228"/>
    </row>
    <row r="21" spans="1:11" ht="25.5">
      <c r="A21" s="230" t="s">
        <v>24</v>
      </c>
      <c r="B21" s="231" t="s">
        <v>13</v>
      </c>
      <c r="C21" s="232">
        <v>45</v>
      </c>
      <c r="D21" s="232">
        <v>2</v>
      </c>
      <c r="E21" s="232"/>
      <c r="F21" s="231"/>
      <c r="G21" s="232" t="s">
        <v>14</v>
      </c>
      <c r="H21" s="231"/>
      <c r="I21" s="231" t="s">
        <v>13</v>
      </c>
      <c r="J21" s="232">
        <v>47</v>
      </c>
      <c r="K21" s="231"/>
    </row>
    <row r="22" spans="1:11">
      <c r="A22" s="233" t="s">
        <v>837</v>
      </c>
      <c r="B22" s="228"/>
      <c r="C22" s="229">
        <v>99</v>
      </c>
      <c r="D22" s="229">
        <v>303</v>
      </c>
      <c r="E22" s="229"/>
      <c r="F22" s="228"/>
      <c r="G22" s="229" t="s">
        <v>14</v>
      </c>
      <c r="H22" s="228"/>
      <c r="I22" s="228"/>
      <c r="J22" s="229">
        <v>402</v>
      </c>
      <c r="K22" s="228"/>
    </row>
    <row r="23" spans="1:11" ht="26.25" thickBot="1">
      <c r="A23" s="230" t="s">
        <v>987</v>
      </c>
      <c r="B23" s="231"/>
      <c r="C23" s="232">
        <v>331</v>
      </c>
      <c r="D23" s="232">
        <v>770</v>
      </c>
      <c r="E23" s="232"/>
      <c r="F23" s="231"/>
      <c r="G23" s="232" t="s">
        <v>14</v>
      </c>
      <c r="H23" s="231"/>
      <c r="I23" s="231"/>
      <c r="J23" s="239">
        <v>1101</v>
      </c>
      <c r="K23" s="231"/>
    </row>
    <row r="24" spans="1:11">
      <c r="A24" s="234"/>
      <c r="B24" s="235"/>
      <c r="C24" s="235"/>
      <c r="D24" s="235"/>
      <c r="E24" s="235"/>
      <c r="F24" s="235"/>
      <c r="G24" s="235"/>
      <c r="H24" s="234"/>
      <c r="I24" s="235"/>
      <c r="J24" s="235"/>
      <c r="K24" s="234"/>
    </row>
    <row r="25" spans="1:11" ht="13.5" thickBot="1">
      <c r="A25" s="236" t="s">
        <v>841</v>
      </c>
      <c r="B25" s="228"/>
      <c r="C25" s="229">
        <v>475</v>
      </c>
      <c r="D25" s="237">
        <v>1075</v>
      </c>
      <c r="E25" s="237"/>
      <c r="F25" s="228"/>
      <c r="G25" s="229" t="s">
        <v>14</v>
      </c>
      <c r="H25" s="228"/>
      <c r="I25" s="228"/>
      <c r="J25" s="237">
        <v>1550</v>
      </c>
      <c r="K25" s="228"/>
    </row>
    <row r="26" spans="1:11" ht="13.5" thickBot="1">
      <c r="A26" s="234"/>
      <c r="B26" s="235"/>
      <c r="C26" s="235"/>
      <c r="D26" s="235"/>
      <c r="E26" s="235"/>
      <c r="F26" s="235"/>
      <c r="G26" s="235"/>
      <c r="H26" s="234"/>
      <c r="I26" s="235"/>
      <c r="J26" s="235"/>
      <c r="K26" s="234"/>
    </row>
    <row r="27" spans="1:11" ht="13.5" thickBot="1">
      <c r="A27" s="244" t="s">
        <v>25</v>
      </c>
      <c r="B27" s="231"/>
      <c r="C27" s="239">
        <v>3299</v>
      </c>
      <c r="D27" s="239">
        <v>5838</v>
      </c>
      <c r="E27" s="239"/>
      <c r="F27" s="231"/>
      <c r="G27" s="251">
        <v>-912</v>
      </c>
      <c r="H27" s="231" t="s">
        <v>26</v>
      </c>
      <c r="I27" s="231"/>
      <c r="J27" s="239">
        <v>8225</v>
      </c>
      <c r="K27" s="231"/>
    </row>
    <row r="28" spans="1:11" ht="13.5" thickBot="1">
      <c r="A28" s="234"/>
      <c r="B28" s="235"/>
      <c r="C28" s="235"/>
      <c r="D28" s="235"/>
      <c r="E28" s="235"/>
      <c r="F28" s="235"/>
      <c r="G28" s="250"/>
      <c r="H28" s="234"/>
      <c r="I28" s="235"/>
      <c r="J28" s="235"/>
      <c r="K28" s="234"/>
    </row>
    <row r="29" spans="1:11" ht="26.25" thickBot="1">
      <c r="A29" s="240" t="s">
        <v>27</v>
      </c>
      <c r="B29" s="228"/>
      <c r="C29" s="237">
        <v>1303</v>
      </c>
      <c r="D29" s="237">
        <v>1713</v>
      </c>
      <c r="E29" s="237"/>
      <c r="F29" s="228"/>
      <c r="G29" s="249">
        <v>1043</v>
      </c>
      <c r="H29" s="228" t="s">
        <v>28</v>
      </c>
      <c r="I29" s="228"/>
      <c r="J29" s="237">
        <v>4059</v>
      </c>
      <c r="K29" s="228"/>
    </row>
    <row r="30" spans="1:11">
      <c r="A30" s="234"/>
      <c r="B30" s="235"/>
      <c r="C30" s="235"/>
      <c r="D30" s="235"/>
      <c r="E30" s="235"/>
      <c r="F30" s="235"/>
      <c r="G30" s="250"/>
      <c r="H30" s="234"/>
      <c r="I30" s="235"/>
      <c r="J30" s="235"/>
      <c r="K30" s="234"/>
    </row>
    <row r="31" spans="1:11" ht="13.5" thickBot="1">
      <c r="A31" s="244" t="s">
        <v>29</v>
      </c>
      <c r="B31" s="231"/>
      <c r="C31" s="232"/>
      <c r="D31" s="232"/>
      <c r="E31" s="232"/>
      <c r="F31" s="231"/>
      <c r="G31" s="232"/>
      <c r="H31" s="231"/>
      <c r="I31" s="231"/>
      <c r="J31" s="232"/>
      <c r="K31" s="231"/>
    </row>
    <row r="32" spans="1:11" ht="13.5" thickBot="1">
      <c r="A32" s="233" t="s">
        <v>845</v>
      </c>
      <c r="B32" s="228"/>
      <c r="C32" s="229">
        <v>100</v>
      </c>
      <c r="D32" s="229">
        <v>2</v>
      </c>
      <c r="E32" s="229"/>
      <c r="F32" s="228"/>
      <c r="G32" s="251">
        <v>193</v>
      </c>
      <c r="H32" s="228" t="s">
        <v>30</v>
      </c>
      <c r="I32" s="228"/>
      <c r="J32" s="229">
        <v>295</v>
      </c>
      <c r="K32" s="228"/>
    </row>
    <row r="33" spans="1:11" ht="13.5" thickBot="1">
      <c r="A33" s="241" t="s">
        <v>846</v>
      </c>
      <c r="B33" s="231"/>
      <c r="C33" s="232">
        <v>26</v>
      </c>
      <c r="D33" s="232" t="s">
        <v>31</v>
      </c>
      <c r="E33" s="232"/>
      <c r="F33" s="231"/>
      <c r="G33" s="249">
        <v>4992</v>
      </c>
      <c r="H33" s="231" t="s">
        <v>30</v>
      </c>
      <c r="I33" s="231"/>
      <c r="J33" s="239">
        <v>4819</v>
      </c>
      <c r="K33" s="231"/>
    </row>
    <row r="34" spans="1:11" ht="39" thickBot="1">
      <c r="A34" s="245" t="s">
        <v>314</v>
      </c>
      <c r="B34" s="228"/>
      <c r="C34" s="229" t="s">
        <v>315</v>
      </c>
      <c r="D34" s="229" t="s">
        <v>316</v>
      </c>
      <c r="E34" s="229"/>
      <c r="F34" s="228"/>
      <c r="G34" s="251">
        <v>129</v>
      </c>
      <c r="H34" s="228" t="s">
        <v>30</v>
      </c>
      <c r="I34" s="228"/>
      <c r="J34" s="229" t="s">
        <v>315</v>
      </c>
      <c r="K34" s="228" t="s">
        <v>313</v>
      </c>
    </row>
    <row r="35" spans="1:11" ht="13.5" thickBot="1">
      <c r="A35" s="241" t="s">
        <v>848</v>
      </c>
      <c r="B35" s="231"/>
      <c r="C35" s="239">
        <v>3116</v>
      </c>
      <c r="D35" s="232">
        <v>894</v>
      </c>
      <c r="E35" s="232"/>
      <c r="F35" s="231"/>
      <c r="G35" s="251">
        <v>-894</v>
      </c>
      <c r="H35" s="231" t="s">
        <v>317</v>
      </c>
      <c r="I35" s="231"/>
      <c r="J35" s="239">
        <v>3116</v>
      </c>
      <c r="K35" s="231"/>
    </row>
    <row r="36" spans="1:11" ht="13.5" thickBot="1">
      <c r="A36" s="233" t="s">
        <v>926</v>
      </c>
      <c r="B36" s="228"/>
      <c r="C36" s="229" t="s">
        <v>14</v>
      </c>
      <c r="D36" s="229" t="s">
        <v>318</v>
      </c>
      <c r="E36" s="229"/>
      <c r="F36" s="228"/>
      <c r="G36" s="251">
        <v>500</v>
      </c>
      <c r="H36" s="228" t="s">
        <v>30</v>
      </c>
      <c r="I36" s="228"/>
      <c r="J36" s="229" t="s">
        <v>14</v>
      </c>
      <c r="K36" s="228"/>
    </row>
    <row r="37" spans="1:11" ht="13.5" thickBot="1">
      <c r="A37" s="234"/>
      <c r="B37" s="235"/>
      <c r="C37" s="235"/>
      <c r="D37" s="235"/>
      <c r="E37" s="235"/>
      <c r="F37" s="235"/>
      <c r="G37" s="250"/>
      <c r="H37" s="234"/>
      <c r="I37" s="235"/>
      <c r="J37" s="235"/>
      <c r="K37" s="234"/>
    </row>
    <row r="38" spans="1:11" ht="26.25" thickBot="1">
      <c r="A38" s="242" t="s">
        <v>319</v>
      </c>
      <c r="B38" s="231"/>
      <c r="C38" s="239">
        <v>3196</v>
      </c>
      <c r="D38" s="232">
        <v>68</v>
      </c>
      <c r="E38" s="232"/>
      <c r="F38" s="231"/>
      <c r="G38" s="249">
        <v>4920</v>
      </c>
      <c r="H38" s="231"/>
      <c r="I38" s="231"/>
      <c r="J38" s="239">
        <v>8184</v>
      </c>
      <c r="K38" s="231"/>
    </row>
    <row r="39" spans="1:11" ht="13.5" thickBot="1">
      <c r="A39" s="234"/>
      <c r="B39" s="235"/>
      <c r="C39" s="235"/>
      <c r="D39" s="235"/>
      <c r="E39" s="235"/>
      <c r="F39" s="235"/>
      <c r="G39" s="250"/>
      <c r="H39" s="234"/>
      <c r="I39" s="235"/>
      <c r="J39" s="235"/>
      <c r="K39" s="234"/>
    </row>
    <row r="40" spans="1:11" ht="26.25" thickBot="1">
      <c r="A40" s="240" t="s">
        <v>320</v>
      </c>
      <c r="B40" s="228" t="s">
        <v>13</v>
      </c>
      <c r="C40" s="237">
        <v>8273</v>
      </c>
      <c r="D40" s="237">
        <v>8694</v>
      </c>
      <c r="E40" s="237"/>
      <c r="F40" s="228" t="s">
        <v>13</v>
      </c>
      <c r="G40" s="249">
        <v>5051</v>
      </c>
      <c r="H40" s="228"/>
      <c r="I40" s="228" t="s">
        <v>13</v>
      </c>
      <c r="J40" s="237">
        <v>22018</v>
      </c>
      <c r="K40" s="228"/>
    </row>
  </sheetData>
  <mergeCells count="2">
    <mergeCell ref="A18:K18"/>
    <mergeCell ref="A19:K19"/>
  </mergeCells>
  <phoneticPr fontId="21"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43"/>
  </sheetPr>
  <dimension ref="A1:K23"/>
  <sheetViews>
    <sheetView zoomScale="85" workbookViewId="0">
      <selection activeCell="O133" sqref="O133"/>
    </sheetView>
  </sheetViews>
  <sheetFormatPr defaultRowHeight="12.75"/>
  <cols>
    <col min="1" max="1" width="24.5703125" customWidth="1"/>
  </cols>
  <sheetData>
    <row r="1" spans="1:11">
      <c r="C1" t="s">
        <v>321</v>
      </c>
      <c r="E1" t="s">
        <v>322</v>
      </c>
      <c r="F1" t="s">
        <v>323</v>
      </c>
      <c r="I1" t="s">
        <v>342</v>
      </c>
    </row>
    <row r="2" spans="1:11" ht="13.5" thickBot="1">
      <c r="A2" s="244" t="s">
        <v>324</v>
      </c>
      <c r="B2" s="231" t="s">
        <v>13</v>
      </c>
      <c r="C2" s="239">
        <v>2656</v>
      </c>
      <c r="D2" s="231" t="s">
        <v>13</v>
      </c>
      <c r="E2" s="239">
        <v>6365</v>
      </c>
      <c r="F2" s="231" t="s">
        <v>13</v>
      </c>
      <c r="G2" s="232"/>
      <c r="H2" s="231"/>
      <c r="I2" s="231" t="s">
        <v>13</v>
      </c>
      <c r="J2" s="239">
        <v>9021</v>
      </c>
      <c r="K2" s="231"/>
    </row>
    <row r="3" spans="1:11">
      <c r="A3" s="234"/>
      <c r="B3" s="235"/>
      <c r="C3" s="235"/>
      <c r="D3" s="235"/>
      <c r="E3" s="235"/>
      <c r="F3" s="235"/>
      <c r="G3" s="235"/>
      <c r="H3" s="234"/>
      <c r="I3" s="235"/>
      <c r="J3" s="235"/>
      <c r="K3" s="234"/>
    </row>
    <row r="4" spans="1:11">
      <c r="A4" s="227" t="s">
        <v>325</v>
      </c>
      <c r="B4" s="228"/>
      <c r="C4" s="229"/>
      <c r="D4" s="228"/>
      <c r="E4" s="229"/>
      <c r="F4" s="228"/>
      <c r="G4" s="229"/>
      <c r="H4" s="228"/>
      <c r="I4" s="228"/>
      <c r="J4" s="229"/>
      <c r="K4" s="228"/>
    </row>
    <row r="5" spans="1:11" ht="25.5" customHeight="1">
      <c r="A5" s="230" t="s">
        <v>997</v>
      </c>
      <c r="B5" s="231"/>
      <c r="C5" s="232">
        <v>937</v>
      </c>
      <c r="D5" s="231"/>
      <c r="E5" s="239">
        <v>2196</v>
      </c>
      <c r="F5" s="231"/>
      <c r="G5" s="232" t="s">
        <v>14</v>
      </c>
      <c r="H5" s="231"/>
      <c r="I5" s="231"/>
      <c r="J5" s="239">
        <v>3133</v>
      </c>
      <c r="K5" s="231"/>
    </row>
    <row r="6" spans="1:11" ht="23.25" customHeight="1" thickBot="1">
      <c r="A6" s="245" t="s">
        <v>861</v>
      </c>
      <c r="B6" s="228"/>
      <c r="C6" s="229">
        <v>390</v>
      </c>
      <c r="D6" s="228"/>
      <c r="E6" s="237">
        <v>1608</v>
      </c>
      <c r="F6" s="228"/>
      <c r="G6" s="229" t="s">
        <v>14</v>
      </c>
      <c r="H6" s="228"/>
      <c r="I6" s="228"/>
      <c r="J6" s="237">
        <v>1998</v>
      </c>
      <c r="K6" s="228"/>
    </row>
    <row r="7" spans="1:11" ht="26.25" thickBot="1">
      <c r="A7" s="230" t="s">
        <v>999</v>
      </c>
      <c r="B7" s="231"/>
      <c r="C7" s="232">
        <v>536</v>
      </c>
      <c r="D7" s="231"/>
      <c r="E7" s="239">
        <v>1057</v>
      </c>
      <c r="F7" s="231"/>
      <c r="G7" s="251">
        <v>163</v>
      </c>
      <c r="H7" s="231" t="s">
        <v>326</v>
      </c>
      <c r="I7" s="231"/>
      <c r="J7" s="239">
        <v>1756</v>
      </c>
      <c r="K7" s="231"/>
    </row>
    <row r="8" spans="1:11" ht="13.5" thickBot="1">
      <c r="A8" s="234"/>
      <c r="B8" s="235"/>
      <c r="C8" s="235"/>
      <c r="D8" s="235"/>
      <c r="E8" s="235"/>
      <c r="F8" s="235"/>
      <c r="G8" s="250"/>
      <c r="H8" s="234"/>
      <c r="I8" s="235"/>
      <c r="J8" s="235"/>
      <c r="K8" s="234"/>
    </row>
    <row r="9" spans="1:11" ht="13.5" thickBot="1">
      <c r="A9" s="228"/>
      <c r="B9" s="228"/>
      <c r="C9" s="237">
        <v>1863</v>
      </c>
      <c r="D9" s="228"/>
      <c r="E9" s="237">
        <v>4861</v>
      </c>
      <c r="F9" s="228"/>
      <c r="G9" s="251">
        <v>163</v>
      </c>
      <c r="H9" s="228"/>
      <c r="I9" s="228"/>
      <c r="J9" s="237">
        <v>6887</v>
      </c>
      <c r="K9" s="228"/>
    </row>
    <row r="10" spans="1:11" ht="13.5" thickBot="1">
      <c r="A10" s="234"/>
      <c r="B10" s="235"/>
      <c r="C10" s="235"/>
      <c r="D10" s="235"/>
      <c r="E10" s="235"/>
      <c r="F10" s="235"/>
      <c r="G10" s="250"/>
      <c r="H10" s="234"/>
      <c r="I10" s="235"/>
      <c r="J10" s="235"/>
      <c r="K10" s="234"/>
    </row>
    <row r="11" spans="1:11" ht="13.5" thickBot="1">
      <c r="A11" s="244" t="s">
        <v>327</v>
      </c>
      <c r="B11" s="231"/>
      <c r="C11" s="232">
        <v>793</v>
      </c>
      <c r="D11" s="231"/>
      <c r="E11" s="239">
        <v>1504</v>
      </c>
      <c r="F11" s="231"/>
      <c r="G11" s="251">
        <v>-163</v>
      </c>
      <c r="H11" s="231" t="s">
        <v>313</v>
      </c>
      <c r="I11" s="231"/>
      <c r="J11" s="239">
        <v>2134</v>
      </c>
      <c r="K11" s="231"/>
    </row>
    <row r="12" spans="1:11" ht="26.25" thickBot="1">
      <c r="A12" s="240" t="s">
        <v>864</v>
      </c>
      <c r="B12" s="228"/>
      <c r="C12" s="229"/>
      <c r="D12" s="228"/>
      <c r="E12" s="229"/>
      <c r="F12" s="228"/>
      <c r="G12" s="229"/>
      <c r="H12" s="228"/>
      <c r="I12" s="228"/>
      <c r="J12" s="229"/>
      <c r="K12" s="228"/>
    </row>
    <row r="13" spans="1:11" ht="13.5" thickBot="1">
      <c r="A13" s="241" t="s">
        <v>1004</v>
      </c>
      <c r="B13" s="231"/>
      <c r="C13" s="232" t="s">
        <v>328</v>
      </c>
      <c r="D13" s="231"/>
      <c r="E13" s="232" t="s">
        <v>329</v>
      </c>
      <c r="F13" s="231"/>
      <c r="G13" s="251">
        <v>-74</v>
      </c>
      <c r="H13" s="231" t="s">
        <v>330</v>
      </c>
      <c r="I13" s="231"/>
      <c r="J13" s="232" t="s">
        <v>331</v>
      </c>
      <c r="K13" s="231" t="s">
        <v>313</v>
      </c>
    </row>
    <row r="14" spans="1:11" ht="13.5" thickBot="1">
      <c r="A14" s="233" t="s">
        <v>332</v>
      </c>
      <c r="B14" s="228"/>
      <c r="C14" s="229">
        <v>39</v>
      </c>
      <c r="D14" s="228"/>
      <c r="E14" s="229">
        <v>3</v>
      </c>
      <c r="F14" s="228"/>
      <c r="G14" s="229" t="s">
        <v>14</v>
      </c>
      <c r="H14" s="228"/>
      <c r="I14" s="228"/>
      <c r="J14" s="229">
        <v>42</v>
      </c>
      <c r="K14" s="228"/>
    </row>
    <row r="15" spans="1:11" ht="13.5" thickBot="1">
      <c r="A15" s="230" t="s">
        <v>1006</v>
      </c>
      <c r="B15" s="231"/>
      <c r="C15" s="232" t="s">
        <v>333</v>
      </c>
      <c r="D15" s="231"/>
      <c r="E15" s="232" t="s">
        <v>334</v>
      </c>
      <c r="F15" s="231"/>
      <c r="G15" s="251">
        <v>89</v>
      </c>
      <c r="H15" s="231" t="s">
        <v>335</v>
      </c>
      <c r="I15" s="231"/>
      <c r="J15" s="232" t="s">
        <v>336</v>
      </c>
      <c r="K15" s="231" t="s">
        <v>313</v>
      </c>
    </row>
    <row r="16" spans="1:11" ht="13.5" thickBot="1">
      <c r="A16" s="234"/>
      <c r="B16" s="235"/>
      <c r="C16" s="235"/>
      <c r="D16" s="235"/>
      <c r="E16" s="235"/>
      <c r="F16" s="235"/>
      <c r="G16" s="250"/>
      <c r="H16" s="234"/>
      <c r="I16" s="235"/>
      <c r="J16" s="235"/>
      <c r="K16" s="234"/>
    </row>
    <row r="17" spans="1:11" ht="13.5" thickBot="1">
      <c r="A17" s="227" t="s">
        <v>337</v>
      </c>
      <c r="B17" s="228" t="s">
        <v>13</v>
      </c>
      <c r="C17" s="229">
        <v>418</v>
      </c>
      <c r="D17" s="228" t="s">
        <v>13</v>
      </c>
      <c r="E17" s="229">
        <v>683</v>
      </c>
      <c r="F17" s="228" t="s">
        <v>13</v>
      </c>
      <c r="G17" s="251">
        <v>-148</v>
      </c>
      <c r="H17" s="228" t="s">
        <v>313</v>
      </c>
      <c r="I17" s="228" t="s">
        <v>13</v>
      </c>
      <c r="J17" s="229">
        <v>953</v>
      </c>
      <c r="K17" s="228"/>
    </row>
    <row r="18" spans="1:11" ht="13.5" thickTop="1">
      <c r="A18" s="234"/>
      <c r="B18" s="243"/>
      <c r="C18" s="243"/>
      <c r="D18" s="243"/>
      <c r="E18" s="243"/>
      <c r="F18" s="243"/>
      <c r="G18" s="250"/>
      <c r="H18" s="234"/>
      <c r="I18" s="243"/>
      <c r="J18" s="243"/>
      <c r="K18" s="234"/>
    </row>
    <row r="19" spans="1:11" ht="25.5">
      <c r="A19" s="238" t="s">
        <v>338</v>
      </c>
      <c r="B19" s="231" t="s">
        <v>13</v>
      </c>
      <c r="C19" s="232">
        <v>3.82</v>
      </c>
      <c r="D19" s="231" t="s">
        <v>13</v>
      </c>
      <c r="E19" s="232">
        <v>4.5</v>
      </c>
      <c r="F19" s="231"/>
      <c r="G19" s="232"/>
      <c r="H19" s="231"/>
      <c r="I19" s="231" t="s">
        <v>13</v>
      </c>
      <c r="J19" s="232">
        <v>3</v>
      </c>
      <c r="K19" s="231"/>
    </row>
    <row r="20" spans="1:11" ht="25.5">
      <c r="A20" s="240" t="s">
        <v>339</v>
      </c>
      <c r="B20" s="228" t="s">
        <v>13</v>
      </c>
      <c r="C20" s="229">
        <v>3.72</v>
      </c>
      <c r="D20" s="228" t="s">
        <v>13</v>
      </c>
      <c r="E20" s="229">
        <v>4.4400000000000004</v>
      </c>
      <c r="F20" s="228"/>
      <c r="G20" s="229"/>
      <c r="H20" s="228"/>
      <c r="I20" s="228" t="s">
        <v>13</v>
      </c>
      <c r="J20" s="229">
        <v>2.95</v>
      </c>
      <c r="K20" s="228"/>
    </row>
    <row r="21" spans="1:11" ht="26.25" thickBot="1">
      <c r="A21" s="238" t="s">
        <v>341</v>
      </c>
      <c r="B21" s="231"/>
      <c r="C21" s="232"/>
      <c r="D21" s="231"/>
      <c r="E21" s="232"/>
      <c r="F21" s="231"/>
      <c r="G21" s="232"/>
      <c r="H21" s="231"/>
      <c r="I21" s="231"/>
      <c r="J21" s="232"/>
      <c r="K21" s="231"/>
    </row>
    <row r="22" spans="1:11" ht="13.5" thickBot="1">
      <c r="A22" s="233" t="s">
        <v>797</v>
      </c>
      <c r="B22" s="228"/>
      <c r="C22" s="229">
        <v>109.4</v>
      </c>
      <c r="D22" s="228"/>
      <c r="E22" s="229">
        <v>151.9</v>
      </c>
      <c r="F22" s="228"/>
      <c r="G22" s="251">
        <v>56.2</v>
      </c>
      <c r="H22" s="228"/>
      <c r="I22" s="228"/>
      <c r="J22" s="229">
        <v>317.5</v>
      </c>
      <c r="K22" s="228"/>
    </row>
    <row r="23" spans="1:11" ht="13.5" thickBot="1">
      <c r="A23" s="241" t="s">
        <v>798</v>
      </c>
      <c r="B23" s="231"/>
      <c r="C23" s="232">
        <v>113.1</v>
      </c>
      <c r="D23" s="231"/>
      <c r="E23" s="232">
        <v>153.9</v>
      </c>
      <c r="F23" s="231"/>
      <c r="G23" s="251">
        <v>56.9</v>
      </c>
      <c r="H23" s="231"/>
      <c r="I23" s="231"/>
      <c r="J23" s="232">
        <v>323.89999999999998</v>
      </c>
      <c r="K23" s="231"/>
    </row>
  </sheetData>
  <phoneticPr fontId="21"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43"/>
  </sheetPr>
  <dimension ref="A1:I29"/>
  <sheetViews>
    <sheetView zoomScale="85" workbookViewId="0">
      <selection activeCell="A34" sqref="A34"/>
    </sheetView>
  </sheetViews>
  <sheetFormatPr defaultRowHeight="12.75"/>
  <cols>
    <col min="1" max="1" width="24.5703125" customWidth="1"/>
  </cols>
  <sheetData>
    <row r="1" spans="1:9">
      <c r="B1" t="s">
        <v>321</v>
      </c>
      <c r="D1" t="s">
        <v>322</v>
      </c>
      <c r="E1" t="s">
        <v>323</v>
      </c>
      <c r="H1" t="s">
        <v>342</v>
      </c>
    </row>
    <row r="2" spans="1:9" ht="13.5" thickBot="1">
      <c r="A2" s="244" t="s">
        <v>324</v>
      </c>
      <c r="B2" s="239">
        <v>1957</v>
      </c>
      <c r="C2" s="231" t="s">
        <v>13</v>
      </c>
      <c r="D2" s="239">
        <v>4645</v>
      </c>
      <c r="E2" s="231" t="s">
        <v>13</v>
      </c>
      <c r="F2" s="232" t="s">
        <v>14</v>
      </c>
      <c r="G2" s="231" t="s">
        <v>13</v>
      </c>
      <c r="H2" s="239">
        <v>6602</v>
      </c>
      <c r="I2" s="231"/>
    </row>
    <row r="3" spans="1:9">
      <c r="A3" s="234"/>
      <c r="B3" s="235"/>
      <c r="C3" s="235"/>
      <c r="D3" s="235"/>
      <c r="E3" s="235"/>
      <c r="F3" s="235"/>
      <c r="G3" s="235"/>
      <c r="H3" s="235"/>
      <c r="I3" s="234"/>
    </row>
    <row r="4" spans="1:9">
      <c r="A4" s="227" t="s">
        <v>325</v>
      </c>
      <c r="B4" s="229"/>
      <c r="C4" s="228"/>
      <c r="D4" s="229"/>
      <c r="E4" s="228"/>
      <c r="F4" s="229"/>
      <c r="G4" s="228"/>
      <c r="H4" s="229"/>
      <c r="I4" s="228"/>
    </row>
    <row r="5" spans="1:9" ht="25.5" customHeight="1">
      <c r="A5" s="230" t="s">
        <v>997</v>
      </c>
      <c r="B5" s="232">
        <v>720</v>
      </c>
      <c r="C5" s="231"/>
      <c r="D5" s="239">
        <v>1599</v>
      </c>
      <c r="E5" s="231"/>
      <c r="F5" s="232" t="s">
        <v>14</v>
      </c>
      <c r="G5" s="231"/>
      <c r="H5" s="239">
        <v>2319</v>
      </c>
      <c r="I5" s="231"/>
    </row>
    <row r="6" spans="1:9" ht="23.25" customHeight="1" thickBot="1">
      <c r="A6" s="245" t="s">
        <v>861</v>
      </c>
      <c r="B6" s="229">
        <v>297</v>
      </c>
      <c r="C6" s="228"/>
      <c r="D6" s="237">
        <v>1081</v>
      </c>
      <c r="E6" s="228"/>
      <c r="F6" s="229" t="s">
        <v>14</v>
      </c>
      <c r="G6" s="228"/>
      <c r="H6" s="237">
        <v>1378</v>
      </c>
      <c r="I6" s="228"/>
    </row>
    <row r="7" spans="1:9" ht="26.25" thickBot="1">
      <c r="A7" s="230" t="s">
        <v>999</v>
      </c>
      <c r="B7" s="232">
        <v>395</v>
      </c>
      <c r="C7" s="231"/>
      <c r="D7" s="232">
        <v>750</v>
      </c>
      <c r="E7" s="231"/>
      <c r="F7" s="251">
        <v>122</v>
      </c>
      <c r="G7" s="231"/>
      <c r="H7" s="239">
        <v>1267</v>
      </c>
      <c r="I7" s="231"/>
    </row>
    <row r="8" spans="1:9">
      <c r="A8" s="234"/>
      <c r="B8" s="235"/>
      <c r="C8" s="235"/>
      <c r="D8" s="235"/>
      <c r="E8" s="235"/>
      <c r="F8" s="250"/>
      <c r="G8" s="235"/>
      <c r="H8" s="235"/>
      <c r="I8" s="234"/>
    </row>
    <row r="9" spans="1:9" ht="13.5" thickBot="1">
      <c r="A9" s="228"/>
      <c r="B9" s="237">
        <v>1412</v>
      </c>
      <c r="C9" s="228"/>
      <c r="D9" s="237">
        <v>3430</v>
      </c>
      <c r="E9" s="228"/>
      <c r="F9" s="229">
        <v>122</v>
      </c>
      <c r="G9" s="228"/>
      <c r="H9" s="237">
        <v>4964</v>
      </c>
      <c r="I9" s="228"/>
    </row>
    <row r="10" spans="1:9">
      <c r="A10" s="234"/>
      <c r="B10" s="235"/>
      <c r="C10" s="235"/>
      <c r="D10" s="235"/>
      <c r="E10" s="235"/>
      <c r="F10" s="235"/>
      <c r="G10" s="235"/>
      <c r="H10" s="235"/>
      <c r="I10" s="234"/>
    </row>
    <row r="11" spans="1:9">
      <c r="A11" s="244" t="s">
        <v>327</v>
      </c>
      <c r="B11" s="232">
        <v>545</v>
      </c>
      <c r="C11" s="231"/>
      <c r="D11" s="239">
        <v>1215</v>
      </c>
      <c r="E11" s="231"/>
      <c r="F11" s="232" t="s">
        <v>343</v>
      </c>
      <c r="G11" s="231"/>
      <c r="H11" s="239">
        <v>1638</v>
      </c>
      <c r="I11" s="231"/>
    </row>
    <row r="12" spans="1:9" ht="26.25" thickBot="1">
      <c r="A12" s="240" t="s">
        <v>864</v>
      </c>
      <c r="B12" s="229"/>
      <c r="C12" s="228"/>
      <c r="D12" s="229"/>
      <c r="E12" s="228"/>
      <c r="F12" s="229"/>
      <c r="G12" s="228"/>
      <c r="H12" s="229"/>
      <c r="I12" s="228"/>
    </row>
    <row r="13" spans="1:9" ht="13.5" thickBot="1">
      <c r="A13" s="241" t="s">
        <v>1004</v>
      </c>
      <c r="B13" s="232" t="s">
        <v>344</v>
      </c>
      <c r="C13" s="231"/>
      <c r="D13" s="232" t="s">
        <v>345</v>
      </c>
      <c r="E13" s="231"/>
      <c r="F13" s="251">
        <v>-56</v>
      </c>
      <c r="G13" s="231"/>
      <c r="H13" s="232" t="s">
        <v>346</v>
      </c>
      <c r="I13" s="231" t="s">
        <v>313</v>
      </c>
    </row>
    <row r="14" spans="1:9" ht="13.5" thickBot="1">
      <c r="A14" s="233" t="s">
        <v>332</v>
      </c>
      <c r="B14" s="229">
        <v>26</v>
      </c>
      <c r="C14" s="228"/>
      <c r="D14" s="229">
        <v>3</v>
      </c>
      <c r="E14" s="228"/>
      <c r="F14" s="229" t="s">
        <v>14</v>
      </c>
      <c r="G14" s="228"/>
      <c r="H14" s="229">
        <v>29</v>
      </c>
      <c r="I14" s="228"/>
    </row>
    <row r="15" spans="1:9" ht="13.5" thickBot="1">
      <c r="A15" s="230" t="s">
        <v>1006</v>
      </c>
      <c r="B15" s="232" t="s">
        <v>347</v>
      </c>
      <c r="C15" s="231"/>
      <c r="D15" s="232" t="s">
        <v>348</v>
      </c>
      <c r="E15" s="231"/>
      <c r="F15" s="251">
        <v>67</v>
      </c>
      <c r="G15" s="231"/>
      <c r="H15" s="232" t="s">
        <v>349</v>
      </c>
      <c r="I15" s="231" t="s">
        <v>313</v>
      </c>
    </row>
    <row r="16" spans="1:9" ht="13.5" thickBot="1">
      <c r="A16" s="234"/>
      <c r="B16" s="235"/>
      <c r="C16" s="235"/>
      <c r="D16" s="235"/>
      <c r="E16" s="235"/>
      <c r="F16" s="250"/>
      <c r="G16" s="235"/>
      <c r="H16" s="235"/>
      <c r="I16" s="234"/>
    </row>
    <row r="17" spans="1:9" ht="13.5" thickBot="1">
      <c r="A17" s="227" t="s">
        <v>337</v>
      </c>
      <c r="B17" s="229">
        <v>266</v>
      </c>
      <c r="C17" s="228" t="s">
        <v>13</v>
      </c>
      <c r="D17" s="229">
        <v>578</v>
      </c>
      <c r="E17" s="228" t="s">
        <v>13</v>
      </c>
      <c r="F17" s="251">
        <v>-111</v>
      </c>
      <c r="G17" s="228" t="s">
        <v>13</v>
      </c>
      <c r="H17" s="229">
        <v>733</v>
      </c>
      <c r="I17" s="228"/>
    </row>
    <row r="18" spans="1:9" ht="13.5" thickTop="1">
      <c r="A18" s="234"/>
      <c r="B18" s="243"/>
      <c r="C18" s="243"/>
      <c r="D18" s="243"/>
      <c r="E18" s="243"/>
      <c r="F18" s="250"/>
      <c r="G18" s="243"/>
      <c r="H18" s="243"/>
      <c r="I18" s="234"/>
    </row>
    <row r="19" spans="1:9" ht="25.5">
      <c r="A19" s="238" t="s">
        <v>338</v>
      </c>
      <c r="B19" s="232">
        <v>2.57</v>
      </c>
      <c r="C19" s="231" t="s">
        <v>13</v>
      </c>
      <c r="D19" s="232">
        <v>3.92</v>
      </c>
      <c r="E19" s="231"/>
      <c r="F19" s="232"/>
      <c r="G19" s="231" t="s">
        <v>13</v>
      </c>
      <c r="H19" s="232">
        <v>2.4</v>
      </c>
      <c r="I19" s="231"/>
    </row>
    <row r="20" spans="1:9" ht="25.5">
      <c r="A20" s="240" t="s">
        <v>339</v>
      </c>
      <c r="B20" s="229">
        <v>2.5499999999999998</v>
      </c>
      <c r="C20" s="228" t="s">
        <v>13</v>
      </c>
      <c r="D20" s="229">
        <v>3.88</v>
      </c>
      <c r="E20" s="228"/>
      <c r="F20" s="229"/>
      <c r="G20" s="228" t="s">
        <v>13</v>
      </c>
      <c r="H20" s="229">
        <v>2.38</v>
      </c>
      <c r="I20" s="228"/>
    </row>
    <row r="21" spans="1:9" ht="25.5">
      <c r="A21" s="238" t="s">
        <v>341</v>
      </c>
      <c r="B21" s="232"/>
      <c r="C21" s="231"/>
      <c r="D21" s="232"/>
      <c r="E21" s="231"/>
      <c r="F21" s="232"/>
      <c r="G21" s="231"/>
      <c r="H21" s="232"/>
      <c r="I21" s="231"/>
    </row>
    <row r="22" spans="1:9">
      <c r="A22" s="233" t="s">
        <v>797</v>
      </c>
      <c r="B22" s="229">
        <v>103.4</v>
      </c>
      <c r="C22" s="228"/>
      <c r="D22" s="229">
        <v>147.4</v>
      </c>
      <c r="E22" s="228"/>
      <c r="F22" s="229">
        <v>54.5</v>
      </c>
      <c r="G22" s="228"/>
      <c r="H22" s="229">
        <v>305.3</v>
      </c>
      <c r="I22" s="228"/>
    </row>
    <row r="23" spans="1:9">
      <c r="A23" s="241" t="s">
        <v>798</v>
      </c>
      <c r="B23" s="232">
        <v>104.1</v>
      </c>
      <c r="C23" s="231"/>
      <c r="D23" s="232">
        <v>149</v>
      </c>
      <c r="E23" s="231"/>
      <c r="F23" s="232">
        <v>55.1</v>
      </c>
      <c r="G23" s="231"/>
      <c r="H23" s="232">
        <v>308.2</v>
      </c>
      <c r="I23" s="231"/>
    </row>
    <row r="28" spans="1:9">
      <c r="D28">
        <f>305+149</f>
        <v>454</v>
      </c>
    </row>
    <row r="29" spans="1:9">
      <c r="D29">
        <f>+D28+56</f>
        <v>510</v>
      </c>
    </row>
  </sheetData>
  <phoneticPr fontId="21"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43"/>
  </sheetPr>
  <dimension ref="A1:E90"/>
  <sheetViews>
    <sheetView workbookViewId="0">
      <selection activeCell="O133" sqref="O133"/>
    </sheetView>
  </sheetViews>
  <sheetFormatPr defaultRowHeight="12.75"/>
  <cols>
    <col min="1" max="1" width="24.28515625" customWidth="1"/>
    <col min="2" max="2" width="23.28515625" customWidth="1"/>
  </cols>
  <sheetData>
    <row r="1" spans="1:5">
      <c r="A1" s="255" t="s">
        <v>350</v>
      </c>
    </row>
    <row r="2" spans="1:5">
      <c r="A2" s="246"/>
    </row>
    <row r="3" spans="1:5">
      <c r="A3" s="256"/>
      <c r="B3" s="256"/>
    </row>
    <row r="4" spans="1:5" ht="25.5">
      <c r="A4" s="257" t="s">
        <v>351</v>
      </c>
      <c r="B4" s="257" t="s">
        <v>352</v>
      </c>
    </row>
    <row r="5" spans="1:5">
      <c r="A5" s="246"/>
    </row>
    <row r="6" spans="1:5">
      <c r="A6" s="258" t="s">
        <v>353</v>
      </c>
    </row>
    <row r="7" spans="1:5">
      <c r="A7" s="246"/>
    </row>
    <row r="8" spans="1:5">
      <c r="A8" s="258" t="s">
        <v>354</v>
      </c>
    </row>
    <row r="9" spans="1:5">
      <c r="A9" s="246"/>
    </row>
    <row r="10" spans="1:5">
      <c r="A10" s="234"/>
      <c r="B10" s="234"/>
      <c r="C10" s="259"/>
      <c r="D10" s="259"/>
      <c r="E10" s="260"/>
    </row>
    <row r="11" spans="1:5" ht="15" customHeight="1" thickBot="1">
      <c r="A11" s="238" t="s">
        <v>355</v>
      </c>
      <c r="B11" s="254"/>
      <c r="C11" s="231" t="s">
        <v>13</v>
      </c>
      <c r="D11" s="239">
        <v>4988</v>
      </c>
      <c r="E11" s="231"/>
    </row>
    <row r="12" spans="1:5" ht="13.5" thickTop="1">
      <c r="A12" s="234"/>
      <c r="B12" s="234"/>
      <c r="C12" s="243"/>
      <c r="D12" s="243"/>
      <c r="E12" s="234"/>
    </row>
    <row r="13" spans="1:5" ht="25.5" customHeight="1">
      <c r="A13" s="240" t="s">
        <v>356</v>
      </c>
      <c r="B13" s="1"/>
      <c r="C13" s="228" t="s">
        <v>13</v>
      </c>
      <c r="D13" s="229">
        <v>929</v>
      </c>
      <c r="E13" s="228"/>
    </row>
    <row r="14" spans="1:5" ht="27.75" customHeight="1">
      <c r="A14" s="238" t="s">
        <v>828</v>
      </c>
      <c r="B14" s="254"/>
      <c r="C14" s="231"/>
      <c r="D14" s="239">
        <v>7508</v>
      </c>
      <c r="E14" s="231"/>
    </row>
    <row r="15" spans="1:5" ht="18" customHeight="1">
      <c r="A15" s="240" t="s">
        <v>357</v>
      </c>
      <c r="B15" s="1"/>
      <c r="C15" s="228"/>
      <c r="D15" s="229"/>
      <c r="E15" s="228"/>
    </row>
    <row r="16" spans="1:5">
      <c r="A16" s="241" t="s">
        <v>358</v>
      </c>
      <c r="B16" s="254"/>
      <c r="C16" s="231"/>
      <c r="D16" s="239">
        <v>1300</v>
      </c>
      <c r="E16" s="231"/>
    </row>
    <row r="17" spans="1:5">
      <c r="A17" s="233" t="s">
        <v>359</v>
      </c>
      <c r="B17" s="1"/>
      <c r="C17" s="228"/>
      <c r="D17" s="229">
        <v>100</v>
      </c>
      <c r="E17" s="228"/>
    </row>
    <row r="18" spans="1:5" ht="17.25" customHeight="1">
      <c r="A18" s="238" t="s">
        <v>360</v>
      </c>
      <c r="B18" s="254"/>
      <c r="C18" s="231"/>
      <c r="D18" s="232">
        <v>44</v>
      </c>
      <c r="E18" s="231"/>
    </row>
    <row r="19" spans="1:5" ht="57.75" customHeight="1">
      <c r="A19" s="240" t="s">
        <v>361</v>
      </c>
      <c r="B19" s="1"/>
      <c r="C19" s="228"/>
      <c r="D19" s="229" t="s">
        <v>362</v>
      </c>
      <c r="E19" s="228" t="s">
        <v>313</v>
      </c>
    </row>
    <row r="20" spans="1:5">
      <c r="A20" s="244" t="s">
        <v>842</v>
      </c>
      <c r="B20" s="254"/>
      <c r="C20" s="231"/>
      <c r="D20" s="232" t="s">
        <v>363</v>
      </c>
      <c r="E20" s="231" t="s">
        <v>313</v>
      </c>
    </row>
    <row r="21" spans="1:5" ht="41.25" customHeight="1">
      <c r="A21" s="240" t="s">
        <v>843</v>
      </c>
      <c r="B21" s="1"/>
      <c r="C21" s="228"/>
      <c r="D21" s="229" t="s">
        <v>364</v>
      </c>
      <c r="E21" s="228" t="s">
        <v>313</v>
      </c>
    </row>
    <row r="22" spans="1:5" ht="13.5" thickBot="1">
      <c r="A22" s="244" t="s">
        <v>900</v>
      </c>
      <c r="B22" s="254"/>
      <c r="C22" s="231"/>
      <c r="D22" s="239">
        <v>3864</v>
      </c>
      <c r="E22" s="231"/>
    </row>
    <row r="23" spans="1:5">
      <c r="A23" s="234"/>
      <c r="B23" s="234"/>
      <c r="C23" s="235"/>
      <c r="D23" s="235"/>
      <c r="E23" s="234"/>
    </row>
    <row r="24" spans="1:5" ht="38.25" customHeight="1" thickBot="1">
      <c r="A24" s="240" t="s">
        <v>355</v>
      </c>
      <c r="B24" s="1"/>
      <c r="C24" s="228" t="s">
        <v>13</v>
      </c>
      <c r="D24" s="237">
        <v>4988</v>
      </c>
      <c r="E24" s="228"/>
    </row>
    <row r="25" spans="1:5" ht="13.5" thickTop="1">
      <c r="A25" s="234"/>
      <c r="B25" s="234"/>
      <c r="C25" s="243"/>
      <c r="D25" s="243"/>
      <c r="E25" s="234"/>
    </row>
    <row r="26" spans="1:5">
      <c r="A26" s="246"/>
    </row>
    <row r="27" spans="1:5">
      <c r="A27" s="256"/>
      <c r="B27" s="256"/>
    </row>
    <row r="28" spans="1:5">
      <c r="A28" s="257" t="s">
        <v>365</v>
      </c>
      <c r="B28" s="257" t="s">
        <v>366</v>
      </c>
    </row>
    <row r="29" spans="1:5">
      <c r="A29" s="246"/>
    </row>
    <row r="30" spans="1:5">
      <c r="A30" s="258" t="s">
        <v>368</v>
      </c>
    </row>
    <row r="31" spans="1:5">
      <c r="A31" s="246"/>
    </row>
    <row r="32" spans="1:5" ht="13.5">
      <c r="A32" s="261" t="s">
        <v>369</v>
      </c>
    </row>
    <row r="33" spans="1:1">
      <c r="A33" s="246"/>
    </row>
    <row r="34" spans="1:1">
      <c r="A34" s="258" t="s">
        <v>370</v>
      </c>
    </row>
    <row r="35" spans="1:1">
      <c r="A35" s="246"/>
    </row>
    <row r="36" spans="1:1">
      <c r="A36" s="258" t="s">
        <v>389</v>
      </c>
    </row>
    <row r="38" spans="1:1">
      <c r="A38" s="247"/>
    </row>
    <row r="39" spans="1:1">
      <c r="A39" s="248">
        <v>96</v>
      </c>
    </row>
    <row r="43" spans="1:1">
      <c r="A43" s="262" t="s">
        <v>390</v>
      </c>
    </row>
    <row r="45" spans="1:1">
      <c r="A45" s="246"/>
    </row>
    <row r="46" spans="1:1">
      <c r="A46" s="255" t="s">
        <v>391</v>
      </c>
    </row>
    <row r="47" spans="1:1">
      <c r="A47" s="246"/>
    </row>
    <row r="48" spans="1:1">
      <c r="A48" s="258" t="s">
        <v>392</v>
      </c>
    </row>
    <row r="49" spans="1:5">
      <c r="A49" s="246"/>
    </row>
    <row r="50" spans="1:5">
      <c r="A50" s="234"/>
      <c r="B50" s="234"/>
      <c r="C50" s="259"/>
      <c r="D50" s="259"/>
      <c r="E50" s="260"/>
    </row>
    <row r="51" spans="1:5">
      <c r="A51" s="263"/>
      <c r="B51" s="264"/>
      <c r="C51" s="4143" t="s">
        <v>393</v>
      </c>
      <c r="D51" s="4143"/>
      <c r="E51" s="264"/>
    </row>
    <row r="52" spans="1:5">
      <c r="A52" s="263"/>
      <c r="B52" s="264"/>
      <c r="C52" s="4143" t="s">
        <v>394</v>
      </c>
      <c r="D52" s="4143"/>
      <c r="E52" s="264"/>
    </row>
    <row r="53" spans="1:5" ht="13.5" thickBot="1">
      <c r="A53" s="263"/>
      <c r="B53" s="264"/>
      <c r="C53" s="4144" t="s">
        <v>395</v>
      </c>
      <c r="D53" s="4144"/>
      <c r="E53" s="264"/>
    </row>
    <row r="54" spans="1:5">
      <c r="A54" s="234"/>
      <c r="B54" s="253"/>
      <c r="C54" s="253"/>
      <c r="D54" s="253"/>
      <c r="E54" s="253"/>
    </row>
    <row r="55" spans="1:5" ht="22.5" customHeight="1">
      <c r="A55" s="238" t="s">
        <v>396</v>
      </c>
      <c r="B55" s="254"/>
      <c r="C55" s="231" t="s">
        <v>13</v>
      </c>
      <c r="D55" s="239">
        <v>1300</v>
      </c>
      <c r="E55" s="231"/>
    </row>
    <row r="56" spans="1:5" ht="21" customHeight="1">
      <c r="A56" s="240" t="s">
        <v>397</v>
      </c>
      <c r="B56" s="1"/>
      <c r="C56" s="228"/>
      <c r="D56" s="229">
        <v>100</v>
      </c>
      <c r="E56" s="228"/>
    </row>
    <row r="57" spans="1:5" ht="28.5" customHeight="1" thickBot="1">
      <c r="A57" s="238" t="s">
        <v>398</v>
      </c>
      <c r="B57" s="254"/>
      <c r="C57" s="231"/>
      <c r="D57" s="232" t="s">
        <v>399</v>
      </c>
      <c r="E57" s="231" t="s">
        <v>313</v>
      </c>
    </row>
    <row r="58" spans="1:5">
      <c r="A58" s="234"/>
      <c r="B58" s="234"/>
      <c r="C58" s="235"/>
      <c r="D58" s="235"/>
      <c r="E58" s="234"/>
    </row>
    <row r="59" spans="1:5" ht="34.5" customHeight="1" thickBot="1">
      <c r="A59" s="240" t="s">
        <v>400</v>
      </c>
      <c r="B59" s="1"/>
      <c r="C59" s="228" t="s">
        <v>13</v>
      </c>
      <c r="D59" s="237">
        <v>1214</v>
      </c>
      <c r="E59" s="228"/>
    </row>
    <row r="60" spans="1:5" ht="13.5" thickTop="1">
      <c r="A60" s="234"/>
      <c r="B60" s="234"/>
      <c r="C60" s="243"/>
      <c r="D60" s="243"/>
      <c r="E60" s="234"/>
    </row>
    <row r="61" spans="1:5">
      <c r="A61" s="246"/>
    </row>
    <row r="62" spans="1:5">
      <c r="A62" s="258" t="s">
        <v>401</v>
      </c>
    </row>
    <row r="63" spans="1:5">
      <c r="A63" s="246"/>
    </row>
    <row r="64" spans="1:5">
      <c r="A64" s="258" t="s">
        <v>402</v>
      </c>
    </row>
    <row r="65" spans="1:5">
      <c r="A65" s="246"/>
    </row>
    <row r="66" spans="1:5">
      <c r="A66" s="234"/>
      <c r="B66" s="234"/>
      <c r="C66" s="259"/>
      <c r="D66" s="259"/>
      <c r="E66" s="260"/>
    </row>
    <row r="67" spans="1:5">
      <c r="A67" s="263"/>
      <c r="B67" s="264"/>
      <c r="C67" s="4143" t="s">
        <v>403</v>
      </c>
      <c r="D67" s="4143"/>
      <c r="E67" s="264"/>
    </row>
    <row r="68" spans="1:5">
      <c r="A68" s="263"/>
      <c r="B68" s="264"/>
      <c r="C68" s="4143" t="s">
        <v>404</v>
      </c>
      <c r="D68" s="4143"/>
      <c r="E68" s="264"/>
    </row>
    <row r="69" spans="1:5" ht="13.5" thickBot="1">
      <c r="A69" s="263"/>
      <c r="B69" s="264"/>
      <c r="C69" s="4144" t="s">
        <v>405</v>
      </c>
      <c r="D69" s="4144"/>
      <c r="E69" s="264"/>
    </row>
    <row r="70" spans="1:5">
      <c r="A70" s="234"/>
      <c r="B70" s="253"/>
      <c r="C70" s="253"/>
      <c r="D70" s="253"/>
      <c r="E70" s="253"/>
    </row>
    <row r="71" spans="1:5" ht="60.75" customHeight="1">
      <c r="A71" s="238" t="s">
        <v>406</v>
      </c>
      <c r="B71" s="254"/>
      <c r="C71" s="231" t="s">
        <v>13</v>
      </c>
      <c r="D71" s="232" t="s">
        <v>407</v>
      </c>
      <c r="E71" s="231" t="s">
        <v>313</v>
      </c>
    </row>
    <row r="72" spans="1:5" ht="45" customHeight="1">
      <c r="A72" s="240" t="s">
        <v>408</v>
      </c>
      <c r="B72" s="1"/>
      <c r="C72" s="228"/>
      <c r="D72" s="229"/>
      <c r="E72" s="228"/>
    </row>
    <row r="73" spans="1:5" ht="30" customHeight="1">
      <c r="A73" s="230" t="s">
        <v>409</v>
      </c>
      <c r="B73" s="254"/>
      <c r="C73" s="231"/>
      <c r="D73" s="232" t="s">
        <v>410</v>
      </c>
      <c r="E73" s="231" t="s">
        <v>313</v>
      </c>
    </row>
    <row r="74" spans="1:5">
      <c r="A74" s="233" t="s">
        <v>842</v>
      </c>
      <c r="B74" s="1"/>
      <c r="C74" s="228"/>
      <c r="D74" s="229" t="s">
        <v>411</v>
      </c>
      <c r="E74" s="228" t="s">
        <v>313</v>
      </c>
    </row>
    <row r="75" spans="1:5" ht="48.75" customHeight="1" thickBot="1">
      <c r="A75" s="230" t="s">
        <v>412</v>
      </c>
      <c r="B75" s="254"/>
      <c r="C75" s="231"/>
      <c r="D75" s="232">
        <v>218</v>
      </c>
      <c r="E75" s="231"/>
    </row>
    <row r="76" spans="1:5">
      <c r="A76" s="234"/>
      <c r="B76" s="234"/>
      <c r="C76" s="235"/>
      <c r="D76" s="235"/>
      <c r="E76" s="234"/>
    </row>
    <row r="77" spans="1:5" ht="63.75" customHeight="1" thickBot="1">
      <c r="A77" s="236" t="s">
        <v>400</v>
      </c>
      <c r="B77" s="1"/>
      <c r="C77" s="228" t="s">
        <v>13</v>
      </c>
      <c r="D77" s="229" t="s">
        <v>413</v>
      </c>
      <c r="E77" s="228" t="s">
        <v>313</v>
      </c>
    </row>
    <row r="78" spans="1:5" ht="13.5" thickTop="1">
      <c r="A78" s="234"/>
      <c r="B78" s="234"/>
      <c r="C78" s="243"/>
      <c r="D78" s="243"/>
      <c r="E78" s="234"/>
    </row>
    <row r="79" spans="1:5">
      <c r="A79" s="246"/>
    </row>
    <row r="80" spans="1:5">
      <c r="A80" s="258" t="s">
        <v>415</v>
      </c>
    </row>
    <row r="81" spans="1:1">
      <c r="A81" s="246"/>
    </row>
    <row r="82" spans="1:1" ht="13.5">
      <c r="A82" s="261" t="s">
        <v>416</v>
      </c>
    </row>
    <row r="83" spans="1:1">
      <c r="A83" s="246"/>
    </row>
    <row r="84" spans="1:1">
      <c r="A84" s="258" t="s">
        <v>417</v>
      </c>
    </row>
    <row r="85" spans="1:1">
      <c r="A85" s="246"/>
    </row>
    <row r="86" spans="1:1">
      <c r="A86" s="258" t="s">
        <v>424</v>
      </c>
    </row>
    <row r="87" spans="1:1">
      <c r="A87" s="246"/>
    </row>
    <row r="88" spans="1:1">
      <c r="A88" s="258" t="s">
        <v>425</v>
      </c>
    </row>
    <row r="89" spans="1:1">
      <c r="A89" s="246"/>
    </row>
    <row r="90" spans="1:1">
      <c r="A90" s="258" t="s">
        <v>429</v>
      </c>
    </row>
  </sheetData>
  <mergeCells count="6">
    <mergeCell ref="C68:D68"/>
    <mergeCell ref="C69:D69"/>
    <mergeCell ref="C51:D51"/>
    <mergeCell ref="C52:D52"/>
    <mergeCell ref="C53:D53"/>
    <mergeCell ref="C67:D67"/>
  </mergeCells>
  <phoneticPr fontId="21" type="noConversion"/>
  <hyperlinks>
    <hyperlink ref="A43" r:id="rId1" location="tocpage" display="C:\Users\spencerg\AppData\Roaming\Microsoft\Excel\却伶갴佌꼤䬄֤䬅_x000d_侶偺构侶ꛄ侔ᲄ侶Ȅ䬅꾤䬄 - tocpage"/>
  </hyperlinks>
  <pageMargins left="0.75" right="0.75" top="1" bottom="1" header="0.5" footer="0.5"/>
  <pageSetup orientation="portrait" r:id="rId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403"/>
  <sheetViews>
    <sheetView showGridLines="0" tabSelected="1" topLeftCell="A16" workbookViewId="0">
      <selection activeCell="A29" sqref="A29"/>
    </sheetView>
  </sheetViews>
  <sheetFormatPr defaultRowHeight="12.75"/>
  <cols>
    <col min="1" max="1" width="25.7109375" style="4121" customWidth="1"/>
    <col min="2" max="5" width="9.140625" style="4121"/>
    <col min="6" max="6" width="18.7109375" style="4121" customWidth="1"/>
    <col min="7" max="256" width="9.140625" style="4121"/>
    <col min="257" max="257" width="100.7109375" style="4121" customWidth="1"/>
    <col min="258" max="512" width="9.140625" style="4121"/>
    <col min="513" max="513" width="100.7109375" style="4121" customWidth="1"/>
    <col min="514" max="768" width="9.140625" style="4121"/>
    <col min="769" max="769" width="100.7109375" style="4121" customWidth="1"/>
    <col min="770" max="1024" width="9.140625" style="4121"/>
    <col min="1025" max="1025" width="100.7109375" style="4121" customWidth="1"/>
    <col min="1026" max="1280" width="9.140625" style="4121"/>
    <col min="1281" max="1281" width="100.7109375" style="4121" customWidth="1"/>
    <col min="1282" max="1536" width="9.140625" style="4121"/>
    <col min="1537" max="1537" width="100.7109375" style="4121" customWidth="1"/>
    <col min="1538" max="1792" width="9.140625" style="4121"/>
    <col min="1793" max="1793" width="100.7109375" style="4121" customWidth="1"/>
    <col min="1794" max="2048" width="9.140625" style="4121"/>
    <col min="2049" max="2049" width="100.7109375" style="4121" customWidth="1"/>
    <col min="2050" max="2304" width="9.140625" style="4121"/>
    <col min="2305" max="2305" width="100.7109375" style="4121" customWidth="1"/>
    <col min="2306" max="2560" width="9.140625" style="4121"/>
    <col min="2561" max="2561" width="100.7109375" style="4121" customWidth="1"/>
    <col min="2562" max="2816" width="9.140625" style="4121"/>
    <col min="2817" max="2817" width="100.7109375" style="4121" customWidth="1"/>
    <col min="2818" max="3072" width="9.140625" style="4121"/>
    <col min="3073" max="3073" width="100.7109375" style="4121" customWidth="1"/>
    <col min="3074" max="3328" width="9.140625" style="4121"/>
    <col min="3329" max="3329" width="100.7109375" style="4121" customWidth="1"/>
    <col min="3330" max="3584" width="9.140625" style="4121"/>
    <col min="3585" max="3585" width="100.7109375" style="4121" customWidth="1"/>
    <col min="3586" max="3840" width="9.140625" style="4121"/>
    <col min="3841" max="3841" width="100.7109375" style="4121" customWidth="1"/>
    <col min="3842" max="4096" width="9.140625" style="4121"/>
    <col min="4097" max="4097" width="100.7109375" style="4121" customWidth="1"/>
    <col min="4098" max="4352" width="9.140625" style="4121"/>
    <col min="4353" max="4353" width="100.7109375" style="4121" customWidth="1"/>
    <col min="4354" max="4608" width="9.140625" style="4121"/>
    <col min="4609" max="4609" width="100.7109375" style="4121" customWidth="1"/>
    <col min="4610" max="4864" width="9.140625" style="4121"/>
    <col min="4865" max="4865" width="100.7109375" style="4121" customWidth="1"/>
    <col min="4866" max="5120" width="9.140625" style="4121"/>
    <col min="5121" max="5121" width="100.7109375" style="4121" customWidth="1"/>
    <col min="5122" max="5376" width="9.140625" style="4121"/>
    <col min="5377" max="5377" width="100.7109375" style="4121" customWidth="1"/>
    <col min="5378" max="5632" width="9.140625" style="4121"/>
    <col min="5633" max="5633" width="100.7109375" style="4121" customWidth="1"/>
    <col min="5634" max="5888" width="9.140625" style="4121"/>
    <col min="5889" max="5889" width="100.7109375" style="4121" customWidth="1"/>
    <col min="5890" max="6144" width="9.140625" style="4121"/>
    <col min="6145" max="6145" width="100.7109375" style="4121" customWidth="1"/>
    <col min="6146" max="6400" width="9.140625" style="4121"/>
    <col min="6401" max="6401" width="100.7109375" style="4121" customWidth="1"/>
    <col min="6402" max="6656" width="9.140625" style="4121"/>
    <col min="6657" max="6657" width="100.7109375" style="4121" customWidth="1"/>
    <col min="6658" max="6912" width="9.140625" style="4121"/>
    <col min="6913" max="6913" width="100.7109375" style="4121" customWidth="1"/>
    <col min="6914" max="7168" width="9.140625" style="4121"/>
    <col min="7169" max="7169" width="100.7109375" style="4121" customWidth="1"/>
    <col min="7170" max="7424" width="9.140625" style="4121"/>
    <col min="7425" max="7425" width="100.7109375" style="4121" customWidth="1"/>
    <col min="7426" max="7680" width="9.140625" style="4121"/>
    <col min="7681" max="7681" width="100.7109375" style="4121" customWidth="1"/>
    <col min="7682" max="7936" width="9.140625" style="4121"/>
    <col min="7937" max="7937" width="100.7109375" style="4121" customWidth="1"/>
    <col min="7938" max="8192" width="9.140625" style="4121"/>
    <col min="8193" max="8193" width="100.7109375" style="4121" customWidth="1"/>
    <col min="8194" max="8448" width="9.140625" style="4121"/>
    <col min="8449" max="8449" width="100.7109375" style="4121" customWidth="1"/>
    <col min="8450" max="8704" width="9.140625" style="4121"/>
    <col min="8705" max="8705" width="100.7109375" style="4121" customWidth="1"/>
    <col min="8706" max="8960" width="9.140625" style="4121"/>
    <col min="8961" max="8961" width="100.7109375" style="4121" customWidth="1"/>
    <col min="8962" max="9216" width="9.140625" style="4121"/>
    <col min="9217" max="9217" width="100.7109375" style="4121" customWidth="1"/>
    <col min="9218" max="9472" width="9.140625" style="4121"/>
    <col min="9473" max="9473" width="100.7109375" style="4121" customWidth="1"/>
    <col min="9474" max="9728" width="9.140625" style="4121"/>
    <col min="9729" max="9729" width="100.7109375" style="4121" customWidth="1"/>
    <col min="9730" max="9984" width="9.140625" style="4121"/>
    <col min="9985" max="9985" width="100.7109375" style="4121" customWidth="1"/>
    <col min="9986" max="10240" width="9.140625" style="4121"/>
    <col min="10241" max="10241" width="100.7109375" style="4121" customWidth="1"/>
    <col min="10242" max="10496" width="9.140625" style="4121"/>
    <col min="10497" max="10497" width="100.7109375" style="4121" customWidth="1"/>
    <col min="10498" max="10752" width="9.140625" style="4121"/>
    <col min="10753" max="10753" width="100.7109375" style="4121" customWidth="1"/>
    <col min="10754" max="11008" width="9.140625" style="4121"/>
    <col min="11009" max="11009" width="100.7109375" style="4121" customWidth="1"/>
    <col min="11010" max="11264" width="9.140625" style="4121"/>
    <col min="11265" max="11265" width="100.7109375" style="4121" customWidth="1"/>
    <col min="11266" max="11520" width="9.140625" style="4121"/>
    <col min="11521" max="11521" width="100.7109375" style="4121" customWidth="1"/>
    <col min="11522" max="11776" width="9.140625" style="4121"/>
    <col min="11777" max="11777" width="100.7109375" style="4121" customWidth="1"/>
    <col min="11778" max="12032" width="9.140625" style="4121"/>
    <col min="12033" max="12033" width="100.7109375" style="4121" customWidth="1"/>
    <col min="12034" max="12288" width="9.140625" style="4121"/>
    <col min="12289" max="12289" width="100.7109375" style="4121" customWidth="1"/>
    <col min="12290" max="12544" width="9.140625" style="4121"/>
    <col min="12545" max="12545" width="100.7109375" style="4121" customWidth="1"/>
    <col min="12546" max="12800" width="9.140625" style="4121"/>
    <col min="12801" max="12801" width="100.7109375" style="4121" customWidth="1"/>
    <col min="12802" max="13056" width="9.140625" style="4121"/>
    <col min="13057" max="13057" width="100.7109375" style="4121" customWidth="1"/>
    <col min="13058" max="13312" width="9.140625" style="4121"/>
    <col min="13313" max="13313" width="100.7109375" style="4121" customWidth="1"/>
    <col min="13314" max="13568" width="9.140625" style="4121"/>
    <col min="13569" max="13569" width="100.7109375" style="4121" customWidth="1"/>
    <col min="13570" max="13824" width="9.140625" style="4121"/>
    <col min="13825" max="13825" width="100.7109375" style="4121" customWidth="1"/>
    <col min="13826" max="14080" width="9.140625" style="4121"/>
    <col min="14081" max="14081" width="100.7109375" style="4121" customWidth="1"/>
    <col min="14082" max="14336" width="9.140625" style="4121"/>
    <col min="14337" max="14337" width="100.7109375" style="4121" customWidth="1"/>
    <col min="14338" max="14592" width="9.140625" style="4121"/>
    <col min="14593" max="14593" width="100.7109375" style="4121" customWidth="1"/>
    <col min="14594" max="14848" width="9.140625" style="4121"/>
    <col min="14849" max="14849" width="100.7109375" style="4121" customWidth="1"/>
    <col min="14850" max="15104" width="9.140625" style="4121"/>
    <col min="15105" max="15105" width="100.7109375" style="4121" customWidth="1"/>
    <col min="15106" max="15360" width="9.140625" style="4121"/>
    <col min="15361" max="15361" width="100.7109375" style="4121" customWidth="1"/>
    <col min="15362" max="15616" width="9.140625" style="4121"/>
    <col min="15617" max="15617" width="100.7109375" style="4121" customWidth="1"/>
    <col min="15618" max="15872" width="9.140625" style="4121"/>
    <col min="15873" max="15873" width="100.7109375" style="4121" customWidth="1"/>
    <col min="15874" max="16128" width="9.140625" style="4121"/>
    <col min="16129" max="16129" width="100.7109375" style="4121" customWidth="1"/>
    <col min="16130" max="16384" width="9.140625" style="4121"/>
  </cols>
  <sheetData>
    <row r="1" spans="1:8" ht="30" customHeight="1">
      <c r="A1" s="4119"/>
      <c r="B1" s="4120"/>
      <c r="C1" s="4120"/>
      <c r="D1" s="4120"/>
      <c r="E1" s="4120"/>
      <c r="F1" s="4120"/>
      <c r="G1" s="4120"/>
      <c r="H1" s="4120"/>
    </row>
    <row r="2" spans="1:8" ht="14.25">
      <c r="A2" s="4122" t="s">
        <v>2083</v>
      </c>
      <c r="B2" s="4120"/>
      <c r="C2" s="4120"/>
      <c r="D2" s="4120"/>
      <c r="E2" s="4120"/>
      <c r="F2" s="4120"/>
      <c r="G2" s="4120"/>
      <c r="H2" s="4120"/>
    </row>
    <row r="3" spans="1:8" ht="14.25">
      <c r="A3" s="4122" t="s">
        <v>2084</v>
      </c>
      <c r="B3" s="4120"/>
      <c r="C3" s="4120"/>
      <c r="D3" s="4120"/>
      <c r="E3" s="4120"/>
      <c r="F3" s="4120"/>
      <c r="G3" s="4120"/>
      <c r="H3" s="4120"/>
    </row>
    <row r="4" spans="1:8" ht="14.25">
      <c r="A4" s="4122" t="s">
        <v>2085</v>
      </c>
      <c r="B4" s="4120"/>
      <c r="C4" s="4120"/>
      <c r="D4" s="4120"/>
      <c r="E4" s="4120"/>
      <c r="F4" s="4120"/>
      <c r="G4" s="4120"/>
      <c r="H4" s="4120"/>
    </row>
    <row r="5" spans="1:8" ht="14.25">
      <c r="A5" s="4122" t="s">
        <v>2086</v>
      </c>
      <c r="B5" s="4120"/>
      <c r="C5" s="4120"/>
      <c r="D5" s="4120"/>
      <c r="E5" s="4120"/>
      <c r="F5" s="4120"/>
      <c r="G5" s="4120"/>
      <c r="H5" s="4120"/>
    </row>
    <row r="6" spans="1:8" ht="14.25">
      <c r="A6" s="4122"/>
      <c r="B6" s="4120"/>
      <c r="C6" s="4120"/>
      <c r="D6" s="4120"/>
      <c r="E6" s="4120"/>
      <c r="F6" s="4120"/>
      <c r="G6" s="4120"/>
      <c r="H6" s="4120"/>
    </row>
    <row r="7" spans="1:8">
      <c r="A7" s="4119" t="s">
        <v>2087</v>
      </c>
      <c r="B7" s="4120"/>
      <c r="C7" s="4120"/>
      <c r="D7" s="4120"/>
      <c r="E7" s="4120"/>
      <c r="F7" s="4120"/>
      <c r="G7" s="4120"/>
      <c r="H7" s="4120"/>
    </row>
    <row r="8" spans="1:8">
      <c r="A8" s="4119" t="s">
        <v>2088</v>
      </c>
      <c r="B8" s="4120"/>
      <c r="C8" s="4120"/>
      <c r="D8" s="4120"/>
      <c r="E8" s="4120"/>
      <c r="F8" s="4120"/>
      <c r="G8" s="4120"/>
      <c r="H8" s="4120"/>
    </row>
    <row r="9" spans="1:8">
      <c r="A9" s="4119"/>
      <c r="B9" s="4120"/>
      <c r="C9" s="4120"/>
      <c r="D9" s="4120"/>
      <c r="E9" s="4120"/>
      <c r="F9" s="4120"/>
      <c r="G9" s="4120"/>
      <c r="H9" s="4120"/>
    </row>
    <row r="10" spans="1:8">
      <c r="A10" s="4123" t="s">
        <v>2089</v>
      </c>
      <c r="B10" s="4120"/>
      <c r="C10" s="4120"/>
      <c r="D10" s="4120"/>
      <c r="E10" s="4120"/>
      <c r="F10" s="4120"/>
      <c r="G10" s="4120"/>
      <c r="H10" s="4120"/>
    </row>
    <row r="11" spans="1:8">
      <c r="A11" s="4123" t="s">
        <v>2090</v>
      </c>
      <c r="B11" s="4120"/>
      <c r="C11" s="4120"/>
      <c r="D11" s="4120"/>
      <c r="E11" s="4120"/>
      <c r="F11" s="4120"/>
      <c r="G11" s="4120"/>
      <c r="H11" s="4120"/>
    </row>
    <row r="12" spans="1:8">
      <c r="A12" s="4123" t="s">
        <v>2091</v>
      </c>
      <c r="B12" s="4120"/>
      <c r="C12" s="4120"/>
      <c r="D12" s="4120"/>
      <c r="E12" s="4120"/>
      <c r="F12" s="4120"/>
      <c r="G12" s="4120"/>
      <c r="H12" s="4120"/>
    </row>
    <row r="13" spans="1:8">
      <c r="A13" s="4123" t="s">
        <v>2092</v>
      </c>
      <c r="B13" s="4120"/>
      <c r="C13" s="4120"/>
      <c r="D13" s="4120"/>
      <c r="E13" s="4120"/>
      <c r="F13" s="4120"/>
      <c r="G13" s="4120"/>
      <c r="H13" s="4120"/>
    </row>
    <row r="14" spans="1:8">
      <c r="A14" s="4123" t="s">
        <v>2093</v>
      </c>
      <c r="B14" s="4120"/>
      <c r="C14" s="4120"/>
      <c r="D14" s="4120"/>
      <c r="E14" s="4120"/>
      <c r="F14" s="4120"/>
      <c r="G14" s="4120"/>
      <c r="H14" s="4120"/>
    </row>
    <row r="15" spans="1:8">
      <c r="A15" s="4123" t="s">
        <v>2094</v>
      </c>
      <c r="B15" s="4120"/>
      <c r="C15" s="4120"/>
      <c r="D15" s="4120"/>
      <c r="E15" s="4120"/>
      <c r="F15" s="4120"/>
      <c r="G15" s="4120"/>
      <c r="H15" s="4120"/>
    </row>
    <row r="16" spans="1:8">
      <c r="A16" s="4123"/>
      <c r="B16" s="4120"/>
      <c r="C16" s="4120"/>
      <c r="D16" s="4120"/>
      <c r="E16" s="4120"/>
      <c r="F16" s="4120"/>
      <c r="G16" s="4120"/>
      <c r="H16" s="4120"/>
    </row>
    <row r="17" spans="1:8">
      <c r="A17" s="4123" t="s">
        <v>2080</v>
      </c>
      <c r="B17" s="4120"/>
      <c r="C17" s="4120"/>
      <c r="D17" s="4120"/>
      <c r="E17" s="4120"/>
      <c r="F17" s="4120"/>
      <c r="G17" s="4120"/>
      <c r="H17" s="4120"/>
    </row>
    <row r="18" spans="1:8">
      <c r="A18" s="4123"/>
      <c r="B18" s="4120"/>
      <c r="C18" s="4120"/>
      <c r="D18" s="4120"/>
      <c r="E18" s="4120"/>
      <c r="F18" s="4120"/>
      <c r="G18" s="4120"/>
      <c r="H18" s="4120"/>
    </row>
    <row r="19" spans="1:8">
      <c r="A19" s="4123" t="s">
        <v>2081</v>
      </c>
      <c r="B19" s="4120"/>
      <c r="C19" s="4120"/>
      <c r="D19" s="4120"/>
      <c r="E19" s="4120"/>
      <c r="F19" s="4120"/>
      <c r="G19" s="4120"/>
      <c r="H19" s="4120"/>
    </row>
    <row r="20" spans="1:8">
      <c r="A20" s="4119"/>
      <c r="B20" s="4120"/>
      <c r="C20" s="4120"/>
      <c r="D20" s="4120"/>
      <c r="E20" s="4120"/>
      <c r="F20" s="4120"/>
      <c r="G20" s="4120"/>
      <c r="H20" s="4120"/>
    </row>
    <row r="21" spans="1:8">
      <c r="A21" s="4124" t="s">
        <v>2082</v>
      </c>
      <c r="B21" s="4120"/>
      <c r="C21" s="4120"/>
      <c r="D21" s="4120"/>
      <c r="E21" s="4120"/>
      <c r="F21" s="4120"/>
      <c r="G21" s="4120"/>
      <c r="H21" s="4120"/>
    </row>
    <row r="22" spans="1:8">
      <c r="A22" s="4120"/>
      <c r="B22" s="4120"/>
      <c r="C22" s="4120"/>
      <c r="D22" s="4120"/>
      <c r="E22" s="4120"/>
      <c r="F22" s="4120"/>
      <c r="G22" s="4120"/>
      <c r="H22" s="4120"/>
    </row>
    <row r="23" spans="1:8">
      <c r="A23" s="4125" t="s">
        <v>2377</v>
      </c>
      <c r="B23" s="4120"/>
      <c r="C23" s="4120"/>
      <c r="D23" s="4120"/>
      <c r="E23" s="4120"/>
      <c r="F23" s="4120"/>
      <c r="G23" s="4120"/>
      <c r="H23" s="4120"/>
    </row>
    <row r="24" spans="1:8">
      <c r="A24" s="4125" t="s">
        <v>2378</v>
      </c>
      <c r="B24" s="4120"/>
      <c r="C24" s="4120"/>
      <c r="D24" s="4120"/>
      <c r="E24" s="4120"/>
      <c r="F24" s="4120"/>
      <c r="G24" s="4120"/>
      <c r="H24" s="4120"/>
    </row>
    <row r="25" spans="1:8">
      <c r="A25" s="4125" t="s">
        <v>2379</v>
      </c>
      <c r="B25" s="4120"/>
      <c r="C25" s="4120"/>
      <c r="D25" s="4120"/>
      <c r="E25" s="4120"/>
      <c r="F25" s="4120"/>
      <c r="G25" s="4120"/>
      <c r="H25" s="4120"/>
    </row>
    <row r="26" spans="1:8">
      <c r="A26" s="4125" t="s">
        <v>2380</v>
      </c>
      <c r="B26" s="4120"/>
      <c r="C26" s="4120"/>
      <c r="D26" s="4120"/>
      <c r="E26" s="4120"/>
      <c r="F26" s="4120"/>
      <c r="G26" s="4120"/>
      <c r="H26" s="4120"/>
    </row>
    <row r="27" spans="1:8">
      <c r="A27" s="4120"/>
      <c r="B27" s="4120"/>
      <c r="C27" s="4120"/>
      <c r="D27" s="4120"/>
      <c r="E27" s="4120"/>
      <c r="F27" s="4120"/>
      <c r="G27" s="4120"/>
      <c r="H27" s="4120"/>
    </row>
    <row r="28" spans="1:8">
      <c r="A28" s="4120"/>
      <c r="B28" s="4120"/>
      <c r="C28" s="4120"/>
      <c r="D28" s="4120"/>
      <c r="E28" s="4120"/>
      <c r="F28" s="4120"/>
      <c r="G28" s="4120"/>
      <c r="H28" s="4120"/>
    </row>
    <row r="29" spans="1:8">
      <c r="A29" s="4125" t="s">
        <v>2372</v>
      </c>
      <c r="B29" s="4120"/>
      <c r="C29" s="4120"/>
      <c r="D29" s="4120"/>
      <c r="E29" s="4120"/>
      <c r="F29" s="4120"/>
      <c r="G29" s="4120"/>
      <c r="H29" s="4120"/>
    </row>
    <row r="30" spans="1:8">
      <c r="A30" s="4125" t="s">
        <v>2373</v>
      </c>
      <c r="B30" s="4120"/>
      <c r="C30" s="4120"/>
      <c r="D30" s="4120"/>
      <c r="E30" s="4120"/>
      <c r="F30" s="4120"/>
      <c r="G30" s="4120"/>
      <c r="H30" s="4120"/>
    </row>
    <row r="31" spans="1:8">
      <c r="A31" s="4125" t="s">
        <v>2374</v>
      </c>
      <c r="B31" s="4120"/>
      <c r="C31" s="4120"/>
      <c r="D31" s="4120"/>
      <c r="E31" s="4120"/>
      <c r="F31" s="4120"/>
      <c r="G31" s="4120"/>
      <c r="H31" s="4120"/>
    </row>
    <row r="32" spans="1:8">
      <c r="A32" s="4125" t="s">
        <v>2375</v>
      </c>
      <c r="B32" s="4120"/>
      <c r="C32" s="4120"/>
      <c r="D32" s="4120"/>
      <c r="E32" s="4120"/>
      <c r="F32" s="4120"/>
      <c r="G32" s="4120"/>
      <c r="H32" s="4120"/>
    </row>
    <row r="33" spans="1:8">
      <c r="A33" s="4125" t="s">
        <v>2376</v>
      </c>
      <c r="B33" s="4120"/>
      <c r="C33" s="4120"/>
      <c r="D33" s="4120"/>
      <c r="E33" s="4120"/>
      <c r="F33" s="4120"/>
      <c r="G33" s="4120"/>
      <c r="H33" s="4120"/>
    </row>
    <row r="34" spans="1:8">
      <c r="A34" s="4120"/>
      <c r="B34" s="4120"/>
      <c r="C34" s="4120"/>
      <c r="D34" s="4120"/>
      <c r="E34" s="4120"/>
      <c r="F34" s="4120"/>
      <c r="G34" s="4120"/>
      <c r="H34" s="4120"/>
    </row>
    <row r="35" spans="1:8">
      <c r="A35" s="4125" t="s">
        <v>2368</v>
      </c>
      <c r="B35" s="4120"/>
      <c r="C35" s="4120"/>
      <c r="D35" s="4120"/>
      <c r="E35" s="4120"/>
      <c r="F35" s="4120"/>
      <c r="G35" s="4120"/>
      <c r="H35" s="4120"/>
    </row>
    <row r="36" spans="1:8">
      <c r="A36" s="4125" t="s">
        <v>2369</v>
      </c>
      <c r="B36" s="4120"/>
      <c r="C36" s="4120"/>
      <c r="D36" s="4120"/>
      <c r="E36" s="4120"/>
      <c r="F36" s="4120"/>
      <c r="G36" s="4120"/>
      <c r="H36" s="4120"/>
    </row>
    <row r="37" spans="1:8">
      <c r="A37" s="4125" t="s">
        <v>2370</v>
      </c>
      <c r="B37" s="4120"/>
      <c r="C37" s="4120"/>
      <c r="D37" s="4120"/>
      <c r="E37" s="4120"/>
      <c r="F37" s="4120"/>
      <c r="G37" s="4120"/>
      <c r="H37" s="4120"/>
    </row>
    <row r="38" spans="1:8">
      <c r="A38" s="4125" t="s">
        <v>2371</v>
      </c>
      <c r="B38" s="4120"/>
      <c r="C38" s="4120"/>
      <c r="D38" s="4120"/>
      <c r="E38" s="4120"/>
      <c r="F38" s="4120"/>
      <c r="G38" s="4120"/>
      <c r="H38" s="4120"/>
    </row>
    <row r="39" spans="1:8">
      <c r="A39" s="4120"/>
      <c r="B39" s="4120"/>
      <c r="C39" s="4120"/>
      <c r="D39" s="4120"/>
      <c r="E39" s="4120"/>
      <c r="F39" s="4120"/>
      <c r="G39" s="4120"/>
      <c r="H39" s="4120"/>
    </row>
    <row r="40" spans="1:8">
      <c r="A40" s="4125" t="s">
        <v>2362</v>
      </c>
      <c r="B40" s="4120"/>
      <c r="C40" s="4120"/>
      <c r="D40" s="4120"/>
      <c r="E40" s="4120"/>
      <c r="F40" s="4120"/>
      <c r="G40" s="4120"/>
      <c r="H40" s="4120"/>
    </row>
    <row r="41" spans="1:8">
      <c r="A41" s="4125" t="s">
        <v>2363</v>
      </c>
      <c r="B41" s="4120"/>
      <c r="C41" s="4120"/>
      <c r="D41" s="4120"/>
      <c r="E41" s="4120"/>
      <c r="F41" s="4120"/>
      <c r="G41" s="4120"/>
      <c r="H41" s="4120"/>
    </row>
    <row r="42" spans="1:8">
      <c r="A42" s="4125" t="s">
        <v>2364</v>
      </c>
      <c r="B42" s="4120"/>
      <c r="C42" s="4120"/>
      <c r="D42" s="4120"/>
      <c r="E42" s="4120"/>
      <c r="F42" s="4120"/>
      <c r="G42" s="4120"/>
      <c r="H42" s="4120"/>
    </row>
    <row r="43" spans="1:8">
      <c r="A43" s="4125" t="s">
        <v>2365</v>
      </c>
      <c r="B43" s="4120"/>
      <c r="C43" s="4120"/>
      <c r="D43" s="4120"/>
      <c r="E43" s="4120"/>
      <c r="F43" s="4120"/>
      <c r="G43" s="4120"/>
      <c r="H43" s="4120"/>
    </row>
    <row r="44" spans="1:8">
      <c r="A44" s="4125" t="s">
        <v>2366</v>
      </c>
      <c r="B44" s="4120"/>
      <c r="C44" s="4120"/>
      <c r="D44" s="4120"/>
      <c r="E44" s="4120"/>
      <c r="F44" s="4120"/>
      <c r="G44" s="4120"/>
      <c r="H44" s="4120"/>
    </row>
    <row r="45" spans="1:8">
      <c r="A45" s="4125" t="s">
        <v>2367</v>
      </c>
      <c r="B45" s="4120"/>
      <c r="C45" s="4120"/>
      <c r="D45" s="4120"/>
      <c r="E45" s="4120"/>
      <c r="F45" s="4120"/>
      <c r="G45" s="4120"/>
      <c r="H45" s="4120"/>
    </row>
    <row r="46" spans="1:8">
      <c r="A46" s="4138"/>
      <c r="B46" s="4140"/>
      <c r="C46" s="4140"/>
      <c r="D46" s="4140"/>
      <c r="E46" s="4140"/>
      <c r="F46" s="4140"/>
      <c r="G46" s="4140"/>
      <c r="H46" s="4140"/>
    </row>
    <row r="47" spans="1:8">
      <c r="A47" s="4179" t="s">
        <v>2455</v>
      </c>
      <c r="B47" s="4140"/>
      <c r="C47" s="4140"/>
      <c r="D47" s="4140"/>
      <c r="E47" s="4140"/>
      <c r="F47" s="4140"/>
      <c r="G47" s="4140"/>
      <c r="H47" s="4140"/>
    </row>
    <row r="48" spans="1:8">
      <c r="A48" s="4179" t="s">
        <v>2456</v>
      </c>
      <c r="B48" s="4140"/>
      <c r="C48" s="4140"/>
      <c r="D48" s="4140"/>
      <c r="E48" s="4140"/>
      <c r="F48" s="4140"/>
      <c r="G48" s="4140"/>
      <c r="H48" s="4140"/>
    </row>
    <row r="49" spans="1:8">
      <c r="A49" s="4140"/>
      <c r="B49" s="4120"/>
      <c r="C49" s="4120"/>
      <c r="D49" s="4120"/>
      <c r="E49" s="4120"/>
      <c r="F49" s="4120"/>
      <c r="G49" s="4120"/>
      <c r="H49" s="4120"/>
    </row>
    <row r="50" spans="1:8" ht="15.75">
      <c r="A50" s="4139" t="s">
        <v>2456</v>
      </c>
      <c r="B50" s="4120"/>
      <c r="C50" s="4120"/>
      <c r="D50" s="4120"/>
      <c r="E50" s="4120"/>
      <c r="F50" s="4120"/>
      <c r="G50" s="4120"/>
      <c r="H50" s="4120"/>
    </row>
    <row r="51" spans="1:8">
      <c r="A51" s="4120"/>
      <c r="B51" s="4120"/>
      <c r="C51" s="4120"/>
      <c r="D51" s="4120"/>
      <c r="E51" s="4120"/>
      <c r="F51" s="4120"/>
      <c r="G51" s="4120"/>
      <c r="H51" s="4120"/>
    </row>
    <row r="52" spans="1:8">
      <c r="A52" s="4125" t="s">
        <v>2358</v>
      </c>
      <c r="B52" s="4120"/>
      <c r="C52" s="4120"/>
      <c r="D52" s="4120"/>
      <c r="E52" s="4120"/>
      <c r="F52" s="4120"/>
      <c r="G52" s="4120"/>
      <c r="H52" s="4120"/>
    </row>
    <row r="53" spans="1:8">
      <c r="A53" s="4125" t="s">
        <v>2359</v>
      </c>
      <c r="B53" s="4120"/>
      <c r="C53" s="4120"/>
      <c r="D53" s="4120"/>
      <c r="E53" s="4120"/>
      <c r="F53" s="4120"/>
      <c r="G53" s="4120"/>
      <c r="H53" s="4120"/>
    </row>
    <row r="54" spans="1:8">
      <c r="A54" s="4125" t="s">
        <v>2360</v>
      </c>
      <c r="B54" s="4120"/>
      <c r="C54" s="4120"/>
      <c r="D54" s="4120"/>
      <c r="E54" s="4120"/>
      <c r="F54" s="4120"/>
      <c r="G54" s="4120"/>
      <c r="H54" s="4120"/>
    </row>
    <row r="55" spans="1:8">
      <c r="A55" s="4125" t="s">
        <v>2361</v>
      </c>
      <c r="B55" s="4120"/>
      <c r="C55" s="4120"/>
      <c r="D55" s="4120"/>
      <c r="E55" s="4120"/>
      <c r="F55" s="4120"/>
      <c r="G55" s="4120"/>
      <c r="H55" s="4120"/>
    </row>
    <row r="56" spans="1:8">
      <c r="A56" s="4120"/>
      <c r="B56" s="4120"/>
      <c r="C56" s="4120"/>
      <c r="D56" s="4120"/>
      <c r="E56" s="4120"/>
      <c r="F56" s="4120"/>
      <c r="G56" s="4120"/>
      <c r="H56" s="4120"/>
    </row>
    <row r="57" spans="1:8">
      <c r="A57" s="4125" t="s">
        <v>2095</v>
      </c>
      <c r="B57" s="4120"/>
      <c r="C57" s="4120"/>
      <c r="D57" s="4120"/>
      <c r="E57" s="4120"/>
      <c r="F57" s="4120"/>
      <c r="G57" s="4120"/>
      <c r="H57" s="4120"/>
    </row>
    <row r="58" spans="1:8">
      <c r="A58" s="4120"/>
      <c r="B58" s="4120"/>
      <c r="C58" s="4120"/>
      <c r="D58" s="4120"/>
      <c r="E58" s="4120"/>
      <c r="F58" s="4120"/>
      <c r="G58" s="4120"/>
      <c r="H58" s="4120"/>
    </row>
    <row r="59" spans="1:8" ht="15.75">
      <c r="A59" s="4126" t="s">
        <v>2096</v>
      </c>
      <c r="B59" s="4120"/>
      <c r="C59" s="4120"/>
      <c r="D59" s="4120"/>
      <c r="E59" s="4120"/>
      <c r="F59" s="4120"/>
      <c r="G59" s="4120"/>
      <c r="H59" s="4120"/>
    </row>
    <row r="60" spans="1:8">
      <c r="A60" s="4120"/>
      <c r="B60" s="4120"/>
      <c r="C60" s="4120"/>
      <c r="D60" s="4120"/>
      <c r="E60" s="4120"/>
      <c r="F60" s="4120"/>
      <c r="G60" s="4120"/>
      <c r="H60" s="4120"/>
    </row>
    <row r="61" spans="1:8">
      <c r="A61" s="4125" t="s">
        <v>2356</v>
      </c>
      <c r="B61" s="4120"/>
      <c r="C61" s="4120"/>
      <c r="D61" s="4120"/>
      <c r="E61" s="4120"/>
      <c r="F61" s="4120"/>
      <c r="G61" s="4120"/>
      <c r="H61" s="4120"/>
    </row>
    <row r="62" spans="1:8">
      <c r="A62" s="4125" t="s">
        <v>2357</v>
      </c>
      <c r="B62" s="4120"/>
      <c r="C62" s="4120"/>
      <c r="D62" s="4120"/>
      <c r="E62" s="4120"/>
      <c r="F62" s="4120"/>
      <c r="G62" s="4120"/>
      <c r="H62" s="4120"/>
    </row>
    <row r="63" spans="1:8">
      <c r="A63" s="4120"/>
      <c r="B63" s="4120"/>
      <c r="C63" s="4120"/>
      <c r="D63" s="4120"/>
      <c r="E63" s="4120"/>
      <c r="F63" s="4120"/>
      <c r="G63" s="4120"/>
      <c r="H63" s="4120"/>
    </row>
    <row r="64" spans="1:8" ht="15.75">
      <c r="A64" s="4126" t="s">
        <v>2097</v>
      </c>
      <c r="B64" s="4120"/>
      <c r="C64" s="4120"/>
      <c r="D64" s="4120"/>
      <c r="E64" s="4120"/>
      <c r="F64" s="4120"/>
      <c r="G64" s="4120"/>
      <c r="H64" s="4120"/>
    </row>
    <row r="65" spans="1:8">
      <c r="A65" s="4120"/>
      <c r="B65" s="4120"/>
      <c r="C65" s="4120"/>
      <c r="D65" s="4120"/>
      <c r="E65" s="4120"/>
      <c r="F65" s="4120"/>
      <c r="G65" s="4120"/>
      <c r="H65" s="4120"/>
    </row>
    <row r="66" spans="1:8">
      <c r="A66" s="4125" t="s">
        <v>2354</v>
      </c>
      <c r="B66" s="4120"/>
      <c r="C66" s="4120"/>
      <c r="D66" s="4120"/>
      <c r="E66" s="4120"/>
      <c r="F66" s="4120"/>
      <c r="G66" s="4120"/>
      <c r="H66" s="4120"/>
    </row>
    <row r="67" spans="1:8">
      <c r="A67" s="4125" t="s">
        <v>2355</v>
      </c>
      <c r="B67" s="4120"/>
      <c r="C67" s="4120"/>
      <c r="D67" s="4120"/>
      <c r="E67" s="4120"/>
      <c r="F67" s="4120"/>
      <c r="G67" s="4120"/>
      <c r="H67" s="4120"/>
    </row>
    <row r="68" spans="1:8">
      <c r="A68" s="4120"/>
      <c r="B68" s="4120"/>
      <c r="C68" s="4120"/>
      <c r="D68" s="4120"/>
      <c r="E68" s="4120"/>
      <c r="F68" s="4120"/>
      <c r="G68" s="4120"/>
      <c r="H68" s="4120"/>
    </row>
    <row r="69" spans="1:8">
      <c r="A69" s="4125" t="s">
        <v>2352</v>
      </c>
      <c r="B69" s="4120"/>
      <c r="C69" s="4120"/>
      <c r="D69" s="4120"/>
      <c r="E69" s="4120"/>
      <c r="F69" s="4120"/>
      <c r="G69" s="4120"/>
      <c r="H69" s="4120"/>
    </row>
    <row r="70" spans="1:8">
      <c r="A70" s="4125" t="s">
        <v>2353</v>
      </c>
      <c r="B70" s="4120"/>
      <c r="C70" s="4120"/>
      <c r="D70" s="4120"/>
      <c r="E70" s="4120"/>
      <c r="F70" s="4120"/>
      <c r="G70" s="4120"/>
      <c r="H70" s="4120"/>
    </row>
    <row r="71" spans="1:8">
      <c r="A71" s="4120"/>
      <c r="B71" s="4120"/>
      <c r="C71" s="4120"/>
      <c r="D71" s="4120"/>
      <c r="E71" s="4120"/>
      <c r="F71" s="4120"/>
      <c r="G71" s="4120"/>
      <c r="H71" s="4120"/>
    </row>
    <row r="72" spans="1:8">
      <c r="A72" s="4125" t="s">
        <v>2350</v>
      </c>
      <c r="B72" s="4120"/>
      <c r="C72" s="4120"/>
      <c r="D72" s="4120"/>
      <c r="E72" s="4120"/>
      <c r="F72" s="4120"/>
      <c r="G72" s="4120"/>
      <c r="H72" s="4120"/>
    </row>
    <row r="73" spans="1:8">
      <c r="A73" s="4125" t="s">
        <v>2351</v>
      </c>
      <c r="B73" s="4120"/>
      <c r="C73" s="4120"/>
      <c r="D73" s="4120"/>
      <c r="E73" s="4120"/>
      <c r="F73" s="4120"/>
      <c r="G73" s="4120"/>
      <c r="H73" s="4120"/>
    </row>
    <row r="74" spans="1:8">
      <c r="A74" s="4120"/>
      <c r="B74" s="4120"/>
      <c r="C74" s="4120"/>
      <c r="D74" s="4120"/>
      <c r="E74" s="4120"/>
      <c r="F74" s="4120"/>
      <c r="G74" s="4120"/>
      <c r="H74" s="4120"/>
    </row>
    <row r="75" spans="1:8">
      <c r="A75" s="4125" t="s">
        <v>2348</v>
      </c>
      <c r="B75" s="4120"/>
      <c r="C75" s="4120"/>
      <c r="D75" s="4120"/>
      <c r="E75" s="4120"/>
      <c r="F75" s="4120"/>
      <c r="G75" s="4120"/>
      <c r="H75" s="4120"/>
    </row>
    <row r="76" spans="1:8">
      <c r="A76" s="4125" t="s">
        <v>2349</v>
      </c>
      <c r="B76" s="4120"/>
      <c r="C76" s="4120"/>
      <c r="D76" s="4120"/>
      <c r="E76" s="4120"/>
      <c r="F76" s="4120"/>
      <c r="G76" s="4120"/>
      <c r="H76" s="4120"/>
    </row>
    <row r="77" spans="1:8">
      <c r="A77" s="4120"/>
      <c r="B77" s="4120"/>
      <c r="C77" s="4120"/>
      <c r="D77" s="4120"/>
      <c r="E77" s="4120"/>
      <c r="F77" s="4120"/>
      <c r="G77" s="4120"/>
      <c r="H77" s="4120"/>
    </row>
    <row r="78" spans="1:8">
      <c r="A78" s="4125" t="s">
        <v>2346</v>
      </c>
      <c r="B78" s="4120"/>
      <c r="C78" s="4120"/>
      <c r="D78" s="4120"/>
      <c r="E78" s="4120"/>
      <c r="F78" s="4120"/>
      <c r="G78" s="4120"/>
      <c r="H78" s="4120"/>
    </row>
    <row r="79" spans="1:8">
      <c r="A79" s="4125" t="s">
        <v>2347</v>
      </c>
      <c r="B79" s="4120"/>
      <c r="C79" s="4120"/>
      <c r="D79" s="4120"/>
      <c r="E79" s="4120"/>
      <c r="F79" s="4120"/>
      <c r="G79" s="4120"/>
      <c r="H79" s="4120"/>
    </row>
    <row r="80" spans="1:8">
      <c r="A80" s="4120"/>
      <c r="B80" s="4120"/>
      <c r="C80" s="4120"/>
      <c r="D80" s="4120"/>
      <c r="E80" s="4120"/>
      <c r="F80" s="4120"/>
      <c r="G80" s="4120"/>
      <c r="H80" s="4120"/>
    </row>
    <row r="81" spans="1:8">
      <c r="A81" s="4125" t="s">
        <v>2344</v>
      </c>
      <c r="B81" s="4120"/>
      <c r="C81" s="4120"/>
      <c r="D81" s="4120"/>
      <c r="E81" s="4120"/>
      <c r="F81" s="4120"/>
      <c r="G81" s="4120"/>
      <c r="H81" s="4120"/>
    </row>
    <row r="82" spans="1:8">
      <c r="A82" s="4125" t="s">
        <v>2345</v>
      </c>
      <c r="B82" s="4120"/>
      <c r="C82" s="4120"/>
      <c r="D82" s="4120"/>
      <c r="E82" s="4120"/>
      <c r="F82" s="4120"/>
      <c r="G82" s="4120"/>
      <c r="H82" s="4120"/>
    </row>
    <row r="83" spans="1:8">
      <c r="A83" s="4120"/>
      <c r="B83" s="4120"/>
      <c r="C83" s="4120"/>
      <c r="D83" s="4120"/>
      <c r="E83" s="4120"/>
      <c r="F83" s="4120"/>
      <c r="G83" s="4120"/>
      <c r="H83" s="4120"/>
    </row>
    <row r="84" spans="1:8">
      <c r="A84" s="4125" t="s">
        <v>2341</v>
      </c>
      <c r="B84" s="4120"/>
      <c r="C84" s="4120"/>
      <c r="D84" s="4120"/>
      <c r="E84" s="4120"/>
      <c r="F84" s="4120"/>
      <c r="G84" s="4120"/>
      <c r="H84" s="4120"/>
    </row>
    <row r="85" spans="1:8">
      <c r="A85" s="4125" t="s">
        <v>2342</v>
      </c>
      <c r="B85" s="4120"/>
      <c r="C85" s="4120"/>
      <c r="D85" s="4120"/>
      <c r="E85" s="4120"/>
      <c r="F85" s="4120"/>
      <c r="G85" s="4120"/>
      <c r="H85" s="4120"/>
    </row>
    <row r="86" spans="1:8">
      <c r="A86" s="4125" t="s">
        <v>2343</v>
      </c>
      <c r="B86" s="4120"/>
      <c r="C86" s="4120"/>
      <c r="D86" s="4120"/>
      <c r="E86" s="4120"/>
      <c r="F86" s="4120"/>
      <c r="G86" s="4120"/>
      <c r="H86" s="4120"/>
    </row>
    <row r="87" spans="1:8">
      <c r="A87" s="4120"/>
      <c r="B87" s="4120"/>
      <c r="C87" s="4120"/>
      <c r="D87" s="4120"/>
      <c r="E87" s="4120"/>
      <c r="F87" s="4120"/>
      <c r="G87" s="4120"/>
      <c r="H87" s="4120"/>
    </row>
    <row r="88" spans="1:8">
      <c r="A88" s="4125" t="s">
        <v>2098</v>
      </c>
      <c r="B88" s="4120"/>
      <c r="C88" s="4120"/>
      <c r="D88" s="4120"/>
      <c r="E88" s="4120"/>
      <c r="F88" s="4120"/>
      <c r="G88" s="4120"/>
      <c r="H88" s="4120"/>
    </row>
    <row r="89" spans="1:8">
      <c r="A89" s="4120"/>
      <c r="B89" s="4120"/>
      <c r="C89" s="4120"/>
      <c r="D89" s="4120"/>
      <c r="E89" s="4120"/>
      <c r="F89" s="4120"/>
      <c r="G89" s="4120"/>
      <c r="H89" s="4120"/>
    </row>
    <row r="90" spans="1:8">
      <c r="A90" s="4125" t="s">
        <v>2336</v>
      </c>
      <c r="B90" s="4120"/>
      <c r="C90" s="4120"/>
      <c r="D90" s="4120"/>
      <c r="E90" s="4120"/>
      <c r="F90" s="4120"/>
      <c r="G90" s="4120"/>
      <c r="H90" s="4120"/>
    </row>
    <row r="91" spans="1:8">
      <c r="A91" s="4125" t="s">
        <v>2337</v>
      </c>
      <c r="B91" s="4120"/>
      <c r="C91" s="4120"/>
      <c r="D91" s="4120"/>
      <c r="E91" s="4120"/>
      <c r="F91" s="4120"/>
      <c r="G91" s="4120"/>
      <c r="H91" s="4120"/>
    </row>
    <row r="92" spans="1:8">
      <c r="A92" s="4125" t="s">
        <v>2338</v>
      </c>
      <c r="B92" s="4120"/>
      <c r="C92" s="4120"/>
      <c r="D92" s="4120"/>
      <c r="E92" s="4120"/>
      <c r="F92" s="4120"/>
      <c r="G92" s="4120"/>
      <c r="H92" s="4120"/>
    </row>
    <row r="93" spans="1:8">
      <c r="A93" s="4125" t="s">
        <v>2339</v>
      </c>
      <c r="B93" s="4120"/>
      <c r="C93" s="4120"/>
      <c r="D93" s="4120"/>
      <c r="E93" s="4120"/>
      <c r="F93" s="4120"/>
      <c r="G93" s="4120"/>
      <c r="H93" s="4120"/>
    </row>
    <row r="94" spans="1:8">
      <c r="A94" s="4125" t="s">
        <v>2340</v>
      </c>
      <c r="B94" s="4120"/>
      <c r="C94" s="4120"/>
      <c r="D94" s="4120"/>
      <c r="E94" s="4120"/>
      <c r="F94" s="4120"/>
      <c r="G94" s="4120"/>
      <c r="H94" s="4120"/>
    </row>
    <row r="95" spans="1:8">
      <c r="A95" s="4125" t="s">
        <v>2223</v>
      </c>
      <c r="B95" s="4120"/>
      <c r="C95" s="4120"/>
      <c r="D95" s="4120"/>
      <c r="E95" s="4120"/>
      <c r="F95" s="4120"/>
      <c r="G95" s="4120"/>
      <c r="H95" s="4120"/>
    </row>
    <row r="96" spans="1:8">
      <c r="A96" s="4120"/>
      <c r="B96" s="4120"/>
      <c r="C96" s="4120"/>
      <c r="D96" s="4120"/>
      <c r="E96" s="4120"/>
      <c r="F96" s="4120"/>
      <c r="G96" s="4120"/>
      <c r="H96" s="4120"/>
    </row>
    <row r="97" spans="1:8">
      <c r="A97" s="4125" t="s">
        <v>2329</v>
      </c>
      <c r="B97" s="4120"/>
      <c r="C97" s="4120"/>
      <c r="D97" s="4120"/>
      <c r="E97" s="4120"/>
      <c r="F97" s="4120"/>
      <c r="G97" s="4120"/>
      <c r="H97" s="4120"/>
    </row>
    <row r="98" spans="1:8">
      <c r="A98" s="4125" t="s">
        <v>2330</v>
      </c>
      <c r="B98" s="4120"/>
      <c r="C98" s="4120"/>
      <c r="D98" s="4120"/>
      <c r="E98" s="4120"/>
      <c r="F98" s="4120"/>
      <c r="G98" s="4120"/>
      <c r="H98" s="4120"/>
    </row>
    <row r="99" spans="1:8">
      <c r="A99" s="4125" t="s">
        <v>2331</v>
      </c>
      <c r="B99" s="4120"/>
      <c r="C99" s="4120"/>
      <c r="D99" s="4120"/>
      <c r="E99" s="4120"/>
      <c r="F99" s="4120"/>
      <c r="G99" s="4120"/>
      <c r="H99" s="4120"/>
    </row>
    <row r="100" spans="1:8">
      <c r="A100" s="4125" t="s">
        <v>2332</v>
      </c>
      <c r="B100" s="4120"/>
      <c r="C100" s="4120"/>
      <c r="D100" s="4120"/>
      <c r="E100" s="4120"/>
      <c r="F100" s="4120"/>
      <c r="G100" s="4120"/>
      <c r="H100" s="4120"/>
    </row>
    <row r="101" spans="1:8">
      <c r="A101" s="4125" t="s">
        <v>2333</v>
      </c>
      <c r="B101" s="4120"/>
      <c r="C101" s="4120"/>
      <c r="D101" s="4120"/>
      <c r="E101" s="4120"/>
      <c r="F101" s="4120"/>
      <c r="G101" s="4120"/>
      <c r="H101" s="4120"/>
    </row>
    <row r="102" spans="1:8">
      <c r="A102" s="4125" t="s">
        <v>2334</v>
      </c>
      <c r="B102" s="4120"/>
      <c r="C102" s="4120"/>
      <c r="D102" s="4120"/>
      <c r="E102" s="4120"/>
      <c r="F102" s="4120"/>
      <c r="G102" s="4120"/>
      <c r="H102" s="4120"/>
    </row>
    <row r="103" spans="1:8">
      <c r="A103" s="4125" t="s">
        <v>2335</v>
      </c>
      <c r="B103" s="4120"/>
      <c r="C103" s="4120"/>
      <c r="D103" s="4120"/>
      <c r="E103" s="4120"/>
      <c r="F103" s="4120"/>
      <c r="G103" s="4120"/>
      <c r="H103" s="4120"/>
    </row>
    <row r="104" spans="1:8">
      <c r="A104" s="4120"/>
      <c r="B104" s="4120"/>
      <c r="C104" s="4120"/>
      <c r="D104" s="4120"/>
      <c r="E104" s="4120"/>
      <c r="F104" s="4120"/>
      <c r="G104" s="4120"/>
      <c r="H104" s="4120"/>
    </row>
    <row r="105" spans="1:8">
      <c r="A105" s="4125" t="s">
        <v>2327</v>
      </c>
      <c r="B105" s="4120"/>
      <c r="C105" s="4120"/>
      <c r="D105" s="4120"/>
      <c r="E105" s="4120"/>
      <c r="F105" s="4120"/>
      <c r="G105" s="4120"/>
      <c r="H105" s="4120"/>
    </row>
    <row r="106" spans="1:8">
      <c r="A106" s="4125" t="s">
        <v>2328</v>
      </c>
      <c r="B106" s="4120"/>
      <c r="C106" s="4120"/>
      <c r="D106" s="4120"/>
      <c r="E106" s="4120"/>
      <c r="F106" s="4120"/>
      <c r="G106" s="4120"/>
      <c r="H106" s="4120"/>
    </row>
    <row r="107" spans="1:8">
      <c r="A107" s="4120"/>
      <c r="B107" s="4120"/>
      <c r="C107" s="4120"/>
      <c r="D107" s="4120"/>
      <c r="E107" s="4120"/>
      <c r="F107" s="4120"/>
      <c r="G107" s="4120"/>
      <c r="H107" s="4120"/>
    </row>
    <row r="108" spans="1:8" ht="15.75">
      <c r="A108" s="4126" t="s">
        <v>2099</v>
      </c>
      <c r="B108" s="4120"/>
      <c r="C108" s="4120"/>
      <c r="D108" s="4120"/>
      <c r="E108" s="4120"/>
      <c r="F108" s="4120"/>
      <c r="G108" s="4120"/>
      <c r="H108" s="4120"/>
    </row>
    <row r="109" spans="1:8">
      <c r="A109" s="4120"/>
      <c r="B109" s="4120"/>
      <c r="C109" s="4120"/>
      <c r="D109" s="4120"/>
      <c r="E109" s="4120"/>
      <c r="F109" s="4120"/>
      <c r="G109" s="4120"/>
      <c r="H109" s="4120"/>
    </row>
    <row r="110" spans="1:8">
      <c r="A110" s="4125" t="s">
        <v>2318</v>
      </c>
      <c r="B110" s="4120"/>
      <c r="C110" s="4120"/>
      <c r="D110" s="4120"/>
      <c r="E110" s="4120"/>
      <c r="F110" s="4120"/>
      <c r="G110" s="4120"/>
      <c r="H110" s="4120"/>
    </row>
    <row r="111" spans="1:8">
      <c r="A111" s="4125" t="s">
        <v>2319</v>
      </c>
      <c r="B111" s="4120"/>
      <c r="C111" s="4120"/>
      <c r="D111" s="4120"/>
      <c r="E111" s="4120"/>
      <c r="F111" s="4120"/>
      <c r="G111" s="4120"/>
      <c r="H111" s="4120"/>
    </row>
    <row r="112" spans="1:8">
      <c r="A112" s="4125" t="s">
        <v>2320</v>
      </c>
      <c r="B112" s="4120"/>
      <c r="C112" s="4120"/>
      <c r="D112" s="4120"/>
      <c r="E112" s="4120"/>
      <c r="F112" s="4120"/>
      <c r="G112" s="4120"/>
      <c r="H112" s="4120"/>
    </row>
    <row r="113" spans="1:8">
      <c r="A113" s="4125" t="s">
        <v>2321</v>
      </c>
      <c r="B113" s="4120"/>
      <c r="C113" s="4120"/>
      <c r="D113" s="4120"/>
      <c r="E113" s="4120"/>
      <c r="F113" s="4120"/>
      <c r="G113" s="4120"/>
      <c r="H113" s="4120"/>
    </row>
    <row r="114" spans="1:8">
      <c r="A114" s="4125" t="s">
        <v>2322</v>
      </c>
      <c r="B114" s="4120"/>
      <c r="C114" s="4120"/>
      <c r="D114" s="4120"/>
      <c r="E114" s="4120"/>
      <c r="F114" s="4120"/>
      <c r="G114" s="4120"/>
      <c r="H114" s="4120"/>
    </row>
    <row r="115" spans="1:8">
      <c r="A115" s="4125" t="s">
        <v>2323</v>
      </c>
      <c r="B115" s="4120"/>
      <c r="C115" s="4120"/>
      <c r="D115" s="4120"/>
      <c r="E115" s="4120"/>
      <c r="F115" s="4120"/>
      <c r="G115" s="4120"/>
      <c r="H115" s="4120"/>
    </row>
    <row r="116" spans="1:8">
      <c r="A116" s="4125" t="s">
        <v>2324</v>
      </c>
      <c r="B116" s="4120"/>
      <c r="C116" s="4120"/>
      <c r="D116" s="4120"/>
      <c r="E116" s="4120"/>
      <c r="F116" s="4120"/>
      <c r="G116" s="4120"/>
      <c r="H116" s="4120"/>
    </row>
    <row r="117" spans="1:8">
      <c r="A117" s="4125" t="s">
        <v>2325</v>
      </c>
      <c r="B117" s="4120"/>
      <c r="C117" s="4120"/>
      <c r="D117" s="4120"/>
      <c r="E117" s="4120"/>
      <c r="F117" s="4120"/>
      <c r="G117" s="4120"/>
      <c r="H117" s="4120"/>
    </row>
    <row r="118" spans="1:8">
      <c r="A118" s="4125" t="s">
        <v>2326</v>
      </c>
      <c r="B118" s="4120"/>
      <c r="C118" s="4120"/>
      <c r="D118" s="4120"/>
      <c r="E118" s="4120"/>
      <c r="F118" s="4120"/>
      <c r="G118" s="4120"/>
      <c r="H118" s="4120"/>
    </row>
    <row r="119" spans="1:8">
      <c r="A119" s="4120"/>
      <c r="B119" s="4120"/>
      <c r="C119" s="4120"/>
      <c r="D119" s="4120"/>
      <c r="E119" s="4120"/>
      <c r="F119" s="4120"/>
      <c r="G119" s="4120"/>
      <c r="H119" s="4120"/>
    </row>
    <row r="120" spans="1:8" ht="15.75">
      <c r="A120" s="4147" t="s">
        <v>2100</v>
      </c>
      <c r="B120" s="4147"/>
      <c r="C120" s="4147"/>
      <c r="D120" s="4147"/>
      <c r="E120" s="4147"/>
      <c r="F120" s="4147"/>
      <c r="G120" s="4147"/>
      <c r="H120" s="4147"/>
    </row>
    <row r="121" spans="1:8">
      <c r="A121" s="4145" t="s">
        <v>2101</v>
      </c>
      <c r="B121" s="4145"/>
      <c r="C121" s="4145"/>
      <c r="D121" s="4145"/>
      <c r="E121" s="4145"/>
      <c r="F121" s="4145"/>
      <c r="G121" s="4145"/>
      <c r="H121" s="4145"/>
    </row>
    <row r="122" spans="1:8">
      <c r="A122" s="4148"/>
      <c r="B122" s="4148"/>
      <c r="C122" s="4148"/>
      <c r="D122" s="4148"/>
      <c r="E122" s="4148"/>
      <c r="F122" s="4148"/>
      <c r="G122" s="4148"/>
      <c r="H122" s="4148"/>
    </row>
    <row r="123" spans="1:8">
      <c r="A123" s="4145" t="s">
        <v>2316</v>
      </c>
      <c r="B123" s="4145"/>
      <c r="C123" s="4145"/>
      <c r="D123" s="4145"/>
      <c r="E123" s="4145"/>
      <c r="F123" s="4145"/>
      <c r="G123" s="4145"/>
      <c r="H123" s="4145"/>
    </row>
    <row r="124" spans="1:8">
      <c r="A124" s="4125" t="s">
        <v>2317</v>
      </c>
      <c r="B124" s="4125"/>
      <c r="C124" s="4125"/>
      <c r="D124" s="4125"/>
      <c r="E124" s="4125"/>
      <c r="F124" s="4125"/>
      <c r="G124" s="4125"/>
      <c r="H124" s="4125"/>
    </row>
    <row r="125" spans="1:8">
      <c r="A125" s="4148"/>
      <c r="B125" s="4148"/>
      <c r="C125" s="4148"/>
      <c r="D125" s="4148"/>
      <c r="E125" s="4148"/>
      <c r="F125" s="4148"/>
      <c r="G125" s="4148"/>
      <c r="H125" s="4148"/>
    </row>
    <row r="126" spans="1:8">
      <c r="A126" s="4145" t="s">
        <v>2309</v>
      </c>
      <c r="B126" s="4145"/>
      <c r="C126" s="4145"/>
      <c r="D126" s="4145"/>
      <c r="E126" s="4145"/>
      <c r="F126" s="4145"/>
      <c r="G126" s="4145"/>
      <c r="H126" s="4145"/>
    </row>
    <row r="127" spans="1:8">
      <c r="A127" s="4125" t="s">
        <v>2310</v>
      </c>
      <c r="B127" s="4125"/>
      <c r="C127" s="4125"/>
      <c r="D127" s="4125"/>
      <c r="E127" s="4125"/>
      <c r="F127" s="4125"/>
      <c r="G127" s="4125"/>
      <c r="H127" s="4125"/>
    </row>
    <row r="128" spans="1:8">
      <c r="A128" s="4125" t="s">
        <v>2311</v>
      </c>
      <c r="B128" s="4125"/>
      <c r="C128" s="4125"/>
      <c r="D128" s="4125"/>
      <c r="E128" s="4125"/>
      <c r="F128" s="4125"/>
      <c r="G128" s="4125"/>
      <c r="H128" s="4125"/>
    </row>
    <row r="129" spans="1:8">
      <c r="A129" s="4125" t="s">
        <v>2312</v>
      </c>
      <c r="B129" s="4125"/>
      <c r="C129" s="4125"/>
      <c r="D129" s="4125"/>
      <c r="E129" s="4125"/>
      <c r="F129" s="4125"/>
      <c r="G129" s="4125"/>
      <c r="H129" s="4125"/>
    </row>
    <row r="130" spans="1:8">
      <c r="A130" s="4125" t="s">
        <v>2313</v>
      </c>
      <c r="B130" s="4125"/>
      <c r="C130" s="4125"/>
      <c r="D130" s="4125"/>
      <c r="E130" s="4125"/>
      <c r="F130" s="4125"/>
      <c r="G130" s="4125"/>
      <c r="H130" s="4125"/>
    </row>
    <row r="131" spans="1:8">
      <c r="A131" s="4125" t="s">
        <v>2314</v>
      </c>
      <c r="B131" s="4125"/>
      <c r="C131" s="4125"/>
      <c r="D131" s="4125"/>
      <c r="E131" s="4125"/>
      <c r="F131" s="4125"/>
      <c r="G131" s="4125"/>
      <c r="H131" s="4125"/>
    </row>
    <row r="132" spans="1:8">
      <c r="A132" s="4125" t="s">
        <v>2315</v>
      </c>
      <c r="B132" s="4125"/>
      <c r="C132" s="4125"/>
      <c r="D132" s="4125"/>
      <c r="E132" s="4125"/>
      <c r="F132" s="4125"/>
      <c r="G132" s="4125"/>
      <c r="H132" s="4125"/>
    </row>
    <row r="133" spans="1:8">
      <c r="A133" s="4146"/>
      <c r="B133" s="4146"/>
      <c r="C133" s="4146"/>
      <c r="D133" s="4146"/>
      <c r="E133" s="4146"/>
      <c r="F133" s="4146"/>
      <c r="G133" s="4146"/>
      <c r="H133" s="4146"/>
    </row>
    <row r="134" spans="1:8">
      <c r="A134" s="4127"/>
      <c r="B134" s="4150" t="s">
        <v>2102</v>
      </c>
      <c r="C134" s="4151"/>
      <c r="D134" s="4150" t="s">
        <v>2103</v>
      </c>
      <c r="E134" s="4152"/>
      <c r="F134" s="4151"/>
      <c r="G134" s="4150" t="s">
        <v>2104</v>
      </c>
      <c r="H134" s="4151"/>
    </row>
    <row r="135" spans="1:8">
      <c r="A135" s="4127" t="s">
        <v>2105</v>
      </c>
      <c r="B135" s="4127" t="s">
        <v>1306</v>
      </c>
      <c r="C135" s="4127" t="s">
        <v>2106</v>
      </c>
      <c r="D135" s="4127" t="s">
        <v>1306</v>
      </c>
      <c r="E135" s="4127" t="s">
        <v>2107</v>
      </c>
      <c r="F135" s="4127" t="s">
        <v>2108</v>
      </c>
      <c r="G135" s="4127" t="s">
        <v>1306</v>
      </c>
      <c r="H135" s="4127" t="s">
        <v>2109</v>
      </c>
    </row>
    <row r="136" spans="1:8">
      <c r="A136" s="4127" t="s">
        <v>2110</v>
      </c>
      <c r="B136" s="4127">
        <v>1175</v>
      </c>
      <c r="C136" s="4128">
        <v>0.37</v>
      </c>
      <c r="D136" s="4127">
        <v>315</v>
      </c>
      <c r="E136" s="4128">
        <v>0.41</v>
      </c>
      <c r="F136" s="4128">
        <v>0.27</v>
      </c>
      <c r="G136" s="4127">
        <v>555</v>
      </c>
      <c r="H136" s="4128">
        <v>0.39</v>
      </c>
    </row>
    <row r="137" spans="1:8">
      <c r="A137" s="4127" t="s">
        <v>2111</v>
      </c>
      <c r="B137" s="4127">
        <v>1369</v>
      </c>
      <c r="C137" s="4128">
        <v>0.43</v>
      </c>
      <c r="D137" s="4127">
        <v>357</v>
      </c>
      <c r="E137" s="4128">
        <v>0.47</v>
      </c>
      <c r="F137" s="4128">
        <v>0.26</v>
      </c>
      <c r="G137" s="4127">
        <v>643</v>
      </c>
      <c r="H137" s="4128">
        <v>0.45</v>
      </c>
    </row>
    <row r="138" spans="1:8">
      <c r="A138" s="4127" t="s">
        <v>2112</v>
      </c>
      <c r="B138" s="4127">
        <v>53</v>
      </c>
      <c r="C138" s="4128">
        <v>0.02</v>
      </c>
      <c r="D138" s="4127">
        <v>5</v>
      </c>
      <c r="E138" s="4128">
        <v>0.01</v>
      </c>
      <c r="F138" s="4128">
        <v>0.09</v>
      </c>
      <c r="G138" s="4127">
        <v>7</v>
      </c>
      <c r="H138" s="4128">
        <v>0</v>
      </c>
    </row>
    <row r="139" spans="1:8">
      <c r="A139" s="4127" t="s">
        <v>2113</v>
      </c>
      <c r="B139" s="4127">
        <v>552</v>
      </c>
      <c r="C139" s="4128">
        <v>0.18</v>
      </c>
      <c r="D139" s="4127">
        <v>87</v>
      </c>
      <c r="E139" s="4128">
        <v>0.11</v>
      </c>
      <c r="F139" s="4128">
        <v>0.16</v>
      </c>
      <c r="G139" s="4127">
        <v>222</v>
      </c>
      <c r="H139" s="4128">
        <v>0.16</v>
      </c>
    </row>
    <row r="140" spans="1:8">
      <c r="A140" s="4127" t="s">
        <v>1143</v>
      </c>
      <c r="B140" s="4129">
        <v>3149</v>
      </c>
      <c r="C140" s="4127"/>
      <c r="D140" s="4127">
        <v>764</v>
      </c>
      <c r="E140" s="4127"/>
      <c r="F140" s="4127"/>
      <c r="G140" s="4127">
        <v>1427</v>
      </c>
      <c r="H140" s="4127"/>
    </row>
    <row r="141" spans="1:8">
      <c r="A141" s="4149"/>
      <c r="B141" s="4149"/>
      <c r="C141" s="4149"/>
      <c r="D141" s="4149"/>
      <c r="E141" s="4149"/>
      <c r="F141" s="4149"/>
      <c r="G141" s="4149"/>
      <c r="H141" s="4149"/>
    </row>
    <row r="142" spans="1:8">
      <c r="A142" s="4145" t="s">
        <v>2305</v>
      </c>
      <c r="B142" s="4145"/>
      <c r="C142" s="4145"/>
      <c r="D142" s="4145"/>
      <c r="E142" s="4145"/>
      <c r="F142" s="4145"/>
      <c r="G142" s="4145"/>
      <c r="H142" s="4145"/>
    </row>
    <row r="143" spans="1:8">
      <c r="A143" s="4125" t="s">
        <v>2306</v>
      </c>
      <c r="B143" s="4125"/>
      <c r="C143" s="4125"/>
      <c r="D143" s="4125"/>
      <c r="E143" s="4125"/>
      <c r="F143" s="4125"/>
      <c r="G143" s="4125"/>
      <c r="H143" s="4125"/>
    </row>
    <row r="144" spans="1:8">
      <c r="A144" s="4125" t="s">
        <v>2307</v>
      </c>
      <c r="B144" s="4125"/>
      <c r="C144" s="4125"/>
      <c r="D144" s="4125"/>
      <c r="E144" s="4125"/>
      <c r="F144" s="4125"/>
      <c r="G144" s="4125"/>
      <c r="H144" s="4125"/>
    </row>
    <row r="145" spans="1:8">
      <c r="A145" s="4125" t="s">
        <v>2308</v>
      </c>
      <c r="B145" s="4125"/>
      <c r="C145" s="4125"/>
      <c r="D145" s="4125"/>
      <c r="E145" s="4125"/>
      <c r="F145" s="4125"/>
      <c r="G145" s="4125"/>
      <c r="H145" s="4125"/>
    </row>
    <row r="146" spans="1:8">
      <c r="A146" s="4120"/>
      <c r="B146" s="4120"/>
      <c r="C146" s="4120"/>
      <c r="D146" s="4120"/>
      <c r="E146" s="4120"/>
      <c r="F146" s="4120"/>
      <c r="G146" s="4120"/>
      <c r="H146" s="4120"/>
    </row>
    <row r="147" spans="1:8" ht="15.75">
      <c r="A147" s="4126" t="s">
        <v>2114</v>
      </c>
      <c r="B147" s="4120"/>
      <c r="C147" s="4120"/>
      <c r="D147" s="4120"/>
      <c r="E147" s="4120"/>
      <c r="F147" s="4120"/>
      <c r="G147" s="4120"/>
      <c r="H147" s="4120"/>
    </row>
    <row r="148" spans="1:8">
      <c r="A148" s="4120"/>
      <c r="B148" s="4120"/>
      <c r="C148" s="4120"/>
      <c r="D148" s="4120"/>
      <c r="E148" s="4120"/>
      <c r="F148" s="4120"/>
      <c r="G148" s="4120"/>
      <c r="H148" s="4120"/>
    </row>
    <row r="149" spans="1:8">
      <c r="A149" s="4125" t="s">
        <v>2303</v>
      </c>
      <c r="B149" s="4120"/>
      <c r="C149" s="4120"/>
      <c r="D149" s="4120"/>
      <c r="E149" s="4120"/>
      <c r="F149" s="4120"/>
      <c r="G149" s="4120"/>
      <c r="H149" s="4120"/>
    </row>
    <row r="150" spans="1:8">
      <c r="A150" s="4125" t="s">
        <v>2304</v>
      </c>
      <c r="B150" s="4120"/>
      <c r="C150" s="4120"/>
      <c r="D150" s="4120"/>
      <c r="E150" s="4120"/>
      <c r="F150" s="4120"/>
      <c r="G150" s="4120"/>
      <c r="H150" s="4120"/>
    </row>
    <row r="151" spans="1:8">
      <c r="A151" s="4120"/>
      <c r="B151" s="4120"/>
      <c r="C151" s="4120"/>
      <c r="D151" s="4120"/>
      <c r="E151" s="4120"/>
      <c r="F151" s="4120"/>
      <c r="G151" s="4120"/>
      <c r="H151" s="4120"/>
    </row>
    <row r="152" spans="1:8">
      <c r="A152" s="4125" t="s">
        <v>2300</v>
      </c>
      <c r="B152" s="4120"/>
      <c r="C152" s="4120"/>
      <c r="D152" s="4120"/>
      <c r="E152" s="4120"/>
      <c r="F152" s="4120"/>
      <c r="G152" s="4120"/>
      <c r="H152" s="4120"/>
    </row>
    <row r="153" spans="1:8">
      <c r="A153" s="4125" t="s">
        <v>2301</v>
      </c>
      <c r="B153" s="4120"/>
      <c r="C153" s="4120"/>
      <c r="D153" s="4120"/>
      <c r="E153" s="4120"/>
      <c r="F153" s="4120"/>
      <c r="G153" s="4120"/>
      <c r="H153" s="4120"/>
    </row>
    <row r="154" spans="1:8">
      <c r="A154" s="4125" t="s">
        <v>2302</v>
      </c>
      <c r="B154" s="4120"/>
      <c r="C154" s="4120"/>
      <c r="D154" s="4120"/>
      <c r="E154" s="4120"/>
      <c r="F154" s="4120"/>
      <c r="G154" s="4120"/>
      <c r="H154" s="4120"/>
    </row>
    <row r="155" spans="1:8">
      <c r="A155" s="4120"/>
      <c r="B155" s="4120"/>
      <c r="C155" s="4120"/>
      <c r="D155" s="4120"/>
      <c r="E155" s="4120"/>
      <c r="F155" s="4120"/>
      <c r="G155" s="4120"/>
      <c r="H155" s="4120"/>
    </row>
    <row r="156" spans="1:8">
      <c r="A156" s="4125" t="s">
        <v>2297</v>
      </c>
      <c r="B156" s="4120"/>
      <c r="C156" s="4120"/>
      <c r="D156" s="4120"/>
      <c r="E156" s="4120"/>
      <c r="F156" s="4120"/>
      <c r="G156" s="4120"/>
      <c r="H156" s="4120"/>
    </row>
    <row r="157" spans="1:8">
      <c r="A157" s="4125" t="s">
        <v>2298</v>
      </c>
      <c r="B157" s="4120"/>
      <c r="C157" s="4120"/>
      <c r="D157" s="4120"/>
      <c r="E157" s="4120"/>
      <c r="F157" s="4120"/>
      <c r="G157" s="4120"/>
      <c r="H157" s="4120"/>
    </row>
    <row r="158" spans="1:8">
      <c r="A158" s="4125" t="s">
        <v>2299</v>
      </c>
      <c r="B158" s="4120"/>
      <c r="C158" s="4120"/>
      <c r="D158" s="4120"/>
      <c r="E158" s="4120"/>
      <c r="F158" s="4120"/>
      <c r="G158" s="4120"/>
      <c r="H158" s="4120"/>
    </row>
    <row r="159" spans="1:8">
      <c r="A159" s="4120"/>
      <c r="B159" s="4120"/>
      <c r="C159" s="4120"/>
      <c r="D159" s="4120"/>
      <c r="E159" s="4120"/>
      <c r="F159" s="4120"/>
      <c r="G159" s="4120"/>
      <c r="H159" s="4120"/>
    </row>
    <row r="160" spans="1:8">
      <c r="A160" s="4125" t="s">
        <v>2294</v>
      </c>
      <c r="B160" s="4120"/>
      <c r="C160" s="4120"/>
      <c r="D160" s="4120"/>
      <c r="E160" s="4120"/>
      <c r="F160" s="4120"/>
      <c r="G160" s="4120"/>
      <c r="H160" s="4120"/>
    </row>
    <row r="161" spans="1:8">
      <c r="A161" s="4125" t="s">
        <v>2295</v>
      </c>
      <c r="B161" s="4120"/>
      <c r="C161" s="4120"/>
      <c r="D161" s="4120"/>
      <c r="E161" s="4120"/>
      <c r="F161" s="4120"/>
      <c r="G161" s="4120"/>
      <c r="H161" s="4120"/>
    </row>
    <row r="162" spans="1:8">
      <c r="A162" s="4125" t="s">
        <v>2296</v>
      </c>
      <c r="B162" s="4120"/>
      <c r="C162" s="4120"/>
      <c r="D162" s="4120"/>
      <c r="E162" s="4120"/>
      <c r="F162" s="4120"/>
      <c r="G162" s="4120"/>
      <c r="H162" s="4120"/>
    </row>
    <row r="163" spans="1:8">
      <c r="A163" s="4120"/>
      <c r="B163" s="4120"/>
      <c r="C163" s="4120"/>
      <c r="D163" s="4120"/>
      <c r="E163" s="4120"/>
      <c r="F163" s="4120"/>
      <c r="G163" s="4120"/>
      <c r="H163" s="4120"/>
    </row>
    <row r="164" spans="1:8">
      <c r="A164" s="4125" t="s">
        <v>2292</v>
      </c>
      <c r="B164" s="4120"/>
      <c r="C164" s="4120"/>
      <c r="D164" s="4120"/>
      <c r="E164" s="4120"/>
      <c r="F164" s="4120"/>
      <c r="G164" s="4120"/>
      <c r="H164" s="4120"/>
    </row>
    <row r="165" spans="1:8">
      <c r="A165" s="4125" t="s">
        <v>2293</v>
      </c>
      <c r="B165" s="4120"/>
      <c r="C165" s="4120"/>
      <c r="D165" s="4120"/>
      <c r="E165" s="4120"/>
      <c r="F165" s="4120"/>
      <c r="G165" s="4120"/>
      <c r="H165" s="4120"/>
    </row>
    <row r="166" spans="1:8">
      <c r="A166" s="4120"/>
      <c r="B166" s="4120"/>
      <c r="C166" s="4120"/>
      <c r="D166" s="4120"/>
      <c r="E166" s="4120"/>
      <c r="F166" s="4120"/>
      <c r="G166" s="4120"/>
      <c r="H166" s="4120"/>
    </row>
    <row r="167" spans="1:8" ht="15.75">
      <c r="A167" s="4126" t="s">
        <v>2115</v>
      </c>
      <c r="B167" s="4120"/>
      <c r="C167" s="4120"/>
      <c r="D167" s="4120"/>
      <c r="E167" s="4120"/>
      <c r="F167" s="4120"/>
      <c r="G167" s="4120"/>
      <c r="H167" s="4120"/>
    </row>
    <row r="168" spans="1:8">
      <c r="A168" s="4120"/>
      <c r="B168" s="4120"/>
      <c r="C168" s="4120"/>
      <c r="D168" s="4120"/>
      <c r="E168" s="4120"/>
      <c r="F168" s="4120"/>
      <c r="G168" s="4120"/>
      <c r="H168" s="4120"/>
    </row>
    <row r="169" spans="1:8">
      <c r="A169" s="4125" t="s">
        <v>2290</v>
      </c>
      <c r="B169" s="4120"/>
      <c r="C169" s="4120"/>
      <c r="D169" s="4120"/>
      <c r="E169" s="4120"/>
      <c r="F169" s="4120"/>
      <c r="G169" s="4120"/>
      <c r="H169" s="4120"/>
    </row>
    <row r="170" spans="1:8">
      <c r="A170" s="4125" t="s">
        <v>2291</v>
      </c>
      <c r="B170" s="4120"/>
      <c r="C170" s="4120"/>
      <c r="D170" s="4120"/>
      <c r="E170" s="4120"/>
      <c r="F170" s="4120"/>
      <c r="G170" s="4120"/>
      <c r="H170" s="4120"/>
    </row>
    <row r="171" spans="1:8">
      <c r="A171" s="4120"/>
      <c r="B171" s="4120"/>
      <c r="C171" s="4120"/>
      <c r="D171" s="4120"/>
      <c r="E171" s="4120"/>
      <c r="F171" s="4120"/>
      <c r="G171" s="4120"/>
      <c r="H171" s="4120"/>
    </row>
    <row r="172" spans="1:8">
      <c r="A172" s="4125" t="s">
        <v>2288</v>
      </c>
      <c r="B172" s="4120"/>
      <c r="C172" s="4120"/>
      <c r="D172" s="4120"/>
      <c r="E172" s="4120"/>
      <c r="F172" s="4120"/>
      <c r="G172" s="4120"/>
      <c r="H172" s="4120"/>
    </row>
    <row r="173" spans="1:8">
      <c r="A173" s="4125" t="s">
        <v>2289</v>
      </c>
      <c r="B173" s="4120"/>
      <c r="C173" s="4120"/>
      <c r="D173" s="4120"/>
      <c r="E173" s="4120"/>
      <c r="F173" s="4120"/>
      <c r="G173" s="4120"/>
      <c r="H173" s="4120"/>
    </row>
    <row r="174" spans="1:8">
      <c r="A174" s="4120"/>
      <c r="B174" s="4120"/>
      <c r="C174" s="4120"/>
      <c r="D174" s="4120"/>
      <c r="E174" s="4120"/>
      <c r="F174" s="4120"/>
      <c r="G174" s="4120"/>
      <c r="H174" s="4120"/>
    </row>
    <row r="175" spans="1:8">
      <c r="A175" s="4125" t="s">
        <v>2286</v>
      </c>
      <c r="B175" s="4120"/>
      <c r="C175" s="4120"/>
      <c r="D175" s="4120"/>
      <c r="E175" s="4120"/>
      <c r="F175" s="4120"/>
      <c r="G175" s="4120"/>
      <c r="H175" s="4120"/>
    </row>
    <row r="176" spans="1:8">
      <c r="A176" s="4125" t="s">
        <v>2287</v>
      </c>
      <c r="B176" s="4120"/>
      <c r="C176" s="4120"/>
      <c r="D176" s="4120"/>
      <c r="E176" s="4120"/>
      <c r="F176" s="4120"/>
      <c r="G176" s="4120"/>
      <c r="H176" s="4120"/>
    </row>
    <row r="177" spans="1:8">
      <c r="A177" s="4120"/>
      <c r="B177" s="4120"/>
      <c r="C177" s="4120"/>
      <c r="D177" s="4120"/>
      <c r="E177" s="4120"/>
      <c r="F177" s="4120"/>
      <c r="G177" s="4120"/>
      <c r="H177" s="4120"/>
    </row>
    <row r="178" spans="1:8">
      <c r="A178" s="4125" t="s">
        <v>2283</v>
      </c>
      <c r="B178" s="4120"/>
      <c r="C178" s="4120"/>
      <c r="D178" s="4120"/>
      <c r="E178" s="4120"/>
      <c r="F178" s="4120"/>
      <c r="G178" s="4120"/>
      <c r="H178" s="4120"/>
    </row>
    <row r="179" spans="1:8">
      <c r="A179" s="4125" t="s">
        <v>2284</v>
      </c>
      <c r="B179" s="4120"/>
      <c r="C179" s="4120"/>
      <c r="D179" s="4120"/>
      <c r="E179" s="4120"/>
      <c r="F179" s="4120"/>
      <c r="G179" s="4120"/>
      <c r="H179" s="4120"/>
    </row>
    <row r="180" spans="1:8">
      <c r="A180" s="4125" t="s">
        <v>2285</v>
      </c>
      <c r="B180" s="4120"/>
      <c r="C180" s="4120"/>
      <c r="D180" s="4120"/>
      <c r="E180" s="4120"/>
      <c r="F180" s="4120"/>
      <c r="G180" s="4120"/>
      <c r="H180" s="4120"/>
    </row>
    <row r="181" spans="1:8">
      <c r="A181" s="4120"/>
      <c r="B181" s="4120"/>
      <c r="C181" s="4120"/>
      <c r="D181" s="4120"/>
      <c r="E181" s="4120"/>
      <c r="F181" s="4120"/>
      <c r="G181" s="4120"/>
      <c r="H181" s="4120"/>
    </row>
    <row r="182" spans="1:8">
      <c r="A182" s="4120"/>
      <c r="B182" s="4120"/>
      <c r="C182" s="4120"/>
      <c r="D182" s="4120"/>
      <c r="E182" s="4120"/>
      <c r="F182" s="4120"/>
      <c r="G182" s="4120"/>
      <c r="H182" s="4120"/>
    </row>
    <row r="183" spans="1:8">
      <c r="A183" s="4125" t="s">
        <v>563</v>
      </c>
      <c r="B183" s="4120"/>
      <c r="C183" s="4120"/>
      <c r="D183" s="4120"/>
      <c r="E183" s="4120"/>
      <c r="F183" s="4120"/>
      <c r="G183" s="4120"/>
      <c r="H183" s="4120"/>
    </row>
    <row r="184" spans="1:8">
      <c r="A184" s="4120"/>
      <c r="B184" s="4120"/>
      <c r="C184" s="4120"/>
      <c r="D184" s="4120"/>
      <c r="E184" s="4120"/>
      <c r="F184" s="4120"/>
      <c r="G184" s="4120"/>
      <c r="H184" s="4120"/>
    </row>
    <row r="185" spans="1:8" ht="15.75">
      <c r="A185" s="4126" t="s">
        <v>2116</v>
      </c>
      <c r="B185" s="4120"/>
      <c r="C185" s="4120"/>
      <c r="D185" s="4120"/>
      <c r="E185" s="4120"/>
      <c r="F185" s="4120"/>
      <c r="G185" s="4120"/>
      <c r="H185" s="4120"/>
    </row>
    <row r="186" spans="1:8">
      <c r="A186" s="4120"/>
      <c r="B186" s="4120"/>
      <c r="C186" s="4120"/>
      <c r="D186" s="4120"/>
      <c r="E186" s="4120"/>
      <c r="F186" s="4120"/>
      <c r="G186" s="4120"/>
      <c r="H186" s="4120"/>
    </row>
    <row r="187" spans="1:8">
      <c r="A187" s="4120"/>
      <c r="B187" s="4120"/>
      <c r="C187" s="4120"/>
      <c r="D187" s="4120"/>
      <c r="E187" s="4120"/>
      <c r="F187" s="4120"/>
      <c r="G187" s="4120"/>
      <c r="H187" s="4120"/>
    </row>
    <row r="188" spans="1:8">
      <c r="A188" s="4120"/>
      <c r="B188" s="4120"/>
      <c r="C188" s="4120"/>
      <c r="D188" s="4120"/>
      <c r="E188" s="4120"/>
      <c r="F188" s="4120"/>
      <c r="G188" s="4120"/>
      <c r="H188" s="4120"/>
    </row>
    <row r="189" spans="1:8">
      <c r="A189" s="4120"/>
      <c r="B189" s="4120"/>
      <c r="C189" s="4120"/>
      <c r="D189" s="4120"/>
      <c r="E189" s="4120"/>
      <c r="F189" s="4120"/>
      <c r="G189" s="4120"/>
      <c r="H189" s="4120"/>
    </row>
    <row r="190" spans="1:8">
      <c r="A190" s="4120"/>
      <c r="B190" s="4120"/>
      <c r="C190" s="4120"/>
      <c r="D190" s="4120"/>
      <c r="E190" s="4120"/>
      <c r="F190" s="4120"/>
      <c r="G190" s="4120"/>
      <c r="H190" s="4120"/>
    </row>
    <row r="191" spans="1:8">
      <c r="A191" s="4120"/>
      <c r="B191" s="4120"/>
      <c r="C191" s="4120"/>
      <c r="D191" s="4120"/>
      <c r="E191" s="4120"/>
      <c r="F191" s="4120"/>
      <c r="G191" s="4120"/>
      <c r="H191" s="4120"/>
    </row>
    <row r="192" spans="1:8">
      <c r="A192" s="4120"/>
      <c r="B192" s="4120"/>
      <c r="C192" s="4120"/>
      <c r="D192" s="4120"/>
      <c r="E192" s="4120"/>
      <c r="F192" s="4120"/>
      <c r="G192" s="4120"/>
      <c r="H192" s="4120"/>
    </row>
    <row r="193" spans="1:8">
      <c r="A193" s="4120"/>
      <c r="B193" s="4120"/>
      <c r="C193" s="4120"/>
      <c r="D193" s="4120"/>
      <c r="E193" s="4120"/>
      <c r="F193" s="4120"/>
      <c r="G193" s="4120"/>
      <c r="H193" s="4120"/>
    </row>
    <row r="194" spans="1:8">
      <c r="A194" s="4120"/>
      <c r="B194" s="4120"/>
      <c r="C194" s="4120"/>
      <c r="D194" s="4120"/>
      <c r="E194" s="4120"/>
      <c r="F194" s="4120"/>
      <c r="G194" s="4120"/>
      <c r="H194" s="4120"/>
    </row>
    <row r="195" spans="1:8">
      <c r="A195" s="4120"/>
      <c r="B195" s="4120"/>
      <c r="C195" s="4120"/>
      <c r="D195" s="4120"/>
      <c r="E195" s="4120"/>
      <c r="F195" s="4120"/>
      <c r="G195" s="4120"/>
      <c r="H195" s="4120"/>
    </row>
    <row r="196" spans="1:8">
      <c r="A196" s="4120"/>
      <c r="B196" s="4120"/>
      <c r="C196" s="4120"/>
      <c r="D196" s="4120"/>
      <c r="E196" s="4120"/>
      <c r="F196" s="4120"/>
      <c r="G196" s="4120"/>
      <c r="H196" s="4120"/>
    </row>
    <row r="197" spans="1:8">
      <c r="A197" s="4120"/>
      <c r="B197" s="4120"/>
      <c r="C197" s="4120"/>
      <c r="D197" s="4120"/>
      <c r="E197" s="4120"/>
      <c r="F197" s="4120"/>
      <c r="G197" s="4120"/>
      <c r="H197" s="4120"/>
    </row>
    <row r="198" spans="1:8">
      <c r="A198" s="4120"/>
      <c r="B198" s="4120"/>
      <c r="C198" s="4120"/>
      <c r="D198" s="4120"/>
      <c r="E198" s="4120"/>
      <c r="F198" s="4120"/>
      <c r="G198" s="4120"/>
      <c r="H198" s="4120"/>
    </row>
    <row r="199" spans="1:8">
      <c r="A199" s="4120"/>
      <c r="B199" s="4120"/>
      <c r="C199" s="4120"/>
      <c r="D199" s="4120"/>
      <c r="E199" s="4120"/>
      <c r="F199" s="4120"/>
      <c r="G199" s="4120"/>
      <c r="H199" s="4120"/>
    </row>
    <row r="200" spans="1:8">
      <c r="A200" s="4120"/>
      <c r="B200" s="4120"/>
      <c r="C200" s="4120"/>
      <c r="D200" s="4120"/>
      <c r="E200" s="4120"/>
      <c r="F200" s="4120"/>
      <c r="G200" s="4120"/>
      <c r="H200" s="4120"/>
    </row>
    <row r="201" spans="1:8">
      <c r="A201" s="4120"/>
      <c r="B201" s="4120"/>
      <c r="C201" s="4120"/>
      <c r="D201" s="4120"/>
      <c r="E201" s="4120"/>
      <c r="F201" s="4120"/>
      <c r="G201" s="4120"/>
      <c r="H201" s="4120"/>
    </row>
    <row r="202" spans="1:8">
      <c r="A202" s="4120"/>
      <c r="B202" s="4120"/>
      <c r="C202" s="4120"/>
      <c r="D202" s="4120"/>
      <c r="E202" s="4120"/>
      <c r="F202" s="4120"/>
      <c r="G202" s="4120"/>
      <c r="H202" s="4120"/>
    </row>
    <row r="203" spans="1:8">
      <c r="A203" s="4120"/>
      <c r="B203" s="4120"/>
      <c r="C203" s="4120"/>
      <c r="D203" s="4120"/>
      <c r="E203" s="4120"/>
      <c r="F203" s="4120"/>
      <c r="G203" s="4120"/>
      <c r="H203" s="4120"/>
    </row>
    <row r="204" spans="1:8">
      <c r="A204" s="4120"/>
      <c r="B204" s="4120"/>
      <c r="C204" s="4120"/>
      <c r="D204" s="4120"/>
      <c r="E204" s="4120"/>
      <c r="F204" s="4120"/>
      <c r="G204" s="4120"/>
      <c r="H204" s="4120"/>
    </row>
    <row r="205" spans="1:8">
      <c r="A205" s="4120"/>
      <c r="B205" s="4120"/>
      <c r="C205" s="4120"/>
      <c r="D205" s="4120"/>
      <c r="E205" s="4120"/>
      <c r="F205" s="4120"/>
      <c r="G205" s="4120"/>
      <c r="H205" s="4120"/>
    </row>
    <row r="206" spans="1:8">
      <c r="A206" s="4120"/>
      <c r="B206" s="4120"/>
      <c r="C206" s="4120"/>
      <c r="D206" s="4120"/>
      <c r="E206" s="4120"/>
      <c r="F206" s="4120"/>
      <c r="G206" s="4120"/>
      <c r="H206" s="4120"/>
    </row>
    <row r="207" spans="1:8">
      <c r="A207" s="4120"/>
      <c r="B207" s="4120"/>
      <c r="C207" s="4120"/>
      <c r="D207" s="4120"/>
      <c r="E207" s="4120"/>
      <c r="F207" s="4120"/>
      <c r="G207" s="4120"/>
      <c r="H207" s="4120"/>
    </row>
    <row r="208" spans="1:8">
      <c r="A208" s="4120"/>
      <c r="B208" s="4120"/>
      <c r="C208" s="4120"/>
      <c r="D208" s="4120"/>
      <c r="E208" s="4120"/>
      <c r="F208" s="4120"/>
      <c r="G208" s="4120"/>
      <c r="H208" s="4120"/>
    </row>
    <row r="209" spans="1:8">
      <c r="A209" s="4120"/>
      <c r="B209" s="4120"/>
      <c r="C209" s="4120"/>
      <c r="D209" s="4120"/>
      <c r="E209" s="4120"/>
      <c r="F209" s="4120"/>
      <c r="G209" s="4120"/>
      <c r="H209" s="4120"/>
    </row>
    <row r="210" spans="1:8">
      <c r="A210" s="4120"/>
      <c r="B210" s="4120"/>
      <c r="C210" s="4120"/>
      <c r="D210" s="4120"/>
      <c r="E210" s="4120"/>
      <c r="F210" s="4120"/>
      <c r="G210" s="4120"/>
      <c r="H210" s="4120"/>
    </row>
    <row r="211" spans="1:8">
      <c r="A211" s="4120"/>
      <c r="B211" s="4120"/>
      <c r="C211" s="4120"/>
      <c r="D211" s="4120"/>
      <c r="E211" s="4120"/>
      <c r="F211" s="4120"/>
      <c r="G211" s="4120"/>
      <c r="H211" s="4120"/>
    </row>
    <row r="212" spans="1:8" ht="15.75">
      <c r="A212" s="4126" t="s">
        <v>2117</v>
      </c>
      <c r="B212" s="4120"/>
      <c r="C212" s="4120"/>
      <c r="D212" s="4120"/>
      <c r="E212" s="4120"/>
      <c r="F212" s="4120"/>
      <c r="G212" s="4120"/>
      <c r="H212" s="4120"/>
    </row>
    <row r="213" spans="1:8">
      <c r="A213" s="4120"/>
      <c r="B213" s="4120"/>
      <c r="C213" s="4120"/>
      <c r="D213" s="4120"/>
      <c r="E213" s="4120"/>
      <c r="F213" s="4120"/>
      <c r="G213" s="4120"/>
      <c r="H213" s="4120"/>
    </row>
    <row r="214" spans="1:8">
      <c r="A214" s="4125" t="s">
        <v>2278</v>
      </c>
      <c r="B214" s="4120"/>
      <c r="C214" s="4120"/>
      <c r="D214" s="4120"/>
      <c r="E214" s="4120"/>
      <c r="F214" s="4120"/>
      <c r="G214" s="4120"/>
      <c r="H214" s="4120"/>
    </row>
    <row r="215" spans="1:8">
      <c r="A215" s="4125" t="s">
        <v>2279</v>
      </c>
      <c r="B215" s="4120"/>
      <c r="C215" s="4120"/>
      <c r="D215" s="4120"/>
      <c r="E215" s="4120"/>
      <c r="F215" s="4120"/>
      <c r="G215" s="4120"/>
      <c r="H215" s="4120"/>
    </row>
    <row r="216" spans="1:8">
      <c r="A216" s="4125" t="s">
        <v>2280</v>
      </c>
      <c r="B216" s="4120"/>
      <c r="C216" s="4120"/>
      <c r="D216" s="4120"/>
      <c r="E216" s="4120"/>
      <c r="F216" s="4120"/>
      <c r="G216" s="4120"/>
      <c r="H216" s="4120"/>
    </row>
    <row r="217" spans="1:8">
      <c r="A217" s="4125" t="s">
        <v>2281</v>
      </c>
      <c r="B217" s="4120"/>
      <c r="C217" s="4120"/>
      <c r="D217" s="4120"/>
      <c r="E217" s="4120"/>
      <c r="F217" s="4120"/>
      <c r="G217" s="4120"/>
      <c r="H217" s="4120"/>
    </row>
    <row r="218" spans="1:8">
      <c r="A218" s="4125" t="s">
        <v>2282</v>
      </c>
      <c r="B218" s="4120"/>
      <c r="C218" s="4120"/>
      <c r="D218" s="4120"/>
      <c r="E218" s="4120"/>
      <c r="F218" s="4120"/>
      <c r="G218" s="4120"/>
      <c r="H218" s="4120"/>
    </row>
    <row r="219" spans="1:8">
      <c r="A219" s="4120"/>
      <c r="B219" s="4120"/>
      <c r="C219" s="4120"/>
      <c r="D219" s="4120"/>
      <c r="E219" s="4120"/>
      <c r="F219" s="4120"/>
      <c r="G219" s="4120"/>
      <c r="H219" s="4120"/>
    </row>
    <row r="220" spans="1:8">
      <c r="A220" s="4125" t="s">
        <v>2275</v>
      </c>
      <c r="B220" s="4120"/>
      <c r="C220" s="4120"/>
      <c r="D220" s="4120"/>
      <c r="E220" s="4120"/>
      <c r="F220" s="4120"/>
      <c r="G220" s="4120"/>
      <c r="H220" s="4120"/>
    </row>
    <row r="221" spans="1:8">
      <c r="A221" s="4125" t="s">
        <v>2276</v>
      </c>
      <c r="B221" s="4120"/>
      <c r="C221" s="4120"/>
      <c r="D221" s="4120"/>
      <c r="E221" s="4120"/>
      <c r="F221" s="4120"/>
      <c r="G221" s="4120"/>
      <c r="H221" s="4120"/>
    </row>
    <row r="222" spans="1:8">
      <c r="A222" s="4125" t="s">
        <v>2277</v>
      </c>
      <c r="B222" s="4120"/>
      <c r="C222" s="4120"/>
      <c r="D222" s="4120"/>
      <c r="E222" s="4120"/>
      <c r="F222" s="4120"/>
      <c r="G222" s="4120"/>
      <c r="H222" s="4120"/>
    </row>
    <row r="223" spans="1:8" ht="15.75">
      <c r="A223" s="4126" t="s">
        <v>2118</v>
      </c>
      <c r="B223" s="4120"/>
      <c r="C223" s="4120"/>
      <c r="D223" s="4120"/>
      <c r="E223" s="4120"/>
      <c r="F223" s="4120"/>
      <c r="G223" s="4120"/>
      <c r="H223" s="4120"/>
    </row>
    <row r="224" spans="1:8">
      <c r="A224" s="4120"/>
      <c r="B224" s="4120"/>
      <c r="C224" s="4120"/>
      <c r="D224" s="4120"/>
      <c r="E224" s="4120"/>
      <c r="F224" s="4120"/>
      <c r="G224" s="4120"/>
      <c r="H224" s="4120"/>
    </row>
    <row r="225" spans="1:8">
      <c r="A225" s="4125" t="s">
        <v>2273</v>
      </c>
      <c r="B225" s="4120"/>
      <c r="C225" s="4120"/>
      <c r="D225" s="4120"/>
      <c r="E225" s="4120"/>
      <c r="F225" s="4120"/>
      <c r="G225" s="4120"/>
      <c r="H225" s="4120"/>
    </row>
    <row r="226" spans="1:8">
      <c r="A226" s="4125" t="s">
        <v>2274</v>
      </c>
      <c r="B226" s="4120"/>
      <c r="C226" s="4120"/>
      <c r="D226" s="4120"/>
      <c r="E226" s="4120"/>
      <c r="F226" s="4120"/>
      <c r="G226" s="4120"/>
      <c r="H226" s="4120"/>
    </row>
    <row r="227" spans="1:8">
      <c r="A227" s="4120"/>
      <c r="B227" s="4120"/>
      <c r="C227" s="4120"/>
      <c r="D227" s="4120"/>
      <c r="E227" s="4120"/>
      <c r="F227" s="4120"/>
      <c r="G227" s="4120"/>
      <c r="H227" s="4120"/>
    </row>
    <row r="228" spans="1:8">
      <c r="A228" s="4125" t="s">
        <v>2266</v>
      </c>
      <c r="B228" s="4120"/>
      <c r="C228" s="4120"/>
      <c r="D228" s="4120"/>
      <c r="E228" s="4120"/>
      <c r="F228" s="4120"/>
      <c r="G228" s="4120"/>
      <c r="H228" s="4120"/>
    </row>
    <row r="229" spans="1:8">
      <c r="A229" s="4125" t="s">
        <v>2267</v>
      </c>
      <c r="B229" s="4120"/>
      <c r="C229" s="4120"/>
      <c r="D229" s="4120"/>
      <c r="E229" s="4120"/>
      <c r="F229" s="4120"/>
      <c r="G229" s="4120"/>
      <c r="H229" s="4120"/>
    </row>
    <row r="230" spans="1:8">
      <c r="A230" s="4125" t="s">
        <v>2268</v>
      </c>
      <c r="B230" s="4120"/>
      <c r="C230" s="4120"/>
      <c r="D230" s="4120"/>
      <c r="E230" s="4120"/>
      <c r="F230" s="4120"/>
      <c r="G230" s="4120"/>
      <c r="H230" s="4120"/>
    </row>
    <row r="231" spans="1:8">
      <c r="A231" s="4125" t="s">
        <v>2269</v>
      </c>
      <c r="B231" s="4120"/>
      <c r="C231" s="4120"/>
      <c r="D231" s="4120"/>
      <c r="E231" s="4120"/>
      <c r="F231" s="4120"/>
      <c r="G231" s="4120"/>
      <c r="H231" s="4120"/>
    </row>
    <row r="232" spans="1:8">
      <c r="A232" s="4125" t="s">
        <v>2270</v>
      </c>
      <c r="B232" s="4120"/>
      <c r="C232" s="4120"/>
      <c r="D232" s="4120"/>
      <c r="E232" s="4120"/>
      <c r="F232" s="4120"/>
      <c r="G232" s="4120"/>
      <c r="H232" s="4120"/>
    </row>
    <row r="233" spans="1:8">
      <c r="A233" s="4125" t="s">
        <v>2271</v>
      </c>
      <c r="B233" s="4120"/>
      <c r="C233" s="4120"/>
      <c r="D233" s="4120"/>
      <c r="E233" s="4120"/>
      <c r="F233" s="4120"/>
      <c r="G233" s="4120"/>
      <c r="H233" s="4120"/>
    </row>
    <row r="234" spans="1:8">
      <c r="A234" s="4125" t="s">
        <v>2272</v>
      </c>
      <c r="B234" s="4120"/>
      <c r="C234" s="4120"/>
      <c r="D234" s="4120"/>
      <c r="E234" s="4120"/>
      <c r="F234" s="4120"/>
      <c r="G234" s="4120"/>
      <c r="H234" s="4120"/>
    </row>
    <row r="235" spans="1:8">
      <c r="A235" s="4120"/>
      <c r="B235" s="4120"/>
      <c r="C235" s="4120"/>
      <c r="D235" s="4120"/>
      <c r="E235" s="4120"/>
      <c r="F235" s="4120"/>
      <c r="G235" s="4120"/>
      <c r="H235" s="4120"/>
    </row>
    <row r="236" spans="1:8">
      <c r="A236" s="4125" t="s">
        <v>2263</v>
      </c>
      <c r="B236" s="4120"/>
      <c r="C236" s="4120"/>
      <c r="D236" s="4120"/>
      <c r="E236" s="4120"/>
      <c r="F236" s="4120"/>
      <c r="G236" s="4120"/>
      <c r="H236" s="4120"/>
    </row>
    <row r="237" spans="1:8">
      <c r="A237" s="4125" t="s">
        <v>2264</v>
      </c>
      <c r="B237" s="4120"/>
      <c r="C237" s="4120"/>
      <c r="D237" s="4120"/>
      <c r="E237" s="4120"/>
      <c r="F237" s="4120"/>
      <c r="G237" s="4120"/>
      <c r="H237" s="4120"/>
    </row>
    <row r="238" spans="1:8">
      <c r="A238" s="4125" t="s">
        <v>2265</v>
      </c>
      <c r="B238" s="4120"/>
      <c r="C238" s="4120"/>
      <c r="D238" s="4120"/>
      <c r="E238" s="4120"/>
      <c r="F238" s="4120"/>
      <c r="G238" s="4120"/>
      <c r="H238" s="4120"/>
    </row>
    <row r="239" spans="1:8">
      <c r="A239" s="4120"/>
      <c r="B239" s="4120"/>
      <c r="C239" s="4120"/>
      <c r="D239" s="4120"/>
      <c r="E239" s="4120"/>
      <c r="F239" s="4120"/>
      <c r="G239" s="4120"/>
      <c r="H239" s="4120"/>
    </row>
    <row r="240" spans="1:8">
      <c r="A240" s="4125" t="s">
        <v>2258</v>
      </c>
      <c r="B240" s="4120"/>
      <c r="C240" s="4120"/>
      <c r="D240" s="4120"/>
      <c r="E240" s="4120"/>
      <c r="F240" s="4120"/>
      <c r="G240" s="4120"/>
      <c r="H240" s="4120"/>
    </row>
    <row r="241" spans="1:8">
      <c r="A241" s="4125" t="s">
        <v>2259</v>
      </c>
      <c r="B241" s="4120"/>
      <c r="C241" s="4120"/>
      <c r="D241" s="4120"/>
      <c r="E241" s="4120"/>
      <c r="F241" s="4120"/>
      <c r="G241" s="4120"/>
      <c r="H241" s="4120"/>
    </row>
    <row r="242" spans="1:8">
      <c r="A242" s="4125" t="s">
        <v>2260</v>
      </c>
      <c r="B242" s="4120"/>
      <c r="C242" s="4120"/>
      <c r="D242" s="4120"/>
      <c r="E242" s="4120"/>
      <c r="F242" s="4120"/>
      <c r="G242" s="4120"/>
      <c r="H242" s="4120"/>
    </row>
    <row r="243" spans="1:8">
      <c r="A243" s="4125" t="s">
        <v>2261</v>
      </c>
      <c r="B243" s="4120"/>
      <c r="C243" s="4120"/>
      <c r="D243" s="4120"/>
      <c r="E243" s="4120"/>
      <c r="F243" s="4120"/>
      <c r="G243" s="4120"/>
      <c r="H243" s="4120"/>
    </row>
    <row r="244" spans="1:8">
      <c r="A244" s="4125" t="s">
        <v>2262</v>
      </c>
      <c r="B244" s="4120"/>
      <c r="C244" s="4120"/>
      <c r="D244" s="4120"/>
      <c r="E244" s="4120"/>
      <c r="F244" s="4120"/>
      <c r="G244" s="4120"/>
      <c r="H244" s="4120"/>
    </row>
    <row r="245" spans="1:8">
      <c r="A245" s="4120"/>
      <c r="B245" s="4120"/>
      <c r="C245" s="4120"/>
      <c r="D245" s="4120"/>
      <c r="E245" s="4120"/>
      <c r="F245" s="4120"/>
      <c r="G245" s="4120"/>
      <c r="H245" s="4120"/>
    </row>
    <row r="246" spans="1:8">
      <c r="A246" s="4125" t="s">
        <v>2252</v>
      </c>
      <c r="B246" s="4120"/>
      <c r="C246" s="4120"/>
      <c r="D246" s="4120"/>
      <c r="E246" s="4120"/>
      <c r="F246" s="4120"/>
      <c r="G246" s="4120"/>
      <c r="H246" s="4120"/>
    </row>
    <row r="247" spans="1:8">
      <c r="A247" s="4125" t="s">
        <v>2253</v>
      </c>
      <c r="B247" s="4120"/>
      <c r="C247" s="4120"/>
      <c r="D247" s="4120"/>
      <c r="E247" s="4120"/>
      <c r="F247" s="4120"/>
      <c r="G247" s="4120"/>
      <c r="H247" s="4120"/>
    </row>
    <row r="248" spans="1:8">
      <c r="A248" s="4125" t="s">
        <v>2254</v>
      </c>
      <c r="B248" s="4120"/>
      <c r="C248" s="4120"/>
      <c r="D248" s="4120"/>
      <c r="E248" s="4120"/>
      <c r="F248" s="4120"/>
      <c r="G248" s="4120"/>
      <c r="H248" s="4120"/>
    </row>
    <row r="249" spans="1:8">
      <c r="A249" s="4125" t="s">
        <v>2255</v>
      </c>
      <c r="B249" s="4120"/>
      <c r="C249" s="4120"/>
      <c r="D249" s="4120"/>
      <c r="E249" s="4120"/>
      <c r="F249" s="4120"/>
      <c r="G249" s="4120"/>
      <c r="H249" s="4120"/>
    </row>
    <row r="250" spans="1:8">
      <c r="A250" s="4125" t="s">
        <v>2256</v>
      </c>
      <c r="B250" s="4120"/>
      <c r="C250" s="4120"/>
      <c r="D250" s="4120"/>
      <c r="E250" s="4120"/>
      <c r="F250" s="4120"/>
      <c r="G250" s="4120"/>
      <c r="H250" s="4120"/>
    </row>
    <row r="251" spans="1:8">
      <c r="A251" s="4125" t="s">
        <v>2257</v>
      </c>
      <c r="B251" s="4120"/>
      <c r="C251" s="4120"/>
      <c r="D251" s="4120"/>
      <c r="E251" s="4120"/>
      <c r="F251" s="4120"/>
      <c r="G251" s="4120"/>
      <c r="H251" s="4120"/>
    </row>
    <row r="252" spans="1:8">
      <c r="A252" s="4120"/>
      <c r="B252" s="4120"/>
      <c r="C252" s="4120"/>
      <c r="D252" s="4120"/>
      <c r="E252" s="4120"/>
      <c r="F252" s="4120"/>
      <c r="G252" s="4120"/>
      <c r="H252" s="4120"/>
    </row>
    <row r="253" spans="1:8">
      <c r="A253" s="4125" t="s">
        <v>2242</v>
      </c>
      <c r="B253" s="4120"/>
      <c r="C253" s="4120"/>
      <c r="D253" s="4120"/>
      <c r="E253" s="4120"/>
      <c r="F253" s="4120"/>
      <c r="G253" s="4120"/>
      <c r="H253" s="4120"/>
    </row>
    <row r="254" spans="1:8">
      <c r="A254" s="4125" t="s">
        <v>2243</v>
      </c>
      <c r="B254" s="4120"/>
      <c r="C254" s="4120"/>
      <c r="D254" s="4120"/>
      <c r="E254" s="4120"/>
      <c r="F254" s="4120"/>
      <c r="G254" s="4120"/>
      <c r="H254" s="4120"/>
    </row>
    <row r="255" spans="1:8">
      <c r="A255" s="4125" t="s">
        <v>2244</v>
      </c>
      <c r="B255" s="4120"/>
      <c r="C255" s="4120"/>
      <c r="D255" s="4120"/>
      <c r="E255" s="4120"/>
      <c r="F255" s="4120"/>
      <c r="G255" s="4120"/>
      <c r="H255" s="4120"/>
    </row>
    <row r="256" spans="1:8">
      <c r="A256" s="4125" t="s">
        <v>2245</v>
      </c>
      <c r="B256" s="4120"/>
      <c r="C256" s="4120"/>
      <c r="D256" s="4120"/>
      <c r="E256" s="4120"/>
      <c r="F256" s="4120"/>
      <c r="G256" s="4120"/>
      <c r="H256" s="4120"/>
    </row>
    <row r="257" spans="1:8">
      <c r="A257" s="4125" t="s">
        <v>2246</v>
      </c>
      <c r="B257" s="4120"/>
      <c r="C257" s="4120"/>
      <c r="D257" s="4120"/>
      <c r="E257" s="4120"/>
      <c r="F257" s="4120"/>
      <c r="G257" s="4120"/>
      <c r="H257" s="4120"/>
    </row>
    <row r="258" spans="1:8">
      <c r="A258" s="4125" t="s">
        <v>2247</v>
      </c>
      <c r="B258" s="4120"/>
      <c r="C258" s="4120"/>
      <c r="D258" s="4120"/>
      <c r="E258" s="4120"/>
      <c r="F258" s="4120"/>
      <c r="G258" s="4120"/>
      <c r="H258" s="4120"/>
    </row>
    <row r="259" spans="1:8">
      <c r="A259" s="4125" t="s">
        <v>2248</v>
      </c>
      <c r="B259" s="4120"/>
      <c r="C259" s="4120"/>
      <c r="D259" s="4120"/>
      <c r="E259" s="4120"/>
      <c r="F259" s="4120"/>
      <c r="G259" s="4120"/>
      <c r="H259" s="4120"/>
    </row>
    <row r="260" spans="1:8">
      <c r="A260" s="4125" t="s">
        <v>2249</v>
      </c>
      <c r="B260" s="4120"/>
      <c r="C260" s="4120"/>
      <c r="D260" s="4120"/>
      <c r="E260" s="4120"/>
      <c r="F260" s="4120"/>
      <c r="G260" s="4120"/>
      <c r="H260" s="4120"/>
    </row>
    <row r="261" spans="1:8">
      <c r="A261" s="4125" t="s">
        <v>2250</v>
      </c>
      <c r="B261" s="4120"/>
      <c r="C261" s="4120"/>
      <c r="D261" s="4120"/>
      <c r="E261" s="4120"/>
      <c r="F261" s="4120"/>
      <c r="G261" s="4120"/>
      <c r="H261" s="4120"/>
    </row>
    <row r="262" spans="1:8">
      <c r="A262" s="4125" t="s">
        <v>2251</v>
      </c>
      <c r="B262" s="4120"/>
      <c r="C262" s="4120"/>
      <c r="D262" s="4120"/>
      <c r="E262" s="4120"/>
      <c r="F262" s="4120"/>
      <c r="G262" s="4120"/>
      <c r="H262" s="4120"/>
    </row>
    <row r="263" spans="1:8">
      <c r="A263" s="4120"/>
      <c r="B263" s="4120"/>
      <c r="C263" s="4120"/>
      <c r="D263" s="4120"/>
      <c r="E263" s="4120"/>
      <c r="F263" s="4120"/>
      <c r="G263" s="4120"/>
      <c r="H263" s="4120"/>
    </row>
    <row r="264" spans="1:8">
      <c r="A264" s="4125" t="s">
        <v>2240</v>
      </c>
      <c r="B264" s="4120"/>
      <c r="C264" s="4120"/>
      <c r="D264" s="4120"/>
      <c r="E264" s="4120"/>
      <c r="F264" s="4120"/>
      <c r="G264" s="4120"/>
      <c r="H264" s="4120"/>
    </row>
    <row r="265" spans="1:8">
      <c r="A265" s="4125" t="s">
        <v>2241</v>
      </c>
      <c r="B265" s="4120"/>
      <c r="C265" s="4120"/>
      <c r="D265" s="4120"/>
      <c r="E265" s="4120"/>
      <c r="F265" s="4120"/>
      <c r="G265" s="4120"/>
      <c r="H265" s="4120"/>
    </row>
    <row r="266" spans="1:8">
      <c r="A266" s="4120"/>
      <c r="B266" s="4120"/>
      <c r="C266" s="4120"/>
      <c r="D266" s="4120"/>
      <c r="E266" s="4120"/>
      <c r="F266" s="4120"/>
      <c r="G266" s="4120"/>
      <c r="H266" s="4120"/>
    </row>
    <row r="267" spans="1:8">
      <c r="A267" s="4125" t="s">
        <v>2224</v>
      </c>
      <c r="B267" s="4120"/>
      <c r="C267" s="4120"/>
      <c r="D267" s="4120"/>
      <c r="E267" s="4120"/>
      <c r="F267" s="4120"/>
      <c r="G267" s="4120"/>
      <c r="H267" s="4120"/>
    </row>
    <row r="268" spans="1:8">
      <c r="A268" s="4125" t="s">
        <v>2225</v>
      </c>
      <c r="B268" s="4120"/>
      <c r="C268" s="4120"/>
      <c r="D268" s="4120"/>
      <c r="E268" s="4120"/>
      <c r="F268" s="4120"/>
      <c r="G268" s="4120"/>
      <c r="H268" s="4120"/>
    </row>
    <row r="269" spans="1:8">
      <c r="A269" s="4125" t="s">
        <v>2226</v>
      </c>
      <c r="B269" s="4120"/>
      <c r="C269" s="4120"/>
      <c r="D269" s="4120"/>
      <c r="E269" s="4120"/>
      <c r="F269" s="4120"/>
      <c r="G269" s="4120"/>
      <c r="H269" s="4120"/>
    </row>
    <row r="270" spans="1:8">
      <c r="A270" s="4125" t="s">
        <v>2227</v>
      </c>
      <c r="B270" s="4120"/>
      <c r="C270" s="4120"/>
      <c r="D270" s="4120"/>
      <c r="E270" s="4120"/>
      <c r="F270" s="4120"/>
      <c r="G270" s="4120"/>
      <c r="H270" s="4120"/>
    </row>
    <row r="271" spans="1:8">
      <c r="A271" s="4125" t="s">
        <v>2228</v>
      </c>
      <c r="B271" s="4120"/>
      <c r="C271" s="4120"/>
      <c r="D271" s="4120"/>
      <c r="E271" s="4120"/>
      <c r="F271" s="4120"/>
      <c r="G271" s="4120"/>
      <c r="H271" s="4120"/>
    </row>
    <row r="272" spans="1:8">
      <c r="A272" s="4125" t="s">
        <v>2229</v>
      </c>
      <c r="B272" s="4120"/>
      <c r="C272" s="4120"/>
      <c r="D272" s="4120"/>
      <c r="E272" s="4120"/>
      <c r="F272" s="4120"/>
      <c r="G272" s="4120"/>
      <c r="H272" s="4120"/>
    </row>
    <row r="273" spans="1:8">
      <c r="A273" s="4125" t="s">
        <v>2230</v>
      </c>
      <c r="B273" s="4120"/>
      <c r="C273" s="4120"/>
      <c r="D273" s="4120"/>
      <c r="E273" s="4120"/>
      <c r="F273" s="4120"/>
      <c r="G273" s="4120"/>
      <c r="H273" s="4120"/>
    </row>
    <row r="274" spans="1:8">
      <c r="A274" s="4125" t="s">
        <v>2231</v>
      </c>
      <c r="B274" s="4120"/>
      <c r="C274" s="4120"/>
      <c r="D274" s="4120"/>
      <c r="E274" s="4120"/>
      <c r="F274" s="4120"/>
      <c r="G274" s="4120"/>
      <c r="H274" s="4120"/>
    </row>
    <row r="275" spans="1:8">
      <c r="A275" s="4125" t="s">
        <v>2232</v>
      </c>
      <c r="B275" s="4120"/>
      <c r="C275" s="4120"/>
      <c r="D275" s="4120"/>
      <c r="E275" s="4120"/>
      <c r="F275" s="4120"/>
      <c r="G275" s="4120"/>
      <c r="H275" s="4120"/>
    </row>
    <row r="276" spans="1:8">
      <c r="A276" s="4125" t="s">
        <v>2233</v>
      </c>
      <c r="B276" s="4120"/>
      <c r="C276" s="4120"/>
      <c r="D276" s="4120"/>
      <c r="E276" s="4120"/>
      <c r="F276" s="4120"/>
      <c r="G276" s="4120"/>
      <c r="H276" s="4120"/>
    </row>
    <row r="277" spans="1:8">
      <c r="A277" s="4125" t="s">
        <v>2234</v>
      </c>
      <c r="B277" s="4120"/>
      <c r="C277" s="4120"/>
      <c r="D277" s="4120"/>
      <c r="E277" s="4120"/>
      <c r="F277" s="4120"/>
      <c r="G277" s="4120"/>
      <c r="H277" s="4120"/>
    </row>
    <row r="278" spans="1:8">
      <c r="A278" s="4125" t="s">
        <v>2235</v>
      </c>
      <c r="B278" s="4120"/>
      <c r="C278" s="4120"/>
      <c r="D278" s="4120"/>
      <c r="E278" s="4120"/>
      <c r="F278" s="4120"/>
      <c r="G278" s="4120"/>
      <c r="H278" s="4120"/>
    </row>
    <row r="279" spans="1:8">
      <c r="A279" s="4125" t="s">
        <v>2236</v>
      </c>
      <c r="B279" s="4120"/>
      <c r="C279" s="4120"/>
      <c r="D279" s="4120"/>
      <c r="E279" s="4120"/>
      <c r="F279" s="4120"/>
      <c r="G279" s="4120"/>
      <c r="H279" s="4120"/>
    </row>
    <row r="280" spans="1:8">
      <c r="A280" s="4125" t="s">
        <v>2237</v>
      </c>
      <c r="B280" s="4120"/>
      <c r="C280" s="4120"/>
      <c r="D280" s="4120"/>
      <c r="E280" s="4120"/>
      <c r="F280" s="4120"/>
      <c r="G280" s="4120"/>
      <c r="H280" s="4120"/>
    </row>
    <row r="281" spans="1:8">
      <c r="A281" s="4125" t="s">
        <v>2238</v>
      </c>
      <c r="B281" s="4120"/>
      <c r="C281" s="4120"/>
      <c r="D281" s="4120"/>
      <c r="E281" s="4120"/>
      <c r="F281" s="4120"/>
      <c r="G281" s="4120"/>
      <c r="H281" s="4120"/>
    </row>
    <row r="282" spans="1:8">
      <c r="A282" s="4125" t="s">
        <v>2239</v>
      </c>
      <c r="B282" s="4120"/>
      <c r="C282" s="4120"/>
      <c r="D282" s="4120"/>
      <c r="E282" s="4120"/>
      <c r="F282" s="4120"/>
      <c r="G282" s="4120"/>
      <c r="H282" s="4120"/>
    </row>
    <row r="283" spans="1:8">
      <c r="A283" s="4120"/>
      <c r="B283" s="4120"/>
      <c r="C283" s="4120"/>
      <c r="D283" s="4120"/>
      <c r="E283" s="4120"/>
      <c r="F283" s="4120"/>
      <c r="G283" s="4120"/>
      <c r="H283" s="4120"/>
    </row>
    <row r="284" spans="1:8">
      <c r="A284" s="4125" t="s">
        <v>2217</v>
      </c>
      <c r="B284" s="4120"/>
      <c r="C284" s="4120"/>
      <c r="D284" s="4120"/>
      <c r="E284" s="4120"/>
      <c r="F284" s="4120"/>
      <c r="G284" s="4120"/>
      <c r="H284" s="4120"/>
    </row>
    <row r="285" spans="1:8">
      <c r="A285" s="4125" t="s">
        <v>2218</v>
      </c>
      <c r="B285" s="4120"/>
      <c r="C285" s="4120"/>
      <c r="D285" s="4120"/>
      <c r="E285" s="4120"/>
      <c r="F285" s="4120"/>
      <c r="G285" s="4120"/>
      <c r="H285" s="4120"/>
    </row>
    <row r="286" spans="1:8">
      <c r="A286" s="4125" t="s">
        <v>2219</v>
      </c>
      <c r="B286" s="4120"/>
      <c r="C286" s="4120"/>
      <c r="D286" s="4120"/>
      <c r="E286" s="4120"/>
      <c r="F286" s="4120"/>
      <c r="G286" s="4120"/>
      <c r="H286" s="4120"/>
    </row>
    <row r="287" spans="1:8">
      <c r="A287" s="4125" t="s">
        <v>2220</v>
      </c>
      <c r="B287" s="4120"/>
      <c r="C287" s="4120"/>
      <c r="D287" s="4120"/>
      <c r="E287" s="4120"/>
      <c r="F287" s="4120"/>
      <c r="G287" s="4120"/>
      <c r="H287" s="4120"/>
    </row>
    <row r="288" spans="1:8">
      <c r="A288" s="4125" t="s">
        <v>2221</v>
      </c>
      <c r="B288" s="4120"/>
      <c r="C288" s="4120"/>
      <c r="D288" s="4120"/>
      <c r="E288" s="4120"/>
      <c r="F288" s="4120"/>
      <c r="G288" s="4120"/>
      <c r="H288" s="4120"/>
    </row>
    <row r="289" spans="1:8">
      <c r="A289" s="4125" t="s">
        <v>2222</v>
      </c>
      <c r="B289" s="4120"/>
      <c r="C289" s="4120"/>
      <c r="D289" s="4120"/>
      <c r="E289" s="4120"/>
      <c r="F289" s="4120"/>
      <c r="G289" s="4120"/>
      <c r="H289" s="4120"/>
    </row>
    <row r="290" spans="1:8">
      <c r="A290" s="4125" t="s">
        <v>2223</v>
      </c>
      <c r="B290" s="4120"/>
      <c r="C290" s="4120"/>
      <c r="D290" s="4120"/>
      <c r="E290" s="4120"/>
      <c r="F290" s="4120"/>
      <c r="G290" s="4120"/>
      <c r="H290" s="4120"/>
    </row>
    <row r="291" spans="1:8">
      <c r="A291" s="4120"/>
      <c r="B291" s="4120"/>
      <c r="C291" s="4120"/>
      <c r="D291" s="4120"/>
      <c r="E291" s="4120"/>
      <c r="F291" s="4120"/>
      <c r="G291" s="4120"/>
      <c r="H291" s="4120"/>
    </row>
    <row r="292" spans="1:8">
      <c r="A292" s="4125" t="s">
        <v>2208</v>
      </c>
      <c r="B292" s="4120"/>
      <c r="C292" s="4120"/>
      <c r="D292" s="4120"/>
      <c r="E292" s="4120"/>
      <c r="F292" s="4120"/>
      <c r="G292" s="4120"/>
      <c r="H292" s="4120"/>
    </row>
    <row r="293" spans="1:8">
      <c r="A293" s="4125" t="s">
        <v>2209</v>
      </c>
      <c r="B293" s="4120"/>
      <c r="C293" s="4120"/>
      <c r="D293" s="4120"/>
      <c r="E293" s="4120"/>
      <c r="F293" s="4120"/>
      <c r="G293" s="4120"/>
      <c r="H293" s="4120"/>
    </row>
    <row r="294" spans="1:8">
      <c r="A294" s="4125" t="s">
        <v>2210</v>
      </c>
      <c r="B294" s="4120"/>
      <c r="C294" s="4120"/>
      <c r="D294" s="4120"/>
      <c r="E294" s="4120"/>
      <c r="F294" s="4120"/>
      <c r="G294" s="4120"/>
      <c r="H294" s="4120"/>
    </row>
    <row r="295" spans="1:8">
      <c r="A295" s="4125" t="s">
        <v>2211</v>
      </c>
      <c r="B295" s="4120"/>
      <c r="C295" s="4120"/>
      <c r="D295" s="4120"/>
      <c r="E295" s="4120"/>
      <c r="F295" s="4120"/>
      <c r="G295" s="4120"/>
      <c r="H295" s="4120"/>
    </row>
    <row r="296" spans="1:8">
      <c r="A296" s="4125" t="s">
        <v>2212</v>
      </c>
      <c r="B296" s="4120"/>
      <c r="C296" s="4120"/>
      <c r="D296" s="4120"/>
      <c r="E296" s="4120"/>
      <c r="F296" s="4120"/>
      <c r="G296" s="4120"/>
      <c r="H296" s="4120"/>
    </row>
    <row r="297" spans="1:8">
      <c r="A297" s="4125" t="s">
        <v>2213</v>
      </c>
      <c r="B297" s="4120"/>
      <c r="C297" s="4120"/>
      <c r="D297" s="4120"/>
      <c r="E297" s="4120"/>
      <c r="F297" s="4120"/>
      <c r="G297" s="4120"/>
      <c r="H297" s="4120"/>
    </row>
    <row r="298" spans="1:8">
      <c r="A298" s="4125" t="s">
        <v>2214</v>
      </c>
      <c r="B298" s="4120"/>
      <c r="C298" s="4120"/>
      <c r="D298" s="4120"/>
      <c r="E298" s="4120"/>
      <c r="F298" s="4120"/>
      <c r="G298" s="4120"/>
      <c r="H298" s="4120"/>
    </row>
    <row r="299" spans="1:8">
      <c r="A299" s="4125" t="s">
        <v>2215</v>
      </c>
      <c r="B299" s="4120"/>
      <c r="C299" s="4120"/>
      <c r="D299" s="4120"/>
      <c r="E299" s="4120"/>
      <c r="F299" s="4120"/>
      <c r="G299" s="4120"/>
      <c r="H299" s="4120"/>
    </row>
    <row r="300" spans="1:8">
      <c r="A300" s="4125" t="s">
        <v>2216</v>
      </c>
      <c r="B300" s="4120"/>
      <c r="C300" s="4120"/>
      <c r="D300" s="4120"/>
      <c r="E300" s="4120"/>
      <c r="F300" s="4120"/>
      <c r="G300" s="4120"/>
      <c r="H300" s="4120"/>
    </row>
    <row r="301" spans="1:8">
      <c r="A301" s="4120"/>
      <c r="B301" s="4120"/>
      <c r="C301" s="4120"/>
      <c r="D301" s="4120"/>
      <c r="E301" s="4120"/>
      <c r="F301" s="4120"/>
      <c r="G301" s="4120"/>
      <c r="H301" s="4120"/>
    </row>
    <row r="302" spans="1:8">
      <c r="A302" s="4125" t="s">
        <v>2201</v>
      </c>
      <c r="B302" s="4120"/>
      <c r="C302" s="4120"/>
      <c r="D302" s="4120"/>
      <c r="E302" s="4120"/>
      <c r="F302" s="4120"/>
      <c r="G302" s="4120"/>
      <c r="H302" s="4120"/>
    </row>
    <row r="303" spans="1:8">
      <c r="A303" s="4125" t="s">
        <v>2202</v>
      </c>
      <c r="B303" s="4120"/>
      <c r="C303" s="4120"/>
      <c r="D303" s="4120"/>
      <c r="E303" s="4120"/>
      <c r="F303" s="4120"/>
      <c r="G303" s="4120"/>
      <c r="H303" s="4120"/>
    </row>
    <row r="304" spans="1:8">
      <c r="A304" s="4125" t="s">
        <v>2203</v>
      </c>
      <c r="B304" s="4120"/>
      <c r="C304" s="4120"/>
      <c r="D304" s="4120"/>
      <c r="E304" s="4120"/>
      <c r="F304" s="4120"/>
      <c r="G304" s="4120"/>
      <c r="H304" s="4120"/>
    </row>
    <row r="305" spans="1:8">
      <c r="A305" s="4125" t="s">
        <v>2204</v>
      </c>
      <c r="B305" s="4120"/>
      <c r="C305" s="4120"/>
      <c r="D305" s="4120"/>
      <c r="E305" s="4120"/>
      <c r="F305" s="4120"/>
      <c r="G305" s="4120"/>
      <c r="H305" s="4120"/>
    </row>
    <row r="306" spans="1:8">
      <c r="A306" s="4125" t="s">
        <v>2205</v>
      </c>
      <c r="B306" s="4120"/>
      <c r="C306" s="4120"/>
      <c r="D306" s="4120"/>
      <c r="E306" s="4120"/>
      <c r="F306" s="4120"/>
      <c r="G306" s="4120"/>
      <c r="H306" s="4120"/>
    </row>
    <row r="307" spans="1:8">
      <c r="A307" s="4125" t="s">
        <v>2206</v>
      </c>
      <c r="B307" s="4120"/>
      <c r="C307" s="4120"/>
      <c r="D307" s="4120"/>
      <c r="E307" s="4120"/>
      <c r="F307" s="4120"/>
      <c r="G307" s="4120"/>
      <c r="H307" s="4120"/>
    </row>
    <row r="308" spans="1:8">
      <c r="A308" s="4125" t="s">
        <v>2207</v>
      </c>
      <c r="B308" s="4120"/>
      <c r="C308" s="4120"/>
      <c r="D308" s="4120"/>
      <c r="E308" s="4120"/>
      <c r="F308" s="4120"/>
      <c r="G308" s="4120"/>
      <c r="H308" s="4120"/>
    </row>
    <row r="309" spans="1:8">
      <c r="A309" s="4120"/>
      <c r="B309" s="4120"/>
      <c r="C309" s="4120"/>
      <c r="D309" s="4120"/>
      <c r="E309" s="4120"/>
      <c r="F309" s="4120"/>
      <c r="G309" s="4120"/>
      <c r="H309" s="4120"/>
    </row>
    <row r="310" spans="1:8">
      <c r="A310" s="4125" t="s">
        <v>2198</v>
      </c>
      <c r="B310" s="4120"/>
      <c r="C310" s="4120"/>
      <c r="D310" s="4120"/>
      <c r="E310" s="4120"/>
      <c r="F310" s="4120"/>
      <c r="G310" s="4120"/>
      <c r="H310" s="4120"/>
    </row>
    <row r="311" spans="1:8">
      <c r="A311" s="4125" t="s">
        <v>2199</v>
      </c>
      <c r="B311" s="4120"/>
      <c r="C311" s="4120"/>
      <c r="D311" s="4120"/>
      <c r="E311" s="4120"/>
      <c r="F311" s="4120"/>
      <c r="G311" s="4120"/>
      <c r="H311" s="4120"/>
    </row>
    <row r="312" spans="1:8">
      <c r="A312" s="4125" t="s">
        <v>2200</v>
      </c>
      <c r="B312" s="4120"/>
      <c r="C312" s="4120"/>
      <c r="D312" s="4120"/>
      <c r="E312" s="4120"/>
      <c r="F312" s="4120"/>
      <c r="G312" s="4120"/>
      <c r="H312" s="4120"/>
    </row>
    <row r="313" spans="1:8">
      <c r="A313" s="4120"/>
      <c r="B313" s="4120"/>
      <c r="C313" s="4120"/>
      <c r="D313" s="4120"/>
      <c r="E313" s="4120"/>
      <c r="F313" s="4120"/>
      <c r="G313" s="4120"/>
      <c r="H313" s="4120"/>
    </row>
    <row r="314" spans="1:8">
      <c r="A314" s="4125" t="s">
        <v>2196</v>
      </c>
      <c r="B314" s="4120"/>
      <c r="C314" s="4120"/>
      <c r="D314" s="4120"/>
      <c r="E314" s="4120"/>
      <c r="F314" s="4120"/>
      <c r="G314" s="4120"/>
      <c r="H314" s="4120"/>
    </row>
    <row r="315" spans="1:8">
      <c r="A315" s="4125" t="s">
        <v>2197</v>
      </c>
      <c r="B315" s="4120"/>
      <c r="C315" s="4120"/>
      <c r="D315" s="4120"/>
      <c r="E315" s="4120"/>
      <c r="F315" s="4120"/>
      <c r="G315" s="4120"/>
      <c r="H315" s="4120"/>
    </row>
    <row r="316" spans="1:8">
      <c r="A316" s="4120"/>
      <c r="B316" s="4120"/>
      <c r="C316" s="4120"/>
      <c r="D316" s="4120"/>
      <c r="E316" s="4120"/>
      <c r="F316" s="4120"/>
      <c r="G316" s="4120"/>
      <c r="H316" s="4120"/>
    </row>
    <row r="317" spans="1:8">
      <c r="A317" s="4125" t="s">
        <v>2183</v>
      </c>
      <c r="B317" s="4120"/>
      <c r="C317" s="4120"/>
      <c r="D317" s="4120"/>
      <c r="E317" s="4120"/>
      <c r="F317" s="4120"/>
      <c r="G317" s="4120"/>
      <c r="H317" s="4120"/>
    </row>
    <row r="318" spans="1:8">
      <c r="A318" s="4125" t="s">
        <v>2184</v>
      </c>
      <c r="B318" s="4120"/>
      <c r="C318" s="4120"/>
      <c r="D318" s="4120"/>
      <c r="E318" s="4120"/>
      <c r="F318" s="4120"/>
      <c r="G318" s="4120"/>
      <c r="H318" s="4120"/>
    </row>
    <row r="319" spans="1:8">
      <c r="A319" s="4125" t="s">
        <v>2185</v>
      </c>
      <c r="B319" s="4120"/>
      <c r="C319" s="4120"/>
      <c r="D319" s="4120"/>
      <c r="E319" s="4120"/>
      <c r="F319" s="4120"/>
      <c r="G319" s="4120"/>
      <c r="H319" s="4120"/>
    </row>
    <row r="320" spans="1:8">
      <c r="A320" s="4125" t="s">
        <v>2186</v>
      </c>
      <c r="B320" s="4120"/>
      <c r="C320" s="4120"/>
      <c r="D320" s="4120"/>
      <c r="E320" s="4120"/>
      <c r="F320" s="4120"/>
      <c r="G320" s="4120"/>
      <c r="H320" s="4120"/>
    </row>
    <row r="321" spans="1:8">
      <c r="A321" s="4125" t="s">
        <v>2187</v>
      </c>
      <c r="B321" s="4120"/>
      <c r="C321" s="4120"/>
      <c r="D321" s="4120"/>
      <c r="E321" s="4120"/>
      <c r="F321" s="4120"/>
      <c r="G321" s="4120"/>
      <c r="H321" s="4120"/>
    </row>
    <row r="322" spans="1:8">
      <c r="A322" s="4125" t="s">
        <v>2188</v>
      </c>
      <c r="B322" s="4120"/>
      <c r="C322" s="4120"/>
      <c r="D322" s="4120"/>
      <c r="E322" s="4120"/>
      <c r="F322" s="4120"/>
      <c r="G322" s="4120"/>
      <c r="H322" s="4120"/>
    </row>
    <row r="323" spans="1:8">
      <c r="A323" s="4125" t="s">
        <v>2189</v>
      </c>
      <c r="B323" s="4120"/>
      <c r="C323" s="4120"/>
      <c r="D323" s="4120"/>
      <c r="E323" s="4120"/>
      <c r="F323" s="4120"/>
      <c r="G323" s="4120"/>
      <c r="H323" s="4120"/>
    </row>
    <row r="324" spans="1:8">
      <c r="A324" s="4125" t="s">
        <v>2190</v>
      </c>
      <c r="B324" s="4120"/>
      <c r="C324" s="4120"/>
      <c r="D324" s="4120"/>
      <c r="E324" s="4120"/>
      <c r="F324" s="4120"/>
      <c r="G324" s="4120"/>
      <c r="H324" s="4120"/>
    </row>
    <row r="325" spans="1:8">
      <c r="A325" s="4125" t="s">
        <v>2191</v>
      </c>
      <c r="B325" s="4120"/>
      <c r="C325" s="4120"/>
      <c r="D325" s="4120"/>
      <c r="E325" s="4120"/>
      <c r="F325" s="4120"/>
      <c r="G325" s="4120"/>
      <c r="H325" s="4120"/>
    </row>
    <row r="326" spans="1:8">
      <c r="A326" s="4125" t="s">
        <v>2192</v>
      </c>
      <c r="B326" s="4120"/>
      <c r="C326" s="4120"/>
      <c r="D326" s="4120"/>
      <c r="E326" s="4120"/>
      <c r="F326" s="4120"/>
      <c r="G326" s="4120"/>
      <c r="H326" s="4120"/>
    </row>
    <row r="327" spans="1:8">
      <c r="A327" s="4125" t="s">
        <v>2193</v>
      </c>
      <c r="B327" s="4120"/>
      <c r="C327" s="4120"/>
      <c r="D327" s="4120"/>
      <c r="E327" s="4120"/>
      <c r="F327" s="4120"/>
      <c r="G327" s="4120"/>
      <c r="H327" s="4120"/>
    </row>
    <row r="328" spans="1:8">
      <c r="A328" s="4125" t="s">
        <v>2194</v>
      </c>
      <c r="B328" s="4120"/>
      <c r="C328" s="4120"/>
      <c r="D328" s="4120"/>
      <c r="E328" s="4120"/>
      <c r="F328" s="4120"/>
      <c r="G328" s="4120"/>
      <c r="H328" s="4120"/>
    </row>
    <row r="329" spans="1:8">
      <c r="A329" s="4125" t="s">
        <v>2195</v>
      </c>
      <c r="B329" s="4120"/>
      <c r="C329" s="4120"/>
      <c r="D329" s="4120"/>
      <c r="E329" s="4120"/>
      <c r="F329" s="4120"/>
      <c r="G329" s="4120"/>
      <c r="H329" s="4120"/>
    </row>
    <row r="330" spans="1:8">
      <c r="A330" s="4120"/>
      <c r="B330" s="4120"/>
      <c r="C330" s="4120"/>
      <c r="D330" s="4120"/>
      <c r="E330" s="4120"/>
      <c r="F330" s="4120"/>
      <c r="G330" s="4120"/>
      <c r="H330" s="4120"/>
    </row>
    <row r="331" spans="1:8">
      <c r="A331" s="4125" t="s">
        <v>2175</v>
      </c>
      <c r="B331" s="4120"/>
      <c r="C331" s="4120"/>
      <c r="D331" s="4120"/>
      <c r="E331" s="4120"/>
      <c r="F331" s="4120"/>
      <c r="G331" s="4120"/>
      <c r="H331" s="4120"/>
    </row>
    <row r="332" spans="1:8">
      <c r="A332" s="4125" t="s">
        <v>2176</v>
      </c>
      <c r="B332" s="4120"/>
      <c r="C332" s="4120"/>
      <c r="D332" s="4120"/>
      <c r="E332" s="4120"/>
      <c r="F332" s="4120"/>
      <c r="G332" s="4120"/>
      <c r="H332" s="4120"/>
    </row>
    <row r="333" spans="1:8">
      <c r="A333" s="4125" t="s">
        <v>2177</v>
      </c>
      <c r="B333" s="4120"/>
      <c r="C333" s="4120"/>
      <c r="D333" s="4120"/>
      <c r="E333" s="4120"/>
      <c r="F333" s="4120"/>
      <c r="G333" s="4120"/>
      <c r="H333" s="4120"/>
    </row>
    <row r="334" spans="1:8">
      <c r="A334" s="4125" t="s">
        <v>2178</v>
      </c>
      <c r="B334" s="4120"/>
      <c r="C334" s="4120"/>
      <c r="D334" s="4120"/>
      <c r="E334" s="4120"/>
      <c r="F334" s="4120"/>
      <c r="G334" s="4120"/>
      <c r="H334" s="4120"/>
    </row>
    <row r="335" spans="1:8">
      <c r="A335" s="4125" t="s">
        <v>2179</v>
      </c>
      <c r="B335" s="4120"/>
      <c r="C335" s="4120"/>
      <c r="D335" s="4120"/>
      <c r="E335" s="4120"/>
      <c r="F335" s="4120"/>
      <c r="G335" s="4120"/>
      <c r="H335" s="4120"/>
    </row>
    <row r="336" spans="1:8">
      <c r="A336" s="4125" t="s">
        <v>2180</v>
      </c>
      <c r="B336" s="4120"/>
      <c r="C336" s="4120"/>
      <c r="D336" s="4120"/>
      <c r="E336" s="4120"/>
      <c r="F336" s="4120"/>
      <c r="G336" s="4120"/>
      <c r="H336" s="4120"/>
    </row>
    <row r="337" spans="1:8">
      <c r="A337" s="4125" t="s">
        <v>2181</v>
      </c>
      <c r="B337" s="4120"/>
      <c r="C337" s="4120"/>
      <c r="D337" s="4120"/>
      <c r="E337" s="4120"/>
      <c r="F337" s="4120"/>
      <c r="G337" s="4120"/>
      <c r="H337" s="4120"/>
    </row>
    <row r="338" spans="1:8">
      <c r="A338" s="4125" t="s">
        <v>2182</v>
      </c>
      <c r="B338" s="4120"/>
      <c r="C338" s="4120"/>
      <c r="D338" s="4120"/>
      <c r="E338" s="4120"/>
      <c r="F338" s="4120"/>
      <c r="G338" s="4120"/>
      <c r="H338" s="4120"/>
    </row>
    <row r="339" spans="1:8">
      <c r="A339" s="4120"/>
      <c r="B339" s="4120"/>
      <c r="C339" s="4120"/>
      <c r="D339" s="4120"/>
      <c r="E339" s="4120"/>
      <c r="F339" s="4120"/>
      <c r="G339" s="4120"/>
      <c r="H339" s="4120"/>
    </row>
    <row r="340" spans="1:8">
      <c r="A340" s="4125" t="s">
        <v>2140</v>
      </c>
      <c r="B340" s="4120"/>
      <c r="C340" s="4120"/>
      <c r="D340" s="4120"/>
      <c r="E340" s="4120"/>
      <c r="F340" s="4120"/>
      <c r="G340" s="4120"/>
      <c r="H340" s="4120"/>
    </row>
    <row r="341" spans="1:8">
      <c r="A341" s="4125" t="s">
        <v>2141</v>
      </c>
      <c r="B341" s="4120"/>
      <c r="C341" s="4120"/>
      <c r="D341" s="4120"/>
      <c r="E341" s="4120"/>
      <c r="F341" s="4120"/>
      <c r="G341" s="4120"/>
      <c r="H341" s="4120"/>
    </row>
    <row r="342" spans="1:8">
      <c r="A342" s="4125" t="s">
        <v>2142</v>
      </c>
      <c r="B342" s="4120"/>
      <c r="C342" s="4120"/>
      <c r="D342" s="4120"/>
      <c r="E342" s="4120"/>
      <c r="F342" s="4120"/>
      <c r="G342" s="4120"/>
      <c r="H342" s="4120"/>
    </row>
    <row r="343" spans="1:8">
      <c r="A343" s="4125" t="s">
        <v>2143</v>
      </c>
      <c r="B343" s="4120"/>
      <c r="C343" s="4120"/>
      <c r="D343" s="4120"/>
      <c r="E343" s="4120"/>
      <c r="F343" s="4120"/>
      <c r="G343" s="4120"/>
      <c r="H343" s="4120"/>
    </row>
    <row r="344" spans="1:8">
      <c r="A344" s="4125" t="s">
        <v>2144</v>
      </c>
      <c r="B344" s="4120"/>
      <c r="C344" s="4120"/>
      <c r="D344" s="4120"/>
      <c r="E344" s="4120"/>
      <c r="F344" s="4120"/>
      <c r="G344" s="4120"/>
      <c r="H344" s="4120"/>
    </row>
    <row r="345" spans="1:8">
      <c r="A345" s="4125" t="s">
        <v>2145</v>
      </c>
      <c r="B345" s="4120"/>
      <c r="C345" s="4120"/>
      <c r="D345" s="4120"/>
      <c r="E345" s="4120"/>
      <c r="F345" s="4120"/>
      <c r="G345" s="4120"/>
      <c r="H345" s="4120"/>
    </row>
    <row r="346" spans="1:8">
      <c r="A346" s="4125" t="s">
        <v>2146</v>
      </c>
      <c r="B346" s="4120"/>
      <c r="C346" s="4120"/>
      <c r="D346" s="4120"/>
      <c r="E346" s="4120"/>
      <c r="F346" s="4120"/>
      <c r="G346" s="4120"/>
      <c r="H346" s="4120"/>
    </row>
    <row r="347" spans="1:8">
      <c r="A347" s="4125" t="s">
        <v>2147</v>
      </c>
      <c r="B347" s="4120"/>
      <c r="C347" s="4120"/>
      <c r="D347" s="4120"/>
      <c r="E347" s="4120"/>
      <c r="F347" s="4120"/>
      <c r="G347" s="4120"/>
      <c r="H347" s="4120"/>
    </row>
    <row r="348" spans="1:8">
      <c r="A348" s="4125" t="s">
        <v>2148</v>
      </c>
      <c r="B348" s="4120"/>
      <c r="C348" s="4120"/>
      <c r="D348" s="4120"/>
      <c r="E348" s="4120"/>
      <c r="F348" s="4120"/>
      <c r="G348" s="4120"/>
      <c r="H348" s="4120"/>
    </row>
    <row r="349" spans="1:8">
      <c r="A349" s="4125" t="s">
        <v>2149</v>
      </c>
      <c r="B349" s="4120"/>
      <c r="C349" s="4120"/>
      <c r="D349" s="4120"/>
      <c r="E349" s="4120"/>
      <c r="F349" s="4120"/>
      <c r="G349" s="4120"/>
      <c r="H349" s="4120"/>
    </row>
    <row r="350" spans="1:8">
      <c r="A350" s="4125" t="s">
        <v>2150</v>
      </c>
      <c r="B350" s="4120"/>
      <c r="C350" s="4120"/>
      <c r="D350" s="4120"/>
      <c r="E350" s="4120"/>
      <c r="F350" s="4120"/>
      <c r="G350" s="4120"/>
      <c r="H350" s="4120"/>
    </row>
    <row r="351" spans="1:8">
      <c r="A351" s="4125" t="s">
        <v>2151</v>
      </c>
      <c r="B351" s="4120"/>
      <c r="C351" s="4120"/>
      <c r="D351" s="4120"/>
      <c r="E351" s="4120"/>
      <c r="F351" s="4120"/>
      <c r="G351" s="4120"/>
      <c r="H351" s="4120"/>
    </row>
    <row r="352" spans="1:8">
      <c r="A352" s="4125" t="s">
        <v>2152</v>
      </c>
      <c r="B352" s="4120"/>
      <c r="C352" s="4120"/>
      <c r="D352" s="4120"/>
      <c r="E352" s="4120"/>
      <c r="F352" s="4120"/>
      <c r="G352" s="4120"/>
      <c r="H352" s="4120"/>
    </row>
    <row r="353" spans="1:8">
      <c r="A353" s="4125" t="s">
        <v>2153</v>
      </c>
      <c r="B353" s="4120"/>
      <c r="C353" s="4120"/>
      <c r="D353" s="4120"/>
      <c r="E353" s="4120"/>
      <c r="F353" s="4120"/>
      <c r="G353" s="4120"/>
      <c r="H353" s="4120"/>
    </row>
    <row r="354" spans="1:8">
      <c r="A354" s="4125" t="s">
        <v>2154</v>
      </c>
      <c r="B354" s="4120"/>
      <c r="C354" s="4120"/>
      <c r="D354" s="4120"/>
      <c r="E354" s="4120"/>
      <c r="F354" s="4120"/>
      <c r="G354" s="4120"/>
      <c r="H354" s="4120"/>
    </row>
    <row r="355" spans="1:8">
      <c r="A355" s="4125" t="s">
        <v>2155</v>
      </c>
      <c r="B355" s="4120"/>
      <c r="C355" s="4120"/>
      <c r="D355" s="4120"/>
      <c r="E355" s="4120"/>
      <c r="F355" s="4120"/>
      <c r="G355" s="4120"/>
      <c r="H355" s="4120"/>
    </row>
    <row r="356" spans="1:8">
      <c r="A356" s="4125" t="s">
        <v>2156</v>
      </c>
      <c r="B356" s="4120"/>
      <c r="C356" s="4120"/>
      <c r="D356" s="4120"/>
      <c r="E356" s="4120"/>
      <c r="F356" s="4120"/>
      <c r="G356" s="4120"/>
      <c r="H356" s="4120"/>
    </row>
    <row r="357" spans="1:8">
      <c r="A357" s="4125" t="s">
        <v>2157</v>
      </c>
      <c r="B357" s="4120"/>
      <c r="C357" s="4120"/>
      <c r="D357" s="4120"/>
      <c r="E357" s="4120"/>
      <c r="F357" s="4120"/>
      <c r="G357" s="4120"/>
      <c r="H357" s="4120"/>
    </row>
    <row r="358" spans="1:8">
      <c r="A358" s="4125" t="s">
        <v>2158</v>
      </c>
      <c r="B358" s="4120"/>
      <c r="C358" s="4120"/>
      <c r="D358" s="4120"/>
      <c r="E358" s="4120"/>
      <c r="F358" s="4120"/>
      <c r="G358" s="4120"/>
      <c r="H358" s="4120"/>
    </row>
    <row r="359" spans="1:8">
      <c r="A359" s="4125" t="s">
        <v>2159</v>
      </c>
      <c r="B359" s="4120"/>
      <c r="C359" s="4120"/>
      <c r="D359" s="4120"/>
      <c r="E359" s="4120"/>
      <c r="F359" s="4120"/>
      <c r="G359" s="4120"/>
      <c r="H359" s="4120"/>
    </row>
    <row r="360" spans="1:8">
      <c r="A360" s="4125" t="s">
        <v>2160</v>
      </c>
      <c r="B360" s="4120"/>
      <c r="C360" s="4120"/>
      <c r="D360" s="4120"/>
      <c r="E360" s="4120"/>
      <c r="F360" s="4120"/>
      <c r="G360" s="4120"/>
      <c r="H360" s="4120"/>
    </row>
    <row r="361" spans="1:8">
      <c r="A361" s="4125" t="s">
        <v>2161</v>
      </c>
      <c r="B361" s="4120"/>
      <c r="C361" s="4120"/>
      <c r="D361" s="4120"/>
      <c r="E361" s="4120"/>
      <c r="F361" s="4120"/>
      <c r="G361" s="4120"/>
      <c r="H361" s="4120"/>
    </row>
    <row r="362" spans="1:8">
      <c r="A362" s="4125" t="s">
        <v>2162</v>
      </c>
      <c r="B362" s="4120"/>
      <c r="C362" s="4120"/>
      <c r="D362" s="4120"/>
      <c r="E362" s="4120"/>
      <c r="F362" s="4120"/>
      <c r="G362" s="4120"/>
      <c r="H362" s="4120"/>
    </row>
    <row r="363" spans="1:8">
      <c r="A363" s="4125" t="s">
        <v>2163</v>
      </c>
      <c r="B363" s="4120"/>
      <c r="C363" s="4120"/>
      <c r="D363" s="4120"/>
      <c r="E363" s="4120"/>
      <c r="F363" s="4120"/>
      <c r="G363" s="4120"/>
      <c r="H363" s="4120"/>
    </row>
    <row r="364" spans="1:8">
      <c r="A364" s="4125" t="s">
        <v>2164</v>
      </c>
      <c r="B364" s="4120"/>
      <c r="C364" s="4120"/>
      <c r="D364" s="4120"/>
      <c r="E364" s="4120"/>
      <c r="F364" s="4120"/>
      <c r="G364" s="4120"/>
      <c r="H364" s="4120"/>
    </row>
    <row r="365" spans="1:8">
      <c r="A365" s="4125" t="s">
        <v>2165</v>
      </c>
      <c r="B365" s="4120"/>
      <c r="C365" s="4120"/>
      <c r="D365" s="4120"/>
      <c r="E365" s="4120"/>
      <c r="F365" s="4120"/>
      <c r="G365" s="4120"/>
      <c r="H365" s="4120"/>
    </row>
    <row r="366" spans="1:8">
      <c r="A366" s="4125" t="s">
        <v>2166</v>
      </c>
      <c r="B366" s="4120"/>
      <c r="C366" s="4120"/>
      <c r="D366" s="4120"/>
      <c r="E366" s="4120"/>
      <c r="F366" s="4120"/>
      <c r="G366" s="4120"/>
      <c r="H366" s="4120"/>
    </row>
    <row r="367" spans="1:8">
      <c r="A367" s="4125" t="s">
        <v>2167</v>
      </c>
      <c r="B367" s="4120"/>
      <c r="C367" s="4120"/>
      <c r="D367" s="4120"/>
      <c r="E367" s="4120"/>
      <c r="F367" s="4120"/>
      <c r="G367" s="4120"/>
      <c r="H367" s="4120"/>
    </row>
    <row r="368" spans="1:8">
      <c r="A368" s="4125" t="s">
        <v>2168</v>
      </c>
      <c r="B368" s="4120"/>
      <c r="C368" s="4120"/>
      <c r="D368" s="4120"/>
      <c r="E368" s="4120"/>
      <c r="F368" s="4120"/>
      <c r="G368" s="4120"/>
      <c r="H368" s="4120"/>
    </row>
    <row r="369" spans="1:8">
      <c r="A369" s="4125" t="s">
        <v>2169</v>
      </c>
      <c r="B369" s="4120"/>
      <c r="C369" s="4120"/>
      <c r="D369" s="4120"/>
      <c r="E369" s="4120"/>
      <c r="F369" s="4120"/>
      <c r="G369" s="4120"/>
      <c r="H369" s="4120"/>
    </row>
    <row r="370" spans="1:8">
      <c r="A370" s="4125" t="s">
        <v>2170</v>
      </c>
      <c r="B370" s="4120"/>
      <c r="C370" s="4120"/>
      <c r="D370" s="4120"/>
      <c r="E370" s="4120"/>
      <c r="F370" s="4120"/>
      <c r="G370" s="4120"/>
      <c r="H370" s="4120"/>
    </row>
    <row r="371" spans="1:8">
      <c r="A371" s="4125" t="s">
        <v>2171</v>
      </c>
      <c r="B371" s="4120"/>
      <c r="C371" s="4120"/>
      <c r="D371" s="4120"/>
      <c r="E371" s="4120"/>
      <c r="F371" s="4120"/>
      <c r="G371" s="4120"/>
      <c r="H371" s="4120"/>
    </row>
    <row r="372" spans="1:8">
      <c r="A372" s="4125" t="s">
        <v>2172</v>
      </c>
      <c r="B372" s="4120"/>
      <c r="C372" s="4120"/>
      <c r="D372" s="4120"/>
      <c r="E372" s="4120"/>
      <c r="F372" s="4120"/>
      <c r="G372" s="4120"/>
      <c r="H372" s="4120"/>
    </row>
    <row r="373" spans="1:8">
      <c r="A373" s="4125" t="s">
        <v>2173</v>
      </c>
      <c r="B373" s="4120"/>
      <c r="C373" s="4120"/>
      <c r="D373" s="4120"/>
      <c r="E373" s="4120"/>
      <c r="F373" s="4120"/>
      <c r="G373" s="4120"/>
      <c r="H373" s="4120"/>
    </row>
    <row r="374" spans="1:8">
      <c r="A374" s="4125" t="s">
        <v>2174</v>
      </c>
      <c r="B374" s="4120"/>
      <c r="C374" s="4120"/>
      <c r="D374" s="4120"/>
      <c r="E374" s="4120"/>
      <c r="F374" s="4120"/>
      <c r="G374" s="4120"/>
      <c r="H374" s="4120"/>
    </row>
    <row r="375" spans="1:8">
      <c r="A375" s="4120"/>
      <c r="B375" s="4120"/>
      <c r="C375" s="4120"/>
      <c r="D375" s="4120"/>
      <c r="E375" s="4120"/>
      <c r="F375" s="4120"/>
      <c r="G375" s="4120"/>
      <c r="H375" s="4120"/>
    </row>
    <row r="376" spans="1:8">
      <c r="A376" s="4125" t="s">
        <v>2132</v>
      </c>
      <c r="B376" s="4120"/>
      <c r="C376" s="4120"/>
      <c r="D376" s="4120"/>
      <c r="E376" s="4120"/>
      <c r="F376" s="4120"/>
      <c r="G376" s="4120"/>
      <c r="H376" s="4120"/>
    </row>
    <row r="377" spans="1:8">
      <c r="A377" s="4125" t="s">
        <v>2136</v>
      </c>
      <c r="B377" s="4120"/>
      <c r="C377" s="4120"/>
      <c r="D377" s="4120"/>
      <c r="E377" s="4120"/>
      <c r="F377" s="4120"/>
      <c r="G377" s="4120"/>
      <c r="H377" s="4120"/>
    </row>
    <row r="378" spans="1:8">
      <c r="A378" s="4125" t="s">
        <v>2137</v>
      </c>
      <c r="B378" s="4120"/>
      <c r="C378" s="4120"/>
      <c r="D378" s="4120"/>
      <c r="E378" s="4120"/>
      <c r="F378" s="4120"/>
      <c r="G378" s="4120"/>
      <c r="H378" s="4120"/>
    </row>
    <row r="379" spans="1:8">
      <c r="A379" s="4125" t="s">
        <v>2138</v>
      </c>
      <c r="B379" s="4120"/>
      <c r="C379" s="4120"/>
      <c r="D379" s="4120"/>
      <c r="E379" s="4120"/>
      <c r="F379" s="4120"/>
      <c r="G379" s="4120"/>
      <c r="H379" s="4120"/>
    </row>
    <row r="380" spans="1:8">
      <c r="A380" s="4125" t="s">
        <v>2139</v>
      </c>
      <c r="B380" s="4120"/>
      <c r="C380" s="4120"/>
      <c r="D380" s="4120"/>
      <c r="E380" s="4120"/>
      <c r="F380" s="4120"/>
      <c r="G380" s="4120"/>
      <c r="H380" s="4120"/>
    </row>
    <row r="381" spans="1:8">
      <c r="A381" s="4120"/>
      <c r="B381" s="4120"/>
      <c r="C381" s="4120"/>
      <c r="D381" s="4120"/>
      <c r="E381" s="4120"/>
      <c r="F381" s="4120"/>
      <c r="G381" s="4120"/>
      <c r="H381" s="4120"/>
    </row>
    <row r="382" spans="1:8">
      <c r="A382" s="4125" t="s">
        <v>2132</v>
      </c>
      <c r="B382" s="4120"/>
      <c r="C382" s="4120"/>
      <c r="D382" s="4120"/>
      <c r="E382" s="4120"/>
      <c r="F382" s="4120"/>
      <c r="G382" s="4120"/>
      <c r="H382" s="4120"/>
    </row>
    <row r="383" spans="1:8">
      <c r="A383" s="4125" t="s">
        <v>2133</v>
      </c>
      <c r="B383" s="4120"/>
      <c r="C383" s="4120"/>
      <c r="D383" s="4120"/>
      <c r="E383" s="4120"/>
      <c r="F383" s="4120"/>
      <c r="G383" s="4120"/>
      <c r="H383" s="4120"/>
    </row>
    <row r="384" spans="1:8">
      <c r="A384" s="4125" t="s">
        <v>2134</v>
      </c>
      <c r="B384" s="4120"/>
      <c r="C384" s="4120"/>
      <c r="D384" s="4120"/>
      <c r="E384" s="4120"/>
      <c r="F384" s="4120"/>
      <c r="G384" s="4120"/>
      <c r="H384" s="4120"/>
    </row>
    <row r="385" spans="1:8">
      <c r="A385" s="4125" t="s">
        <v>2135</v>
      </c>
      <c r="B385" s="4120"/>
      <c r="C385" s="4120"/>
      <c r="D385" s="4120"/>
      <c r="E385" s="4120"/>
      <c r="F385" s="4120"/>
      <c r="G385" s="4120"/>
      <c r="H385" s="4120"/>
    </row>
    <row r="386" spans="1:8">
      <c r="A386" s="4120"/>
      <c r="B386" s="4120"/>
      <c r="C386" s="4120"/>
      <c r="D386" s="4120"/>
      <c r="E386" s="4120"/>
      <c r="F386" s="4120"/>
      <c r="G386" s="4120"/>
      <c r="H386" s="4120"/>
    </row>
    <row r="387" spans="1:8">
      <c r="A387" s="4125" t="s">
        <v>2126</v>
      </c>
      <c r="B387" s="4120"/>
      <c r="C387" s="4120"/>
      <c r="D387" s="4120"/>
      <c r="E387" s="4120"/>
      <c r="F387" s="4120"/>
      <c r="G387" s="4120"/>
      <c r="H387" s="4120"/>
    </row>
    <row r="388" spans="1:8">
      <c r="A388" s="4125" t="s">
        <v>2127</v>
      </c>
      <c r="B388" s="4120"/>
      <c r="C388" s="4120"/>
      <c r="D388" s="4120"/>
      <c r="E388" s="4120"/>
      <c r="F388" s="4120"/>
      <c r="G388" s="4120"/>
      <c r="H388" s="4120"/>
    </row>
    <row r="389" spans="1:8">
      <c r="A389" s="4125" t="s">
        <v>2128</v>
      </c>
      <c r="B389" s="4120"/>
      <c r="C389" s="4120"/>
      <c r="D389" s="4120"/>
      <c r="E389" s="4120"/>
      <c r="F389" s="4120"/>
      <c r="G389" s="4120"/>
      <c r="H389" s="4120"/>
    </row>
    <row r="390" spans="1:8">
      <c r="A390" s="4125" t="s">
        <v>2129</v>
      </c>
      <c r="B390" s="4120"/>
      <c r="C390" s="4120"/>
      <c r="D390" s="4120"/>
      <c r="E390" s="4120"/>
      <c r="F390" s="4120"/>
      <c r="G390" s="4120"/>
      <c r="H390" s="4120"/>
    </row>
    <row r="391" spans="1:8">
      <c r="A391" s="4125" t="s">
        <v>2130</v>
      </c>
      <c r="B391" s="4120"/>
      <c r="C391" s="4120"/>
      <c r="D391" s="4120"/>
      <c r="E391" s="4120"/>
      <c r="F391" s="4120"/>
      <c r="G391" s="4120"/>
      <c r="H391" s="4120"/>
    </row>
    <row r="392" spans="1:8">
      <c r="A392" s="4125" t="s">
        <v>2131</v>
      </c>
      <c r="B392" s="4120"/>
      <c r="C392" s="4120"/>
      <c r="D392" s="4120"/>
      <c r="E392" s="4120"/>
      <c r="F392" s="4120"/>
      <c r="G392" s="4120"/>
      <c r="H392" s="4120"/>
    </row>
    <row r="393" spans="1:8">
      <c r="A393" s="4120"/>
      <c r="B393" s="4120"/>
      <c r="C393" s="4120"/>
      <c r="D393" s="4120"/>
      <c r="E393" s="4120"/>
      <c r="F393" s="4120"/>
      <c r="G393" s="4120"/>
      <c r="H393" s="4120"/>
    </row>
    <row r="394" spans="1:8">
      <c r="A394" s="4125" t="s">
        <v>2121</v>
      </c>
      <c r="B394" s="4120"/>
      <c r="C394" s="4120"/>
      <c r="D394" s="4120"/>
      <c r="E394" s="4120"/>
      <c r="F394" s="4120"/>
      <c r="G394" s="4120"/>
      <c r="H394" s="4120"/>
    </row>
    <row r="395" spans="1:8">
      <c r="A395" s="4125" t="s">
        <v>2122</v>
      </c>
      <c r="B395" s="4120"/>
      <c r="C395" s="4120"/>
      <c r="D395" s="4120"/>
      <c r="E395" s="4120"/>
      <c r="F395" s="4120"/>
      <c r="G395" s="4120"/>
      <c r="H395" s="4120"/>
    </row>
    <row r="396" spans="1:8">
      <c r="A396" s="4125" t="s">
        <v>2123</v>
      </c>
      <c r="B396" s="4120"/>
      <c r="C396" s="4120"/>
      <c r="D396" s="4120"/>
      <c r="E396" s="4120"/>
      <c r="F396" s="4120"/>
      <c r="G396" s="4120"/>
      <c r="H396" s="4120"/>
    </row>
    <row r="397" spans="1:8">
      <c r="A397" s="4125" t="s">
        <v>2124</v>
      </c>
      <c r="B397" s="4120"/>
      <c r="C397" s="4120"/>
      <c r="D397" s="4120"/>
      <c r="E397" s="4120"/>
      <c r="F397" s="4120"/>
      <c r="G397" s="4120"/>
      <c r="H397" s="4120"/>
    </row>
    <row r="398" spans="1:8">
      <c r="A398" s="4125" t="s">
        <v>2125</v>
      </c>
      <c r="B398" s="4120"/>
      <c r="C398" s="4120"/>
      <c r="D398" s="4120"/>
      <c r="E398" s="4120"/>
      <c r="F398" s="4120"/>
      <c r="G398" s="4120"/>
      <c r="H398" s="4120"/>
    </row>
    <row r="399" spans="1:8">
      <c r="A399" s="4120"/>
      <c r="B399" s="4120"/>
      <c r="C399" s="4120"/>
      <c r="D399" s="4120"/>
      <c r="E399" s="4120"/>
      <c r="F399" s="4120"/>
      <c r="G399" s="4120"/>
      <c r="H399" s="4120"/>
    </row>
    <row r="400" spans="1:8">
      <c r="A400" s="4125" t="s">
        <v>2119</v>
      </c>
      <c r="B400" s="4120"/>
      <c r="C400" s="4120"/>
      <c r="D400" s="4120"/>
      <c r="E400" s="4120"/>
      <c r="F400" s="4120"/>
      <c r="G400" s="4120"/>
      <c r="H400" s="4120"/>
    </row>
    <row r="401" spans="1:8">
      <c r="A401" s="4125" t="s">
        <v>2120</v>
      </c>
      <c r="B401" s="4120"/>
      <c r="C401" s="4120"/>
      <c r="D401" s="4120"/>
      <c r="E401" s="4120"/>
      <c r="F401" s="4120"/>
      <c r="G401" s="4120"/>
      <c r="H401" s="4120"/>
    </row>
    <row r="403" spans="1:8">
      <c r="A403" s="4121" t="s">
        <v>2381</v>
      </c>
    </row>
  </sheetData>
  <mergeCells count="12">
    <mergeCell ref="A141:H141"/>
    <mergeCell ref="A142:H142"/>
    <mergeCell ref="B134:C134"/>
    <mergeCell ref="D134:F134"/>
    <mergeCell ref="G134:H134"/>
    <mergeCell ref="A126:H126"/>
    <mergeCell ref="A133:H133"/>
    <mergeCell ref="A120:H120"/>
    <mergeCell ref="A121:H121"/>
    <mergeCell ref="A122:H122"/>
    <mergeCell ref="A123:H123"/>
    <mergeCell ref="A125:H125"/>
  </mergeCells>
  <pageMargins left="0.5" right="0.5" top="0.5" bottom="0.5" header="0.5" footer="0.5"/>
  <pageSetup orientation="portrait" horizont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B1:B11"/>
  <sheetViews>
    <sheetView showGridLines="0" showRowColHeaders="0" workbookViewId="0">
      <selection activeCell="N1" sqref="N1"/>
    </sheetView>
  </sheetViews>
  <sheetFormatPr defaultRowHeight="12.75"/>
  <cols>
    <col min="1" max="1" width="9.140625" style="3617"/>
    <col min="2" max="2" width="88.28515625" style="3617" customWidth="1"/>
    <col min="3" max="257" width="9.140625" style="3617"/>
    <col min="258" max="258" width="88.28515625" style="3617" customWidth="1"/>
    <col min="259" max="513" width="9.140625" style="3617"/>
    <col min="514" max="514" width="88.28515625" style="3617" customWidth="1"/>
    <col min="515" max="769" width="9.140625" style="3617"/>
    <col min="770" max="770" width="88.28515625" style="3617" customWidth="1"/>
    <col min="771" max="1025" width="9.140625" style="3617"/>
    <col min="1026" max="1026" width="88.28515625" style="3617" customWidth="1"/>
    <col min="1027" max="1281" width="9.140625" style="3617"/>
    <col min="1282" max="1282" width="88.28515625" style="3617" customWidth="1"/>
    <col min="1283" max="1537" width="9.140625" style="3617"/>
    <col min="1538" max="1538" width="88.28515625" style="3617" customWidth="1"/>
    <col min="1539" max="1793" width="9.140625" style="3617"/>
    <col min="1794" max="1794" width="88.28515625" style="3617" customWidth="1"/>
    <col min="1795" max="2049" width="9.140625" style="3617"/>
    <col min="2050" max="2050" width="88.28515625" style="3617" customWidth="1"/>
    <col min="2051" max="2305" width="9.140625" style="3617"/>
    <col min="2306" max="2306" width="88.28515625" style="3617" customWidth="1"/>
    <col min="2307" max="2561" width="9.140625" style="3617"/>
    <col min="2562" max="2562" width="88.28515625" style="3617" customWidth="1"/>
    <col min="2563" max="2817" width="9.140625" style="3617"/>
    <col min="2818" max="2818" width="88.28515625" style="3617" customWidth="1"/>
    <col min="2819" max="3073" width="9.140625" style="3617"/>
    <col min="3074" max="3074" width="88.28515625" style="3617" customWidth="1"/>
    <col min="3075" max="3329" width="9.140625" style="3617"/>
    <col min="3330" max="3330" width="88.28515625" style="3617" customWidth="1"/>
    <col min="3331" max="3585" width="9.140625" style="3617"/>
    <col min="3586" max="3586" width="88.28515625" style="3617" customWidth="1"/>
    <col min="3587" max="3841" width="9.140625" style="3617"/>
    <col min="3842" max="3842" width="88.28515625" style="3617" customWidth="1"/>
    <col min="3843" max="4097" width="9.140625" style="3617"/>
    <col min="4098" max="4098" width="88.28515625" style="3617" customWidth="1"/>
    <col min="4099" max="4353" width="9.140625" style="3617"/>
    <col min="4354" max="4354" width="88.28515625" style="3617" customWidth="1"/>
    <col min="4355" max="4609" width="9.140625" style="3617"/>
    <col min="4610" max="4610" width="88.28515625" style="3617" customWidth="1"/>
    <col min="4611" max="4865" width="9.140625" style="3617"/>
    <col min="4866" max="4866" width="88.28515625" style="3617" customWidth="1"/>
    <col min="4867" max="5121" width="9.140625" style="3617"/>
    <col min="5122" max="5122" width="88.28515625" style="3617" customWidth="1"/>
    <col min="5123" max="5377" width="9.140625" style="3617"/>
    <col min="5378" max="5378" width="88.28515625" style="3617" customWidth="1"/>
    <col min="5379" max="5633" width="9.140625" style="3617"/>
    <col min="5634" max="5634" width="88.28515625" style="3617" customWidth="1"/>
    <col min="5635" max="5889" width="9.140625" style="3617"/>
    <col min="5890" max="5890" width="88.28515625" style="3617" customWidth="1"/>
    <col min="5891" max="6145" width="9.140625" style="3617"/>
    <col min="6146" max="6146" width="88.28515625" style="3617" customWidth="1"/>
    <col min="6147" max="6401" width="9.140625" style="3617"/>
    <col min="6402" max="6402" width="88.28515625" style="3617" customWidth="1"/>
    <col min="6403" max="6657" width="9.140625" style="3617"/>
    <col min="6658" max="6658" width="88.28515625" style="3617" customWidth="1"/>
    <col min="6659" max="6913" width="9.140625" style="3617"/>
    <col min="6914" max="6914" width="88.28515625" style="3617" customWidth="1"/>
    <col min="6915" max="7169" width="9.140625" style="3617"/>
    <col min="7170" max="7170" width="88.28515625" style="3617" customWidth="1"/>
    <col min="7171" max="7425" width="9.140625" style="3617"/>
    <col min="7426" max="7426" width="88.28515625" style="3617" customWidth="1"/>
    <col min="7427" max="7681" width="9.140625" style="3617"/>
    <col min="7682" max="7682" width="88.28515625" style="3617" customWidth="1"/>
    <col min="7683" max="7937" width="9.140625" style="3617"/>
    <col min="7938" max="7938" width="88.28515625" style="3617" customWidth="1"/>
    <col min="7939" max="8193" width="9.140625" style="3617"/>
    <col min="8194" max="8194" width="88.28515625" style="3617" customWidth="1"/>
    <col min="8195" max="8449" width="9.140625" style="3617"/>
    <col min="8450" max="8450" width="88.28515625" style="3617" customWidth="1"/>
    <col min="8451" max="8705" width="9.140625" style="3617"/>
    <col min="8706" max="8706" width="88.28515625" style="3617" customWidth="1"/>
    <col min="8707" max="8961" width="9.140625" style="3617"/>
    <col min="8962" max="8962" width="88.28515625" style="3617" customWidth="1"/>
    <col min="8963" max="9217" width="9.140625" style="3617"/>
    <col min="9218" max="9218" width="88.28515625" style="3617" customWidth="1"/>
    <col min="9219" max="9473" width="9.140625" style="3617"/>
    <col min="9474" max="9474" width="88.28515625" style="3617" customWidth="1"/>
    <col min="9475" max="9729" width="9.140625" style="3617"/>
    <col min="9730" max="9730" width="88.28515625" style="3617" customWidth="1"/>
    <col min="9731" max="9985" width="9.140625" style="3617"/>
    <col min="9986" max="9986" width="88.28515625" style="3617" customWidth="1"/>
    <col min="9987" max="10241" width="9.140625" style="3617"/>
    <col min="10242" max="10242" width="88.28515625" style="3617" customWidth="1"/>
    <col min="10243" max="10497" width="9.140625" style="3617"/>
    <col min="10498" max="10498" width="88.28515625" style="3617" customWidth="1"/>
    <col min="10499" max="10753" width="9.140625" style="3617"/>
    <col min="10754" max="10754" width="88.28515625" style="3617" customWidth="1"/>
    <col min="10755" max="11009" width="9.140625" style="3617"/>
    <col min="11010" max="11010" width="88.28515625" style="3617" customWidth="1"/>
    <col min="11011" max="11265" width="9.140625" style="3617"/>
    <col min="11266" max="11266" width="88.28515625" style="3617" customWidth="1"/>
    <col min="11267" max="11521" width="9.140625" style="3617"/>
    <col min="11522" max="11522" width="88.28515625" style="3617" customWidth="1"/>
    <col min="11523" max="11777" width="9.140625" style="3617"/>
    <col min="11778" max="11778" width="88.28515625" style="3617" customWidth="1"/>
    <col min="11779" max="12033" width="9.140625" style="3617"/>
    <col min="12034" max="12034" width="88.28515625" style="3617" customWidth="1"/>
    <col min="12035" max="12289" width="9.140625" style="3617"/>
    <col min="12290" max="12290" width="88.28515625" style="3617" customWidth="1"/>
    <col min="12291" max="12545" width="9.140625" style="3617"/>
    <col min="12546" max="12546" width="88.28515625" style="3617" customWidth="1"/>
    <col min="12547" max="12801" width="9.140625" style="3617"/>
    <col min="12802" max="12802" width="88.28515625" style="3617" customWidth="1"/>
    <col min="12803" max="13057" width="9.140625" style="3617"/>
    <col min="13058" max="13058" width="88.28515625" style="3617" customWidth="1"/>
    <col min="13059" max="13313" width="9.140625" style="3617"/>
    <col min="13314" max="13314" width="88.28515625" style="3617" customWidth="1"/>
    <col min="13315" max="13569" width="9.140625" style="3617"/>
    <col min="13570" max="13570" width="88.28515625" style="3617" customWidth="1"/>
    <col min="13571" max="13825" width="9.140625" style="3617"/>
    <col min="13826" max="13826" width="88.28515625" style="3617" customWidth="1"/>
    <col min="13827" max="14081" width="9.140625" style="3617"/>
    <col min="14082" max="14082" width="88.28515625" style="3617" customWidth="1"/>
    <col min="14083" max="14337" width="9.140625" style="3617"/>
    <col min="14338" max="14338" width="88.28515625" style="3617" customWidth="1"/>
    <col min="14339" max="14593" width="9.140625" style="3617"/>
    <col min="14594" max="14594" width="88.28515625" style="3617" customWidth="1"/>
    <col min="14595" max="14849" width="9.140625" style="3617"/>
    <col min="14850" max="14850" width="88.28515625" style="3617" customWidth="1"/>
    <col min="14851" max="15105" width="9.140625" style="3617"/>
    <col min="15106" max="15106" width="88.28515625" style="3617" customWidth="1"/>
    <col min="15107" max="15361" width="9.140625" style="3617"/>
    <col min="15362" max="15362" width="88.28515625" style="3617" customWidth="1"/>
    <col min="15363" max="15617" width="9.140625" style="3617"/>
    <col min="15618" max="15618" width="88.28515625" style="3617" customWidth="1"/>
    <col min="15619" max="15873" width="9.140625" style="3617"/>
    <col min="15874" max="15874" width="88.28515625" style="3617" customWidth="1"/>
    <col min="15875" max="16129" width="9.140625" style="3617"/>
    <col min="16130" max="16130" width="88.28515625" style="3617" customWidth="1"/>
    <col min="16131" max="16384" width="9.140625" style="3617"/>
  </cols>
  <sheetData>
    <row r="1" spans="2:2" ht="32.25" customHeight="1"/>
    <row r="2" spans="2:2" ht="72" hidden="1">
      <c r="B2" s="4134" t="s">
        <v>2448</v>
      </c>
    </row>
    <row r="3" spans="2:2" ht="72">
      <c r="B3" s="4134" t="s">
        <v>2449</v>
      </c>
    </row>
    <row r="4" spans="2:2" ht="18" hidden="1">
      <c r="B4" s="4134"/>
    </row>
    <row r="5" spans="2:2" ht="54" hidden="1">
      <c r="B5" s="4134" t="s">
        <v>2450</v>
      </c>
    </row>
    <row r="6" spans="2:2" ht="7.5" customHeight="1">
      <c r="B6" s="4134"/>
    </row>
    <row r="7" spans="2:2" ht="18">
      <c r="B7" s="4135" t="s">
        <v>2451</v>
      </c>
    </row>
    <row r="8" spans="2:2" ht="18">
      <c r="B8" s="4135" t="s">
        <v>2453</v>
      </c>
    </row>
    <row r="9" spans="2:2" ht="18">
      <c r="B9" s="4135" t="s">
        <v>2454</v>
      </c>
    </row>
    <row r="10" spans="2:2" ht="18">
      <c r="B10" s="4136"/>
    </row>
    <row r="11" spans="2:2" ht="54">
      <c r="B11" s="4137" t="s">
        <v>2452</v>
      </c>
    </row>
  </sheetData>
  <dataConsolidate/>
  <pageMargins left="0.75" right="0.75" top="1" bottom="1" header="0.5" footer="0.5"/>
  <pageSetup orientation="portrait" horizontalDpi="300"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tabColor indexed="18"/>
    <pageSetUpPr fitToPage="1"/>
  </sheetPr>
  <dimension ref="B1:V55"/>
  <sheetViews>
    <sheetView showGridLines="0" workbookViewId="0">
      <selection activeCell="E6" sqref="E6"/>
    </sheetView>
  </sheetViews>
  <sheetFormatPr defaultColWidth="11.42578125" defaultRowHeight="12.75" outlineLevelRow="1" outlineLevelCol="1"/>
  <cols>
    <col min="1" max="1" width="2" customWidth="1"/>
    <col min="2" max="5" width="9.7109375" bestFit="1" customWidth="1"/>
    <col min="6" max="6" width="2" customWidth="1" outlineLevel="1"/>
    <col min="7" max="7" width="31.28515625" customWidth="1" outlineLevel="1"/>
    <col min="8" max="11" width="10.140625" customWidth="1" outlineLevel="1"/>
    <col min="12" max="13" width="10.140625" style="3617" customWidth="1" outlineLevel="1"/>
    <col min="14" max="14" width="10.140625" customWidth="1" outlineLevel="1"/>
    <col min="15" max="15" width="2" customWidth="1"/>
    <col min="16" max="21" width="9.7109375" bestFit="1" customWidth="1"/>
    <col min="22" max="22" width="2" customWidth="1"/>
  </cols>
  <sheetData>
    <row r="1" spans="2:22">
      <c r="O1" s="292"/>
      <c r="P1" s="292"/>
      <c r="Q1" s="292"/>
      <c r="R1" s="292"/>
      <c r="S1" s="292"/>
      <c r="T1" s="292"/>
      <c r="U1" s="292"/>
      <c r="V1" s="292"/>
    </row>
    <row r="2" spans="2:22">
      <c r="B2" s="2408" t="s">
        <v>1187</v>
      </c>
      <c r="C2" s="2408"/>
      <c r="D2" s="2408"/>
      <c r="E2" s="2408"/>
      <c r="F2" s="2409"/>
      <c r="G2" s="2409"/>
      <c r="H2" s="2411" t="s">
        <v>1188</v>
      </c>
      <c r="I2" s="2944">
        <v>1</v>
      </c>
      <c r="J2" s="2412"/>
      <c r="K2" s="2410"/>
      <c r="L2" s="2410"/>
      <c r="M2" s="2410"/>
      <c r="O2" s="292"/>
      <c r="P2" s="292"/>
      <c r="T2" s="292"/>
      <c r="U2" s="292"/>
      <c r="V2" s="292"/>
    </row>
    <row r="3" spans="2:22">
      <c r="B3" s="2413" t="s">
        <v>1213</v>
      </c>
      <c r="C3" s="2413"/>
      <c r="D3" s="2413"/>
      <c r="E3" s="2414"/>
      <c r="F3" s="2409"/>
      <c r="G3" s="2409"/>
      <c r="H3" s="2416" t="s">
        <v>732</v>
      </c>
      <c r="I3" s="2417" t="s">
        <v>735</v>
      </c>
      <c r="J3" s="2418" t="s">
        <v>736</v>
      </c>
      <c r="K3" s="2415"/>
      <c r="L3" s="2415"/>
      <c r="M3" s="2415"/>
      <c r="O3" s="292"/>
      <c r="P3" s="292"/>
      <c r="T3" s="292"/>
      <c r="U3" s="292"/>
      <c r="V3" s="292"/>
    </row>
    <row r="4" spans="2:22">
      <c r="B4" s="2413"/>
      <c r="C4" s="2413"/>
      <c r="D4" s="2413"/>
      <c r="E4" s="2414"/>
      <c r="F4" s="2409"/>
      <c r="G4" s="2409"/>
      <c r="H4" s="2409"/>
      <c r="I4" s="2409"/>
      <c r="J4" s="2409"/>
      <c r="K4" s="2419"/>
      <c r="L4" s="2419"/>
      <c r="M4" s="2419"/>
      <c r="O4" s="292"/>
      <c r="P4" s="292"/>
      <c r="Q4" s="292"/>
      <c r="R4" s="292"/>
      <c r="S4" s="292"/>
      <c r="T4" s="292"/>
      <c r="U4" s="292"/>
      <c r="V4" s="292"/>
    </row>
    <row r="5" spans="2:22">
      <c r="B5" s="2420" t="s">
        <v>1189</v>
      </c>
      <c r="C5" s="2421"/>
      <c r="D5" s="2421"/>
      <c r="E5" s="2422">
        <f ca="1">+BS!S11</f>
        <v>588.82697139099002</v>
      </c>
      <c r="F5" s="2423"/>
      <c r="G5" s="2424" t="s">
        <v>1190</v>
      </c>
      <c r="H5" s="3611">
        <v>43465</v>
      </c>
      <c r="I5" s="3611">
        <f>EOMONTH(H5,12)</f>
        <v>43830</v>
      </c>
      <c r="J5" s="3611">
        <f>EOMONTH(I5,12)</f>
        <v>44196</v>
      </c>
      <c r="K5" s="3611">
        <f>EOMONTH(J5,12)</f>
        <v>44561</v>
      </c>
      <c r="L5" s="3611">
        <f>EOMONTH(K5,12)</f>
        <v>44926</v>
      </c>
      <c r="M5" s="3747">
        <f>EOMONTH(L5,12)</f>
        <v>45291</v>
      </c>
      <c r="O5" s="292"/>
      <c r="T5" s="292"/>
      <c r="U5" s="292"/>
      <c r="V5" s="292"/>
    </row>
    <row r="6" spans="2:22">
      <c r="B6" s="2425" t="s">
        <v>1192</v>
      </c>
      <c r="C6" s="2426"/>
      <c r="D6" s="2426"/>
      <c r="E6" s="2427">
        <f>+BS!S68</f>
        <v>36775</v>
      </c>
      <c r="F6" s="2423"/>
      <c r="G6" s="2428"/>
      <c r="H6" s="2429"/>
      <c r="I6" s="2429"/>
      <c r="J6" s="2429"/>
      <c r="K6" s="2429"/>
      <c r="L6" s="2429"/>
      <c r="M6" s="2430"/>
      <c r="O6" s="292"/>
      <c r="T6" s="292"/>
      <c r="U6" s="292"/>
      <c r="V6" s="292"/>
    </row>
    <row r="7" spans="2:22">
      <c r="B7" s="2425" t="s">
        <v>2074</v>
      </c>
      <c r="C7" s="2426"/>
      <c r="D7" s="2426"/>
      <c r="E7" s="2427">
        <f>+Pension!K44*(1-E17)+OPEB!K44*0.5*(1-E17)</f>
        <v>3066.75</v>
      </c>
      <c r="F7" s="2423"/>
      <c r="G7" s="2431" t="s">
        <v>490</v>
      </c>
      <c r="H7" s="2432">
        <f>+IS!S25</f>
        <v>23840.293709116748</v>
      </c>
      <c r="I7" s="2432">
        <f>+IS!T25</f>
        <v>23587.128801288247</v>
      </c>
      <c r="J7" s="2432">
        <f>+IS!U25</f>
        <v>23390.396585862542</v>
      </c>
      <c r="K7" s="2432">
        <f>+IS!V25</f>
        <v>23239.035680115514</v>
      </c>
      <c r="L7" s="2432">
        <f>+IS!W25</f>
        <v>23167.738217531711</v>
      </c>
      <c r="M7" s="2433">
        <f>+IS!X25</f>
        <v>23120.055791550392</v>
      </c>
      <c r="O7" s="292"/>
      <c r="T7" s="292"/>
      <c r="U7" s="292"/>
      <c r="V7" s="292"/>
    </row>
    <row r="8" spans="2:22">
      <c r="B8" s="2425" t="s">
        <v>1193</v>
      </c>
      <c r="C8" s="2426"/>
      <c r="D8" s="2426"/>
      <c r="E8" s="2427">
        <f ca="1">+E6+E7-E5</f>
        <v>39252.92302860901</v>
      </c>
      <c r="F8" s="2423"/>
      <c r="G8" s="2428" t="s">
        <v>34</v>
      </c>
      <c r="H8" s="3748" t="str">
        <f>+IS!S26</f>
        <v>na</v>
      </c>
      <c r="I8" s="3748">
        <f>+IS!T26</f>
        <v>-1.061920255335147E-2</v>
      </c>
      <c r="J8" s="3748">
        <f>+IS!U26</f>
        <v>-8.3406597336662669E-3</v>
      </c>
      <c r="K8" s="3748">
        <f>+IS!V26</f>
        <v>-6.4710705178258054E-3</v>
      </c>
      <c r="L8" s="3748">
        <f>+IS!W26</f>
        <v>-3.0680043511791544E-3</v>
      </c>
      <c r="M8" s="3749">
        <f>+IS!V26</f>
        <v>-6.4710705178258054E-3</v>
      </c>
      <c r="O8" s="292"/>
      <c r="T8" s="292"/>
      <c r="U8" s="292"/>
      <c r="V8" s="292"/>
    </row>
    <row r="9" spans="2:22">
      <c r="B9" s="2425" t="s">
        <v>388</v>
      </c>
      <c r="C9" s="2426"/>
      <c r="D9" s="2426"/>
      <c r="E9" s="2814">
        <v>18</v>
      </c>
      <c r="F9" s="2423"/>
      <c r="G9" s="2428"/>
      <c r="H9" s="2429"/>
      <c r="I9" s="2429"/>
      <c r="J9" s="2429"/>
      <c r="K9" s="2429"/>
      <c r="L9" s="2429"/>
      <c r="M9" s="2430"/>
      <c r="O9" s="292"/>
      <c r="P9" s="292"/>
      <c r="Q9" s="292"/>
      <c r="R9" s="292"/>
      <c r="S9" s="292"/>
      <c r="T9" s="292"/>
      <c r="U9" s="292"/>
      <c r="V9" s="292"/>
    </row>
    <row r="10" spans="2:22">
      <c r="B10" s="2425" t="s">
        <v>677</v>
      </c>
      <c r="C10" s="2426"/>
      <c r="D10" s="2426"/>
      <c r="E10" s="2441">
        <f>+IS!S109</f>
        <v>1078.1950173333335</v>
      </c>
      <c r="F10" s="2423"/>
      <c r="G10" s="2442" t="s">
        <v>1093</v>
      </c>
      <c r="H10" s="2443">
        <f>+IS!S60</f>
        <v>8846.9680973273917</v>
      </c>
      <c r="I10" s="2443">
        <f>+IS!T60</f>
        <v>9170.173300483093</v>
      </c>
      <c r="J10" s="2443">
        <f>+IS!U60</f>
        <v>9345.6450650722545</v>
      </c>
      <c r="K10" s="2443">
        <f>+IS!V60</f>
        <v>9425.8971650058593</v>
      </c>
      <c r="L10" s="2443">
        <f>+IS!W60</f>
        <v>9536.5985016652794</v>
      </c>
      <c r="M10" s="2444">
        <f>+IS!X60</f>
        <v>9656.1028187441116</v>
      </c>
      <c r="O10" s="292"/>
      <c r="P10" s="292"/>
      <c r="Q10" s="292"/>
      <c r="R10" s="292"/>
      <c r="S10" s="292"/>
      <c r="T10" s="292"/>
      <c r="U10" s="292"/>
      <c r="V10" s="292"/>
    </row>
    <row r="11" spans="2:22">
      <c r="B11" s="2425" t="s">
        <v>1194</v>
      </c>
      <c r="C11" s="2426"/>
      <c r="D11" s="2426"/>
      <c r="E11" s="2427">
        <f>E10*CurrentSharePrice</f>
        <v>19407.510312000002</v>
      </c>
      <c r="F11" s="2423"/>
      <c r="G11" s="2428" t="s">
        <v>158</v>
      </c>
      <c r="H11" s="2437">
        <f t="shared" ref="H11:M11" si="0">+H10/H7</f>
        <v>0.37109308321752049</v>
      </c>
      <c r="I11" s="2437">
        <f t="shared" si="0"/>
        <v>0.38877870120343982</v>
      </c>
      <c r="J11" s="2437">
        <f t="shared" si="0"/>
        <v>0.39955051769925454</v>
      </c>
      <c r="K11" s="2437">
        <f t="shared" si="0"/>
        <v>0.40560620908513556</v>
      </c>
      <c r="L11" s="2437">
        <f t="shared" si="0"/>
        <v>0.41163269422859128</v>
      </c>
      <c r="M11" s="2438">
        <f t="shared" si="0"/>
        <v>0.41765049815637101</v>
      </c>
      <c r="O11" s="292"/>
      <c r="P11" s="292"/>
      <c r="Q11" s="292"/>
      <c r="R11" s="292"/>
      <c r="S11" s="292"/>
      <c r="T11" s="292"/>
      <c r="U11" s="292"/>
      <c r="V11" s="292"/>
    </row>
    <row r="12" spans="2:22">
      <c r="B12" s="2425" t="s">
        <v>385</v>
      </c>
      <c r="C12" s="2426"/>
      <c r="D12" s="2426"/>
      <c r="E12" s="2427">
        <f ca="1">E11+E8</f>
        <v>58660.433340609015</v>
      </c>
      <c r="F12" s="2423"/>
      <c r="G12" s="2431" t="s">
        <v>577</v>
      </c>
      <c r="H12" s="2432">
        <f>CFS!S78</f>
        <v>-100</v>
      </c>
      <c r="I12" s="2432">
        <f>CFS!T78</f>
        <v>-100</v>
      </c>
      <c r="J12" s="2432">
        <f>CFS!U78</f>
        <v>-100</v>
      </c>
      <c r="K12" s="2432">
        <f>CFS!V78</f>
        <v>-100</v>
      </c>
      <c r="L12" s="2432">
        <f>CFS!W78</f>
        <v>-100</v>
      </c>
      <c r="M12" s="2433">
        <f>CFS!X78</f>
        <v>-503.99445411402877</v>
      </c>
      <c r="O12" s="292"/>
      <c r="P12" s="292"/>
      <c r="Q12" s="292"/>
      <c r="R12" s="292"/>
      <c r="S12" s="292"/>
      <c r="T12" s="292"/>
      <c r="U12" s="292"/>
      <c r="V12" s="292"/>
    </row>
    <row r="13" spans="2:22">
      <c r="B13" s="2425" t="s">
        <v>1195</v>
      </c>
      <c r="C13" s="2426"/>
      <c r="D13" s="2426"/>
      <c r="E13" s="2812">
        <v>1.3</v>
      </c>
      <c r="F13" s="2423"/>
      <c r="G13" s="2431" t="s">
        <v>578</v>
      </c>
      <c r="H13" s="2432">
        <f>CFS!S34</f>
        <v>-3850.2510232139421</v>
      </c>
      <c r="I13" s="2432">
        <f>CFS!T34</f>
        <v>-3773.9406082061196</v>
      </c>
      <c r="J13" s="2432">
        <f>CFS!U34</f>
        <v>-3742.4634537380066</v>
      </c>
      <c r="K13" s="2432">
        <f>CFS!V34</f>
        <v>-3718.2457088184824</v>
      </c>
      <c r="L13" s="2432">
        <f>CFS!W34</f>
        <v>-3706.8381148050739</v>
      </c>
      <c r="M13" s="2433">
        <f>CFS!X34</f>
        <v>-3699.208926648063</v>
      </c>
      <c r="O13" s="292"/>
      <c r="P13" s="292"/>
      <c r="Q13" s="292"/>
      <c r="R13" s="2212"/>
      <c r="S13" s="292"/>
      <c r="T13" s="292"/>
      <c r="U13" s="292"/>
      <c r="V13" s="292"/>
    </row>
    <row r="14" spans="2:22">
      <c r="B14" s="2425" t="s">
        <v>380</v>
      </c>
      <c r="C14" s="2426"/>
      <c r="D14" s="2426"/>
      <c r="E14" s="2813">
        <v>7.4999999999999997E-2</v>
      </c>
      <c r="F14" s="2423"/>
      <c r="G14" s="2428" t="s">
        <v>158</v>
      </c>
      <c r="H14" s="2429">
        <f t="shared" ref="H14:M14" si="1">-H13/H7</f>
        <v>0.16150182838316168</v>
      </c>
      <c r="I14" s="2429">
        <f t="shared" si="1"/>
        <v>0.16</v>
      </c>
      <c r="J14" s="2429">
        <f t="shared" si="1"/>
        <v>0.16</v>
      </c>
      <c r="K14" s="2429">
        <f t="shared" si="1"/>
        <v>0.16</v>
      </c>
      <c r="L14" s="2429">
        <f t="shared" si="1"/>
        <v>0.16</v>
      </c>
      <c r="M14" s="2430">
        <f t="shared" si="1"/>
        <v>0.16</v>
      </c>
      <c r="O14" s="292"/>
      <c r="P14" s="292"/>
      <c r="Q14" s="292"/>
      <c r="R14" s="292"/>
      <c r="S14" s="292"/>
      <c r="T14" s="292"/>
      <c r="U14" s="292"/>
      <c r="V14" s="292"/>
    </row>
    <row r="15" spans="2:22">
      <c r="B15" s="2425" t="s">
        <v>1196</v>
      </c>
      <c r="C15" s="2426"/>
      <c r="D15" s="2426"/>
      <c r="E15" s="2813">
        <v>5.7000000000000002E-2</v>
      </c>
      <c r="F15" s="2423"/>
      <c r="G15" s="2431" t="s">
        <v>1198</v>
      </c>
      <c r="H15" s="2432">
        <f ca="1">-BS!S65</f>
        <v>-365.11112495191674</v>
      </c>
      <c r="I15" s="2432">
        <f ca="1">-BS!T65</f>
        <v>-89.695221205286089</v>
      </c>
      <c r="J15" s="2432">
        <f ca="1">-BS!U65</f>
        <v>56.889075292203415</v>
      </c>
      <c r="K15" s="2432">
        <f ca="1">-BS!V65</f>
        <v>25.682305672698021</v>
      </c>
      <c r="L15" s="2432">
        <f ca="1">-BS!W65</f>
        <v>25.027666416431202</v>
      </c>
      <c r="M15" s="2433">
        <f ca="1">-BS!X65</f>
        <v>24.802980117917286</v>
      </c>
      <c r="O15" s="292"/>
      <c r="P15" s="292"/>
      <c r="Q15" s="292"/>
      <c r="R15" s="292"/>
      <c r="S15" s="292"/>
      <c r="T15" s="292"/>
      <c r="U15" s="292"/>
      <c r="V15" s="292"/>
    </row>
    <row r="16" spans="2:22">
      <c r="B16" s="2425" t="s">
        <v>1197</v>
      </c>
      <c r="C16" s="2426"/>
      <c r="D16" s="2426"/>
      <c r="E16" s="2813">
        <v>2.5999999999999999E-2</v>
      </c>
      <c r="F16" s="2423"/>
      <c r="G16" s="2445"/>
      <c r="H16" s="2446"/>
      <c r="I16" s="2446"/>
      <c r="J16" s="2446"/>
      <c r="K16" s="2446"/>
      <c r="L16" s="2446"/>
      <c r="M16" s="2447"/>
      <c r="O16" s="292"/>
      <c r="P16" s="292"/>
      <c r="Q16" s="292"/>
      <c r="R16" s="292"/>
      <c r="S16" s="292"/>
      <c r="T16" s="292"/>
      <c r="U16" s="292"/>
      <c r="V16" s="292"/>
    </row>
    <row r="17" spans="2:22">
      <c r="B17" s="2425" t="s">
        <v>1157</v>
      </c>
      <c r="C17" s="2426"/>
      <c r="D17" s="2426"/>
      <c r="E17" s="2813">
        <v>0.25</v>
      </c>
      <c r="F17" s="2423"/>
      <c r="G17" s="2448" t="s">
        <v>1199</v>
      </c>
      <c r="H17" s="2449">
        <f t="shared" ref="H17:M17" ca="1" si="2">+H10+H12+H13+H15</f>
        <v>4531.6059491615324</v>
      </c>
      <c r="I17" s="2449">
        <f t="shared" ca="1" si="2"/>
        <v>5206.5374710716878</v>
      </c>
      <c r="J17" s="2449">
        <f t="shared" ca="1" si="2"/>
        <v>5560.0706866264518</v>
      </c>
      <c r="K17" s="2449">
        <f t="shared" ca="1" si="2"/>
        <v>5633.3337618600754</v>
      </c>
      <c r="L17" s="2449">
        <f t="shared" ca="1" si="2"/>
        <v>5754.7880532766367</v>
      </c>
      <c r="M17" s="2450">
        <f t="shared" ca="1" si="2"/>
        <v>5477.7024180999369</v>
      </c>
      <c r="O17" s="292"/>
      <c r="P17" s="292"/>
      <c r="Q17" s="4097">
        <f ca="1">+H17/$E$12</f>
        <v>7.7251491185702265E-2</v>
      </c>
      <c r="R17" s="4097">
        <f t="shared" ref="R17:S17" ca="1" si="3">+I17/$E$12</f>
        <v>8.8757228246852116E-2</v>
      </c>
      <c r="S17" s="4097">
        <f t="shared" ca="1" si="3"/>
        <v>9.478400294696368E-2</v>
      </c>
      <c r="T17" s="292"/>
      <c r="U17" s="292"/>
      <c r="V17" s="292"/>
    </row>
    <row r="18" spans="2:22">
      <c r="B18" s="2425" t="s">
        <v>383</v>
      </c>
      <c r="C18" s="2426"/>
      <c r="D18" s="2426"/>
      <c r="E18" s="2427">
        <f>+E11+E6</f>
        <v>56182.510311999999</v>
      </c>
      <c r="F18" s="2423"/>
      <c r="G18" s="2453" t="s">
        <v>1201</v>
      </c>
      <c r="H18" s="2509">
        <f ca="1">(+H5-TODAY())/365</f>
        <v>0.78630136986301369</v>
      </c>
      <c r="I18" s="2454">
        <f ca="1">(+I5-TODAY())/365</f>
        <v>1.7863013698630137</v>
      </c>
      <c r="J18" s="2454">
        <f ca="1">(+J5-TODAY())/365</f>
        <v>2.7890410958904108</v>
      </c>
      <c r="K18" s="2454">
        <f ca="1">(+K5-TODAY())/365</f>
        <v>3.7890410958904108</v>
      </c>
      <c r="L18" s="2454">
        <f ca="1">(+L5-TODAY())/365</f>
        <v>4.7890410958904113</v>
      </c>
      <c r="M18" s="2455">
        <f ca="1">K18+1</f>
        <v>4.7890410958904113</v>
      </c>
      <c r="O18" s="292"/>
      <c r="P18" s="292"/>
      <c r="Q18" s="292"/>
      <c r="R18" s="292"/>
      <c r="S18" s="292"/>
      <c r="T18" s="292"/>
      <c r="U18" s="292"/>
      <c r="V18" s="292"/>
    </row>
    <row r="19" spans="2:22">
      <c r="B19" s="2431" t="s">
        <v>1200</v>
      </c>
      <c r="C19" s="2451"/>
      <c r="D19" s="2451"/>
      <c r="E19" s="2452">
        <f>+E6/E18</f>
        <v>0.65456313354060369</v>
      </c>
      <c r="F19" s="2423"/>
      <c r="G19" s="2453" t="s">
        <v>381</v>
      </c>
      <c r="H19" s="2454">
        <f t="shared" ref="H19:M19" ca="1" si="4">1/((1+$E$21)^H18)</f>
        <v>0.93914399300433227</v>
      </c>
      <c r="I19" s="2454">
        <f t="shared" ca="1" si="4"/>
        <v>0.86706889140619259</v>
      </c>
      <c r="J19" s="2454">
        <f t="shared" ca="1" si="4"/>
        <v>0.80035012125112548</v>
      </c>
      <c r="K19" s="2454">
        <f t="shared" ca="1" si="4"/>
        <v>0.73892682862192782</v>
      </c>
      <c r="L19" s="2454">
        <f t="shared" ca="1" si="4"/>
        <v>0.68221749901620576</v>
      </c>
      <c r="M19" s="2455">
        <f t="shared" ca="1" si="4"/>
        <v>0.68221749901620576</v>
      </c>
      <c r="O19" s="292"/>
      <c r="P19" s="292"/>
      <c r="Q19" s="292"/>
      <c r="R19" s="292"/>
      <c r="S19" s="292"/>
      <c r="T19" s="292"/>
      <c r="U19" s="292"/>
      <c r="V19" s="292"/>
    </row>
    <row r="20" spans="2:22">
      <c r="B20" s="2431" t="s">
        <v>1202</v>
      </c>
      <c r="C20" s="2451"/>
      <c r="D20" s="2451"/>
      <c r="E20" s="2813">
        <v>0.5</v>
      </c>
      <c r="F20" s="2423"/>
      <c r="G20" s="2445"/>
      <c r="H20" s="2446"/>
      <c r="I20" s="2446"/>
      <c r="J20" s="2446"/>
      <c r="K20" s="2446"/>
      <c r="L20" s="2446"/>
      <c r="M20" s="2447"/>
      <c r="O20" s="292"/>
      <c r="P20" s="292"/>
      <c r="Q20" s="292"/>
      <c r="R20" s="292"/>
      <c r="S20" s="292"/>
      <c r="T20" s="292"/>
      <c r="U20" s="292"/>
      <c r="V20" s="292"/>
    </row>
    <row r="21" spans="2:22">
      <c r="B21" s="2456" t="s">
        <v>1203</v>
      </c>
      <c r="C21" s="2457"/>
      <c r="D21" s="2457"/>
      <c r="E21" s="2458">
        <f>+E20*(E15*(1-E17))+(1-E20)*(E16+E13*E14)</f>
        <v>8.3125000000000004E-2</v>
      </c>
      <c r="F21" s="2423"/>
      <c r="G21" s="2461" t="s">
        <v>1204</v>
      </c>
      <c r="H21" s="2449">
        <f t="shared" ref="H21:M21" ca="1" si="5">H17*H19</f>
        <v>4255.8305058177484</v>
      </c>
      <c r="I21" s="2449">
        <f t="shared" ca="1" si="5"/>
        <v>4514.4266731069301</v>
      </c>
      <c r="J21" s="2449">
        <f t="shared" ca="1" si="5"/>
        <v>4450.0032482063089</v>
      </c>
      <c r="K21" s="2449">
        <f t="shared" ca="1" si="5"/>
        <v>4162.6214512200995</v>
      </c>
      <c r="L21" s="2449">
        <f t="shared" ca="1" si="5"/>
        <v>3926.0171130747267</v>
      </c>
      <c r="M21" s="2450">
        <f t="shared" ca="1" si="5"/>
        <v>3736.9844440311617</v>
      </c>
      <c r="O21" s="292"/>
      <c r="P21" s="292"/>
      <c r="Q21" s="292"/>
      <c r="R21" s="292"/>
      <c r="S21" s="292"/>
      <c r="T21" s="292"/>
      <c r="U21" s="2992"/>
      <c r="V21" s="292"/>
    </row>
    <row r="22" spans="2:22">
      <c r="B22" s="2459" t="s">
        <v>386</v>
      </c>
      <c r="C22" s="2460"/>
      <c r="D22" s="2460"/>
      <c r="E22" s="2815">
        <f>+IF(I2=1,0%,IF(I2=2,1%,-1%))</f>
        <v>0</v>
      </c>
      <c r="F22" s="2423"/>
      <c r="G22" s="2445"/>
      <c r="H22" s="2446"/>
      <c r="I22" s="2446"/>
      <c r="J22" s="2446"/>
      <c r="K22" s="2446"/>
      <c r="L22" s="2446"/>
      <c r="M22" s="2447"/>
      <c r="O22" s="292"/>
      <c r="P22" s="292"/>
      <c r="Q22" s="292"/>
      <c r="R22" s="292"/>
      <c r="S22" s="292"/>
      <c r="T22" s="292"/>
      <c r="U22" s="292"/>
      <c r="V22" s="292"/>
    </row>
    <row r="23" spans="2:22">
      <c r="B23" s="2462" t="s">
        <v>1205</v>
      </c>
      <c r="C23" s="2463"/>
      <c r="D23" s="2463"/>
      <c r="E23" s="2816">
        <f ca="1">+((((CurrentSharePrice*Diluted_Shares_Outstanding+-Total_Debt_Plus_PensionOPEB-Cash_Balance-NPV_of_Future_Cash_Flows)*((1+WACC)^$M$18)/$M$17)*WACC)-1)/(1+(CurrentSharePrice*Diluted_Shares_Outstanding+-Total_Debt_Plus_PensionOPEB-Cash_Balance-NPV_of_Future_Cash_Flows)*((1+WACC)^$M$18)/$M$17)</f>
        <v>-2.5240595857503656E-2</v>
      </c>
      <c r="F23" s="2423"/>
      <c r="G23" s="2442" t="s">
        <v>382</v>
      </c>
      <c r="H23" s="2464"/>
      <c r="I23" s="2464"/>
      <c r="J23" s="2464"/>
      <c r="K23" s="2464"/>
      <c r="L23" s="2464"/>
      <c r="M23" s="2444">
        <f ca="1">M$17*(1+$E$22)/(($E$21-$E$22))</f>
        <v>65897.171947066905</v>
      </c>
      <c r="O23" s="292"/>
      <c r="P23" s="292"/>
      <c r="Q23" s="292"/>
      <c r="R23" s="292"/>
      <c r="S23" s="292"/>
      <c r="T23" s="292"/>
      <c r="U23" s="292"/>
      <c r="V23" s="292"/>
    </row>
    <row r="24" spans="2:22">
      <c r="F24" s="2423"/>
      <c r="G24" s="2468" t="s">
        <v>384</v>
      </c>
      <c r="H24" s="2469"/>
      <c r="I24" s="2469"/>
      <c r="J24" s="2469"/>
      <c r="K24" s="2469"/>
      <c r="L24" s="2469"/>
      <c r="M24" s="2470">
        <f ca="1">(M23/((1+$E$21)^M$18))</f>
        <v>44956.20383796886</v>
      </c>
      <c r="O24" s="292"/>
      <c r="P24" s="292"/>
      <c r="Q24" s="292"/>
      <c r="R24" s="292"/>
      <c r="S24" s="292"/>
      <c r="T24" s="292"/>
      <c r="U24" s="292"/>
      <c r="V24" s="292"/>
    </row>
    <row r="25" spans="2:22">
      <c r="B25" s="2465"/>
      <c r="C25" s="2466" t="str">
        <f>IS!S8</f>
        <v>2018E</v>
      </c>
      <c r="D25" s="2466" t="str">
        <f>IS!T8</f>
        <v>2019E</v>
      </c>
      <c r="E25" s="2467" t="str">
        <f>IS!U8</f>
        <v>2020E</v>
      </c>
      <c r="F25" s="2423"/>
      <c r="G25" s="2474"/>
      <c r="H25" s="2474"/>
      <c r="I25" s="2474"/>
      <c r="J25" s="2474"/>
      <c r="K25" s="2474"/>
      <c r="L25" s="2474"/>
      <c r="M25" s="2474"/>
      <c r="O25" s="292"/>
      <c r="P25" s="292"/>
      <c r="Q25" s="292"/>
      <c r="R25" s="292"/>
      <c r="S25" s="292"/>
      <c r="T25" s="292"/>
      <c r="U25" s="292"/>
      <c r="V25" s="292"/>
    </row>
    <row r="26" spans="2:22">
      <c r="B26" s="2471" t="s">
        <v>1177</v>
      </c>
      <c r="C26" s="2472">
        <f>+IS!S115</f>
        <v>2.16</v>
      </c>
      <c r="D26" s="2472">
        <f>+IS!T115</f>
        <v>2.16</v>
      </c>
      <c r="E26" s="2473">
        <f>+IS!U115</f>
        <v>2.16</v>
      </c>
      <c r="F26" s="2423"/>
      <c r="G26" s="2476" t="s">
        <v>1206</v>
      </c>
      <c r="H26" s="2477"/>
      <c r="I26" s="2474"/>
      <c r="J26" s="2423"/>
      <c r="K26" s="2423"/>
      <c r="L26" s="2423"/>
      <c r="M26" s="2423"/>
      <c r="O26" s="292"/>
      <c r="P26" s="292"/>
      <c r="Q26" s="292"/>
      <c r="R26" s="292"/>
      <c r="S26" s="292"/>
      <c r="T26" s="292"/>
      <c r="U26" s="292"/>
      <c r="V26" s="292"/>
    </row>
    <row r="27" spans="2:22">
      <c r="B27" s="2475">
        <v>0.08</v>
      </c>
      <c r="C27" s="3508">
        <f t="shared" ref="C27:E31" si="6">+C$26/$B27</f>
        <v>27</v>
      </c>
      <c r="D27" s="3508">
        <f t="shared" si="6"/>
        <v>27</v>
      </c>
      <c r="E27" s="3509">
        <f t="shared" si="6"/>
        <v>27</v>
      </c>
      <c r="F27" s="2423"/>
      <c r="G27" s="2431" t="s">
        <v>1204</v>
      </c>
      <c r="H27" s="2478">
        <f ca="1">SUM(H21:M21)</f>
        <v>25045.883435456974</v>
      </c>
      <c r="I27" s="2474"/>
      <c r="J27" s="2423"/>
      <c r="K27" s="2423"/>
      <c r="L27" s="2423"/>
      <c r="M27" s="2423"/>
      <c r="O27" s="292"/>
      <c r="P27" s="292"/>
      <c r="Q27" s="292"/>
      <c r="R27" s="292"/>
      <c r="S27" s="292"/>
      <c r="T27" s="292"/>
      <c r="U27" s="292"/>
      <c r="V27" s="292"/>
    </row>
    <row r="28" spans="2:22">
      <c r="B28" s="2475">
        <f>+B27+0.5%</f>
        <v>8.5000000000000006E-2</v>
      </c>
      <c r="C28" s="3508">
        <f t="shared" si="6"/>
        <v>25.411764705882351</v>
      </c>
      <c r="D28" s="3508">
        <f t="shared" si="6"/>
        <v>25.411764705882351</v>
      </c>
      <c r="E28" s="3509">
        <f t="shared" si="6"/>
        <v>25.411764705882351</v>
      </c>
      <c r="F28" s="2423"/>
      <c r="G28" s="2479" t="s">
        <v>1207</v>
      </c>
      <c r="H28" s="2480">
        <f ca="1">+M24</f>
        <v>44956.20383796886</v>
      </c>
      <c r="I28" s="2474"/>
      <c r="J28" s="2423"/>
      <c r="K28" s="2423"/>
      <c r="L28" s="2423"/>
      <c r="M28" s="2423"/>
      <c r="O28" s="292"/>
      <c r="P28" s="292"/>
      <c r="Q28" s="292"/>
      <c r="R28" s="292"/>
      <c r="S28" s="292"/>
      <c r="T28" s="292"/>
      <c r="U28" s="292"/>
      <c r="V28" s="292"/>
    </row>
    <row r="29" spans="2:22">
      <c r="B29" s="2475">
        <f>+B28+0.5%</f>
        <v>9.0000000000000011E-2</v>
      </c>
      <c r="C29" s="3508">
        <f t="shared" si="6"/>
        <v>24</v>
      </c>
      <c r="D29" s="3508">
        <f t="shared" si="6"/>
        <v>24</v>
      </c>
      <c r="E29" s="3509">
        <f t="shared" si="6"/>
        <v>24</v>
      </c>
      <c r="F29" s="2423"/>
      <c r="G29" s="2481" t="s">
        <v>385</v>
      </c>
      <c r="H29" s="2482">
        <f ca="1">+H27+H28</f>
        <v>70002.08727342583</v>
      </c>
      <c r="I29" s="2474"/>
      <c r="J29" s="2423"/>
      <c r="K29" s="2423"/>
      <c r="L29" s="2423"/>
      <c r="M29" s="2423"/>
      <c r="O29" s="292"/>
      <c r="P29" s="292"/>
      <c r="Q29" s="292"/>
      <c r="R29" s="292"/>
      <c r="S29" s="292"/>
      <c r="T29" s="292"/>
      <c r="U29" s="292"/>
      <c r="V29" s="292"/>
    </row>
    <row r="30" spans="2:22">
      <c r="B30" s="2475">
        <f>+B29+0.5%</f>
        <v>9.5000000000000015E-2</v>
      </c>
      <c r="C30" s="3508">
        <f t="shared" si="6"/>
        <v>22.736842105263158</v>
      </c>
      <c r="D30" s="3508">
        <f t="shared" si="6"/>
        <v>22.736842105263158</v>
      </c>
      <c r="E30" s="3509">
        <f t="shared" si="6"/>
        <v>22.736842105263158</v>
      </c>
      <c r="F30" s="2423"/>
      <c r="G30" s="2431" t="s">
        <v>1208</v>
      </c>
      <c r="H30" s="2478">
        <f ca="1">+E5</f>
        <v>588.82697139099002</v>
      </c>
      <c r="I30" s="2474"/>
      <c r="J30" s="2423"/>
      <c r="K30" s="2423"/>
      <c r="L30" s="2423"/>
      <c r="M30" s="2423"/>
      <c r="O30" s="292"/>
      <c r="P30" s="292"/>
      <c r="Q30" s="292"/>
      <c r="R30" s="292"/>
      <c r="S30" s="292"/>
      <c r="T30" s="292"/>
      <c r="U30" s="292"/>
      <c r="V30" s="292"/>
    </row>
    <row r="31" spans="2:22">
      <c r="B31" s="2483">
        <f>+B30+0.5%</f>
        <v>0.10000000000000002</v>
      </c>
      <c r="C31" s="3510">
        <f t="shared" si="6"/>
        <v>21.599999999999998</v>
      </c>
      <c r="D31" s="3510">
        <f t="shared" si="6"/>
        <v>21.599999999999998</v>
      </c>
      <c r="E31" s="3511">
        <f t="shared" si="6"/>
        <v>21.599999999999998</v>
      </c>
      <c r="F31" s="2423"/>
      <c r="G31" s="2431" t="s">
        <v>1209</v>
      </c>
      <c r="H31" s="2478">
        <f>-E6-E7</f>
        <v>-39841.75</v>
      </c>
      <c r="I31" s="2474"/>
      <c r="J31" s="2423"/>
      <c r="K31" s="2423"/>
      <c r="L31" s="2423"/>
      <c r="M31" s="2423"/>
      <c r="O31" s="292"/>
      <c r="P31" s="292"/>
      <c r="Q31" s="292"/>
      <c r="R31" s="292"/>
      <c r="S31" s="292"/>
      <c r="T31" s="292"/>
      <c r="U31" s="292"/>
      <c r="V31" s="292"/>
    </row>
    <row r="32" spans="2:22">
      <c r="F32" s="2423"/>
      <c r="G32" s="2484" t="s">
        <v>387</v>
      </c>
      <c r="H32" s="2485">
        <f ca="1">+SUM(H29:H31)</f>
        <v>30749.164244816813</v>
      </c>
      <c r="I32" s="2474"/>
      <c r="J32" s="2423"/>
      <c r="K32" s="2423"/>
      <c r="L32" s="2423"/>
      <c r="M32" s="2423"/>
      <c r="O32" s="292"/>
      <c r="P32" s="292"/>
      <c r="Q32" s="292"/>
      <c r="R32" s="292"/>
      <c r="S32" s="292"/>
      <c r="T32" s="292"/>
      <c r="U32" s="292"/>
      <c r="V32" s="292"/>
    </row>
    <row r="33" spans="2:22">
      <c r="B33" s="2465"/>
      <c r="C33" s="2466" t="str">
        <f>+C25</f>
        <v>2018E</v>
      </c>
      <c r="D33" s="2466" t="str">
        <f>+D25</f>
        <v>2019E</v>
      </c>
      <c r="E33" s="2467" t="str">
        <f>+E25</f>
        <v>2020E</v>
      </c>
      <c r="F33" s="2423"/>
      <c r="G33" s="2479" t="s">
        <v>1210</v>
      </c>
      <c r="H33" s="2488">
        <f>+E10</f>
        <v>1078.1950173333335</v>
      </c>
      <c r="I33" s="2474"/>
      <c r="J33" s="2423"/>
      <c r="K33" s="2423"/>
      <c r="L33" s="2423"/>
      <c r="M33" s="2423"/>
      <c r="O33" s="292"/>
      <c r="P33" s="292"/>
      <c r="Q33" s="292"/>
      <c r="R33" s="292"/>
      <c r="S33" s="292"/>
      <c r="T33" s="292"/>
      <c r="U33" s="292"/>
      <c r="V33" s="292"/>
    </row>
    <row r="34" spans="2:22">
      <c r="B34" s="2471" t="s">
        <v>1093</v>
      </c>
      <c r="C34" s="2486">
        <f>IS!S60</f>
        <v>8846.9680973273917</v>
      </c>
      <c r="D34" s="2486">
        <f>IS!T60</f>
        <v>9170.173300483093</v>
      </c>
      <c r="E34" s="2487">
        <f>IS!U60</f>
        <v>9345.6450650722545</v>
      </c>
      <c r="F34" s="2423"/>
      <c r="G34" s="2505" t="s">
        <v>1211</v>
      </c>
      <c r="H34" s="3774">
        <f ca="1">+(H32/H33)*(1+E16+E13*E14)</f>
        <v>32.041222110722551</v>
      </c>
      <c r="I34" s="2474"/>
      <c r="J34" s="2423"/>
      <c r="K34" s="2423"/>
      <c r="L34" s="2423"/>
      <c r="M34" s="2423"/>
      <c r="O34" s="292"/>
      <c r="P34" s="292"/>
      <c r="Q34" s="292"/>
      <c r="R34" s="292"/>
      <c r="S34" s="292"/>
      <c r="T34" s="292"/>
      <c r="U34" s="292"/>
      <c r="V34" s="292"/>
    </row>
    <row r="35" spans="2:22">
      <c r="B35" s="2489">
        <v>5</v>
      </c>
      <c r="C35" s="3508">
        <f t="shared" ref="C35:E39" ca="1" si="7">+(C$34*$B35+$H$30+$H$31)/$H$33</f>
        <v>4.6206088675400983</v>
      </c>
      <c r="D35" s="3508">
        <f t="shared" ca="1" si="7"/>
        <v>6.1194342097081309</v>
      </c>
      <c r="E35" s="3509">
        <f t="shared" ca="1" si="7"/>
        <v>6.9331634598355851</v>
      </c>
      <c r="F35" s="2423"/>
      <c r="G35" s="2490" t="s">
        <v>1212</v>
      </c>
      <c r="H35" s="2491">
        <f ca="1">+H34/E9-1</f>
        <v>0.78006789504014162</v>
      </c>
      <c r="I35" s="2474"/>
      <c r="J35" s="2423"/>
      <c r="K35" s="2423"/>
      <c r="L35" s="2423"/>
      <c r="M35" s="2423"/>
      <c r="O35" s="292"/>
      <c r="P35" s="292"/>
      <c r="Q35" s="292"/>
      <c r="R35" s="292"/>
      <c r="S35" s="292"/>
      <c r="T35" s="292"/>
      <c r="U35" s="292"/>
      <c r="V35" s="292"/>
    </row>
    <row r="36" spans="2:22">
      <c r="B36" s="2489">
        <f>B35+0.5</f>
        <v>5.5</v>
      </c>
      <c r="C36" s="3508">
        <f t="shared" ca="1" si="7"/>
        <v>8.7232841512788077</v>
      </c>
      <c r="D36" s="3508">
        <f t="shared" ca="1" si="7"/>
        <v>10.371992027663648</v>
      </c>
      <c r="E36" s="3509">
        <f t="shared" ca="1" si="7"/>
        <v>11.267094202803843</v>
      </c>
      <c r="F36" s="2423"/>
      <c r="G36" s="2492" t="s">
        <v>1663</v>
      </c>
      <c r="H36" s="2493">
        <f ca="1">+H29/D34</f>
        <v>7.6336711400795512</v>
      </c>
      <c r="I36" s="2474"/>
      <c r="J36" s="2423"/>
      <c r="K36" s="2423"/>
      <c r="L36" s="2423"/>
      <c r="M36" s="2423"/>
      <c r="O36" s="292"/>
      <c r="P36" s="292"/>
      <c r="Q36" s="292"/>
      <c r="R36" s="292"/>
      <c r="S36" s="292"/>
      <c r="T36" s="292"/>
      <c r="U36" s="292"/>
      <c r="V36" s="292"/>
    </row>
    <row r="37" spans="2:22">
      <c r="B37" s="2489">
        <f>B36+0.5</f>
        <v>6</v>
      </c>
      <c r="C37" s="3508">
        <f t="shared" ca="1" si="7"/>
        <v>12.825959435017511</v>
      </c>
      <c r="D37" s="3508">
        <f t="shared" ca="1" si="7"/>
        <v>14.624549845619159</v>
      </c>
      <c r="E37" s="3509">
        <f t="shared" ca="1" si="7"/>
        <v>15.601024945772101</v>
      </c>
      <c r="F37" s="2423"/>
      <c r="G37" s="2495" t="s">
        <v>1664</v>
      </c>
      <c r="H37" s="2629">
        <f ca="1">+D26/H34</f>
        <v>6.7413158978014115E-2</v>
      </c>
      <c r="I37" s="2474"/>
      <c r="J37" s="2423"/>
      <c r="K37" s="2423"/>
      <c r="L37" s="2423"/>
      <c r="M37" s="2423"/>
      <c r="O37" s="292"/>
      <c r="P37" s="292"/>
      <c r="Q37" s="292"/>
      <c r="R37" s="292"/>
      <c r="S37" s="292"/>
      <c r="T37" s="292"/>
      <c r="U37" s="292"/>
      <c r="V37" s="292"/>
    </row>
    <row r="38" spans="2:22">
      <c r="B38" s="2489">
        <f>B37+0.5</f>
        <v>6.5</v>
      </c>
      <c r="C38" s="3508">
        <f t="shared" ca="1" si="7"/>
        <v>16.928634718756221</v>
      </c>
      <c r="D38" s="3508">
        <f t="shared" ca="1" si="7"/>
        <v>18.87710766357467</v>
      </c>
      <c r="E38" s="3509">
        <f t="shared" ca="1" si="7"/>
        <v>19.934955688740359</v>
      </c>
      <c r="F38" s="2423"/>
      <c r="I38" s="2423"/>
      <c r="J38" s="2423"/>
      <c r="K38" s="2423"/>
      <c r="L38" s="2423"/>
      <c r="M38" s="2423"/>
      <c r="O38" s="292"/>
      <c r="P38" s="292"/>
      <c r="Q38" s="292"/>
      <c r="R38" s="292"/>
      <c r="S38" s="292"/>
      <c r="T38" s="292"/>
      <c r="U38" s="292"/>
      <c r="V38" s="292"/>
    </row>
    <row r="39" spans="2:22">
      <c r="B39" s="2494">
        <f>B38+0.5</f>
        <v>7</v>
      </c>
      <c r="C39" s="3510">
        <f t="shared" ca="1" si="7"/>
        <v>21.03131000249493</v>
      </c>
      <c r="D39" s="3510">
        <f t="shared" ca="1" si="7"/>
        <v>23.129665481530189</v>
      </c>
      <c r="E39" s="3511">
        <f t="shared" ca="1" si="7"/>
        <v>24.268886431708609</v>
      </c>
      <c r="F39" s="2423"/>
      <c r="G39" s="2474"/>
      <c r="H39" s="2498"/>
      <c r="I39" s="2423"/>
      <c r="J39" s="2423"/>
      <c r="K39" s="2423"/>
      <c r="L39" s="2423"/>
      <c r="M39" s="2423"/>
      <c r="O39" s="292"/>
      <c r="P39" s="292"/>
      <c r="Q39" s="292"/>
      <c r="R39" s="292"/>
      <c r="S39" s="292"/>
      <c r="T39" s="292"/>
      <c r="U39" s="292"/>
      <c r="V39" s="292"/>
    </row>
    <row r="40" spans="2:22" outlineLevel="1">
      <c r="B40" s="2496"/>
      <c r="C40" s="2497"/>
      <c r="D40" s="2497"/>
      <c r="E40" s="2497"/>
      <c r="F40" s="2423"/>
      <c r="G40" s="2476" t="s">
        <v>1446</v>
      </c>
      <c r="H40" s="2477"/>
      <c r="K40" s="2423"/>
      <c r="L40" s="2423"/>
      <c r="M40" s="2423"/>
      <c r="O40" s="292"/>
      <c r="P40" s="292"/>
      <c r="Q40" s="292"/>
      <c r="R40" s="292"/>
      <c r="S40" s="292"/>
      <c r="T40" s="292"/>
      <c r="U40" s="292"/>
      <c r="V40" s="292"/>
    </row>
    <row r="41" spans="2:22" outlineLevel="1">
      <c r="B41" s="2465"/>
      <c r="C41" s="2466" t="str">
        <f>+C25</f>
        <v>2018E</v>
      </c>
      <c r="D41" s="2466" t="str">
        <f>+D25</f>
        <v>2019E</v>
      </c>
      <c r="E41" s="2467" t="str">
        <f>+E25</f>
        <v>2020E</v>
      </c>
      <c r="F41" s="2423"/>
      <c r="G41" s="2749" t="s">
        <v>1447</v>
      </c>
      <c r="H41" s="2751">
        <f ca="1">+E12/C34</f>
        <v>6.6305691051751312</v>
      </c>
      <c r="K41" s="2423"/>
      <c r="L41" s="2423"/>
      <c r="M41" s="2423"/>
      <c r="O41" s="292"/>
      <c r="P41" s="292"/>
      <c r="Q41" s="292"/>
      <c r="R41" s="292"/>
      <c r="S41" s="292"/>
      <c r="T41" s="292"/>
      <c r="U41" s="292"/>
      <c r="V41" s="292"/>
    </row>
    <row r="42" spans="2:22" outlineLevel="1">
      <c r="B42" s="2471" t="s">
        <v>764</v>
      </c>
      <c r="C42" s="2472">
        <f>+IS!S112</f>
        <v>0.79138174347424028</v>
      </c>
      <c r="D42" s="2472">
        <f>+IS!T112</f>
        <v>1.0959939202157309</v>
      </c>
      <c r="E42" s="2473">
        <f>+IS!U112</f>
        <v>1.2825893311034651</v>
      </c>
      <c r="F42" s="2423"/>
      <c r="G42" s="2749" t="s">
        <v>2021</v>
      </c>
      <c r="H42" s="2751">
        <f ca="1">+E12/D34</f>
        <v>6.3968729290556299</v>
      </c>
      <c r="K42" s="2423"/>
      <c r="L42" s="2423"/>
      <c r="M42" s="2423"/>
      <c r="O42" s="292"/>
      <c r="P42" s="292"/>
      <c r="Q42" s="292"/>
      <c r="R42" s="292"/>
      <c r="S42" s="292"/>
      <c r="T42" s="292"/>
      <c r="U42" s="292"/>
      <c r="V42" s="292"/>
    </row>
    <row r="43" spans="2:22" outlineLevel="1">
      <c r="B43" s="2489">
        <v>8</v>
      </c>
      <c r="C43" s="3508">
        <f t="shared" ref="C43:E47" si="8">+C$42*$B43</f>
        <v>6.3310539477939223</v>
      </c>
      <c r="D43" s="3508">
        <f t="shared" si="8"/>
        <v>8.7679513617258475</v>
      </c>
      <c r="E43" s="3509">
        <f t="shared" si="8"/>
        <v>10.260714648827721</v>
      </c>
      <c r="F43" s="2423"/>
      <c r="G43" s="2750" t="s">
        <v>2022</v>
      </c>
      <c r="H43" s="2752">
        <f ca="1">+E12/E34</f>
        <v>6.2767666578567516</v>
      </c>
      <c r="K43" s="2423"/>
      <c r="L43" s="2423"/>
      <c r="M43" s="2423"/>
      <c r="O43" s="292"/>
      <c r="P43" s="292"/>
      <c r="Q43" s="292"/>
      <c r="R43" s="292"/>
      <c r="S43" s="292"/>
      <c r="T43" s="292"/>
      <c r="U43" s="292"/>
      <c r="V43" s="292"/>
    </row>
    <row r="44" spans="2:22" outlineLevel="1">
      <c r="B44" s="2489">
        <f>+B43+2</f>
        <v>10</v>
      </c>
      <c r="C44" s="3508">
        <f t="shared" si="8"/>
        <v>7.9138174347424028</v>
      </c>
      <c r="D44" s="3508">
        <f t="shared" si="8"/>
        <v>10.95993920215731</v>
      </c>
      <c r="E44" s="3509">
        <f t="shared" si="8"/>
        <v>12.825893311034651</v>
      </c>
      <c r="F44" s="2423"/>
      <c r="G44" s="2749" t="s">
        <v>1448</v>
      </c>
      <c r="H44" s="2751">
        <f>+E9/C42</f>
        <v>22.745028108657532</v>
      </c>
      <c r="I44" s="2423"/>
      <c r="J44" s="2423"/>
      <c r="K44" s="2423"/>
      <c r="L44" s="2423"/>
      <c r="M44" s="2423"/>
      <c r="O44" s="292"/>
      <c r="P44" s="292"/>
      <c r="Q44" s="292"/>
      <c r="R44" s="292"/>
      <c r="S44" s="292"/>
      <c r="T44" s="292"/>
      <c r="U44" s="292"/>
      <c r="V44" s="292"/>
    </row>
    <row r="45" spans="2:22" outlineLevel="1">
      <c r="B45" s="2489">
        <f>+B44+2</f>
        <v>12</v>
      </c>
      <c r="C45" s="3508">
        <f t="shared" si="8"/>
        <v>9.4965809216908834</v>
      </c>
      <c r="D45" s="3508">
        <f t="shared" si="8"/>
        <v>13.15192704258877</v>
      </c>
      <c r="E45" s="3509">
        <f t="shared" si="8"/>
        <v>15.39107197324158</v>
      </c>
      <c r="F45" s="2423"/>
      <c r="G45" s="2749" t="s">
        <v>2023</v>
      </c>
      <c r="H45" s="2751">
        <f>+CurrentSharePrice/D42</f>
        <v>16.423448769183825</v>
      </c>
      <c r="I45" s="2423"/>
      <c r="J45" s="2423"/>
      <c r="K45" s="2423"/>
      <c r="L45" s="2423"/>
      <c r="M45" s="2423"/>
      <c r="O45" s="292"/>
      <c r="P45" s="292"/>
      <c r="Q45" s="292"/>
      <c r="R45" s="292"/>
      <c r="S45" s="292"/>
      <c r="T45" s="292"/>
      <c r="U45" s="292"/>
      <c r="V45" s="292"/>
    </row>
    <row r="46" spans="2:22" outlineLevel="1">
      <c r="B46" s="2489">
        <f>+B45+2</f>
        <v>14</v>
      </c>
      <c r="C46" s="3508">
        <f t="shared" si="8"/>
        <v>11.079344408639365</v>
      </c>
      <c r="D46" s="3508">
        <f t="shared" si="8"/>
        <v>15.343914883020233</v>
      </c>
      <c r="E46" s="3509">
        <f t="shared" si="8"/>
        <v>17.956250635448512</v>
      </c>
      <c r="G46" s="2750" t="s">
        <v>2024</v>
      </c>
      <c r="H46" s="2752">
        <f>+CurrentSharePrice/E42</f>
        <v>14.03411018904535</v>
      </c>
      <c r="O46" s="292"/>
      <c r="P46" s="292"/>
      <c r="Q46" s="292"/>
      <c r="R46" s="292"/>
      <c r="S46" s="292"/>
      <c r="T46" s="292"/>
      <c r="U46" s="292"/>
      <c r="V46" s="292"/>
    </row>
    <row r="47" spans="2:22" outlineLevel="1">
      <c r="B47" s="2494">
        <f>+B46+2</f>
        <v>16</v>
      </c>
      <c r="C47" s="3510">
        <f t="shared" si="8"/>
        <v>12.662107895587845</v>
      </c>
      <c r="D47" s="3510">
        <f t="shared" si="8"/>
        <v>17.535902723451695</v>
      </c>
      <c r="E47" s="3511">
        <f t="shared" si="8"/>
        <v>20.521429297655441</v>
      </c>
      <c r="G47" s="2749" t="s">
        <v>1449</v>
      </c>
      <c r="H47" s="2753">
        <f ca="1">+C50/CurrentSharePrice</f>
        <v>0.16868357435867429</v>
      </c>
      <c r="O47" s="292"/>
      <c r="P47" s="292"/>
      <c r="Q47" s="292"/>
      <c r="R47" s="292"/>
      <c r="S47" s="292"/>
      <c r="T47" s="292"/>
      <c r="U47" s="292"/>
      <c r="V47" s="292"/>
    </row>
    <row r="48" spans="2:22" outlineLevel="1">
      <c r="B48" s="2423"/>
      <c r="C48" s="2423"/>
      <c r="D48" s="2423"/>
      <c r="E48" s="2423"/>
      <c r="G48" s="2749" t="s">
        <v>2025</v>
      </c>
      <c r="H48" s="2753">
        <f ca="1">+D50/CurrentSharePrice</f>
        <v>0.15802650850350766</v>
      </c>
      <c r="O48" s="292"/>
      <c r="P48" s="292"/>
      <c r="Q48" s="292"/>
      <c r="R48" s="292"/>
      <c r="S48" s="292"/>
      <c r="T48" s="292"/>
      <c r="U48" s="292"/>
      <c r="V48" s="292"/>
    </row>
    <row r="49" spans="2:22" outlineLevel="1">
      <c r="B49" s="2465"/>
      <c r="C49" s="2466" t="str">
        <f>+C25</f>
        <v>2018E</v>
      </c>
      <c r="D49" s="2466" t="str">
        <f>+D25</f>
        <v>2019E</v>
      </c>
      <c r="E49" s="2467" t="str">
        <f>+E25</f>
        <v>2020E</v>
      </c>
      <c r="G49" s="2750" t="s">
        <v>2026</v>
      </c>
      <c r="H49" s="2754">
        <f ca="1">+E50/CurrentSharePrice</f>
        <v>0.16803635832041663</v>
      </c>
      <c r="O49" s="292"/>
      <c r="P49" s="292"/>
      <c r="Q49" s="292"/>
      <c r="R49" s="292"/>
      <c r="S49" s="292"/>
      <c r="T49" s="292"/>
      <c r="U49" s="292"/>
      <c r="V49" s="292"/>
    </row>
    <row r="50" spans="2:22" outlineLevel="1">
      <c r="B50" s="2471" t="s">
        <v>752</v>
      </c>
      <c r="C50" s="2472">
        <f ca="1">+(CFS!S30+CFS!S34)/IS!S109</f>
        <v>3.0363043384561372</v>
      </c>
      <c r="D50" s="2472">
        <f ca="1">+(CFS!T30+CFS!T34)/IS!T109</f>
        <v>2.8444771530631381</v>
      </c>
      <c r="E50" s="2473">
        <f ca="1">+(CFS!U30+CFS!U34)/IS!U109</f>
        <v>3.0246544497674996</v>
      </c>
      <c r="O50" s="292"/>
      <c r="P50" s="292"/>
      <c r="Q50" s="292"/>
      <c r="R50" s="292"/>
      <c r="S50" s="292"/>
      <c r="T50" s="292"/>
      <c r="U50" s="292"/>
      <c r="V50" s="292"/>
    </row>
    <row r="51" spans="2:22" outlineLevel="1">
      <c r="B51" s="2475">
        <v>0.15</v>
      </c>
      <c r="C51" s="3508">
        <f t="shared" ref="C51:E55" ca="1" si="9">+C$50/$B51</f>
        <v>20.242028923040916</v>
      </c>
      <c r="D51" s="3508">
        <f t="shared" ca="1" si="9"/>
        <v>18.963181020420922</v>
      </c>
      <c r="E51" s="3509">
        <f t="shared" ca="1" si="9"/>
        <v>20.164362998449999</v>
      </c>
      <c r="G51" s="2499" t="s">
        <v>1191</v>
      </c>
      <c r="H51" s="2500"/>
      <c r="I51" s="2500"/>
      <c r="J51" s="2501"/>
      <c r="O51" s="292"/>
      <c r="P51" s="292"/>
      <c r="Q51" s="292"/>
      <c r="R51" s="292"/>
      <c r="S51" s="292"/>
      <c r="T51" s="292"/>
      <c r="U51" s="292"/>
      <c r="V51" s="292"/>
    </row>
    <row r="52" spans="2:22" outlineLevel="1">
      <c r="B52" s="2475">
        <f>+B51+1%</f>
        <v>0.16</v>
      </c>
      <c r="C52" s="3508">
        <f t="shared" ca="1" si="9"/>
        <v>18.976902115350857</v>
      </c>
      <c r="D52" s="3508">
        <f t="shared" ca="1" si="9"/>
        <v>17.777982206644612</v>
      </c>
      <c r="E52" s="3509">
        <f t="shared" ca="1" si="9"/>
        <v>18.904090311046872</v>
      </c>
      <c r="G52" s="2502" t="s">
        <v>516</v>
      </c>
      <c r="H52" s="2503">
        <f>+IS!$O$115</f>
        <v>2.16</v>
      </c>
      <c r="I52" s="2504">
        <v>0.08</v>
      </c>
      <c r="J52" s="2506">
        <f>+H52/I52</f>
        <v>27</v>
      </c>
      <c r="O52" s="292"/>
      <c r="P52" s="292"/>
      <c r="Q52" s="292"/>
      <c r="R52" s="292"/>
      <c r="S52" s="292"/>
      <c r="T52" s="292"/>
      <c r="U52" s="292"/>
      <c r="V52" s="292"/>
    </row>
    <row r="53" spans="2:22" outlineLevel="1">
      <c r="B53" s="2475">
        <f>+B52+1%</f>
        <v>0.17</v>
      </c>
      <c r="C53" s="3508">
        <f t="shared" ca="1" si="9"/>
        <v>17.860613755624335</v>
      </c>
      <c r="D53" s="3508">
        <f t="shared" ca="1" si="9"/>
        <v>16.732218547430222</v>
      </c>
      <c r="E53" s="3509">
        <f t="shared" ca="1" si="9"/>
        <v>17.792084998632351</v>
      </c>
      <c r="G53" s="2434" t="s">
        <v>515</v>
      </c>
      <c r="H53" s="2435">
        <f>+IS!$O$115</f>
        <v>2.16</v>
      </c>
      <c r="I53" s="2436">
        <v>0.06</v>
      </c>
      <c r="J53" s="2507">
        <f>+H53/I53</f>
        <v>36.000000000000007</v>
      </c>
      <c r="O53" s="292"/>
      <c r="P53" s="292"/>
      <c r="Q53" s="292"/>
      <c r="R53" s="292"/>
      <c r="S53" s="292"/>
      <c r="T53" s="292"/>
      <c r="U53" s="292"/>
      <c r="V53" s="292"/>
    </row>
    <row r="54" spans="2:22" outlineLevel="1">
      <c r="B54" s="2475">
        <f>+B53+1%</f>
        <v>0.18000000000000002</v>
      </c>
      <c r="C54" s="3508">
        <f t="shared" ca="1" si="9"/>
        <v>16.868357435867427</v>
      </c>
      <c r="D54" s="3508">
        <f t="shared" ca="1" si="9"/>
        <v>15.802650850350766</v>
      </c>
      <c r="E54" s="3509">
        <f t="shared" ca="1" si="9"/>
        <v>16.803635832041664</v>
      </c>
      <c r="G54" s="2439" t="s">
        <v>517</v>
      </c>
      <c r="H54" s="2975">
        <v>1.6</v>
      </c>
      <c r="I54" s="2440">
        <v>0.08</v>
      </c>
      <c r="J54" s="2508">
        <f>+H54/I54</f>
        <v>20</v>
      </c>
      <c r="O54" s="292"/>
      <c r="P54" s="292"/>
      <c r="Q54" s="292"/>
      <c r="R54" s="292"/>
      <c r="S54" s="292"/>
      <c r="T54" s="292"/>
      <c r="U54" s="292"/>
      <c r="V54" s="292"/>
    </row>
    <row r="55" spans="2:22">
      <c r="B55" s="2483">
        <f>+B54+1%</f>
        <v>0.19000000000000003</v>
      </c>
      <c r="C55" s="3510">
        <f t="shared" ca="1" si="9"/>
        <v>15.980549149769141</v>
      </c>
      <c r="D55" s="3510">
        <f t="shared" ca="1" si="9"/>
        <v>14.970932384542829</v>
      </c>
      <c r="E55" s="3511">
        <f t="shared" ca="1" si="9"/>
        <v>15.919233946144733</v>
      </c>
      <c r="O55" s="292"/>
      <c r="P55" s="292"/>
      <c r="Q55" s="292"/>
      <c r="R55" s="292"/>
      <c r="S55" s="292"/>
      <c r="T55" s="292"/>
      <c r="U55" s="292"/>
      <c r="V55" s="292"/>
    </row>
  </sheetData>
  <phoneticPr fontId="7" type="noConversion"/>
  <pageMargins left="0.75" right="0.75" top="1" bottom="1" header="0.5" footer="0.5"/>
  <pageSetup scale="65"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enableFormatConditionsCalculation="0">
    <tabColor indexed="51"/>
    <pageSetUpPr fitToPage="1"/>
  </sheetPr>
  <dimension ref="A1:CS149"/>
  <sheetViews>
    <sheetView showGridLines="0" zoomScale="85" zoomScaleNormal="85" zoomScaleSheetLayoutView="85" workbookViewId="0">
      <pane xSplit="12" ySplit="24" topLeftCell="Q60" activePane="bottomRight" state="frozen"/>
      <selection pane="topRight" activeCell="M1" sqref="M1"/>
      <selection pane="bottomLeft" activeCell="A25" sqref="A25"/>
      <selection pane="bottomRight" activeCell="R104" sqref="R104"/>
    </sheetView>
  </sheetViews>
  <sheetFormatPr defaultRowHeight="12.75" outlineLevelRow="1" outlineLevelCol="2"/>
  <cols>
    <col min="1" max="1" width="37" customWidth="1"/>
    <col min="2" max="2" width="2.28515625" hidden="1" customWidth="1" outlineLevel="1"/>
    <col min="3" max="4" width="2.5703125" hidden="1" customWidth="1" outlineLevel="1"/>
    <col min="5" max="8" width="10.42578125" hidden="1" customWidth="1" outlineLevel="1"/>
    <col min="9" max="9" width="9.42578125" hidden="1" customWidth="1" outlineLevel="1"/>
    <col min="10" max="10" width="8" hidden="1" customWidth="1" outlineLevel="1"/>
    <col min="11" max="11" width="8.7109375" hidden="1" customWidth="1" outlineLevel="1"/>
    <col min="12" max="14" width="8.140625" hidden="1" customWidth="1" outlineLevel="1"/>
    <col min="15" max="16" width="9.140625" hidden="1" customWidth="1" outlineLevel="1"/>
    <col min="17" max="17" width="9.140625" customWidth="1" collapsed="1"/>
    <col min="18" max="18" width="9.140625" customWidth="1"/>
    <col min="19" max="19" width="9.140625" style="3617" customWidth="1"/>
    <col min="20" max="21" width="8.140625" customWidth="1"/>
    <col min="22" max="22" width="8.140625" hidden="1" customWidth="1" outlineLevel="1"/>
    <col min="23" max="24" width="8.140625" style="3617" hidden="1" customWidth="1" outlineLevel="1"/>
    <col min="25" max="25" width="3.5703125" customWidth="1" collapsed="1"/>
    <col min="26" max="26" width="8.140625" customWidth="1"/>
    <col min="27" max="27" width="3.5703125" customWidth="1" collapsed="1"/>
    <col min="28" max="30" width="8.140625" hidden="1" customWidth="1" outlineLevel="2"/>
    <col min="31" max="31" width="8.140625" hidden="1" customWidth="1" outlineLevel="2" collapsed="1"/>
    <col min="32" max="54" width="8.140625" hidden="1" customWidth="1" outlineLevel="2"/>
    <col min="55" max="55" width="8.140625" hidden="1" customWidth="1" outlineLevel="2" collapsed="1"/>
    <col min="56" max="74" width="8.140625" hidden="1" customWidth="1" outlineLevel="2"/>
    <col min="75" max="75" width="8.140625" hidden="1" customWidth="1" outlineLevel="1" collapsed="1"/>
    <col min="76" max="76" width="8.140625" hidden="1" customWidth="1" outlineLevel="1"/>
    <col min="77" max="77" width="8.140625" style="292" hidden="1" customWidth="1" outlineLevel="1"/>
    <col min="78" max="78" width="8.140625" hidden="1" customWidth="1" outlineLevel="1"/>
    <col min="79" max="79" width="8.140625" style="292" hidden="1" customWidth="1" outlineLevel="1"/>
    <col min="80" max="80" width="8.140625" hidden="1" customWidth="1" outlineLevel="1"/>
    <col min="81" max="81" width="8.140625" style="292" hidden="1" customWidth="1" outlineLevel="1"/>
    <col min="82" max="82" width="8.140625" hidden="1" customWidth="1" outlineLevel="1"/>
    <col min="83" max="83" width="8.140625" style="292" customWidth="1" collapsed="1"/>
    <col min="84" max="84" width="8.140625" style="3512" customWidth="1"/>
    <col min="85" max="86" width="8.140625" style="3617" customWidth="1"/>
    <col min="87" max="90" width="8.140625" style="2248" customWidth="1"/>
    <col min="91" max="91" width="2.42578125" customWidth="1"/>
    <col min="92" max="92" width="43.85546875" customWidth="1"/>
  </cols>
  <sheetData>
    <row r="1" spans="1:91" ht="13.5" customHeight="1">
      <c r="A1" s="364" t="s">
        <v>460</v>
      </c>
      <c r="B1" s="365"/>
      <c r="C1" s="365"/>
      <c r="D1" s="365"/>
      <c r="E1" s="3514"/>
      <c r="F1" s="3514"/>
      <c r="G1" s="3514"/>
      <c r="H1" s="3514"/>
      <c r="I1" s="3515"/>
      <c r="J1" s="3515"/>
      <c r="K1" s="3515"/>
      <c r="L1" s="3516"/>
      <c r="M1" s="3517"/>
      <c r="N1" s="3518"/>
      <c r="O1" s="3519"/>
      <c r="P1" s="3519"/>
      <c r="Q1" s="3519"/>
      <c r="R1" s="3519"/>
      <c r="S1" s="3519"/>
      <c r="T1" s="3519"/>
      <c r="U1" s="3519"/>
      <c r="V1" s="3519"/>
      <c r="W1" s="3519"/>
      <c r="X1" s="3519"/>
      <c r="Y1" s="3519"/>
      <c r="Z1" s="3520"/>
      <c r="AA1" s="3519"/>
      <c r="AB1" s="3520"/>
      <c r="AC1" s="3520"/>
      <c r="AD1" s="3520"/>
      <c r="AE1" s="3520"/>
      <c r="AF1" s="3520"/>
      <c r="AG1" s="3520"/>
      <c r="AH1" s="3520"/>
      <c r="AI1" s="3520"/>
      <c r="AJ1" s="3520"/>
      <c r="AK1" s="3520"/>
      <c r="AL1" s="3520"/>
      <c r="AM1" s="3520"/>
      <c r="AN1" s="3520"/>
      <c r="AO1" s="3520"/>
      <c r="AP1" s="3520"/>
      <c r="AQ1" s="3520"/>
      <c r="AR1" s="3520"/>
      <c r="AS1" s="3520"/>
      <c r="AT1" s="3520"/>
      <c r="AU1" s="3520"/>
      <c r="AV1" s="3520"/>
      <c r="AW1" s="3520"/>
      <c r="AX1" s="3520"/>
      <c r="AY1" s="3520"/>
      <c r="AZ1" s="3520"/>
      <c r="BA1" s="3520"/>
      <c r="BB1" s="3520"/>
      <c r="BC1" s="3520"/>
      <c r="BD1" s="3520"/>
      <c r="BE1" s="3520"/>
      <c r="BF1" s="3520"/>
      <c r="BG1" s="3520"/>
      <c r="BH1" s="3520"/>
      <c r="BI1" s="3520"/>
      <c r="BJ1" s="3520"/>
      <c r="BK1" s="3520"/>
      <c r="BL1" s="3521"/>
      <c r="BM1" s="3520"/>
      <c r="BN1" s="3520"/>
      <c r="BO1" s="3520"/>
      <c r="BP1" s="3519"/>
      <c r="BQ1" s="3519"/>
      <c r="BR1" s="3519"/>
      <c r="BS1" s="3522"/>
      <c r="BT1" s="3522"/>
      <c r="BU1" s="3522"/>
      <c r="BV1" s="3522"/>
      <c r="BW1" s="3522"/>
      <c r="BX1" s="3522"/>
      <c r="BY1" s="3522"/>
      <c r="BZ1" s="3522"/>
      <c r="CA1" s="3522"/>
      <c r="CB1" s="3522"/>
      <c r="CC1" s="3522"/>
      <c r="CD1" s="3522"/>
      <c r="CE1" s="3522"/>
      <c r="CF1" s="3522"/>
      <c r="CG1" s="3522"/>
      <c r="CH1" s="3522"/>
      <c r="CI1" s="3522"/>
      <c r="CJ1" s="3522"/>
      <c r="CK1" s="3522"/>
      <c r="CL1" s="3522"/>
      <c r="CM1" s="367"/>
    </row>
    <row r="2" spans="1:91">
      <c r="A2" s="364" t="s">
        <v>986</v>
      </c>
      <c r="B2" s="365"/>
      <c r="C2" s="365"/>
      <c r="D2" s="365"/>
      <c r="E2" s="369"/>
      <c r="F2" s="369"/>
      <c r="G2" s="369"/>
      <c r="H2" s="370"/>
      <c r="I2" s="345"/>
      <c r="J2" s="345"/>
      <c r="K2" s="345"/>
      <c r="L2" s="345"/>
      <c r="M2" s="2244"/>
      <c r="N2" s="2277"/>
      <c r="O2" s="2292"/>
      <c r="P2" s="2292"/>
      <c r="Q2" s="2293"/>
      <c r="R2" s="2293"/>
      <c r="S2" s="2293"/>
      <c r="T2" s="2293"/>
      <c r="U2" s="2293"/>
      <c r="V2" s="2293"/>
      <c r="W2" s="2293"/>
      <c r="X2" s="2293"/>
      <c r="Y2" s="2293"/>
      <c r="Z2" s="2294"/>
      <c r="AA2" s="2293"/>
      <c r="AB2" s="2295"/>
      <c r="AC2" s="2295"/>
      <c r="AD2" s="2295"/>
      <c r="AE2" s="2295"/>
      <c r="AF2" s="2295"/>
      <c r="AG2" s="2295"/>
      <c r="AH2" s="2295"/>
      <c r="AI2" s="2295"/>
      <c r="AJ2" s="2295"/>
      <c r="AK2" s="2295"/>
      <c r="AL2" s="2295"/>
      <c r="AM2" s="2295"/>
      <c r="AN2" s="2295"/>
      <c r="AO2" s="2295"/>
      <c r="AP2" s="2295"/>
      <c r="AQ2" s="2295"/>
      <c r="AR2" s="2295"/>
      <c r="AS2" s="2295"/>
      <c r="AT2" s="2295"/>
      <c r="AU2" s="2295"/>
      <c r="AV2" s="2295"/>
      <c r="AW2" s="2295"/>
      <c r="AX2" s="2295"/>
      <c r="AY2" s="2295"/>
      <c r="AZ2" s="2295"/>
      <c r="BA2" s="2295"/>
      <c r="BB2" s="2295"/>
      <c r="BC2" s="2295"/>
      <c r="BD2" s="2295"/>
      <c r="BE2" s="2295"/>
      <c r="BF2" s="2295"/>
      <c r="BG2" s="2295"/>
      <c r="BH2" s="2295"/>
      <c r="BI2" s="2295"/>
      <c r="BJ2" s="2295"/>
      <c r="BK2" s="2295"/>
      <c r="BL2" s="2296"/>
      <c r="BM2" s="2295"/>
      <c r="BN2" s="2295"/>
      <c r="BO2" s="2297"/>
      <c r="BP2" s="2297"/>
      <c r="BQ2" s="2297"/>
      <c r="BR2" s="2293"/>
      <c r="BS2" s="2293"/>
      <c r="BT2" s="2293"/>
      <c r="BU2" s="2293"/>
      <c r="BV2" s="2293"/>
      <c r="BW2" s="2293"/>
      <c r="BX2" s="2293"/>
      <c r="BY2" s="2293"/>
      <c r="BZ2" s="2293"/>
      <c r="CA2" s="2293"/>
      <c r="CB2" s="2293"/>
      <c r="CC2" s="2293"/>
      <c r="CD2" s="2293"/>
      <c r="CE2" s="2293"/>
      <c r="CF2" s="2293"/>
      <c r="CG2" s="2293"/>
      <c r="CH2" s="2293"/>
      <c r="CI2" s="2293"/>
      <c r="CJ2" s="2293"/>
      <c r="CK2" s="2293"/>
      <c r="CL2" s="2293"/>
      <c r="CM2" s="367"/>
    </row>
    <row r="3" spans="1:91">
      <c r="A3" s="365" t="s">
        <v>763</v>
      </c>
      <c r="B3" s="365"/>
      <c r="C3" s="365"/>
      <c r="D3" s="365"/>
      <c r="E3" s="369"/>
      <c r="F3" s="369"/>
      <c r="G3" s="369"/>
      <c r="H3" s="369"/>
      <c r="I3" s="369"/>
      <c r="J3" s="369"/>
      <c r="K3" s="362"/>
      <c r="L3" s="427"/>
      <c r="M3" s="2245"/>
      <c r="N3" s="2275"/>
      <c r="O3" s="2298"/>
      <c r="P3" s="2298"/>
      <c r="Q3" s="2297"/>
      <c r="R3" s="2297"/>
      <c r="S3" s="2297"/>
      <c r="T3" s="2293"/>
      <c r="U3" s="2293"/>
      <c r="V3" s="2293"/>
      <c r="W3" s="2293"/>
      <c r="X3" s="2293"/>
      <c r="Y3" s="2297"/>
      <c r="Z3" s="2297"/>
      <c r="AA3" s="2297"/>
      <c r="AB3" s="2297"/>
      <c r="AC3" s="2297"/>
      <c r="AD3" s="2297"/>
      <c r="AE3" s="2297"/>
      <c r="AF3" s="2297"/>
      <c r="AG3" s="2297"/>
      <c r="AH3" s="2297"/>
      <c r="AI3" s="2297"/>
      <c r="AJ3" s="2297"/>
      <c r="AK3" s="2297"/>
      <c r="AL3" s="2297"/>
      <c r="AM3" s="2297"/>
      <c r="AN3" s="2297"/>
      <c r="AO3" s="2297"/>
      <c r="AP3" s="2297"/>
      <c r="AQ3" s="2297"/>
      <c r="AR3" s="2297"/>
      <c r="AS3" s="2297"/>
      <c r="AT3" s="2297"/>
      <c r="AU3" s="2297"/>
      <c r="AV3" s="2297"/>
      <c r="AW3" s="2297"/>
      <c r="AX3" s="2297"/>
      <c r="AY3" s="2297"/>
      <c r="AZ3" s="2297"/>
      <c r="BA3" s="2297"/>
      <c r="BB3" s="2297"/>
      <c r="BC3" s="2297"/>
      <c r="BD3" s="2297"/>
      <c r="BE3" s="2297"/>
      <c r="BF3" s="2297"/>
      <c r="BG3" s="2297"/>
      <c r="BH3" s="2297"/>
      <c r="BI3" s="2297"/>
      <c r="BJ3" s="2974"/>
      <c r="BK3" s="2974"/>
      <c r="BL3" s="2974"/>
      <c r="BM3" s="2974"/>
      <c r="BN3" s="2974"/>
      <c r="BO3" s="2974"/>
      <c r="BP3" s="2974"/>
      <c r="BQ3" s="2974"/>
      <c r="BR3" s="2974"/>
      <c r="BS3" s="2974"/>
      <c r="BT3" s="2974"/>
      <c r="BU3" s="2974"/>
      <c r="BV3" s="2974"/>
      <c r="BW3" s="2974"/>
      <c r="BX3" s="2974"/>
      <c r="BY3" s="3112"/>
      <c r="BZ3" s="2974"/>
      <c r="CA3" s="3112"/>
      <c r="CB3" s="3112"/>
      <c r="CC3" s="3112"/>
      <c r="CD3" s="3112"/>
      <c r="CE3" s="3112"/>
      <c r="CF3" s="3112"/>
      <c r="CG3" s="3112"/>
      <c r="CH3" s="3112"/>
      <c r="CI3" s="3112"/>
      <c r="CJ3" s="3112"/>
      <c r="CK3" s="3112"/>
      <c r="CL3" s="3112"/>
      <c r="CM3" s="367"/>
    </row>
    <row r="4" spans="1:91">
      <c r="A4" s="365"/>
      <c r="B4" s="365"/>
      <c r="C4" s="365"/>
      <c r="D4" s="365"/>
      <c r="E4" s="369"/>
      <c r="F4" s="369"/>
      <c r="G4" s="4155" t="s">
        <v>560</v>
      </c>
      <c r="H4" s="4156"/>
      <c r="I4" s="4157"/>
      <c r="J4" s="346"/>
      <c r="K4" s="2189"/>
      <c r="L4" s="2219"/>
      <c r="M4" s="2246"/>
      <c r="N4" s="2247"/>
      <c r="O4" s="2247"/>
      <c r="P4" s="2247"/>
      <c r="Q4" s="2247"/>
      <c r="R4" s="2247"/>
      <c r="S4" s="2277"/>
      <c r="T4" s="3324"/>
      <c r="U4" s="3324"/>
      <c r="V4" s="3324"/>
      <c r="W4" s="3324"/>
      <c r="X4" s="3324"/>
      <c r="Y4" s="2247"/>
      <c r="Z4" s="2247"/>
      <c r="AA4" s="2247"/>
      <c r="AB4" s="2247"/>
      <c r="AC4" s="2247"/>
      <c r="AD4" s="2247"/>
      <c r="AE4" s="2247"/>
      <c r="AF4" s="2247"/>
      <c r="AG4" s="2247"/>
      <c r="AH4" s="2247"/>
      <c r="AI4" s="2247"/>
      <c r="AJ4" s="2247"/>
      <c r="AK4" s="2247"/>
      <c r="AL4" s="2247"/>
      <c r="AM4" s="2247"/>
      <c r="AN4" s="2247"/>
      <c r="AO4" s="2247"/>
      <c r="AP4" s="2247"/>
      <c r="AQ4" s="2247"/>
      <c r="AR4" s="2247"/>
      <c r="AS4" s="2247"/>
      <c r="AT4" s="2247"/>
      <c r="AU4" s="2247"/>
      <c r="AV4" s="2247"/>
      <c r="AW4" s="2247"/>
      <c r="AX4" s="2247"/>
      <c r="AY4" s="2247"/>
      <c r="AZ4" s="2247"/>
      <c r="BA4" s="2247"/>
      <c r="BB4" s="2247"/>
      <c r="BC4" s="2247"/>
      <c r="BD4" s="2247"/>
      <c r="BE4" s="2247"/>
      <c r="BF4" s="2247"/>
      <c r="BG4" s="2247"/>
      <c r="BH4" s="2247"/>
      <c r="BI4" s="2994"/>
      <c r="BJ4" s="2994"/>
      <c r="BK4" s="2994"/>
      <c r="BL4" s="2994"/>
      <c r="BM4" s="3145"/>
      <c r="BN4" s="3145"/>
      <c r="BO4" s="2994"/>
      <c r="BP4" s="2994"/>
      <c r="BQ4" s="3145"/>
      <c r="BR4" s="3145"/>
      <c r="BS4" s="2994"/>
      <c r="BT4" s="2994"/>
      <c r="BU4" s="3145"/>
      <c r="BV4" s="3145"/>
      <c r="BW4" s="2994"/>
      <c r="BX4" s="2994"/>
      <c r="BY4" s="2993"/>
      <c r="BZ4" s="3145"/>
      <c r="CA4" s="2994"/>
      <c r="CB4" s="2994"/>
      <c r="CC4" s="2994"/>
      <c r="CD4" s="2994"/>
      <c r="CE4" s="2994"/>
      <c r="CF4" s="2994"/>
      <c r="CG4" s="2994"/>
      <c r="CH4" s="2994"/>
      <c r="CI4" s="3145"/>
      <c r="CJ4" s="3145"/>
      <c r="CK4" s="3145"/>
      <c r="CL4" s="3145"/>
      <c r="CM4" s="367"/>
    </row>
    <row r="5" spans="1:91">
      <c r="A5" s="395"/>
      <c r="B5" s="365"/>
      <c r="C5" s="365"/>
      <c r="D5" s="365"/>
      <c r="E5" s="369"/>
      <c r="F5" s="369"/>
      <c r="G5" s="369"/>
      <c r="H5" s="369"/>
      <c r="I5" s="398"/>
      <c r="J5" s="346"/>
      <c r="K5" s="4158" t="s">
        <v>426</v>
      </c>
      <c r="L5" s="4158"/>
      <c r="M5" s="2188"/>
      <c r="N5" s="2247"/>
      <c r="O5" s="2247"/>
      <c r="P5" s="2247"/>
      <c r="Q5" s="2188"/>
      <c r="R5" s="2188"/>
      <c r="S5" s="2188"/>
      <c r="T5" s="2188"/>
      <c r="U5" s="2188"/>
      <c r="V5" s="2188"/>
      <c r="W5" s="2188"/>
      <c r="X5" s="2188"/>
      <c r="Y5" s="2188"/>
      <c r="Z5" s="404"/>
      <c r="AA5" s="2188"/>
      <c r="AB5" s="374"/>
      <c r="AC5" s="374"/>
      <c r="AD5" s="374"/>
      <c r="AE5" s="374"/>
      <c r="AF5" s="374"/>
      <c r="AG5" s="374"/>
      <c r="AH5" s="374"/>
      <c r="AI5" s="374"/>
      <c r="AJ5" s="374"/>
      <c r="AK5" s="374"/>
      <c r="AL5" s="374"/>
      <c r="AM5" s="4153"/>
      <c r="AN5" s="4154"/>
      <c r="AO5" s="4154"/>
      <c r="AP5" s="4154"/>
      <c r="AQ5" s="4154"/>
      <c r="AR5" s="4154"/>
      <c r="AS5" s="4154"/>
      <c r="AT5" s="4154"/>
      <c r="AU5" s="4154"/>
      <c r="AV5" s="4154"/>
      <c r="AW5" s="4154"/>
      <c r="AX5" s="4154"/>
      <c r="AY5" s="2207"/>
      <c r="AZ5" s="2208"/>
      <c r="BA5" s="2208"/>
      <c r="BB5" s="2209"/>
      <c r="BC5" s="2207"/>
      <c r="BD5" s="2208"/>
      <c r="BE5" s="2208"/>
      <c r="BF5" s="2209"/>
      <c r="BG5" s="2210"/>
      <c r="BH5" s="2211"/>
      <c r="BI5" s="2201"/>
      <c r="BJ5" s="2247"/>
      <c r="BK5" s="2247"/>
      <c r="BL5" s="2247"/>
      <c r="BM5" s="2247"/>
      <c r="BN5" s="2247"/>
      <c r="BO5" s="2247"/>
      <c r="BP5" s="2247"/>
      <c r="BQ5" s="2247"/>
      <c r="BR5" s="2247"/>
      <c r="BS5" s="2247"/>
      <c r="BT5" s="2247"/>
      <c r="BU5" s="2247"/>
      <c r="BV5" s="2247"/>
      <c r="BW5" s="2993"/>
      <c r="BX5" s="2993"/>
      <c r="BY5" s="2993"/>
      <c r="BZ5" s="2993"/>
      <c r="CA5" s="2993"/>
      <c r="CB5" s="3613"/>
      <c r="CC5" s="3613"/>
      <c r="CD5" s="3613"/>
      <c r="CE5" s="3613"/>
      <c r="CF5" s="3613"/>
      <c r="CG5" s="3613"/>
      <c r="CH5" s="3613"/>
      <c r="CI5" s="2277"/>
      <c r="CJ5" s="2277"/>
      <c r="CK5" s="2277"/>
      <c r="CL5" s="2277"/>
      <c r="CM5" s="367"/>
    </row>
    <row r="6" spans="1:91" hidden="1" outlineLevel="1">
      <c r="A6" s="1910" t="s">
        <v>729</v>
      </c>
      <c r="B6" s="376"/>
      <c r="C6" s="376"/>
      <c r="D6" s="376"/>
      <c r="E6" s="377">
        <f t="shared" ref="E6:Q6" si="0">E93</f>
        <v>-6.4626407185521115</v>
      </c>
      <c r="F6" s="377">
        <f t="shared" si="0"/>
        <v>-6.7393776396306047</v>
      </c>
      <c r="G6" s="377">
        <f t="shared" si="0"/>
        <v>-1.7133093831662458</v>
      </c>
      <c r="H6" s="377">
        <f t="shared" si="0"/>
        <v>-2.222796433745823</v>
      </c>
      <c r="I6" s="378">
        <f t="shared" si="0"/>
        <v>2.9254653652975398</v>
      </c>
      <c r="J6" s="377">
        <f t="shared" si="0"/>
        <v>3.0904647285107814</v>
      </c>
      <c r="K6" s="674">
        <f t="shared" si="0"/>
        <v>3.0630087973919395</v>
      </c>
      <c r="L6" s="383">
        <f t="shared" ca="1" si="0"/>
        <v>2.8242898178714193</v>
      </c>
      <c r="M6" s="379">
        <f t="shared" si="0"/>
        <v>3.3224326474203942</v>
      </c>
      <c r="N6" s="379">
        <f t="shared" si="0"/>
        <v>2.7628657879380056</v>
      </c>
      <c r="O6" s="379">
        <f t="shared" si="0"/>
        <v>1.756320999276396</v>
      </c>
      <c r="P6" s="379">
        <f>P93</f>
        <v>1.8627492485500192</v>
      </c>
      <c r="Q6" s="379">
        <f t="shared" si="0"/>
        <v>1.1577911158026928</v>
      </c>
      <c r="R6" s="379">
        <f t="shared" ref="R6:X7" si="1">R93</f>
        <v>2.3922655382935467</v>
      </c>
      <c r="S6" s="379">
        <f t="shared" si="1"/>
        <v>0.55951274391392103</v>
      </c>
      <c r="T6" s="379">
        <f t="shared" si="1"/>
        <v>0.98203077357450352</v>
      </c>
      <c r="U6" s="379">
        <f t="shared" si="1"/>
        <v>1.2825893311034651</v>
      </c>
      <c r="V6" s="379">
        <f t="shared" si="1"/>
        <v>1.4212111218437422</v>
      </c>
      <c r="W6" s="379">
        <f t="shared" si="1"/>
        <v>1.5772771343689689</v>
      </c>
      <c r="X6" s="379">
        <f t="shared" si="1"/>
        <v>1.7360315102809452</v>
      </c>
      <c r="Y6" s="2272"/>
      <c r="Z6" s="380"/>
      <c r="AA6" s="2272"/>
      <c r="AB6" s="382"/>
      <c r="AC6" s="382"/>
      <c r="AD6" s="382">
        <f t="shared" ref="AD6:BT6" si="2">AD93</f>
        <v>0.61413514591961671</v>
      </c>
      <c r="AE6" s="381">
        <f t="shared" si="2"/>
        <v>0.58096088512490629</v>
      </c>
      <c r="AF6" s="382">
        <f t="shared" si="2"/>
        <v>0.59964432028454329</v>
      </c>
      <c r="AG6" s="382">
        <f t="shared" si="2"/>
        <v>0.59773679984086914</v>
      </c>
      <c r="AH6" s="382">
        <f t="shared" si="2"/>
        <v>0.61506273126734501</v>
      </c>
      <c r="AI6" s="381">
        <f t="shared" si="2"/>
        <v>0.58315654411711104</v>
      </c>
      <c r="AJ6" s="382">
        <f t="shared" si="2"/>
        <v>0.62889652369869586</v>
      </c>
      <c r="AK6" s="382">
        <f t="shared" si="2"/>
        <v>0.72822184290296987</v>
      </c>
      <c r="AL6" s="382">
        <f t="shared" si="2"/>
        <v>0.60466314000456134</v>
      </c>
      <c r="AM6" s="381">
        <f t="shared" si="2"/>
        <v>0.73718052574181037</v>
      </c>
      <c r="AN6" s="382">
        <f t="shared" si="2"/>
        <v>0.80028659485713416</v>
      </c>
      <c r="AO6" s="382">
        <f t="shared" si="2"/>
        <v>0.72891287775576841</v>
      </c>
      <c r="AP6" s="382">
        <f t="shared" si="2"/>
        <v>0.83804739911674497</v>
      </c>
      <c r="AQ6" s="382">
        <f t="shared" si="2"/>
        <v>0.61787902650294091</v>
      </c>
      <c r="AR6" s="382">
        <f t="shared" si="2"/>
        <v>0.67077583733607171</v>
      </c>
      <c r="AS6" s="382">
        <f t="shared" si="2"/>
        <v>0.70234942574313564</v>
      </c>
      <c r="AT6" s="383">
        <f t="shared" si="2"/>
        <v>0.74958248827725904</v>
      </c>
      <c r="AU6" s="382">
        <f t="shared" si="2"/>
        <v>0.72722469576457049</v>
      </c>
      <c r="AV6" s="382">
        <f t="shared" si="2"/>
        <v>0.73580714916975454</v>
      </c>
      <c r="AW6" s="382">
        <f t="shared" si="2"/>
        <v>0.64620064482093797</v>
      </c>
      <c r="AX6" s="382">
        <f t="shared" si="2"/>
        <v>0.81768961957067898</v>
      </c>
      <c r="AY6" s="381">
        <f t="shared" si="2"/>
        <v>0.90153754345154336</v>
      </c>
      <c r="AZ6" s="382">
        <f t="shared" si="2"/>
        <v>0.73704518538427288</v>
      </c>
      <c r="BA6" s="382">
        <f t="shared" si="2"/>
        <v>0.72322267531414786</v>
      </c>
      <c r="BB6" s="383">
        <f t="shared" si="2"/>
        <v>0.73211958605311178</v>
      </c>
      <c r="BC6" s="382">
        <f t="shared" si="2"/>
        <v>0.82932492950738101</v>
      </c>
      <c r="BD6" s="382">
        <f t="shared" si="2"/>
        <v>0.74261081296510933</v>
      </c>
      <c r="BE6" s="382">
        <f t="shared" si="2"/>
        <v>0.74034702613502279</v>
      </c>
      <c r="BF6" s="382">
        <f t="shared" si="2"/>
        <v>0.75094900148539367</v>
      </c>
      <c r="BG6" s="382">
        <f t="shared" ca="1" si="2"/>
        <v>0.78781957335938801</v>
      </c>
      <c r="BH6" s="382">
        <f t="shared" si="2"/>
        <v>0.69646835218516945</v>
      </c>
      <c r="BI6" s="382">
        <f t="shared" si="2"/>
        <v>0.61145711690670823</v>
      </c>
      <c r="BJ6" s="382">
        <f t="shared" si="2"/>
        <v>0.55455853583612236</v>
      </c>
      <c r="BK6" s="382">
        <f t="shared" si="2"/>
        <v>0.68187313613282818</v>
      </c>
      <c r="BL6" s="382">
        <f t="shared" si="2"/>
        <v>0.64807771786587842</v>
      </c>
      <c r="BM6" s="382">
        <f t="shared" si="2"/>
        <v>0.66260653044460416</v>
      </c>
      <c r="BN6" s="382">
        <f t="shared" si="2"/>
        <v>0.66703652987072959</v>
      </c>
      <c r="BO6" s="674">
        <f t="shared" si="2"/>
        <v>0.76480419402518873</v>
      </c>
      <c r="BP6" s="382">
        <f t="shared" si="2"/>
        <v>0.68857104170725991</v>
      </c>
      <c r="BQ6" s="382">
        <f t="shared" si="2"/>
        <v>0.63068987381157005</v>
      </c>
      <c r="BR6" s="382">
        <f t="shared" si="2"/>
        <v>0.67532768741196014</v>
      </c>
      <c r="BS6" s="382">
        <f>BS93</f>
        <v>0.40142078629817046</v>
      </c>
      <c r="BT6" s="382">
        <f t="shared" si="2"/>
        <v>0.47624738151808682</v>
      </c>
      <c r="BU6" s="382">
        <f>BU93</f>
        <v>0.38341593561439308</v>
      </c>
      <c r="BV6" s="382">
        <f>BV93</f>
        <v>0.49556023878596561</v>
      </c>
      <c r="BW6" s="382">
        <f t="shared" ref="BW6:BY7" si="3">BW93</f>
        <v>0.42235650082962883</v>
      </c>
      <c r="BX6" s="382">
        <f t="shared" si="3"/>
        <v>0.28611279997138872</v>
      </c>
      <c r="BY6" s="377">
        <f t="shared" si="3"/>
        <v>0.54038864751529303</v>
      </c>
      <c r="BZ6" s="382">
        <f>BZ93</f>
        <v>0.61936283048813523</v>
      </c>
      <c r="CA6" s="379">
        <f t="shared" ref="CA6:CC7" si="4">CA93</f>
        <v>0.43688574512159678</v>
      </c>
      <c r="CB6" s="382">
        <f>CB93</f>
        <v>0.36269430051813473</v>
      </c>
      <c r="CC6" s="379">
        <f t="shared" si="4"/>
        <v>0.28100429455905435</v>
      </c>
      <c r="CD6" s="382">
        <f t="shared" ref="CD6:CG7" si="5">CD93</f>
        <v>7.7600303010706986E-2</v>
      </c>
      <c r="CE6" s="379">
        <f t="shared" si="5"/>
        <v>0.30100346800314665</v>
      </c>
      <c r="CF6" s="382">
        <f t="shared" si="5"/>
        <v>3.1356577779991186E-2</v>
      </c>
      <c r="CG6" s="382">
        <f t="shared" si="5"/>
        <v>0.16975328574090853</v>
      </c>
      <c r="CH6" s="382">
        <f t="shared" ref="CH6:CH7" si="6">CH93</f>
        <v>1.3856163574710252</v>
      </c>
      <c r="CI6" s="377">
        <f t="shared" ref="CI6:CL7" si="7">CI93</f>
        <v>8.2176771487424846E-2</v>
      </c>
      <c r="CJ6" s="377">
        <f t="shared" si="7"/>
        <v>0.12440592714524437</v>
      </c>
      <c r="CK6" s="377">
        <f t="shared" si="7"/>
        <v>0.15329892914341892</v>
      </c>
      <c r="CL6" s="379">
        <f t="shared" si="7"/>
        <v>0.19914188755557743</v>
      </c>
      <c r="CM6" s="367"/>
    </row>
    <row r="7" spans="1:91" hidden="1" outlineLevel="1">
      <c r="A7" s="386" t="s">
        <v>940</v>
      </c>
      <c r="B7" s="387"/>
      <c r="C7" s="387"/>
      <c r="D7" s="387"/>
      <c r="E7" s="388"/>
      <c r="F7" s="388">
        <f t="shared" ref="F7:Q7" si="8">F94</f>
        <v>4.2821028296385455E-2</v>
      </c>
      <c r="G7" s="388">
        <f t="shared" si="8"/>
        <v>-0.74577632019146578</v>
      </c>
      <c r="H7" s="388">
        <f t="shared" si="8"/>
        <v>0.29737013967555015</v>
      </c>
      <c r="I7" s="389">
        <f t="shared" si="8"/>
        <v>-2.316119335483902</v>
      </c>
      <c r="J7" s="388">
        <f t="shared" si="8"/>
        <v>5.6401065338355094E-2</v>
      </c>
      <c r="K7" s="388">
        <f t="shared" si="8"/>
        <v>-8.8840784576992293E-3</v>
      </c>
      <c r="L7" s="390">
        <f t="shared" ca="1" si="8"/>
        <v>-7.7936106394399629E-2</v>
      </c>
      <c r="M7" s="390">
        <f t="shared" ca="1" si="8"/>
        <v>0.17637808499568575</v>
      </c>
      <c r="N7" s="390">
        <f t="shared" si="8"/>
        <v>-0.16842082861088181</v>
      </c>
      <c r="O7" s="390">
        <f t="shared" si="8"/>
        <v>-0.36431186525814507</v>
      </c>
      <c r="P7" s="390">
        <f>P94</f>
        <v>6.0597265145421408E-2</v>
      </c>
      <c r="Q7" s="390">
        <f t="shared" si="8"/>
        <v>-0.37845036485510442</v>
      </c>
      <c r="R7" s="390">
        <f t="shared" si="1"/>
        <v>1.0662324193384372</v>
      </c>
      <c r="S7" s="390">
        <f t="shared" si="1"/>
        <v>-0.76611595370260055</v>
      </c>
      <c r="T7" s="390">
        <f t="shared" si="1"/>
        <v>0.75515354074863628</v>
      </c>
      <c r="U7" s="390">
        <f t="shared" si="1"/>
        <v>0.30605818637938964</v>
      </c>
      <c r="V7" s="390">
        <f t="shared" si="1"/>
        <v>0.10807963810287968</v>
      </c>
      <c r="W7" s="390">
        <f t="shared" si="1"/>
        <v>0.10981198368526823</v>
      </c>
      <c r="X7" s="390">
        <f t="shared" si="1"/>
        <v>0.10065090810784505</v>
      </c>
      <c r="Y7" s="2274"/>
      <c r="Z7" s="391"/>
      <c r="AA7" s="2274"/>
      <c r="AB7" s="392"/>
      <c r="AC7" s="392"/>
      <c r="AD7" s="392"/>
      <c r="AE7" s="393"/>
      <c r="AF7" s="394"/>
      <c r="AG7" s="394"/>
      <c r="AH7" s="394">
        <f t="shared" ref="AH7:BB7" si="9">AH94</f>
        <v>1.5103928734436778E-3</v>
      </c>
      <c r="AI7" s="393">
        <f t="shared" si="9"/>
        <v>3.7793576958846664E-3</v>
      </c>
      <c r="AJ7" s="394">
        <f t="shared" si="9"/>
        <v>4.8782590653525748E-2</v>
      </c>
      <c r="AK7" s="394">
        <f t="shared" si="9"/>
        <v>0.21829849374647625</v>
      </c>
      <c r="AL7" s="394">
        <f t="shared" si="9"/>
        <v>-1.6908179823146074E-2</v>
      </c>
      <c r="AM7" s="393">
        <f t="shared" si="9"/>
        <v>0.26412115782373502</v>
      </c>
      <c r="AN7" s="394">
        <f t="shared" si="9"/>
        <v>0.27252507320353891</v>
      </c>
      <c r="AO7" s="394">
        <f t="shared" si="9"/>
        <v>9.4893453077959933E-4</v>
      </c>
      <c r="AP7" s="394">
        <f t="shared" si="9"/>
        <v>0.38597401374660123</v>
      </c>
      <c r="AQ7" s="394">
        <f t="shared" si="9"/>
        <v>-0.16183484923020541</v>
      </c>
      <c r="AR7" s="394">
        <f t="shared" si="9"/>
        <v>-0.1618304721750119</v>
      </c>
      <c r="AS7" s="394">
        <f t="shared" si="9"/>
        <v>-3.64425610018283E-2</v>
      </c>
      <c r="AT7" s="390">
        <f t="shared" si="9"/>
        <v>-0.10556074863154874</v>
      </c>
      <c r="AU7" s="394">
        <f t="shared" si="9"/>
        <v>0.17696938166116749</v>
      </c>
      <c r="AV7" s="394">
        <f t="shared" si="9"/>
        <v>9.6949395332946109E-2</v>
      </c>
      <c r="AW7" s="394">
        <f t="shared" si="9"/>
        <v>-7.9944225572318617E-2</v>
      </c>
      <c r="AX7" s="388">
        <f t="shared" si="9"/>
        <v>9.0860088594049593E-2</v>
      </c>
      <c r="AY7" s="393">
        <f t="shared" si="9"/>
        <v>0.23969599588983748</v>
      </c>
      <c r="AZ7" s="394">
        <f t="shared" si="9"/>
        <v>1.6825552944346178E-3</v>
      </c>
      <c r="BA7" s="394">
        <f t="shared" si="9"/>
        <v>0.11919212880784524</v>
      </c>
      <c r="BB7" s="390">
        <f t="shared" si="9"/>
        <v>-0.10464855058633982</v>
      </c>
      <c r="BC7" s="1887" t="s">
        <v>1145</v>
      </c>
      <c r="BD7" s="1887" t="s">
        <v>1145</v>
      </c>
      <c r="BE7" s="1887" t="s">
        <v>1145</v>
      </c>
      <c r="BF7" s="1887" t="s">
        <v>1145</v>
      </c>
      <c r="BG7" s="394">
        <f t="shared" ref="BG7:BT7" ca="1" si="10">BG94</f>
        <v>-5.0047158443249917E-2</v>
      </c>
      <c r="BH7" s="394">
        <f t="shared" si="10"/>
        <v>-6.2135455038287768E-2</v>
      </c>
      <c r="BI7" s="394">
        <f t="shared" si="10"/>
        <v>-0.1740939109341515</v>
      </c>
      <c r="BJ7" s="394">
        <f t="shared" si="10"/>
        <v>-0.26152303986130432</v>
      </c>
      <c r="BK7" s="394">
        <f t="shared" ca="1" si="10"/>
        <v>-0.13448058516087302</v>
      </c>
      <c r="BL7" s="394">
        <f t="shared" si="10"/>
        <v>-6.948001896635414E-2</v>
      </c>
      <c r="BM7" s="394">
        <f t="shared" si="10"/>
        <v>8.3651677482559972E-2</v>
      </c>
      <c r="BN7" s="394">
        <f t="shared" si="10"/>
        <v>0.20282438510304646</v>
      </c>
      <c r="BO7" s="388">
        <f t="shared" si="10"/>
        <v>0.12162241551660968</v>
      </c>
      <c r="BP7" s="394">
        <f t="shared" si="10"/>
        <v>6.2482203484369281E-2</v>
      </c>
      <c r="BQ7" s="394">
        <f t="shared" si="10"/>
        <v>-4.8168339982430086E-2</v>
      </c>
      <c r="BR7" s="394">
        <f t="shared" si="10"/>
        <v>1.2429840301006356E-2</v>
      </c>
      <c r="BS7" s="394">
        <f>BS94</f>
        <v>-0.47513260330663187</v>
      </c>
      <c r="BT7" s="394">
        <f t="shared" si="10"/>
        <v>-0.30835403658964888</v>
      </c>
      <c r="BU7" s="394">
        <f>BU94</f>
        <v>-0.392068984242253</v>
      </c>
      <c r="BV7" s="394">
        <f>BV94</f>
        <v>-0.26619291934395939</v>
      </c>
      <c r="BW7" s="394">
        <f t="shared" si="3"/>
        <v>5.2154036975822216E-2</v>
      </c>
      <c r="BX7" s="394">
        <f t="shared" si="3"/>
        <v>-0.39923491220177387</v>
      </c>
      <c r="BY7" s="388">
        <f t="shared" si="3"/>
        <v>0.40940581055757064</v>
      </c>
      <c r="BZ7" s="394">
        <f>BZ94</f>
        <v>0.24982349674676074</v>
      </c>
      <c r="CA7" s="390">
        <f t="shared" si="4"/>
        <v>3.4400427751031026E-2</v>
      </c>
      <c r="CB7" s="394">
        <f>CB94</f>
        <v>0.26766191709844556</v>
      </c>
      <c r="CC7" s="390">
        <f t="shared" si="4"/>
        <v>-0.4799959328325788</v>
      </c>
      <c r="CD7" s="394">
        <f t="shared" si="5"/>
        <v>-0.87470946077027545</v>
      </c>
      <c r="CE7" s="390">
        <f t="shared" si="5"/>
        <v>-0.31102474419400095</v>
      </c>
      <c r="CF7" s="394">
        <f t="shared" si="5"/>
        <v>-0.91354543554945289</v>
      </c>
      <c r="CG7" s="394">
        <f t="shared" si="5"/>
        <v>-0.39590501274266432</v>
      </c>
      <c r="CH7" s="394">
        <f t="shared" si="6"/>
        <v>16.855811172281676</v>
      </c>
      <c r="CI7" s="388">
        <f t="shared" si="7"/>
        <v>-0.72699061564777123</v>
      </c>
      <c r="CJ7" s="388">
        <f t="shared" si="7"/>
        <v>2.9674586945718455</v>
      </c>
      <c r="CK7" s="388">
        <f t="shared" si="7"/>
        <v>-9.6931005050492014E-2</v>
      </c>
      <c r="CL7" s="390">
        <f t="shared" si="7"/>
        <v>-0.85627920276645431</v>
      </c>
      <c r="CM7" s="367"/>
    </row>
    <row r="8" spans="1:91" ht="25.5" collapsed="1">
      <c r="A8" s="2817" t="s">
        <v>1025</v>
      </c>
      <c r="B8" s="2818"/>
      <c r="C8" s="2818"/>
      <c r="D8" s="2818"/>
      <c r="E8" s="2819">
        <v>2004</v>
      </c>
      <c r="F8" s="2819">
        <v>2005</v>
      </c>
      <c r="G8" s="2819">
        <v>2006</v>
      </c>
      <c r="H8" s="2819">
        <v>2007</v>
      </c>
      <c r="I8" s="2819">
        <v>2008</v>
      </c>
      <c r="J8" s="2819">
        <v>2009</v>
      </c>
      <c r="K8" s="2820" t="s">
        <v>583</v>
      </c>
      <c r="L8" s="2820" t="s">
        <v>458</v>
      </c>
      <c r="M8" s="2820" t="s">
        <v>144</v>
      </c>
      <c r="N8" s="2820" t="s">
        <v>419</v>
      </c>
      <c r="O8" s="2820" t="s">
        <v>1239</v>
      </c>
      <c r="P8" s="2820" t="s">
        <v>1186</v>
      </c>
      <c r="Q8" s="2820" t="s">
        <v>1709</v>
      </c>
      <c r="R8" s="2820" t="s">
        <v>2064</v>
      </c>
      <c r="S8" s="2820" t="s">
        <v>527</v>
      </c>
      <c r="T8" s="2820" t="s">
        <v>1233</v>
      </c>
      <c r="U8" s="2820" t="s">
        <v>1296</v>
      </c>
      <c r="V8" s="2820" t="s">
        <v>1302</v>
      </c>
      <c r="W8" s="2820" t="s">
        <v>1882</v>
      </c>
      <c r="X8" s="2820" t="s">
        <v>1883</v>
      </c>
      <c r="Y8" s="2278"/>
      <c r="Z8" s="2821" t="s">
        <v>2030</v>
      </c>
      <c r="AA8" s="2287"/>
      <c r="AB8" s="2823"/>
      <c r="AC8" s="2823"/>
      <c r="AD8" s="2823" t="s">
        <v>767</v>
      </c>
      <c r="AE8" s="2823" t="s">
        <v>768</v>
      </c>
      <c r="AF8" s="2823" t="s">
        <v>769</v>
      </c>
      <c r="AG8" s="2823" t="s">
        <v>770</v>
      </c>
      <c r="AH8" s="2823" t="s">
        <v>771</v>
      </c>
      <c r="AI8" s="2823" t="s">
        <v>800</v>
      </c>
      <c r="AJ8" s="2823" t="s">
        <v>801</v>
      </c>
      <c r="AK8" s="2823" t="s">
        <v>802</v>
      </c>
      <c r="AL8" s="2823" t="s">
        <v>803</v>
      </c>
      <c r="AM8" s="2823" t="s">
        <v>804</v>
      </c>
      <c r="AN8" s="2823" t="s">
        <v>805</v>
      </c>
      <c r="AO8" s="2823" t="s">
        <v>806</v>
      </c>
      <c r="AP8" s="2823" t="s">
        <v>807</v>
      </c>
      <c r="AQ8" s="2823" t="s">
        <v>808</v>
      </c>
      <c r="AR8" s="2823" t="s">
        <v>809</v>
      </c>
      <c r="AS8" s="2823" t="s">
        <v>810</v>
      </c>
      <c r="AT8" s="2823" t="s">
        <v>811</v>
      </c>
      <c r="AU8" s="2823" t="s">
        <v>812</v>
      </c>
      <c r="AV8" s="2823" t="s">
        <v>813</v>
      </c>
      <c r="AW8" s="2823" t="s">
        <v>814</v>
      </c>
      <c r="AX8" s="2823" t="s">
        <v>430</v>
      </c>
      <c r="AY8" s="2822" t="s">
        <v>431</v>
      </c>
      <c r="AZ8" s="2823" t="s">
        <v>486</v>
      </c>
      <c r="BA8" s="2823" t="s">
        <v>493</v>
      </c>
      <c r="BB8" s="2824" t="s">
        <v>513</v>
      </c>
      <c r="BC8" s="2823" t="s">
        <v>559</v>
      </c>
      <c r="BD8" s="2823" t="s">
        <v>730</v>
      </c>
      <c r="BE8" s="2823" t="s">
        <v>367</v>
      </c>
      <c r="BF8" s="2823" t="s">
        <v>582</v>
      </c>
      <c r="BG8" s="2822" t="s">
        <v>257</v>
      </c>
      <c r="BH8" s="2823" t="s">
        <v>950</v>
      </c>
      <c r="BI8" s="2823" t="s">
        <v>455</v>
      </c>
      <c r="BJ8" s="2824" t="s">
        <v>70</v>
      </c>
      <c r="BK8" s="2823" t="s">
        <v>456</v>
      </c>
      <c r="BL8" s="2823" t="s">
        <v>414</v>
      </c>
      <c r="BM8" s="2823" t="s">
        <v>733</v>
      </c>
      <c r="BN8" s="2823" t="s">
        <v>141</v>
      </c>
      <c r="BO8" s="2823" t="s">
        <v>276</v>
      </c>
      <c r="BP8" s="2823" t="s">
        <v>557</v>
      </c>
      <c r="BQ8" s="2823" t="s">
        <v>964</v>
      </c>
      <c r="BR8" s="2823" t="s">
        <v>418</v>
      </c>
      <c r="BS8" s="2822" t="s">
        <v>539</v>
      </c>
      <c r="BT8" s="2823" t="s">
        <v>1215</v>
      </c>
      <c r="BU8" s="2823" t="s">
        <v>1222</v>
      </c>
      <c r="BV8" s="2824" t="s">
        <v>1238</v>
      </c>
      <c r="BW8" s="2822" t="s">
        <v>1257</v>
      </c>
      <c r="BX8" s="2823" t="s">
        <v>1259</v>
      </c>
      <c r="BY8" s="2823" t="s">
        <v>1292</v>
      </c>
      <c r="BZ8" s="2824" t="s">
        <v>1450</v>
      </c>
      <c r="CA8" s="2825" t="s">
        <v>1465</v>
      </c>
      <c r="CB8" s="2823" t="s">
        <v>1568</v>
      </c>
      <c r="CC8" s="2825" t="s">
        <v>1580</v>
      </c>
      <c r="CD8" s="2824" t="s">
        <v>1652</v>
      </c>
      <c r="CE8" s="2825" t="s">
        <v>1687</v>
      </c>
      <c r="CF8" s="2823" t="s">
        <v>1693</v>
      </c>
      <c r="CG8" s="2823" t="s">
        <v>1978</v>
      </c>
      <c r="CH8" s="2823" t="s">
        <v>2034</v>
      </c>
      <c r="CI8" s="2839" t="s">
        <v>2006</v>
      </c>
      <c r="CJ8" s="2825" t="s">
        <v>2007</v>
      </c>
      <c r="CK8" s="2825" t="s">
        <v>2008</v>
      </c>
      <c r="CL8" s="2826" t="s">
        <v>2009</v>
      </c>
      <c r="CM8" s="367"/>
    </row>
    <row r="9" spans="1:91" hidden="1">
      <c r="A9" s="2017" t="s">
        <v>484</v>
      </c>
      <c r="B9" s="1868"/>
      <c r="C9" s="1868"/>
      <c r="D9" s="1868"/>
      <c r="E9" s="1868"/>
      <c r="F9" s="1868"/>
      <c r="G9" s="1868"/>
      <c r="H9" s="1868"/>
      <c r="I9" s="1868"/>
      <c r="J9" s="1868"/>
      <c r="K9" s="1868"/>
      <c r="L9" s="1868"/>
      <c r="M9" s="1868"/>
      <c r="N9" s="1868"/>
      <c r="O9" s="1868"/>
      <c r="P9" s="1868"/>
      <c r="Q9" s="1868"/>
      <c r="R9" s="1868"/>
      <c r="S9" s="1868"/>
      <c r="T9" s="1868"/>
      <c r="U9" s="1868"/>
      <c r="V9" s="1868"/>
      <c r="W9" s="1868"/>
      <c r="X9" s="1868"/>
      <c r="Y9" s="2279"/>
      <c r="Z9" s="2280"/>
      <c r="AA9" s="2288"/>
      <c r="AB9" s="2020"/>
      <c r="AC9" s="2020"/>
      <c r="AD9" s="2021"/>
      <c r="AE9" s="2019"/>
      <c r="AF9" s="2020"/>
      <c r="AG9" s="2020"/>
      <c r="AH9" s="2021"/>
      <c r="AI9" s="2019"/>
      <c r="AJ9" s="2020"/>
      <c r="AK9" s="2020"/>
      <c r="AL9" s="2021"/>
      <c r="AM9" s="2019"/>
      <c r="AN9" s="2020"/>
      <c r="AO9" s="2020"/>
      <c r="AP9" s="2021"/>
      <c r="AQ9" s="2019"/>
      <c r="AR9" s="2020"/>
      <c r="AS9" s="2020"/>
      <c r="AT9" s="2021"/>
      <c r="AU9" s="2019"/>
      <c r="AV9" s="2020"/>
      <c r="AW9" s="2020"/>
      <c r="AX9" s="2021"/>
      <c r="AY9" s="2022"/>
      <c r="AZ9" s="2023"/>
      <c r="BA9" s="2023"/>
      <c r="BB9" s="2024"/>
      <c r="BC9" s="2022"/>
      <c r="BD9" s="2023"/>
      <c r="BE9" s="2023"/>
      <c r="BF9" s="2023"/>
      <c r="BG9" s="2022"/>
      <c r="BH9" s="2023"/>
      <c r="BI9" s="2023"/>
      <c r="BJ9" s="2024"/>
      <c r="BK9" s="2023"/>
      <c r="BL9" s="2023"/>
      <c r="BM9" s="2023"/>
      <c r="BN9" s="2023"/>
      <c r="BO9" s="2022"/>
      <c r="BP9" s="2023"/>
      <c r="BQ9" s="2023"/>
      <c r="BR9" s="2023"/>
      <c r="BS9" s="2022"/>
      <c r="BT9" s="2023"/>
      <c r="BU9" s="2023"/>
      <c r="BV9" s="2024"/>
      <c r="BW9" s="2022"/>
      <c r="BX9" s="2023"/>
      <c r="BY9" s="2023"/>
      <c r="BZ9" s="2024"/>
      <c r="CA9" s="2023"/>
      <c r="CB9" s="2023"/>
      <c r="CC9" s="2023"/>
      <c r="CD9" s="2024"/>
      <c r="CE9" s="2023"/>
      <c r="CF9" s="2023"/>
      <c r="CG9" s="2023"/>
      <c r="CH9" s="2023"/>
      <c r="CI9" s="2022"/>
      <c r="CJ9" s="2023"/>
      <c r="CK9" s="2023"/>
      <c r="CL9" s="2024"/>
      <c r="CM9" s="764"/>
    </row>
    <row r="10" spans="1:91" hidden="1">
      <c r="A10" s="2025" t="s">
        <v>992</v>
      </c>
      <c r="B10" s="1868"/>
      <c r="C10" s="1868"/>
      <c r="D10" s="1868"/>
      <c r="E10" s="1868"/>
      <c r="F10" s="1881"/>
      <c r="G10" s="2026"/>
      <c r="H10" s="2027"/>
      <c r="I10" s="2027"/>
      <c r="J10" s="2027"/>
      <c r="K10" s="2027"/>
      <c r="L10" s="2027"/>
      <c r="M10" s="2027"/>
      <c r="N10" s="2027"/>
      <c r="O10" s="2027"/>
      <c r="P10" s="2027"/>
      <c r="Q10" s="2027"/>
      <c r="R10" s="2027"/>
      <c r="S10" s="2027"/>
      <c r="T10" s="2027"/>
      <c r="U10" s="2027"/>
      <c r="V10" s="2027"/>
      <c r="W10" s="2027"/>
      <c r="X10" s="2027"/>
      <c r="Y10" s="2279"/>
      <c r="Z10" s="2280"/>
      <c r="AA10" s="2288"/>
      <c r="AB10" s="1868"/>
      <c r="AC10" s="1868"/>
      <c r="AD10" s="2018"/>
      <c r="AE10" s="2028"/>
      <c r="AF10" s="1868"/>
      <c r="AG10" s="1868"/>
      <c r="AH10" s="2018"/>
      <c r="AI10" s="2028"/>
      <c r="AJ10" s="2027"/>
      <c r="AK10" s="1869"/>
      <c r="AL10" s="2018"/>
      <c r="AM10" s="2028"/>
      <c r="AN10" s="2027"/>
      <c r="AO10" s="1869"/>
      <c r="AP10" s="2018"/>
      <c r="AQ10" s="2028"/>
      <c r="AR10" s="1868"/>
      <c r="AS10" s="1875"/>
      <c r="AT10" s="2018"/>
      <c r="AU10" s="2028"/>
      <c r="AV10" s="2029"/>
      <c r="AW10" s="1868"/>
      <c r="AX10" s="2018"/>
      <c r="AY10" s="2030"/>
      <c r="AZ10" s="764"/>
      <c r="BA10" s="764"/>
      <c r="BB10" s="766"/>
      <c r="BC10" s="2030"/>
      <c r="BD10" s="764"/>
      <c r="BE10" s="764"/>
      <c r="BF10" s="764"/>
      <c r="BG10" s="2030"/>
      <c r="BH10" s="764"/>
      <c r="BI10" s="764"/>
      <c r="BJ10" s="766"/>
      <c r="BK10" s="764"/>
      <c r="BL10" s="764"/>
      <c r="BM10" s="764"/>
      <c r="BN10" s="764"/>
      <c r="BO10" s="2030"/>
      <c r="BP10" s="764"/>
      <c r="BQ10" s="764"/>
      <c r="BR10" s="764"/>
      <c r="BS10" s="2030"/>
      <c r="BT10" s="764"/>
      <c r="BU10" s="764"/>
      <c r="BV10" s="766"/>
      <c r="BW10" s="2030"/>
      <c r="BX10" s="764"/>
      <c r="BY10" s="764"/>
      <c r="BZ10" s="766"/>
      <c r="CA10" s="764"/>
      <c r="CB10" s="764"/>
      <c r="CC10" s="764"/>
      <c r="CD10" s="766"/>
      <c r="CE10" s="764"/>
      <c r="CF10" s="764"/>
      <c r="CG10" s="764"/>
      <c r="CH10" s="764"/>
      <c r="CI10" s="2030"/>
      <c r="CJ10" s="764"/>
      <c r="CK10" s="764"/>
      <c r="CL10" s="766"/>
      <c r="CM10" s="764"/>
    </row>
    <row r="11" spans="1:91" hidden="1">
      <c r="A11" s="1868" t="s">
        <v>857</v>
      </c>
      <c r="B11" s="1869"/>
      <c r="C11" s="1869"/>
      <c r="D11" s="1869"/>
      <c r="E11" s="1870">
        <f>Subscribers!F26/1000</f>
        <v>903.02499999999998</v>
      </c>
      <c r="F11" s="1870">
        <f>Subscribers!G26/1000</f>
        <v>892.27200000000005</v>
      </c>
      <c r="G11" s="1870">
        <f>Subscribers!H26/1000</f>
        <v>5360.8</v>
      </c>
      <c r="H11" s="1870">
        <f>Subscribers!I26/1000</f>
        <v>5125.1390000000001</v>
      </c>
      <c r="I11" s="1870">
        <f>Subscribers!J26/1000</f>
        <v>12892.241</v>
      </c>
      <c r="J11" s="1870"/>
      <c r="K11" s="1870">
        <f>Subscribers!L26/1000</f>
        <v>9391.9210000000003</v>
      </c>
      <c r="L11" s="1869">
        <f>+SUM(BG11:BJ11)</f>
        <v>8557.6226893052444</v>
      </c>
      <c r="M11" s="1869">
        <f>+SUM(BK11:BN11)</f>
        <v>8029.4884745133077</v>
      </c>
      <c r="N11" s="1870">
        <f>+SUM(BO11:BR11)</f>
        <v>7563.9814633474343</v>
      </c>
      <c r="O11" s="1870">
        <f>+SUM(BS11:BV11)</f>
        <v>7189.3998747053129</v>
      </c>
      <c r="P11" s="1870">
        <f>+SUM(BT11:BW11)</f>
        <v>7101.0398227874166</v>
      </c>
      <c r="Q11" s="1870">
        <f>Subscribers!R26/1000</f>
        <v>6854.098956307178</v>
      </c>
      <c r="R11" s="1870">
        <f>Subscribers!S26/1000</f>
        <v>6446.196335435151</v>
      </c>
      <c r="S11" s="1870">
        <f>Subscribers!T26/1000</f>
        <v>6073.1471862169738</v>
      </c>
      <c r="T11" s="1870">
        <f>Subscribers!U26/1000</f>
        <v>5719.5191211520323</v>
      </c>
      <c r="U11" s="1870">
        <f>Subscribers!V26/1000</f>
        <v>5303.1975527074492</v>
      </c>
      <c r="V11" s="1870">
        <f>Subscribers!W26/1000</f>
        <v>4890.5673518759295</v>
      </c>
      <c r="W11" s="1870">
        <f>Subscribers!X26/1000</f>
        <v>4497.2434726013071</v>
      </c>
      <c r="X11" s="1870">
        <f>Subscribers!Y26/1000</f>
        <v>4135.5526663173459</v>
      </c>
      <c r="Y11" s="2279"/>
      <c r="Z11" s="2280"/>
      <c r="AA11" s="2288"/>
      <c r="AB11" s="1869"/>
      <c r="AC11" s="1869"/>
      <c r="AD11" s="1873">
        <f>Subscribers!AL26/1000</f>
        <v>220.97200000000001</v>
      </c>
      <c r="AE11" s="1869">
        <f>Subscribers!AM26/1000</f>
        <v>222.64699999999999</v>
      </c>
      <c r="AF11" s="1869">
        <f>Subscribers!AN26/1000</f>
        <v>225.869</v>
      </c>
      <c r="AG11" s="1869">
        <f>Subscribers!AO26/1000</f>
        <v>229.536</v>
      </c>
      <c r="AH11" s="1873">
        <f>Subscribers!AP26/1000</f>
        <v>224.97300000000001</v>
      </c>
      <c r="AI11" s="1869">
        <f>Subscribers!AQ26/1000</f>
        <v>224.5</v>
      </c>
      <c r="AJ11" s="1869">
        <f>Subscribers!AR26/1000</f>
        <v>221.708</v>
      </c>
      <c r="AK11" s="1869">
        <f>Subscribers!AS26/1000</f>
        <v>225.857</v>
      </c>
      <c r="AL11" s="1873">
        <f>Subscribers!AT26/1000</f>
        <v>220.20699999999999</v>
      </c>
      <c r="AM11" s="1869">
        <f>Subscribers!AU26/1000</f>
        <v>1372.4490000000001</v>
      </c>
      <c r="AN11" s="1869">
        <f>Subscribers!AV26/1000</f>
        <v>1339.7860000000001</v>
      </c>
      <c r="AO11" s="1869">
        <f>Subscribers!AW26/1000</f>
        <v>1317.18</v>
      </c>
      <c r="AP11" s="1873">
        <f>Subscribers!AX26/1000</f>
        <v>1331.385</v>
      </c>
      <c r="AQ11" s="1869">
        <f>Subscribers!AY26/1000</f>
        <v>1293.075</v>
      </c>
      <c r="AR11" s="1869">
        <f>Subscribers!AZ26/1000</f>
        <v>1293.6769999999999</v>
      </c>
      <c r="AS11" s="1869">
        <f>Subscribers!BA26/1000</f>
        <v>1280.8620000000001</v>
      </c>
      <c r="AT11" s="1873">
        <f>Subscribers!BB26/1000</f>
        <v>1257.5250000000001</v>
      </c>
      <c r="AU11" s="1869">
        <f>Subscribers!BC26/1000</f>
        <v>3359.48</v>
      </c>
      <c r="AV11" s="1869">
        <f>Subscribers!BD26/1000</f>
        <v>3262.1010000000001</v>
      </c>
      <c r="AW11" s="1869">
        <f>Subscribers!BE26/1000</f>
        <v>3186.2530000000002</v>
      </c>
      <c r="AX11" s="1873">
        <f>Subscribers!BF26/1000</f>
        <v>3084.4070000000002</v>
      </c>
      <c r="AY11" s="1872">
        <f>Subscribers!BG26/1000</f>
        <v>2995.018</v>
      </c>
      <c r="AZ11" s="1869">
        <f>Subscribers!BH26/1000</f>
        <v>2898.6709999999998</v>
      </c>
      <c r="BA11" s="1869">
        <f>Subscribers!BI26/1000</f>
        <v>2585.357</v>
      </c>
      <c r="BB11" s="1873">
        <f>Subscribers!BJ26/1000</f>
        <v>2509.7379999999998</v>
      </c>
      <c r="BC11" s="1872">
        <f>Subscribers!BK26/1000</f>
        <v>2443.8760000000002</v>
      </c>
      <c r="BD11" s="1869">
        <f>Subscribers!BL26/1000</f>
        <v>2360.58</v>
      </c>
      <c r="BE11" s="1869">
        <f>Subscribers!BM26/1000</f>
        <v>2330.3670000000002</v>
      </c>
      <c r="BF11" s="1869">
        <f>Subscribers!BN26/1000</f>
        <v>2257.098</v>
      </c>
      <c r="BG11" s="1872">
        <f>Subscribers!BO26/1000</f>
        <v>2205.203</v>
      </c>
      <c r="BH11" s="1869">
        <f>Subscribers!BP26/1000</f>
        <v>2136.7098616250901</v>
      </c>
      <c r="BI11" s="1869">
        <f>Subscribers!BQ26/1000</f>
        <v>2115.3893868714449</v>
      </c>
      <c r="BJ11" s="1873">
        <f>Subscribers!BR26/1000</f>
        <v>2100.3204408087104</v>
      </c>
      <c r="BK11" s="1869">
        <f>Subscribers!BS26/1000</f>
        <v>2060.5178296964482</v>
      </c>
      <c r="BL11" s="1869">
        <f>Subscribers!BT26/1000</f>
        <v>2002.4870509013997</v>
      </c>
      <c r="BM11" s="1869">
        <f>Subscribers!BU26/1000</f>
        <v>1988.6432034601146</v>
      </c>
      <c r="BN11" s="1869">
        <f>Subscribers!BV26/1000</f>
        <v>1977.8403904553454</v>
      </c>
      <c r="BO11" s="1872">
        <f>Subscribers!BW26/1000</f>
        <v>1940.8494528844797</v>
      </c>
      <c r="BP11" s="1869">
        <f>Subscribers!BX26/1000</f>
        <v>1885.4980685219264</v>
      </c>
      <c r="BQ11" s="1869">
        <f>Subscribers!BY26/1000</f>
        <v>1872.2587782539047</v>
      </c>
      <c r="BR11" s="1869">
        <f>Subscribers!BZ26/1000</f>
        <v>1865.3751636871236</v>
      </c>
      <c r="BS11" s="1872">
        <f>Subscribers!CA26/1000</f>
        <v>1837.5333293505935</v>
      </c>
      <c r="BT11" s="1869">
        <f>Subscribers!CB26/1000</f>
        <v>1792.3457558133337</v>
      </c>
      <c r="BU11" s="1869">
        <f>Subscribers!CC26/1000</f>
        <v>1783.0156450905679</v>
      </c>
      <c r="BV11" s="1873">
        <f>Subscribers!CD26/1000</f>
        <v>1776.5051444508179</v>
      </c>
      <c r="BW11" s="1872">
        <f>Subscribers!CE26/1000</f>
        <v>1749.1732774326972</v>
      </c>
      <c r="BX11" s="1869">
        <f>Subscribers!CF26/1000</f>
        <v>1705.8854032510958</v>
      </c>
      <c r="BY11" s="1869">
        <f>Subscribers!CG26/1000</f>
        <v>1695.1486567025097</v>
      </c>
      <c r="BZ11" s="1873">
        <f>Subscribers!CH26/1000</f>
        <v>1684.4652758375746</v>
      </c>
      <c r="CA11" s="1869">
        <f>Subscribers!CI26/1000</f>
        <v>1654.965928031253</v>
      </c>
      <c r="CB11" s="1869">
        <f>Subscribers!CJ26/1000</f>
        <v>1609.4601591094295</v>
      </c>
      <c r="CC11" s="1869">
        <f>Subscribers!CK26/1000</f>
        <v>1596.1772076335851</v>
      </c>
      <c r="CD11" s="1873">
        <f>Subscribers!CL26/1000</f>
        <v>1587.3452424691936</v>
      </c>
      <c r="CE11" s="1869">
        <f>Subscribers!CM26/1000</f>
        <v>1559.6004559246753</v>
      </c>
      <c r="CF11" s="1869">
        <f>Subscribers!CN26/1000</f>
        <v>1513.8545627104343</v>
      </c>
      <c r="CG11" s="1869">
        <f>Subscribers!CO26/1000</f>
        <v>1495.6415167468992</v>
      </c>
      <c r="CH11" s="1869">
        <f>Subscribers!CP26/1000</f>
        <v>1476.848490997229</v>
      </c>
      <c r="CI11" s="1872">
        <f>Subscribers!CQ26/1000</f>
        <v>1441.3592571163781</v>
      </c>
      <c r="CJ11" s="1869">
        <f>Subscribers!CR26/1000</f>
        <v>1399.6190722681793</v>
      </c>
      <c r="CK11" s="1869">
        <f>Subscribers!CS26/1000</f>
        <v>1393.2083332108848</v>
      </c>
      <c r="CL11" s="1873">
        <f>Subscribers!CT26/1000</f>
        <v>1390.8971482713307</v>
      </c>
      <c r="CM11" s="764"/>
    </row>
    <row r="12" spans="1:91" hidden="1">
      <c r="A12" s="1874" t="s">
        <v>993</v>
      </c>
      <c r="B12" s="1869"/>
      <c r="C12" s="1869"/>
      <c r="D12" s="1869"/>
      <c r="E12" s="1875"/>
      <c r="F12" s="1875">
        <f>+F11/E11-1</f>
        <v>-1.1907754491846778E-2</v>
      </c>
      <c r="G12" s="1875">
        <f>+G11/F11-1</f>
        <v>5.0080334247852676</v>
      </c>
      <c r="H12" s="1875">
        <f>+H11/G11-1</f>
        <v>-4.3960043277122773E-2</v>
      </c>
      <c r="I12" s="1875">
        <f>+I11/H11-1</f>
        <v>1.5154909944881494</v>
      </c>
      <c r="J12" s="1875"/>
      <c r="K12" s="1875"/>
      <c r="L12" s="1875">
        <f t="shared" ref="L12:Q12" si="11">+L11/K11-1</f>
        <v>-8.8831487263868136E-2</v>
      </c>
      <c r="M12" s="1875">
        <f t="shared" si="11"/>
        <v>-6.1715061994023657E-2</v>
      </c>
      <c r="N12" s="1875">
        <f t="shared" si="11"/>
        <v>-5.7974678292827209E-2</v>
      </c>
      <c r="O12" s="1875">
        <f t="shared" si="11"/>
        <v>-4.9521748626331297E-2</v>
      </c>
      <c r="P12" s="1875">
        <f t="shared" si="11"/>
        <v>-1.2290323734638342E-2</v>
      </c>
      <c r="Q12" s="1875">
        <f t="shared" si="11"/>
        <v>-3.4775310749250998E-2</v>
      </c>
      <c r="R12" s="1875">
        <f t="shared" ref="R12:X12" si="12">+R11/Q11-1</f>
        <v>-5.9512216481303226E-2</v>
      </c>
      <c r="S12" s="1875">
        <f t="shared" si="12"/>
        <v>-5.7871204941044474E-2</v>
      </c>
      <c r="T12" s="1875">
        <f t="shared" si="12"/>
        <v>-5.822814007661492E-2</v>
      </c>
      <c r="U12" s="1875">
        <f t="shared" si="12"/>
        <v>-7.2789610389610404E-2</v>
      </c>
      <c r="V12" s="1875">
        <f t="shared" si="12"/>
        <v>-7.7807812499999907E-2</v>
      </c>
      <c r="W12" s="1875">
        <f t="shared" si="12"/>
        <v>-8.0425000000000191E-2</v>
      </c>
      <c r="X12" s="1875">
        <f t="shared" si="12"/>
        <v>-8.0425000000000191E-2</v>
      </c>
      <c r="Y12" s="2279"/>
      <c r="Z12" s="2280"/>
      <c r="AA12" s="2288"/>
      <c r="AB12" s="1875"/>
      <c r="AC12" s="1875"/>
      <c r="AD12" s="1876"/>
      <c r="AE12" s="1877"/>
      <c r="AF12" s="1875"/>
      <c r="AG12" s="1875"/>
      <c r="AH12" s="1876">
        <f t="shared" ref="AH12:BU12" si="13">AH11/AD11-1</f>
        <v>1.810636641746477E-2</v>
      </c>
      <c r="AI12" s="1877">
        <f t="shared" si="13"/>
        <v>8.3225913666027385E-3</v>
      </c>
      <c r="AJ12" s="1875">
        <f t="shared" si="13"/>
        <v>-1.8422182769658568E-2</v>
      </c>
      <c r="AK12" s="1875">
        <f t="shared" si="13"/>
        <v>-1.6027986895301827E-2</v>
      </c>
      <c r="AL12" s="1876">
        <f t="shared" si="13"/>
        <v>-2.1184764393949562E-2</v>
      </c>
      <c r="AM12" s="1877">
        <f t="shared" si="13"/>
        <v>5.1133585746102455</v>
      </c>
      <c r="AN12" s="1875">
        <f t="shared" si="13"/>
        <v>5.0430205495516631</v>
      </c>
      <c r="AO12" s="1875">
        <f t="shared" si="13"/>
        <v>4.8319201972929777</v>
      </c>
      <c r="AP12" s="1876">
        <f t="shared" si="13"/>
        <v>5.046061206047038</v>
      </c>
      <c r="AQ12" s="1877">
        <f t="shared" si="13"/>
        <v>-5.7833843006188212E-2</v>
      </c>
      <c r="AR12" s="1875">
        <f t="shared" si="13"/>
        <v>-3.4415197650968232E-2</v>
      </c>
      <c r="AS12" s="1875">
        <f t="shared" si="13"/>
        <v>-2.7572541338313661E-2</v>
      </c>
      <c r="AT12" s="1876">
        <f t="shared" si="13"/>
        <v>-5.5476064399103131E-2</v>
      </c>
      <c r="AU12" s="1877">
        <f t="shared" si="13"/>
        <v>1.5980550238771918</v>
      </c>
      <c r="AV12" s="1875">
        <f t="shared" si="13"/>
        <v>1.5215730046990092</v>
      </c>
      <c r="AW12" s="1875">
        <f t="shared" si="13"/>
        <v>1.4875849232782299</v>
      </c>
      <c r="AX12" s="1878">
        <f t="shared" si="13"/>
        <v>1.4527599848909563</v>
      </c>
      <c r="AY12" s="495">
        <f t="shared" si="13"/>
        <v>-0.10848762308452498</v>
      </c>
      <c r="AZ12" s="1875">
        <f t="shared" si="13"/>
        <v>-0.11140979387210892</v>
      </c>
      <c r="BA12" s="1875">
        <f t="shared" si="13"/>
        <v>-0.18859017159026614</v>
      </c>
      <c r="BB12" s="1876">
        <f t="shared" si="13"/>
        <v>-0.18631425748936514</v>
      </c>
      <c r="BC12" s="1877">
        <f t="shared" si="13"/>
        <v>-0.184019595207775</v>
      </c>
      <c r="BD12" s="1875">
        <f t="shared" si="13"/>
        <v>-0.18563369212994507</v>
      </c>
      <c r="BE12" s="1879">
        <f t="shared" si="13"/>
        <v>-9.8628545303414472E-2</v>
      </c>
      <c r="BF12" s="1879">
        <f t="shared" si="13"/>
        <v>-0.10066389400009079</v>
      </c>
      <c r="BG12" s="1880">
        <f t="shared" si="13"/>
        <v>-9.7661665321808533E-2</v>
      </c>
      <c r="BH12" s="1875">
        <f t="shared" si="13"/>
        <v>-9.4836920746134368E-2</v>
      </c>
      <c r="BI12" s="1879">
        <f t="shared" si="13"/>
        <v>-9.2250539562461764E-2</v>
      </c>
      <c r="BJ12" s="1996">
        <f t="shared" si="13"/>
        <v>-6.9459792703413625E-2</v>
      </c>
      <c r="BK12" s="1879">
        <f t="shared" si="13"/>
        <v>-6.5610816919599579E-2</v>
      </c>
      <c r="BL12" s="1879">
        <f t="shared" si="13"/>
        <v>-6.2817518248175386E-2</v>
      </c>
      <c r="BM12" s="1879">
        <f t="shared" si="13"/>
        <v>-5.9916242464836067E-2</v>
      </c>
      <c r="BN12" s="1879">
        <f t="shared" si="13"/>
        <v>-5.8314935175417859E-2</v>
      </c>
      <c r="BO12" s="1880">
        <f t="shared" si="13"/>
        <v>-5.8076846066213328E-2</v>
      </c>
      <c r="BP12" s="1879">
        <f t="shared" si="13"/>
        <v>-5.8421842142156177E-2</v>
      </c>
      <c r="BQ12" s="1879">
        <f t="shared" si="13"/>
        <v>-5.8524538239794976E-2</v>
      </c>
      <c r="BR12" s="1879">
        <f t="shared" si="13"/>
        <v>-5.6862640337893788E-2</v>
      </c>
      <c r="BS12" s="1880">
        <f t="shared" si="13"/>
        <v>-5.3232425307557119E-2</v>
      </c>
      <c r="BT12" s="1879">
        <f t="shared" si="13"/>
        <v>-4.9404618473895545E-2</v>
      </c>
      <c r="BU12" s="1879">
        <f t="shared" si="13"/>
        <v>-4.7666024696952469E-2</v>
      </c>
      <c r="BV12" s="1996">
        <f t="shared" ref="BV12:CC12" si="14">BV11/BR11-1</f>
        <v>-4.7641901193025582E-2</v>
      </c>
      <c r="BW12" s="1880">
        <f t="shared" si="14"/>
        <v>-4.8086230876216995E-2</v>
      </c>
      <c r="BX12" s="1879">
        <f t="shared" si="14"/>
        <v>-4.8238657235530891E-2</v>
      </c>
      <c r="BY12" s="1879">
        <f t="shared" si="14"/>
        <v>-4.9279987323720298E-2</v>
      </c>
      <c r="BZ12" s="1996">
        <f>BZ11/BV11-1</f>
        <v>-5.1809514259355649E-2</v>
      </c>
      <c r="CA12" s="1879">
        <f t="shared" si="14"/>
        <v>-5.3858214401556914E-2</v>
      </c>
      <c r="CB12" s="1879">
        <f>CB11/BX11-1</f>
        <v>-5.6525042044382356E-2</v>
      </c>
      <c r="CC12" s="1879">
        <f t="shared" si="14"/>
        <v>-5.8385114885115108E-2</v>
      </c>
      <c r="CD12" s="1996">
        <f t="shared" ref="CD12:CL12" si="15">CD11/BZ11-1</f>
        <v>-5.7656298863204225E-2</v>
      </c>
      <c r="CE12" s="1879">
        <f t="shared" si="15"/>
        <v>-5.7623828074832018E-2</v>
      </c>
      <c r="CF12" s="1879">
        <f t="shared" si="15"/>
        <v>-5.9402275886031974E-2</v>
      </c>
      <c r="CG12" s="1879">
        <f t="shared" si="15"/>
        <v>-6.2985294117646973E-2</v>
      </c>
      <c r="CH12" s="1879">
        <f t="shared" ref="CH12" si="16">CH11/CD11-1</f>
        <v>-6.9611038931947533E-2</v>
      </c>
      <c r="CI12" s="1880">
        <f t="shared" si="15"/>
        <v>-7.5815057862491431E-2</v>
      </c>
      <c r="CJ12" s="1879">
        <f t="shared" si="15"/>
        <v>-7.5460016606698099E-2</v>
      </c>
      <c r="CK12" s="1879">
        <f t="shared" si="15"/>
        <v>-6.8487790950609639E-2</v>
      </c>
      <c r="CL12" s="1996">
        <f t="shared" si="15"/>
        <v>-5.8199160746584377E-2</v>
      </c>
      <c r="CM12" s="764"/>
    </row>
    <row r="13" spans="1:91" hidden="1">
      <c r="A13" s="1874" t="s">
        <v>994</v>
      </c>
      <c r="B13" s="1869"/>
      <c r="C13" s="1869"/>
      <c r="D13" s="1869"/>
      <c r="E13" s="1875">
        <f t="shared" ref="E13:O13" si="17">E11/E25</f>
        <v>0.76577902077976701</v>
      </c>
      <c r="F13" s="1875">
        <f t="shared" si="17"/>
        <v>0.73678039242239335</v>
      </c>
      <c r="G13" s="1875">
        <f t="shared" si="17"/>
        <v>0.78282481651630687</v>
      </c>
      <c r="H13" s="1875">
        <f t="shared" si="17"/>
        <v>0.74374797016730032</v>
      </c>
      <c r="I13" s="1875">
        <f t="shared" si="17"/>
        <v>0.59381875343320945</v>
      </c>
      <c r="J13" s="1875">
        <f t="shared" si="17"/>
        <v>0</v>
      </c>
      <c r="K13" s="1875">
        <f t="shared" si="17"/>
        <v>0.48334728011939687</v>
      </c>
      <c r="L13" s="1875">
        <f t="shared" ca="1" si="17"/>
        <v>0.45782764042549379</v>
      </c>
      <c r="M13" s="1875">
        <f t="shared" si="17"/>
        <v>0.43693140743937026</v>
      </c>
      <c r="N13" s="1875">
        <f>N11/N25</f>
        <v>0.41801500211922821</v>
      </c>
      <c r="O13" s="1875">
        <f t="shared" si="17"/>
        <v>0.39881288482306054</v>
      </c>
      <c r="P13" s="1875">
        <f t="shared" ref="P13:U13" si="18">P11/P25</f>
        <v>0.39670613535125232</v>
      </c>
      <c r="Q13" s="1875">
        <f t="shared" si="18"/>
        <v>0.39233537242742861</v>
      </c>
      <c r="R13" s="1875">
        <f>R11/R25</f>
        <v>0.35152123107400757</v>
      </c>
      <c r="S13" s="1875">
        <f>S11/S25</f>
        <v>0.25474296836764837</v>
      </c>
      <c r="T13" s="1875">
        <f t="shared" si="18"/>
        <v>0.24248475383912144</v>
      </c>
      <c r="U13" s="1875">
        <f t="shared" si="18"/>
        <v>0.22672542268534132</v>
      </c>
      <c r="V13" s="1875">
        <f>V11/V25</f>
        <v>0.21044622587591036</v>
      </c>
      <c r="W13" s="1875">
        <f>W11/W25</f>
        <v>0.1941166388524759</v>
      </c>
      <c r="X13" s="1875">
        <f>X11/X25</f>
        <v>0.17887295357776567</v>
      </c>
      <c r="Y13" s="2279"/>
      <c r="Z13" s="2280"/>
      <c r="AA13" s="2288"/>
      <c r="AB13" s="1875"/>
      <c r="AC13" s="1875"/>
      <c r="AD13" s="1876">
        <f t="shared" ref="AD13:BI13" si="19">AD11/AD$25</f>
        <v>0.36761087534083181</v>
      </c>
      <c r="AE13" s="1877">
        <f t="shared" si="19"/>
        <v>0.37501347472814739</v>
      </c>
      <c r="AF13" s="1875">
        <f t="shared" si="19"/>
        <v>0.37423101457199431</v>
      </c>
      <c r="AG13" s="1875">
        <f t="shared" si="19"/>
        <v>0.37790422000948315</v>
      </c>
      <c r="AH13" s="1876">
        <f t="shared" si="19"/>
        <v>0.37109927849642216</v>
      </c>
      <c r="AI13" s="1877">
        <f t="shared" si="19"/>
        <v>0.37713218273020177</v>
      </c>
      <c r="AJ13" s="1875">
        <f t="shared" si="19"/>
        <v>0.3656056186130574</v>
      </c>
      <c r="AK13" s="1875">
        <f t="shared" si="19"/>
        <v>0.34372569758859201</v>
      </c>
      <c r="AL13" s="1876">
        <f t="shared" si="19"/>
        <v>0.35490239688495212</v>
      </c>
      <c r="AM13" s="1877">
        <f t="shared" si="19"/>
        <v>0.64636418995194833</v>
      </c>
      <c r="AN13" s="1875">
        <f t="shared" si="19"/>
        <v>0.63764991330859433</v>
      </c>
      <c r="AO13" s="1875">
        <f t="shared" si="19"/>
        <v>0.62709956808885037</v>
      </c>
      <c r="AP13" s="1876">
        <f t="shared" si="19"/>
        <v>0.63107937403273928</v>
      </c>
      <c r="AQ13" s="1877">
        <f t="shared" si="19"/>
        <v>0.62141523556422718</v>
      </c>
      <c r="AR13" s="1875">
        <f t="shared" si="19"/>
        <v>0.60990221213112683</v>
      </c>
      <c r="AS13" s="1875">
        <f t="shared" si="19"/>
        <v>0.5871995951049509</v>
      </c>
      <c r="AT13" s="1876">
        <f t="shared" si="19"/>
        <v>0.59265611170650467</v>
      </c>
      <c r="AU13" s="1877">
        <f t="shared" si="19"/>
        <v>0.61041344832686306</v>
      </c>
      <c r="AV13" s="1875">
        <f t="shared" si="19"/>
        <v>0.59542895567878718</v>
      </c>
      <c r="AW13" s="1875">
        <f t="shared" si="19"/>
        <v>0.58602358290940737</v>
      </c>
      <c r="AX13" s="1878">
        <f t="shared" si="19"/>
        <v>0.58290128610666891</v>
      </c>
      <c r="AY13" s="495">
        <f t="shared" si="19"/>
        <v>0.5869595423663676</v>
      </c>
      <c r="AZ13" s="1875">
        <f t="shared" si="19"/>
        <v>0.58015039989688599</v>
      </c>
      <c r="BA13" s="1875">
        <f t="shared" si="19"/>
        <v>0.52459141797669595</v>
      </c>
      <c r="BB13" s="1876">
        <f t="shared" si="19"/>
        <v>0.51924639758481772</v>
      </c>
      <c r="BC13" s="1877">
        <f t="shared" si="19"/>
        <v>0.49743049053531452</v>
      </c>
      <c r="BD13" s="1875">
        <f t="shared" si="19"/>
        <v>0.48631644004944374</v>
      </c>
      <c r="BE13" s="1879">
        <f t="shared" si="19"/>
        <v>0.47979555281037684</v>
      </c>
      <c r="BF13" s="1879">
        <f t="shared" si="19"/>
        <v>0.46954399833576033</v>
      </c>
      <c r="BG13" s="1880">
        <f t="shared" ca="1" si="19"/>
        <v>0.46554699375105552</v>
      </c>
      <c r="BH13" s="1875">
        <f t="shared" si="19"/>
        <v>0.45763758012959738</v>
      </c>
      <c r="BI13" s="1879">
        <f t="shared" si="19"/>
        <v>0.45659170880022554</v>
      </c>
      <c r="BJ13" s="1996">
        <f t="shared" ref="BJ13:BR13" si="20">BJ11/BJ$25</f>
        <v>0.45139059548865473</v>
      </c>
      <c r="BK13" s="1879">
        <f t="shared" si="20"/>
        <v>0.44696699125736405</v>
      </c>
      <c r="BL13" s="1879">
        <f t="shared" si="20"/>
        <v>0.4341906008025585</v>
      </c>
      <c r="BM13" s="1879">
        <f t="shared" si="20"/>
        <v>0.43505648730258467</v>
      </c>
      <c r="BN13" s="1879">
        <f t="shared" si="20"/>
        <v>0.43146605376425512</v>
      </c>
      <c r="BO13" s="1880">
        <f t="shared" si="20"/>
        <v>0.43005749011399946</v>
      </c>
      <c r="BP13" s="1879">
        <f t="shared" si="20"/>
        <v>0.41668465602694504</v>
      </c>
      <c r="BQ13" s="1879">
        <f t="shared" si="20"/>
        <v>0.41467525542722139</v>
      </c>
      <c r="BR13" s="1879">
        <f t="shared" si="20"/>
        <v>0.41069466395577359</v>
      </c>
      <c r="BS13" s="1880">
        <f t="shared" ref="BS13:BY13" si="21">BS11/BS$25</f>
        <v>0.40492140355896727</v>
      </c>
      <c r="BT13" s="1879">
        <f t="shared" si="21"/>
        <v>0.39478981405580038</v>
      </c>
      <c r="BU13" s="1879">
        <f t="shared" si="21"/>
        <v>0.39508434413706356</v>
      </c>
      <c r="BV13" s="1996">
        <f t="shared" si="21"/>
        <v>0.40047455916384533</v>
      </c>
      <c r="BW13" s="1880">
        <f t="shared" si="21"/>
        <v>0.39298433552745388</v>
      </c>
      <c r="BX13" s="1879">
        <f t="shared" si="21"/>
        <v>0.38603426188076395</v>
      </c>
      <c r="BY13" s="1879">
        <f t="shared" si="21"/>
        <v>0.37223290661012509</v>
      </c>
      <c r="BZ13" s="1996">
        <f t="shared" ref="BZ13:CC13" si="22">BZ11/BZ$25</f>
        <v>0.37633272471795681</v>
      </c>
      <c r="CA13" s="1879">
        <f t="shared" si="22"/>
        <v>0.37604315565354535</v>
      </c>
      <c r="CB13" s="1879">
        <f t="shared" si="22"/>
        <v>0.36595274195303079</v>
      </c>
      <c r="CC13" s="1879">
        <f t="shared" si="22"/>
        <v>0.36425769229429145</v>
      </c>
      <c r="CD13" s="1996">
        <f>CD11/CD$25</f>
        <v>0.37009681568412067</v>
      </c>
      <c r="CE13" s="1879">
        <f>CE11/CE$25</f>
        <v>0.37053942882505947</v>
      </c>
      <c r="CF13" s="1879">
        <f>CF11/CF$25</f>
        <v>0.37013558990475165</v>
      </c>
      <c r="CG13" s="1879">
        <f>CG11/CG$25</f>
        <v>0.37075892829620705</v>
      </c>
      <c r="CH13" s="1879">
        <f t="shared" ref="CH13" si="23">CH11/CH$25</f>
        <v>0.24593646810944694</v>
      </c>
      <c r="CI13" s="1880">
        <f>CI11/CI$25</f>
        <v>0.24085195509612925</v>
      </c>
      <c r="CJ13" s="1879">
        <f>CJ11/CJ$25</f>
        <v>0.23458042128713977</v>
      </c>
      <c r="CK13" s="1879">
        <f>CK11/CK$25</f>
        <v>0.23410874143220609</v>
      </c>
      <c r="CL13" s="1996">
        <f>CL11/CL$25</f>
        <v>0.23422563805804492</v>
      </c>
      <c r="CM13" s="764"/>
    </row>
    <row r="14" spans="1:91" hidden="1">
      <c r="A14" s="1868" t="s">
        <v>858</v>
      </c>
      <c r="B14" s="1869"/>
      <c r="C14" s="1869"/>
      <c r="D14" s="1869"/>
      <c r="E14" s="1870">
        <f>Subscribers!F44/1000</f>
        <v>276.19900000000001</v>
      </c>
      <c r="F14" s="1870">
        <f>Subscribers!G44/1000</f>
        <v>318.77</v>
      </c>
      <c r="G14" s="1870">
        <f>Subscribers!H44/1000</f>
        <v>1487.22</v>
      </c>
      <c r="H14" s="1870">
        <f>Subscribers!I44/1000</f>
        <v>1765.8230000000001</v>
      </c>
      <c r="I14" s="1870">
        <f>Subscribers!J44/1000</f>
        <v>2502.373</v>
      </c>
      <c r="J14" s="1870"/>
      <c r="K14" s="1870">
        <f>Subscribers!L44/1000</f>
        <v>2512.9009999999998</v>
      </c>
      <c r="L14" s="1869">
        <f>+SUM(BG14:BJ14)</f>
        <v>2614.4307690273517</v>
      </c>
      <c r="M14" s="1869">
        <f>+SUM(BK14:BN14)</f>
        <v>2768.6468900089894</v>
      </c>
      <c r="N14" s="1870">
        <f>+SUM(BO14:BR14)</f>
        <v>2898.5197827934344</v>
      </c>
      <c r="O14" s="1870">
        <f>+SUM(BS14:BV14)</f>
        <v>3021.4625663425695</v>
      </c>
      <c r="P14" s="1870">
        <f>+SUM(BT14:BW14)</f>
        <v>3044.8431694451619</v>
      </c>
      <c r="Q14" s="1870">
        <f>Subscribers!R44/1000</f>
        <v>3192.9513688957554</v>
      </c>
      <c r="R14" s="1870">
        <f>Subscribers!S44/1000</f>
        <v>3213.7922121507518</v>
      </c>
      <c r="S14" s="1870">
        <f>Subscribers!T44/1000</f>
        <v>3207.5789359173873</v>
      </c>
      <c r="T14" s="1870">
        <f>Subscribers!U44/1000</f>
        <v>3272.9917764850316</v>
      </c>
      <c r="U14" s="1870">
        <f>Subscribers!V44/1000</f>
        <v>3399.2395954341609</v>
      </c>
      <c r="V14" s="1870">
        <f>Subscribers!W44/1000</f>
        <v>3546.5462070391213</v>
      </c>
      <c r="W14" s="1870">
        <f>Subscribers!X44/1000</f>
        <v>3705.2516394622558</v>
      </c>
      <c r="X14" s="1870">
        <f>Subscribers!Y44/1000</f>
        <v>3870.9790325479776</v>
      </c>
      <c r="Y14" s="2279"/>
      <c r="Z14" s="2280"/>
      <c r="AA14" s="2288"/>
      <c r="AB14" s="1869"/>
      <c r="AC14" s="1869"/>
      <c r="AD14" s="1873">
        <f>Subscribers!AL44/1000</f>
        <v>64.182000000000002</v>
      </c>
      <c r="AE14" s="1869">
        <f>Subscribers!AM44/1000</f>
        <v>65.628</v>
      </c>
      <c r="AF14" s="1869">
        <f>Subscribers!AN44/1000</f>
        <v>68.168999999999997</v>
      </c>
      <c r="AG14" s="1869">
        <f>Subscribers!AO44/1000</f>
        <v>69.992000000000004</v>
      </c>
      <c r="AH14" s="1873">
        <f>Subscribers!AP44/1000</f>
        <v>72.41</v>
      </c>
      <c r="AI14" s="1869">
        <f>Subscribers!AQ44/1000</f>
        <v>72.906000000000006</v>
      </c>
      <c r="AJ14" s="1869">
        <f>Subscribers!AR44/1000</f>
        <v>76.049000000000007</v>
      </c>
      <c r="AK14" s="1869">
        <f>Subscribers!AS44/1000</f>
        <v>88.911000000000001</v>
      </c>
      <c r="AL14" s="1873">
        <f>Subscribers!AT44/1000</f>
        <v>80.903999999999996</v>
      </c>
      <c r="AM14" s="1869">
        <f>Subscribers!AU44/1000</f>
        <v>356.05399999999997</v>
      </c>
      <c r="AN14" s="1869">
        <f>Subscribers!AV44/1000</f>
        <v>363.447</v>
      </c>
      <c r="AO14" s="1869">
        <f>Subscribers!AW44/1000</f>
        <v>380.38200000000001</v>
      </c>
      <c r="AP14" s="1873">
        <f>Subscribers!AX44/1000</f>
        <v>387.33699999999999</v>
      </c>
      <c r="AQ14" s="1869">
        <f>Subscribers!AY44/1000</f>
        <v>409.86399999999998</v>
      </c>
      <c r="AR14" s="1869">
        <f>Subscribers!AZ44/1000</f>
        <v>428.20600000000002</v>
      </c>
      <c r="AS14" s="1869">
        <f>Subscribers!BA44/1000</f>
        <v>468.63</v>
      </c>
      <c r="AT14" s="1873">
        <f>Subscribers!BB44/1000</f>
        <v>459.12299999999999</v>
      </c>
      <c r="AU14" s="1869">
        <f>Subscribers!BC44/1000</f>
        <v>589.77200000000005</v>
      </c>
      <c r="AV14" s="1869">
        <f>Subscribers!BD44/1000</f>
        <v>617.23900000000003</v>
      </c>
      <c r="AW14" s="1869">
        <f>Subscribers!BE44/1000</f>
        <v>643.63099999999997</v>
      </c>
      <c r="AX14" s="1873">
        <f>Subscribers!BF44/1000</f>
        <v>651.73099999999999</v>
      </c>
      <c r="AY14" s="1872">
        <f>Subscribers!BG44/1000</f>
        <v>619.03700000000003</v>
      </c>
      <c r="AZ14" s="1869">
        <f>Subscribers!BH44/1000</f>
        <v>626.07449999999994</v>
      </c>
      <c r="BA14" s="1869">
        <f>Subscribers!BI44/1000</f>
        <v>613.21299999999997</v>
      </c>
      <c r="BB14" s="1873">
        <f>Subscribers!BJ44/1000</f>
        <v>609.33900000000006</v>
      </c>
      <c r="BC14" s="1872">
        <f>Subscribers!BK44/1000</f>
        <v>602.44000000000005</v>
      </c>
      <c r="BD14" s="1869">
        <f>Subscribers!BL44/1000</f>
        <v>614.99900000000002</v>
      </c>
      <c r="BE14" s="1881">
        <f>Subscribers!BM44/1000</f>
        <v>637.11099999999999</v>
      </c>
      <c r="BF14" s="1881">
        <f>Subscribers!BN44/1000</f>
        <v>658.351</v>
      </c>
      <c r="BG14" s="1882">
        <f>Subscribers!BO44/1000</f>
        <v>620.07799999999997</v>
      </c>
      <c r="BH14" s="1869">
        <f>Subscribers!BP44/1000</f>
        <v>640.26672656795745</v>
      </c>
      <c r="BI14" s="1881">
        <f>Subscribers!BQ44/1000</f>
        <v>665.48930995265835</v>
      </c>
      <c r="BJ14" s="1997">
        <f>Subscribers!BR44/1000</f>
        <v>688.59673250673609</v>
      </c>
      <c r="BK14" s="1881">
        <f>Subscribers!BS44/1000</f>
        <v>649.51070226638558</v>
      </c>
      <c r="BL14" s="1881">
        <f>Subscribers!BT44/1000</f>
        <v>682.10011896748279</v>
      </c>
      <c r="BM14" s="1881">
        <f>Subscribers!BU44/1000</f>
        <v>708.03553226276927</v>
      </c>
      <c r="BN14" s="1881">
        <f>Subscribers!BV44/1000</f>
        <v>729.00053651235157</v>
      </c>
      <c r="BO14" s="1882">
        <f>Subscribers!BW44/1000</f>
        <v>683.64703465066998</v>
      </c>
      <c r="BP14" s="1881">
        <f>Subscribers!BX44/1000</f>
        <v>714.59495631819016</v>
      </c>
      <c r="BQ14" s="1881">
        <f>Subscribers!BY44/1000</f>
        <v>739.35277079327921</v>
      </c>
      <c r="BR14" s="1881">
        <f>Subscribers!BZ44/1000</f>
        <v>760.92502103129493</v>
      </c>
      <c r="BS14" s="1882">
        <f>Subscribers!CA44/1000</f>
        <v>713.91154511732657</v>
      </c>
      <c r="BT14" s="1881">
        <f>Subscribers!CB44/1000</f>
        <v>746.51425614277343</v>
      </c>
      <c r="BU14" s="1881">
        <f>Subscribers!CC44/1000</f>
        <v>771.13040367921838</v>
      </c>
      <c r="BV14" s="1997">
        <f>Subscribers!CD44/1000</f>
        <v>789.90636140325114</v>
      </c>
      <c r="BW14" s="1882">
        <f>Subscribers!CE44/1000</f>
        <v>737.292148219919</v>
      </c>
      <c r="BX14" s="1881">
        <f>Subscribers!CF44/1000</f>
        <v>768.54850701554756</v>
      </c>
      <c r="BY14" s="1881">
        <f>Subscribers!CG44/1000</f>
        <v>790.51238901942429</v>
      </c>
      <c r="BZ14" s="1997">
        <f>Subscribers!CH44/1000</f>
        <v>804.0061177579272</v>
      </c>
      <c r="CA14" s="1881">
        <f>Subscribers!CI44/1000</f>
        <v>746.20594537856618</v>
      </c>
      <c r="CB14" s="1881">
        <f>Subscribers!CJ44/1000</f>
        <v>772.44122877868904</v>
      </c>
      <c r="CC14" s="1881">
        <f>Subscribers!CK44/1000</f>
        <v>790.49940745461583</v>
      </c>
      <c r="CD14" s="1997">
        <f>Subscribers!CL44/1000</f>
        <v>804.9282800680877</v>
      </c>
      <c r="CE14" s="1881">
        <f>Subscribers!CM44/1000</f>
        <v>747.67320425992864</v>
      </c>
      <c r="CF14" s="1881">
        <f>Subscribers!CN44/1000</f>
        <v>772.65027397259723</v>
      </c>
      <c r="CG14" s="1881">
        <f>Subscribers!CO44/1000</f>
        <v>785.7127150627424</v>
      </c>
      <c r="CH14" s="1881">
        <f>Subscribers!CP44/1000</f>
        <v>788.86219580967952</v>
      </c>
      <c r="CI14" s="1882">
        <f>Subscribers!CQ44/1000</f>
        <v>723.75772292736883</v>
      </c>
      <c r="CJ14" s="1881">
        <f>Subscribers!CR44/1000</f>
        <v>745.13887481587551</v>
      </c>
      <c r="CK14" s="1881">
        <f>Subscribers!CS44/1000</f>
        <v>760.71847440103011</v>
      </c>
      <c r="CL14" s="1997">
        <f>Subscribers!CT44/1000</f>
        <v>772.60593328827815</v>
      </c>
      <c r="CM14" s="764"/>
    </row>
    <row r="15" spans="1:91" hidden="1">
      <c r="A15" s="1874" t="s">
        <v>993</v>
      </c>
      <c r="B15" s="1869"/>
      <c r="C15" s="1869"/>
      <c r="D15" s="1869"/>
      <c r="E15" s="1875"/>
      <c r="F15" s="1875">
        <f>+F14/E14-1</f>
        <v>0.15413162248958168</v>
      </c>
      <c r="G15" s="1875">
        <f>+G14/F14-1</f>
        <v>3.6654954983216745</v>
      </c>
      <c r="H15" s="1875">
        <f>+H14/G14-1</f>
        <v>0.18733139683436217</v>
      </c>
      <c r="I15" s="1875">
        <f>+I14/H14-1</f>
        <v>0.41711428608643097</v>
      </c>
      <c r="J15" s="1875"/>
      <c r="K15" s="1875"/>
      <c r="L15" s="1875">
        <f t="shared" ref="L15:Q15" si="24">+L14/K14-1</f>
        <v>4.0403409854726346E-2</v>
      </c>
      <c r="M15" s="1875">
        <f t="shared" si="24"/>
        <v>5.8986500162331978E-2</v>
      </c>
      <c r="N15" s="1875">
        <f t="shared" si="24"/>
        <v>4.6908435038468754E-2</v>
      </c>
      <c r="O15" s="1875">
        <f t="shared" si="24"/>
        <v>4.2415713109485775E-2</v>
      </c>
      <c r="P15" s="1875">
        <f t="shared" si="24"/>
        <v>7.7381740098452223E-3</v>
      </c>
      <c r="Q15" s="1875">
        <f t="shared" si="24"/>
        <v>4.8642308062645467E-2</v>
      </c>
      <c r="R15" s="1875">
        <f t="shared" ref="R15:X15" si="25">+R14/Q14-1</f>
        <v>6.5271408321523339E-3</v>
      </c>
      <c r="S15" s="1875">
        <f t="shared" si="25"/>
        <v>-1.933316102352034E-3</v>
      </c>
      <c r="T15" s="1875">
        <f t="shared" si="25"/>
        <v>2.0393213035281299E-2</v>
      </c>
      <c r="U15" s="1875">
        <f t="shared" si="25"/>
        <v>3.8572604995882553E-2</v>
      </c>
      <c r="V15" s="1875">
        <f t="shared" si="25"/>
        <v>4.333516584203756E-2</v>
      </c>
      <c r="W15" s="1875">
        <f t="shared" si="25"/>
        <v>4.4749292172801436E-2</v>
      </c>
      <c r="X15" s="1875">
        <f t="shared" si="25"/>
        <v>4.4727702518410739E-2</v>
      </c>
      <c r="Y15" s="2279"/>
      <c r="Z15" s="2280"/>
      <c r="AA15" s="2288"/>
      <c r="AB15" s="1869"/>
      <c r="AC15" s="1869"/>
      <c r="AD15" s="1873"/>
      <c r="AE15" s="1877"/>
      <c r="AF15" s="1875"/>
      <c r="AG15" s="1875"/>
      <c r="AH15" s="1876">
        <f t="shared" ref="AH15:BU15" si="26">AH14/AD14-1</f>
        <v>0.12819793711632532</v>
      </c>
      <c r="AI15" s="1877">
        <f t="shared" si="26"/>
        <v>0.11089778752971302</v>
      </c>
      <c r="AJ15" s="1875">
        <f t="shared" si="26"/>
        <v>0.11559506520559215</v>
      </c>
      <c r="AK15" s="1875">
        <f t="shared" si="26"/>
        <v>0.27030232026517309</v>
      </c>
      <c r="AL15" s="1876">
        <f t="shared" si="26"/>
        <v>0.11730423974589144</v>
      </c>
      <c r="AM15" s="1877">
        <f t="shared" si="26"/>
        <v>3.8837407072120254</v>
      </c>
      <c r="AN15" s="1875">
        <f t="shared" si="26"/>
        <v>3.7791160962011334</v>
      </c>
      <c r="AO15" s="1875">
        <f t="shared" si="26"/>
        <v>3.2782332894692443</v>
      </c>
      <c r="AP15" s="1876">
        <f t="shared" si="26"/>
        <v>3.7876124789874419</v>
      </c>
      <c r="AQ15" s="1877">
        <f t="shared" si="26"/>
        <v>0.15112876136765774</v>
      </c>
      <c r="AR15" s="1875">
        <f t="shared" si="26"/>
        <v>0.17818003725440024</v>
      </c>
      <c r="AS15" s="1875">
        <f t="shared" si="26"/>
        <v>0.23199835954382686</v>
      </c>
      <c r="AT15" s="1876">
        <f t="shared" si="26"/>
        <v>0.18533215262161895</v>
      </c>
      <c r="AU15" s="1877">
        <f t="shared" si="26"/>
        <v>0.43894560146780415</v>
      </c>
      <c r="AV15" s="1875">
        <f t="shared" si="26"/>
        <v>0.44145341260981863</v>
      </c>
      <c r="AW15" s="1875">
        <f t="shared" si="26"/>
        <v>0.37343106501931156</v>
      </c>
      <c r="AX15" s="1878">
        <f t="shared" si="26"/>
        <v>0.41951285385397807</v>
      </c>
      <c r="AY15" s="495">
        <f t="shared" si="26"/>
        <v>4.9620870438067621E-2</v>
      </c>
      <c r="AZ15" s="1875">
        <f t="shared" si="26"/>
        <v>1.4314552385704671E-2</v>
      </c>
      <c r="BA15" s="1875">
        <f t="shared" si="26"/>
        <v>-4.725999835309358E-2</v>
      </c>
      <c r="BB15" s="1876">
        <f t="shared" si="26"/>
        <v>-6.5045241058043768E-2</v>
      </c>
      <c r="BC15" s="1877">
        <f t="shared" si="26"/>
        <v>-2.6810998373279715E-2</v>
      </c>
      <c r="BD15" s="1875">
        <f t="shared" si="26"/>
        <v>-1.7690386687207238E-2</v>
      </c>
      <c r="BE15" s="1879">
        <f t="shared" si="26"/>
        <v>3.8971776527894963E-2</v>
      </c>
      <c r="BF15" s="1879">
        <f t="shared" si="26"/>
        <v>8.0434700552565852E-2</v>
      </c>
      <c r="BG15" s="1880">
        <f t="shared" si="26"/>
        <v>2.9277604408737723E-2</v>
      </c>
      <c r="BH15" s="1875">
        <f t="shared" si="26"/>
        <v>4.1085801063021954E-2</v>
      </c>
      <c r="BI15" s="1879">
        <f t="shared" si="26"/>
        <v>4.4542175464963529E-2</v>
      </c>
      <c r="BJ15" s="1996">
        <f t="shared" si="26"/>
        <v>4.5941651955774487E-2</v>
      </c>
      <c r="BK15" s="1879">
        <f t="shared" si="26"/>
        <v>4.7466128884407377E-2</v>
      </c>
      <c r="BL15" s="1879">
        <f t="shared" si="26"/>
        <v>6.5337445573294461E-2</v>
      </c>
      <c r="BM15" s="1879">
        <f t="shared" si="26"/>
        <v>6.3932240043251154E-2</v>
      </c>
      <c r="BN15" s="1879">
        <f t="shared" si="26"/>
        <v>5.8675567423230879E-2</v>
      </c>
      <c r="BO15" s="1880">
        <f t="shared" si="26"/>
        <v>5.2556997544720874E-2</v>
      </c>
      <c r="BP15" s="1879">
        <f t="shared" si="26"/>
        <v>4.7639395518499272E-2</v>
      </c>
      <c r="BQ15" s="1879">
        <f t="shared" si="26"/>
        <v>4.4231167933655779E-2</v>
      </c>
      <c r="BR15" s="1879">
        <f t="shared" si="26"/>
        <v>4.379212760483675E-2</v>
      </c>
      <c r="BS15" s="1880">
        <f t="shared" si="26"/>
        <v>4.4269204622705782E-2</v>
      </c>
      <c r="BT15" s="1879">
        <f t="shared" si="26"/>
        <v>4.4667681380010205E-2</v>
      </c>
      <c r="BU15" s="1879">
        <f t="shared" si="26"/>
        <v>4.2980339211880825E-2</v>
      </c>
      <c r="BV15" s="1996">
        <f t="shared" ref="BV15:CC15" si="27">BV14/BR14-1</f>
        <v>3.8086985669990581E-2</v>
      </c>
      <c r="BW15" s="1880">
        <f t="shared" si="27"/>
        <v>3.2750000000000057E-2</v>
      </c>
      <c r="BX15" s="1879">
        <f t="shared" si="27"/>
        <v>2.95161822985468E-2</v>
      </c>
      <c r="BY15" s="1879">
        <f t="shared" si="27"/>
        <v>2.5134510645320907E-2</v>
      </c>
      <c r="BZ15" s="1996">
        <f>BZ14/BV14-1</f>
        <v>1.7849908601353937E-2</v>
      </c>
      <c r="CA15" s="1879">
        <f t="shared" si="27"/>
        <v>1.2089911957109845E-2</v>
      </c>
      <c r="CB15" s="1879">
        <f>CB14/BX14-1</f>
        <v>5.06503067484676E-3</v>
      </c>
      <c r="CC15" s="1879">
        <f t="shared" si="27"/>
        <v>-1.6421709499780945E-5</v>
      </c>
      <c r="CD15" s="1996">
        <f t="shared" ref="CD15:CL15" si="28">CD14/BZ14-1</f>
        <v>1.1469593200759132E-3</v>
      </c>
      <c r="CE15" s="1879">
        <f t="shared" si="28"/>
        <v>1.9662921348315709E-3</v>
      </c>
      <c r="CF15" s="1879">
        <f t="shared" si="28"/>
        <v>2.7062925452425723E-4</v>
      </c>
      <c r="CG15" s="1879">
        <f t="shared" si="28"/>
        <v>-6.0552763819095023E-3</v>
      </c>
      <c r="CH15" s="1879">
        <f t="shared" ref="CH15" si="29">CH14/CD14-1</f>
        <v>-1.9959646910466589E-2</v>
      </c>
      <c r="CI15" s="1880">
        <f t="shared" si="28"/>
        <v>-3.1986543313708982E-2</v>
      </c>
      <c r="CJ15" s="1879">
        <f t="shared" si="28"/>
        <v>-3.5606535173114295E-2</v>
      </c>
      <c r="CK15" s="1879">
        <f t="shared" si="28"/>
        <v>-3.1810915341641599E-2</v>
      </c>
      <c r="CL15" s="1996">
        <f t="shared" si="28"/>
        <v>-2.0607227228979008E-2</v>
      </c>
      <c r="CM15" s="764"/>
    </row>
    <row r="16" spans="1:91" hidden="1">
      <c r="A16" s="1874" t="s">
        <v>994</v>
      </c>
      <c r="B16" s="1869"/>
      <c r="C16" s="1869"/>
      <c r="D16" s="1869"/>
      <c r="E16" s="1875">
        <f t="shared" ref="E16:O16" si="30">E14/E25</f>
        <v>0.23422097922023299</v>
      </c>
      <c r="F16" s="1875">
        <f t="shared" si="30"/>
        <v>0.26321960757760671</v>
      </c>
      <c r="G16" s="1875">
        <f t="shared" si="30"/>
        <v>0.21717518348369308</v>
      </c>
      <c r="H16" s="1875">
        <f t="shared" si="30"/>
        <v>0.25625202983269968</v>
      </c>
      <c r="I16" s="1875">
        <f t="shared" si="30"/>
        <v>0.11525971438828367</v>
      </c>
      <c r="J16" s="1875">
        <f t="shared" si="30"/>
        <v>0</v>
      </c>
      <c r="K16" s="1875">
        <f t="shared" si="30"/>
        <v>0.12932432710617053</v>
      </c>
      <c r="L16" s="1875">
        <f t="shared" ca="1" si="30"/>
        <v>0.13987046560670197</v>
      </c>
      <c r="M16" s="1875">
        <f t="shared" si="30"/>
        <v>0.15065826250252976</v>
      </c>
      <c r="N16" s="1875">
        <f>N14/N25</f>
        <v>0.16018346409469103</v>
      </c>
      <c r="O16" s="1875">
        <f t="shared" si="30"/>
        <v>0.16760762003342594</v>
      </c>
      <c r="P16" s="1875">
        <f t="shared" ref="P16:U16" si="31">P14/P25</f>
        <v>0.17010297036006491</v>
      </c>
      <c r="Q16" s="1875">
        <f t="shared" si="31"/>
        <v>0.18276767995968835</v>
      </c>
      <c r="R16" s="1875">
        <f>R14/R25</f>
        <v>0.17525314713440679</v>
      </c>
      <c r="S16" s="1875">
        <f>S14/S25</f>
        <v>0.13454443871598695</v>
      </c>
      <c r="T16" s="1875">
        <f t="shared" si="31"/>
        <v>0.13876177147539348</v>
      </c>
      <c r="U16" s="1875">
        <f t="shared" si="31"/>
        <v>0.14532629162383273</v>
      </c>
      <c r="V16" s="1875">
        <f>V14/V25</f>
        <v>0.15261159093936605</v>
      </c>
      <c r="W16" s="1875">
        <f>W14/W25</f>
        <v>0.15993152221732126</v>
      </c>
      <c r="X16" s="1875">
        <f>X14/X25</f>
        <v>0.16742948492203427</v>
      </c>
      <c r="Y16" s="2279"/>
      <c r="Z16" s="2280"/>
      <c r="AA16" s="2288"/>
      <c r="AB16" s="1875"/>
      <c r="AC16" s="1875"/>
      <c r="AD16" s="1876">
        <f t="shared" ref="AD16:BI16" si="32">AD14/AD$25</f>
        <v>0.10677371432183837</v>
      </c>
      <c r="AE16" s="1877">
        <f t="shared" si="32"/>
        <v>0.11053993235686471</v>
      </c>
      <c r="AF16" s="1875">
        <f t="shared" si="32"/>
        <v>0.11294579615776525</v>
      </c>
      <c r="AG16" s="1875">
        <f t="shared" si="32"/>
        <v>0.11523365470733891</v>
      </c>
      <c r="AH16" s="1876">
        <f t="shared" si="32"/>
        <v>0.11944232755008791</v>
      </c>
      <c r="AI16" s="1877">
        <f t="shared" si="32"/>
        <v>0.12247304638809842</v>
      </c>
      <c r="AJ16" s="1875">
        <f t="shared" si="32"/>
        <v>0.12540793155819549</v>
      </c>
      <c r="AK16" s="1875">
        <f t="shared" si="32"/>
        <v>0.13531126110016206</v>
      </c>
      <c r="AL16" s="1876">
        <f t="shared" si="32"/>
        <v>0.13039105713070051</v>
      </c>
      <c r="AM16" s="1877">
        <f t="shared" si="32"/>
        <v>0.16768605266144751</v>
      </c>
      <c r="AN16" s="1875">
        <f t="shared" si="32"/>
        <v>0.17297683961637805</v>
      </c>
      <c r="AO16" s="1875">
        <f t="shared" si="32"/>
        <v>0.18109703146781236</v>
      </c>
      <c r="AP16" s="1876">
        <f t="shared" si="32"/>
        <v>0.18359857704549709</v>
      </c>
      <c r="AQ16" s="1877">
        <f t="shared" si="32"/>
        <v>0.19696903436327853</v>
      </c>
      <c r="AR16" s="1875">
        <f t="shared" si="32"/>
        <v>0.20187711975077344</v>
      </c>
      <c r="AS16" s="1875">
        <f t="shared" si="32"/>
        <v>0.21483918349832623</v>
      </c>
      <c r="AT16" s="1876">
        <f t="shared" si="32"/>
        <v>0.21637903976066122</v>
      </c>
      <c r="AU16" s="1877">
        <f t="shared" si="32"/>
        <v>0.10716085830147247</v>
      </c>
      <c r="AV16" s="1875">
        <f t="shared" si="32"/>
        <v>0.11266419193465159</v>
      </c>
      <c r="AW16" s="1875">
        <f t="shared" si="32"/>
        <v>0.11837821563182983</v>
      </c>
      <c r="AX16" s="1878">
        <f t="shared" si="32"/>
        <v>0.12316624819473741</v>
      </c>
      <c r="AY16" s="495">
        <f t="shared" si="32"/>
        <v>0.12131802687925385</v>
      </c>
      <c r="AZ16" s="1875">
        <f t="shared" si="32"/>
        <v>0.12530479365897096</v>
      </c>
      <c r="BA16" s="1875">
        <f t="shared" si="32"/>
        <v>0.12442625029802215</v>
      </c>
      <c r="BB16" s="1876">
        <f t="shared" si="32"/>
        <v>0.12606777307349823</v>
      </c>
      <c r="BC16" s="1877">
        <f t="shared" si="32"/>
        <v>0.12262161612049666</v>
      </c>
      <c r="BD16" s="1875">
        <f t="shared" si="32"/>
        <v>0.12669942315615987</v>
      </c>
      <c r="BE16" s="1879">
        <f t="shared" si="32"/>
        <v>0.13117376981675932</v>
      </c>
      <c r="BF16" s="1879">
        <f t="shared" si="32"/>
        <v>0.13695672976908674</v>
      </c>
      <c r="BG16" s="1880">
        <f t="shared" ca="1" si="32"/>
        <v>0.13090651916905927</v>
      </c>
      <c r="BH16" s="1875">
        <f t="shared" si="32"/>
        <v>0.13713144711243466</v>
      </c>
      <c r="BI16" s="1879">
        <f t="shared" si="32"/>
        <v>0.14364112021425823</v>
      </c>
      <c r="BJ16" s="1996">
        <f t="shared" ref="BJ16:BR16" si="33">BJ14/BJ$25</f>
        <v>0.14798984150155514</v>
      </c>
      <c r="BK16" s="1879">
        <f t="shared" si="33"/>
        <v>0.14089169246559341</v>
      </c>
      <c r="BL16" s="1879">
        <f t="shared" si="33"/>
        <v>0.14789681677525646</v>
      </c>
      <c r="BM16" s="1879">
        <f t="shared" si="33"/>
        <v>0.15489729430382176</v>
      </c>
      <c r="BN16" s="1879">
        <f t="shared" si="33"/>
        <v>0.15903153065278175</v>
      </c>
      <c r="BO16" s="1880">
        <f t="shared" si="33"/>
        <v>0.15148394297599602</v>
      </c>
      <c r="BP16" s="1879">
        <f t="shared" si="33"/>
        <v>0.15792153730788733</v>
      </c>
      <c r="BQ16" s="1879">
        <f t="shared" si="33"/>
        <v>0.16375476651013937</v>
      </c>
      <c r="BR16" s="1879">
        <f t="shared" si="33"/>
        <v>0.16753082805620761</v>
      </c>
      <c r="BS16" s="1880">
        <f t="shared" ref="BS16:BY16" si="34">BS14/BS$25</f>
        <v>0.15731854233524165</v>
      </c>
      <c r="BT16" s="1879">
        <f t="shared" si="34"/>
        <v>0.164430452894884</v>
      </c>
      <c r="BU16" s="1879">
        <f t="shared" si="34"/>
        <v>0.17086869126506057</v>
      </c>
      <c r="BV16" s="1996">
        <f t="shared" si="34"/>
        <v>0.17806725910803678</v>
      </c>
      <c r="BW16" s="1880">
        <f t="shared" si="34"/>
        <v>0.16564640490225097</v>
      </c>
      <c r="BX16" s="1879">
        <f t="shared" si="34"/>
        <v>0.17391910093133006</v>
      </c>
      <c r="BY16" s="1879">
        <f t="shared" si="34"/>
        <v>0.17358638318388764</v>
      </c>
      <c r="BZ16" s="1996">
        <f t="shared" ref="BZ16:CC16" si="35">BZ14/BZ$25</f>
        <v>0.17962603167067184</v>
      </c>
      <c r="CA16" s="1879">
        <f t="shared" si="35"/>
        <v>0.16955372537572511</v>
      </c>
      <c r="CB16" s="1879">
        <f t="shared" si="35"/>
        <v>0.17563465865818303</v>
      </c>
      <c r="CC16" s="1879">
        <f t="shared" si="35"/>
        <v>0.18039694373679047</v>
      </c>
      <c r="CD16" s="1996">
        <f>CD14/CD$25</f>
        <v>0.18767271626674928</v>
      </c>
      <c r="CE16" s="1879">
        <f>CE14/CE$25</f>
        <v>0.17763677934424535</v>
      </c>
      <c r="CF16" s="1879">
        <f>CF14/CF$25</f>
        <v>0.18891204742606291</v>
      </c>
      <c r="CG16" s="1879">
        <f>CG14/CG$25</f>
        <v>0.194772611567363</v>
      </c>
      <c r="CH16" s="1879">
        <f t="shared" ref="CH16" si="36">CH14/CH$25</f>
        <v>0.13136755966855612</v>
      </c>
      <c r="CI16" s="1880">
        <f>CI14/CI$25</f>
        <v>0.12094032887520741</v>
      </c>
      <c r="CJ16" s="1879">
        <f>CJ14/CJ$25</f>
        <v>0.1248875459295264</v>
      </c>
      <c r="CK16" s="1879">
        <f>CK14/CK$25</f>
        <v>0.12782786348672814</v>
      </c>
      <c r="CL16" s="1996">
        <f>CL14/CL$25</f>
        <v>0.13010603833417053</v>
      </c>
      <c r="CM16" s="764"/>
    </row>
    <row r="17" spans="1:91" hidden="1">
      <c r="A17" s="1868" t="s">
        <v>792</v>
      </c>
      <c r="B17" s="1869"/>
      <c r="C17" s="1869"/>
      <c r="D17" s="1869"/>
      <c r="E17" s="1870">
        <f>Subscribers!F69/1000</f>
        <v>0</v>
      </c>
      <c r="F17" s="1870">
        <f>Subscribers!G69/1000</f>
        <v>0</v>
      </c>
      <c r="G17" s="1870">
        <f>Subscribers!H69/1000</f>
        <v>0</v>
      </c>
      <c r="H17" s="1870">
        <f>Subscribers!I69/1000</f>
        <v>0</v>
      </c>
      <c r="I17" s="1870">
        <f>Subscribers!J69/1000</f>
        <v>0</v>
      </c>
      <c r="J17" s="1870"/>
      <c r="K17" s="1870">
        <f>Subscribers!L69/1000</f>
        <v>0</v>
      </c>
      <c r="L17" s="1869">
        <f>+SUM(BG17:BJ17)</f>
        <v>0</v>
      </c>
      <c r="M17" s="1869">
        <f>+SUM(BK17:BN17)</f>
        <v>0</v>
      </c>
      <c r="N17" s="1870">
        <f>+SUM(BO17:BR17)</f>
        <v>0</v>
      </c>
      <c r="O17" s="1870">
        <f>+SUM(BS17:BV17)</f>
        <v>0</v>
      </c>
      <c r="P17" s="1870">
        <f>+SUM(BT17:BW17)</f>
        <v>0</v>
      </c>
      <c r="Q17" s="1870">
        <f>Subscribers!R69/1000</f>
        <v>0</v>
      </c>
      <c r="R17" s="1870">
        <f>Subscribers!S69/1000</f>
        <v>0</v>
      </c>
      <c r="S17" s="1870">
        <f>Subscribers!T69/1000</f>
        <v>0</v>
      </c>
      <c r="T17" s="1870">
        <f>Subscribers!U69/1000</f>
        <v>0</v>
      </c>
      <c r="U17" s="1870">
        <f>Subscribers!V69/1000</f>
        <v>0</v>
      </c>
      <c r="V17" s="1870">
        <f>Subscribers!W69/1000</f>
        <v>0</v>
      </c>
      <c r="W17" s="1870">
        <f>Subscribers!X69/1000</f>
        <v>0</v>
      </c>
      <c r="X17" s="1870">
        <f>Subscribers!Y69/1000</f>
        <v>0</v>
      </c>
      <c r="Y17" s="2279"/>
      <c r="Z17" s="2280"/>
      <c r="AA17" s="2288"/>
      <c r="AB17" s="1869"/>
      <c r="AC17" s="1869"/>
      <c r="AD17" s="1873">
        <f>Subscribers!AL69/1000</f>
        <v>0</v>
      </c>
      <c r="AE17" s="1869">
        <f>Subscribers!AM69/1000</f>
        <v>0</v>
      </c>
      <c r="AF17" s="1869">
        <f>Subscribers!AN69/1000</f>
        <v>0</v>
      </c>
      <c r="AG17" s="1869">
        <f>Subscribers!AO69/1000</f>
        <v>0</v>
      </c>
      <c r="AH17" s="1873">
        <f>Subscribers!AP69/1000</f>
        <v>0</v>
      </c>
      <c r="AI17" s="1869">
        <f>Subscribers!AQ69/1000</f>
        <v>0</v>
      </c>
      <c r="AJ17" s="1869">
        <f>Subscribers!AR69/1000</f>
        <v>0</v>
      </c>
      <c r="AK17" s="1869">
        <f>Subscribers!AS69/1000</f>
        <v>0</v>
      </c>
      <c r="AL17" s="1873">
        <f>Subscribers!AT69/1000</f>
        <v>0</v>
      </c>
      <c r="AM17" s="1869">
        <f>Subscribers!AU69/1000</f>
        <v>0</v>
      </c>
      <c r="AN17" s="1869">
        <f>Subscribers!AV69/1000</f>
        <v>0</v>
      </c>
      <c r="AO17" s="1869">
        <f>Subscribers!AW69/1000</f>
        <v>0</v>
      </c>
      <c r="AP17" s="1873">
        <f>Subscribers!AX69/1000</f>
        <v>0</v>
      </c>
      <c r="AQ17" s="1869">
        <f>Subscribers!AY69/1000</f>
        <v>0</v>
      </c>
      <c r="AR17" s="1869">
        <f>Subscribers!AZ69/1000</f>
        <v>0</v>
      </c>
      <c r="AS17" s="1869">
        <f>Subscribers!BA69/1000</f>
        <v>0</v>
      </c>
      <c r="AT17" s="1873">
        <f>Subscribers!BB69/1000</f>
        <v>0</v>
      </c>
      <c r="AU17" s="1869">
        <f>Subscribers!BC69/1000</f>
        <v>0</v>
      </c>
      <c r="AV17" s="1869">
        <f>Subscribers!BD69/1000</f>
        <v>0</v>
      </c>
      <c r="AW17" s="1869">
        <f>Subscribers!BE69/1000</f>
        <v>0</v>
      </c>
      <c r="AX17" s="1873">
        <f>Subscribers!BF69/1000</f>
        <v>0</v>
      </c>
      <c r="AY17" s="1872">
        <f>Subscribers!BG69/1000</f>
        <v>0</v>
      </c>
      <c r="AZ17" s="1869">
        <f>Subscribers!BH69/1000</f>
        <v>0</v>
      </c>
      <c r="BA17" s="1869">
        <f>Subscribers!BI69/1000</f>
        <v>0</v>
      </c>
      <c r="BB17" s="1873">
        <f>Subscribers!BJ69/1000</f>
        <v>0</v>
      </c>
      <c r="BC17" s="1872">
        <f>Subscribers!BK69/1000</f>
        <v>0</v>
      </c>
      <c r="BD17" s="1869">
        <f>Subscribers!BL69/1000</f>
        <v>0</v>
      </c>
      <c r="BE17" s="1881">
        <f>Subscribers!BM69/1000</f>
        <v>0</v>
      </c>
      <c r="BF17" s="1881">
        <f>Subscribers!BN69/1000</f>
        <v>0</v>
      </c>
      <c r="BG17" s="1882">
        <f>Subscribers!BO69/1000</f>
        <v>0</v>
      </c>
      <c r="BH17" s="1869">
        <f>Subscribers!BP69/1000</f>
        <v>0</v>
      </c>
      <c r="BI17" s="1881">
        <f>Subscribers!BQ69/1000</f>
        <v>0</v>
      </c>
      <c r="BJ17" s="1997">
        <f>Subscribers!BR69/1000</f>
        <v>0</v>
      </c>
      <c r="BK17" s="1881">
        <f>Subscribers!BS69/1000</f>
        <v>0</v>
      </c>
      <c r="BL17" s="1881">
        <f>Subscribers!BT69/1000</f>
        <v>0</v>
      </c>
      <c r="BM17" s="1881">
        <f>Subscribers!BU69/1000</f>
        <v>0</v>
      </c>
      <c r="BN17" s="1881">
        <f>Subscribers!BV69/1000</f>
        <v>0</v>
      </c>
      <c r="BO17" s="1882">
        <f>Subscribers!BW69/1000</f>
        <v>0</v>
      </c>
      <c r="BP17" s="1881">
        <f>Subscribers!BX69/1000</f>
        <v>0</v>
      </c>
      <c r="BQ17" s="1881">
        <f>Subscribers!BY69/1000</f>
        <v>0</v>
      </c>
      <c r="BR17" s="1881">
        <f>Subscribers!BZ69/1000</f>
        <v>0</v>
      </c>
      <c r="BS17" s="1882">
        <f>Subscribers!CA69/1000</f>
        <v>0</v>
      </c>
      <c r="BT17" s="1881">
        <f>Subscribers!CB69/1000</f>
        <v>0</v>
      </c>
      <c r="BU17" s="1881">
        <f>Subscribers!CC69/1000</f>
        <v>0</v>
      </c>
      <c r="BV17" s="1997">
        <f>Subscribers!CD69/1000</f>
        <v>0</v>
      </c>
      <c r="BW17" s="1882">
        <f>Subscribers!CE69/1000</f>
        <v>0</v>
      </c>
      <c r="BX17" s="1881">
        <f>Subscribers!CF69/1000</f>
        <v>0</v>
      </c>
      <c r="BY17" s="1881">
        <f>Subscribers!CG69/1000</f>
        <v>0</v>
      </c>
      <c r="BZ17" s="1997">
        <f>Subscribers!CH69/1000</f>
        <v>0</v>
      </c>
      <c r="CA17" s="1881">
        <f>Subscribers!CI69/1000</f>
        <v>0</v>
      </c>
      <c r="CB17" s="1881">
        <f>Subscribers!CJ69/1000</f>
        <v>0</v>
      </c>
      <c r="CC17" s="1881">
        <f>Subscribers!CK69/1000</f>
        <v>0</v>
      </c>
      <c r="CD17" s="1997">
        <f>Subscribers!CL69/1000</f>
        <v>0</v>
      </c>
      <c r="CE17" s="1881">
        <f>Subscribers!CM69/1000</f>
        <v>0</v>
      </c>
      <c r="CF17" s="1881">
        <f>Subscribers!CN69/1000</f>
        <v>0</v>
      </c>
      <c r="CG17" s="1881">
        <f>Subscribers!CO69/1000</f>
        <v>0</v>
      </c>
      <c r="CH17" s="1881">
        <f>Subscribers!CP69/1000</f>
        <v>0</v>
      </c>
      <c r="CI17" s="1882">
        <f>Subscribers!CQ69/1000</f>
        <v>0</v>
      </c>
      <c r="CJ17" s="1881">
        <f>Subscribers!CR69/1000</f>
        <v>0</v>
      </c>
      <c r="CK17" s="1881">
        <f>Subscribers!CS69/1000</f>
        <v>0</v>
      </c>
      <c r="CL17" s="1997">
        <f>Subscribers!CT69/1000</f>
        <v>0</v>
      </c>
      <c r="CM17" s="764"/>
    </row>
    <row r="18" spans="1:91" hidden="1">
      <c r="A18" s="1874" t="s">
        <v>993</v>
      </c>
      <c r="B18" s="1869"/>
      <c r="C18" s="1869"/>
      <c r="D18" s="1869"/>
      <c r="E18" s="1875"/>
      <c r="F18" s="1875" t="e">
        <f>+F17/E17-1</f>
        <v>#DIV/0!</v>
      </c>
      <c r="G18" s="1875" t="e">
        <f>+G17/F17-1</f>
        <v>#DIV/0!</v>
      </c>
      <c r="H18" s="1875" t="e">
        <f>+H17/G17-1</f>
        <v>#DIV/0!</v>
      </c>
      <c r="I18" s="1875" t="e">
        <f>+I17/H17-1</f>
        <v>#DIV/0!</v>
      </c>
      <c r="J18" s="1875"/>
      <c r="K18" s="1875"/>
      <c r="L18" s="1875" t="e">
        <f t="shared" ref="L18:Q18" si="37">+L17/K17-1</f>
        <v>#DIV/0!</v>
      </c>
      <c r="M18" s="1875" t="e">
        <f t="shared" si="37"/>
        <v>#DIV/0!</v>
      </c>
      <c r="N18" s="1875" t="e">
        <f t="shared" si="37"/>
        <v>#DIV/0!</v>
      </c>
      <c r="O18" s="1875" t="e">
        <f t="shared" si="37"/>
        <v>#DIV/0!</v>
      </c>
      <c r="P18" s="1875" t="e">
        <f t="shared" si="37"/>
        <v>#DIV/0!</v>
      </c>
      <c r="Q18" s="1875" t="e">
        <f t="shared" si="37"/>
        <v>#DIV/0!</v>
      </c>
      <c r="R18" s="1875" t="e">
        <f t="shared" ref="R18:X18" si="38">+R17/Q17-1</f>
        <v>#DIV/0!</v>
      </c>
      <c r="S18" s="1875" t="e">
        <f t="shared" si="38"/>
        <v>#DIV/0!</v>
      </c>
      <c r="T18" s="1875" t="e">
        <f t="shared" si="38"/>
        <v>#DIV/0!</v>
      </c>
      <c r="U18" s="1875" t="e">
        <f t="shared" si="38"/>
        <v>#DIV/0!</v>
      </c>
      <c r="V18" s="1875" t="e">
        <f t="shared" si="38"/>
        <v>#DIV/0!</v>
      </c>
      <c r="W18" s="1875" t="e">
        <f t="shared" si="38"/>
        <v>#DIV/0!</v>
      </c>
      <c r="X18" s="1875" t="e">
        <f t="shared" si="38"/>
        <v>#DIV/0!</v>
      </c>
      <c r="Y18" s="2279"/>
      <c r="Z18" s="2280"/>
      <c r="AA18" s="2288"/>
      <c r="AB18" s="1883"/>
      <c r="AC18" s="1883"/>
      <c r="AD18" s="1884"/>
      <c r="AE18" s="1877"/>
      <c r="AF18" s="1875"/>
      <c r="AG18" s="1875"/>
      <c r="AH18" s="1876" t="e">
        <f t="shared" ref="AH18:BU18" si="39">AH17/AD17-1</f>
        <v>#DIV/0!</v>
      </c>
      <c r="AI18" s="1877" t="e">
        <f t="shared" si="39"/>
        <v>#DIV/0!</v>
      </c>
      <c r="AJ18" s="1875" t="e">
        <f t="shared" si="39"/>
        <v>#DIV/0!</v>
      </c>
      <c r="AK18" s="1875" t="e">
        <f t="shared" si="39"/>
        <v>#DIV/0!</v>
      </c>
      <c r="AL18" s="1876" t="e">
        <f t="shared" si="39"/>
        <v>#DIV/0!</v>
      </c>
      <c r="AM18" s="1877" t="e">
        <f t="shared" si="39"/>
        <v>#DIV/0!</v>
      </c>
      <c r="AN18" s="1875" t="e">
        <f t="shared" si="39"/>
        <v>#DIV/0!</v>
      </c>
      <c r="AO18" s="1875" t="e">
        <f t="shared" si="39"/>
        <v>#DIV/0!</v>
      </c>
      <c r="AP18" s="1876" t="e">
        <f t="shared" si="39"/>
        <v>#DIV/0!</v>
      </c>
      <c r="AQ18" s="1877" t="e">
        <f t="shared" si="39"/>
        <v>#DIV/0!</v>
      </c>
      <c r="AR18" s="1875" t="e">
        <f t="shared" si="39"/>
        <v>#DIV/0!</v>
      </c>
      <c r="AS18" s="1875" t="e">
        <f t="shared" si="39"/>
        <v>#DIV/0!</v>
      </c>
      <c r="AT18" s="1876" t="e">
        <f t="shared" si="39"/>
        <v>#DIV/0!</v>
      </c>
      <c r="AU18" s="1877" t="e">
        <f t="shared" si="39"/>
        <v>#DIV/0!</v>
      </c>
      <c r="AV18" s="1875" t="e">
        <f t="shared" si="39"/>
        <v>#DIV/0!</v>
      </c>
      <c r="AW18" s="1875" t="e">
        <f t="shared" si="39"/>
        <v>#DIV/0!</v>
      </c>
      <c r="AX18" s="1878" t="e">
        <f t="shared" si="39"/>
        <v>#DIV/0!</v>
      </c>
      <c r="AY18" s="495" t="e">
        <f t="shared" si="39"/>
        <v>#DIV/0!</v>
      </c>
      <c r="AZ18" s="1875" t="e">
        <f t="shared" si="39"/>
        <v>#DIV/0!</v>
      </c>
      <c r="BA18" s="1875" t="e">
        <f t="shared" si="39"/>
        <v>#DIV/0!</v>
      </c>
      <c r="BB18" s="1876" t="e">
        <f t="shared" si="39"/>
        <v>#DIV/0!</v>
      </c>
      <c r="BC18" s="1877" t="e">
        <f t="shared" si="39"/>
        <v>#DIV/0!</v>
      </c>
      <c r="BD18" s="1875" t="e">
        <f t="shared" si="39"/>
        <v>#DIV/0!</v>
      </c>
      <c r="BE18" s="1879" t="e">
        <f t="shared" si="39"/>
        <v>#DIV/0!</v>
      </c>
      <c r="BF18" s="1879" t="e">
        <f t="shared" si="39"/>
        <v>#DIV/0!</v>
      </c>
      <c r="BG18" s="1880" t="e">
        <f t="shared" si="39"/>
        <v>#DIV/0!</v>
      </c>
      <c r="BH18" s="1875" t="e">
        <f t="shared" si="39"/>
        <v>#DIV/0!</v>
      </c>
      <c r="BI18" s="1879" t="e">
        <f t="shared" si="39"/>
        <v>#DIV/0!</v>
      </c>
      <c r="BJ18" s="1996" t="e">
        <f t="shared" si="39"/>
        <v>#DIV/0!</v>
      </c>
      <c r="BK18" s="1879" t="e">
        <f t="shared" si="39"/>
        <v>#DIV/0!</v>
      </c>
      <c r="BL18" s="1879" t="e">
        <f t="shared" si="39"/>
        <v>#DIV/0!</v>
      </c>
      <c r="BM18" s="1879" t="e">
        <f t="shared" si="39"/>
        <v>#DIV/0!</v>
      </c>
      <c r="BN18" s="1879" t="e">
        <f t="shared" si="39"/>
        <v>#DIV/0!</v>
      </c>
      <c r="BO18" s="1880" t="e">
        <f t="shared" si="39"/>
        <v>#DIV/0!</v>
      </c>
      <c r="BP18" s="1879" t="e">
        <f t="shared" si="39"/>
        <v>#DIV/0!</v>
      </c>
      <c r="BQ18" s="1879" t="e">
        <f t="shared" si="39"/>
        <v>#DIV/0!</v>
      </c>
      <c r="BR18" s="1879" t="e">
        <f t="shared" si="39"/>
        <v>#DIV/0!</v>
      </c>
      <c r="BS18" s="1880" t="e">
        <f t="shared" si="39"/>
        <v>#DIV/0!</v>
      </c>
      <c r="BT18" s="1879" t="e">
        <f t="shared" si="39"/>
        <v>#DIV/0!</v>
      </c>
      <c r="BU18" s="1879" t="e">
        <f t="shared" si="39"/>
        <v>#DIV/0!</v>
      </c>
      <c r="BV18" s="1996" t="e">
        <f t="shared" ref="BV18:CC18" si="40">BV17/BR17-1</f>
        <v>#DIV/0!</v>
      </c>
      <c r="BW18" s="1880" t="e">
        <f t="shared" si="40"/>
        <v>#DIV/0!</v>
      </c>
      <c r="BX18" s="1879" t="e">
        <f t="shared" si="40"/>
        <v>#DIV/0!</v>
      </c>
      <c r="BY18" s="1879" t="e">
        <f t="shared" si="40"/>
        <v>#DIV/0!</v>
      </c>
      <c r="BZ18" s="1996" t="e">
        <f>BZ17/BV17-1</f>
        <v>#DIV/0!</v>
      </c>
      <c r="CA18" s="1879" t="e">
        <f t="shared" si="40"/>
        <v>#DIV/0!</v>
      </c>
      <c r="CB18" s="1879" t="e">
        <f>CB17/BX17-1</f>
        <v>#DIV/0!</v>
      </c>
      <c r="CC18" s="1879" t="e">
        <f t="shared" si="40"/>
        <v>#DIV/0!</v>
      </c>
      <c r="CD18" s="1996" t="e">
        <f t="shared" ref="CD18:CL18" si="41">CD17/BZ17-1</f>
        <v>#DIV/0!</v>
      </c>
      <c r="CE18" s="1879" t="e">
        <f t="shared" si="41"/>
        <v>#DIV/0!</v>
      </c>
      <c r="CF18" s="1879" t="e">
        <f t="shared" si="41"/>
        <v>#DIV/0!</v>
      </c>
      <c r="CG18" s="1879" t="e">
        <f t="shared" si="41"/>
        <v>#DIV/0!</v>
      </c>
      <c r="CH18" s="1879" t="e">
        <f t="shared" ref="CH18" si="42">CH17/CD17-1</f>
        <v>#DIV/0!</v>
      </c>
      <c r="CI18" s="1880" t="e">
        <f t="shared" si="41"/>
        <v>#DIV/0!</v>
      </c>
      <c r="CJ18" s="1879" t="e">
        <f t="shared" si="41"/>
        <v>#DIV/0!</v>
      </c>
      <c r="CK18" s="1879" t="e">
        <f t="shared" si="41"/>
        <v>#DIV/0!</v>
      </c>
      <c r="CL18" s="1996" t="e">
        <f t="shared" si="41"/>
        <v>#DIV/0!</v>
      </c>
      <c r="CM18" s="764"/>
    </row>
    <row r="19" spans="1:91" hidden="1">
      <c r="A19" s="1874" t="s">
        <v>994</v>
      </c>
      <c r="B19" s="1869"/>
      <c r="C19" s="1869"/>
      <c r="D19" s="1869"/>
      <c r="E19" s="1875">
        <f t="shared" ref="E19:O19" si="43">E17/E25</f>
        <v>0</v>
      </c>
      <c r="F19" s="1875">
        <f t="shared" si="43"/>
        <v>0</v>
      </c>
      <c r="G19" s="1875">
        <f t="shared" si="43"/>
        <v>0</v>
      </c>
      <c r="H19" s="1875">
        <f t="shared" si="43"/>
        <v>0</v>
      </c>
      <c r="I19" s="1875">
        <f t="shared" si="43"/>
        <v>0</v>
      </c>
      <c r="J19" s="1875">
        <f t="shared" si="43"/>
        <v>0</v>
      </c>
      <c r="K19" s="1875">
        <f t="shared" si="43"/>
        <v>0</v>
      </c>
      <c r="L19" s="1875">
        <f t="shared" ca="1" si="43"/>
        <v>0</v>
      </c>
      <c r="M19" s="1875">
        <f t="shared" si="43"/>
        <v>0</v>
      </c>
      <c r="N19" s="1875">
        <f>N17/N25</f>
        <v>0</v>
      </c>
      <c r="O19" s="1875">
        <f t="shared" si="43"/>
        <v>0</v>
      </c>
      <c r="P19" s="1875">
        <f t="shared" ref="P19:U19" si="44">P17/P25</f>
        <v>0</v>
      </c>
      <c r="Q19" s="1875">
        <f t="shared" si="44"/>
        <v>0</v>
      </c>
      <c r="R19" s="1875">
        <f>R17/R25</f>
        <v>0</v>
      </c>
      <c r="S19" s="1875">
        <f>S17/S25</f>
        <v>0</v>
      </c>
      <c r="T19" s="1875">
        <f t="shared" si="44"/>
        <v>0</v>
      </c>
      <c r="U19" s="1875">
        <f t="shared" si="44"/>
        <v>0</v>
      </c>
      <c r="V19" s="1875">
        <f>V17/V25</f>
        <v>0</v>
      </c>
      <c r="W19" s="1875">
        <f>W17/W25</f>
        <v>0</v>
      </c>
      <c r="X19" s="1875">
        <f>X17/X25</f>
        <v>0</v>
      </c>
      <c r="Y19" s="2279"/>
      <c r="Z19" s="2280"/>
      <c r="AA19" s="2288"/>
      <c r="AB19" s="1875"/>
      <c r="AC19" s="1875"/>
      <c r="AD19" s="1876">
        <f t="shared" ref="AD19:BI19" si="45">AD17/AD$25</f>
        <v>0</v>
      </c>
      <c r="AE19" s="1877">
        <f t="shared" si="45"/>
        <v>0</v>
      </c>
      <c r="AF19" s="1875">
        <f t="shared" si="45"/>
        <v>0</v>
      </c>
      <c r="AG19" s="1875">
        <f t="shared" si="45"/>
        <v>0</v>
      </c>
      <c r="AH19" s="1876">
        <f t="shared" si="45"/>
        <v>0</v>
      </c>
      <c r="AI19" s="1877">
        <f t="shared" si="45"/>
        <v>0</v>
      </c>
      <c r="AJ19" s="1875">
        <f t="shared" si="45"/>
        <v>0</v>
      </c>
      <c r="AK19" s="1875">
        <f t="shared" si="45"/>
        <v>0</v>
      </c>
      <c r="AL19" s="1876">
        <f t="shared" si="45"/>
        <v>0</v>
      </c>
      <c r="AM19" s="1877">
        <f t="shared" si="45"/>
        <v>0</v>
      </c>
      <c r="AN19" s="1875">
        <f t="shared" si="45"/>
        <v>0</v>
      </c>
      <c r="AO19" s="1875">
        <f t="shared" si="45"/>
        <v>0</v>
      </c>
      <c r="AP19" s="1876">
        <f t="shared" si="45"/>
        <v>0</v>
      </c>
      <c r="AQ19" s="1877">
        <f t="shared" si="45"/>
        <v>0</v>
      </c>
      <c r="AR19" s="1875">
        <f t="shared" si="45"/>
        <v>0</v>
      </c>
      <c r="AS19" s="1875">
        <f t="shared" si="45"/>
        <v>0</v>
      </c>
      <c r="AT19" s="1876">
        <f t="shared" si="45"/>
        <v>0</v>
      </c>
      <c r="AU19" s="1877">
        <f t="shared" si="45"/>
        <v>0</v>
      </c>
      <c r="AV19" s="1875">
        <f t="shared" si="45"/>
        <v>0</v>
      </c>
      <c r="AW19" s="1875">
        <f t="shared" si="45"/>
        <v>0</v>
      </c>
      <c r="AX19" s="1878">
        <f t="shared" si="45"/>
        <v>0</v>
      </c>
      <c r="AY19" s="495">
        <f t="shared" si="45"/>
        <v>0</v>
      </c>
      <c r="AZ19" s="1875">
        <f t="shared" si="45"/>
        <v>0</v>
      </c>
      <c r="BA19" s="1875">
        <f t="shared" si="45"/>
        <v>0</v>
      </c>
      <c r="BB19" s="1876">
        <f t="shared" si="45"/>
        <v>0</v>
      </c>
      <c r="BC19" s="1877">
        <f t="shared" si="45"/>
        <v>0</v>
      </c>
      <c r="BD19" s="1875">
        <f t="shared" si="45"/>
        <v>0</v>
      </c>
      <c r="BE19" s="1879">
        <f t="shared" si="45"/>
        <v>0</v>
      </c>
      <c r="BF19" s="1879">
        <f t="shared" si="45"/>
        <v>0</v>
      </c>
      <c r="BG19" s="1880">
        <f t="shared" ca="1" si="45"/>
        <v>0</v>
      </c>
      <c r="BH19" s="1875">
        <f t="shared" si="45"/>
        <v>0</v>
      </c>
      <c r="BI19" s="1879">
        <f t="shared" si="45"/>
        <v>0</v>
      </c>
      <c r="BJ19" s="1996">
        <f t="shared" ref="BJ19:BR19" si="46">BJ17/BJ$25</f>
        <v>0</v>
      </c>
      <c r="BK19" s="1879">
        <f t="shared" si="46"/>
        <v>0</v>
      </c>
      <c r="BL19" s="1879">
        <f t="shared" si="46"/>
        <v>0</v>
      </c>
      <c r="BM19" s="1879">
        <f t="shared" si="46"/>
        <v>0</v>
      </c>
      <c r="BN19" s="1879">
        <f t="shared" si="46"/>
        <v>0</v>
      </c>
      <c r="BO19" s="1880">
        <f t="shared" si="46"/>
        <v>0</v>
      </c>
      <c r="BP19" s="1879">
        <f t="shared" si="46"/>
        <v>0</v>
      </c>
      <c r="BQ19" s="1879">
        <f t="shared" si="46"/>
        <v>0</v>
      </c>
      <c r="BR19" s="1879">
        <f t="shared" si="46"/>
        <v>0</v>
      </c>
      <c r="BS19" s="1880">
        <f t="shared" ref="BS19:BY19" si="47">BS17/BS$25</f>
        <v>0</v>
      </c>
      <c r="BT19" s="1879">
        <f t="shared" si="47"/>
        <v>0</v>
      </c>
      <c r="BU19" s="1879">
        <f t="shared" si="47"/>
        <v>0</v>
      </c>
      <c r="BV19" s="1996">
        <f t="shared" si="47"/>
        <v>0</v>
      </c>
      <c r="BW19" s="1880">
        <f t="shared" si="47"/>
        <v>0</v>
      </c>
      <c r="BX19" s="1879">
        <f t="shared" si="47"/>
        <v>0</v>
      </c>
      <c r="BY19" s="1879">
        <f t="shared" si="47"/>
        <v>0</v>
      </c>
      <c r="BZ19" s="1996">
        <f t="shared" ref="BZ19:CC19" si="48">BZ17/BZ$25</f>
        <v>0</v>
      </c>
      <c r="CA19" s="1879">
        <f t="shared" si="48"/>
        <v>0</v>
      </c>
      <c r="CB19" s="1879">
        <f t="shared" si="48"/>
        <v>0</v>
      </c>
      <c r="CC19" s="1879">
        <f t="shared" si="48"/>
        <v>0</v>
      </c>
      <c r="CD19" s="1996">
        <f>CD17/CD$25</f>
        <v>0</v>
      </c>
      <c r="CE19" s="1879">
        <f>CE17/CE$25</f>
        <v>0</v>
      </c>
      <c r="CF19" s="1879">
        <f>CF17/CF$25</f>
        <v>0</v>
      </c>
      <c r="CG19" s="1879">
        <f>CG17/CG$25</f>
        <v>0</v>
      </c>
      <c r="CH19" s="1879">
        <f t="shared" ref="CH19" si="49">CH17/CH$25</f>
        <v>0</v>
      </c>
      <c r="CI19" s="1880">
        <f>CI17/CI$25</f>
        <v>0</v>
      </c>
      <c r="CJ19" s="1879">
        <f>CJ17/CJ$25</f>
        <v>0</v>
      </c>
      <c r="CK19" s="1879">
        <f>CK17/CK$25</f>
        <v>0</v>
      </c>
      <c r="CL19" s="1996">
        <f>CL17/CL$25</f>
        <v>0</v>
      </c>
      <c r="CM19" s="764"/>
    </row>
    <row r="20" spans="1:91" hidden="1" outlineLevel="1">
      <c r="A20" s="1868"/>
      <c r="B20" s="1869"/>
      <c r="C20" s="1869"/>
      <c r="D20" s="1869"/>
      <c r="E20" s="1875"/>
      <c r="F20" s="1875"/>
      <c r="G20" s="1875"/>
      <c r="H20" s="1875"/>
      <c r="I20" s="1875"/>
      <c r="J20" s="1875"/>
      <c r="K20" s="1870"/>
      <c r="L20" s="1869"/>
      <c r="M20" s="1869"/>
      <c r="N20" s="1870"/>
      <c r="O20" s="1870"/>
      <c r="P20" s="1870"/>
      <c r="Q20" s="1870"/>
      <c r="R20" s="1870"/>
      <c r="S20" s="1870"/>
      <c r="T20" s="1870"/>
      <c r="U20" s="1870"/>
      <c r="V20" s="1870"/>
      <c r="W20" s="1870"/>
      <c r="X20" s="1870"/>
      <c r="Y20" s="2279"/>
      <c r="Z20" s="2280"/>
      <c r="AA20" s="2288"/>
      <c r="AB20" s="1875"/>
      <c r="AC20" s="1875"/>
      <c r="AD20" s="1876"/>
      <c r="AE20" s="1875"/>
      <c r="AF20" s="1875"/>
      <c r="AG20" s="1875"/>
      <c r="AH20" s="1876"/>
      <c r="AI20" s="1875"/>
      <c r="AJ20" s="1875"/>
      <c r="AK20" s="1875"/>
      <c r="AL20" s="1876"/>
      <c r="AM20" s="1875"/>
      <c r="AN20" s="1875"/>
      <c r="AO20" s="1875"/>
      <c r="AP20" s="1876"/>
      <c r="AQ20" s="1875"/>
      <c r="AR20" s="1875"/>
      <c r="AS20" s="1875"/>
      <c r="AT20" s="1876"/>
      <c r="AU20" s="1875"/>
      <c r="AV20" s="1875"/>
      <c r="AW20" s="1875"/>
      <c r="AX20" s="1878"/>
      <c r="AY20" s="495"/>
      <c r="AZ20" s="1875"/>
      <c r="BA20" s="1875"/>
      <c r="BB20" s="1876"/>
      <c r="BC20" s="1872"/>
      <c r="BD20" s="1869"/>
      <c r="BE20" s="1881"/>
      <c r="BF20" s="1881"/>
      <c r="BG20" s="1872"/>
      <c r="BH20" s="1869"/>
      <c r="BI20" s="1881"/>
      <c r="BJ20" s="1997"/>
      <c r="BK20" s="1881"/>
      <c r="BL20" s="1881"/>
      <c r="BM20" s="1881"/>
      <c r="BN20" s="1881"/>
      <c r="BO20" s="1882"/>
      <c r="BP20" s="1881"/>
      <c r="BQ20" s="1881"/>
      <c r="BR20" s="1881"/>
      <c r="BS20" s="1882"/>
      <c r="BT20" s="1881"/>
      <c r="BU20" s="1881"/>
      <c r="BV20" s="1997"/>
      <c r="BW20" s="1882"/>
      <c r="BX20" s="1881"/>
      <c r="BY20" s="1881"/>
      <c r="BZ20" s="1997"/>
      <c r="CA20" s="1881"/>
      <c r="CB20" s="1881"/>
      <c r="CC20" s="1881"/>
      <c r="CD20" s="1997"/>
      <c r="CE20" s="1881"/>
      <c r="CF20" s="1881"/>
      <c r="CG20" s="1881"/>
      <c r="CH20" s="1881"/>
      <c r="CI20" s="1882"/>
      <c r="CJ20" s="1881"/>
      <c r="CK20" s="1881"/>
      <c r="CL20" s="1997"/>
      <c r="CM20" s="764"/>
    </row>
    <row r="21" spans="1:91" hidden="1" outlineLevel="1">
      <c r="A21" s="1874"/>
      <c r="B21" s="1869"/>
      <c r="C21" s="1869"/>
      <c r="D21" s="1869"/>
      <c r="E21" s="1875"/>
      <c r="F21" s="1875"/>
      <c r="G21" s="1875"/>
      <c r="H21" s="1875"/>
      <c r="I21" s="1875"/>
      <c r="J21" s="1875"/>
      <c r="K21" s="1875"/>
      <c r="L21" s="1875"/>
      <c r="M21" s="1875"/>
      <c r="N21" s="1875"/>
      <c r="O21" s="1875"/>
      <c r="P21" s="1875"/>
      <c r="Q21" s="1875"/>
      <c r="R21" s="1875"/>
      <c r="S21" s="1875"/>
      <c r="T21" s="1875"/>
      <c r="U21" s="1875"/>
      <c r="V21" s="1875"/>
      <c r="W21" s="1875"/>
      <c r="X21" s="1875"/>
      <c r="Y21" s="2279"/>
      <c r="Z21" s="2280"/>
      <c r="AA21" s="2288"/>
      <c r="AB21" s="1875"/>
      <c r="AC21" s="1875"/>
      <c r="AD21" s="1876"/>
      <c r="AE21" s="1875"/>
      <c r="AF21" s="1875"/>
      <c r="AG21" s="1875"/>
      <c r="AH21" s="1876"/>
      <c r="AI21" s="1875"/>
      <c r="AJ21" s="1875"/>
      <c r="AK21" s="1875"/>
      <c r="AL21" s="1876"/>
      <c r="AM21" s="1875"/>
      <c r="AN21" s="1875"/>
      <c r="AO21" s="1875"/>
      <c r="AP21" s="1876"/>
      <c r="AQ21" s="1875"/>
      <c r="AR21" s="1875"/>
      <c r="AS21" s="1875"/>
      <c r="AT21" s="1876"/>
      <c r="AU21" s="1875"/>
      <c r="AV21" s="1875"/>
      <c r="AW21" s="1875"/>
      <c r="AX21" s="1878"/>
      <c r="AY21" s="495"/>
      <c r="AZ21" s="1875"/>
      <c r="BA21" s="1875"/>
      <c r="BB21" s="1876"/>
      <c r="BC21" s="1877"/>
      <c r="BD21" s="1875"/>
      <c r="BE21" s="1879"/>
      <c r="BF21" s="1879"/>
      <c r="BG21" s="1880"/>
      <c r="BH21" s="1875"/>
      <c r="BI21" s="1879"/>
      <c r="BJ21" s="1996"/>
      <c r="BK21" s="1879"/>
      <c r="BL21" s="1879"/>
      <c r="BM21" s="1879"/>
      <c r="BN21" s="1879"/>
      <c r="BO21" s="1880"/>
      <c r="BP21" s="1879"/>
      <c r="BQ21" s="1879"/>
      <c r="BR21" s="1879"/>
      <c r="BS21" s="1880"/>
      <c r="BT21" s="1879"/>
      <c r="BU21" s="1879"/>
      <c r="BV21" s="1996"/>
      <c r="BW21" s="1880"/>
      <c r="BX21" s="1879"/>
      <c r="BY21" s="1879"/>
      <c r="BZ21" s="1996"/>
      <c r="CA21" s="1879"/>
      <c r="CB21" s="1879"/>
      <c r="CC21" s="1881"/>
      <c r="CD21" s="1996"/>
      <c r="CE21" s="1879"/>
      <c r="CF21" s="1879"/>
      <c r="CG21" s="1879"/>
      <c r="CH21" s="1879"/>
      <c r="CI21" s="1880"/>
      <c r="CJ21" s="1879"/>
      <c r="CK21" s="1879"/>
      <c r="CL21" s="1996"/>
      <c r="CM21" s="764"/>
    </row>
    <row r="22" spans="1:91" hidden="1" outlineLevel="1">
      <c r="A22" s="418" t="s">
        <v>778</v>
      </c>
      <c r="B22" s="1869"/>
      <c r="C22" s="1869"/>
      <c r="D22" s="1869"/>
      <c r="E22" s="1875"/>
      <c r="F22" s="1875"/>
      <c r="G22" s="1875"/>
      <c r="H22" s="1875"/>
      <c r="I22" s="1875"/>
      <c r="J22" s="1875"/>
      <c r="K22" s="1875"/>
      <c r="L22" s="1875"/>
      <c r="M22" s="1875"/>
      <c r="N22" s="1875"/>
      <c r="O22" s="1875"/>
      <c r="P22" s="1875"/>
      <c r="Q22" s="1875"/>
      <c r="R22" s="1875"/>
      <c r="S22" s="1875"/>
      <c r="T22" s="2940">
        <f>'Segments New'!P11</f>
        <v>23587.128801288247</v>
      </c>
      <c r="U22" s="2940">
        <f>'Segments New'!Q11</f>
        <v>23390.396585862542</v>
      </c>
      <c r="V22" s="2940">
        <f>'Segments New'!R11</f>
        <v>23239.035680115514</v>
      </c>
      <c r="W22" s="2940">
        <f>'Segments New'!S11</f>
        <v>23167.738217531711</v>
      </c>
      <c r="X22" s="2940">
        <f>'Segments New'!T11</f>
        <v>23120.055791550392</v>
      </c>
      <c r="Y22" s="2279"/>
      <c r="Z22" s="2280"/>
      <c r="AA22" s="2288"/>
      <c r="AB22" s="1875"/>
      <c r="AC22" s="1875"/>
      <c r="AD22" s="1876"/>
      <c r="AE22" s="1875"/>
      <c r="AF22" s="1875"/>
      <c r="AG22" s="1875"/>
      <c r="AH22" s="1876"/>
      <c r="AI22" s="1875"/>
      <c r="AJ22" s="1875"/>
      <c r="AK22" s="1875"/>
      <c r="AL22" s="1876"/>
      <c r="AM22" s="1875"/>
      <c r="AN22" s="1875"/>
      <c r="AO22" s="1875"/>
      <c r="AP22" s="1876"/>
      <c r="AQ22" s="1875"/>
      <c r="AR22" s="1875"/>
      <c r="AS22" s="1875"/>
      <c r="AT22" s="1876"/>
      <c r="AU22" s="1875"/>
      <c r="AV22" s="1875"/>
      <c r="AW22" s="1875"/>
      <c r="AX22" s="1878"/>
      <c r="AY22" s="495"/>
      <c r="AZ22" s="1875"/>
      <c r="BA22" s="1875"/>
      <c r="BB22" s="1876"/>
      <c r="BC22" s="1877"/>
      <c r="BD22" s="1875"/>
      <c r="BE22" s="1879"/>
      <c r="BF22" s="1879"/>
      <c r="BG22" s="1880"/>
      <c r="BH22" s="1875"/>
      <c r="BI22" s="1879"/>
      <c r="BJ22" s="1996"/>
      <c r="BK22" s="1879"/>
      <c r="BL22" s="1879"/>
      <c r="BM22" s="1879"/>
      <c r="BN22" s="1879"/>
      <c r="BO22" s="1880"/>
      <c r="BP22" s="1879"/>
      <c r="BQ22" s="1879"/>
      <c r="BR22" s="1879"/>
      <c r="BS22" s="1880"/>
      <c r="BT22" s="1879"/>
      <c r="BU22" s="1879"/>
      <c r="BV22" s="1996"/>
      <c r="BW22" s="1880"/>
      <c r="BX22" s="1879"/>
      <c r="BY22" s="1879"/>
      <c r="BZ22" s="1996"/>
      <c r="CA22" s="1879"/>
      <c r="CB22" s="1879"/>
      <c r="CC22" s="1879"/>
      <c r="CD22" s="1996"/>
      <c r="CE22" s="1879"/>
      <c r="CF22" s="1879"/>
      <c r="CG22" s="1879"/>
      <c r="CH22" s="1879"/>
      <c r="CI22" s="1880"/>
      <c r="CJ22" s="1879"/>
      <c r="CK22" s="1879"/>
      <c r="CL22" s="1996"/>
      <c r="CM22" s="764"/>
    </row>
    <row r="23" spans="1:91" hidden="1" outlineLevel="1">
      <c r="A23" s="2938" t="s">
        <v>779</v>
      </c>
      <c r="B23" s="1869"/>
      <c r="C23" s="1869"/>
      <c r="D23" s="1869"/>
      <c r="E23" s="1875"/>
      <c r="F23" s="1875"/>
      <c r="G23" s="1875"/>
      <c r="H23" s="1875"/>
      <c r="I23" s="1875"/>
      <c r="J23" s="1875"/>
      <c r="K23" s="1870"/>
      <c r="L23" s="1870"/>
      <c r="M23" s="1875"/>
      <c r="N23" s="1875"/>
      <c r="O23" s="1875"/>
      <c r="P23" s="1875"/>
      <c r="Q23" s="1875"/>
      <c r="R23" s="1875"/>
      <c r="S23" s="1875"/>
      <c r="T23" s="2941">
        <f>+T22*101.5%</f>
        <v>23940.935733307568</v>
      </c>
      <c r="U23" s="2941">
        <f>+U22*101.5%</f>
        <v>23741.252534650477</v>
      </c>
      <c r="V23" s="2941">
        <f>+V22*101.5%</f>
        <v>23587.621215317246</v>
      </c>
      <c r="W23" s="2941">
        <f>+W22*101.5%</f>
        <v>23515.254290794684</v>
      </c>
      <c r="X23" s="2941">
        <f>+X22*101.5%</f>
        <v>23466.856628423648</v>
      </c>
      <c r="Y23" s="2279"/>
      <c r="Z23" s="2280"/>
      <c r="AA23" s="2288"/>
      <c r="AB23" s="1875"/>
      <c r="AC23" s="1875"/>
      <c r="AD23" s="1876"/>
      <c r="AE23" s="1875"/>
      <c r="AF23" s="1875"/>
      <c r="AG23" s="1875"/>
      <c r="AH23" s="1876"/>
      <c r="AI23" s="1875"/>
      <c r="AJ23" s="1875"/>
      <c r="AK23" s="1875"/>
      <c r="AL23" s="1876"/>
      <c r="AM23" s="1875"/>
      <c r="AN23" s="1875"/>
      <c r="AO23" s="1875"/>
      <c r="AP23" s="1876"/>
      <c r="AQ23" s="1875"/>
      <c r="AR23" s="1875"/>
      <c r="AS23" s="1875"/>
      <c r="AT23" s="1876"/>
      <c r="AU23" s="1875"/>
      <c r="AV23" s="1875"/>
      <c r="AW23" s="1875"/>
      <c r="AX23" s="1878"/>
      <c r="AY23" s="495"/>
      <c r="AZ23" s="1875"/>
      <c r="BA23" s="1875"/>
      <c r="BB23" s="1876"/>
      <c r="BC23" s="1885"/>
      <c r="BD23" s="1870"/>
      <c r="BE23" s="1870"/>
      <c r="BF23" s="1870"/>
      <c r="BG23" s="1885"/>
      <c r="BH23" s="1870"/>
      <c r="BI23" s="1870"/>
      <c r="BJ23" s="1871"/>
      <c r="BK23" s="1870"/>
      <c r="BL23" s="1870"/>
      <c r="BM23" s="1870"/>
      <c r="BN23" s="1870"/>
      <c r="BO23" s="1885"/>
      <c r="BP23" s="1870"/>
      <c r="BQ23" s="1870"/>
      <c r="BR23" s="1870"/>
      <c r="BS23" s="1885"/>
      <c r="BT23" s="1870"/>
      <c r="BU23" s="1870"/>
      <c r="BV23" s="1871"/>
      <c r="BW23" s="1885"/>
      <c r="BX23" s="1870"/>
      <c r="BY23" s="1879"/>
      <c r="BZ23" s="1871"/>
      <c r="CA23" s="1879"/>
      <c r="CB23" s="1870"/>
      <c r="CC23" s="1879"/>
      <c r="CD23" s="1871"/>
      <c r="CE23" s="1879"/>
      <c r="CF23" s="1870"/>
      <c r="CG23" s="1870"/>
      <c r="CH23" s="1870"/>
      <c r="CI23" s="1880"/>
      <c r="CJ23" s="1879"/>
      <c r="CK23" s="1879"/>
      <c r="CL23" s="1996"/>
      <c r="CM23" s="764"/>
    </row>
    <row r="24" spans="1:91" hidden="1" outlineLevel="1">
      <c r="A24" s="2939" t="s">
        <v>780</v>
      </c>
      <c r="B24" s="1869"/>
      <c r="C24" s="1869"/>
      <c r="D24" s="1869"/>
      <c r="E24" s="1875"/>
      <c r="F24" s="1875"/>
      <c r="G24" s="1875"/>
      <c r="H24" s="1875"/>
      <c r="I24" s="1875"/>
      <c r="J24" s="1875"/>
      <c r="K24" s="1875"/>
      <c r="L24" s="1875"/>
      <c r="M24" s="1875"/>
      <c r="N24" s="1875"/>
      <c r="O24" s="1875"/>
      <c r="P24" s="1875"/>
      <c r="Q24" s="1875"/>
      <c r="R24" s="1875"/>
      <c r="S24" s="1875"/>
      <c r="T24" s="2942">
        <f>+T23*98.2%</f>
        <v>23509.998890108032</v>
      </c>
      <c r="U24" s="2942">
        <f>+T24*98.2%</f>
        <v>23086.818910086087</v>
      </c>
      <c r="V24" s="2942">
        <f>+U24*98.3%</f>
        <v>22694.342988614622</v>
      </c>
      <c r="W24" s="2942">
        <f>+V24*98.3%</f>
        <v>22308.539157808173</v>
      </c>
      <c r="X24" s="2942">
        <f>+W24*98.3%</f>
        <v>21929.293992125433</v>
      </c>
      <c r="Y24" s="2279"/>
      <c r="Z24" s="2280"/>
      <c r="AA24" s="2288"/>
      <c r="AB24" s="1875"/>
      <c r="AC24" s="1875"/>
      <c r="AD24" s="1876"/>
      <c r="AE24" s="1875"/>
      <c r="AF24" s="1875"/>
      <c r="AG24" s="1875"/>
      <c r="AH24" s="1876"/>
      <c r="AI24" s="1875"/>
      <c r="AJ24" s="1875"/>
      <c r="AK24" s="1875"/>
      <c r="AL24" s="1876"/>
      <c r="AM24" s="1875"/>
      <c r="AN24" s="1875"/>
      <c r="AO24" s="1875"/>
      <c r="AP24" s="1876"/>
      <c r="AQ24" s="1875"/>
      <c r="AR24" s="1875"/>
      <c r="AS24" s="1875"/>
      <c r="AT24" s="1876"/>
      <c r="AU24" s="1875"/>
      <c r="AV24" s="1875"/>
      <c r="AW24" s="1875"/>
      <c r="AX24" s="1878"/>
      <c r="AY24" s="495"/>
      <c r="AZ24" s="1875"/>
      <c r="BA24" s="1875"/>
      <c r="BB24" s="1876"/>
      <c r="BC24" s="1877"/>
      <c r="BD24" s="1875"/>
      <c r="BE24" s="1875"/>
      <c r="BF24" s="1875"/>
      <c r="BG24" s="1877"/>
      <c r="BH24" s="1875"/>
      <c r="BI24" s="1875"/>
      <c r="BJ24" s="1876"/>
      <c r="BK24" s="1875"/>
      <c r="BL24" s="1875"/>
      <c r="BM24" s="1875"/>
      <c r="BN24" s="1875"/>
      <c r="BO24" s="2250"/>
      <c r="BP24" s="1875"/>
      <c r="BQ24" s="1875"/>
      <c r="BR24" s="1875"/>
      <c r="BS24" s="1877"/>
      <c r="BT24" s="1875"/>
      <c r="BU24" s="1875"/>
      <c r="BV24" s="1876"/>
      <c r="BW24" s="1877"/>
      <c r="BX24" s="1875"/>
      <c r="BY24" s="1879"/>
      <c r="BZ24" s="1876"/>
      <c r="CA24" s="1879"/>
      <c r="CB24" s="1875"/>
      <c r="CC24" s="1879"/>
      <c r="CD24" s="1876"/>
      <c r="CE24" s="1879"/>
      <c r="CF24" s="1875"/>
      <c r="CG24" s="1875"/>
      <c r="CH24" s="1875"/>
      <c r="CI24" s="1880"/>
      <c r="CJ24" s="1879"/>
      <c r="CK24" s="1879"/>
      <c r="CL24" s="1996"/>
      <c r="CM24" s="764"/>
    </row>
    <row r="25" spans="1:91" collapsed="1">
      <c r="A25" s="404" t="s">
        <v>995</v>
      </c>
      <c r="B25" s="405"/>
      <c r="C25" s="405"/>
      <c r="D25" s="405"/>
      <c r="E25" s="405">
        <f>SUM(E11+E14+E17)</f>
        <v>1179.2239999999999</v>
      </c>
      <c r="F25" s="405">
        <f>SUM(F11+F14+F17)</f>
        <v>1211.0419999999999</v>
      </c>
      <c r="G25" s="405">
        <f>SUM(G11+G14+G17)</f>
        <v>6848.02</v>
      </c>
      <c r="H25" s="405">
        <f>SUM(H11+H14+H17)</f>
        <v>6890.9620000000004</v>
      </c>
      <c r="I25" s="1819">
        <f>+SUM(AU25:AX25)</f>
        <v>21710.734000000004</v>
      </c>
      <c r="J25" s="1819">
        <f>+SUM(AY25:BB25)</f>
        <v>19860.758999999998</v>
      </c>
      <c r="K25" s="1819">
        <f>+SUM(BC25:BF25)</f>
        <v>19431</v>
      </c>
      <c r="L25" s="405">
        <f ca="1">+SUM(BG25:BJ25)</f>
        <v>18691.8</v>
      </c>
      <c r="M25" s="405">
        <f>+SUM(BK25:BN25)</f>
        <v>18377</v>
      </c>
      <c r="N25" s="405">
        <f>+SUM(BO25:BR25)</f>
        <v>18095</v>
      </c>
      <c r="O25" s="405">
        <f>+SUM(BS25:BV25)</f>
        <v>18027</v>
      </c>
      <c r="P25" s="405">
        <f>+SUM(BW25:BZ25)</f>
        <v>17900</v>
      </c>
      <c r="Q25" s="405">
        <f>+SUM(CA25:CD25)</f>
        <v>17470</v>
      </c>
      <c r="R25" s="405">
        <f>+SUM(CE25:CH25)</f>
        <v>18338</v>
      </c>
      <c r="S25" s="405">
        <f>+SUM(CI25:CL25)</f>
        <v>23840.293709116748</v>
      </c>
      <c r="T25" s="405">
        <f>+CHOOSE(Valuation!$I$2,IS!T22,IS!T23,IS!T24)</f>
        <v>23587.128801288247</v>
      </c>
      <c r="U25" s="405">
        <f>+CHOOSE(Valuation!$I$2,IS!U22,IS!U23,IS!U24)</f>
        <v>23390.396585862542</v>
      </c>
      <c r="V25" s="405">
        <f>+CHOOSE(Valuation!$I$2,IS!V22,IS!V23,IS!V24)</f>
        <v>23239.035680115514</v>
      </c>
      <c r="W25" s="405">
        <f>+CHOOSE(Valuation!$I$2,IS!W22,IS!W23,IS!W24)</f>
        <v>23167.738217531711</v>
      </c>
      <c r="X25" s="405">
        <f>+CHOOSE(Valuation!$I$2,IS!X22,IS!X23,IS!X24)</f>
        <v>23120.055791550392</v>
      </c>
      <c r="Y25" s="2279"/>
      <c r="Z25" s="2281">
        <f>+((X25/S25)^(1/5))-1</f>
        <v>-6.1165582684803432E-3</v>
      </c>
      <c r="AA25" s="2288"/>
      <c r="AB25" s="405"/>
      <c r="AC25" s="405"/>
      <c r="AD25" s="406">
        <v>601.10299999999995</v>
      </c>
      <c r="AE25" s="405">
        <v>593.70399999999995</v>
      </c>
      <c r="AF25" s="405">
        <v>603.55499999999995</v>
      </c>
      <c r="AG25" s="405">
        <v>607.39200000000005</v>
      </c>
      <c r="AH25" s="406">
        <v>606.23400000000004</v>
      </c>
      <c r="AI25" s="405">
        <v>595.28200000000004</v>
      </c>
      <c r="AJ25" s="405">
        <v>606.41300000000001</v>
      </c>
      <c r="AK25" s="405">
        <v>657.08500000000004</v>
      </c>
      <c r="AL25" s="406">
        <v>620.47199999999998</v>
      </c>
      <c r="AM25" s="405">
        <v>2123.337</v>
      </c>
      <c r="AN25" s="405">
        <v>2101.1309999999999</v>
      </c>
      <c r="AO25" s="405">
        <v>2100.4319999999998</v>
      </c>
      <c r="AP25" s="406">
        <v>2109.6950000000002</v>
      </c>
      <c r="AQ25" s="405">
        <v>2080.855</v>
      </c>
      <c r="AR25" s="405">
        <v>2121.1219999999998</v>
      </c>
      <c r="AS25" s="405">
        <v>2181.306</v>
      </c>
      <c r="AT25" s="406">
        <v>2121.846</v>
      </c>
      <c r="AU25" s="405">
        <v>5503.6139999999996</v>
      </c>
      <c r="AV25" s="405">
        <v>5478.5730000000003</v>
      </c>
      <c r="AW25" s="405">
        <v>5437.0730000000003</v>
      </c>
      <c r="AX25" s="406">
        <v>5291.4740000000002</v>
      </c>
      <c r="AY25" s="428">
        <v>5102.5969999999998</v>
      </c>
      <c r="AZ25" s="405">
        <v>4996.4129999999996</v>
      </c>
      <c r="BA25" s="405">
        <v>4928.3249999999998</v>
      </c>
      <c r="BB25" s="406">
        <v>4833.424</v>
      </c>
      <c r="BC25" s="428">
        <v>4913</v>
      </c>
      <c r="BD25" s="405">
        <v>4854</v>
      </c>
      <c r="BE25" s="405">
        <v>4857</v>
      </c>
      <c r="BF25" s="405">
        <v>4807</v>
      </c>
      <c r="BG25" s="468">
        <f ca="1">Subscribers!BO154</f>
        <v>4736.8</v>
      </c>
      <c r="BH25" s="469">
        <f>Subscribers!BP154</f>
        <v>4669</v>
      </c>
      <c r="BI25" s="469">
        <f>Subscribers!BQ154</f>
        <v>4633</v>
      </c>
      <c r="BJ25" s="470">
        <f>Subscribers!BR154</f>
        <v>4653</v>
      </c>
      <c r="BK25" s="469">
        <f>Subscribers!BS154</f>
        <v>4610</v>
      </c>
      <c r="BL25" s="469">
        <f>Subscribers!BT154</f>
        <v>4612</v>
      </c>
      <c r="BM25" s="469">
        <f>Subscribers!BU154</f>
        <v>4571</v>
      </c>
      <c r="BN25" s="469">
        <f>Subscribers!BV154</f>
        <v>4584</v>
      </c>
      <c r="BO25" s="2241">
        <f>Subscribers!BW154</f>
        <v>4513</v>
      </c>
      <c r="BP25" s="2251">
        <f>Subscribers!BX154</f>
        <v>4525</v>
      </c>
      <c r="BQ25" s="2251">
        <f>Subscribers!BY154</f>
        <v>4515</v>
      </c>
      <c r="BR25" s="2251">
        <f>Subscribers!BZ154</f>
        <v>4542</v>
      </c>
      <c r="BS25" s="2241">
        <f>Subscribers!CA154</f>
        <v>4538</v>
      </c>
      <c r="BT25" s="2251">
        <f>Subscribers!CB154</f>
        <v>4540</v>
      </c>
      <c r="BU25" s="2251">
        <f>Subscribers!CC154</f>
        <v>4513</v>
      </c>
      <c r="BV25" s="2122">
        <f>Subscribers!CD154</f>
        <v>4436</v>
      </c>
      <c r="BW25" s="2241">
        <f>Subscribers!CE154</f>
        <v>4451</v>
      </c>
      <c r="BX25" s="2251">
        <f>Subscribers!CF154</f>
        <v>4419</v>
      </c>
      <c r="BY25" s="469">
        <f>Subscribers!CG154</f>
        <v>4554</v>
      </c>
      <c r="BZ25" s="2122">
        <f>Subscribers!CH154</f>
        <v>4476</v>
      </c>
      <c r="CA25" s="2251">
        <f>Subscribers!CI154</f>
        <v>4401</v>
      </c>
      <c r="CB25" s="2251">
        <f>Subscribers!CJ154</f>
        <v>4398</v>
      </c>
      <c r="CC25" s="2251">
        <f>Subscribers!CK154</f>
        <v>4382</v>
      </c>
      <c r="CD25" s="2122">
        <f>Subscribers!CL154</f>
        <v>4289</v>
      </c>
      <c r="CE25" s="2251">
        <f>Subscribers!CM154</f>
        <v>4209</v>
      </c>
      <c r="CF25" s="2251">
        <f>Subscribers!CN154</f>
        <v>4090</v>
      </c>
      <c r="CG25" s="2251">
        <f>Subscribers!CO154</f>
        <v>4034</v>
      </c>
      <c r="CH25" s="2251">
        <f>'Segments New'!H11</f>
        <v>6005</v>
      </c>
      <c r="CI25" s="468">
        <f>'Segments New'!I11</f>
        <v>5984.420000000001</v>
      </c>
      <c r="CJ25" s="469">
        <f>'Segments New'!J11</f>
        <v>5966.4786369999993</v>
      </c>
      <c r="CK25" s="469">
        <f>'Segments New'!K11</f>
        <v>5951.1162406309986</v>
      </c>
      <c r="CL25" s="470">
        <f>'Segments New'!L11</f>
        <v>5938.278831485748</v>
      </c>
      <c r="CM25" s="1904"/>
    </row>
    <row r="26" spans="1:91">
      <c r="A26" s="1687" t="s">
        <v>993</v>
      </c>
      <c r="B26" s="409"/>
      <c r="C26" s="409"/>
      <c r="D26" s="409"/>
      <c r="E26" s="409"/>
      <c r="F26" s="409">
        <f t="shared" ref="F26:Q26" si="50">+F25/E25-1</f>
        <v>2.6982150973860808E-2</v>
      </c>
      <c r="G26" s="409">
        <f t="shared" si="50"/>
        <v>4.6546511186234669</v>
      </c>
      <c r="H26" s="409">
        <f t="shared" si="50"/>
        <v>6.2707176672964771E-3</v>
      </c>
      <c r="I26" s="1688">
        <f t="shared" si="50"/>
        <v>2.1506100309361744</v>
      </c>
      <c r="J26" s="1688">
        <f t="shared" si="50"/>
        <v>-8.5210154571467078E-2</v>
      </c>
      <c r="K26" s="1821" t="s">
        <v>1145</v>
      </c>
      <c r="L26" s="1688">
        <f t="shared" ca="1" si="50"/>
        <v>-3.8042303535587463E-2</v>
      </c>
      <c r="M26" s="1688">
        <f t="shared" ca="1" si="50"/>
        <v>-1.6841609689810522E-2</v>
      </c>
      <c r="N26" s="1688">
        <f t="shared" si="50"/>
        <v>-1.5345268542199531E-2</v>
      </c>
      <c r="O26" s="1688">
        <f t="shared" si="50"/>
        <v>-3.7579441834760807E-3</v>
      </c>
      <c r="P26" s="1688">
        <f t="shared" si="50"/>
        <v>-7.0449880734453352E-3</v>
      </c>
      <c r="Q26" s="1688">
        <f t="shared" si="50"/>
        <v>-2.4022346368715031E-2</v>
      </c>
      <c r="R26" s="3632" t="s">
        <v>441</v>
      </c>
      <c r="S26" s="3632" t="s">
        <v>441</v>
      </c>
      <c r="T26" s="1688">
        <f>+T25/S25-1</f>
        <v>-1.061920255335147E-2</v>
      </c>
      <c r="U26" s="1688">
        <f>+U25/T25-1</f>
        <v>-8.3406597336662669E-3</v>
      </c>
      <c r="V26" s="1688">
        <f>+V25/U25-1</f>
        <v>-6.4710705178258054E-3</v>
      </c>
      <c r="W26" s="1688">
        <f>+W25/V25-1</f>
        <v>-3.0680043511791544E-3</v>
      </c>
      <c r="X26" s="1688">
        <f>+X25/W25-1</f>
        <v>-2.0581390178707748E-3</v>
      </c>
      <c r="Y26" s="2279"/>
      <c r="Z26" s="1058"/>
      <c r="AA26" s="2288"/>
      <c r="AB26" s="409"/>
      <c r="AC26" s="409"/>
      <c r="AD26" s="419"/>
      <c r="AE26" s="420"/>
      <c r="AF26" s="409"/>
      <c r="AG26" s="409"/>
      <c r="AH26" s="419">
        <f t="shared" ref="AH26:BB26" si="51">+AH25/AD25-1</f>
        <v>8.5359746998436847E-3</v>
      </c>
      <c r="AI26" s="409">
        <f t="shared" si="51"/>
        <v>2.6578901270668531E-3</v>
      </c>
      <c r="AJ26" s="409">
        <f t="shared" si="51"/>
        <v>4.7352768181856408E-3</v>
      </c>
      <c r="AK26" s="409">
        <f t="shared" si="51"/>
        <v>8.1813721616353252E-2</v>
      </c>
      <c r="AL26" s="419">
        <f t="shared" si="51"/>
        <v>2.3485980660932881E-2</v>
      </c>
      <c r="AM26" s="420">
        <f t="shared" si="51"/>
        <v>2.566943062279726</v>
      </c>
      <c r="AN26" s="409">
        <f t="shared" si="51"/>
        <v>2.4648515120882961</v>
      </c>
      <c r="AO26" s="409">
        <f t="shared" si="51"/>
        <v>2.1965910042079786</v>
      </c>
      <c r="AP26" s="419">
        <f t="shared" si="51"/>
        <v>2.400145373199758</v>
      </c>
      <c r="AQ26" s="409">
        <f t="shared" si="51"/>
        <v>-2.0007186800776289E-2</v>
      </c>
      <c r="AR26" s="409">
        <f t="shared" si="51"/>
        <v>9.5143996257254226E-3</v>
      </c>
      <c r="AS26" s="409">
        <f t="shared" si="51"/>
        <v>3.8503507849813934E-2</v>
      </c>
      <c r="AT26" s="419">
        <f t="shared" si="51"/>
        <v>5.7596003213733482E-3</v>
      </c>
      <c r="AU26" s="420">
        <f t="shared" si="51"/>
        <v>1.644881070521492</v>
      </c>
      <c r="AV26" s="409">
        <f t="shared" si="51"/>
        <v>1.5828655777461176</v>
      </c>
      <c r="AW26" s="409">
        <f t="shared" si="51"/>
        <v>1.4925769240995992</v>
      </c>
      <c r="AX26" s="421">
        <f t="shared" si="51"/>
        <v>1.4938068078456213</v>
      </c>
      <c r="AY26" s="1690">
        <f t="shared" si="51"/>
        <v>-7.2864303346855341E-2</v>
      </c>
      <c r="AZ26" s="1691">
        <f t="shared" si="51"/>
        <v>-8.8008318954589271E-2</v>
      </c>
      <c r="BA26" s="1691">
        <f t="shared" si="51"/>
        <v>-9.3570198524095649E-2</v>
      </c>
      <c r="BB26" s="1692">
        <f t="shared" si="51"/>
        <v>-8.656378166083778E-2</v>
      </c>
      <c r="BC26" s="1836" t="s">
        <v>1145</v>
      </c>
      <c r="BD26" s="1834" t="s">
        <v>1145</v>
      </c>
      <c r="BE26" s="1834" t="s">
        <v>1145</v>
      </c>
      <c r="BF26" s="1834" t="s">
        <v>1145</v>
      </c>
      <c r="BG26" s="1690">
        <f t="shared" ref="BG26:BX26" ca="1" si="52">+BG25/BC25-1</f>
        <v>-3.5864034194992844E-2</v>
      </c>
      <c r="BH26" s="1691">
        <f t="shared" si="52"/>
        <v>-3.8112896580140054E-2</v>
      </c>
      <c r="BI26" s="1691">
        <f t="shared" si="52"/>
        <v>-4.6119003500102895E-2</v>
      </c>
      <c r="BJ26" s="1692">
        <f t="shared" si="52"/>
        <v>-3.2036613272311221E-2</v>
      </c>
      <c r="BK26" s="1691">
        <f t="shared" ca="1" si="52"/>
        <v>-2.6769126836682977E-2</v>
      </c>
      <c r="BL26" s="1691">
        <f t="shared" si="52"/>
        <v>-1.2208181623473924E-2</v>
      </c>
      <c r="BM26" s="1691">
        <f t="shared" si="52"/>
        <v>-1.3382257716382462E-2</v>
      </c>
      <c r="BN26" s="1691">
        <f t="shared" si="52"/>
        <v>-1.4829142488716918E-2</v>
      </c>
      <c r="BO26" s="1690">
        <f t="shared" si="52"/>
        <v>-2.1041214750542325E-2</v>
      </c>
      <c r="BP26" s="1691">
        <f t="shared" si="52"/>
        <v>-1.8863833477883785E-2</v>
      </c>
      <c r="BQ26" s="1691">
        <f t="shared" si="52"/>
        <v>-1.225114854517606E-2</v>
      </c>
      <c r="BR26" s="1691">
        <f t="shared" si="52"/>
        <v>-9.162303664921434E-3</v>
      </c>
      <c r="BS26" s="1690">
        <f t="shared" si="52"/>
        <v>5.539552404165704E-3</v>
      </c>
      <c r="BT26" s="1691">
        <f t="shared" si="52"/>
        <v>3.3149171270718814E-3</v>
      </c>
      <c r="BU26" s="1691">
        <f t="shared" si="52"/>
        <v>-4.4296788482833804E-4</v>
      </c>
      <c r="BV26" s="421">
        <f t="shared" si="52"/>
        <v>-2.3337736679876708E-2</v>
      </c>
      <c r="BW26" s="1690">
        <f t="shared" si="52"/>
        <v>-1.9171441163508107E-2</v>
      </c>
      <c r="BX26" s="1691">
        <f t="shared" si="52"/>
        <v>-2.6651982378854577E-2</v>
      </c>
      <c r="BY26" s="1691">
        <f t="shared" ref="BY26:CF26" si="53">+BY25/BU25-1</f>
        <v>9.0848659428317546E-3</v>
      </c>
      <c r="BZ26" s="421">
        <f t="shared" si="53"/>
        <v>9.0171325518484391E-3</v>
      </c>
      <c r="CA26" s="430">
        <f t="shared" si="53"/>
        <v>-1.1233430689732593E-2</v>
      </c>
      <c r="CB26" s="1691">
        <f t="shared" si="53"/>
        <v>-4.7522063815342852E-3</v>
      </c>
      <c r="CC26" s="1691">
        <f t="shared" si="53"/>
        <v>-3.7768994290733438E-2</v>
      </c>
      <c r="CD26" s="421">
        <f t="shared" si="53"/>
        <v>-4.1778373547810554E-2</v>
      </c>
      <c r="CE26" s="430">
        <f>+CE25/CA25-1</f>
        <v>-4.3626448534423989E-2</v>
      </c>
      <c r="CF26" s="1691">
        <f t="shared" si="53"/>
        <v>-7.003183265120505E-2</v>
      </c>
      <c r="CG26" s="1691">
        <f>+CG25/CC25-1</f>
        <v>-7.941579187585579E-2</v>
      </c>
      <c r="CH26" s="1691">
        <f t="shared" ref="CH26" si="54">+CH25/CD25-1</f>
        <v>0.40009326183259497</v>
      </c>
      <c r="CI26" s="3834" t="s">
        <v>441</v>
      </c>
      <c r="CJ26" s="3667" t="s">
        <v>441</v>
      </c>
      <c r="CK26" s="3667" t="s">
        <v>441</v>
      </c>
      <c r="CL26" s="3630" t="s">
        <v>441</v>
      </c>
      <c r="CM26" s="367"/>
    </row>
    <row r="27" spans="1:91">
      <c r="A27" s="1693" t="s">
        <v>491</v>
      </c>
      <c r="B27" s="431"/>
      <c r="C27" s="431"/>
      <c r="D27" s="431"/>
      <c r="E27" s="431"/>
      <c r="F27" s="431"/>
      <c r="G27" s="431"/>
      <c r="H27" s="431"/>
      <c r="I27" s="1694"/>
      <c r="J27" s="1694"/>
      <c r="K27" s="1694"/>
      <c r="L27" s="1995"/>
      <c r="M27" s="1694"/>
      <c r="N27" s="1694"/>
      <c r="O27" s="1694"/>
      <c r="P27" s="1694"/>
      <c r="Q27" s="1694"/>
      <c r="R27" s="1694"/>
      <c r="S27" s="1694"/>
      <c r="T27" s="1694"/>
      <c r="U27" s="1694"/>
      <c r="V27" s="1694"/>
      <c r="W27" s="1694"/>
      <c r="X27" s="1694"/>
      <c r="Y27" s="2279"/>
      <c r="Z27" s="1058"/>
      <c r="AA27" s="2288"/>
      <c r="AB27" s="431"/>
      <c r="AC27" s="431"/>
      <c r="AD27" s="432"/>
      <c r="AE27" s="434"/>
      <c r="AF27" s="431"/>
      <c r="AG27" s="435"/>
      <c r="AH27" s="432"/>
      <c r="AI27" s="436"/>
      <c r="AJ27" s="436"/>
      <c r="AK27" s="435"/>
      <c r="AL27" s="432"/>
      <c r="AM27" s="434"/>
      <c r="AN27" s="431"/>
      <c r="AO27" s="431"/>
      <c r="AP27" s="432"/>
      <c r="AQ27" s="431"/>
      <c r="AR27" s="437"/>
      <c r="AS27" s="437"/>
      <c r="AT27" s="432"/>
      <c r="AU27" s="434"/>
      <c r="AV27" s="431"/>
      <c r="AW27" s="438"/>
      <c r="AX27" s="439"/>
      <c r="AY27" s="1695">
        <f>+AY25/AX25-1</f>
        <v>-3.5694590958965433E-2</v>
      </c>
      <c r="AZ27" s="1696">
        <f>+AZ25/AY25-1</f>
        <v>-2.0809795482574889E-2</v>
      </c>
      <c r="BA27" s="1696">
        <f>+BA25/AZ25-1</f>
        <v>-1.3627376279743086E-2</v>
      </c>
      <c r="BB27" s="1697">
        <f>+BB25/BA25-1</f>
        <v>-1.9256238174227502E-2</v>
      </c>
      <c r="BC27" s="1837" t="s">
        <v>1145</v>
      </c>
      <c r="BD27" s="1696">
        <f>+BD25/BC25-1</f>
        <v>-1.2008955831467549E-2</v>
      </c>
      <c r="BE27" s="1696">
        <f>+BE25/BD25-1</f>
        <v>6.180469715697523E-4</v>
      </c>
      <c r="BF27" s="1696">
        <f>+BF25/BE25-1</f>
        <v>-1.0294420424130091E-2</v>
      </c>
      <c r="BG27" s="1728">
        <f t="shared" ref="BG27:BX27" ca="1" si="55">+BG25/BF25-1</f>
        <v>-1.4603702933222329E-2</v>
      </c>
      <c r="BH27" s="1696">
        <f t="shared" ca="1" si="55"/>
        <v>-1.4313460564093994E-2</v>
      </c>
      <c r="BI27" s="1696">
        <f t="shared" si="55"/>
        <v>-7.7104304990361916E-3</v>
      </c>
      <c r="BJ27" s="1697">
        <f t="shared" si="55"/>
        <v>4.3168573278653533E-3</v>
      </c>
      <c r="BK27" s="1696">
        <f t="shared" si="55"/>
        <v>-9.2413496668816153E-3</v>
      </c>
      <c r="BL27" s="1696">
        <f t="shared" si="55"/>
        <v>4.3383947939257261E-4</v>
      </c>
      <c r="BM27" s="1696">
        <f t="shared" si="55"/>
        <v>-8.88985255854291E-3</v>
      </c>
      <c r="BN27" s="1696">
        <f t="shared" si="55"/>
        <v>2.8440166265586431E-3</v>
      </c>
      <c r="BO27" s="1728">
        <f t="shared" si="55"/>
        <v>-1.5488656195462469E-2</v>
      </c>
      <c r="BP27" s="1696">
        <f t="shared" si="55"/>
        <v>2.6589851539995379E-3</v>
      </c>
      <c r="BQ27" s="1696">
        <f t="shared" si="55"/>
        <v>-2.2099447513812542E-3</v>
      </c>
      <c r="BR27" s="1696">
        <f t="shared" si="55"/>
        <v>5.9800664451827856E-3</v>
      </c>
      <c r="BS27" s="1728">
        <f t="shared" si="55"/>
        <v>-8.8066930867458648E-4</v>
      </c>
      <c r="BT27" s="1696">
        <f t="shared" si="55"/>
        <v>4.4072278536799736E-4</v>
      </c>
      <c r="BU27" s="1696">
        <f t="shared" si="55"/>
        <v>-5.9471365638766871E-3</v>
      </c>
      <c r="BV27" s="441">
        <f t="shared" si="55"/>
        <v>-1.7061821404830479E-2</v>
      </c>
      <c r="BW27" s="1728">
        <f t="shared" si="55"/>
        <v>3.3814247069432479E-3</v>
      </c>
      <c r="BX27" s="1696">
        <f t="shared" si="55"/>
        <v>-7.1893956414288418E-3</v>
      </c>
      <c r="BY27" s="1696">
        <f t="shared" ref="BY27:CF27" si="56">+BY25/BX25-1</f>
        <v>3.054989816700604E-2</v>
      </c>
      <c r="BZ27" s="441">
        <f t="shared" si="56"/>
        <v>-1.7127799736495364E-2</v>
      </c>
      <c r="CA27" s="440">
        <f t="shared" si="56"/>
        <v>-1.6756032171581725E-2</v>
      </c>
      <c r="CB27" s="1696">
        <f t="shared" si="56"/>
        <v>-6.8166325835039565E-4</v>
      </c>
      <c r="CC27" s="1696">
        <f t="shared" si="56"/>
        <v>-3.6380172805821065E-3</v>
      </c>
      <c r="CD27" s="441">
        <f t="shared" si="56"/>
        <v>-2.1223185759926988E-2</v>
      </c>
      <c r="CE27" s="440">
        <f>+CE25/CD25-1</f>
        <v>-1.865236651900215E-2</v>
      </c>
      <c r="CF27" s="1696">
        <f t="shared" si="56"/>
        <v>-2.8272748871465914E-2</v>
      </c>
      <c r="CG27" s="1696">
        <f>+CG25/CF25-1</f>
        <v>-1.3691931540342317E-2</v>
      </c>
      <c r="CH27" s="1696">
        <f t="shared" ref="CH27" si="57">+CH25/CG25-1</f>
        <v>0.48859692612791283</v>
      </c>
      <c r="CI27" s="463">
        <f>+CI25/CH25-1</f>
        <v>-3.4271440466276948E-3</v>
      </c>
      <c r="CJ27" s="1696">
        <f>+CJ25/CI25-1</f>
        <v>-2.9980120045053349E-3</v>
      </c>
      <c r="CK27" s="1696">
        <f>+CK25/CJ25-1</f>
        <v>-2.574784442155531E-3</v>
      </c>
      <c r="CL27" s="3631">
        <f>+CL25/CK25-1</f>
        <v>-2.15714306798509E-3</v>
      </c>
      <c r="CM27" s="367"/>
    </row>
    <row r="28" spans="1:91">
      <c r="A28" s="427" t="s">
        <v>428</v>
      </c>
      <c r="B28" s="425"/>
      <c r="C28" s="425"/>
      <c r="D28" s="425"/>
      <c r="E28" s="371"/>
      <c r="F28" s="371"/>
      <c r="G28" s="371"/>
      <c r="H28" s="371"/>
      <c r="I28" s="493"/>
      <c r="J28" s="493"/>
      <c r="K28" s="493">
        <f>+K39+K32+K31+K64</f>
        <v>11167</v>
      </c>
      <c r="L28" s="493">
        <f>+L39+L32+L31+L64</f>
        <v>10802.25</v>
      </c>
      <c r="M28" s="493">
        <f>+M39+M32+M31+M64</f>
        <v>10307.5</v>
      </c>
      <c r="N28" s="493">
        <f>+N39+N32+N31</f>
        <v>10663</v>
      </c>
      <c r="O28" s="493">
        <f>+O39+O32+O31</f>
        <v>10975</v>
      </c>
      <c r="P28" s="493">
        <f>+P39+P32+P31</f>
        <v>10966</v>
      </c>
      <c r="Q28" s="493">
        <f t="shared" ref="Q28:V28" si="58">+Q39+Q32+Q31</f>
        <v>11221</v>
      </c>
      <c r="R28" s="493">
        <f t="shared" si="58"/>
        <v>12174</v>
      </c>
      <c r="S28" s="493">
        <f>+S39+S32+S31</f>
        <v>15443.325611789356</v>
      </c>
      <c r="T28" s="493">
        <f t="shared" si="58"/>
        <v>14741.955500805154</v>
      </c>
      <c r="U28" s="493">
        <f t="shared" si="58"/>
        <v>14244.751520790287</v>
      </c>
      <c r="V28" s="493">
        <f t="shared" si="58"/>
        <v>14013.138515109655</v>
      </c>
      <c r="W28" s="493">
        <f>+W39+W32+W31</f>
        <v>13831.139715866431</v>
      </c>
      <c r="X28" s="493">
        <f>+X39+X32+X31</f>
        <v>13663.952972806281</v>
      </c>
      <c r="Y28" s="2279"/>
      <c r="Z28" s="2281">
        <f>+((X28/S28)^(1/5))-1</f>
        <v>-2.4185862002047753E-2</v>
      </c>
      <c r="AA28" s="2288"/>
      <c r="AB28" s="384"/>
      <c r="AC28" s="384"/>
      <c r="AD28" s="449"/>
      <c r="AE28" s="371"/>
      <c r="AF28" s="516"/>
      <c r="AG28" s="516"/>
      <c r="AH28" s="423"/>
      <c r="AI28" s="371"/>
      <c r="AJ28" s="371"/>
      <c r="AK28" s="371"/>
      <c r="AL28" s="423"/>
      <c r="AM28" s="371"/>
      <c r="AN28" s="371"/>
      <c r="AO28" s="371"/>
      <c r="AP28" s="423"/>
      <c r="AQ28" s="371"/>
      <c r="AR28" s="371"/>
      <c r="AS28" s="371"/>
      <c r="AT28" s="423"/>
      <c r="AU28" s="371"/>
      <c r="AV28" s="371"/>
      <c r="AW28" s="371"/>
      <c r="AX28" s="423"/>
      <c r="AY28" s="493"/>
      <c r="AZ28" s="493"/>
      <c r="BA28" s="493"/>
      <c r="BB28" s="493"/>
      <c r="BC28" s="762">
        <f>+BC39+BC32+BC31</f>
        <v>2809</v>
      </c>
      <c r="BD28" s="493">
        <f>+BD39+BD32+BD31</f>
        <v>2792</v>
      </c>
      <c r="BE28" s="493">
        <f>+BE39+BE32+BE31</f>
        <v>2785</v>
      </c>
      <c r="BF28" s="493">
        <f>+BF39+BF32+BF31</f>
        <v>2781</v>
      </c>
      <c r="BG28" s="493">
        <f t="shared" ref="BG28:BS28" si="59">+BG39+BG32+BG31</f>
        <v>2674</v>
      </c>
      <c r="BH28" s="493">
        <f t="shared" si="59"/>
        <v>2690</v>
      </c>
      <c r="BI28" s="493">
        <f t="shared" si="59"/>
        <v>2739</v>
      </c>
      <c r="BJ28" s="2122">
        <f t="shared" si="59"/>
        <v>2807</v>
      </c>
      <c r="BK28" s="493">
        <f t="shared" si="59"/>
        <v>2666</v>
      </c>
      <c r="BL28" s="493">
        <f t="shared" si="59"/>
        <v>2712</v>
      </c>
      <c r="BM28" s="493">
        <f t="shared" si="59"/>
        <v>2672</v>
      </c>
      <c r="BN28" s="493">
        <f t="shared" si="59"/>
        <v>2670</v>
      </c>
      <c r="BO28" s="762">
        <f t="shared" si="59"/>
        <v>2580</v>
      </c>
      <c r="BP28" s="493">
        <f t="shared" si="59"/>
        <v>2667</v>
      </c>
      <c r="BQ28" s="493">
        <f t="shared" si="59"/>
        <v>2710</v>
      </c>
      <c r="BR28" s="493">
        <f t="shared" si="59"/>
        <v>2706</v>
      </c>
      <c r="BS28" s="762">
        <f t="shared" si="59"/>
        <v>2750</v>
      </c>
      <c r="BT28" s="493">
        <f t="shared" ref="BT28:BZ28" si="60">+BT39+BT32+BT31</f>
        <v>2728</v>
      </c>
      <c r="BU28" s="493">
        <f t="shared" si="60"/>
        <v>2768</v>
      </c>
      <c r="BV28" s="618">
        <f t="shared" si="60"/>
        <v>2729</v>
      </c>
      <c r="BW28" s="762">
        <f t="shared" si="60"/>
        <v>2727</v>
      </c>
      <c r="BX28" s="493">
        <f t="shared" si="60"/>
        <v>2797</v>
      </c>
      <c r="BY28" s="493">
        <f t="shared" si="60"/>
        <v>2778</v>
      </c>
      <c r="BZ28" s="618">
        <f t="shared" si="60"/>
        <v>2664</v>
      </c>
      <c r="CA28" s="493">
        <f t="shared" ref="CA28:CD28" si="61">+CA39+CA32+CA31</f>
        <v>2737</v>
      </c>
      <c r="CB28" s="493">
        <f t="shared" si="61"/>
        <v>2764</v>
      </c>
      <c r="CC28" s="493">
        <f t="shared" si="61"/>
        <v>2794</v>
      </c>
      <c r="CD28" s="618">
        <f t="shared" si="61"/>
        <v>2926</v>
      </c>
      <c r="CE28" s="493">
        <f>+CE39+CE32+CE31</f>
        <v>2698</v>
      </c>
      <c r="CF28" s="493">
        <f>+CF39+CF32+CF31</f>
        <v>2774</v>
      </c>
      <c r="CG28" s="493">
        <f>+CG39+CG32+CG31</f>
        <v>2637</v>
      </c>
      <c r="CH28" s="493">
        <f t="shared" ref="CH28" si="62">+CH39+CH32+CH31</f>
        <v>4065</v>
      </c>
      <c r="CI28" s="762">
        <f>+CI39+CI32+CI31</f>
        <v>3967.6704600000007</v>
      </c>
      <c r="CJ28" s="493">
        <f>+CJ39+CJ32+CJ31</f>
        <v>3890.1440713239995</v>
      </c>
      <c r="CK28" s="493">
        <f>+CK39+CK32+CK31</f>
        <v>3832.518858966363</v>
      </c>
      <c r="CL28" s="618">
        <f>+CL39+CL32+CL31</f>
        <v>3752.9922214989929</v>
      </c>
      <c r="CM28" s="1904"/>
    </row>
    <row r="29" spans="1:91">
      <c r="A29" s="1687" t="s">
        <v>993</v>
      </c>
      <c r="B29" s="425"/>
      <c r="C29" s="425"/>
      <c r="D29" s="425"/>
      <c r="E29" s="371"/>
      <c r="F29" s="371"/>
      <c r="G29" s="371"/>
      <c r="H29" s="371"/>
      <c r="I29" s="493"/>
      <c r="J29" s="493"/>
      <c r="K29" s="493"/>
      <c r="L29" s="1708">
        <f t="shared" ref="L29:Q29" si="63">+L28/K28-1</f>
        <v>-3.266320408346024E-2</v>
      </c>
      <c r="M29" s="1708">
        <f t="shared" si="63"/>
        <v>-4.5800643384480089E-2</v>
      </c>
      <c r="N29" s="1708">
        <f t="shared" si="63"/>
        <v>3.4489449430026742E-2</v>
      </c>
      <c r="O29" s="1708">
        <f t="shared" si="63"/>
        <v>2.9260058144987333E-2</v>
      </c>
      <c r="P29" s="1708">
        <f t="shared" si="63"/>
        <v>-8.2004555808656843E-4</v>
      </c>
      <c r="Q29" s="1708">
        <f t="shared" si="63"/>
        <v>2.3253693233631134E-2</v>
      </c>
      <c r="R29" s="1708">
        <f t="shared" ref="R29:X29" si="64">+R28/Q28-1</f>
        <v>8.493004188574993E-2</v>
      </c>
      <c r="S29" s="1708">
        <f t="shared" si="64"/>
        <v>0.2685498284696366</v>
      </c>
      <c r="T29" s="1708">
        <f t="shared" si="64"/>
        <v>-4.5415743254728747E-2</v>
      </c>
      <c r="U29" s="1708">
        <f t="shared" si="64"/>
        <v>-3.3727138844484417E-2</v>
      </c>
      <c r="V29" s="1708">
        <f t="shared" si="64"/>
        <v>-1.6259532877256011E-2</v>
      </c>
      <c r="W29" s="1708">
        <f t="shared" si="64"/>
        <v>-1.2987725700918662E-2</v>
      </c>
      <c r="X29" s="1708">
        <f t="shared" si="64"/>
        <v>-1.2087705459902343E-2</v>
      </c>
      <c r="Y29" s="2279"/>
      <c r="Z29" s="591"/>
      <c r="AA29" s="2288"/>
      <c r="AB29" s="384"/>
      <c r="AC29" s="384"/>
      <c r="AD29" s="449"/>
      <c r="AE29" s="371"/>
      <c r="AF29" s="516"/>
      <c r="AG29" s="516"/>
      <c r="AH29" s="423"/>
      <c r="AI29" s="371"/>
      <c r="AJ29" s="371"/>
      <c r="AK29" s="371"/>
      <c r="AL29" s="423"/>
      <c r="AM29" s="371"/>
      <c r="AN29" s="371"/>
      <c r="AO29" s="371"/>
      <c r="AP29" s="423"/>
      <c r="AQ29" s="371"/>
      <c r="AR29" s="371"/>
      <c r="AS29" s="371"/>
      <c r="AT29" s="423"/>
      <c r="AU29" s="371"/>
      <c r="AV29" s="371"/>
      <c r="AW29" s="371"/>
      <c r="AX29" s="423"/>
      <c r="AY29" s="493"/>
      <c r="AZ29" s="493"/>
      <c r="BA29" s="493"/>
      <c r="BB29" s="493"/>
      <c r="BC29" s="762"/>
      <c r="BD29" s="493"/>
      <c r="BE29" s="493"/>
      <c r="BF29" s="493"/>
      <c r="BG29" s="1707">
        <f t="shared" ref="BG29:BX29" si="65">+BG28/BC28-1</f>
        <v>-4.8059807760768902E-2</v>
      </c>
      <c r="BH29" s="1708">
        <f t="shared" si="65"/>
        <v>-3.6532951289398263E-2</v>
      </c>
      <c r="BI29" s="1708">
        <f t="shared" si="65"/>
        <v>-1.6517055655296264E-2</v>
      </c>
      <c r="BJ29" s="1709">
        <f t="shared" si="65"/>
        <v>9.349154980222929E-3</v>
      </c>
      <c r="BK29" s="1708">
        <f t="shared" si="65"/>
        <v>-2.9917726252804977E-3</v>
      </c>
      <c r="BL29" s="1708">
        <f t="shared" si="65"/>
        <v>8.1784386617100857E-3</v>
      </c>
      <c r="BM29" s="1708">
        <f t="shared" si="65"/>
        <v>-2.4461482292807646E-2</v>
      </c>
      <c r="BN29" s="1708">
        <f t="shared" si="65"/>
        <v>-4.880655504096898E-2</v>
      </c>
      <c r="BO29" s="1707">
        <f t="shared" si="65"/>
        <v>-3.2258064516129004E-2</v>
      </c>
      <c r="BP29" s="1708">
        <f t="shared" si="65"/>
        <v>-1.6592920353982299E-2</v>
      </c>
      <c r="BQ29" s="1708">
        <f t="shared" si="65"/>
        <v>1.4221556886227615E-2</v>
      </c>
      <c r="BR29" s="1708">
        <f t="shared" si="65"/>
        <v>1.348314606741563E-2</v>
      </c>
      <c r="BS29" s="1707">
        <f t="shared" si="65"/>
        <v>6.5891472868216949E-2</v>
      </c>
      <c r="BT29" s="1708">
        <f t="shared" si="65"/>
        <v>2.2872140982377109E-2</v>
      </c>
      <c r="BU29" s="1708">
        <f t="shared" si="65"/>
        <v>2.1402214022140154E-2</v>
      </c>
      <c r="BV29" s="423">
        <f t="shared" si="65"/>
        <v>8.4996304508500042E-3</v>
      </c>
      <c r="BW29" s="1707">
        <f t="shared" si="65"/>
        <v>-8.3636363636363509E-3</v>
      </c>
      <c r="BX29" s="1708">
        <f t="shared" si="65"/>
        <v>2.5293255131964898E-2</v>
      </c>
      <c r="BY29" s="1708">
        <f t="shared" ref="BY29:CF29" si="66">+BY28/BU28-1</f>
        <v>3.6127167630057855E-3</v>
      </c>
      <c r="BZ29" s="423">
        <f t="shared" si="66"/>
        <v>-2.3818248442653012E-2</v>
      </c>
      <c r="CA29" s="371">
        <f t="shared" si="66"/>
        <v>3.6670333700037361E-3</v>
      </c>
      <c r="CB29" s="1708">
        <f t="shared" si="66"/>
        <v>-1.1798355380765124E-2</v>
      </c>
      <c r="CC29" s="1708">
        <f t="shared" si="66"/>
        <v>5.759539236861011E-3</v>
      </c>
      <c r="CD29" s="423">
        <f t="shared" si="66"/>
        <v>9.8348348348348269E-2</v>
      </c>
      <c r="CE29" s="371">
        <f>+CE28/CA28-1</f>
        <v>-1.4249177932042389E-2</v>
      </c>
      <c r="CF29" s="1708">
        <f t="shared" si="66"/>
        <v>3.6179450072360009E-3</v>
      </c>
      <c r="CG29" s="1708">
        <f>+CG28/CC28-1</f>
        <v>-5.6191839656406617E-2</v>
      </c>
      <c r="CH29" s="1708">
        <f t="shared" ref="CH29" si="67">+CH28/CD28-1</f>
        <v>0.38926862611073143</v>
      </c>
      <c r="CI29" s="1707">
        <f>+CI28/CE28-1</f>
        <v>0.47059690882134952</v>
      </c>
      <c r="CJ29" s="1708">
        <f>+CJ28/CF28-1</f>
        <v>0.40235907401730331</v>
      </c>
      <c r="CK29" s="1708">
        <f>+CK28/CG28-1</f>
        <v>0.45336323813665635</v>
      </c>
      <c r="CL29" s="1709">
        <f>+CL28/CH28-1</f>
        <v>-7.6754681058058383E-2</v>
      </c>
      <c r="CM29" s="367"/>
    </row>
    <row r="30" spans="1:91">
      <c r="A30" s="1687" t="s">
        <v>1001</v>
      </c>
      <c r="B30" s="425"/>
      <c r="C30" s="425"/>
      <c r="D30" s="425"/>
      <c r="E30" s="371"/>
      <c r="F30" s="371"/>
      <c r="G30" s="371"/>
      <c r="H30" s="371"/>
      <c r="I30" s="493"/>
      <c r="J30" s="493"/>
      <c r="K30" s="1708">
        <f t="shared" ref="K30:P30" si="68">+K28/K$25</f>
        <v>0.5747002212958674</v>
      </c>
      <c r="L30" s="1708">
        <f t="shared" ca="1" si="68"/>
        <v>0.57791384457355632</v>
      </c>
      <c r="M30" s="1708">
        <f t="shared" si="68"/>
        <v>0.560891331555749</v>
      </c>
      <c r="N30" s="1708">
        <f t="shared" si="68"/>
        <v>0.58927880630008289</v>
      </c>
      <c r="O30" s="1708">
        <f t="shared" si="68"/>
        <v>0.60880900870915844</v>
      </c>
      <c r="P30" s="1708">
        <f t="shared" si="68"/>
        <v>0.61262569832402236</v>
      </c>
      <c r="Q30" s="1708">
        <f t="shared" ref="Q30:V30" si="69">+Q28/Q$25</f>
        <v>0.64230108757870641</v>
      </c>
      <c r="R30" s="1708">
        <f>+R28/R$25</f>
        <v>0.66386737921256411</v>
      </c>
      <c r="S30" s="1708">
        <f>+S28/S$25</f>
        <v>0.64778252316093266</v>
      </c>
      <c r="T30" s="1708">
        <f t="shared" si="69"/>
        <v>0.625</v>
      </c>
      <c r="U30" s="1708">
        <f t="shared" si="69"/>
        <v>0.60899999999999999</v>
      </c>
      <c r="V30" s="1708">
        <f t="shared" si="69"/>
        <v>0.60299999999999998</v>
      </c>
      <c r="W30" s="1708">
        <f>+W28/W$25</f>
        <v>0.59699999999999998</v>
      </c>
      <c r="X30" s="1708">
        <f>+X28/X$25</f>
        <v>0.59099999999999997</v>
      </c>
      <c r="Y30" s="2279"/>
      <c r="Z30" s="591"/>
      <c r="AA30" s="2288"/>
      <c r="AB30" s="384"/>
      <c r="AC30" s="384"/>
      <c r="AD30" s="449"/>
      <c r="AE30" s="371"/>
      <c r="AF30" s="516"/>
      <c r="AG30" s="516"/>
      <c r="AH30" s="423"/>
      <c r="AI30" s="371"/>
      <c r="AJ30" s="371"/>
      <c r="AK30" s="371"/>
      <c r="AL30" s="423"/>
      <c r="AM30" s="371"/>
      <c r="AN30" s="371"/>
      <c r="AO30" s="371"/>
      <c r="AP30" s="423"/>
      <c r="AQ30" s="371"/>
      <c r="AR30" s="371"/>
      <c r="AS30" s="371"/>
      <c r="AT30" s="423"/>
      <c r="AU30" s="371"/>
      <c r="AV30" s="371"/>
      <c r="AW30" s="371"/>
      <c r="AX30" s="423"/>
      <c r="AY30" s="493"/>
      <c r="AZ30" s="493"/>
      <c r="BA30" s="493"/>
      <c r="BB30" s="493"/>
      <c r="BC30" s="1707">
        <f t="shared" ref="BC30:BI30" si="70">+BC28/BC$25</f>
        <v>0.57174842255241198</v>
      </c>
      <c r="BD30" s="1708">
        <f t="shared" si="70"/>
        <v>0.57519571487433041</v>
      </c>
      <c r="BE30" s="1708">
        <f t="shared" si="70"/>
        <v>0.57339921762404777</v>
      </c>
      <c r="BF30" s="1708">
        <f t="shared" si="70"/>
        <v>0.57853130850842527</v>
      </c>
      <c r="BG30" s="1707">
        <f t="shared" ca="1" si="70"/>
        <v>0.56451612903225801</v>
      </c>
      <c r="BH30" s="1708">
        <f t="shared" si="70"/>
        <v>0.57614050117798243</v>
      </c>
      <c r="BI30" s="1708">
        <f t="shared" si="70"/>
        <v>0.59119361105115475</v>
      </c>
      <c r="BJ30" s="1709">
        <f t="shared" ref="BJ30:BR30" si="71">+BJ28/BJ$25</f>
        <v>0.60326670964968843</v>
      </c>
      <c r="BK30" s="1708">
        <f t="shared" si="71"/>
        <v>0.57830802603036879</v>
      </c>
      <c r="BL30" s="1708">
        <f t="shared" si="71"/>
        <v>0.58803122289679099</v>
      </c>
      <c r="BM30" s="1708">
        <f t="shared" si="71"/>
        <v>0.58455480201268872</v>
      </c>
      <c r="BN30" s="1708">
        <f t="shared" si="71"/>
        <v>0.58246073298429324</v>
      </c>
      <c r="BO30" s="1707">
        <f t="shared" si="71"/>
        <v>0.57168180810990477</v>
      </c>
      <c r="BP30" s="1708">
        <f t="shared" si="71"/>
        <v>0.58939226519337018</v>
      </c>
      <c r="BQ30" s="1708">
        <f t="shared" si="71"/>
        <v>0.60022148394241415</v>
      </c>
      <c r="BR30" s="1708">
        <f t="shared" si="71"/>
        <v>0.59577278731836192</v>
      </c>
      <c r="BS30" s="1707">
        <f t="shared" ref="BS30:BY30" si="72">+BS28/BS$25</f>
        <v>0.60599382988100481</v>
      </c>
      <c r="BT30" s="1708">
        <f t="shared" si="72"/>
        <v>0.60088105726872243</v>
      </c>
      <c r="BU30" s="1708">
        <f t="shared" si="72"/>
        <v>0.61333924218923108</v>
      </c>
      <c r="BV30" s="423">
        <f t="shared" si="72"/>
        <v>0.61519386834986478</v>
      </c>
      <c r="BW30" s="1707">
        <f>+BW28/BW$25</f>
        <v>0.61267130981801843</v>
      </c>
      <c r="BX30" s="1708">
        <f>+BX28/BX$25</f>
        <v>0.63294863091197107</v>
      </c>
      <c r="BY30" s="1708">
        <f t="shared" si="72"/>
        <v>0.61001317523056653</v>
      </c>
      <c r="BZ30" s="423">
        <f t="shared" ref="BZ30:CC30" si="73">+BZ28/BZ$25</f>
        <v>0.5951742627345844</v>
      </c>
      <c r="CA30" s="371">
        <f t="shared" si="73"/>
        <v>0.62190411270165868</v>
      </c>
      <c r="CB30" s="1708">
        <f t="shared" si="73"/>
        <v>0.62846748522055484</v>
      </c>
      <c r="CC30" s="1708">
        <f t="shared" si="73"/>
        <v>0.63760839799178459</v>
      </c>
      <c r="CD30" s="423">
        <f>+CD28/CD$25</f>
        <v>0.68221030543250172</v>
      </c>
      <c r="CE30" s="371">
        <f>+CE28/CE$25</f>
        <v>0.64100736516987411</v>
      </c>
      <c r="CF30" s="1708">
        <f>+CF28/CF$25</f>
        <v>0.678239608801956</v>
      </c>
      <c r="CG30" s="1708">
        <f>+CG28/CG$25</f>
        <v>0.65369360436291524</v>
      </c>
      <c r="CH30" s="1708">
        <f t="shared" ref="CH30" si="74">+CH28/CH$25</f>
        <v>0.67693588676103245</v>
      </c>
      <c r="CI30" s="1707">
        <f>+CI28/CI$25</f>
        <v>0.66300000000000003</v>
      </c>
      <c r="CJ30" s="1708">
        <f>+CJ28/CJ$25</f>
        <v>0.65200000000000002</v>
      </c>
      <c r="CK30" s="1708">
        <f>+CK28/CK$25</f>
        <v>0.64400000000000002</v>
      </c>
      <c r="CL30" s="1709">
        <f>+CL28/CL$25</f>
        <v>0.63200000000000001</v>
      </c>
      <c r="CM30" s="367"/>
    </row>
    <row r="31" spans="1:91" hidden="1">
      <c r="A31" s="1839" t="s">
        <v>457</v>
      </c>
      <c r="B31" s="399"/>
      <c r="C31" s="399"/>
      <c r="D31" s="399"/>
      <c r="E31" s="399"/>
      <c r="F31" s="399"/>
      <c r="G31" s="399"/>
      <c r="H31" s="399"/>
      <c r="I31" s="373"/>
      <c r="J31" s="373"/>
      <c r="K31" s="1701">
        <f>+SUM(BC31:BF31)</f>
        <v>0</v>
      </c>
      <c r="L31" s="1701">
        <f>+SUM(BG31:BJ31)</f>
        <v>0</v>
      </c>
      <c r="M31" s="373"/>
      <c r="N31" s="373"/>
      <c r="O31" s="373"/>
      <c r="P31" s="373"/>
      <c r="Q31" s="373"/>
      <c r="R31" s="373"/>
      <c r="S31" s="2271"/>
      <c r="T31" s="373"/>
      <c r="U31" s="373"/>
      <c r="V31" s="373"/>
      <c r="W31" s="2271"/>
      <c r="X31" s="2271"/>
      <c r="Y31" s="2279"/>
      <c r="Z31" s="1058"/>
      <c r="AA31" s="2288"/>
      <c r="AB31" s="399"/>
      <c r="AC31" s="399"/>
      <c r="AD31" s="400"/>
      <c r="AE31" s="399"/>
      <c r="AF31" s="399"/>
      <c r="AG31" s="399"/>
      <c r="AH31" s="400"/>
      <c r="AI31" s="1838"/>
      <c r="AJ31" s="1838"/>
      <c r="AK31" s="713"/>
      <c r="AL31" s="649"/>
      <c r="AM31" s="407"/>
      <c r="AN31" s="399"/>
      <c r="AO31" s="399"/>
      <c r="AP31" s="400"/>
      <c r="AQ31" s="399"/>
      <c r="AR31" s="399"/>
      <c r="AS31" s="399"/>
      <c r="AT31" s="400"/>
      <c r="AU31" s="407"/>
      <c r="AV31" s="399"/>
      <c r="AW31" s="408"/>
      <c r="AX31" s="484"/>
      <c r="AY31" s="1699"/>
      <c r="AZ31" s="1700"/>
      <c r="BA31" s="1700"/>
      <c r="BB31" s="1700"/>
      <c r="BC31" s="567"/>
      <c r="BD31" s="573"/>
      <c r="BE31" s="573"/>
      <c r="BF31" s="573"/>
      <c r="BG31" s="567"/>
      <c r="BH31" s="573"/>
      <c r="BI31" s="573"/>
      <c r="BJ31" s="574"/>
      <c r="BK31" s="573"/>
      <c r="BL31" s="573"/>
      <c r="BM31" s="573"/>
      <c r="BN31" s="573"/>
      <c r="BO31" s="567"/>
      <c r="BP31" s="573"/>
      <c r="BQ31" s="573"/>
      <c r="BR31" s="573"/>
      <c r="BS31" s="567"/>
      <c r="BT31" s="573"/>
      <c r="BU31" s="573"/>
      <c r="BV31" s="574"/>
      <c r="BW31" s="567"/>
      <c r="BX31" s="573"/>
      <c r="BY31" s="1700"/>
      <c r="BZ31" s="574"/>
      <c r="CA31" s="573"/>
      <c r="CB31" s="573"/>
      <c r="CC31" s="573"/>
      <c r="CD31" s="574"/>
      <c r="CE31" s="573"/>
      <c r="CF31" s="573"/>
      <c r="CG31" s="573"/>
      <c r="CH31" s="573"/>
      <c r="CI31" s="1699"/>
      <c r="CJ31" s="1700"/>
      <c r="CK31" s="1700"/>
      <c r="CL31" s="1729"/>
      <c r="CM31" s="367"/>
    </row>
    <row r="32" spans="1:91" ht="12.75" customHeight="1">
      <c r="A32" s="373" t="s">
        <v>997</v>
      </c>
      <c r="B32" s="447"/>
      <c r="C32" s="447"/>
      <c r="D32" s="447"/>
      <c r="E32" s="413">
        <f>SUM(AE32:AH32)</f>
        <v>755.41300000000001</v>
      </c>
      <c r="F32" s="413">
        <f>SUM(AI32:AL32)</f>
        <v>816.07600000000002</v>
      </c>
      <c r="G32" s="413">
        <f>SUM(AM32:AP32)</f>
        <v>2613.186670553936</v>
      </c>
      <c r="H32" s="413">
        <f>SUM(AQ32:AT32)</f>
        <v>2655.72</v>
      </c>
      <c r="I32" s="1701">
        <f>SUM(AU32:AX32)</f>
        <v>7624.7549799999997</v>
      </c>
      <c r="J32" s="1701">
        <f>SUM(AY32:BB32)</f>
        <v>6624.2471600000008</v>
      </c>
      <c r="K32" s="1701">
        <f>+SUM(BC32:BF32)</f>
        <v>7690</v>
      </c>
      <c r="L32" s="1698">
        <f>+SUM(BG32:BJ32)</f>
        <v>7735</v>
      </c>
      <c r="M32" s="1698">
        <f>+SUM(BK32:BN32)</f>
        <v>7605</v>
      </c>
      <c r="N32" s="1704">
        <f>+SUM(BO32:BR32)</f>
        <v>7492</v>
      </c>
      <c r="O32" s="1698">
        <f>+SUM(BS32:BV32)</f>
        <v>7796</v>
      </c>
      <c r="P32" s="1698">
        <f>+SUM(BW32:BZ32)</f>
        <v>7764</v>
      </c>
      <c r="Q32" s="1698">
        <f>+SUM(CA32:CD32)</f>
        <v>7774</v>
      </c>
      <c r="R32" s="1698">
        <f>+SUM(CE32:CH32)</f>
        <v>8543</v>
      </c>
      <c r="S32" s="1698">
        <f>+SUM(CI32:CL32)</f>
        <v>11133.891357272401</v>
      </c>
      <c r="T32" s="1704">
        <f t="shared" ref="T32:X32" si="75">+T$25*T37</f>
        <v>10496.27231657327</v>
      </c>
      <c r="U32" s="1704">
        <f t="shared" si="75"/>
        <v>10174.822514850206</v>
      </c>
      <c r="V32" s="1704">
        <f t="shared" si="75"/>
        <v>9992.7853424496716</v>
      </c>
      <c r="W32" s="1704">
        <f t="shared" si="75"/>
        <v>9846.2887424509772</v>
      </c>
      <c r="X32" s="1704">
        <f t="shared" si="75"/>
        <v>9710.4234324511635</v>
      </c>
      <c r="Y32" s="2279"/>
      <c r="Z32" s="2281">
        <f>+((X32/S32)^(1/5))-1</f>
        <v>-2.6987907240062947E-2</v>
      </c>
      <c r="AA32" s="2288"/>
      <c r="AB32" s="384"/>
      <c r="AC32" s="384"/>
      <c r="AD32" s="449">
        <f>(INPUTS_1!B36+INPUTS_1!B42)/1000</f>
        <v>187.197</v>
      </c>
      <c r="AE32" s="384">
        <f>(INPUTS_1!C36+INPUTS_1!C42)/1000</f>
        <v>181.54900000000001</v>
      </c>
      <c r="AF32" s="384">
        <f>(INPUTS_1!D36+INPUTS_1!D42)/1000</f>
        <v>190.226</v>
      </c>
      <c r="AG32" s="384">
        <f>(INPUTS_1!E36+INPUTS_1!E42)/1000</f>
        <v>191</v>
      </c>
      <c r="AH32" s="449">
        <f>(INPUTS_1!F36+INPUTS_1!F42)/1000</f>
        <v>192.63800000000001</v>
      </c>
      <c r="AI32" s="384">
        <f>(INPUTS_1!G36+INPUTS_1!G42)/1000</f>
        <v>191.99299999999999</v>
      </c>
      <c r="AJ32" s="384">
        <f>(INPUTS_1!H36+INPUTS_1!H42)/1000</f>
        <v>194.87299999999999</v>
      </c>
      <c r="AK32" s="384">
        <f>(INPUTS_1!I36+INPUTS_1!I42)/1000</f>
        <v>216.87100000000001</v>
      </c>
      <c r="AL32" s="449">
        <f>(INPUTS_1!J36+INPUTS_1!J42)/1000</f>
        <v>212.339</v>
      </c>
      <c r="AM32" s="448">
        <f>(INPUTS_1!K36+INPUTS_1!K42)/1000</f>
        <v>651.84967055393577</v>
      </c>
      <c r="AN32" s="384">
        <f>(INPUTS_1!L36+INPUTS_1!L42)/1000</f>
        <v>616.46600000000001</v>
      </c>
      <c r="AO32" s="384">
        <f>(INPUTS_1!M36+INPUTS_1!M42)/1000</f>
        <v>681.73900000000003</v>
      </c>
      <c r="AP32" s="449">
        <f>(INPUTS_1!N36+INPUTS_1!N42)/1000</f>
        <v>663.13199999999995</v>
      </c>
      <c r="AQ32" s="384">
        <f>(INPUTS_1!O36+INPUTS_1!O42)/1000</f>
        <v>648.53099999999995</v>
      </c>
      <c r="AR32" s="384">
        <f>(INPUTS_1!P36+INPUTS_1!P42)/1000</f>
        <v>653.44000000000005</v>
      </c>
      <c r="AS32" s="384">
        <f>(INPUTS_1!Q36+INPUTS_1!Q42)/1000</f>
        <v>689.46299999999997</v>
      </c>
      <c r="AT32" s="449">
        <f>(INPUTS_1!R36+INPUTS_1!R42)/1000</f>
        <v>664.28599999999994</v>
      </c>
      <c r="AU32" s="448">
        <f>(INPUTS_1!S36+INPUTS_1!S42)/1000</f>
        <v>1934</v>
      </c>
      <c r="AV32" s="384">
        <f>(INPUTS_1!T36+INPUTS_1!T42)/1000</f>
        <v>1899</v>
      </c>
      <c r="AW32" s="384">
        <f>(INPUTS_1!U36+INPUTS_1!U42)/1000</f>
        <v>2024</v>
      </c>
      <c r="AX32" s="449">
        <f>(INPUTS_1!V36+INPUTS_1!V42)/1000</f>
        <v>1767.7549799999999</v>
      </c>
      <c r="AY32" s="1703">
        <f>(INPUTS_1!W36+INPUTS_1!W42)/1000</f>
        <v>1650.3633200000006</v>
      </c>
      <c r="AZ32" s="1704">
        <f>(INPUTS_1!X36+INPUTS_1!X42)/1000</f>
        <v>1657.4998399999999</v>
      </c>
      <c r="BA32" s="1704">
        <f>(INPUTS_1!Y36+INPUTS_1!Y42)/1000</f>
        <v>1695.643</v>
      </c>
      <c r="BB32" s="1704">
        <f>(INPUTS_1!Z36+INPUTS_1!Z42)/1000</f>
        <v>1620.741</v>
      </c>
      <c r="BC32" s="1905">
        <f>1741+171</f>
        <v>1912</v>
      </c>
      <c r="BD32" s="1841">
        <f>1797+178</f>
        <v>1975</v>
      </c>
      <c r="BE32" s="1906">
        <f>1713+189</f>
        <v>1902</v>
      </c>
      <c r="BF32" s="1906">
        <f>1708+193</f>
        <v>1901</v>
      </c>
      <c r="BG32" s="1842">
        <f>1639+190</f>
        <v>1829</v>
      </c>
      <c r="BH32" s="1841">
        <f>1755+201</f>
        <v>1956</v>
      </c>
      <c r="BI32" s="1841">
        <f>1792+200</f>
        <v>1992</v>
      </c>
      <c r="BJ32" s="1990">
        <f>1958</f>
        <v>1958</v>
      </c>
      <c r="BK32" s="1841">
        <f>1865</f>
        <v>1865</v>
      </c>
      <c r="BL32" s="1841">
        <v>1903</v>
      </c>
      <c r="BM32" s="1841">
        <v>1939</v>
      </c>
      <c r="BN32" s="1841">
        <v>1898</v>
      </c>
      <c r="BO32" s="2860">
        <f>1796-2</f>
        <v>1794</v>
      </c>
      <c r="BP32" s="2861">
        <f>1873-4</f>
        <v>1869</v>
      </c>
      <c r="BQ32" s="2861">
        <v>1915</v>
      </c>
      <c r="BR32" s="2861">
        <v>1914</v>
      </c>
      <c r="BS32" s="2860">
        <f>1935-4</f>
        <v>1931</v>
      </c>
      <c r="BT32" s="2861">
        <f>1962-6</f>
        <v>1956</v>
      </c>
      <c r="BU32" s="2861">
        <v>1973</v>
      </c>
      <c r="BV32" s="2862">
        <v>1936</v>
      </c>
      <c r="BW32" s="2860">
        <v>1908</v>
      </c>
      <c r="BX32" s="2861">
        <v>1956</v>
      </c>
      <c r="BY32" s="2861">
        <v>1988</v>
      </c>
      <c r="BZ32" s="2862">
        <v>1912</v>
      </c>
      <c r="CA32" s="2861">
        <v>1900</v>
      </c>
      <c r="CB32" s="2861">
        <v>1949</v>
      </c>
      <c r="CC32" s="2861">
        <v>1996</v>
      </c>
      <c r="CD32" s="2862">
        <v>1929</v>
      </c>
      <c r="CE32" s="2861">
        <v>1888</v>
      </c>
      <c r="CF32" s="2861">
        <v>1890</v>
      </c>
      <c r="CG32" s="2861">
        <v>1927</v>
      </c>
      <c r="CH32" s="2861">
        <v>2838</v>
      </c>
      <c r="CI32" s="1703">
        <f t="shared" ref="CI32:CL32" si="76">+CI$25*CI37</f>
        <v>2848.5839200000005</v>
      </c>
      <c r="CJ32" s="1704">
        <f t="shared" si="76"/>
        <v>2804.2449593899996</v>
      </c>
      <c r="CK32" s="1704">
        <f t="shared" si="76"/>
        <v>2767.2690518934146</v>
      </c>
      <c r="CL32" s="1711">
        <f t="shared" si="76"/>
        <v>2713.7934259889871</v>
      </c>
      <c r="CM32" s="367"/>
    </row>
    <row r="33" spans="1:97" ht="12.75" hidden="1" customHeight="1" outlineLevel="1">
      <c r="A33" s="2655" t="s">
        <v>1254</v>
      </c>
      <c r="B33" s="447"/>
      <c r="C33" s="447"/>
      <c r="D33" s="447"/>
      <c r="E33" s="409"/>
      <c r="F33" s="409">
        <f t="shared" ref="F33:Q33" si="77">F32/E32-1</f>
        <v>8.030441625971485E-2</v>
      </c>
      <c r="G33" s="409">
        <f t="shared" si="77"/>
        <v>2.2021364070919081</v>
      </c>
      <c r="H33" s="409">
        <f t="shared" si="77"/>
        <v>1.627642216506775E-2</v>
      </c>
      <c r="I33" s="1688">
        <f t="shared" si="77"/>
        <v>1.8710688551503925</v>
      </c>
      <c r="J33" s="1688">
        <f t="shared" si="77"/>
        <v>-0.13121835686843264</v>
      </c>
      <c r="K33" s="1688">
        <f t="shared" si="77"/>
        <v>0.16088663575771522</v>
      </c>
      <c r="L33" s="1688">
        <f t="shared" si="77"/>
        <v>5.8517555266579535E-3</v>
      </c>
      <c r="M33" s="1688">
        <f t="shared" si="77"/>
        <v>-1.6806722689075682E-2</v>
      </c>
      <c r="N33" s="1688">
        <f t="shared" si="77"/>
        <v>-1.4858645627876421E-2</v>
      </c>
      <c r="O33" s="1688">
        <f t="shared" si="77"/>
        <v>4.0576615056059806E-2</v>
      </c>
      <c r="P33" s="1688">
        <f t="shared" si="77"/>
        <v>-4.104669061056998E-3</v>
      </c>
      <c r="Q33" s="1688">
        <f t="shared" si="77"/>
        <v>1.2879958784131063E-3</v>
      </c>
      <c r="R33" s="1688">
        <f t="shared" ref="R33:X33" si="78">R32/Q32-1</f>
        <v>9.8919475173655735E-2</v>
      </c>
      <c r="S33" s="1688">
        <f t="shared" si="78"/>
        <v>0.30327652549132633</v>
      </c>
      <c r="T33" s="1688">
        <f t="shared" si="78"/>
        <v>-5.7268300923616788E-2</v>
      </c>
      <c r="U33" s="1688">
        <f t="shared" si="78"/>
        <v>-3.0625139290213044E-2</v>
      </c>
      <c r="V33" s="1688">
        <f t="shared" si="78"/>
        <v>-1.7890943270494453E-2</v>
      </c>
      <c r="W33" s="1688">
        <f t="shared" si="78"/>
        <v>-1.4660236858723641E-2</v>
      </c>
      <c r="X33" s="1688">
        <f t="shared" si="78"/>
        <v>-1.3798631500013592E-2</v>
      </c>
      <c r="Y33" s="2279"/>
      <c r="Z33" s="588"/>
      <c r="AA33" s="2288"/>
      <c r="AB33" s="384"/>
      <c r="AC33" s="384"/>
      <c r="AD33" s="449"/>
      <c r="AE33" s="409"/>
      <c r="AF33" s="424"/>
      <c r="AG33" s="424"/>
      <c r="AH33" s="419">
        <f t="shared" ref="AH33:BB33" si="79">AH32/AD32-1</f>
        <v>2.906563673563145E-2</v>
      </c>
      <c r="AI33" s="409">
        <f t="shared" si="79"/>
        <v>5.7527168973665388E-2</v>
      </c>
      <c r="AJ33" s="409">
        <f t="shared" si="79"/>
        <v>2.4428837277764348E-2</v>
      </c>
      <c r="AK33" s="409">
        <f t="shared" si="79"/>
        <v>0.13545026178010477</v>
      </c>
      <c r="AL33" s="419">
        <f t="shared" si="79"/>
        <v>0.10226954183494419</v>
      </c>
      <c r="AM33" s="420">
        <f t="shared" si="79"/>
        <v>2.395174149859296</v>
      </c>
      <c r="AN33" s="409">
        <f t="shared" si="79"/>
        <v>2.1634243840860461</v>
      </c>
      <c r="AO33" s="409">
        <f t="shared" si="79"/>
        <v>2.1435231082071833</v>
      </c>
      <c r="AP33" s="419">
        <f t="shared" si="79"/>
        <v>2.1229872986121245</v>
      </c>
      <c r="AQ33" s="409">
        <f t="shared" si="79"/>
        <v>-5.0911593636545627E-3</v>
      </c>
      <c r="AR33" s="409">
        <f t="shared" si="79"/>
        <v>5.9977354793289583E-2</v>
      </c>
      <c r="AS33" s="409">
        <f t="shared" si="79"/>
        <v>1.1329849106476164E-2</v>
      </c>
      <c r="AT33" s="419">
        <f t="shared" si="79"/>
        <v>1.7402266818673517E-3</v>
      </c>
      <c r="AU33" s="420">
        <f t="shared" si="79"/>
        <v>1.9821242161130312</v>
      </c>
      <c r="AV33" s="409">
        <f t="shared" si="79"/>
        <v>1.9061581782566108</v>
      </c>
      <c r="AW33" s="409">
        <f t="shared" si="79"/>
        <v>1.9356180099584752</v>
      </c>
      <c r="AX33" s="421">
        <f t="shared" si="79"/>
        <v>1.6611353844578991</v>
      </c>
      <c r="AY33" s="1705">
        <f t="shared" si="79"/>
        <v>-0.14665805584281255</v>
      </c>
      <c r="AZ33" s="1688">
        <f t="shared" si="79"/>
        <v>-0.12717228014744608</v>
      </c>
      <c r="BA33" s="1688">
        <f t="shared" si="79"/>
        <v>-0.16223171936758896</v>
      </c>
      <c r="BB33" s="1688">
        <f t="shared" si="79"/>
        <v>-8.3164229015493918E-2</v>
      </c>
      <c r="BC33" s="1886" t="s">
        <v>1145</v>
      </c>
      <c r="BD33" s="1834" t="s">
        <v>1145</v>
      </c>
      <c r="BE33" s="1834" t="s">
        <v>1145</v>
      </c>
      <c r="BF33" s="1834" t="s">
        <v>1145</v>
      </c>
      <c r="BG33" s="1705">
        <f ca="1">BG32/BG$25</f>
        <v>0.38612565445026176</v>
      </c>
      <c r="BH33" s="1691">
        <f t="shared" ref="BH33:BY33" si="80">+BH32/BD32-1</f>
        <v>-9.6202531645569467E-3</v>
      </c>
      <c r="BI33" s="1691">
        <f t="shared" si="80"/>
        <v>4.7318611987381631E-2</v>
      </c>
      <c r="BJ33" s="1692">
        <f t="shared" si="80"/>
        <v>2.9984218832193488E-2</v>
      </c>
      <c r="BK33" s="1691">
        <f t="shared" si="80"/>
        <v>1.9682886823400692E-2</v>
      </c>
      <c r="BL33" s="1691">
        <f t="shared" si="80"/>
        <v>-2.7096114519427394E-2</v>
      </c>
      <c r="BM33" s="1691">
        <f t="shared" si="80"/>
        <v>-2.6606425702811243E-2</v>
      </c>
      <c r="BN33" s="1691">
        <f t="shared" si="80"/>
        <v>-3.0643513789581189E-2</v>
      </c>
      <c r="BO33" s="1690">
        <f t="shared" si="80"/>
        <v>-3.8069705093833783E-2</v>
      </c>
      <c r="BP33" s="1691">
        <f t="shared" si="80"/>
        <v>-1.786652653704679E-2</v>
      </c>
      <c r="BQ33" s="1691">
        <f t="shared" si="80"/>
        <v>-1.2377514182568383E-2</v>
      </c>
      <c r="BR33" s="1691">
        <f t="shared" si="80"/>
        <v>8.4299262381453133E-3</v>
      </c>
      <c r="BS33" s="1690">
        <f t="shared" si="80"/>
        <v>7.6365663322184973E-2</v>
      </c>
      <c r="BT33" s="1691">
        <f t="shared" si="80"/>
        <v>4.6548956661316199E-2</v>
      </c>
      <c r="BU33" s="1691">
        <f t="shared" si="80"/>
        <v>3.0287206266318645E-2</v>
      </c>
      <c r="BV33" s="421">
        <f t="shared" si="80"/>
        <v>1.1494252873563315E-2</v>
      </c>
      <c r="BW33" s="1690">
        <f t="shared" si="80"/>
        <v>-1.1910926980838954E-2</v>
      </c>
      <c r="BX33" s="1691">
        <f t="shared" si="80"/>
        <v>0</v>
      </c>
      <c r="BY33" s="1691">
        <f t="shared" si="80"/>
        <v>7.6026355803344714E-3</v>
      </c>
      <c r="BZ33" s="421">
        <f t="shared" ref="BZ33:CF33" si="81">+BZ32/BV32-1</f>
        <v>-1.2396694214875992E-2</v>
      </c>
      <c r="CA33" s="430">
        <f t="shared" si="81"/>
        <v>-4.1928721174003813E-3</v>
      </c>
      <c r="CB33" s="1691">
        <f t="shared" si="81"/>
        <v>-3.5787321063395217E-3</v>
      </c>
      <c r="CC33" s="1691">
        <f t="shared" si="81"/>
        <v>4.0241448692153181E-3</v>
      </c>
      <c r="CD33" s="421">
        <f t="shared" si="81"/>
        <v>8.8912133891212441E-3</v>
      </c>
      <c r="CE33" s="430">
        <f t="shared" si="81"/>
        <v>-6.3157894736841635E-3</v>
      </c>
      <c r="CF33" s="1691">
        <f t="shared" si="81"/>
        <v>-3.0271934325295069E-2</v>
      </c>
      <c r="CG33" s="1691">
        <f>+CG32/CC32-1</f>
        <v>-3.4569138276553057E-2</v>
      </c>
      <c r="CH33" s="1691">
        <f t="shared" ref="CH33" si="82">+CH32/CD32-1</f>
        <v>0.47122861586314158</v>
      </c>
      <c r="CI33" s="1705">
        <f>CI32/CE32-1</f>
        <v>0.50878385593220354</v>
      </c>
      <c r="CJ33" s="1688">
        <f>CJ32/CF32-1</f>
        <v>0.48372749174074059</v>
      </c>
      <c r="CK33" s="1688">
        <f>CK32/CG32-1</f>
        <v>0.43605036424152299</v>
      </c>
      <c r="CL33" s="1689">
        <f>CL32/CH32-1</f>
        <v>-4.3765529954549964E-2</v>
      </c>
      <c r="CM33" s="367"/>
    </row>
    <row r="34" spans="1:97" ht="12.75" hidden="1" customHeight="1" outlineLevel="1">
      <c r="A34" s="2655" t="s">
        <v>1255</v>
      </c>
      <c r="B34" s="447"/>
      <c r="C34" s="447"/>
      <c r="D34" s="447"/>
      <c r="E34" s="409"/>
      <c r="F34" s="409"/>
      <c r="G34" s="409"/>
      <c r="H34" s="409"/>
      <c r="I34" s="1688"/>
      <c r="J34" s="1688"/>
      <c r="K34" s="1688"/>
      <c r="L34" s="1688"/>
      <c r="M34" s="1688"/>
      <c r="N34" s="1688"/>
      <c r="O34" s="1688"/>
      <c r="P34" s="1688"/>
      <c r="Q34" s="1688"/>
      <c r="R34" s="1688"/>
      <c r="S34" s="1688"/>
      <c r="T34" s="1688"/>
      <c r="U34" s="1688"/>
      <c r="V34" s="1688"/>
      <c r="W34" s="1688"/>
      <c r="X34" s="1688"/>
      <c r="Y34" s="2279"/>
      <c r="Z34" s="588"/>
      <c r="AA34" s="2288"/>
      <c r="AB34" s="384"/>
      <c r="AC34" s="384"/>
      <c r="AD34" s="449"/>
      <c r="AE34" s="409"/>
      <c r="AF34" s="424"/>
      <c r="AG34" s="424"/>
      <c r="AH34" s="419"/>
      <c r="AI34" s="409"/>
      <c r="AJ34" s="409"/>
      <c r="AK34" s="409"/>
      <c r="AL34" s="419"/>
      <c r="AM34" s="420"/>
      <c r="AN34" s="409"/>
      <c r="AO34" s="409"/>
      <c r="AP34" s="419"/>
      <c r="AQ34" s="409"/>
      <c r="AR34" s="409"/>
      <c r="AS34" s="409"/>
      <c r="AT34" s="419"/>
      <c r="AU34" s="420"/>
      <c r="AV34" s="409"/>
      <c r="AW34" s="409"/>
      <c r="AX34" s="421"/>
      <c r="AY34" s="1705"/>
      <c r="AZ34" s="1688"/>
      <c r="BA34" s="1688"/>
      <c r="BB34" s="1688"/>
      <c r="BC34" s="1886"/>
      <c r="BD34" s="1834"/>
      <c r="BE34" s="1834"/>
      <c r="BF34" s="1834"/>
      <c r="BG34" s="1705">
        <f t="shared" ref="BG34:BY34" si="83">BG32/BF32-1</f>
        <v>-3.7874802735402446E-2</v>
      </c>
      <c r="BH34" s="1691">
        <f t="shared" si="83"/>
        <v>6.9436850738108236E-2</v>
      </c>
      <c r="BI34" s="1691">
        <f t="shared" si="83"/>
        <v>1.8404907975460016E-2</v>
      </c>
      <c r="BJ34" s="1692">
        <f t="shared" si="83"/>
        <v>-1.7068273092369468E-2</v>
      </c>
      <c r="BK34" s="1691">
        <f t="shared" si="83"/>
        <v>-4.7497446373850893E-2</v>
      </c>
      <c r="BL34" s="1691">
        <f t="shared" si="83"/>
        <v>2.037533512064349E-2</v>
      </c>
      <c r="BM34" s="1691">
        <f t="shared" si="83"/>
        <v>1.8917498686284784E-2</v>
      </c>
      <c r="BN34" s="1691">
        <f t="shared" si="83"/>
        <v>-2.1144920061887618E-2</v>
      </c>
      <c r="BO34" s="1690">
        <f t="shared" si="83"/>
        <v>-5.4794520547945202E-2</v>
      </c>
      <c r="BP34" s="1691">
        <f t="shared" si="83"/>
        <v>4.1806020066889715E-2</v>
      </c>
      <c r="BQ34" s="1691">
        <f t="shared" si="83"/>
        <v>2.461209202782233E-2</v>
      </c>
      <c r="BR34" s="1691">
        <f t="shared" si="83"/>
        <v>-5.2219321148827547E-4</v>
      </c>
      <c r="BS34" s="1690">
        <f t="shared" si="83"/>
        <v>8.8819226750260771E-3</v>
      </c>
      <c r="BT34" s="1691">
        <f t="shared" si="83"/>
        <v>1.2946659761781554E-2</v>
      </c>
      <c r="BU34" s="1691">
        <f t="shared" si="83"/>
        <v>8.691206543967267E-3</v>
      </c>
      <c r="BV34" s="421">
        <f t="shared" si="83"/>
        <v>-1.8753167764825163E-2</v>
      </c>
      <c r="BW34" s="1690">
        <f t="shared" si="83"/>
        <v>-1.4462809917355379E-2</v>
      </c>
      <c r="BX34" s="1691">
        <f t="shared" si="83"/>
        <v>2.515723270440251E-2</v>
      </c>
      <c r="BY34" s="1691">
        <f t="shared" si="83"/>
        <v>1.6359918200409052E-2</v>
      </c>
      <c r="BZ34" s="421">
        <f t="shared" ref="BZ34:CF34" si="84">BZ32/BY32-1</f>
        <v>-3.82293762575453E-2</v>
      </c>
      <c r="CA34" s="430">
        <f t="shared" si="84"/>
        <v>-6.2761506276151069E-3</v>
      </c>
      <c r="CB34" s="1691">
        <f t="shared" si="84"/>
        <v>2.5789473684210584E-2</v>
      </c>
      <c r="CC34" s="1691">
        <f t="shared" si="84"/>
        <v>2.4114930733709627E-2</v>
      </c>
      <c r="CD34" s="421">
        <f>CD32/CC32-1</f>
        <v>-3.356713426853708E-2</v>
      </c>
      <c r="CE34" s="430">
        <f>CE32/CD32-1</f>
        <v>-2.1254536029030602E-2</v>
      </c>
      <c r="CF34" s="1691">
        <f t="shared" si="84"/>
        <v>1.0593220338983578E-3</v>
      </c>
      <c r="CG34" s="1691">
        <f>CG32/CF32-1</f>
        <v>1.9576719576719581E-2</v>
      </c>
      <c r="CH34" s="1691">
        <f t="shared" ref="CH34" si="85">CH32/CG32-1</f>
        <v>0.47275557861961603</v>
      </c>
      <c r="CI34" s="1705">
        <f>CI32/CH32-1</f>
        <v>3.7293587033122577E-3</v>
      </c>
      <c r="CJ34" s="1688">
        <f>CJ32/CI32-1</f>
        <v>-1.5565263954028352E-2</v>
      </c>
      <c r="CK34" s="1688">
        <f>CK32/CJ32-1</f>
        <v>-1.318569099064304E-2</v>
      </c>
      <c r="CL34" s="1689">
        <f>CL32/CK32-1</f>
        <v>-1.9324332004449829E-2</v>
      </c>
      <c r="CM34" s="367"/>
    </row>
    <row r="35" spans="1:97" ht="12.75" customHeight="1" collapsed="1">
      <c r="A35" s="1687" t="s">
        <v>998</v>
      </c>
      <c r="B35" s="447"/>
      <c r="C35" s="447"/>
      <c r="D35" s="447"/>
      <c r="E35" s="409">
        <f t="shared" ref="E35:M35" si="86">E32/E$25</f>
        <v>0.64060178558102621</v>
      </c>
      <c r="F35" s="409">
        <f t="shared" si="86"/>
        <v>0.67386267363146779</v>
      </c>
      <c r="G35" s="409">
        <f t="shared" si="86"/>
        <v>0.38159740633846512</v>
      </c>
      <c r="H35" s="409">
        <f t="shared" si="86"/>
        <v>0.38539176387854113</v>
      </c>
      <c r="I35" s="1688">
        <f t="shared" si="86"/>
        <v>0.35119747586608535</v>
      </c>
      <c r="J35" s="1688">
        <f t="shared" si="86"/>
        <v>0.33353444145815381</v>
      </c>
      <c r="K35" s="1688">
        <f t="shared" si="86"/>
        <v>0.39575935361021047</v>
      </c>
      <c r="L35" s="1688">
        <f t="shared" ca="1" si="86"/>
        <v>0.41381782385859039</v>
      </c>
      <c r="M35" s="1688">
        <f t="shared" si="86"/>
        <v>0.41383250802633725</v>
      </c>
      <c r="N35" s="1708">
        <f t="shared" ref="N35:S35" si="87">N32/N$25</f>
        <v>0.41403702680298426</v>
      </c>
      <c r="O35" s="1708">
        <f t="shared" si="87"/>
        <v>0.43246241748488379</v>
      </c>
      <c r="P35" s="1708">
        <f t="shared" si="87"/>
        <v>0.43374301675977656</v>
      </c>
      <c r="Q35" s="1708">
        <f t="shared" si="87"/>
        <v>0.44499141385231827</v>
      </c>
      <c r="R35" s="1708">
        <f t="shared" si="87"/>
        <v>0.46586323481295672</v>
      </c>
      <c r="S35" s="1708">
        <f t="shared" si="87"/>
        <v>0.46701989048963349</v>
      </c>
      <c r="T35" s="2853">
        <f>+IF(Valuation!$I$2=1,T37,IF(Valuation!$I$2=2,T36,T38))</f>
        <v>0.44500000000000001</v>
      </c>
      <c r="U35" s="2853">
        <f>+IF(Valuation!$I$2=1,U37,IF(Valuation!$I$2=2,U36,U38))</f>
        <v>0.435</v>
      </c>
      <c r="V35" s="2853">
        <f>+IF(Valuation!$I$2=1,V37,IF(Valuation!$I$2=2,V36,V38))</f>
        <v>0.43</v>
      </c>
      <c r="W35" s="2853">
        <f>+IF(Valuation!$I$2=1,W37,IF(Valuation!$I$2=2,W36,W38))</f>
        <v>0.42499999999999999</v>
      </c>
      <c r="X35" s="2853">
        <f>+IF(Valuation!$I$2=1,X37,IF(Valuation!$I$2=2,X36,X38))</f>
        <v>0.42</v>
      </c>
      <c r="Y35" s="2279"/>
      <c r="Z35" s="588"/>
      <c r="AA35" s="2288"/>
      <c r="AB35" s="384"/>
      <c r="AC35" s="384"/>
      <c r="AD35" s="419">
        <f t="shared" ref="AD35:BF35" si="88">AD32/AD$25</f>
        <v>0.31142250163449531</v>
      </c>
      <c r="AE35" s="409">
        <f t="shared" si="88"/>
        <v>0.30579042755312413</v>
      </c>
      <c r="AF35" s="424">
        <f t="shared" si="88"/>
        <v>0.31517591603085054</v>
      </c>
      <c r="AG35" s="424">
        <f t="shared" si="88"/>
        <v>0.31445919603814337</v>
      </c>
      <c r="AH35" s="419">
        <f t="shared" si="88"/>
        <v>0.31776178835235236</v>
      </c>
      <c r="AI35" s="409">
        <f t="shared" si="88"/>
        <v>0.32252445059652396</v>
      </c>
      <c r="AJ35" s="409">
        <f t="shared" si="88"/>
        <v>0.32135359894989057</v>
      </c>
      <c r="AK35" s="409">
        <f t="shared" si="88"/>
        <v>0.33005014571935137</v>
      </c>
      <c r="AL35" s="419">
        <f t="shared" si="88"/>
        <v>0.34222172797483208</v>
      </c>
      <c r="AM35" s="420">
        <f t="shared" si="88"/>
        <v>0.30699303528075655</v>
      </c>
      <c r="AN35" s="409">
        <f t="shared" si="88"/>
        <v>0.29339722273385144</v>
      </c>
      <c r="AO35" s="409">
        <f t="shared" si="88"/>
        <v>0.32457085018700921</v>
      </c>
      <c r="AP35" s="419">
        <f t="shared" si="88"/>
        <v>0.31432600446984038</v>
      </c>
      <c r="AQ35" s="409">
        <f t="shared" si="88"/>
        <v>0.31166563744230136</v>
      </c>
      <c r="AR35" s="409">
        <f t="shared" si="88"/>
        <v>0.30806337400677569</v>
      </c>
      <c r="AS35" s="409">
        <f t="shared" si="88"/>
        <v>0.31607807432794849</v>
      </c>
      <c r="AT35" s="419">
        <f t="shared" si="88"/>
        <v>0.31306984578522662</v>
      </c>
      <c r="AU35" s="420">
        <f t="shared" si="88"/>
        <v>0.35140545830430697</v>
      </c>
      <c r="AV35" s="409">
        <f t="shared" si="88"/>
        <v>0.3466231078786392</v>
      </c>
      <c r="AW35" s="409">
        <f t="shared" si="88"/>
        <v>0.37225911809534284</v>
      </c>
      <c r="AX35" s="421">
        <f t="shared" si="88"/>
        <v>0.33407609675489286</v>
      </c>
      <c r="AY35" s="1690">
        <f t="shared" si="88"/>
        <v>0.32343595231996586</v>
      </c>
      <c r="AZ35" s="1688">
        <f t="shared" si="88"/>
        <v>0.33173795681021567</v>
      </c>
      <c r="BA35" s="1688">
        <f t="shared" si="88"/>
        <v>0.34406071028189095</v>
      </c>
      <c r="BB35" s="1688">
        <f t="shared" si="88"/>
        <v>0.33531943400785863</v>
      </c>
      <c r="BC35" s="1705">
        <f>BC32/BC$25</f>
        <v>0.38917158558925302</v>
      </c>
      <c r="BD35" s="1688">
        <f t="shared" si="88"/>
        <v>0.40688092295014422</v>
      </c>
      <c r="BE35" s="1688">
        <f t="shared" si="88"/>
        <v>0.39159975293390981</v>
      </c>
      <c r="BF35" s="1688">
        <f t="shared" si="88"/>
        <v>0.39546494695236112</v>
      </c>
      <c r="BG35" s="1705">
        <f t="shared" ref="BG35:BL35" ca="1" si="89">BG32/BG$25</f>
        <v>0.38612565445026176</v>
      </c>
      <c r="BH35" s="1688">
        <f t="shared" si="89"/>
        <v>0.41893339044763334</v>
      </c>
      <c r="BI35" s="1688">
        <f t="shared" si="89"/>
        <v>0.42995898985538528</v>
      </c>
      <c r="BJ35" s="1689">
        <f t="shared" si="89"/>
        <v>0.42080378250591016</v>
      </c>
      <c r="BK35" s="1688">
        <f t="shared" si="89"/>
        <v>0.40455531453362253</v>
      </c>
      <c r="BL35" s="1688">
        <f t="shared" si="89"/>
        <v>0.41261925411968775</v>
      </c>
      <c r="BM35" s="1688">
        <f t="shared" ref="BM35:BR35" si="90">BM32/BM$25</f>
        <v>0.42419601837672283</v>
      </c>
      <c r="BN35" s="1688">
        <f t="shared" si="90"/>
        <v>0.41404886561954624</v>
      </c>
      <c r="BO35" s="1705">
        <f t="shared" si="90"/>
        <v>0.39751828052293375</v>
      </c>
      <c r="BP35" s="1688">
        <f t="shared" si="90"/>
        <v>0.41303867403314914</v>
      </c>
      <c r="BQ35" s="1688">
        <f t="shared" si="90"/>
        <v>0.42414174972314506</v>
      </c>
      <c r="BR35" s="1688">
        <f t="shared" si="90"/>
        <v>0.42140026420079263</v>
      </c>
      <c r="BS35" s="1705">
        <f t="shared" ref="BS35:BX35" si="91">BS32/BS$25</f>
        <v>0.42551784927280739</v>
      </c>
      <c r="BT35" s="1688">
        <f t="shared" si="91"/>
        <v>0.43083700440528633</v>
      </c>
      <c r="BU35" s="1688">
        <f t="shared" si="91"/>
        <v>0.43718147573676047</v>
      </c>
      <c r="BV35" s="419">
        <f t="shared" si="91"/>
        <v>0.436429215509468</v>
      </c>
      <c r="BW35" s="1705">
        <f t="shared" si="91"/>
        <v>0.42866771512019769</v>
      </c>
      <c r="BX35" s="1688">
        <f t="shared" si="91"/>
        <v>0.44263408010862187</v>
      </c>
      <c r="BY35" s="1688">
        <f t="shared" ref="BY35:CD35" si="92">BY32/BY$25</f>
        <v>0.43653930610452352</v>
      </c>
      <c r="BZ35" s="419">
        <f t="shared" si="92"/>
        <v>0.42716711349419123</v>
      </c>
      <c r="CA35" s="409">
        <f t="shared" si="92"/>
        <v>0.43172006362190413</v>
      </c>
      <c r="CB35" s="1688">
        <f t="shared" si="92"/>
        <v>0.44315597999090495</v>
      </c>
      <c r="CC35" s="1688">
        <f t="shared" si="92"/>
        <v>0.45549977179370149</v>
      </c>
      <c r="CD35" s="419">
        <f t="shared" si="92"/>
        <v>0.44975518768943812</v>
      </c>
      <c r="CE35" s="409">
        <f t="shared" ref="CE35:CL35" si="93">CE32/CE$25</f>
        <v>0.44856260394392966</v>
      </c>
      <c r="CF35" s="1688">
        <f t="shared" si="93"/>
        <v>0.46210268948655259</v>
      </c>
      <c r="CG35" s="1688">
        <f t="shared" si="93"/>
        <v>0.47768963807635101</v>
      </c>
      <c r="CH35" s="1688">
        <f t="shared" ref="CH35" si="94">CH32/CH$25</f>
        <v>0.47260616153205665</v>
      </c>
      <c r="CI35" s="420">
        <f t="shared" si="93"/>
        <v>0.47599999999999998</v>
      </c>
      <c r="CJ35" s="409">
        <f t="shared" si="93"/>
        <v>0.47</v>
      </c>
      <c r="CK35" s="409">
        <f t="shared" si="93"/>
        <v>0.46500000000000002</v>
      </c>
      <c r="CL35" s="419">
        <f t="shared" si="93"/>
        <v>0.45700000000000002</v>
      </c>
      <c r="CM35" s="367"/>
    </row>
    <row r="36" spans="1:97" ht="12.75" hidden="1" customHeight="1" outlineLevel="1">
      <c r="A36" s="1920" t="s">
        <v>779</v>
      </c>
      <c r="B36" s="1920"/>
      <c r="C36" s="1920"/>
      <c r="D36" s="1920"/>
      <c r="E36" s="1968"/>
      <c r="F36" s="1968"/>
      <c r="G36" s="1968"/>
      <c r="H36" s="1968"/>
      <c r="I36" s="1968"/>
      <c r="J36" s="1968"/>
      <c r="K36" s="1968"/>
      <c r="L36" s="1968"/>
      <c r="M36" s="1968"/>
      <c r="N36" s="1968"/>
      <c r="O36" s="1968"/>
      <c r="P36" s="1968"/>
      <c r="Q36" s="1968"/>
      <c r="R36" s="1968"/>
      <c r="S36" s="1968"/>
      <c r="T36" s="2758">
        <f>+T37-0.3%</f>
        <v>0.442</v>
      </c>
      <c r="U36" s="2758">
        <f>+U37-0.3%</f>
        <v>0.432</v>
      </c>
      <c r="V36" s="2758">
        <f>+V37-0.3%</f>
        <v>0.42699999999999999</v>
      </c>
      <c r="W36" s="2758">
        <f>+W37-0.3%</f>
        <v>0.42199999999999999</v>
      </c>
      <c r="X36" s="2757">
        <f>+X37-0.3%</f>
        <v>0.41699999999999998</v>
      </c>
      <c r="Y36" s="2279"/>
      <c r="Z36" s="2282"/>
      <c r="AA36" s="2288"/>
      <c r="AB36" s="1999"/>
      <c r="AC36" s="1999"/>
      <c r="AD36" s="2000"/>
      <c r="AE36" s="1968"/>
      <c r="AF36" s="1939"/>
      <c r="AG36" s="1939"/>
      <c r="AH36" s="1957"/>
      <c r="AI36" s="1968"/>
      <c r="AJ36" s="1968"/>
      <c r="AK36" s="1968"/>
      <c r="AL36" s="1957"/>
      <c r="AM36" s="1938"/>
      <c r="AN36" s="1968"/>
      <c r="AO36" s="1968"/>
      <c r="AP36" s="1957"/>
      <c r="AQ36" s="1968"/>
      <c r="AR36" s="1968"/>
      <c r="AS36" s="1968"/>
      <c r="AT36" s="1957"/>
      <c r="AU36" s="1938"/>
      <c r="AV36" s="1968"/>
      <c r="AW36" s="1968"/>
      <c r="AX36" s="1957"/>
      <c r="AY36" s="1938"/>
      <c r="AZ36" s="1968"/>
      <c r="BA36" s="1968"/>
      <c r="BB36" s="1968"/>
      <c r="BC36" s="1938"/>
      <c r="BD36" s="1968"/>
      <c r="BE36" s="1968"/>
      <c r="BF36" s="1968"/>
      <c r="BG36" s="1938"/>
      <c r="BH36" s="1968"/>
      <c r="BI36" s="1968"/>
      <c r="BJ36" s="1957"/>
      <c r="BK36" s="1968"/>
      <c r="BL36" s="1968"/>
      <c r="BM36" s="1968"/>
      <c r="BN36" s="1968"/>
      <c r="BO36" s="1938"/>
      <c r="BP36" s="1968"/>
      <c r="BQ36" s="1968"/>
      <c r="BR36" s="1968"/>
      <c r="BS36" s="1938"/>
      <c r="BT36" s="1968"/>
      <c r="BU36" s="1968"/>
      <c r="BV36" s="1957"/>
      <c r="BW36" s="1938"/>
      <c r="BX36" s="1968"/>
      <c r="BY36" s="1968"/>
      <c r="BZ36" s="1957"/>
      <c r="CA36" s="1968"/>
      <c r="CB36" s="1968"/>
      <c r="CC36" s="1968"/>
      <c r="CD36" s="1957"/>
      <c r="CE36" s="1968"/>
      <c r="CF36" s="1968"/>
      <c r="CG36" s="1968"/>
      <c r="CH36" s="1968"/>
      <c r="CI36" s="3835">
        <f>+CI37+0.2%</f>
        <v>0.47799999999999998</v>
      </c>
      <c r="CJ36" s="2758">
        <f>+CJ37+0.2%</f>
        <v>0.47199999999999998</v>
      </c>
      <c r="CK36" s="2758">
        <f>+CK37+0.2%</f>
        <v>0.46700000000000003</v>
      </c>
      <c r="CL36" s="2757">
        <f>+CL37+0.2%</f>
        <v>0.45900000000000002</v>
      </c>
      <c r="CM36" s="2001"/>
    </row>
    <row r="37" spans="1:97" ht="12.75" hidden="1" customHeight="1" outlineLevel="1">
      <c r="A37" s="1920" t="s">
        <v>778</v>
      </c>
      <c r="B37" s="1920"/>
      <c r="C37" s="1920"/>
      <c r="D37" s="1920"/>
      <c r="E37" s="1968"/>
      <c r="F37" s="1968"/>
      <c r="G37" s="1968"/>
      <c r="H37" s="1968"/>
      <c r="I37" s="1968"/>
      <c r="J37" s="1968"/>
      <c r="K37" s="1968"/>
      <c r="L37" s="1968"/>
      <c r="M37" s="1968"/>
      <c r="N37" s="1968"/>
      <c r="O37" s="1968"/>
      <c r="P37" s="1968"/>
      <c r="Q37" s="1968"/>
      <c r="R37" s="1968"/>
      <c r="S37" s="1968"/>
      <c r="T37" s="2760">
        <v>0.44500000000000001</v>
      </c>
      <c r="U37" s="2760">
        <v>0.435</v>
      </c>
      <c r="V37" s="2760">
        <f t="shared" ref="V37:X37" si="95">+U37-0.5%</f>
        <v>0.43</v>
      </c>
      <c r="W37" s="2760">
        <f t="shared" si="95"/>
        <v>0.42499999999999999</v>
      </c>
      <c r="X37" s="2759">
        <f t="shared" si="95"/>
        <v>0.42</v>
      </c>
      <c r="Y37" s="2279"/>
      <c r="Z37" s="2282"/>
      <c r="AA37" s="2288"/>
      <c r="AB37" s="1999"/>
      <c r="AC37" s="1999"/>
      <c r="AD37" s="2000"/>
      <c r="AE37" s="1968"/>
      <c r="AF37" s="1939"/>
      <c r="AG37" s="1939"/>
      <c r="AH37" s="1957"/>
      <c r="AI37" s="1968"/>
      <c r="AJ37" s="1968"/>
      <c r="AK37" s="1968"/>
      <c r="AL37" s="1957"/>
      <c r="AM37" s="1938"/>
      <c r="AN37" s="1968"/>
      <c r="AO37" s="1968"/>
      <c r="AP37" s="1957"/>
      <c r="AQ37" s="1968"/>
      <c r="AR37" s="1968"/>
      <c r="AS37" s="1968"/>
      <c r="AT37" s="1957"/>
      <c r="AU37" s="1938"/>
      <c r="AV37" s="1968"/>
      <c r="AW37" s="1968"/>
      <c r="AX37" s="1957"/>
      <c r="AY37" s="1938"/>
      <c r="AZ37" s="1939"/>
      <c r="BA37" s="1968"/>
      <c r="BB37" s="1968"/>
      <c r="BC37" s="1938"/>
      <c r="BD37" s="1968"/>
      <c r="BE37" s="1939"/>
      <c r="BF37" s="1939"/>
      <c r="BG37" s="1938"/>
      <c r="BH37" s="1968"/>
      <c r="BI37" s="1968"/>
      <c r="BJ37" s="1957"/>
      <c r="BK37" s="1968"/>
      <c r="BL37" s="1968"/>
      <c r="BM37" s="1968"/>
      <c r="BN37" s="1968"/>
      <c r="BO37" s="1938"/>
      <c r="BP37" s="1968"/>
      <c r="BQ37" s="1968"/>
      <c r="BR37" s="1968"/>
      <c r="BS37" s="1938"/>
      <c r="BT37" s="1968"/>
      <c r="BU37" s="1968"/>
      <c r="BV37" s="1957"/>
      <c r="BW37" s="1938"/>
      <c r="BX37" s="1968"/>
      <c r="BY37" s="1968"/>
      <c r="BZ37" s="1957"/>
      <c r="CA37" s="1968"/>
      <c r="CB37" s="1968"/>
      <c r="CC37" s="1968"/>
      <c r="CD37" s="1957"/>
      <c r="CE37" s="1968"/>
      <c r="CF37" s="1968"/>
      <c r="CG37" s="1968"/>
      <c r="CH37" s="1968"/>
      <c r="CI37" s="3836">
        <v>0.47599999999999998</v>
      </c>
      <c r="CJ37" s="2760">
        <v>0.47</v>
      </c>
      <c r="CK37" s="2760">
        <v>0.46500000000000002</v>
      </c>
      <c r="CL37" s="2759">
        <v>0.45700000000000002</v>
      </c>
      <c r="CM37" s="2001"/>
    </row>
    <row r="38" spans="1:97" ht="12.75" hidden="1" customHeight="1" outlineLevel="1">
      <c r="A38" s="1920" t="s">
        <v>780</v>
      </c>
      <c r="B38" s="1920"/>
      <c r="C38" s="1920"/>
      <c r="D38" s="1920"/>
      <c r="E38" s="1968"/>
      <c r="F38" s="1968"/>
      <c r="G38" s="1968"/>
      <c r="H38" s="1968"/>
      <c r="I38" s="1968"/>
      <c r="J38" s="1968"/>
      <c r="K38" s="1968"/>
      <c r="L38" s="1968"/>
      <c r="M38" s="1968"/>
      <c r="N38" s="1968"/>
      <c r="O38" s="1968"/>
      <c r="P38" s="1968"/>
      <c r="Q38" s="1968"/>
      <c r="R38" s="1968"/>
      <c r="S38" s="1968"/>
      <c r="T38" s="2756">
        <f>+T37+0.3%</f>
        <v>0.44800000000000001</v>
      </c>
      <c r="U38" s="2756">
        <f t="shared" ref="U38:X38" si="96">+U37+0.3%</f>
        <v>0.438</v>
      </c>
      <c r="V38" s="2756">
        <f t="shared" si="96"/>
        <v>0.433</v>
      </c>
      <c r="W38" s="2756">
        <f t="shared" si="96"/>
        <v>0.42799999999999999</v>
      </c>
      <c r="X38" s="2755">
        <f t="shared" si="96"/>
        <v>0.42299999999999999</v>
      </c>
      <c r="Y38" s="2279"/>
      <c r="Z38" s="2282"/>
      <c r="AA38" s="2288"/>
      <c r="AB38" s="1999"/>
      <c r="AC38" s="1999"/>
      <c r="AD38" s="2000"/>
      <c r="AE38" s="1968"/>
      <c r="AF38" s="1939"/>
      <c r="AG38" s="1939"/>
      <c r="AH38" s="1957"/>
      <c r="AI38" s="1968"/>
      <c r="AJ38" s="1968"/>
      <c r="AK38" s="1968"/>
      <c r="AL38" s="1957"/>
      <c r="AM38" s="1938"/>
      <c r="AN38" s="1968"/>
      <c r="AO38" s="1968"/>
      <c r="AP38" s="1957"/>
      <c r="AQ38" s="1968"/>
      <c r="AR38" s="1968"/>
      <c r="AS38" s="1968"/>
      <c r="AT38" s="1957"/>
      <c r="AU38" s="1938"/>
      <c r="AV38" s="1968"/>
      <c r="AW38" s="1968"/>
      <c r="AX38" s="1957"/>
      <c r="AY38" s="1938"/>
      <c r="AZ38" s="1939"/>
      <c r="BA38" s="1968"/>
      <c r="BB38" s="1968"/>
      <c r="BC38" s="1938"/>
      <c r="BD38" s="1968"/>
      <c r="BE38" s="1939"/>
      <c r="BF38" s="1939"/>
      <c r="BG38" s="1938"/>
      <c r="BH38" s="1968"/>
      <c r="BI38" s="1968"/>
      <c r="BJ38" s="1957"/>
      <c r="BK38" s="1968"/>
      <c r="BL38" s="1968"/>
      <c r="BM38" s="1968"/>
      <c r="BN38" s="1968"/>
      <c r="BO38" s="1938"/>
      <c r="BP38" s="1968"/>
      <c r="BQ38" s="1968"/>
      <c r="BR38" s="1968"/>
      <c r="BS38" s="1938"/>
      <c r="BT38" s="1968"/>
      <c r="BU38" s="1968"/>
      <c r="BV38" s="1957"/>
      <c r="BW38" s="1938"/>
      <c r="BX38" s="1968"/>
      <c r="BY38" s="1968"/>
      <c r="BZ38" s="1957"/>
      <c r="CA38" s="1968"/>
      <c r="CB38" s="1968"/>
      <c r="CC38" s="1968"/>
      <c r="CD38" s="1957"/>
      <c r="CE38" s="1968"/>
      <c r="CF38" s="1968"/>
      <c r="CG38" s="1968"/>
      <c r="CH38" s="1968"/>
      <c r="CI38" s="3837">
        <f>+CI37+0.3%</f>
        <v>0.47899999999999998</v>
      </c>
      <c r="CJ38" s="2756">
        <f>+CJ37+0.3%</f>
        <v>0.47299999999999998</v>
      </c>
      <c r="CK38" s="2756">
        <f>+CK37+0.3%</f>
        <v>0.46800000000000003</v>
      </c>
      <c r="CL38" s="2755">
        <f>+CL37+0.3%</f>
        <v>0.46</v>
      </c>
      <c r="CM38" s="2001"/>
    </row>
    <row r="39" spans="1:97" ht="26.25" customHeight="1" collapsed="1">
      <c r="A39" s="3833" t="s">
        <v>159</v>
      </c>
      <c r="B39" s="447"/>
      <c r="C39" s="447"/>
      <c r="D39" s="447"/>
      <c r="E39" s="413">
        <f>SUM(AE39:AH39)</f>
        <v>397.10199999999998</v>
      </c>
      <c r="F39" s="413">
        <f>SUM(AI39:AL39)</f>
        <v>388.98900000000003</v>
      </c>
      <c r="G39" s="413">
        <f>SUM(AM39:AP39)</f>
        <v>1953.4270000000001</v>
      </c>
      <c r="H39" s="413">
        <f>SUM(AQ39:AT39)</f>
        <v>1996.8389999999999</v>
      </c>
      <c r="I39" s="1701">
        <f>SUM(AU39:AX39)</f>
        <v>5693.9390199999998</v>
      </c>
      <c r="J39" s="1701">
        <f>SUM(AY39:BB39)</f>
        <v>5001.4468400000005</v>
      </c>
      <c r="K39" s="1701">
        <f>+SUM(BC39:BF39)</f>
        <v>3477</v>
      </c>
      <c r="L39" s="1698">
        <f>+SUM(BG39:BJ39)</f>
        <v>3175</v>
      </c>
      <c r="M39" s="1698">
        <f>+SUM(BK39:BN39)</f>
        <v>3115</v>
      </c>
      <c r="N39" s="1704">
        <f>+SUM(BO39:BR39)</f>
        <v>3171</v>
      </c>
      <c r="O39" s="1698">
        <f>+SUM(BS39:BV39)</f>
        <v>3179</v>
      </c>
      <c r="P39" s="1698">
        <f>+SUM(BW39:BZ39)</f>
        <v>3202</v>
      </c>
      <c r="Q39" s="1698">
        <f>+SUM(CA39:CD39)</f>
        <v>3447</v>
      </c>
      <c r="R39" s="1698">
        <f>+SUM(CE39:CH39)</f>
        <v>3631</v>
      </c>
      <c r="S39" s="1698">
        <f>+SUM(CI39:CL39)</f>
        <v>4309.4342545169548</v>
      </c>
      <c r="T39" s="1704">
        <f t="shared" ref="T39:X39" si="97">+T$25*T44</f>
        <v>4245.6831842318843</v>
      </c>
      <c r="U39" s="1704">
        <f t="shared" si="97"/>
        <v>4069.9290059400819</v>
      </c>
      <c r="V39" s="1704">
        <f t="shared" si="97"/>
        <v>4020.3531726599836</v>
      </c>
      <c r="W39" s="1704">
        <f t="shared" si="97"/>
        <v>3984.8509734154541</v>
      </c>
      <c r="X39" s="1704">
        <f t="shared" si="97"/>
        <v>3953.5295403551168</v>
      </c>
      <c r="Y39" s="2279"/>
      <c r="Z39" s="2281">
        <f>+((X39/S39)^(1/5))-1</f>
        <v>-1.7091828243120055E-2</v>
      </c>
      <c r="AA39" s="2288"/>
      <c r="AB39" s="384"/>
      <c r="AC39" s="384"/>
      <c r="AD39" s="449">
        <f>(INPUTS_1!B37+INPUTS_1!B43)/1000</f>
        <v>93.951999999999998</v>
      </c>
      <c r="AE39" s="384">
        <f>(INPUTS_1!C37+INPUTS_1!C43)/1000</f>
        <v>101.60599999999999</v>
      </c>
      <c r="AF39" s="384">
        <f>(INPUTS_1!D37+INPUTS_1!D43)/1000</f>
        <v>92.667000000000002</v>
      </c>
      <c r="AG39" s="384">
        <f>(INPUTS_1!E37+INPUTS_1!E43)/1000</f>
        <v>108.15300000000001</v>
      </c>
      <c r="AH39" s="449">
        <f>(INPUTS_1!F37+INPUTS_1!F43)/1000</f>
        <v>94.676000000000002</v>
      </c>
      <c r="AI39" s="384">
        <f>(INPUTS_1!G37+INPUTS_1!G43)/1000</f>
        <v>94.254000000000005</v>
      </c>
      <c r="AJ39" s="384">
        <f>(INPUTS_1!H37+INPUTS_1!H43)/1000</f>
        <v>95.206000000000003</v>
      </c>
      <c r="AK39" s="384">
        <f>(INPUTS_1!I37+INPUTS_1!I43)/1000</f>
        <v>99.593000000000004</v>
      </c>
      <c r="AL39" s="449">
        <f>(INPUTS_1!J37+INPUTS_1!J43)/1000</f>
        <v>99.936000000000007</v>
      </c>
      <c r="AM39" s="448">
        <f>(INPUTS_1!K37+INPUTS_1!K43)/1000</f>
        <v>503.25799999999998</v>
      </c>
      <c r="AN39" s="384">
        <f>(INPUTS_1!L37+INPUTS_1!L43)/1000</f>
        <v>493.596</v>
      </c>
      <c r="AO39" s="384">
        <f>(INPUTS_1!M37+INPUTS_1!M43)/1000</f>
        <v>484.04899999999998</v>
      </c>
      <c r="AP39" s="449">
        <f>(INPUTS_1!N37+INPUTS_1!N43)/1000</f>
        <v>472.524</v>
      </c>
      <c r="AQ39" s="384">
        <f>(INPUTS_1!O37+INPUTS_1!O43)/1000</f>
        <v>495.45699999999999</v>
      </c>
      <c r="AR39" s="384">
        <f>(INPUTS_1!P37+INPUTS_1!P43)/1000</f>
        <v>492.45600000000002</v>
      </c>
      <c r="AS39" s="384">
        <f>(INPUTS_1!Q37+INPUTS_1!Q43)/1000</f>
        <v>505.83800000000002</v>
      </c>
      <c r="AT39" s="449">
        <f>(INPUTS_1!R37+INPUTS_1!R43)/1000</f>
        <v>503.08800000000002</v>
      </c>
      <c r="AU39" s="448">
        <f>(INPUTS_1!S37+INPUTS_1!S43)/1000</f>
        <v>1439</v>
      </c>
      <c r="AV39" s="384">
        <f>(INPUTS_1!T37+INPUTS_1!T43)/1000</f>
        <v>1469</v>
      </c>
      <c r="AW39" s="384">
        <f>(INPUTS_1!U37+INPUTS_1!U43)/1000</f>
        <v>1430</v>
      </c>
      <c r="AX39" s="449">
        <f>(INPUTS_1!V37+INPUTS_1!V43)/1000</f>
        <v>1355.93902</v>
      </c>
      <c r="AY39" s="1703">
        <f>(INPUTS_1!W37+INPUTS_1!W43)/1000</f>
        <v>1327.4326799999999</v>
      </c>
      <c r="AZ39" s="1704">
        <f>(INPUTS_1!X37+INPUTS_1!X43)/1000</f>
        <v>1280.05216</v>
      </c>
      <c r="BA39" s="1704">
        <f>(INPUTS_1!Y37+INPUTS_1!Y43)/1000</f>
        <v>1209.8710000000001</v>
      </c>
      <c r="BB39" s="1704">
        <f>(INPUTS_1!Z37+INPUTS_1!Z43)/1000</f>
        <v>1184.0909999999999</v>
      </c>
      <c r="BC39" s="1905">
        <v>897</v>
      </c>
      <c r="BD39" s="1841">
        <v>817</v>
      </c>
      <c r="BE39" s="1906">
        <v>883</v>
      </c>
      <c r="BF39" s="1906">
        <v>880</v>
      </c>
      <c r="BG39" s="1842">
        <v>845</v>
      </c>
      <c r="BH39" s="1841">
        <v>734</v>
      </c>
      <c r="BI39" s="1841">
        <v>747</v>
      </c>
      <c r="BJ39" s="1990">
        <v>849</v>
      </c>
      <c r="BK39" s="1841">
        <v>801</v>
      </c>
      <c r="BL39" s="1841">
        <v>809</v>
      </c>
      <c r="BM39" s="1841">
        <v>733</v>
      </c>
      <c r="BN39" s="1841">
        <v>772</v>
      </c>
      <c r="BO39" s="2860">
        <v>786</v>
      </c>
      <c r="BP39" s="2861">
        <v>798</v>
      </c>
      <c r="BQ39" s="2861">
        <v>795</v>
      </c>
      <c r="BR39" s="2861">
        <v>792</v>
      </c>
      <c r="BS39" s="2860">
        <v>819</v>
      </c>
      <c r="BT39" s="2861">
        <v>772</v>
      </c>
      <c r="BU39" s="2861">
        <v>795</v>
      </c>
      <c r="BV39" s="2862">
        <v>793</v>
      </c>
      <c r="BW39" s="2867">
        <f>808+11</f>
        <v>819</v>
      </c>
      <c r="BX39" s="2868">
        <f>839+2</f>
        <v>841</v>
      </c>
      <c r="BY39" s="2868">
        <f>784+6</f>
        <v>790</v>
      </c>
      <c r="BZ39" s="2869">
        <f>745+7</f>
        <v>752</v>
      </c>
      <c r="CA39" s="2868">
        <v>837</v>
      </c>
      <c r="CB39" s="2868">
        <v>815</v>
      </c>
      <c r="CC39" s="2868">
        <v>798</v>
      </c>
      <c r="CD39" s="2869">
        <f>1010-13</f>
        <v>997</v>
      </c>
      <c r="CE39" s="2868">
        <v>810</v>
      </c>
      <c r="CF39" s="2868">
        <v>884</v>
      </c>
      <c r="CG39" s="2868">
        <v>710</v>
      </c>
      <c r="CH39" s="2868">
        <v>1227</v>
      </c>
      <c r="CI39" s="1703">
        <f t="shared" ref="CI39:CL39" si="98">+CI$25*CI44</f>
        <v>1119.0865400000002</v>
      </c>
      <c r="CJ39" s="1704">
        <f t="shared" si="98"/>
        <v>1085.8991119339998</v>
      </c>
      <c r="CK39" s="1704">
        <f t="shared" si="98"/>
        <v>1065.2498070729487</v>
      </c>
      <c r="CL39" s="1711">
        <f t="shared" si="98"/>
        <v>1039.1987955100058</v>
      </c>
      <c r="CM39" s="367"/>
    </row>
    <row r="40" spans="1:97" hidden="1" outlineLevel="1">
      <c r="A40" s="2655" t="s">
        <v>1254</v>
      </c>
      <c r="B40" s="408"/>
      <c r="C40" s="408"/>
      <c r="D40" s="408"/>
      <c r="E40" s="409"/>
      <c r="F40" s="409">
        <f t="shared" ref="F40:Q40" si="99">F39/E39-1</f>
        <v>-2.0430519110958723E-2</v>
      </c>
      <c r="G40" s="409">
        <f t="shared" si="99"/>
        <v>4.0218052438500829</v>
      </c>
      <c r="H40" s="409">
        <f t="shared" si="99"/>
        <v>2.2223507712343382E-2</v>
      </c>
      <c r="I40" s="1688">
        <f t="shared" si="99"/>
        <v>1.8514762682419565</v>
      </c>
      <c r="J40" s="1688">
        <f t="shared" si="99"/>
        <v>-0.12161917743896022</v>
      </c>
      <c r="K40" s="1688">
        <f t="shared" si="99"/>
        <v>-0.30480116829553272</v>
      </c>
      <c r="L40" s="1688">
        <f t="shared" si="99"/>
        <v>-8.6856485475985012E-2</v>
      </c>
      <c r="M40" s="1688">
        <f t="shared" si="99"/>
        <v>-1.8897637795275646E-2</v>
      </c>
      <c r="N40" s="1688">
        <f t="shared" si="99"/>
        <v>1.7977528089887729E-2</v>
      </c>
      <c r="O40" s="1688">
        <f t="shared" si="99"/>
        <v>2.5228634500158442E-3</v>
      </c>
      <c r="P40" s="1688">
        <f t="shared" si="99"/>
        <v>7.2349795533186434E-3</v>
      </c>
      <c r="Q40" s="1688">
        <f t="shared" si="99"/>
        <v>7.6514678326046193E-2</v>
      </c>
      <c r="R40" s="1688">
        <f t="shared" ref="R40:X40" si="100">R39/Q39-1</f>
        <v>5.337975050768784E-2</v>
      </c>
      <c r="S40" s="1688">
        <f t="shared" si="100"/>
        <v>0.18684501639133977</v>
      </c>
      <c r="T40" s="1688">
        <f t="shared" si="100"/>
        <v>-1.4793373449948688E-2</v>
      </c>
      <c r="U40" s="1688">
        <f t="shared" si="100"/>
        <v>-4.1395971075877447E-2</v>
      </c>
      <c r="V40" s="1688">
        <f t="shared" si="100"/>
        <v>-1.2181006894160129E-2</v>
      </c>
      <c r="W40" s="1688">
        <f t="shared" si="100"/>
        <v>-8.830617042790867E-3</v>
      </c>
      <c r="X40" s="1688">
        <f t="shared" si="100"/>
        <v>-7.8601265817204169E-3</v>
      </c>
      <c r="Y40" s="2279"/>
      <c r="Z40" s="588"/>
      <c r="AA40" s="2288"/>
      <c r="AB40" s="384"/>
      <c r="AC40" s="384"/>
      <c r="AD40" s="449"/>
      <c r="AE40" s="409"/>
      <c r="AF40" s="424"/>
      <c r="AG40" s="424"/>
      <c r="AH40" s="419">
        <f t="shared" ref="AH40:BB40" si="101">AH39/AD39-1</f>
        <v>7.7060626702998292E-3</v>
      </c>
      <c r="AI40" s="409">
        <f t="shared" si="101"/>
        <v>-7.2357931618211468E-2</v>
      </c>
      <c r="AJ40" s="409">
        <f t="shared" si="101"/>
        <v>2.7399182017330936E-2</v>
      </c>
      <c r="AK40" s="409">
        <f t="shared" si="101"/>
        <v>-7.9147134152543153E-2</v>
      </c>
      <c r="AL40" s="419">
        <f t="shared" si="101"/>
        <v>5.5557902741983245E-2</v>
      </c>
      <c r="AM40" s="420">
        <f t="shared" si="101"/>
        <v>4.3393808220340775</v>
      </c>
      <c r="AN40" s="409">
        <f t="shared" si="101"/>
        <v>4.1845051782450682</v>
      </c>
      <c r="AO40" s="409">
        <f t="shared" si="101"/>
        <v>3.8602713042081263</v>
      </c>
      <c r="AP40" s="419">
        <f t="shared" si="101"/>
        <v>3.7282660902977902</v>
      </c>
      <c r="AQ40" s="409">
        <f t="shared" si="101"/>
        <v>-1.5500995513235694E-2</v>
      </c>
      <c r="AR40" s="409">
        <f t="shared" si="101"/>
        <v>-2.3095811149198564E-3</v>
      </c>
      <c r="AS40" s="409">
        <f t="shared" si="101"/>
        <v>4.5014037835012566E-2</v>
      </c>
      <c r="AT40" s="419">
        <f t="shared" si="101"/>
        <v>6.4682428829011984E-2</v>
      </c>
      <c r="AU40" s="457">
        <f t="shared" si="101"/>
        <v>1.9043892810072318</v>
      </c>
      <c r="AV40" s="371">
        <f t="shared" si="101"/>
        <v>1.9830076189547898</v>
      </c>
      <c r="AW40" s="371">
        <f t="shared" si="101"/>
        <v>1.8269920409300999</v>
      </c>
      <c r="AX40" s="423">
        <f t="shared" si="101"/>
        <v>1.6952322854053365</v>
      </c>
      <c r="AY40" s="1707">
        <f t="shared" si="101"/>
        <v>-7.753114662960392E-2</v>
      </c>
      <c r="AZ40" s="1708">
        <f t="shared" si="101"/>
        <v>-0.12862344452008168</v>
      </c>
      <c r="BA40" s="1708">
        <f t="shared" si="101"/>
        <v>-0.15393636363636354</v>
      </c>
      <c r="BB40" s="1708">
        <f t="shared" si="101"/>
        <v>-0.12673727761002118</v>
      </c>
      <c r="BC40" s="1886" t="s">
        <v>1145</v>
      </c>
      <c r="BD40" s="1834" t="s">
        <v>1145</v>
      </c>
      <c r="BE40" s="1834" t="s">
        <v>1145</v>
      </c>
      <c r="BF40" s="1834" t="s">
        <v>1145</v>
      </c>
      <c r="BG40" s="1705">
        <f ca="1">BG39/BG$25</f>
        <v>0.17839047458199628</v>
      </c>
      <c r="BH40" s="1691">
        <f t="shared" ref="BH40:BY40" si="102">+BH39/BD39-1</f>
        <v>-0.10159118727050187</v>
      </c>
      <c r="BI40" s="1691">
        <f t="shared" si="102"/>
        <v>-0.1540203850509626</v>
      </c>
      <c r="BJ40" s="1692">
        <f t="shared" si="102"/>
        <v>-3.5227272727272774E-2</v>
      </c>
      <c r="BK40" s="1691">
        <f t="shared" si="102"/>
        <v>-5.2071005917159741E-2</v>
      </c>
      <c r="BL40" s="1691">
        <f t="shared" si="102"/>
        <v>0.10217983651226148</v>
      </c>
      <c r="BM40" s="1691">
        <f t="shared" si="102"/>
        <v>-1.8741633199464536E-2</v>
      </c>
      <c r="BN40" s="1691">
        <f t="shared" si="102"/>
        <v>-9.0694935217903394E-2</v>
      </c>
      <c r="BO40" s="1690">
        <f t="shared" si="102"/>
        <v>-1.8726591760299671E-2</v>
      </c>
      <c r="BP40" s="1691">
        <f t="shared" si="102"/>
        <v>-1.3597033374536438E-2</v>
      </c>
      <c r="BQ40" s="1691">
        <f t="shared" si="102"/>
        <v>8.4583901773533476E-2</v>
      </c>
      <c r="BR40" s="1691">
        <f t="shared" si="102"/>
        <v>2.5906735751295429E-2</v>
      </c>
      <c r="BS40" s="1690">
        <f t="shared" si="102"/>
        <v>4.1984732824427384E-2</v>
      </c>
      <c r="BT40" s="1691">
        <f t="shared" si="102"/>
        <v>-3.2581453634085267E-2</v>
      </c>
      <c r="BU40" s="1691">
        <f t="shared" si="102"/>
        <v>0</v>
      </c>
      <c r="BV40" s="421">
        <f t="shared" si="102"/>
        <v>1.2626262626262985E-3</v>
      </c>
      <c r="BW40" s="1690">
        <f t="shared" si="102"/>
        <v>0</v>
      </c>
      <c r="BX40" s="1691">
        <f t="shared" si="102"/>
        <v>8.9378238341969007E-2</v>
      </c>
      <c r="BY40" s="1691">
        <f t="shared" si="102"/>
        <v>-6.2893081761006275E-3</v>
      </c>
      <c r="BZ40" s="421">
        <f t="shared" ref="BZ40:CF40" si="103">+BZ39/BV39-1</f>
        <v>-5.1702395964691061E-2</v>
      </c>
      <c r="CA40" s="430">
        <f t="shared" si="103"/>
        <v>2.19780219780219E-2</v>
      </c>
      <c r="CB40" s="1691">
        <f t="shared" si="103"/>
        <v>-3.0915576694411362E-2</v>
      </c>
      <c r="CC40" s="1691">
        <f t="shared" si="103"/>
        <v>1.0126582278481067E-2</v>
      </c>
      <c r="CD40" s="421">
        <f t="shared" si="103"/>
        <v>0.32579787234042556</v>
      </c>
      <c r="CE40" s="430">
        <f t="shared" si="103"/>
        <v>-3.2258064516129004E-2</v>
      </c>
      <c r="CF40" s="1691">
        <f t="shared" si="103"/>
        <v>8.466257668711652E-2</v>
      </c>
      <c r="CG40" s="1691">
        <f>+CG39/CC39-1</f>
        <v>-0.11027568922305764</v>
      </c>
      <c r="CH40" s="1691">
        <f t="shared" ref="CH40" si="104">+CH39/CD39-1</f>
        <v>0.23069207622868615</v>
      </c>
      <c r="CI40" s="1707">
        <f>CI39/CE39-1</f>
        <v>0.38158832098765472</v>
      </c>
      <c r="CJ40" s="1708">
        <f>CJ39/CF39-1</f>
        <v>0.22839266055882335</v>
      </c>
      <c r="CK40" s="1708">
        <f>CK39/CG39-1</f>
        <v>0.50035184094781493</v>
      </c>
      <c r="CL40" s="1709">
        <f>CL39/CH39-1</f>
        <v>-0.15305721637326342</v>
      </c>
      <c r="CM40" s="367"/>
    </row>
    <row r="41" spans="1:97" hidden="1" outlineLevel="1">
      <c r="A41" s="2655" t="s">
        <v>1255</v>
      </c>
      <c r="B41" s="408"/>
      <c r="C41" s="408"/>
      <c r="D41" s="408"/>
      <c r="E41" s="409"/>
      <c r="F41" s="409"/>
      <c r="G41" s="409"/>
      <c r="H41" s="409"/>
      <c r="I41" s="1688"/>
      <c r="J41" s="1688"/>
      <c r="K41" s="1688"/>
      <c r="L41" s="1688"/>
      <c r="M41" s="1688"/>
      <c r="N41" s="1688"/>
      <c r="O41" s="1688"/>
      <c r="P41" s="1688"/>
      <c r="Q41" s="1688"/>
      <c r="R41" s="1688"/>
      <c r="S41" s="1688"/>
      <c r="T41" s="1688"/>
      <c r="U41" s="1688"/>
      <c r="V41" s="1688"/>
      <c r="W41" s="1688"/>
      <c r="X41" s="1688"/>
      <c r="Y41" s="2279"/>
      <c r="Z41" s="588"/>
      <c r="AA41" s="2288"/>
      <c r="AB41" s="384"/>
      <c r="AC41" s="384"/>
      <c r="AD41" s="449"/>
      <c r="AE41" s="409"/>
      <c r="AF41" s="424"/>
      <c r="AG41" s="424"/>
      <c r="AH41" s="419"/>
      <c r="AI41" s="409"/>
      <c r="AJ41" s="409"/>
      <c r="AK41" s="409"/>
      <c r="AL41" s="419"/>
      <c r="AM41" s="420"/>
      <c r="AN41" s="409"/>
      <c r="AO41" s="409"/>
      <c r="AP41" s="419"/>
      <c r="AQ41" s="409"/>
      <c r="AR41" s="409"/>
      <c r="AS41" s="409"/>
      <c r="AT41" s="419"/>
      <c r="AU41" s="457"/>
      <c r="AV41" s="371"/>
      <c r="AW41" s="371"/>
      <c r="AX41" s="423"/>
      <c r="AY41" s="1707"/>
      <c r="AZ41" s="1708"/>
      <c r="BA41" s="1708"/>
      <c r="BB41" s="1708"/>
      <c r="BC41" s="1886"/>
      <c r="BD41" s="1834"/>
      <c r="BE41" s="1834"/>
      <c r="BF41" s="1834"/>
      <c r="BG41" s="1705"/>
      <c r="BH41" s="1691"/>
      <c r="BI41" s="1691"/>
      <c r="BJ41" s="1692"/>
      <c r="BK41" s="1691">
        <f t="shared" ref="BK41:BY41" si="105">BK39/BJ39-1</f>
        <v>-5.6537102473498191E-2</v>
      </c>
      <c r="BL41" s="1691">
        <f t="shared" si="105"/>
        <v>9.987515605493158E-3</v>
      </c>
      <c r="BM41" s="1691">
        <f t="shared" si="105"/>
        <v>-9.3943139678615561E-2</v>
      </c>
      <c r="BN41" s="1691">
        <f t="shared" si="105"/>
        <v>5.3206002728513058E-2</v>
      </c>
      <c r="BO41" s="1690">
        <f t="shared" si="105"/>
        <v>1.81347150259068E-2</v>
      </c>
      <c r="BP41" s="1691">
        <f t="shared" si="105"/>
        <v>1.5267175572519109E-2</v>
      </c>
      <c r="BQ41" s="1691">
        <f t="shared" si="105"/>
        <v>-3.7593984962406291E-3</v>
      </c>
      <c r="BR41" s="1691">
        <f t="shared" si="105"/>
        <v>-3.7735849056603765E-3</v>
      </c>
      <c r="BS41" s="1690">
        <f t="shared" si="105"/>
        <v>3.4090909090909172E-2</v>
      </c>
      <c r="BT41" s="1691">
        <f t="shared" si="105"/>
        <v>-5.7387057387057405E-2</v>
      </c>
      <c r="BU41" s="2656">
        <f t="shared" si="105"/>
        <v>2.9792746113989743E-2</v>
      </c>
      <c r="BV41" s="421">
        <f t="shared" si="105"/>
        <v>-2.515723270440251E-3</v>
      </c>
      <c r="BW41" s="1690">
        <f t="shared" si="105"/>
        <v>3.2786885245901676E-2</v>
      </c>
      <c r="BX41" s="1691">
        <f t="shared" si="105"/>
        <v>2.6862026862026767E-2</v>
      </c>
      <c r="BY41" s="1691">
        <f t="shared" si="105"/>
        <v>-6.0642092746730047E-2</v>
      </c>
      <c r="BZ41" s="421">
        <f t="shared" ref="BZ41:CF41" si="106">BZ39/BY39-1</f>
        <v>-4.8101265822784844E-2</v>
      </c>
      <c r="CA41" s="430">
        <f t="shared" si="106"/>
        <v>0.11303191489361697</v>
      </c>
      <c r="CB41" s="1691">
        <f t="shared" si="106"/>
        <v>-2.6284348864993978E-2</v>
      </c>
      <c r="CC41" s="1691">
        <f t="shared" si="106"/>
        <v>-2.0858895705521463E-2</v>
      </c>
      <c r="CD41" s="421">
        <f>CD39/CC39-1</f>
        <v>0.24937343358395991</v>
      </c>
      <c r="CE41" s="430">
        <f>CE39/CD39-1</f>
        <v>-0.18756268806419263</v>
      </c>
      <c r="CF41" s="1691">
        <f t="shared" si="106"/>
        <v>9.135802469135812E-2</v>
      </c>
      <c r="CG41" s="1691">
        <f>CG39/CF39-1</f>
        <v>-0.19683257918552033</v>
      </c>
      <c r="CH41" s="1691">
        <f t="shared" ref="CH41" si="107">CH39/CG39-1</f>
        <v>0.72816901408450696</v>
      </c>
      <c r="CI41" s="1707">
        <f>CI39/CH39-1</f>
        <v>-8.7949030154849006E-2</v>
      </c>
      <c r="CJ41" s="1708">
        <f>CJ39/CI39-1</f>
        <v>-2.9655819170160358E-2</v>
      </c>
      <c r="CK41" s="1708">
        <f>CK39/CJ39-1</f>
        <v>-1.901585942387829E-2</v>
      </c>
      <c r="CL41" s="1709">
        <f>CL39/CK39-1</f>
        <v>-2.4455307468700505E-2</v>
      </c>
      <c r="CM41" s="367"/>
    </row>
    <row r="42" spans="1:97" collapsed="1">
      <c r="A42" s="1687" t="s">
        <v>998</v>
      </c>
      <c r="B42" s="408"/>
      <c r="C42" s="408"/>
      <c r="D42" s="408"/>
      <c r="E42" s="409">
        <f t="shared" ref="E42:K42" si="108">E39/E$25</f>
        <v>0.336748573638257</v>
      </c>
      <c r="F42" s="409">
        <f t="shared" si="108"/>
        <v>0.32120190711800256</v>
      </c>
      <c r="G42" s="409">
        <f t="shared" si="108"/>
        <v>0.28525427787886132</v>
      </c>
      <c r="H42" s="409">
        <f t="shared" si="108"/>
        <v>0.2897765217686587</v>
      </c>
      <c r="I42" s="1688">
        <f t="shared" si="108"/>
        <v>0.26226377330218309</v>
      </c>
      <c r="J42" s="1688">
        <f t="shared" si="108"/>
        <v>0.25182556416902302</v>
      </c>
      <c r="K42" s="1688">
        <f t="shared" si="108"/>
        <v>0.17894086768565695</v>
      </c>
      <c r="L42" s="1688">
        <f t="shared" ref="L42:Q42" ca="1" si="109">(L39)/L$25</f>
        <v>0.16986058057543951</v>
      </c>
      <c r="M42" s="1688">
        <f t="shared" si="109"/>
        <v>0.16950535996082058</v>
      </c>
      <c r="N42" s="1708">
        <f t="shared" si="109"/>
        <v>0.17524177949709865</v>
      </c>
      <c r="O42" s="1708">
        <f t="shared" si="109"/>
        <v>0.17634659122427471</v>
      </c>
      <c r="P42" s="1708">
        <f t="shared" si="109"/>
        <v>0.1788826815642458</v>
      </c>
      <c r="Q42" s="1708">
        <f t="shared" si="109"/>
        <v>0.19730967372638811</v>
      </c>
      <c r="R42" s="1708">
        <f>(R39)/R$25</f>
        <v>0.19800414439960737</v>
      </c>
      <c r="S42" s="1708">
        <f>(S39)/S$25</f>
        <v>0.18076263267129916</v>
      </c>
      <c r="T42" s="2853">
        <f>+IF(Valuation!$I$2=1,T44,IF(Valuation!$I$2=2,T43,T45))</f>
        <v>0.18</v>
      </c>
      <c r="U42" s="2853">
        <f>+IF(Valuation!$I$2=1,U44,IF(Valuation!$I$2=2,U43,U45))</f>
        <v>0.17399999999999999</v>
      </c>
      <c r="V42" s="2853">
        <f>+IF(Valuation!$I$2=1,V44,IF(Valuation!$I$2=2,V43,V45))</f>
        <v>0.17299999999999999</v>
      </c>
      <c r="W42" s="2853">
        <f>+IF(Valuation!$I$2=1,W44,IF(Valuation!$I$2=2,W43,W45))</f>
        <v>0.17199999999999999</v>
      </c>
      <c r="X42" s="2853">
        <f>+IF(Valuation!$I$2=1,X44,IF(Valuation!$I$2=2,X43,X45))</f>
        <v>0.17099999999999999</v>
      </c>
      <c r="Y42" s="2279"/>
      <c r="Z42" s="588"/>
      <c r="AA42" s="2288"/>
      <c r="AB42" s="384"/>
      <c r="AC42" s="384"/>
      <c r="AD42" s="419">
        <f t="shared" ref="AD42:BF42" si="110">AD39/AD$25</f>
        <v>0.15629933638660928</v>
      </c>
      <c r="AE42" s="409">
        <f t="shared" si="110"/>
        <v>0.17113915351757777</v>
      </c>
      <c r="AF42" s="424">
        <f t="shared" si="110"/>
        <v>0.1535353033277829</v>
      </c>
      <c r="AG42" s="424">
        <f t="shared" si="110"/>
        <v>0.1780612849691797</v>
      </c>
      <c r="AH42" s="419">
        <f t="shared" si="110"/>
        <v>0.15617071955713469</v>
      </c>
      <c r="AI42" s="409">
        <f t="shared" si="110"/>
        <v>0.15833504120736056</v>
      </c>
      <c r="AJ42" s="409">
        <f t="shared" si="110"/>
        <v>0.15699861315638022</v>
      </c>
      <c r="AK42" s="409">
        <f t="shared" si="110"/>
        <v>0.15156790978336135</v>
      </c>
      <c r="AL42" s="419">
        <f t="shared" si="110"/>
        <v>0.16106447994430048</v>
      </c>
      <c r="AM42" s="420">
        <f t="shared" si="110"/>
        <v>0.23701277752895558</v>
      </c>
      <c r="AN42" s="409">
        <f t="shared" si="110"/>
        <v>0.23491919352006135</v>
      </c>
      <c r="AO42" s="409">
        <f t="shared" si="110"/>
        <v>0.23045211651698319</v>
      </c>
      <c r="AP42" s="419">
        <f t="shared" si="110"/>
        <v>0.22397739957671606</v>
      </c>
      <c r="AQ42" s="409">
        <f t="shared" si="110"/>
        <v>0.23810260686112197</v>
      </c>
      <c r="AR42" s="409">
        <f t="shared" si="110"/>
        <v>0.23216769238167351</v>
      </c>
      <c r="AS42" s="409">
        <f t="shared" si="110"/>
        <v>0.23189685445324956</v>
      </c>
      <c r="AT42" s="419">
        <f t="shared" si="110"/>
        <v>0.23709920512610247</v>
      </c>
      <c r="AU42" s="457">
        <f t="shared" si="110"/>
        <v>0.26146455765248072</v>
      </c>
      <c r="AV42" s="371">
        <f t="shared" si="110"/>
        <v>0.26813551631054289</v>
      </c>
      <c r="AW42" s="371">
        <f t="shared" si="110"/>
        <v>0.26300915952388354</v>
      </c>
      <c r="AX42" s="423">
        <f t="shared" si="110"/>
        <v>0.25624977463746396</v>
      </c>
      <c r="AY42" s="1690">
        <f t="shared" si="110"/>
        <v>0.26014844597760706</v>
      </c>
      <c r="AZ42" s="1688">
        <f t="shared" si="110"/>
        <v>0.25619422573754413</v>
      </c>
      <c r="BA42" s="1688">
        <f t="shared" si="110"/>
        <v>0.2454933471311247</v>
      </c>
      <c r="BB42" s="1688">
        <f t="shared" si="110"/>
        <v>0.24497974934539157</v>
      </c>
      <c r="BC42" s="1705">
        <f t="shared" si="110"/>
        <v>0.18257683696315896</v>
      </c>
      <c r="BD42" s="1688">
        <f t="shared" si="110"/>
        <v>0.16831479192418625</v>
      </c>
      <c r="BE42" s="1688">
        <f t="shared" si="110"/>
        <v>0.18179946469013794</v>
      </c>
      <c r="BF42" s="1688">
        <f t="shared" si="110"/>
        <v>0.18306636155606407</v>
      </c>
      <c r="BG42" s="1705">
        <f t="shared" ref="BG42:BL42" ca="1" si="111">(BG39)/BG$25</f>
        <v>0.17839047458199628</v>
      </c>
      <c r="BH42" s="1688">
        <f t="shared" si="111"/>
        <v>0.1572071107303491</v>
      </c>
      <c r="BI42" s="1688">
        <f t="shared" si="111"/>
        <v>0.16123462119576948</v>
      </c>
      <c r="BJ42" s="1689">
        <f t="shared" si="111"/>
        <v>0.18246292714377821</v>
      </c>
      <c r="BK42" s="1688">
        <f t="shared" si="111"/>
        <v>0.1737527114967462</v>
      </c>
      <c r="BL42" s="1688">
        <f t="shared" si="111"/>
        <v>0.17541196877710322</v>
      </c>
      <c r="BM42" s="1688">
        <f t="shared" ref="BM42:BR42" si="112">(BM39)/BM$25</f>
        <v>0.16035878363596587</v>
      </c>
      <c r="BN42" s="1688">
        <f t="shared" si="112"/>
        <v>0.16841186736474695</v>
      </c>
      <c r="BO42" s="1705">
        <f t="shared" si="112"/>
        <v>0.17416352758697098</v>
      </c>
      <c r="BP42" s="1688">
        <f t="shared" si="112"/>
        <v>0.17635359116022101</v>
      </c>
      <c r="BQ42" s="1688">
        <f t="shared" si="112"/>
        <v>0.17607973421926909</v>
      </c>
      <c r="BR42" s="1688">
        <f t="shared" si="112"/>
        <v>0.17437252311756934</v>
      </c>
      <c r="BS42" s="1705">
        <f t="shared" ref="BS42:BX42" si="113">(BS39)/BS$25</f>
        <v>0.18047598060819744</v>
      </c>
      <c r="BT42" s="1688">
        <f t="shared" si="113"/>
        <v>0.17004405286343613</v>
      </c>
      <c r="BU42" s="1688">
        <f t="shared" si="113"/>
        <v>0.17615776645247064</v>
      </c>
      <c r="BV42" s="419">
        <f t="shared" si="113"/>
        <v>0.17876465284039675</v>
      </c>
      <c r="BW42" s="1705">
        <f t="shared" si="113"/>
        <v>0.18400359469782071</v>
      </c>
      <c r="BX42" s="1688">
        <f t="shared" si="113"/>
        <v>0.19031455080334916</v>
      </c>
      <c r="BY42" s="1688">
        <f t="shared" ref="BY42:CD42" si="114">(BY39)/BY$25</f>
        <v>0.17347386912604304</v>
      </c>
      <c r="BZ42" s="419">
        <f t="shared" si="114"/>
        <v>0.1680071492403932</v>
      </c>
      <c r="CA42" s="409">
        <f t="shared" si="114"/>
        <v>0.19018404907975461</v>
      </c>
      <c r="CB42" s="1688">
        <f t="shared" si="114"/>
        <v>0.18531150522964984</v>
      </c>
      <c r="CC42" s="1688">
        <f t="shared" si="114"/>
        <v>0.18210862619808307</v>
      </c>
      <c r="CD42" s="419">
        <f t="shared" si="114"/>
        <v>0.23245511774306366</v>
      </c>
      <c r="CE42" s="409">
        <f t="shared" ref="CE42:CL42" si="115">(CE39)/CE$25</f>
        <v>0.19244476122594439</v>
      </c>
      <c r="CF42" s="1688">
        <f t="shared" si="115"/>
        <v>0.21613691931540344</v>
      </c>
      <c r="CG42" s="1688">
        <f t="shared" si="115"/>
        <v>0.1760039662865642</v>
      </c>
      <c r="CH42" s="1688">
        <f t="shared" ref="CH42" si="116">(CH39)/CH$25</f>
        <v>0.20432972522897586</v>
      </c>
      <c r="CI42" s="420">
        <f t="shared" si="115"/>
        <v>0.187</v>
      </c>
      <c r="CJ42" s="409">
        <f t="shared" si="115"/>
        <v>0.182</v>
      </c>
      <c r="CK42" s="409">
        <f t="shared" si="115"/>
        <v>0.17899999999999999</v>
      </c>
      <c r="CL42" s="419">
        <f t="shared" si="115"/>
        <v>0.17499999999999999</v>
      </c>
      <c r="CM42" s="367"/>
    </row>
    <row r="43" spans="1:97" hidden="1" outlineLevel="1">
      <c r="A43" s="1920" t="s">
        <v>779</v>
      </c>
      <c r="B43" s="2002"/>
      <c r="C43" s="2002"/>
      <c r="D43" s="2002"/>
      <c r="E43" s="1968"/>
      <c r="F43" s="1968"/>
      <c r="G43" s="1968"/>
      <c r="H43" s="1968"/>
      <c r="I43" s="1968"/>
      <c r="J43" s="1968"/>
      <c r="K43" s="1968"/>
      <c r="L43" s="1968"/>
      <c r="M43" s="1968"/>
      <c r="N43" s="1968"/>
      <c r="O43" s="1968"/>
      <c r="P43" s="1968"/>
      <c r="Q43" s="1968"/>
      <c r="R43" s="1968"/>
      <c r="S43" s="1968"/>
      <c r="T43" s="2758">
        <f>+T44-0.3%</f>
        <v>0.17699999999999999</v>
      </c>
      <c r="U43" s="2758">
        <f>+U44-0.3%</f>
        <v>0.17099999999999999</v>
      </c>
      <c r="V43" s="2758">
        <f>+V44-0.3%</f>
        <v>0.16999999999999998</v>
      </c>
      <c r="W43" s="2758">
        <f>+W44-0.3%</f>
        <v>0.16899999999999998</v>
      </c>
      <c r="X43" s="2757">
        <f>+X44-0.3%</f>
        <v>0.16799999999999998</v>
      </c>
      <c r="Y43" s="2279"/>
      <c r="Z43" s="2282"/>
      <c r="AA43" s="2288"/>
      <c r="AB43" s="1999"/>
      <c r="AC43" s="1999"/>
      <c r="AD43" s="2000"/>
      <c r="AE43" s="1968"/>
      <c r="AF43" s="1939"/>
      <c r="AG43" s="1939"/>
      <c r="AH43" s="1957"/>
      <c r="AI43" s="1968"/>
      <c r="AJ43" s="1968"/>
      <c r="AK43" s="1968"/>
      <c r="AL43" s="1957"/>
      <c r="AM43" s="1938"/>
      <c r="AN43" s="1968"/>
      <c r="AO43" s="1968"/>
      <c r="AP43" s="1957"/>
      <c r="AQ43" s="1968"/>
      <c r="AR43" s="1968"/>
      <c r="AS43" s="1968"/>
      <c r="AT43" s="1957"/>
      <c r="AU43" s="1938"/>
      <c r="AV43" s="1968"/>
      <c r="AW43" s="1968"/>
      <c r="AX43" s="1957"/>
      <c r="AY43" s="1938"/>
      <c r="AZ43" s="1968"/>
      <c r="BA43" s="1968"/>
      <c r="BB43" s="1968"/>
      <c r="BC43" s="1938"/>
      <c r="BD43" s="1968"/>
      <c r="BE43" s="1968"/>
      <c r="BF43" s="1968"/>
      <c r="BG43" s="1938"/>
      <c r="BH43" s="1968"/>
      <c r="BI43" s="1968"/>
      <c r="BJ43" s="1957"/>
      <c r="BK43" s="1968"/>
      <c r="BL43" s="1968"/>
      <c r="BM43" s="1968"/>
      <c r="BN43" s="1968"/>
      <c r="BO43" s="1938"/>
      <c r="BP43" s="1968"/>
      <c r="BQ43" s="1968"/>
      <c r="BR43" s="1968"/>
      <c r="BS43" s="1938"/>
      <c r="BT43" s="1968"/>
      <c r="BU43" s="1968"/>
      <c r="BV43" s="1957"/>
      <c r="BW43" s="1938"/>
      <c r="BX43" s="1968"/>
      <c r="BY43" s="1968"/>
      <c r="BZ43" s="1957"/>
      <c r="CA43" s="1968"/>
      <c r="CB43" s="1968"/>
      <c r="CC43" s="1968"/>
      <c r="CD43" s="1957"/>
      <c r="CE43" s="1968"/>
      <c r="CF43" s="1968"/>
      <c r="CG43" s="1968"/>
      <c r="CH43" s="1968"/>
      <c r="CI43" s="3835">
        <f>+CI44+0.2%</f>
        <v>0.189</v>
      </c>
      <c r="CJ43" s="2758">
        <f>+CJ44+0.2%</f>
        <v>0.184</v>
      </c>
      <c r="CK43" s="2758">
        <f>+CK44+0.2%</f>
        <v>0.18099999999999999</v>
      </c>
      <c r="CL43" s="2757">
        <f>+CL44+0.2%</f>
        <v>0.17699999999999999</v>
      </c>
      <c r="CM43" s="2001"/>
    </row>
    <row r="44" spans="1:97" hidden="1" outlineLevel="1">
      <c r="A44" s="1920" t="s">
        <v>778</v>
      </c>
      <c r="B44" s="2002"/>
      <c r="C44" s="2002"/>
      <c r="D44" s="2002"/>
      <c r="E44" s="1968"/>
      <c r="F44" s="1968"/>
      <c r="G44" s="1968"/>
      <c r="H44" s="1968"/>
      <c r="I44" s="1968"/>
      <c r="J44" s="1968"/>
      <c r="K44" s="1968"/>
      <c r="L44" s="1968"/>
      <c r="M44" s="1968"/>
      <c r="N44" s="1968"/>
      <c r="O44" s="1968"/>
      <c r="P44" s="1968"/>
      <c r="Q44" s="1968"/>
      <c r="R44" s="1968"/>
      <c r="S44" s="1968"/>
      <c r="T44" s="2760">
        <v>0.18</v>
      </c>
      <c r="U44" s="2760">
        <v>0.17399999999999999</v>
      </c>
      <c r="V44" s="2760">
        <f>+U44-0.1%</f>
        <v>0.17299999999999999</v>
      </c>
      <c r="W44" s="2760">
        <f t="shared" ref="W44:X44" si="117">+V44-0.1%</f>
        <v>0.17199999999999999</v>
      </c>
      <c r="X44" s="2759">
        <f t="shared" si="117"/>
        <v>0.17099999999999999</v>
      </c>
      <c r="Y44" s="2279"/>
      <c r="Z44" s="2282"/>
      <c r="AA44" s="2288"/>
      <c r="AB44" s="1999"/>
      <c r="AC44" s="1999"/>
      <c r="AD44" s="2000"/>
      <c r="AE44" s="1968"/>
      <c r="AF44" s="1939"/>
      <c r="AG44" s="1939"/>
      <c r="AH44" s="1957"/>
      <c r="AI44" s="1968"/>
      <c r="AJ44" s="1968"/>
      <c r="AK44" s="1968"/>
      <c r="AL44" s="1957"/>
      <c r="AM44" s="1938"/>
      <c r="AN44" s="1968"/>
      <c r="AO44" s="1968"/>
      <c r="AP44" s="1957"/>
      <c r="AQ44" s="1968"/>
      <c r="AR44" s="1968"/>
      <c r="AS44" s="1968"/>
      <c r="AT44" s="1957"/>
      <c r="AU44" s="1938"/>
      <c r="AV44" s="1968"/>
      <c r="AW44" s="1968"/>
      <c r="AX44" s="1957"/>
      <c r="AY44" s="1938"/>
      <c r="AZ44" s="1968"/>
      <c r="BA44" s="1968"/>
      <c r="BB44" s="1968"/>
      <c r="BC44" s="1938"/>
      <c r="BD44" s="1968"/>
      <c r="BE44" s="1968"/>
      <c r="BF44" s="1968"/>
      <c r="BG44" s="1938"/>
      <c r="BH44" s="1968"/>
      <c r="BI44" s="1968"/>
      <c r="BJ44" s="1957"/>
      <c r="BK44" s="1968"/>
      <c r="BL44" s="1968"/>
      <c r="BM44" s="1968"/>
      <c r="BN44" s="1968"/>
      <c r="BO44" s="1938"/>
      <c r="BP44" s="1968"/>
      <c r="BQ44" s="1968"/>
      <c r="BR44" s="1968"/>
      <c r="BS44" s="1938"/>
      <c r="BT44" s="1968"/>
      <c r="BU44" s="1968"/>
      <c r="BV44" s="1957"/>
      <c r="BW44" s="1938"/>
      <c r="BX44" s="1968"/>
      <c r="BY44" s="1968"/>
      <c r="BZ44" s="1957"/>
      <c r="CA44" s="1968"/>
      <c r="CB44" s="1968"/>
      <c r="CC44" s="1968"/>
      <c r="CD44" s="1957"/>
      <c r="CE44" s="1968"/>
      <c r="CF44" s="1968"/>
      <c r="CG44" s="1968"/>
      <c r="CH44" s="1968"/>
      <c r="CI44" s="3836">
        <v>0.187</v>
      </c>
      <c r="CJ44" s="2760">
        <v>0.182</v>
      </c>
      <c r="CK44" s="2760">
        <v>0.17899999999999999</v>
      </c>
      <c r="CL44" s="2759">
        <v>0.17499999999999999</v>
      </c>
      <c r="CM44" s="2001"/>
    </row>
    <row r="45" spans="1:97" hidden="1" outlineLevel="1">
      <c r="A45" s="1920" t="s">
        <v>780</v>
      </c>
      <c r="B45" s="2002"/>
      <c r="C45" s="2002"/>
      <c r="D45" s="2002"/>
      <c r="E45" s="1968"/>
      <c r="F45" s="1968"/>
      <c r="G45" s="1968"/>
      <c r="H45" s="1968"/>
      <c r="I45" s="1968"/>
      <c r="J45" s="1968"/>
      <c r="K45" s="1968"/>
      <c r="L45" s="1968"/>
      <c r="M45" s="1968"/>
      <c r="N45" s="1968"/>
      <c r="O45" s="1968"/>
      <c r="P45" s="1968"/>
      <c r="Q45" s="1968"/>
      <c r="R45" s="1968"/>
      <c r="S45" s="1968"/>
      <c r="T45" s="2756">
        <f>+T44+0.3%</f>
        <v>0.183</v>
      </c>
      <c r="U45" s="2756">
        <f t="shared" ref="U45:X45" si="118">+U44+0.3%</f>
        <v>0.17699999999999999</v>
      </c>
      <c r="V45" s="2756">
        <f t="shared" si="118"/>
        <v>0.17599999999999999</v>
      </c>
      <c r="W45" s="2756">
        <f t="shared" si="118"/>
        <v>0.17499999999999999</v>
      </c>
      <c r="X45" s="2755">
        <f t="shared" si="118"/>
        <v>0.17399999999999999</v>
      </c>
      <c r="Y45" s="2279"/>
      <c r="Z45" s="2282"/>
      <c r="AA45" s="2288"/>
      <c r="AB45" s="1999"/>
      <c r="AC45" s="1999"/>
      <c r="AD45" s="2000"/>
      <c r="AE45" s="1968"/>
      <c r="AF45" s="1939"/>
      <c r="AG45" s="1939"/>
      <c r="AH45" s="1957"/>
      <c r="AI45" s="1968"/>
      <c r="AJ45" s="1968"/>
      <c r="AK45" s="1968"/>
      <c r="AL45" s="1957"/>
      <c r="AM45" s="1938"/>
      <c r="AN45" s="1968"/>
      <c r="AO45" s="1968"/>
      <c r="AP45" s="1957"/>
      <c r="AQ45" s="1968"/>
      <c r="AR45" s="1968"/>
      <c r="AS45" s="1968"/>
      <c r="AT45" s="1957"/>
      <c r="AU45" s="1938"/>
      <c r="AV45" s="1968"/>
      <c r="AW45" s="1968"/>
      <c r="AX45" s="1957"/>
      <c r="AY45" s="1938"/>
      <c r="AZ45" s="1968"/>
      <c r="BA45" s="1968"/>
      <c r="BB45" s="1968"/>
      <c r="BC45" s="1938"/>
      <c r="BD45" s="1968"/>
      <c r="BE45" s="1968"/>
      <c r="BF45" s="1968"/>
      <c r="BG45" s="1938"/>
      <c r="BH45" s="1968"/>
      <c r="BI45" s="1968"/>
      <c r="BJ45" s="1957"/>
      <c r="BK45" s="1968"/>
      <c r="BL45" s="1968"/>
      <c r="BM45" s="1968"/>
      <c r="BN45" s="1968"/>
      <c r="BO45" s="1938"/>
      <c r="BP45" s="1968"/>
      <c r="BQ45" s="1968"/>
      <c r="BR45" s="1968"/>
      <c r="BS45" s="1938"/>
      <c r="BT45" s="1968"/>
      <c r="BU45" s="1968"/>
      <c r="BV45" s="1957"/>
      <c r="BW45" s="1938"/>
      <c r="BX45" s="1968"/>
      <c r="BY45" s="1968"/>
      <c r="BZ45" s="1957"/>
      <c r="CA45" s="1968"/>
      <c r="CB45" s="1968"/>
      <c r="CC45" s="1968"/>
      <c r="CD45" s="1957"/>
      <c r="CE45" s="1968"/>
      <c r="CF45" s="1968"/>
      <c r="CG45" s="1968"/>
      <c r="CH45" s="1968"/>
      <c r="CI45" s="3837">
        <f>+CI44+0.3%</f>
        <v>0.19</v>
      </c>
      <c r="CJ45" s="2756">
        <f>+CJ44+0.3%</f>
        <v>0.185</v>
      </c>
      <c r="CK45" s="2756">
        <f>+CK44+0.3%</f>
        <v>0.182</v>
      </c>
      <c r="CL45" s="2755">
        <f>+CL44+0.3%</f>
        <v>0.17799999999999999</v>
      </c>
      <c r="CM45" s="2001"/>
    </row>
    <row r="46" spans="1:97" s="59" customFormat="1" collapsed="1">
      <c r="A46" s="367"/>
      <c r="B46" s="765"/>
      <c r="C46" s="765"/>
      <c r="D46" s="765"/>
      <c r="E46" s="451"/>
      <c r="F46" s="451"/>
      <c r="G46" s="451"/>
      <c r="H46" s="451"/>
      <c r="I46" s="1710"/>
      <c r="J46" s="1710"/>
      <c r="K46" s="1710"/>
      <c r="L46" s="1904"/>
      <c r="M46" s="1904"/>
      <c r="N46" s="425"/>
      <c r="O46" s="425"/>
      <c r="P46" s="425"/>
      <c r="Q46" s="425"/>
      <c r="R46" s="425"/>
      <c r="S46" s="425"/>
      <c r="T46" s="425"/>
      <c r="U46" s="425"/>
      <c r="V46" s="425"/>
      <c r="W46" s="425"/>
      <c r="X46" s="425"/>
      <c r="Y46" s="2279"/>
      <c r="Z46" s="2283"/>
      <c r="AA46" s="2288"/>
      <c r="AB46" s="384"/>
      <c r="AC46" s="384"/>
      <c r="AD46" s="449"/>
      <c r="AE46" s="384"/>
      <c r="AF46" s="384"/>
      <c r="AG46" s="384"/>
      <c r="AH46" s="449"/>
      <c r="AI46" s="384"/>
      <c r="AJ46" s="384"/>
      <c r="AK46" s="384"/>
      <c r="AL46" s="449"/>
      <c r="AM46" s="448"/>
      <c r="AN46" s="384"/>
      <c r="AO46" s="384"/>
      <c r="AP46" s="449"/>
      <c r="AQ46" s="384"/>
      <c r="AR46" s="384"/>
      <c r="AS46" s="384"/>
      <c r="AT46" s="449"/>
      <c r="AU46" s="448"/>
      <c r="AV46" s="384"/>
      <c r="AW46" s="384"/>
      <c r="AX46" s="449"/>
      <c r="AY46" s="1703"/>
      <c r="AZ46" s="1704"/>
      <c r="BA46" s="1704"/>
      <c r="BB46" s="1704"/>
      <c r="BC46" s="2058"/>
      <c r="BD46" s="1794"/>
      <c r="BE46" s="1794"/>
      <c r="BF46" s="890"/>
      <c r="BG46" s="2058"/>
      <c r="BH46" s="2059"/>
      <c r="BI46" s="1841"/>
      <c r="BJ46" s="1990"/>
      <c r="BK46" s="1841"/>
      <c r="BL46" s="1841"/>
      <c r="BM46" s="1841"/>
      <c r="BN46" s="1841"/>
      <c r="BO46" s="1842"/>
      <c r="BP46" s="1841"/>
      <c r="BQ46" s="1841"/>
      <c r="BR46" s="1841"/>
      <c r="BS46" s="1842"/>
      <c r="BT46" s="1841"/>
      <c r="BU46" s="1841"/>
      <c r="BV46" s="1990"/>
      <c r="BW46" s="1842"/>
      <c r="BX46" s="1841"/>
      <c r="BY46" s="1841"/>
      <c r="BZ46" s="1990"/>
      <c r="CA46" s="1841"/>
      <c r="CB46" s="1841"/>
      <c r="CC46" s="1841"/>
      <c r="CD46" s="1990"/>
      <c r="CE46" s="1841"/>
      <c r="CF46" s="1841"/>
      <c r="CG46" s="1841"/>
      <c r="CH46" s="1841"/>
      <c r="CI46" s="553"/>
      <c r="CJ46" s="425"/>
      <c r="CK46" s="425"/>
      <c r="CL46" s="426"/>
      <c r="CM46" s="367"/>
      <c r="CN46"/>
      <c r="CO46"/>
      <c r="CP46"/>
      <c r="CQ46"/>
      <c r="CR46"/>
      <c r="CS46"/>
    </row>
    <row r="47" spans="1:97">
      <c r="A47" s="1706" t="s">
        <v>999</v>
      </c>
      <c r="B47" s="408"/>
      <c r="C47" s="408"/>
      <c r="D47" s="408"/>
      <c r="E47" s="413">
        <f>SUM(AE47:AH47)</f>
        <v>514.125</v>
      </c>
      <c r="F47" s="413">
        <f>SUM(AI47:AL47)</f>
        <v>531.93100000000004</v>
      </c>
      <c r="G47" s="413">
        <f>SUM(AM47:AP47)</f>
        <v>1587.585</v>
      </c>
      <c r="H47" s="413">
        <f>SUM(AQ47:AT47)</f>
        <v>1756.2550000000001</v>
      </c>
      <c r="I47" s="1701">
        <f>SUM(AU47:AX47)</f>
        <v>4000.6170000000002</v>
      </c>
      <c r="J47" s="1701">
        <f>SUM(AY47:BB47)</f>
        <v>3773.71</v>
      </c>
      <c r="K47" s="1701">
        <f>+SUM(BC47:BF47)</f>
        <v>3836</v>
      </c>
      <c r="L47" s="1710">
        <f>+SUM(BG47:BJ47)</f>
        <v>3800</v>
      </c>
      <c r="M47" s="1710">
        <f>+SUM(BK47:BN47)</f>
        <v>3664</v>
      </c>
      <c r="N47" s="1710">
        <f>+SUM(BO47:BR47)</f>
        <v>3438</v>
      </c>
      <c r="O47" s="1698">
        <f>+SUM(BS47:BV47)</f>
        <v>4428</v>
      </c>
      <c r="P47" s="1698">
        <f>+SUM(BW47:BZ47)</f>
        <v>4189</v>
      </c>
      <c r="Q47" s="1698">
        <f>+SUM(CA47:CD47)</f>
        <v>3916</v>
      </c>
      <c r="R47" s="1698">
        <f>+SUM(CE47:CH47)</f>
        <v>4040</v>
      </c>
      <c r="S47" s="1698">
        <f>+SUM(CI47:CL47)</f>
        <v>5454.5163035963596</v>
      </c>
      <c r="T47" s="1710">
        <f>+CFS!T128</f>
        <v>5345.4259775244327</v>
      </c>
      <c r="U47" s="1710">
        <f>+CFS!U128</f>
        <v>5238.5174579739441</v>
      </c>
      <c r="V47" s="1710">
        <f>+CFS!V128</f>
        <v>5146.8434024594007</v>
      </c>
      <c r="W47" s="1710">
        <f>+CFS!W128</f>
        <v>5056.7736429163615</v>
      </c>
      <c r="X47" s="1710">
        <f>+CFS!X128</f>
        <v>4968.2801041653256</v>
      </c>
      <c r="Y47" s="2279"/>
      <c r="Z47" s="2281"/>
      <c r="AA47" s="2288"/>
      <c r="AB47" s="384"/>
      <c r="AC47" s="384"/>
      <c r="AD47" s="449">
        <f>(INPUTS_1!B38+INPUTS_1!B44+INPUTS_1!B45)/1000</f>
        <v>127.49299999999999</v>
      </c>
      <c r="AE47" s="384">
        <f>(INPUTS_1!C38+INPUTS_1!C44+INPUTS_1!C45)/1000</f>
        <v>126.992</v>
      </c>
      <c r="AF47" s="384">
        <f>(INPUTS_1!D38+INPUTS_1!D44+INPUTS_1!D45)/1000</f>
        <v>130.751</v>
      </c>
      <c r="AG47" s="384">
        <f>(INPUTS_1!E38+INPUTS_1!E44+INPUTS_1!E45)/1000</f>
        <v>127.078</v>
      </c>
      <c r="AH47" s="449">
        <f>(INPUTS_1!F38+INPUTS_1!F44+INPUTS_1!F45)/1000</f>
        <v>129.304</v>
      </c>
      <c r="AI47" s="384">
        <f>(INPUTS_1!G38+INPUTS_1!G44+INPUTS_1!G45)/1000</f>
        <v>132.17500000000001</v>
      </c>
      <c r="AJ47" s="384">
        <f>(INPUTS_1!H38+INPUTS_1!H44+INPUTS_1!H45)/1000</f>
        <v>130.452</v>
      </c>
      <c r="AK47" s="384">
        <f>(INPUTS_1!I38+INPUTS_1!I44+INPUTS_1!I45)/1000</f>
        <v>133.52600000000001</v>
      </c>
      <c r="AL47" s="449">
        <f>(INPUTS_1!J38+INPUTS_1!J44+INPUTS_1!J45)/1000</f>
        <v>135.77799999999999</v>
      </c>
      <c r="AM47" s="384">
        <f>(INPUTS_1!K38+INPUTS_1!K44+INPUTS_1!K45)/1000</f>
        <v>397.565</v>
      </c>
      <c r="AN47" s="384">
        <f>(INPUTS_1!L38+INPUTS_1!L44+INPUTS_1!L45)/1000</f>
        <v>398.82</v>
      </c>
      <c r="AO47" s="384">
        <f>(INPUTS_1!M38+INPUTS_1!M44+INPUTS_1!M45)/1000</f>
        <v>396.84</v>
      </c>
      <c r="AP47" s="449">
        <f>(INPUTS_1!N38+INPUTS_1!N44+INPUTS_1!N45)/1000</f>
        <v>394.36</v>
      </c>
      <c r="AQ47" s="384">
        <f>(INPUTS_1!O38+INPUTS_1!O44+INPUTS_1!O45)/1000</f>
        <v>438.53399999999999</v>
      </c>
      <c r="AR47" s="384">
        <f>(INPUTS_1!P38+INPUTS_1!P44+INPUTS_1!P45)/1000</f>
        <v>439.06099999999998</v>
      </c>
      <c r="AS47" s="384">
        <f>(INPUTS_1!Q38+INPUTS_1!Q44+INPUTS_1!Q45)/1000</f>
        <v>437.35599999999999</v>
      </c>
      <c r="AT47" s="449">
        <f>(INPUTS_1!R38+INPUTS_1!R44+INPUTS_1!R45)/1000</f>
        <v>441.30399999999997</v>
      </c>
      <c r="AU47" s="384">
        <f>(INPUTS_1!S38+INPUTS_1!S44+INPUTS_1!S45)/1000</f>
        <v>1003</v>
      </c>
      <c r="AV47" s="384">
        <f>(INPUTS_1!T38+INPUTS_1!T44+INPUTS_1!T45)/1000</f>
        <v>996</v>
      </c>
      <c r="AW47" s="384">
        <f>(INPUTS_1!U38+INPUTS_1!U44+INPUTS_1!U45)/1000</f>
        <v>1019</v>
      </c>
      <c r="AX47" s="449">
        <f>(INPUTS_1!V38+INPUTS_1!V44+INPUTS_1!V45)/1000</f>
        <v>982.61699999999996</v>
      </c>
      <c r="AY47" s="1704">
        <f>(INPUTS_1!W38+INPUTS_1!W44+INPUTS_1!W45)/1000</f>
        <v>944.72</v>
      </c>
      <c r="AZ47" s="1704">
        <f>(INPUTS_1!X38+INPUTS_1!X44+INPUTS_1!X45)/1000</f>
        <v>950.404</v>
      </c>
      <c r="BA47" s="1704">
        <f>(INPUTS_1!Y38+INPUTS_1!Y44+INPUTS_1!Y45)/1000</f>
        <v>943.202</v>
      </c>
      <c r="BB47" s="1704">
        <f>(INPUTS_1!Z38+INPUTS_1!Z44+INPUTS_1!Z45)/1000</f>
        <v>935.38400000000001</v>
      </c>
      <c r="BC47" s="1842">
        <f>1222-272</f>
        <v>950</v>
      </c>
      <c r="BD47" s="1841">
        <f>1226-269</f>
        <v>957</v>
      </c>
      <c r="BE47" s="1841">
        <f>1232-264</f>
        <v>968</v>
      </c>
      <c r="BF47" s="577">
        <f>1235-274</f>
        <v>961</v>
      </c>
      <c r="BG47" s="1842">
        <f>1215-285</f>
        <v>930</v>
      </c>
      <c r="BH47" s="1841">
        <f>1244-281</f>
        <v>963</v>
      </c>
      <c r="BI47" s="1841">
        <f>1240-283</f>
        <v>957</v>
      </c>
      <c r="BJ47" s="1990">
        <f>1252-302</f>
        <v>950</v>
      </c>
      <c r="BK47" s="1841">
        <f>1208-291</f>
        <v>917</v>
      </c>
      <c r="BL47" s="1841">
        <f>1208-297</f>
        <v>911</v>
      </c>
      <c r="BM47" s="1841">
        <f>1189-288</f>
        <v>901</v>
      </c>
      <c r="BN47" s="1841">
        <f>1220-285</f>
        <v>935</v>
      </c>
      <c r="BO47" s="2860">
        <f>1117-281</f>
        <v>836</v>
      </c>
      <c r="BP47" s="2861">
        <f>1123-276</f>
        <v>847</v>
      </c>
      <c r="BQ47" s="2861">
        <f>1135-268</f>
        <v>867</v>
      </c>
      <c r="BR47" s="2861">
        <f>1166-278</f>
        <v>888</v>
      </c>
      <c r="BS47" s="2860">
        <f>CFS!BO128</f>
        <v>1107</v>
      </c>
      <c r="BT47" s="2861">
        <f>CFS!BP128</f>
        <v>1093</v>
      </c>
      <c r="BU47" s="2861">
        <f>CFS!BQ128</f>
        <v>1097</v>
      </c>
      <c r="BV47" s="2862">
        <f>CFS!BR128</f>
        <v>1131</v>
      </c>
      <c r="BW47" s="2860">
        <f>CFS!BS128</f>
        <v>1040</v>
      </c>
      <c r="BX47" s="2861">
        <f>CFS!BT128</f>
        <v>1048</v>
      </c>
      <c r="BY47" s="2861">
        <f>CFS!BU128</f>
        <v>1048</v>
      </c>
      <c r="BZ47" s="2862">
        <f>CFS!BV128</f>
        <v>1053</v>
      </c>
      <c r="CA47" s="2861">
        <f>CFS!BW128</f>
        <v>976</v>
      </c>
      <c r="CB47" s="2861">
        <f>CFS!BX128</f>
        <v>987</v>
      </c>
      <c r="CC47" s="2861">
        <f>CFS!BY128</f>
        <v>995</v>
      </c>
      <c r="CD47" s="2862">
        <f>CFS!BZ128</f>
        <v>958</v>
      </c>
      <c r="CE47" s="2861">
        <f>CFS!CA128</f>
        <v>880</v>
      </c>
      <c r="CF47" s="2861">
        <v>949</v>
      </c>
      <c r="CG47" s="2861">
        <v>910</v>
      </c>
      <c r="CH47" s="2861">
        <v>1301</v>
      </c>
      <c r="CI47" s="1703">
        <f>+CFS!CE128</f>
        <v>1359.5449999999998</v>
      </c>
      <c r="CJ47" s="1704">
        <f>+CFS!CF128</f>
        <v>1362.2640899999999</v>
      </c>
      <c r="CK47" s="1704">
        <f>+CFS!CG128</f>
        <v>1364.98861818</v>
      </c>
      <c r="CL47" s="1711">
        <f>+CFS!CH128</f>
        <v>1367.7185954163599</v>
      </c>
      <c r="CM47" s="367"/>
    </row>
    <row r="48" spans="1:97">
      <c r="A48" s="1687" t="s">
        <v>993</v>
      </c>
      <c r="B48" s="408"/>
      <c r="C48" s="408"/>
      <c r="D48" s="408"/>
      <c r="E48" s="409"/>
      <c r="F48" s="409">
        <f t="shared" ref="F48:Q48" si="119">F47/E47-1</f>
        <v>3.4633600778021023E-2</v>
      </c>
      <c r="G48" s="409">
        <f t="shared" si="119"/>
        <v>1.984569427237743</v>
      </c>
      <c r="H48" s="409">
        <f t="shared" si="119"/>
        <v>0.10624313028908694</v>
      </c>
      <c r="I48" s="1688">
        <f t="shared" si="119"/>
        <v>1.2779249027049033</v>
      </c>
      <c r="J48" s="1688">
        <f t="shared" si="119"/>
        <v>-5.6718001248307504E-2</v>
      </c>
      <c r="K48" s="1688">
        <f t="shared" si="119"/>
        <v>1.6506302816061691E-2</v>
      </c>
      <c r="L48" s="1688">
        <f t="shared" si="119"/>
        <v>-9.3847758081334609E-3</v>
      </c>
      <c r="M48" s="1688">
        <f t="shared" si="119"/>
        <v>-3.5789473684210482E-2</v>
      </c>
      <c r="N48" s="1688">
        <f t="shared" si="119"/>
        <v>-6.16812227074236E-2</v>
      </c>
      <c r="O48" s="1688">
        <f t="shared" si="119"/>
        <v>0.28795811518324599</v>
      </c>
      <c r="P48" s="1688">
        <f t="shared" si="119"/>
        <v>-5.3974706413730811E-2</v>
      </c>
      <c r="Q48" s="1688">
        <f t="shared" si="119"/>
        <v>-6.51706851277154E-2</v>
      </c>
      <c r="R48" s="1688">
        <f t="shared" ref="R48:X48" si="120">R47/Q47-1</f>
        <v>3.1664964249233929E-2</v>
      </c>
      <c r="S48" s="1688">
        <f t="shared" si="120"/>
        <v>0.3501277979198909</v>
      </c>
      <c r="T48" s="1688">
        <f t="shared" si="120"/>
        <v>-1.9999999999999907E-2</v>
      </c>
      <c r="U48" s="1688">
        <f t="shared" si="120"/>
        <v>-2.0000000000000018E-2</v>
      </c>
      <c r="V48" s="1688">
        <f t="shared" si="120"/>
        <v>-1.7499999999999849E-2</v>
      </c>
      <c r="W48" s="1688">
        <f t="shared" si="120"/>
        <v>-1.749999999999996E-2</v>
      </c>
      <c r="X48" s="1688">
        <f t="shared" si="120"/>
        <v>-1.749999999999996E-2</v>
      </c>
      <c r="Y48" s="2279"/>
      <c r="Z48" s="588"/>
      <c r="AA48" s="2288"/>
      <c r="AB48" s="384"/>
      <c r="AC48" s="384"/>
      <c r="AD48" s="449"/>
      <c r="AE48" s="409"/>
      <c r="AF48" s="424"/>
      <c r="AG48" s="424"/>
      <c r="AH48" s="419">
        <f t="shared" ref="AH48:BB48" si="121">AH47/AD47-1</f>
        <v>1.4204701434588518E-2</v>
      </c>
      <c r="AI48" s="409">
        <f t="shared" si="121"/>
        <v>4.0813594557137511E-2</v>
      </c>
      <c r="AJ48" s="409">
        <f t="shared" si="121"/>
        <v>-2.2867893935801797E-3</v>
      </c>
      <c r="AK48" s="409">
        <f t="shared" si="121"/>
        <v>5.0740490092699098E-2</v>
      </c>
      <c r="AL48" s="419">
        <f t="shared" si="121"/>
        <v>5.0068056672647243E-2</v>
      </c>
      <c r="AM48" s="420">
        <f t="shared" si="121"/>
        <v>2.0078683563457536</v>
      </c>
      <c r="AN48" s="409">
        <f t="shared" si="121"/>
        <v>2.0572164474289392</v>
      </c>
      <c r="AO48" s="409">
        <f t="shared" si="121"/>
        <v>1.9720054521216839</v>
      </c>
      <c r="AP48" s="419">
        <f t="shared" si="121"/>
        <v>1.9044469648985847</v>
      </c>
      <c r="AQ48" s="409">
        <f t="shared" si="121"/>
        <v>0.10304981575339878</v>
      </c>
      <c r="AR48" s="409">
        <f t="shared" si="121"/>
        <v>0.10090015545860287</v>
      </c>
      <c r="AS48" s="409">
        <f t="shared" si="121"/>
        <v>0.10209656284648738</v>
      </c>
      <c r="AT48" s="419">
        <f t="shared" si="121"/>
        <v>0.11903844203266045</v>
      </c>
      <c r="AU48" s="457">
        <f t="shared" si="121"/>
        <v>1.2871658753939261</v>
      </c>
      <c r="AV48" s="371">
        <f t="shared" si="121"/>
        <v>1.2684775008484017</v>
      </c>
      <c r="AW48" s="371">
        <f t="shared" si="121"/>
        <v>1.3299097302883691</v>
      </c>
      <c r="AX48" s="423">
        <f t="shared" si="121"/>
        <v>1.2266215579283215</v>
      </c>
      <c r="AY48" s="1707">
        <f t="shared" si="121"/>
        <v>-5.8105682951146487E-2</v>
      </c>
      <c r="AZ48" s="1708">
        <f t="shared" si="121"/>
        <v>-4.5779116465863412E-2</v>
      </c>
      <c r="BA48" s="1708">
        <f t="shared" si="121"/>
        <v>-7.4384690873405268E-2</v>
      </c>
      <c r="BB48" s="1708">
        <f t="shared" si="121"/>
        <v>-4.8068576057609391E-2</v>
      </c>
      <c r="BC48" s="1886" t="s">
        <v>1145</v>
      </c>
      <c r="BD48" s="1834" t="s">
        <v>1145</v>
      </c>
      <c r="BE48" s="1834" t="s">
        <v>1145</v>
      </c>
      <c r="BF48" s="1834" t="s">
        <v>1145</v>
      </c>
      <c r="BG48" s="1705">
        <f ca="1">BG47/BG$25</f>
        <v>0.1963350785340314</v>
      </c>
      <c r="BH48" s="1691">
        <f t="shared" ref="BH48:BY48" si="122">+BH47/BD47-1</f>
        <v>6.2695924764890609E-3</v>
      </c>
      <c r="BI48" s="1691">
        <f t="shared" si="122"/>
        <v>-1.1363636363636354E-2</v>
      </c>
      <c r="BJ48" s="1692">
        <f t="shared" si="122"/>
        <v>-1.144640998959412E-2</v>
      </c>
      <c r="BK48" s="1691">
        <f t="shared" si="122"/>
        <v>-1.3978494623655968E-2</v>
      </c>
      <c r="BL48" s="1691">
        <f t="shared" si="122"/>
        <v>-5.399792315680163E-2</v>
      </c>
      <c r="BM48" s="1691">
        <f t="shared" si="122"/>
        <v>-5.8516196447230939E-2</v>
      </c>
      <c r="BN48" s="1691">
        <f t="shared" si="122"/>
        <v>-1.5789473684210575E-2</v>
      </c>
      <c r="BO48" s="1690">
        <f t="shared" si="122"/>
        <v>-8.8331515812431816E-2</v>
      </c>
      <c r="BP48" s="1691">
        <f t="shared" si="122"/>
        <v>-7.0252469813391838E-2</v>
      </c>
      <c r="BQ48" s="1691">
        <f t="shared" si="122"/>
        <v>-3.7735849056603765E-2</v>
      </c>
      <c r="BR48" s="1691">
        <f t="shared" si="122"/>
        <v>-5.0267379679144408E-2</v>
      </c>
      <c r="BS48" s="1690">
        <f t="shared" si="122"/>
        <v>0.32416267942583743</v>
      </c>
      <c r="BT48" s="1691">
        <f t="shared" si="122"/>
        <v>0.29043683589138136</v>
      </c>
      <c r="BU48" s="1691">
        <f t="shared" si="122"/>
        <v>0.26528258362168389</v>
      </c>
      <c r="BV48" s="421">
        <f t="shared" si="122"/>
        <v>0.27364864864864868</v>
      </c>
      <c r="BW48" s="1690">
        <f t="shared" si="122"/>
        <v>-6.0523938572719094E-2</v>
      </c>
      <c r="BX48" s="1691">
        <f t="shared" si="122"/>
        <v>-4.1171088746569051E-2</v>
      </c>
      <c r="BY48" s="1691">
        <f t="shared" si="122"/>
        <v>-4.466727438468554E-2</v>
      </c>
      <c r="BZ48" s="421">
        <f t="shared" ref="BZ48:CF48" si="123">+BZ47/BV47-1</f>
        <v>-6.8965517241379337E-2</v>
      </c>
      <c r="CA48" s="430">
        <f t="shared" si="123"/>
        <v>-6.1538461538461542E-2</v>
      </c>
      <c r="CB48" s="1691">
        <f t="shared" si="123"/>
        <v>-5.820610687022898E-2</v>
      </c>
      <c r="CC48" s="1691">
        <f t="shared" si="123"/>
        <v>-5.0572519083969425E-2</v>
      </c>
      <c r="CD48" s="421">
        <f t="shared" si="123"/>
        <v>-9.021842355175691E-2</v>
      </c>
      <c r="CE48" s="430">
        <f t="shared" si="123"/>
        <v>-9.8360655737704916E-2</v>
      </c>
      <c r="CF48" s="1691">
        <f t="shared" si="123"/>
        <v>-3.8500506585612992E-2</v>
      </c>
      <c r="CG48" s="1691">
        <f>+CG47/CC47-1</f>
        <v>-8.5427135678391997E-2</v>
      </c>
      <c r="CH48" s="1691">
        <f t="shared" ref="CH48" si="124">+CH47/CD47-1</f>
        <v>0.35803757828810023</v>
      </c>
      <c r="CI48" s="1707">
        <f>CI47/CE47-1</f>
        <v>0.54493749999999985</v>
      </c>
      <c r="CJ48" s="1708">
        <f>CJ47/CF47-1</f>
        <v>0.43547322444678604</v>
      </c>
      <c r="CK48" s="1708">
        <f>CK47/CG47-1</f>
        <v>0.49998749250549457</v>
      </c>
      <c r="CL48" s="1709">
        <f>CL47/CH47-1</f>
        <v>5.1282548359999902E-2</v>
      </c>
      <c r="CM48" s="367"/>
    </row>
    <row r="49" spans="1:97">
      <c r="A49" s="404" t="s">
        <v>1000</v>
      </c>
      <c r="B49" s="408"/>
      <c r="C49" s="408"/>
      <c r="D49" s="408"/>
      <c r="E49" s="405">
        <f>E32+E39+E47</f>
        <v>1666.6399999999999</v>
      </c>
      <c r="F49" s="405">
        <f>F32+F39+F47</f>
        <v>1736.9960000000001</v>
      </c>
      <c r="G49" s="405">
        <f>G32+G39+G47</f>
        <v>6154.1986705539357</v>
      </c>
      <c r="H49" s="405">
        <f>H32+H39+H47</f>
        <v>6408.8139999999994</v>
      </c>
      <c r="I49" s="405">
        <f>I32+I39+I47</f>
        <v>17319.311000000002</v>
      </c>
      <c r="J49" s="405">
        <f>J32+J39+J47-J64</f>
        <v>15399.404000000002</v>
      </c>
      <c r="K49" s="405">
        <f t="shared" ref="K49:X49" si="125">K47+K28</f>
        <v>15003</v>
      </c>
      <c r="L49" s="405">
        <f t="shared" si="125"/>
        <v>14602.25</v>
      </c>
      <c r="M49" s="405">
        <f t="shared" si="125"/>
        <v>13971.5</v>
      </c>
      <c r="N49" s="405">
        <f t="shared" si="125"/>
        <v>14101</v>
      </c>
      <c r="O49" s="405">
        <f t="shared" si="125"/>
        <v>15403</v>
      </c>
      <c r="P49" s="405">
        <f t="shared" si="125"/>
        <v>15155</v>
      </c>
      <c r="Q49" s="405">
        <f t="shared" si="125"/>
        <v>15137</v>
      </c>
      <c r="R49" s="405">
        <f t="shared" si="125"/>
        <v>16214</v>
      </c>
      <c r="S49" s="405">
        <f t="shared" si="125"/>
        <v>20897.841915385718</v>
      </c>
      <c r="T49" s="405">
        <f t="shared" si="125"/>
        <v>20087.381478329586</v>
      </c>
      <c r="U49" s="405">
        <f t="shared" si="125"/>
        <v>19483.26897876423</v>
      </c>
      <c r="V49" s="405">
        <f t="shared" si="125"/>
        <v>19159.981917569057</v>
      </c>
      <c r="W49" s="405">
        <f t="shared" si="125"/>
        <v>18887.913358782793</v>
      </c>
      <c r="X49" s="405">
        <f t="shared" si="125"/>
        <v>18632.233076971606</v>
      </c>
      <c r="Y49" s="2279"/>
      <c r="Z49" s="2281">
        <f>+((X49/S49)^(1/5))-1</f>
        <v>-2.2689209730137772E-2</v>
      </c>
      <c r="AA49" s="2288"/>
      <c r="AB49" s="405"/>
      <c r="AC49" s="405"/>
      <c r="AD49" s="406">
        <f t="shared" ref="AD49:AX49" si="126">AD32+AD39+AD47</f>
        <v>408.642</v>
      </c>
      <c r="AE49" s="405">
        <f t="shared" si="126"/>
        <v>410.14699999999999</v>
      </c>
      <c r="AF49" s="405">
        <f t="shared" si="126"/>
        <v>413.64400000000001</v>
      </c>
      <c r="AG49" s="405">
        <f t="shared" si="126"/>
        <v>426.23099999999999</v>
      </c>
      <c r="AH49" s="406">
        <f t="shared" si="126"/>
        <v>416.61800000000005</v>
      </c>
      <c r="AI49" s="405">
        <f t="shared" si="126"/>
        <v>418.42200000000003</v>
      </c>
      <c r="AJ49" s="405">
        <f t="shared" si="126"/>
        <v>420.53100000000001</v>
      </c>
      <c r="AK49" s="405">
        <f t="shared" si="126"/>
        <v>449.99</v>
      </c>
      <c r="AL49" s="406">
        <f t="shared" si="126"/>
        <v>448.053</v>
      </c>
      <c r="AM49" s="405">
        <f t="shared" si="126"/>
        <v>1552.6726705539359</v>
      </c>
      <c r="AN49" s="405">
        <f t="shared" si="126"/>
        <v>1508.8819999999998</v>
      </c>
      <c r="AO49" s="405">
        <f t="shared" si="126"/>
        <v>1562.6279999999999</v>
      </c>
      <c r="AP49" s="406">
        <f t="shared" si="126"/>
        <v>1530.0160000000001</v>
      </c>
      <c r="AQ49" s="405">
        <f t="shared" si="126"/>
        <v>1582.5219999999999</v>
      </c>
      <c r="AR49" s="405">
        <f t="shared" si="126"/>
        <v>1584.9570000000001</v>
      </c>
      <c r="AS49" s="405">
        <f t="shared" si="126"/>
        <v>1632.6569999999999</v>
      </c>
      <c r="AT49" s="406">
        <f t="shared" si="126"/>
        <v>1608.6779999999999</v>
      </c>
      <c r="AU49" s="405">
        <f t="shared" si="126"/>
        <v>4376</v>
      </c>
      <c r="AV49" s="405">
        <f t="shared" si="126"/>
        <v>4364</v>
      </c>
      <c r="AW49" s="405">
        <f t="shared" si="126"/>
        <v>4473</v>
      </c>
      <c r="AX49" s="406">
        <f t="shared" si="126"/>
        <v>4106.3109999999997</v>
      </c>
      <c r="AY49" s="405">
        <f>AY32+AY39+AY47-AY64</f>
        <v>3922.5160000000005</v>
      </c>
      <c r="AZ49" s="405">
        <f>AZ32+AZ39+AZ47-AZ64</f>
        <v>3887.9559999999997</v>
      </c>
      <c r="BA49" s="405">
        <f>BA32+BA39+BA47-BA64</f>
        <v>3848.7160000000003</v>
      </c>
      <c r="BB49" s="405">
        <f>BB32+BB39+BB47-BB64</f>
        <v>3740.2159999999999</v>
      </c>
      <c r="BC49" s="428">
        <f t="shared" ref="BC49:CL49" si="127">BC47+BC28</f>
        <v>3759</v>
      </c>
      <c r="BD49" s="405">
        <f t="shared" si="127"/>
        <v>3749</v>
      </c>
      <c r="BE49" s="405">
        <f t="shared" si="127"/>
        <v>3753</v>
      </c>
      <c r="BF49" s="405">
        <f t="shared" si="127"/>
        <v>3742</v>
      </c>
      <c r="BG49" s="428">
        <f t="shared" si="127"/>
        <v>3604</v>
      </c>
      <c r="BH49" s="405">
        <f t="shared" si="127"/>
        <v>3653</v>
      </c>
      <c r="BI49" s="405">
        <f t="shared" si="127"/>
        <v>3696</v>
      </c>
      <c r="BJ49" s="406">
        <f t="shared" si="127"/>
        <v>3757</v>
      </c>
      <c r="BK49" s="405">
        <f t="shared" si="127"/>
        <v>3583</v>
      </c>
      <c r="BL49" s="405">
        <f t="shared" si="127"/>
        <v>3623</v>
      </c>
      <c r="BM49" s="405">
        <f t="shared" si="127"/>
        <v>3573</v>
      </c>
      <c r="BN49" s="405">
        <f t="shared" si="127"/>
        <v>3605</v>
      </c>
      <c r="BO49" s="428">
        <f t="shared" si="127"/>
        <v>3416</v>
      </c>
      <c r="BP49" s="405">
        <f t="shared" si="127"/>
        <v>3514</v>
      </c>
      <c r="BQ49" s="405">
        <f t="shared" si="127"/>
        <v>3577</v>
      </c>
      <c r="BR49" s="405">
        <f t="shared" si="127"/>
        <v>3594</v>
      </c>
      <c r="BS49" s="428">
        <f t="shared" si="127"/>
        <v>3857</v>
      </c>
      <c r="BT49" s="405">
        <f t="shared" si="127"/>
        <v>3821</v>
      </c>
      <c r="BU49" s="405">
        <f t="shared" si="127"/>
        <v>3865</v>
      </c>
      <c r="BV49" s="406">
        <f t="shared" si="127"/>
        <v>3860</v>
      </c>
      <c r="BW49" s="428">
        <f t="shared" si="127"/>
        <v>3767</v>
      </c>
      <c r="BX49" s="405">
        <f t="shared" si="127"/>
        <v>3845</v>
      </c>
      <c r="BY49" s="405">
        <f t="shared" si="127"/>
        <v>3826</v>
      </c>
      <c r="BZ49" s="406">
        <f t="shared" si="127"/>
        <v>3717</v>
      </c>
      <c r="CA49" s="405">
        <f t="shared" si="127"/>
        <v>3713</v>
      </c>
      <c r="CB49" s="405">
        <f t="shared" si="127"/>
        <v>3751</v>
      </c>
      <c r="CC49" s="405">
        <f t="shared" si="127"/>
        <v>3789</v>
      </c>
      <c r="CD49" s="406">
        <f t="shared" si="127"/>
        <v>3884</v>
      </c>
      <c r="CE49" s="405">
        <f t="shared" si="127"/>
        <v>3578</v>
      </c>
      <c r="CF49" s="405">
        <f t="shared" si="127"/>
        <v>3723</v>
      </c>
      <c r="CG49" s="405">
        <f t="shared" si="127"/>
        <v>3547</v>
      </c>
      <c r="CH49" s="405">
        <f t="shared" si="127"/>
        <v>5366</v>
      </c>
      <c r="CI49" s="428">
        <f t="shared" si="127"/>
        <v>5327.2154600000003</v>
      </c>
      <c r="CJ49" s="405">
        <f t="shared" si="127"/>
        <v>5252.4081613239996</v>
      </c>
      <c r="CK49" s="405">
        <f t="shared" si="127"/>
        <v>5197.5074771463633</v>
      </c>
      <c r="CL49" s="406">
        <f t="shared" si="127"/>
        <v>5120.7108169153526</v>
      </c>
      <c r="CM49" s="493"/>
    </row>
    <row r="50" spans="1:97">
      <c r="A50" s="1687" t="s">
        <v>993</v>
      </c>
      <c r="B50" s="409"/>
      <c r="C50" s="409"/>
      <c r="D50" s="409"/>
      <c r="E50" s="409"/>
      <c r="F50" s="409">
        <f t="shared" ref="F50:Q50" si="128">+F49/E49-1</f>
        <v>4.2214275428406944E-2</v>
      </c>
      <c r="G50" s="409">
        <f t="shared" si="128"/>
        <v>2.5430125749016899</v>
      </c>
      <c r="H50" s="409">
        <f t="shared" si="128"/>
        <v>4.1372621047208735E-2</v>
      </c>
      <c r="I50" s="1688">
        <f t="shared" si="128"/>
        <v>1.7024206038746019</v>
      </c>
      <c r="J50" s="1688">
        <f t="shared" si="128"/>
        <v>-0.11085354376972612</v>
      </c>
      <c r="K50" s="1688">
        <f t="shared" si="128"/>
        <v>-2.574151571060812E-2</v>
      </c>
      <c r="L50" s="1688">
        <f t="shared" si="128"/>
        <v>-2.6711324401786363E-2</v>
      </c>
      <c r="M50" s="1688">
        <f t="shared" si="128"/>
        <v>-4.3195397969491012E-2</v>
      </c>
      <c r="N50" s="1688">
        <f t="shared" si="128"/>
        <v>9.2688687685644755E-3</v>
      </c>
      <c r="O50" s="1688">
        <f t="shared" si="128"/>
        <v>9.2333877029997957E-2</v>
      </c>
      <c r="P50" s="1688">
        <f t="shared" si="128"/>
        <v>-1.6100759592287184E-2</v>
      </c>
      <c r="Q50" s="1688">
        <f t="shared" si="128"/>
        <v>-1.187726822830748E-3</v>
      </c>
      <c r="R50" s="1688">
        <f t="shared" ref="R50:X50" si="129">+R49/Q49-1</f>
        <v>7.1150161855057181E-2</v>
      </c>
      <c r="S50" s="1688">
        <f t="shared" si="129"/>
        <v>0.28887639788983077</v>
      </c>
      <c r="T50" s="1688">
        <f t="shared" si="129"/>
        <v>-3.8782015881718479E-2</v>
      </c>
      <c r="U50" s="1688">
        <f t="shared" si="129"/>
        <v>-3.007422845118346E-2</v>
      </c>
      <c r="V50" s="1688">
        <f t="shared" si="129"/>
        <v>-1.6593060515026514E-2</v>
      </c>
      <c r="W50" s="1688">
        <f t="shared" si="129"/>
        <v>-1.4199833797170047E-2</v>
      </c>
      <c r="X50" s="1688">
        <f t="shared" si="129"/>
        <v>-1.3536714032643338E-2</v>
      </c>
      <c r="Y50" s="2279"/>
      <c r="Z50" s="588"/>
      <c r="AA50" s="2288"/>
      <c r="AB50" s="409"/>
      <c r="AC50" s="409"/>
      <c r="AD50" s="419"/>
      <c r="AE50" s="409"/>
      <c r="AF50" s="424"/>
      <c r="AG50" s="424"/>
      <c r="AH50" s="419">
        <f t="shared" ref="AH50:BY50" si="130">+AH49/AD49-1</f>
        <v>1.9518306977746036E-2</v>
      </c>
      <c r="AI50" s="409">
        <f t="shared" si="130"/>
        <v>2.0175693105155101E-2</v>
      </c>
      <c r="AJ50" s="409">
        <f t="shared" si="130"/>
        <v>1.6649582732978008E-2</v>
      </c>
      <c r="AK50" s="409">
        <f t="shared" si="130"/>
        <v>5.5742074133509734E-2</v>
      </c>
      <c r="AL50" s="419">
        <f t="shared" si="130"/>
        <v>7.5452812888545218E-2</v>
      </c>
      <c r="AM50" s="420">
        <f t="shared" si="130"/>
        <v>2.7107816284849644</v>
      </c>
      <c r="AN50" s="409">
        <f t="shared" si="130"/>
        <v>2.5880398829099396</v>
      </c>
      <c r="AO50" s="409">
        <f t="shared" si="130"/>
        <v>2.4725838351963376</v>
      </c>
      <c r="AP50" s="409">
        <f t="shared" si="130"/>
        <v>2.4148103014598723</v>
      </c>
      <c r="AQ50" s="420">
        <f t="shared" si="130"/>
        <v>1.9224483055668706E-2</v>
      </c>
      <c r="AR50" s="409">
        <f t="shared" si="130"/>
        <v>5.0418124147547871E-2</v>
      </c>
      <c r="AS50" s="409">
        <f t="shared" si="130"/>
        <v>4.4814888764312499E-2</v>
      </c>
      <c r="AT50" s="419">
        <f t="shared" si="130"/>
        <v>5.1412534248007846E-2</v>
      </c>
      <c r="AU50" s="457">
        <f t="shared" si="130"/>
        <v>1.7652064236705716</v>
      </c>
      <c r="AV50" s="371">
        <f t="shared" si="130"/>
        <v>1.7533870004044272</v>
      </c>
      <c r="AW50" s="371">
        <f t="shared" si="130"/>
        <v>1.7397058904595393</v>
      </c>
      <c r="AX50" s="423">
        <f t="shared" si="130"/>
        <v>1.5525997123103568</v>
      </c>
      <c r="AY50" s="1707">
        <f t="shared" si="130"/>
        <v>-0.10362979890310775</v>
      </c>
      <c r="AZ50" s="1708">
        <f t="shared" si="130"/>
        <v>-0.10908432630614118</v>
      </c>
      <c r="BA50" s="1708">
        <f t="shared" si="130"/>
        <v>-0.13956718086295539</v>
      </c>
      <c r="BB50" s="1708">
        <f t="shared" si="130"/>
        <v>-8.9154231133491746E-2</v>
      </c>
      <c r="BC50" s="1707">
        <f t="shared" si="130"/>
        <v>-4.1686509373065839E-2</v>
      </c>
      <c r="BD50" s="1708">
        <f t="shared" si="130"/>
        <v>-3.5740116400494126E-2</v>
      </c>
      <c r="BE50" s="1708">
        <f t="shared" si="130"/>
        <v>-2.4869592872012514E-2</v>
      </c>
      <c r="BF50" s="1708">
        <f t="shared" si="130"/>
        <v>4.7697780021271896E-4</v>
      </c>
      <c r="BG50" s="1707">
        <f t="shared" si="130"/>
        <v>-4.1234370843309387E-2</v>
      </c>
      <c r="BH50" s="1691">
        <f>+BH49/BD49-1</f>
        <v>-2.5606828487596656E-2</v>
      </c>
      <c r="BI50" s="1708">
        <f t="shared" si="130"/>
        <v>-1.5187849720223801E-2</v>
      </c>
      <c r="BJ50" s="1709">
        <f t="shared" si="130"/>
        <v>4.0085515766969948E-3</v>
      </c>
      <c r="BK50" s="1708">
        <f t="shared" si="130"/>
        <v>-5.8268590455049507E-3</v>
      </c>
      <c r="BL50" s="1708">
        <f t="shared" si="130"/>
        <v>-8.2124281412537803E-3</v>
      </c>
      <c r="BM50" s="1708">
        <f t="shared" si="130"/>
        <v>-3.3279220779220742E-2</v>
      </c>
      <c r="BN50" s="1708">
        <f t="shared" si="130"/>
        <v>-4.0457812084109701E-2</v>
      </c>
      <c r="BO50" s="1707">
        <f t="shared" si="130"/>
        <v>-4.6608986882500703E-2</v>
      </c>
      <c r="BP50" s="1708">
        <f t="shared" si="130"/>
        <v>-3.0085564449351399E-2</v>
      </c>
      <c r="BQ50" s="1708">
        <f t="shared" si="130"/>
        <v>1.1195074167367203E-3</v>
      </c>
      <c r="BR50" s="1708">
        <f t="shared" si="130"/>
        <v>-3.0513176144244536E-3</v>
      </c>
      <c r="BS50" s="1707">
        <f t="shared" si="130"/>
        <v>0.12909836065573765</v>
      </c>
      <c r="BT50" s="1708">
        <f t="shared" si="130"/>
        <v>8.7364826408651064E-2</v>
      </c>
      <c r="BU50" s="1708">
        <f t="shared" si="130"/>
        <v>8.0514397539837912E-2</v>
      </c>
      <c r="BV50" s="423">
        <f t="shared" si="130"/>
        <v>7.4012242626599889E-2</v>
      </c>
      <c r="BW50" s="1707">
        <f t="shared" si="130"/>
        <v>-2.3334197562872694E-2</v>
      </c>
      <c r="BX50" s="1708">
        <f t="shared" si="130"/>
        <v>6.2810782517666031E-3</v>
      </c>
      <c r="BY50" s="1708">
        <f t="shared" si="130"/>
        <v>-1.0090556274256146E-2</v>
      </c>
      <c r="BZ50" s="423">
        <f t="shared" ref="BZ50:CF50" si="131">+BZ49/BV49-1</f>
        <v>-3.704663212435233E-2</v>
      </c>
      <c r="CA50" s="371">
        <f t="shared" si="131"/>
        <v>-1.4335014600477813E-2</v>
      </c>
      <c r="CB50" s="1708">
        <f t="shared" si="131"/>
        <v>-2.4447334200260129E-2</v>
      </c>
      <c r="CC50" s="1708">
        <f t="shared" si="131"/>
        <v>-9.6706743335075451E-3</v>
      </c>
      <c r="CD50" s="423">
        <f>+CD49/BZ49-1</f>
        <v>4.4928705945655123E-2</v>
      </c>
      <c r="CE50" s="371">
        <f>+CE49/CA49-1</f>
        <v>-3.6358739563695175E-2</v>
      </c>
      <c r="CF50" s="1708">
        <f t="shared" si="131"/>
        <v>-7.4646760863770201E-3</v>
      </c>
      <c r="CG50" s="1708">
        <f>+CG49/CC49-1</f>
        <v>-6.3869094747954658E-2</v>
      </c>
      <c r="CH50" s="1708">
        <f t="shared" ref="CH50" si="132">+CH49/CD49-1</f>
        <v>0.38156539649845511</v>
      </c>
      <c r="CI50" s="1707">
        <f>+CI49/CE49-1</f>
        <v>0.48888078814980451</v>
      </c>
      <c r="CJ50" s="1708">
        <f>+CJ49/CF49-1</f>
        <v>0.41079993589148533</v>
      </c>
      <c r="CK50" s="1708">
        <f>+CK49/CG49-1</f>
        <v>0.46532491602660375</v>
      </c>
      <c r="CL50" s="1709">
        <f>+CL49/CH49-1</f>
        <v>-4.5711737436572419E-2</v>
      </c>
      <c r="CM50" s="367"/>
    </row>
    <row r="51" spans="1:97">
      <c r="A51" s="1712" t="s">
        <v>1001</v>
      </c>
      <c r="B51" s="440"/>
      <c r="C51" s="440"/>
      <c r="D51" s="440"/>
      <c r="E51" s="440">
        <f t="shared" ref="E51:O51" si="133">+E49/E$25</f>
        <v>1.413336227892241</v>
      </c>
      <c r="F51" s="440">
        <f t="shared" si="133"/>
        <v>1.4342987278723613</v>
      </c>
      <c r="G51" s="440">
        <f t="shared" si="133"/>
        <v>0.89868292886906509</v>
      </c>
      <c r="H51" s="440">
        <f t="shared" si="133"/>
        <v>0.93003183009861312</v>
      </c>
      <c r="I51" s="1696">
        <f t="shared" si="133"/>
        <v>0.79773033007543637</v>
      </c>
      <c r="J51" s="1696">
        <f t="shared" si="133"/>
        <v>0.77536835324370046</v>
      </c>
      <c r="K51" s="1696">
        <f t="shared" si="133"/>
        <v>0.77211672070402959</v>
      </c>
      <c r="L51" s="1696">
        <f t="shared" ca="1" si="133"/>
        <v>0.78121154730951547</v>
      </c>
      <c r="M51" s="1696">
        <f t="shared" si="133"/>
        <v>0.76027099091255379</v>
      </c>
      <c r="N51" s="1696">
        <f>+N49/N$25</f>
        <v>0.77927604310583032</v>
      </c>
      <c r="O51" s="1696">
        <f t="shared" si="133"/>
        <v>0.85444056138015201</v>
      </c>
      <c r="P51" s="1696">
        <f t="shared" ref="P51:U51" si="134">+P49/P$25</f>
        <v>0.84664804469273747</v>
      </c>
      <c r="Q51" s="1696">
        <f t="shared" si="134"/>
        <v>0.86645678305666862</v>
      </c>
      <c r="R51" s="1696">
        <f>+R49/R$25</f>
        <v>0.88417493728869012</v>
      </c>
      <c r="S51" s="1696">
        <f>+S49/S$25</f>
        <v>0.87657652923102158</v>
      </c>
      <c r="T51" s="1696">
        <f t="shared" si="134"/>
        <v>0.85162469953665931</v>
      </c>
      <c r="U51" s="1696">
        <f t="shared" si="134"/>
        <v>0.83296018121129978</v>
      </c>
      <c r="V51" s="1696">
        <f>+V49/V$25</f>
        <v>0.82447405225008108</v>
      </c>
      <c r="W51" s="1696">
        <f>+W49/W$25</f>
        <v>0.81526790321248332</v>
      </c>
      <c r="X51" s="1696">
        <f>+X49/X$25</f>
        <v>0.80589048940708286</v>
      </c>
      <c r="Y51" s="2279"/>
      <c r="Z51" s="588"/>
      <c r="AA51" s="2288"/>
      <c r="AB51" s="440"/>
      <c r="AC51" s="440"/>
      <c r="AD51" s="441">
        <f t="shared" ref="AD51:BF51" si="135">+AD49/AD$25</f>
        <v>0.67982026374847582</v>
      </c>
      <c r="AE51" s="440">
        <f t="shared" si="135"/>
        <v>0.69082741568188866</v>
      </c>
      <c r="AF51" s="440">
        <f t="shared" si="135"/>
        <v>0.68534599166604537</v>
      </c>
      <c r="AG51" s="440">
        <f t="shared" si="135"/>
        <v>0.70173956851588426</v>
      </c>
      <c r="AH51" s="440">
        <f t="shared" si="135"/>
        <v>0.68722308547524558</v>
      </c>
      <c r="AI51" s="463">
        <f t="shared" si="135"/>
        <v>0.7028971143088486</v>
      </c>
      <c r="AJ51" s="440">
        <f t="shared" si="135"/>
        <v>0.69347293016475575</v>
      </c>
      <c r="AK51" s="440">
        <f t="shared" si="135"/>
        <v>0.68482768591582521</v>
      </c>
      <c r="AL51" s="441">
        <f t="shared" si="135"/>
        <v>0.72211638881367735</v>
      </c>
      <c r="AM51" s="463">
        <f t="shared" si="135"/>
        <v>0.73124175321860629</v>
      </c>
      <c r="AN51" s="440">
        <f t="shared" si="135"/>
        <v>0.71812847461676588</v>
      </c>
      <c r="AO51" s="440">
        <f t="shared" si="135"/>
        <v>0.74395552914828955</v>
      </c>
      <c r="AP51" s="440">
        <f t="shared" si="135"/>
        <v>0.72523089830520526</v>
      </c>
      <c r="AQ51" s="463">
        <f t="shared" si="135"/>
        <v>0.76051526896395949</v>
      </c>
      <c r="AR51" s="440">
        <f t="shared" si="135"/>
        <v>0.74722576070589064</v>
      </c>
      <c r="AS51" s="440">
        <f t="shared" si="135"/>
        <v>0.74847682993582743</v>
      </c>
      <c r="AT51" s="441">
        <f t="shared" si="135"/>
        <v>0.75815021448304909</v>
      </c>
      <c r="AU51" s="464">
        <f t="shared" si="135"/>
        <v>0.79511390151998307</v>
      </c>
      <c r="AV51" s="465">
        <f t="shared" si="135"/>
        <v>0.79655778977481906</v>
      </c>
      <c r="AW51" s="465">
        <f t="shared" si="135"/>
        <v>0.82268529409114055</v>
      </c>
      <c r="AX51" s="466">
        <f t="shared" si="135"/>
        <v>0.77602403413491206</v>
      </c>
      <c r="AY51" s="1713">
        <f t="shared" si="135"/>
        <v>0.76872933527770282</v>
      </c>
      <c r="AZ51" s="1714">
        <f t="shared" si="135"/>
        <v>0.77814944441142075</v>
      </c>
      <c r="BA51" s="1714">
        <f t="shared" si="135"/>
        <v>0.78093794544799711</v>
      </c>
      <c r="BB51" s="1714">
        <f t="shared" si="135"/>
        <v>0.77382327724610955</v>
      </c>
      <c r="BC51" s="1713">
        <f t="shared" si="135"/>
        <v>0.76511296560146547</v>
      </c>
      <c r="BD51" s="1714">
        <f t="shared" si="135"/>
        <v>0.77235269880510915</v>
      </c>
      <c r="BE51" s="1714">
        <f t="shared" si="135"/>
        <v>0.77269919703520695</v>
      </c>
      <c r="BF51" s="1714">
        <f t="shared" si="135"/>
        <v>0.77844809652589975</v>
      </c>
      <c r="BG51" s="1713">
        <f t="shared" ref="BG51:BN51" ca="1" si="136">+BG49/BG$25</f>
        <v>0.76085120756628943</v>
      </c>
      <c r="BH51" s="1714">
        <f t="shared" si="136"/>
        <v>0.78239451702720064</v>
      </c>
      <c r="BI51" s="1714">
        <f t="shared" si="136"/>
        <v>0.79775523418951</v>
      </c>
      <c r="BJ51" s="1998">
        <f t="shared" si="136"/>
        <v>0.80743606275521174</v>
      </c>
      <c r="BK51" s="1714">
        <f t="shared" si="136"/>
        <v>0.77722342733188721</v>
      </c>
      <c r="BL51" s="1714">
        <f t="shared" si="136"/>
        <v>0.78555941023417175</v>
      </c>
      <c r="BM51" s="1714">
        <f t="shared" si="136"/>
        <v>0.78166703128418291</v>
      </c>
      <c r="BN51" s="1714">
        <f t="shared" si="136"/>
        <v>0.78643106457242584</v>
      </c>
      <c r="BO51" s="1713">
        <f t="shared" ref="BO51:BV51" si="137">+BO49/BO$25</f>
        <v>0.75692444050520713</v>
      </c>
      <c r="BP51" s="1714">
        <f t="shared" si="137"/>
        <v>0.77657458563535908</v>
      </c>
      <c r="BQ51" s="1714">
        <f t="shared" si="137"/>
        <v>0.79224806201550391</v>
      </c>
      <c r="BR51" s="1714">
        <f t="shared" si="137"/>
        <v>0.79128137384412156</v>
      </c>
      <c r="BS51" s="1713">
        <f t="shared" si="137"/>
        <v>0.84993389158219479</v>
      </c>
      <c r="BT51" s="1714">
        <f t="shared" si="137"/>
        <v>0.84162995594713652</v>
      </c>
      <c r="BU51" s="1714">
        <f t="shared" si="137"/>
        <v>0.85641480168402395</v>
      </c>
      <c r="BV51" s="466">
        <f t="shared" si="137"/>
        <v>0.87015329125338148</v>
      </c>
      <c r="BW51" s="1713">
        <f>+BW49/BW$25</f>
        <v>0.84632666816445745</v>
      </c>
      <c r="BX51" s="1714">
        <f>+BX49/BX$25</f>
        <v>0.87010635890472954</v>
      </c>
      <c r="BY51" s="1714">
        <f>+BY49/BY$25</f>
        <v>0.84014053579270975</v>
      </c>
      <c r="BZ51" s="466">
        <f>+BZ49/BZ$25</f>
        <v>0.83042895442359255</v>
      </c>
      <c r="CA51" s="465">
        <f t="shared" ref="CA51:CD51" si="138">+CA49/CA$25</f>
        <v>0.84367189275164733</v>
      </c>
      <c r="CB51" s="1714">
        <f t="shared" si="138"/>
        <v>0.852887676216462</v>
      </c>
      <c r="CC51" s="1714">
        <f t="shared" si="138"/>
        <v>0.86467366499315379</v>
      </c>
      <c r="CD51" s="466">
        <f t="shared" si="138"/>
        <v>0.90557239449755189</v>
      </c>
      <c r="CE51" s="465">
        <f>+CE49/CE$25</f>
        <v>0.85008315514373956</v>
      </c>
      <c r="CF51" s="1714">
        <f>+CF49/CF$25</f>
        <v>0.91026894865525676</v>
      </c>
      <c r="CG51" s="1714">
        <f>+CG49/CG$25</f>
        <v>0.87927615270203274</v>
      </c>
      <c r="CH51" s="1714">
        <f t="shared" ref="CH51" si="139">+CH49/CH$25</f>
        <v>0.89358867610324733</v>
      </c>
      <c r="CI51" s="1713">
        <f>+CI49/CI$25</f>
        <v>0.89018074600378971</v>
      </c>
      <c r="CJ51" s="1714">
        <f>+CJ49/CJ$25</f>
        <v>0.88031961243474077</v>
      </c>
      <c r="CK51" s="1714">
        <f>+CK49/CK$25</f>
        <v>0.87336682178388603</v>
      </c>
      <c r="CL51" s="1998">
        <f>+CL49/CL$25</f>
        <v>0.86232239378260367</v>
      </c>
      <c r="CM51" s="367"/>
    </row>
    <row r="52" spans="1:97">
      <c r="A52" s="467" t="s">
        <v>1002</v>
      </c>
      <c r="B52" s="408"/>
      <c r="C52" s="408"/>
      <c r="D52" s="408"/>
      <c r="E52" s="405">
        <f t="shared" ref="E52:X52" si="140">+E25-E49</f>
        <v>-487.41599999999994</v>
      </c>
      <c r="F52" s="405">
        <f t="shared" si="140"/>
        <v>-525.95400000000018</v>
      </c>
      <c r="G52" s="405">
        <f t="shared" si="140"/>
        <v>693.82132944606474</v>
      </c>
      <c r="H52" s="405">
        <f t="shared" si="140"/>
        <v>482.14800000000105</v>
      </c>
      <c r="I52" s="405">
        <f t="shared" si="140"/>
        <v>4391.4230000000025</v>
      </c>
      <c r="J52" s="405">
        <f t="shared" si="140"/>
        <v>4461.3549999999959</v>
      </c>
      <c r="K52" s="405">
        <f t="shared" si="140"/>
        <v>4428</v>
      </c>
      <c r="L52" s="405">
        <f t="shared" ca="1" si="140"/>
        <v>4089.5499999999993</v>
      </c>
      <c r="M52" s="405">
        <f t="shared" si="140"/>
        <v>4405.5</v>
      </c>
      <c r="N52" s="405">
        <f t="shared" si="140"/>
        <v>3994</v>
      </c>
      <c r="O52" s="405">
        <f t="shared" si="140"/>
        <v>2624</v>
      </c>
      <c r="P52" s="405">
        <f t="shared" si="140"/>
        <v>2745</v>
      </c>
      <c r="Q52" s="405">
        <f t="shared" si="140"/>
        <v>2333</v>
      </c>
      <c r="R52" s="405">
        <f t="shared" si="140"/>
        <v>2124</v>
      </c>
      <c r="S52" s="405">
        <f t="shared" si="140"/>
        <v>2942.4517937310302</v>
      </c>
      <c r="T52" s="405">
        <f t="shared" si="140"/>
        <v>3499.7473229586612</v>
      </c>
      <c r="U52" s="405">
        <f t="shared" si="140"/>
        <v>3907.1276070983113</v>
      </c>
      <c r="V52" s="405">
        <f t="shared" si="140"/>
        <v>4079.0537625464567</v>
      </c>
      <c r="W52" s="405">
        <f t="shared" si="140"/>
        <v>4279.8248587489179</v>
      </c>
      <c r="X52" s="405">
        <f t="shared" si="140"/>
        <v>4487.822714578786</v>
      </c>
      <c r="Y52" s="2279"/>
      <c r="Z52" s="2281">
        <f>+((X52/S52)^(1/5))-1</f>
        <v>8.8091122926421184E-2</v>
      </c>
      <c r="AA52" s="2288"/>
      <c r="AB52" s="405"/>
      <c r="AC52" s="405"/>
      <c r="AD52" s="406">
        <f t="shared" ref="AD52:BI52" si="141">+AD25-AD49</f>
        <v>192.46099999999996</v>
      </c>
      <c r="AE52" s="468">
        <f t="shared" si="141"/>
        <v>183.55699999999996</v>
      </c>
      <c r="AF52" s="469">
        <f t="shared" si="141"/>
        <v>189.91099999999994</v>
      </c>
      <c r="AG52" s="469">
        <f t="shared" si="141"/>
        <v>181.16100000000006</v>
      </c>
      <c r="AH52" s="470">
        <f t="shared" si="141"/>
        <v>189.61599999999999</v>
      </c>
      <c r="AI52" s="468">
        <f t="shared" si="141"/>
        <v>176.86</v>
      </c>
      <c r="AJ52" s="469">
        <f t="shared" si="141"/>
        <v>185.88200000000001</v>
      </c>
      <c r="AK52" s="469">
        <f t="shared" si="141"/>
        <v>207.09500000000003</v>
      </c>
      <c r="AL52" s="470">
        <f t="shared" si="141"/>
        <v>172.41899999999998</v>
      </c>
      <c r="AM52" s="405">
        <f t="shared" si="141"/>
        <v>570.66432944606413</v>
      </c>
      <c r="AN52" s="417">
        <f t="shared" si="141"/>
        <v>592.24900000000002</v>
      </c>
      <c r="AO52" s="417">
        <f t="shared" si="141"/>
        <v>537.80399999999986</v>
      </c>
      <c r="AP52" s="417">
        <f t="shared" si="141"/>
        <v>579.67900000000009</v>
      </c>
      <c r="AQ52" s="468">
        <f t="shared" si="141"/>
        <v>498.33300000000008</v>
      </c>
      <c r="AR52" s="469">
        <f t="shared" si="141"/>
        <v>536.16499999999974</v>
      </c>
      <c r="AS52" s="469">
        <f t="shared" si="141"/>
        <v>548.64900000000011</v>
      </c>
      <c r="AT52" s="470">
        <f t="shared" si="141"/>
        <v>513.16800000000012</v>
      </c>
      <c r="AU52" s="468">
        <f t="shared" si="141"/>
        <v>1127.6139999999996</v>
      </c>
      <c r="AV52" s="469">
        <f t="shared" si="141"/>
        <v>1114.5730000000003</v>
      </c>
      <c r="AW52" s="469">
        <f t="shared" si="141"/>
        <v>964.07300000000032</v>
      </c>
      <c r="AX52" s="471">
        <f t="shared" si="141"/>
        <v>1185.1630000000005</v>
      </c>
      <c r="AY52" s="472">
        <f t="shared" si="141"/>
        <v>1180.0809999999992</v>
      </c>
      <c r="AZ52" s="417">
        <f t="shared" si="141"/>
        <v>1108.4569999999999</v>
      </c>
      <c r="BA52" s="473">
        <f t="shared" si="141"/>
        <v>1079.6089999999995</v>
      </c>
      <c r="BB52" s="474">
        <f t="shared" si="141"/>
        <v>1093.2080000000001</v>
      </c>
      <c r="BC52" s="475">
        <f t="shared" si="141"/>
        <v>1154</v>
      </c>
      <c r="BD52" s="417">
        <f t="shared" si="141"/>
        <v>1105</v>
      </c>
      <c r="BE52" s="417">
        <f t="shared" si="141"/>
        <v>1104</v>
      </c>
      <c r="BF52" s="417">
        <f t="shared" si="141"/>
        <v>1065</v>
      </c>
      <c r="BG52" s="428">
        <f t="shared" ca="1" si="141"/>
        <v>1132.8000000000002</v>
      </c>
      <c r="BH52" s="405">
        <f t="shared" si="141"/>
        <v>1016</v>
      </c>
      <c r="BI52" s="405">
        <f t="shared" si="141"/>
        <v>937</v>
      </c>
      <c r="BJ52" s="406">
        <f t="shared" ref="BJ52:CL52" si="142">+BJ25-BJ49</f>
        <v>896</v>
      </c>
      <c r="BK52" s="405">
        <f t="shared" si="142"/>
        <v>1027</v>
      </c>
      <c r="BL52" s="405">
        <f t="shared" si="142"/>
        <v>989</v>
      </c>
      <c r="BM52" s="405">
        <f t="shared" si="142"/>
        <v>998</v>
      </c>
      <c r="BN52" s="405">
        <f t="shared" si="142"/>
        <v>979</v>
      </c>
      <c r="BO52" s="428">
        <f t="shared" si="142"/>
        <v>1097</v>
      </c>
      <c r="BP52" s="405">
        <f t="shared" si="142"/>
        <v>1011</v>
      </c>
      <c r="BQ52" s="405">
        <f t="shared" si="142"/>
        <v>938</v>
      </c>
      <c r="BR52" s="405">
        <f t="shared" si="142"/>
        <v>948</v>
      </c>
      <c r="BS52" s="428">
        <f t="shared" si="142"/>
        <v>681</v>
      </c>
      <c r="BT52" s="405">
        <f t="shared" si="142"/>
        <v>719</v>
      </c>
      <c r="BU52" s="405">
        <f t="shared" si="142"/>
        <v>648</v>
      </c>
      <c r="BV52" s="406">
        <f t="shared" si="142"/>
        <v>576</v>
      </c>
      <c r="BW52" s="428">
        <f t="shared" si="142"/>
        <v>684</v>
      </c>
      <c r="BX52" s="405">
        <f t="shared" si="142"/>
        <v>574</v>
      </c>
      <c r="BY52" s="405">
        <f t="shared" si="142"/>
        <v>728</v>
      </c>
      <c r="BZ52" s="406">
        <f t="shared" si="142"/>
        <v>759</v>
      </c>
      <c r="CA52" s="405">
        <f t="shared" si="142"/>
        <v>688</v>
      </c>
      <c r="CB52" s="405">
        <f t="shared" si="142"/>
        <v>647</v>
      </c>
      <c r="CC52" s="405">
        <f t="shared" si="142"/>
        <v>593</v>
      </c>
      <c r="CD52" s="406">
        <f t="shared" si="142"/>
        <v>405</v>
      </c>
      <c r="CE52" s="405">
        <f t="shared" si="142"/>
        <v>631</v>
      </c>
      <c r="CF52" s="405">
        <f t="shared" si="142"/>
        <v>367</v>
      </c>
      <c r="CG52" s="405">
        <f t="shared" si="142"/>
        <v>487</v>
      </c>
      <c r="CH52" s="405">
        <f t="shared" si="142"/>
        <v>639</v>
      </c>
      <c r="CI52" s="428">
        <f t="shared" si="142"/>
        <v>657.20454000000063</v>
      </c>
      <c r="CJ52" s="405">
        <f t="shared" si="142"/>
        <v>714.07047567599966</v>
      </c>
      <c r="CK52" s="405">
        <f t="shared" si="142"/>
        <v>753.60876348463535</v>
      </c>
      <c r="CL52" s="406">
        <f t="shared" si="142"/>
        <v>817.56801457039546</v>
      </c>
      <c r="CM52" s="493"/>
    </row>
    <row r="53" spans="1:97">
      <c r="A53" s="1687" t="s">
        <v>993</v>
      </c>
      <c r="B53" s="409"/>
      <c r="C53" s="409"/>
      <c r="D53" s="409"/>
      <c r="E53" s="405"/>
      <c r="F53" s="409">
        <f t="shared" ref="F53:Q53" si="143">+F52/E52-1</f>
        <v>7.9065931360481123E-2</v>
      </c>
      <c r="G53" s="409">
        <f t="shared" si="143"/>
        <v>-2.319167321564366</v>
      </c>
      <c r="H53" s="409">
        <f t="shared" si="143"/>
        <v>-0.30508334129055981</v>
      </c>
      <c r="I53" s="1688">
        <f t="shared" si="143"/>
        <v>8.1080394401718827</v>
      </c>
      <c r="J53" s="1688">
        <f t="shared" si="143"/>
        <v>1.5924678629226419E-2</v>
      </c>
      <c r="K53" s="1688">
        <f t="shared" si="143"/>
        <v>-7.4764281255349507E-3</v>
      </c>
      <c r="L53" s="1688">
        <f t="shared" ca="1" si="143"/>
        <v>-7.6434056007226858E-2</v>
      </c>
      <c r="M53" s="1688">
        <f t="shared" ca="1" si="143"/>
        <v>7.7257889009793468E-2</v>
      </c>
      <c r="N53" s="1688">
        <f t="shared" si="143"/>
        <v>-9.3405969810464229E-2</v>
      </c>
      <c r="O53" s="1688">
        <f t="shared" si="143"/>
        <v>-0.343014521782674</v>
      </c>
      <c r="P53" s="1688">
        <f t="shared" si="143"/>
        <v>4.6112804878048808E-2</v>
      </c>
      <c r="Q53" s="1688">
        <f t="shared" si="143"/>
        <v>-0.15009107468123861</v>
      </c>
      <c r="R53" s="1688">
        <f t="shared" ref="R53:X53" si="144">+R52/Q52-1</f>
        <v>-8.9584226318045412E-2</v>
      </c>
      <c r="S53" s="1688">
        <f t="shared" si="144"/>
        <v>0.38533511945905374</v>
      </c>
      <c r="T53" s="1688">
        <f t="shared" si="144"/>
        <v>0.18939835494160473</v>
      </c>
      <c r="U53" s="1688">
        <f t="shared" si="144"/>
        <v>0.1164027704135091</v>
      </c>
      <c r="V53" s="1688">
        <f t="shared" si="144"/>
        <v>4.4003209707253133E-2</v>
      </c>
      <c r="W53" s="1688">
        <f t="shared" si="144"/>
        <v>4.9220017163275731E-2</v>
      </c>
      <c r="X53" s="1688">
        <f t="shared" si="144"/>
        <v>4.8599618604643124E-2</v>
      </c>
      <c r="Y53" s="2279"/>
      <c r="Z53" s="588"/>
      <c r="AA53" s="2288"/>
      <c r="AB53" s="409"/>
      <c r="AC53" s="409"/>
      <c r="AD53" s="419"/>
      <c r="AE53" s="420"/>
      <c r="AF53" s="409"/>
      <c r="AG53" s="409"/>
      <c r="AH53" s="419">
        <f t="shared" ref="AH53:BY53" si="145">+AH52/AD52-1</f>
        <v>-1.4782215617709427E-2</v>
      </c>
      <c r="AI53" s="420">
        <f t="shared" si="145"/>
        <v>-3.6484579721829946E-2</v>
      </c>
      <c r="AJ53" s="409">
        <f t="shared" si="145"/>
        <v>-2.1215200804587053E-2</v>
      </c>
      <c r="AK53" s="409">
        <f t="shared" si="145"/>
        <v>0.14315443169335551</v>
      </c>
      <c r="AL53" s="419">
        <f t="shared" si="145"/>
        <v>-9.0693823306050136E-2</v>
      </c>
      <c r="AM53" s="409">
        <f t="shared" si="145"/>
        <v>2.226644404874274</v>
      </c>
      <c r="AN53" s="424">
        <f t="shared" si="145"/>
        <v>2.1861557332070882</v>
      </c>
      <c r="AO53" s="424">
        <f t="shared" si="145"/>
        <v>1.5968951447403357</v>
      </c>
      <c r="AP53" s="424">
        <f t="shared" si="145"/>
        <v>2.3620366664926729</v>
      </c>
      <c r="AQ53" s="420">
        <f t="shared" si="145"/>
        <v>-0.12674934407811167</v>
      </c>
      <c r="AR53" s="409">
        <f t="shared" si="145"/>
        <v>-9.4696656305034321E-2</v>
      </c>
      <c r="AS53" s="409">
        <f t="shared" si="145"/>
        <v>2.0165339045451924E-2</v>
      </c>
      <c r="AT53" s="419">
        <f t="shared" si="145"/>
        <v>-0.11473763927967018</v>
      </c>
      <c r="AU53" s="420">
        <f t="shared" si="145"/>
        <v>1.2627720821217929</v>
      </c>
      <c r="AV53" s="409">
        <f t="shared" si="145"/>
        <v>1.0787873136068202</v>
      </c>
      <c r="AW53" s="409">
        <f t="shared" si="145"/>
        <v>0.75717626387726966</v>
      </c>
      <c r="AX53" s="421">
        <f t="shared" si="145"/>
        <v>1.3095029308140806</v>
      </c>
      <c r="AY53" s="1690">
        <f t="shared" si="145"/>
        <v>4.6529220105461233E-2</v>
      </c>
      <c r="AZ53" s="1691">
        <f t="shared" si="145"/>
        <v>-5.487303209390948E-3</v>
      </c>
      <c r="BA53" s="1691">
        <f t="shared" si="145"/>
        <v>0.11984154726872243</v>
      </c>
      <c r="BB53" s="1692">
        <f t="shared" si="145"/>
        <v>-7.7588483609427827E-2</v>
      </c>
      <c r="BC53" s="1821" t="s">
        <v>1145</v>
      </c>
      <c r="BD53" s="1834" t="s">
        <v>1145</v>
      </c>
      <c r="BE53" s="1834" t="s">
        <v>1145</v>
      </c>
      <c r="BF53" s="1834" t="s">
        <v>1145</v>
      </c>
      <c r="BG53" s="1690">
        <f t="shared" ca="1" si="145"/>
        <v>-1.8370883882148914E-2</v>
      </c>
      <c r="BH53" s="1691">
        <f t="shared" si="145"/>
        <v>-8.0542986425339413E-2</v>
      </c>
      <c r="BI53" s="1691">
        <f t="shared" si="145"/>
        <v>-0.15126811594202894</v>
      </c>
      <c r="BJ53" s="1692">
        <f t="shared" si="145"/>
        <v>-0.15868544600938972</v>
      </c>
      <c r="BK53" s="1691">
        <f t="shared" ca="1" si="145"/>
        <v>-9.3396892655367325E-2</v>
      </c>
      <c r="BL53" s="1691">
        <f t="shared" si="145"/>
        <v>-2.6574803149606252E-2</v>
      </c>
      <c r="BM53" s="1691">
        <f t="shared" si="145"/>
        <v>6.5101387406616862E-2</v>
      </c>
      <c r="BN53" s="1691">
        <f t="shared" si="145"/>
        <v>9.2633928571428603E-2</v>
      </c>
      <c r="BO53" s="1690">
        <f t="shared" si="145"/>
        <v>6.8159688412853026E-2</v>
      </c>
      <c r="BP53" s="1691">
        <f t="shared" si="145"/>
        <v>2.2244691607684608E-2</v>
      </c>
      <c r="BQ53" s="1691">
        <f t="shared" si="145"/>
        <v>-6.0120240480961873E-2</v>
      </c>
      <c r="BR53" s="1691">
        <f t="shared" si="145"/>
        <v>-3.1664964249233929E-2</v>
      </c>
      <c r="BS53" s="1690">
        <f t="shared" si="145"/>
        <v>-0.3792160437556974</v>
      </c>
      <c r="BT53" s="1691">
        <f t="shared" si="145"/>
        <v>-0.28882294757665683</v>
      </c>
      <c r="BU53" s="1691">
        <f t="shared" si="145"/>
        <v>-0.30916844349680173</v>
      </c>
      <c r="BV53" s="421">
        <f t="shared" si="145"/>
        <v>-0.39240506329113922</v>
      </c>
      <c r="BW53" s="1690">
        <f t="shared" si="145"/>
        <v>4.405286343612369E-3</v>
      </c>
      <c r="BX53" s="1691">
        <f t="shared" si="145"/>
        <v>-0.20166898470097361</v>
      </c>
      <c r="BY53" s="1691">
        <f t="shared" si="145"/>
        <v>0.12345679012345689</v>
      </c>
      <c r="BZ53" s="421">
        <f t="shared" ref="BZ53:CF53" si="146">+BZ52/BV52-1</f>
        <v>0.31770833333333326</v>
      </c>
      <c r="CA53" s="430">
        <f t="shared" si="146"/>
        <v>5.8479532163742132E-3</v>
      </c>
      <c r="CB53" s="1691">
        <f t="shared" si="146"/>
        <v>0.12717770034843201</v>
      </c>
      <c r="CC53" s="1691">
        <f t="shared" si="146"/>
        <v>-0.18543956043956045</v>
      </c>
      <c r="CD53" s="421">
        <f>+CD52/BZ52-1</f>
        <v>-0.46640316205533594</v>
      </c>
      <c r="CE53" s="430">
        <f>+CE52/CA52-1</f>
        <v>-8.2848837209302362E-2</v>
      </c>
      <c r="CF53" s="1691">
        <f t="shared" si="146"/>
        <v>-0.43276661514683157</v>
      </c>
      <c r="CG53" s="1691">
        <f>+CG52/CC52-1</f>
        <v>-0.17875210792580098</v>
      </c>
      <c r="CH53" s="1691">
        <f t="shared" ref="CH53" si="147">+CH52/CD52-1</f>
        <v>0.57777777777777772</v>
      </c>
      <c r="CI53" s="1690">
        <f>+CI52/CE52-1</f>
        <v>4.1528589540412941E-2</v>
      </c>
      <c r="CJ53" s="1691">
        <f>+CJ52/CF52-1</f>
        <v>0.94569611900817341</v>
      </c>
      <c r="CK53" s="1691">
        <f>+CK52/CG52-1</f>
        <v>0.54745125972204378</v>
      </c>
      <c r="CL53" s="1692">
        <f>+CL52/CH52-1</f>
        <v>0.27944916208199611</v>
      </c>
      <c r="CM53" s="367"/>
    </row>
    <row r="54" spans="1:97">
      <c r="A54" s="1687" t="s">
        <v>1003</v>
      </c>
      <c r="B54" s="409"/>
      <c r="C54" s="409"/>
      <c r="D54" s="409"/>
      <c r="E54" s="409">
        <f t="shared" ref="E54:O54" si="148">+E52/E$25</f>
        <v>-0.41333622789224095</v>
      </c>
      <c r="F54" s="409">
        <f t="shared" si="148"/>
        <v>-0.43429872787236135</v>
      </c>
      <c r="G54" s="409">
        <f t="shared" si="148"/>
        <v>0.10131707113093488</v>
      </c>
      <c r="H54" s="409">
        <f t="shared" si="148"/>
        <v>6.996816990138692E-2</v>
      </c>
      <c r="I54" s="1688">
        <f t="shared" si="148"/>
        <v>0.20226966992456366</v>
      </c>
      <c r="J54" s="1688">
        <f t="shared" si="148"/>
        <v>0.22463164675629951</v>
      </c>
      <c r="K54" s="1688">
        <f t="shared" si="148"/>
        <v>0.22788327929597035</v>
      </c>
      <c r="L54" s="1688">
        <f t="shared" ca="1" si="148"/>
        <v>0.21878845269048458</v>
      </c>
      <c r="M54" s="1688">
        <f t="shared" si="148"/>
        <v>0.23972900908744627</v>
      </c>
      <c r="N54" s="1688">
        <f>+N52/N$25</f>
        <v>0.22072395689416965</v>
      </c>
      <c r="O54" s="1688">
        <f t="shared" si="148"/>
        <v>0.14555943861984802</v>
      </c>
      <c r="P54" s="1688">
        <f t="shared" ref="P54:U54" si="149">+P52/P$25</f>
        <v>0.15335195530726256</v>
      </c>
      <c r="Q54" s="1688">
        <f t="shared" si="149"/>
        <v>0.13354321694333143</v>
      </c>
      <c r="R54" s="1688">
        <f>+R52/R$25</f>
        <v>0.11582506271130985</v>
      </c>
      <c r="S54" s="1688">
        <f>+S52/S$25</f>
        <v>0.12342347076897839</v>
      </c>
      <c r="T54" s="1688">
        <f t="shared" si="149"/>
        <v>0.14837530046334071</v>
      </c>
      <c r="U54" s="1688">
        <f t="shared" si="149"/>
        <v>0.16703981878870022</v>
      </c>
      <c r="V54" s="1688">
        <f>+V52/V$25</f>
        <v>0.17552594774991889</v>
      </c>
      <c r="W54" s="1688">
        <f>+W52/W$25</f>
        <v>0.1847320967875167</v>
      </c>
      <c r="X54" s="1688">
        <f>+X52/X$25</f>
        <v>0.19410951059291714</v>
      </c>
      <c r="Y54" s="2279"/>
      <c r="Z54" s="588"/>
      <c r="AA54" s="2288"/>
      <c r="AB54" s="409"/>
      <c r="AC54" s="409"/>
      <c r="AD54" s="419">
        <f t="shared" ref="AD54:BF54" si="150">+AD52/AD$25</f>
        <v>0.32017973625152424</v>
      </c>
      <c r="AE54" s="420">
        <f t="shared" si="150"/>
        <v>0.30917258431811134</v>
      </c>
      <c r="AF54" s="409">
        <f t="shared" si="150"/>
        <v>0.31465400833395457</v>
      </c>
      <c r="AG54" s="409">
        <f t="shared" si="150"/>
        <v>0.29826043148411574</v>
      </c>
      <c r="AH54" s="419">
        <f t="shared" si="150"/>
        <v>0.31277691452475442</v>
      </c>
      <c r="AI54" s="420">
        <f t="shared" si="150"/>
        <v>0.2971028856911514</v>
      </c>
      <c r="AJ54" s="409">
        <f t="shared" si="150"/>
        <v>0.3065270698352443</v>
      </c>
      <c r="AK54" s="409">
        <f t="shared" si="150"/>
        <v>0.31517231408417484</v>
      </c>
      <c r="AL54" s="419">
        <f t="shared" si="150"/>
        <v>0.27788361118632265</v>
      </c>
      <c r="AM54" s="409">
        <f t="shared" si="150"/>
        <v>0.26875824678139371</v>
      </c>
      <c r="AN54" s="424">
        <f t="shared" si="150"/>
        <v>0.28187152538323412</v>
      </c>
      <c r="AO54" s="424">
        <f t="shared" si="150"/>
        <v>0.25604447085171045</v>
      </c>
      <c r="AP54" s="424">
        <f t="shared" si="150"/>
        <v>0.27476910169479479</v>
      </c>
      <c r="AQ54" s="420">
        <f t="shared" si="150"/>
        <v>0.23948473103604051</v>
      </c>
      <c r="AR54" s="409">
        <f t="shared" si="150"/>
        <v>0.25277423929410936</v>
      </c>
      <c r="AS54" s="409">
        <f t="shared" si="150"/>
        <v>0.25152317006417263</v>
      </c>
      <c r="AT54" s="419">
        <f t="shared" si="150"/>
        <v>0.24184978551695085</v>
      </c>
      <c r="AU54" s="420">
        <f t="shared" si="150"/>
        <v>0.20488609848001688</v>
      </c>
      <c r="AV54" s="409">
        <f t="shared" si="150"/>
        <v>0.20344221022518094</v>
      </c>
      <c r="AW54" s="409">
        <f t="shared" si="150"/>
        <v>0.17731470590885948</v>
      </c>
      <c r="AX54" s="421">
        <f t="shared" si="150"/>
        <v>0.22397596586508794</v>
      </c>
      <c r="AY54" s="1690">
        <f t="shared" si="150"/>
        <v>0.23127066472229715</v>
      </c>
      <c r="AZ54" s="1715">
        <f t="shared" si="150"/>
        <v>0.22185055558857925</v>
      </c>
      <c r="BA54" s="1716">
        <f t="shared" si="150"/>
        <v>0.21906205455200287</v>
      </c>
      <c r="BB54" s="1691">
        <f t="shared" si="150"/>
        <v>0.22617672275389042</v>
      </c>
      <c r="BC54" s="1690">
        <f t="shared" si="150"/>
        <v>0.23488703439853451</v>
      </c>
      <c r="BD54" s="1715">
        <f t="shared" si="150"/>
        <v>0.22764730119489082</v>
      </c>
      <c r="BE54" s="1715">
        <f t="shared" si="150"/>
        <v>0.22730080296479308</v>
      </c>
      <c r="BF54" s="1715">
        <f t="shared" si="150"/>
        <v>0.22155190347410028</v>
      </c>
      <c r="BG54" s="1705">
        <f t="shared" ref="BG54:BN54" ca="1" si="151">+BG52/BG$25</f>
        <v>0.23914879243371054</v>
      </c>
      <c r="BH54" s="1688">
        <f t="shared" si="151"/>
        <v>0.2176054829727993</v>
      </c>
      <c r="BI54" s="1688">
        <f t="shared" si="151"/>
        <v>0.20224476581048997</v>
      </c>
      <c r="BJ54" s="1689">
        <f t="shared" si="151"/>
        <v>0.19256393724478832</v>
      </c>
      <c r="BK54" s="1688">
        <f t="shared" si="151"/>
        <v>0.22277657266811279</v>
      </c>
      <c r="BL54" s="1688">
        <f t="shared" si="151"/>
        <v>0.21444058976582828</v>
      </c>
      <c r="BM54" s="1688">
        <f t="shared" si="151"/>
        <v>0.21833296871581712</v>
      </c>
      <c r="BN54" s="1688">
        <f t="shared" si="151"/>
        <v>0.21356893542757416</v>
      </c>
      <c r="BO54" s="1705">
        <f t="shared" ref="BO54:BV54" si="152">+BO52/BO$25</f>
        <v>0.24307555949479281</v>
      </c>
      <c r="BP54" s="1688">
        <f t="shared" si="152"/>
        <v>0.22342541436464089</v>
      </c>
      <c r="BQ54" s="1688">
        <f t="shared" si="152"/>
        <v>0.20775193798449612</v>
      </c>
      <c r="BR54" s="1688">
        <f t="shared" si="152"/>
        <v>0.20871862615587847</v>
      </c>
      <c r="BS54" s="1705">
        <f t="shared" si="152"/>
        <v>0.15006610841780521</v>
      </c>
      <c r="BT54" s="1688">
        <f t="shared" si="152"/>
        <v>0.15837004405286342</v>
      </c>
      <c r="BU54" s="1688">
        <f t="shared" si="152"/>
        <v>0.14358519831597608</v>
      </c>
      <c r="BV54" s="419">
        <f t="shared" si="152"/>
        <v>0.12984670874661858</v>
      </c>
      <c r="BW54" s="1705">
        <f>+BW52/BW$25</f>
        <v>0.15367333183554258</v>
      </c>
      <c r="BX54" s="1688">
        <f>+BX52/BX$25</f>
        <v>0.12989364109527043</v>
      </c>
      <c r="BY54" s="1688">
        <f>+BY52/BY$25</f>
        <v>0.1598594642072903</v>
      </c>
      <c r="BZ54" s="419">
        <f>+BZ52/BZ$25</f>
        <v>0.16957104557640751</v>
      </c>
      <c r="CA54" s="409">
        <f t="shared" ref="CA54:CD54" si="153">+CA52/CA$25</f>
        <v>0.15632810724835264</v>
      </c>
      <c r="CB54" s="1688">
        <f t="shared" si="153"/>
        <v>0.14711232378353797</v>
      </c>
      <c r="CC54" s="1688">
        <f t="shared" si="153"/>
        <v>0.13532633500684618</v>
      </c>
      <c r="CD54" s="419">
        <f t="shared" si="153"/>
        <v>9.4427605502448123E-2</v>
      </c>
      <c r="CE54" s="409">
        <f>+CE52/CE$25</f>
        <v>0.14991684485626039</v>
      </c>
      <c r="CF54" s="1688">
        <f>+CF52/CF$25</f>
        <v>8.9731051344743282E-2</v>
      </c>
      <c r="CG54" s="1688">
        <f>+CG52/CG$25</f>
        <v>0.12072384729796728</v>
      </c>
      <c r="CH54" s="1688">
        <f t="shared" ref="CH54" si="154">+CH52/CH$25</f>
        <v>0.1064113238967527</v>
      </c>
      <c r="CI54" s="1705">
        <f>+CI52/CI$25</f>
        <v>0.10981925399621024</v>
      </c>
      <c r="CJ54" s="1688">
        <f>+CJ52/CJ$25</f>
        <v>0.11968038756525926</v>
      </c>
      <c r="CK54" s="1688">
        <f>+CK52/CK$25</f>
        <v>0.12663317821611395</v>
      </c>
      <c r="CL54" s="1689">
        <f>+CL52/CL$25</f>
        <v>0.13767760621739636</v>
      </c>
      <c r="CM54" s="367"/>
    </row>
    <row r="55" spans="1:97" s="3512" customFormat="1">
      <c r="A55" s="467" t="s">
        <v>1957</v>
      </c>
      <c r="B55" s="409"/>
      <c r="C55" s="409"/>
      <c r="D55" s="409"/>
      <c r="E55" s="409"/>
      <c r="F55" s="409"/>
      <c r="G55" s="409"/>
      <c r="H55" s="409"/>
      <c r="I55" s="1688"/>
      <c r="J55" s="1688"/>
      <c r="K55" s="1688"/>
      <c r="L55" s="1688"/>
      <c r="M55" s="1688"/>
      <c r="N55" s="1688"/>
      <c r="O55" s="1688"/>
      <c r="P55" s="1688"/>
      <c r="Q55" s="1698">
        <f>+SUM(CA55:CD55)</f>
        <v>264</v>
      </c>
      <c r="R55" s="1698">
        <f t="shared" ref="R55:X55" si="155">SUM(R56:R59)</f>
        <v>418</v>
      </c>
      <c r="S55" s="1698">
        <f t="shared" si="155"/>
        <v>450</v>
      </c>
      <c r="T55" s="1698">
        <f t="shared" si="155"/>
        <v>325</v>
      </c>
      <c r="U55" s="1698">
        <f t="shared" si="155"/>
        <v>200</v>
      </c>
      <c r="V55" s="1698">
        <f t="shared" si="155"/>
        <v>200</v>
      </c>
      <c r="W55" s="1698">
        <f t="shared" si="155"/>
        <v>200</v>
      </c>
      <c r="X55" s="1698">
        <f t="shared" si="155"/>
        <v>200</v>
      </c>
      <c r="Y55" s="2279"/>
      <c r="Z55" s="588"/>
      <c r="AA55" s="2288"/>
      <c r="AB55" s="409"/>
      <c r="AC55" s="409"/>
      <c r="AD55" s="419"/>
      <c r="AE55" s="420"/>
      <c r="AF55" s="409"/>
      <c r="AG55" s="409"/>
      <c r="AH55" s="419"/>
      <c r="AI55" s="420"/>
      <c r="AJ55" s="409"/>
      <c r="AK55" s="409"/>
      <c r="AL55" s="419"/>
      <c r="AM55" s="409"/>
      <c r="AN55" s="424"/>
      <c r="AO55" s="424"/>
      <c r="AP55" s="424"/>
      <c r="AQ55" s="420"/>
      <c r="AR55" s="409"/>
      <c r="AS55" s="409"/>
      <c r="AT55" s="419"/>
      <c r="AU55" s="420"/>
      <c r="AV55" s="409"/>
      <c r="AW55" s="409"/>
      <c r="AX55" s="421"/>
      <c r="AY55" s="1690"/>
      <c r="AZ55" s="1715"/>
      <c r="BA55" s="1716"/>
      <c r="BB55" s="1691"/>
      <c r="BC55" s="1690"/>
      <c r="BD55" s="1715"/>
      <c r="BE55" s="1715"/>
      <c r="BF55" s="1715"/>
      <c r="BG55" s="1705"/>
      <c r="BH55" s="1688"/>
      <c r="BI55" s="1688"/>
      <c r="BJ55" s="1689"/>
      <c r="BK55" s="1688"/>
      <c r="BL55" s="1688"/>
      <c r="BM55" s="1688"/>
      <c r="BN55" s="1688"/>
      <c r="BO55" s="1705"/>
      <c r="BP55" s="1688"/>
      <c r="BQ55" s="1688"/>
      <c r="BR55" s="1688"/>
      <c r="BS55" s="1705"/>
      <c r="BT55" s="1688"/>
      <c r="BU55" s="1688"/>
      <c r="BV55" s="419"/>
      <c r="BX55" s="1688"/>
      <c r="BY55" s="1688"/>
      <c r="BZ55" s="419"/>
      <c r="CA55" s="1740">
        <f>SUM(CA56:CA59)</f>
        <v>20</v>
      </c>
      <c r="CB55" s="1698">
        <f t="shared" ref="CB55:CF55" si="156">SUM(CB56:CB59)</f>
        <v>14</v>
      </c>
      <c r="CC55" s="1698">
        <f t="shared" si="156"/>
        <v>8</v>
      </c>
      <c r="CD55" s="416">
        <f t="shared" si="156"/>
        <v>222</v>
      </c>
      <c r="CE55" s="408">
        <f t="shared" si="156"/>
        <v>21</v>
      </c>
      <c r="CF55" s="1698">
        <f t="shared" si="156"/>
        <v>126</v>
      </c>
      <c r="CG55" s="1698">
        <f>SUM(CG56:CG59)</f>
        <v>0</v>
      </c>
      <c r="CH55" s="1698">
        <f t="shared" ref="CH55" si="157">SUM(CH56:CH59)</f>
        <v>271</v>
      </c>
      <c r="CI55" s="1740">
        <f>SUM(CI56:CI59)</f>
        <v>112.5</v>
      </c>
      <c r="CJ55" s="1698">
        <f>SUM(CJ56:CJ59)</f>
        <v>112.5</v>
      </c>
      <c r="CK55" s="1698">
        <f>SUM(CK56:CK59)</f>
        <v>112.5</v>
      </c>
      <c r="CL55" s="1741">
        <f>SUM(CL56:CL59)</f>
        <v>112.5</v>
      </c>
      <c r="CM55" s="3101"/>
      <c r="CN55"/>
      <c r="CO55"/>
      <c r="CP55"/>
      <c r="CQ55"/>
      <c r="CR55"/>
      <c r="CS55"/>
    </row>
    <row r="56" spans="1:97" s="3512" customFormat="1" hidden="1" outlineLevel="1">
      <c r="A56" s="2655" t="s">
        <v>1955</v>
      </c>
      <c r="B56" s="409"/>
      <c r="C56" s="409"/>
      <c r="D56" s="409"/>
      <c r="E56" s="409"/>
      <c r="F56" s="409"/>
      <c r="G56" s="409"/>
      <c r="H56" s="409"/>
      <c r="I56" s="1688"/>
      <c r="J56" s="1688"/>
      <c r="K56" s="1688"/>
      <c r="L56" s="1688"/>
      <c r="M56" s="1688"/>
      <c r="N56" s="1688"/>
      <c r="O56" s="1688"/>
      <c r="P56" s="1688"/>
      <c r="Q56" s="1698">
        <f>+SUM(CA56:CD56)</f>
        <v>173</v>
      </c>
      <c r="R56" s="1698">
        <f>+SUM(CE56:CH56)</f>
        <v>0</v>
      </c>
      <c r="S56" s="1698">
        <f>+SUM(CI56:CL56)</f>
        <v>0</v>
      </c>
      <c r="T56" s="1698">
        <f t="shared" ref="T56:X56" si="158">+S56</f>
        <v>0</v>
      </c>
      <c r="U56" s="1698">
        <f t="shared" si="158"/>
        <v>0</v>
      </c>
      <c r="V56" s="1698">
        <f t="shared" si="158"/>
        <v>0</v>
      </c>
      <c r="W56" s="1698">
        <f t="shared" si="158"/>
        <v>0</v>
      </c>
      <c r="X56" s="1698">
        <f t="shared" si="158"/>
        <v>0</v>
      </c>
      <c r="Y56" s="2279"/>
      <c r="Z56" s="588"/>
      <c r="AA56" s="2288"/>
      <c r="AB56" s="409"/>
      <c r="AC56" s="409"/>
      <c r="AD56" s="419"/>
      <c r="AE56" s="420"/>
      <c r="AF56" s="409"/>
      <c r="AG56" s="409"/>
      <c r="AH56" s="419"/>
      <c r="AI56" s="420"/>
      <c r="AJ56" s="409"/>
      <c r="AK56" s="409"/>
      <c r="AL56" s="419"/>
      <c r="AM56" s="409"/>
      <c r="AN56" s="424"/>
      <c r="AO56" s="424"/>
      <c r="AP56" s="424"/>
      <c r="AQ56" s="420"/>
      <c r="AR56" s="409"/>
      <c r="AS56" s="409"/>
      <c r="AT56" s="419"/>
      <c r="AU56" s="420"/>
      <c r="AV56" s="409"/>
      <c r="AW56" s="409"/>
      <c r="AX56" s="421"/>
      <c r="AY56" s="1690"/>
      <c r="AZ56" s="1715"/>
      <c r="BA56" s="1716"/>
      <c r="BB56" s="1691"/>
      <c r="BC56" s="1690"/>
      <c r="BD56" s="1715"/>
      <c r="BE56" s="1715"/>
      <c r="BF56" s="1715"/>
      <c r="BG56" s="1705"/>
      <c r="BH56" s="1688"/>
      <c r="BI56" s="1688"/>
      <c r="BJ56" s="1689"/>
      <c r="BK56" s="1688"/>
      <c r="BL56" s="1688"/>
      <c r="BM56" s="1688"/>
      <c r="BN56" s="1688"/>
      <c r="BO56" s="1705"/>
      <c r="BP56" s="1688"/>
      <c r="BQ56" s="1688"/>
      <c r="BR56" s="1688"/>
      <c r="BS56" s="1705"/>
      <c r="BT56" s="1688"/>
      <c r="BU56" s="1688"/>
      <c r="BV56" s="419"/>
      <c r="BX56" s="2861"/>
      <c r="BY56" s="2861"/>
      <c r="BZ56" s="2862"/>
      <c r="CA56" s="2861">
        <v>14</v>
      </c>
      <c r="CB56" s="2861">
        <v>7</v>
      </c>
      <c r="CC56" s="2861">
        <v>4</v>
      </c>
      <c r="CD56" s="2862">
        <v>148</v>
      </c>
      <c r="CE56" s="2861">
        <v>0</v>
      </c>
      <c r="CF56" s="2861">
        <v>0</v>
      </c>
      <c r="CG56" s="2861">
        <v>0</v>
      </c>
      <c r="CH56" s="2861">
        <v>0</v>
      </c>
      <c r="CI56" s="1703"/>
      <c r="CJ56" s="1704"/>
      <c r="CK56" s="1704"/>
      <c r="CL56" s="1711"/>
      <c r="CM56" s="3101"/>
      <c r="CN56"/>
      <c r="CO56"/>
      <c r="CP56"/>
      <c r="CQ56"/>
      <c r="CR56"/>
      <c r="CS56"/>
    </row>
    <row r="57" spans="1:97" s="3512" customFormat="1" hidden="1" outlineLevel="1">
      <c r="A57" s="2655" t="s">
        <v>1956</v>
      </c>
      <c r="B57" s="409"/>
      <c r="C57" s="409"/>
      <c r="D57" s="409"/>
      <c r="E57" s="409"/>
      <c r="F57" s="409"/>
      <c r="G57" s="409"/>
      <c r="H57" s="409"/>
      <c r="I57" s="1688"/>
      <c r="J57" s="1688"/>
      <c r="K57" s="1688"/>
      <c r="L57" s="1688"/>
      <c r="M57" s="1688"/>
      <c r="N57" s="1688"/>
      <c r="O57" s="1688"/>
      <c r="P57" s="1688"/>
      <c r="Q57" s="1698">
        <f>+SUM(CA57:CD57)</f>
        <v>10</v>
      </c>
      <c r="R57" s="1698">
        <f>+SUM(CE57:CH57)</f>
        <v>217</v>
      </c>
      <c r="S57" s="1698">
        <f>+SUM(CI57:CL57)</f>
        <v>250</v>
      </c>
      <c r="T57" s="1698">
        <v>125</v>
      </c>
      <c r="U57" s="1698"/>
      <c r="V57" s="1698"/>
      <c r="W57" s="1698"/>
      <c r="X57" s="1698"/>
      <c r="Y57" s="2279"/>
      <c r="Z57" s="588"/>
      <c r="AA57" s="2288"/>
      <c r="AB57" s="409"/>
      <c r="AC57" s="409"/>
      <c r="AD57" s="419"/>
      <c r="AE57" s="420"/>
      <c r="AF57" s="409"/>
      <c r="AG57" s="409"/>
      <c r="AH57" s="419"/>
      <c r="AI57" s="420"/>
      <c r="AJ57" s="409"/>
      <c r="AK57" s="409"/>
      <c r="AL57" s="419"/>
      <c r="AM57" s="409"/>
      <c r="AN57" s="424"/>
      <c r="AO57" s="424"/>
      <c r="AP57" s="424"/>
      <c r="AQ57" s="420"/>
      <c r="AR57" s="409"/>
      <c r="AS57" s="409"/>
      <c r="AT57" s="419"/>
      <c r="AU57" s="420"/>
      <c r="AV57" s="409"/>
      <c r="AW57" s="409"/>
      <c r="AX57" s="421"/>
      <c r="AY57" s="1690"/>
      <c r="AZ57" s="1715"/>
      <c r="BA57" s="1716"/>
      <c r="BB57" s="1691"/>
      <c r="BC57" s="1690"/>
      <c r="BD57" s="1715"/>
      <c r="BE57" s="1715"/>
      <c r="BF57" s="1715"/>
      <c r="BG57" s="1705"/>
      <c r="BH57" s="1688"/>
      <c r="BI57" s="1688"/>
      <c r="BJ57" s="1689"/>
      <c r="BK57" s="1688"/>
      <c r="BL57" s="1688"/>
      <c r="BM57" s="1688"/>
      <c r="BN57" s="1688"/>
      <c r="BO57" s="1705"/>
      <c r="BP57" s="1688"/>
      <c r="BQ57" s="1688"/>
      <c r="BR57" s="1688"/>
      <c r="BS57" s="1705"/>
      <c r="BT57" s="1688"/>
      <c r="BU57" s="1688"/>
      <c r="BV57" s="419"/>
      <c r="BX57" s="2861"/>
      <c r="BY57" s="2861"/>
      <c r="BZ57" s="2862"/>
      <c r="CA57" s="2861">
        <v>4</v>
      </c>
      <c r="CB57" s="2861">
        <v>3</v>
      </c>
      <c r="CC57" s="2861">
        <v>1</v>
      </c>
      <c r="CD57" s="2862">
        <v>2</v>
      </c>
      <c r="CE57" s="2861">
        <v>0</v>
      </c>
      <c r="CF57" s="2861">
        <v>0</v>
      </c>
      <c r="CG57" s="2861">
        <v>0</v>
      </c>
      <c r="CH57" s="2861">
        <f>39+178</f>
        <v>217</v>
      </c>
      <c r="CI57" s="1703">
        <v>62.5</v>
      </c>
      <c r="CJ57" s="1704">
        <v>62.5</v>
      </c>
      <c r="CK57" s="1704">
        <v>62.5</v>
      </c>
      <c r="CL57" s="1711">
        <v>62.5</v>
      </c>
      <c r="CM57" s="3101"/>
      <c r="CN57"/>
      <c r="CO57"/>
      <c r="CP57"/>
      <c r="CQ57"/>
      <c r="CR57"/>
      <c r="CS57"/>
    </row>
    <row r="58" spans="1:97" s="3617" customFormat="1" hidden="1" outlineLevel="1">
      <c r="A58" s="2655" t="s">
        <v>1837</v>
      </c>
      <c r="B58" s="409"/>
      <c r="C58" s="409"/>
      <c r="D58" s="409"/>
      <c r="E58" s="409"/>
      <c r="F58" s="409"/>
      <c r="G58" s="409"/>
      <c r="H58" s="409"/>
      <c r="I58" s="1688"/>
      <c r="J58" s="1688"/>
      <c r="K58" s="1688"/>
      <c r="L58" s="1688"/>
      <c r="M58" s="1688"/>
      <c r="N58" s="1688"/>
      <c r="O58" s="1688"/>
      <c r="P58" s="1688"/>
      <c r="Q58" s="1698"/>
      <c r="R58" s="1698">
        <f t="shared" ref="R58" si="159">+SUM(CE58:CH58)</f>
        <v>54</v>
      </c>
      <c r="S58" s="1698">
        <f t="shared" ref="S58" si="160">+SUM(CI58:CL58)</f>
        <v>200</v>
      </c>
      <c r="T58" s="1698">
        <v>200</v>
      </c>
      <c r="U58" s="1698">
        <v>200</v>
      </c>
      <c r="V58" s="1698">
        <v>200</v>
      </c>
      <c r="W58" s="1698">
        <v>200</v>
      </c>
      <c r="X58" s="1698">
        <v>200</v>
      </c>
      <c r="Y58" s="2279"/>
      <c r="Z58" s="588"/>
      <c r="AA58" s="2288"/>
      <c r="AB58" s="409"/>
      <c r="AC58" s="409"/>
      <c r="AD58" s="419"/>
      <c r="AE58" s="420"/>
      <c r="AF58" s="409"/>
      <c r="AG58" s="409"/>
      <c r="AH58" s="419"/>
      <c r="AI58" s="420"/>
      <c r="AJ58" s="409"/>
      <c r="AK58" s="409"/>
      <c r="AL58" s="419"/>
      <c r="AM58" s="409"/>
      <c r="AN58" s="424"/>
      <c r="AO58" s="424"/>
      <c r="AP58" s="424"/>
      <c r="AQ58" s="420"/>
      <c r="AR58" s="409"/>
      <c r="AS58" s="409"/>
      <c r="AT58" s="419"/>
      <c r="AU58" s="420"/>
      <c r="AV58" s="409"/>
      <c r="AW58" s="409"/>
      <c r="AX58" s="421"/>
      <c r="AY58" s="1690"/>
      <c r="AZ58" s="1715"/>
      <c r="BA58" s="1716"/>
      <c r="BB58" s="1691"/>
      <c r="BC58" s="1690"/>
      <c r="BD58" s="1715"/>
      <c r="BE58" s="1715"/>
      <c r="BF58" s="1715"/>
      <c r="BG58" s="1705"/>
      <c r="BH58" s="1688"/>
      <c r="BI58" s="1688"/>
      <c r="BJ58" s="1689"/>
      <c r="BK58" s="1688"/>
      <c r="BL58" s="1688"/>
      <c r="BM58" s="1688"/>
      <c r="BN58" s="1688"/>
      <c r="BO58" s="1705"/>
      <c r="BP58" s="1688"/>
      <c r="BQ58" s="1688"/>
      <c r="BR58" s="1688"/>
      <c r="BS58" s="1705"/>
      <c r="BT58" s="1688"/>
      <c r="BU58" s="1688"/>
      <c r="BV58" s="419"/>
      <c r="BX58" s="2861"/>
      <c r="BY58" s="2861"/>
      <c r="BZ58" s="2862"/>
      <c r="CA58" s="2861"/>
      <c r="CB58" s="2861"/>
      <c r="CC58" s="2861"/>
      <c r="CD58" s="2862"/>
      <c r="CE58" s="2861"/>
      <c r="CF58" s="2861"/>
      <c r="CG58" s="2861"/>
      <c r="CH58" s="2861">
        <v>54</v>
      </c>
      <c r="CI58" s="1703">
        <v>50</v>
      </c>
      <c r="CJ58" s="1704">
        <v>50</v>
      </c>
      <c r="CK58" s="1704">
        <v>50</v>
      </c>
      <c r="CL58" s="1711">
        <v>50</v>
      </c>
      <c r="CM58" s="3101"/>
      <c r="CN58"/>
      <c r="CO58"/>
      <c r="CP58"/>
      <c r="CQ58"/>
      <c r="CR58"/>
      <c r="CS58"/>
    </row>
    <row r="59" spans="1:97" s="3512" customFormat="1" hidden="1" outlineLevel="1">
      <c r="A59" s="2655" t="s">
        <v>792</v>
      </c>
      <c r="B59" s="409"/>
      <c r="C59" s="409"/>
      <c r="D59" s="409"/>
      <c r="E59" s="409"/>
      <c r="F59" s="409"/>
      <c r="G59" s="409"/>
      <c r="H59" s="409"/>
      <c r="I59" s="1688"/>
      <c r="J59" s="1688"/>
      <c r="K59" s="1688"/>
      <c r="L59" s="1688"/>
      <c r="M59" s="1688"/>
      <c r="N59" s="1688"/>
      <c r="O59" s="1688"/>
      <c r="P59" s="1688"/>
      <c r="Q59" s="1698">
        <f>+SUM(CA59:CD59)</f>
        <v>81</v>
      </c>
      <c r="R59" s="1698">
        <f>+SUM(CE59:CH59)</f>
        <v>147</v>
      </c>
      <c r="S59" s="1698">
        <f>+SUM(CI59:CL59)</f>
        <v>0</v>
      </c>
      <c r="T59" s="1698">
        <f>+S59</f>
        <v>0</v>
      </c>
      <c r="U59" s="1698">
        <f>+T59</f>
        <v>0</v>
      </c>
      <c r="V59" s="1698">
        <f>+U59</f>
        <v>0</v>
      </c>
      <c r="W59" s="1698">
        <f>+V59</f>
        <v>0</v>
      </c>
      <c r="X59" s="1698">
        <f>+W59</f>
        <v>0</v>
      </c>
      <c r="Y59" s="2279"/>
      <c r="Z59" s="588"/>
      <c r="AA59" s="2288"/>
      <c r="AB59" s="409"/>
      <c r="AC59" s="409"/>
      <c r="AD59" s="419"/>
      <c r="AE59" s="420"/>
      <c r="AF59" s="409"/>
      <c r="AG59" s="409"/>
      <c r="AH59" s="419"/>
      <c r="AI59" s="420"/>
      <c r="AJ59" s="409"/>
      <c r="AK59" s="409"/>
      <c r="AL59" s="419"/>
      <c r="AM59" s="409"/>
      <c r="AN59" s="424"/>
      <c r="AO59" s="424"/>
      <c r="AP59" s="424"/>
      <c r="AQ59" s="420"/>
      <c r="AR59" s="409"/>
      <c r="AS59" s="409"/>
      <c r="AT59" s="419"/>
      <c r="AU59" s="420"/>
      <c r="AV59" s="409"/>
      <c r="AW59" s="409"/>
      <c r="AX59" s="421"/>
      <c r="AY59" s="1690"/>
      <c r="AZ59" s="1715"/>
      <c r="BA59" s="1716"/>
      <c r="BB59" s="1691"/>
      <c r="BC59" s="1690"/>
      <c r="BD59" s="1715"/>
      <c r="BE59" s="1715"/>
      <c r="BF59" s="1715"/>
      <c r="BG59" s="1705"/>
      <c r="BH59" s="1688"/>
      <c r="BI59" s="1688"/>
      <c r="BJ59" s="1689"/>
      <c r="BK59" s="1688"/>
      <c r="BL59" s="1688"/>
      <c r="BM59" s="1688"/>
      <c r="BN59" s="1688"/>
      <c r="BO59" s="1705"/>
      <c r="BP59" s="1688"/>
      <c r="BQ59" s="1688"/>
      <c r="BR59" s="1688"/>
      <c r="BS59" s="1705"/>
      <c r="BT59" s="1688"/>
      <c r="BU59" s="1688"/>
      <c r="BV59" s="419"/>
      <c r="BX59" s="2861"/>
      <c r="BY59" s="2861"/>
      <c r="BZ59" s="2862"/>
      <c r="CA59" s="2861">
        <v>2</v>
      </c>
      <c r="CB59" s="2861">
        <v>4</v>
      </c>
      <c r="CC59" s="2861">
        <f>7-4</f>
        <v>3</v>
      </c>
      <c r="CD59" s="2862">
        <f>2+52+7+11</f>
        <v>72</v>
      </c>
      <c r="CE59" s="2861">
        <f>10+11</f>
        <v>21</v>
      </c>
      <c r="CF59" s="2861">
        <f>18+108</f>
        <v>126</v>
      </c>
      <c r="CG59" s="2861">
        <v>0</v>
      </c>
      <c r="CH59" s="2861"/>
      <c r="CI59" s="1703"/>
      <c r="CJ59" s="1704"/>
      <c r="CK59" s="1704"/>
      <c r="CL59" s="1711"/>
      <c r="CM59" s="3101"/>
      <c r="CN59"/>
      <c r="CO59"/>
      <c r="CP59"/>
      <c r="CQ59"/>
      <c r="CR59"/>
      <c r="CS59"/>
    </row>
    <row r="60" spans="1:97" collapsed="1">
      <c r="A60" s="478" t="s">
        <v>1250</v>
      </c>
      <c r="B60" s="458"/>
      <c r="C60" s="458"/>
      <c r="D60" s="458"/>
      <c r="E60" s="479">
        <f t="shared" ref="E60:P60" si="161">+E52+E47</f>
        <v>26.70900000000006</v>
      </c>
      <c r="F60" s="479">
        <f t="shared" si="161"/>
        <v>5.9769999999998618</v>
      </c>
      <c r="G60" s="479">
        <f t="shared" si="161"/>
        <v>2281.4063294460648</v>
      </c>
      <c r="H60" s="479">
        <f t="shared" si="161"/>
        <v>2238.4030000000012</v>
      </c>
      <c r="I60" s="479">
        <f t="shared" si="161"/>
        <v>8392.0400000000027</v>
      </c>
      <c r="J60" s="479">
        <f t="shared" si="161"/>
        <v>8235.0649999999951</v>
      </c>
      <c r="K60" s="479">
        <f t="shared" si="161"/>
        <v>8264</v>
      </c>
      <c r="L60" s="479">
        <f t="shared" ca="1" si="161"/>
        <v>7889.5499999999993</v>
      </c>
      <c r="M60" s="479">
        <f t="shared" si="161"/>
        <v>8069.5</v>
      </c>
      <c r="N60" s="479">
        <f t="shared" si="161"/>
        <v>7432</v>
      </c>
      <c r="O60" s="479">
        <f t="shared" si="161"/>
        <v>7052</v>
      </c>
      <c r="P60" s="479">
        <f t="shared" si="161"/>
        <v>6934</v>
      </c>
      <c r="Q60" s="479">
        <f>+Q25-Q32-Q39+Q55</f>
        <v>6513</v>
      </c>
      <c r="R60" s="479">
        <f t="shared" ref="R60:X60" si="162">+R25-R32-R39+R55</f>
        <v>6582</v>
      </c>
      <c r="S60" s="479">
        <f t="shared" si="162"/>
        <v>8846.9680973273917</v>
      </c>
      <c r="T60" s="479">
        <f t="shared" si="162"/>
        <v>9170.173300483093</v>
      </c>
      <c r="U60" s="479">
        <f t="shared" si="162"/>
        <v>9345.6450650722545</v>
      </c>
      <c r="V60" s="479">
        <f t="shared" si="162"/>
        <v>9425.8971650058593</v>
      </c>
      <c r="W60" s="479">
        <f t="shared" si="162"/>
        <v>9536.5985016652794</v>
      </c>
      <c r="X60" s="479">
        <f t="shared" si="162"/>
        <v>9656.1028187441116</v>
      </c>
      <c r="Y60" s="2279"/>
      <c r="Z60" s="2281">
        <f>+((X60/S60)^(1/5))-1</f>
        <v>1.7657140137444571E-2</v>
      </c>
      <c r="AA60" s="2288"/>
      <c r="AB60" s="479"/>
      <c r="AC60" s="479"/>
      <c r="AD60" s="480">
        <f t="shared" ref="AD60:BI60" si="163">+AD52+AD47</f>
        <v>319.95399999999995</v>
      </c>
      <c r="AE60" s="481">
        <f t="shared" si="163"/>
        <v>310.54899999999998</v>
      </c>
      <c r="AF60" s="479">
        <f t="shared" si="163"/>
        <v>320.66199999999992</v>
      </c>
      <c r="AG60" s="479">
        <f t="shared" si="163"/>
        <v>308.23900000000003</v>
      </c>
      <c r="AH60" s="480">
        <f t="shared" si="163"/>
        <v>318.91999999999996</v>
      </c>
      <c r="AI60" s="481">
        <f t="shared" si="163"/>
        <v>309.03500000000003</v>
      </c>
      <c r="AJ60" s="479">
        <f t="shared" si="163"/>
        <v>316.334</v>
      </c>
      <c r="AK60" s="479">
        <f t="shared" si="163"/>
        <v>340.62100000000004</v>
      </c>
      <c r="AL60" s="480">
        <f t="shared" si="163"/>
        <v>308.197</v>
      </c>
      <c r="AM60" s="479">
        <f t="shared" si="163"/>
        <v>968.22932944606418</v>
      </c>
      <c r="AN60" s="482">
        <f t="shared" si="163"/>
        <v>991.06899999999996</v>
      </c>
      <c r="AO60" s="482">
        <f t="shared" si="163"/>
        <v>934.64399999999978</v>
      </c>
      <c r="AP60" s="482">
        <f t="shared" si="163"/>
        <v>974.0390000000001</v>
      </c>
      <c r="AQ60" s="481">
        <f t="shared" si="163"/>
        <v>936.86700000000008</v>
      </c>
      <c r="AR60" s="479">
        <f t="shared" si="163"/>
        <v>975.22599999999966</v>
      </c>
      <c r="AS60" s="479">
        <f t="shared" si="163"/>
        <v>986.00500000000011</v>
      </c>
      <c r="AT60" s="480">
        <f t="shared" si="163"/>
        <v>954.47200000000009</v>
      </c>
      <c r="AU60" s="481">
        <f t="shared" si="163"/>
        <v>2130.6139999999996</v>
      </c>
      <c r="AV60" s="479">
        <f t="shared" si="163"/>
        <v>2110.5730000000003</v>
      </c>
      <c r="AW60" s="479">
        <f t="shared" si="163"/>
        <v>1983.0730000000003</v>
      </c>
      <c r="AX60" s="480">
        <f t="shared" si="163"/>
        <v>2167.7800000000007</v>
      </c>
      <c r="AY60" s="481">
        <f t="shared" si="163"/>
        <v>2124.8009999999995</v>
      </c>
      <c r="AZ60" s="482">
        <f t="shared" si="163"/>
        <v>2058.8609999999999</v>
      </c>
      <c r="BA60" s="482">
        <f t="shared" si="163"/>
        <v>2022.8109999999995</v>
      </c>
      <c r="BB60" s="479">
        <f t="shared" si="163"/>
        <v>2028.5920000000001</v>
      </c>
      <c r="BC60" s="481">
        <f t="shared" si="163"/>
        <v>2104</v>
      </c>
      <c r="BD60" s="482">
        <f t="shared" si="163"/>
        <v>2062</v>
      </c>
      <c r="BE60" s="482">
        <f t="shared" si="163"/>
        <v>2072</v>
      </c>
      <c r="BF60" s="482">
        <f t="shared" si="163"/>
        <v>2026</v>
      </c>
      <c r="BG60" s="481">
        <f t="shared" ca="1" si="163"/>
        <v>2062.8000000000002</v>
      </c>
      <c r="BH60" s="479">
        <f t="shared" si="163"/>
        <v>1979</v>
      </c>
      <c r="BI60" s="479">
        <f t="shared" si="163"/>
        <v>1894</v>
      </c>
      <c r="BJ60" s="480">
        <f t="shared" ref="BJ60:BZ60" si="164">+BJ52+BJ47</f>
        <v>1846</v>
      </c>
      <c r="BK60" s="479">
        <f t="shared" si="164"/>
        <v>1944</v>
      </c>
      <c r="BL60" s="479">
        <f t="shared" si="164"/>
        <v>1900</v>
      </c>
      <c r="BM60" s="479">
        <f t="shared" si="164"/>
        <v>1899</v>
      </c>
      <c r="BN60" s="479">
        <f t="shared" si="164"/>
        <v>1914</v>
      </c>
      <c r="BO60" s="481">
        <f t="shared" si="164"/>
        <v>1933</v>
      </c>
      <c r="BP60" s="479">
        <f t="shared" si="164"/>
        <v>1858</v>
      </c>
      <c r="BQ60" s="479">
        <f t="shared" si="164"/>
        <v>1805</v>
      </c>
      <c r="BR60" s="479">
        <f t="shared" si="164"/>
        <v>1836</v>
      </c>
      <c r="BS60" s="481">
        <f t="shared" si="164"/>
        <v>1788</v>
      </c>
      <c r="BT60" s="479">
        <f t="shared" si="164"/>
        <v>1812</v>
      </c>
      <c r="BU60" s="479">
        <f t="shared" si="164"/>
        <v>1745</v>
      </c>
      <c r="BV60" s="480">
        <f t="shared" si="164"/>
        <v>1707</v>
      </c>
      <c r="BW60" s="481">
        <f t="shared" si="164"/>
        <v>1724</v>
      </c>
      <c r="BX60" s="479">
        <f t="shared" si="164"/>
        <v>1622</v>
      </c>
      <c r="BY60" s="479">
        <f t="shared" si="164"/>
        <v>1776</v>
      </c>
      <c r="BZ60" s="480">
        <f t="shared" si="164"/>
        <v>1812</v>
      </c>
      <c r="CA60" s="479">
        <f t="shared" ref="CA60:CL60" si="165">+CA25-CA32-CA39+CA55</f>
        <v>1684</v>
      </c>
      <c r="CB60" s="479">
        <f t="shared" si="165"/>
        <v>1648</v>
      </c>
      <c r="CC60" s="479">
        <f t="shared" si="165"/>
        <v>1596</v>
      </c>
      <c r="CD60" s="480">
        <f t="shared" si="165"/>
        <v>1585</v>
      </c>
      <c r="CE60" s="479">
        <f t="shared" si="165"/>
        <v>1532</v>
      </c>
      <c r="CF60" s="479">
        <f t="shared" si="165"/>
        <v>1442</v>
      </c>
      <c r="CG60" s="479">
        <f t="shared" si="165"/>
        <v>1397</v>
      </c>
      <c r="CH60" s="479">
        <f t="shared" si="165"/>
        <v>2211</v>
      </c>
      <c r="CI60" s="481">
        <f t="shared" si="165"/>
        <v>2129.2495400000003</v>
      </c>
      <c r="CJ60" s="479">
        <f t="shared" si="165"/>
        <v>2188.8345656759998</v>
      </c>
      <c r="CK60" s="479">
        <f t="shared" si="165"/>
        <v>2231.0973816646356</v>
      </c>
      <c r="CL60" s="480">
        <f t="shared" si="165"/>
        <v>2297.7866099867551</v>
      </c>
      <c r="CM60" s="493"/>
    </row>
    <row r="61" spans="1:97">
      <c r="A61" s="2649" t="s">
        <v>1254</v>
      </c>
      <c r="B61" s="452"/>
      <c r="C61" s="452"/>
      <c r="D61" s="452"/>
      <c r="E61" s="452"/>
      <c r="F61" s="452">
        <f t="shared" ref="F61:S61" si="166">+F60/E60-1</f>
        <v>-0.77621775431503059</v>
      </c>
      <c r="G61" s="452">
        <f t="shared" si="166"/>
        <v>380.69756222956624</v>
      </c>
      <c r="H61" s="452">
        <f t="shared" si="166"/>
        <v>-1.8849482834785047E-2</v>
      </c>
      <c r="I61" s="1717">
        <f t="shared" si="166"/>
        <v>2.7491193498221715</v>
      </c>
      <c r="J61" s="1717">
        <f t="shared" si="166"/>
        <v>-1.8705225427906425E-2</v>
      </c>
      <c r="K61" s="1717">
        <f t="shared" si="166"/>
        <v>3.5136334685887949E-3</v>
      </c>
      <c r="L61" s="1717">
        <f t="shared" ca="1" si="166"/>
        <v>-4.5310987415295378E-2</v>
      </c>
      <c r="M61" s="1717">
        <f t="shared" ca="1" si="166"/>
        <v>2.280865195099846E-2</v>
      </c>
      <c r="N61" s="1717">
        <f t="shared" si="166"/>
        <v>-7.90011772724456E-2</v>
      </c>
      <c r="O61" s="1717">
        <f t="shared" si="166"/>
        <v>-5.1130247578040855E-2</v>
      </c>
      <c r="P61" s="1717">
        <f t="shared" si="166"/>
        <v>-1.6732841747022165E-2</v>
      </c>
      <c r="Q61" s="1717">
        <f t="shared" si="166"/>
        <v>-6.0715315835015882E-2</v>
      </c>
      <c r="R61" s="1717">
        <f t="shared" si="166"/>
        <v>1.0594196222938779E-2</v>
      </c>
      <c r="S61" s="1717">
        <f t="shared" si="166"/>
        <v>0.34411548121048186</v>
      </c>
      <c r="T61" s="1717">
        <f>+T60/S60-1</f>
        <v>3.6532877659334995E-2</v>
      </c>
      <c r="U61" s="1717">
        <f>+U60/T60-1</f>
        <v>1.9135054359323611E-2</v>
      </c>
      <c r="V61" s="1717">
        <f>+V60/U60-1</f>
        <v>8.5871118980895833E-3</v>
      </c>
      <c r="W61" s="1717">
        <f>+W60/V60-1</f>
        <v>1.1744381964021944E-2</v>
      </c>
      <c r="X61" s="1717">
        <f>+X60/W60-1</f>
        <v>1.2531125962570888E-2</v>
      </c>
      <c r="Y61" s="2279"/>
      <c r="Z61" s="591"/>
      <c r="AA61" s="2288"/>
      <c r="AB61" s="452"/>
      <c r="AC61" s="452"/>
      <c r="AD61" s="455"/>
      <c r="AE61" s="454"/>
      <c r="AF61" s="452"/>
      <c r="AG61" s="452"/>
      <c r="AH61" s="455">
        <f t="shared" ref="AH61:BB61" si="167">+AH60/AD60-1</f>
        <v>-3.2317145589678686E-3</v>
      </c>
      <c r="AI61" s="454">
        <f t="shared" si="167"/>
        <v>-4.8752370801385947E-3</v>
      </c>
      <c r="AJ61" s="452">
        <f t="shared" si="167"/>
        <v>-1.3497077920052614E-2</v>
      </c>
      <c r="AK61" s="452">
        <f t="shared" si="167"/>
        <v>0.10505484380626728</v>
      </c>
      <c r="AL61" s="455">
        <f t="shared" si="167"/>
        <v>-3.3622852125924862E-2</v>
      </c>
      <c r="AM61" s="452">
        <f t="shared" si="167"/>
        <v>2.133073371773631</v>
      </c>
      <c r="AN61" s="453">
        <f t="shared" si="167"/>
        <v>2.1329828598885987</v>
      </c>
      <c r="AO61" s="453">
        <f t="shared" si="167"/>
        <v>1.7439412132546135</v>
      </c>
      <c r="AP61" s="453">
        <f t="shared" si="167"/>
        <v>2.1604428336421186</v>
      </c>
      <c r="AQ61" s="454">
        <f t="shared" si="167"/>
        <v>-3.2391426795557732E-2</v>
      </c>
      <c r="AR61" s="452">
        <f t="shared" si="167"/>
        <v>-1.5985768902064601E-2</v>
      </c>
      <c r="AS61" s="452">
        <f t="shared" si="167"/>
        <v>5.4952473883104425E-2</v>
      </c>
      <c r="AT61" s="455">
        <f t="shared" si="167"/>
        <v>-2.0088518016219026E-2</v>
      </c>
      <c r="AU61" s="454">
        <f t="shared" si="167"/>
        <v>1.274190466736473</v>
      </c>
      <c r="AV61" s="452">
        <f t="shared" si="167"/>
        <v>1.1641886085891895</v>
      </c>
      <c r="AW61" s="452">
        <f t="shared" si="167"/>
        <v>1.0112200242392282</v>
      </c>
      <c r="AX61" s="455">
        <f t="shared" si="167"/>
        <v>1.2711823919402563</v>
      </c>
      <c r="AY61" s="1719">
        <f t="shared" si="167"/>
        <v>-2.7283215073213851E-3</v>
      </c>
      <c r="AZ61" s="1720">
        <f t="shared" si="167"/>
        <v>-2.4501403173451175E-2</v>
      </c>
      <c r="BA61" s="1720">
        <f t="shared" si="167"/>
        <v>2.0038596662855568E-2</v>
      </c>
      <c r="BB61" s="1717">
        <f t="shared" si="167"/>
        <v>-6.4207622544723453E-2</v>
      </c>
      <c r="BC61" s="1888" t="s">
        <v>1145</v>
      </c>
      <c r="BD61" s="1889" t="s">
        <v>1145</v>
      </c>
      <c r="BE61" s="1889" t="s">
        <v>1145</v>
      </c>
      <c r="BF61" s="1889" t="s">
        <v>1145</v>
      </c>
      <c r="BG61" s="1719">
        <f t="shared" ref="BG61:BY61" ca="1" si="168">+BG60/BC60-1</f>
        <v>-1.9581749049429553E-2</v>
      </c>
      <c r="BH61" s="1717">
        <f t="shared" si="168"/>
        <v>-4.025218234723571E-2</v>
      </c>
      <c r="BI61" s="1717">
        <f t="shared" si="168"/>
        <v>-8.5907335907335902E-2</v>
      </c>
      <c r="BJ61" s="1718">
        <f t="shared" si="168"/>
        <v>-8.8845014807502509E-2</v>
      </c>
      <c r="BK61" s="1717">
        <f t="shared" ca="1" si="168"/>
        <v>-5.7591623036649331E-2</v>
      </c>
      <c r="BL61" s="1717">
        <f t="shared" si="168"/>
        <v>-3.9919151086407312E-2</v>
      </c>
      <c r="BM61" s="1717">
        <f t="shared" si="168"/>
        <v>2.6399155227032622E-3</v>
      </c>
      <c r="BN61" s="1717">
        <f t="shared" si="168"/>
        <v>3.6836403033586151E-2</v>
      </c>
      <c r="BO61" s="1719">
        <f t="shared" si="168"/>
        <v>-5.6584362139917577E-3</v>
      </c>
      <c r="BP61" s="1717">
        <f t="shared" si="168"/>
        <v>-2.2105263157894739E-2</v>
      </c>
      <c r="BQ61" s="1717">
        <f t="shared" si="168"/>
        <v>-4.9499736703528141E-2</v>
      </c>
      <c r="BR61" s="1717">
        <f t="shared" si="168"/>
        <v>-4.0752351097178674E-2</v>
      </c>
      <c r="BS61" s="1719">
        <f t="shared" si="168"/>
        <v>-7.5012933264355874E-2</v>
      </c>
      <c r="BT61" s="1717">
        <f t="shared" si="168"/>
        <v>-2.4757804090419833E-2</v>
      </c>
      <c r="BU61" s="1717">
        <f t="shared" si="168"/>
        <v>-3.3240997229916913E-2</v>
      </c>
      <c r="BV61" s="455">
        <f t="shared" si="168"/>
        <v>-7.0261437908496704E-2</v>
      </c>
      <c r="BW61" s="1719">
        <f t="shared" si="168"/>
        <v>-3.5794183445190142E-2</v>
      </c>
      <c r="BX61" s="1717">
        <f t="shared" si="168"/>
        <v>-0.10485651214128033</v>
      </c>
      <c r="BY61" s="1717">
        <f t="shared" si="168"/>
        <v>1.7765042979942747E-2</v>
      </c>
      <c r="BZ61" s="455">
        <f t="shared" ref="BZ61:CF61" si="169">+BZ60/BV60-1</f>
        <v>6.1511423550087763E-2</v>
      </c>
      <c r="CA61" s="452">
        <f t="shared" si="169"/>
        <v>-2.3201856148491906E-2</v>
      </c>
      <c r="CB61" s="1717">
        <f t="shared" si="169"/>
        <v>1.6029593094944561E-2</v>
      </c>
      <c r="CC61" s="1717">
        <f t="shared" si="169"/>
        <v>-0.10135135135135132</v>
      </c>
      <c r="CD61" s="455">
        <f>+CD60/BZ60-1</f>
        <v>-0.1252759381898455</v>
      </c>
      <c r="CE61" s="452">
        <f>+CE60/CA60-1</f>
        <v>-9.0261282660332509E-2</v>
      </c>
      <c r="CF61" s="1717">
        <f t="shared" si="169"/>
        <v>-0.125</v>
      </c>
      <c r="CG61" s="1717">
        <f>+CG60/CC60-1</f>
        <v>-0.12468671679197996</v>
      </c>
      <c r="CH61" s="1717">
        <f t="shared" ref="CH61" si="170">+CH60/CD60-1</f>
        <v>0.39495268138801265</v>
      </c>
      <c r="CI61" s="3839">
        <f t="shared" ref="CI61:CL61" si="171">+CI60/CE60-1</f>
        <v>0.38984956919060076</v>
      </c>
      <c r="CJ61" s="3668">
        <f t="shared" si="171"/>
        <v>0.51791578757004153</v>
      </c>
      <c r="CK61" s="3668">
        <f t="shared" si="171"/>
        <v>0.59706326532901621</v>
      </c>
      <c r="CL61" s="3637">
        <f t="shared" si="171"/>
        <v>3.9252198094416713E-2</v>
      </c>
      <c r="CM61" s="367"/>
    </row>
    <row r="62" spans="1:97">
      <c r="A62" s="2649" t="s">
        <v>1255</v>
      </c>
      <c r="B62" s="452"/>
      <c r="C62" s="452"/>
      <c r="D62" s="452"/>
      <c r="E62" s="452"/>
      <c r="F62" s="452"/>
      <c r="G62" s="452"/>
      <c r="H62" s="452"/>
      <c r="I62" s="1717"/>
      <c r="J62" s="1717"/>
      <c r="K62" s="1717"/>
      <c r="L62" s="1717"/>
      <c r="M62" s="1717"/>
      <c r="N62" s="1717"/>
      <c r="O62" s="1717"/>
      <c r="P62" s="1717"/>
      <c r="Q62" s="1717"/>
      <c r="R62" s="1717"/>
      <c r="S62" s="1717"/>
      <c r="T62" s="1717"/>
      <c r="U62" s="1717"/>
      <c r="V62" s="1717"/>
      <c r="W62" s="1717"/>
      <c r="X62" s="1717"/>
      <c r="Y62" s="2279"/>
      <c r="Z62" s="591"/>
      <c r="AA62" s="2288"/>
      <c r="AB62" s="452"/>
      <c r="AC62" s="452"/>
      <c r="AD62" s="455"/>
      <c r="AE62" s="454"/>
      <c r="AF62" s="452"/>
      <c r="AG62" s="452"/>
      <c r="AH62" s="455"/>
      <c r="AI62" s="454"/>
      <c r="AJ62" s="452"/>
      <c r="AK62" s="452"/>
      <c r="AL62" s="455"/>
      <c r="AM62" s="452"/>
      <c r="AN62" s="453"/>
      <c r="AO62" s="453"/>
      <c r="AP62" s="453"/>
      <c r="AQ62" s="454"/>
      <c r="AR62" s="452"/>
      <c r="AS62" s="452"/>
      <c r="AT62" s="455"/>
      <c r="AU62" s="454"/>
      <c r="AV62" s="452"/>
      <c r="AW62" s="452"/>
      <c r="AX62" s="455"/>
      <c r="AY62" s="1719"/>
      <c r="AZ62" s="1720"/>
      <c r="BA62" s="1720"/>
      <c r="BB62" s="1717"/>
      <c r="BC62" s="1888"/>
      <c r="BD62" s="1889"/>
      <c r="BE62" s="1889"/>
      <c r="BF62" s="1889"/>
      <c r="BG62" s="1719">
        <f t="shared" ref="BG62:BQ62" ca="1" si="172">BG60/BF60-1</f>
        <v>1.8163869693978318E-2</v>
      </c>
      <c r="BH62" s="1717">
        <f t="shared" ca="1" si="172"/>
        <v>-4.0624394027535482E-2</v>
      </c>
      <c r="BI62" s="1717">
        <f t="shared" si="172"/>
        <v>-4.2950985346134396E-2</v>
      </c>
      <c r="BJ62" s="1718">
        <f t="shared" si="172"/>
        <v>-2.5343189017951406E-2</v>
      </c>
      <c r="BK62" s="1717">
        <f t="shared" si="172"/>
        <v>5.308775731310944E-2</v>
      </c>
      <c r="BL62" s="1717">
        <f t="shared" si="172"/>
        <v>-2.2633744855967031E-2</v>
      </c>
      <c r="BM62" s="1717">
        <f t="shared" si="172"/>
        <v>-5.2631578947370805E-4</v>
      </c>
      <c r="BN62" s="1717">
        <f t="shared" si="172"/>
        <v>7.89889415481837E-3</v>
      </c>
      <c r="BO62" s="1719">
        <f t="shared" si="172"/>
        <v>9.9268547544408836E-3</v>
      </c>
      <c r="BP62" s="1717">
        <f t="shared" si="172"/>
        <v>-3.8799793067770261E-2</v>
      </c>
      <c r="BQ62" s="1717">
        <f t="shared" si="172"/>
        <v>-2.8525296017222868E-2</v>
      </c>
      <c r="BR62" s="1717">
        <f>BR60/BQ60-1</f>
        <v>1.7174515235456989E-2</v>
      </c>
      <c r="BS62" s="1719">
        <f t="shared" ref="BS62:BY62" si="173">BS60/BR60-1</f>
        <v>-2.6143790849673221E-2</v>
      </c>
      <c r="BT62" s="1717">
        <f t="shared" si="173"/>
        <v>1.3422818791946289E-2</v>
      </c>
      <c r="BU62" s="1717">
        <f t="shared" si="173"/>
        <v>-3.6975717439293621E-2</v>
      </c>
      <c r="BV62" s="455">
        <f t="shared" si="173"/>
        <v>-2.177650429799427E-2</v>
      </c>
      <c r="BW62" s="1719">
        <f t="shared" si="173"/>
        <v>9.9589923842999806E-3</v>
      </c>
      <c r="BX62" s="1717">
        <f t="shared" si="173"/>
        <v>-5.9164733178654338E-2</v>
      </c>
      <c r="BY62" s="1717">
        <f t="shared" si="173"/>
        <v>9.4944512946979032E-2</v>
      </c>
      <c r="BZ62" s="455">
        <f t="shared" ref="BZ62:CF62" si="174">BZ60/BY60-1</f>
        <v>2.0270270270270174E-2</v>
      </c>
      <c r="CA62" s="452">
        <f t="shared" si="174"/>
        <v>-7.0640176600441529E-2</v>
      </c>
      <c r="CB62" s="1717">
        <f t="shared" si="174"/>
        <v>-2.1377672209026088E-2</v>
      </c>
      <c r="CC62" s="1717">
        <f t="shared" si="174"/>
        <v>-3.1553398058252413E-2</v>
      </c>
      <c r="CD62" s="455">
        <f>CD60/CC60-1</f>
        <v>-6.8922305764410607E-3</v>
      </c>
      <c r="CE62" s="452">
        <f>CE60/CD60-1</f>
        <v>-3.343848580441644E-2</v>
      </c>
      <c r="CF62" s="1717">
        <f t="shared" si="174"/>
        <v>-5.8746736292428214E-2</v>
      </c>
      <c r="CG62" s="1717">
        <f>CG60/CF60-1</f>
        <v>-3.1206657420249639E-2</v>
      </c>
      <c r="CH62" s="1717">
        <f t="shared" ref="CH62" si="175">CH60/CG60-1</f>
        <v>0.58267716535433078</v>
      </c>
      <c r="CI62" s="3839">
        <f t="shared" ref="CI62:CL62" si="176">CI60/CH60-1</f>
        <v>-3.6974427860696379E-2</v>
      </c>
      <c r="CJ62" s="3668">
        <f t="shared" si="176"/>
        <v>2.7984050040466224E-2</v>
      </c>
      <c r="CK62" s="3668">
        <f t="shared" si="176"/>
        <v>1.9308364666465128E-2</v>
      </c>
      <c r="CL62" s="3637">
        <f t="shared" si="176"/>
        <v>2.9890774320376012E-2</v>
      </c>
      <c r="CM62" s="367"/>
    </row>
    <row r="63" spans="1:97">
      <c r="A63" s="1721" t="s">
        <v>1003</v>
      </c>
      <c r="B63" s="483"/>
      <c r="C63" s="483"/>
      <c r="D63" s="483"/>
      <c r="E63" s="483">
        <f t="shared" ref="E63:O63" si="177">+E60/E$25</f>
        <v>2.2649640780716861E-2</v>
      </c>
      <c r="F63" s="483">
        <f t="shared" si="177"/>
        <v>4.9354192505295953E-3</v>
      </c>
      <c r="G63" s="483">
        <f t="shared" si="177"/>
        <v>0.33314831578267362</v>
      </c>
      <c r="H63" s="483">
        <f t="shared" si="177"/>
        <v>0.32483171435280023</v>
      </c>
      <c r="I63" s="1722">
        <f t="shared" si="177"/>
        <v>0.3865387508317315</v>
      </c>
      <c r="J63" s="1722">
        <f t="shared" si="177"/>
        <v>0.41463999437282312</v>
      </c>
      <c r="K63" s="1722">
        <f t="shared" si="177"/>
        <v>0.42529977870413255</v>
      </c>
      <c r="L63" s="1722">
        <f t="shared" ca="1" si="177"/>
        <v>0.42208615542644368</v>
      </c>
      <c r="M63" s="1722">
        <f t="shared" si="177"/>
        <v>0.43910866844425095</v>
      </c>
      <c r="N63" s="1722">
        <f>+N60/N$25</f>
        <v>0.41072119369991711</v>
      </c>
      <c r="O63" s="1722">
        <f t="shared" si="177"/>
        <v>0.39119099129084151</v>
      </c>
      <c r="P63" s="1722">
        <f t="shared" ref="P63:U63" si="178">+P60/P$25</f>
        <v>0.38737430167597764</v>
      </c>
      <c r="Q63" s="1722">
        <f t="shared" si="178"/>
        <v>0.37281053234115624</v>
      </c>
      <c r="R63" s="1722">
        <f>+R60/R$25</f>
        <v>0.35892681862798559</v>
      </c>
      <c r="S63" s="1722">
        <f>+S60/S$25</f>
        <v>0.37109308321752049</v>
      </c>
      <c r="T63" s="1722">
        <f t="shared" si="178"/>
        <v>0.38877870120343982</v>
      </c>
      <c r="U63" s="1722">
        <f t="shared" si="178"/>
        <v>0.39955051769925454</v>
      </c>
      <c r="V63" s="1722">
        <f>+V60/V$25</f>
        <v>0.40560620908513556</v>
      </c>
      <c r="W63" s="1722">
        <f>+W60/W$25</f>
        <v>0.41163269422859128</v>
      </c>
      <c r="X63" s="1722">
        <f>+X60/X$25</f>
        <v>0.41765049815637101</v>
      </c>
      <c r="Y63" s="2279"/>
      <c r="Z63" s="591"/>
      <c r="AA63" s="2288"/>
      <c r="AB63" s="452"/>
      <c r="AC63" s="452"/>
      <c r="AD63" s="455">
        <f t="shared" ref="AD63:AR63" si="179">+AD60/AD$25</f>
        <v>0.53227816197889544</v>
      </c>
      <c r="AE63" s="454">
        <f t="shared" si="179"/>
        <v>0.52307041892929806</v>
      </c>
      <c r="AF63" s="452">
        <f t="shared" si="179"/>
        <v>0.53128878064136653</v>
      </c>
      <c r="AG63" s="452">
        <f t="shared" si="179"/>
        <v>0.50747951899267685</v>
      </c>
      <c r="AH63" s="455">
        <f t="shared" si="179"/>
        <v>0.52606749209051284</v>
      </c>
      <c r="AI63" s="454">
        <f t="shared" si="179"/>
        <v>0.51914050819611546</v>
      </c>
      <c r="AJ63" s="452">
        <f t="shared" si="179"/>
        <v>0.52164778789372923</v>
      </c>
      <c r="AK63" s="452">
        <f t="shared" si="179"/>
        <v>0.51838194449728725</v>
      </c>
      <c r="AL63" s="455">
        <f t="shared" si="179"/>
        <v>0.49671379208086747</v>
      </c>
      <c r="AM63" s="483">
        <f t="shared" si="179"/>
        <v>0.45599418719028784</v>
      </c>
      <c r="AN63" s="483">
        <f t="shared" si="179"/>
        <v>0.47168358374608726</v>
      </c>
      <c r="AO63" s="483">
        <f t="shared" si="179"/>
        <v>0.44497703329600763</v>
      </c>
      <c r="AP63" s="483">
        <f t="shared" si="179"/>
        <v>0.46169659595344353</v>
      </c>
      <c r="AQ63" s="454">
        <f t="shared" si="179"/>
        <v>0.4502317556965767</v>
      </c>
      <c r="AR63" s="452">
        <f t="shared" si="179"/>
        <v>0.45976893361155075</v>
      </c>
      <c r="AS63" s="452">
        <f>+(AS60)/(AS$25)</f>
        <v>0.45202507121880198</v>
      </c>
      <c r="AT63" s="455">
        <f t="shared" ref="AT63:BF63" si="180">+AT60/AT$25</f>
        <v>0.44983094908867094</v>
      </c>
      <c r="AU63" s="454">
        <f t="shared" si="180"/>
        <v>0.38712998404321231</v>
      </c>
      <c r="AV63" s="452">
        <f t="shared" si="180"/>
        <v>0.38524137581081791</v>
      </c>
      <c r="AW63" s="452">
        <f t="shared" si="180"/>
        <v>0.36473172238077367</v>
      </c>
      <c r="AX63" s="455">
        <f t="shared" si="180"/>
        <v>0.4096741286076433</v>
      </c>
      <c r="AY63" s="1719">
        <f t="shared" si="180"/>
        <v>0.41641560170242714</v>
      </c>
      <c r="AZ63" s="1717">
        <f t="shared" si="180"/>
        <v>0.41206781745224025</v>
      </c>
      <c r="BA63" s="1717">
        <f t="shared" si="180"/>
        <v>0.4104459425869843</v>
      </c>
      <c r="BB63" s="1718">
        <f t="shared" si="180"/>
        <v>0.4197008166467498</v>
      </c>
      <c r="BC63" s="1820">
        <f t="shared" si="180"/>
        <v>0.42825157744758802</v>
      </c>
      <c r="BD63" s="1722">
        <f t="shared" si="180"/>
        <v>0.42480428512566953</v>
      </c>
      <c r="BE63" s="1722">
        <f t="shared" si="180"/>
        <v>0.42660078237595223</v>
      </c>
      <c r="BF63" s="1722">
        <f t="shared" si="180"/>
        <v>0.42146869149157479</v>
      </c>
      <c r="BG63" s="1820">
        <f t="shared" ref="BG63:BN63" ca="1" si="181">+BG60/BG$25</f>
        <v>0.43548387096774194</v>
      </c>
      <c r="BH63" s="1722">
        <f t="shared" si="181"/>
        <v>0.42385949882201757</v>
      </c>
      <c r="BI63" s="1722">
        <f t="shared" si="181"/>
        <v>0.40880638894884525</v>
      </c>
      <c r="BJ63" s="1723">
        <f t="shared" si="181"/>
        <v>0.39673329035031163</v>
      </c>
      <c r="BK63" s="1722">
        <f t="shared" si="181"/>
        <v>0.42169197396963126</v>
      </c>
      <c r="BL63" s="1722">
        <f t="shared" si="181"/>
        <v>0.41196877710320901</v>
      </c>
      <c r="BM63" s="1722">
        <f t="shared" si="181"/>
        <v>0.41544519798731133</v>
      </c>
      <c r="BN63" s="1722">
        <f t="shared" si="181"/>
        <v>0.41753926701570682</v>
      </c>
      <c r="BO63" s="1820">
        <f t="shared" ref="BO63:BV63" si="182">+BO60/BO$25</f>
        <v>0.42831819189009529</v>
      </c>
      <c r="BP63" s="1722">
        <f t="shared" si="182"/>
        <v>0.41060773480662982</v>
      </c>
      <c r="BQ63" s="1722">
        <f t="shared" si="182"/>
        <v>0.3997785160575858</v>
      </c>
      <c r="BR63" s="1722">
        <f t="shared" si="182"/>
        <v>0.40422721268163803</v>
      </c>
      <c r="BS63" s="1820">
        <f t="shared" si="182"/>
        <v>0.39400617011899514</v>
      </c>
      <c r="BT63" s="1722">
        <f t="shared" si="182"/>
        <v>0.39911894273127752</v>
      </c>
      <c r="BU63" s="1722">
        <f t="shared" si="182"/>
        <v>0.38666075781076886</v>
      </c>
      <c r="BV63" s="2591">
        <f t="shared" si="182"/>
        <v>0.38480613165013527</v>
      </c>
      <c r="BW63" s="1820">
        <f>+BW60/BW$25</f>
        <v>0.38732869018198157</v>
      </c>
      <c r="BX63" s="1722">
        <f>+BX60/BX$25</f>
        <v>0.36705136908802899</v>
      </c>
      <c r="BY63" s="1722">
        <f>+BY60/BY$25</f>
        <v>0.38998682476943347</v>
      </c>
      <c r="BZ63" s="2591">
        <f>+BZ60/BZ$25</f>
        <v>0.40482573726541554</v>
      </c>
      <c r="CA63" s="483">
        <f t="shared" ref="CA63:CD63" si="183">+CA60/CA$25</f>
        <v>0.38264030902067714</v>
      </c>
      <c r="CB63" s="1722">
        <f t="shared" si="183"/>
        <v>0.37471577989995453</v>
      </c>
      <c r="CC63" s="1722">
        <f t="shared" si="183"/>
        <v>0.36421725239616615</v>
      </c>
      <c r="CD63" s="2591">
        <f t="shared" si="183"/>
        <v>0.36955001165772905</v>
      </c>
      <c r="CE63" s="483">
        <f>+CE60/CE$25</f>
        <v>0.36398194345450224</v>
      </c>
      <c r="CF63" s="1722">
        <f>+CF60/CF$25</f>
        <v>0.35256723716381416</v>
      </c>
      <c r="CG63" s="1722">
        <f>+CG60/CG$25</f>
        <v>0.34630639563708476</v>
      </c>
      <c r="CH63" s="1722">
        <f t="shared" ref="CH63" si="184">+CH60/CH$25</f>
        <v>0.36819317235636967</v>
      </c>
      <c r="CI63" s="1820">
        <f>+CI60/CI$25</f>
        <v>0.35579881425434712</v>
      </c>
      <c r="CJ63" s="1722">
        <f>+CJ60/CJ$25</f>
        <v>0.36685534279840581</v>
      </c>
      <c r="CK63" s="1722">
        <f>+CK60/CK$25</f>
        <v>0.37490401656615457</v>
      </c>
      <c r="CL63" s="1723">
        <f>+CL60/CL$25</f>
        <v>0.38694488339003313</v>
      </c>
      <c r="CM63" s="367"/>
    </row>
    <row r="64" spans="1:97" s="68" customFormat="1">
      <c r="A64" s="3676" t="s">
        <v>562</v>
      </c>
      <c r="B64" s="1822"/>
      <c r="C64" s="1822"/>
      <c r="D64" s="1822"/>
      <c r="E64" s="1823"/>
      <c r="F64" s="1823"/>
      <c r="G64" s="1823"/>
      <c r="H64" s="1823"/>
      <c r="I64" s="1822"/>
      <c r="J64" s="1822"/>
      <c r="K64" s="1750"/>
      <c r="L64" s="1750">
        <f>+SUM(BG64:BJ64)</f>
        <v>-107.75</v>
      </c>
      <c r="M64" s="1750">
        <f>SUM(BK64:BN64)</f>
        <v>-412.5</v>
      </c>
      <c r="N64" s="1750">
        <f>+SUM(BO64:BR64)</f>
        <v>-576.5</v>
      </c>
      <c r="O64" s="1750">
        <f>+SUM(BS64:BV64)</f>
        <v>-608</v>
      </c>
      <c r="P64" s="1750"/>
      <c r="Q64" s="1750"/>
      <c r="R64" s="1750">
        <f>+SUM(CE64:CH64)</f>
        <v>75</v>
      </c>
      <c r="S64" s="1750">
        <f>+CL64</f>
        <v>425</v>
      </c>
      <c r="T64" s="1750">
        <f>850*T65</f>
        <v>637.5</v>
      </c>
      <c r="U64" s="1750">
        <f>850*U65</f>
        <v>850</v>
      </c>
      <c r="V64" s="1750">
        <f>850*V65</f>
        <v>935.00000000000011</v>
      </c>
      <c r="W64" s="1750">
        <f>850*W65</f>
        <v>1020</v>
      </c>
      <c r="X64" s="1750">
        <f>850*X65</f>
        <v>1020</v>
      </c>
      <c r="Y64" s="3523"/>
      <c r="Z64" s="2281"/>
      <c r="AA64" s="3524"/>
      <c r="AB64" s="1824"/>
      <c r="AC64" s="1824"/>
      <c r="AD64" s="1825"/>
      <c r="AE64" s="1823"/>
      <c r="AF64" s="1826"/>
      <c r="AG64" s="1826"/>
      <c r="AH64" s="1828"/>
      <c r="AI64" s="1823"/>
      <c r="AJ64" s="1823"/>
      <c r="AK64" s="1823"/>
      <c r="AL64" s="1828"/>
      <c r="AM64" s="1827"/>
      <c r="AN64" s="1823"/>
      <c r="AO64" s="1823"/>
      <c r="AP64" s="1828"/>
      <c r="AQ64" s="1823"/>
      <c r="AR64" s="1823"/>
      <c r="AS64" s="1823"/>
      <c r="AT64" s="1828"/>
      <c r="AU64" s="1827"/>
      <c r="AV64" s="1823"/>
      <c r="AW64" s="1823"/>
      <c r="AX64" s="1828"/>
      <c r="AY64" s="1829"/>
      <c r="AZ64" s="1822"/>
      <c r="BA64" s="1822"/>
      <c r="BB64" s="1822"/>
      <c r="BC64" s="1829"/>
      <c r="BD64" s="1822"/>
      <c r="BE64" s="1822"/>
      <c r="BF64" s="1822"/>
      <c r="BG64" s="1751"/>
      <c r="BH64" s="1750">
        <v>-17</v>
      </c>
      <c r="BI64" s="1750">
        <v>-32</v>
      </c>
      <c r="BJ64" s="1769">
        <v>-58.75</v>
      </c>
      <c r="BK64" s="1750">
        <v>-85</v>
      </c>
      <c r="BL64" s="1750">
        <v>-95</v>
      </c>
      <c r="BM64" s="1750">
        <v>-112.5</v>
      </c>
      <c r="BN64" s="1750">
        <v>-120</v>
      </c>
      <c r="BO64" s="1751">
        <v>-137.5</v>
      </c>
      <c r="BP64" s="1750">
        <v>-142.5</v>
      </c>
      <c r="BQ64" s="1750">
        <v>-146.5</v>
      </c>
      <c r="BR64" s="1750">
        <v>-150</v>
      </c>
      <c r="BS64" s="1751">
        <v>-152</v>
      </c>
      <c r="BT64" s="1750">
        <v>-152</v>
      </c>
      <c r="BU64" s="1750">
        <v>-152</v>
      </c>
      <c r="BV64" s="1769">
        <v>-152</v>
      </c>
      <c r="BW64" s="1751"/>
      <c r="BX64" s="1750"/>
      <c r="BY64" s="1750"/>
      <c r="BZ64" s="1769"/>
      <c r="CA64" s="1750"/>
      <c r="CB64" s="1750"/>
      <c r="CC64" s="1750"/>
      <c r="CD64" s="1769"/>
      <c r="CE64" s="1750"/>
      <c r="CF64" s="1750"/>
      <c r="CG64" s="1750"/>
      <c r="CH64" s="3798">
        <v>75</v>
      </c>
      <c r="CI64" s="1751">
        <f ca="1">850*CI65</f>
        <v>170</v>
      </c>
      <c r="CJ64" s="1750">
        <f t="shared" ref="CJ64:CL64" si="185">850*CJ65</f>
        <v>255</v>
      </c>
      <c r="CK64" s="1750">
        <f t="shared" si="185"/>
        <v>340</v>
      </c>
      <c r="CL64" s="1769">
        <f t="shared" si="185"/>
        <v>425</v>
      </c>
      <c r="CM64" s="3101"/>
      <c r="CN64"/>
      <c r="CO64"/>
      <c r="CP64"/>
      <c r="CQ64"/>
      <c r="CR64"/>
      <c r="CS64"/>
    </row>
    <row r="65" spans="1:97" s="68" customFormat="1">
      <c r="A65" s="2123" t="s">
        <v>2013</v>
      </c>
      <c r="B65" s="2124"/>
      <c r="C65" s="2124"/>
      <c r="D65" s="2124"/>
      <c r="E65" s="2125"/>
      <c r="F65" s="2125"/>
      <c r="G65" s="2125"/>
      <c r="H65" s="2125"/>
      <c r="I65" s="2126"/>
      <c r="J65" s="2126"/>
      <c r="K65" s="2127"/>
      <c r="L65" s="2127">
        <f>+BJ65</f>
        <v>-235</v>
      </c>
      <c r="M65" s="2127">
        <f>+BN65</f>
        <v>-480</v>
      </c>
      <c r="N65" s="2127">
        <f>+BR65</f>
        <v>-600</v>
      </c>
      <c r="O65" s="2127">
        <f>BV65</f>
        <v>-608</v>
      </c>
      <c r="P65" s="2127"/>
      <c r="Q65" s="2127"/>
      <c r="R65" s="2127"/>
      <c r="S65" s="3679">
        <f>+CL65</f>
        <v>0.5</v>
      </c>
      <c r="T65" s="3761">
        <v>0.75</v>
      </c>
      <c r="U65" s="3761">
        <v>1</v>
      </c>
      <c r="V65" s="3761">
        <v>1.1000000000000001</v>
      </c>
      <c r="W65" s="3761">
        <v>1.2</v>
      </c>
      <c r="X65" s="3761">
        <v>1.2</v>
      </c>
      <c r="Y65" s="3523"/>
      <c r="Z65" s="2284"/>
      <c r="AA65" s="3524"/>
      <c r="AB65" s="2128"/>
      <c r="AC65" s="2128"/>
      <c r="AD65" s="2129"/>
      <c r="AE65" s="2125"/>
      <c r="AF65" s="2130"/>
      <c r="AG65" s="2130"/>
      <c r="AH65" s="2131"/>
      <c r="AI65" s="2125"/>
      <c r="AJ65" s="2125"/>
      <c r="AK65" s="2125"/>
      <c r="AL65" s="2131"/>
      <c r="AM65" s="2125"/>
      <c r="AN65" s="2125"/>
      <c r="AO65" s="2125"/>
      <c r="AP65" s="2131"/>
      <c r="AQ65" s="2125"/>
      <c r="AR65" s="2125"/>
      <c r="AS65" s="2125"/>
      <c r="AT65" s="2131"/>
      <c r="AU65" s="2125"/>
      <c r="AV65" s="2125"/>
      <c r="AW65" s="2125"/>
      <c r="AX65" s="2131"/>
      <c r="AY65" s="2126"/>
      <c r="AZ65" s="2126"/>
      <c r="BA65" s="2126"/>
      <c r="BB65" s="2126"/>
      <c r="BC65" s="2132"/>
      <c r="BD65" s="2126"/>
      <c r="BE65" s="2126"/>
      <c r="BF65" s="2126"/>
      <c r="BG65" s="2133"/>
      <c r="BH65" s="2127">
        <f>+BH64*4</f>
        <v>-68</v>
      </c>
      <c r="BI65" s="2127">
        <f>+BI64*4</f>
        <v>-128</v>
      </c>
      <c r="BJ65" s="2134">
        <f>+BJ64*4</f>
        <v>-235</v>
      </c>
      <c r="BK65" s="2127">
        <f>+BK64*4</f>
        <v>-340</v>
      </c>
      <c r="BL65" s="2127">
        <f t="shared" ref="BL65:BR65" si="186">+BL64*4</f>
        <v>-380</v>
      </c>
      <c r="BM65" s="2127">
        <f t="shared" si="186"/>
        <v>-450</v>
      </c>
      <c r="BN65" s="2127">
        <f t="shared" si="186"/>
        <v>-480</v>
      </c>
      <c r="BO65" s="2133">
        <f t="shared" si="186"/>
        <v>-550</v>
      </c>
      <c r="BP65" s="2127">
        <f t="shared" si="186"/>
        <v>-570</v>
      </c>
      <c r="BQ65" s="2127">
        <f t="shared" si="186"/>
        <v>-586</v>
      </c>
      <c r="BR65" s="2127">
        <f t="shared" si="186"/>
        <v>-600</v>
      </c>
      <c r="BS65" s="2133">
        <f>+BS64*4</f>
        <v>-608</v>
      </c>
      <c r="BT65" s="2127">
        <f>+BT64*4</f>
        <v>-608</v>
      </c>
      <c r="BU65" s="2127">
        <f>+BU64*4</f>
        <v>-608</v>
      </c>
      <c r="BV65" s="2134">
        <f>+BV64*4</f>
        <v>-608</v>
      </c>
      <c r="BW65" s="2133"/>
      <c r="BX65" s="2127"/>
      <c r="BY65" s="2127"/>
      <c r="BZ65" s="2134"/>
      <c r="CA65" s="2127"/>
      <c r="CB65" s="2127"/>
      <c r="CC65" s="2127"/>
      <c r="CD65" s="2134"/>
      <c r="CE65" s="2127"/>
      <c r="CF65" s="2127"/>
      <c r="CG65" s="2127"/>
      <c r="CH65" s="3679">
        <f>+(CH64)/850</f>
        <v>8.8235294117647065E-2</v>
      </c>
      <c r="CI65" s="3838">
        <f ca="1">+(CI64)/850</f>
        <v>0.2</v>
      </c>
      <c r="CJ65" s="3679">
        <v>0.3</v>
      </c>
      <c r="CK65" s="3679">
        <v>0.4</v>
      </c>
      <c r="CL65" s="3680">
        <v>0.5</v>
      </c>
      <c r="CM65" s="3101"/>
      <c r="CN65"/>
      <c r="CO65"/>
      <c r="CP65"/>
      <c r="CQ65"/>
      <c r="CR65"/>
      <c r="CS65"/>
    </row>
    <row r="66" spans="1:97" s="68" customFormat="1" hidden="1" outlineLevel="1">
      <c r="A66" s="3677" t="s">
        <v>779</v>
      </c>
      <c r="B66" s="1822"/>
      <c r="C66" s="1822"/>
      <c r="D66" s="1822"/>
      <c r="E66" s="1823"/>
      <c r="F66" s="1823"/>
      <c r="G66" s="1823"/>
      <c r="H66" s="1823"/>
      <c r="I66" s="460"/>
      <c r="J66" s="460"/>
      <c r="K66" s="2121"/>
      <c r="L66" s="2121"/>
      <c r="M66" s="2121"/>
      <c r="N66" s="1750"/>
      <c r="O66" s="1750"/>
      <c r="P66" s="1750"/>
      <c r="Q66" s="1750"/>
      <c r="R66" s="1750"/>
      <c r="S66" s="1750"/>
      <c r="T66" s="1822"/>
      <c r="U66" s="1822"/>
      <c r="V66" s="1822"/>
      <c r="W66" s="1822"/>
      <c r="X66" s="1822"/>
      <c r="Y66" s="3523"/>
      <c r="Z66" s="588"/>
      <c r="AA66" s="3524"/>
      <c r="AB66" s="1824"/>
      <c r="AC66" s="1824"/>
      <c r="AD66" s="1825"/>
      <c r="AE66" s="1823"/>
      <c r="AF66" s="1826"/>
      <c r="AG66" s="1826"/>
      <c r="AH66" s="1828"/>
      <c r="AI66" s="1823"/>
      <c r="AJ66" s="1823"/>
      <c r="AK66" s="1823"/>
      <c r="AL66" s="1828"/>
      <c r="AM66" s="1823"/>
      <c r="AN66" s="1823"/>
      <c r="AO66" s="1823"/>
      <c r="AP66" s="1828"/>
      <c r="AQ66" s="1823"/>
      <c r="AR66" s="1823"/>
      <c r="AS66" s="1823"/>
      <c r="AT66" s="1828"/>
      <c r="AU66" s="1823"/>
      <c r="AV66" s="1823"/>
      <c r="AW66" s="1823"/>
      <c r="AX66" s="1828"/>
      <c r="AY66" s="460"/>
      <c r="AZ66" s="460"/>
      <c r="BA66" s="460"/>
      <c r="BB66" s="460"/>
      <c r="BC66" s="462"/>
      <c r="BD66" s="460"/>
      <c r="BE66" s="460"/>
      <c r="BF66" s="460"/>
      <c r="BG66" s="2120"/>
      <c r="BH66" s="1750"/>
      <c r="BI66" s="1750"/>
      <c r="BJ66" s="1769"/>
      <c r="BK66" s="1750"/>
      <c r="BL66" s="1750"/>
      <c r="BM66" s="1750"/>
      <c r="BN66" s="1750"/>
      <c r="BO66" s="1751"/>
      <c r="BP66" s="1750"/>
      <c r="BQ66" s="1750"/>
      <c r="BR66" s="1750"/>
      <c r="BS66" s="1751"/>
      <c r="BT66" s="1750"/>
      <c r="BU66" s="1750"/>
      <c r="BV66" s="1769"/>
      <c r="BW66" s="1751"/>
      <c r="BX66" s="1750"/>
      <c r="BY66" s="1750"/>
      <c r="BZ66" s="1769"/>
      <c r="CA66" s="1750"/>
      <c r="CB66" s="1750"/>
      <c r="CC66" s="1750"/>
      <c r="CD66" s="1769"/>
      <c r="CE66" s="1750"/>
      <c r="CF66" s="1750"/>
      <c r="CG66" s="1750"/>
      <c r="CH66" s="1750"/>
      <c r="CI66" s="1751">
        <f ca="1">+CI67*110%</f>
        <v>187.00000000000003</v>
      </c>
      <c r="CJ66" s="1750">
        <f>+CJ67*110%</f>
        <v>280.5</v>
      </c>
      <c r="CK66" s="1750">
        <f>+CK67*110%</f>
        <v>374.00000000000006</v>
      </c>
      <c r="CL66" s="1769">
        <f>+CL67*110%</f>
        <v>467.50000000000006</v>
      </c>
      <c r="CM66" s="3101"/>
      <c r="CN66"/>
      <c r="CO66"/>
      <c r="CP66"/>
      <c r="CQ66"/>
      <c r="CR66"/>
      <c r="CS66"/>
    </row>
    <row r="67" spans="1:97" s="68" customFormat="1" hidden="1" outlineLevel="1">
      <c r="A67" s="3525" t="s">
        <v>663</v>
      </c>
      <c r="B67" s="1822"/>
      <c r="C67" s="1822"/>
      <c r="D67" s="1822"/>
      <c r="E67" s="1823"/>
      <c r="F67" s="1823"/>
      <c r="G67" s="1823"/>
      <c r="H67" s="1823"/>
      <c r="I67" s="460"/>
      <c r="J67" s="460"/>
      <c r="K67" s="460"/>
      <c r="L67" s="460"/>
      <c r="M67" s="460"/>
      <c r="N67" s="1822"/>
      <c r="O67" s="1822"/>
      <c r="P67" s="1822"/>
      <c r="Q67" s="1822"/>
      <c r="R67" s="1822"/>
      <c r="S67" s="1822"/>
      <c r="T67" s="1822"/>
      <c r="U67" s="1822"/>
      <c r="V67" s="1822"/>
      <c r="W67" s="1822"/>
      <c r="X67" s="1822"/>
      <c r="Y67" s="3523"/>
      <c r="Z67" s="588"/>
      <c r="AA67" s="3524"/>
      <c r="AB67" s="1824"/>
      <c r="AC67" s="1824"/>
      <c r="AD67" s="1825"/>
      <c r="AE67" s="1823"/>
      <c r="AF67" s="1826"/>
      <c r="AG67" s="1826"/>
      <c r="AH67" s="1828"/>
      <c r="AI67" s="1823"/>
      <c r="AJ67" s="1823"/>
      <c r="AK67" s="1823"/>
      <c r="AL67" s="1828"/>
      <c r="AM67" s="1823"/>
      <c r="AN67" s="1823"/>
      <c r="AO67" s="1823"/>
      <c r="AP67" s="1828"/>
      <c r="AQ67" s="1823"/>
      <c r="AR67" s="1823"/>
      <c r="AS67" s="1823"/>
      <c r="AT67" s="1828"/>
      <c r="AU67" s="1823"/>
      <c r="AV67" s="1823"/>
      <c r="AW67" s="1823"/>
      <c r="AX67" s="1828"/>
      <c r="AY67" s="460"/>
      <c r="AZ67" s="460"/>
      <c r="BA67" s="460"/>
      <c r="BB67" s="460"/>
      <c r="BC67" s="462"/>
      <c r="BD67" s="460"/>
      <c r="BE67" s="460"/>
      <c r="BF67" s="460"/>
      <c r="BG67" s="462"/>
      <c r="BH67" s="1822"/>
      <c r="BI67" s="1822"/>
      <c r="BJ67" s="3526"/>
      <c r="BK67" s="1822"/>
      <c r="BL67" s="1822"/>
      <c r="BM67" s="1822"/>
      <c r="BN67" s="1822"/>
      <c r="BO67" s="1829"/>
      <c r="BP67" s="1822"/>
      <c r="BQ67" s="1822"/>
      <c r="BR67" s="1822"/>
      <c r="BS67" s="1829"/>
      <c r="BT67" s="1822"/>
      <c r="BU67" s="1822"/>
      <c r="BV67" s="3526"/>
      <c r="BW67" s="1829"/>
      <c r="BX67" s="1822"/>
      <c r="BY67" s="1822"/>
      <c r="BZ67" s="3526"/>
      <c r="CA67" s="1822"/>
      <c r="CB67" s="1822"/>
      <c r="CC67" s="1822"/>
      <c r="CD67" s="3526"/>
      <c r="CE67" s="1822"/>
      <c r="CF67" s="1822"/>
      <c r="CG67" s="1822"/>
      <c r="CH67" s="1822"/>
      <c r="CI67" s="1751">
        <f ca="1">850*CI65</f>
        <v>170</v>
      </c>
      <c r="CJ67" s="1750">
        <f t="shared" ref="CJ67:CL67" si="187">850*CJ65</f>
        <v>255</v>
      </c>
      <c r="CK67" s="1750">
        <f t="shared" si="187"/>
        <v>340</v>
      </c>
      <c r="CL67" s="1769">
        <f t="shared" si="187"/>
        <v>425</v>
      </c>
      <c r="CM67" s="3101"/>
      <c r="CN67"/>
      <c r="CO67"/>
      <c r="CP67"/>
      <c r="CQ67"/>
      <c r="CR67"/>
      <c r="CS67"/>
    </row>
    <row r="68" spans="1:97" s="68" customFormat="1" hidden="1" outlineLevel="1">
      <c r="A68" s="3678" t="s">
        <v>780</v>
      </c>
      <c r="B68" s="1822"/>
      <c r="C68" s="1822"/>
      <c r="D68" s="1822"/>
      <c r="E68" s="1823"/>
      <c r="F68" s="1823"/>
      <c r="G68" s="1823"/>
      <c r="H68" s="1823"/>
      <c r="I68" s="460"/>
      <c r="J68" s="460"/>
      <c r="K68" s="460"/>
      <c r="L68" s="460"/>
      <c r="M68" s="460"/>
      <c r="N68" s="1822"/>
      <c r="O68" s="1822"/>
      <c r="P68" s="1822"/>
      <c r="Q68" s="1822"/>
      <c r="R68" s="1822"/>
      <c r="S68" s="1822"/>
      <c r="T68" s="1822"/>
      <c r="U68" s="1822"/>
      <c r="V68" s="1822"/>
      <c r="W68" s="1822"/>
      <c r="X68" s="1822"/>
      <c r="Y68" s="3523"/>
      <c r="Z68" s="588"/>
      <c r="AA68" s="3524"/>
      <c r="AB68" s="1824"/>
      <c r="AC68" s="1824"/>
      <c r="AD68" s="1825"/>
      <c r="AE68" s="1823"/>
      <c r="AF68" s="1826"/>
      <c r="AG68" s="1826"/>
      <c r="AH68" s="1828"/>
      <c r="AI68" s="1823"/>
      <c r="AJ68" s="1823"/>
      <c r="AK68" s="1823"/>
      <c r="AL68" s="1828"/>
      <c r="AM68" s="1823"/>
      <c r="AN68" s="1823"/>
      <c r="AO68" s="1823"/>
      <c r="AP68" s="1828"/>
      <c r="AQ68" s="1823"/>
      <c r="AR68" s="1823"/>
      <c r="AS68" s="1823"/>
      <c r="AT68" s="1828"/>
      <c r="AU68" s="1823"/>
      <c r="AV68" s="1823"/>
      <c r="AW68" s="1823"/>
      <c r="AX68" s="1828"/>
      <c r="AY68" s="460"/>
      <c r="AZ68" s="460"/>
      <c r="BA68" s="460"/>
      <c r="BB68" s="460"/>
      <c r="BC68" s="462"/>
      <c r="BD68" s="460"/>
      <c r="BE68" s="460"/>
      <c r="BF68" s="460"/>
      <c r="BG68" s="462"/>
      <c r="BH68" s="1822"/>
      <c r="BI68" s="1822"/>
      <c r="BJ68" s="3526"/>
      <c r="BK68" s="1822"/>
      <c r="BL68" s="1822"/>
      <c r="BM68" s="1822"/>
      <c r="BN68" s="1822"/>
      <c r="BO68" s="1829"/>
      <c r="BP68" s="1822"/>
      <c r="BQ68" s="1822"/>
      <c r="BR68" s="1822"/>
      <c r="BS68" s="1829"/>
      <c r="BT68" s="1822"/>
      <c r="BU68" s="1822"/>
      <c r="BV68" s="3526"/>
      <c r="BW68" s="1829"/>
      <c r="BX68" s="1822"/>
      <c r="BY68" s="1822"/>
      <c r="BZ68" s="3526"/>
      <c r="CA68" s="1822"/>
      <c r="CB68" s="1822"/>
      <c r="CC68" s="1822"/>
      <c r="CD68" s="3526"/>
      <c r="CE68" s="1822"/>
      <c r="CF68" s="1822"/>
      <c r="CG68" s="1822"/>
      <c r="CH68" s="1822"/>
      <c r="CI68" s="1829">
        <f ca="1">+CI67*90%</f>
        <v>153</v>
      </c>
      <c r="CJ68" s="1822">
        <f>+CJ67*90%</f>
        <v>229.5</v>
      </c>
      <c r="CK68" s="1822">
        <f>+CK67*90%</f>
        <v>306</v>
      </c>
      <c r="CL68" s="3526">
        <f>+CL67*90%</f>
        <v>382.5</v>
      </c>
      <c r="CM68" s="3101"/>
      <c r="CN68"/>
      <c r="CO68"/>
      <c r="CP68"/>
      <c r="CQ68"/>
      <c r="CR68"/>
      <c r="CS68"/>
    </row>
    <row r="69" spans="1:97" s="68" customFormat="1" hidden="1" outlineLevel="1">
      <c r="A69" s="3678" t="s">
        <v>2067</v>
      </c>
      <c r="B69" s="1822"/>
      <c r="C69" s="1822"/>
      <c r="D69" s="1822"/>
      <c r="E69" s="1823"/>
      <c r="F69" s="1823"/>
      <c r="G69" s="1823"/>
      <c r="H69" s="1823"/>
      <c r="I69" s="460"/>
      <c r="J69" s="460"/>
      <c r="K69" s="460"/>
      <c r="L69" s="460"/>
      <c r="M69" s="460"/>
      <c r="N69" s="1822"/>
      <c r="O69" s="1822"/>
      <c r="P69" s="1822"/>
      <c r="Q69" s="1822"/>
      <c r="R69" s="1822">
        <f>+SUM(CE69:CH69)</f>
        <v>12.5</v>
      </c>
      <c r="S69" s="1822">
        <f ca="1">+SUM(CI69:CL69)</f>
        <v>297.5</v>
      </c>
      <c r="T69" s="1822">
        <f>+T64</f>
        <v>637.5</v>
      </c>
      <c r="U69" s="1822">
        <f t="shared" ref="U69:X69" si="188">+U64</f>
        <v>850</v>
      </c>
      <c r="V69" s="1822">
        <f t="shared" si="188"/>
        <v>935.00000000000011</v>
      </c>
      <c r="W69" s="1822">
        <f t="shared" si="188"/>
        <v>1020</v>
      </c>
      <c r="X69" s="1822">
        <f t="shared" si="188"/>
        <v>1020</v>
      </c>
      <c r="Y69" s="3523"/>
      <c r="Z69" s="588"/>
      <c r="AA69" s="3524"/>
      <c r="AB69" s="1824"/>
      <c r="AC69" s="1824"/>
      <c r="AD69" s="1825"/>
      <c r="AE69" s="1823"/>
      <c r="AF69" s="1826"/>
      <c r="AG69" s="1826"/>
      <c r="AH69" s="1828"/>
      <c r="AI69" s="1823"/>
      <c r="AJ69" s="1823"/>
      <c r="AK69" s="1823"/>
      <c r="AL69" s="1828"/>
      <c r="AM69" s="1823"/>
      <c r="AN69" s="1823"/>
      <c r="AO69" s="1823"/>
      <c r="AP69" s="1823"/>
      <c r="AQ69" s="1823"/>
      <c r="AR69" s="1823"/>
      <c r="AS69" s="1823"/>
      <c r="AT69" s="1828"/>
      <c r="AU69" s="1823"/>
      <c r="AV69" s="1823"/>
      <c r="AW69" s="1823"/>
      <c r="AX69" s="1828"/>
      <c r="AY69" s="460"/>
      <c r="AZ69" s="460"/>
      <c r="BA69" s="460"/>
      <c r="BB69" s="460"/>
      <c r="BC69" s="462"/>
      <c r="BD69" s="460"/>
      <c r="BE69" s="460"/>
      <c r="BF69" s="460"/>
      <c r="BG69" s="462"/>
      <c r="BH69" s="1822"/>
      <c r="BI69" s="1822"/>
      <c r="BJ69" s="3526"/>
      <c r="BK69" s="1822"/>
      <c r="BL69" s="1822"/>
      <c r="BM69" s="1822"/>
      <c r="BN69" s="1822"/>
      <c r="BO69" s="1829"/>
      <c r="BP69" s="1822"/>
      <c r="BQ69" s="1822"/>
      <c r="BR69" s="1822"/>
      <c r="BS69" s="1829"/>
      <c r="BT69" s="1822"/>
      <c r="BU69" s="1822"/>
      <c r="BV69" s="3526"/>
      <c r="BW69" s="1829"/>
      <c r="BX69" s="1822"/>
      <c r="BY69" s="1822"/>
      <c r="BZ69" s="3526"/>
      <c r="CA69" s="1822"/>
      <c r="CB69" s="1822"/>
      <c r="CC69" s="1822"/>
      <c r="CD69" s="3526"/>
      <c r="CE69" s="1822"/>
      <c r="CF69" s="1822"/>
      <c r="CG69" s="1822"/>
      <c r="CH69" s="1822">
        <f>+CH64/3*2/4</f>
        <v>12.5</v>
      </c>
      <c r="CI69" s="1829">
        <f ca="1">+CI64/4</f>
        <v>42.5</v>
      </c>
      <c r="CJ69" s="1822">
        <f t="shared" ref="CJ69:CL69" si="189">+CJ64/4</f>
        <v>63.75</v>
      </c>
      <c r="CK69" s="1822">
        <f t="shared" si="189"/>
        <v>85</v>
      </c>
      <c r="CL69" s="3526">
        <f t="shared" si="189"/>
        <v>106.25</v>
      </c>
      <c r="CM69" s="3101"/>
      <c r="CN69"/>
      <c r="CO69"/>
      <c r="CP69"/>
      <c r="CQ69"/>
      <c r="CR69"/>
      <c r="CS69"/>
    </row>
    <row r="70" spans="1:97" s="68" customFormat="1" hidden="1" outlineLevel="1">
      <c r="A70" s="3678" t="s">
        <v>2065</v>
      </c>
      <c r="B70" s="1822"/>
      <c r="C70" s="1822"/>
      <c r="D70" s="1822"/>
      <c r="E70" s="1823"/>
      <c r="F70" s="1823"/>
      <c r="G70" s="1823"/>
      <c r="H70" s="1823"/>
      <c r="I70" s="460"/>
      <c r="J70" s="460"/>
      <c r="K70" s="460"/>
      <c r="L70" s="460"/>
      <c r="M70" s="460"/>
      <c r="N70" s="1822"/>
      <c r="O70" s="1822"/>
      <c r="P70" s="1822"/>
      <c r="Q70" s="1822"/>
      <c r="R70" s="1822"/>
      <c r="S70" s="1822">
        <f t="shared" ref="S70" ca="1" si="190">+S69-R69</f>
        <v>285</v>
      </c>
      <c r="T70" s="1822">
        <f t="shared" ref="T70" ca="1" si="191">+T69-S69</f>
        <v>340</v>
      </c>
      <c r="U70" s="1822">
        <f t="shared" ref="U70" si="192">+U69-T69</f>
        <v>212.5</v>
      </c>
      <c r="V70" s="1822">
        <f t="shared" ref="V70" si="193">+V69-U69</f>
        <v>85.000000000000114</v>
      </c>
      <c r="W70" s="1822">
        <f t="shared" ref="W70" si="194">+W69-V69</f>
        <v>84.999999999999886</v>
      </c>
      <c r="X70" s="1822">
        <f t="shared" ref="X70" si="195">+X69-W69</f>
        <v>0</v>
      </c>
      <c r="Y70" s="3523"/>
      <c r="Z70" s="588"/>
      <c r="AA70" s="3524"/>
      <c r="AB70" s="1824"/>
      <c r="AC70" s="1824"/>
      <c r="AD70" s="1825"/>
      <c r="AE70" s="1823"/>
      <c r="AF70" s="1826"/>
      <c r="AG70" s="1826"/>
      <c r="AH70" s="1828"/>
      <c r="AI70" s="1823"/>
      <c r="AJ70" s="1823"/>
      <c r="AK70" s="1823"/>
      <c r="AL70" s="1828"/>
      <c r="AM70" s="1823"/>
      <c r="AN70" s="1823"/>
      <c r="AO70" s="1823"/>
      <c r="AP70" s="1823"/>
      <c r="AQ70" s="1823"/>
      <c r="AR70" s="1823"/>
      <c r="AS70" s="1823"/>
      <c r="AT70" s="1828"/>
      <c r="AU70" s="1823"/>
      <c r="AV70" s="1823"/>
      <c r="AW70" s="1823"/>
      <c r="AX70" s="1828"/>
      <c r="AY70" s="460"/>
      <c r="AZ70" s="460"/>
      <c r="BA70" s="460"/>
      <c r="BB70" s="460"/>
      <c r="BC70" s="462"/>
      <c r="BD70" s="460"/>
      <c r="BE70" s="460"/>
      <c r="BF70" s="460"/>
      <c r="BG70" s="462"/>
      <c r="BH70" s="1822"/>
      <c r="BI70" s="1822"/>
      <c r="BJ70" s="3526"/>
      <c r="BK70" s="1822"/>
      <c r="BL70" s="1822"/>
      <c r="BM70" s="1822"/>
      <c r="BN70" s="1822"/>
      <c r="BO70" s="1829"/>
      <c r="BP70" s="1822"/>
      <c r="BQ70" s="1822"/>
      <c r="BR70" s="1822"/>
      <c r="BS70" s="1829"/>
      <c r="BT70" s="1822"/>
      <c r="BU70" s="1822"/>
      <c r="BV70" s="3526"/>
      <c r="BW70" s="1829"/>
      <c r="BX70" s="1822"/>
      <c r="BY70" s="1822"/>
      <c r="BZ70" s="3526"/>
      <c r="CA70" s="1822"/>
      <c r="CB70" s="1822"/>
      <c r="CC70" s="1822"/>
      <c r="CD70" s="3526"/>
      <c r="CE70" s="1822"/>
      <c r="CF70" s="1822"/>
      <c r="CG70" s="1822"/>
      <c r="CH70" s="1822">
        <f>+CH69-CG69</f>
        <v>12.5</v>
      </c>
      <c r="CI70" s="1829">
        <f t="shared" ref="CI70:CL70" ca="1" si="196">+CI69-CH69</f>
        <v>30</v>
      </c>
      <c r="CJ70" s="1822">
        <f t="shared" ca="1" si="196"/>
        <v>21.25</v>
      </c>
      <c r="CK70" s="1822">
        <f t="shared" si="196"/>
        <v>21.25</v>
      </c>
      <c r="CL70" s="3526">
        <f t="shared" si="196"/>
        <v>21.25</v>
      </c>
      <c r="CM70" s="3101"/>
      <c r="CN70"/>
      <c r="CO70"/>
      <c r="CP70"/>
      <c r="CQ70"/>
      <c r="CR70"/>
      <c r="CS70"/>
    </row>
    <row r="71" spans="1:97" s="68" customFormat="1" hidden="1" outlineLevel="1">
      <c r="A71" s="3676" t="s">
        <v>2066</v>
      </c>
      <c r="B71" s="1822"/>
      <c r="C71" s="1822"/>
      <c r="D71" s="1822"/>
      <c r="E71" s="1823"/>
      <c r="F71" s="1823"/>
      <c r="G71" s="1823"/>
      <c r="H71" s="1823"/>
      <c r="I71" s="460"/>
      <c r="J71" s="460"/>
      <c r="K71" s="460"/>
      <c r="L71" s="460"/>
      <c r="M71" s="460"/>
      <c r="N71" s="1822"/>
      <c r="O71" s="1822"/>
      <c r="P71" s="1822"/>
      <c r="Q71" s="3847">
        <v>9079</v>
      </c>
      <c r="R71" s="1822">
        <f>8698-R69</f>
        <v>8685.5</v>
      </c>
      <c r="S71" s="1822">
        <f t="shared" ref="S71:X71" ca="1" si="197">+S60-S69</f>
        <v>8549.4680973273917</v>
      </c>
      <c r="T71" s="1822">
        <f t="shared" si="197"/>
        <v>8532.673300483093</v>
      </c>
      <c r="U71" s="1822">
        <f t="shared" si="197"/>
        <v>8495.6450650722545</v>
      </c>
      <c r="V71" s="1822">
        <f t="shared" si="197"/>
        <v>8490.8971650058593</v>
      </c>
      <c r="W71" s="1822">
        <f t="shared" si="197"/>
        <v>8516.5985016652794</v>
      </c>
      <c r="X71" s="1822">
        <f t="shared" si="197"/>
        <v>8636.1028187441116</v>
      </c>
      <c r="Y71" s="3523"/>
      <c r="Z71" s="588"/>
      <c r="AA71" s="3524"/>
      <c r="AB71" s="1824"/>
      <c r="AC71" s="1824"/>
      <c r="AD71" s="1825"/>
      <c r="AE71" s="1823"/>
      <c r="AF71" s="1826"/>
      <c r="AG71" s="1826"/>
      <c r="AH71" s="1828"/>
      <c r="AI71" s="1823"/>
      <c r="AJ71" s="1823"/>
      <c r="AK71" s="1823"/>
      <c r="AL71" s="1828"/>
      <c r="AM71" s="1823"/>
      <c r="AN71" s="1823"/>
      <c r="AO71" s="1823"/>
      <c r="AP71" s="1823"/>
      <c r="AQ71" s="1823"/>
      <c r="AR71" s="1823"/>
      <c r="AS71" s="1823"/>
      <c r="AT71" s="1828"/>
      <c r="AU71" s="1823"/>
      <c r="AV71" s="1823"/>
      <c r="AW71" s="1823"/>
      <c r="AX71" s="1828"/>
      <c r="AY71" s="460"/>
      <c r="AZ71" s="460"/>
      <c r="BA71" s="460"/>
      <c r="BB71" s="460"/>
      <c r="BC71" s="462"/>
      <c r="BD71" s="460"/>
      <c r="BE71" s="460"/>
      <c r="BF71" s="460"/>
      <c r="BG71" s="462"/>
      <c r="BH71" s="1822"/>
      <c r="BI71" s="1822"/>
      <c r="BJ71" s="3526"/>
      <c r="BK71" s="1822"/>
      <c r="BL71" s="1822"/>
      <c r="BM71" s="1822"/>
      <c r="BN71" s="1822"/>
      <c r="BO71" s="1829"/>
      <c r="BP71" s="1822"/>
      <c r="BQ71" s="1822"/>
      <c r="BR71" s="1822"/>
      <c r="BS71" s="1829"/>
      <c r="BT71" s="1822"/>
      <c r="BU71" s="1822"/>
      <c r="BV71" s="3526"/>
      <c r="BW71" s="1829"/>
      <c r="BX71" s="1822"/>
      <c r="BY71" s="1822"/>
      <c r="BZ71" s="3526"/>
      <c r="CA71" s="1822"/>
      <c r="CB71" s="1822"/>
      <c r="CC71" s="1822"/>
      <c r="CD71" s="3526"/>
      <c r="CE71" s="1822"/>
      <c r="CF71" s="1822"/>
      <c r="CG71" s="1822"/>
      <c r="CH71" s="1822">
        <f>+CH60-CH69</f>
        <v>2198.5</v>
      </c>
      <c r="CI71" s="1829">
        <f t="shared" ref="CI71:CL71" ca="1" si="198">+CI60-CI69</f>
        <v>2086.7495400000003</v>
      </c>
      <c r="CJ71" s="1822">
        <f t="shared" si="198"/>
        <v>2125.0845656759998</v>
      </c>
      <c r="CK71" s="1822">
        <f t="shared" si="198"/>
        <v>2146.0973816646356</v>
      </c>
      <c r="CL71" s="3526">
        <f t="shared" si="198"/>
        <v>2191.5366099867551</v>
      </c>
      <c r="CM71" s="3101"/>
      <c r="CN71"/>
      <c r="CO71"/>
      <c r="CP71"/>
      <c r="CQ71"/>
      <c r="CR71"/>
      <c r="CS71"/>
    </row>
    <row r="72" spans="1:97" s="68" customFormat="1" hidden="1" outlineLevel="1">
      <c r="A72" s="3678" t="s">
        <v>1003</v>
      </c>
      <c r="B72" s="1822"/>
      <c r="C72" s="1822"/>
      <c r="D72" s="1822"/>
      <c r="E72" s="1823"/>
      <c r="F72" s="1823"/>
      <c r="G72" s="1823"/>
      <c r="H72" s="1823"/>
      <c r="I72" s="460"/>
      <c r="J72" s="460"/>
      <c r="K72" s="460"/>
      <c r="L72" s="460"/>
      <c r="M72" s="460"/>
      <c r="N72" s="1822"/>
      <c r="O72" s="1822"/>
      <c r="P72" s="1822"/>
      <c r="Q72" s="1822"/>
      <c r="R72" s="1823">
        <f t="shared" ref="R72" si="199">+R71/R25</f>
        <v>0.47363398407678048</v>
      </c>
      <c r="S72" s="1823">
        <f t="shared" ref="S72" ca="1" si="200">+S71/S25</f>
        <v>0.35861421011176536</v>
      </c>
      <c r="T72" s="1823">
        <f t="shared" ref="T72" si="201">+T71/T25</f>
        <v>0.36175124884284637</v>
      </c>
      <c r="U72" s="1823">
        <f t="shared" ref="U72" si="202">+U71/U25</f>
        <v>0.36321081747742284</v>
      </c>
      <c r="V72" s="1823">
        <f t="shared" ref="V72" si="203">+V71/V25</f>
        <v>0.36537218161212676</v>
      </c>
      <c r="W72" s="1823">
        <f t="shared" ref="W72" si="204">+W71/W25</f>
        <v>0.36760595366277571</v>
      </c>
      <c r="X72" s="1823">
        <f t="shared" ref="X72" si="205">+X71/X25</f>
        <v>0.37353295755887916</v>
      </c>
      <c r="Y72" s="3523"/>
      <c r="Z72" s="588"/>
      <c r="AA72" s="3524"/>
      <c r="AB72" s="1824"/>
      <c r="AC72" s="1824"/>
      <c r="AD72" s="1825"/>
      <c r="AE72" s="1823"/>
      <c r="AF72" s="1826"/>
      <c r="AG72" s="1826"/>
      <c r="AH72" s="1828"/>
      <c r="AI72" s="1823"/>
      <c r="AJ72" s="1823"/>
      <c r="AK72" s="1823"/>
      <c r="AL72" s="1828"/>
      <c r="AM72" s="1823"/>
      <c r="AN72" s="1823"/>
      <c r="AO72" s="1823"/>
      <c r="AP72" s="1823"/>
      <c r="AQ72" s="1823"/>
      <c r="AR72" s="1823"/>
      <c r="AS72" s="1823"/>
      <c r="AT72" s="1828"/>
      <c r="AU72" s="1823"/>
      <c r="AV72" s="1823"/>
      <c r="AW72" s="1823"/>
      <c r="AX72" s="1828"/>
      <c r="AY72" s="460"/>
      <c r="AZ72" s="460"/>
      <c r="BA72" s="460"/>
      <c r="BB72" s="460"/>
      <c r="BC72" s="462"/>
      <c r="BD72" s="460"/>
      <c r="BE72" s="460"/>
      <c r="BF72" s="460"/>
      <c r="BG72" s="462"/>
      <c r="BH72" s="1822"/>
      <c r="BI72" s="1822"/>
      <c r="BJ72" s="3526"/>
      <c r="BK72" s="1822"/>
      <c r="BL72" s="1822"/>
      <c r="BM72" s="1822"/>
      <c r="BN72" s="1822"/>
      <c r="BO72" s="1829"/>
      <c r="BP72" s="1822"/>
      <c r="BQ72" s="1822"/>
      <c r="BR72" s="1822"/>
      <c r="BS72" s="1829"/>
      <c r="BT72" s="1822"/>
      <c r="BU72" s="1822"/>
      <c r="BV72" s="3526"/>
      <c r="BW72" s="1829"/>
      <c r="BX72" s="1822"/>
      <c r="BY72" s="1822"/>
      <c r="BZ72" s="3526"/>
      <c r="CA72" s="1822"/>
      <c r="CB72" s="1822"/>
      <c r="CC72" s="1822"/>
      <c r="CD72" s="3526"/>
      <c r="CE72" s="1822"/>
      <c r="CF72" s="1822"/>
      <c r="CG72" s="1822"/>
      <c r="CH72" s="1823">
        <f>+CH71/CH25</f>
        <v>0.36611157368859282</v>
      </c>
      <c r="CI72" s="1827">
        <f t="shared" ref="CI72:CL72" ca="1" si="206">+CI71/CI25</f>
        <v>0.34869703998048263</v>
      </c>
      <c r="CJ72" s="1823">
        <f t="shared" si="206"/>
        <v>0.35617064854597585</v>
      </c>
      <c r="CK72" s="1823">
        <f t="shared" si="206"/>
        <v>0.36062098182728225</v>
      </c>
      <c r="CL72" s="1828">
        <f t="shared" si="206"/>
        <v>0.36905249352166847</v>
      </c>
      <c r="CM72" s="3101"/>
      <c r="CN72"/>
      <c r="CO72"/>
      <c r="CP72"/>
      <c r="CQ72"/>
      <c r="CR72"/>
      <c r="CS72"/>
    </row>
    <row r="73" spans="1:97" s="68" customFormat="1" hidden="1" outlineLevel="1">
      <c r="A73" s="3678" t="s">
        <v>1254</v>
      </c>
      <c r="B73" s="1822"/>
      <c r="C73" s="1822"/>
      <c r="D73" s="1822"/>
      <c r="E73" s="1823"/>
      <c r="F73" s="1823"/>
      <c r="G73" s="1823"/>
      <c r="H73" s="1823"/>
      <c r="I73" s="460"/>
      <c r="J73" s="460"/>
      <c r="K73" s="460"/>
      <c r="L73" s="460"/>
      <c r="M73" s="460"/>
      <c r="N73" s="1822"/>
      <c r="O73" s="1822"/>
      <c r="P73" s="1822"/>
      <c r="Q73" s="1822"/>
      <c r="R73" s="1823">
        <f t="shared" ref="R73:S73" si="207">+R71/Q71-1</f>
        <v>-4.3341777728824749E-2</v>
      </c>
      <c r="S73" s="1823">
        <f t="shared" ca="1" si="207"/>
        <v>-1.5661954138806999E-2</v>
      </c>
      <c r="T73" s="1823">
        <f ca="1">+T71/S71-1</f>
        <v>-1.9644259330646729E-3</v>
      </c>
      <c r="U73" s="1823">
        <f t="shared" ref="U73:X73" si="208">+U71/T71-1</f>
        <v>-4.3395819934582969E-3</v>
      </c>
      <c r="V73" s="1823">
        <f t="shared" si="208"/>
        <v>-5.5886280912498254E-4</v>
      </c>
      <c r="W73" s="1823">
        <f t="shared" si="208"/>
        <v>3.0269282691757216E-3</v>
      </c>
      <c r="X73" s="1823">
        <f t="shared" si="208"/>
        <v>1.4031930359927669E-2</v>
      </c>
      <c r="Y73" s="3523"/>
      <c r="Z73" s="588"/>
      <c r="AA73" s="3524"/>
      <c r="AB73" s="1824"/>
      <c r="AC73" s="1824"/>
      <c r="AD73" s="1825"/>
      <c r="AE73" s="1823"/>
      <c r="AF73" s="1826"/>
      <c r="AG73" s="1826"/>
      <c r="AH73" s="1828"/>
      <c r="AI73" s="1823"/>
      <c r="AJ73" s="1823"/>
      <c r="AK73" s="1823"/>
      <c r="AL73" s="1828"/>
      <c r="AM73" s="1823"/>
      <c r="AN73" s="1823"/>
      <c r="AO73" s="1823"/>
      <c r="AP73" s="1823"/>
      <c r="AQ73" s="1823"/>
      <c r="AR73" s="1823"/>
      <c r="AS73" s="1823"/>
      <c r="AT73" s="1828"/>
      <c r="AU73" s="1823"/>
      <c r="AV73" s="1823"/>
      <c r="AW73" s="1823"/>
      <c r="AX73" s="1828"/>
      <c r="AY73" s="460"/>
      <c r="AZ73" s="460"/>
      <c r="BA73" s="460"/>
      <c r="BB73" s="460"/>
      <c r="BC73" s="462"/>
      <c r="BD73" s="460"/>
      <c r="BE73" s="460"/>
      <c r="BF73" s="460"/>
      <c r="BG73" s="462"/>
      <c r="BH73" s="1822"/>
      <c r="BI73" s="1822"/>
      <c r="BJ73" s="3526"/>
      <c r="BK73" s="1822"/>
      <c r="BL73" s="1822"/>
      <c r="BM73" s="1822"/>
      <c r="BN73" s="1822"/>
      <c r="BO73" s="1829"/>
      <c r="BP73" s="1822"/>
      <c r="BQ73" s="1822"/>
      <c r="BR73" s="1822"/>
      <c r="BS73" s="1829"/>
      <c r="BT73" s="1822"/>
      <c r="BU73" s="1822"/>
      <c r="BV73" s="3526"/>
      <c r="BW73" s="1829"/>
      <c r="BX73" s="1822"/>
      <c r="BY73" s="1822"/>
      <c r="BZ73" s="3526"/>
      <c r="CA73" s="1822"/>
      <c r="CB73" s="1822"/>
      <c r="CC73" s="1822"/>
      <c r="CD73" s="3526"/>
      <c r="CE73" s="1822"/>
      <c r="CF73" s="1822"/>
      <c r="CG73" s="1822"/>
      <c r="CH73" s="1822"/>
      <c r="CI73" s="1829"/>
      <c r="CJ73" s="1822"/>
      <c r="CK73" s="1822"/>
      <c r="CL73" s="3526"/>
      <c r="CM73" s="3101"/>
      <c r="CN73"/>
      <c r="CO73"/>
      <c r="CP73"/>
      <c r="CQ73"/>
      <c r="CR73"/>
      <c r="CS73"/>
    </row>
    <row r="74" spans="1:97" s="68" customFormat="1" hidden="1" outlineLevel="1">
      <c r="A74" s="3678"/>
      <c r="B74" s="1822"/>
      <c r="C74" s="1822"/>
      <c r="D74" s="1822"/>
      <c r="E74" s="1823"/>
      <c r="F74" s="1823"/>
      <c r="G74" s="1823"/>
      <c r="H74" s="1823"/>
      <c r="I74" s="460"/>
      <c r="J74" s="460"/>
      <c r="K74" s="460"/>
      <c r="L74" s="460"/>
      <c r="M74" s="460"/>
      <c r="N74" s="1822"/>
      <c r="O74" s="1822"/>
      <c r="P74" s="1822"/>
      <c r="Q74" s="1822"/>
      <c r="R74" s="1823"/>
      <c r="S74" s="1823"/>
      <c r="T74" s="1823"/>
      <c r="U74" s="1823"/>
      <c r="V74" s="1823"/>
      <c r="W74" s="1823"/>
      <c r="X74" s="1823"/>
      <c r="Y74" s="3523"/>
      <c r="Z74" s="588"/>
      <c r="AA74" s="3524"/>
      <c r="AB74" s="1824"/>
      <c r="AC74" s="1824"/>
      <c r="AD74" s="1825"/>
      <c r="AE74" s="1823"/>
      <c r="AF74" s="1826"/>
      <c r="AG74" s="1826"/>
      <c r="AH74" s="1828"/>
      <c r="AI74" s="1823"/>
      <c r="AJ74" s="1823"/>
      <c r="AK74" s="1823"/>
      <c r="AL74" s="1828"/>
      <c r="AM74" s="1823"/>
      <c r="AN74" s="1823"/>
      <c r="AO74" s="1823"/>
      <c r="AP74" s="1823"/>
      <c r="AQ74" s="1823"/>
      <c r="AR74" s="1823"/>
      <c r="AS74" s="1823"/>
      <c r="AT74" s="1828"/>
      <c r="AU74" s="1823"/>
      <c r="AV74" s="1823"/>
      <c r="AW74" s="1823"/>
      <c r="AX74" s="1828"/>
      <c r="AY74" s="460"/>
      <c r="AZ74" s="460"/>
      <c r="BA74" s="460"/>
      <c r="BB74" s="460"/>
      <c r="BC74" s="462"/>
      <c r="BD74" s="460"/>
      <c r="BE74" s="460"/>
      <c r="BF74" s="460"/>
      <c r="BG74" s="462"/>
      <c r="BH74" s="1822"/>
      <c r="BI74" s="1822"/>
      <c r="BJ74" s="3526"/>
      <c r="BK74" s="1822"/>
      <c r="BL74" s="1822"/>
      <c r="BM74" s="1822"/>
      <c r="BN74" s="1822"/>
      <c r="BO74" s="1829"/>
      <c r="BP74" s="1822"/>
      <c r="BQ74" s="1822"/>
      <c r="BR74" s="1822"/>
      <c r="BS74" s="1829"/>
      <c r="BT74" s="1822"/>
      <c r="BU74" s="1822"/>
      <c r="BV74" s="3526"/>
      <c r="BW74" s="1829"/>
      <c r="BX74" s="1822"/>
      <c r="BY74" s="1822"/>
      <c r="BZ74" s="3526"/>
      <c r="CA74" s="1822"/>
      <c r="CB74" s="1822"/>
      <c r="CC74" s="1822"/>
      <c r="CD74" s="3526"/>
      <c r="CE74" s="1822"/>
      <c r="CF74" s="1822"/>
      <c r="CG74" s="1822"/>
      <c r="CH74" s="1823"/>
      <c r="CI74" s="1827"/>
      <c r="CJ74" s="1823"/>
      <c r="CK74" s="1823"/>
      <c r="CL74" s="1828"/>
      <c r="CM74" s="3101"/>
      <c r="CN74"/>
      <c r="CO74"/>
      <c r="CP74"/>
      <c r="CQ74"/>
      <c r="CR74"/>
      <c r="CS74"/>
    </row>
    <row r="75" spans="1:97" collapsed="1">
      <c r="A75" s="16"/>
      <c r="B75" s="399"/>
      <c r="C75" s="399"/>
      <c r="D75" s="399"/>
      <c r="E75" s="399"/>
      <c r="F75" s="399"/>
      <c r="G75" s="399"/>
      <c r="H75" s="399"/>
      <c r="I75" s="399"/>
      <c r="J75" s="402"/>
      <c r="K75" s="399"/>
      <c r="L75" s="399"/>
      <c r="M75" s="399"/>
      <c r="N75" s="399"/>
      <c r="O75" s="399"/>
      <c r="P75" s="399"/>
      <c r="Q75" s="399"/>
      <c r="R75" s="399"/>
      <c r="S75" s="2634"/>
      <c r="T75" s="399"/>
      <c r="U75" s="399"/>
      <c r="V75" s="399"/>
      <c r="W75" s="2634"/>
      <c r="X75" s="2634"/>
      <c r="Y75" s="2279"/>
      <c r="Z75" s="411"/>
      <c r="AA75" s="2288"/>
      <c r="AB75" s="402"/>
      <c r="AC75" s="402"/>
      <c r="AD75" s="403"/>
      <c r="AE75" s="401"/>
      <c r="AF75" s="402"/>
      <c r="AG75" s="402"/>
      <c r="AH75" s="403"/>
      <c r="AI75" s="401"/>
      <c r="AJ75" s="402"/>
      <c r="AK75" s="402"/>
      <c r="AL75" s="403"/>
      <c r="AM75" s="399"/>
      <c r="AN75" s="365"/>
      <c r="AO75" s="365"/>
      <c r="AP75" s="365"/>
      <c r="AQ75" s="407"/>
      <c r="AR75" s="399"/>
      <c r="AS75" s="399"/>
      <c r="AT75" s="400"/>
      <c r="AU75" s="407"/>
      <c r="AV75" s="399"/>
      <c r="AW75" s="399"/>
      <c r="AX75" s="484"/>
      <c r="AY75" s="443"/>
      <c r="AZ75" s="444"/>
      <c r="BA75" s="444"/>
      <c r="BB75" s="444"/>
      <c r="BC75" s="443"/>
      <c r="BD75" s="444"/>
      <c r="BE75" s="444"/>
      <c r="BF75" s="444"/>
      <c r="BG75" s="443"/>
      <c r="BH75" s="444"/>
      <c r="BI75" s="444"/>
      <c r="BJ75" s="484"/>
      <c r="BK75" s="444"/>
      <c r="BL75" s="444"/>
      <c r="BM75" s="444"/>
      <c r="BN75" s="544"/>
      <c r="BO75" s="545"/>
      <c r="BP75" s="544"/>
      <c r="BQ75" s="544"/>
      <c r="BR75" s="544"/>
      <c r="BS75" s="545"/>
      <c r="BT75" s="544"/>
      <c r="BU75" s="544"/>
      <c r="BV75" s="543"/>
      <c r="BW75" s="545"/>
      <c r="BX75" s="544"/>
      <c r="BY75" s="544"/>
      <c r="BZ75" s="543"/>
      <c r="CA75" s="544"/>
      <c r="CB75" s="544"/>
      <c r="CC75" s="544"/>
      <c r="CD75" s="543"/>
      <c r="CE75" s="544"/>
      <c r="CF75" s="544"/>
      <c r="CG75" s="544"/>
      <c r="CH75" s="544"/>
      <c r="CI75" s="633"/>
      <c r="CJ75" s="444"/>
      <c r="CK75" s="444"/>
      <c r="CL75" s="484"/>
      <c r="CM75" s="367"/>
    </row>
    <row r="76" spans="1:97">
      <c r="A76" s="1706" t="s">
        <v>1004</v>
      </c>
      <c r="B76" s="408"/>
      <c r="C76" s="408"/>
      <c r="D76" s="408"/>
      <c r="E76" s="413">
        <f>SUM(AE76:AH76)</f>
        <v>-211.05100000000002</v>
      </c>
      <c r="F76" s="413">
        <f>SUM(AI76:AL76)</f>
        <v>-200.60499999999999</v>
      </c>
      <c r="G76" s="413">
        <f>SUM(AM76:AP76)</f>
        <v>-677.63199999999995</v>
      </c>
      <c r="H76" s="413">
        <f>SUM(AQ76:AT76)</f>
        <v>-718.90600000000006</v>
      </c>
      <c r="I76" s="1701">
        <f>SUM(AU76:AX76)</f>
        <v>-1673.644</v>
      </c>
      <c r="J76" s="1701">
        <f>SUM(AY76:BB76)</f>
        <v>-1661.133</v>
      </c>
      <c r="K76" s="1701">
        <f>+SUM(BC76:BF76)</f>
        <v>-1431</v>
      </c>
      <c r="L76" s="1710">
        <f>+SUM(BG76:BJ76)</f>
        <v>-1331</v>
      </c>
      <c r="M76" s="1710">
        <f>+SUM(BK76:BN76)</f>
        <v>-1319</v>
      </c>
      <c r="N76" s="672">
        <f>+SUM(BO76:BR76)</f>
        <v>-1298</v>
      </c>
      <c r="O76" s="672">
        <f>+SUM(BS76:BV76)</f>
        <v>-1311</v>
      </c>
      <c r="P76" s="672">
        <f>+SUM(BW76:BZ76)</f>
        <v>-1312</v>
      </c>
      <c r="Q76" s="672">
        <f>+SUM(CA76:CD76)</f>
        <v>-1318</v>
      </c>
      <c r="R76" s="672">
        <f>+SUM(CE76:CH76)</f>
        <v>-1481</v>
      </c>
      <c r="S76" s="672">
        <f>+SUM(CI76:CL76)</f>
        <v>-2138.0999902343751</v>
      </c>
      <c r="T76" s="1701">
        <f>-BS!T69*BS!T80</f>
        <v>-2082.4626647314299</v>
      </c>
      <c r="U76" s="1701">
        <f>-BS!U69*BS!U80</f>
        <v>-2039.4885891625775</v>
      </c>
      <c r="V76" s="1701">
        <f>-BS!V69*BS!V80</f>
        <v>-1992.0609484799545</v>
      </c>
      <c r="W76" s="1701">
        <f>-BS!W69*BS!W80</f>
        <v>-1945.1583077973314</v>
      </c>
      <c r="X76" s="1701">
        <f>-BS!X69*BS!X80</f>
        <v>-1898.7806671147084</v>
      </c>
      <c r="Y76" s="2279"/>
      <c r="Z76" s="2281">
        <f>+((V76/Q76)^(1/5))-1</f>
        <v>8.6119078105165947E-2</v>
      </c>
      <c r="AA76" s="2288"/>
      <c r="AB76" s="413"/>
      <c r="AC76" s="413"/>
      <c r="AD76" s="414">
        <f>(INPUTS_1!B59+INPUTS_1!B63)/1000</f>
        <v>-53.341999999999999</v>
      </c>
      <c r="AE76" s="490">
        <f>(INPUTS_1!C59+INPUTS_1!C63)/1000</f>
        <v>-52.542999999999999</v>
      </c>
      <c r="AF76" s="413">
        <f>(INPUTS_1!D59+INPUTS_1!D63)/1000</f>
        <v>-53.088999999999999</v>
      </c>
      <c r="AG76" s="413">
        <f>(INPUTS_1!E59+INPUTS_1!E63)/1000</f>
        <v>-52.173999999999999</v>
      </c>
      <c r="AH76" s="414">
        <f>(INPUTS_1!F59+INPUTS_1!F63)/1000</f>
        <v>-53.244999999999997</v>
      </c>
      <c r="AI76" s="490">
        <f>(INPUTS_1!G59+INPUTS_1!G63)/1000</f>
        <v>-51.429000000000002</v>
      </c>
      <c r="AJ76" s="413">
        <f>(INPUTS_1!H59+INPUTS_1!H63)/1000</f>
        <v>-49.646999999999998</v>
      </c>
      <c r="AK76" s="413">
        <f>(INPUTS_1!I59+INPUTS_1!I63)/1000</f>
        <v>-49.904000000000003</v>
      </c>
      <c r="AL76" s="414">
        <f>(INPUTS_1!J59+INPUTS_1!J63)/1000</f>
        <v>-49.625</v>
      </c>
      <c r="AM76" s="476">
        <f>(INPUTS_1!K59+INPUTS_1!K63)/1000</f>
        <v>-173.99225000000001</v>
      </c>
      <c r="AN76" s="476">
        <f>(INPUTS_1!L59+INPUTS_1!L63)/1000</f>
        <v>-171.40774999999999</v>
      </c>
      <c r="AO76" s="476">
        <f>(INPUTS_1!M59+INPUTS_1!M63)/1000</f>
        <v>-163.857</v>
      </c>
      <c r="AP76" s="476">
        <f>(INPUTS_1!N59+INPUTS_1!N63)/1000</f>
        <v>-168.375</v>
      </c>
      <c r="AQ76" s="490">
        <f>(INPUTS_1!O59+INPUTS_1!O63)/1000</f>
        <v>-174.46100000000001</v>
      </c>
      <c r="AR76" s="413">
        <f>(INPUTS_1!P59+INPUTS_1!P63)/1000</f>
        <v>-187.167</v>
      </c>
      <c r="AS76" s="413">
        <f>(INPUTS_1!Q59+INPUTS_1!Q63)/1000</f>
        <v>-181.67599999999999</v>
      </c>
      <c r="AT76" s="414">
        <f>(INPUTS_1!R59+INPUTS_1!R63)/1000</f>
        <v>-175.602</v>
      </c>
      <c r="AU76" s="490">
        <f>(INPUTS_1!S59+INPUTS_1!S63)/1000</f>
        <v>-426</v>
      </c>
      <c r="AV76" s="413">
        <f>(INPUTS_1!T59+INPUTS_1!T63)/1000</f>
        <v>-420</v>
      </c>
      <c r="AW76" s="413">
        <f>(INPUTS_1!U59+INPUTS_1!U63)/1000</f>
        <v>-412</v>
      </c>
      <c r="AX76" s="414">
        <f>(INPUTS_1!V59+INPUTS_1!V63)/1000</f>
        <v>-415.64400000000001</v>
      </c>
      <c r="AY76" s="1725">
        <f>(INPUTS_1!W59+INPUTS_1!W63)/1000</f>
        <v>-404.38</v>
      </c>
      <c r="AZ76" s="672">
        <f>(INPUTS_1!X59+INPUTS_1!X63)/1000</f>
        <v>-416.28899999999999</v>
      </c>
      <c r="BA76" s="672">
        <f>(INPUTS_1!Y59+INPUTS_1!Y63)/1000</f>
        <v>-417.322</v>
      </c>
      <c r="BB76" s="672">
        <f>(INPUTS_1!Z59+INPUTS_1!Z63)/1000</f>
        <v>-423.142</v>
      </c>
      <c r="BC76" s="567">
        <v>-371</v>
      </c>
      <c r="BD76" s="577">
        <v>-361</v>
      </c>
      <c r="BE76" s="577">
        <v>-354</v>
      </c>
      <c r="BF76" s="577">
        <v>-345</v>
      </c>
      <c r="BG76" s="567">
        <v>-347</v>
      </c>
      <c r="BH76" s="573">
        <v>-317</v>
      </c>
      <c r="BI76" s="573">
        <v>-327</v>
      </c>
      <c r="BJ76" s="574">
        <v>-340</v>
      </c>
      <c r="BK76" s="573">
        <v>-343</v>
      </c>
      <c r="BL76" s="573">
        <v>-335</v>
      </c>
      <c r="BM76" s="573">
        <v>-326</v>
      </c>
      <c r="BN76" s="573">
        <v>-315</v>
      </c>
      <c r="BO76" s="2863">
        <v>-316</v>
      </c>
      <c r="BP76" s="2864">
        <v>-325</v>
      </c>
      <c r="BQ76" s="2864">
        <v>-329</v>
      </c>
      <c r="BR76" s="2855">
        <v>-328</v>
      </c>
      <c r="BS76" s="2865">
        <v>-331</v>
      </c>
      <c r="BT76" s="2864">
        <v>-325</v>
      </c>
      <c r="BU76" s="2864">
        <v>-325</v>
      </c>
      <c r="BV76" s="2866">
        <v>-330</v>
      </c>
      <c r="BW76" s="2865">
        <v>-328</v>
      </c>
      <c r="BX76" s="2864">
        <v>-327</v>
      </c>
      <c r="BY76" s="2864">
        <v>-329</v>
      </c>
      <c r="BZ76" s="2866">
        <v>-328</v>
      </c>
      <c r="CA76" s="2855">
        <v>-331</v>
      </c>
      <c r="CB76" s="2864">
        <v>-340</v>
      </c>
      <c r="CC76" s="2864">
        <v>-327</v>
      </c>
      <c r="CD76" s="2866">
        <v>-320</v>
      </c>
      <c r="CE76" s="2855">
        <v>-318</v>
      </c>
      <c r="CF76" s="2864">
        <v>-320</v>
      </c>
      <c r="CG76" s="2864">
        <v>-362</v>
      </c>
      <c r="CH76" s="2864">
        <v>-481</v>
      </c>
      <c r="CI76" s="1725">
        <f>-BS!CH69*BS!CH80/4</f>
        <v>-539.524296875</v>
      </c>
      <c r="CJ76" s="1701">
        <f>-BS!CI69*BS!CI80/4</f>
        <v>-535.45572265625003</v>
      </c>
      <c r="CK76" s="1701">
        <f>-BS!CJ69*BS!CJ80/4</f>
        <v>-532.9433544921875</v>
      </c>
      <c r="CL76" s="1702">
        <f>-BS!CK69*BS!CK80/4</f>
        <v>-530.17661621093748</v>
      </c>
      <c r="CM76" s="367"/>
    </row>
    <row r="77" spans="1:97">
      <c r="A77" s="1726" t="s">
        <v>794</v>
      </c>
      <c r="B77" s="408"/>
      <c r="C77" s="408"/>
      <c r="D77" s="408"/>
      <c r="E77" s="413">
        <f>SUM(AE77:AH77)</f>
        <v>6.9700000000000006</v>
      </c>
      <c r="F77" s="413">
        <f>SUM(AI77:AL77)</f>
        <v>17.420999999999999</v>
      </c>
      <c r="G77" s="413">
        <f>SUM(AM77:AP77)</f>
        <v>28.705209888359803</v>
      </c>
      <c r="H77" s="413">
        <f>SUM(AQ77:AT77)</f>
        <v>29.127000000000002</v>
      </c>
      <c r="I77" s="1701">
        <f>SUM(AU77:AX77)</f>
        <v>58.366</v>
      </c>
      <c r="J77" s="1701">
        <f>SUM(AY77:BB77)</f>
        <v>47.192999999999998</v>
      </c>
      <c r="K77" s="1701">
        <f>+SUM(BC77:BF77)</f>
        <v>8</v>
      </c>
      <c r="L77" s="1710">
        <f>+SUM(BG77:BJ77)</f>
        <v>22</v>
      </c>
      <c r="M77" s="1710">
        <f>+SUM(BK77:BN77)</f>
        <v>21</v>
      </c>
      <c r="N77" s="1710">
        <f>+SUM(BO77:BR77)</f>
        <v>22</v>
      </c>
      <c r="O77" s="672">
        <f>+SUM(BS77:BV77)</f>
        <v>25</v>
      </c>
      <c r="P77" s="672">
        <f>+SUM(BW77:BZ77)</f>
        <v>39</v>
      </c>
      <c r="Q77" s="672">
        <f>+SUM(CA77:CD77)</f>
        <v>5</v>
      </c>
      <c r="R77" s="672">
        <f>+SUM(CE77:CH77)</f>
        <v>12</v>
      </c>
      <c r="S77" s="672">
        <f>+SUM(CI77:CL77)</f>
        <v>0</v>
      </c>
      <c r="T77" s="2855">
        <f>+S77</f>
        <v>0</v>
      </c>
      <c r="U77" s="2855">
        <f>+T77</f>
        <v>0</v>
      </c>
      <c r="V77" s="2855">
        <f>+U77</f>
        <v>0</v>
      </c>
      <c r="W77" s="2855">
        <f>+V77</f>
        <v>0</v>
      </c>
      <c r="X77" s="2855">
        <f>+W77</f>
        <v>0</v>
      </c>
      <c r="Y77" s="2279"/>
      <c r="Z77" s="2281"/>
      <c r="AA77" s="2288"/>
      <c r="AB77" s="413"/>
      <c r="AC77" s="413"/>
      <c r="AD77" s="414">
        <f>(INPUTS_1!B60+INPUTS_1!B64)/1000</f>
        <v>1.4530000000000001</v>
      </c>
      <c r="AE77" s="490">
        <f>(INPUTS_1!C60+INPUTS_1!C64)/1000</f>
        <v>4.3630000000000004</v>
      </c>
      <c r="AF77" s="413">
        <f>(INPUTS_1!D60+INPUTS_1!D64)/1000</f>
        <v>-1.6850000000000001</v>
      </c>
      <c r="AG77" s="413">
        <f>(INPUTS_1!E60+INPUTS_1!E64)/1000</f>
        <v>2.6070000000000002</v>
      </c>
      <c r="AH77" s="414">
        <f>(INPUTS_1!F60+INPUTS_1!F64)/1000</f>
        <v>1.6850000000000001</v>
      </c>
      <c r="AI77" s="490">
        <f>(INPUTS_1!G60+INPUTS_1!G64)/1000</f>
        <v>4.4219999999999997</v>
      </c>
      <c r="AJ77" s="413">
        <f>(INPUTS_1!H60+INPUTS_1!H64)/1000</f>
        <v>1.944</v>
      </c>
      <c r="AK77" s="413">
        <f>(INPUTS_1!I60+INPUTS_1!I64)/1000</f>
        <v>3.4849999999999999</v>
      </c>
      <c r="AL77" s="414">
        <f>(INPUTS_1!J60+INPUTS_1!J64)/1000</f>
        <v>7.57</v>
      </c>
      <c r="AM77" s="476">
        <f>(INPUTS_1!K60+INPUTS_1!K64)/1000</f>
        <v>7.7580458467343316</v>
      </c>
      <c r="AN77" s="476">
        <f>(INPUTS_1!L60+INPUTS_1!L64)/1000</f>
        <v>9.7201640416254751</v>
      </c>
      <c r="AO77" s="476">
        <f>(INPUTS_1!M60+INPUTS_1!M64)/1000</f>
        <v>7.8179999999999996</v>
      </c>
      <c r="AP77" s="476">
        <f>(INPUTS_1!N60+INPUTS_1!N64)/1000</f>
        <v>3.4089999999999998</v>
      </c>
      <c r="AQ77" s="490">
        <f>(INPUTS_1!O60+INPUTS_1!O64)/1000</f>
        <v>5.29</v>
      </c>
      <c r="AR77" s="413">
        <f>(INPUTS_1!P60+INPUTS_1!P64)/1000</f>
        <v>8.08</v>
      </c>
      <c r="AS77" s="413">
        <f>(INPUTS_1!Q60+INPUTS_1!Q64)/1000</f>
        <v>6.3239999999999998</v>
      </c>
      <c r="AT77" s="414">
        <f>(INPUTS_1!R60+INPUTS_1!R64)/1000</f>
        <v>9.4329999999999998</v>
      </c>
      <c r="AU77" s="490">
        <f>(INPUTS_1!S60+INPUTS_1!S64)/1000</f>
        <v>7</v>
      </c>
      <c r="AV77" s="413">
        <f>(INPUTS_1!T60+INPUTS_1!T64)/1000</f>
        <v>18</v>
      </c>
      <c r="AW77" s="413">
        <f>(INPUTS_1!U60+INPUTS_1!U64)/1000</f>
        <v>32</v>
      </c>
      <c r="AX77" s="414">
        <f>(INPUTS_1!V60+INPUTS_1!V64)/1000</f>
        <v>1.3660000000000001</v>
      </c>
      <c r="AY77" s="1725">
        <f>(INPUTS_1!W60+INPUTS_1!W64)/1000</f>
        <v>15.022</v>
      </c>
      <c r="AZ77" s="672">
        <f>(INPUTS_1!X60+INPUTS_1!X64)/1000</f>
        <v>8.1950000000000003</v>
      </c>
      <c r="BA77" s="672">
        <f>(INPUTS_1!Y60+INPUTS_1!Y64)/1000</f>
        <v>9.3620000000000001</v>
      </c>
      <c r="BB77" s="672">
        <f>(INPUTS_1!Z60+INPUTS_1!Z64)/1000</f>
        <v>14.614000000000001</v>
      </c>
      <c r="BC77" s="567">
        <f>6-1</f>
        <v>5</v>
      </c>
      <c r="BD77" s="577">
        <f>5-1</f>
        <v>4</v>
      </c>
      <c r="BE77" s="577">
        <f>0-1</f>
        <v>-1</v>
      </c>
      <c r="BF77" s="577">
        <v>0</v>
      </c>
      <c r="BG77" s="567">
        <v>8</v>
      </c>
      <c r="BH77" s="573">
        <v>2</v>
      </c>
      <c r="BI77" s="573">
        <v>7</v>
      </c>
      <c r="BJ77" s="574">
        <v>5</v>
      </c>
      <c r="BK77" s="573">
        <v>7</v>
      </c>
      <c r="BL77" s="573">
        <v>3</v>
      </c>
      <c r="BM77" s="573">
        <v>6</v>
      </c>
      <c r="BN77" s="573">
        <v>5</v>
      </c>
      <c r="BO77" s="567">
        <v>2</v>
      </c>
      <c r="BP77" s="573">
        <v>4</v>
      </c>
      <c r="BQ77" s="573">
        <v>9</v>
      </c>
      <c r="BR77" s="622">
        <v>7</v>
      </c>
      <c r="BS77" s="572">
        <v>9</v>
      </c>
      <c r="BT77" s="573">
        <f>-7--14</f>
        <v>7</v>
      </c>
      <c r="BU77" s="573">
        <v>5</v>
      </c>
      <c r="BV77" s="1830">
        <v>4</v>
      </c>
      <c r="BW77" s="2865">
        <f>2+11</f>
        <v>13</v>
      </c>
      <c r="BX77" s="2864">
        <f>2+2</f>
        <v>4</v>
      </c>
      <c r="BY77" s="2864">
        <f>2+6</f>
        <v>8</v>
      </c>
      <c r="BZ77" s="2866">
        <f>7+7</f>
        <v>14</v>
      </c>
      <c r="CA77" s="2855">
        <f>17+6</f>
        <v>23</v>
      </c>
      <c r="CB77" s="2864">
        <f>7+3</f>
        <v>10</v>
      </c>
      <c r="CC77" s="2864">
        <f>-17</f>
        <v>-17</v>
      </c>
      <c r="CD77" s="2866">
        <f>-11</f>
        <v>-11</v>
      </c>
      <c r="CE77" s="2855">
        <v>-6</v>
      </c>
      <c r="CF77" s="2864">
        <v>-7</v>
      </c>
      <c r="CG77" s="2864">
        <v>14</v>
      </c>
      <c r="CH77" s="2864">
        <v>11</v>
      </c>
      <c r="CI77" s="567">
        <v>0</v>
      </c>
      <c r="CJ77" s="573">
        <v>0</v>
      </c>
      <c r="CK77" s="573">
        <v>0</v>
      </c>
      <c r="CL77" s="574">
        <v>0</v>
      </c>
      <c r="CM77" s="367"/>
    </row>
    <row r="78" spans="1:97">
      <c r="A78" s="492" t="s">
        <v>1005</v>
      </c>
      <c r="B78" s="405"/>
      <c r="C78" s="405"/>
      <c r="D78" s="405"/>
      <c r="E78" s="405">
        <f t="shared" ref="E78:X78" si="209">+E52+E76+E77</f>
        <v>-691.49699999999996</v>
      </c>
      <c r="F78" s="405">
        <f t="shared" si="209"/>
        <v>-709.13800000000015</v>
      </c>
      <c r="G78" s="405">
        <f t="shared" si="209"/>
        <v>44.894539334424593</v>
      </c>
      <c r="H78" s="405">
        <f t="shared" si="209"/>
        <v>-207.63099999999901</v>
      </c>
      <c r="I78" s="405">
        <f t="shared" si="209"/>
        <v>2776.1450000000023</v>
      </c>
      <c r="J78" s="405">
        <f t="shared" si="209"/>
        <v>2847.4149999999963</v>
      </c>
      <c r="K78" s="405">
        <f t="shared" si="209"/>
        <v>3005</v>
      </c>
      <c r="L78" s="405">
        <f t="shared" ca="1" si="209"/>
        <v>2780.5499999999993</v>
      </c>
      <c r="M78" s="405">
        <f t="shared" si="209"/>
        <v>3107.5</v>
      </c>
      <c r="N78" s="405">
        <f t="shared" si="209"/>
        <v>2718</v>
      </c>
      <c r="O78" s="405">
        <f t="shared" si="209"/>
        <v>1338</v>
      </c>
      <c r="P78" s="405">
        <f t="shared" si="209"/>
        <v>1472</v>
      </c>
      <c r="Q78" s="405">
        <f t="shared" si="209"/>
        <v>1020</v>
      </c>
      <c r="R78" s="405">
        <f t="shared" si="209"/>
        <v>655</v>
      </c>
      <c r="S78" s="405">
        <f t="shared" si="209"/>
        <v>804.35180349665507</v>
      </c>
      <c r="T78" s="405">
        <f t="shared" si="209"/>
        <v>1417.2846582272314</v>
      </c>
      <c r="U78" s="405">
        <f t="shared" si="209"/>
        <v>1867.6390179357338</v>
      </c>
      <c r="V78" s="405">
        <f t="shared" si="209"/>
        <v>2086.9928140665024</v>
      </c>
      <c r="W78" s="405">
        <f t="shared" si="209"/>
        <v>2334.6665509515865</v>
      </c>
      <c r="X78" s="405">
        <f t="shared" si="209"/>
        <v>2589.0420474640778</v>
      </c>
      <c r="Y78" s="2279"/>
      <c r="Z78" s="2281"/>
      <c r="AA78" s="2288"/>
      <c r="AB78" s="405"/>
      <c r="AC78" s="405"/>
      <c r="AD78" s="406">
        <f t="shared" ref="AD78:BI78" si="210">+AD52+AD76+AD77</f>
        <v>140.57199999999997</v>
      </c>
      <c r="AE78" s="428">
        <f t="shared" si="210"/>
        <v>135.37699999999995</v>
      </c>
      <c r="AF78" s="405">
        <f t="shared" si="210"/>
        <v>135.13699999999994</v>
      </c>
      <c r="AG78" s="405">
        <f t="shared" si="210"/>
        <v>131.59400000000005</v>
      </c>
      <c r="AH78" s="406">
        <f t="shared" si="210"/>
        <v>138.05599999999998</v>
      </c>
      <c r="AI78" s="428">
        <f t="shared" si="210"/>
        <v>129.85300000000001</v>
      </c>
      <c r="AJ78" s="405">
        <f t="shared" si="210"/>
        <v>138.179</v>
      </c>
      <c r="AK78" s="405">
        <f t="shared" si="210"/>
        <v>160.67600000000004</v>
      </c>
      <c r="AL78" s="406">
        <f t="shared" si="210"/>
        <v>130.36399999999998</v>
      </c>
      <c r="AM78" s="405">
        <f t="shared" si="210"/>
        <v>404.43012529279844</v>
      </c>
      <c r="AN78" s="417">
        <f t="shared" si="210"/>
        <v>430.56141404162554</v>
      </c>
      <c r="AO78" s="417">
        <f t="shared" si="210"/>
        <v>381.76499999999987</v>
      </c>
      <c r="AP78" s="417">
        <f t="shared" si="210"/>
        <v>414.71300000000008</v>
      </c>
      <c r="AQ78" s="428">
        <f t="shared" si="210"/>
        <v>329.16200000000009</v>
      </c>
      <c r="AR78" s="405">
        <f t="shared" si="210"/>
        <v>357.07799999999969</v>
      </c>
      <c r="AS78" s="405">
        <f t="shared" si="210"/>
        <v>373.29700000000014</v>
      </c>
      <c r="AT78" s="406">
        <f t="shared" si="210"/>
        <v>346.99900000000014</v>
      </c>
      <c r="AU78" s="428">
        <f t="shared" si="210"/>
        <v>708.61399999999958</v>
      </c>
      <c r="AV78" s="405">
        <f t="shared" si="210"/>
        <v>712.57300000000032</v>
      </c>
      <c r="AW78" s="493">
        <f t="shared" si="210"/>
        <v>584.07300000000032</v>
      </c>
      <c r="AX78" s="494">
        <f t="shared" si="210"/>
        <v>770.88500000000045</v>
      </c>
      <c r="AY78" s="472">
        <f t="shared" si="210"/>
        <v>790.72299999999927</v>
      </c>
      <c r="AZ78" s="474">
        <f t="shared" si="210"/>
        <v>700.36299999999994</v>
      </c>
      <c r="BA78" s="473">
        <f t="shared" si="210"/>
        <v>671.64899999999943</v>
      </c>
      <c r="BB78" s="474">
        <f t="shared" si="210"/>
        <v>684.68000000000006</v>
      </c>
      <c r="BC78" s="472">
        <f t="shared" si="210"/>
        <v>788</v>
      </c>
      <c r="BD78" s="474">
        <f t="shared" si="210"/>
        <v>748</v>
      </c>
      <c r="BE78" s="474">
        <f t="shared" si="210"/>
        <v>749</v>
      </c>
      <c r="BF78" s="474">
        <f t="shared" si="210"/>
        <v>720</v>
      </c>
      <c r="BG78" s="472">
        <f t="shared" ca="1" si="210"/>
        <v>793.80000000000018</v>
      </c>
      <c r="BH78" s="474">
        <f t="shared" si="210"/>
        <v>701</v>
      </c>
      <c r="BI78" s="474">
        <f t="shared" si="210"/>
        <v>617</v>
      </c>
      <c r="BJ78" s="494">
        <f t="shared" ref="BJ78:CL78" si="211">+BJ52+BJ76+BJ77</f>
        <v>561</v>
      </c>
      <c r="BK78" s="474">
        <f t="shared" si="211"/>
        <v>691</v>
      </c>
      <c r="BL78" s="474">
        <f t="shared" si="211"/>
        <v>657</v>
      </c>
      <c r="BM78" s="474">
        <f t="shared" si="211"/>
        <v>678</v>
      </c>
      <c r="BN78" s="474">
        <f t="shared" si="211"/>
        <v>669</v>
      </c>
      <c r="BO78" s="472">
        <f t="shared" si="211"/>
        <v>783</v>
      </c>
      <c r="BP78" s="474">
        <f t="shared" si="211"/>
        <v>690</v>
      </c>
      <c r="BQ78" s="474">
        <f t="shared" si="211"/>
        <v>618</v>
      </c>
      <c r="BR78" s="474">
        <f t="shared" si="211"/>
        <v>627</v>
      </c>
      <c r="BS78" s="472">
        <f t="shared" si="211"/>
        <v>359</v>
      </c>
      <c r="BT78" s="474">
        <f t="shared" si="211"/>
        <v>401</v>
      </c>
      <c r="BU78" s="474">
        <f t="shared" si="211"/>
        <v>328</v>
      </c>
      <c r="BV78" s="494">
        <f t="shared" si="211"/>
        <v>250</v>
      </c>
      <c r="BW78" s="472">
        <f t="shared" si="211"/>
        <v>369</v>
      </c>
      <c r="BX78" s="474">
        <f t="shared" si="211"/>
        <v>251</v>
      </c>
      <c r="BY78" s="474">
        <f t="shared" si="211"/>
        <v>407</v>
      </c>
      <c r="BZ78" s="494">
        <f t="shared" si="211"/>
        <v>445</v>
      </c>
      <c r="CA78" s="474">
        <f t="shared" si="211"/>
        <v>380</v>
      </c>
      <c r="CB78" s="474">
        <f t="shared" si="211"/>
        <v>317</v>
      </c>
      <c r="CC78" s="474">
        <f t="shared" si="211"/>
        <v>249</v>
      </c>
      <c r="CD78" s="494">
        <f t="shared" si="211"/>
        <v>74</v>
      </c>
      <c r="CE78" s="474">
        <f t="shared" si="211"/>
        <v>307</v>
      </c>
      <c r="CF78" s="474">
        <f t="shared" si="211"/>
        <v>40</v>
      </c>
      <c r="CG78" s="474">
        <f t="shared" si="211"/>
        <v>139</v>
      </c>
      <c r="CH78" s="474">
        <f t="shared" si="211"/>
        <v>169</v>
      </c>
      <c r="CI78" s="472">
        <f t="shared" si="211"/>
        <v>117.68024312500063</v>
      </c>
      <c r="CJ78" s="474">
        <f t="shared" si="211"/>
        <v>178.61475301974963</v>
      </c>
      <c r="CK78" s="474">
        <f t="shared" si="211"/>
        <v>220.66540899244785</v>
      </c>
      <c r="CL78" s="494">
        <f t="shared" si="211"/>
        <v>287.39139835945798</v>
      </c>
      <c r="CM78" s="367"/>
    </row>
    <row r="79" spans="1:97" hidden="1" outlineLevel="1">
      <c r="A79" s="418" t="s">
        <v>993</v>
      </c>
      <c r="B79" s="399"/>
      <c r="C79" s="399"/>
      <c r="D79" s="399"/>
      <c r="E79" s="409"/>
      <c r="F79" s="409">
        <f t="shared" ref="F79:Q79" si="212">+F78/E78-1</f>
        <v>2.5511318198054633E-2</v>
      </c>
      <c r="G79" s="409">
        <f t="shared" si="212"/>
        <v>-1.063308607541021</v>
      </c>
      <c r="H79" s="409">
        <f t="shared" si="212"/>
        <v>-5.6248609091037061</v>
      </c>
      <c r="I79" s="409">
        <f t="shared" si="212"/>
        <v>-14.370570868512003</v>
      </c>
      <c r="J79" s="409">
        <f t="shared" si="212"/>
        <v>2.5672290172161105E-2</v>
      </c>
      <c r="K79" s="409">
        <f t="shared" si="212"/>
        <v>5.53431796910544E-2</v>
      </c>
      <c r="L79" s="409">
        <f t="shared" ca="1" si="212"/>
        <v>-7.4692179700499461E-2</v>
      </c>
      <c r="M79" s="409">
        <f t="shared" ca="1" si="212"/>
        <v>0.11758465051878253</v>
      </c>
      <c r="N79" s="409">
        <f t="shared" si="212"/>
        <v>-0.12534191472244571</v>
      </c>
      <c r="O79" s="409">
        <f t="shared" si="212"/>
        <v>-0.50772626931567322</v>
      </c>
      <c r="P79" s="409">
        <f t="shared" si="212"/>
        <v>0.1001494768310911</v>
      </c>
      <c r="Q79" s="409">
        <f t="shared" si="212"/>
        <v>-0.30706521739130432</v>
      </c>
      <c r="R79" s="409">
        <f t="shared" ref="R79:X79" si="213">+R78/Q78-1</f>
        <v>-0.35784313725490191</v>
      </c>
      <c r="S79" s="409">
        <f t="shared" si="213"/>
        <v>0.22801802060558019</v>
      </c>
      <c r="T79" s="409">
        <f t="shared" si="213"/>
        <v>0.76202086209796782</v>
      </c>
      <c r="U79" s="409">
        <f t="shared" si="213"/>
        <v>0.31775857947394615</v>
      </c>
      <c r="V79" s="409">
        <f t="shared" si="213"/>
        <v>0.11744978233171421</v>
      </c>
      <c r="W79" s="409">
        <f t="shared" si="213"/>
        <v>0.11867493515825389</v>
      </c>
      <c r="X79" s="409">
        <f t="shared" si="213"/>
        <v>0.10895581487164008</v>
      </c>
      <c r="Y79" s="2279"/>
      <c r="Z79" s="407"/>
      <c r="AA79" s="2288"/>
      <c r="AB79" s="409"/>
      <c r="AC79" s="409"/>
      <c r="AD79" s="419"/>
      <c r="AE79" s="420"/>
      <c r="AF79" s="409"/>
      <c r="AG79" s="409"/>
      <c r="AH79" s="419">
        <f t="shared" ref="AH79:BY79" si="214">+AH78/AD78-1</f>
        <v>-1.7898301226417668E-2</v>
      </c>
      <c r="AI79" s="420">
        <f t="shared" si="214"/>
        <v>-4.0804567984221496E-2</v>
      </c>
      <c r="AJ79" s="409">
        <f t="shared" si="214"/>
        <v>2.2510489355247243E-2</v>
      </c>
      <c r="AK79" s="409">
        <f t="shared" si="214"/>
        <v>0.22099791783819911</v>
      </c>
      <c r="AL79" s="419">
        <f t="shared" si="214"/>
        <v>-5.5716520832126193E-2</v>
      </c>
      <c r="AM79" s="409">
        <f t="shared" si="214"/>
        <v>2.1145227703079512</v>
      </c>
      <c r="AN79" s="424">
        <f t="shared" si="214"/>
        <v>2.1159685193960409</v>
      </c>
      <c r="AO79" s="424">
        <f t="shared" si="214"/>
        <v>1.3759926809230985</v>
      </c>
      <c r="AP79" s="424">
        <f t="shared" si="214"/>
        <v>2.1811926605504599</v>
      </c>
      <c r="AQ79" s="420">
        <f t="shared" si="214"/>
        <v>-0.18610909669082121</v>
      </c>
      <c r="AR79" s="409">
        <f t="shared" si="214"/>
        <v>-0.17066883293569279</v>
      </c>
      <c r="AS79" s="409">
        <f t="shared" si="214"/>
        <v>-2.2181184760257544E-2</v>
      </c>
      <c r="AT79" s="419">
        <f t="shared" si="214"/>
        <v>-0.16327918343529124</v>
      </c>
      <c r="AU79" s="420">
        <f t="shared" si="214"/>
        <v>1.1527819128574968</v>
      </c>
      <c r="AV79" s="409">
        <f t="shared" si="214"/>
        <v>0.99556679492996181</v>
      </c>
      <c r="AW79" s="371">
        <f t="shared" si="214"/>
        <v>0.56463352236958797</v>
      </c>
      <c r="AX79" s="421">
        <f t="shared" si="214"/>
        <v>1.2215770074265349</v>
      </c>
      <c r="AY79" s="422">
        <f t="shared" si="214"/>
        <v>0.11587267539167967</v>
      </c>
      <c r="AZ79" s="430">
        <f t="shared" si="214"/>
        <v>-1.7135086510435271E-2</v>
      </c>
      <c r="BA79" s="477">
        <f t="shared" si="214"/>
        <v>0.14994016158938872</v>
      </c>
      <c r="BB79" s="430">
        <f t="shared" si="214"/>
        <v>-0.11182601814797322</v>
      </c>
      <c r="BC79" s="1886" t="s">
        <v>1145</v>
      </c>
      <c r="BD79" s="1834" t="s">
        <v>1145</v>
      </c>
      <c r="BE79" s="1834" t="s">
        <v>1145</v>
      </c>
      <c r="BF79" s="1834" t="s">
        <v>1145</v>
      </c>
      <c r="BG79" s="422">
        <f t="shared" ca="1" si="214"/>
        <v>7.3604060913707858E-3</v>
      </c>
      <c r="BH79" s="430">
        <f t="shared" si="214"/>
        <v>-6.283422459893051E-2</v>
      </c>
      <c r="BI79" s="430">
        <f t="shared" si="214"/>
        <v>-0.17623497997329773</v>
      </c>
      <c r="BJ79" s="421">
        <f t="shared" si="214"/>
        <v>-0.22083333333333333</v>
      </c>
      <c r="BK79" s="430">
        <f t="shared" ca="1" si="214"/>
        <v>-0.12950365331317737</v>
      </c>
      <c r="BL79" s="430">
        <f t="shared" si="214"/>
        <v>-6.2767475035663378E-2</v>
      </c>
      <c r="BM79" s="430">
        <f t="shared" si="214"/>
        <v>9.886547811993518E-2</v>
      </c>
      <c r="BN79" s="430">
        <f t="shared" si="214"/>
        <v>0.19251336898395732</v>
      </c>
      <c r="BO79" s="422">
        <f t="shared" si="214"/>
        <v>0.13314037626628084</v>
      </c>
      <c r="BP79" s="430">
        <f t="shared" si="214"/>
        <v>5.0228310502283158E-2</v>
      </c>
      <c r="BQ79" s="430">
        <f t="shared" si="214"/>
        <v>-8.8495575221238965E-2</v>
      </c>
      <c r="BR79" s="430">
        <f t="shared" si="214"/>
        <v>-6.2780269058295923E-2</v>
      </c>
      <c r="BS79" s="422">
        <f t="shared" si="214"/>
        <v>-0.54150702426564501</v>
      </c>
      <c r="BT79" s="430">
        <f t="shared" si="214"/>
        <v>-0.41884057971014488</v>
      </c>
      <c r="BU79" s="430">
        <f t="shared" si="214"/>
        <v>-0.46925566343042069</v>
      </c>
      <c r="BV79" s="421">
        <f t="shared" si="214"/>
        <v>-0.60127591706539074</v>
      </c>
      <c r="BW79" s="422">
        <f t="shared" si="214"/>
        <v>2.7855153203342642E-2</v>
      </c>
      <c r="BX79" s="430">
        <f t="shared" si="214"/>
        <v>-0.37406483790523692</v>
      </c>
      <c r="BY79" s="430">
        <f t="shared" si="214"/>
        <v>0.24085365853658547</v>
      </c>
      <c r="BZ79" s="421">
        <f t="shared" ref="BZ79:CF79" si="215">+BZ78/BV78-1</f>
        <v>0.78</v>
      </c>
      <c r="CA79" s="430">
        <f t="shared" si="215"/>
        <v>2.9810298102981081E-2</v>
      </c>
      <c r="CB79" s="430">
        <f t="shared" si="215"/>
        <v>0.26294820717131473</v>
      </c>
      <c r="CC79" s="430">
        <f t="shared" si="215"/>
        <v>-0.3882063882063882</v>
      </c>
      <c r="CD79" s="421">
        <f>+CD78/BZ78-1</f>
        <v>-0.83370786516853934</v>
      </c>
      <c r="CE79" s="430">
        <f>+CE78/CA78-1</f>
        <v>-0.19210526315789478</v>
      </c>
      <c r="CF79" s="430">
        <f t="shared" si="215"/>
        <v>-0.87381703470031546</v>
      </c>
      <c r="CG79" s="430">
        <f>+CG78/CC78-1</f>
        <v>-0.44176706827309242</v>
      </c>
      <c r="CH79" s="430">
        <f t="shared" ref="CH79" si="216">+CH78/CD78-1</f>
        <v>1.2837837837837838</v>
      </c>
      <c r="CI79" s="422">
        <f>+CI78/CE78-1</f>
        <v>-0.61667673249185462</v>
      </c>
      <c r="CJ79" s="430">
        <f>+CJ78/CF78-1</f>
        <v>3.4653688254937407</v>
      </c>
      <c r="CK79" s="430">
        <f>+CK78/CG78-1</f>
        <v>0.58752092800322187</v>
      </c>
      <c r="CL79" s="421">
        <f>+CL78/CH78-1</f>
        <v>0.70054081869501772</v>
      </c>
      <c r="CM79" s="367"/>
    </row>
    <row r="80" spans="1:97" hidden="1" outlineLevel="1">
      <c r="A80" s="418" t="s">
        <v>1001</v>
      </c>
      <c r="B80" s="409"/>
      <c r="C80" s="409"/>
      <c r="D80" s="409"/>
      <c r="E80" s="409">
        <f t="shared" ref="E80:O80" si="217">+E78/E$25</f>
        <v>-0.58640003934791018</v>
      </c>
      <c r="F80" s="409">
        <f t="shared" si="217"/>
        <v>-0.58556020352721061</v>
      </c>
      <c r="G80" s="409">
        <f t="shared" si="217"/>
        <v>6.5558423214921377E-3</v>
      </c>
      <c r="H80" s="409">
        <f t="shared" si="217"/>
        <v>-3.0130916409058559E-2</v>
      </c>
      <c r="I80" s="409">
        <f t="shared" si="217"/>
        <v>0.12786969800284051</v>
      </c>
      <c r="J80" s="409">
        <f t="shared" si="217"/>
        <v>0.1433688913903037</v>
      </c>
      <c r="K80" s="409">
        <f t="shared" si="217"/>
        <v>0.15464978642375585</v>
      </c>
      <c r="L80" s="409">
        <f t="shared" ca="1" si="217"/>
        <v>0.14875774403749234</v>
      </c>
      <c r="M80" s="409">
        <f t="shared" si="217"/>
        <v>0.16909724111661315</v>
      </c>
      <c r="N80" s="409">
        <f>+N78/N$25</f>
        <v>0.15020723956894169</v>
      </c>
      <c r="O80" s="409">
        <f t="shared" si="217"/>
        <v>7.4222000332834076E-2</v>
      </c>
      <c r="P80" s="409">
        <f t="shared" ref="P80:U80" si="218">+P78/P$25</f>
        <v>8.2234636871508379E-2</v>
      </c>
      <c r="Q80" s="409">
        <f t="shared" si="218"/>
        <v>5.838580423583286E-2</v>
      </c>
      <c r="R80" s="409">
        <f>+R78/R$25</f>
        <v>3.5718180826698656E-2</v>
      </c>
      <c r="S80" s="409">
        <f>+S78/S$25</f>
        <v>3.3739173405781635E-2</v>
      </c>
      <c r="T80" s="409">
        <f t="shared" si="218"/>
        <v>6.00872056182533E-2</v>
      </c>
      <c r="U80" s="409">
        <f t="shared" si="218"/>
        <v>7.984640239338904E-2</v>
      </c>
      <c r="V80" s="409">
        <f>+V78/V$25</f>
        <v>8.9805482585158997E-2</v>
      </c>
      <c r="W80" s="409">
        <f>+W78/W$25</f>
        <v>0.10077231230042454</v>
      </c>
      <c r="X80" s="409">
        <f>+X78/X$25</f>
        <v>0.11198251729177428</v>
      </c>
      <c r="Y80" s="2279"/>
      <c r="Z80" s="407"/>
      <c r="AA80" s="2288"/>
      <c r="AB80" s="409"/>
      <c r="AC80" s="409"/>
      <c r="AD80" s="419">
        <f t="shared" ref="AD80:BF80" si="219">+AD78/AD$25</f>
        <v>0.23385675998955252</v>
      </c>
      <c r="AE80" s="420">
        <f t="shared" si="219"/>
        <v>0.22802103405063798</v>
      </c>
      <c r="AF80" s="409">
        <f t="shared" si="219"/>
        <v>0.22390171566800035</v>
      </c>
      <c r="AG80" s="409">
        <f t="shared" si="219"/>
        <v>0.21665415415415423</v>
      </c>
      <c r="AH80" s="419">
        <f t="shared" si="219"/>
        <v>0.22772724723456614</v>
      </c>
      <c r="AI80" s="420">
        <f t="shared" si="219"/>
        <v>0.21813695021855187</v>
      </c>
      <c r="AJ80" s="409">
        <f t="shared" si="219"/>
        <v>0.22786285914055274</v>
      </c>
      <c r="AK80" s="409">
        <f t="shared" si="219"/>
        <v>0.24452848566015056</v>
      </c>
      <c r="AL80" s="419">
        <f t="shared" si="219"/>
        <v>0.21010456555654403</v>
      </c>
      <c r="AM80" s="409">
        <f t="shared" si="219"/>
        <v>0.19046911785213483</v>
      </c>
      <c r="AN80" s="424">
        <f t="shared" si="219"/>
        <v>0.20491888132706887</v>
      </c>
      <c r="AO80" s="424">
        <f t="shared" si="219"/>
        <v>0.18175546744669663</v>
      </c>
      <c r="AP80" s="424">
        <f t="shared" si="219"/>
        <v>0.1965748603471118</v>
      </c>
      <c r="AQ80" s="420">
        <f t="shared" si="219"/>
        <v>0.15818593799183514</v>
      </c>
      <c r="AR80" s="409">
        <f t="shared" si="219"/>
        <v>0.16834392364041281</v>
      </c>
      <c r="AS80" s="409">
        <f t="shared" si="219"/>
        <v>0.17113463218823957</v>
      </c>
      <c r="AT80" s="419">
        <f t="shared" si="219"/>
        <v>0.16353637351626846</v>
      </c>
      <c r="AU80" s="420">
        <f t="shared" si="219"/>
        <v>0.12875430580705691</v>
      </c>
      <c r="AV80" s="409">
        <f t="shared" si="219"/>
        <v>0.13006543857314676</v>
      </c>
      <c r="AW80" s="371">
        <f t="shared" si="219"/>
        <v>0.10742416002139392</v>
      </c>
      <c r="AX80" s="421">
        <f t="shared" si="219"/>
        <v>0.1456843594053378</v>
      </c>
      <c r="AY80" s="422">
        <f t="shared" si="219"/>
        <v>0.15496481497558975</v>
      </c>
      <c r="AZ80" s="430">
        <f t="shared" si="219"/>
        <v>0.14017316022514553</v>
      </c>
      <c r="BA80" s="477">
        <f t="shared" si="219"/>
        <v>0.1362834228667954</v>
      </c>
      <c r="BB80" s="430">
        <f t="shared" si="219"/>
        <v>0.14165527377693329</v>
      </c>
      <c r="BC80" s="422">
        <f t="shared" si="219"/>
        <v>0.16039079991858335</v>
      </c>
      <c r="BD80" s="430">
        <f t="shared" si="219"/>
        <v>0.15409971157807995</v>
      </c>
      <c r="BE80" s="430">
        <f t="shared" si="219"/>
        <v>0.15421041795346921</v>
      </c>
      <c r="BF80" s="430">
        <f t="shared" si="219"/>
        <v>0.1497815685458706</v>
      </c>
      <c r="BG80" s="422">
        <f t="shared" ref="BG80:BN80" ca="1" si="220">+BG78/BG$25</f>
        <v>0.16758148961324104</v>
      </c>
      <c r="BH80" s="430">
        <f t="shared" si="220"/>
        <v>0.1501392161062326</v>
      </c>
      <c r="BI80" s="430">
        <f t="shared" si="220"/>
        <v>0.13317504856464493</v>
      </c>
      <c r="BJ80" s="421">
        <f t="shared" si="220"/>
        <v>0.12056737588652482</v>
      </c>
      <c r="BK80" s="430">
        <f t="shared" si="220"/>
        <v>0.14989154013015185</v>
      </c>
      <c r="BL80" s="430">
        <f t="shared" si="220"/>
        <v>0.14245446660884648</v>
      </c>
      <c r="BM80" s="430">
        <f t="shared" si="220"/>
        <v>0.14832640560052504</v>
      </c>
      <c r="BN80" s="430">
        <f t="shared" si="220"/>
        <v>0.14594240837696335</v>
      </c>
      <c r="BO80" s="422">
        <f t="shared" ref="BO80:BV80" si="221">+BO78/BO$25</f>
        <v>0.17349878129847107</v>
      </c>
      <c r="BP80" s="430">
        <f t="shared" si="221"/>
        <v>0.15248618784530388</v>
      </c>
      <c r="BQ80" s="430">
        <f t="shared" si="221"/>
        <v>0.13687707641196012</v>
      </c>
      <c r="BR80" s="430">
        <f t="shared" si="221"/>
        <v>0.1380449141347424</v>
      </c>
      <c r="BS80" s="422">
        <f t="shared" si="221"/>
        <v>7.9109739973556636E-2</v>
      </c>
      <c r="BT80" s="430">
        <f t="shared" si="221"/>
        <v>8.8325991189427314E-2</v>
      </c>
      <c r="BU80" s="430">
        <f t="shared" si="221"/>
        <v>7.2678927542654551E-2</v>
      </c>
      <c r="BV80" s="421">
        <f t="shared" si="221"/>
        <v>5.6357078449053202E-2</v>
      </c>
      <c r="BW80" s="422">
        <f>+BW78/BW$25</f>
        <v>8.2902718490226915E-2</v>
      </c>
      <c r="BX80" s="430">
        <f>+BX78/BX$25</f>
        <v>5.6800181036433584E-2</v>
      </c>
      <c r="BY80" s="430">
        <f>+BY78/BY$25</f>
        <v>8.9371980676328497E-2</v>
      </c>
      <c r="BZ80" s="421">
        <f>+BZ78/BZ$25</f>
        <v>9.9419124218051838E-2</v>
      </c>
      <c r="CA80" s="430">
        <f t="shared" ref="CA80:CD80" si="222">+CA78/CA$25</f>
        <v>8.6344012724380817E-2</v>
      </c>
      <c r="CB80" s="430">
        <f t="shared" si="222"/>
        <v>7.2078217371532513E-2</v>
      </c>
      <c r="CC80" s="430">
        <f t="shared" si="222"/>
        <v>5.6823368324965769E-2</v>
      </c>
      <c r="CD80" s="421">
        <f t="shared" si="222"/>
        <v>1.725343903007694E-2</v>
      </c>
      <c r="CE80" s="430">
        <f>+CE78/CE$25</f>
        <v>7.2938940365882637E-2</v>
      </c>
      <c r="CF80" s="430">
        <f>+CF78/CF$25</f>
        <v>9.7799511002444987E-3</v>
      </c>
      <c r="CG80" s="430">
        <f>+CG78/CG$25</f>
        <v>3.4457114526524543E-2</v>
      </c>
      <c r="CH80" s="430">
        <f t="shared" ref="CH80" si="223">+CH78/CH$25</f>
        <v>2.8143213988343047E-2</v>
      </c>
      <c r="CI80" s="422">
        <f>+CI78/CI$25</f>
        <v>1.9664435839229302E-2</v>
      </c>
      <c r="CJ80" s="430">
        <f>+CJ78/CJ$25</f>
        <v>2.9936376862577486E-2</v>
      </c>
      <c r="CK80" s="430">
        <f>+CK78/CK$25</f>
        <v>3.7079667085960104E-2</v>
      </c>
      <c r="CL80" s="421">
        <f>+CL78/CL$25</f>
        <v>4.8396413593053376E-2</v>
      </c>
      <c r="CM80" s="367"/>
    </row>
    <row r="81" spans="1:91" collapsed="1">
      <c r="A81" s="1706" t="s">
        <v>1006</v>
      </c>
      <c r="B81" s="408"/>
      <c r="C81" s="408"/>
      <c r="D81" s="408"/>
      <c r="E81" s="413">
        <f>SUM(AE81:AH81)</f>
        <v>-207.36099999999999</v>
      </c>
      <c r="F81" s="413">
        <f>SUM(AI81:AL81)</f>
        <v>-212.80200000000002</v>
      </c>
      <c r="G81" s="413">
        <f>SUM(AM81:AP81)</f>
        <v>-612.31150290590222</v>
      </c>
      <c r="H81" s="413">
        <f>SUM(AQ81:AT81)</f>
        <v>-517.27300000000002</v>
      </c>
      <c r="I81" s="1701">
        <f>SUM(AU81:AX81)</f>
        <v>-1041.403</v>
      </c>
      <c r="J81" s="1701">
        <f>SUM(AY81:BB81)</f>
        <v>-1042.924</v>
      </c>
      <c r="K81" s="1701">
        <f>+SUM(BC81:BF81)</f>
        <v>-1153</v>
      </c>
      <c r="L81" s="1744">
        <f>+SUM(BG81:BJ81)</f>
        <v>-1041</v>
      </c>
      <c r="M81" s="1727">
        <f>+SUM(BK81:BN81)</f>
        <v>-1040</v>
      </c>
      <c r="N81" s="1701">
        <f>+SUM(BO81:BR81)</f>
        <v>-1055</v>
      </c>
      <c r="O81" s="672">
        <f>+SUM(BS81:BV81)</f>
        <v>-338</v>
      </c>
      <c r="P81" s="672">
        <f>+SUM(BW81:BZ81)</f>
        <v>-438</v>
      </c>
      <c r="Q81" s="672">
        <f>+SUM(CA81:CD81)</f>
        <v>-394</v>
      </c>
      <c r="R81" s="672">
        <f>+SUM(CE81:CH81)</f>
        <v>849</v>
      </c>
      <c r="S81" s="672">
        <f>+SUM(CI81:CL81)</f>
        <v>-201.08795087416402</v>
      </c>
      <c r="T81" s="1701">
        <f>-T78*T82</f>
        <v>-340.14831797453553</v>
      </c>
      <c r="U81" s="1701">
        <f>-U78*U82</f>
        <v>-448.23336430457613</v>
      </c>
      <c r="V81" s="1701">
        <f>-V78*V82</f>
        <v>-500.87827537596058</v>
      </c>
      <c r="W81" s="1701">
        <f>-W78*W82</f>
        <v>-560.31997222838072</v>
      </c>
      <c r="X81" s="1701">
        <f>-X78*X82</f>
        <v>-621.37009139137865</v>
      </c>
      <c r="Y81" s="2279"/>
      <c r="Z81" s="2281"/>
      <c r="AA81" s="2288"/>
      <c r="AB81" s="413"/>
      <c r="AC81" s="413"/>
      <c r="AD81" s="414">
        <f>INPUTS_1!B78/1000</f>
        <v>-51.305</v>
      </c>
      <c r="AE81" s="490">
        <f>INPUTS_1!C78/1000</f>
        <v>-52.097999999999999</v>
      </c>
      <c r="AF81" s="413">
        <f>INPUTS_1!D78/1000</f>
        <v>-51.853000000000002</v>
      </c>
      <c r="AG81" s="413">
        <f>INPUTS_1!E78/1000</f>
        <v>-50.459000000000003</v>
      </c>
      <c r="AH81" s="414">
        <f>INPUTS_1!F78/1000</f>
        <v>-52.951000000000001</v>
      </c>
      <c r="AI81" s="490">
        <f>INPUTS_1!G78/1000</f>
        <v>-49.862000000000002</v>
      </c>
      <c r="AJ81" s="413">
        <f>INPUTS_1!H78/1000</f>
        <v>-53.061</v>
      </c>
      <c r="AK81" s="413">
        <f>INPUTS_1!I78/1000</f>
        <v>-61.698999999999998</v>
      </c>
      <c r="AL81" s="414">
        <f>INPUTS_1!J78/1000</f>
        <v>-48.18</v>
      </c>
      <c r="AM81" s="476">
        <f>INPUTS_1!K78/1000</f>
        <v>-158.61064435946008</v>
      </c>
      <c r="AN81" s="476">
        <f>INPUTS_1!L78/1000</f>
        <v>-168.75885854644207</v>
      </c>
      <c r="AO81" s="476">
        <f>INPUTS_1!M78/1000</f>
        <v>-143.678</v>
      </c>
      <c r="AP81" s="476">
        <f>INPUTS_1!N78/1000</f>
        <v>-141.26400000000001</v>
      </c>
      <c r="AQ81" s="490">
        <f>INPUTS_1!O78/1000</f>
        <v>-128.292</v>
      </c>
      <c r="AR81" s="413">
        <f>INPUTS_1!P78/1000</f>
        <v>-139.64400000000001</v>
      </c>
      <c r="AS81" s="413">
        <f>INPUTS_1!Q78/1000</f>
        <v>-145.16</v>
      </c>
      <c r="AT81" s="414">
        <f>INPUTS_1!R78/1000</f>
        <v>-104.17700000000001</v>
      </c>
      <c r="AU81" s="490">
        <f>INPUTS_1!S78/1000</f>
        <v>-263.41500000000002</v>
      </c>
      <c r="AV81" s="413">
        <f>INPUTS_1!T78/1000</f>
        <v>-272</v>
      </c>
      <c r="AW81" s="413">
        <f>INPUTS_1!U78/1000</f>
        <v>-207.23</v>
      </c>
      <c r="AX81" s="414">
        <f>INPUTS_1!V78/1000</f>
        <v>-298.75799999999998</v>
      </c>
      <c r="AY81" s="1725">
        <f>INPUTS_1!W78/1000</f>
        <v>-268.08800000000002</v>
      </c>
      <c r="AZ81" s="672">
        <f>INPUTS_1!X78/1000</f>
        <v>-269.98</v>
      </c>
      <c r="BA81" s="672">
        <f>INPUTS_1!Y78/1000</f>
        <v>-248.905</v>
      </c>
      <c r="BB81" s="672">
        <f>INPUTS_1!Z78/1000</f>
        <v>-255.95099999999999</v>
      </c>
      <c r="BC81" s="567">
        <f>-185-103</f>
        <v>-288</v>
      </c>
      <c r="BD81" s="577">
        <f>-195-102</f>
        <v>-297</v>
      </c>
      <c r="BE81" s="577">
        <f>-203-100</f>
        <v>-303</v>
      </c>
      <c r="BF81" s="577">
        <f>-161-104</f>
        <v>-265</v>
      </c>
      <c r="BG81" s="567">
        <f>-203-107</f>
        <v>-310</v>
      </c>
      <c r="BH81" s="573">
        <f>-174-99</f>
        <v>-273</v>
      </c>
      <c r="BI81" s="573">
        <f>-130-110</f>
        <v>-240</v>
      </c>
      <c r="BJ81" s="574">
        <f>-108-110</f>
        <v>-218</v>
      </c>
      <c r="BK81" s="573">
        <f>-157-111</f>
        <v>-268</v>
      </c>
      <c r="BL81" s="573">
        <f>-142-112</f>
        <v>-254</v>
      </c>
      <c r="BM81" s="573">
        <f>-153-112</f>
        <v>-265</v>
      </c>
      <c r="BN81" s="622">
        <f>-143-110</f>
        <v>-253</v>
      </c>
      <c r="BO81" s="2865">
        <f>-199-109</f>
        <v>-308</v>
      </c>
      <c r="BP81" s="2855">
        <f>-165-108</f>
        <v>-273</v>
      </c>
      <c r="BQ81" s="2855">
        <f>-139-104</f>
        <v>-243</v>
      </c>
      <c r="BR81" s="2855">
        <f>-124-107</f>
        <v>-231</v>
      </c>
      <c r="BS81" s="2865">
        <v>-128</v>
      </c>
      <c r="BT81" s="2855">
        <v>-130</v>
      </c>
      <c r="BU81" s="2855">
        <v>-111</v>
      </c>
      <c r="BV81" s="2866">
        <v>31</v>
      </c>
      <c r="BW81" s="2865">
        <v>-131</v>
      </c>
      <c r="BX81" s="2855">
        <v>-91</v>
      </c>
      <c r="BY81" s="2855">
        <v>-107</v>
      </c>
      <c r="BZ81" s="2866">
        <v>-109</v>
      </c>
      <c r="CA81" s="2855">
        <v>-144</v>
      </c>
      <c r="CB81" s="2855">
        <v>-121</v>
      </c>
      <c r="CC81" s="2855">
        <v>-97</v>
      </c>
      <c r="CD81" s="2866">
        <v>-32</v>
      </c>
      <c r="CE81" s="2855">
        <v>-144</v>
      </c>
      <c r="CF81" s="2855">
        <v>-23</v>
      </c>
      <c r="CG81" s="2855">
        <v>-47</v>
      </c>
      <c r="CH81" s="2855">
        <v>1063</v>
      </c>
      <c r="CI81" s="1725">
        <f>-CI78*CI83</f>
        <v>-29.420060781250157</v>
      </c>
      <c r="CJ81" s="1701">
        <f>-CJ78*CJ83</f>
        <v>-44.653688254937407</v>
      </c>
      <c r="CK81" s="1701">
        <f>-CK78*CK83</f>
        <v>-55.166352248111963</v>
      </c>
      <c r="CL81" s="1702">
        <f>-CL78*CL83</f>
        <v>-71.847849589864495</v>
      </c>
      <c r="CM81" s="367"/>
    </row>
    <row r="82" spans="1:91">
      <c r="A82" s="1687" t="s">
        <v>496</v>
      </c>
      <c r="B82" s="409"/>
      <c r="C82" s="409"/>
      <c r="D82" s="409"/>
      <c r="E82" s="409">
        <f t="shared" ref="E82:R82" si="224">-E81/E78</f>
        <v>-0.29987259525348631</v>
      </c>
      <c r="F82" s="409">
        <f t="shared" si="224"/>
        <v>-0.3000854558633157</v>
      </c>
      <c r="G82" s="409">
        <f t="shared" si="224"/>
        <v>13.638885975524179</v>
      </c>
      <c r="H82" s="409">
        <f t="shared" si="224"/>
        <v>-2.4913091012421194</v>
      </c>
      <c r="I82" s="1688">
        <f t="shared" si="224"/>
        <v>0.37512557881522729</v>
      </c>
      <c r="J82" s="1688">
        <f t="shared" si="224"/>
        <v>0.3662704593464603</v>
      </c>
      <c r="K82" s="1688">
        <f t="shared" si="224"/>
        <v>0.38369384359400999</v>
      </c>
      <c r="L82" s="1688">
        <f t="shared" ca="1" si="224"/>
        <v>0.37438636241031459</v>
      </c>
      <c r="M82" s="1688">
        <f t="shared" si="224"/>
        <v>0.33467417538214</v>
      </c>
      <c r="N82" s="1688">
        <f t="shared" si="224"/>
        <v>0.38815305371596764</v>
      </c>
      <c r="O82" s="1688">
        <f t="shared" si="224"/>
        <v>0.25261584454409569</v>
      </c>
      <c r="P82" s="1688">
        <f t="shared" si="224"/>
        <v>0.29755434782608697</v>
      </c>
      <c r="Q82" s="1688">
        <f t="shared" si="224"/>
        <v>0.38627450980392158</v>
      </c>
      <c r="R82" s="1688">
        <f t="shared" si="224"/>
        <v>-1.2961832061068703</v>
      </c>
      <c r="S82" s="1688">
        <f>-S81/S78</f>
        <v>0.25000000000000033</v>
      </c>
      <c r="T82" s="1688">
        <f>+S83</f>
        <v>0.24</v>
      </c>
      <c r="U82" s="1688">
        <f>+T82</f>
        <v>0.24</v>
      </c>
      <c r="V82" s="1688">
        <f>+U82</f>
        <v>0.24</v>
      </c>
      <c r="W82" s="1688">
        <f>+V82</f>
        <v>0.24</v>
      </c>
      <c r="X82" s="1688">
        <f>+W82</f>
        <v>0.24</v>
      </c>
      <c r="Y82" s="2279"/>
      <c r="Z82" s="591"/>
      <c r="AA82" s="2288"/>
      <c r="AB82" s="409"/>
      <c r="AC82" s="409"/>
      <c r="AD82" s="419">
        <f t="shared" ref="AD82:BI82" si="225">-AD81/AD78</f>
        <v>0.3649731098654071</v>
      </c>
      <c r="AE82" s="420">
        <f t="shared" si="225"/>
        <v>0.38483641977588523</v>
      </c>
      <c r="AF82" s="409">
        <f t="shared" si="225"/>
        <v>0.38370690484471331</v>
      </c>
      <c r="AG82" s="409">
        <f t="shared" si="225"/>
        <v>0.38344453394531652</v>
      </c>
      <c r="AH82" s="419">
        <f t="shared" si="225"/>
        <v>0.38354725618589564</v>
      </c>
      <c r="AI82" s="420">
        <f t="shared" si="225"/>
        <v>0.38398804802353431</v>
      </c>
      <c r="AJ82" s="409">
        <f t="shared" si="225"/>
        <v>0.38400191056528127</v>
      </c>
      <c r="AK82" s="409">
        <f t="shared" si="225"/>
        <v>0.38399636535636922</v>
      </c>
      <c r="AL82" s="419">
        <f t="shared" si="225"/>
        <v>0.36958055905004455</v>
      </c>
      <c r="AM82" s="409">
        <f t="shared" si="225"/>
        <v>0.39218306065758451</v>
      </c>
      <c r="AN82" s="424">
        <f t="shared" si="225"/>
        <v>0.39195072536185721</v>
      </c>
      <c r="AO82" s="424">
        <f t="shared" si="225"/>
        <v>0.37635194425890284</v>
      </c>
      <c r="AP82" s="424">
        <f t="shared" si="225"/>
        <v>0.34063074945805888</v>
      </c>
      <c r="AQ82" s="420">
        <f t="shared" si="225"/>
        <v>0.38975337371871593</v>
      </c>
      <c r="AR82" s="409">
        <f t="shared" si="225"/>
        <v>0.39107421907818496</v>
      </c>
      <c r="AS82" s="409">
        <f t="shared" si="225"/>
        <v>0.38885927291138139</v>
      </c>
      <c r="AT82" s="419">
        <f t="shared" si="225"/>
        <v>0.30022276721258551</v>
      </c>
      <c r="AU82" s="420">
        <f t="shared" si="225"/>
        <v>0.37173270638175393</v>
      </c>
      <c r="AV82" s="409">
        <f t="shared" si="225"/>
        <v>0.38171527689092888</v>
      </c>
      <c r="AW82" s="409">
        <f t="shared" si="225"/>
        <v>0.35480154021843141</v>
      </c>
      <c r="AX82" s="421">
        <f t="shared" si="225"/>
        <v>0.38755196948961235</v>
      </c>
      <c r="AY82" s="1690">
        <f t="shared" si="225"/>
        <v>0.33904161128486243</v>
      </c>
      <c r="AZ82" s="1688">
        <f t="shared" si="225"/>
        <v>0.38548581235730622</v>
      </c>
      <c r="BA82" s="1688">
        <f t="shared" si="225"/>
        <v>0.37058791124530849</v>
      </c>
      <c r="BB82" s="1688">
        <f t="shared" si="225"/>
        <v>0.37382572880761811</v>
      </c>
      <c r="BC82" s="1690">
        <f t="shared" si="225"/>
        <v>0.36548223350253806</v>
      </c>
      <c r="BD82" s="1688">
        <f t="shared" si="225"/>
        <v>0.39705882352941174</v>
      </c>
      <c r="BE82" s="1688">
        <f t="shared" si="225"/>
        <v>0.40453938584779708</v>
      </c>
      <c r="BF82" s="1688">
        <f t="shared" si="225"/>
        <v>0.36805555555555558</v>
      </c>
      <c r="BG82" s="1705">
        <f t="shared" ca="1" si="225"/>
        <v>0.39052658100277138</v>
      </c>
      <c r="BH82" s="1688">
        <f t="shared" si="225"/>
        <v>0.38944365192582026</v>
      </c>
      <c r="BI82" s="1688">
        <f t="shared" si="225"/>
        <v>0.38897893030794167</v>
      </c>
      <c r="BJ82" s="1689">
        <f t="shared" ref="BJ82:CF82" si="226">-BJ81/BJ78</f>
        <v>0.38859180035650626</v>
      </c>
      <c r="BK82" s="1688">
        <f t="shared" si="226"/>
        <v>0.38784370477568741</v>
      </c>
      <c r="BL82" s="1688">
        <f t="shared" si="226"/>
        <v>0.38660578386605782</v>
      </c>
      <c r="BM82" s="1688">
        <f t="shared" si="226"/>
        <v>0.39085545722713866</v>
      </c>
      <c r="BN82" s="1688">
        <f t="shared" si="226"/>
        <v>0.37817638266068759</v>
      </c>
      <c r="BO82" s="1705">
        <f t="shared" si="226"/>
        <v>0.39335887611749681</v>
      </c>
      <c r="BP82" s="1688">
        <f t="shared" si="226"/>
        <v>0.39565217391304347</v>
      </c>
      <c r="BQ82" s="1688">
        <f t="shared" si="226"/>
        <v>0.39320388349514562</v>
      </c>
      <c r="BR82" s="1688">
        <f t="shared" si="226"/>
        <v>0.36842105263157893</v>
      </c>
      <c r="BS82" s="1705">
        <f t="shared" si="226"/>
        <v>0.35654596100278552</v>
      </c>
      <c r="BT82" s="1688">
        <f t="shared" si="226"/>
        <v>0.32418952618453867</v>
      </c>
      <c r="BU82" s="1688">
        <f t="shared" si="226"/>
        <v>0.33841463414634149</v>
      </c>
      <c r="BV82" s="419">
        <f t="shared" si="226"/>
        <v>-0.124</v>
      </c>
      <c r="BW82" s="1705">
        <f t="shared" si="226"/>
        <v>0.35501355013550134</v>
      </c>
      <c r="BX82" s="1688">
        <f t="shared" si="226"/>
        <v>0.36254980079681276</v>
      </c>
      <c r="BY82" s="1688">
        <f t="shared" si="226"/>
        <v>0.26289926289926291</v>
      </c>
      <c r="BZ82" s="419">
        <f t="shared" si="226"/>
        <v>0.24494382022471911</v>
      </c>
      <c r="CA82" s="409">
        <f t="shared" si="226"/>
        <v>0.37894736842105264</v>
      </c>
      <c r="CB82" s="1688">
        <f t="shared" si="226"/>
        <v>0.38170347003154576</v>
      </c>
      <c r="CC82" s="1688">
        <f t="shared" si="226"/>
        <v>0.38955823293172692</v>
      </c>
      <c r="CD82" s="419">
        <f t="shared" si="226"/>
        <v>0.43243243243243246</v>
      </c>
      <c r="CE82" s="409">
        <f t="shared" si="226"/>
        <v>0.46905537459283386</v>
      </c>
      <c r="CF82" s="1688">
        <f t="shared" si="226"/>
        <v>0.57499999999999996</v>
      </c>
      <c r="CG82" s="1688">
        <f t="shared" ref="CG82" si="227">-CG81/CG78</f>
        <v>0.33812949640287771</v>
      </c>
      <c r="CH82" s="1688">
        <f t="shared" ref="CH82" si="228">-CH81/CH78</f>
        <v>-6.2899408284023668</v>
      </c>
      <c r="CI82" s="3840">
        <v>0.25</v>
      </c>
      <c r="CJ82" s="3746">
        <v>0.25</v>
      </c>
      <c r="CK82" s="3746">
        <v>0.25</v>
      </c>
      <c r="CL82" s="3745">
        <v>0.25</v>
      </c>
      <c r="CM82" s="367"/>
    </row>
    <row r="83" spans="1:91">
      <c r="A83" s="1712" t="s">
        <v>1007</v>
      </c>
      <c r="B83" s="440"/>
      <c r="C83" s="440"/>
      <c r="D83" s="440"/>
      <c r="E83" s="496">
        <v>0.35</v>
      </c>
      <c r="F83" s="496">
        <f>E83</f>
        <v>0.35</v>
      </c>
      <c r="G83" s="496">
        <f>F83</f>
        <v>0.35</v>
      </c>
      <c r="H83" s="496">
        <f>G83</f>
        <v>0.35</v>
      </c>
      <c r="I83" s="496">
        <v>0.35</v>
      </c>
      <c r="J83" s="496">
        <f>+I83</f>
        <v>0.35</v>
      </c>
      <c r="K83" s="496">
        <f t="shared" ref="K83:Q83" si="229">J83</f>
        <v>0.35</v>
      </c>
      <c r="L83" s="496">
        <f t="shared" si="229"/>
        <v>0.35</v>
      </c>
      <c r="M83" s="496">
        <f t="shared" si="229"/>
        <v>0.35</v>
      </c>
      <c r="N83" s="496">
        <f>M83</f>
        <v>0.35</v>
      </c>
      <c r="O83" s="2879">
        <f t="shared" si="229"/>
        <v>0.35</v>
      </c>
      <c r="P83" s="2879">
        <f t="shared" si="229"/>
        <v>0.35</v>
      </c>
      <c r="Q83" s="2879">
        <f t="shared" si="229"/>
        <v>0.35</v>
      </c>
      <c r="R83" s="2879">
        <f>Q83</f>
        <v>0.35</v>
      </c>
      <c r="S83" s="2879">
        <v>0.24</v>
      </c>
      <c r="T83" s="2854">
        <v>0.24</v>
      </c>
      <c r="U83" s="2854">
        <v>0.24</v>
      </c>
      <c r="V83" s="2854">
        <v>0.24</v>
      </c>
      <c r="W83" s="2854">
        <v>0.24</v>
      </c>
      <c r="X83" s="2854">
        <v>0.24</v>
      </c>
      <c r="Y83" s="2279"/>
      <c r="Z83" s="591"/>
      <c r="AA83" s="2288"/>
      <c r="AB83" s="409"/>
      <c r="AC83" s="409"/>
      <c r="AD83" s="497">
        <v>0.35</v>
      </c>
      <c r="AE83" s="463">
        <f t="shared" ref="AE83:BF83" si="230">AD83</f>
        <v>0.35</v>
      </c>
      <c r="AF83" s="440">
        <f t="shared" si="230"/>
        <v>0.35</v>
      </c>
      <c r="AG83" s="440">
        <f t="shared" si="230"/>
        <v>0.35</v>
      </c>
      <c r="AH83" s="441">
        <f t="shared" si="230"/>
        <v>0.35</v>
      </c>
      <c r="AI83" s="463">
        <f t="shared" si="230"/>
        <v>0.35</v>
      </c>
      <c r="AJ83" s="440">
        <f t="shared" si="230"/>
        <v>0.35</v>
      </c>
      <c r="AK83" s="440">
        <f t="shared" si="230"/>
        <v>0.35</v>
      </c>
      <c r="AL83" s="441">
        <f t="shared" si="230"/>
        <v>0.35</v>
      </c>
      <c r="AM83" s="440">
        <f t="shared" si="230"/>
        <v>0.35</v>
      </c>
      <c r="AN83" s="440">
        <f t="shared" si="230"/>
        <v>0.35</v>
      </c>
      <c r="AO83" s="440">
        <f t="shared" si="230"/>
        <v>0.35</v>
      </c>
      <c r="AP83" s="440">
        <f t="shared" si="230"/>
        <v>0.35</v>
      </c>
      <c r="AQ83" s="463">
        <f t="shared" si="230"/>
        <v>0.35</v>
      </c>
      <c r="AR83" s="440">
        <f t="shared" si="230"/>
        <v>0.35</v>
      </c>
      <c r="AS83" s="440">
        <f t="shared" si="230"/>
        <v>0.35</v>
      </c>
      <c r="AT83" s="441">
        <f t="shared" si="230"/>
        <v>0.35</v>
      </c>
      <c r="AU83" s="463">
        <f t="shared" si="230"/>
        <v>0.35</v>
      </c>
      <c r="AV83" s="440">
        <f t="shared" si="230"/>
        <v>0.35</v>
      </c>
      <c r="AW83" s="440">
        <f t="shared" si="230"/>
        <v>0.35</v>
      </c>
      <c r="AX83" s="498">
        <f t="shared" si="230"/>
        <v>0.35</v>
      </c>
      <c r="AY83" s="1695">
        <f t="shared" si="230"/>
        <v>0.35</v>
      </c>
      <c r="AZ83" s="1696">
        <f t="shared" si="230"/>
        <v>0.35</v>
      </c>
      <c r="BA83" s="1696">
        <f t="shared" si="230"/>
        <v>0.35</v>
      </c>
      <c r="BB83" s="1696">
        <f t="shared" si="230"/>
        <v>0.35</v>
      </c>
      <c r="BC83" s="1695">
        <f t="shared" si="230"/>
        <v>0.35</v>
      </c>
      <c r="BD83" s="1696">
        <f t="shared" si="230"/>
        <v>0.35</v>
      </c>
      <c r="BE83" s="1696">
        <f t="shared" si="230"/>
        <v>0.35</v>
      </c>
      <c r="BF83" s="1696">
        <f t="shared" si="230"/>
        <v>0.35</v>
      </c>
      <c r="BG83" s="1728">
        <f t="shared" ref="BG83:BN83" si="231">BF83</f>
        <v>0.35</v>
      </c>
      <c r="BH83" s="1696">
        <f t="shared" si="231"/>
        <v>0.35</v>
      </c>
      <c r="BI83" s="1696">
        <f t="shared" si="231"/>
        <v>0.35</v>
      </c>
      <c r="BJ83" s="1697">
        <f t="shared" si="231"/>
        <v>0.35</v>
      </c>
      <c r="BK83" s="1696">
        <f t="shared" si="231"/>
        <v>0.35</v>
      </c>
      <c r="BL83" s="1696">
        <f t="shared" si="231"/>
        <v>0.35</v>
      </c>
      <c r="BM83" s="1696">
        <f t="shared" si="231"/>
        <v>0.35</v>
      </c>
      <c r="BN83" s="1696">
        <f t="shared" si="231"/>
        <v>0.35</v>
      </c>
      <c r="BO83" s="1728">
        <f>BN83</f>
        <v>0.35</v>
      </c>
      <c r="BP83" s="1696">
        <f>BO83</f>
        <v>0.35</v>
      </c>
      <c r="BQ83" s="1696">
        <f>BP83</f>
        <v>0.35</v>
      </c>
      <c r="BR83" s="1696">
        <f>BQ83</f>
        <v>0.35</v>
      </c>
      <c r="BS83" s="1728">
        <f t="shared" ref="BS83:BY83" si="232">BR83</f>
        <v>0.35</v>
      </c>
      <c r="BT83" s="1696">
        <f t="shared" si="232"/>
        <v>0.35</v>
      </c>
      <c r="BU83" s="1696">
        <f t="shared" si="232"/>
        <v>0.35</v>
      </c>
      <c r="BV83" s="441">
        <f t="shared" si="232"/>
        <v>0.35</v>
      </c>
      <c r="BW83" s="1728">
        <f t="shared" si="232"/>
        <v>0.35</v>
      </c>
      <c r="BX83" s="1696">
        <f t="shared" si="232"/>
        <v>0.35</v>
      </c>
      <c r="BY83" s="1696">
        <f t="shared" si="232"/>
        <v>0.35</v>
      </c>
      <c r="BZ83" s="441">
        <f t="shared" ref="BZ83:CF83" si="233">BY83</f>
        <v>0.35</v>
      </c>
      <c r="CA83" s="440">
        <f t="shared" si="233"/>
        <v>0.35</v>
      </c>
      <c r="CB83" s="1696">
        <f t="shared" si="233"/>
        <v>0.35</v>
      </c>
      <c r="CC83" s="1696">
        <f t="shared" si="233"/>
        <v>0.35</v>
      </c>
      <c r="CD83" s="441">
        <f>CC83</f>
        <v>0.35</v>
      </c>
      <c r="CE83" s="440">
        <f>CD83</f>
        <v>0.35</v>
      </c>
      <c r="CF83" s="1696">
        <f t="shared" si="233"/>
        <v>0.35</v>
      </c>
      <c r="CG83" s="1696">
        <f>CF83</f>
        <v>0.35</v>
      </c>
      <c r="CH83" s="1696">
        <f t="shared" ref="CH83" si="234">CG83</f>
        <v>0.35</v>
      </c>
      <c r="CI83" s="1728">
        <v>0.25</v>
      </c>
      <c r="CJ83" s="1696">
        <v>0.25</v>
      </c>
      <c r="CK83" s="1696">
        <v>0.25</v>
      </c>
      <c r="CL83" s="1697">
        <v>0.25</v>
      </c>
      <c r="CM83" s="367"/>
    </row>
    <row r="84" spans="1:91">
      <c r="A84" s="467" t="s">
        <v>1008</v>
      </c>
      <c r="B84" s="405"/>
      <c r="C84" s="405"/>
      <c r="D84" s="405"/>
      <c r="E84" s="405">
        <f t="shared" ref="E84:V84" si="235">+E78+E81</f>
        <v>-898.85799999999995</v>
      </c>
      <c r="F84" s="405">
        <f t="shared" si="235"/>
        <v>-921.94000000000017</v>
      </c>
      <c r="G84" s="405">
        <f t="shared" si="235"/>
        <v>-567.41696357147759</v>
      </c>
      <c r="H84" s="405">
        <f t="shared" si="235"/>
        <v>-724.90399999999909</v>
      </c>
      <c r="I84" s="405">
        <f t="shared" si="235"/>
        <v>1734.7420000000022</v>
      </c>
      <c r="J84" s="405">
        <f t="shared" si="235"/>
        <v>1804.4909999999963</v>
      </c>
      <c r="K84" s="405">
        <f t="shared" si="235"/>
        <v>1852</v>
      </c>
      <c r="L84" s="405">
        <f t="shared" ca="1" si="235"/>
        <v>1739.5499999999993</v>
      </c>
      <c r="M84" s="405">
        <f t="shared" si="235"/>
        <v>2067.5</v>
      </c>
      <c r="N84" s="405">
        <f t="shared" si="235"/>
        <v>1663</v>
      </c>
      <c r="O84" s="405">
        <f t="shared" si="235"/>
        <v>1000</v>
      </c>
      <c r="P84" s="405">
        <f t="shared" si="235"/>
        <v>1034</v>
      </c>
      <c r="Q84" s="405">
        <f t="shared" si="235"/>
        <v>626</v>
      </c>
      <c r="R84" s="405">
        <f t="shared" si="235"/>
        <v>1504</v>
      </c>
      <c r="S84" s="405">
        <f>+S78+S81</f>
        <v>603.26385262249107</v>
      </c>
      <c r="T84" s="405">
        <f t="shared" si="235"/>
        <v>1077.1363402526958</v>
      </c>
      <c r="U84" s="405">
        <f t="shared" si="235"/>
        <v>1419.4056536311577</v>
      </c>
      <c r="V84" s="405">
        <f t="shared" si="235"/>
        <v>1586.1145386905418</v>
      </c>
      <c r="W84" s="405">
        <f>+W78+W81</f>
        <v>1774.3465787232058</v>
      </c>
      <c r="X84" s="405">
        <f>+X78+X81</f>
        <v>1967.6719560726992</v>
      </c>
      <c r="Y84" s="2279"/>
      <c r="Z84" s="2281">
        <f>+((V84/Q84)^(1/5))-1</f>
        <v>0.20434812976585981</v>
      </c>
      <c r="AA84" s="2288"/>
      <c r="AB84" s="469"/>
      <c r="AC84" s="469"/>
      <c r="AD84" s="470">
        <f t="shared" ref="AD84:BI84" si="236">+AD78+AD81</f>
        <v>89.266999999999967</v>
      </c>
      <c r="AE84" s="405">
        <f t="shared" si="236"/>
        <v>83.278999999999954</v>
      </c>
      <c r="AF84" s="417">
        <f t="shared" si="236"/>
        <v>83.283999999999935</v>
      </c>
      <c r="AG84" s="417">
        <f t="shared" si="236"/>
        <v>81.135000000000048</v>
      </c>
      <c r="AH84" s="470">
        <f t="shared" si="236"/>
        <v>85.10499999999999</v>
      </c>
      <c r="AI84" s="405">
        <f t="shared" si="236"/>
        <v>79.991000000000014</v>
      </c>
      <c r="AJ84" s="417">
        <f t="shared" si="236"/>
        <v>85.117999999999995</v>
      </c>
      <c r="AK84" s="417">
        <f t="shared" si="236"/>
        <v>98.977000000000046</v>
      </c>
      <c r="AL84" s="470">
        <f t="shared" si="236"/>
        <v>82.183999999999969</v>
      </c>
      <c r="AM84" s="405">
        <f t="shared" si="236"/>
        <v>245.81948093333835</v>
      </c>
      <c r="AN84" s="417">
        <f t="shared" si="236"/>
        <v>261.80255549518347</v>
      </c>
      <c r="AO84" s="417">
        <f t="shared" si="236"/>
        <v>238.08699999999988</v>
      </c>
      <c r="AP84" s="470">
        <f t="shared" si="236"/>
        <v>273.44900000000007</v>
      </c>
      <c r="AQ84" s="405">
        <f t="shared" si="236"/>
        <v>200.87000000000009</v>
      </c>
      <c r="AR84" s="417">
        <f t="shared" si="236"/>
        <v>217.43399999999968</v>
      </c>
      <c r="AS84" s="417">
        <f t="shared" si="236"/>
        <v>228.13700000000014</v>
      </c>
      <c r="AT84" s="405">
        <f t="shared" si="236"/>
        <v>242.82200000000012</v>
      </c>
      <c r="AU84" s="428">
        <f t="shared" si="236"/>
        <v>445.19899999999956</v>
      </c>
      <c r="AV84" s="417">
        <f t="shared" si="236"/>
        <v>440.57300000000032</v>
      </c>
      <c r="AW84" s="417">
        <f t="shared" si="236"/>
        <v>376.8430000000003</v>
      </c>
      <c r="AX84" s="473">
        <f t="shared" si="236"/>
        <v>472.12700000000046</v>
      </c>
      <c r="AY84" s="472">
        <f t="shared" si="236"/>
        <v>522.63499999999931</v>
      </c>
      <c r="AZ84" s="417">
        <f t="shared" si="236"/>
        <v>430.38299999999992</v>
      </c>
      <c r="BA84" s="417">
        <f t="shared" si="236"/>
        <v>422.74399999999946</v>
      </c>
      <c r="BB84" s="405">
        <f t="shared" si="236"/>
        <v>428.72900000000004</v>
      </c>
      <c r="BC84" s="475">
        <f t="shared" si="236"/>
        <v>500</v>
      </c>
      <c r="BD84" s="417">
        <f t="shared" si="236"/>
        <v>451</v>
      </c>
      <c r="BE84" s="417">
        <f t="shared" si="236"/>
        <v>446</v>
      </c>
      <c r="BF84" s="417">
        <f t="shared" si="236"/>
        <v>455</v>
      </c>
      <c r="BG84" s="428">
        <f t="shared" ca="1" si="236"/>
        <v>483.80000000000018</v>
      </c>
      <c r="BH84" s="417">
        <f t="shared" si="236"/>
        <v>428</v>
      </c>
      <c r="BI84" s="417">
        <f t="shared" si="236"/>
        <v>377</v>
      </c>
      <c r="BJ84" s="406">
        <f t="shared" ref="BJ84:CF84" si="237">+BJ78+BJ81</f>
        <v>343</v>
      </c>
      <c r="BK84" s="417">
        <f t="shared" si="237"/>
        <v>423</v>
      </c>
      <c r="BL84" s="417">
        <f t="shared" si="237"/>
        <v>403</v>
      </c>
      <c r="BM84" s="417">
        <f t="shared" si="237"/>
        <v>413</v>
      </c>
      <c r="BN84" s="417">
        <f t="shared" si="237"/>
        <v>416</v>
      </c>
      <c r="BO84" s="428">
        <f t="shared" si="237"/>
        <v>475</v>
      </c>
      <c r="BP84" s="405">
        <f t="shared" si="237"/>
        <v>417</v>
      </c>
      <c r="BQ84" s="405">
        <f t="shared" si="237"/>
        <v>375</v>
      </c>
      <c r="BR84" s="405">
        <f t="shared" si="237"/>
        <v>396</v>
      </c>
      <c r="BS84" s="428">
        <f t="shared" si="237"/>
        <v>231</v>
      </c>
      <c r="BT84" s="405">
        <f t="shared" si="237"/>
        <v>271</v>
      </c>
      <c r="BU84" s="405">
        <f t="shared" si="237"/>
        <v>217</v>
      </c>
      <c r="BV84" s="406">
        <f t="shared" si="237"/>
        <v>281</v>
      </c>
      <c r="BW84" s="428">
        <f t="shared" si="237"/>
        <v>238</v>
      </c>
      <c r="BX84" s="405">
        <f t="shared" si="237"/>
        <v>160</v>
      </c>
      <c r="BY84" s="405">
        <f t="shared" si="237"/>
        <v>300</v>
      </c>
      <c r="BZ84" s="406">
        <f t="shared" si="237"/>
        <v>336</v>
      </c>
      <c r="CA84" s="405">
        <f t="shared" si="237"/>
        <v>236</v>
      </c>
      <c r="CB84" s="405">
        <f t="shared" si="237"/>
        <v>196</v>
      </c>
      <c r="CC84" s="405">
        <f t="shared" si="237"/>
        <v>152</v>
      </c>
      <c r="CD84" s="406">
        <f t="shared" si="237"/>
        <v>42</v>
      </c>
      <c r="CE84" s="405">
        <f t="shared" si="237"/>
        <v>163</v>
      </c>
      <c r="CF84" s="405">
        <f t="shared" si="237"/>
        <v>17</v>
      </c>
      <c r="CG84" s="405">
        <f>+CG78+CG81</f>
        <v>92</v>
      </c>
      <c r="CH84" s="405">
        <f t="shared" ref="CH84" si="238">+CH78+CH81</f>
        <v>1232</v>
      </c>
      <c r="CI84" s="428">
        <f>+CI78+CI81</f>
        <v>88.260182343750472</v>
      </c>
      <c r="CJ84" s="405">
        <f>+CJ78+CJ81</f>
        <v>133.96106476481222</v>
      </c>
      <c r="CK84" s="405">
        <f>+CK78+CK81</f>
        <v>165.49905674433589</v>
      </c>
      <c r="CL84" s="406">
        <f>+CL78+CL81</f>
        <v>215.54354876959349</v>
      </c>
      <c r="CM84" s="367"/>
    </row>
    <row r="85" spans="1:91" ht="2.25" customHeight="1">
      <c r="A85" s="501"/>
      <c r="B85" s="502"/>
      <c r="C85" s="502"/>
      <c r="D85" s="502"/>
      <c r="E85" s="502"/>
      <c r="F85" s="502"/>
      <c r="G85" s="502"/>
      <c r="H85" s="502"/>
      <c r="I85" s="502"/>
      <c r="J85" s="502"/>
      <c r="K85" s="502"/>
      <c r="L85" s="502"/>
      <c r="M85" s="502"/>
      <c r="N85" s="502"/>
      <c r="O85" s="502"/>
      <c r="P85" s="502"/>
      <c r="Q85" s="502"/>
      <c r="R85" s="502"/>
      <c r="S85" s="502"/>
      <c r="T85" s="502"/>
      <c r="U85" s="502"/>
      <c r="V85" s="502"/>
      <c r="W85" s="502"/>
      <c r="X85" s="502"/>
      <c r="Y85" s="2279"/>
      <c r="Z85" s="2285"/>
      <c r="AA85" s="2288"/>
      <c r="AB85" s="503"/>
      <c r="AC85" s="503"/>
      <c r="AD85" s="504"/>
      <c r="AE85" s="503"/>
      <c r="AF85" s="505"/>
      <c r="AG85" s="505"/>
      <c r="AH85" s="504"/>
      <c r="AI85" s="503"/>
      <c r="AJ85" s="505"/>
      <c r="AK85" s="505"/>
      <c r="AL85" s="504"/>
      <c r="AM85" s="503"/>
      <c r="AN85" s="505"/>
      <c r="AO85" s="505"/>
      <c r="AP85" s="400"/>
      <c r="AQ85" s="399"/>
      <c r="AR85" s="365"/>
      <c r="AS85" s="365"/>
      <c r="AT85" s="399"/>
      <c r="AU85" s="407"/>
      <c r="AV85" s="365"/>
      <c r="AW85" s="365"/>
      <c r="AX85" s="506"/>
      <c r="AY85" s="1699"/>
      <c r="AZ85" s="366"/>
      <c r="BA85" s="1700"/>
      <c r="BB85" s="1700"/>
      <c r="BC85" s="1699"/>
      <c r="BD85" s="366"/>
      <c r="BE85" s="366"/>
      <c r="BF85" s="366"/>
      <c r="BG85" s="588"/>
      <c r="BH85" s="366"/>
      <c r="BI85" s="366"/>
      <c r="BJ85" s="587"/>
      <c r="BK85" s="366"/>
      <c r="BL85" s="366"/>
      <c r="BM85" s="366"/>
      <c r="BN85" s="366"/>
      <c r="BO85" s="588"/>
      <c r="BP85" s="373"/>
      <c r="BQ85" s="373"/>
      <c r="BR85" s="373"/>
      <c r="BS85" s="588"/>
      <c r="BT85" s="373"/>
      <c r="BU85" s="373"/>
      <c r="BV85" s="400"/>
      <c r="BW85" s="588"/>
      <c r="BX85" s="373"/>
      <c r="BY85" s="373"/>
      <c r="BZ85" s="400"/>
      <c r="CA85" s="399"/>
      <c r="CB85" s="373"/>
      <c r="CC85" s="373"/>
      <c r="CD85" s="400"/>
      <c r="CE85" s="399"/>
      <c r="CF85" s="2271"/>
      <c r="CG85" s="2271"/>
      <c r="CH85" s="2271"/>
      <c r="CI85" s="588"/>
      <c r="CJ85" s="2271"/>
      <c r="CK85" s="2271"/>
      <c r="CL85" s="587"/>
      <c r="CM85" s="367"/>
    </row>
    <row r="86" spans="1:91">
      <c r="A86" s="1706" t="s">
        <v>514</v>
      </c>
      <c r="B86" s="399"/>
      <c r="C86" s="399"/>
      <c r="D86" s="399"/>
      <c r="E86" s="507">
        <f>SUM(AE86:AH86)</f>
        <v>0</v>
      </c>
      <c r="F86" s="507">
        <f>SUM(AI86:AL86)</f>
        <v>4.8</v>
      </c>
      <c r="G86" s="507">
        <f>SUM(AM86:AP86)</f>
        <v>4.8</v>
      </c>
      <c r="H86" s="507">
        <f>SUM(AQ86:AT86)</f>
        <v>3.5999999999999996</v>
      </c>
      <c r="I86" s="1730">
        <f>SUM(AU86:AX86)</f>
        <v>-0.3</v>
      </c>
      <c r="J86" s="1730">
        <f>SUM(AY86:BB86)</f>
        <v>-1.38</v>
      </c>
      <c r="K86" s="1730">
        <f>SUM(BC86:BF86)</f>
        <v>0</v>
      </c>
      <c r="L86" s="1730">
        <f>SUM(BG86:BJ86)</f>
        <v>0</v>
      </c>
      <c r="M86" s="1730">
        <f>SUM(BK86:BN86)</f>
        <v>0</v>
      </c>
      <c r="N86" s="2206">
        <f>+SUM(BO86:BR86)</f>
        <v>0</v>
      </c>
      <c r="O86" s="2057">
        <v>0</v>
      </c>
      <c r="P86" s="2057">
        <v>0</v>
      </c>
      <c r="Q86" s="2057">
        <v>0</v>
      </c>
      <c r="R86" s="2057">
        <v>0</v>
      </c>
      <c r="S86" s="2057">
        <v>0</v>
      </c>
      <c r="T86" s="2057">
        <v>0</v>
      </c>
      <c r="U86" s="2057">
        <v>0</v>
      </c>
      <c r="V86" s="2057">
        <v>0</v>
      </c>
      <c r="W86" s="2057">
        <v>0</v>
      </c>
      <c r="X86" s="2057">
        <v>0</v>
      </c>
      <c r="Y86" s="2279"/>
      <c r="Z86" s="591"/>
      <c r="AA86" s="2288"/>
      <c r="AB86" s="408"/>
      <c r="AC86" s="408"/>
      <c r="AD86" s="2857">
        <v>0</v>
      </c>
      <c r="AE86" s="2858">
        <v>0</v>
      </c>
      <c r="AF86" s="2858">
        <v>0</v>
      </c>
      <c r="AG86" s="2858">
        <v>0</v>
      </c>
      <c r="AH86" s="2857">
        <v>0</v>
      </c>
      <c r="AI86" s="2858">
        <v>1.2</v>
      </c>
      <c r="AJ86" s="2858">
        <v>1.2</v>
      </c>
      <c r="AK86" s="2858">
        <v>1.2</v>
      </c>
      <c r="AL86" s="2857">
        <v>1.2</v>
      </c>
      <c r="AM86" s="2858">
        <v>1.2</v>
      </c>
      <c r="AN86" s="2858">
        <v>1.2</v>
      </c>
      <c r="AO86" s="2858">
        <v>1.2</v>
      </c>
      <c r="AP86" s="2857">
        <v>1.2</v>
      </c>
      <c r="AQ86" s="2858">
        <v>1.2</v>
      </c>
      <c r="AR86" s="2858">
        <v>1.2</v>
      </c>
      <c r="AS86" s="2858">
        <v>1.2</v>
      </c>
      <c r="AT86" s="2857">
        <v>0</v>
      </c>
      <c r="AU86" s="2858">
        <v>0</v>
      </c>
      <c r="AV86" s="2858">
        <v>0</v>
      </c>
      <c r="AW86" s="2858">
        <v>0</v>
      </c>
      <c r="AX86" s="2857">
        <v>-0.3</v>
      </c>
      <c r="AY86" s="2859">
        <v>-0.23</v>
      </c>
      <c r="AZ86" s="2858">
        <v>-0.3</v>
      </c>
      <c r="BA86" s="2858">
        <v>-0.41</v>
      </c>
      <c r="BB86" s="2858">
        <v>-0.44</v>
      </c>
      <c r="BC86" s="1731"/>
      <c r="BD86" s="1732"/>
      <c r="BE86" s="1732"/>
      <c r="BF86" s="1732"/>
      <c r="BG86" s="1731"/>
      <c r="BH86" s="1732"/>
      <c r="BI86" s="1732"/>
      <c r="BJ86" s="1733"/>
      <c r="BK86" s="1732"/>
      <c r="BL86" s="1732"/>
      <c r="BM86" s="1732"/>
      <c r="BN86" s="1732"/>
      <c r="BO86" s="1731"/>
      <c r="BP86" s="1732"/>
      <c r="BQ86" s="1732"/>
      <c r="BR86" s="1732"/>
      <c r="BS86" s="1731"/>
      <c r="BT86" s="1732"/>
      <c r="BU86" s="1732"/>
      <c r="BV86" s="2561"/>
      <c r="BW86" s="1731"/>
      <c r="BX86" s="1732"/>
      <c r="BY86" s="1732"/>
      <c r="BZ86" s="2561"/>
      <c r="CA86" s="508"/>
      <c r="CB86" s="1732"/>
      <c r="CC86" s="1732"/>
      <c r="CD86" s="2561"/>
      <c r="CE86" s="508"/>
      <c r="CF86" s="1732"/>
      <c r="CG86" s="1732"/>
      <c r="CH86" s="1732"/>
      <c r="CI86" s="1731"/>
      <c r="CJ86" s="1732"/>
      <c r="CK86" s="1732"/>
      <c r="CL86" s="1733"/>
      <c r="CM86" s="367"/>
    </row>
    <row r="87" spans="1:91">
      <c r="A87" s="1734" t="s">
        <v>494</v>
      </c>
      <c r="B87" s="509"/>
      <c r="C87" s="509"/>
      <c r="D87" s="509"/>
      <c r="E87" s="510">
        <f t="shared" ref="E87:V87" si="239">+E84+E86</f>
        <v>-898.85799999999995</v>
      </c>
      <c r="F87" s="510">
        <f t="shared" si="239"/>
        <v>-917.14000000000021</v>
      </c>
      <c r="G87" s="510">
        <f t="shared" si="239"/>
        <v>-562.61696357147764</v>
      </c>
      <c r="H87" s="510">
        <f t="shared" si="239"/>
        <v>-721.30399999999906</v>
      </c>
      <c r="I87" s="1735">
        <f t="shared" si="239"/>
        <v>1734.4420000000023</v>
      </c>
      <c r="J87" s="1735">
        <f t="shared" si="239"/>
        <v>1803.1109999999962</v>
      </c>
      <c r="K87" s="1735">
        <f t="shared" si="239"/>
        <v>1852</v>
      </c>
      <c r="L87" s="1735">
        <f t="shared" ca="1" si="239"/>
        <v>1739.5499999999993</v>
      </c>
      <c r="M87" s="1735">
        <f t="shared" si="239"/>
        <v>2067.5</v>
      </c>
      <c r="N87" s="1735">
        <f t="shared" si="239"/>
        <v>1663</v>
      </c>
      <c r="O87" s="1735">
        <f t="shared" si="239"/>
        <v>1000</v>
      </c>
      <c r="P87" s="1735">
        <f t="shared" si="239"/>
        <v>1034</v>
      </c>
      <c r="Q87" s="1735">
        <f t="shared" si="239"/>
        <v>626</v>
      </c>
      <c r="R87" s="1735">
        <f t="shared" si="239"/>
        <v>1504</v>
      </c>
      <c r="S87" s="1735">
        <f>+S84+S86</f>
        <v>603.26385262249107</v>
      </c>
      <c r="T87" s="1735">
        <f t="shared" si="239"/>
        <v>1077.1363402526958</v>
      </c>
      <c r="U87" s="1735">
        <f t="shared" si="239"/>
        <v>1419.4056536311577</v>
      </c>
      <c r="V87" s="1735">
        <f t="shared" si="239"/>
        <v>1586.1145386905418</v>
      </c>
      <c r="W87" s="1735">
        <f>+W84+W86</f>
        <v>1774.3465787232058</v>
      </c>
      <c r="X87" s="1735">
        <f>+X84+X86</f>
        <v>1967.6719560726992</v>
      </c>
      <c r="Y87" s="2279"/>
      <c r="Z87" s="2285"/>
      <c r="AA87" s="2288"/>
      <c r="AB87" s="458"/>
      <c r="AC87" s="458"/>
      <c r="AD87" s="513">
        <f t="shared" ref="AD87:BI87" si="240">+AD84+AD86</f>
        <v>89.266999999999967</v>
      </c>
      <c r="AE87" s="458">
        <f t="shared" si="240"/>
        <v>83.278999999999954</v>
      </c>
      <c r="AF87" s="514">
        <f t="shared" si="240"/>
        <v>83.283999999999935</v>
      </c>
      <c r="AG87" s="514">
        <f t="shared" si="240"/>
        <v>81.135000000000048</v>
      </c>
      <c r="AH87" s="513">
        <f t="shared" si="240"/>
        <v>85.10499999999999</v>
      </c>
      <c r="AI87" s="458">
        <f t="shared" si="240"/>
        <v>81.191000000000017</v>
      </c>
      <c r="AJ87" s="514">
        <f t="shared" si="240"/>
        <v>86.317999999999998</v>
      </c>
      <c r="AK87" s="514">
        <f t="shared" si="240"/>
        <v>100.17700000000005</v>
      </c>
      <c r="AL87" s="513">
        <f t="shared" si="240"/>
        <v>83.383999999999972</v>
      </c>
      <c r="AM87" s="458">
        <f t="shared" si="240"/>
        <v>247.01948093333834</v>
      </c>
      <c r="AN87" s="514">
        <f t="shared" si="240"/>
        <v>263.00255549518346</v>
      </c>
      <c r="AO87" s="514">
        <f t="shared" si="240"/>
        <v>239.28699999999986</v>
      </c>
      <c r="AP87" s="513">
        <f t="shared" si="240"/>
        <v>274.64900000000006</v>
      </c>
      <c r="AQ87" s="458">
        <f t="shared" si="240"/>
        <v>202.07000000000008</v>
      </c>
      <c r="AR87" s="514">
        <f t="shared" si="240"/>
        <v>218.63399999999967</v>
      </c>
      <c r="AS87" s="514">
        <f t="shared" si="240"/>
        <v>229.33700000000013</v>
      </c>
      <c r="AT87" s="458">
        <f t="shared" si="240"/>
        <v>242.82200000000012</v>
      </c>
      <c r="AU87" s="512">
        <f t="shared" si="240"/>
        <v>445.19899999999956</v>
      </c>
      <c r="AV87" s="514">
        <f t="shared" si="240"/>
        <v>440.57300000000032</v>
      </c>
      <c r="AW87" s="514">
        <f t="shared" si="240"/>
        <v>376.8430000000003</v>
      </c>
      <c r="AX87" s="514">
        <f t="shared" si="240"/>
        <v>471.82700000000045</v>
      </c>
      <c r="AY87" s="1736">
        <f t="shared" si="240"/>
        <v>522.40499999999929</v>
      </c>
      <c r="AZ87" s="1737">
        <f t="shared" si="240"/>
        <v>430.08299999999991</v>
      </c>
      <c r="BA87" s="1737">
        <f t="shared" si="240"/>
        <v>422.33399999999943</v>
      </c>
      <c r="BB87" s="1738">
        <f t="shared" si="240"/>
        <v>428.28900000000004</v>
      </c>
      <c r="BC87" s="1736">
        <f t="shared" si="240"/>
        <v>500</v>
      </c>
      <c r="BD87" s="1737">
        <f t="shared" si="240"/>
        <v>451</v>
      </c>
      <c r="BE87" s="1737">
        <f t="shared" si="240"/>
        <v>446</v>
      </c>
      <c r="BF87" s="1737">
        <f t="shared" si="240"/>
        <v>455</v>
      </c>
      <c r="BG87" s="1736">
        <f t="shared" ca="1" si="240"/>
        <v>483.80000000000018</v>
      </c>
      <c r="BH87" s="1737">
        <f t="shared" si="240"/>
        <v>428</v>
      </c>
      <c r="BI87" s="1737">
        <f t="shared" si="240"/>
        <v>377</v>
      </c>
      <c r="BJ87" s="1738">
        <f t="shared" ref="BJ87:CF87" si="241">+BJ84+BJ86</f>
        <v>343</v>
      </c>
      <c r="BK87" s="1737">
        <f t="shared" si="241"/>
        <v>423</v>
      </c>
      <c r="BL87" s="1737">
        <f t="shared" si="241"/>
        <v>403</v>
      </c>
      <c r="BM87" s="1737">
        <f t="shared" si="241"/>
        <v>413</v>
      </c>
      <c r="BN87" s="1737">
        <f t="shared" si="241"/>
        <v>416</v>
      </c>
      <c r="BO87" s="1736">
        <f t="shared" si="241"/>
        <v>475</v>
      </c>
      <c r="BP87" s="2202">
        <f t="shared" si="241"/>
        <v>417</v>
      </c>
      <c r="BQ87" s="2202">
        <f t="shared" si="241"/>
        <v>375</v>
      </c>
      <c r="BR87" s="2202">
        <f t="shared" si="241"/>
        <v>396</v>
      </c>
      <c r="BS87" s="1736">
        <f t="shared" si="241"/>
        <v>231</v>
      </c>
      <c r="BT87" s="2202">
        <f t="shared" si="241"/>
        <v>271</v>
      </c>
      <c r="BU87" s="2202">
        <f t="shared" si="241"/>
        <v>217</v>
      </c>
      <c r="BV87" s="513">
        <f t="shared" si="241"/>
        <v>281</v>
      </c>
      <c r="BW87" s="1736">
        <f t="shared" si="241"/>
        <v>238</v>
      </c>
      <c r="BX87" s="2202">
        <f t="shared" si="241"/>
        <v>160</v>
      </c>
      <c r="BY87" s="2202">
        <f t="shared" si="241"/>
        <v>300</v>
      </c>
      <c r="BZ87" s="513">
        <f t="shared" si="241"/>
        <v>336</v>
      </c>
      <c r="CA87" s="458">
        <f t="shared" si="241"/>
        <v>236</v>
      </c>
      <c r="CB87" s="2202">
        <f t="shared" si="241"/>
        <v>196</v>
      </c>
      <c r="CC87" s="2202">
        <f t="shared" si="241"/>
        <v>152</v>
      </c>
      <c r="CD87" s="513">
        <f t="shared" si="241"/>
        <v>42</v>
      </c>
      <c r="CE87" s="458">
        <f t="shared" si="241"/>
        <v>163</v>
      </c>
      <c r="CF87" s="2202">
        <f t="shared" si="241"/>
        <v>17</v>
      </c>
      <c r="CG87" s="2202">
        <f>+CG84+CG86</f>
        <v>92</v>
      </c>
      <c r="CH87" s="2202">
        <f t="shared" ref="CH87" si="242">+CH84+CH86</f>
        <v>1232</v>
      </c>
      <c r="CI87" s="1736">
        <f>+CI84+CI86</f>
        <v>88.260182343750472</v>
      </c>
      <c r="CJ87" s="2202">
        <f>+CJ84+CJ86</f>
        <v>133.96106476481222</v>
      </c>
      <c r="CK87" s="2202">
        <f>+CK84+CK86</f>
        <v>165.49905674433589</v>
      </c>
      <c r="CL87" s="1738">
        <f>+CL84+CL86</f>
        <v>215.54354876959349</v>
      </c>
      <c r="CM87" s="367"/>
    </row>
    <row r="88" spans="1:91">
      <c r="A88" s="1687" t="s">
        <v>993</v>
      </c>
      <c r="B88" s="502"/>
      <c r="C88" s="502"/>
      <c r="D88" s="502"/>
      <c r="E88" s="409"/>
      <c r="F88" s="409">
        <f t="shared" ref="F88:Q88" si="243">+F87/E87-1</f>
        <v>2.0339141443921349E-2</v>
      </c>
      <c r="G88" s="409">
        <f t="shared" si="243"/>
        <v>-0.38655280156630667</v>
      </c>
      <c r="H88" s="409">
        <f t="shared" si="243"/>
        <v>0.28205163850940496</v>
      </c>
      <c r="I88" s="1688">
        <f t="shared" si="243"/>
        <v>-3.4045922385013871</v>
      </c>
      <c r="J88" s="1688">
        <f t="shared" si="243"/>
        <v>3.9591407495894293E-2</v>
      </c>
      <c r="K88" s="1688">
        <f t="shared" si="243"/>
        <v>2.7113694054333726E-2</v>
      </c>
      <c r="L88" s="1688">
        <f t="shared" ca="1" si="243"/>
        <v>-6.0718142548596532E-2</v>
      </c>
      <c r="M88" s="1688">
        <f t="shared" ca="1" si="243"/>
        <v>0.18852576815843225</v>
      </c>
      <c r="N88" s="1688">
        <f t="shared" si="243"/>
        <v>-0.19564691656590083</v>
      </c>
      <c r="O88" s="1688">
        <f t="shared" si="243"/>
        <v>-0.39867708959711368</v>
      </c>
      <c r="P88" s="1688">
        <f t="shared" si="243"/>
        <v>3.400000000000003E-2</v>
      </c>
      <c r="Q88" s="1688">
        <f t="shared" si="243"/>
        <v>-0.39458413926499036</v>
      </c>
      <c r="R88" s="1688">
        <f t="shared" ref="R88:X88" si="244">+R87/Q87-1</f>
        <v>1.4025559105431311</v>
      </c>
      <c r="S88" s="1688">
        <f t="shared" si="244"/>
        <v>-0.59889371501164157</v>
      </c>
      <c r="T88" s="1688">
        <f t="shared" si="244"/>
        <v>0.78551447359260806</v>
      </c>
      <c r="U88" s="1688">
        <f t="shared" si="244"/>
        <v>0.31775857947394637</v>
      </c>
      <c r="V88" s="1688">
        <f t="shared" si="244"/>
        <v>0.11744978233171421</v>
      </c>
      <c r="W88" s="1688">
        <f t="shared" si="244"/>
        <v>0.11867493515825389</v>
      </c>
      <c r="X88" s="1688">
        <f t="shared" si="244"/>
        <v>0.10895581487164008</v>
      </c>
      <c r="Y88" s="2279"/>
      <c r="Z88" s="2285"/>
      <c r="AA88" s="2288"/>
      <c r="AB88" s="503"/>
      <c r="AC88" s="503"/>
      <c r="AD88" s="504"/>
      <c r="AE88" s="409"/>
      <c r="AF88" s="424"/>
      <c r="AG88" s="424"/>
      <c r="AH88" s="419">
        <f t="shared" ref="AH88:BY88" si="245">+AH87/AD87-1</f>
        <v>-4.6624172426540378E-2</v>
      </c>
      <c r="AI88" s="409">
        <f t="shared" si="245"/>
        <v>-2.5072347170354337E-2</v>
      </c>
      <c r="AJ88" s="424">
        <f t="shared" si="245"/>
        <v>3.6429566303252336E-2</v>
      </c>
      <c r="AK88" s="424">
        <f t="shared" si="245"/>
        <v>0.23469526098477833</v>
      </c>
      <c r="AL88" s="419">
        <f t="shared" si="245"/>
        <v>-2.0222078608777561E-2</v>
      </c>
      <c r="AM88" s="409">
        <f t="shared" si="245"/>
        <v>2.0424490514138056</v>
      </c>
      <c r="AN88" s="424">
        <f t="shared" si="245"/>
        <v>2.046902795421389</v>
      </c>
      <c r="AO88" s="424">
        <f t="shared" si="245"/>
        <v>1.3886421034768435</v>
      </c>
      <c r="AP88" s="419">
        <f t="shared" si="245"/>
        <v>2.2937853784898801</v>
      </c>
      <c r="AQ88" s="409">
        <f t="shared" si="245"/>
        <v>-0.18196735238654527</v>
      </c>
      <c r="AR88" s="424">
        <f t="shared" si="245"/>
        <v>-0.1687000927106822</v>
      </c>
      <c r="AS88" s="424">
        <f t="shared" si="245"/>
        <v>-4.1581866127285427E-2</v>
      </c>
      <c r="AT88" s="409">
        <f t="shared" si="245"/>
        <v>-0.11588245360441851</v>
      </c>
      <c r="AU88" s="457">
        <f t="shared" si="245"/>
        <v>1.203191963181073</v>
      </c>
      <c r="AV88" s="516">
        <f t="shared" si="245"/>
        <v>1.0151165875389965</v>
      </c>
      <c r="AW88" s="516">
        <f t="shared" si="245"/>
        <v>0.64318448396900663</v>
      </c>
      <c r="AX88" s="423">
        <f t="shared" si="245"/>
        <v>0.94309823656835134</v>
      </c>
      <c r="AY88" s="1707">
        <f t="shared" si="245"/>
        <v>0.1734190777607314</v>
      </c>
      <c r="AZ88" s="1739">
        <f t="shared" si="245"/>
        <v>-2.3809902104759972E-2</v>
      </c>
      <c r="BA88" s="1739">
        <f t="shared" si="245"/>
        <v>0.12071605416579079</v>
      </c>
      <c r="BB88" s="1739">
        <f t="shared" si="245"/>
        <v>-9.227534668427273E-2</v>
      </c>
      <c r="BC88" s="1707">
        <f t="shared" si="245"/>
        <v>-4.2888180626141303E-2</v>
      </c>
      <c r="BD88" s="1739">
        <f t="shared" si="245"/>
        <v>4.8634798399378898E-2</v>
      </c>
      <c r="BE88" s="1739">
        <f t="shared" si="245"/>
        <v>5.6036217780241593E-2</v>
      </c>
      <c r="BF88" s="1739">
        <f t="shared" si="245"/>
        <v>6.2366766365701487E-2</v>
      </c>
      <c r="BG88" s="1707">
        <f t="shared" ca="1" si="245"/>
        <v>-3.2399999999999651E-2</v>
      </c>
      <c r="BH88" s="1739">
        <f t="shared" si="245"/>
        <v>-5.0997782705099803E-2</v>
      </c>
      <c r="BI88" s="1739">
        <f t="shared" si="245"/>
        <v>-0.1547085201793722</v>
      </c>
      <c r="BJ88" s="1709">
        <f t="shared" si="245"/>
        <v>-0.24615384615384617</v>
      </c>
      <c r="BK88" s="1739">
        <f t="shared" ca="1" si="245"/>
        <v>-0.12567176519222856</v>
      </c>
      <c r="BL88" s="1739">
        <f t="shared" si="245"/>
        <v>-5.8411214953271062E-2</v>
      </c>
      <c r="BM88" s="1739">
        <f t="shared" si="245"/>
        <v>9.5490716180371304E-2</v>
      </c>
      <c r="BN88" s="1739">
        <f t="shared" si="245"/>
        <v>0.2128279883381925</v>
      </c>
      <c r="BO88" s="1707">
        <f t="shared" si="245"/>
        <v>0.12293144208037821</v>
      </c>
      <c r="BP88" s="1708">
        <f t="shared" si="245"/>
        <v>3.473945409429291E-2</v>
      </c>
      <c r="BQ88" s="1708">
        <f t="shared" si="245"/>
        <v>-9.2009685230024174E-2</v>
      </c>
      <c r="BR88" s="1708">
        <f t="shared" si="245"/>
        <v>-4.8076923076923128E-2</v>
      </c>
      <c r="BS88" s="1707">
        <f t="shared" si="245"/>
        <v>-0.51368421052631574</v>
      </c>
      <c r="BT88" s="1708">
        <f t="shared" si="245"/>
        <v>-0.35011990407673865</v>
      </c>
      <c r="BU88" s="1708">
        <f t="shared" si="245"/>
        <v>-0.42133333333333334</v>
      </c>
      <c r="BV88" s="423">
        <f t="shared" si="245"/>
        <v>-0.29040404040404044</v>
      </c>
      <c r="BW88" s="1707">
        <f t="shared" si="245"/>
        <v>3.0303030303030276E-2</v>
      </c>
      <c r="BX88" s="1708">
        <f t="shared" si="245"/>
        <v>-0.40959409594095941</v>
      </c>
      <c r="BY88" s="1708">
        <f t="shared" si="245"/>
        <v>0.38248847926267282</v>
      </c>
      <c r="BZ88" s="423">
        <f t="shared" ref="BZ88:CF88" si="246">+BZ87/BV87-1</f>
        <v>0.19572953736654797</v>
      </c>
      <c r="CA88" s="371">
        <f t="shared" si="246"/>
        <v>-8.4033613445377853E-3</v>
      </c>
      <c r="CB88" s="1708">
        <f t="shared" si="246"/>
        <v>0.22500000000000009</v>
      </c>
      <c r="CC88" s="1708">
        <f t="shared" si="246"/>
        <v>-0.49333333333333329</v>
      </c>
      <c r="CD88" s="423">
        <f>+CD87/BZ87-1</f>
        <v>-0.875</v>
      </c>
      <c r="CE88" s="371">
        <f>+CE87/CA87-1</f>
        <v>-0.30932203389830504</v>
      </c>
      <c r="CF88" s="1708">
        <f t="shared" si="246"/>
        <v>-0.91326530612244894</v>
      </c>
      <c r="CG88" s="1708">
        <f>+CG87/CC87-1</f>
        <v>-0.39473684210526316</v>
      </c>
      <c r="CH88" s="1708">
        <f t="shared" ref="CH88" si="247">+CH87/CD87-1</f>
        <v>28.333333333333332</v>
      </c>
      <c r="CI88" s="1707">
        <f>+CI87/CE87-1</f>
        <v>-0.45852648868864743</v>
      </c>
      <c r="CJ88" s="1708">
        <f>+CJ87/CF87-1</f>
        <v>6.8800626332242487</v>
      </c>
      <c r="CK88" s="1708">
        <f>+CK87/CG87-1</f>
        <v>0.79890279069930314</v>
      </c>
      <c r="CL88" s="1709">
        <f>+CL87/CH87-1</f>
        <v>-0.82504582080390143</v>
      </c>
      <c r="CM88" s="367"/>
    </row>
    <row r="89" spans="1:91">
      <c r="A89" s="1687" t="s">
        <v>1003</v>
      </c>
      <c r="B89" s="502"/>
      <c r="C89" s="502"/>
      <c r="D89" s="502"/>
      <c r="E89" s="409">
        <f t="shared" ref="E89:X89" si="248">+E87/E25</f>
        <v>-0.76224534100391439</v>
      </c>
      <c r="F89" s="409">
        <f t="shared" si="248"/>
        <v>-0.75731477521010859</v>
      </c>
      <c r="G89" s="409">
        <f t="shared" si="248"/>
        <v>-8.215761104253165E-2</v>
      </c>
      <c r="H89" s="409">
        <f t="shared" si="248"/>
        <v>-0.1046739192582979</v>
      </c>
      <c r="I89" s="1688">
        <f t="shared" si="248"/>
        <v>7.9888685476962776E-2</v>
      </c>
      <c r="J89" s="1688">
        <f t="shared" si="248"/>
        <v>9.0787617935447304E-2</v>
      </c>
      <c r="K89" s="1688">
        <f t="shared" si="248"/>
        <v>9.531161545983223E-2</v>
      </c>
      <c r="L89" s="1688">
        <f t="shared" ca="1" si="248"/>
        <v>9.3064873366930922E-2</v>
      </c>
      <c r="M89" s="1688">
        <f t="shared" si="248"/>
        <v>0.11250476138651576</v>
      </c>
      <c r="N89" s="1688">
        <f t="shared" si="248"/>
        <v>9.1903840840011047E-2</v>
      </c>
      <c r="O89" s="1688">
        <f t="shared" si="248"/>
        <v>5.5472347035003054E-2</v>
      </c>
      <c r="P89" s="1688">
        <f t="shared" si="248"/>
        <v>5.776536312849162E-2</v>
      </c>
      <c r="Q89" s="1688">
        <f t="shared" si="248"/>
        <v>3.5832856325128795E-2</v>
      </c>
      <c r="R89" s="1688">
        <f t="shared" si="248"/>
        <v>8.2015486966953863E-2</v>
      </c>
      <c r="S89" s="1688">
        <f t="shared" si="248"/>
        <v>2.5304380054336217E-2</v>
      </c>
      <c r="T89" s="1688">
        <f t="shared" si="248"/>
        <v>4.5666276269872505E-2</v>
      </c>
      <c r="U89" s="1688">
        <f t="shared" si="248"/>
        <v>6.0683265818975679E-2</v>
      </c>
      <c r="V89" s="1688">
        <f t="shared" si="248"/>
        <v>6.8252166764720845E-2</v>
      </c>
      <c r="W89" s="1688">
        <f t="shared" si="248"/>
        <v>7.6586957348322646E-2</v>
      </c>
      <c r="X89" s="1688">
        <f t="shared" si="248"/>
        <v>8.5106713141748461E-2</v>
      </c>
      <c r="Y89" s="2279"/>
      <c r="Z89" s="2285"/>
      <c r="AA89" s="2288"/>
      <c r="AB89" s="503"/>
      <c r="AC89" s="503"/>
      <c r="AD89" s="419">
        <f t="shared" ref="AD89:BI89" si="249">+AD87/AD25</f>
        <v>0.14850533103311742</v>
      </c>
      <c r="AE89" s="409">
        <f t="shared" si="249"/>
        <v>0.14027023567299524</v>
      </c>
      <c r="AF89" s="424">
        <f t="shared" si="249"/>
        <v>0.13798908135961088</v>
      </c>
      <c r="AG89" s="424">
        <f t="shared" si="249"/>
        <v>0.13357930298719778</v>
      </c>
      <c r="AH89" s="419">
        <f t="shared" si="249"/>
        <v>0.14038308639898123</v>
      </c>
      <c r="AI89" s="409">
        <f t="shared" si="249"/>
        <v>0.13639081981313061</v>
      </c>
      <c r="AJ89" s="424">
        <f t="shared" si="249"/>
        <v>0.14234193528173042</v>
      </c>
      <c r="AK89" s="424">
        <f t="shared" si="249"/>
        <v>0.15245668368628115</v>
      </c>
      <c r="AL89" s="419">
        <f t="shared" si="249"/>
        <v>0.13438801428589844</v>
      </c>
      <c r="AM89" s="409">
        <f t="shared" si="249"/>
        <v>0.11633550441278909</v>
      </c>
      <c r="AN89" s="424">
        <f t="shared" si="249"/>
        <v>0.12517189813256929</v>
      </c>
      <c r="AO89" s="424">
        <f t="shared" si="249"/>
        <v>0.11392275493803174</v>
      </c>
      <c r="AP89" s="419">
        <f t="shared" si="249"/>
        <v>0.13018422094188972</v>
      </c>
      <c r="AQ89" s="409">
        <f t="shared" si="249"/>
        <v>9.710912101035396E-2</v>
      </c>
      <c r="AR89" s="424">
        <f t="shared" si="249"/>
        <v>0.10307469348769174</v>
      </c>
      <c r="AS89" s="424">
        <f t="shared" si="249"/>
        <v>0.10513747268838032</v>
      </c>
      <c r="AT89" s="409">
        <f t="shared" si="249"/>
        <v>0.11443903091930334</v>
      </c>
      <c r="AU89" s="457">
        <f t="shared" si="249"/>
        <v>8.0892119251095657E-2</v>
      </c>
      <c r="AV89" s="516">
        <f t="shared" si="249"/>
        <v>8.041747367425793E-2</v>
      </c>
      <c r="AW89" s="516">
        <f t="shared" si="249"/>
        <v>6.9309902589132111E-2</v>
      </c>
      <c r="AX89" s="516">
        <f t="shared" si="249"/>
        <v>8.9167404016347887E-2</v>
      </c>
      <c r="AY89" s="1707">
        <f t="shared" si="249"/>
        <v>0.10238021932753054</v>
      </c>
      <c r="AZ89" s="1739">
        <f t="shared" si="249"/>
        <v>8.6078352610162515E-2</v>
      </c>
      <c r="BA89" s="1739">
        <f t="shared" si="249"/>
        <v>8.5695241283803208E-2</v>
      </c>
      <c r="BB89" s="1709">
        <f t="shared" si="249"/>
        <v>8.8609855042719204E-2</v>
      </c>
      <c r="BC89" s="1707">
        <f t="shared" si="249"/>
        <v>0.1017708121310808</v>
      </c>
      <c r="BD89" s="1739">
        <f t="shared" si="249"/>
        <v>9.2913061392665849E-2</v>
      </c>
      <c r="BE89" s="1739">
        <f t="shared" si="249"/>
        <v>9.1826230183240681E-2</v>
      </c>
      <c r="BF89" s="1739">
        <f t="shared" si="249"/>
        <v>9.465363012273767E-2</v>
      </c>
      <c r="BG89" s="1707">
        <f t="shared" ca="1" si="249"/>
        <v>0.10213646343523057</v>
      </c>
      <c r="BH89" s="1739">
        <f t="shared" si="249"/>
        <v>9.1668451488541441E-2</v>
      </c>
      <c r="BI89" s="1739">
        <f t="shared" si="249"/>
        <v>8.1372760630261165E-2</v>
      </c>
      <c r="BJ89" s="1709">
        <f t="shared" ref="BJ89:CL89" si="250">+BJ87/BJ25</f>
        <v>7.3715882226520521E-2</v>
      </c>
      <c r="BK89" s="1739">
        <f t="shared" si="250"/>
        <v>9.1757049891540127E-2</v>
      </c>
      <c r="BL89" s="1739">
        <f t="shared" si="250"/>
        <v>8.7380745880312236E-2</v>
      </c>
      <c r="BM89" s="1739">
        <f t="shared" si="250"/>
        <v>9.0352220520673807E-2</v>
      </c>
      <c r="BN89" s="1739">
        <f t="shared" si="250"/>
        <v>9.0750436300174514E-2</v>
      </c>
      <c r="BO89" s="1707">
        <f t="shared" si="250"/>
        <v>0.10525149567914913</v>
      </c>
      <c r="BP89" s="1708">
        <f t="shared" si="250"/>
        <v>9.2154696132596692E-2</v>
      </c>
      <c r="BQ89" s="1708">
        <f t="shared" si="250"/>
        <v>8.3056478405315617E-2</v>
      </c>
      <c r="BR89" s="1708">
        <f t="shared" si="250"/>
        <v>8.7186261558784672E-2</v>
      </c>
      <c r="BS89" s="1707">
        <f t="shared" si="250"/>
        <v>5.090348171000441E-2</v>
      </c>
      <c r="BT89" s="1708">
        <f t="shared" si="250"/>
        <v>5.9691629955947137E-2</v>
      </c>
      <c r="BU89" s="1708">
        <f t="shared" si="250"/>
        <v>4.8083314868158651E-2</v>
      </c>
      <c r="BV89" s="423">
        <f t="shared" si="250"/>
        <v>6.3345356176735798E-2</v>
      </c>
      <c r="BW89" s="1707">
        <f t="shared" si="250"/>
        <v>5.3471130083127386E-2</v>
      </c>
      <c r="BX89" s="1708">
        <f t="shared" si="250"/>
        <v>3.6207286716451688E-2</v>
      </c>
      <c r="BY89" s="1708">
        <f t="shared" si="250"/>
        <v>6.5876152832674575E-2</v>
      </c>
      <c r="BZ89" s="423">
        <f t="shared" si="250"/>
        <v>7.5067024128686322E-2</v>
      </c>
      <c r="CA89" s="371">
        <f t="shared" si="250"/>
        <v>5.3624176323562825E-2</v>
      </c>
      <c r="CB89" s="1708">
        <f t="shared" si="250"/>
        <v>4.4565711687130513E-2</v>
      </c>
      <c r="CC89" s="1708">
        <f t="shared" si="250"/>
        <v>3.4687357371063439E-2</v>
      </c>
      <c r="CD89" s="423">
        <f t="shared" si="250"/>
        <v>9.7924924224761008E-3</v>
      </c>
      <c r="CE89" s="371">
        <f t="shared" si="250"/>
        <v>3.8726538370159186E-2</v>
      </c>
      <c r="CF89" s="1708">
        <f t="shared" si="250"/>
        <v>4.1564792176039117E-3</v>
      </c>
      <c r="CG89" s="1708">
        <f t="shared" si="250"/>
        <v>2.2806147744174516E-2</v>
      </c>
      <c r="CH89" s="1708">
        <f t="shared" si="250"/>
        <v>0.20516236469608659</v>
      </c>
      <c r="CI89" s="1707">
        <f t="shared" si="250"/>
        <v>1.4748326879421975E-2</v>
      </c>
      <c r="CJ89" s="1708">
        <f t="shared" si="250"/>
        <v>2.2452282646933115E-2</v>
      </c>
      <c r="CK89" s="1708">
        <f t="shared" si="250"/>
        <v>2.7809750314470076E-2</v>
      </c>
      <c r="CL89" s="1709">
        <f t="shared" si="250"/>
        <v>3.6297310194790031E-2</v>
      </c>
      <c r="CM89" s="367"/>
    </row>
    <row r="90" spans="1:91" ht="2.25" customHeight="1">
      <c r="A90" s="501"/>
      <c r="B90" s="502"/>
      <c r="C90" s="502"/>
      <c r="D90" s="502"/>
      <c r="E90" s="502"/>
      <c r="F90" s="502"/>
      <c r="G90" s="517"/>
      <c r="H90" s="517"/>
      <c r="I90" s="517"/>
      <c r="J90" s="517"/>
      <c r="K90" s="517"/>
      <c r="L90" s="517"/>
      <c r="M90" s="517"/>
      <c r="N90" s="517"/>
      <c r="O90" s="517"/>
      <c r="P90" s="517"/>
      <c r="Q90" s="517"/>
      <c r="R90" s="517"/>
      <c r="S90" s="517"/>
      <c r="T90" s="517"/>
      <c r="U90" s="517"/>
      <c r="V90" s="517"/>
      <c r="W90" s="517"/>
      <c r="X90" s="517"/>
      <c r="Y90" s="2279"/>
      <c r="Z90" s="2281"/>
      <c r="AA90" s="2288"/>
      <c r="AB90" s="503"/>
      <c r="AC90" s="503"/>
      <c r="AD90" s="504"/>
      <c r="AE90" s="503"/>
      <c r="AF90" s="505"/>
      <c r="AG90" s="505"/>
      <c r="AH90" s="504"/>
      <c r="AI90" s="503"/>
      <c r="AJ90" s="505"/>
      <c r="AK90" s="505"/>
      <c r="AL90" s="504"/>
      <c r="AM90" s="503"/>
      <c r="AN90" s="505"/>
      <c r="AO90" s="505"/>
      <c r="AP90" s="400"/>
      <c r="AQ90" s="399"/>
      <c r="AR90" s="518"/>
      <c r="AS90" s="518"/>
      <c r="AT90" s="519"/>
      <c r="AU90" s="520"/>
      <c r="AV90" s="369"/>
      <c r="AW90" s="369"/>
      <c r="AX90" s="369"/>
      <c r="AY90" s="591"/>
      <c r="AZ90" s="398"/>
      <c r="BA90" s="398"/>
      <c r="BB90" s="590"/>
      <c r="BC90" s="591"/>
      <c r="BD90" s="398"/>
      <c r="BE90" s="398"/>
      <c r="BF90" s="398"/>
      <c r="BG90" s="591"/>
      <c r="BH90" s="398"/>
      <c r="BI90" s="398"/>
      <c r="BJ90" s="590"/>
      <c r="BK90" s="398"/>
      <c r="BL90" s="398"/>
      <c r="BM90" s="398"/>
      <c r="BN90" s="398"/>
      <c r="BO90" s="591"/>
      <c r="BP90" s="367"/>
      <c r="BQ90" s="367"/>
      <c r="BR90" s="367"/>
      <c r="BS90" s="591"/>
      <c r="BT90" s="367"/>
      <c r="BU90" s="367"/>
      <c r="BV90" s="412"/>
      <c r="BW90" s="591"/>
      <c r="BX90" s="367"/>
      <c r="BY90" s="367"/>
      <c r="BZ90" s="412"/>
      <c r="CA90" s="368"/>
      <c r="CB90" s="367"/>
      <c r="CC90" s="367"/>
      <c r="CD90" s="412"/>
      <c r="CE90" s="368"/>
      <c r="CF90" s="3101"/>
      <c r="CG90" s="3101"/>
      <c r="CH90" s="3101"/>
      <c r="CI90" s="591"/>
      <c r="CJ90" s="3101"/>
      <c r="CK90" s="3101"/>
      <c r="CL90" s="590"/>
      <c r="CM90" s="367"/>
    </row>
    <row r="91" spans="1:91">
      <c r="A91" s="145" t="s">
        <v>482</v>
      </c>
      <c r="B91" s="521"/>
      <c r="C91" s="521"/>
      <c r="D91" s="521"/>
      <c r="E91" s="522">
        <f t="shared" ref="E91:V91" si="251">+E87/E106</f>
        <v>-6.5507269613380457</v>
      </c>
      <c r="F91" s="522">
        <f t="shared" si="251"/>
        <v>-7.0096032956156566</v>
      </c>
      <c r="G91" s="522">
        <f t="shared" si="251"/>
        <v>-1.7519162791475082</v>
      </c>
      <c r="H91" s="522">
        <f t="shared" si="251"/>
        <v>-2.2728705742408875</v>
      </c>
      <c r="I91" s="522">
        <f t="shared" si="251"/>
        <v>2.9348943732489432</v>
      </c>
      <c r="J91" s="522">
        <f t="shared" si="251"/>
        <v>3.1002270975482551</v>
      </c>
      <c r="K91" s="522">
        <f t="shared" si="251"/>
        <v>3.0788083613609847</v>
      </c>
      <c r="L91" s="522">
        <f t="shared" ca="1" si="251"/>
        <v>2.8278480158693053</v>
      </c>
      <c r="M91" s="522">
        <f t="shared" si="251"/>
        <v>3.3341517526873785</v>
      </c>
      <c r="N91" s="522">
        <f t="shared" si="251"/>
        <v>2.7675487847040925</v>
      </c>
      <c r="O91" s="522">
        <f t="shared" si="251"/>
        <v>1.7577071062340597</v>
      </c>
      <c r="P91" s="522">
        <f t="shared" si="251"/>
        <v>1.8654907219349868</v>
      </c>
      <c r="Q91" s="522">
        <f t="shared" si="251"/>
        <v>1.1598123179108555</v>
      </c>
      <c r="R91" s="522">
        <f t="shared" si="251"/>
        <v>2.3956387905528365</v>
      </c>
      <c r="S91" s="522">
        <f>+S87/S106</f>
        <v>0.56095795234955104</v>
      </c>
      <c r="T91" s="522">
        <f t="shared" si="251"/>
        <v>0.99159738164335243</v>
      </c>
      <c r="U91" s="522">
        <f t="shared" si="251"/>
        <v>1.2943768039748988</v>
      </c>
      <c r="V91" s="522">
        <f t="shared" si="251"/>
        <v>1.4335399971309377</v>
      </c>
      <c r="W91" s="522">
        <f>+W87/W106</f>
        <v>1.5901988831185698</v>
      </c>
      <c r="X91" s="522">
        <f>+X87/X106</f>
        <v>1.7494691250121908</v>
      </c>
      <c r="Y91" s="2279"/>
      <c r="Z91" s="2281"/>
      <c r="AA91" s="2288"/>
      <c r="AB91" s="524"/>
      <c r="AC91" s="524"/>
      <c r="AD91" s="525">
        <f t="shared" ref="AD91:BI91" si="252">(+AD84+AD86)/AD106</f>
        <v>0.61903275914676403</v>
      </c>
      <c r="AE91" s="524">
        <f t="shared" si="252"/>
        <v>0.58406564505382719</v>
      </c>
      <c r="AF91" s="524">
        <f t="shared" si="252"/>
        <v>0.60321875045268158</v>
      </c>
      <c r="AG91" s="524">
        <f t="shared" si="252"/>
        <v>0.6015123994513849</v>
      </c>
      <c r="AH91" s="525">
        <f t="shared" si="252"/>
        <v>0.63833218325282759</v>
      </c>
      <c r="AI91" s="524">
        <f t="shared" si="252"/>
        <v>0.61423178472269524</v>
      </c>
      <c r="AJ91" s="524">
        <f t="shared" si="252"/>
        <v>0.66246095518768366</v>
      </c>
      <c r="AK91" s="524">
        <f t="shared" si="252"/>
        <v>0.76970418747598957</v>
      </c>
      <c r="AL91" s="525">
        <f t="shared" si="252"/>
        <v>0.63783370305209197</v>
      </c>
      <c r="AM91" s="524">
        <f t="shared" si="252"/>
        <v>0.75619520216168545</v>
      </c>
      <c r="AN91" s="524">
        <f t="shared" si="252"/>
        <v>0.82263363911814358</v>
      </c>
      <c r="AO91" s="524">
        <f t="shared" si="252"/>
        <v>0.74864919827923304</v>
      </c>
      <c r="AP91" s="525">
        <f t="shared" si="252"/>
        <v>0.86210100414023449</v>
      </c>
      <c r="AQ91" s="524">
        <f t="shared" si="252"/>
        <v>0.63783715534792718</v>
      </c>
      <c r="AR91" s="524">
        <f t="shared" si="252"/>
        <v>0.6910683975459182</v>
      </c>
      <c r="AS91" s="524">
        <f t="shared" si="252"/>
        <v>0.71952022990813758</v>
      </c>
      <c r="AT91" s="524">
        <f t="shared" si="252"/>
        <v>0.76478647445850945</v>
      </c>
      <c r="AU91" s="523">
        <f t="shared" si="252"/>
        <v>0.73132691051554954</v>
      </c>
      <c r="AV91" s="524">
        <f t="shared" si="252"/>
        <v>0.73919446357616536</v>
      </c>
      <c r="AW91" s="524">
        <f t="shared" si="252"/>
        <v>0.64753624708734092</v>
      </c>
      <c r="AX91" s="524">
        <f t="shared" si="252"/>
        <v>0.81750764674863474</v>
      </c>
      <c r="AY91" s="523">
        <f t="shared" si="252"/>
        <v>0.90299580607957541</v>
      </c>
      <c r="AZ91" s="524">
        <f t="shared" si="252"/>
        <v>0.7403745534247741</v>
      </c>
      <c r="BA91" s="524">
        <f t="shared" si="252"/>
        <v>0.72441242830307595</v>
      </c>
      <c r="BB91" s="525">
        <f t="shared" si="252"/>
        <v>0.73337312647685937</v>
      </c>
      <c r="BC91" s="523">
        <f t="shared" si="252"/>
        <v>0.8347534894278551</v>
      </c>
      <c r="BD91" s="524">
        <f t="shared" si="252"/>
        <v>0.75115238567889731</v>
      </c>
      <c r="BE91" s="524">
        <f t="shared" si="252"/>
        <v>0.74118858655621056</v>
      </c>
      <c r="BF91" s="524">
        <f t="shared" si="252"/>
        <v>0.75206672630607607</v>
      </c>
      <c r="BG91" s="523">
        <f t="shared" ca="1" si="252"/>
        <v>0.79181669394435383</v>
      </c>
      <c r="BH91" s="524">
        <f t="shared" si="252"/>
        <v>0.69646835218516945</v>
      </c>
      <c r="BI91" s="524">
        <f t="shared" si="252"/>
        <v>0.61145711690670823</v>
      </c>
      <c r="BJ91" s="525">
        <f t="shared" ref="BJ91:CF91" si="253">(+BJ84+BJ86)/BJ106</f>
        <v>0.55455853583612236</v>
      </c>
      <c r="BK91" s="524">
        <f t="shared" si="253"/>
        <v>0.68423572648687825</v>
      </c>
      <c r="BL91" s="524">
        <f t="shared" si="253"/>
        <v>0.65011848933757288</v>
      </c>
      <c r="BM91" s="524">
        <f t="shared" si="253"/>
        <v>0.66489789872944927</v>
      </c>
      <c r="BN91" s="524">
        <f t="shared" si="253"/>
        <v>0.66972766554830732</v>
      </c>
      <c r="BO91" s="523">
        <f t="shared" si="253"/>
        <v>0.76684269069763311</v>
      </c>
      <c r="BP91" s="524">
        <f t="shared" si="253"/>
        <v>0.69005232483096202</v>
      </c>
      <c r="BQ91" s="524">
        <f t="shared" si="253"/>
        <v>0.63068987381157005</v>
      </c>
      <c r="BR91" s="524">
        <f t="shared" si="253"/>
        <v>0.67662351198358328</v>
      </c>
      <c r="BS91" s="2517">
        <f t="shared" si="253"/>
        <v>0.40206427806835093</v>
      </c>
      <c r="BT91" s="524">
        <f t="shared" si="253"/>
        <v>0.47718408564661968</v>
      </c>
      <c r="BU91" s="524">
        <f t="shared" si="253"/>
        <v>0.38209943389415674</v>
      </c>
      <c r="BV91" s="525">
        <f t="shared" si="253"/>
        <v>0.49705745524271794</v>
      </c>
      <c r="BW91" s="2517">
        <f t="shared" si="253"/>
        <v>0.42351090540581415</v>
      </c>
      <c r="BX91" s="524">
        <f t="shared" si="253"/>
        <v>0.28640985249892598</v>
      </c>
      <c r="BY91" s="524">
        <f t="shared" si="253"/>
        <v>0.54064087569404773</v>
      </c>
      <c r="BZ91" s="525">
        <f t="shared" si="253"/>
        <v>0.62037831999335302</v>
      </c>
      <c r="CA91" s="524">
        <f t="shared" si="253"/>
        <v>0.43801120640535712</v>
      </c>
      <c r="CB91" s="524">
        <f t="shared" si="253"/>
        <v>0.36269430051813473</v>
      </c>
      <c r="CC91" s="524">
        <f t="shared" si="253"/>
        <v>0.28158264265310129</v>
      </c>
      <c r="CD91" s="525">
        <f t="shared" si="253"/>
        <v>7.7782819256803679E-2</v>
      </c>
      <c r="CE91" s="524">
        <f t="shared" si="253"/>
        <v>0.30159605371740267</v>
      </c>
      <c r="CF91" s="524">
        <f t="shared" si="253"/>
        <v>3.1402335964356501E-2</v>
      </c>
      <c r="CG91" s="524">
        <f>(+CG84+CG86)/CG106</f>
        <v>0.16989184168296337</v>
      </c>
      <c r="CH91" s="524">
        <f t="shared" ref="CH91" si="254">(+CH84+CH86)/CH106</f>
        <v>1.3875592697293584</v>
      </c>
      <c r="CI91" s="523">
        <f>(+CI84+CI86)/CI106</f>
        <v>8.2389857776911449E-2</v>
      </c>
      <c r="CJ91" s="524">
        <f>(+CJ84+CJ86)/CJ106</f>
        <v>0.12472768030905369</v>
      </c>
      <c r="CK91" s="524">
        <f>(+CK84+CK86)/CK106</f>
        <v>0.15369438599259835</v>
      </c>
      <c r="CL91" s="525">
        <f>(+CL84+CL86)/CL106</f>
        <v>0.1996542811793508</v>
      </c>
      <c r="CM91" s="367"/>
    </row>
    <row r="92" spans="1:91">
      <c r="A92" s="1056" t="s">
        <v>775</v>
      </c>
      <c r="B92" s="399"/>
      <c r="C92" s="399"/>
      <c r="D92" s="399"/>
      <c r="E92" s="522"/>
      <c r="F92" s="409">
        <f t="shared" ref="F92:Q92" si="255">+F91/E91-1</f>
        <v>7.0049681048510948E-2</v>
      </c>
      <c r="G92" s="409">
        <f t="shared" si="255"/>
        <v>-0.750069125845782</v>
      </c>
      <c r="H92" s="409">
        <f t="shared" si="255"/>
        <v>0.2973625516779137</v>
      </c>
      <c r="I92" s="1688">
        <f t="shared" si="255"/>
        <v>-2.2912721060807275</v>
      </c>
      <c r="J92" s="1688">
        <f t="shared" si="255"/>
        <v>5.6333449614504483E-2</v>
      </c>
      <c r="K92" s="1688">
        <f t="shared" si="255"/>
        <v>-6.9087636206421887E-3</v>
      </c>
      <c r="L92" s="1688">
        <f t="shared" ca="1" si="255"/>
        <v>-8.1512168357481873E-2</v>
      </c>
      <c r="M92" s="1688">
        <f t="shared" ca="1" si="255"/>
        <v>0.1790420609512251</v>
      </c>
      <c r="N92" s="1688">
        <f t="shared" si="255"/>
        <v>-0.16993916594426006</v>
      </c>
      <c r="O92" s="1688">
        <f t="shared" si="255"/>
        <v>-0.36488667663287655</v>
      </c>
      <c r="P92" s="1688">
        <f t="shared" si="255"/>
        <v>6.1320577995418457E-2</v>
      </c>
      <c r="Q92" s="1688">
        <f t="shared" si="255"/>
        <v>-0.37828030754940656</v>
      </c>
      <c r="R92" s="1688">
        <f t="shared" ref="R92:X92" si="256">+R91/Q91-1</f>
        <v>1.0655400477794958</v>
      </c>
      <c r="S92" s="1688">
        <f t="shared" si="256"/>
        <v>-0.76584201484728009</v>
      </c>
      <c r="T92" s="1688">
        <f t="shared" si="256"/>
        <v>0.76768575521584914</v>
      </c>
      <c r="U92" s="1688">
        <f t="shared" si="256"/>
        <v>0.30534512084910581</v>
      </c>
      <c r="V92" s="1688">
        <f t="shared" si="256"/>
        <v>0.10751366428128417</v>
      </c>
      <c r="W92" s="1688">
        <f t="shared" si="256"/>
        <v>0.10928114060379657</v>
      </c>
      <c r="X92" s="1688">
        <f t="shared" si="256"/>
        <v>0.10015743539026567</v>
      </c>
      <c r="Y92" s="2279"/>
      <c r="Z92" s="591"/>
      <c r="AA92" s="2288"/>
      <c r="AB92" s="409"/>
      <c r="AC92" s="409"/>
      <c r="AD92" s="419"/>
      <c r="AE92" s="409"/>
      <c r="AF92" s="424"/>
      <c r="AG92" s="424"/>
      <c r="AH92" s="419">
        <f t="shared" ref="AH92:BY92" si="257">+AH91/AD91-1</f>
        <v>3.1176741167405542E-2</v>
      </c>
      <c r="AI92" s="371">
        <f t="shared" si="257"/>
        <v>5.1648543146358028E-2</v>
      </c>
      <c r="AJ92" s="516">
        <f t="shared" si="257"/>
        <v>9.8210151276869606E-2</v>
      </c>
      <c r="AK92" s="516">
        <f t="shared" si="257"/>
        <v>0.27961483117888442</v>
      </c>
      <c r="AL92" s="423">
        <f t="shared" si="257"/>
        <v>-7.8091033761673589E-4</v>
      </c>
      <c r="AM92" s="371">
        <f t="shared" si="257"/>
        <v>0.23112352856028417</v>
      </c>
      <c r="AN92" s="516">
        <f t="shared" si="257"/>
        <v>0.24178433864842797</v>
      </c>
      <c r="AO92" s="516">
        <f t="shared" si="257"/>
        <v>-2.7354650707825723E-2</v>
      </c>
      <c r="AP92" s="423">
        <f t="shared" si="257"/>
        <v>0.35160779371645501</v>
      </c>
      <c r="AQ92" s="371">
        <f t="shared" si="257"/>
        <v>-0.15651784945926117</v>
      </c>
      <c r="AR92" s="516">
        <f t="shared" si="257"/>
        <v>-0.15993175493438638</v>
      </c>
      <c r="AS92" s="516">
        <f t="shared" si="257"/>
        <v>-3.89087017498293E-2</v>
      </c>
      <c r="AT92" s="371">
        <f t="shared" si="257"/>
        <v>-0.11288065924337476</v>
      </c>
      <c r="AU92" s="457">
        <f t="shared" si="257"/>
        <v>0.14657307807135456</v>
      </c>
      <c r="AV92" s="516">
        <f t="shared" si="257"/>
        <v>6.9640090910175756E-2</v>
      </c>
      <c r="AW92" s="516">
        <f t="shared" si="257"/>
        <v>-0.10004441825073773</v>
      </c>
      <c r="AX92" s="516">
        <f t="shared" si="257"/>
        <v>6.8935806333987992E-2</v>
      </c>
      <c r="AY92" s="1707">
        <f t="shared" si="257"/>
        <v>0.23473619402711132</v>
      </c>
      <c r="AZ92" s="1739">
        <f t="shared" si="257"/>
        <v>1.5964538518045135E-3</v>
      </c>
      <c r="BA92" s="1739">
        <f t="shared" si="257"/>
        <v>0.11872104698621722</v>
      </c>
      <c r="BB92" s="1709">
        <f t="shared" si="257"/>
        <v>-0.10291588171241273</v>
      </c>
      <c r="BC92" s="1707">
        <f t="shared" si="257"/>
        <v>-7.5573237652120984E-2</v>
      </c>
      <c r="BD92" s="1739">
        <f t="shared" si="257"/>
        <v>1.4557269971351428E-2</v>
      </c>
      <c r="BE92" s="1739">
        <f t="shared" si="257"/>
        <v>2.3158297121478766E-2</v>
      </c>
      <c r="BF92" s="1739">
        <f t="shared" si="257"/>
        <v>2.5489889326898441E-2</v>
      </c>
      <c r="BG92" s="1707">
        <f t="shared" ca="1" si="257"/>
        <v>-5.1436497154304095E-2</v>
      </c>
      <c r="BH92" s="1739">
        <f t="shared" si="257"/>
        <v>-7.2800186135738687E-2</v>
      </c>
      <c r="BI92" s="1739">
        <f t="shared" si="257"/>
        <v>-0.17503166131075298</v>
      </c>
      <c r="BJ92" s="1709">
        <f t="shared" si="257"/>
        <v>-0.26262056751274465</v>
      </c>
      <c r="BK92" s="1739">
        <f t="shared" ca="1" si="257"/>
        <v>-0.13586600065423227</v>
      </c>
      <c r="BL92" s="1739">
        <f t="shared" si="257"/>
        <v>-6.6549847817454877E-2</v>
      </c>
      <c r="BM92" s="1739">
        <f t="shared" si="257"/>
        <v>8.7399067481775061E-2</v>
      </c>
      <c r="BN92" s="1739">
        <f t="shared" si="257"/>
        <v>0.20767713824572454</v>
      </c>
      <c r="BO92" s="1707">
        <f t="shared" si="257"/>
        <v>0.1207288088198637</v>
      </c>
      <c r="BP92" s="1708">
        <f t="shared" si="257"/>
        <v>6.1425472661266856E-2</v>
      </c>
      <c r="BQ92" s="1708">
        <f t="shared" si="257"/>
        <v>-5.1448538163900381E-2</v>
      </c>
      <c r="BR92" s="1708">
        <f t="shared" si="257"/>
        <v>1.029649332110294E-2</v>
      </c>
      <c r="BS92" s="1707">
        <f t="shared" si="257"/>
        <v>-0.47568871302330074</v>
      </c>
      <c r="BT92" s="1708">
        <f t="shared" si="257"/>
        <v>-0.30848130138027918</v>
      </c>
      <c r="BU92" s="1708">
        <f t="shared" si="257"/>
        <v>-0.39415638373113338</v>
      </c>
      <c r="BV92" s="423">
        <f t="shared" si="257"/>
        <v>-0.2653854818234902</v>
      </c>
      <c r="BW92" s="1707">
        <f t="shared" si="257"/>
        <v>5.3341290204889313E-2</v>
      </c>
      <c r="BX92" s="1708">
        <f t="shared" si="257"/>
        <v>-0.39979169231761058</v>
      </c>
      <c r="BY92" s="1708">
        <f t="shared" si="257"/>
        <v>0.41492194893910184</v>
      </c>
      <c r="BZ92" s="423">
        <f t="shared" ref="BZ92:CF92" si="258">+BZ91/BV91-1</f>
        <v>0.24810183098534622</v>
      </c>
      <c r="CA92" s="371">
        <f t="shared" si="258"/>
        <v>3.4238317867278045E-2</v>
      </c>
      <c r="CB92" s="1708">
        <f t="shared" si="258"/>
        <v>0.2663471502590673</v>
      </c>
      <c r="CC92" s="1708">
        <f t="shared" si="258"/>
        <v>-0.47916878779907357</v>
      </c>
      <c r="CD92" s="423">
        <f>+CD91/BZ91-1</f>
        <v>-0.87462034576315129</v>
      </c>
      <c r="CE92" s="371">
        <f>+CE91/CA91-1</f>
        <v>-0.31144215191998803</v>
      </c>
      <c r="CF92" s="1708">
        <f t="shared" si="258"/>
        <v>-0.91341927369827425</v>
      </c>
      <c r="CG92" s="1708">
        <f>+CG91/CC91-1</f>
        <v>-0.39665371387162018</v>
      </c>
      <c r="CH92" s="1708">
        <f t="shared" ref="CH92" si="259">+CH91/CD91-1</f>
        <v>16.838891454271739</v>
      </c>
      <c r="CI92" s="1707">
        <f>+CI91/CE91-1</f>
        <v>-0.72682050457426994</v>
      </c>
      <c r="CJ92" s="1708">
        <f>+CJ91/CF91-1</f>
        <v>2.9719236317523303</v>
      </c>
      <c r="CK92" s="1708">
        <f>+CK91/CG91-1</f>
        <v>-9.5339808727197273E-2</v>
      </c>
      <c r="CL92" s="1709">
        <f>+CL91/CH91-1</f>
        <v>-0.85611116906141738</v>
      </c>
      <c r="CM92" s="367"/>
    </row>
    <row r="93" spans="1:91">
      <c r="A93" s="526" t="s">
        <v>483</v>
      </c>
      <c r="B93" s="527"/>
      <c r="C93" s="527"/>
      <c r="D93" s="527"/>
      <c r="E93" s="528">
        <f t="shared" ref="E93:V93" si="260">+E87/E109</f>
        <v>-6.4626407185521115</v>
      </c>
      <c r="F93" s="528">
        <f t="shared" si="260"/>
        <v>-6.7393776396306047</v>
      </c>
      <c r="G93" s="528">
        <f t="shared" si="260"/>
        <v>-1.7133093831662458</v>
      </c>
      <c r="H93" s="528">
        <f t="shared" si="260"/>
        <v>-2.222796433745823</v>
      </c>
      <c r="I93" s="528">
        <f t="shared" si="260"/>
        <v>2.9254653652975398</v>
      </c>
      <c r="J93" s="528">
        <f t="shared" si="260"/>
        <v>3.0904647285107814</v>
      </c>
      <c r="K93" s="528">
        <f t="shared" si="260"/>
        <v>3.0630087973919395</v>
      </c>
      <c r="L93" s="528">
        <f t="shared" ca="1" si="260"/>
        <v>2.8242898178714193</v>
      </c>
      <c r="M93" s="528">
        <f t="shared" si="260"/>
        <v>3.3224326474203942</v>
      </c>
      <c r="N93" s="528">
        <f t="shared" si="260"/>
        <v>2.7628657879380056</v>
      </c>
      <c r="O93" s="528">
        <f t="shared" si="260"/>
        <v>1.756320999276396</v>
      </c>
      <c r="P93" s="528">
        <f t="shared" si="260"/>
        <v>1.8627492485500192</v>
      </c>
      <c r="Q93" s="528">
        <f t="shared" si="260"/>
        <v>1.1577911158026928</v>
      </c>
      <c r="R93" s="528">
        <f t="shared" si="260"/>
        <v>2.3922655382935467</v>
      </c>
      <c r="S93" s="528">
        <f>+S87/S109</f>
        <v>0.55951274391392103</v>
      </c>
      <c r="T93" s="528">
        <f t="shared" si="260"/>
        <v>0.98203077357450352</v>
      </c>
      <c r="U93" s="528">
        <f t="shared" si="260"/>
        <v>1.2825893311034651</v>
      </c>
      <c r="V93" s="528">
        <f t="shared" si="260"/>
        <v>1.4212111218437422</v>
      </c>
      <c r="W93" s="528">
        <f>+W87/W109</f>
        <v>1.5772771343689689</v>
      </c>
      <c r="X93" s="528">
        <f>+X87/X109</f>
        <v>1.7360315102809452</v>
      </c>
      <c r="Y93" s="2279"/>
      <c r="Z93" s="2281">
        <f>+((V93/Q93)^(1/5))-1</f>
        <v>4.1851153608884806E-2</v>
      </c>
      <c r="AA93" s="2288"/>
      <c r="AB93" s="529"/>
      <c r="AC93" s="529"/>
      <c r="AD93" s="530">
        <f t="shared" ref="AD93:BI93" si="261">+AD84/AD109</f>
        <v>0.61413514591961671</v>
      </c>
      <c r="AE93" s="531">
        <f t="shared" si="261"/>
        <v>0.58096088512490629</v>
      </c>
      <c r="AF93" s="531">
        <f t="shared" si="261"/>
        <v>0.59964432028454329</v>
      </c>
      <c r="AG93" s="531">
        <f t="shared" si="261"/>
        <v>0.59773679984086914</v>
      </c>
      <c r="AH93" s="530">
        <f t="shared" si="261"/>
        <v>0.61506273126734501</v>
      </c>
      <c r="AI93" s="531">
        <f t="shared" si="261"/>
        <v>0.58315654411711104</v>
      </c>
      <c r="AJ93" s="531">
        <f t="shared" si="261"/>
        <v>0.62889652369869586</v>
      </c>
      <c r="AK93" s="531">
        <f t="shared" si="261"/>
        <v>0.72822184290296987</v>
      </c>
      <c r="AL93" s="530">
        <f t="shared" si="261"/>
        <v>0.60466314000456134</v>
      </c>
      <c r="AM93" s="531">
        <f t="shared" si="261"/>
        <v>0.73718052574181037</v>
      </c>
      <c r="AN93" s="531">
        <f t="shared" si="261"/>
        <v>0.80028659485713416</v>
      </c>
      <c r="AO93" s="531">
        <f t="shared" si="261"/>
        <v>0.72891287775576841</v>
      </c>
      <c r="AP93" s="530">
        <f t="shared" si="261"/>
        <v>0.83804739911674497</v>
      </c>
      <c r="AQ93" s="531">
        <f t="shared" si="261"/>
        <v>0.61787902650294091</v>
      </c>
      <c r="AR93" s="531">
        <f t="shared" si="261"/>
        <v>0.67077583733607171</v>
      </c>
      <c r="AS93" s="531">
        <f t="shared" si="261"/>
        <v>0.70234942574313564</v>
      </c>
      <c r="AT93" s="530">
        <f t="shared" si="261"/>
        <v>0.74958248827725904</v>
      </c>
      <c r="AU93" s="531">
        <f t="shared" si="261"/>
        <v>0.72722469576457049</v>
      </c>
      <c r="AV93" s="531">
        <f t="shared" si="261"/>
        <v>0.73580714916975454</v>
      </c>
      <c r="AW93" s="531">
        <f t="shared" si="261"/>
        <v>0.64620064482093797</v>
      </c>
      <c r="AX93" s="530">
        <f t="shared" si="261"/>
        <v>0.81768961957067898</v>
      </c>
      <c r="AY93" s="532">
        <f t="shared" si="261"/>
        <v>0.90153754345154336</v>
      </c>
      <c r="AZ93" s="531">
        <f t="shared" si="261"/>
        <v>0.73704518538427288</v>
      </c>
      <c r="BA93" s="531">
        <f t="shared" si="261"/>
        <v>0.72322267531414786</v>
      </c>
      <c r="BB93" s="530">
        <f t="shared" si="261"/>
        <v>0.73211958605311178</v>
      </c>
      <c r="BC93" s="531">
        <f t="shared" si="261"/>
        <v>0.82932492950738101</v>
      </c>
      <c r="BD93" s="531">
        <f t="shared" si="261"/>
        <v>0.74261081296510933</v>
      </c>
      <c r="BE93" s="531">
        <f t="shared" si="261"/>
        <v>0.74034702613502279</v>
      </c>
      <c r="BF93" s="531">
        <f t="shared" si="261"/>
        <v>0.75094900148539367</v>
      </c>
      <c r="BG93" s="532">
        <f t="shared" ca="1" si="261"/>
        <v>0.78781957335938801</v>
      </c>
      <c r="BH93" s="531">
        <f t="shared" si="261"/>
        <v>0.69646835218516945</v>
      </c>
      <c r="BI93" s="531">
        <f t="shared" si="261"/>
        <v>0.61145711690670823</v>
      </c>
      <c r="BJ93" s="530">
        <f t="shared" ref="BJ93:CF93" si="262">+BJ84/BJ109</f>
        <v>0.55455853583612236</v>
      </c>
      <c r="BK93" s="531">
        <f t="shared" si="262"/>
        <v>0.68187313613282818</v>
      </c>
      <c r="BL93" s="531">
        <f t="shared" si="262"/>
        <v>0.64807771786587842</v>
      </c>
      <c r="BM93" s="531">
        <f t="shared" si="262"/>
        <v>0.66260653044460416</v>
      </c>
      <c r="BN93" s="531">
        <f t="shared" si="262"/>
        <v>0.66703652987072959</v>
      </c>
      <c r="BO93" s="532">
        <f t="shared" si="262"/>
        <v>0.76480419402518873</v>
      </c>
      <c r="BP93" s="531">
        <f t="shared" si="262"/>
        <v>0.68857104170725991</v>
      </c>
      <c r="BQ93" s="531">
        <f t="shared" si="262"/>
        <v>0.63068987381157005</v>
      </c>
      <c r="BR93" s="531">
        <f t="shared" si="262"/>
        <v>0.67532768741196014</v>
      </c>
      <c r="BS93" s="532">
        <f t="shared" si="262"/>
        <v>0.40142078629817046</v>
      </c>
      <c r="BT93" s="531">
        <f t="shared" si="262"/>
        <v>0.47624738151808682</v>
      </c>
      <c r="BU93" s="531">
        <f t="shared" si="262"/>
        <v>0.38341593561439308</v>
      </c>
      <c r="BV93" s="530">
        <f t="shared" si="262"/>
        <v>0.49556023878596561</v>
      </c>
      <c r="BW93" s="532">
        <f t="shared" si="262"/>
        <v>0.42235650082962883</v>
      </c>
      <c r="BX93" s="531">
        <f t="shared" si="262"/>
        <v>0.28611279997138872</v>
      </c>
      <c r="BY93" s="531">
        <f t="shared" si="262"/>
        <v>0.54038864751529303</v>
      </c>
      <c r="BZ93" s="530">
        <f t="shared" si="262"/>
        <v>0.61936283048813523</v>
      </c>
      <c r="CA93" s="531">
        <f t="shared" si="262"/>
        <v>0.43688574512159678</v>
      </c>
      <c r="CB93" s="531">
        <f t="shared" si="262"/>
        <v>0.36269430051813473</v>
      </c>
      <c r="CC93" s="531">
        <f t="shared" si="262"/>
        <v>0.28100429455905435</v>
      </c>
      <c r="CD93" s="530">
        <f t="shared" si="262"/>
        <v>7.7600303010706986E-2</v>
      </c>
      <c r="CE93" s="531">
        <f t="shared" si="262"/>
        <v>0.30100346800314665</v>
      </c>
      <c r="CF93" s="531">
        <f t="shared" si="262"/>
        <v>3.1356577779991186E-2</v>
      </c>
      <c r="CG93" s="531">
        <f>+CG84/CG109</f>
        <v>0.16975328574090853</v>
      </c>
      <c r="CH93" s="531">
        <f t="shared" ref="CH93" si="263">+CH84/CH109</f>
        <v>1.3856163574710252</v>
      </c>
      <c r="CI93" s="532">
        <f>+CI84/CI109</f>
        <v>8.2176771487424846E-2</v>
      </c>
      <c r="CJ93" s="531">
        <f>+CJ84/CJ109</f>
        <v>0.12440592714524437</v>
      </c>
      <c r="CK93" s="531">
        <f>+CK84/CK109</f>
        <v>0.15329892914341892</v>
      </c>
      <c r="CL93" s="530">
        <f>+CL84/CL109</f>
        <v>0.19914188755557743</v>
      </c>
      <c r="CM93" s="367"/>
    </row>
    <row r="94" spans="1:91">
      <c r="A94" s="1687" t="s">
        <v>993</v>
      </c>
      <c r="B94" s="399"/>
      <c r="C94" s="399"/>
      <c r="D94" s="399"/>
      <c r="E94" s="409"/>
      <c r="F94" s="409">
        <f t="shared" ref="F94:Q94" si="264">+F93/E93-1</f>
        <v>4.2821028296385455E-2</v>
      </c>
      <c r="G94" s="409">
        <f t="shared" si="264"/>
        <v>-0.74577632019146578</v>
      </c>
      <c r="H94" s="409">
        <f t="shared" si="264"/>
        <v>0.29737013967555015</v>
      </c>
      <c r="I94" s="1688">
        <f t="shared" si="264"/>
        <v>-2.316119335483902</v>
      </c>
      <c r="J94" s="1688">
        <f t="shared" si="264"/>
        <v>5.6401065338355094E-2</v>
      </c>
      <c r="K94" s="1688">
        <f t="shared" si="264"/>
        <v>-8.8840784576992293E-3</v>
      </c>
      <c r="L94" s="1688">
        <f t="shared" ca="1" si="264"/>
        <v>-7.7936106394399629E-2</v>
      </c>
      <c r="M94" s="1688">
        <f t="shared" ca="1" si="264"/>
        <v>0.17637808499568575</v>
      </c>
      <c r="N94" s="1688">
        <f t="shared" si="264"/>
        <v>-0.16842082861088181</v>
      </c>
      <c r="O94" s="1688">
        <f t="shared" si="264"/>
        <v>-0.36431186525814507</v>
      </c>
      <c r="P94" s="1688">
        <f t="shared" si="264"/>
        <v>6.0597265145421408E-2</v>
      </c>
      <c r="Q94" s="1688">
        <f t="shared" si="264"/>
        <v>-0.37845036485510442</v>
      </c>
      <c r="R94" s="1688">
        <f t="shared" ref="R94:X94" si="265">+R93/Q93-1</f>
        <v>1.0662324193384372</v>
      </c>
      <c r="S94" s="1688">
        <f t="shared" si="265"/>
        <v>-0.76611595370260055</v>
      </c>
      <c r="T94" s="1688">
        <f t="shared" si="265"/>
        <v>0.75515354074863628</v>
      </c>
      <c r="U94" s="1688">
        <f t="shared" si="265"/>
        <v>0.30605818637938964</v>
      </c>
      <c r="V94" s="1688">
        <f t="shared" si="265"/>
        <v>0.10807963810287968</v>
      </c>
      <c r="W94" s="1688">
        <f t="shared" si="265"/>
        <v>0.10981198368526823</v>
      </c>
      <c r="X94" s="1688">
        <f t="shared" si="265"/>
        <v>0.10065090810784505</v>
      </c>
      <c r="Y94" s="2279"/>
      <c r="Z94" s="591"/>
      <c r="AA94" s="2288"/>
      <c r="AB94" s="409"/>
      <c r="AC94" s="409"/>
      <c r="AD94" s="419"/>
      <c r="AE94" s="409"/>
      <c r="AF94" s="424"/>
      <c r="AG94" s="424"/>
      <c r="AH94" s="424">
        <f t="shared" ref="AH94:BY94" si="266">+AH93/AD93-1</f>
        <v>1.5103928734436778E-3</v>
      </c>
      <c r="AI94" s="457">
        <f t="shared" si="266"/>
        <v>3.7793576958846664E-3</v>
      </c>
      <c r="AJ94" s="516">
        <f t="shared" si="266"/>
        <v>4.8782590653525748E-2</v>
      </c>
      <c r="AK94" s="516">
        <f t="shared" si="266"/>
        <v>0.21829849374647625</v>
      </c>
      <c r="AL94" s="423">
        <f t="shared" si="266"/>
        <v>-1.6908179823146074E-2</v>
      </c>
      <c r="AM94" s="371">
        <f t="shared" si="266"/>
        <v>0.26412115782373502</v>
      </c>
      <c r="AN94" s="516">
        <f t="shared" si="266"/>
        <v>0.27252507320353891</v>
      </c>
      <c r="AO94" s="516">
        <f t="shared" si="266"/>
        <v>9.4893453077959933E-4</v>
      </c>
      <c r="AP94" s="423">
        <f t="shared" si="266"/>
        <v>0.38597401374660123</v>
      </c>
      <c r="AQ94" s="371">
        <f t="shared" si="266"/>
        <v>-0.16183484923020541</v>
      </c>
      <c r="AR94" s="516">
        <f t="shared" si="266"/>
        <v>-0.1618304721750119</v>
      </c>
      <c r="AS94" s="516">
        <f t="shared" si="266"/>
        <v>-3.64425610018283E-2</v>
      </c>
      <c r="AT94" s="371">
        <f t="shared" si="266"/>
        <v>-0.10556074863154874</v>
      </c>
      <c r="AU94" s="457">
        <f t="shared" si="266"/>
        <v>0.17696938166116749</v>
      </c>
      <c r="AV94" s="516">
        <f t="shared" si="266"/>
        <v>9.6949395332946109E-2</v>
      </c>
      <c r="AW94" s="516">
        <f t="shared" si="266"/>
        <v>-7.9944225572318617E-2</v>
      </c>
      <c r="AX94" s="421">
        <f t="shared" si="266"/>
        <v>9.0860088594049593E-2</v>
      </c>
      <c r="AY94" s="1690">
        <f t="shared" si="266"/>
        <v>0.23969599588983748</v>
      </c>
      <c r="AZ94" s="1716">
        <f t="shared" si="266"/>
        <v>1.6825552944346178E-3</v>
      </c>
      <c r="BA94" s="1716">
        <f t="shared" si="266"/>
        <v>0.11919212880784524</v>
      </c>
      <c r="BB94" s="1716">
        <f t="shared" si="266"/>
        <v>-0.10464855058633982</v>
      </c>
      <c r="BC94" s="1690">
        <f t="shared" si="266"/>
        <v>-8.0099397378056825E-2</v>
      </c>
      <c r="BD94" s="1716">
        <f t="shared" si="266"/>
        <v>7.551270520727682E-3</v>
      </c>
      <c r="BE94" s="1716">
        <f t="shared" si="266"/>
        <v>2.367784004205431E-2</v>
      </c>
      <c r="BF94" s="1716">
        <f t="shared" si="266"/>
        <v>2.5719043433589883E-2</v>
      </c>
      <c r="BG94" s="1690">
        <f t="shared" ca="1" si="266"/>
        <v>-5.0047158443249917E-2</v>
      </c>
      <c r="BH94" s="1716">
        <f t="shared" si="266"/>
        <v>-6.2135455038287768E-2</v>
      </c>
      <c r="BI94" s="1716">
        <f t="shared" si="266"/>
        <v>-0.1740939109341515</v>
      </c>
      <c r="BJ94" s="1692">
        <f t="shared" si="266"/>
        <v>-0.26152303986130432</v>
      </c>
      <c r="BK94" s="1716">
        <f t="shared" ca="1" si="266"/>
        <v>-0.13448058516087302</v>
      </c>
      <c r="BL94" s="1716">
        <f t="shared" si="266"/>
        <v>-6.948001896635414E-2</v>
      </c>
      <c r="BM94" s="1716">
        <f t="shared" si="266"/>
        <v>8.3651677482559972E-2</v>
      </c>
      <c r="BN94" s="1716">
        <f t="shared" si="266"/>
        <v>0.20282438510304646</v>
      </c>
      <c r="BO94" s="1690">
        <f t="shared" si="266"/>
        <v>0.12162241551660968</v>
      </c>
      <c r="BP94" s="1691">
        <f t="shared" si="266"/>
        <v>6.2482203484369281E-2</v>
      </c>
      <c r="BQ94" s="1691">
        <f t="shared" si="266"/>
        <v>-4.8168339982430086E-2</v>
      </c>
      <c r="BR94" s="1691">
        <f t="shared" si="266"/>
        <v>1.2429840301006356E-2</v>
      </c>
      <c r="BS94" s="1690">
        <f t="shared" si="266"/>
        <v>-0.47513260330663187</v>
      </c>
      <c r="BT94" s="1691">
        <f t="shared" si="266"/>
        <v>-0.30835403658964888</v>
      </c>
      <c r="BU94" s="1691">
        <f t="shared" si="266"/>
        <v>-0.392068984242253</v>
      </c>
      <c r="BV94" s="421">
        <f t="shared" si="266"/>
        <v>-0.26619291934395939</v>
      </c>
      <c r="BW94" s="1690">
        <f t="shared" si="266"/>
        <v>5.2154036975822216E-2</v>
      </c>
      <c r="BX94" s="1691">
        <f t="shared" si="266"/>
        <v>-0.39923491220177387</v>
      </c>
      <c r="BY94" s="1691">
        <f t="shared" si="266"/>
        <v>0.40940581055757064</v>
      </c>
      <c r="BZ94" s="421">
        <f t="shared" ref="BZ94:CF94" si="267">+BZ93/BV93-1</f>
        <v>0.24982349674676074</v>
      </c>
      <c r="CA94" s="430">
        <f t="shared" si="267"/>
        <v>3.4400427751031026E-2</v>
      </c>
      <c r="CB94" s="1691">
        <f t="shared" si="267"/>
        <v>0.26766191709844556</v>
      </c>
      <c r="CC94" s="1691">
        <f t="shared" si="267"/>
        <v>-0.4799959328325788</v>
      </c>
      <c r="CD94" s="421">
        <f>+CD93/BZ93-1</f>
        <v>-0.87470946077027545</v>
      </c>
      <c r="CE94" s="430">
        <f>+CE93/CA93-1</f>
        <v>-0.31102474419400095</v>
      </c>
      <c r="CF94" s="1691">
        <f t="shared" si="267"/>
        <v>-0.91354543554945289</v>
      </c>
      <c r="CG94" s="1691">
        <f>+CG93/CC93-1</f>
        <v>-0.39590501274266432</v>
      </c>
      <c r="CH94" s="1691">
        <f t="shared" ref="CH94" si="268">+CH93/CD93-1</f>
        <v>16.855811172281676</v>
      </c>
      <c r="CI94" s="1690">
        <f>+CI93/CE93-1</f>
        <v>-0.72699061564777123</v>
      </c>
      <c r="CJ94" s="1691">
        <f>+CJ93/CF93-1</f>
        <v>2.9674586945718455</v>
      </c>
      <c r="CK94" s="1691">
        <f>+CK93/CG93-1</f>
        <v>-9.6931005050492014E-2</v>
      </c>
      <c r="CL94" s="1692">
        <f>+CL93/CH93-1</f>
        <v>-0.85627920276645431</v>
      </c>
      <c r="CM94" s="367"/>
    </row>
    <row r="95" spans="1:91">
      <c r="A95" s="2831" t="s">
        <v>1020</v>
      </c>
      <c r="B95" s="2828"/>
      <c r="C95" s="2828"/>
      <c r="D95" s="2828"/>
      <c r="E95" s="2828"/>
      <c r="F95" s="2828"/>
      <c r="G95" s="2828"/>
      <c r="H95" s="2828"/>
      <c r="I95" s="2828"/>
      <c r="J95" s="2828"/>
      <c r="K95" s="2828"/>
      <c r="L95" s="2828"/>
      <c r="M95" s="2828"/>
      <c r="N95" s="2828"/>
      <c r="O95" s="2828"/>
      <c r="P95" s="2828"/>
      <c r="Q95" s="2828"/>
      <c r="R95" s="2828"/>
      <c r="S95" s="2828"/>
      <c r="T95" s="2828"/>
      <c r="U95" s="2828"/>
      <c r="V95" s="2828"/>
      <c r="W95" s="2828"/>
      <c r="X95" s="2828"/>
      <c r="Y95" s="2279"/>
      <c r="Z95" s="2829"/>
      <c r="AA95" s="2288"/>
      <c r="AB95" s="2828"/>
      <c r="AC95" s="2828"/>
      <c r="AD95" s="2828"/>
      <c r="AE95" s="2829"/>
      <c r="AF95" s="2828"/>
      <c r="AG95" s="2828"/>
      <c r="AH95" s="2828"/>
      <c r="AI95" s="2829"/>
      <c r="AJ95" s="2828"/>
      <c r="AK95" s="2828"/>
      <c r="AL95" s="2828"/>
      <c r="AM95" s="2829"/>
      <c r="AN95" s="2828"/>
      <c r="AO95" s="2828"/>
      <c r="AP95" s="2828"/>
      <c r="AQ95" s="2828"/>
      <c r="AR95" s="2828"/>
      <c r="AS95" s="2828"/>
      <c r="AT95" s="2828"/>
      <c r="AU95" s="2829"/>
      <c r="AV95" s="2828"/>
      <c r="AW95" s="2828"/>
      <c r="AX95" s="2828"/>
      <c r="AY95" s="2829"/>
      <c r="AZ95" s="2828"/>
      <c r="BA95" s="2828"/>
      <c r="BB95" s="2828"/>
      <c r="BC95" s="2832"/>
      <c r="BD95" s="2833"/>
      <c r="BE95" s="2834"/>
      <c r="BF95" s="2835"/>
      <c r="BG95" s="2834"/>
      <c r="BH95" s="2834"/>
      <c r="BI95" s="2834"/>
      <c r="BJ95" s="2835"/>
      <c r="BK95" s="2834"/>
      <c r="BL95" s="2834"/>
      <c r="BM95" s="2834"/>
      <c r="BN95" s="2834"/>
      <c r="BO95" s="2832"/>
      <c r="BP95" s="2834"/>
      <c r="BQ95" s="2834"/>
      <c r="BR95" s="2834"/>
      <c r="BS95" s="2832"/>
      <c r="BT95" s="2834"/>
      <c r="BU95" s="2834"/>
      <c r="BV95" s="2835"/>
      <c r="BW95" s="2832"/>
      <c r="BX95" s="2834"/>
      <c r="BY95" s="2834"/>
      <c r="BZ95" s="2835"/>
      <c r="CA95" s="2834"/>
      <c r="CB95" s="2834"/>
      <c r="CC95" s="2834"/>
      <c r="CD95" s="2835"/>
      <c r="CE95" s="2834"/>
      <c r="CF95" s="2834"/>
      <c r="CG95" s="2834"/>
      <c r="CH95" s="2834"/>
      <c r="CI95" s="2832"/>
      <c r="CJ95" s="2834"/>
      <c r="CK95" s="2834"/>
      <c r="CL95" s="2835"/>
      <c r="CM95" s="367"/>
    </row>
    <row r="96" spans="1:91">
      <c r="A96" s="594" t="s">
        <v>1831</v>
      </c>
      <c r="B96" s="582"/>
      <c r="C96" s="582"/>
      <c r="D96" s="582"/>
      <c r="E96" s="405"/>
      <c r="F96" s="405"/>
      <c r="G96" s="592">
        <f>CFS!G10</f>
        <v>1086.0567069824576</v>
      </c>
      <c r="H96" s="592">
        <f>CFS!H10</f>
        <v>1101.3699999999999</v>
      </c>
      <c r="I96" s="592">
        <f>CFS!I10</f>
        <v>1815.732</v>
      </c>
      <c r="J96" s="592">
        <f>CFS!J10</f>
        <v>1803.1109999999985</v>
      </c>
      <c r="K96" s="582">
        <f>CFS!K10</f>
        <v>1852</v>
      </c>
      <c r="L96" s="582">
        <f ca="1">CFS!L10</f>
        <v>1631.8000000000002</v>
      </c>
      <c r="M96" s="582">
        <f>CFS!M10</f>
        <v>777</v>
      </c>
      <c r="N96" s="582">
        <f>CFS!N10</f>
        <v>-239</v>
      </c>
      <c r="O96" s="582">
        <f>CFS!O10</f>
        <v>772</v>
      </c>
      <c r="P96" s="582">
        <f>CFS!P10</f>
        <v>878</v>
      </c>
      <c r="Q96" s="582">
        <f>CFS!Q10</f>
        <v>626</v>
      </c>
      <c r="R96" s="582">
        <f t="shared" ref="R96:R101" si="269">+SUM(CE96:CH96)</f>
        <v>1504</v>
      </c>
      <c r="S96" s="582">
        <f>CFS!S10</f>
        <v>603.2638526224921</v>
      </c>
      <c r="T96" s="582">
        <f>+T84</f>
        <v>1077.1363402526958</v>
      </c>
      <c r="U96" s="582">
        <f>+U84</f>
        <v>1419.4056536311577</v>
      </c>
      <c r="V96" s="582">
        <f>+V84</f>
        <v>1586.1145386905418</v>
      </c>
      <c r="W96" s="582">
        <f>+W84</f>
        <v>1774.3465787232058</v>
      </c>
      <c r="X96" s="582">
        <f>+X84</f>
        <v>1967.6719560726992</v>
      </c>
      <c r="Y96" s="2279"/>
      <c r="Z96" s="610"/>
      <c r="AA96" s="2288"/>
      <c r="AB96" s="582"/>
      <c r="AC96" s="582"/>
      <c r="AD96" s="587"/>
      <c r="AE96" s="588"/>
      <c r="AF96" s="373"/>
      <c r="AG96" s="373"/>
      <c r="AH96" s="587"/>
      <c r="AI96" s="588"/>
      <c r="AJ96" s="373"/>
      <c r="AK96" s="373"/>
      <c r="AL96" s="587"/>
      <c r="AM96" s="594">
        <f>+CFS!AI10</f>
        <v>243.21415148727425</v>
      </c>
      <c r="AN96" s="582">
        <f>+CFS!AJ10</f>
        <v>340.6085554951834</v>
      </c>
      <c r="AO96" s="582">
        <f>+CFS!AK10</f>
        <v>236.483</v>
      </c>
      <c r="AP96" s="593">
        <f>+CFS!AL10</f>
        <v>265.75099999999998</v>
      </c>
      <c r="AQ96" s="594">
        <f>+CFS!AM10</f>
        <v>237.87</v>
      </c>
      <c r="AR96" s="582">
        <f>+CFS!AN10</f>
        <v>288.26499999999999</v>
      </c>
      <c r="AS96" s="582">
        <f>+CFS!AO10</f>
        <v>270.202</v>
      </c>
      <c r="AT96" s="582">
        <f>+CFS!AP10</f>
        <v>305.03300000000002</v>
      </c>
      <c r="AU96" s="428">
        <f>+CFS!AQ10</f>
        <v>450.76</v>
      </c>
      <c r="AV96" s="405">
        <f>+CFS!AR10</f>
        <v>493.16699999999997</v>
      </c>
      <c r="AW96" s="405">
        <f>+CFS!AS10</f>
        <v>395.733</v>
      </c>
      <c r="AX96" s="406">
        <f>+CFS!AT10</f>
        <v>476.072</v>
      </c>
      <c r="AY96" s="428">
        <f>+CFS!AU10</f>
        <v>522.40499999999929</v>
      </c>
      <c r="AZ96" s="405">
        <f>+CFS!AV10</f>
        <v>430.08299999999991</v>
      </c>
      <c r="BA96" s="405">
        <f>+CFS!AW10</f>
        <v>422.33399999999943</v>
      </c>
      <c r="BB96" s="470">
        <f>+CFS!AX10</f>
        <v>428.28900000000004</v>
      </c>
      <c r="BC96" s="405">
        <f>+CFS!AY10</f>
        <v>500</v>
      </c>
      <c r="BD96" s="582">
        <f>+CFS!AZ10</f>
        <v>451</v>
      </c>
      <c r="BE96" s="582">
        <f>+CFS!BA10</f>
        <v>446</v>
      </c>
      <c r="BF96" s="593">
        <f>+CFS!BB10</f>
        <v>455</v>
      </c>
      <c r="BG96" s="582">
        <f ca="1">+CFS!BC10</f>
        <v>483.80000000000018</v>
      </c>
      <c r="BH96" s="582">
        <f>+CFS!BD10</f>
        <v>428</v>
      </c>
      <c r="BI96" s="582">
        <f>+CFS!BE10</f>
        <v>377</v>
      </c>
      <c r="BJ96" s="593">
        <f>+CFS!BF10</f>
        <v>343</v>
      </c>
      <c r="BK96" s="582">
        <f>+CFS!BG10</f>
        <v>200</v>
      </c>
      <c r="BL96" s="582">
        <f>+CFS!BH10</f>
        <v>74</v>
      </c>
      <c r="BM96" s="582">
        <f>+BM87</f>
        <v>413</v>
      </c>
      <c r="BN96" s="406">
        <f>+BN87</f>
        <v>416</v>
      </c>
      <c r="BO96" s="428">
        <f>+CFS!BK10</f>
        <v>298</v>
      </c>
      <c r="BP96" s="405">
        <f>+CFS!BL10</f>
        <v>269</v>
      </c>
      <c r="BQ96" s="405">
        <f>+CFS!BM10</f>
        <v>-1045</v>
      </c>
      <c r="BR96" s="406">
        <f>+CFS!BN10</f>
        <v>239</v>
      </c>
      <c r="BS96" s="428">
        <f>+CFS!BO10</f>
        <v>203</v>
      </c>
      <c r="BT96" s="405">
        <f>+CFS!BP10</f>
        <v>193</v>
      </c>
      <c r="BU96" s="405">
        <f>+CFS!BQ10</f>
        <v>188</v>
      </c>
      <c r="BV96" s="470">
        <f>+CFS!BR10</f>
        <v>188</v>
      </c>
      <c r="BW96" s="405">
        <f>+CFS!BS10</f>
        <v>192</v>
      </c>
      <c r="BX96" s="582">
        <f>+CFS!BT10</f>
        <v>143</v>
      </c>
      <c r="BY96" s="582">
        <f>+CFS!BU10</f>
        <v>205</v>
      </c>
      <c r="BZ96" s="593">
        <f>+CFS!BV10</f>
        <v>338</v>
      </c>
      <c r="CA96" s="582">
        <f>+CFS!BW10</f>
        <v>236</v>
      </c>
      <c r="CB96" s="582">
        <f>+CFS!BX10</f>
        <v>196</v>
      </c>
      <c r="CC96" s="582">
        <f>+CFS!BY10</f>
        <v>152</v>
      </c>
      <c r="CD96" s="593">
        <f>+CFS!BZ10</f>
        <v>42</v>
      </c>
      <c r="CE96" s="582">
        <f>+CFS!CA10</f>
        <v>163</v>
      </c>
      <c r="CF96" s="582">
        <f>+CFS!CB10</f>
        <v>17</v>
      </c>
      <c r="CG96" s="582">
        <f>+CFS!CC10</f>
        <v>92</v>
      </c>
      <c r="CH96" s="582">
        <f>+CFS!CD10+115</f>
        <v>1232</v>
      </c>
      <c r="CI96" s="428">
        <f>+CI84</f>
        <v>88.260182343750472</v>
      </c>
      <c r="CJ96" s="405">
        <f>+CJ84</f>
        <v>133.96106476481222</v>
      </c>
      <c r="CK96" s="405">
        <f>+CK84</f>
        <v>165.49905674433589</v>
      </c>
      <c r="CL96" s="406">
        <f>+CL84</f>
        <v>215.54354876959349</v>
      </c>
      <c r="CM96" s="367"/>
    </row>
    <row r="97" spans="1:97">
      <c r="A97" s="3568" t="s">
        <v>1566</v>
      </c>
      <c r="B97" s="451"/>
      <c r="C97" s="451"/>
      <c r="D97" s="451"/>
      <c r="E97" s="408"/>
      <c r="F97" s="408"/>
      <c r="G97" s="507"/>
      <c r="H97" s="507"/>
      <c r="I97" s="507"/>
      <c r="J97" s="507"/>
      <c r="K97" s="507"/>
      <c r="L97" s="408"/>
      <c r="M97" s="408">
        <v>1116</v>
      </c>
      <c r="N97" s="408">
        <v>1103</v>
      </c>
      <c r="O97" s="408">
        <v>1011</v>
      </c>
      <c r="P97" s="672">
        <f>+SUM(BW97:BZ97)</f>
        <v>934</v>
      </c>
      <c r="Q97" s="672">
        <f>+SUM(CA97:CD97)</f>
        <v>854</v>
      </c>
      <c r="R97" s="672">
        <f t="shared" si="269"/>
        <v>571</v>
      </c>
      <c r="S97" s="672">
        <f>+SUM(CI97:CL97)</f>
        <v>0</v>
      </c>
      <c r="T97" s="408">
        <f>+CFS!T13-IS!T47</f>
        <v>0</v>
      </c>
      <c r="U97" s="408">
        <f>+CFS!U13-IS!U47</f>
        <v>0</v>
      </c>
      <c r="V97" s="408">
        <f>+CFS!V13-IS!V47</f>
        <v>0</v>
      </c>
      <c r="W97" s="408">
        <f>+CFS!W13-IS!W47</f>
        <v>0</v>
      </c>
      <c r="X97" s="408">
        <f>+CFS!X13-IS!X47</f>
        <v>0</v>
      </c>
      <c r="Y97" s="2279"/>
      <c r="Z97" s="489"/>
      <c r="AA97" s="2288"/>
      <c r="AB97" s="451"/>
      <c r="AC97" s="451"/>
      <c r="AD97" s="587"/>
      <c r="AE97" s="588"/>
      <c r="AF97" s="373"/>
      <c r="AG97" s="373"/>
      <c r="AH97" s="587"/>
      <c r="AI97" s="588"/>
      <c r="AJ97" s="373"/>
      <c r="AK97" s="373"/>
      <c r="AL97" s="587"/>
      <c r="AM97" s="489"/>
      <c r="AN97" s="451"/>
      <c r="AO97" s="451"/>
      <c r="AP97" s="569"/>
      <c r="AQ97" s="489"/>
      <c r="AR97" s="451"/>
      <c r="AS97" s="451"/>
      <c r="AT97" s="569"/>
      <c r="AU97" s="489"/>
      <c r="AV97" s="451"/>
      <c r="AW97" s="451"/>
      <c r="AX97" s="569"/>
      <c r="AY97" s="489"/>
      <c r="AZ97" s="451"/>
      <c r="BA97" s="451"/>
      <c r="BB97" s="569"/>
      <c r="BC97" s="489"/>
      <c r="BD97" s="451"/>
      <c r="BE97" s="451"/>
      <c r="BF97" s="451"/>
      <c r="BG97" s="489"/>
      <c r="BH97" s="451"/>
      <c r="BI97" s="451"/>
      <c r="BJ97" s="569"/>
      <c r="BK97" s="451"/>
      <c r="BL97" s="451"/>
      <c r="BM97" s="451"/>
      <c r="BN97" s="15"/>
      <c r="BO97" s="731">
        <f>CFS!BK129</f>
        <v>281</v>
      </c>
      <c r="BP97" s="732">
        <f>CFS!BL129</f>
        <v>276</v>
      </c>
      <c r="BQ97" s="732">
        <f>CFS!BM129</f>
        <v>268</v>
      </c>
      <c r="BR97" s="732">
        <f>CFS!BN129</f>
        <v>278</v>
      </c>
      <c r="BS97" s="731">
        <f>CFS!BO129</f>
        <v>263</v>
      </c>
      <c r="BT97" s="732">
        <f>CFS!BP129</f>
        <v>257</v>
      </c>
      <c r="BU97" s="732">
        <f>CFS!BQ129</f>
        <v>244</v>
      </c>
      <c r="BV97" s="3108">
        <f>CFS!BR129</f>
        <v>247</v>
      </c>
      <c r="BW97" s="732">
        <f>CFS!BS129</f>
        <v>241</v>
      </c>
      <c r="BX97" s="732">
        <f>CFS!BT129</f>
        <v>238</v>
      </c>
      <c r="BY97" s="425">
        <f>CFS!BU129</f>
        <v>228</v>
      </c>
      <c r="BZ97" s="3108">
        <f>CFS!BV129</f>
        <v>227</v>
      </c>
      <c r="CA97" s="732">
        <f>CFS!BW129</f>
        <v>223</v>
      </c>
      <c r="CB97" s="732">
        <f>CFS!BX129</f>
        <v>220</v>
      </c>
      <c r="CC97" s="732">
        <f>CFS!BY129</f>
        <v>210</v>
      </c>
      <c r="CD97" s="3108">
        <f>CFS!BZ129</f>
        <v>201</v>
      </c>
      <c r="CE97" s="732">
        <f>CFS!CA129</f>
        <v>194</v>
      </c>
      <c r="CF97" s="732">
        <f>CFS!CB129</f>
        <v>193</v>
      </c>
      <c r="CG97" s="732">
        <f>CFS!CC129</f>
        <v>184</v>
      </c>
      <c r="CH97" s="732"/>
      <c r="CI97" s="553"/>
      <c r="CJ97" s="425"/>
      <c r="CK97" s="425"/>
      <c r="CL97" s="426"/>
      <c r="CM97" s="367"/>
    </row>
    <row r="98" spans="1:97">
      <c r="A98" s="3568" t="s">
        <v>1961</v>
      </c>
      <c r="B98" s="413"/>
      <c r="C98" s="413"/>
      <c r="D98" s="413"/>
      <c r="E98" s="408"/>
      <c r="F98" s="408"/>
      <c r="G98" s="507"/>
      <c r="H98" s="507"/>
      <c r="I98" s="507"/>
      <c r="J98" s="507"/>
      <c r="K98" s="507"/>
      <c r="L98" s="408"/>
      <c r="M98" s="408"/>
      <c r="N98" s="408"/>
      <c r="O98" s="672">
        <f>+SUM(BS98:BV98)</f>
        <v>0</v>
      </c>
      <c r="P98" s="672">
        <f>+SUM(BW98:BZ98)</f>
        <v>-326.89999999999998</v>
      </c>
      <c r="Q98" s="672">
        <f>+SUM(CA98:CD98)</f>
        <v>-323</v>
      </c>
      <c r="R98" s="672">
        <f t="shared" si="269"/>
        <v>-1395</v>
      </c>
      <c r="S98" s="672">
        <f>+SUM(CI98:CL98)</f>
        <v>0</v>
      </c>
      <c r="T98" s="408"/>
      <c r="U98" s="408"/>
      <c r="V98" s="408"/>
      <c r="W98" s="408"/>
      <c r="X98" s="408"/>
      <c r="Y98" s="2279"/>
      <c r="Z98" s="489"/>
      <c r="AA98" s="2288"/>
      <c r="AB98" s="413"/>
      <c r="AC98" s="413"/>
      <c r="AD98" s="587"/>
      <c r="AE98" s="588"/>
      <c r="AF98" s="373"/>
      <c r="AG98" s="373"/>
      <c r="AH98" s="587"/>
      <c r="AI98" s="588"/>
      <c r="AJ98" s="373"/>
      <c r="AK98" s="373"/>
      <c r="AL98" s="587"/>
      <c r="AM98" s="489"/>
      <c r="AN98" s="451"/>
      <c r="AO98" s="451"/>
      <c r="AP98" s="569"/>
      <c r="AQ98" s="489"/>
      <c r="AR98" s="451"/>
      <c r="AS98" s="451"/>
      <c r="AT98" s="569"/>
      <c r="AU98" s="489"/>
      <c r="AV98" s="451"/>
      <c r="AW98" s="451"/>
      <c r="AX98" s="569"/>
      <c r="AY98" s="489"/>
      <c r="AZ98" s="451"/>
      <c r="BA98" s="451"/>
      <c r="BB98" s="569"/>
      <c r="BC98" s="489"/>
      <c r="BD98" s="451"/>
      <c r="BE98" s="451"/>
      <c r="BF98" s="451"/>
      <c r="BG98" s="489"/>
      <c r="BH98" s="451"/>
      <c r="BI98" s="451"/>
      <c r="BJ98" s="569"/>
      <c r="BK98" s="451"/>
      <c r="BL98" s="451"/>
      <c r="BM98" s="451"/>
      <c r="BN98" s="451"/>
      <c r="BO98" s="553"/>
      <c r="BP98" s="425"/>
      <c r="BQ98" s="425"/>
      <c r="BR98" s="425"/>
      <c r="BS98" s="553"/>
      <c r="BT98" s="425"/>
      <c r="BU98" s="425"/>
      <c r="BV98" s="426"/>
      <c r="BW98" s="425">
        <f>-BW97*35%</f>
        <v>-84.35</v>
      </c>
      <c r="BX98" s="451">
        <f>-BX97*35%</f>
        <v>-83.3</v>
      </c>
      <c r="BY98" s="451">
        <f>-BY97*35%</f>
        <v>-79.8</v>
      </c>
      <c r="BZ98" s="569">
        <f>-BZ97*35%</f>
        <v>-79.449999999999989</v>
      </c>
      <c r="CA98" s="3367">
        <v>-85</v>
      </c>
      <c r="CB98" s="3367">
        <v>-83</v>
      </c>
      <c r="CC98" s="3367">
        <v>-79</v>
      </c>
      <c r="CD98" s="3623">
        <v>-76</v>
      </c>
      <c r="CE98" s="3367">
        <v>-74</v>
      </c>
      <c r="CF98" s="3367">
        <v>-73</v>
      </c>
      <c r="CG98" s="3367">
        <v>-70</v>
      </c>
      <c r="CH98" s="3367">
        <f>-46-1132-CH97</f>
        <v>-1178</v>
      </c>
      <c r="CI98" s="489">
        <f>-CI97*35%</f>
        <v>0</v>
      </c>
      <c r="CJ98" s="451">
        <f>-CJ97*35%</f>
        <v>0</v>
      </c>
      <c r="CK98" s="451">
        <f>-CK97*35%</f>
        <v>0</v>
      </c>
      <c r="CL98" s="569">
        <f>-CL97*35%</f>
        <v>0</v>
      </c>
      <c r="CM98" s="367"/>
    </row>
    <row r="99" spans="1:97">
      <c r="A99" s="3568" t="s">
        <v>1960</v>
      </c>
      <c r="B99" s="413" t="s">
        <v>563</v>
      </c>
      <c r="C99" s="413"/>
      <c r="D99" s="413"/>
      <c r="E99" s="408"/>
      <c r="F99" s="408"/>
      <c r="G99" s="507"/>
      <c r="H99" s="507"/>
      <c r="I99" s="507"/>
      <c r="J99" s="507"/>
      <c r="K99" s="507"/>
      <c r="L99" s="408"/>
      <c r="M99" s="408"/>
      <c r="N99" s="408"/>
      <c r="O99" s="672">
        <f>+SUM(BS99:BV99)</f>
        <v>0</v>
      </c>
      <c r="P99" s="672">
        <f>+SUM(BW99:BZ99)</f>
        <v>0</v>
      </c>
      <c r="Q99" s="672">
        <f>+SUM(CA99:CD99)</f>
        <v>168</v>
      </c>
      <c r="R99" s="672">
        <f t="shared" si="269"/>
        <v>343</v>
      </c>
      <c r="S99" s="672">
        <f>+SUM(CI99:CL99)</f>
        <v>250</v>
      </c>
      <c r="T99" s="408">
        <f t="shared" ref="T99" si="270">+T57</f>
        <v>125</v>
      </c>
      <c r="U99" s="408"/>
      <c r="V99" s="408"/>
      <c r="W99" s="408"/>
      <c r="X99" s="408"/>
      <c r="Y99" s="2279"/>
      <c r="Z99" s="489"/>
      <c r="AA99" s="2288"/>
      <c r="AB99" s="413"/>
      <c r="AC99" s="413"/>
      <c r="AD99" s="587"/>
      <c r="AE99" s="588"/>
      <c r="AF99" s="373"/>
      <c r="AG99" s="373"/>
      <c r="AH99" s="587"/>
      <c r="AI99" s="588"/>
      <c r="AJ99" s="373"/>
      <c r="AK99" s="373"/>
      <c r="AL99" s="587"/>
      <c r="AM99" s="489"/>
      <c r="AN99" s="451"/>
      <c r="AO99" s="451"/>
      <c r="AP99" s="569"/>
      <c r="AQ99" s="489"/>
      <c r="AR99" s="451"/>
      <c r="AS99" s="451"/>
      <c r="AT99" s="569"/>
      <c r="AU99" s="489"/>
      <c r="AV99" s="451"/>
      <c r="AW99" s="451"/>
      <c r="AX99" s="569"/>
      <c r="AY99" s="489"/>
      <c r="AZ99" s="451"/>
      <c r="BA99" s="451"/>
      <c r="BB99" s="569"/>
      <c r="BC99" s="489"/>
      <c r="BD99" s="451"/>
      <c r="BE99" s="451"/>
      <c r="BF99" s="451"/>
      <c r="BG99" s="489"/>
      <c r="BH99" s="451"/>
      <c r="BI99" s="451"/>
      <c r="BJ99" s="569"/>
      <c r="BK99" s="451"/>
      <c r="BL99" s="451"/>
      <c r="BM99" s="451"/>
      <c r="BN99" s="451"/>
      <c r="BO99" s="553"/>
      <c r="BP99" s="425"/>
      <c r="BQ99" s="425"/>
      <c r="BR99" s="425"/>
      <c r="BS99" s="553"/>
      <c r="BT99" s="425"/>
      <c r="BU99" s="425"/>
      <c r="BV99" s="426"/>
      <c r="BW99" s="425"/>
      <c r="BX99" s="451"/>
      <c r="BY99" s="451"/>
      <c r="BZ99" s="569"/>
      <c r="CA99" s="3367">
        <v>12</v>
      </c>
      <c r="CB99" s="3367">
        <v>9</v>
      </c>
      <c r="CC99" s="3367">
        <v>22</v>
      </c>
      <c r="CD99" s="3623">
        <v>125</v>
      </c>
      <c r="CE99" s="3367">
        <v>1</v>
      </c>
      <c r="CF99" s="3367">
        <v>114</v>
      </c>
      <c r="CG99" s="3367">
        <v>22</v>
      </c>
      <c r="CH99" s="3367">
        <v>206</v>
      </c>
      <c r="CI99" s="489">
        <f>+CI57</f>
        <v>62.5</v>
      </c>
      <c r="CJ99" s="451">
        <f t="shared" ref="CJ99:CL99" si="271">+CJ57</f>
        <v>62.5</v>
      </c>
      <c r="CK99" s="451">
        <f t="shared" si="271"/>
        <v>62.5</v>
      </c>
      <c r="CL99" s="569">
        <f t="shared" si="271"/>
        <v>62.5</v>
      </c>
      <c r="CM99" s="367"/>
    </row>
    <row r="100" spans="1:97">
      <c r="A100" s="3568" t="s">
        <v>2068</v>
      </c>
      <c r="B100" s="413"/>
      <c r="C100" s="413"/>
      <c r="D100" s="413"/>
      <c r="E100" s="408"/>
      <c r="F100" s="408"/>
      <c r="G100" s="507"/>
      <c r="H100" s="507"/>
      <c r="I100" s="507"/>
      <c r="J100" s="507"/>
      <c r="K100" s="507"/>
      <c r="L100" s="408"/>
      <c r="M100" s="408"/>
      <c r="N100" s="408"/>
      <c r="O100" s="672">
        <f>+SUM(BS100:BV100)</f>
        <v>0</v>
      </c>
      <c r="P100" s="672">
        <f>+SUM(BW100:BZ100)</f>
        <v>0</v>
      </c>
      <c r="Q100" s="672">
        <f>+SUM(CA100:CD100)</f>
        <v>0</v>
      </c>
      <c r="R100" s="672">
        <f t="shared" si="269"/>
        <v>16</v>
      </c>
      <c r="S100" s="672">
        <f>+SUM(CI100:CL100)</f>
        <v>0</v>
      </c>
      <c r="T100" s="408"/>
      <c r="U100" s="408"/>
      <c r="V100" s="408"/>
      <c r="W100" s="408"/>
      <c r="X100" s="408"/>
      <c r="Y100" s="2279"/>
      <c r="Z100" s="489"/>
      <c r="AA100" s="2288"/>
      <c r="AB100" s="413"/>
      <c r="AC100" s="413"/>
      <c r="AD100" s="587"/>
      <c r="AE100" s="588"/>
      <c r="AF100" s="373"/>
      <c r="AG100" s="373"/>
      <c r="AH100" s="587"/>
      <c r="AI100" s="588"/>
      <c r="AJ100" s="373"/>
      <c r="AK100" s="373"/>
      <c r="AL100" s="587"/>
      <c r="AM100" s="489"/>
      <c r="AN100" s="451"/>
      <c r="AO100" s="451"/>
      <c r="AP100" s="569"/>
      <c r="AQ100" s="489"/>
      <c r="AR100" s="451"/>
      <c r="AS100" s="451"/>
      <c r="AT100" s="569"/>
      <c r="AU100" s="489"/>
      <c r="AV100" s="451"/>
      <c r="AW100" s="451"/>
      <c r="AX100" s="569"/>
      <c r="AY100" s="489"/>
      <c r="AZ100" s="451"/>
      <c r="BA100" s="451"/>
      <c r="BB100" s="569"/>
      <c r="BC100" s="489"/>
      <c r="BD100" s="451"/>
      <c r="BE100" s="451"/>
      <c r="BF100" s="451"/>
      <c r="BG100" s="489"/>
      <c r="BH100" s="451"/>
      <c r="BI100" s="451"/>
      <c r="BJ100" s="569"/>
      <c r="BK100" s="451"/>
      <c r="BL100" s="451"/>
      <c r="BM100" s="451"/>
      <c r="BN100" s="451"/>
      <c r="BO100" s="553"/>
      <c r="BP100" s="425"/>
      <c r="BQ100" s="425"/>
      <c r="BR100" s="425"/>
      <c r="BS100" s="553"/>
      <c r="BT100" s="425"/>
      <c r="BU100" s="425"/>
      <c r="BV100" s="426"/>
      <c r="BW100" s="425"/>
      <c r="BX100" s="451"/>
      <c r="BY100" s="451"/>
      <c r="BZ100" s="569"/>
      <c r="CA100" s="451"/>
      <c r="CB100" s="451"/>
      <c r="CC100" s="451"/>
      <c r="CD100" s="569"/>
      <c r="CE100" s="451"/>
      <c r="CF100" s="451"/>
      <c r="CG100" s="451"/>
      <c r="CH100" s="3367">
        <f>-4+20</f>
        <v>16</v>
      </c>
      <c r="CI100" s="489"/>
      <c r="CJ100" s="451"/>
      <c r="CK100" s="451"/>
      <c r="CL100" s="569"/>
      <c r="CM100" s="367"/>
    </row>
    <row r="101" spans="1:97">
      <c r="A101" s="3568" t="s">
        <v>792</v>
      </c>
      <c r="B101" s="413"/>
      <c r="C101" s="413"/>
      <c r="D101" s="413"/>
      <c r="E101" s="408"/>
      <c r="F101" s="408"/>
      <c r="G101" s="507"/>
      <c r="H101" s="507"/>
      <c r="I101" s="507"/>
      <c r="J101" s="507"/>
      <c r="K101" s="507"/>
      <c r="L101" s="408"/>
      <c r="M101" s="408">
        <f>+SUM(M97:M100)-M102</f>
        <v>-174.5</v>
      </c>
      <c r="N101" s="408">
        <f>+SUM(N97:N100)-N102</f>
        <v>-799</v>
      </c>
      <c r="O101" s="408">
        <f>+SUM(O97:O100)-O102</f>
        <v>295</v>
      </c>
      <c r="P101" s="408">
        <f>+SUM(BW101:BZ101)</f>
        <v>21.900000000000006</v>
      </c>
      <c r="Q101" s="408">
        <f>+SUM(CA101:CD101)</f>
        <v>0</v>
      </c>
      <c r="R101" s="408">
        <f t="shared" si="269"/>
        <v>-115</v>
      </c>
      <c r="S101" s="408">
        <f>+SUM(CI101:CL101)</f>
        <v>0</v>
      </c>
      <c r="T101" s="3569"/>
      <c r="U101" s="3569"/>
      <c r="V101" s="3569"/>
      <c r="W101" s="3569"/>
      <c r="X101" s="3569"/>
      <c r="Y101" s="2279"/>
      <c r="Z101" s="591"/>
      <c r="AA101" s="3538"/>
      <c r="AB101" s="413"/>
      <c r="AC101" s="413"/>
      <c r="AD101" s="400"/>
      <c r="AE101" s="407"/>
      <c r="AF101" s="399"/>
      <c r="AG101" s="399"/>
      <c r="AH101" s="400"/>
      <c r="AI101" s="407"/>
      <c r="AJ101" s="399"/>
      <c r="AK101" s="399"/>
      <c r="AL101" s="400"/>
      <c r="AM101" s="490"/>
      <c r="AN101" s="413"/>
      <c r="AO101" s="413"/>
      <c r="AP101" s="414"/>
      <c r="AQ101" s="490"/>
      <c r="AR101" s="413"/>
      <c r="AS101" s="413"/>
      <c r="AT101" s="414"/>
      <c r="AU101" s="490"/>
      <c r="AV101" s="413"/>
      <c r="AW101" s="413"/>
      <c r="AX101" s="414"/>
      <c r="AY101" s="490"/>
      <c r="AZ101" s="413"/>
      <c r="BA101" s="413"/>
      <c r="BB101" s="414"/>
      <c r="BC101" s="490"/>
      <c r="BD101" s="413"/>
      <c r="BE101" s="413"/>
      <c r="BF101" s="413"/>
      <c r="BG101" s="490"/>
      <c r="BH101" s="413"/>
      <c r="BI101" s="413"/>
      <c r="BJ101" s="414"/>
      <c r="BK101" s="413"/>
      <c r="BL101" s="413"/>
      <c r="BM101" s="413"/>
      <c r="BN101" s="413"/>
      <c r="BO101" s="415">
        <f>+SUM(BO97:BO100)-BO102</f>
        <v>579</v>
      </c>
      <c r="BP101" s="408">
        <f>+SUM(BP97:BP100)-BP102</f>
        <v>545</v>
      </c>
      <c r="BQ101" s="408">
        <f>+SUM(BQ97:BQ100)-BQ102</f>
        <v>-777</v>
      </c>
      <c r="BR101" s="416">
        <f>+SUM(BR97:BR100)-BR102</f>
        <v>517</v>
      </c>
      <c r="BS101" s="415">
        <f>+BS102-BS97</f>
        <v>-85</v>
      </c>
      <c r="BT101" s="408">
        <f>+BT102-BT97</f>
        <v>-42</v>
      </c>
      <c r="BU101" s="408">
        <f>+BU102-BU97</f>
        <v>-73</v>
      </c>
      <c r="BV101" s="416">
        <f>+BV102-BV97</f>
        <v>-95</v>
      </c>
      <c r="BW101" s="413">
        <f t="shared" ref="BW101:CF101" si="272">+BW102-SUM(BW97:BW100)</f>
        <v>26.349999999999994</v>
      </c>
      <c r="BX101" s="413">
        <f t="shared" si="272"/>
        <v>10.300000000000011</v>
      </c>
      <c r="BY101" s="413">
        <f t="shared" si="272"/>
        <v>36.800000000000011</v>
      </c>
      <c r="BZ101" s="414">
        <f t="shared" si="272"/>
        <v>-51.550000000000011</v>
      </c>
      <c r="CA101" s="413">
        <f t="shared" si="272"/>
        <v>0</v>
      </c>
      <c r="CB101" s="413">
        <f t="shared" si="272"/>
        <v>0</v>
      </c>
      <c r="CC101" s="413">
        <f t="shared" si="272"/>
        <v>0</v>
      </c>
      <c r="CD101" s="414">
        <f t="shared" si="272"/>
        <v>0</v>
      </c>
      <c r="CE101" s="413">
        <f t="shared" si="272"/>
        <v>0</v>
      </c>
      <c r="CF101" s="413">
        <f t="shared" si="272"/>
        <v>0</v>
      </c>
      <c r="CG101" s="413">
        <f>+CG102-SUM(CG97:CG100)</f>
        <v>0</v>
      </c>
      <c r="CH101" s="413">
        <f t="shared" ref="CH101" si="273">+CH102-SUM(CH97:CH100)</f>
        <v>-115</v>
      </c>
      <c r="CI101" s="490"/>
      <c r="CJ101" s="413"/>
      <c r="CK101" s="413"/>
      <c r="CL101" s="414"/>
      <c r="CM101" s="368"/>
    </row>
    <row r="102" spans="1:97">
      <c r="A102" s="3570" t="s">
        <v>571</v>
      </c>
      <c r="B102" s="3571"/>
      <c r="C102" s="3571"/>
      <c r="D102" s="3571"/>
      <c r="E102" s="3572"/>
      <c r="F102" s="3572"/>
      <c r="G102" s="3573"/>
      <c r="H102" s="3573"/>
      <c r="I102" s="3573"/>
      <c r="J102" s="3573"/>
      <c r="K102" s="3573"/>
      <c r="L102" s="3571"/>
      <c r="M102" s="3571">
        <f>+M84-M96</f>
        <v>1290.5</v>
      </c>
      <c r="N102" s="3571">
        <f>+N84-N96</f>
        <v>1902</v>
      </c>
      <c r="O102" s="3571">
        <f>+SUM(BS102:BV102)</f>
        <v>716</v>
      </c>
      <c r="P102" s="3571">
        <f>+SUM(P97:P101)</f>
        <v>629</v>
      </c>
      <c r="Q102" s="3571">
        <f>+SUM(Q97:Q101)</f>
        <v>699</v>
      </c>
      <c r="R102" s="3571">
        <f>+SUM(R97:R101)</f>
        <v>-580</v>
      </c>
      <c r="S102" s="3571">
        <f>+SUM(S97:S101)</f>
        <v>250</v>
      </c>
      <c r="T102" s="3571">
        <f>SUM(T97:T101)</f>
        <v>125</v>
      </c>
      <c r="U102" s="3571">
        <f>SUM(U97:U101)</f>
        <v>0</v>
      </c>
      <c r="V102" s="3571">
        <f>SUM(V97:V101)</f>
        <v>0</v>
      </c>
      <c r="W102" s="3571">
        <f>SUM(W97:W101)</f>
        <v>0</v>
      </c>
      <c r="X102" s="3571">
        <f>SUM(X97:X101)</f>
        <v>0</v>
      </c>
      <c r="Y102" s="2279"/>
      <c r="Z102" s="591"/>
      <c r="AA102" s="3538"/>
      <c r="AB102" s="3571"/>
      <c r="AC102" s="3571"/>
      <c r="AD102" s="3574"/>
      <c r="AE102" s="3575"/>
      <c r="AF102" s="3573"/>
      <c r="AG102" s="3573"/>
      <c r="AH102" s="3574"/>
      <c r="AI102" s="3575"/>
      <c r="AJ102" s="3573"/>
      <c r="AK102" s="3573"/>
      <c r="AL102" s="3574"/>
      <c r="AM102" s="3576"/>
      <c r="AN102" s="3571"/>
      <c r="AO102" s="3571"/>
      <c r="AP102" s="3577"/>
      <c r="AQ102" s="3576"/>
      <c r="AR102" s="3571"/>
      <c r="AS102" s="3571"/>
      <c r="AT102" s="3577"/>
      <c r="AU102" s="3576"/>
      <c r="AV102" s="3571"/>
      <c r="AW102" s="3571"/>
      <c r="AX102" s="3577"/>
      <c r="AY102" s="3576"/>
      <c r="AZ102" s="3571"/>
      <c r="BA102" s="3571"/>
      <c r="BB102" s="3577"/>
      <c r="BC102" s="3576"/>
      <c r="BD102" s="3571"/>
      <c r="BE102" s="3571"/>
      <c r="BF102" s="3571"/>
      <c r="BG102" s="3576"/>
      <c r="BH102" s="3571"/>
      <c r="BI102" s="3571"/>
      <c r="BJ102" s="3577"/>
      <c r="BK102" s="3571"/>
      <c r="BL102" s="3571"/>
      <c r="BM102" s="3571"/>
      <c r="BN102" s="3571"/>
      <c r="BO102" s="3578">
        <f t="shared" ref="BO102:CF102" si="274">+BO103-BO96</f>
        <v>-298</v>
      </c>
      <c r="BP102" s="3572">
        <f t="shared" si="274"/>
        <v>-269</v>
      </c>
      <c r="BQ102" s="3572">
        <f t="shared" si="274"/>
        <v>1045</v>
      </c>
      <c r="BR102" s="3579">
        <f t="shared" si="274"/>
        <v>-239</v>
      </c>
      <c r="BS102" s="3578">
        <f t="shared" si="274"/>
        <v>178</v>
      </c>
      <c r="BT102" s="3572">
        <f t="shared" si="274"/>
        <v>215</v>
      </c>
      <c r="BU102" s="3572">
        <f t="shared" si="274"/>
        <v>171</v>
      </c>
      <c r="BV102" s="3579">
        <f t="shared" si="274"/>
        <v>152</v>
      </c>
      <c r="BW102" s="3571">
        <f t="shared" si="274"/>
        <v>183</v>
      </c>
      <c r="BX102" s="3571">
        <f t="shared" si="274"/>
        <v>165</v>
      </c>
      <c r="BY102" s="3571">
        <f t="shared" si="274"/>
        <v>185</v>
      </c>
      <c r="BZ102" s="3577">
        <f t="shared" si="274"/>
        <v>96</v>
      </c>
      <c r="CA102" s="3571">
        <f t="shared" si="274"/>
        <v>150</v>
      </c>
      <c r="CB102" s="3571">
        <f t="shared" si="274"/>
        <v>146</v>
      </c>
      <c r="CC102" s="3571">
        <f t="shared" si="274"/>
        <v>153</v>
      </c>
      <c r="CD102" s="3577">
        <f t="shared" si="274"/>
        <v>250</v>
      </c>
      <c r="CE102" s="3571">
        <f t="shared" si="274"/>
        <v>121</v>
      </c>
      <c r="CF102" s="3571">
        <f t="shared" si="274"/>
        <v>234</v>
      </c>
      <c r="CG102" s="3571">
        <f>+CG103-CG96</f>
        <v>136</v>
      </c>
      <c r="CH102" s="3571">
        <f>+CH103-CH96</f>
        <v>-1071</v>
      </c>
      <c r="CI102" s="3576">
        <f>SUM(CI97:CI101)</f>
        <v>62.5</v>
      </c>
      <c r="CJ102" s="3571">
        <f>SUM(CJ97:CJ101)</f>
        <v>62.5</v>
      </c>
      <c r="CK102" s="3571">
        <f>SUM(CK97:CK101)</f>
        <v>62.5</v>
      </c>
      <c r="CL102" s="3577">
        <f>SUM(CL97:CL101)</f>
        <v>62.5</v>
      </c>
      <c r="CM102" s="367"/>
    </row>
    <row r="103" spans="1:97" s="3532" customFormat="1" ht="13.5" thickBot="1">
      <c r="A103" s="3580" t="s">
        <v>1962</v>
      </c>
      <c r="B103" s="3581"/>
      <c r="C103" s="3581"/>
      <c r="D103" s="3581"/>
      <c r="E103" s="3582"/>
      <c r="F103" s="3582"/>
      <c r="G103" s="3583"/>
      <c r="H103" s="3583"/>
      <c r="I103" s="3583"/>
      <c r="J103" s="3583"/>
      <c r="K103" s="3581"/>
      <c r="L103" s="3581"/>
      <c r="M103" s="3581"/>
      <c r="N103" s="3581"/>
      <c r="O103" s="3581">
        <f t="shared" ref="O103:V103" si="275">+O102+O96</f>
        <v>1488</v>
      </c>
      <c r="P103" s="3581">
        <f t="shared" si="275"/>
        <v>1507</v>
      </c>
      <c r="Q103" s="3581">
        <f t="shared" si="275"/>
        <v>1325</v>
      </c>
      <c r="R103" s="3581">
        <f t="shared" si="275"/>
        <v>924</v>
      </c>
      <c r="S103" s="3581">
        <f>+S102+S96</f>
        <v>853.2638526224921</v>
      </c>
      <c r="T103" s="3581">
        <f t="shared" si="275"/>
        <v>1202.1363402526958</v>
      </c>
      <c r="U103" s="3581">
        <f t="shared" si="275"/>
        <v>1419.4056536311577</v>
      </c>
      <c r="V103" s="3581">
        <f t="shared" si="275"/>
        <v>1586.1145386905418</v>
      </c>
      <c r="W103" s="3581">
        <f>+W102+W96</f>
        <v>1774.3465787232058</v>
      </c>
      <c r="X103" s="3581">
        <f>+X102+X96</f>
        <v>1967.6719560726992</v>
      </c>
      <c r="Y103" s="2279"/>
      <c r="Z103" s="591"/>
      <c r="AA103" s="2279"/>
      <c r="AB103" s="3581"/>
      <c r="AC103" s="3581"/>
      <c r="AD103" s="3584"/>
      <c r="AE103" s="3585"/>
      <c r="AF103" s="3586"/>
      <c r="AG103" s="3586"/>
      <c r="AH103" s="3584"/>
      <c r="AI103" s="3585"/>
      <c r="AJ103" s="3586"/>
      <c r="AK103" s="3586"/>
      <c r="AL103" s="3584"/>
      <c r="AM103" s="3580"/>
      <c r="AN103" s="3581"/>
      <c r="AO103" s="3581"/>
      <c r="AP103" s="3587"/>
      <c r="AQ103" s="3580"/>
      <c r="AR103" s="3581"/>
      <c r="AS103" s="3581"/>
      <c r="AT103" s="3587"/>
      <c r="AU103" s="3580"/>
      <c r="AV103" s="3581"/>
      <c r="AW103" s="3581"/>
      <c r="AX103" s="3587"/>
      <c r="AY103" s="3580"/>
      <c r="AZ103" s="3581"/>
      <c r="BA103" s="3581"/>
      <c r="BB103" s="3587"/>
      <c r="BC103" s="3580"/>
      <c r="BD103" s="3581"/>
      <c r="BE103" s="3581"/>
      <c r="BF103" s="3581"/>
      <c r="BG103" s="3581"/>
      <c r="BH103" s="3581"/>
      <c r="BI103" s="3581"/>
      <c r="BJ103" s="3587"/>
      <c r="BK103" s="3581"/>
      <c r="BL103" s="3581"/>
      <c r="BM103" s="3581"/>
      <c r="BN103" s="3581"/>
      <c r="BO103" s="3588"/>
      <c r="BP103" s="3582"/>
      <c r="BQ103" s="3589"/>
      <c r="BR103" s="3590"/>
      <c r="BS103" s="3589">
        <f>789-BT103</f>
        <v>381</v>
      </c>
      <c r="BT103" s="3589">
        <v>408</v>
      </c>
      <c r="BU103" s="3589">
        <v>359</v>
      </c>
      <c r="BV103" s="3590">
        <v>340</v>
      </c>
      <c r="BW103" s="3589">
        <v>375</v>
      </c>
      <c r="BX103" s="3589">
        <v>308</v>
      </c>
      <c r="BY103" s="3589">
        <v>390</v>
      </c>
      <c r="BZ103" s="3590">
        <v>434</v>
      </c>
      <c r="CA103" s="3589">
        <v>386</v>
      </c>
      <c r="CB103" s="3589">
        <v>342</v>
      </c>
      <c r="CC103" s="3589">
        <v>305</v>
      </c>
      <c r="CD103" s="3590">
        <v>292</v>
      </c>
      <c r="CE103" s="3589">
        <v>284</v>
      </c>
      <c r="CF103" s="3589">
        <v>251</v>
      </c>
      <c r="CG103" s="3589">
        <v>228</v>
      </c>
      <c r="CH103" s="3589">
        <v>161</v>
      </c>
      <c r="CI103" s="3588">
        <f>+CI102+CI96</f>
        <v>150.76018234375047</v>
      </c>
      <c r="CJ103" s="3582">
        <f>+CJ102+CJ96</f>
        <v>196.46106476481222</v>
      </c>
      <c r="CK103" s="3582">
        <f>+CK102+CK96</f>
        <v>227.99905674433589</v>
      </c>
      <c r="CL103" s="3591">
        <f>+CL102+CL96</f>
        <v>278.04354876959349</v>
      </c>
      <c r="CM103" s="3101"/>
      <c r="CN103"/>
      <c r="CO103"/>
      <c r="CP103"/>
      <c r="CQ103"/>
      <c r="CR103"/>
      <c r="CS103"/>
    </row>
    <row r="104" spans="1:97" ht="10.5" customHeight="1">
      <c r="A104" s="1056"/>
      <c r="B104" s="368"/>
      <c r="C104" s="368"/>
      <c r="D104" s="368"/>
      <c r="E104" s="368"/>
      <c r="F104" s="534"/>
      <c r="G104" s="276"/>
      <c r="H104" s="276"/>
      <c r="I104" s="276"/>
      <c r="J104" s="276"/>
      <c r="K104" s="276"/>
      <c r="L104" s="276"/>
      <c r="M104" s="276"/>
      <c r="N104" s="276"/>
      <c r="O104" s="276"/>
      <c r="P104" s="276"/>
      <c r="Q104" s="276"/>
      <c r="R104" s="276"/>
      <c r="S104" s="276"/>
      <c r="T104" s="276"/>
      <c r="U104" s="276"/>
      <c r="V104" s="276"/>
      <c r="W104" s="276"/>
      <c r="X104" s="276"/>
      <c r="Y104" s="2279"/>
      <c r="Z104" s="591"/>
      <c r="AA104" s="2279"/>
      <c r="AB104" s="368"/>
      <c r="AC104" s="535"/>
      <c r="AD104" s="536"/>
      <c r="AE104" s="535"/>
      <c r="AF104" s="537"/>
      <c r="AG104" s="537"/>
      <c r="AH104" s="537"/>
      <c r="AI104" s="538"/>
      <c r="AJ104" s="537"/>
      <c r="AK104" s="539"/>
      <c r="AL104" s="540"/>
      <c r="AM104" s="534"/>
      <c r="AN104" s="541"/>
      <c r="AO104" s="542"/>
      <c r="AP104" s="543"/>
      <c r="AQ104" s="544"/>
      <c r="AR104" s="542"/>
      <c r="AS104" s="542"/>
      <c r="AT104" s="544"/>
      <c r="AU104" s="545"/>
      <c r="AV104" s="542"/>
      <c r="AW104" s="542"/>
      <c r="AX104" s="542"/>
      <c r="AY104" s="1699"/>
      <c r="AZ104" s="1700"/>
      <c r="BA104" s="1700"/>
      <c r="BB104" s="1729"/>
      <c r="BC104" s="1699"/>
      <c r="BD104" s="1700"/>
      <c r="BE104" s="1700"/>
      <c r="BF104" s="1700"/>
      <c r="BG104" s="1699"/>
      <c r="BH104" s="1700"/>
      <c r="BI104" s="1700"/>
      <c r="BJ104" s="1729"/>
      <c r="BK104" s="1700"/>
      <c r="BL104" s="1700"/>
      <c r="BM104" s="1700"/>
      <c r="BN104" s="1700"/>
      <c r="BO104" s="1699"/>
      <c r="BP104" s="1700"/>
      <c r="BQ104" s="1700"/>
      <c r="BR104" s="1700"/>
      <c r="BS104" s="1699"/>
      <c r="BT104" s="1700"/>
      <c r="BU104" s="1700"/>
      <c r="BV104" s="484"/>
      <c r="BW104" s="1700"/>
      <c r="BX104" s="1700"/>
      <c r="BY104" s="1700"/>
      <c r="BZ104" s="484"/>
      <c r="CA104" s="444"/>
      <c r="CB104" s="1700"/>
      <c r="CC104" s="1700"/>
      <c r="CD104" s="484"/>
      <c r="CE104" s="444"/>
      <c r="CF104" s="1700"/>
      <c r="CG104" s="1700"/>
      <c r="CH104" s="1700"/>
      <c r="CI104" s="1699"/>
      <c r="CJ104" s="1700"/>
      <c r="CK104" s="1700"/>
      <c r="CL104" s="1729"/>
      <c r="CM104" s="367"/>
    </row>
    <row r="105" spans="1:97" hidden="1" outlineLevel="1">
      <c r="A105" s="486" t="s">
        <v>495</v>
      </c>
      <c r="B105" s="399"/>
      <c r="C105" s="399"/>
      <c r="D105" s="399"/>
      <c r="E105" s="399"/>
      <c r="F105" s="408"/>
      <c r="G105" s="399"/>
      <c r="H105" s="399"/>
      <c r="I105" s="399"/>
      <c r="J105" s="399"/>
      <c r="K105" s="1994"/>
      <c r="L105" s="399"/>
      <c r="M105" s="399"/>
      <c r="N105" s="399"/>
      <c r="O105" s="399"/>
      <c r="P105" s="399"/>
      <c r="Q105" s="399"/>
      <c r="R105" s="399"/>
      <c r="S105" s="2634"/>
      <c r="T105" s="399"/>
      <c r="U105" s="399"/>
      <c r="V105" s="399"/>
      <c r="W105" s="2634"/>
      <c r="X105" s="2634"/>
      <c r="Y105" s="2279"/>
      <c r="Z105" s="591"/>
      <c r="AA105" s="2279"/>
      <c r="AB105" s="272"/>
      <c r="AC105" s="272"/>
      <c r="AD105" s="224"/>
      <c r="AE105" s="272"/>
      <c r="AF105" s="18"/>
      <c r="AG105" s="18"/>
      <c r="AH105" s="18"/>
      <c r="AI105" s="121"/>
      <c r="AJ105" s="17"/>
      <c r="AK105" s="147"/>
      <c r="AL105" s="123"/>
      <c r="AM105" s="122"/>
      <c r="AN105" s="17"/>
      <c r="AO105" s="542"/>
      <c r="AP105" s="543"/>
      <c r="AQ105" s="544"/>
      <c r="AR105" s="542"/>
      <c r="AS105" s="542"/>
      <c r="AT105" s="544"/>
      <c r="AU105" s="546"/>
      <c r="AV105" s="542"/>
      <c r="AW105" s="547"/>
      <c r="AX105" s="542"/>
      <c r="AY105" s="443"/>
      <c r="AZ105" s="444"/>
      <c r="BA105" s="444"/>
      <c r="BB105" s="484"/>
      <c r="BC105" s="443"/>
      <c r="BD105" s="444"/>
      <c r="BE105" s="444"/>
      <c r="BF105" s="444"/>
      <c r="BG105" s="443"/>
      <c r="BH105" s="444"/>
      <c r="BI105" s="444"/>
      <c r="BJ105" s="484"/>
      <c r="BK105" s="444"/>
      <c r="BL105" s="444"/>
      <c r="BM105" s="444"/>
      <c r="BN105" s="444"/>
      <c r="BO105" s="443"/>
      <c r="BP105" s="444"/>
      <c r="BQ105" s="444"/>
      <c r="BR105" s="444"/>
      <c r="BS105" s="443"/>
      <c r="BT105" s="444"/>
      <c r="BU105" s="444"/>
      <c r="BV105" s="484"/>
      <c r="BW105" s="444"/>
      <c r="BX105" s="444"/>
      <c r="BY105" s="444"/>
      <c r="BZ105" s="484"/>
      <c r="CA105" s="444"/>
      <c r="CB105" s="444"/>
      <c r="CC105" s="444"/>
      <c r="CD105" s="484"/>
      <c r="CE105" s="444"/>
      <c r="CF105" s="444"/>
      <c r="CG105" s="444"/>
      <c r="CH105" s="444"/>
      <c r="CI105" s="633"/>
      <c r="CJ105" s="444"/>
      <c r="CK105" s="444"/>
      <c r="CL105" s="484"/>
      <c r="CM105" s="367"/>
    </row>
    <row r="106" spans="1:97" hidden="1" outlineLevel="1">
      <c r="A106" s="456" t="s">
        <v>1009</v>
      </c>
      <c r="B106" s="408"/>
      <c r="C106" s="408"/>
      <c r="D106" s="408"/>
      <c r="E106" s="413">
        <f>AVERAGE(AE106:AH106)</f>
        <v>137.215</v>
      </c>
      <c r="F106" s="413">
        <f>AVERAGE(AI106:AL106)</f>
        <v>130.84049999999999</v>
      </c>
      <c r="G106" s="413">
        <f>AVERAGE(AM106:AP106)</f>
        <v>321.14375000000001</v>
      </c>
      <c r="H106" s="413">
        <f>AVERAGE(AQ106:AT106)</f>
        <v>317.35374999999999</v>
      </c>
      <c r="I106" s="413">
        <f>AVERAGE(AU106:AX106)</f>
        <v>590.97254599999997</v>
      </c>
      <c r="J106" s="413">
        <f>AVERAGE(AY106:BB106)</f>
        <v>581.60610280000003</v>
      </c>
      <c r="K106" s="413">
        <f>AVERAGE(BC106:BF106)</f>
        <v>601.53143120000004</v>
      </c>
      <c r="L106" s="413">
        <f>AVERAGE(BG106:BJ106)</f>
        <v>615.14975000000004</v>
      </c>
      <c r="M106" s="1686">
        <f>AVERAGE(BK106:BN106)</f>
        <v>620.09775000000002</v>
      </c>
      <c r="N106" s="1686">
        <f>AVERAGE(BO106:BR106)</f>
        <v>600.89274999999998</v>
      </c>
      <c r="O106" s="1686">
        <f>AVERAGE(BS106:BV106)</f>
        <v>568.923</v>
      </c>
      <c r="P106" s="1686">
        <f>AVERAGE(BW106:BZ106)</f>
        <v>554.27774999999997</v>
      </c>
      <c r="Q106" s="1686">
        <f>AVERAGE(CA106:CD106)</f>
        <v>539.74250000000006</v>
      </c>
      <c r="R106" s="1686">
        <f>AVERAGE(CE106:CH106)</f>
        <v>627.8075</v>
      </c>
      <c r="S106" s="1686">
        <f>AVERAGE(CI106:CL106)</f>
        <v>1075.4172395555556</v>
      </c>
      <c r="T106" s="1686">
        <f>+AVERAGE(S121:T121)</f>
        <v>1086.2638004021164</v>
      </c>
      <c r="U106" s="1686">
        <f>+AVERAGE(T121:U121)</f>
        <v>1096.593858351222</v>
      </c>
      <c r="V106" s="1686">
        <f>+AVERAGE(U121:V121)</f>
        <v>1106.4320087789417</v>
      </c>
      <c r="W106" s="1686">
        <f>+AVERAGE(V121:W121)</f>
        <v>1115.8016758529602</v>
      </c>
      <c r="X106" s="1686">
        <f>+AVERAGE(W121:X121)</f>
        <v>1124.7251683044067</v>
      </c>
      <c r="Y106" s="2279"/>
      <c r="Z106" s="591"/>
      <c r="AA106" s="2279"/>
      <c r="AB106" s="408"/>
      <c r="AC106" s="408"/>
      <c r="AD106" s="416">
        <f>INPUTS_1!B89/1000</f>
        <v>144.20400000000001</v>
      </c>
      <c r="AE106" s="408">
        <f>INPUTS_1!C89/1000</f>
        <v>142.58500000000001</v>
      </c>
      <c r="AF106" s="408">
        <f>INPUTS_1!D89/1000</f>
        <v>138.066</v>
      </c>
      <c r="AG106" s="408">
        <f>INPUTS_1!E89/1000</f>
        <v>134.88499999999999</v>
      </c>
      <c r="AH106" s="416">
        <f>INPUTS_1!F89/1000</f>
        <v>133.32400000000001</v>
      </c>
      <c r="AI106" s="408">
        <f>INPUTS_1!G89/1000</f>
        <v>132.18299999999999</v>
      </c>
      <c r="AJ106" s="408">
        <f>INPUTS_1!H89/1000</f>
        <v>130.29900000000001</v>
      </c>
      <c r="AK106" s="408">
        <f>INPUTS_1!I89/1000</f>
        <v>130.15</v>
      </c>
      <c r="AL106" s="416">
        <f>INPUTS_1!J89/1000</f>
        <v>130.72999999999999</v>
      </c>
      <c r="AM106" s="408">
        <f>INPUTS_1!K89/1000</f>
        <v>326.661</v>
      </c>
      <c r="AN106" s="408">
        <f>INPUTS_1!L89/1000</f>
        <v>319.70800000000003</v>
      </c>
      <c r="AO106" s="408">
        <f>INPUTS_1!M89/1000</f>
        <v>319.625</v>
      </c>
      <c r="AP106" s="416">
        <f>INPUTS_1!N89/1000</f>
        <v>318.58100000000002</v>
      </c>
      <c r="AQ106" s="408">
        <f>INPUTS_1!O89/1000</f>
        <v>316.80500000000001</v>
      </c>
      <c r="AR106" s="408">
        <f>INPUTS_1!P89/1000</f>
        <v>316.37099999999998</v>
      </c>
      <c r="AS106" s="408">
        <f>INPUTS_1!Q89/1000</f>
        <v>318.73599999999999</v>
      </c>
      <c r="AT106" s="416">
        <f>INPUTS_1!R89/1000</f>
        <v>317.50299999999999</v>
      </c>
      <c r="AU106" s="408">
        <f>INPUTS_1!S89/1000</f>
        <v>608.75511840000001</v>
      </c>
      <c r="AV106" s="408">
        <f>INPUTS_1!T89/1000</f>
        <v>596.01772160000007</v>
      </c>
      <c r="AW106" s="408">
        <f>INPUTS_1!U89/1000</f>
        <v>581.96433279999997</v>
      </c>
      <c r="AX106" s="416">
        <f>INPUTS_1!V89/1000</f>
        <v>577.15301120000004</v>
      </c>
      <c r="AY106" s="415">
        <f>INPUTS_1!W89/1000</f>
        <v>578.52428159999999</v>
      </c>
      <c r="AZ106" s="408">
        <f>INPUTS_1!X89/1000</f>
        <v>580.89921919999995</v>
      </c>
      <c r="BA106" s="408">
        <f>INPUTS_1!Y89/1000</f>
        <v>583.00214559999995</v>
      </c>
      <c r="BB106" s="416">
        <f>INPUTS_1!Z89/1000</f>
        <v>583.9987648</v>
      </c>
      <c r="BC106" s="408">
        <f>INPUTS_1!AA89/1000+13.5</f>
        <v>598.97922719999997</v>
      </c>
      <c r="BD106" s="408">
        <f>INPUTS_1!AB89/1000+13.6</f>
        <v>600.41079360000003</v>
      </c>
      <c r="BE106" s="408">
        <f>INPUTS_1!AC89/1000+13.7</f>
        <v>601.7361952</v>
      </c>
      <c r="BF106" s="408">
        <f>INPUTS_1!AD89/1000+14</f>
        <v>604.99950879999994</v>
      </c>
      <c r="BG106" s="939">
        <f>596.9+14.1</f>
        <v>611</v>
      </c>
      <c r="BH106" s="408">
        <f>+BH109</f>
        <v>614.529</v>
      </c>
      <c r="BI106" s="408">
        <f>+BI109</f>
        <v>616.55999999999995</v>
      </c>
      <c r="BJ106" s="416">
        <f>+BJ109</f>
        <v>618.51</v>
      </c>
      <c r="BK106" s="1840">
        <v>618.20799999999997</v>
      </c>
      <c r="BL106" s="1794">
        <v>619.88699999999994</v>
      </c>
      <c r="BM106" s="1794">
        <v>621.14800000000002</v>
      </c>
      <c r="BN106" s="1794">
        <v>621.14800000000002</v>
      </c>
      <c r="BO106" s="2058">
        <v>619.423</v>
      </c>
      <c r="BP106" s="1794">
        <v>604.30200000000002</v>
      </c>
      <c r="BQ106" s="1794">
        <v>594.58699999999999</v>
      </c>
      <c r="BR106" s="1794">
        <v>585.25900000000001</v>
      </c>
      <c r="BS106" s="2058">
        <v>574.53499999999997</v>
      </c>
      <c r="BT106" s="1794">
        <v>567.91499999999996</v>
      </c>
      <c r="BU106" s="1794">
        <v>567.91499999999996</v>
      </c>
      <c r="BV106" s="2044">
        <v>565.327</v>
      </c>
      <c r="BW106" s="1794">
        <v>561.96900000000005</v>
      </c>
      <c r="BX106" s="1794">
        <v>558.64</v>
      </c>
      <c r="BY106" s="1794">
        <v>554.89700000000005</v>
      </c>
      <c r="BZ106" s="2044">
        <v>541.60500000000002</v>
      </c>
      <c r="CA106" s="3559">
        <v>538.79899999999998</v>
      </c>
      <c r="CB106" s="3559">
        <v>540.4</v>
      </c>
      <c r="CC106" s="3559">
        <v>539.80600000000004</v>
      </c>
      <c r="CD106" s="3560">
        <v>539.96500000000003</v>
      </c>
      <c r="CE106" s="3559">
        <v>540.45799999999997</v>
      </c>
      <c r="CF106" s="3559">
        <v>541.36099999999999</v>
      </c>
      <c r="CG106" s="3559">
        <v>541.52099999999996</v>
      </c>
      <c r="CH106" s="3559">
        <v>887.89</v>
      </c>
      <c r="CI106" s="415">
        <f>+AVERAGE(CH121:CI121)</f>
        <v>1071.2505728888889</v>
      </c>
      <c r="CJ106" s="408">
        <f t="shared" ref="CJ106:CL106" si="276">+AVERAGE(CI121:CJ121)</f>
        <v>1074.0283506666667</v>
      </c>
      <c r="CK106" s="408">
        <f t="shared" si="276"/>
        <v>1076.8061284444445</v>
      </c>
      <c r="CL106" s="416">
        <f t="shared" si="276"/>
        <v>1079.5839062222224</v>
      </c>
      <c r="CM106" s="367"/>
    </row>
    <row r="107" spans="1:97" hidden="1" outlineLevel="1">
      <c r="A107" s="16" t="s">
        <v>775</v>
      </c>
      <c r="B107" s="399"/>
      <c r="C107" s="399"/>
      <c r="D107" s="399"/>
      <c r="E107" s="409"/>
      <c r="F107" s="409">
        <f t="shared" ref="F107:Q107" si="277">+F106/E106-1</f>
        <v>-4.6456291221805279E-2</v>
      </c>
      <c r="G107" s="409">
        <f t="shared" si="277"/>
        <v>1.4544674622918747</v>
      </c>
      <c r="H107" s="409">
        <f t="shared" si="277"/>
        <v>-1.1801568612186952E-2</v>
      </c>
      <c r="I107" s="409">
        <f t="shared" si="277"/>
        <v>0.86218863334685647</v>
      </c>
      <c r="J107" s="409">
        <f t="shared" si="277"/>
        <v>-1.584920190184258E-2</v>
      </c>
      <c r="K107" s="409">
        <f t="shared" si="277"/>
        <v>3.4259146016650144E-2</v>
      </c>
      <c r="L107" s="409">
        <f t="shared" si="277"/>
        <v>2.2639413493044991E-2</v>
      </c>
      <c r="M107" s="409">
        <f t="shared" si="277"/>
        <v>8.0435698787164611E-3</v>
      </c>
      <c r="N107" s="409">
        <f t="shared" si="277"/>
        <v>-3.0970923535845851E-2</v>
      </c>
      <c r="O107" s="409">
        <f t="shared" si="277"/>
        <v>-5.3203753914488061E-2</v>
      </c>
      <c r="P107" s="409">
        <f t="shared" si="277"/>
        <v>-2.5742059997574396E-2</v>
      </c>
      <c r="Q107" s="409">
        <f t="shared" si="277"/>
        <v>-2.6223765972925861E-2</v>
      </c>
      <c r="R107" s="409">
        <f t="shared" ref="R107:X107" si="278">+R106/Q106-1</f>
        <v>0.16316113702367319</v>
      </c>
      <c r="S107" s="409">
        <f t="shared" si="278"/>
        <v>0.71297290898174293</v>
      </c>
      <c r="T107" s="409">
        <f t="shared" si="278"/>
        <v>1.0085909401120752E-2</v>
      </c>
      <c r="U107" s="409">
        <f t="shared" si="278"/>
        <v>9.5097138883588617E-3</v>
      </c>
      <c r="V107" s="409">
        <f t="shared" si="278"/>
        <v>8.9715534632957006E-3</v>
      </c>
      <c r="W107" s="409">
        <f t="shared" si="278"/>
        <v>8.4683622668859648E-3</v>
      </c>
      <c r="X107" s="409">
        <f t="shared" si="278"/>
        <v>7.9973821912617815E-3</v>
      </c>
      <c r="Y107" s="2279"/>
      <c r="Z107" s="591"/>
      <c r="AA107" s="2279"/>
      <c r="AB107" s="409"/>
      <c r="AC107" s="409"/>
      <c r="AD107" s="419"/>
      <c r="AE107" s="409"/>
      <c r="AF107" s="409"/>
      <c r="AG107" s="409"/>
      <c r="AH107" s="424"/>
      <c r="AI107" s="420">
        <f t="shared" ref="AI107:BY107" si="279">+AI106/AE106-1</f>
        <v>-7.2952975418171695E-2</v>
      </c>
      <c r="AJ107" s="409">
        <f t="shared" si="279"/>
        <v>-5.6255703793837708E-2</v>
      </c>
      <c r="AK107" s="409">
        <f t="shared" si="279"/>
        <v>-3.5103977462282554E-2</v>
      </c>
      <c r="AL107" s="424">
        <f t="shared" si="279"/>
        <v>-1.9456361945336287E-2</v>
      </c>
      <c r="AM107" s="420">
        <f t="shared" si="279"/>
        <v>1.4712784548693856</v>
      </c>
      <c r="AN107" s="409">
        <f t="shared" si="279"/>
        <v>1.4536489151873768</v>
      </c>
      <c r="AO107" s="409">
        <f t="shared" si="279"/>
        <v>1.4558202074529389</v>
      </c>
      <c r="AP107" s="424">
        <f t="shared" si="279"/>
        <v>1.4369387286774269</v>
      </c>
      <c r="AQ107" s="420">
        <f t="shared" si="279"/>
        <v>-3.0171951962431942E-2</v>
      </c>
      <c r="AR107" s="409">
        <f t="shared" si="279"/>
        <v>-1.043764935503666E-2</v>
      </c>
      <c r="AS107" s="409">
        <f t="shared" si="279"/>
        <v>-2.7813844348846262E-3</v>
      </c>
      <c r="AT107" s="409">
        <f t="shared" si="279"/>
        <v>-3.383754837859243E-3</v>
      </c>
      <c r="AU107" s="548">
        <f t="shared" si="279"/>
        <v>0.92154517258250346</v>
      </c>
      <c r="AV107" s="410">
        <f t="shared" si="279"/>
        <v>0.88392021266171716</v>
      </c>
      <c r="AW107" s="410">
        <f t="shared" si="279"/>
        <v>0.82585065006776759</v>
      </c>
      <c r="AX107" s="549">
        <f t="shared" si="279"/>
        <v>0.81778758373936644</v>
      </c>
      <c r="AY107" s="550">
        <f t="shared" si="279"/>
        <v>-4.9660094652602127E-2</v>
      </c>
      <c r="AZ107" s="551">
        <f t="shared" si="279"/>
        <v>-2.5365860530815687E-2</v>
      </c>
      <c r="BA107" s="551">
        <f t="shared" si="279"/>
        <v>1.7832927922003527E-3</v>
      </c>
      <c r="BB107" s="552">
        <f t="shared" si="279"/>
        <v>1.1861245574663837E-2</v>
      </c>
      <c r="BC107" s="550">
        <f t="shared" si="279"/>
        <v>3.5357108163945439E-2</v>
      </c>
      <c r="BD107" s="551">
        <f t="shared" si="279"/>
        <v>3.3588570538743312E-2</v>
      </c>
      <c r="BE107" s="551">
        <f t="shared" si="279"/>
        <v>3.2133757553704623E-2</v>
      </c>
      <c r="BF107" s="551">
        <f t="shared" si="279"/>
        <v>3.5960254140592118E-2</v>
      </c>
      <c r="BG107" s="550">
        <f t="shared" si="279"/>
        <v>2.0068764080839019E-2</v>
      </c>
      <c r="BH107" s="551">
        <f t="shared" si="279"/>
        <v>2.3514244831190689E-2</v>
      </c>
      <c r="BI107" s="551">
        <f t="shared" si="279"/>
        <v>2.4635055890352309E-2</v>
      </c>
      <c r="BJ107" s="552">
        <f t="shared" si="279"/>
        <v>2.2331408544112197E-2</v>
      </c>
      <c r="BK107" s="551">
        <f t="shared" si="279"/>
        <v>1.1797054009820007E-2</v>
      </c>
      <c r="BL107" s="551">
        <f t="shared" si="279"/>
        <v>8.7188725023554792E-3</v>
      </c>
      <c r="BM107" s="551">
        <f t="shared" si="279"/>
        <v>7.4412871415596715E-3</v>
      </c>
      <c r="BN107" s="551">
        <f t="shared" si="279"/>
        <v>4.2650886808621724E-3</v>
      </c>
      <c r="BO107" s="550">
        <f t="shared" si="279"/>
        <v>1.965357937781409E-3</v>
      </c>
      <c r="BP107" s="551">
        <f t="shared" si="279"/>
        <v>-2.514167904795539E-2</v>
      </c>
      <c r="BQ107" s="551">
        <f t="shared" si="279"/>
        <v>-4.2761145491895691E-2</v>
      </c>
      <c r="BR107" s="551">
        <f t="shared" si="279"/>
        <v>-5.7778500453998127E-2</v>
      </c>
      <c r="BS107" s="550">
        <f t="shared" si="279"/>
        <v>-7.246744147375872E-2</v>
      </c>
      <c r="BT107" s="551">
        <f t="shared" si="279"/>
        <v>-6.0213270848019751E-2</v>
      </c>
      <c r="BU107" s="551">
        <f t="shared" si="279"/>
        <v>-4.4858027504805942E-2</v>
      </c>
      <c r="BV107" s="552">
        <f t="shared" si="279"/>
        <v>-3.4056716769840345E-2</v>
      </c>
      <c r="BW107" s="551">
        <f t="shared" si="279"/>
        <v>-2.1871600511717992E-2</v>
      </c>
      <c r="BX107" s="551">
        <f t="shared" si="279"/>
        <v>-1.6331669351927647E-2</v>
      </c>
      <c r="BY107" s="551">
        <f t="shared" si="279"/>
        <v>-2.2922444379880669E-2</v>
      </c>
      <c r="BZ107" s="552">
        <f t="shared" ref="BZ107:CF107" si="280">+BZ106/BV106-1</f>
        <v>-4.1961554993835359E-2</v>
      </c>
      <c r="CA107" s="551">
        <f t="shared" si="280"/>
        <v>-4.1230032261566185E-2</v>
      </c>
      <c r="CB107" s="551">
        <f t="shared" si="280"/>
        <v>-3.2650723184877606E-2</v>
      </c>
      <c r="CC107" s="551">
        <f t="shared" si="280"/>
        <v>-2.7196038183662896E-2</v>
      </c>
      <c r="CD107" s="552">
        <f>+CD106/BZ106-1</f>
        <v>-3.0280370380627586E-3</v>
      </c>
      <c r="CE107" s="551">
        <f>+CE106/CA106-1</f>
        <v>3.0790703026546407E-3</v>
      </c>
      <c r="CF107" s="551">
        <f t="shared" si="280"/>
        <v>1.7783123612138407E-3</v>
      </c>
      <c r="CG107" s="551">
        <f>+CG106/CC106-1</f>
        <v>3.1770673167765828E-3</v>
      </c>
      <c r="CH107" s="551">
        <f t="shared" ref="CH107" si="281">+CH106/CD106-1</f>
        <v>0.64434731880770046</v>
      </c>
      <c r="CI107" s="550">
        <f>+CI106/CE106-1</f>
        <v>0.98211622899261175</v>
      </c>
      <c r="CJ107" s="551">
        <f>+CJ106/CF106-1</f>
        <v>0.98394112369872744</v>
      </c>
      <c r="CK107" s="551">
        <f>+CK106/CG106-1</f>
        <v>0.98848452496661188</v>
      </c>
      <c r="CL107" s="552">
        <f>+CL106/CH106-1</f>
        <v>0.21589826016986602</v>
      </c>
      <c r="CM107" s="367"/>
    </row>
    <row r="108" spans="1:97" hidden="1" outlineLevel="1">
      <c r="A108" s="16" t="s">
        <v>1010</v>
      </c>
      <c r="B108" s="399"/>
      <c r="C108" s="399"/>
      <c r="D108" s="399"/>
      <c r="E108" s="413">
        <f>+E109-E106</f>
        <v>1.8702499999999702</v>
      </c>
      <c r="F108" s="413">
        <f>+F109-F106</f>
        <v>5.2462500000000034</v>
      </c>
      <c r="G108" s="413">
        <f>+G109-G106</f>
        <v>7.236500000000035</v>
      </c>
      <c r="H108" s="413">
        <f>+H109-H106</f>
        <v>7.1492000000000075</v>
      </c>
      <c r="I108" s="413">
        <f t="shared" ref="I108:R108" si="282">I109-I106</f>
        <v>1.9047516000000542</v>
      </c>
      <c r="J108" s="413">
        <f t="shared" si="282"/>
        <v>1.8372166999998853</v>
      </c>
      <c r="K108" s="413">
        <f t="shared" si="282"/>
        <v>3.1028099999999768</v>
      </c>
      <c r="L108" s="413">
        <f t="shared" si="282"/>
        <v>0.77499999999986358</v>
      </c>
      <c r="M108" s="413">
        <f t="shared" si="282"/>
        <v>2.1872499999999491</v>
      </c>
      <c r="N108" s="2073">
        <f t="shared" si="282"/>
        <v>1.0185000000000173</v>
      </c>
      <c r="O108" s="2073">
        <f t="shared" si="282"/>
        <v>0.44899999999995543</v>
      </c>
      <c r="P108" s="2073">
        <f t="shared" si="282"/>
        <v>0.81574999999997999</v>
      </c>
      <c r="Q108" s="2073">
        <f t="shared" si="282"/>
        <v>0.94224999999994452</v>
      </c>
      <c r="R108" s="2073">
        <f t="shared" si="282"/>
        <v>0.88524999999992815</v>
      </c>
      <c r="S108" s="2073">
        <f>S109-S106</f>
        <v>2.7777777777778283</v>
      </c>
      <c r="T108" s="2073">
        <f>+T120</f>
        <v>10.582010582010581</v>
      </c>
      <c r="U108" s="2073">
        <f t="shared" ref="U108:X108" si="283">+U120</f>
        <v>10.078105316200554</v>
      </c>
      <c r="V108" s="2073">
        <f t="shared" si="283"/>
        <v>9.5981955392386222</v>
      </c>
      <c r="W108" s="2073">
        <f t="shared" si="283"/>
        <v>9.1411386087986877</v>
      </c>
      <c r="X108" s="2073">
        <f t="shared" si="283"/>
        <v>8.7058462940939894</v>
      </c>
      <c r="Y108" s="2279"/>
      <c r="Z108" s="591"/>
      <c r="AA108" s="2279"/>
      <c r="AB108" s="409"/>
      <c r="AC108" s="409"/>
      <c r="AD108" s="419"/>
      <c r="AE108" s="425">
        <f t="shared" ref="AE108:AK108" si="284">+AE109-AE106</f>
        <v>0.76200000000000045</v>
      </c>
      <c r="AF108" s="425">
        <f t="shared" si="284"/>
        <v>0.8230000000000075</v>
      </c>
      <c r="AG108" s="425">
        <f t="shared" si="284"/>
        <v>0.85200000000000387</v>
      </c>
      <c r="AH108" s="515">
        <f t="shared" si="284"/>
        <v>5.0439999999999827</v>
      </c>
      <c r="AI108" s="553">
        <f t="shared" si="284"/>
        <v>4.9860000000000184</v>
      </c>
      <c r="AJ108" s="425">
        <f t="shared" si="284"/>
        <v>5.0459999999999923</v>
      </c>
      <c r="AK108" s="425">
        <f t="shared" si="284"/>
        <v>5.7659999999999911</v>
      </c>
      <c r="AL108" s="515">
        <f t="shared" ref="AL108:BF108" si="285">(+AL109-AL106)/1000</f>
        <v>5.1870000000000119E-3</v>
      </c>
      <c r="AM108" s="553">
        <f t="shared" si="285"/>
        <v>6.798000000000002E-3</v>
      </c>
      <c r="AN108" s="425">
        <f t="shared" si="285"/>
        <v>7.4279999999999971E-3</v>
      </c>
      <c r="AO108" s="425">
        <f t="shared" si="285"/>
        <v>7.0079999999999813E-3</v>
      </c>
      <c r="AP108" s="515">
        <f t="shared" si="285"/>
        <v>7.7119999999999888E-3</v>
      </c>
      <c r="AQ108" s="553">
        <f t="shared" si="285"/>
        <v>8.2909999999999963E-3</v>
      </c>
      <c r="AR108" s="425">
        <f t="shared" si="285"/>
        <v>7.7820000000000389E-3</v>
      </c>
      <c r="AS108" s="425">
        <f t="shared" si="285"/>
        <v>6.0837999999999968E-3</v>
      </c>
      <c r="AT108" s="425">
        <f t="shared" si="285"/>
        <v>6.4399999999999978E-3</v>
      </c>
      <c r="AU108" s="554">
        <f t="shared" si="285"/>
        <v>3.4339375999999219E-3</v>
      </c>
      <c r="AV108" s="555">
        <f t="shared" si="285"/>
        <v>2.7437887999999474E-3</v>
      </c>
      <c r="AW108" s="555">
        <f t="shared" si="285"/>
        <v>1.202835200000095E-3</v>
      </c>
      <c r="AX108" s="555">
        <f t="shared" si="285"/>
        <v>2.3844480000002476E-4</v>
      </c>
      <c r="AY108" s="554">
        <f t="shared" si="285"/>
        <v>1.1908991999999899E-3</v>
      </c>
      <c r="AZ108" s="555">
        <f t="shared" si="285"/>
        <v>3.0310587999999826E-3</v>
      </c>
      <c r="BA108" s="555">
        <f t="shared" si="285"/>
        <v>1.5259872000000314E-3</v>
      </c>
      <c r="BB108" s="556">
        <f t="shared" si="285"/>
        <v>1.6009215999999923E-3</v>
      </c>
      <c r="BC108" s="554">
        <f t="shared" si="285"/>
        <v>3.9207728000000084E-3</v>
      </c>
      <c r="BD108" s="555">
        <f t="shared" si="285"/>
        <v>6.9059760000000098E-3</v>
      </c>
      <c r="BE108" s="555">
        <f t="shared" si="285"/>
        <v>6.8400000000008276E-4</v>
      </c>
      <c r="BF108" s="555">
        <f t="shared" si="285"/>
        <v>9.0049120000003314E-4</v>
      </c>
      <c r="BG108" s="554">
        <f>(+BG109-BG106)/1000</f>
        <v>3.1000000000000229E-3</v>
      </c>
      <c r="BH108" s="1865">
        <f>+BG108</f>
        <v>3.1000000000000229E-3</v>
      </c>
      <c r="BI108" s="1865">
        <f>+BH108</f>
        <v>3.1000000000000229E-3</v>
      </c>
      <c r="BJ108" s="645">
        <f>+BI108</f>
        <v>3.1000000000000229E-3</v>
      </c>
      <c r="BK108" s="2253">
        <f t="shared" ref="BK108:BP108" si="286">BK109-BK106</f>
        <v>2.1420000000000528</v>
      </c>
      <c r="BL108" s="2253">
        <f t="shared" si="286"/>
        <v>1.9520000000001119</v>
      </c>
      <c r="BM108" s="2253">
        <f t="shared" si="286"/>
        <v>2.1480000000000246</v>
      </c>
      <c r="BN108" s="2253">
        <f t="shared" si="286"/>
        <v>2.5059999999999718</v>
      </c>
      <c r="BO108" s="2254">
        <f t="shared" si="286"/>
        <v>1.6509999999999536</v>
      </c>
      <c r="BP108" s="2253">
        <f t="shared" si="286"/>
        <v>1.2999999999999545</v>
      </c>
      <c r="BQ108" s="2253">
        <f t="shared" ref="BQ108:BV108" si="287">BQ109-BQ106</f>
        <v>0</v>
      </c>
      <c r="BR108" s="2253">
        <f t="shared" si="287"/>
        <v>1.1229999999999336</v>
      </c>
      <c r="BS108" s="2254">
        <f t="shared" si="287"/>
        <v>0.92100000000004911</v>
      </c>
      <c r="BT108" s="2253">
        <f t="shared" si="287"/>
        <v>1.1170000000000755</v>
      </c>
      <c r="BU108" s="2253">
        <f t="shared" si="287"/>
        <v>-1.9499999999999318</v>
      </c>
      <c r="BV108" s="2592">
        <f t="shared" si="287"/>
        <v>1.70799999999997</v>
      </c>
      <c r="BW108" s="2253">
        <f t="shared" ref="BW108:CB108" si="288">BW109-BW106</f>
        <v>1.5359999999999445</v>
      </c>
      <c r="BX108" s="2253">
        <f t="shared" si="288"/>
        <v>0.58000000000004093</v>
      </c>
      <c r="BY108" s="2253">
        <f t="shared" si="288"/>
        <v>0.25899999999990087</v>
      </c>
      <c r="BZ108" s="2592">
        <f t="shared" si="288"/>
        <v>0.88800000000003365</v>
      </c>
      <c r="CA108" s="2253">
        <f t="shared" si="288"/>
        <v>1.3880000000000337</v>
      </c>
      <c r="CB108" s="2253">
        <f t="shared" si="288"/>
        <v>0</v>
      </c>
      <c r="CC108" s="2253">
        <f>CC109-CC106</f>
        <v>1.11099999999999</v>
      </c>
      <c r="CD108" s="2592">
        <f>CD109-CD106</f>
        <v>1.2699999999999818</v>
      </c>
      <c r="CE108" s="2253">
        <f>CE109-CE106</f>
        <v>1.0640000000000782</v>
      </c>
      <c r="CF108" s="2253">
        <f>CF109-CF106</f>
        <v>0.78999999999996362</v>
      </c>
      <c r="CG108" s="2253">
        <f>CG109-CG106</f>
        <v>0.44200000000000728</v>
      </c>
      <c r="CH108" s="2253">
        <f t="shared" ref="CH108" si="289">CH109-CH106</f>
        <v>1.2450000000000045</v>
      </c>
      <c r="CI108" s="3841">
        <f>+CI120</f>
        <v>2.7777777777777777</v>
      </c>
      <c r="CJ108" s="1865">
        <f t="shared" ref="CJ108:CL108" si="290">+CJ120</f>
        <v>2.7777777777777777</v>
      </c>
      <c r="CK108" s="1865">
        <f t="shared" si="290"/>
        <v>2.7777777777777777</v>
      </c>
      <c r="CL108" s="645">
        <f t="shared" si="290"/>
        <v>2.7777777777777777</v>
      </c>
      <c r="CM108" s="367"/>
    </row>
    <row r="109" spans="1:97" collapsed="1">
      <c r="A109" s="1706" t="s">
        <v>1011</v>
      </c>
      <c r="B109" s="408"/>
      <c r="C109" s="408"/>
      <c r="D109" s="408"/>
      <c r="E109" s="413">
        <f>AVERAGE(AE109:AH109)</f>
        <v>139.08524999999997</v>
      </c>
      <c r="F109" s="413">
        <f>AVERAGE(AI109:AL109)</f>
        <v>136.08674999999999</v>
      </c>
      <c r="G109" s="413">
        <f>AVERAGE(AM109:AP109)</f>
        <v>328.38025000000005</v>
      </c>
      <c r="H109" s="413">
        <f>AVERAGE(AQ109:AT109)</f>
        <v>324.50295</v>
      </c>
      <c r="I109" s="1701">
        <f>AVERAGE(AU109:AX109)</f>
        <v>592.87729760000002</v>
      </c>
      <c r="J109" s="1701">
        <f>AVERAGE(AY109:BB109)</f>
        <v>583.44331949999992</v>
      </c>
      <c r="K109" s="1701">
        <f>AVERAGE(BC109:BF109)</f>
        <v>604.63424120000002</v>
      </c>
      <c r="L109" s="1701">
        <f>AVERAGE(BG109:BJ109)</f>
        <v>615.9247499999999</v>
      </c>
      <c r="M109" s="573">
        <v>622.28499999999997</v>
      </c>
      <c r="N109" s="1686">
        <f>+AVERAGE(BO109:BR109)</f>
        <v>601.91125</v>
      </c>
      <c r="O109" s="1686">
        <f>AVERAGE(BS109:BV109)</f>
        <v>569.37199999999996</v>
      </c>
      <c r="P109" s="1686">
        <f>AVERAGE(BW109:BZ109)</f>
        <v>555.09349999999995</v>
      </c>
      <c r="Q109" s="1686">
        <f>AVERAGE(CA109:CD109)</f>
        <v>540.68475000000001</v>
      </c>
      <c r="R109" s="1686">
        <f>AVERAGE(CE109:CH109)</f>
        <v>628.69274999999993</v>
      </c>
      <c r="S109" s="1686">
        <f>AVERAGE(CI109:CL109)</f>
        <v>1078.1950173333335</v>
      </c>
      <c r="T109" s="1686">
        <f>T108+T106</f>
        <v>1096.845810984127</v>
      </c>
      <c r="U109" s="1686">
        <f>U108+U106</f>
        <v>1106.6719636674227</v>
      </c>
      <c r="V109" s="1686">
        <f>V108+V106</f>
        <v>1116.0302043181803</v>
      </c>
      <c r="W109" s="1686">
        <f>W108+W106</f>
        <v>1124.9428144617589</v>
      </c>
      <c r="X109" s="1686">
        <f>X108+X106</f>
        <v>1133.4310145985007</v>
      </c>
      <c r="Y109" s="2279"/>
      <c r="Z109" s="591"/>
      <c r="AA109" s="2279"/>
      <c r="AB109" s="408"/>
      <c r="AC109" s="408"/>
      <c r="AD109" s="416">
        <f>INPUTS_1!B94/1000</f>
        <v>145.35400000000001</v>
      </c>
      <c r="AE109" s="408">
        <f>INPUTS_1!C94/1000</f>
        <v>143.34700000000001</v>
      </c>
      <c r="AF109" s="408">
        <f>INPUTS_1!D94/1000</f>
        <v>138.88900000000001</v>
      </c>
      <c r="AG109" s="408">
        <f>INPUTS_1!E94/1000</f>
        <v>135.73699999999999</v>
      </c>
      <c r="AH109" s="416">
        <f>INPUTS_1!F94/1000</f>
        <v>138.36799999999999</v>
      </c>
      <c r="AI109" s="408">
        <f>INPUTS_1!G94/1000</f>
        <v>137.16900000000001</v>
      </c>
      <c r="AJ109" s="408">
        <f>INPUTS_1!H94/1000</f>
        <v>135.345</v>
      </c>
      <c r="AK109" s="408">
        <f>INPUTS_1!I94/1000</f>
        <v>135.916</v>
      </c>
      <c r="AL109" s="416">
        <f>INPUTS_1!J94/1000</f>
        <v>135.917</v>
      </c>
      <c r="AM109" s="408">
        <f>INPUTS_1!K94/1000</f>
        <v>333.459</v>
      </c>
      <c r="AN109" s="408">
        <f>INPUTS_1!L94/1000</f>
        <v>327.13600000000002</v>
      </c>
      <c r="AO109" s="408">
        <f>INPUTS_1!M94/1000</f>
        <v>326.63299999999998</v>
      </c>
      <c r="AP109" s="416">
        <f>INPUTS_1!N94/1000</f>
        <v>326.29300000000001</v>
      </c>
      <c r="AQ109" s="408">
        <f>INPUTS_1!O94/1000</f>
        <v>325.096</v>
      </c>
      <c r="AR109" s="408">
        <f>INPUTS_1!P94/1000</f>
        <v>324.15300000000002</v>
      </c>
      <c r="AS109" s="408">
        <f>INPUTS_1!Q94/1000</f>
        <v>324.81979999999999</v>
      </c>
      <c r="AT109" s="416">
        <f>INPUTS_1!R94/1000</f>
        <v>323.94299999999998</v>
      </c>
      <c r="AU109" s="408">
        <f>INPUTS_1!S94/1000</f>
        <v>612.18905599999994</v>
      </c>
      <c r="AV109" s="408">
        <f>INPUTS_1!T94/1000</f>
        <v>598.76151040000002</v>
      </c>
      <c r="AW109" s="408">
        <f>INPUTS_1!U94/1000</f>
        <v>583.16716800000006</v>
      </c>
      <c r="AX109" s="416">
        <f>INPUTS_1!V94/1000</f>
        <v>577.39145600000006</v>
      </c>
      <c r="AY109" s="1740">
        <f>INPUTS_1!W94/1000</f>
        <v>579.71518079999998</v>
      </c>
      <c r="AZ109" s="1698">
        <f>INPUTS_1!X94/1000</f>
        <v>583.93027799999993</v>
      </c>
      <c r="BA109" s="1698">
        <f>INPUTS_1!Y94/1000</f>
        <v>584.52813279999998</v>
      </c>
      <c r="BB109" s="1741">
        <f>INPUTS_1!Z94/1000</f>
        <v>585.5996864</v>
      </c>
      <c r="BC109" s="1840">
        <v>602.9</v>
      </c>
      <c r="BD109" s="1840">
        <f>593.7167696+13.6</f>
        <v>607.31676960000004</v>
      </c>
      <c r="BE109" s="1840">
        <f>588.7201952+13.7</f>
        <v>602.42019520000008</v>
      </c>
      <c r="BF109" s="574">
        <f>591.9+14</f>
        <v>605.9</v>
      </c>
      <c r="BG109" s="939">
        <f>600+14.1</f>
        <v>614.1</v>
      </c>
      <c r="BH109" s="1798">
        <v>614.529</v>
      </c>
      <c r="BI109" s="1794">
        <v>616.55999999999995</v>
      </c>
      <c r="BJ109" s="2044">
        <v>618.51</v>
      </c>
      <c r="BK109" s="1794">
        <v>620.35</v>
      </c>
      <c r="BL109" s="1794">
        <v>621.83900000000006</v>
      </c>
      <c r="BM109" s="1794">
        <v>623.29600000000005</v>
      </c>
      <c r="BN109" s="1794">
        <v>623.654</v>
      </c>
      <c r="BO109" s="2058">
        <v>621.07399999999996</v>
      </c>
      <c r="BP109" s="1794">
        <v>605.60199999999998</v>
      </c>
      <c r="BQ109" s="1794">
        <v>594.58699999999999</v>
      </c>
      <c r="BR109" s="1794">
        <v>586.38199999999995</v>
      </c>
      <c r="BS109" s="3556">
        <v>575.45600000000002</v>
      </c>
      <c r="BT109" s="3557">
        <v>569.03200000000004</v>
      </c>
      <c r="BU109" s="3557">
        <v>565.96500000000003</v>
      </c>
      <c r="BV109" s="3558">
        <v>567.03499999999997</v>
      </c>
      <c r="BW109" s="3559">
        <v>563.505</v>
      </c>
      <c r="BX109" s="3559">
        <v>559.22</v>
      </c>
      <c r="BY109" s="3559">
        <v>555.15599999999995</v>
      </c>
      <c r="BZ109" s="3560">
        <v>542.49300000000005</v>
      </c>
      <c r="CA109" s="3559">
        <v>540.18700000000001</v>
      </c>
      <c r="CB109" s="3559">
        <v>540.4</v>
      </c>
      <c r="CC109" s="3559">
        <v>540.91700000000003</v>
      </c>
      <c r="CD109" s="3560">
        <v>541.23500000000001</v>
      </c>
      <c r="CE109" s="3559">
        <v>541.52200000000005</v>
      </c>
      <c r="CF109" s="3559">
        <v>542.15099999999995</v>
      </c>
      <c r="CG109" s="3559">
        <v>541.96299999999997</v>
      </c>
      <c r="CH109" s="3559">
        <v>889.13499999999999</v>
      </c>
      <c r="CI109" s="3842">
        <f>CI106+CI108</f>
        <v>1074.0283506666667</v>
      </c>
      <c r="CJ109" s="3561">
        <f>CJ106+CJ108</f>
        <v>1076.8061284444445</v>
      </c>
      <c r="CK109" s="3561">
        <f>CK106+CK108</f>
        <v>1079.5839062222224</v>
      </c>
      <c r="CL109" s="3562">
        <f>CL106+CL108</f>
        <v>1082.3616840000002</v>
      </c>
      <c r="CM109" s="367"/>
    </row>
    <row r="110" spans="1:97" hidden="1" outlineLevel="1">
      <c r="A110" s="1687" t="s">
        <v>1012</v>
      </c>
      <c r="B110" s="399"/>
      <c r="C110" s="399"/>
      <c r="D110" s="399"/>
      <c r="E110" s="409"/>
      <c r="F110" s="409">
        <f t="shared" ref="F110:Q110" si="291">+F109/E109-1</f>
        <v>-2.1558720281266153E-2</v>
      </c>
      <c r="G110" s="409">
        <f t="shared" si="291"/>
        <v>1.4130214734351436</v>
      </c>
      <c r="H110" s="409">
        <f t="shared" si="291"/>
        <v>-1.1807348340833634E-2</v>
      </c>
      <c r="I110" s="1688">
        <f t="shared" si="291"/>
        <v>0.82703207351427777</v>
      </c>
      <c r="J110" s="1688">
        <f t="shared" si="291"/>
        <v>-1.5912193194425495E-2</v>
      </c>
      <c r="K110" s="1688">
        <f t="shared" si="291"/>
        <v>3.6320446205743373E-2</v>
      </c>
      <c r="L110" s="1688">
        <f t="shared" si="291"/>
        <v>1.8673287139001404E-2</v>
      </c>
      <c r="M110" s="1688">
        <f t="shared" si="291"/>
        <v>1.0326342625458729E-2</v>
      </c>
      <c r="N110" s="1688">
        <f t="shared" si="291"/>
        <v>-3.2740223531018686E-2</v>
      </c>
      <c r="O110" s="1688">
        <f t="shared" si="291"/>
        <v>-5.405988009029572E-2</v>
      </c>
      <c r="P110" s="1688">
        <f t="shared" si="291"/>
        <v>-2.5077629388168043E-2</v>
      </c>
      <c r="Q110" s="1688">
        <f t="shared" si="291"/>
        <v>-2.5957338718612166E-2</v>
      </c>
      <c r="R110" s="1688">
        <f t="shared" ref="R110:X110" si="292">+R109/Q109-1</f>
        <v>0.16277137463189018</v>
      </c>
      <c r="S110" s="1688">
        <f t="shared" si="292"/>
        <v>0.7149792443659222</v>
      </c>
      <c r="T110" s="1688">
        <f t="shared" si="292"/>
        <v>1.7298163459261717E-2</v>
      </c>
      <c r="U110" s="1688">
        <f t="shared" si="292"/>
        <v>8.9585542333241452E-3</v>
      </c>
      <c r="V110" s="1688">
        <f t="shared" si="292"/>
        <v>8.4562010767357254E-3</v>
      </c>
      <c r="W110" s="1688">
        <f t="shared" si="292"/>
        <v>7.9859936667427966E-3</v>
      </c>
      <c r="X110" s="1688">
        <f t="shared" si="292"/>
        <v>7.5454503354492886E-3</v>
      </c>
      <c r="Y110" s="2279"/>
      <c r="Z110" s="591"/>
      <c r="AA110" s="2279"/>
      <c r="AB110" s="409"/>
      <c r="AC110" s="409"/>
      <c r="AD110" s="419"/>
      <c r="AE110" s="409"/>
      <c r="AF110" s="424"/>
      <c r="AG110" s="424"/>
      <c r="AH110" s="424">
        <f t="shared" ref="AH110:BY110" si="293">+AH109/AD109-1</f>
        <v>-4.8061972838724931E-2</v>
      </c>
      <c r="AI110" s="420">
        <f t="shared" si="293"/>
        <v>-4.3098216216593266E-2</v>
      </c>
      <c r="AJ110" s="424">
        <f t="shared" si="293"/>
        <v>-2.5516779586576388E-2</v>
      </c>
      <c r="AK110" s="424">
        <f t="shared" si="293"/>
        <v>1.3187266552230348E-3</v>
      </c>
      <c r="AL110" s="424">
        <f t="shared" si="293"/>
        <v>-1.7713633209990753E-2</v>
      </c>
      <c r="AM110" s="420">
        <f t="shared" si="293"/>
        <v>1.4310084640115477</v>
      </c>
      <c r="AN110" s="424">
        <f t="shared" si="293"/>
        <v>1.4170527171302969</v>
      </c>
      <c r="AO110" s="424">
        <f t="shared" si="293"/>
        <v>1.4031975632008002</v>
      </c>
      <c r="AP110" s="424">
        <f t="shared" si="293"/>
        <v>1.4006783551726421</v>
      </c>
      <c r="AQ110" s="420">
        <f t="shared" si="293"/>
        <v>-2.5079545011530646E-2</v>
      </c>
      <c r="AR110" s="409">
        <f t="shared" si="293"/>
        <v>-9.1185317421500489E-3</v>
      </c>
      <c r="AS110" s="409">
        <f t="shared" si="293"/>
        <v>-5.5511843567551677E-3</v>
      </c>
      <c r="AT110" s="409">
        <f t="shared" si="293"/>
        <v>-7.2021158897065396E-3</v>
      </c>
      <c r="AU110" s="420">
        <f t="shared" si="293"/>
        <v>0.88310239436966298</v>
      </c>
      <c r="AV110" s="424">
        <f t="shared" si="293"/>
        <v>0.84715708446320104</v>
      </c>
      <c r="AW110" s="424">
        <f t="shared" si="293"/>
        <v>0.79535597275781855</v>
      </c>
      <c r="AX110" s="477">
        <f t="shared" si="293"/>
        <v>0.7823859629626202</v>
      </c>
      <c r="AY110" s="1690">
        <f t="shared" si="293"/>
        <v>-5.3045501029015396E-2</v>
      </c>
      <c r="AZ110" s="1691">
        <f t="shared" si="293"/>
        <v>-2.4769849334657756E-2</v>
      </c>
      <c r="BA110" s="1691">
        <f t="shared" si="293"/>
        <v>2.3337472935374137E-3</v>
      </c>
      <c r="BB110" s="1692">
        <f t="shared" si="293"/>
        <v>1.4216057952890715E-2</v>
      </c>
      <c r="BC110" s="1690">
        <f t="shared" si="293"/>
        <v>3.9993465701562592E-2</v>
      </c>
      <c r="BD110" s="1691">
        <f t="shared" si="293"/>
        <v>4.0050143794735815E-2</v>
      </c>
      <c r="BE110" s="1691">
        <f t="shared" si="293"/>
        <v>3.0609411927350338E-2</v>
      </c>
      <c r="BF110" s="1691">
        <f t="shared" si="293"/>
        <v>3.4665854629801984E-2</v>
      </c>
      <c r="BG110" s="1690">
        <f t="shared" si="293"/>
        <v>1.8576878420965448E-2</v>
      </c>
      <c r="BH110" s="1691">
        <f t="shared" si="293"/>
        <v>1.1875566032451434E-2</v>
      </c>
      <c r="BI110" s="1691">
        <f t="shared" si="293"/>
        <v>2.3471664649797441E-2</v>
      </c>
      <c r="BJ110" s="1692">
        <f t="shared" si="293"/>
        <v>2.0812015184023869E-2</v>
      </c>
      <c r="BK110" s="1691">
        <f t="shared" si="293"/>
        <v>1.0177495521902058E-2</v>
      </c>
      <c r="BL110" s="1691">
        <f t="shared" si="293"/>
        <v>1.1895288912321611E-2</v>
      </c>
      <c r="BM110" s="1691">
        <f t="shared" si="293"/>
        <v>1.092513299597786E-2</v>
      </c>
      <c r="BN110" s="1691">
        <f t="shared" si="293"/>
        <v>8.316761248807536E-3</v>
      </c>
      <c r="BO110" s="1690">
        <f t="shared" si="293"/>
        <v>1.1670830982508651E-3</v>
      </c>
      <c r="BP110" s="1691">
        <f t="shared" si="293"/>
        <v>-2.6111260310144768E-2</v>
      </c>
      <c r="BQ110" s="1691">
        <f t="shared" si="293"/>
        <v>-4.6059977923811557E-2</v>
      </c>
      <c r="BR110" s="1691">
        <f t="shared" si="293"/>
        <v>-5.9763907551302564E-2</v>
      </c>
      <c r="BS110" s="3563">
        <f t="shared" si="293"/>
        <v>-7.345018468008635E-2</v>
      </c>
      <c r="BT110" s="3564">
        <f t="shared" si="293"/>
        <v>-6.0386194233176149E-2</v>
      </c>
      <c r="BU110" s="3564">
        <f t="shared" si="293"/>
        <v>-4.8137614848625998E-2</v>
      </c>
      <c r="BV110" s="3565">
        <f t="shared" si="293"/>
        <v>-3.2993850425149462E-2</v>
      </c>
      <c r="BW110" s="3564">
        <f t="shared" si="293"/>
        <v>-2.0767877995885087E-2</v>
      </c>
      <c r="BX110" s="3564">
        <f t="shared" si="293"/>
        <v>-1.7243318477695446E-2</v>
      </c>
      <c r="BY110" s="3564">
        <f t="shared" si="293"/>
        <v>-1.9098354138506912E-2</v>
      </c>
      <c r="BZ110" s="3565">
        <f t="shared" ref="BZ110:CF110" si="294">+BZ109/BV109-1</f>
        <v>-4.3281278933399059E-2</v>
      </c>
      <c r="CA110" s="3566">
        <f t="shared" si="294"/>
        <v>-4.1380289438425533E-2</v>
      </c>
      <c r="CB110" s="3564">
        <f t="shared" si="294"/>
        <v>-3.3654018096634708E-2</v>
      </c>
      <c r="CC110" s="3564">
        <f t="shared" si="294"/>
        <v>-2.5648646506567396E-2</v>
      </c>
      <c r="CD110" s="3565">
        <f>+CD109/BZ109-1</f>
        <v>-2.3189239308157861E-3</v>
      </c>
      <c r="CE110" s="3566">
        <f>+CE109/CA109-1</f>
        <v>2.4713663971922539E-3</v>
      </c>
      <c r="CF110" s="3564">
        <f t="shared" si="294"/>
        <v>3.2401924500369272E-3</v>
      </c>
      <c r="CG110" s="3564">
        <f>+CG109/CC109-1</f>
        <v>1.9337532375576227E-3</v>
      </c>
      <c r="CH110" s="3564">
        <f t="shared" ref="CH110" si="295">+CH109/CD109-1</f>
        <v>0.64278917660535617</v>
      </c>
      <c r="CI110" s="3563">
        <f>+CI109/CE109-1</f>
        <v>0.98335127781819875</v>
      </c>
      <c r="CJ110" s="3564">
        <f>+CJ109/CF109-1</f>
        <v>0.986173830619965</v>
      </c>
      <c r="CK110" s="3564">
        <f>+CK109/CG109-1</f>
        <v>0.99198820993725123</v>
      </c>
      <c r="CL110" s="3567">
        <f>+CL109/CH109-1</f>
        <v>0.21731984906678981</v>
      </c>
      <c r="CM110" s="367"/>
    </row>
    <row r="111" spans="1:97" hidden="1" outlineLevel="1">
      <c r="A111" s="1687" t="s">
        <v>1013</v>
      </c>
      <c r="B111" s="399"/>
      <c r="C111" s="399"/>
      <c r="D111" s="399"/>
      <c r="E111" s="399"/>
      <c r="F111" s="408"/>
      <c r="G111" s="399"/>
      <c r="H111" s="399"/>
      <c r="I111" s="373"/>
      <c r="J111" s="373"/>
      <c r="K111" s="373"/>
      <c r="L111" s="373"/>
      <c r="M111" s="373"/>
      <c r="N111" s="373"/>
      <c r="O111" s="373"/>
      <c r="P111" s="373"/>
      <c r="Q111" s="373"/>
      <c r="R111" s="373"/>
      <c r="S111" s="2271"/>
      <c r="T111" s="2271"/>
      <c r="U111" s="2271"/>
      <c r="V111" s="2271"/>
      <c r="W111" s="2271"/>
      <c r="X111" s="2271"/>
      <c r="Y111" s="2279"/>
      <c r="Z111" s="591"/>
      <c r="AA111" s="2279"/>
      <c r="AB111" s="557"/>
      <c r="AC111" s="557"/>
      <c r="AD111" s="441"/>
      <c r="AE111" s="409">
        <f t="shared" ref="AE111:BY111" si="296">AE109/AD109-1</f>
        <v>-1.3807669551577528E-2</v>
      </c>
      <c r="AF111" s="424">
        <f t="shared" si="296"/>
        <v>-3.1099360293553424E-2</v>
      </c>
      <c r="AG111" s="424">
        <f t="shared" si="296"/>
        <v>-2.2694381844494682E-2</v>
      </c>
      <c r="AH111" s="424">
        <f t="shared" si="296"/>
        <v>1.9383071675372232E-2</v>
      </c>
      <c r="AI111" s="420">
        <f t="shared" si="296"/>
        <v>-8.665298334874949E-3</v>
      </c>
      <c r="AJ111" s="424">
        <f t="shared" si="296"/>
        <v>-1.3297465170701961E-2</v>
      </c>
      <c r="AK111" s="516">
        <f t="shared" si="296"/>
        <v>4.2188481288558677E-3</v>
      </c>
      <c r="AL111" s="516">
        <f t="shared" si="296"/>
        <v>7.3574855057323418E-6</v>
      </c>
      <c r="AM111" s="457">
        <f t="shared" si="296"/>
        <v>1.4534017083955648</v>
      </c>
      <c r="AN111" s="516">
        <f t="shared" si="296"/>
        <v>-1.8961851382028883E-2</v>
      </c>
      <c r="AO111" s="516">
        <f t="shared" si="296"/>
        <v>-1.5375868140469207E-3</v>
      </c>
      <c r="AP111" s="516">
        <f t="shared" si="296"/>
        <v>-1.0409236053918747E-3</v>
      </c>
      <c r="AQ111" s="457">
        <f t="shared" si="296"/>
        <v>-3.6684820085015613E-3</v>
      </c>
      <c r="AR111" s="516">
        <f t="shared" si="296"/>
        <v>-2.900681644806391E-3</v>
      </c>
      <c r="AS111" s="516">
        <f t="shared" si="296"/>
        <v>2.0570533050749962E-3</v>
      </c>
      <c r="AT111" s="371">
        <f t="shared" si="296"/>
        <v>-2.6993428356276716E-3</v>
      </c>
      <c r="AU111" s="457">
        <f t="shared" si="296"/>
        <v>0.88980486073167175</v>
      </c>
      <c r="AV111" s="516">
        <f t="shared" si="296"/>
        <v>-2.1933658350141938E-2</v>
      </c>
      <c r="AW111" s="516">
        <f t="shared" si="296"/>
        <v>-2.6044330053182962E-2</v>
      </c>
      <c r="AX111" s="477">
        <f t="shared" si="296"/>
        <v>-9.9040417858365926E-3</v>
      </c>
      <c r="AY111" s="1690">
        <f t="shared" si="296"/>
        <v>4.0245223164505628E-3</v>
      </c>
      <c r="AZ111" s="1691">
        <f t="shared" si="296"/>
        <v>7.2709795078733652E-3</v>
      </c>
      <c r="BA111" s="1691">
        <f t="shared" si="296"/>
        <v>1.0238462065159659E-3</v>
      </c>
      <c r="BB111" s="1691">
        <f t="shared" si="296"/>
        <v>1.8331942294498305E-3</v>
      </c>
      <c r="BC111" s="1691">
        <f t="shared" si="296"/>
        <v>2.9542901066690108E-2</v>
      </c>
      <c r="BD111" s="1691">
        <f t="shared" si="296"/>
        <v>7.3258742743407268E-3</v>
      </c>
      <c r="BE111" s="1691">
        <f t="shared" si="296"/>
        <v>-8.0626365763373231E-3</v>
      </c>
      <c r="BF111" s="1691">
        <f t="shared" si="296"/>
        <v>5.7763747426240464E-3</v>
      </c>
      <c r="BG111" s="1690">
        <f t="shared" si="296"/>
        <v>1.3533586400396258E-2</v>
      </c>
      <c r="BH111" s="1691">
        <f t="shared" si="296"/>
        <v>6.9858329262340035E-4</v>
      </c>
      <c r="BI111" s="1691">
        <f t="shared" si="296"/>
        <v>3.3049701478693461E-3</v>
      </c>
      <c r="BJ111" s="1692">
        <f t="shared" si="296"/>
        <v>3.1627092253796452E-3</v>
      </c>
      <c r="BK111" s="1691">
        <f t="shared" si="296"/>
        <v>2.9748912709577358E-3</v>
      </c>
      <c r="BL111" s="1691">
        <f t="shared" si="296"/>
        <v>2.4002579189168483E-3</v>
      </c>
      <c r="BM111" s="1691">
        <f t="shared" si="296"/>
        <v>2.3430502107457674E-3</v>
      </c>
      <c r="BN111" s="1691">
        <f t="shared" si="296"/>
        <v>5.7436595132953627E-4</v>
      </c>
      <c r="BO111" s="1690">
        <f t="shared" si="296"/>
        <v>-4.1369092477560043E-3</v>
      </c>
      <c r="BP111" s="1691">
        <f t="shared" si="296"/>
        <v>-2.4911685242016257E-2</v>
      </c>
      <c r="BQ111" s="1691">
        <f t="shared" si="296"/>
        <v>-1.8188513247974769E-2</v>
      </c>
      <c r="BR111" s="1691">
        <f t="shared" si="296"/>
        <v>-1.3799494438997195E-2</v>
      </c>
      <c r="BS111" s="3563">
        <f t="shared" si="296"/>
        <v>-1.8632904829957164E-2</v>
      </c>
      <c r="BT111" s="3564">
        <f t="shared" si="296"/>
        <v>-1.1163320914196695E-2</v>
      </c>
      <c r="BU111" s="3564">
        <f t="shared" si="296"/>
        <v>-5.3898550520884436E-3</v>
      </c>
      <c r="BV111" s="3565">
        <f t="shared" si="296"/>
        <v>1.8905762723842034E-3</v>
      </c>
      <c r="BW111" s="3564">
        <f t="shared" si="296"/>
        <v>-6.2253652772755741E-3</v>
      </c>
      <c r="BX111" s="3564">
        <f t="shared" si="296"/>
        <v>-7.6041916220795924E-3</v>
      </c>
      <c r="BY111" s="3564">
        <f t="shared" si="296"/>
        <v>-7.2672651192734472E-3</v>
      </c>
      <c r="BZ111" s="3565">
        <f t="shared" ref="BZ111:CF111" si="297">BZ109/BY109-1</f>
        <v>-2.2809804811620316E-2</v>
      </c>
      <c r="CA111" s="3566">
        <f t="shared" si="297"/>
        <v>-4.2507460925763629E-3</v>
      </c>
      <c r="CB111" s="3564">
        <f t="shared" si="297"/>
        <v>3.9430789708005953E-4</v>
      </c>
      <c r="CC111" s="3564">
        <f t="shared" si="297"/>
        <v>9.5669874167292335E-4</v>
      </c>
      <c r="CD111" s="3565">
        <f>CD109/CC109-1</f>
        <v>5.8789056361696623E-4</v>
      </c>
      <c r="CE111" s="3566">
        <f>CE109/CD109-1</f>
        <v>5.3026873723993617E-4</v>
      </c>
      <c r="CF111" s="3564">
        <f t="shared" si="297"/>
        <v>1.1615409900243012E-3</v>
      </c>
      <c r="CG111" s="3564">
        <f>CG109/CF109-1</f>
        <v>-3.4676686015522318E-4</v>
      </c>
      <c r="CH111" s="3564">
        <f t="shared" ref="CH111" si="298">CH109/CG109-1</f>
        <v>0.64058247518742073</v>
      </c>
      <c r="CI111" s="3563">
        <f>CI109/CH109-1</f>
        <v>0.2079474440514284</v>
      </c>
      <c r="CJ111" s="3564">
        <f>CJ109/CI109-1</f>
        <v>2.5863169962445642E-3</v>
      </c>
      <c r="CK111" s="3564">
        <f>CK109/CJ109-1</f>
        <v>2.5796452159783101E-3</v>
      </c>
      <c r="CL111" s="3567">
        <f>CL109/CK109-1</f>
        <v>2.5730077687968755E-3</v>
      </c>
      <c r="CM111" s="367"/>
    </row>
    <row r="112" spans="1:97" s="3136" customFormat="1" collapsed="1">
      <c r="A112" s="526" t="s">
        <v>1965</v>
      </c>
      <c r="B112" s="527"/>
      <c r="C112" s="527"/>
      <c r="D112" s="527"/>
      <c r="E112" s="528"/>
      <c r="F112" s="528"/>
      <c r="G112" s="528"/>
      <c r="H112" s="528"/>
      <c r="I112" s="528"/>
      <c r="J112" s="528"/>
      <c r="K112" s="528"/>
      <c r="L112" s="528"/>
      <c r="M112" s="528"/>
      <c r="N112" s="528"/>
      <c r="O112" s="528">
        <f t="shared" ref="O112:V112" si="299">+O103/O109</f>
        <v>2.6134056469232769</v>
      </c>
      <c r="P112" s="528">
        <f t="shared" si="299"/>
        <v>2.7148579473548153</v>
      </c>
      <c r="Q112" s="528">
        <f t="shared" si="299"/>
        <v>2.4505962115632074</v>
      </c>
      <c r="R112" s="528">
        <f t="shared" si="299"/>
        <v>1.4697163280473651</v>
      </c>
      <c r="S112" s="528">
        <f>+S103/S109</f>
        <v>0.79138174347424028</v>
      </c>
      <c r="T112" s="528">
        <f t="shared" si="299"/>
        <v>1.0959939202157309</v>
      </c>
      <c r="U112" s="528">
        <f t="shared" si="299"/>
        <v>1.2825893311034651</v>
      </c>
      <c r="V112" s="528">
        <f t="shared" si="299"/>
        <v>1.4212111218437422</v>
      </c>
      <c r="W112" s="528">
        <f>+W103/W109</f>
        <v>1.5772771343689689</v>
      </c>
      <c r="X112" s="528">
        <f>+X103/X109</f>
        <v>1.7360315102809452</v>
      </c>
      <c r="Y112" s="2279"/>
      <c r="Z112" s="2281"/>
      <c r="AA112" s="2288"/>
      <c r="AB112" s="529"/>
      <c r="AC112" s="529"/>
      <c r="AD112" s="530"/>
      <c r="AE112" s="531"/>
      <c r="AF112" s="531"/>
      <c r="AG112" s="531"/>
      <c r="AH112" s="530"/>
      <c r="AI112" s="531"/>
      <c r="AJ112" s="531"/>
      <c r="AK112" s="531"/>
      <c r="AL112" s="530"/>
      <c r="AM112" s="531"/>
      <c r="AN112" s="531"/>
      <c r="AO112" s="531"/>
      <c r="AP112" s="530"/>
      <c r="AQ112" s="531"/>
      <c r="AR112" s="531"/>
      <c r="AS112" s="531"/>
      <c r="AT112" s="530"/>
      <c r="AU112" s="531"/>
      <c r="AV112" s="531"/>
      <c r="AW112" s="531"/>
      <c r="AX112" s="530"/>
      <c r="AY112" s="532"/>
      <c r="AZ112" s="531"/>
      <c r="BA112" s="531"/>
      <c r="BB112" s="530"/>
      <c r="BC112" s="531"/>
      <c r="BD112" s="531"/>
      <c r="BE112" s="531"/>
      <c r="BF112" s="531"/>
      <c r="BG112" s="532"/>
      <c r="BH112" s="531"/>
      <c r="BI112" s="531"/>
      <c r="BJ112" s="530"/>
      <c r="BK112" s="531"/>
      <c r="BL112" s="531"/>
      <c r="BM112" s="531"/>
      <c r="BN112" s="531"/>
      <c r="BO112" s="532"/>
      <c r="BP112" s="531"/>
      <c r="BQ112" s="531"/>
      <c r="BR112" s="531"/>
      <c r="BS112" s="532">
        <f>+BS103/BS109</f>
        <v>0.66208363454373576</v>
      </c>
      <c r="BT112" s="531">
        <f>+BT103/BT109</f>
        <v>0.71700712789438903</v>
      </c>
      <c r="BU112" s="531">
        <f>+BU103/BU109</f>
        <v>0.63431484279063188</v>
      </c>
      <c r="BV112" s="530">
        <f>+BV103/BV109</f>
        <v>0.59961025333533202</v>
      </c>
      <c r="BW112" s="532">
        <f t="shared" ref="BW112:CC112" si="300">+BW103/BW109</f>
        <v>0.66547767987861683</v>
      </c>
      <c r="BX112" s="531">
        <f t="shared" si="300"/>
        <v>0.55076713994492321</v>
      </c>
      <c r="BY112" s="531">
        <f t="shared" si="300"/>
        <v>0.70250524176988094</v>
      </c>
      <c r="BZ112" s="530">
        <f t="shared" si="300"/>
        <v>0.80001032271384143</v>
      </c>
      <c r="CA112" s="531">
        <f t="shared" si="300"/>
        <v>0.71456736278362865</v>
      </c>
      <c r="CB112" s="531">
        <f t="shared" si="300"/>
        <v>0.63286454478164322</v>
      </c>
      <c r="CC112" s="531">
        <f t="shared" si="300"/>
        <v>0.56385730158231295</v>
      </c>
      <c r="CD112" s="530">
        <f t="shared" ref="CD112:CL112" si="301">+CD103/CD109</f>
        <v>0.53950686855062957</v>
      </c>
      <c r="CE112" s="531">
        <f t="shared" si="301"/>
        <v>0.5244477602018015</v>
      </c>
      <c r="CF112" s="531">
        <f t="shared" si="301"/>
        <v>0.4629706483986934</v>
      </c>
      <c r="CG112" s="531">
        <f t="shared" si="301"/>
        <v>0.42069292553181675</v>
      </c>
      <c r="CH112" s="531">
        <f t="shared" ref="CH112" si="302">+CH103/CH109</f>
        <v>0.18107486489678171</v>
      </c>
      <c r="CI112" s="532">
        <f t="shared" si="301"/>
        <v>0.1403689039029288</v>
      </c>
      <c r="CJ112" s="531">
        <f t="shared" si="301"/>
        <v>0.1824479445047551</v>
      </c>
      <c r="CK112" s="531">
        <f t="shared" si="301"/>
        <v>0.21119160394134701</v>
      </c>
      <c r="CL112" s="530">
        <f t="shared" si="301"/>
        <v>0.25688598633873427</v>
      </c>
      <c r="CM112" s="3542"/>
      <c r="CN112"/>
      <c r="CO112"/>
      <c r="CP112"/>
      <c r="CQ112"/>
      <c r="CR112"/>
      <c r="CS112"/>
    </row>
    <row r="113" spans="1:97" s="3532" customFormat="1">
      <c r="A113" s="2655" t="s">
        <v>1975</v>
      </c>
      <c r="B113" s="2634"/>
      <c r="C113" s="2634"/>
      <c r="D113" s="2634"/>
      <c r="E113" s="2634"/>
      <c r="F113" s="408"/>
      <c r="G113" s="2634"/>
      <c r="H113" s="2634"/>
      <c r="I113" s="2271"/>
      <c r="J113" s="2271"/>
      <c r="K113" s="2271"/>
      <c r="L113" s="2271"/>
      <c r="M113" s="2271"/>
      <c r="N113" s="2271"/>
      <c r="O113" s="2271"/>
      <c r="P113" s="3536">
        <f t="shared" ref="P113:V113" si="303">+P96/P109</f>
        <v>1.5817155127919893</v>
      </c>
      <c r="Q113" s="3536">
        <f t="shared" si="303"/>
        <v>1.1577911158026928</v>
      </c>
      <c r="R113" s="3536">
        <f t="shared" si="303"/>
        <v>2.3922655382935467</v>
      </c>
      <c r="S113" s="3536">
        <f>+S96/S109</f>
        <v>0.55951274391392203</v>
      </c>
      <c r="T113" s="3536">
        <f t="shared" si="303"/>
        <v>0.98203077357450352</v>
      </c>
      <c r="U113" s="3536">
        <f t="shared" si="303"/>
        <v>1.2825893311034651</v>
      </c>
      <c r="V113" s="3536">
        <f t="shared" si="303"/>
        <v>1.4212111218437422</v>
      </c>
      <c r="W113" s="3536">
        <f>+W96/W109</f>
        <v>1.5772771343689689</v>
      </c>
      <c r="X113" s="3536">
        <f>+X96/X109</f>
        <v>1.7360315102809452</v>
      </c>
      <c r="Y113" s="2279"/>
      <c r="Z113" s="591"/>
      <c r="AA113" s="2279"/>
      <c r="AB113" s="557"/>
      <c r="AC113" s="557"/>
      <c r="AD113" s="441"/>
      <c r="AE113" s="409"/>
      <c r="AF113" s="424"/>
      <c r="AG113" s="424"/>
      <c r="AH113" s="424"/>
      <c r="AI113" s="420"/>
      <c r="AJ113" s="424"/>
      <c r="AK113" s="516"/>
      <c r="AL113" s="516"/>
      <c r="AM113" s="457"/>
      <c r="AN113" s="516"/>
      <c r="AO113" s="516"/>
      <c r="AP113" s="516"/>
      <c r="AQ113" s="457"/>
      <c r="AR113" s="516"/>
      <c r="AS113" s="516"/>
      <c r="AT113" s="371"/>
      <c r="AU113" s="457"/>
      <c r="AV113" s="516"/>
      <c r="AW113" s="516"/>
      <c r="AX113" s="477"/>
      <c r="AY113" s="1690"/>
      <c r="AZ113" s="1691"/>
      <c r="BA113" s="1691"/>
      <c r="BB113" s="1691"/>
      <c r="BC113" s="1691"/>
      <c r="BD113" s="1691"/>
      <c r="BE113" s="1691"/>
      <c r="BF113" s="1691"/>
      <c r="BG113" s="1690"/>
      <c r="BH113" s="1691"/>
      <c r="BI113" s="1691"/>
      <c r="BJ113" s="1692"/>
      <c r="BK113" s="1691"/>
      <c r="BL113" s="1691"/>
      <c r="BM113" s="1691"/>
      <c r="BN113" s="1691"/>
      <c r="BO113" s="1690"/>
      <c r="BP113" s="1691"/>
      <c r="BQ113" s="1691"/>
      <c r="BR113" s="1691"/>
      <c r="BS113" s="1690"/>
      <c r="BT113" s="1691"/>
      <c r="BU113" s="1691"/>
      <c r="BV113" s="421"/>
      <c r="BW113" s="1691"/>
      <c r="BX113" s="1691"/>
      <c r="BY113" s="1691"/>
      <c r="BZ113" s="421"/>
      <c r="CA113" s="430"/>
      <c r="CB113" s="1691"/>
      <c r="CC113" s="1691"/>
      <c r="CD113" s="421"/>
      <c r="CE113" s="430"/>
      <c r="CF113" s="1691"/>
      <c r="CG113" s="1691"/>
      <c r="CH113" s="1691"/>
      <c r="CI113" s="1690"/>
      <c r="CJ113" s="1691"/>
      <c r="CK113" s="1691"/>
      <c r="CL113" s="1692"/>
      <c r="CM113" s="3101"/>
      <c r="CN113"/>
      <c r="CO113"/>
      <c r="CP113"/>
      <c r="CQ113"/>
      <c r="CR113"/>
      <c r="CS113"/>
    </row>
    <row r="114" spans="1:97">
      <c r="A114" s="2827" t="s">
        <v>1014</v>
      </c>
      <c r="B114" s="2828"/>
      <c r="C114" s="2828"/>
      <c r="D114" s="2828"/>
      <c r="E114" s="2828"/>
      <c r="F114" s="2828"/>
      <c r="G114" s="2828"/>
      <c r="H114" s="2828"/>
      <c r="I114" s="2828"/>
      <c r="J114" s="2828"/>
      <c r="K114" s="2828"/>
      <c r="L114" s="2828"/>
      <c r="M114" s="2828"/>
      <c r="N114" s="2828"/>
      <c r="O114" s="2828"/>
      <c r="P114" s="2828"/>
      <c r="Q114" s="2828"/>
      <c r="R114" s="2828"/>
      <c r="S114" s="2828"/>
      <c r="T114" s="2828"/>
      <c r="U114" s="2828"/>
      <c r="V114" s="2828"/>
      <c r="W114" s="2828"/>
      <c r="X114" s="2828"/>
      <c r="Y114" s="2279"/>
      <c r="Z114" s="2829"/>
      <c r="AA114" s="2288"/>
      <c r="AB114" s="2828"/>
      <c r="AC114" s="2828"/>
      <c r="AD114" s="2828"/>
      <c r="AE114" s="2828"/>
      <c r="AF114" s="2828"/>
      <c r="AG114" s="2828"/>
      <c r="AH114" s="2828"/>
      <c r="AI114" s="2828"/>
      <c r="AJ114" s="2828"/>
      <c r="AK114" s="2828"/>
      <c r="AL114" s="2828"/>
      <c r="AM114" s="2828"/>
      <c r="AN114" s="2828"/>
      <c r="AO114" s="2828"/>
      <c r="AP114" s="2828"/>
      <c r="AQ114" s="2828"/>
      <c r="AR114" s="2828"/>
      <c r="AS114" s="2828"/>
      <c r="AT114" s="2828"/>
      <c r="AU114" s="2829"/>
      <c r="AV114" s="2828"/>
      <c r="AW114" s="2828"/>
      <c r="AX114" s="2828"/>
      <c r="AY114" s="2829"/>
      <c r="AZ114" s="2828"/>
      <c r="BA114" s="2828"/>
      <c r="BB114" s="2828"/>
      <c r="BC114" s="2828"/>
      <c r="BD114" s="2828"/>
      <c r="BE114" s="2828"/>
      <c r="BF114" s="2828"/>
      <c r="BG114" s="2829"/>
      <c r="BH114" s="2828"/>
      <c r="BI114" s="2828"/>
      <c r="BJ114" s="2830"/>
      <c r="BK114" s="2828"/>
      <c r="BL114" s="2828"/>
      <c r="BM114" s="2828"/>
      <c r="BN114" s="2828"/>
      <c r="BO114" s="2829"/>
      <c r="BP114" s="2828"/>
      <c r="BQ114" s="2828"/>
      <c r="BR114" s="2828"/>
      <c r="BS114" s="2829"/>
      <c r="BT114" s="2828"/>
      <c r="BU114" s="2828"/>
      <c r="BV114" s="2830"/>
      <c r="BW114" s="2829"/>
      <c r="BX114" s="2828"/>
      <c r="BY114" s="2828"/>
      <c r="BZ114" s="2830"/>
      <c r="CA114" s="2828"/>
      <c r="CB114" s="2828"/>
      <c r="CC114" s="2828"/>
      <c r="CD114" s="2830"/>
      <c r="CE114" s="2828"/>
      <c r="CF114" s="2828"/>
      <c r="CG114" s="2828"/>
      <c r="CH114" s="2828"/>
      <c r="CI114" s="2829"/>
      <c r="CJ114" s="2828"/>
      <c r="CK114" s="2828"/>
      <c r="CL114" s="2830"/>
      <c r="CM114" s="367"/>
    </row>
    <row r="115" spans="1:97">
      <c r="A115" s="561" t="s">
        <v>1015</v>
      </c>
      <c r="B115" s="562"/>
      <c r="C115" s="562"/>
      <c r="D115" s="562"/>
      <c r="E115" s="562">
        <f>+E117/E106</f>
        <v>0.22999999999999998</v>
      </c>
      <c r="F115" s="562">
        <f t="shared" ref="F115:K115" si="304">F117/F106</f>
        <v>0.24</v>
      </c>
      <c r="G115" s="562">
        <f t="shared" si="304"/>
        <v>0.55790533834147482</v>
      </c>
      <c r="H115" s="562">
        <f t="shared" si="304"/>
        <v>1.2866039868758443</v>
      </c>
      <c r="I115" s="563">
        <f t="shared" si="304"/>
        <v>2.3752514215778815</v>
      </c>
      <c r="J115" s="563">
        <f t="shared" si="304"/>
        <v>2.8</v>
      </c>
      <c r="K115" s="563">
        <f t="shared" si="304"/>
        <v>2.8999999999999995</v>
      </c>
      <c r="L115" s="563">
        <f>+BG115*4</f>
        <v>2.9</v>
      </c>
      <c r="M115" s="563">
        <f>+BK115*4</f>
        <v>2.9</v>
      </c>
      <c r="N115" s="563">
        <f>SUM(BO115:BR115)</f>
        <v>2.16</v>
      </c>
      <c r="O115" s="563">
        <f>+SUM(BS115:BV115)</f>
        <v>2.16</v>
      </c>
      <c r="P115" s="563">
        <f>+SUM(BT115:BW115)</f>
        <v>2.16</v>
      </c>
      <c r="Q115" s="563">
        <f>+SUM(CA115:CD115)</f>
        <v>2.16</v>
      </c>
      <c r="R115" s="563">
        <f>+SUM(CE115:CH115)</f>
        <v>2.16</v>
      </c>
      <c r="S115" s="563">
        <f>+SUM(CI115:CL115)</f>
        <v>2.16</v>
      </c>
      <c r="T115" s="563">
        <f>+S115*(1+T116)</f>
        <v>2.16</v>
      </c>
      <c r="U115" s="563">
        <f>+T115*(1+U116)</f>
        <v>2.16</v>
      </c>
      <c r="V115" s="563">
        <f>+U115*(1+V116)</f>
        <v>2.16</v>
      </c>
      <c r="W115" s="563">
        <f>+V115*(1+W116)</f>
        <v>2.16</v>
      </c>
      <c r="X115" s="563">
        <f>+W115*(1+X116)</f>
        <v>2.16</v>
      </c>
      <c r="Y115" s="2279"/>
      <c r="Z115" s="2286"/>
      <c r="AA115" s="2288"/>
      <c r="AB115" s="562"/>
      <c r="AC115" s="562"/>
      <c r="AD115" s="3545">
        <f t="shared" ref="AD115:AX115" si="305">+AD117/AD106</f>
        <v>5.5E-2</v>
      </c>
      <c r="AE115" s="3546">
        <f t="shared" si="305"/>
        <v>5.7499999999999996E-2</v>
      </c>
      <c r="AF115" s="3547">
        <f t="shared" si="305"/>
        <v>5.7499999999999996E-2</v>
      </c>
      <c r="AG115" s="3547">
        <f t="shared" si="305"/>
        <v>5.7500000000000009E-2</v>
      </c>
      <c r="AH115" s="3547">
        <f t="shared" si="305"/>
        <v>5.7499999999999996E-2</v>
      </c>
      <c r="AI115" s="3548">
        <f t="shared" si="305"/>
        <v>6.0000000000000005E-2</v>
      </c>
      <c r="AJ115" s="3549">
        <f t="shared" si="305"/>
        <v>5.9999999999999991E-2</v>
      </c>
      <c r="AK115" s="3549">
        <f t="shared" si="305"/>
        <v>0.06</v>
      </c>
      <c r="AL115" s="3545">
        <f t="shared" si="305"/>
        <v>6.0000000000000005E-2</v>
      </c>
      <c r="AM115" s="3548">
        <f t="shared" si="305"/>
        <v>2.3417625611872859E-2</v>
      </c>
      <c r="AN115" s="3549">
        <f t="shared" si="305"/>
        <v>2.2567663305266054E-2</v>
      </c>
      <c r="AO115" s="3549">
        <f t="shared" si="305"/>
        <v>0.25718048494329293</v>
      </c>
      <c r="AP115" s="3545">
        <f t="shared" si="305"/>
        <v>0.25771095106111158</v>
      </c>
      <c r="AQ115" s="3548">
        <f t="shared" si="305"/>
        <v>0.31909854642445667</v>
      </c>
      <c r="AR115" s="3549">
        <f t="shared" si="305"/>
        <v>0.32215760926254305</v>
      </c>
      <c r="AS115" s="3549">
        <f t="shared" si="305"/>
        <v>0.32184861452738323</v>
      </c>
      <c r="AT115" s="3545">
        <f t="shared" si="305"/>
        <v>0.32349464414509471</v>
      </c>
      <c r="AU115" s="3549">
        <f t="shared" si="305"/>
        <v>0.59586965108957346</v>
      </c>
      <c r="AV115" s="3550">
        <f t="shared" si="305"/>
        <v>0.59371872207096454</v>
      </c>
      <c r="AW115" s="3550">
        <f t="shared" si="305"/>
        <v>0.59269886582300191</v>
      </c>
      <c r="AX115" s="3545">
        <f t="shared" si="305"/>
        <v>0.59286392578731117</v>
      </c>
      <c r="AY115" s="3551">
        <v>0.7</v>
      </c>
      <c r="AZ115" s="3552">
        <v>0.7</v>
      </c>
      <c r="BA115" s="3552">
        <v>0.7</v>
      </c>
      <c r="BB115" s="3553">
        <v>0.7</v>
      </c>
      <c r="BC115" s="3552">
        <v>0.72499999999999998</v>
      </c>
      <c r="BD115" s="3552">
        <v>0.72499999999999998</v>
      </c>
      <c r="BE115" s="3552">
        <f>+BD115</f>
        <v>0.72499999999999998</v>
      </c>
      <c r="BF115" s="3552">
        <f>+BE115</f>
        <v>0.72499999999999998</v>
      </c>
      <c r="BG115" s="3551">
        <v>0.72499999999999998</v>
      </c>
      <c r="BH115" s="3552">
        <v>0.72499999999999998</v>
      </c>
      <c r="BI115" s="3552">
        <v>0.72499999999999998</v>
      </c>
      <c r="BJ115" s="3553">
        <v>0.72499999999999998</v>
      </c>
      <c r="BK115" s="3552">
        <v>0.72499999999999998</v>
      </c>
      <c r="BL115" s="3552">
        <v>0.72499999999999998</v>
      </c>
      <c r="BM115" s="3552">
        <v>0.72499999999999998</v>
      </c>
      <c r="BN115" s="3552">
        <v>0.72499999999999998</v>
      </c>
      <c r="BO115" s="3551">
        <v>0.54</v>
      </c>
      <c r="BP115" s="3554">
        <v>0.54</v>
      </c>
      <c r="BQ115" s="3554">
        <v>0.54</v>
      </c>
      <c r="BR115" s="3554">
        <v>0.54</v>
      </c>
      <c r="BS115" s="3551">
        <v>0.54</v>
      </c>
      <c r="BT115" s="3554">
        <v>0.54</v>
      </c>
      <c r="BU115" s="3554">
        <v>0.54</v>
      </c>
      <c r="BV115" s="3553">
        <v>0.54</v>
      </c>
      <c r="BW115" s="3551">
        <v>0.54</v>
      </c>
      <c r="BX115" s="3554">
        <v>0.54</v>
      </c>
      <c r="BY115" s="3554">
        <v>0.54</v>
      </c>
      <c r="BZ115" s="3553">
        <v>0.54</v>
      </c>
      <c r="CA115" s="3554">
        <v>0.54</v>
      </c>
      <c r="CB115" s="3554">
        <v>0.54</v>
      </c>
      <c r="CC115" s="3554">
        <v>0.54</v>
      </c>
      <c r="CD115" s="3553">
        <v>0.54</v>
      </c>
      <c r="CE115" s="3554">
        <v>0.54</v>
      </c>
      <c r="CF115" s="3554">
        <v>0.54</v>
      </c>
      <c r="CG115" s="3554">
        <v>0.54</v>
      </c>
      <c r="CH115" s="3554">
        <v>0.54</v>
      </c>
      <c r="CI115" s="3537">
        <f>+CH115</f>
        <v>0.54</v>
      </c>
      <c r="CJ115" s="3542">
        <f>+CI115</f>
        <v>0.54</v>
      </c>
      <c r="CK115" s="3542">
        <f>+CJ115</f>
        <v>0.54</v>
      </c>
      <c r="CL115" s="3544">
        <f>+CK115</f>
        <v>0.54</v>
      </c>
      <c r="CM115" s="367"/>
    </row>
    <row r="116" spans="1:97">
      <c r="A116" s="564" t="s">
        <v>993</v>
      </c>
      <c r="B116" s="399"/>
      <c r="C116" s="399"/>
      <c r="D116" s="399"/>
      <c r="E116" s="409"/>
      <c r="F116" s="409">
        <f t="shared" ref="F116:M116" si="306">+F115/E115-1</f>
        <v>4.3478260869565188E-2</v>
      </c>
      <c r="G116" s="409">
        <f t="shared" si="306"/>
        <v>1.3246055764228117</v>
      </c>
      <c r="H116" s="409">
        <f t="shared" si="306"/>
        <v>1.3061331348802363</v>
      </c>
      <c r="I116" s="409">
        <f t="shared" si="306"/>
        <v>0.84614026212176685</v>
      </c>
      <c r="J116" s="409">
        <f t="shared" si="306"/>
        <v>0.17882257623909026</v>
      </c>
      <c r="K116" s="409">
        <f t="shared" si="306"/>
        <v>3.5714285714285587E-2</v>
      </c>
      <c r="L116" s="409">
        <f t="shared" si="306"/>
        <v>0</v>
      </c>
      <c r="M116" s="409">
        <f t="shared" si="306"/>
        <v>0</v>
      </c>
      <c r="N116" s="409">
        <f t="shared" ref="N116:S116" si="307">+N115/M115-1</f>
        <v>-0.2551724137931034</v>
      </c>
      <c r="O116" s="409">
        <f t="shared" si="307"/>
        <v>0</v>
      </c>
      <c r="P116" s="409">
        <f t="shared" si="307"/>
        <v>0</v>
      </c>
      <c r="Q116" s="409">
        <f t="shared" si="307"/>
        <v>0</v>
      </c>
      <c r="R116" s="409">
        <f t="shared" si="307"/>
        <v>0</v>
      </c>
      <c r="S116" s="409">
        <f t="shared" si="307"/>
        <v>0</v>
      </c>
      <c r="T116" s="2856">
        <v>0</v>
      </c>
      <c r="U116" s="2856">
        <v>0</v>
      </c>
      <c r="V116" s="2856">
        <v>0</v>
      </c>
      <c r="W116" s="2856">
        <v>0</v>
      </c>
      <c r="X116" s="2856">
        <v>0</v>
      </c>
      <c r="Y116" s="2279"/>
      <c r="Z116" s="411"/>
      <c r="AA116" s="2288"/>
      <c r="AB116" s="409"/>
      <c r="AC116" s="409"/>
      <c r="AD116" s="419"/>
      <c r="AE116" s="420"/>
      <c r="AF116" s="424"/>
      <c r="AG116" s="424"/>
      <c r="AH116" s="424">
        <f t="shared" ref="AH116:BH116" si="308">+AH115/AD115-1</f>
        <v>4.5454545454545414E-2</v>
      </c>
      <c r="AI116" s="420">
        <f t="shared" si="308"/>
        <v>4.347826086956541E-2</v>
      </c>
      <c r="AJ116" s="409">
        <f t="shared" si="308"/>
        <v>4.3478260869565188E-2</v>
      </c>
      <c r="AK116" s="409">
        <f t="shared" si="308"/>
        <v>4.3478260869564966E-2</v>
      </c>
      <c r="AL116" s="419">
        <f t="shared" si="308"/>
        <v>4.347826086956541E-2</v>
      </c>
      <c r="AM116" s="420">
        <f t="shared" si="308"/>
        <v>-0.60970623980211913</v>
      </c>
      <c r="AN116" s="409">
        <f t="shared" si="308"/>
        <v>-0.62387227824556568</v>
      </c>
      <c r="AO116" s="409">
        <f t="shared" si="308"/>
        <v>3.2863414157215489</v>
      </c>
      <c r="AP116" s="419">
        <f t="shared" si="308"/>
        <v>3.295182517685193</v>
      </c>
      <c r="AQ116" s="420">
        <f t="shared" si="308"/>
        <v>12.626426167761093</v>
      </c>
      <c r="AR116" s="409">
        <f t="shared" si="308"/>
        <v>13.27518679735749</v>
      </c>
      <c r="AS116" s="409">
        <f t="shared" si="308"/>
        <v>0.25145037578706364</v>
      </c>
      <c r="AT116" s="419">
        <f t="shared" si="308"/>
        <v>0.25526153550371911</v>
      </c>
      <c r="AU116" s="420">
        <f t="shared" si="308"/>
        <v>0.86735307247988214</v>
      </c>
      <c r="AV116" s="409">
        <f t="shared" si="308"/>
        <v>0.84294489715781373</v>
      </c>
      <c r="AW116" s="409">
        <f t="shared" si="308"/>
        <v>0.84154549396879408</v>
      </c>
      <c r="AX116" s="419">
        <f t="shared" si="308"/>
        <v>0.83268544477477713</v>
      </c>
      <c r="AY116" s="420">
        <f t="shared" si="308"/>
        <v>0.17475357021459237</v>
      </c>
      <c r="AZ116" s="424">
        <f t="shared" si="308"/>
        <v>0.17900947701011205</v>
      </c>
      <c r="BA116" s="424">
        <f t="shared" si="308"/>
        <v>0.18103819724372716</v>
      </c>
      <c r="BB116" s="419">
        <f t="shared" si="308"/>
        <v>0.1807093829674562</v>
      </c>
      <c r="BC116" s="420">
        <f t="shared" si="308"/>
        <v>3.5714285714285809E-2</v>
      </c>
      <c r="BD116" s="409">
        <f t="shared" si="308"/>
        <v>3.5714285714285809E-2</v>
      </c>
      <c r="BE116" s="409">
        <f t="shared" si="308"/>
        <v>3.5714285714285809E-2</v>
      </c>
      <c r="BF116" s="409">
        <f t="shared" si="308"/>
        <v>3.5714285714285809E-2</v>
      </c>
      <c r="BG116" s="420">
        <f t="shared" si="308"/>
        <v>0</v>
      </c>
      <c r="BH116" s="409">
        <f t="shared" si="308"/>
        <v>0</v>
      </c>
      <c r="BI116" s="409">
        <f t="shared" ref="BI116:BY116" si="309">+BI115/BE115-1</f>
        <v>0</v>
      </c>
      <c r="BJ116" s="419">
        <f t="shared" si="309"/>
        <v>0</v>
      </c>
      <c r="BK116" s="409">
        <f t="shared" si="309"/>
        <v>0</v>
      </c>
      <c r="BL116" s="409">
        <f t="shared" si="309"/>
        <v>0</v>
      </c>
      <c r="BM116" s="409">
        <f t="shared" si="309"/>
        <v>0</v>
      </c>
      <c r="BN116" s="409">
        <f t="shared" si="309"/>
        <v>0</v>
      </c>
      <c r="BO116" s="420">
        <f t="shared" si="309"/>
        <v>-0.2551724137931034</v>
      </c>
      <c r="BP116" s="409">
        <f t="shared" si="309"/>
        <v>-0.2551724137931034</v>
      </c>
      <c r="BQ116" s="409">
        <f t="shared" si="309"/>
        <v>-0.2551724137931034</v>
      </c>
      <c r="BR116" s="409">
        <f t="shared" si="309"/>
        <v>-0.2551724137931034</v>
      </c>
      <c r="BS116" s="420">
        <f t="shared" si="309"/>
        <v>0</v>
      </c>
      <c r="BT116" s="409">
        <f t="shared" si="309"/>
        <v>0</v>
      </c>
      <c r="BU116" s="409">
        <f t="shared" si="309"/>
        <v>0</v>
      </c>
      <c r="BV116" s="419">
        <f t="shared" si="309"/>
        <v>0</v>
      </c>
      <c r="BW116" s="420">
        <f t="shared" si="309"/>
        <v>0</v>
      </c>
      <c r="BX116" s="409">
        <f t="shared" si="309"/>
        <v>0</v>
      </c>
      <c r="BY116" s="409">
        <f t="shared" si="309"/>
        <v>0</v>
      </c>
      <c r="BZ116" s="419">
        <f t="shared" ref="BZ116:CF116" si="310">+BZ115/BV115-1</f>
        <v>0</v>
      </c>
      <c r="CA116" s="409">
        <f t="shared" si="310"/>
        <v>0</v>
      </c>
      <c r="CB116" s="409">
        <f t="shared" si="310"/>
        <v>0</v>
      </c>
      <c r="CC116" s="409">
        <f t="shared" si="310"/>
        <v>0</v>
      </c>
      <c r="CD116" s="419">
        <f t="shared" si="310"/>
        <v>0</v>
      </c>
      <c r="CE116" s="409">
        <f t="shared" si="310"/>
        <v>0</v>
      </c>
      <c r="CF116" s="409">
        <f t="shared" si="310"/>
        <v>0</v>
      </c>
      <c r="CG116" s="409">
        <f>+CG115/CC115-1</f>
        <v>0</v>
      </c>
      <c r="CH116" s="409">
        <f t="shared" ref="CH116" si="311">+CH115/CD115-1</f>
        <v>0</v>
      </c>
      <c r="CI116" s="3843">
        <f>+CI115/CH115-1</f>
        <v>0</v>
      </c>
      <c r="CJ116" s="2872">
        <f>+CJ115/CI115-1</f>
        <v>0</v>
      </c>
      <c r="CK116" s="2872">
        <f>+CK115/CJ115-1</f>
        <v>0</v>
      </c>
      <c r="CL116" s="2873">
        <f>+CL115/CK115-1</f>
        <v>0</v>
      </c>
      <c r="CM116" s="367"/>
    </row>
    <row r="117" spans="1:97">
      <c r="A117" s="565" t="s">
        <v>1016</v>
      </c>
      <c r="B117" s="405"/>
      <c r="C117" s="405"/>
      <c r="D117" s="405"/>
      <c r="E117" s="405">
        <f>SUM(AE117:AH117)</f>
        <v>31.559449999999998</v>
      </c>
      <c r="F117" s="405">
        <f>SUM(AI117:AL117)</f>
        <v>31.401719999999997</v>
      </c>
      <c r="G117" s="405">
        <f>SUM(AM117:AP117)</f>
        <v>179.1678125</v>
      </c>
      <c r="H117" s="405">
        <f>SUM(AQ117:AT117)</f>
        <v>408.30859999999996</v>
      </c>
      <c r="I117" s="405">
        <f>SUM(AU117:AX117)</f>
        <v>1403.7083799999998</v>
      </c>
      <c r="J117" s="405">
        <f>SUM(AY117:BB117)</f>
        <v>1628.4970878399999</v>
      </c>
      <c r="K117" s="405">
        <f>SUM(BC117:BF117)</f>
        <v>1744.4411504799998</v>
      </c>
      <c r="L117" s="405">
        <f>SUM(BG117:BJ117)</f>
        <v>1783.9342750000001</v>
      </c>
      <c r="M117" s="405">
        <f>SUM(BK117:BN117)</f>
        <v>1798.283475</v>
      </c>
      <c r="N117" s="405">
        <f>SUM(BO117:BR117)</f>
        <v>1297.9283400000002</v>
      </c>
      <c r="O117" s="405">
        <f>SUM(BS117:BV117)</f>
        <v>1228.8736799999999</v>
      </c>
      <c r="P117" s="405">
        <f>SUM(BW117:BZ117)</f>
        <v>1197.2399400000002</v>
      </c>
      <c r="Q117" s="405">
        <f>+SUM(CA117:CD117)</f>
        <v>1165.8438000000001</v>
      </c>
      <c r="R117" s="405">
        <f>+SUM(CE117:CH117)</f>
        <v>1356.0642</v>
      </c>
      <c r="S117" s="405">
        <f>+SUM(CI117:CL117)</f>
        <v>2322.9012374400004</v>
      </c>
      <c r="T117" s="405">
        <f>+T115*T109</f>
        <v>2369.1869517257146</v>
      </c>
      <c r="U117" s="405">
        <f>+U115*U109</f>
        <v>2390.4114415216332</v>
      </c>
      <c r="V117" s="405">
        <f>+V115*V109</f>
        <v>2410.6252413272696</v>
      </c>
      <c r="W117" s="405">
        <f>+W115*W109</f>
        <v>2429.8764792373995</v>
      </c>
      <c r="X117" s="405">
        <f>+X115*X109</f>
        <v>2448.2109915327619</v>
      </c>
      <c r="Y117" s="2279"/>
      <c r="Z117" s="2281">
        <f>+((V117/Q117)^(1/5))-1</f>
        <v>0.15637279661118897</v>
      </c>
      <c r="AA117" s="2288"/>
      <c r="AB117" s="405"/>
      <c r="AC117" s="405"/>
      <c r="AD117" s="406">
        <f>INPUTS_1!B104/1000</f>
        <v>7.9312200000000006</v>
      </c>
      <c r="AE117" s="405">
        <f>INPUTS_1!C104/1000</f>
        <v>8.1986375000000002</v>
      </c>
      <c r="AF117" s="405">
        <f>INPUTS_1!D104/1000</f>
        <v>7.9387949999999998</v>
      </c>
      <c r="AG117" s="405">
        <f>INPUTS_1!E104/1000</f>
        <v>7.7558875000000009</v>
      </c>
      <c r="AH117" s="406">
        <f>INPUTS_1!F104/1000</f>
        <v>7.6661299999999999</v>
      </c>
      <c r="AI117" s="405">
        <f>INPUTS_1!G104/1000</f>
        <v>7.9309799999999999</v>
      </c>
      <c r="AJ117" s="405">
        <f>INPUTS_1!H104/1000</f>
        <v>7.8179399999999992</v>
      </c>
      <c r="AK117" s="405">
        <f>INPUTS_1!I104/1000</f>
        <v>7.8090000000000002</v>
      </c>
      <c r="AL117" s="406">
        <f>INPUTS_1!J104/1000</f>
        <v>7.8437999999999999</v>
      </c>
      <c r="AM117" s="405">
        <f>INPUTS_1!K104/1000</f>
        <v>7.6496250000000003</v>
      </c>
      <c r="AN117" s="405">
        <f>INPUTS_1!L104/1000</f>
        <v>7.2150625000000002</v>
      </c>
      <c r="AO117" s="405">
        <f>INPUTS_1!M104/1000</f>
        <v>82.2013125</v>
      </c>
      <c r="AP117" s="406">
        <f>INPUTS_1!N104/1000</f>
        <v>82.101812499999994</v>
      </c>
      <c r="AQ117" s="405">
        <f>INPUTS_1!O104/1000</f>
        <v>101.092015</v>
      </c>
      <c r="AR117" s="405">
        <f>INPUTS_1!P104/1000</f>
        <v>101.921325</v>
      </c>
      <c r="AS117" s="405">
        <f>INPUTS_1!Q104/1000</f>
        <v>102.58474000000001</v>
      </c>
      <c r="AT117" s="406">
        <f>INPUTS_1!R104/1000</f>
        <v>102.71052</v>
      </c>
      <c r="AU117" s="405">
        <f>INPUTS_1!S104/1000</f>
        <v>362.73869999999999</v>
      </c>
      <c r="AV117" s="405">
        <f>INPUTS_1!T104/1000</f>
        <v>353.86687999999998</v>
      </c>
      <c r="AW117" s="405">
        <f>INPUTS_1!U104/1000</f>
        <v>344.92959999999999</v>
      </c>
      <c r="AX117" s="406">
        <f>INPUTS_1!V104/1000</f>
        <v>342.17320000000001</v>
      </c>
      <c r="AY117" s="428">
        <f t="shared" ref="AY117:CF117" si="312">+AY115*AY106</f>
        <v>404.96699711999997</v>
      </c>
      <c r="AZ117" s="405">
        <f t="shared" si="312"/>
        <v>406.62945343999996</v>
      </c>
      <c r="BA117" s="405">
        <f t="shared" si="312"/>
        <v>408.10150191999992</v>
      </c>
      <c r="BB117" s="405">
        <f t="shared" si="312"/>
        <v>408.79913535999998</v>
      </c>
      <c r="BC117" s="428">
        <f t="shared" si="312"/>
        <v>434.25993971999998</v>
      </c>
      <c r="BD117" s="405">
        <f t="shared" si="312"/>
        <v>435.29782535999999</v>
      </c>
      <c r="BE117" s="405">
        <f t="shared" si="312"/>
        <v>436.25874152</v>
      </c>
      <c r="BF117" s="405">
        <f t="shared" si="312"/>
        <v>438.62464387999995</v>
      </c>
      <c r="BG117" s="428">
        <f t="shared" si="312"/>
        <v>442.97499999999997</v>
      </c>
      <c r="BH117" s="405">
        <f t="shared" si="312"/>
        <v>445.533525</v>
      </c>
      <c r="BI117" s="405">
        <f t="shared" si="312"/>
        <v>447.00599999999997</v>
      </c>
      <c r="BJ117" s="406">
        <f t="shared" si="312"/>
        <v>448.41974999999996</v>
      </c>
      <c r="BK117" s="405">
        <f t="shared" si="312"/>
        <v>448.20079999999996</v>
      </c>
      <c r="BL117" s="405">
        <f t="shared" si="312"/>
        <v>449.41807499999993</v>
      </c>
      <c r="BM117" s="405">
        <f t="shared" si="312"/>
        <v>450.33230000000003</v>
      </c>
      <c r="BN117" s="405">
        <f t="shared" si="312"/>
        <v>450.33230000000003</v>
      </c>
      <c r="BO117" s="428">
        <f t="shared" si="312"/>
        <v>334.48842000000002</v>
      </c>
      <c r="BP117" s="405">
        <f t="shared" si="312"/>
        <v>326.32308</v>
      </c>
      <c r="BQ117" s="405">
        <f t="shared" si="312"/>
        <v>321.07697999999999</v>
      </c>
      <c r="BR117" s="405">
        <f t="shared" si="312"/>
        <v>316.03986000000003</v>
      </c>
      <c r="BS117" s="428">
        <f t="shared" si="312"/>
        <v>310.24889999999999</v>
      </c>
      <c r="BT117" s="405">
        <f t="shared" si="312"/>
        <v>306.67410000000001</v>
      </c>
      <c r="BU117" s="405">
        <f t="shared" si="312"/>
        <v>306.67410000000001</v>
      </c>
      <c r="BV117" s="406">
        <f t="shared" si="312"/>
        <v>305.27658000000002</v>
      </c>
      <c r="BW117" s="428">
        <f t="shared" si="312"/>
        <v>303.46326000000005</v>
      </c>
      <c r="BX117" s="405">
        <f t="shared" si="312"/>
        <v>301.66560000000004</v>
      </c>
      <c r="BY117" s="405">
        <f t="shared" si="312"/>
        <v>299.64438000000007</v>
      </c>
      <c r="BZ117" s="406">
        <f t="shared" si="312"/>
        <v>292.4667</v>
      </c>
      <c r="CA117" s="405">
        <f t="shared" si="312"/>
        <v>290.95146</v>
      </c>
      <c r="CB117" s="405">
        <f t="shared" si="312"/>
        <v>291.81600000000003</v>
      </c>
      <c r="CC117" s="405">
        <f t="shared" si="312"/>
        <v>291.49524000000002</v>
      </c>
      <c r="CD117" s="406">
        <f t="shared" si="312"/>
        <v>291.58110000000005</v>
      </c>
      <c r="CE117" s="405">
        <f t="shared" si="312"/>
        <v>291.84732000000002</v>
      </c>
      <c r="CF117" s="405">
        <f t="shared" si="312"/>
        <v>292.33494000000002</v>
      </c>
      <c r="CG117" s="405">
        <f>+CG115*CG106</f>
        <v>292.42133999999999</v>
      </c>
      <c r="CH117" s="405">
        <f t="shared" ref="CH117" si="313">+CH115*CH106</f>
        <v>479.4606</v>
      </c>
      <c r="CI117" s="428">
        <f>+CI115*CI106</f>
        <v>578.47530935999998</v>
      </c>
      <c r="CJ117" s="405">
        <f>+CJ115*CJ106</f>
        <v>579.9753093600001</v>
      </c>
      <c r="CK117" s="405">
        <f>+CK115*CK106</f>
        <v>581.4753093600001</v>
      </c>
      <c r="CL117" s="406">
        <f>+CL115*CL106</f>
        <v>582.9753093600001</v>
      </c>
      <c r="CM117" s="367"/>
    </row>
    <row r="118" spans="1:97">
      <c r="A118" s="564" t="s">
        <v>993</v>
      </c>
      <c r="B118" s="399"/>
      <c r="C118" s="399"/>
      <c r="D118" s="399"/>
      <c r="E118" s="409"/>
      <c r="F118" s="409">
        <f t="shared" ref="F118:Q118" si="314">+F117/E117-1</f>
        <v>-4.9978691010141851E-3</v>
      </c>
      <c r="G118" s="409">
        <f t="shared" si="314"/>
        <v>4.7056687499920393</v>
      </c>
      <c r="H118" s="409">
        <f t="shared" si="314"/>
        <v>1.2789171464601097</v>
      </c>
      <c r="I118" s="409">
        <f t="shared" si="314"/>
        <v>2.4378614116871407</v>
      </c>
      <c r="J118" s="409">
        <f t="shared" si="314"/>
        <v>0.16013917922182674</v>
      </c>
      <c r="K118" s="409">
        <f t="shared" si="314"/>
        <v>7.1196972660101832E-2</v>
      </c>
      <c r="L118" s="409">
        <f t="shared" si="314"/>
        <v>2.2639413493045213E-2</v>
      </c>
      <c r="M118" s="409">
        <f t="shared" si="314"/>
        <v>8.0435698787164611E-3</v>
      </c>
      <c r="N118" s="409">
        <f t="shared" si="314"/>
        <v>-0.27824041201290572</v>
      </c>
      <c r="O118" s="409">
        <f t="shared" si="314"/>
        <v>-5.3203753914488283E-2</v>
      </c>
      <c r="P118" s="409">
        <f t="shared" si="314"/>
        <v>-2.5742059997574174E-2</v>
      </c>
      <c r="Q118" s="409">
        <f t="shared" si="314"/>
        <v>-2.6223765972926083E-2</v>
      </c>
      <c r="R118" s="409">
        <f t="shared" ref="R118:X118" si="315">+R117/Q117-1</f>
        <v>0.16316113702367319</v>
      </c>
      <c r="S118" s="409">
        <f t="shared" si="315"/>
        <v>0.71297290898174315</v>
      </c>
      <c r="T118" s="409">
        <f t="shared" si="315"/>
        <v>1.9925821011970601E-2</v>
      </c>
      <c r="U118" s="409">
        <f t="shared" si="315"/>
        <v>8.9585542333241452E-3</v>
      </c>
      <c r="V118" s="409">
        <f t="shared" si="315"/>
        <v>8.4562010767357254E-3</v>
      </c>
      <c r="W118" s="409">
        <f t="shared" si="315"/>
        <v>7.9859936667427966E-3</v>
      </c>
      <c r="X118" s="409">
        <f t="shared" si="315"/>
        <v>7.5454503354492886E-3</v>
      </c>
      <c r="Y118" s="2279"/>
      <c r="Z118" s="411"/>
      <c r="AA118" s="2288"/>
      <c r="AB118" s="409"/>
      <c r="AC118" s="409"/>
      <c r="AD118" s="419"/>
      <c r="AE118" s="420"/>
      <c r="AF118" s="424"/>
      <c r="AG118" s="424"/>
      <c r="AH118" s="424"/>
      <c r="AI118" s="420"/>
      <c r="AJ118" s="409"/>
      <c r="AK118" s="409"/>
      <c r="AL118" s="419"/>
      <c r="AM118" s="420"/>
      <c r="AN118" s="409"/>
      <c r="AO118" s="409"/>
      <c r="AP118" s="419"/>
      <c r="AQ118" s="420"/>
      <c r="AR118" s="409"/>
      <c r="AS118" s="409"/>
      <c r="AT118" s="419"/>
      <c r="AU118" s="420"/>
      <c r="AV118" s="409"/>
      <c r="AW118" s="409"/>
      <c r="AX118" s="421"/>
      <c r="AY118" s="422"/>
      <c r="AZ118" s="424"/>
      <c r="BA118" s="477"/>
      <c r="BB118" s="421"/>
      <c r="BC118" s="422"/>
      <c r="BD118" s="430"/>
      <c r="BE118" s="430"/>
      <c r="BF118" s="430"/>
      <c r="BG118" s="422"/>
      <c r="BH118" s="430"/>
      <c r="BI118" s="430"/>
      <c r="BJ118" s="421"/>
      <c r="BK118" s="430"/>
      <c r="BL118" s="430"/>
      <c r="BM118" s="430"/>
      <c r="BN118" s="430"/>
      <c r="BO118" s="422">
        <f t="shared" ref="BO118:BY118" si="316">+BO117/BK117-1</f>
        <v>-0.25370856098427297</v>
      </c>
      <c r="BP118" s="430">
        <f t="shared" si="316"/>
        <v>-0.27389862991158054</v>
      </c>
      <c r="BQ118" s="430">
        <f t="shared" si="316"/>
        <v>-0.2870220945732741</v>
      </c>
      <c r="BR118" s="430">
        <f t="shared" si="316"/>
        <v>-0.29820743482090895</v>
      </c>
      <c r="BS118" s="422">
        <f t="shared" si="316"/>
        <v>-7.246744147375872E-2</v>
      </c>
      <c r="BT118" s="430">
        <f t="shared" si="316"/>
        <v>-6.021327084801964E-2</v>
      </c>
      <c r="BU118" s="430">
        <f t="shared" si="316"/>
        <v>-4.4858027504805831E-2</v>
      </c>
      <c r="BV118" s="421">
        <f t="shared" si="316"/>
        <v>-3.4056716769840345E-2</v>
      </c>
      <c r="BW118" s="422">
        <f t="shared" si="316"/>
        <v>-2.1871600511717992E-2</v>
      </c>
      <c r="BX118" s="430">
        <f t="shared" si="316"/>
        <v>-1.6331669351927536E-2</v>
      </c>
      <c r="BY118" s="430">
        <f t="shared" si="316"/>
        <v>-2.2922444379880558E-2</v>
      </c>
      <c r="BZ118" s="421">
        <f t="shared" ref="BZ118:CF118" si="317">+BZ117/BV117-1</f>
        <v>-4.196155499383547E-2</v>
      </c>
      <c r="CA118" s="430">
        <f t="shared" si="317"/>
        <v>-4.1230032261566185E-2</v>
      </c>
      <c r="CB118" s="430">
        <f t="shared" si="317"/>
        <v>-3.2650723184877606E-2</v>
      </c>
      <c r="CC118" s="430">
        <f t="shared" si="317"/>
        <v>-2.7196038183663007E-2</v>
      </c>
      <c r="CD118" s="421">
        <f>+CD117/BZ117-1</f>
        <v>-3.0280370380626476E-3</v>
      </c>
      <c r="CE118" s="430">
        <f>+CE117/CA117-1</f>
        <v>3.0790703026546407E-3</v>
      </c>
      <c r="CF118" s="430">
        <f t="shared" si="317"/>
        <v>1.7783123612138407E-3</v>
      </c>
      <c r="CG118" s="430">
        <f>+CG117/CC117-1</f>
        <v>3.1770673167765828E-3</v>
      </c>
      <c r="CH118" s="430">
        <f t="shared" ref="CH118" si="318">+CH117/CD117-1</f>
        <v>0.64434731880770024</v>
      </c>
      <c r="CI118" s="422">
        <f>+CI117/CE117-1</f>
        <v>0.98211622899261131</v>
      </c>
      <c r="CJ118" s="430">
        <f>+CJ117/CF117-1</f>
        <v>0.98394112369872744</v>
      </c>
      <c r="CK118" s="430">
        <f>+CK117/CG117-1</f>
        <v>0.98848452496661188</v>
      </c>
      <c r="CL118" s="421">
        <f>+CL117/CH117-1</f>
        <v>0.21589826016986602</v>
      </c>
      <c r="CM118" s="367"/>
    </row>
    <row r="119" spans="1:97">
      <c r="A119" s="566" t="s">
        <v>1017</v>
      </c>
      <c r="B119" s="409"/>
      <c r="C119" s="409"/>
      <c r="D119" s="409"/>
      <c r="E119" s="409">
        <f t="shared" ref="E119:V119" si="319">+E117/E84</f>
        <v>-3.5110607014678628E-2</v>
      </c>
      <c r="F119" s="409">
        <f t="shared" si="319"/>
        <v>-3.4060481159294519E-2</v>
      </c>
      <c r="G119" s="409">
        <f t="shared" si="319"/>
        <v>-0.3157604090160942</v>
      </c>
      <c r="H119" s="409">
        <f t="shared" si="319"/>
        <v>-0.56325885910410267</v>
      </c>
      <c r="I119" s="409">
        <f t="shared" si="319"/>
        <v>0.80917414808657306</v>
      </c>
      <c r="J119" s="409">
        <f t="shared" si="319"/>
        <v>0.90246894433943048</v>
      </c>
      <c r="K119" s="409">
        <f t="shared" si="319"/>
        <v>0.94192286742980547</v>
      </c>
      <c r="L119" s="409">
        <f t="shared" ca="1" si="319"/>
        <v>1.0255148026788541</v>
      </c>
      <c r="M119" s="409">
        <f t="shared" si="319"/>
        <v>0.86978644498186208</v>
      </c>
      <c r="N119" s="409">
        <f t="shared" si="319"/>
        <v>0.78047404690318711</v>
      </c>
      <c r="O119" s="409">
        <f t="shared" si="319"/>
        <v>1.22887368</v>
      </c>
      <c r="P119" s="409">
        <f t="shared" si="319"/>
        <v>1.1578722823984529</v>
      </c>
      <c r="Q119" s="409">
        <f t="shared" si="319"/>
        <v>1.8623702875399362</v>
      </c>
      <c r="R119" s="409">
        <f t="shared" si="319"/>
        <v>0.90163843085106388</v>
      </c>
      <c r="S119" s="409">
        <f>+S117/S84</f>
        <v>3.8505559836578169</v>
      </c>
      <c r="T119" s="409">
        <f t="shared" si="319"/>
        <v>2.1995237401143704</v>
      </c>
      <c r="U119" s="409">
        <f t="shared" si="319"/>
        <v>1.6840932226854424</v>
      </c>
      <c r="V119" s="409">
        <f t="shared" si="319"/>
        <v>1.5198304930219124</v>
      </c>
      <c r="W119" s="409">
        <f>+W117/W84</f>
        <v>1.369448623157886</v>
      </c>
      <c r="X119" s="409">
        <f>+X117/X84</f>
        <v>1.2442170474488932</v>
      </c>
      <c r="Y119" s="2279"/>
      <c r="Z119" s="411"/>
      <c r="AA119" s="2288"/>
      <c r="AB119" s="409"/>
      <c r="AC119" s="409"/>
      <c r="AD119" s="419"/>
      <c r="AE119" s="420"/>
      <c r="AF119" s="424"/>
      <c r="AG119" s="424"/>
      <c r="AH119" s="424"/>
      <c r="AI119" s="420"/>
      <c r="AJ119" s="409"/>
      <c r="AK119" s="409"/>
      <c r="AL119" s="419"/>
      <c r="AM119" s="420"/>
      <c r="AN119" s="409"/>
      <c r="AO119" s="409"/>
      <c r="AP119" s="419"/>
      <c r="AQ119" s="420"/>
      <c r="AR119" s="409"/>
      <c r="AS119" s="409"/>
      <c r="AT119" s="419"/>
      <c r="AU119" s="420"/>
      <c r="AV119" s="409"/>
      <c r="AW119" s="409"/>
      <c r="AX119" s="421"/>
      <c r="AY119" s="422"/>
      <c r="AZ119" s="424"/>
      <c r="BA119" s="477"/>
      <c r="BB119" s="421"/>
      <c r="BC119" s="422"/>
      <c r="BD119" s="430"/>
      <c r="BE119" s="430"/>
      <c r="BF119" s="430"/>
      <c r="BG119" s="422"/>
      <c r="BH119" s="430"/>
      <c r="BI119" s="430"/>
      <c r="BJ119" s="421"/>
      <c r="BK119" s="430"/>
      <c r="BL119" s="430"/>
      <c r="BM119" s="430"/>
      <c r="BN119" s="430"/>
      <c r="BO119" s="422">
        <f t="shared" ref="BO119:CF119" si="320">+BO117/BO84</f>
        <v>0.70418614736842111</v>
      </c>
      <c r="BP119" s="430">
        <f t="shared" si="320"/>
        <v>0.78254935251798563</v>
      </c>
      <c r="BQ119" s="430">
        <f t="shared" si="320"/>
        <v>0.85620527999999996</v>
      </c>
      <c r="BR119" s="430">
        <f t="shared" si="320"/>
        <v>0.79808045454545462</v>
      </c>
      <c r="BS119" s="422">
        <f t="shared" si="320"/>
        <v>1.343068831168831</v>
      </c>
      <c r="BT119" s="430">
        <f t="shared" si="320"/>
        <v>1.1316387453874539</v>
      </c>
      <c r="BU119" s="430">
        <f t="shared" si="320"/>
        <v>1.4132447004608295</v>
      </c>
      <c r="BV119" s="421">
        <f t="shared" si="320"/>
        <v>1.0863935231316726</v>
      </c>
      <c r="BW119" s="422">
        <f t="shared" si="320"/>
        <v>1.2750557142857144</v>
      </c>
      <c r="BX119" s="430">
        <f t="shared" si="320"/>
        <v>1.8854100000000003</v>
      </c>
      <c r="BY119" s="430">
        <f t="shared" si="320"/>
        <v>0.99881460000000022</v>
      </c>
      <c r="BZ119" s="421">
        <f t="shared" si="320"/>
        <v>0.8704366071428572</v>
      </c>
      <c r="CA119" s="430">
        <f t="shared" si="320"/>
        <v>1.2328451694915254</v>
      </c>
      <c r="CB119" s="430">
        <f t="shared" si="320"/>
        <v>1.4888571428571431</v>
      </c>
      <c r="CC119" s="430">
        <f t="shared" si="320"/>
        <v>1.9177318421052634</v>
      </c>
      <c r="CD119" s="421">
        <f t="shared" si="320"/>
        <v>6.9424071428571441</v>
      </c>
      <c r="CE119" s="430">
        <f t="shared" si="320"/>
        <v>1.790474355828221</v>
      </c>
      <c r="CF119" s="430">
        <f t="shared" si="320"/>
        <v>17.196172941176471</v>
      </c>
      <c r="CG119" s="430">
        <f>+CG117/CG84</f>
        <v>3.1784928260869565</v>
      </c>
      <c r="CH119" s="430">
        <f t="shared" ref="CH119" si="321">+CH117/CH84</f>
        <v>0.38917256493506491</v>
      </c>
      <c r="CI119" s="422">
        <f>+CI117/CI84</f>
        <v>6.5542047840666022</v>
      </c>
      <c r="CJ119" s="430">
        <f>+CJ117/CJ84</f>
        <v>4.3294319164917772</v>
      </c>
      <c r="CK119" s="430">
        <f>+CK117/CK84</f>
        <v>3.5134660027595643</v>
      </c>
      <c r="CL119" s="421">
        <f>+CL117/CL84</f>
        <v>2.7046752857501426</v>
      </c>
      <c r="CM119" s="367"/>
    </row>
    <row r="120" spans="1:97">
      <c r="A120" s="407" t="s">
        <v>1018</v>
      </c>
      <c r="B120" s="399"/>
      <c r="C120" s="399"/>
      <c r="D120" s="399"/>
      <c r="E120" s="413">
        <f>SUM(AE120:AH120)</f>
        <v>0</v>
      </c>
      <c r="F120" s="413">
        <f>SUM(AI120:AL120)</f>
        <v>0</v>
      </c>
      <c r="G120" s="413">
        <f>SUM(AM120:AP120)</f>
        <v>0</v>
      </c>
      <c r="H120" s="413">
        <f>SUM(AQ120:AT120)</f>
        <v>0</v>
      </c>
      <c r="I120" s="413">
        <f>SUM(AU120:AX120)</f>
        <v>0</v>
      </c>
      <c r="J120" s="413">
        <f>SUM(AY120:BB120)</f>
        <v>0</v>
      </c>
      <c r="K120" s="413">
        <f>SUM(BC120:BF120)</f>
        <v>0</v>
      </c>
      <c r="L120" s="451">
        <f>SUM(BG120:BJ120)</f>
        <v>0</v>
      </c>
      <c r="M120" s="451">
        <f>SUM(BK120:BN120)</f>
        <v>0</v>
      </c>
      <c r="N120" s="451">
        <f>SUM(BO120:BR120)</f>
        <v>584.99867400858807</v>
      </c>
      <c r="O120" s="451">
        <f>SUM(BS120:BV120)</f>
        <v>-18.900000000000002</v>
      </c>
      <c r="P120" s="451">
        <f>SUM(BW120:BZ120)</f>
        <v>-28.8</v>
      </c>
      <c r="Q120" s="451">
        <f>+SUM(CA120:CD120)</f>
        <v>-1.2580000000000382</v>
      </c>
      <c r="R120" s="451">
        <f>+SUM(CE120:CH120)</f>
        <v>347.9</v>
      </c>
      <c r="S120" s="451">
        <f>+SUM(CI120:CL120)</f>
        <v>11.111111111111111</v>
      </c>
      <c r="T120" s="451">
        <f>T58/(CurrentSharePrice*1.05)</f>
        <v>10.582010582010581</v>
      </c>
      <c r="U120" s="451">
        <f>U58/(CurrentSharePrice*1.05^2)</f>
        <v>10.078105316200554</v>
      </c>
      <c r="V120" s="451">
        <f>V58/(CurrentSharePrice*1.05^3)</f>
        <v>9.5981955392386222</v>
      </c>
      <c r="W120" s="451">
        <f>W58/(CurrentSharePrice*1.05^4)</f>
        <v>9.1411386087986877</v>
      </c>
      <c r="X120" s="451">
        <f>X58/(CurrentSharePrice*1.05^5)</f>
        <v>8.7058462940939894</v>
      </c>
      <c r="Y120" s="2279"/>
      <c r="Z120" s="411"/>
      <c r="AA120" s="2288"/>
      <c r="AB120" s="413"/>
      <c r="AC120" s="413"/>
      <c r="AD120" s="414"/>
      <c r="AE120" s="490"/>
      <c r="AF120" s="476"/>
      <c r="AG120" s="476"/>
      <c r="AH120" s="476"/>
      <c r="AI120" s="490"/>
      <c r="AJ120" s="413"/>
      <c r="AK120" s="413"/>
      <c r="AL120" s="414"/>
      <c r="AM120" s="489"/>
      <c r="AN120" s="451"/>
      <c r="AO120" s="451"/>
      <c r="AP120" s="569"/>
      <c r="AQ120" s="489"/>
      <c r="AR120" s="451"/>
      <c r="AS120" s="451"/>
      <c r="AT120" s="569"/>
      <c r="AU120" s="489"/>
      <c r="AV120" s="451"/>
      <c r="AW120" s="451"/>
      <c r="AX120" s="568"/>
      <c r="AY120" s="489"/>
      <c r="AZ120" s="451"/>
      <c r="BA120" s="451"/>
      <c r="BB120" s="569"/>
      <c r="BC120" s="489"/>
      <c r="BD120" s="451"/>
      <c r="BE120" s="451"/>
      <c r="BF120" s="568"/>
      <c r="BG120" s="489"/>
      <c r="BH120" s="451"/>
      <c r="BI120" s="451"/>
      <c r="BJ120" s="569"/>
      <c r="BK120" s="489"/>
      <c r="BL120" s="451"/>
      <c r="BM120" s="451"/>
      <c r="BN120" s="569"/>
      <c r="BO120" s="489">
        <f>+BO121-BN121</f>
        <v>0</v>
      </c>
      <c r="BP120" s="451">
        <f>+BP121-BO121</f>
        <v>578.34559999999999</v>
      </c>
      <c r="BQ120" s="451">
        <f>+BQ121-BP121</f>
        <v>3.7799999999999727</v>
      </c>
      <c r="BR120" s="568">
        <f>+BR121-BQ121</f>
        <v>2.8730740085881052</v>
      </c>
      <c r="BS120" s="2518">
        <v>-10.4</v>
      </c>
      <c r="BT120" s="2252">
        <v>-4.5</v>
      </c>
      <c r="BU120" s="2252">
        <v>-1.7</v>
      </c>
      <c r="BV120" s="2593">
        <v>-2.2999999999999998</v>
      </c>
      <c r="BW120" s="2874">
        <v>-4.5</v>
      </c>
      <c r="BX120" s="2875">
        <v>-4.5</v>
      </c>
      <c r="BY120" s="2875">
        <v>-9.8000000000000007</v>
      </c>
      <c r="BZ120" s="2876">
        <v>-10</v>
      </c>
      <c r="CA120" s="2875">
        <f t="shared" ref="CA120:CF120" si="322">+CA109-BZ109</f>
        <v>-2.30600000000004</v>
      </c>
      <c r="CB120" s="2875">
        <f t="shared" si="322"/>
        <v>0.21299999999996544</v>
      </c>
      <c r="CC120" s="2875">
        <f t="shared" si="322"/>
        <v>0.51700000000005275</v>
      </c>
      <c r="CD120" s="2876">
        <f t="shared" si="322"/>
        <v>0.31799999999998363</v>
      </c>
      <c r="CE120" s="2875">
        <f t="shared" si="322"/>
        <v>0.28700000000003456</v>
      </c>
      <c r="CF120" s="2875">
        <f t="shared" si="322"/>
        <v>0.62899999999990541</v>
      </c>
      <c r="CG120" s="2875">
        <f>+CG109-CF109</f>
        <v>-0.18799999999998818</v>
      </c>
      <c r="CH120" s="2875">
        <f t="shared" ref="CH120" si="323">+CH109-CG109</f>
        <v>347.17200000000003</v>
      </c>
      <c r="CI120" s="3844">
        <f>CI58/CurrentSharePrice</f>
        <v>2.7777777777777777</v>
      </c>
      <c r="CJ120" s="706">
        <f>CJ58/CurrentSharePrice</f>
        <v>2.7777777777777777</v>
      </c>
      <c r="CK120" s="706">
        <f>CK58/CurrentSharePrice</f>
        <v>2.7777777777777777</v>
      </c>
      <c r="CL120" s="2224">
        <f>CL58/CurrentSharePrice</f>
        <v>2.7777777777777777</v>
      </c>
      <c r="CM120" s="367"/>
    </row>
    <row r="121" spans="1:97">
      <c r="A121" s="407" t="s">
        <v>1019</v>
      </c>
      <c r="B121" s="425"/>
      <c r="C121" s="425"/>
      <c r="D121" s="425"/>
      <c r="E121" s="413">
        <f>AH121</f>
        <v>0</v>
      </c>
      <c r="F121" s="413">
        <f>+AL121</f>
        <v>0</v>
      </c>
      <c r="G121" s="413">
        <f>+AP121</f>
        <v>0</v>
      </c>
      <c r="H121" s="413">
        <f>+AT121</f>
        <v>0</v>
      </c>
      <c r="I121" s="413">
        <f>AX121</f>
        <v>0</v>
      </c>
      <c r="J121" s="413">
        <f>BB121</f>
        <v>0</v>
      </c>
      <c r="K121" s="413">
        <f>BF121</f>
        <v>0</v>
      </c>
      <c r="L121" s="413">
        <f>+BJ121</f>
        <v>0</v>
      </c>
      <c r="M121" s="413">
        <f>L121+M120</f>
        <v>0</v>
      </c>
      <c r="N121" s="413">
        <f>+BR121</f>
        <v>584.99867400858807</v>
      </c>
      <c r="O121" s="413">
        <f>+BV121</f>
        <v>568.51700000000005</v>
      </c>
      <c r="P121" s="413">
        <f>+BZ121</f>
        <v>543.79999999999995</v>
      </c>
      <c r="Q121" s="413">
        <f>CD121</f>
        <v>546.54499999999996</v>
      </c>
      <c r="R121" s="413">
        <f>CH121</f>
        <v>1069.861684</v>
      </c>
      <c r="S121" s="413">
        <f>CL121</f>
        <v>1080.9727951111113</v>
      </c>
      <c r="T121" s="413">
        <f>S121+T120</f>
        <v>1091.5548056931218</v>
      </c>
      <c r="U121" s="413">
        <f>T121+U120</f>
        <v>1101.6329110093225</v>
      </c>
      <c r="V121" s="413">
        <f>U121+V120</f>
        <v>1111.231106548561</v>
      </c>
      <c r="W121" s="413">
        <f>V121+W120</f>
        <v>1120.3722451573597</v>
      </c>
      <c r="X121" s="413">
        <f>W121+X120</f>
        <v>1129.0780914514537</v>
      </c>
      <c r="Y121" s="2279"/>
      <c r="Z121" s="411"/>
      <c r="AA121" s="2288"/>
      <c r="AB121" s="425"/>
      <c r="AC121" s="425"/>
      <c r="AD121" s="426"/>
      <c r="AE121" s="425"/>
      <c r="AF121" s="425"/>
      <c r="AG121" s="425"/>
      <c r="AH121" s="426"/>
      <c r="AI121" s="425"/>
      <c r="AJ121" s="425"/>
      <c r="AK121" s="425"/>
      <c r="AL121" s="426"/>
      <c r="AM121" s="425"/>
      <c r="AN121" s="425"/>
      <c r="AO121" s="425"/>
      <c r="AP121" s="426"/>
      <c r="AQ121" s="425"/>
      <c r="AR121" s="425"/>
      <c r="AS121" s="425"/>
      <c r="AT121" s="426"/>
      <c r="AU121" s="425"/>
      <c r="AV121" s="425"/>
      <c r="AW121" s="425"/>
      <c r="AX121" s="426"/>
      <c r="AY121" s="425"/>
      <c r="AZ121" s="425"/>
      <c r="BA121" s="425"/>
      <c r="BB121" s="426"/>
      <c r="BC121" s="425"/>
      <c r="BD121" s="425"/>
      <c r="BE121" s="425"/>
      <c r="BF121" s="426"/>
      <c r="BG121" s="425"/>
      <c r="BH121" s="425"/>
      <c r="BI121" s="425"/>
      <c r="BJ121" s="426"/>
      <c r="BK121" s="425"/>
      <c r="BL121" s="425"/>
      <c r="BM121" s="425"/>
      <c r="BN121" s="426"/>
      <c r="BO121" s="425">
        <f>INPUTS_1!AM109/1000</f>
        <v>0</v>
      </c>
      <c r="BP121" s="425">
        <f>INPUTS_1!AN109/1000</f>
        <v>578.34559999999999</v>
      </c>
      <c r="BQ121" s="425">
        <f>INPUTS_1!AO109/1000</f>
        <v>582.12559999999996</v>
      </c>
      <c r="BR121" s="426">
        <f>INPUTS_1!AP109/1000</f>
        <v>584.99867400858807</v>
      </c>
      <c r="BS121" s="2058">
        <f>BR121+BS120</f>
        <v>574.59867400858809</v>
      </c>
      <c r="BT121" s="1794">
        <f>BS121+BT120</f>
        <v>570.09867400858809</v>
      </c>
      <c r="BU121" s="1794">
        <f>BT121+BU120</f>
        <v>568.39867400858805</v>
      </c>
      <c r="BV121" s="2594">
        <v>568.51700000000005</v>
      </c>
      <c r="BW121" s="2870">
        <f>BV121+BW120</f>
        <v>564.01700000000005</v>
      </c>
      <c r="BX121" s="2871">
        <f>BW121+BX120</f>
        <v>559.51700000000005</v>
      </c>
      <c r="BY121" s="2871">
        <f>BX121+BY120</f>
        <v>549.7170000000001</v>
      </c>
      <c r="BZ121" s="2877">
        <v>543.79999999999995</v>
      </c>
      <c r="CA121" s="2878">
        <f>BZ121+CA120</f>
        <v>541.49399999999991</v>
      </c>
      <c r="CB121" s="2871">
        <f>CA121+CB120</f>
        <v>541.70699999999988</v>
      </c>
      <c r="CC121" s="2871">
        <f>CB121+CC120</f>
        <v>542.22399999999993</v>
      </c>
      <c r="CD121" s="2877">
        <v>546.54499999999996</v>
      </c>
      <c r="CE121" s="2878">
        <v>548.84500000000003</v>
      </c>
      <c r="CF121" s="2871">
        <v>549.74300000000005</v>
      </c>
      <c r="CG121" s="2871">
        <v>549.654</v>
      </c>
      <c r="CH121" s="2871">
        <v>1069.861684</v>
      </c>
      <c r="CI121" s="3845">
        <f>CH121+CI120</f>
        <v>1072.6394617777778</v>
      </c>
      <c r="CJ121" s="3102">
        <f>CI121+CJ120</f>
        <v>1075.4172395555556</v>
      </c>
      <c r="CK121" s="3102">
        <f>CJ121+CK120</f>
        <v>1078.1950173333335</v>
      </c>
      <c r="CL121" s="356">
        <f>CK121+CL120</f>
        <v>1080.9727951111113</v>
      </c>
      <c r="CM121" s="367"/>
    </row>
    <row r="122" spans="1:97">
      <c r="A122" s="579" t="s">
        <v>993</v>
      </c>
      <c r="B122" s="580"/>
      <c r="C122" s="580"/>
      <c r="D122" s="580"/>
      <c r="E122" s="440"/>
      <c r="F122" s="440"/>
      <c r="G122" s="440" t="e">
        <f t="shared" ref="G122:Q122" si="324">+G121/F121-1</f>
        <v>#DIV/0!</v>
      </c>
      <c r="H122" s="440" t="e">
        <f t="shared" si="324"/>
        <v>#DIV/0!</v>
      </c>
      <c r="I122" s="440" t="e">
        <f t="shared" si="324"/>
        <v>#DIV/0!</v>
      </c>
      <c r="J122" s="440" t="e">
        <f t="shared" si="324"/>
        <v>#DIV/0!</v>
      </c>
      <c r="K122" s="440" t="e">
        <f t="shared" si="324"/>
        <v>#DIV/0!</v>
      </c>
      <c r="L122" s="440" t="e">
        <f t="shared" si="324"/>
        <v>#DIV/0!</v>
      </c>
      <c r="M122" s="440" t="e">
        <f t="shared" si="324"/>
        <v>#DIV/0!</v>
      </c>
      <c r="N122" s="440" t="e">
        <f t="shared" si="324"/>
        <v>#DIV/0!</v>
      </c>
      <c r="O122" s="440">
        <f t="shared" si="324"/>
        <v>-2.8173865584430469E-2</v>
      </c>
      <c r="P122" s="440">
        <f t="shared" si="324"/>
        <v>-4.3476272477340316E-2</v>
      </c>
      <c r="Q122" s="440">
        <f t="shared" si="324"/>
        <v>5.0478116954761898E-3</v>
      </c>
      <c r="R122" s="440">
        <f t="shared" ref="R122:X122" si="325">+R121/Q121-1</f>
        <v>0.9574997191448098</v>
      </c>
      <c r="S122" s="440">
        <f t="shared" si="325"/>
        <v>1.0385558504693027E-2</v>
      </c>
      <c r="T122" s="440">
        <f t="shared" si="325"/>
        <v>9.789340332956975E-3</v>
      </c>
      <c r="U122" s="440">
        <f t="shared" si="325"/>
        <v>9.2327982650410867E-3</v>
      </c>
      <c r="V122" s="440">
        <f t="shared" si="325"/>
        <v>8.7126986161338849E-3</v>
      </c>
      <c r="W122" s="440">
        <f t="shared" si="325"/>
        <v>8.2261363589710701E-3</v>
      </c>
      <c r="X122" s="440">
        <f t="shared" si="325"/>
        <v>7.7704944331884462E-3</v>
      </c>
      <c r="Y122" s="2279"/>
      <c r="Z122" s="411"/>
      <c r="AA122" s="2288"/>
      <c r="AB122" s="3543"/>
      <c r="AC122" s="580"/>
      <c r="AD122" s="581"/>
      <c r="AE122" s="463"/>
      <c r="AF122" s="440"/>
      <c r="AG122" s="440"/>
      <c r="AH122" s="440"/>
      <c r="AI122" s="464"/>
      <c r="AJ122" s="440"/>
      <c r="AK122" s="440"/>
      <c r="AL122" s="441"/>
      <c r="AM122" s="463"/>
      <c r="AN122" s="440"/>
      <c r="AO122" s="440"/>
      <c r="AP122" s="441"/>
      <c r="AQ122" s="463"/>
      <c r="AR122" s="440"/>
      <c r="AS122" s="440"/>
      <c r="AT122" s="441"/>
      <c r="AU122" s="463"/>
      <c r="AV122" s="440"/>
      <c r="AW122" s="440"/>
      <c r="AX122" s="498"/>
      <c r="AY122" s="463"/>
      <c r="AZ122" s="440"/>
      <c r="BA122" s="440"/>
      <c r="BB122" s="441"/>
      <c r="BC122" s="463"/>
      <c r="BD122" s="440"/>
      <c r="BE122" s="440"/>
      <c r="BF122" s="498"/>
      <c r="BG122" s="463"/>
      <c r="BH122" s="440"/>
      <c r="BI122" s="440"/>
      <c r="BJ122" s="441"/>
      <c r="BK122" s="463"/>
      <c r="BL122" s="440"/>
      <c r="BM122" s="440"/>
      <c r="BN122" s="441"/>
      <c r="BO122" s="463"/>
      <c r="BP122" s="440"/>
      <c r="BQ122" s="440"/>
      <c r="BR122" s="498"/>
      <c r="BS122" s="463"/>
      <c r="BT122" s="440">
        <f t="shared" ref="BT122:BY122" si="326">+BT121/BP121-1</f>
        <v>-1.4259511944781589E-2</v>
      </c>
      <c r="BU122" s="440">
        <f t="shared" si="326"/>
        <v>-2.3580694598230867E-2</v>
      </c>
      <c r="BV122" s="441">
        <f t="shared" si="326"/>
        <v>-2.8173865584430469E-2</v>
      </c>
      <c r="BW122" s="463">
        <f t="shared" si="326"/>
        <v>-1.8415764754148856E-2</v>
      </c>
      <c r="BX122" s="440">
        <f t="shared" si="326"/>
        <v>-1.8561127206601191E-2</v>
      </c>
      <c r="BY122" s="440">
        <f t="shared" si="326"/>
        <v>-3.286720195322923E-2</v>
      </c>
      <c r="BZ122" s="441">
        <f t="shared" ref="BZ122:CF122" si="327">+BZ121/BV121-1</f>
        <v>-4.3476272477340316E-2</v>
      </c>
      <c r="CA122" s="440">
        <f t="shared" si="327"/>
        <v>-3.9933193503032927E-2</v>
      </c>
      <c r="CB122" s="440">
        <f t="shared" si="327"/>
        <v>-3.1831025688227821E-2</v>
      </c>
      <c r="CC122" s="440">
        <f t="shared" si="327"/>
        <v>-1.3630649952612317E-2</v>
      </c>
      <c r="CD122" s="441">
        <f>+CD121/BZ121-1</f>
        <v>5.0478116954761898E-3</v>
      </c>
      <c r="CE122" s="440">
        <f>+CE121/CA121-1</f>
        <v>1.3575404344277286E-2</v>
      </c>
      <c r="CF122" s="440">
        <f t="shared" si="327"/>
        <v>1.4834587701469948E-2</v>
      </c>
      <c r="CG122" s="440">
        <f>+CG121/CC121-1</f>
        <v>1.3702823925167529E-2</v>
      </c>
      <c r="CH122" s="440">
        <f t="shared" ref="CH122" si="328">+CH121/CD121-1</f>
        <v>0.9574997191448098</v>
      </c>
      <c r="CI122" s="463">
        <f>+CI121/CE121-1</f>
        <v>0.95435771807664782</v>
      </c>
      <c r="CJ122" s="440">
        <f>+CJ121/CF121-1</f>
        <v>0.95621815931363474</v>
      </c>
      <c r="CK122" s="440">
        <f>+CK121/CG121-1</f>
        <v>0.96158859452188739</v>
      </c>
      <c r="CL122" s="441">
        <f>+CL121/CH121-1</f>
        <v>1.0385558504693027E-2</v>
      </c>
      <c r="CM122" s="367"/>
    </row>
    <row r="123" spans="1:97">
      <c r="A123" s="365"/>
      <c r="B123" s="365"/>
      <c r="C123" s="365"/>
      <c r="D123" s="365"/>
      <c r="E123" s="365"/>
      <c r="F123" s="365"/>
      <c r="G123" s="365"/>
      <c r="H123" s="399"/>
      <c r="I123" s="365"/>
      <c r="J123" s="365"/>
      <c r="K123" s="365"/>
      <c r="L123" s="399"/>
      <c r="M123" s="365"/>
      <c r="N123" s="365"/>
      <c r="O123" s="365"/>
      <c r="P123" s="365"/>
      <c r="Q123" s="399"/>
      <c r="R123" s="399"/>
      <c r="S123" s="2634"/>
      <c r="T123" s="399"/>
      <c r="U123" s="399"/>
      <c r="V123" s="399"/>
      <c r="W123" s="2634"/>
      <c r="X123" s="2634"/>
      <c r="Y123" s="2279"/>
      <c r="Z123" s="399"/>
      <c r="AA123" s="2288"/>
      <c r="AB123" s="365"/>
      <c r="AC123" s="365"/>
      <c r="AD123" s="597"/>
      <c r="AE123" s="597"/>
      <c r="AF123" s="597"/>
      <c r="AG123" s="597"/>
      <c r="AH123" s="597"/>
      <c r="AI123" s="597"/>
      <c r="AJ123" s="597"/>
      <c r="AK123" s="597"/>
      <c r="AL123" s="597"/>
      <c r="AM123" s="597"/>
      <c r="AN123" s="597"/>
      <c r="AO123" s="597"/>
      <c r="AP123" s="597"/>
      <c r="AQ123" s="597"/>
      <c r="AR123" s="597"/>
      <c r="AS123" s="597"/>
      <c r="AT123" s="597"/>
      <c r="AU123" s="597"/>
      <c r="AV123" s="597"/>
      <c r="AW123" s="597"/>
      <c r="AX123" s="597"/>
      <c r="AY123" s="597"/>
      <c r="AZ123" s="597"/>
      <c r="BA123" s="597"/>
      <c r="BB123" s="597"/>
      <c r="BC123" s="597"/>
      <c r="BD123" s="365"/>
      <c r="BE123" s="365"/>
      <c r="BF123" s="365"/>
      <c r="BG123" s="365"/>
      <c r="BH123" s="365"/>
      <c r="BI123" s="365"/>
      <c r="BJ123" s="365"/>
      <c r="BK123" s="365"/>
      <c r="BL123" s="365"/>
      <c r="BM123" s="365"/>
      <c r="BN123" s="365"/>
      <c r="BO123" s="399"/>
      <c r="BP123" s="365"/>
      <c r="BQ123" s="365"/>
      <c r="BR123" s="2634"/>
      <c r="BS123" s="2634"/>
      <c r="BT123" s="365"/>
      <c r="BU123" s="365"/>
      <c r="BV123" s="2634"/>
      <c r="BW123" s="2634"/>
      <c r="BX123" s="365"/>
      <c r="BY123" s="399"/>
      <c r="BZ123" s="2634"/>
      <c r="CA123" s="399"/>
      <c r="CB123" s="365"/>
      <c r="CC123" s="365"/>
      <c r="CD123" s="2634"/>
      <c r="CE123" s="399"/>
      <c r="CF123" s="843"/>
      <c r="CG123" s="843"/>
      <c r="CH123" s="843"/>
      <c r="CI123" s="2243"/>
      <c r="CJ123" s="2634"/>
      <c r="CK123" s="2634"/>
      <c r="CL123" s="2634"/>
      <c r="CM123" s="367"/>
    </row>
    <row r="124" spans="1:97">
      <c r="A124" s="365"/>
      <c r="B124" s="365"/>
      <c r="C124" s="365"/>
      <c r="D124" s="365"/>
      <c r="E124" s="365"/>
      <c r="F124" s="365"/>
      <c r="G124" s="365"/>
      <c r="H124" s="365"/>
      <c r="I124" s="365"/>
      <c r="J124" s="365"/>
      <c r="K124" s="365"/>
      <c r="L124" s="399"/>
      <c r="M124" s="365"/>
      <c r="N124" s="424"/>
      <c r="O124" s="485"/>
      <c r="P124" s="485"/>
      <c r="Q124" s="399"/>
      <c r="R124" s="399"/>
      <c r="S124" s="2634"/>
      <c r="T124" s="399"/>
      <c r="U124" s="399"/>
      <c r="V124" s="399"/>
      <c r="W124" s="2634"/>
      <c r="X124" s="2634"/>
      <c r="Y124" s="2279"/>
      <c r="Z124" s="399"/>
      <c r="AA124" s="2288"/>
      <c r="AB124" s="365"/>
      <c r="AC124" s="365"/>
      <c r="AD124" s="365"/>
      <c r="AE124" s="365"/>
      <c r="AF124" s="365"/>
      <c r="AG124" s="365"/>
      <c r="AH124" s="365"/>
      <c r="AI124" s="365"/>
      <c r="AJ124" s="365"/>
      <c r="AK124" s="365"/>
      <c r="AL124" s="365"/>
      <c r="AM124" s="365"/>
      <c r="AN124" s="365"/>
      <c r="AO124" s="365"/>
      <c r="AP124" s="365"/>
      <c r="AQ124" s="365"/>
      <c r="AR124" s="365"/>
      <c r="AS124" s="365"/>
      <c r="AT124" s="365"/>
      <c r="AU124" s="365"/>
      <c r="AV124" s="365"/>
      <c r="AW124" s="365"/>
      <c r="AX124" s="365"/>
      <c r="AY124" s="365"/>
      <c r="AZ124" s="365"/>
      <c r="BA124" s="365"/>
      <c r="BB124" s="365"/>
      <c r="BC124" s="365"/>
      <c r="BD124" s="365"/>
      <c r="BE124" s="365"/>
      <c r="BF124" s="365"/>
      <c r="BG124" s="365"/>
      <c r="BH124" s="365"/>
      <c r="BI124" s="365"/>
      <c r="BJ124" s="365"/>
      <c r="BK124" s="365"/>
      <c r="BL124" s="365"/>
      <c r="BM124" s="365"/>
      <c r="BN124" s="365"/>
      <c r="BO124" s="399"/>
      <c r="BP124" s="476"/>
      <c r="BQ124" s="476"/>
      <c r="BR124" s="413"/>
      <c r="BS124" s="413"/>
      <c r="BT124" s="476"/>
      <c r="BU124" s="476"/>
      <c r="BV124" s="413"/>
      <c r="BW124" s="413"/>
      <c r="BX124" s="476"/>
      <c r="BY124" s="399"/>
      <c r="BZ124" s="413"/>
      <c r="CA124" s="399"/>
      <c r="CB124" s="476"/>
      <c r="CC124" s="476"/>
      <c r="CD124" s="413"/>
      <c r="CE124" s="399"/>
      <c r="CF124" s="476"/>
      <c r="CG124" s="476"/>
      <c r="CH124" s="476"/>
      <c r="CI124" s="2243"/>
      <c r="CJ124" s="2634"/>
      <c r="CK124" s="2634"/>
      <c r="CL124" s="2634"/>
      <c r="CM124" s="367"/>
    </row>
    <row r="125" spans="1:97">
      <c r="A125" s="364" t="s">
        <v>572</v>
      </c>
      <c r="B125" s="365"/>
      <c r="C125" s="365"/>
      <c r="D125" s="365"/>
      <c r="E125" s="365"/>
      <c r="F125" s="365"/>
      <c r="G125" s="365"/>
      <c r="H125" s="365"/>
      <c r="I125" s="365"/>
      <c r="J125" s="365"/>
      <c r="K125" s="365"/>
      <c r="L125" s="399"/>
      <c r="M125" s="365"/>
      <c r="N125" s="424"/>
      <c r="O125" s="365"/>
      <c r="P125" s="365"/>
      <c r="Q125" s="399"/>
      <c r="R125" s="399"/>
      <c r="S125" s="2634"/>
      <c r="T125" s="399"/>
      <c r="U125" s="399"/>
      <c r="V125" s="399"/>
      <c r="W125" s="2634"/>
      <c r="X125" s="2634"/>
      <c r="Y125" s="2279"/>
      <c r="Z125" s="399"/>
      <c r="AA125" s="2288"/>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H125" s="365"/>
      <c r="BI125" s="365"/>
      <c r="BJ125" s="365"/>
      <c r="BK125" s="365"/>
      <c r="BL125" s="365"/>
      <c r="BM125" s="365"/>
      <c r="BN125" s="365"/>
      <c r="BO125" s="365"/>
      <c r="BP125" s="365"/>
      <c r="BQ125" s="365"/>
      <c r="BR125" s="399"/>
      <c r="BS125" s="399"/>
      <c r="BT125" s="365"/>
      <c r="BU125" s="365"/>
      <c r="BV125" s="399"/>
      <c r="BW125" s="399"/>
      <c r="BX125" s="365"/>
      <c r="BY125" s="399"/>
      <c r="BZ125" s="399"/>
      <c r="CA125" s="399"/>
      <c r="CB125" s="365"/>
      <c r="CC125" s="365"/>
      <c r="CD125" s="399"/>
      <c r="CE125" s="399"/>
      <c r="CF125" s="843"/>
      <c r="CG125" s="843"/>
      <c r="CH125" s="843"/>
      <c r="CI125" s="2243"/>
      <c r="CJ125" s="2634"/>
      <c r="CK125" s="2634"/>
      <c r="CL125" s="2634"/>
      <c r="CM125" s="367"/>
    </row>
    <row r="126" spans="1:97">
      <c r="A126" s="365" t="s">
        <v>734</v>
      </c>
      <c r="B126" s="365"/>
      <c r="C126" s="365"/>
      <c r="D126" s="365"/>
      <c r="E126" s="476">
        <f t="shared" ref="E126:V126" si="329">E106</f>
        <v>137.215</v>
      </c>
      <c r="F126" s="476">
        <f t="shared" si="329"/>
        <v>130.84049999999999</v>
      </c>
      <c r="G126" s="476">
        <f t="shared" si="329"/>
        <v>321.14375000000001</v>
      </c>
      <c r="H126" s="476">
        <f t="shared" si="329"/>
        <v>317.35374999999999</v>
      </c>
      <c r="I126" s="476">
        <f t="shared" si="329"/>
        <v>590.97254599999997</v>
      </c>
      <c r="J126" s="476">
        <f t="shared" si="329"/>
        <v>581.60610280000003</v>
      </c>
      <c r="K126" s="476">
        <f t="shared" si="329"/>
        <v>601.53143120000004</v>
      </c>
      <c r="L126" s="413">
        <f t="shared" si="329"/>
        <v>615.14975000000004</v>
      </c>
      <c r="M126" s="476">
        <f t="shared" si="329"/>
        <v>620.09775000000002</v>
      </c>
      <c r="N126" s="476">
        <f t="shared" si="329"/>
        <v>600.89274999999998</v>
      </c>
      <c r="O126" s="476">
        <f t="shared" si="329"/>
        <v>568.923</v>
      </c>
      <c r="P126" s="476">
        <f t="shared" si="329"/>
        <v>554.27774999999997</v>
      </c>
      <c r="Q126" s="413">
        <f t="shared" si="329"/>
        <v>539.74250000000006</v>
      </c>
      <c r="R126" s="413">
        <f t="shared" si="329"/>
        <v>627.8075</v>
      </c>
      <c r="S126" s="413">
        <f>S106</f>
        <v>1075.4172395555556</v>
      </c>
      <c r="T126" s="413">
        <f t="shared" si="329"/>
        <v>1086.2638004021164</v>
      </c>
      <c r="U126" s="413">
        <f t="shared" si="329"/>
        <v>1096.593858351222</v>
      </c>
      <c r="V126" s="413">
        <f t="shared" si="329"/>
        <v>1106.4320087789417</v>
      </c>
      <c r="W126" s="413">
        <f>W106</f>
        <v>1115.8016758529602</v>
      </c>
      <c r="X126" s="413">
        <f>X106</f>
        <v>1124.7251683044067</v>
      </c>
      <c r="Y126" s="2279"/>
      <c r="Z126" s="476"/>
      <c r="AA126" s="2288"/>
      <c r="AB126" s="476"/>
      <c r="AC126" s="476"/>
      <c r="AD126" s="476">
        <f t="shared" ref="AD126:BI126" si="330">AD106</f>
        <v>144.20400000000001</v>
      </c>
      <c r="AE126" s="476">
        <f t="shared" si="330"/>
        <v>142.58500000000001</v>
      </c>
      <c r="AF126" s="476">
        <f t="shared" si="330"/>
        <v>138.066</v>
      </c>
      <c r="AG126" s="476">
        <f t="shared" si="330"/>
        <v>134.88499999999999</v>
      </c>
      <c r="AH126" s="476">
        <f t="shared" si="330"/>
        <v>133.32400000000001</v>
      </c>
      <c r="AI126" s="476">
        <f t="shared" si="330"/>
        <v>132.18299999999999</v>
      </c>
      <c r="AJ126" s="476">
        <f t="shared" si="330"/>
        <v>130.29900000000001</v>
      </c>
      <c r="AK126" s="476">
        <f t="shared" si="330"/>
        <v>130.15</v>
      </c>
      <c r="AL126" s="476">
        <f t="shared" si="330"/>
        <v>130.72999999999999</v>
      </c>
      <c r="AM126" s="476">
        <f t="shared" si="330"/>
        <v>326.661</v>
      </c>
      <c r="AN126" s="476">
        <f t="shared" si="330"/>
        <v>319.70800000000003</v>
      </c>
      <c r="AO126" s="476">
        <f t="shared" si="330"/>
        <v>319.625</v>
      </c>
      <c r="AP126" s="476">
        <f t="shared" si="330"/>
        <v>318.58100000000002</v>
      </c>
      <c r="AQ126" s="476">
        <f t="shared" si="330"/>
        <v>316.80500000000001</v>
      </c>
      <c r="AR126" s="476">
        <f t="shared" si="330"/>
        <v>316.37099999999998</v>
      </c>
      <c r="AS126" s="476">
        <f t="shared" si="330"/>
        <v>318.73599999999999</v>
      </c>
      <c r="AT126" s="476">
        <f t="shared" si="330"/>
        <v>317.50299999999999</v>
      </c>
      <c r="AU126" s="476">
        <f t="shared" si="330"/>
        <v>608.75511840000001</v>
      </c>
      <c r="AV126" s="476">
        <f t="shared" si="330"/>
        <v>596.01772160000007</v>
      </c>
      <c r="AW126" s="476">
        <f t="shared" si="330"/>
        <v>581.96433279999997</v>
      </c>
      <c r="AX126" s="476">
        <f t="shared" si="330"/>
        <v>577.15301120000004</v>
      </c>
      <c r="AY126" s="476">
        <f t="shared" si="330"/>
        <v>578.52428159999999</v>
      </c>
      <c r="AZ126" s="476">
        <f t="shared" si="330"/>
        <v>580.89921919999995</v>
      </c>
      <c r="BA126" s="476">
        <f t="shared" si="330"/>
        <v>583.00214559999995</v>
      </c>
      <c r="BB126" s="476">
        <f t="shared" si="330"/>
        <v>583.9987648</v>
      </c>
      <c r="BC126" s="476">
        <f t="shared" si="330"/>
        <v>598.97922719999997</v>
      </c>
      <c r="BD126" s="476">
        <f t="shared" si="330"/>
        <v>600.41079360000003</v>
      </c>
      <c r="BE126" s="476">
        <f t="shared" si="330"/>
        <v>601.7361952</v>
      </c>
      <c r="BF126" s="476">
        <f t="shared" si="330"/>
        <v>604.99950879999994</v>
      </c>
      <c r="BG126" s="476">
        <f t="shared" si="330"/>
        <v>611</v>
      </c>
      <c r="BH126" s="476">
        <f t="shared" si="330"/>
        <v>614.529</v>
      </c>
      <c r="BI126" s="476">
        <f t="shared" si="330"/>
        <v>616.55999999999995</v>
      </c>
      <c r="BJ126" s="476">
        <f t="shared" ref="BJ126:CF126" si="331">BJ106</f>
        <v>618.51</v>
      </c>
      <c r="BK126" s="476">
        <f t="shared" si="331"/>
        <v>618.20799999999997</v>
      </c>
      <c r="BL126" s="476">
        <f t="shared" si="331"/>
        <v>619.88699999999994</v>
      </c>
      <c r="BM126" s="476">
        <f t="shared" si="331"/>
        <v>621.14800000000002</v>
      </c>
      <c r="BN126" s="476">
        <f t="shared" si="331"/>
        <v>621.14800000000002</v>
      </c>
      <c r="BO126" s="476">
        <f t="shared" si="331"/>
        <v>619.423</v>
      </c>
      <c r="BP126" s="476">
        <f t="shared" si="331"/>
        <v>604.30200000000002</v>
      </c>
      <c r="BQ126" s="476">
        <f t="shared" si="331"/>
        <v>594.58699999999999</v>
      </c>
      <c r="BR126" s="413">
        <f t="shared" si="331"/>
        <v>585.25900000000001</v>
      </c>
      <c r="BS126" s="413">
        <f t="shared" si="331"/>
        <v>574.53499999999997</v>
      </c>
      <c r="BT126" s="476">
        <f t="shared" si="331"/>
        <v>567.91499999999996</v>
      </c>
      <c r="BU126" s="476">
        <f t="shared" si="331"/>
        <v>567.91499999999996</v>
      </c>
      <c r="BV126" s="413">
        <f t="shared" si="331"/>
        <v>565.327</v>
      </c>
      <c r="BW126" s="413">
        <f t="shared" si="331"/>
        <v>561.96900000000005</v>
      </c>
      <c r="BX126" s="476">
        <f t="shared" si="331"/>
        <v>558.64</v>
      </c>
      <c r="BY126" s="413">
        <f t="shared" si="331"/>
        <v>554.89700000000005</v>
      </c>
      <c r="BZ126" s="413">
        <f t="shared" si="331"/>
        <v>541.60500000000002</v>
      </c>
      <c r="CA126" s="413">
        <f t="shared" si="331"/>
        <v>538.79899999999998</v>
      </c>
      <c r="CB126" s="476">
        <f t="shared" si="331"/>
        <v>540.4</v>
      </c>
      <c r="CC126" s="476">
        <f t="shared" si="331"/>
        <v>539.80600000000004</v>
      </c>
      <c r="CD126" s="413">
        <f t="shared" si="331"/>
        <v>539.96500000000003</v>
      </c>
      <c r="CE126" s="413">
        <f t="shared" si="331"/>
        <v>540.45799999999997</v>
      </c>
      <c r="CF126" s="476">
        <f t="shared" si="331"/>
        <v>541.36099999999999</v>
      </c>
      <c r="CG126" s="476">
        <f>CG106</f>
        <v>541.52099999999996</v>
      </c>
      <c r="CH126" s="476">
        <f t="shared" ref="CH126" si="332">CH106</f>
        <v>887.89</v>
      </c>
      <c r="CI126" s="490">
        <f>CI106</f>
        <v>1071.2505728888889</v>
      </c>
      <c r="CJ126" s="413">
        <f>CJ106</f>
        <v>1074.0283506666667</v>
      </c>
      <c r="CK126" s="413">
        <f>CK106</f>
        <v>1076.8061284444445</v>
      </c>
      <c r="CL126" s="413">
        <f>CL106</f>
        <v>1079.5839062222224</v>
      </c>
      <c r="CM126" s="367"/>
    </row>
    <row r="127" spans="1:97">
      <c r="A127" s="365"/>
      <c r="B127" s="365"/>
      <c r="C127" s="365"/>
      <c r="D127" s="365"/>
      <c r="E127" s="365"/>
      <c r="F127" s="365"/>
      <c r="G127" s="365"/>
      <c r="H127" s="365"/>
      <c r="I127" s="365"/>
      <c r="J127" s="365"/>
      <c r="K127" s="365"/>
      <c r="L127" s="399"/>
      <c r="M127" s="365"/>
      <c r="N127" s="365"/>
      <c r="O127" s="365"/>
      <c r="P127" s="365"/>
      <c r="Q127" s="399"/>
      <c r="R127" s="399"/>
      <c r="S127" s="2634"/>
      <c r="T127" s="399"/>
      <c r="U127" s="399"/>
      <c r="V127" s="399"/>
      <c r="W127" s="2634"/>
      <c r="X127" s="2634"/>
      <c r="Y127" s="2279"/>
      <c r="Z127" s="399"/>
      <c r="AA127" s="2288"/>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4"/>
      <c r="AZ127" s="366"/>
      <c r="BA127" s="366"/>
      <c r="BB127" s="598"/>
      <c r="BC127" s="366"/>
      <c r="BD127" s="365"/>
      <c r="BE127" s="365"/>
      <c r="BF127" s="365"/>
      <c r="BG127" s="368"/>
      <c r="BH127" s="368"/>
      <c r="BI127" s="368"/>
      <c r="BJ127" s="368"/>
      <c r="BK127" s="368"/>
      <c r="BL127" s="365"/>
      <c r="BM127" s="365"/>
      <c r="BN127" s="365"/>
      <c r="BO127" s="365"/>
      <c r="BP127" s="365"/>
      <c r="BQ127" s="365"/>
      <c r="BR127" s="399"/>
      <c r="BS127" s="399"/>
      <c r="BT127" s="365"/>
      <c r="BU127" s="365"/>
      <c r="BV127" s="399"/>
      <c r="BW127" s="399"/>
      <c r="BX127" s="365"/>
      <c r="BY127" s="399"/>
      <c r="BZ127" s="399"/>
      <c r="CA127" s="399"/>
      <c r="CB127" s="365"/>
      <c r="CC127" s="399"/>
      <c r="CD127" s="399"/>
      <c r="CE127" s="399"/>
      <c r="CF127" s="843"/>
      <c r="CG127" s="843"/>
      <c r="CH127" s="843"/>
      <c r="CI127" s="2243"/>
      <c r="CJ127" s="2634"/>
      <c r="CK127" s="2634"/>
      <c r="CL127" s="2634"/>
      <c r="CM127" s="367"/>
    </row>
    <row r="128" spans="1:97">
      <c r="S128"/>
      <c r="W128"/>
      <c r="X128"/>
      <c r="BY128"/>
      <c r="CA128"/>
      <c r="CC128"/>
      <c r="CE128"/>
      <c r="CF128"/>
      <c r="CG128"/>
      <c r="CH128"/>
      <c r="CI128"/>
      <c r="CJ128"/>
      <c r="CK128"/>
      <c r="CL128"/>
    </row>
    <row r="129" spans="1:97">
      <c r="A129" s="366"/>
      <c r="B129" s="366"/>
      <c r="C129" s="366"/>
      <c r="D129" s="366"/>
      <c r="E129" s="366"/>
      <c r="F129" s="366"/>
      <c r="G129" s="366"/>
      <c r="H129" s="366"/>
      <c r="I129" s="366"/>
      <c r="J129" s="366"/>
      <c r="K129" s="366"/>
      <c r="L129" s="373"/>
      <c r="M129" s="366"/>
      <c r="N129" s="366"/>
      <c r="O129" s="366"/>
      <c r="P129" s="366"/>
      <c r="Q129" s="373"/>
      <c r="R129" s="373"/>
      <c r="S129" s="2271"/>
      <c r="T129" s="373"/>
      <c r="U129" s="373"/>
      <c r="V129" s="373"/>
      <c r="W129" s="2271"/>
      <c r="X129" s="2271"/>
      <c r="Y129" s="366"/>
      <c r="Z129" s="373"/>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c r="AZ129" s="366"/>
      <c r="BA129" s="366"/>
      <c r="BB129" s="366"/>
      <c r="BC129" s="366"/>
      <c r="BD129" s="366"/>
      <c r="BE129" s="366"/>
      <c r="BF129" s="366"/>
      <c r="BG129" s="367"/>
      <c r="BH129" s="367"/>
      <c r="BI129" s="367"/>
      <c r="BJ129" s="367"/>
      <c r="BK129" s="367"/>
      <c r="BL129" s="366"/>
      <c r="BM129" s="366"/>
      <c r="BN129" s="366"/>
      <c r="BO129" s="366"/>
      <c r="BP129" s="366"/>
      <c r="BQ129" s="366"/>
      <c r="BR129" s="366"/>
      <c r="BS129" s="366"/>
      <c r="BT129" s="366"/>
      <c r="BU129" s="366"/>
      <c r="BV129" s="365"/>
      <c r="BW129" s="366"/>
      <c r="BX129" s="366"/>
      <c r="BY129" s="373"/>
      <c r="BZ129" s="365"/>
      <c r="CA129" s="373"/>
      <c r="CB129" s="366"/>
      <c r="CC129" s="373"/>
      <c r="CD129" s="365"/>
      <c r="CE129" s="373"/>
      <c r="CF129" s="366"/>
      <c r="CG129" s="366"/>
      <c r="CH129" s="366"/>
      <c r="CI129" s="2271"/>
      <c r="CJ129" s="2271"/>
      <c r="CK129" s="2271"/>
      <c r="CL129" s="2271"/>
      <c r="CM129" s="367"/>
    </row>
    <row r="130" spans="1:97" hidden="1" outlineLevel="1">
      <c r="A130" s="2003" t="s">
        <v>302</v>
      </c>
      <c r="B130" s="2004"/>
      <c r="C130" s="2004"/>
      <c r="D130" s="2004"/>
      <c r="E130" s="2004"/>
      <c r="F130" s="2004"/>
      <c r="G130" s="2004"/>
      <c r="H130" s="2004"/>
      <c r="I130" s="2004"/>
      <c r="J130" s="2005"/>
      <c r="K130" s="2005"/>
      <c r="L130" s="2006"/>
      <c r="M130" s="2004"/>
      <c r="N130" s="2004"/>
      <c r="O130" s="2006"/>
      <c r="P130" s="3763"/>
      <c r="Q130" s="3763"/>
      <c r="R130" s="3763"/>
      <c r="S130" s="3763"/>
      <c r="T130" s="3763"/>
      <c r="U130" s="3763"/>
      <c r="V130" s="3763"/>
      <c r="W130" s="3763"/>
      <c r="X130" s="3763"/>
      <c r="Y130" s="3764"/>
      <c r="Z130" s="367"/>
      <c r="AA130" s="2269"/>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c r="AZ130" s="366"/>
      <c r="BA130" s="366"/>
      <c r="BB130" s="366"/>
      <c r="BC130" s="366"/>
      <c r="BD130" s="366"/>
      <c r="BE130" s="366"/>
      <c r="BF130" s="366"/>
      <c r="BG130" s="367"/>
      <c r="BH130" s="367"/>
      <c r="BI130" s="367"/>
      <c r="BJ130" s="367"/>
      <c r="BK130" s="367"/>
      <c r="BL130" s="366"/>
      <c r="BM130" s="366"/>
      <c r="BN130" s="366"/>
      <c r="BO130" s="366"/>
      <c r="BP130" s="366"/>
      <c r="BQ130" s="366"/>
      <c r="BR130" s="366"/>
      <c r="BS130" s="366"/>
      <c r="BT130" s="366"/>
      <c r="BU130" s="366"/>
      <c r="BV130" s="365"/>
      <c r="BW130" s="366"/>
      <c r="BX130" s="366"/>
      <c r="BY130" s="373"/>
      <c r="BZ130" s="365"/>
      <c r="CA130" s="373"/>
      <c r="CB130" s="366"/>
      <c r="CC130" s="373"/>
      <c r="CD130" s="365"/>
      <c r="CE130" s="373"/>
      <c r="CF130" s="366"/>
      <c r="CG130" s="366"/>
      <c r="CH130" s="366"/>
      <c r="CI130" s="2271"/>
      <c r="CJ130" s="2271"/>
      <c r="CK130" s="2271"/>
      <c r="CL130" s="2271"/>
      <c r="CM130" s="367"/>
    </row>
    <row r="131" spans="1:97" hidden="1" outlineLevel="1">
      <c r="A131" s="2007" t="s">
        <v>475</v>
      </c>
      <c r="B131" s="2008"/>
      <c r="C131" s="2008"/>
      <c r="D131" s="2008"/>
      <c r="E131" s="2008"/>
      <c r="F131" s="2008"/>
      <c r="G131" s="2008"/>
      <c r="H131" s="2009"/>
      <c r="I131" s="2010"/>
      <c r="J131" s="2010"/>
      <c r="K131" s="2010"/>
      <c r="L131" s="2010"/>
      <c r="M131" s="2010">
        <f t="shared" ref="M131:X131" si="333">L133</f>
        <v>5600</v>
      </c>
      <c r="N131" s="2010">
        <f t="shared" si="333"/>
        <v>2492.5</v>
      </c>
      <c r="O131" s="2010">
        <f t="shared" si="333"/>
        <v>0</v>
      </c>
      <c r="P131" s="3765">
        <f t="shared" si="333"/>
        <v>0</v>
      </c>
      <c r="Q131" s="3765">
        <f t="shared" si="333"/>
        <v>0</v>
      </c>
      <c r="R131" s="3765">
        <f t="shared" si="333"/>
        <v>0</v>
      </c>
      <c r="S131" s="3765">
        <f t="shared" si="333"/>
        <v>9000</v>
      </c>
      <c r="T131" s="3765">
        <f t="shared" si="333"/>
        <v>8195.6481965033454</v>
      </c>
      <c r="U131" s="3765">
        <f t="shared" si="333"/>
        <v>6778.363538276114</v>
      </c>
      <c r="V131" s="3765">
        <f t="shared" si="333"/>
        <v>4910.72452034038</v>
      </c>
      <c r="W131" s="3765">
        <f t="shared" si="333"/>
        <v>2823.7317062738775</v>
      </c>
      <c r="X131" s="3765">
        <f t="shared" si="333"/>
        <v>489.06515532229105</v>
      </c>
      <c r="Y131" s="3765"/>
      <c r="Z131" s="367"/>
      <c r="AA131" s="2010"/>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c r="AZ131" s="366"/>
      <c r="BA131" s="366"/>
      <c r="BB131" s="366"/>
      <c r="BC131" s="366"/>
      <c r="BD131" s="366"/>
      <c r="BE131" s="366"/>
      <c r="BF131" s="366"/>
      <c r="BG131" s="367"/>
      <c r="BH131" s="367"/>
      <c r="BI131" s="367"/>
      <c r="BJ131" s="367"/>
      <c r="BK131" s="367"/>
      <c r="BL131" s="366"/>
      <c r="BM131" s="366"/>
      <c r="BN131" s="366"/>
      <c r="BO131" s="366"/>
      <c r="BP131" s="366"/>
      <c r="BQ131" s="366"/>
      <c r="BR131" s="366"/>
      <c r="BS131" s="366"/>
      <c r="BT131" s="366"/>
      <c r="BU131" s="366"/>
      <c r="BV131" s="365"/>
      <c r="BW131" s="366"/>
      <c r="BX131" s="366"/>
      <c r="BY131" s="373"/>
      <c r="BZ131" s="365"/>
      <c r="CA131" s="373"/>
      <c r="CB131" s="366"/>
      <c r="CC131" s="373"/>
      <c r="CD131" s="365"/>
      <c r="CE131" s="373"/>
      <c r="CF131" s="366"/>
      <c r="CG131" s="366"/>
      <c r="CH131" s="366"/>
      <c r="CI131" s="2271"/>
      <c r="CJ131" s="2271"/>
      <c r="CK131" s="2271"/>
      <c r="CL131" s="2271"/>
      <c r="CM131" s="367"/>
    </row>
    <row r="132" spans="1:97" hidden="1" outlineLevel="1">
      <c r="A132" s="2011" t="s">
        <v>303</v>
      </c>
      <c r="B132" s="2008"/>
      <c r="C132" s="2008"/>
      <c r="D132" s="2008"/>
      <c r="E132" s="2008"/>
      <c r="F132" s="2008"/>
      <c r="G132" s="2008"/>
      <c r="H132" s="2010"/>
      <c r="I132" s="2010"/>
      <c r="J132" s="2010"/>
      <c r="K132" s="2010"/>
      <c r="L132" s="2010"/>
      <c r="M132" s="2010">
        <f t="shared" ref="M132:X132" si="334">-M137</f>
        <v>-3107.5</v>
      </c>
      <c r="N132" s="2010">
        <f t="shared" si="334"/>
        <v>-2492.5</v>
      </c>
      <c r="O132" s="2010">
        <f t="shared" si="334"/>
        <v>0</v>
      </c>
      <c r="P132" s="3765">
        <f t="shared" si="334"/>
        <v>0</v>
      </c>
      <c r="Q132" s="3765">
        <f t="shared" si="334"/>
        <v>0</v>
      </c>
      <c r="R132" s="3765">
        <f t="shared" si="334"/>
        <v>0</v>
      </c>
      <c r="S132" s="3765">
        <f t="shared" si="334"/>
        <v>-804.35180349665507</v>
      </c>
      <c r="T132" s="3765">
        <f t="shared" si="334"/>
        <v>-1417.2846582272314</v>
      </c>
      <c r="U132" s="3765">
        <f t="shared" si="334"/>
        <v>-1867.6390179357338</v>
      </c>
      <c r="V132" s="3765">
        <f t="shared" si="334"/>
        <v>-2086.9928140665024</v>
      </c>
      <c r="W132" s="3765">
        <f t="shared" si="334"/>
        <v>-2334.6665509515865</v>
      </c>
      <c r="X132" s="3765">
        <f t="shared" si="334"/>
        <v>-489.06515532229105</v>
      </c>
      <c r="Y132" s="3765"/>
      <c r="Z132" s="367"/>
      <c r="AA132" s="2010"/>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c r="AZ132" s="366"/>
      <c r="BA132" s="366"/>
      <c r="BB132" s="366"/>
      <c r="BC132" s="366"/>
      <c r="BD132" s="366"/>
      <c r="BE132" s="366"/>
      <c r="BF132" s="366"/>
      <c r="BG132" s="367"/>
      <c r="BH132" s="367"/>
      <c r="BI132" s="367"/>
      <c r="BJ132" s="367"/>
      <c r="BK132" s="367"/>
      <c r="BL132" s="366"/>
      <c r="BM132" s="366"/>
      <c r="BN132" s="366"/>
      <c r="BO132" s="366"/>
      <c r="BP132" s="366"/>
      <c r="BQ132" s="366"/>
      <c r="BR132" s="366"/>
      <c r="BS132" s="366"/>
      <c r="BT132" s="366"/>
      <c r="BU132" s="366"/>
      <c r="BV132" s="365"/>
      <c r="BW132" s="366"/>
      <c r="BX132" s="366"/>
      <c r="BY132" s="373"/>
      <c r="BZ132" s="365"/>
      <c r="CA132" s="373"/>
      <c r="CB132" s="366"/>
      <c r="CC132" s="373"/>
      <c r="CD132" s="365"/>
      <c r="CE132" s="373"/>
      <c r="CF132" s="366"/>
      <c r="CG132" s="366"/>
      <c r="CH132" s="366"/>
      <c r="CI132" s="2271"/>
      <c r="CJ132" s="2271"/>
      <c r="CK132" s="2271"/>
      <c r="CL132" s="2271"/>
      <c r="CM132" s="367"/>
    </row>
    <row r="133" spans="1:97" hidden="1" outlineLevel="1">
      <c r="A133" s="2007" t="s">
        <v>476</v>
      </c>
      <c r="B133" s="2008"/>
      <c r="C133" s="2008"/>
      <c r="D133" s="2008"/>
      <c r="E133" s="2008"/>
      <c r="F133" s="2008"/>
      <c r="G133" s="2008"/>
      <c r="H133" s="2010"/>
      <c r="I133" s="2010"/>
      <c r="J133" s="2010"/>
      <c r="K133" s="2010"/>
      <c r="L133" s="2010">
        <v>5600</v>
      </c>
      <c r="M133" s="2010">
        <f>SUM(M131:M132)</f>
        <v>2492.5</v>
      </c>
      <c r="N133" s="2010">
        <f>SUM(N131:N132)</f>
        <v>0</v>
      </c>
      <c r="O133" s="2010">
        <f>SUM(O131:O132)</f>
        <v>0</v>
      </c>
      <c r="P133" s="3765">
        <f>SUM(P131:P132)</f>
        <v>0</v>
      </c>
      <c r="Q133" s="3765">
        <f>SUM(Q131:Q132)</f>
        <v>0</v>
      </c>
      <c r="R133" s="3765">
        <v>9000</v>
      </c>
      <c r="S133" s="3765">
        <f t="shared" ref="S133:X133" si="335">SUM(S131:S132)</f>
        <v>8195.6481965033454</v>
      </c>
      <c r="T133" s="3765">
        <f t="shared" si="335"/>
        <v>6778.363538276114</v>
      </c>
      <c r="U133" s="3765">
        <f t="shared" si="335"/>
        <v>4910.72452034038</v>
      </c>
      <c r="V133" s="3765">
        <f t="shared" si="335"/>
        <v>2823.7317062738775</v>
      </c>
      <c r="W133" s="3765">
        <f t="shared" si="335"/>
        <v>489.06515532229105</v>
      </c>
      <c r="X133" s="3765">
        <f t="shared" si="335"/>
        <v>0</v>
      </c>
      <c r="Y133" s="3765"/>
      <c r="Z133" s="367"/>
      <c r="AA133" s="2010"/>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c r="AZ133" s="366"/>
      <c r="BA133" s="366"/>
      <c r="BB133" s="366"/>
      <c r="BC133" s="366"/>
      <c r="BD133" s="366"/>
      <c r="BE133" s="366"/>
      <c r="BF133" s="366"/>
      <c r="BG133" s="367"/>
      <c r="BH133" s="367"/>
      <c r="BI133" s="367"/>
      <c r="BJ133" s="367"/>
      <c r="BK133" s="367"/>
      <c r="BL133" s="366"/>
      <c r="BM133" s="366"/>
      <c r="BN133" s="366"/>
      <c r="BO133" s="366"/>
      <c r="BP133" s="366"/>
      <c r="BQ133" s="366"/>
      <c r="BR133" s="366"/>
      <c r="BS133" s="366"/>
      <c r="BT133" s="366"/>
      <c r="BU133" s="366"/>
      <c r="BV133" s="365"/>
      <c r="BW133" s="366"/>
      <c r="BX133" s="366"/>
      <c r="BY133" s="373"/>
      <c r="BZ133" s="365"/>
      <c r="CA133" s="373"/>
      <c r="CB133" s="366"/>
      <c r="CC133" s="373"/>
      <c r="CD133" s="365"/>
      <c r="CE133" s="373"/>
      <c r="CF133" s="366"/>
      <c r="CG133" s="366"/>
      <c r="CH133" s="366"/>
      <c r="CI133" s="2271"/>
      <c r="CJ133" s="2271"/>
      <c r="CK133" s="2271"/>
      <c r="CL133" s="2271"/>
      <c r="CM133" s="367"/>
    </row>
    <row r="134" spans="1:97" hidden="1" outlineLevel="1">
      <c r="A134" s="2007"/>
      <c r="B134" s="2008"/>
      <c r="C134" s="2008"/>
      <c r="D134" s="2008"/>
      <c r="E134" s="2008"/>
      <c r="F134" s="2008"/>
      <c r="G134" s="2008"/>
      <c r="H134" s="2008"/>
      <c r="I134" s="2012"/>
      <c r="J134" s="2008"/>
      <c r="K134" s="2008"/>
      <c r="L134" s="2008"/>
      <c r="M134" s="2008"/>
      <c r="N134" s="2008"/>
      <c r="O134" s="2008"/>
      <c r="P134" s="3766"/>
      <c r="Q134" s="3766"/>
      <c r="R134" s="3766"/>
      <c r="S134" s="3766"/>
      <c r="T134" s="3766"/>
      <c r="U134" s="3766"/>
      <c r="V134" s="3766"/>
      <c r="W134" s="3766"/>
      <c r="X134" s="3766"/>
      <c r="Y134" s="3766"/>
      <c r="Z134" s="367"/>
      <c r="AA134" s="2008"/>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c r="AZ134" s="366"/>
      <c r="BA134" s="366"/>
      <c r="BB134" s="366"/>
      <c r="BC134" s="366"/>
      <c r="BD134" s="366"/>
      <c r="BE134" s="366"/>
      <c r="BF134" s="366"/>
      <c r="BG134" s="367"/>
      <c r="BH134" s="367"/>
      <c r="BI134" s="367"/>
      <c r="BJ134" s="367"/>
      <c r="BK134" s="367"/>
      <c r="BL134" s="366"/>
      <c r="BM134" s="366"/>
      <c r="BN134" s="366"/>
      <c r="BO134" s="366"/>
      <c r="BP134" s="366"/>
      <c r="BQ134" s="366"/>
      <c r="BR134" s="366"/>
      <c r="BS134" s="366"/>
      <c r="BT134" s="366"/>
      <c r="BU134" s="366"/>
      <c r="BV134" s="365"/>
      <c r="BW134" s="366"/>
      <c r="BX134" s="366"/>
      <c r="BY134" s="373"/>
      <c r="BZ134" s="365"/>
      <c r="CA134" s="373"/>
      <c r="CB134" s="366"/>
      <c r="CC134" s="373"/>
      <c r="CD134" s="365"/>
      <c r="CE134" s="373"/>
      <c r="CF134" s="366"/>
      <c r="CG134" s="366"/>
      <c r="CH134" s="366"/>
      <c r="CI134" s="2271"/>
      <c r="CJ134" s="2271"/>
      <c r="CK134" s="2271"/>
      <c r="CL134" s="2271"/>
      <c r="CM134" s="367"/>
    </row>
    <row r="135" spans="1:97" hidden="1" outlineLevel="1">
      <c r="A135" s="2007"/>
      <c r="B135" s="2008"/>
      <c r="C135" s="2008"/>
      <c r="D135" s="2008"/>
      <c r="E135" s="2008"/>
      <c r="F135" s="2008"/>
      <c r="G135" s="2008"/>
      <c r="H135" s="2008"/>
      <c r="I135" s="2008"/>
      <c r="J135" s="2008"/>
      <c r="K135" s="2008"/>
      <c r="L135" s="2008"/>
      <c r="M135" s="2008"/>
      <c r="N135" s="2008"/>
      <c r="O135" s="2008"/>
      <c r="P135" s="3766"/>
      <c r="Q135" s="3766"/>
      <c r="R135" s="3766"/>
      <c r="S135" s="3766"/>
      <c r="T135" s="3766"/>
      <c r="U135" s="3766"/>
      <c r="V135" s="3766"/>
      <c r="W135" s="3766"/>
      <c r="X135" s="3766"/>
      <c r="Y135" s="3766"/>
      <c r="Z135" s="367"/>
      <c r="AA135" s="2008"/>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c r="AZ135" s="366"/>
      <c r="BA135" s="366"/>
      <c r="BB135" s="366"/>
      <c r="BC135" s="366"/>
      <c r="BD135" s="366"/>
      <c r="BE135" s="366"/>
      <c r="BF135" s="366"/>
      <c r="BG135" s="367"/>
      <c r="BH135" s="367"/>
      <c r="BI135" s="367"/>
      <c r="BJ135" s="367"/>
      <c r="BK135" s="367"/>
      <c r="BL135" s="366"/>
      <c r="BM135" s="366"/>
      <c r="BN135" s="366"/>
      <c r="BO135" s="366"/>
      <c r="BP135" s="366"/>
      <c r="BQ135" s="366"/>
      <c r="BR135" s="366"/>
      <c r="BS135" s="366"/>
      <c r="BT135" s="366"/>
      <c r="BU135" s="366"/>
      <c r="BV135" s="365"/>
      <c r="BW135" s="366"/>
      <c r="BX135" s="366"/>
      <c r="BY135" s="373"/>
      <c r="BZ135" s="365"/>
      <c r="CA135" s="373"/>
      <c r="CB135" s="366"/>
      <c r="CC135" s="373"/>
      <c r="CD135" s="365"/>
      <c r="CE135" s="373"/>
      <c r="CF135" s="366"/>
      <c r="CG135" s="366"/>
      <c r="CH135" s="366"/>
      <c r="CI135" s="2271"/>
      <c r="CJ135" s="2271"/>
      <c r="CK135" s="2271"/>
      <c r="CL135" s="2271"/>
      <c r="CM135" s="367"/>
    </row>
    <row r="136" spans="1:97" hidden="1" outlineLevel="1">
      <c r="A136" s="2013" t="s">
        <v>304</v>
      </c>
      <c r="B136" s="2008"/>
      <c r="C136" s="2008"/>
      <c r="D136" s="2008"/>
      <c r="E136" s="2008"/>
      <c r="F136" s="2008"/>
      <c r="G136" s="2008"/>
      <c r="H136" s="2008"/>
      <c r="I136" s="2014"/>
      <c r="J136" s="2014"/>
      <c r="K136" s="2014"/>
      <c r="L136" s="2014"/>
      <c r="M136" s="2014">
        <f t="shared" ref="M136:V136" si="336">M78</f>
        <v>3107.5</v>
      </c>
      <c r="N136" s="2014">
        <f t="shared" si="336"/>
        <v>2718</v>
      </c>
      <c r="O136" s="2014">
        <f t="shared" si="336"/>
        <v>1338</v>
      </c>
      <c r="P136" s="3767">
        <f t="shared" si="336"/>
        <v>1472</v>
      </c>
      <c r="Q136" s="3767">
        <f t="shared" si="336"/>
        <v>1020</v>
      </c>
      <c r="R136" s="3767">
        <f t="shared" si="336"/>
        <v>655</v>
      </c>
      <c r="S136" s="3767">
        <f>S78</f>
        <v>804.35180349665507</v>
      </c>
      <c r="T136" s="3767">
        <f t="shared" si="336"/>
        <v>1417.2846582272314</v>
      </c>
      <c r="U136" s="3767">
        <f t="shared" si="336"/>
        <v>1867.6390179357338</v>
      </c>
      <c r="V136" s="3767">
        <f t="shared" si="336"/>
        <v>2086.9928140665024</v>
      </c>
      <c r="W136" s="3767">
        <f>W78</f>
        <v>2334.6665509515865</v>
      </c>
      <c r="X136" s="3767">
        <f>X78</f>
        <v>2589.0420474640778</v>
      </c>
      <c r="Y136" s="3767"/>
      <c r="Z136" s="367"/>
      <c r="AA136" s="2014"/>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c r="AZ136" s="366"/>
      <c r="BA136" s="366"/>
      <c r="BB136" s="366"/>
      <c r="BC136" s="366"/>
      <c r="BD136" s="366"/>
      <c r="BE136" s="366"/>
      <c r="BF136" s="366"/>
      <c r="BG136" s="367"/>
      <c r="BH136" s="367"/>
      <c r="BI136" s="367"/>
      <c r="BJ136" s="367"/>
      <c r="BK136" s="367"/>
      <c r="BL136" s="366"/>
      <c r="BM136" s="366"/>
      <c r="BN136" s="366"/>
      <c r="BO136" s="366"/>
      <c r="BP136" s="366"/>
      <c r="BQ136" s="366"/>
      <c r="BR136" s="366"/>
      <c r="BS136" s="366"/>
      <c r="BT136" s="366"/>
      <c r="BU136" s="366"/>
      <c r="BV136" s="365"/>
      <c r="BW136" s="366"/>
      <c r="BX136" s="366"/>
      <c r="BY136" s="373"/>
      <c r="BZ136" s="365"/>
      <c r="CA136" s="373"/>
      <c r="CB136" s="366"/>
      <c r="CC136" s="373"/>
      <c r="CD136" s="365"/>
      <c r="CE136" s="373"/>
      <c r="CF136" s="366"/>
      <c r="CG136" s="366"/>
      <c r="CH136" s="366"/>
      <c r="CI136" s="2271"/>
      <c r="CJ136" s="2271"/>
      <c r="CK136" s="2271"/>
      <c r="CL136" s="2271"/>
      <c r="CM136" s="367"/>
    </row>
    <row r="137" spans="1:97" hidden="1" outlineLevel="1">
      <c r="A137" s="2013" t="s">
        <v>305</v>
      </c>
      <c r="B137" s="2008"/>
      <c r="C137" s="2008"/>
      <c r="D137" s="2008"/>
      <c r="E137" s="2008"/>
      <c r="F137" s="2008"/>
      <c r="G137" s="2008"/>
      <c r="H137" s="2008"/>
      <c r="I137" s="2014"/>
      <c r="J137" s="2014"/>
      <c r="K137" s="2014"/>
      <c r="L137" s="2014"/>
      <c r="M137" s="2014">
        <f t="shared" ref="M137:X137" si="337">MIN(M136,M131)</f>
        <v>3107.5</v>
      </c>
      <c r="N137" s="2014">
        <f t="shared" si="337"/>
        <v>2492.5</v>
      </c>
      <c r="O137" s="2014">
        <f t="shared" si="337"/>
        <v>0</v>
      </c>
      <c r="P137" s="3767">
        <f t="shared" si="337"/>
        <v>0</v>
      </c>
      <c r="Q137" s="3767">
        <f t="shared" si="337"/>
        <v>0</v>
      </c>
      <c r="R137" s="3767">
        <f t="shared" si="337"/>
        <v>0</v>
      </c>
      <c r="S137" s="3767">
        <f t="shared" si="337"/>
        <v>804.35180349665507</v>
      </c>
      <c r="T137" s="3767">
        <f t="shared" si="337"/>
        <v>1417.2846582272314</v>
      </c>
      <c r="U137" s="3767">
        <f t="shared" si="337"/>
        <v>1867.6390179357338</v>
      </c>
      <c r="V137" s="3767">
        <f t="shared" si="337"/>
        <v>2086.9928140665024</v>
      </c>
      <c r="W137" s="3767">
        <f t="shared" si="337"/>
        <v>2334.6665509515865</v>
      </c>
      <c r="X137" s="3767">
        <f t="shared" si="337"/>
        <v>489.06515532229105</v>
      </c>
      <c r="Y137" s="3767"/>
      <c r="Z137" s="367"/>
      <c r="AA137" s="2014"/>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c r="AZ137" s="366"/>
      <c r="BA137" s="366"/>
      <c r="BB137" s="366"/>
      <c r="BC137" s="366"/>
      <c r="BD137" s="366"/>
      <c r="BE137" s="366"/>
      <c r="BF137" s="366"/>
      <c r="BG137" s="367"/>
      <c r="BH137" s="367"/>
      <c r="BI137" s="367"/>
      <c r="BJ137" s="367"/>
      <c r="BK137" s="367"/>
      <c r="BL137" s="366"/>
      <c r="BM137" s="366"/>
      <c r="BN137" s="366"/>
      <c r="BO137" s="366"/>
      <c r="BP137" s="366"/>
      <c r="BQ137" s="366"/>
      <c r="BR137" s="366"/>
      <c r="BS137" s="366"/>
      <c r="BT137" s="366"/>
      <c r="BU137" s="366"/>
      <c r="BV137" s="365"/>
      <c r="BW137" s="366"/>
      <c r="BX137" s="366"/>
      <c r="BY137" s="373"/>
      <c r="BZ137" s="365"/>
      <c r="CA137" s="373"/>
      <c r="CB137" s="366"/>
      <c r="CC137" s="373"/>
      <c r="CD137" s="365"/>
      <c r="CE137" s="373"/>
      <c r="CF137" s="366"/>
      <c r="CG137" s="366"/>
      <c r="CH137" s="366"/>
      <c r="CI137" s="2271"/>
      <c r="CJ137" s="2271"/>
      <c r="CK137" s="2271"/>
      <c r="CL137" s="2271"/>
      <c r="CM137" s="367"/>
    </row>
    <row r="138" spans="1:97" s="3617" customFormat="1" hidden="1" outlineLevel="1">
      <c r="A138" s="2013" t="s">
        <v>306</v>
      </c>
      <c r="B138" s="2270"/>
      <c r="C138" s="2270"/>
      <c r="D138" s="2270"/>
      <c r="E138" s="2270"/>
      <c r="F138" s="2270"/>
      <c r="G138" s="2270"/>
      <c r="H138" s="2270"/>
      <c r="I138" s="2014"/>
      <c r="J138" s="2014"/>
      <c r="K138" s="2014"/>
      <c r="L138" s="2014"/>
      <c r="M138" s="2014">
        <f t="shared" ref="M138:X138" si="338">+M136-M137</f>
        <v>0</v>
      </c>
      <c r="N138" s="2014">
        <f t="shared" si="338"/>
        <v>225.5</v>
      </c>
      <c r="O138" s="2014">
        <f t="shared" si="338"/>
        <v>1338</v>
      </c>
      <c r="P138" s="3767">
        <f t="shared" si="338"/>
        <v>1472</v>
      </c>
      <c r="Q138" s="3767">
        <f t="shared" si="338"/>
        <v>1020</v>
      </c>
      <c r="R138" s="3767">
        <f t="shared" si="338"/>
        <v>655</v>
      </c>
      <c r="S138" s="3767">
        <f t="shared" si="338"/>
        <v>0</v>
      </c>
      <c r="T138" s="3767">
        <f t="shared" si="338"/>
        <v>0</v>
      </c>
      <c r="U138" s="3767">
        <f t="shared" si="338"/>
        <v>0</v>
      </c>
      <c r="V138" s="3767">
        <f t="shared" si="338"/>
        <v>0</v>
      </c>
      <c r="W138" s="3767">
        <f t="shared" si="338"/>
        <v>0</v>
      </c>
      <c r="X138" s="3767">
        <f t="shared" si="338"/>
        <v>2099.9768921417867</v>
      </c>
      <c r="Y138" s="3767"/>
      <c r="Z138" s="3101"/>
      <c r="AA138" s="2014"/>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c r="AZ138" s="366"/>
      <c r="BA138" s="366"/>
      <c r="BB138" s="366"/>
      <c r="BC138" s="366"/>
      <c r="BD138" s="366"/>
      <c r="BE138" s="366"/>
      <c r="BF138" s="366"/>
      <c r="BG138" s="3101"/>
      <c r="BH138" s="3101"/>
      <c r="BI138" s="3101"/>
      <c r="BJ138" s="3101"/>
      <c r="BK138" s="3101"/>
      <c r="BL138" s="366"/>
      <c r="BM138" s="366"/>
      <c r="BN138" s="366"/>
      <c r="BO138" s="366"/>
      <c r="BP138" s="366"/>
      <c r="BQ138" s="366"/>
      <c r="BR138" s="366"/>
      <c r="BS138" s="366"/>
      <c r="BT138" s="366"/>
      <c r="BU138" s="366"/>
      <c r="BV138" s="843"/>
      <c r="BW138" s="366"/>
      <c r="BX138" s="366"/>
      <c r="BY138" s="2271"/>
      <c r="BZ138" s="843"/>
      <c r="CA138" s="2271"/>
      <c r="CB138" s="366"/>
      <c r="CC138" s="2271"/>
      <c r="CD138" s="843"/>
      <c r="CE138" s="2271"/>
      <c r="CF138" s="366"/>
      <c r="CG138" s="366"/>
      <c r="CH138" s="366"/>
      <c r="CI138" s="2271"/>
      <c r="CJ138" s="2271"/>
      <c r="CK138" s="2271"/>
      <c r="CL138" s="2271"/>
      <c r="CM138" s="3101"/>
      <c r="CN138"/>
      <c r="CO138"/>
      <c r="CP138"/>
      <c r="CQ138"/>
      <c r="CR138"/>
      <c r="CS138"/>
    </row>
    <row r="139" spans="1:97" s="3617" customFormat="1" hidden="1" outlineLevel="1">
      <c r="A139" s="3762"/>
      <c r="B139" s="2270"/>
      <c r="C139" s="2270"/>
      <c r="D139" s="2270"/>
      <c r="E139" s="2270"/>
      <c r="F139" s="2270"/>
      <c r="G139" s="2270"/>
      <c r="H139" s="2270"/>
      <c r="I139" s="2270"/>
      <c r="J139" s="2270"/>
      <c r="K139" s="2270"/>
      <c r="L139" s="2270"/>
      <c r="M139" s="2270"/>
      <c r="N139" s="2270"/>
      <c r="O139" s="2270"/>
      <c r="P139" s="3766"/>
      <c r="Q139" s="3766"/>
      <c r="R139" s="3766"/>
      <c r="S139" s="3768">
        <f t="shared" ref="S139:X139" si="339">+S138*S83</f>
        <v>0</v>
      </c>
      <c r="T139" s="3768">
        <f t="shared" si="339"/>
        <v>0</v>
      </c>
      <c r="U139" s="3768">
        <f t="shared" si="339"/>
        <v>0</v>
      </c>
      <c r="V139" s="3768">
        <f t="shared" si="339"/>
        <v>0</v>
      </c>
      <c r="W139" s="3768">
        <f t="shared" si="339"/>
        <v>0</v>
      </c>
      <c r="X139" s="3768">
        <f t="shared" si="339"/>
        <v>503.99445411402877</v>
      </c>
      <c r="Y139" s="3766"/>
      <c r="Z139" s="3101"/>
      <c r="AA139" s="2270"/>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c r="AZ139" s="366"/>
      <c r="BA139" s="366"/>
      <c r="BB139" s="366"/>
      <c r="BC139" s="366"/>
      <c r="BD139" s="366"/>
      <c r="BE139" s="366"/>
      <c r="BF139" s="366"/>
      <c r="BG139" s="3101"/>
      <c r="BH139" s="3101"/>
      <c r="BI139" s="3101"/>
      <c r="BJ139" s="3101"/>
      <c r="BK139" s="3101"/>
      <c r="BL139" s="366"/>
      <c r="BM139" s="366"/>
      <c r="BN139" s="366"/>
      <c r="BO139" s="366"/>
      <c r="BP139" s="366"/>
      <c r="BQ139" s="366"/>
      <c r="BR139" s="366"/>
      <c r="BS139" s="366"/>
      <c r="BT139" s="366"/>
      <c r="BU139" s="366"/>
      <c r="BV139" s="843"/>
      <c r="BW139" s="366"/>
      <c r="BX139" s="366"/>
      <c r="BY139" s="2271"/>
      <c r="BZ139" s="843"/>
      <c r="CA139" s="2271"/>
      <c r="CB139" s="366"/>
      <c r="CC139" s="2271"/>
      <c r="CD139" s="843"/>
      <c r="CE139" s="2271"/>
      <c r="CF139" s="366"/>
      <c r="CG139" s="366"/>
      <c r="CH139" s="366"/>
      <c r="CI139" s="2271"/>
      <c r="CJ139" s="2271"/>
      <c r="CK139" s="2271"/>
      <c r="CL139" s="2271"/>
      <c r="CM139" s="3101"/>
      <c r="CN139"/>
      <c r="CO139"/>
      <c r="CP139"/>
      <c r="CQ139"/>
      <c r="CR139"/>
      <c r="CS139"/>
    </row>
    <row r="140" spans="1:97" s="3617" customFormat="1" hidden="1" outlineLevel="1">
      <c r="A140" s="3762" t="s">
        <v>2029</v>
      </c>
      <c r="B140" s="2270"/>
      <c r="C140" s="2270"/>
      <c r="D140" s="2270"/>
      <c r="E140" s="2270"/>
      <c r="F140" s="2270"/>
      <c r="G140" s="2270"/>
      <c r="H140" s="2270"/>
      <c r="I140" s="2270"/>
      <c r="J140" s="2270"/>
      <c r="K140" s="2270"/>
      <c r="L140" s="2270"/>
      <c r="M140" s="2270"/>
      <c r="N140" s="2270"/>
      <c r="O140" s="2270"/>
      <c r="P140" s="3766"/>
      <c r="Q140" s="3766"/>
      <c r="R140" s="3766"/>
      <c r="S140" s="3765">
        <f t="shared" ref="S140:X140" si="340">-S81-S139</f>
        <v>201.08795087416402</v>
      </c>
      <c r="T140" s="3765">
        <f t="shared" si="340"/>
        <v>340.14831797453553</v>
      </c>
      <c r="U140" s="3765">
        <f t="shared" si="340"/>
        <v>448.23336430457613</v>
      </c>
      <c r="V140" s="3765">
        <f t="shared" si="340"/>
        <v>500.87827537596058</v>
      </c>
      <c r="W140" s="3765">
        <f t="shared" si="340"/>
        <v>560.31997222838072</v>
      </c>
      <c r="X140" s="3765">
        <f t="shared" si="340"/>
        <v>117.37563727734988</v>
      </c>
      <c r="Y140" s="3766"/>
      <c r="Z140" s="3101"/>
      <c r="AA140" s="2270"/>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c r="AZ140" s="366"/>
      <c r="BA140" s="366"/>
      <c r="BB140" s="366"/>
      <c r="BC140" s="366"/>
      <c r="BD140" s="366"/>
      <c r="BE140" s="366"/>
      <c r="BF140" s="366"/>
      <c r="BG140" s="3101"/>
      <c r="BH140" s="3101"/>
      <c r="BI140" s="3101"/>
      <c r="BJ140" s="3101"/>
      <c r="BK140" s="3101"/>
      <c r="BL140" s="366"/>
      <c r="BM140" s="366"/>
      <c r="BN140" s="366"/>
      <c r="BO140" s="366"/>
      <c r="BP140" s="366"/>
      <c r="BQ140" s="366"/>
      <c r="BR140" s="366"/>
      <c r="BS140" s="366"/>
      <c r="BT140" s="366"/>
      <c r="BU140" s="366"/>
      <c r="BV140" s="843"/>
      <c r="BW140" s="366"/>
      <c r="BX140" s="366"/>
      <c r="BY140" s="2271"/>
      <c r="BZ140" s="843"/>
      <c r="CA140" s="2271"/>
      <c r="CB140" s="366"/>
      <c r="CC140" s="2271"/>
      <c r="CD140" s="843"/>
      <c r="CE140" s="2271"/>
      <c r="CF140" s="366"/>
      <c r="CG140" s="366"/>
      <c r="CH140" s="366"/>
      <c r="CI140" s="2271"/>
      <c r="CJ140" s="2271"/>
      <c r="CK140" s="2271"/>
      <c r="CL140" s="2271"/>
      <c r="CM140" s="3101"/>
      <c r="CN140"/>
      <c r="CO140"/>
      <c r="CP140"/>
      <c r="CQ140"/>
      <c r="CR140"/>
      <c r="CS140"/>
    </row>
    <row r="141" spans="1:97" collapsed="1">
      <c r="Q141" s="292"/>
      <c r="R141" s="292"/>
      <c r="S141" s="2248"/>
      <c r="T141" s="292"/>
      <c r="U141" s="292"/>
      <c r="V141" s="292"/>
      <c r="W141" s="2248"/>
      <c r="X141" s="2248"/>
    </row>
    <row r="144" spans="1:97" hidden="1" outlineLevel="1">
      <c r="P144" s="3136"/>
      <c r="Q144" s="3136"/>
      <c r="R144" s="3136"/>
      <c r="S144" s="3136"/>
      <c r="T144" s="3136"/>
      <c r="U144" s="3136"/>
      <c r="V144" s="3136"/>
      <c r="W144" s="3136"/>
      <c r="X144" s="3136"/>
      <c r="Y144" s="3136"/>
      <c r="Z144" s="3136"/>
      <c r="AA144" s="3136"/>
    </row>
    <row r="145" spans="11:90" collapsed="1"/>
    <row r="147" spans="11:90">
      <c r="K147" s="287"/>
      <c r="L147" s="287"/>
      <c r="M147" s="287"/>
      <c r="N147" s="287"/>
      <c r="O147" s="287"/>
      <c r="P147" s="287"/>
      <c r="BW147" s="2932"/>
      <c r="BX147" s="2932"/>
      <c r="BY147" s="1964"/>
      <c r="BZ147" s="2932"/>
      <c r="CA147" s="1964"/>
      <c r="CB147" s="2932"/>
      <c r="CC147" s="1964"/>
      <c r="CD147" s="2932"/>
      <c r="CE147" s="1964"/>
      <c r="CF147" s="2932"/>
      <c r="CG147" s="2932"/>
      <c r="CH147" s="2932"/>
      <c r="CI147" s="1964"/>
      <c r="CJ147" s="1964"/>
      <c r="CK147" s="1964"/>
      <c r="CL147" s="1964"/>
    </row>
    <row r="148" spans="11:90">
      <c r="O148" s="287"/>
      <c r="P148" s="287"/>
      <c r="BW148" s="2932"/>
      <c r="BX148" s="2932"/>
      <c r="BY148" s="1964"/>
      <c r="BZ148" s="2932"/>
      <c r="CA148" s="1964"/>
      <c r="CB148" s="2932"/>
      <c r="CC148" s="1964"/>
      <c r="CD148" s="2932"/>
      <c r="CE148" s="1964"/>
      <c r="CF148" s="2932"/>
      <c r="CG148" s="2932"/>
      <c r="CH148" s="2932"/>
      <c r="CI148" s="1964"/>
      <c r="CJ148" s="1964"/>
      <c r="CK148" s="1964"/>
      <c r="CL148" s="1964"/>
    </row>
    <row r="149" spans="11:90">
      <c r="M149" s="287"/>
      <c r="BW149" s="2932"/>
    </row>
  </sheetData>
  <mergeCells count="3">
    <mergeCell ref="AM5:AX5"/>
    <mergeCell ref="G4:I4"/>
    <mergeCell ref="K5:L5"/>
  </mergeCells>
  <phoneticPr fontId="21" type="noConversion"/>
  <pageMargins left="0" right="0" top="0" bottom="0" header="0" footer="0"/>
  <pageSetup scale="72" orientation="landscape" r:id="rId1"/>
  <headerFooter alignWithMargins="0"/>
  <rowBreaks count="2" manualBreakCount="2">
    <brk id="94" max="16383" man="1"/>
    <brk id="113" max="25" man="1"/>
  </row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indexed="51"/>
    <pageSetUpPr fitToPage="1"/>
  </sheetPr>
  <dimension ref="A1:CT232"/>
  <sheetViews>
    <sheetView showGridLines="0" zoomScale="85" zoomScaleNormal="85" zoomScaleSheetLayoutView="85" workbookViewId="0">
      <pane xSplit="1" ySplit="8" topLeftCell="Q9" activePane="bottomRight" state="frozen"/>
      <selection activeCell="M9" sqref="M9"/>
      <selection pane="topRight" activeCell="M9" sqref="M9"/>
      <selection pane="bottomLeft" activeCell="M9" sqref="M9"/>
      <selection pane="bottomRight" activeCell="R8" sqref="R8"/>
    </sheetView>
  </sheetViews>
  <sheetFormatPr defaultRowHeight="12.75" outlineLevelRow="1" outlineLevelCol="2"/>
  <cols>
    <col min="1" max="1" width="33.28515625" customWidth="1"/>
    <col min="2" max="2" width="7.5703125" hidden="1" customWidth="1" outlineLevel="1"/>
    <col min="3" max="3" width="7.140625" hidden="1" customWidth="1" outlineLevel="1"/>
    <col min="4" max="4" width="10.28515625" hidden="1" customWidth="1" outlineLevel="1" collapsed="1"/>
    <col min="5" max="10" width="10.28515625" hidden="1" customWidth="1" outlineLevel="1"/>
    <col min="11" max="12" width="11.42578125" hidden="1" customWidth="1" outlineLevel="1"/>
    <col min="13" max="13" width="10.7109375" hidden="1" customWidth="1" outlineLevel="1"/>
    <col min="14" max="16" width="10.28515625" hidden="1" customWidth="1" outlineLevel="1"/>
    <col min="17" max="17" width="10.28515625" customWidth="1" collapsed="1"/>
    <col min="18" max="18" width="10.28515625" customWidth="1"/>
    <col min="19" max="19" width="10.28515625" style="3617" customWidth="1"/>
    <col min="20" max="21" width="10.28515625" customWidth="1"/>
    <col min="22" max="22" width="10.28515625" hidden="1" customWidth="1" outlineLevel="1"/>
    <col min="23" max="24" width="10.28515625" style="3617" hidden="1" customWidth="1" outlineLevel="1"/>
    <col min="25" max="25" width="2.7109375" customWidth="1" collapsed="1"/>
    <col min="26" max="26" width="10" hidden="1" customWidth="1" outlineLevel="1" collapsed="1"/>
    <col min="27" max="28" width="10" hidden="1" customWidth="1" outlineLevel="1"/>
    <col min="29" max="30" width="10" hidden="1" customWidth="1" outlineLevel="1" collapsed="1"/>
    <col min="31" max="41" width="10" hidden="1" customWidth="1" outlineLevel="1"/>
    <col min="42" max="42" width="10" hidden="1" customWidth="1" outlineLevel="1" collapsed="1"/>
    <col min="43" max="43" width="10" hidden="1" customWidth="1" outlineLevel="1"/>
    <col min="44" max="44" width="9.85546875" hidden="1" customWidth="1" outlineLevel="1"/>
    <col min="45" max="45" width="10" hidden="1" customWidth="1" outlineLevel="1"/>
    <col min="46" max="46" width="10" hidden="1" customWidth="1" outlineLevel="1" collapsed="1"/>
    <col min="47" max="49" width="10" hidden="1" customWidth="1" outlineLevel="1"/>
    <col min="50" max="53" width="10" hidden="1" customWidth="1" outlineLevel="2"/>
    <col min="54" max="54" width="10.42578125" hidden="1" customWidth="1" outlineLevel="2" collapsed="1"/>
    <col min="55" max="57" width="10.28515625" hidden="1" customWidth="1" outlineLevel="2"/>
    <col min="58" max="58" width="10.42578125" hidden="1" customWidth="1" outlineLevel="2"/>
    <col min="59" max="61" width="10.7109375" hidden="1" customWidth="1" outlineLevel="2"/>
    <col min="62" max="63" width="10.85546875" hidden="1" customWidth="1" outlineLevel="2"/>
    <col min="64" max="64" width="10.7109375" hidden="1" customWidth="1" outlineLevel="2"/>
    <col min="65" max="69" width="10.85546875" hidden="1" customWidth="1" outlineLevel="2"/>
    <col min="70" max="70" width="10.85546875" hidden="1" customWidth="1" outlineLevel="1" collapsed="1"/>
    <col min="71" max="73" width="10.85546875" hidden="1" customWidth="1" outlineLevel="1"/>
    <col min="74" max="74" width="10.85546875" style="292" hidden="1" customWidth="1" outlineLevel="1"/>
    <col min="75" max="75" width="10.85546875" hidden="1" customWidth="1" outlineLevel="1"/>
    <col min="76" max="76" width="10.85546875" style="292" hidden="1" customWidth="1" outlineLevel="1"/>
    <col min="77" max="77" width="10.85546875" hidden="1" customWidth="1" outlineLevel="1"/>
    <col min="78" max="78" width="10.85546875" style="292" hidden="1" customWidth="1" outlineLevel="1"/>
    <col min="79" max="81" width="10.85546875" hidden="1" customWidth="1" outlineLevel="1"/>
    <col min="82" max="82" width="10.85546875" style="292" customWidth="1" collapsed="1"/>
    <col min="83" max="83" width="10.85546875" style="292" customWidth="1"/>
    <col min="84" max="84" width="10.85546875" style="2248" customWidth="1"/>
    <col min="85" max="85" width="10.85546875" style="292" customWidth="1"/>
    <col min="86" max="89" width="10.85546875" style="2248" customWidth="1"/>
    <col min="90" max="90" width="5.85546875" customWidth="1"/>
    <col min="91" max="91" width="55.42578125" customWidth="1"/>
  </cols>
  <sheetData>
    <row r="1" spans="1:98">
      <c r="A1" s="364" t="s">
        <v>986</v>
      </c>
      <c r="B1" s="365"/>
      <c r="C1" s="365"/>
      <c r="D1" s="365"/>
      <c r="E1" s="365"/>
      <c r="F1" s="365"/>
      <c r="G1" s="365"/>
      <c r="H1" s="365"/>
      <c r="I1" s="601"/>
      <c r="J1" s="602"/>
      <c r="K1" s="410"/>
      <c r="L1" s="841"/>
      <c r="M1" s="602"/>
      <c r="N1" s="602"/>
      <c r="O1" s="602"/>
      <c r="P1" s="602"/>
      <c r="Q1" s="602"/>
      <c r="R1" s="602"/>
      <c r="S1" s="602"/>
      <c r="T1" s="602"/>
      <c r="U1" s="602"/>
      <c r="V1" s="602"/>
      <c r="W1" s="602"/>
      <c r="X1" s="602"/>
      <c r="Y1" s="602"/>
      <c r="Z1" s="602"/>
      <c r="AA1" s="602"/>
      <c r="AB1" s="602"/>
      <c r="AC1" s="602"/>
      <c r="AD1" s="602"/>
      <c r="AE1" s="602"/>
      <c r="AF1" s="602"/>
      <c r="AG1" s="602"/>
      <c r="AH1" s="602"/>
      <c r="AI1" s="602"/>
      <c r="AJ1" s="602"/>
      <c r="AK1" s="602"/>
      <c r="AL1" s="602"/>
      <c r="AM1" s="602"/>
      <c r="AN1" s="602"/>
      <c r="AO1" s="602"/>
      <c r="AP1" s="602"/>
      <c r="AQ1" s="602"/>
      <c r="AR1" s="602"/>
      <c r="AS1" s="602"/>
      <c r="AT1" s="602"/>
      <c r="AU1" s="602"/>
      <c r="AV1" s="602"/>
      <c r="AW1" s="602"/>
      <c r="AX1" s="602"/>
      <c r="AY1" s="602"/>
      <c r="AZ1" s="602"/>
      <c r="BA1" s="602"/>
      <c r="BB1" s="602"/>
      <c r="BC1" s="365"/>
      <c r="BD1" s="365"/>
      <c r="BE1" s="365"/>
      <c r="BF1" s="365"/>
      <c r="BG1" s="365"/>
      <c r="BH1" s="365"/>
      <c r="BI1" s="365"/>
      <c r="BJ1" s="365"/>
      <c r="BK1" s="763"/>
      <c r="BL1" s="763"/>
      <c r="BM1" s="763"/>
      <c r="BN1" s="763"/>
      <c r="BO1" s="763"/>
      <c r="BP1" s="763"/>
      <c r="BQ1" s="763"/>
      <c r="BR1" s="763"/>
      <c r="BS1" s="763"/>
      <c r="BT1" s="763"/>
      <c r="BU1" s="763"/>
      <c r="BV1" s="2255"/>
      <c r="BW1" s="763"/>
      <c r="BX1" s="2255"/>
      <c r="BY1" s="763"/>
      <c r="BZ1" s="2255"/>
      <c r="CA1" s="763"/>
      <c r="CB1" s="763"/>
      <c r="CC1" s="763"/>
      <c r="CD1" s="2255"/>
      <c r="CE1" s="2255"/>
      <c r="CF1" s="2255"/>
      <c r="CG1" s="2255"/>
      <c r="CH1" s="2255"/>
      <c r="CI1" s="2255"/>
      <c r="CJ1" s="2255"/>
      <c r="CK1" s="2255"/>
      <c r="CL1" s="368"/>
    </row>
    <row r="2" spans="1:98">
      <c r="A2" s="365" t="s">
        <v>763</v>
      </c>
      <c r="B2" s="365"/>
      <c r="C2" s="365"/>
      <c r="D2" s="369"/>
      <c r="E2" s="369"/>
      <c r="F2" s="369"/>
      <c r="G2" s="369"/>
      <c r="H2" s="369"/>
      <c r="I2" s="369"/>
      <c r="J2" s="369"/>
      <c r="K2" s="368"/>
      <c r="L2" s="763"/>
      <c r="M2" s="763"/>
      <c r="N2" s="763"/>
      <c r="O2" s="763"/>
      <c r="P2" s="763"/>
      <c r="Q2" s="763"/>
      <c r="R2" s="763"/>
      <c r="S2" s="763"/>
      <c r="T2" s="763"/>
      <c r="U2" s="763"/>
      <c r="V2" s="3594"/>
      <c r="W2" s="3594"/>
      <c r="X2" s="3594"/>
      <c r="Y2" s="763"/>
      <c r="Z2" s="763"/>
      <c r="AA2" s="763"/>
      <c r="AB2" s="763"/>
      <c r="AC2" s="763"/>
      <c r="AD2" s="763"/>
      <c r="AE2" s="763"/>
      <c r="AF2" s="763"/>
      <c r="AG2" s="763"/>
      <c r="AH2" s="763"/>
      <c r="AI2" s="763"/>
      <c r="AJ2" s="763"/>
      <c r="AK2" s="763"/>
      <c r="AL2" s="763"/>
      <c r="AM2" s="763"/>
      <c r="AN2" s="763"/>
      <c r="AO2" s="763"/>
      <c r="AP2" s="763"/>
      <c r="AQ2" s="763"/>
      <c r="AR2" s="763"/>
      <c r="AS2" s="763"/>
      <c r="AT2" s="763"/>
      <c r="AU2" s="763"/>
      <c r="AV2" s="763"/>
      <c r="AW2" s="763"/>
      <c r="AX2" s="763"/>
      <c r="AY2" s="763"/>
      <c r="AZ2" s="763"/>
      <c r="BA2" s="763"/>
      <c r="BB2" s="763"/>
      <c r="BC2" s="763"/>
      <c r="BD2" s="763"/>
      <c r="BE2" s="763"/>
      <c r="BF2" s="763"/>
      <c r="BG2" s="763"/>
      <c r="BH2" s="763"/>
      <c r="BI2" s="763"/>
      <c r="BJ2" s="763"/>
      <c r="BK2" s="763"/>
      <c r="BL2" s="763"/>
      <c r="BM2" s="763"/>
      <c r="BN2" s="763"/>
      <c r="BO2" s="763"/>
      <c r="BP2" s="763"/>
      <c r="BQ2" s="763"/>
      <c r="BR2" s="763"/>
      <c r="BS2" s="763"/>
      <c r="BT2" s="763"/>
      <c r="BU2" s="763"/>
      <c r="BV2" s="2255"/>
      <c r="BW2" s="763"/>
      <c r="BX2" s="2255"/>
      <c r="BY2" s="763"/>
      <c r="BZ2" s="2255"/>
      <c r="CA2" s="763"/>
      <c r="CB2" s="763"/>
      <c r="CC2" s="763"/>
      <c r="CD2" s="2255"/>
      <c r="CE2" s="2255"/>
      <c r="CF2" s="2255"/>
      <c r="CG2" s="2255"/>
      <c r="CH2" s="2255"/>
      <c r="CI2" s="2255"/>
      <c r="CJ2" s="2255"/>
      <c r="CK2" s="2255"/>
      <c r="CL2" s="368"/>
    </row>
    <row r="3" spans="1:98">
      <c r="A3" s="365"/>
      <c r="B3" s="365"/>
      <c r="C3" s="365"/>
      <c r="D3" s="369"/>
      <c r="E3" s="369"/>
      <c r="F3" s="369"/>
      <c r="G3" s="369"/>
      <c r="H3" s="369"/>
      <c r="I3" s="369"/>
      <c r="J3" s="369"/>
      <c r="K3" s="368"/>
      <c r="L3" s="1866"/>
      <c r="M3" s="616"/>
      <c r="N3" s="616"/>
      <c r="O3" s="616"/>
      <c r="P3" s="616"/>
      <c r="Q3" s="616"/>
      <c r="R3" s="616"/>
      <c r="S3" s="616"/>
      <c r="T3" s="616"/>
      <c r="U3" s="616"/>
      <c r="V3" s="616"/>
      <c r="W3" s="616"/>
      <c r="X3" s="616"/>
      <c r="Y3" s="603"/>
      <c r="Z3" s="603"/>
      <c r="AA3" s="603"/>
      <c r="AB3" s="603"/>
      <c r="AC3" s="603"/>
      <c r="AD3" s="603"/>
      <c r="AE3" s="603"/>
      <c r="AF3" s="603"/>
      <c r="AG3" s="603"/>
      <c r="AH3" s="603"/>
      <c r="AI3" s="603"/>
      <c r="AJ3" s="603"/>
      <c r="AK3" s="603"/>
      <c r="AL3" s="603"/>
      <c r="AM3" s="603"/>
      <c r="AN3" s="603"/>
      <c r="AO3" s="603"/>
      <c r="AP3" s="603"/>
      <c r="AQ3" s="603"/>
      <c r="AR3" s="603"/>
      <c r="AS3" s="603"/>
      <c r="AT3" s="603"/>
      <c r="AU3" s="603"/>
      <c r="AV3" s="3593"/>
      <c r="AW3" s="3593"/>
      <c r="AX3" s="3593"/>
      <c r="AY3" s="3593"/>
      <c r="AZ3" s="3593"/>
      <c r="BA3" s="3593"/>
      <c r="BB3" s="3593"/>
      <c r="BC3" s="3593"/>
      <c r="BD3" s="3593"/>
      <c r="BE3" s="3593"/>
      <c r="BF3" s="3593"/>
      <c r="BG3" s="3593"/>
      <c r="BH3" s="3593"/>
      <c r="BI3" s="3593"/>
      <c r="BJ3" s="3593"/>
      <c r="BK3" s="3593"/>
      <c r="BL3" s="3593"/>
      <c r="BM3" s="3593"/>
      <c r="BN3" s="3593"/>
      <c r="BO3" s="3593"/>
      <c r="BP3" s="3593"/>
      <c r="BQ3" s="3593"/>
      <c r="BR3" s="3593"/>
      <c r="BS3" s="3593"/>
      <c r="BT3" s="3593"/>
      <c r="BU3" s="3593"/>
      <c r="BV3" s="3593"/>
      <c r="BW3" s="3593"/>
      <c r="BX3" s="3593"/>
      <c r="BY3" s="3593"/>
      <c r="BZ3" s="3593"/>
      <c r="CA3" s="3593"/>
      <c r="CB3" s="3593"/>
      <c r="CC3" s="3593"/>
      <c r="CD3" s="3593"/>
      <c r="CE3" s="3593"/>
      <c r="CF3" s="3593"/>
      <c r="CG3" s="413"/>
      <c r="CH3" s="413"/>
      <c r="CI3" s="413"/>
      <c r="CJ3" s="413"/>
      <c r="CK3" s="413"/>
      <c r="CL3" s="368"/>
    </row>
    <row r="4" spans="1:98">
      <c r="A4" s="365"/>
      <c r="B4" s="365"/>
      <c r="C4" s="365"/>
      <c r="D4" s="369"/>
      <c r="E4" s="365"/>
      <c r="F4" s="2537" t="s">
        <v>560</v>
      </c>
      <c r="G4" s="2538"/>
      <c r="H4" s="2538"/>
      <c r="I4" s="2538"/>
      <c r="J4" s="2539"/>
      <c r="K4" s="616"/>
      <c r="L4" s="616"/>
      <c r="M4" s="616"/>
      <c r="N4" s="616"/>
      <c r="O4" s="616"/>
      <c r="P4" s="616"/>
      <c r="Q4" s="616"/>
      <c r="R4" s="616"/>
      <c r="S4" s="616"/>
      <c r="T4" s="616"/>
      <c r="U4" s="616"/>
      <c r="V4" s="616"/>
      <c r="W4" s="616"/>
      <c r="X4" s="616"/>
      <c r="Y4" s="365"/>
      <c r="Z4" s="365"/>
      <c r="AA4" s="365"/>
      <c r="AB4" s="365"/>
      <c r="AC4" s="365"/>
      <c r="AD4" s="365"/>
      <c r="AE4" s="365"/>
      <c r="AF4" s="365"/>
      <c r="AG4" s="365"/>
      <c r="AH4" s="365"/>
      <c r="AI4" s="365"/>
      <c r="AJ4" s="365"/>
      <c r="AK4" s="365"/>
      <c r="AL4" s="4155"/>
      <c r="AM4" s="4156"/>
      <c r="AN4" s="4156"/>
      <c r="AO4" s="4156"/>
      <c r="AP4" s="4156"/>
      <c r="AQ4" s="4156"/>
      <c r="AR4" s="4156"/>
      <c r="AS4" s="4156"/>
      <c r="AT4" s="4156"/>
      <c r="AU4" s="4156"/>
      <c r="AV4" s="4156"/>
      <c r="AW4" s="4157"/>
      <c r="AX4" s="603"/>
      <c r="AY4" s="603"/>
      <c r="AZ4" s="365"/>
      <c r="BA4" s="365"/>
      <c r="BB4" s="365"/>
      <c r="BC4" s="365"/>
      <c r="BD4" s="365"/>
      <c r="BE4" s="365"/>
      <c r="BF4" s="365"/>
      <c r="BG4" s="365"/>
      <c r="BH4" s="365"/>
      <c r="BI4" s="365"/>
      <c r="BJ4" s="365"/>
      <c r="BK4" s="365"/>
      <c r="BL4" s="365"/>
      <c r="BM4" s="365"/>
      <c r="BN4" s="365"/>
      <c r="BO4" s="365"/>
      <c r="BP4" s="365"/>
      <c r="BQ4" s="365"/>
      <c r="BR4" s="365"/>
      <c r="BS4" s="365"/>
      <c r="BT4" s="365"/>
      <c r="BU4" s="365"/>
      <c r="BV4" s="399"/>
      <c r="BW4" s="365"/>
      <c r="BX4" s="399"/>
      <c r="BY4" s="365"/>
      <c r="BZ4" s="399"/>
      <c r="CA4" s="365"/>
      <c r="CB4" s="365"/>
      <c r="CC4" s="365"/>
      <c r="CD4" s="399"/>
      <c r="CE4" s="413"/>
      <c r="CF4" s="413"/>
      <c r="CG4" s="413"/>
      <c r="CH4" s="413"/>
      <c r="CI4" s="413"/>
      <c r="CJ4" s="413"/>
      <c r="CK4" s="413"/>
      <c r="CL4" s="368"/>
    </row>
    <row r="5" spans="1:98">
      <c r="A5" s="372"/>
      <c r="B5" s="365"/>
      <c r="C5" s="365"/>
      <c r="D5" s="369"/>
      <c r="E5" s="365"/>
      <c r="F5" s="365"/>
      <c r="G5" s="365"/>
      <c r="H5" s="365"/>
      <c r="I5" s="365"/>
      <c r="J5" s="346"/>
      <c r="K5" s="2598" t="s">
        <v>1023</v>
      </c>
      <c r="L5" s="2599"/>
      <c r="M5" s="616"/>
      <c r="N5" s="616"/>
      <c r="O5" s="616"/>
      <c r="P5" s="616"/>
      <c r="Q5" s="616"/>
      <c r="R5" s="616"/>
      <c r="S5" s="616"/>
      <c r="T5" s="616"/>
      <c r="U5" s="616"/>
      <c r="V5" s="616"/>
      <c r="W5" s="616"/>
      <c r="X5" s="616"/>
      <c r="Y5" s="365"/>
      <c r="Z5" s="365"/>
      <c r="AA5" s="365"/>
      <c r="AB5" s="365"/>
      <c r="AC5" s="365"/>
      <c r="AD5" s="365"/>
      <c r="AE5" s="365"/>
      <c r="AF5" s="365"/>
      <c r="AG5" s="365"/>
      <c r="AH5" s="365"/>
      <c r="AI5" s="365"/>
      <c r="AJ5" s="365"/>
      <c r="AK5" s="365"/>
      <c r="AL5" s="365"/>
      <c r="AM5" s="365"/>
      <c r="AN5" s="365"/>
      <c r="AO5" s="365"/>
      <c r="AP5" s="365"/>
      <c r="AQ5" s="365"/>
      <c r="AR5" s="365"/>
      <c r="AS5" s="365"/>
      <c r="AT5" s="2600" t="s">
        <v>21</v>
      </c>
      <c r="AU5" s="2601"/>
      <c r="AV5" s="2601"/>
      <c r="AW5" s="2601"/>
      <c r="AX5" s="2600" t="s">
        <v>21</v>
      </c>
      <c r="AY5" s="2602"/>
      <c r="AZ5" s="2602"/>
      <c r="BA5" s="2602"/>
      <c r="BB5" s="2600" t="s">
        <v>561</v>
      </c>
      <c r="BC5" s="2602"/>
      <c r="BD5" s="2602"/>
      <c r="BE5" s="2602"/>
      <c r="BF5" s="4159" t="s">
        <v>427</v>
      </c>
      <c r="BG5" s="4160"/>
      <c r="BH5" s="4160"/>
      <c r="BI5" s="4161"/>
      <c r="BJ5" s="365"/>
      <c r="BK5" s="365"/>
      <c r="BL5" s="365"/>
      <c r="BM5" s="365"/>
      <c r="BN5" s="365"/>
      <c r="BO5" s="365"/>
      <c r="BP5" s="365"/>
      <c r="BQ5" s="365"/>
      <c r="BR5" s="365"/>
      <c r="BS5" s="365"/>
      <c r="BT5" s="365"/>
      <c r="BU5" s="365"/>
      <c r="BV5" s="399"/>
      <c r="BW5" s="365"/>
      <c r="BX5" s="399"/>
      <c r="BY5" s="365"/>
      <c r="BZ5" s="399"/>
      <c r="CA5" s="365"/>
      <c r="CB5" s="365"/>
      <c r="CC5" s="365"/>
      <c r="CD5" s="399"/>
      <c r="CE5" s="399"/>
      <c r="CF5" s="2634"/>
      <c r="CG5" s="399"/>
      <c r="CH5" s="2634"/>
      <c r="CI5" s="2634"/>
      <c r="CJ5" s="2634"/>
      <c r="CK5" s="2634"/>
      <c r="CL5" s="368"/>
    </row>
    <row r="6" spans="1:98" hidden="1" outlineLevel="1">
      <c r="A6" s="605" t="s">
        <v>764</v>
      </c>
      <c r="B6" s="605"/>
      <c r="C6" s="605"/>
      <c r="D6" s="382"/>
      <c r="E6" s="382">
        <f>IS!E6</f>
        <v>-6.4626407185521115</v>
      </c>
      <c r="F6" s="382">
        <f>IS!F6</f>
        <v>-6.7393776396306047</v>
      </c>
      <c r="G6" s="382">
        <f>IS!G6</f>
        <v>-1.7133093831662458</v>
      </c>
      <c r="H6" s="383">
        <f>IS!H6</f>
        <v>-2.222796433745823</v>
      </c>
      <c r="I6" s="383">
        <f>IS!I6</f>
        <v>2.9254653652975398</v>
      </c>
      <c r="J6" s="383">
        <f>IS!J6</f>
        <v>3.0904647285107814</v>
      </c>
      <c r="K6" s="674">
        <f>IS!K6</f>
        <v>3.0630087973919395</v>
      </c>
      <c r="L6" s="383">
        <f ca="1">IS!L6</f>
        <v>2.8242898178714193</v>
      </c>
      <c r="M6" s="383">
        <f>IS!M6</f>
        <v>3.3224326474203942</v>
      </c>
      <c r="N6" s="383">
        <f>IS!N6</f>
        <v>2.7628657879380056</v>
      </c>
      <c r="O6" s="674">
        <f>IS!O6</f>
        <v>1.756320999276396</v>
      </c>
      <c r="P6" s="674">
        <f>IS!P6</f>
        <v>1.8627492485500192</v>
      </c>
      <c r="Q6" s="674">
        <f>IS!Q6</f>
        <v>1.1577911158026928</v>
      </c>
      <c r="R6" s="674">
        <f>IS!R6</f>
        <v>2.3922655382935467</v>
      </c>
      <c r="S6" s="674">
        <f>IS!S6</f>
        <v>0.55951274391392103</v>
      </c>
      <c r="T6" s="674">
        <f>IS!T6</f>
        <v>0.98203077357450352</v>
      </c>
      <c r="U6" s="674">
        <f>IS!U6</f>
        <v>1.2825893311034651</v>
      </c>
      <c r="V6" s="674">
        <f>IS!V6</f>
        <v>1.4212111218437422</v>
      </c>
      <c r="W6" s="674">
        <f>IS!W6</f>
        <v>1.5772771343689689</v>
      </c>
      <c r="X6" s="674">
        <f>IS!X6</f>
        <v>1.7360315102809452</v>
      </c>
      <c r="Y6" s="2075"/>
      <c r="Z6" s="382"/>
      <c r="AA6" s="382"/>
      <c r="AB6" s="382"/>
      <c r="AC6" s="382">
        <f>IS!AD6</f>
        <v>0.61413514591961671</v>
      </c>
      <c r="AD6" s="382">
        <f>IS!AE6</f>
        <v>0.58096088512490629</v>
      </c>
      <c r="AE6" s="382">
        <f>IS!AF6</f>
        <v>0.59964432028454329</v>
      </c>
      <c r="AF6" s="382">
        <f>IS!AG6</f>
        <v>0.59773679984086914</v>
      </c>
      <c r="AG6" s="382">
        <f>IS!AH6</f>
        <v>0.61506273126734501</v>
      </c>
      <c r="AH6" s="382">
        <f>IS!AI6</f>
        <v>0.58315654411711104</v>
      </c>
      <c r="AI6" s="382">
        <f>IS!AJ6</f>
        <v>0.62889652369869586</v>
      </c>
      <c r="AJ6" s="382">
        <f>IS!AK6</f>
        <v>0.72822184290296987</v>
      </c>
      <c r="AK6" s="382">
        <f>IS!AL6</f>
        <v>0.60466314000456134</v>
      </c>
      <c r="AL6" s="382">
        <f>IS!AM6</f>
        <v>0.73718052574181037</v>
      </c>
      <c r="AM6" s="382">
        <f>IS!AN6</f>
        <v>0.80028659485713416</v>
      </c>
      <c r="AN6" s="382">
        <f>IS!AO6</f>
        <v>0.72891287775576841</v>
      </c>
      <c r="AO6" s="382">
        <f>IS!AP6</f>
        <v>0.83804739911674497</v>
      </c>
      <c r="AP6" s="382">
        <f>IS!AQ6</f>
        <v>0.61787902650294091</v>
      </c>
      <c r="AQ6" s="382">
        <f>IS!AR6</f>
        <v>0.67077583733607171</v>
      </c>
      <c r="AR6" s="382">
        <f>IS!AS6</f>
        <v>0.70234942574313564</v>
      </c>
      <c r="AS6" s="382">
        <f>IS!AT6</f>
        <v>0.74958248827725904</v>
      </c>
      <c r="AT6" s="382">
        <f>IS!AU6</f>
        <v>0.72722469576457049</v>
      </c>
      <c r="AU6" s="382">
        <f>IS!AV6</f>
        <v>0.73580714916975454</v>
      </c>
      <c r="AV6" s="382">
        <f>IS!AW6</f>
        <v>0.64620064482093797</v>
      </c>
      <c r="AW6" s="382">
        <f>IS!AX6</f>
        <v>0.81768961957067898</v>
      </c>
      <c r="AX6" s="382">
        <f>IS!AY6</f>
        <v>0.90153754345154336</v>
      </c>
      <c r="AY6" s="382">
        <f>IS!AZ6</f>
        <v>0.73704518538427288</v>
      </c>
      <c r="AZ6" s="382">
        <f>IS!BA6</f>
        <v>0.72322267531414786</v>
      </c>
      <c r="BA6" s="383">
        <f>IS!BB6</f>
        <v>0.73211958605311178</v>
      </c>
      <c r="BB6" s="382">
        <f>IS!BC6</f>
        <v>0.82932492950738101</v>
      </c>
      <c r="BC6" s="382">
        <f>IS!BD6</f>
        <v>0.74261081296510933</v>
      </c>
      <c r="BD6" s="382">
        <f>IS!BE6</f>
        <v>0.74034702613502279</v>
      </c>
      <c r="BE6" s="382">
        <f>IS!BF6</f>
        <v>0.75094900148539367</v>
      </c>
      <c r="BF6" s="382">
        <f ca="1">IS!BG6</f>
        <v>0.78781957335938801</v>
      </c>
      <c r="BG6" s="382">
        <f>IS!BH6</f>
        <v>0.69646835218516945</v>
      </c>
      <c r="BH6" s="382">
        <f>IS!BI6</f>
        <v>0.61145711690670823</v>
      </c>
      <c r="BI6" s="382">
        <f>IS!BJ6</f>
        <v>0.55455853583612236</v>
      </c>
      <c r="BJ6" s="382">
        <f>IS!BK6</f>
        <v>0.68187313613282818</v>
      </c>
      <c r="BK6" s="383">
        <f>IS!BL6</f>
        <v>0.64807771786587842</v>
      </c>
      <c r="BL6" s="383">
        <f>IS!BM6</f>
        <v>0.66260653044460416</v>
      </c>
      <c r="BM6" s="674">
        <f>IS!BN6</f>
        <v>0.66703652987072959</v>
      </c>
      <c r="BN6" s="752">
        <f>IS!BO6</f>
        <v>0.76480419402518873</v>
      </c>
      <c r="BO6" s="752">
        <f>IS!BP6</f>
        <v>0.68857104170725991</v>
      </c>
      <c r="BP6" s="752">
        <f>IS!BQ6</f>
        <v>0.63068987381157005</v>
      </c>
      <c r="BQ6" s="752">
        <f>IS!BR6</f>
        <v>0.67532768741196014</v>
      </c>
      <c r="BR6" s="752">
        <f>IS!BS6</f>
        <v>0.40142078629817046</v>
      </c>
      <c r="BS6" s="752">
        <f>IS!CN6</f>
        <v>0</v>
      </c>
      <c r="BT6" s="752">
        <f>IS!CO6</f>
        <v>0</v>
      </c>
      <c r="BU6" s="752">
        <f>IS!CP6</f>
        <v>0</v>
      </c>
      <c r="BV6" s="377">
        <f>IS!CQ6</f>
        <v>0</v>
      </c>
      <c r="BW6" s="752">
        <f>IS!CR6</f>
        <v>0</v>
      </c>
      <c r="BX6" s="377">
        <f>IS!CS6</f>
        <v>0</v>
      </c>
      <c r="BY6" s="752">
        <f>IS!CT6</f>
        <v>0</v>
      </c>
      <c r="BZ6" s="379">
        <f>IS!CU6</f>
        <v>0</v>
      </c>
      <c r="CA6" s="752">
        <f>IS!CV6</f>
        <v>0</v>
      </c>
      <c r="CB6" s="752">
        <f>IS!CW6</f>
        <v>0</v>
      </c>
      <c r="CC6" s="752">
        <f>IS!CX6</f>
        <v>0</v>
      </c>
      <c r="CD6" s="381">
        <f>IS!CY6</f>
        <v>0</v>
      </c>
      <c r="CE6" s="377">
        <f>IS!CZ6</f>
        <v>0</v>
      </c>
      <c r="CF6" s="377">
        <f>IS!DA6</f>
        <v>0</v>
      </c>
      <c r="CG6" s="379">
        <f>IS!DB6</f>
        <v>0</v>
      </c>
      <c r="CH6" s="377">
        <f>IS!DC6</f>
        <v>0</v>
      </c>
      <c r="CI6" s="377">
        <f>IS!DD6</f>
        <v>0</v>
      </c>
      <c r="CJ6" s="377">
        <f>IS!DE6</f>
        <v>0</v>
      </c>
      <c r="CK6" s="379">
        <f>IS!DF6</f>
        <v>0</v>
      </c>
      <c r="CL6" s="368"/>
    </row>
    <row r="7" spans="1:98" hidden="1" outlineLevel="1">
      <c r="A7" s="392" t="s">
        <v>940</v>
      </c>
      <c r="B7" s="392"/>
      <c r="C7" s="392"/>
      <c r="D7" s="392"/>
      <c r="E7" s="394">
        <f>IS!E7</f>
        <v>0</v>
      </c>
      <c r="F7" s="394">
        <f>IS!F7</f>
        <v>4.2821028296385455E-2</v>
      </c>
      <c r="G7" s="394">
        <f>IS!G7</f>
        <v>-0.74577632019146578</v>
      </c>
      <c r="H7" s="390">
        <f>IS!H7</f>
        <v>0.29737013967555015</v>
      </c>
      <c r="I7" s="390">
        <f>IS!I7</f>
        <v>-2.316119335483902</v>
      </c>
      <c r="J7" s="390">
        <f>IS!J7</f>
        <v>5.6401065338355094E-2</v>
      </c>
      <c r="K7" s="388">
        <f>IS!K7</f>
        <v>-8.8840784576992293E-3</v>
      </c>
      <c r="L7" s="390">
        <f ca="1">IS!L7</f>
        <v>-7.7936106394399629E-2</v>
      </c>
      <c r="M7" s="390">
        <f ca="1">IS!M7</f>
        <v>0.17637808499568575</v>
      </c>
      <c r="N7" s="390">
        <f>IS!N7</f>
        <v>-0.16842082861088181</v>
      </c>
      <c r="O7" s="388">
        <f>IS!O7</f>
        <v>-0.36431186525814507</v>
      </c>
      <c r="P7" s="388">
        <f>IS!P7</f>
        <v>6.0597265145421408E-2</v>
      </c>
      <c r="Q7" s="388">
        <f>IS!Q7</f>
        <v>-0.37845036485510442</v>
      </c>
      <c r="R7" s="388">
        <f>IS!R7</f>
        <v>1.0662324193384372</v>
      </c>
      <c r="S7" s="388">
        <f>IS!S7</f>
        <v>-0.76611595370260055</v>
      </c>
      <c r="T7" s="388">
        <f>IS!T7</f>
        <v>0.75515354074863628</v>
      </c>
      <c r="U7" s="388">
        <f>IS!U7</f>
        <v>0.30605818637938964</v>
      </c>
      <c r="V7" s="388">
        <f>IS!V7</f>
        <v>0.10807963810287968</v>
      </c>
      <c r="W7" s="388">
        <f>IS!W7</f>
        <v>0.10981198368526823</v>
      </c>
      <c r="X7" s="388">
        <f>IS!X7</f>
        <v>0.10065090810784505</v>
      </c>
      <c r="Y7" s="2075"/>
      <c r="Z7" s="392"/>
      <c r="AA7" s="392"/>
      <c r="AB7" s="392"/>
      <c r="AC7" s="394"/>
      <c r="AD7" s="394"/>
      <c r="AE7" s="394"/>
      <c r="AF7" s="394"/>
      <c r="AG7" s="394">
        <f>IS!AH7</f>
        <v>1.5103928734436778E-3</v>
      </c>
      <c r="AH7" s="394">
        <f>IS!AI7</f>
        <v>3.7793576958846664E-3</v>
      </c>
      <c r="AI7" s="394">
        <f>IS!AJ7</f>
        <v>4.8782590653525748E-2</v>
      </c>
      <c r="AJ7" s="394">
        <f>IS!AK7</f>
        <v>0.21829849374647625</v>
      </c>
      <c r="AK7" s="394">
        <f>IS!AL7</f>
        <v>-1.6908179823146074E-2</v>
      </c>
      <c r="AL7" s="394">
        <f>IS!AM7</f>
        <v>0.26412115782373502</v>
      </c>
      <c r="AM7" s="394">
        <f>IS!AN7</f>
        <v>0.27252507320353891</v>
      </c>
      <c r="AN7" s="394">
        <f>IS!AO7</f>
        <v>9.4893453077959933E-4</v>
      </c>
      <c r="AO7" s="394">
        <f>IS!AP7</f>
        <v>0.38597401374660123</v>
      </c>
      <c r="AP7" s="394">
        <f>IS!AQ7</f>
        <v>-0.16183484923020541</v>
      </c>
      <c r="AQ7" s="394">
        <f>IS!AR7</f>
        <v>-0.1618304721750119</v>
      </c>
      <c r="AR7" s="394">
        <f>IS!AS7</f>
        <v>-3.64425610018283E-2</v>
      </c>
      <c r="AS7" s="394">
        <f>IS!AT7</f>
        <v>-0.10556074863154874</v>
      </c>
      <c r="AT7" s="394">
        <f>IS!AU7</f>
        <v>0.17696938166116749</v>
      </c>
      <c r="AU7" s="394">
        <f>IS!AV7</f>
        <v>9.6949395332946109E-2</v>
      </c>
      <c r="AV7" s="394">
        <f>IS!AW7</f>
        <v>-7.9944225572318617E-2</v>
      </c>
      <c r="AW7" s="394">
        <f>IS!AX7</f>
        <v>9.0860088594049593E-2</v>
      </c>
      <c r="AX7" s="394">
        <f>IS!AY7</f>
        <v>0.23969599588983748</v>
      </c>
      <c r="AY7" s="394">
        <f>IS!AZ7</f>
        <v>1.6825552944346178E-3</v>
      </c>
      <c r="AZ7" s="394">
        <f>IS!BA7</f>
        <v>0.11919212880784524</v>
      </c>
      <c r="BA7" s="390">
        <f>IS!BB7</f>
        <v>-0.10464855058633982</v>
      </c>
      <c r="BB7" s="394" t="str">
        <f>IS!BC7</f>
        <v>NM</v>
      </c>
      <c r="BC7" s="394" t="str">
        <f>IS!BD7</f>
        <v>NM</v>
      </c>
      <c r="BD7" s="394" t="str">
        <f>IS!BE7</f>
        <v>NM</v>
      </c>
      <c r="BE7" s="394" t="str">
        <f>IS!BF7</f>
        <v>NM</v>
      </c>
      <c r="BF7" s="394">
        <f ca="1">IS!BG7</f>
        <v>-5.0047158443249917E-2</v>
      </c>
      <c r="BG7" s="394">
        <f>IS!BH7</f>
        <v>-6.2135455038287768E-2</v>
      </c>
      <c r="BH7" s="394">
        <f>IS!BI7</f>
        <v>-0.1740939109341515</v>
      </c>
      <c r="BI7" s="394">
        <f>IS!BJ7</f>
        <v>-0.26152303986130432</v>
      </c>
      <c r="BJ7" s="394">
        <f ca="1">IS!BK7</f>
        <v>-0.13448058516087302</v>
      </c>
      <c r="BK7" s="390">
        <f>IS!BL7</f>
        <v>-6.948001896635414E-2</v>
      </c>
      <c r="BL7" s="390">
        <f>IS!BM7</f>
        <v>8.3651677482559972E-2</v>
      </c>
      <c r="BM7" s="388">
        <f>IS!BN7</f>
        <v>0.20282438510304646</v>
      </c>
      <c r="BN7" s="393">
        <f>IS!BO7</f>
        <v>0.12162241551660968</v>
      </c>
      <c r="BO7" s="390">
        <f>IS!BP7</f>
        <v>6.2482203484369281E-2</v>
      </c>
      <c r="BP7" s="390">
        <f>IS!BQ7</f>
        <v>-4.8168339982430086E-2</v>
      </c>
      <c r="BQ7" s="390">
        <f>IS!BR7</f>
        <v>1.2429840301006356E-2</v>
      </c>
      <c r="BR7" s="390">
        <f>IS!BS7</f>
        <v>-0.47513260330663187</v>
      </c>
      <c r="BS7" s="390">
        <f>IS!CN7</f>
        <v>0</v>
      </c>
      <c r="BT7" s="390">
        <f>IS!CO7</f>
        <v>0</v>
      </c>
      <c r="BU7" s="390">
        <f>IS!CP7</f>
        <v>0</v>
      </c>
      <c r="BV7" s="388">
        <f>IS!CQ7</f>
        <v>0</v>
      </c>
      <c r="BW7" s="390">
        <f>IS!CR7</f>
        <v>0</v>
      </c>
      <c r="BX7" s="388">
        <f>IS!CS7</f>
        <v>0</v>
      </c>
      <c r="BY7" s="390">
        <f>IS!CT7</f>
        <v>0</v>
      </c>
      <c r="BZ7" s="390">
        <f>IS!CU7</f>
        <v>0</v>
      </c>
      <c r="CA7" s="390">
        <f>IS!CV7</f>
        <v>0</v>
      </c>
      <c r="CB7" s="390">
        <f>IS!CW7</f>
        <v>0</v>
      </c>
      <c r="CC7" s="390">
        <f>IS!CX7</f>
        <v>0</v>
      </c>
      <c r="CD7" s="388">
        <f>IS!CY7</f>
        <v>0</v>
      </c>
      <c r="CE7" s="388">
        <f>IS!CZ7</f>
        <v>0</v>
      </c>
      <c r="CF7" s="388">
        <f>IS!DA7</f>
        <v>0</v>
      </c>
      <c r="CG7" s="390">
        <f>IS!DB7</f>
        <v>0</v>
      </c>
      <c r="CH7" s="388">
        <f>IS!DC7</f>
        <v>0</v>
      </c>
      <c r="CI7" s="388">
        <f>IS!DD7</f>
        <v>0</v>
      </c>
      <c r="CJ7" s="388">
        <f>IS!DE7</f>
        <v>0</v>
      </c>
      <c r="CK7" s="390">
        <f>IS!DF7</f>
        <v>0</v>
      </c>
      <c r="CL7" s="368"/>
    </row>
    <row r="8" spans="1:98" collapsed="1">
      <c r="A8" s="2817" t="s">
        <v>1024</v>
      </c>
      <c r="B8" s="2828"/>
      <c r="C8" s="2828"/>
      <c r="D8" s="2819">
        <v>2003</v>
      </c>
      <c r="E8" s="2819">
        <v>2004</v>
      </c>
      <c r="F8" s="2819">
        <v>2005</v>
      </c>
      <c r="G8" s="2819">
        <v>2006</v>
      </c>
      <c r="H8" s="2819">
        <v>2007</v>
      </c>
      <c r="I8" s="2819">
        <v>2008</v>
      </c>
      <c r="J8" s="2819">
        <v>2009</v>
      </c>
      <c r="K8" s="2820" t="s">
        <v>583</v>
      </c>
      <c r="L8" s="2820" t="str">
        <f>IS!L8</f>
        <v>2011</v>
      </c>
      <c r="M8" s="2820" t="str">
        <f>IS!M8</f>
        <v>2012</v>
      </c>
      <c r="N8" s="2820" t="str">
        <f>IS!N8</f>
        <v>2013</v>
      </c>
      <c r="O8" s="2820" t="str">
        <f>IS!O8</f>
        <v>2014</v>
      </c>
      <c r="P8" s="2820" t="str">
        <f>IS!P8</f>
        <v>2015</v>
      </c>
      <c r="Q8" s="2820" t="str">
        <f>IS!Q8</f>
        <v>2016</v>
      </c>
      <c r="R8" s="2820" t="str">
        <f>IS!R8</f>
        <v>2017</v>
      </c>
      <c r="S8" s="2820" t="str">
        <f>IS!S8</f>
        <v>2018E</v>
      </c>
      <c r="T8" s="2820" t="str">
        <f>IS!T8</f>
        <v>2019E</v>
      </c>
      <c r="U8" s="2820" t="str">
        <f>IS!U8</f>
        <v>2020E</v>
      </c>
      <c r="V8" s="2820" t="str">
        <f>IS!V8</f>
        <v>2021E</v>
      </c>
      <c r="W8" s="2820" t="str">
        <f>IS!W8</f>
        <v>2022E</v>
      </c>
      <c r="X8" s="2820" t="str">
        <f>IS!X8</f>
        <v>2023E</v>
      </c>
      <c r="Y8" s="2544"/>
      <c r="Z8" s="2825"/>
      <c r="AA8" s="2825"/>
      <c r="AB8" s="2825"/>
      <c r="AC8" s="2836" t="s">
        <v>767</v>
      </c>
      <c r="AD8" s="2837" t="s">
        <v>768</v>
      </c>
      <c r="AE8" s="2838" t="s">
        <v>769</v>
      </c>
      <c r="AF8" s="2838" t="s">
        <v>770</v>
      </c>
      <c r="AG8" s="2836" t="s">
        <v>771</v>
      </c>
      <c r="AH8" s="2837" t="s">
        <v>800</v>
      </c>
      <c r="AI8" s="2838" t="s">
        <v>801</v>
      </c>
      <c r="AJ8" s="2838" t="s">
        <v>802</v>
      </c>
      <c r="AK8" s="2836" t="s">
        <v>803</v>
      </c>
      <c r="AL8" s="2837" t="s">
        <v>804</v>
      </c>
      <c r="AM8" s="2838" t="s">
        <v>805</v>
      </c>
      <c r="AN8" s="2838" t="s">
        <v>806</v>
      </c>
      <c r="AO8" s="2836" t="s">
        <v>807</v>
      </c>
      <c r="AP8" s="2837" t="s">
        <v>808</v>
      </c>
      <c r="AQ8" s="2838" t="s">
        <v>809</v>
      </c>
      <c r="AR8" s="2838" t="s">
        <v>810</v>
      </c>
      <c r="AS8" s="2836" t="s">
        <v>811</v>
      </c>
      <c r="AT8" s="2839" t="s">
        <v>812</v>
      </c>
      <c r="AU8" s="2825" t="s">
        <v>813</v>
      </c>
      <c r="AV8" s="2825" t="s">
        <v>814</v>
      </c>
      <c r="AW8" s="2826" t="s">
        <v>430</v>
      </c>
      <c r="AX8" s="2839" t="s">
        <v>431</v>
      </c>
      <c r="AY8" s="2825" t="s">
        <v>486</v>
      </c>
      <c r="AZ8" s="2825" t="s">
        <v>493</v>
      </c>
      <c r="BA8" s="2826" t="s">
        <v>513</v>
      </c>
      <c r="BB8" s="2839" t="s">
        <v>559</v>
      </c>
      <c r="BC8" s="2825" t="s">
        <v>730</v>
      </c>
      <c r="BD8" s="2825" t="s">
        <v>367</v>
      </c>
      <c r="BE8" s="2825" t="s">
        <v>582</v>
      </c>
      <c r="BF8" s="2839" t="s">
        <v>257</v>
      </c>
      <c r="BG8" s="2825" t="s">
        <v>950</v>
      </c>
      <c r="BH8" s="2825" t="s">
        <v>455</v>
      </c>
      <c r="BI8" s="2826" t="s">
        <v>70</v>
      </c>
      <c r="BJ8" s="2840" t="str">
        <f>IS!BK8</f>
        <v>1Q12</v>
      </c>
      <c r="BK8" s="2841" t="s">
        <v>414</v>
      </c>
      <c r="BL8" s="2841" t="s">
        <v>733</v>
      </c>
      <c r="BM8" s="2841" t="s">
        <v>141</v>
      </c>
      <c r="BN8" s="2840" t="s">
        <v>276</v>
      </c>
      <c r="BO8" s="2841" t="s">
        <v>557</v>
      </c>
      <c r="BP8" s="2841" t="s">
        <v>964</v>
      </c>
      <c r="BQ8" s="2842" t="s">
        <v>418</v>
      </c>
      <c r="BR8" s="2841" t="str">
        <f>IS!BS8</f>
        <v>1Q14</v>
      </c>
      <c r="BS8" s="2841" t="str">
        <f>IS!BT8</f>
        <v>2Q14</v>
      </c>
      <c r="BT8" s="2841" t="str">
        <f>IS!BU8</f>
        <v>3Q14</v>
      </c>
      <c r="BU8" s="2842" t="str">
        <f>IS!BV8</f>
        <v>4Q14</v>
      </c>
      <c r="BV8" s="2822" t="str">
        <f>IS!BW8</f>
        <v>1Q15</v>
      </c>
      <c r="BW8" s="2841" t="str">
        <f>IS!BX8</f>
        <v>2Q15</v>
      </c>
      <c r="BX8" s="2823" t="str">
        <f>IS!BY8</f>
        <v>3Q15</v>
      </c>
      <c r="BY8" s="2842" t="str">
        <f>IS!BZ8</f>
        <v>4Q15</v>
      </c>
      <c r="BZ8" s="2839" t="str">
        <f>IS!CA8</f>
        <v>1Q16</v>
      </c>
      <c r="CA8" s="2841" t="str">
        <f>IS!CB8</f>
        <v>2Q16</v>
      </c>
      <c r="CB8" s="2841" t="str">
        <f>IS!CC8</f>
        <v>3Q16</v>
      </c>
      <c r="CC8" s="2842" t="str">
        <f>IS!CD8</f>
        <v>4Q16</v>
      </c>
      <c r="CD8" s="2841" t="str">
        <f>IS!CE8</f>
        <v>1Q17</v>
      </c>
      <c r="CE8" s="2825" t="str">
        <f>IS!CF8</f>
        <v>2Q17</v>
      </c>
      <c r="CF8" s="2825" t="str">
        <f>IS!CG8</f>
        <v>3Q17</v>
      </c>
      <c r="CG8" s="2826" t="str">
        <f>IS!CH8</f>
        <v>4Q17</v>
      </c>
      <c r="CH8" s="2825" t="str">
        <f>IS!CI8</f>
        <v>1Q18E</v>
      </c>
      <c r="CI8" s="2825" t="str">
        <f>IS!CJ8</f>
        <v>2Q18E</v>
      </c>
      <c r="CJ8" s="2825" t="str">
        <f>IS!CK8</f>
        <v>3Q18E</v>
      </c>
      <c r="CK8" s="2826" t="str">
        <f>IS!CL8</f>
        <v>4Q18E</v>
      </c>
      <c r="CL8" s="368"/>
    </row>
    <row r="9" spans="1:98">
      <c r="A9" s="112"/>
      <c r="B9" s="365"/>
      <c r="C9" s="365"/>
      <c r="D9" s="399"/>
      <c r="E9" s="408"/>
      <c r="F9" s="399"/>
      <c r="G9" s="399"/>
      <c r="H9" s="399"/>
      <c r="I9" s="399"/>
      <c r="J9" s="399"/>
      <c r="K9" s="399"/>
      <c r="L9" s="399"/>
      <c r="M9" s="399"/>
      <c r="N9" s="399"/>
      <c r="O9" s="399"/>
      <c r="P9" s="399"/>
      <c r="Q9" s="399"/>
      <c r="R9" s="399"/>
      <c r="S9" s="2634"/>
      <c r="T9" s="399"/>
      <c r="U9" s="399"/>
      <c r="V9" s="399"/>
      <c r="W9" s="2634"/>
      <c r="X9" s="2634"/>
      <c r="Y9" s="2544"/>
      <c r="Z9" s="399"/>
      <c r="AA9" s="399"/>
      <c r="AB9" s="399"/>
      <c r="AC9" s="400"/>
      <c r="AD9" s="407"/>
      <c r="AE9" s="399"/>
      <c r="AF9" s="399"/>
      <c r="AG9" s="400"/>
      <c r="AH9" s="407"/>
      <c r="AI9" s="399"/>
      <c r="AJ9" s="399"/>
      <c r="AK9" s="400"/>
      <c r="AL9" s="407"/>
      <c r="AM9" s="399"/>
      <c r="AN9" s="399"/>
      <c r="AO9" s="400"/>
      <c r="AP9" s="407"/>
      <c r="AQ9" s="399"/>
      <c r="AR9" s="399"/>
      <c r="AS9" s="400"/>
      <c r="AT9" s="407"/>
      <c r="AU9" s="399"/>
      <c r="AV9" s="399"/>
      <c r="AW9" s="400"/>
      <c r="AX9" s="407"/>
      <c r="AY9" s="399"/>
      <c r="AZ9" s="399"/>
      <c r="BA9" s="400"/>
      <c r="BB9" s="407"/>
      <c r="BC9" s="399"/>
      <c r="BD9" s="399"/>
      <c r="BE9" s="399"/>
      <c r="BF9" s="407"/>
      <c r="BG9" s="399"/>
      <c r="BH9" s="399"/>
      <c r="BI9" s="400"/>
      <c r="BJ9" s="399"/>
      <c r="BK9" s="399"/>
      <c r="BL9" s="399"/>
      <c r="BM9" s="399"/>
      <c r="BN9" s="407"/>
      <c r="BO9" s="399"/>
      <c r="BP9" s="399"/>
      <c r="BQ9" s="400"/>
      <c r="BR9" s="399"/>
      <c r="BS9" s="399"/>
      <c r="BT9" s="399"/>
      <c r="BU9" s="400"/>
      <c r="BV9" s="402"/>
      <c r="BW9" s="399"/>
      <c r="BX9" s="402"/>
      <c r="BY9" s="400"/>
      <c r="BZ9" s="401"/>
      <c r="CA9" s="399"/>
      <c r="CB9" s="399"/>
      <c r="CC9" s="400"/>
      <c r="CD9" s="399"/>
      <c r="CE9" s="402"/>
      <c r="CF9" s="562"/>
      <c r="CG9" s="403"/>
      <c r="CH9" s="562"/>
      <c r="CI9" s="562"/>
      <c r="CJ9" s="562"/>
      <c r="CK9" s="403"/>
      <c r="CL9" s="368"/>
    </row>
    <row r="10" spans="1:98">
      <c r="A10" s="364" t="s">
        <v>816</v>
      </c>
      <c r="B10" s="365"/>
      <c r="C10" s="365"/>
      <c r="D10" s="399"/>
      <c r="E10" s="399"/>
      <c r="F10" s="399"/>
      <c r="G10" s="399"/>
      <c r="H10" s="451"/>
      <c r="I10" s="451"/>
      <c r="J10" s="451"/>
      <c r="K10" s="451"/>
      <c r="L10" s="451"/>
      <c r="M10" s="451"/>
      <c r="N10" s="451"/>
      <c r="O10" s="451"/>
      <c r="P10" s="451"/>
      <c r="Q10" s="451"/>
      <c r="R10" s="451"/>
      <c r="S10" s="451"/>
      <c r="T10" s="451"/>
      <c r="U10" s="451"/>
      <c r="V10" s="451"/>
      <c r="W10" s="451"/>
      <c r="X10" s="451"/>
      <c r="Y10" s="2544"/>
      <c r="Z10" s="399"/>
      <c r="AA10" s="399"/>
      <c r="AB10" s="399"/>
      <c r="AC10" s="414"/>
      <c r="AD10" s="490"/>
      <c r="AE10" s="413"/>
      <c r="AF10" s="413"/>
      <c r="AG10" s="414"/>
      <c r="AH10" s="490"/>
      <c r="AI10" s="413"/>
      <c r="AJ10" s="413"/>
      <c r="AK10" s="414"/>
      <c r="AL10" s="407"/>
      <c r="AM10" s="399"/>
      <c r="AN10" s="399"/>
      <c r="AO10" s="400"/>
      <c r="AP10" s="567"/>
      <c r="AQ10" s="573"/>
      <c r="AR10" s="573"/>
      <c r="AS10" s="574"/>
      <c r="AT10" s="567"/>
      <c r="AU10" s="573"/>
      <c r="AV10" s="573"/>
      <c r="AW10" s="574"/>
      <c r="AX10" s="567"/>
      <c r="AY10" s="573"/>
      <c r="AZ10" s="573"/>
      <c r="BA10" s="574"/>
      <c r="BB10" s="567"/>
      <c r="BC10" s="573"/>
      <c r="BD10" s="573"/>
      <c r="BE10" s="573"/>
      <c r="BF10" s="567"/>
      <c r="BG10" s="573"/>
      <c r="BH10" s="573"/>
      <c r="BI10" s="574"/>
      <c r="BJ10" s="573"/>
      <c r="BK10" s="573"/>
      <c r="BL10" s="573"/>
      <c r="BM10" s="573"/>
      <c r="BN10" s="567"/>
      <c r="BO10" s="573"/>
      <c r="BP10" s="573"/>
      <c r="BQ10" s="574"/>
      <c r="BR10" s="573"/>
      <c r="BS10" s="573"/>
      <c r="BT10" s="573"/>
      <c r="BU10" s="574"/>
      <c r="BV10" s="573"/>
      <c r="BW10" s="573"/>
      <c r="BX10" s="573"/>
      <c r="BY10" s="574"/>
      <c r="BZ10" s="567"/>
      <c r="CA10" s="573"/>
      <c r="CB10" s="573"/>
      <c r="CC10" s="574"/>
      <c r="CD10" s="573"/>
      <c r="CE10" s="573"/>
      <c r="CF10" s="573"/>
      <c r="CG10" s="574"/>
      <c r="CH10" s="573"/>
      <c r="CI10" s="573"/>
      <c r="CJ10" s="573"/>
      <c r="CK10" s="574"/>
      <c r="CL10" s="444"/>
    </row>
    <row r="11" spans="1:98">
      <c r="A11" s="606" t="s">
        <v>818</v>
      </c>
      <c r="B11" s="365"/>
      <c r="C11" s="365"/>
      <c r="D11" s="413">
        <f>AC11</f>
        <v>203.18100000000001</v>
      </c>
      <c r="E11" s="451">
        <f>AG11</f>
        <v>367.21499999999997</v>
      </c>
      <c r="F11" s="413">
        <f>AK11</f>
        <v>358.846</v>
      </c>
      <c r="G11" s="413">
        <f>AO11</f>
        <v>78.668000000000006</v>
      </c>
      <c r="H11" s="413">
        <f>AS11</f>
        <v>103.402</v>
      </c>
      <c r="I11" s="413">
        <f>AW11</f>
        <v>915.32699997084512</v>
      </c>
      <c r="J11" s="413">
        <f>BA11</f>
        <v>2245.1620121308447</v>
      </c>
      <c r="K11" s="451">
        <f>BE11</f>
        <v>545</v>
      </c>
      <c r="L11" s="451">
        <f>+BI11</f>
        <v>128</v>
      </c>
      <c r="M11" s="451">
        <f>+BM11</f>
        <v>211</v>
      </c>
      <c r="N11" s="451">
        <f>+BQ11</f>
        <v>168</v>
      </c>
      <c r="O11" s="451">
        <f>BU11</f>
        <v>128.43586199999999</v>
      </c>
      <c r="P11" s="451">
        <f ca="1">BY11</f>
        <v>128</v>
      </c>
      <c r="Q11" s="451">
        <f ca="1">CC11</f>
        <v>224</v>
      </c>
      <c r="R11" s="451">
        <f ca="1">CG11</f>
        <v>589</v>
      </c>
      <c r="S11" s="451">
        <f ca="1">CK11</f>
        <v>588.82697139099002</v>
      </c>
      <c r="T11" s="451">
        <f ca="1">+CFS!T57</f>
        <v>989.59286944263386</v>
      </c>
      <c r="U11" s="451">
        <f ca="1">+CFS!U57</f>
        <v>1421.4817072606074</v>
      </c>
      <c r="V11" s="451">
        <f ca="1">+CFS!V57</f>
        <v>2015.6347317919244</v>
      </c>
      <c r="W11" s="451">
        <f ca="1">+CFS!W57</f>
        <v>2759.8966747809018</v>
      </c>
      <c r="X11" s="451">
        <f ca="1">+CFS!X57</f>
        <v>3255.4748025285762</v>
      </c>
      <c r="Y11" s="823"/>
      <c r="Z11" s="399"/>
      <c r="AA11" s="399"/>
      <c r="AB11" s="399"/>
      <c r="AC11" s="414">
        <f>(INPUTS_2!B12+INPUTS_2!B60)/1000</f>
        <v>203.18100000000001</v>
      </c>
      <c r="AD11" s="490">
        <f>(INPUTS_2!C12+INPUTS_2!C60)/1000</f>
        <v>273.29300000000001</v>
      </c>
      <c r="AE11" s="413">
        <f>(INPUTS_2!D12+INPUTS_2!D60)/1000</f>
        <v>96.385999999999996</v>
      </c>
      <c r="AF11" s="413">
        <f>(INPUTS_2!E12+INPUTS_2!E60)/1000</f>
        <v>168.97499999999999</v>
      </c>
      <c r="AG11" s="414">
        <f>(INPUTS_2!F12+INPUTS_2!F60)/1000</f>
        <v>367.21499999999997</v>
      </c>
      <c r="AH11" s="490">
        <f>(INPUTS_2!G12+INPUTS_2!G60)/1000</f>
        <v>329.33100000000002</v>
      </c>
      <c r="AI11" s="413">
        <f>(INPUTS_2!H12+INPUTS_2!H60)/1000</f>
        <v>300.46199999999999</v>
      </c>
      <c r="AJ11" s="413">
        <f>(INPUTS_2!I12+INPUTS_2!I60)/1000</f>
        <v>468.50099999999998</v>
      </c>
      <c r="AK11" s="414">
        <f>(INPUTS_2!J12+INPUTS_2!J60)/1000</f>
        <v>358.846</v>
      </c>
      <c r="AL11" s="490">
        <f>(INPUTS_2!K12+INPUTS_2!K60)/1000</f>
        <v>458.26555912915506</v>
      </c>
      <c r="AM11" s="413">
        <f>(INPUTS_2!L12+INPUTS_2!L60)/1000</f>
        <v>51.768999999999998</v>
      </c>
      <c r="AN11" s="413">
        <f>(INPUTS_2!M12+INPUTS_2!M60)/1000</f>
        <v>66.694000000000003</v>
      </c>
      <c r="AO11" s="414">
        <f>(INPUTS_2!N12+INPUTS_2!N60)/1000</f>
        <v>78.668000000000006</v>
      </c>
      <c r="AP11" s="490">
        <f>(INPUTS_2!O12+INPUTS_2!O60)/1000</f>
        <v>809.74900000000002</v>
      </c>
      <c r="AQ11" s="413">
        <f>(INPUTS_2!P12+INPUTS_2!P60)/1000</f>
        <v>57.524999999999999</v>
      </c>
      <c r="AR11" s="413">
        <f>(INPUTS_2!Q12+INPUTS_2!Q60)/1000</f>
        <v>68.713999999999999</v>
      </c>
      <c r="AS11" s="414">
        <f>(INPUTS_2!R12+INPUTS_2!R60)/1000</f>
        <v>103.402</v>
      </c>
      <c r="AT11" s="489">
        <f>+CFS!AQ57</f>
        <v>724.53899997084511</v>
      </c>
      <c r="AU11" s="451">
        <f>+CFS!AR57</f>
        <v>876.89999997084499</v>
      </c>
      <c r="AV11" s="451">
        <f>+CFS!AS57</f>
        <v>927.956999970845</v>
      </c>
      <c r="AW11" s="569">
        <f>+CFS!AT57</f>
        <v>915.32699997084512</v>
      </c>
      <c r="AX11" s="489">
        <f>+CFS!AU57</f>
        <v>633.93500285084485</v>
      </c>
      <c r="AY11" s="451">
        <f>+CFS!AV57</f>
        <v>1604.732549410845</v>
      </c>
      <c r="AZ11" s="451">
        <f>+CFS!AW57</f>
        <v>2309.7361474908448</v>
      </c>
      <c r="BA11" s="569">
        <f>+CFS!AX57</f>
        <v>2245.1620121308447</v>
      </c>
      <c r="BB11" s="489">
        <f>+CFS!AY57</f>
        <v>1169.5180724108448</v>
      </c>
      <c r="BC11" s="451">
        <f>+CFS!AZ57</f>
        <v>1047.874247050845</v>
      </c>
      <c r="BD11" s="451">
        <f>+CFS!BA57</f>
        <v>2188.1655055308452</v>
      </c>
      <c r="BE11" s="622">
        <v>545</v>
      </c>
      <c r="BF11" s="572">
        <f>ROUNDUP(269.659+424,0)</f>
        <v>694</v>
      </c>
      <c r="BG11" s="622">
        <v>2546</v>
      </c>
      <c r="BH11" s="622">
        <v>1123</v>
      </c>
      <c r="BI11" s="1830">
        <v>128</v>
      </c>
      <c r="BJ11" s="622">
        <v>1530</v>
      </c>
      <c r="BK11" s="622">
        <v>281</v>
      </c>
      <c r="BL11" s="622">
        <v>194</v>
      </c>
      <c r="BM11" s="622">
        <v>211</v>
      </c>
      <c r="BN11" s="572">
        <v>476</v>
      </c>
      <c r="BO11" s="622">
        <v>214</v>
      </c>
      <c r="BP11" s="622">
        <v>266</v>
      </c>
      <c r="BQ11" s="1830">
        <v>168</v>
      </c>
      <c r="BR11" s="451">
        <v>219</v>
      </c>
      <c r="BS11" s="451">
        <v>181</v>
      </c>
      <c r="BT11" s="451">
        <f>734</f>
        <v>734</v>
      </c>
      <c r="BU11" s="569">
        <v>128.43586199999999</v>
      </c>
      <c r="BV11" s="451">
        <f ca="1">+CFS!BS57</f>
        <v>155</v>
      </c>
      <c r="BW11" s="451">
        <f ca="1">+CFS!BT57</f>
        <v>155</v>
      </c>
      <c r="BX11" s="451">
        <f ca="1">+CFS!BU57</f>
        <v>355</v>
      </c>
      <c r="BY11" s="569">
        <f ca="1">+CFS!BV57</f>
        <v>128</v>
      </c>
      <c r="BZ11" s="451">
        <f ca="1">+CFS!BW57</f>
        <v>440</v>
      </c>
      <c r="CA11" s="451">
        <f ca="1">+CFS!BX57</f>
        <v>193</v>
      </c>
      <c r="CB11" s="451">
        <f ca="1">+CFS!BY57</f>
        <v>142</v>
      </c>
      <c r="CC11" s="569">
        <f ca="1">+CFS!BZ57</f>
        <v>224</v>
      </c>
      <c r="CD11" s="451">
        <f ca="1">+CFS!CA57</f>
        <v>216</v>
      </c>
      <c r="CE11" s="451">
        <f ca="1">+CFS!CB57</f>
        <v>6357</v>
      </c>
      <c r="CF11" s="451">
        <f ca="1">+CFS!CC57</f>
        <v>6164</v>
      </c>
      <c r="CG11" s="569">
        <f ca="1">+CFS!CD57</f>
        <v>589</v>
      </c>
      <c r="CH11" s="451">
        <f ca="1">+CFS!CE57</f>
        <v>428.32109297615216</v>
      </c>
      <c r="CI11" s="451">
        <f ca="1">+CFS!CF57</f>
        <v>435.01602772112005</v>
      </c>
      <c r="CJ11" s="451">
        <f ca="1">+CFS!CG57</f>
        <v>500.125604309045</v>
      </c>
      <c r="CK11" s="569">
        <f ca="1">+CFS!CH57</f>
        <v>588.82697139099002</v>
      </c>
      <c r="CL11" s="680"/>
      <c r="CT11" s="2074"/>
    </row>
    <row r="12" spans="1:98">
      <c r="A12" s="606" t="s">
        <v>573</v>
      </c>
      <c r="B12" s="365"/>
      <c r="C12" s="365"/>
      <c r="D12" s="413">
        <f>AC12</f>
        <v>0</v>
      </c>
      <c r="E12" s="451">
        <f>AG12</f>
        <v>0</v>
      </c>
      <c r="F12" s="413">
        <f>AK12</f>
        <v>0</v>
      </c>
      <c r="G12" s="413">
        <f>AO12</f>
        <v>0</v>
      </c>
      <c r="H12" s="413">
        <f>AS12</f>
        <v>0</v>
      </c>
      <c r="I12" s="413">
        <f>AW12</f>
        <v>0</v>
      </c>
      <c r="J12" s="413">
        <f>BA12</f>
        <v>0</v>
      </c>
      <c r="K12" s="413">
        <f>BE12</f>
        <v>0</v>
      </c>
      <c r="L12" s="451"/>
      <c r="M12" s="451"/>
      <c r="N12" s="451"/>
      <c r="O12" s="451"/>
      <c r="P12" s="451"/>
      <c r="Q12" s="451"/>
      <c r="R12" s="451"/>
      <c r="S12" s="451">
        <f t="shared" ref="S12:S25" si="0">CK12</f>
        <v>0</v>
      </c>
      <c r="T12" s="451"/>
      <c r="U12" s="451"/>
      <c r="V12" s="451"/>
      <c r="W12" s="451"/>
      <c r="X12" s="451"/>
      <c r="Y12" s="823"/>
      <c r="Z12" s="399"/>
      <c r="AA12" s="399"/>
      <c r="AB12" s="399"/>
      <c r="AC12" s="414">
        <f>INPUTS_2!B61/1000</f>
        <v>0</v>
      </c>
      <c r="AD12" s="490">
        <f>INPUTS_2!C61/1000</f>
        <v>0</v>
      </c>
      <c r="AE12" s="413">
        <f>INPUTS_2!D61/1000</f>
        <v>0</v>
      </c>
      <c r="AF12" s="413">
        <f>INPUTS_2!E61/1000</f>
        <v>0</v>
      </c>
      <c r="AG12" s="414">
        <f>INPUTS_2!F61/1000</f>
        <v>0</v>
      </c>
      <c r="AH12" s="490">
        <f>INPUTS_2!G61/1000</f>
        <v>0</v>
      </c>
      <c r="AI12" s="413">
        <f>INPUTS_2!H61/1000</f>
        <v>0</v>
      </c>
      <c r="AJ12" s="413">
        <f>INPUTS_2!I61/1000</f>
        <v>0</v>
      </c>
      <c r="AK12" s="414">
        <f>INPUTS_2!J61/1000</f>
        <v>0</v>
      </c>
      <c r="AL12" s="490">
        <f>INPUTS_2!K61/1000</f>
        <v>0</v>
      </c>
      <c r="AM12" s="413">
        <f>INPUTS_2!L61/1000</f>
        <v>0</v>
      </c>
      <c r="AN12" s="413">
        <f>INPUTS_2!M61/1000</f>
        <v>0</v>
      </c>
      <c r="AO12" s="414">
        <f>INPUTS_2!N61/1000</f>
        <v>0</v>
      </c>
      <c r="AP12" s="490">
        <f>INPUTS_2!O61/1000</f>
        <v>0</v>
      </c>
      <c r="AQ12" s="413">
        <f>INPUTS_2!P61/1000</f>
        <v>0</v>
      </c>
      <c r="AR12" s="413">
        <f>INPUTS_2!Q61/1000</f>
        <v>0</v>
      </c>
      <c r="AS12" s="414">
        <f>INPUTS_2!R61/1000</f>
        <v>0</v>
      </c>
      <c r="AT12" s="490">
        <f>INPUTS_2!S61/1000</f>
        <v>0</v>
      </c>
      <c r="AU12" s="413">
        <f>INPUTS_2!T61/1000</f>
        <v>0</v>
      </c>
      <c r="AV12" s="413">
        <f>INPUTS_2!U61/1000</f>
        <v>0</v>
      </c>
      <c r="AW12" s="414">
        <f>INPUTS_2!V61/1000</f>
        <v>0</v>
      </c>
      <c r="AX12" s="490">
        <f>INPUTS_2!W61/1000</f>
        <v>0</v>
      </c>
      <c r="AY12" s="413">
        <f>INPUTS_2!X61/1000</f>
        <v>0</v>
      </c>
      <c r="AZ12" s="413">
        <f>INPUTS_2!Y61/1000</f>
        <v>0</v>
      </c>
      <c r="BA12" s="414">
        <f>INPUTS_2!Z61/1000</f>
        <v>0</v>
      </c>
      <c r="BB12" s="490">
        <f>INPUTS_2!AA61/1000</f>
        <v>656</v>
      </c>
      <c r="BC12" s="413">
        <f>INPUTS_2!AB61/1000</f>
        <v>661</v>
      </c>
      <c r="BD12" s="413">
        <f>INPUTS_2!AC61/1000</f>
        <v>0</v>
      </c>
      <c r="BE12" s="413">
        <f>INPUTS_2!AD61/1000</f>
        <v>0</v>
      </c>
      <c r="BF12" s="567"/>
      <c r="BG12" s="573"/>
      <c r="BH12" s="413"/>
      <c r="BI12" s="414"/>
      <c r="BJ12" s="413"/>
      <c r="BK12" s="413"/>
      <c r="BL12" s="413"/>
      <c r="BM12" s="413"/>
      <c r="BN12" s="490"/>
      <c r="BO12" s="413"/>
      <c r="BP12" s="413"/>
      <c r="BQ12" s="569"/>
      <c r="BR12" s="451"/>
      <c r="BS12" s="413"/>
      <c r="BT12" s="413"/>
      <c r="BU12" s="569"/>
      <c r="BV12" s="451"/>
      <c r="BW12" s="413"/>
      <c r="BX12" s="413"/>
      <c r="BY12" s="451"/>
      <c r="BZ12" s="489"/>
      <c r="CA12" s="413"/>
      <c r="CB12" s="413"/>
      <c r="CC12" s="569"/>
      <c r="CD12" s="451"/>
      <c r="CE12" s="413"/>
      <c r="CF12" s="413"/>
      <c r="CG12" s="414"/>
      <c r="CH12" s="413"/>
      <c r="CI12" s="413"/>
      <c r="CJ12" s="413"/>
      <c r="CK12" s="414"/>
      <c r="CL12" s="680"/>
      <c r="CT12" s="2074"/>
    </row>
    <row r="13" spans="1:98">
      <c r="A13" s="606" t="s">
        <v>819</v>
      </c>
      <c r="B13" s="365"/>
      <c r="C13" s="365"/>
      <c r="D13" s="413">
        <f>AC13</f>
        <v>236.18700000000001</v>
      </c>
      <c r="E13" s="451">
        <f>AG13</f>
        <v>232.58</v>
      </c>
      <c r="F13" s="413">
        <f>AK13</f>
        <v>896.71400000000006</v>
      </c>
      <c r="G13" s="413">
        <f>AO13</f>
        <v>887.346</v>
      </c>
      <c r="H13" s="413">
        <f>AS13</f>
        <v>839.02700000000004</v>
      </c>
      <c r="I13" s="413">
        <f>AW13</f>
        <v>2215.2919999999999</v>
      </c>
      <c r="J13" s="413">
        <f>BA13</f>
        <v>1987.5889999999999</v>
      </c>
      <c r="K13" s="413">
        <f>BE13</f>
        <v>1977</v>
      </c>
      <c r="L13" s="451">
        <f>+BI13</f>
        <v>1977</v>
      </c>
      <c r="M13" s="451">
        <f>+BM13</f>
        <v>1959</v>
      </c>
      <c r="N13" s="451">
        <f>+BQ13</f>
        <v>1977</v>
      </c>
      <c r="O13" s="451">
        <f>BU13</f>
        <v>1988</v>
      </c>
      <c r="P13" s="451">
        <f>BY13</f>
        <v>1943</v>
      </c>
      <c r="Q13" s="451">
        <f>CC13</f>
        <v>2017</v>
      </c>
      <c r="R13" s="451">
        <f>CG13</f>
        <v>2557</v>
      </c>
      <c r="S13" s="451">
        <f t="shared" si="0"/>
        <v>2177.3689048781075</v>
      </c>
      <c r="T13" s="451">
        <f>+T57/360*IS!T25</f>
        <v>2154.246983443838</v>
      </c>
      <c r="U13" s="451">
        <f>+U57/360*IS!U25</f>
        <v>2136.2791423726558</v>
      </c>
      <c r="V13" s="451">
        <f>+V57/360*IS!V25</f>
        <v>2122.4551293966019</v>
      </c>
      <c r="W13" s="451">
        <f>+W57/360*IS!W25</f>
        <v>2115.9434278244307</v>
      </c>
      <c r="X13" s="451">
        <f>+X57/360*IS!X25</f>
        <v>2111.5885220960181</v>
      </c>
      <c r="Y13" s="823"/>
      <c r="Z13" s="399"/>
      <c r="AA13" s="451"/>
      <c r="AB13" s="451"/>
      <c r="AC13" s="569">
        <f>(INPUTS_2!B13+INPUTS_2!B62)/1000</f>
        <v>236.18700000000001</v>
      </c>
      <c r="AD13" s="489">
        <f>(INPUTS_2!C13+INPUTS_2!C62)/1000</f>
        <v>213.68100000000001</v>
      </c>
      <c r="AE13" s="451">
        <f>(INPUTS_2!D13+INPUTS_2!D62)/1000</f>
        <v>219.69399999999999</v>
      </c>
      <c r="AF13" s="451">
        <f>(INPUTS_2!E13+INPUTS_2!E62)/1000</f>
        <v>242.76400000000001</v>
      </c>
      <c r="AG13" s="569">
        <f>(INPUTS_2!F13+INPUTS_2!F62)/1000</f>
        <v>232.58</v>
      </c>
      <c r="AH13" s="489">
        <f>(INPUTS_2!G13+INPUTS_2!G62)/1000</f>
        <v>225.69300000000001</v>
      </c>
      <c r="AI13" s="451">
        <f>(INPUTS_2!H13+INPUTS_2!H62)/1000</f>
        <v>228.095</v>
      </c>
      <c r="AJ13" s="451">
        <f>(INPUTS_2!I13+INPUTS_2!I62)/1000</f>
        <v>239.04599999999999</v>
      </c>
      <c r="AK13" s="569">
        <f>(INPUTS_2!J13+INPUTS_2!J62)/1000</f>
        <v>896.71400000000006</v>
      </c>
      <c r="AL13" s="489">
        <f>(INPUTS_2!K13+INPUTS_2!K62)/1000</f>
        <v>854.22785530921817</v>
      </c>
      <c r="AM13" s="451">
        <f>(INPUTS_2!L13+INPUTS_2!L62)/1000</f>
        <v>888.98900000000003</v>
      </c>
      <c r="AN13" s="451">
        <f>(INPUTS_2!M13+INPUTS_2!M62)/1000</f>
        <v>893.11400000000003</v>
      </c>
      <c r="AO13" s="569">
        <f>(INPUTS_2!N13+INPUTS_2!N62)/1000</f>
        <v>887.346</v>
      </c>
      <c r="AP13" s="489">
        <f>(INPUTS_2!O13+INPUTS_2!O62)/1000</f>
        <v>840.53399999999999</v>
      </c>
      <c r="AQ13" s="451">
        <f>(INPUTS_2!P13+INPUTS_2!P62)/1000</f>
        <v>870.81</v>
      </c>
      <c r="AR13" s="451">
        <f>(INPUTS_2!Q13+INPUTS_2!Q62)/1000</f>
        <v>905.96</v>
      </c>
      <c r="AS13" s="569">
        <f>(INPUTS_2!R13+INPUTS_2!R62)/1000</f>
        <v>839.02700000000004</v>
      </c>
      <c r="AT13" s="489">
        <f>(INPUTS_2!S13+INPUTS_2!S62)/1000</f>
        <v>2307.5070000000001</v>
      </c>
      <c r="AU13" s="451">
        <f>(INPUTS_2!T13+INPUTS_2!T62)/1000</f>
        <v>2374.5010000000002</v>
      </c>
      <c r="AV13" s="451">
        <f>(INPUTS_2!U13+INPUTS_2!U62)/1000</f>
        <v>2216.0120000000002</v>
      </c>
      <c r="AW13" s="569">
        <f>(INPUTS_2!V13+INPUTS_2!V62)/1000</f>
        <v>2215.2919999999999</v>
      </c>
      <c r="AX13" s="489">
        <f>(INPUTS_2!W13+INPUTS_2!W62)/1000</f>
        <v>1998.194</v>
      </c>
      <c r="AY13" s="451">
        <f>(INPUTS_2!X13+INPUTS_2!X62)/1000</f>
        <v>2070.7161376746722</v>
      </c>
      <c r="AZ13" s="451">
        <f>(INPUTS_2!Y13+INPUTS_2!Y62)/1000</f>
        <v>2013.732</v>
      </c>
      <c r="BA13" s="569">
        <f>(INPUTS_2!Z13+INPUTS_2!Z62)/1000</f>
        <v>1987.5889999999999</v>
      </c>
      <c r="BB13" s="489">
        <f>(INPUTS_2!AA13+INPUTS_2!AA62)/1000</f>
        <v>1915.9570000000001</v>
      </c>
      <c r="BC13" s="451">
        <f>(INPUTS_2!AB13+INPUTS_2!AB62)/1000</f>
        <v>1949.03</v>
      </c>
      <c r="BD13" s="451">
        <f>(INPUTS_2!AC13+INPUTS_2!AC62)/1000</f>
        <v>2008.653</v>
      </c>
      <c r="BE13" s="622">
        <v>1977</v>
      </c>
      <c r="BF13" s="572">
        <v>1837</v>
      </c>
      <c r="BG13" s="622">
        <v>1837</v>
      </c>
      <c r="BH13" s="622">
        <v>1998</v>
      </c>
      <c r="BI13" s="1830">
        <v>1977</v>
      </c>
      <c r="BJ13" s="622">
        <v>1879</v>
      </c>
      <c r="BK13" s="622">
        <v>1920</v>
      </c>
      <c r="BL13" s="622">
        <v>1971</v>
      </c>
      <c r="BM13" s="1830">
        <f>1917+42</f>
        <v>1959</v>
      </c>
      <c r="BN13" s="572">
        <v>1924</v>
      </c>
      <c r="BO13" s="622">
        <v>1900</v>
      </c>
      <c r="BP13" s="622">
        <v>1911</v>
      </c>
      <c r="BQ13" s="1830">
        <v>1977</v>
      </c>
      <c r="BR13" s="622">
        <v>1887</v>
      </c>
      <c r="BS13" s="622">
        <v>1986</v>
      </c>
      <c r="BT13" s="622">
        <v>1978</v>
      </c>
      <c r="BU13" s="1830">
        <v>1988</v>
      </c>
      <c r="BV13" s="2933">
        <v>1973</v>
      </c>
      <c r="BW13" s="2933">
        <v>1955</v>
      </c>
      <c r="BX13" s="2933">
        <v>1951</v>
      </c>
      <c r="BY13" s="2933">
        <v>1943</v>
      </c>
      <c r="BZ13" s="2943">
        <v>1871</v>
      </c>
      <c r="CA13" s="2933">
        <v>1972</v>
      </c>
      <c r="CB13" s="2933">
        <v>1957</v>
      </c>
      <c r="CC13" s="3107">
        <v>2017</v>
      </c>
      <c r="CD13" s="2933">
        <f ca="1">+CD57/90*IS!CE25</f>
        <v>1789.3749147920928</v>
      </c>
      <c r="CE13" s="2933">
        <v>1868</v>
      </c>
      <c r="CF13" s="2933">
        <v>1888</v>
      </c>
      <c r="CG13" s="3107">
        <v>2557</v>
      </c>
      <c r="CH13" s="451">
        <f>+CH57/90*IS!CI25</f>
        <v>2393.7680000000005</v>
      </c>
      <c r="CI13" s="451">
        <f>+CI57/90*IS!CJ25</f>
        <v>2320.297247722222</v>
      </c>
      <c r="CJ13" s="451">
        <f>+CJ57/90*IS!CK25</f>
        <v>2248.1994686828216</v>
      </c>
      <c r="CK13" s="569">
        <f>+CK57/90*IS!CL25</f>
        <v>2177.3689048781075</v>
      </c>
      <c r="CL13" s="680"/>
      <c r="CT13" s="2074"/>
    </row>
    <row r="14" spans="1:98">
      <c r="A14" s="606" t="s">
        <v>574</v>
      </c>
      <c r="B14" s="365"/>
      <c r="C14" s="365"/>
      <c r="D14" s="413">
        <f>AC14</f>
        <v>0</v>
      </c>
      <c r="E14" s="451">
        <f>AG14</f>
        <v>0</v>
      </c>
      <c r="F14" s="413">
        <f>AK14</f>
        <v>0</v>
      </c>
      <c r="G14" s="413">
        <f>AO14</f>
        <v>0</v>
      </c>
      <c r="H14" s="413">
        <f>AS14</f>
        <v>0</v>
      </c>
      <c r="I14" s="413">
        <f>AW14</f>
        <v>572</v>
      </c>
      <c r="J14" s="413">
        <f>BA14</f>
        <v>538</v>
      </c>
      <c r="K14" s="413">
        <f>BE14</f>
        <v>315.34100000000001</v>
      </c>
      <c r="L14" s="451">
        <f>+BI14</f>
        <v>1019</v>
      </c>
      <c r="M14" s="451">
        <f>+BM14</f>
        <v>891</v>
      </c>
      <c r="N14" s="451">
        <f>+BQ14</f>
        <v>1165</v>
      </c>
      <c r="O14" s="451">
        <f>BU14</f>
        <v>880</v>
      </c>
      <c r="P14" s="451">
        <f>BY14</f>
        <v>300</v>
      </c>
      <c r="Q14" s="451">
        <f>CC14</f>
        <v>202</v>
      </c>
      <c r="R14" s="451">
        <f>CG14</f>
        <v>202</v>
      </c>
      <c r="S14" s="451">
        <f t="shared" si="0"/>
        <v>202</v>
      </c>
      <c r="T14" s="2933">
        <f>+S14</f>
        <v>202</v>
      </c>
      <c r="U14" s="2933">
        <f>+T14</f>
        <v>202</v>
      </c>
      <c r="V14" s="2933">
        <f>+U14</f>
        <v>202</v>
      </c>
      <c r="W14" s="2933">
        <f>+V14</f>
        <v>202</v>
      </c>
      <c r="X14" s="2933">
        <f>+W14</f>
        <v>202</v>
      </c>
      <c r="Y14" s="823"/>
      <c r="Z14" s="399"/>
      <c r="AA14" s="451"/>
      <c r="AB14" s="451"/>
      <c r="AC14" s="569">
        <f>INPUTS_2!B64/1000</f>
        <v>0</v>
      </c>
      <c r="AD14" s="489">
        <f>INPUTS_2!C64/1000</f>
        <v>0</v>
      </c>
      <c r="AE14" s="451">
        <f>INPUTS_2!D64/1000</f>
        <v>0</v>
      </c>
      <c r="AF14" s="451">
        <f>INPUTS_2!E64/1000</f>
        <v>0</v>
      </c>
      <c r="AG14" s="569">
        <f>INPUTS_2!F64/1000</f>
        <v>0</v>
      </c>
      <c r="AH14" s="489">
        <f>INPUTS_2!G64/1000</f>
        <v>0</v>
      </c>
      <c r="AI14" s="451">
        <f>INPUTS_2!H64/1000</f>
        <v>0</v>
      </c>
      <c r="AJ14" s="451">
        <f>INPUTS_2!I64/1000</f>
        <v>0</v>
      </c>
      <c r="AK14" s="569">
        <f>INPUTS_2!J64/1000</f>
        <v>0</v>
      </c>
      <c r="AL14" s="489">
        <f>INPUTS_2!K64/1000</f>
        <v>0</v>
      </c>
      <c r="AM14" s="451">
        <f>INPUTS_2!L64/1000</f>
        <v>0</v>
      </c>
      <c r="AN14" s="451">
        <f>INPUTS_2!M64/1000</f>
        <v>0</v>
      </c>
      <c r="AO14" s="569">
        <f>INPUTS_2!N64/1000</f>
        <v>0</v>
      </c>
      <c r="AP14" s="489">
        <f>INPUTS_2!O64/1000</f>
        <v>0</v>
      </c>
      <c r="AQ14" s="451">
        <f>INPUTS_2!P64/1000</f>
        <v>0</v>
      </c>
      <c r="AR14" s="451">
        <f>INPUTS_2!Q64/1000</f>
        <v>0</v>
      </c>
      <c r="AS14" s="569">
        <f>INPUTS_2!R64/1000</f>
        <v>0</v>
      </c>
      <c r="AT14" s="489">
        <f>INPUTS_2!S64/1000</f>
        <v>609</v>
      </c>
      <c r="AU14" s="451">
        <f>INPUTS_2!T64/1000</f>
        <v>583</v>
      </c>
      <c r="AV14" s="451">
        <f>INPUTS_2!U64/1000</f>
        <v>577</v>
      </c>
      <c r="AW14" s="569">
        <f>INPUTS_2!V64/1000</f>
        <v>572</v>
      </c>
      <c r="AX14" s="489">
        <f>INPUTS_2!W64/1000</f>
        <v>589</v>
      </c>
      <c r="AY14" s="451">
        <f>INPUTS_2!X64/1000</f>
        <v>576</v>
      </c>
      <c r="AZ14" s="451">
        <f>INPUTS_2!Y64/1000</f>
        <v>569</v>
      </c>
      <c r="BA14" s="569">
        <f>INPUTS_2!Z64/1000</f>
        <v>538</v>
      </c>
      <c r="BB14" s="489">
        <f>INPUTS_2!AA64/1000</f>
        <v>527</v>
      </c>
      <c r="BC14" s="451">
        <f>INPUTS_2!AB64/1000</f>
        <v>538</v>
      </c>
      <c r="BD14" s="451">
        <f>INPUTS_2!AC64/1000</f>
        <v>536</v>
      </c>
      <c r="BE14" s="622">
        <f>234+81.341</f>
        <v>315.34100000000001</v>
      </c>
      <c r="BF14" s="572">
        <f>ROUNDUP(159+79.448,0)</f>
        <v>239</v>
      </c>
      <c r="BG14" s="622">
        <v>276</v>
      </c>
      <c r="BH14" s="622">
        <f>57+252</f>
        <v>309</v>
      </c>
      <c r="BI14" s="1830">
        <v>1019</v>
      </c>
      <c r="BJ14" s="622">
        <v>992</v>
      </c>
      <c r="BK14" s="622">
        <v>1018</v>
      </c>
      <c r="BL14" s="622">
        <v>1019</v>
      </c>
      <c r="BM14" s="1830">
        <v>891</v>
      </c>
      <c r="BN14" s="572">
        <v>883</v>
      </c>
      <c r="BO14" s="622">
        <v>906</v>
      </c>
      <c r="BP14" s="622">
        <v>1004</v>
      </c>
      <c r="BQ14" s="1830">
        <v>1165</v>
      </c>
      <c r="BR14" s="622">
        <v>1010</v>
      </c>
      <c r="BS14" s="622">
        <v>803</v>
      </c>
      <c r="BT14" s="622">
        <v>715</v>
      </c>
      <c r="BU14" s="1830">
        <v>880</v>
      </c>
      <c r="BV14" s="2933">
        <v>718</v>
      </c>
      <c r="BW14" s="2933">
        <v>596</v>
      </c>
      <c r="BX14" s="2933">
        <v>450</v>
      </c>
      <c r="BY14" s="2933">
        <f>+BX14-150</f>
        <v>300</v>
      </c>
      <c r="BZ14" s="2943">
        <v>250</v>
      </c>
      <c r="CA14" s="680">
        <f>+BZ14-CFS!BX24</f>
        <v>202</v>
      </c>
      <c r="CB14" s="680">
        <f t="shared" ref="CB14:CK14" si="1">+CA14</f>
        <v>202</v>
      </c>
      <c r="CC14" s="3107">
        <f t="shared" si="1"/>
        <v>202</v>
      </c>
      <c r="CD14" s="2933">
        <f t="shared" si="1"/>
        <v>202</v>
      </c>
      <c r="CE14" s="2933">
        <f t="shared" si="1"/>
        <v>202</v>
      </c>
      <c r="CF14" s="2933">
        <f t="shared" si="1"/>
        <v>202</v>
      </c>
      <c r="CG14" s="3107">
        <f t="shared" ref="CG14" si="2">+CF14</f>
        <v>202</v>
      </c>
      <c r="CH14" s="680">
        <f t="shared" si="1"/>
        <v>202</v>
      </c>
      <c r="CI14" s="680">
        <f t="shared" si="1"/>
        <v>202</v>
      </c>
      <c r="CJ14" s="680">
        <f t="shared" si="1"/>
        <v>202</v>
      </c>
      <c r="CK14" s="568">
        <f t="shared" si="1"/>
        <v>202</v>
      </c>
      <c r="CL14" s="680"/>
      <c r="CT14" s="2074"/>
    </row>
    <row r="15" spans="1:98">
      <c r="A15" s="606" t="s">
        <v>575</v>
      </c>
      <c r="B15" s="365"/>
      <c r="C15" s="365"/>
      <c r="D15" s="413">
        <f>AC15</f>
        <v>23.571000000000002</v>
      </c>
      <c r="E15" s="451">
        <f>AG15</f>
        <v>20.052</v>
      </c>
      <c r="F15" s="413">
        <f>AK15</f>
        <v>361.45600000000002</v>
      </c>
      <c r="G15" s="413">
        <f>AO15</f>
        <v>347.10300000000001</v>
      </c>
      <c r="H15" s="413">
        <f>AS15</f>
        <v>335.97</v>
      </c>
      <c r="I15" s="413">
        <f>AW15</f>
        <v>712.78800000000001</v>
      </c>
      <c r="J15" s="413">
        <f>BA15</f>
        <v>644.19500000000005</v>
      </c>
      <c r="K15" s="413">
        <f>BE15</f>
        <v>427.65899999999999</v>
      </c>
      <c r="L15" s="451">
        <f>+BI15</f>
        <v>393</v>
      </c>
      <c r="M15" s="451">
        <f>+BM15</f>
        <v>552</v>
      </c>
      <c r="N15" s="451">
        <f>+BQ15</f>
        <v>597</v>
      </c>
      <c r="O15" s="451">
        <f>BU15</f>
        <v>580</v>
      </c>
      <c r="P15" s="451">
        <f>BY15</f>
        <v>281</v>
      </c>
      <c r="Q15" s="451">
        <f>CC15</f>
        <v>2721</v>
      </c>
      <c r="R15" s="451">
        <f ca="1">CG15</f>
        <v>846</v>
      </c>
      <c r="S15" s="451">
        <f t="shared" ca="1" si="0"/>
        <v>781.06553982488265</v>
      </c>
      <c r="T15" s="451">
        <f ca="1">+T58/360*(IS!T32+IS!T39)</f>
        <v>745.59286780307968</v>
      </c>
      <c r="U15" s="451">
        <f ca="1">+U58/360*(IS!U32+IS!U39)</f>
        <v>720.44615362922787</v>
      </c>
      <c r="V15" s="451">
        <f ca="1">+V58/360*(IS!V32+IS!V39)</f>
        <v>708.73203570800081</v>
      </c>
      <c r="W15" s="451">
        <f ca="1">+W58/360*(IS!W32+IS!W39)</f>
        <v>699.52721843277152</v>
      </c>
      <c r="X15" s="451">
        <f ca="1">+X58/360*(IS!X32+IS!X39)</f>
        <v>691.07153945517143</v>
      </c>
      <c r="Y15" s="823"/>
      <c r="Z15" s="399"/>
      <c r="AA15" s="451"/>
      <c r="AB15" s="451"/>
      <c r="AC15" s="569">
        <f>(INPUTS_2!B14+INPUTS_2!B65)/1000</f>
        <v>23.571000000000002</v>
      </c>
      <c r="AD15" s="489">
        <f>(INPUTS_2!C14+INPUTS_2!C65)/1000</f>
        <v>26.126000000000001</v>
      </c>
      <c r="AE15" s="451">
        <f>(INPUTS_2!D14+INPUTS_2!D65)/1000</f>
        <v>20.8</v>
      </c>
      <c r="AF15" s="451">
        <f>(INPUTS_2!E14+INPUTS_2!E65)/1000</f>
        <v>19.097000000000001</v>
      </c>
      <c r="AG15" s="569">
        <f>(INPUTS_2!F14+INPUTS_2!F65)/1000</f>
        <v>20.052</v>
      </c>
      <c r="AH15" s="489">
        <f>(INPUTS_2!G14+INPUTS_2!G65)/1000</f>
        <v>23.582000000000001</v>
      </c>
      <c r="AI15" s="451">
        <f>(INPUTS_2!H14+INPUTS_2!H65)/1000</f>
        <v>22.8</v>
      </c>
      <c r="AJ15" s="451">
        <f>(INPUTS_2!I14+INPUTS_2!I65)/1000</f>
        <v>20.803999999999998</v>
      </c>
      <c r="AK15" s="569">
        <f>(INPUTS_2!J14+INPUTS_2!J65)/1000</f>
        <v>361.45600000000002</v>
      </c>
      <c r="AL15" s="489">
        <f>(INPUTS_2!K14+INPUTS_2!K65)/1000</f>
        <v>347.55188640597311</v>
      </c>
      <c r="AM15" s="451">
        <f>(INPUTS_2!L14+INPUTS_2!L65)/1000</f>
        <v>285.49400000000003</v>
      </c>
      <c r="AN15" s="451">
        <f>(INPUTS_2!M14+INPUTS_2!M65)/1000</f>
        <v>321.738</v>
      </c>
      <c r="AO15" s="569">
        <f>(INPUTS_2!N14+INPUTS_2!N65)/1000</f>
        <v>347.10300000000001</v>
      </c>
      <c r="AP15" s="489">
        <f>(INPUTS_2!O14+INPUTS_2!O65)/1000</f>
        <v>370.58</v>
      </c>
      <c r="AQ15" s="451">
        <f>(INPUTS_2!P14+INPUTS_2!P65)/1000</f>
        <v>358.07100000000003</v>
      </c>
      <c r="AR15" s="451">
        <f>(INPUTS_2!Q14+INPUTS_2!Q65)/1000</f>
        <v>345.20600000000002</v>
      </c>
      <c r="AS15" s="569">
        <f>(INPUTS_2!R14+INPUTS_2!R65)/1000</f>
        <v>335.97</v>
      </c>
      <c r="AT15" s="489">
        <f>(INPUTS_2!S14+INPUTS_2!S65)/1000</f>
        <v>761.19100000000003</v>
      </c>
      <c r="AU15" s="451">
        <f>(INPUTS_2!T14+INPUTS_2!T65)/1000</f>
        <v>677.91499999999996</v>
      </c>
      <c r="AV15" s="451">
        <f>(INPUTS_2!U14+INPUTS_2!U65)/1000</f>
        <v>682.81399999999996</v>
      </c>
      <c r="AW15" s="569">
        <f>(INPUTS_2!V14+INPUTS_2!V65)/1000</f>
        <v>712.78800000000001</v>
      </c>
      <c r="AX15" s="489">
        <f>(INPUTS_2!W14+INPUTS_2!W65)/1000</f>
        <v>635.20600000000002</v>
      </c>
      <c r="AY15" s="451">
        <f>(INPUTS_2!X14+INPUTS_2!X65)/1000</f>
        <v>634.98928341393309</v>
      </c>
      <c r="AZ15" s="451">
        <f>(INPUTS_2!Y14+INPUTS_2!Y65)/1000</f>
        <v>617.33699999999999</v>
      </c>
      <c r="BA15" s="569">
        <f>(INPUTS_2!Z14+INPUTS_2!Z65)/1000</f>
        <v>644.19500000000005</v>
      </c>
      <c r="BB15" s="489">
        <f>(INPUTS_2!AA14+INPUTS_2!AA65)/1000</f>
        <v>544.54</v>
      </c>
      <c r="BC15" s="451">
        <f>(INPUTS_2!AB14+INPUTS_2!AB65)/1000</f>
        <v>511.26299999999998</v>
      </c>
      <c r="BD15" s="451">
        <f>(INPUTS_2!AC14+INPUTS_2!AC65)/1000</f>
        <v>557.39300000000003</v>
      </c>
      <c r="BE15" s="451">
        <f>743-BE14</f>
        <v>427.65899999999999</v>
      </c>
      <c r="BF15" s="1811">
        <f>+BF16-BF14-BF13-BF11</f>
        <v>337</v>
      </c>
      <c r="BG15" s="2015">
        <f>348</f>
        <v>348</v>
      </c>
      <c r="BH15" s="622">
        <v>378</v>
      </c>
      <c r="BI15" s="1830">
        <v>393</v>
      </c>
      <c r="BJ15" s="622">
        <v>481</v>
      </c>
      <c r="BK15" s="622">
        <v>628</v>
      </c>
      <c r="BL15" s="622">
        <v>649</v>
      </c>
      <c r="BM15" s="1830">
        <v>552</v>
      </c>
      <c r="BN15" s="572">
        <f>587+5</f>
        <v>592</v>
      </c>
      <c r="BO15" s="622">
        <f>58+570</f>
        <v>628</v>
      </c>
      <c r="BP15" s="622">
        <f>68+563</f>
        <v>631</v>
      </c>
      <c r="BQ15" s="1830">
        <v>597</v>
      </c>
      <c r="BR15" s="622">
        <v>632</v>
      </c>
      <c r="BS15" s="622">
        <f>3417-BS14-BS13</f>
        <v>628</v>
      </c>
      <c r="BT15" s="622">
        <v>591</v>
      </c>
      <c r="BU15" s="1830">
        <v>580</v>
      </c>
      <c r="BV15" s="2933">
        <v>622</v>
      </c>
      <c r="BW15" s="2933">
        <v>599</v>
      </c>
      <c r="BX15" s="2933">
        <v>594</v>
      </c>
      <c r="BY15" s="2933">
        <f>581-BY14</f>
        <v>281</v>
      </c>
      <c r="BZ15" s="2943">
        <f>617-BZ14</f>
        <v>367</v>
      </c>
      <c r="CA15" s="2933">
        <f>2600-CA14-CA13</f>
        <v>426</v>
      </c>
      <c r="CB15" s="2933">
        <f>631-CB14</f>
        <v>429</v>
      </c>
      <c r="CC15" s="3107">
        <f>2376+547-CC14</f>
        <v>2721</v>
      </c>
      <c r="CD15" s="2933">
        <f ca="1">4754-CD14-CD13</f>
        <v>2762.6250852079074</v>
      </c>
      <c r="CE15" s="2933">
        <f>691+7-CE14</f>
        <v>496</v>
      </c>
      <c r="CF15" s="2933">
        <f>7+639-CF14</f>
        <v>444</v>
      </c>
      <c r="CG15" s="3107">
        <f ca="1">4194-CG14-CG13-CG11</f>
        <v>846</v>
      </c>
      <c r="CH15" s="680">
        <f ca="1">+CH58/90*(IS!CI32+IS!CI39)</f>
        <v>825.74396289298909</v>
      </c>
      <c r="CI15" s="680">
        <f ca="1">+CI58/90*(IS!CJ32+IS!CJ39)</f>
        <v>809.60931964086194</v>
      </c>
      <c r="CJ15" s="680">
        <f ca="1">+CJ58/90*(IS!CK32+IS!CK39)</f>
        <v>797.61647101735377</v>
      </c>
      <c r="CK15" s="568">
        <f ca="1">+CK58/90*(IS!CL32+IS!CL39)</f>
        <v>781.06553982488265</v>
      </c>
      <c r="CL15" s="680"/>
      <c r="CT15" s="2074"/>
    </row>
    <row r="16" spans="1:98">
      <c r="A16" s="364" t="s">
        <v>822</v>
      </c>
      <c r="B16" s="364"/>
      <c r="C16" s="364"/>
      <c r="D16" s="582">
        <f t="shared" ref="D16:O16" si="3">SUM(D11:D15)</f>
        <v>462.93900000000008</v>
      </c>
      <c r="E16" s="499">
        <f t="shared" si="3"/>
        <v>619.84699999999998</v>
      </c>
      <c r="F16" s="582">
        <f t="shared" si="3"/>
        <v>1617.0160000000001</v>
      </c>
      <c r="G16" s="582">
        <f t="shared" si="3"/>
        <v>1313.117</v>
      </c>
      <c r="H16" s="582">
        <f t="shared" si="3"/>
        <v>1278.3990000000001</v>
      </c>
      <c r="I16" s="582">
        <f t="shared" si="3"/>
        <v>4415.4069999708445</v>
      </c>
      <c r="J16" s="582">
        <f t="shared" si="3"/>
        <v>5414.9460121308439</v>
      </c>
      <c r="K16" s="582">
        <f t="shared" si="3"/>
        <v>3265</v>
      </c>
      <c r="L16" s="585">
        <f t="shared" si="3"/>
        <v>3517</v>
      </c>
      <c r="M16" s="585">
        <f t="shared" si="3"/>
        <v>3613</v>
      </c>
      <c r="N16" s="585">
        <f t="shared" si="3"/>
        <v>3907</v>
      </c>
      <c r="O16" s="499">
        <f t="shared" si="3"/>
        <v>3576.4358619999998</v>
      </c>
      <c r="P16" s="499">
        <f t="shared" ref="P16:U16" ca="1" si="4">SUM(P11:P15)</f>
        <v>2652</v>
      </c>
      <c r="Q16" s="499">
        <f t="shared" ca="1" si="4"/>
        <v>5164</v>
      </c>
      <c r="R16" s="499">
        <f ca="1">SUM(R11:R15)</f>
        <v>4194</v>
      </c>
      <c r="S16" s="499">
        <f t="shared" ca="1" si="0"/>
        <v>3749.2614160939802</v>
      </c>
      <c r="T16" s="499">
        <f t="shared" ca="1" si="4"/>
        <v>4091.4327206895514</v>
      </c>
      <c r="U16" s="499">
        <f t="shared" ca="1" si="4"/>
        <v>4480.2070032624906</v>
      </c>
      <c r="V16" s="499">
        <f ca="1">SUM(V11:V15)</f>
        <v>5048.8218968965266</v>
      </c>
      <c r="W16" s="499">
        <f ca="1">SUM(W11:W15)</f>
        <v>5777.3673210381039</v>
      </c>
      <c r="X16" s="499">
        <f ca="1">SUM(X11:X15)</f>
        <v>6260.134864079766</v>
      </c>
      <c r="Y16" s="823"/>
      <c r="Z16" s="404"/>
      <c r="AA16" s="499"/>
      <c r="AB16" s="499"/>
      <c r="AC16" s="608">
        <f t="shared" ref="AC16:BE16" si="5">SUM(AC11:AC15)</f>
        <v>462.93900000000008</v>
      </c>
      <c r="AD16" s="610">
        <f t="shared" si="5"/>
        <v>513.1</v>
      </c>
      <c r="AE16" s="499">
        <f t="shared" si="5"/>
        <v>336.88</v>
      </c>
      <c r="AF16" s="499">
        <f t="shared" si="5"/>
        <v>430.83600000000001</v>
      </c>
      <c r="AG16" s="608">
        <f t="shared" si="5"/>
        <v>619.84699999999998</v>
      </c>
      <c r="AH16" s="610">
        <f t="shared" si="5"/>
        <v>578.60599999999999</v>
      </c>
      <c r="AI16" s="499">
        <f t="shared" si="5"/>
        <v>551.35699999999997</v>
      </c>
      <c r="AJ16" s="499">
        <f t="shared" si="5"/>
        <v>728.351</v>
      </c>
      <c r="AK16" s="608">
        <f t="shared" si="5"/>
        <v>1617.0160000000001</v>
      </c>
      <c r="AL16" s="610">
        <f t="shared" si="5"/>
        <v>1660.0453008443465</v>
      </c>
      <c r="AM16" s="499">
        <f t="shared" si="5"/>
        <v>1226.252</v>
      </c>
      <c r="AN16" s="499">
        <f t="shared" si="5"/>
        <v>1281.546</v>
      </c>
      <c r="AO16" s="608">
        <f t="shared" si="5"/>
        <v>1313.117</v>
      </c>
      <c r="AP16" s="610">
        <f t="shared" si="5"/>
        <v>2020.8629999999998</v>
      </c>
      <c r="AQ16" s="499">
        <f t="shared" si="5"/>
        <v>1286.4059999999999</v>
      </c>
      <c r="AR16" s="499">
        <f t="shared" si="5"/>
        <v>1319.88</v>
      </c>
      <c r="AS16" s="608">
        <f t="shared" si="5"/>
        <v>1278.3990000000001</v>
      </c>
      <c r="AT16" s="610">
        <f t="shared" si="5"/>
        <v>4402.2369999708453</v>
      </c>
      <c r="AU16" s="499">
        <f t="shared" si="5"/>
        <v>4512.315999970845</v>
      </c>
      <c r="AV16" s="499">
        <f t="shared" si="5"/>
        <v>4403.7829999708456</v>
      </c>
      <c r="AW16" s="608">
        <f t="shared" si="5"/>
        <v>4415.4069999708445</v>
      </c>
      <c r="AX16" s="610">
        <f t="shared" si="5"/>
        <v>3856.3350028508448</v>
      </c>
      <c r="AY16" s="499">
        <f t="shared" si="5"/>
        <v>4886.4379704994499</v>
      </c>
      <c r="AZ16" s="499">
        <f t="shared" si="5"/>
        <v>5509.8051474908443</v>
      </c>
      <c r="BA16" s="608">
        <f t="shared" si="5"/>
        <v>5414.9460121308439</v>
      </c>
      <c r="BB16" s="610">
        <f t="shared" si="5"/>
        <v>4813.0150724108453</v>
      </c>
      <c r="BC16" s="499">
        <f t="shared" si="5"/>
        <v>4707.1672470508447</v>
      </c>
      <c r="BD16" s="499">
        <f t="shared" si="5"/>
        <v>5290.211505530845</v>
      </c>
      <c r="BE16" s="499">
        <f t="shared" si="5"/>
        <v>3265</v>
      </c>
      <c r="BF16" s="610">
        <v>3107</v>
      </c>
      <c r="BG16" s="499">
        <f t="shared" ref="BG16:BY16" si="6">SUM(BG11:BG15)</f>
        <v>5007</v>
      </c>
      <c r="BH16" s="499">
        <f t="shared" si="6"/>
        <v>3808</v>
      </c>
      <c r="BI16" s="608">
        <f t="shared" si="6"/>
        <v>3517</v>
      </c>
      <c r="BJ16" s="499">
        <f t="shared" si="6"/>
        <v>4882</v>
      </c>
      <c r="BK16" s="499">
        <f t="shared" si="6"/>
        <v>3847</v>
      </c>
      <c r="BL16" s="499">
        <f t="shared" si="6"/>
        <v>3833</v>
      </c>
      <c r="BM16" s="608">
        <f t="shared" si="6"/>
        <v>3613</v>
      </c>
      <c r="BN16" s="610">
        <f t="shared" si="6"/>
        <v>3875</v>
      </c>
      <c r="BO16" s="499">
        <f t="shared" si="6"/>
        <v>3648</v>
      </c>
      <c r="BP16" s="499">
        <f t="shared" si="6"/>
        <v>3812</v>
      </c>
      <c r="BQ16" s="608">
        <f t="shared" si="6"/>
        <v>3907</v>
      </c>
      <c r="BR16" s="499">
        <f t="shared" si="6"/>
        <v>3748</v>
      </c>
      <c r="BS16" s="499">
        <f t="shared" si="6"/>
        <v>3598</v>
      </c>
      <c r="BT16" s="499">
        <f t="shared" si="6"/>
        <v>4018</v>
      </c>
      <c r="BU16" s="608">
        <f>SUM(BU11:BU15)</f>
        <v>3576.4358619999998</v>
      </c>
      <c r="BV16" s="499">
        <f t="shared" ca="1" si="6"/>
        <v>3468</v>
      </c>
      <c r="BW16" s="499">
        <f ca="1">SUM(BW11:BW15)</f>
        <v>3305</v>
      </c>
      <c r="BX16" s="499">
        <f ca="1">SUM(BX11:BX15)</f>
        <v>3350</v>
      </c>
      <c r="BY16" s="608">
        <f t="shared" ca="1" si="6"/>
        <v>2652</v>
      </c>
      <c r="BZ16" s="499">
        <f t="shared" ref="BZ16:CB16" ca="1" si="7">SUM(BZ11:BZ15)</f>
        <v>2928</v>
      </c>
      <c r="CA16" s="499">
        <f t="shared" ca="1" si="7"/>
        <v>2793</v>
      </c>
      <c r="CB16" s="499">
        <f t="shared" ca="1" si="7"/>
        <v>2730</v>
      </c>
      <c r="CC16" s="608">
        <f ca="1">SUM(CC11:CC15)</f>
        <v>5164</v>
      </c>
      <c r="CD16" s="499">
        <f ca="1">SUM(CD11:CD15)</f>
        <v>4970</v>
      </c>
      <c r="CE16" s="499">
        <f ca="1">SUM(CE11:CE15)</f>
        <v>8923</v>
      </c>
      <c r="CF16" s="499">
        <f ca="1">SUM(CF11:CF15)</f>
        <v>8698</v>
      </c>
      <c r="CG16" s="608">
        <f t="shared" ref="CG16" ca="1" si="8">SUM(CG11:CG15)</f>
        <v>4194</v>
      </c>
      <c r="CH16" s="685">
        <f ca="1">SUM(CH11:CH15)</f>
        <v>3849.8330558691418</v>
      </c>
      <c r="CI16" s="685">
        <f ca="1">SUM(CI11:CI15)</f>
        <v>3766.9225950842037</v>
      </c>
      <c r="CJ16" s="685">
        <f ca="1">SUM(CJ11:CJ15)</f>
        <v>3747.9415440092203</v>
      </c>
      <c r="CK16" s="683">
        <f ca="1">SUM(CK11:CK15)</f>
        <v>3749.2614160939802</v>
      </c>
      <c r="CL16" s="680"/>
      <c r="CT16" s="2074"/>
    </row>
    <row r="17" spans="1:98">
      <c r="A17" s="364"/>
      <c r="B17" s="364"/>
      <c r="C17" s="364"/>
      <c r="D17" s="413"/>
      <c r="E17" s="451"/>
      <c r="F17" s="413"/>
      <c r="G17" s="413"/>
      <c r="H17" s="413"/>
      <c r="I17" s="413"/>
      <c r="J17" s="413"/>
      <c r="K17" s="413"/>
      <c r="L17" s="589"/>
      <c r="M17" s="589"/>
      <c r="N17" s="589"/>
      <c r="O17" s="451"/>
      <c r="P17" s="451"/>
      <c r="Q17" s="451"/>
      <c r="R17" s="451"/>
      <c r="S17" s="451">
        <f t="shared" si="0"/>
        <v>0</v>
      </c>
      <c r="T17" s="451"/>
      <c r="U17" s="451"/>
      <c r="V17" s="451"/>
      <c r="W17" s="451"/>
      <c r="X17" s="451"/>
      <c r="Y17" s="823"/>
      <c r="Z17" s="399"/>
      <c r="AA17" s="451"/>
      <c r="AB17" s="451"/>
      <c r="AC17" s="608"/>
      <c r="AD17" s="610"/>
      <c r="AE17" s="499"/>
      <c r="AF17" s="499"/>
      <c r="AG17" s="608"/>
      <c r="AH17" s="610"/>
      <c r="AI17" s="499"/>
      <c r="AJ17" s="499"/>
      <c r="AK17" s="608"/>
      <c r="AL17" s="610"/>
      <c r="AM17" s="499"/>
      <c r="AN17" s="499"/>
      <c r="AO17" s="608"/>
      <c r="AP17" s="610"/>
      <c r="AQ17" s="499"/>
      <c r="AR17" s="499"/>
      <c r="AS17" s="608"/>
      <c r="AT17" s="610"/>
      <c r="AU17" s="499"/>
      <c r="AV17" s="499"/>
      <c r="AW17" s="608"/>
      <c r="AX17" s="610"/>
      <c r="AY17" s="499"/>
      <c r="AZ17" s="499"/>
      <c r="BA17" s="608"/>
      <c r="BB17" s="610"/>
      <c r="BC17" s="499"/>
      <c r="BD17" s="499"/>
      <c r="BE17" s="499"/>
      <c r="BF17" s="610"/>
      <c r="BG17" s="499"/>
      <c r="BH17" s="499"/>
      <c r="BI17" s="608"/>
      <c r="BJ17" s="499"/>
      <c r="BK17" s="499"/>
      <c r="BL17" s="499"/>
      <c r="BM17" s="499"/>
      <c r="BN17" s="610"/>
      <c r="BO17" s="499"/>
      <c r="BP17" s="499"/>
      <c r="BQ17" s="608"/>
      <c r="BR17" s="499"/>
      <c r="BS17" s="499"/>
      <c r="BT17" s="499"/>
      <c r="BU17" s="608"/>
      <c r="BV17" s="499"/>
      <c r="BW17" s="499"/>
      <c r="BX17" s="499"/>
      <c r="BY17" s="608"/>
      <c r="BZ17" s="499"/>
      <c r="CA17" s="499"/>
      <c r="CB17" s="499"/>
      <c r="CC17" s="608"/>
      <c r="CD17" s="499"/>
      <c r="CE17" s="499"/>
      <c r="CF17" s="499"/>
      <c r="CG17" s="608"/>
      <c r="CH17" s="685"/>
      <c r="CI17" s="685"/>
      <c r="CJ17" s="685"/>
      <c r="CK17" s="683"/>
      <c r="CL17" s="680"/>
      <c r="CT17" s="2074"/>
    </row>
    <row r="18" spans="1:98" ht="11.25" hidden="1" customHeight="1" outlineLevel="1">
      <c r="A18" s="606" t="s">
        <v>826</v>
      </c>
      <c r="B18" s="611"/>
      <c r="C18" s="611"/>
      <c r="D18" s="413">
        <f t="shared" ref="D18:D24" si="9">AC18</f>
        <v>7184.1549999999997</v>
      </c>
      <c r="E18" s="451">
        <f t="shared" ref="E18:E24" si="10">AG18</f>
        <v>7431.0169999999998</v>
      </c>
      <c r="F18" s="413">
        <f t="shared" ref="F18:F24" si="11">AK18</f>
        <v>28241.377</v>
      </c>
      <c r="G18" s="413">
        <f t="shared" ref="G18:G24" si="12">AO18</f>
        <v>28698.76</v>
      </c>
      <c r="H18" s="413">
        <f t="shared" ref="H18:H24" si="13">AS18</f>
        <v>29468.106</v>
      </c>
      <c r="I18" s="413">
        <f t="shared" ref="I18:I24" si="14">AW18</f>
        <v>76895.007831775365</v>
      </c>
      <c r="J18" s="413">
        <f t="shared" ref="J18:J24" si="15">BA18</f>
        <v>62156.762999999999</v>
      </c>
      <c r="K18" s="413">
        <f t="shared" ref="K18:K24" si="16">BE18</f>
        <v>63687</v>
      </c>
      <c r="L18" s="451">
        <f>+BI18</f>
        <v>29585</v>
      </c>
      <c r="M18" s="451">
        <f>+BM18</f>
        <v>32086</v>
      </c>
      <c r="N18" s="451">
        <f>+BQ18</f>
        <v>34307</v>
      </c>
      <c r="O18" s="451">
        <f>BU18</f>
        <v>36718</v>
      </c>
      <c r="P18" s="451">
        <f>BY18</f>
        <v>38785</v>
      </c>
      <c r="Q18" s="451">
        <f>CC18</f>
        <v>39194</v>
      </c>
      <c r="R18" s="451">
        <f>CG18</f>
        <v>51204</v>
      </c>
      <c r="S18" s="451">
        <f t="shared" si="0"/>
        <v>55085.251023213947</v>
      </c>
      <c r="T18" s="451">
        <f>+S18-CFS!T34</f>
        <v>58859.191631420064</v>
      </c>
      <c r="U18" s="451">
        <f>+T18-CFS!U34</f>
        <v>62601.655085158069</v>
      </c>
      <c r="V18" s="451">
        <f>+U18-CFS!V34</f>
        <v>66319.900793976558</v>
      </c>
      <c r="W18" s="451">
        <f>+V18-CFS!W34</f>
        <v>70026.738908781626</v>
      </c>
      <c r="X18" s="451">
        <f>+W18-CFS!X34</f>
        <v>73725.947835429688</v>
      </c>
      <c r="Y18" s="823"/>
      <c r="Z18" s="399"/>
      <c r="AA18" s="405"/>
      <c r="AB18" s="405"/>
      <c r="AC18" s="569">
        <f>(INPUTS_2!B17+INPUTS_2!B68)/1000</f>
        <v>7184.1549999999997</v>
      </c>
      <c r="AD18" s="489">
        <f>(INPUTS_2!C17+INPUTS_2!C68)/1000</f>
        <v>7227.1390000000001</v>
      </c>
      <c r="AE18" s="451">
        <f>(INPUTS_2!D17+INPUTS_2!D68)/1000</f>
        <v>7254.5839999999998</v>
      </c>
      <c r="AF18" s="451">
        <f>(INPUTS_2!E17+INPUTS_2!E68)/1000</f>
        <v>7333.8710000000001</v>
      </c>
      <c r="AG18" s="569">
        <f>(INPUTS_2!F17+INPUTS_2!F68)/1000</f>
        <v>7431.0169999999998</v>
      </c>
      <c r="AH18" s="489">
        <f>(INPUTS_2!G17+INPUTS_2!G68)/1000</f>
        <v>7496.3630000000003</v>
      </c>
      <c r="AI18" s="451">
        <f>(INPUTS_2!H17+INPUTS_2!H68)/1000</f>
        <v>7633.8440000000001</v>
      </c>
      <c r="AJ18" s="451">
        <f>(INPUTS_2!I17+INPUTS_2!I68)/1000</f>
        <v>7699.4179999999997</v>
      </c>
      <c r="AK18" s="569">
        <f>(INPUTS_2!J17+INPUTS_2!J68)/1000</f>
        <v>28241.377</v>
      </c>
      <c r="AL18" s="489">
        <f>(INPUTS_2!K17+INPUTS_2!K68)/1000</f>
        <v>28355.887100131749</v>
      </c>
      <c r="AM18" s="451">
        <f>(INPUTS_2!L17+INPUTS_2!L68)/1000</f>
        <v>28452.528999999999</v>
      </c>
      <c r="AN18" s="451">
        <f>(INPUTS_2!M17+INPUTS_2!M68)/1000</f>
        <v>28587.851999999999</v>
      </c>
      <c r="AO18" s="569">
        <f>(INPUTS_2!N17+INPUTS_2!N68)/1000</f>
        <v>28698.76</v>
      </c>
      <c r="AP18" s="489">
        <f>(INPUTS_2!O17+INPUTS_2!O68)/1000</f>
        <v>28739.995999999999</v>
      </c>
      <c r="AQ18" s="451">
        <f>(INPUTS_2!P17+INPUTS_2!P68)/1000</f>
        <v>29440.266</v>
      </c>
      <c r="AR18" s="451">
        <f>(INPUTS_2!Q17+INPUTS_2!Q68)/1000</f>
        <v>29431.776999999998</v>
      </c>
      <c r="AS18" s="569">
        <f>(INPUTS_2!R17+INPUTS_2!R68)/1000</f>
        <v>29468.106</v>
      </c>
      <c r="AT18" s="489">
        <f>(INPUTS_2!S17+INPUTS_2!S68)/1000</f>
        <v>76161.712</v>
      </c>
      <c r="AU18" s="451">
        <f>(INPUTS_2!T17+INPUTS_2!T68)/1000</f>
        <v>76515.737345351416</v>
      </c>
      <c r="AV18" s="451">
        <f>(INPUTS_2!U17+INPUTS_2!U68)/1000</f>
        <v>77008.320000000007</v>
      </c>
      <c r="AW18" s="569">
        <f>(INPUTS_2!V17+INPUTS_2!V68)/1000</f>
        <v>76895.007831775365</v>
      </c>
      <c r="AX18" s="489">
        <f>(INPUTS_2!W17+INPUTS_2!W68)/1000</f>
        <v>76726.815655537051</v>
      </c>
      <c r="AY18" s="451">
        <f>(INPUTS_2!X17+INPUTS_2!X68)/1000</f>
        <v>76958.171655537051</v>
      </c>
      <c r="AZ18" s="451">
        <f>(INPUTS_2!Y17+INPUTS_2!Y68)/1000</f>
        <v>62168.553</v>
      </c>
      <c r="BA18" s="569">
        <f>(INPUTS_2!Z17+INPUTS_2!Z68)/1000</f>
        <v>62156.762999999999</v>
      </c>
      <c r="BB18" s="489">
        <f>(INPUTS_2!AA17+INPUTS_2!AA68)/1000</f>
        <v>62381.911999999997</v>
      </c>
      <c r="BC18" s="451">
        <f>(INPUTS_2!AB17+INPUTS_2!AB68)/1000</f>
        <v>62658.487000000001</v>
      </c>
      <c r="BD18" s="451">
        <f>(INPUTS_2!AC17+INPUTS_2!AC68)/1000</f>
        <v>63161.285000000003</v>
      </c>
      <c r="BE18" s="622">
        <v>63687</v>
      </c>
      <c r="BF18" s="572">
        <f>16516.985+47551</f>
        <v>64067.985000000001</v>
      </c>
      <c r="BG18" s="622">
        <v>26595</v>
      </c>
      <c r="BH18" s="451">
        <f>-BH19+BH20</f>
        <v>28606</v>
      </c>
      <c r="BI18" s="569">
        <v>29585</v>
      </c>
      <c r="BJ18" s="622">
        <v>30188</v>
      </c>
      <c r="BK18" s="622">
        <v>30623</v>
      </c>
      <c r="BL18" s="622">
        <v>31288</v>
      </c>
      <c r="BM18" s="622">
        <v>32086</v>
      </c>
      <c r="BN18" s="572">
        <v>32571</v>
      </c>
      <c r="BO18" s="622">
        <v>33204</v>
      </c>
      <c r="BP18" s="622">
        <v>33724</v>
      </c>
      <c r="BQ18" s="1830">
        <v>34307</v>
      </c>
      <c r="BR18" s="622">
        <v>34847</v>
      </c>
      <c r="BS18" s="622">
        <v>35404</v>
      </c>
      <c r="BT18" s="622">
        <v>35970</v>
      </c>
      <c r="BU18" s="1830">
        <v>36718</v>
      </c>
      <c r="BV18" s="622">
        <v>37100</v>
      </c>
      <c r="BW18" s="622">
        <v>37642</v>
      </c>
      <c r="BX18" s="622">
        <v>38250</v>
      </c>
      <c r="BY18" s="1830">
        <v>38785</v>
      </c>
      <c r="BZ18" s="2880">
        <v>39229</v>
      </c>
      <c r="CA18" s="2880">
        <v>39763</v>
      </c>
      <c r="CB18" s="2880">
        <v>40304</v>
      </c>
      <c r="CC18" s="2881">
        <v>39194</v>
      </c>
      <c r="CD18" s="2880">
        <v>39642</v>
      </c>
      <c r="CE18" s="2880">
        <v>40744</v>
      </c>
      <c r="CF18" s="2880">
        <v>41352</v>
      </c>
      <c r="CG18" s="2881">
        <v>51204</v>
      </c>
      <c r="CH18" s="680">
        <f>+CG18-CFS!CE34+CG25-CFS!CE40</f>
        <v>52204.476040000001</v>
      </c>
      <c r="CI18" s="680">
        <f>+CH18-CFS!CF34+CH25-CFS!CF40</f>
        <v>53171.045579194004</v>
      </c>
      <c r="CJ18" s="680">
        <f>+CI18-CFS!CG34+CI25-CFS!CG40</f>
        <v>54135.126410176228</v>
      </c>
      <c r="CK18" s="568">
        <f>+CJ18-CFS!CH34+CJ25-CFS!CH40</f>
        <v>55085.251023213947</v>
      </c>
      <c r="CL18" s="680"/>
      <c r="CT18" s="2074"/>
    </row>
    <row r="19" spans="1:98" ht="12.75" hidden="1" customHeight="1" outlineLevel="1">
      <c r="A19" s="418" t="s">
        <v>827</v>
      </c>
      <c r="B19" s="611"/>
      <c r="C19" s="611"/>
      <c r="D19" s="413">
        <f t="shared" si="9"/>
        <v>-3728.674</v>
      </c>
      <c r="E19" s="451">
        <f t="shared" si="10"/>
        <v>-4089.616</v>
      </c>
      <c r="F19" s="413">
        <f t="shared" si="11"/>
        <v>-16782.891</v>
      </c>
      <c r="G19" s="413">
        <f t="shared" si="12"/>
        <v>-17601.483</v>
      </c>
      <c r="H19" s="413">
        <f t="shared" si="13"/>
        <v>-18611.73</v>
      </c>
      <c r="I19" s="413">
        <f t="shared" si="14"/>
        <v>-53543.115831775365</v>
      </c>
      <c r="J19" s="413">
        <f t="shared" si="15"/>
        <v>-40760.624000000003</v>
      </c>
      <c r="K19" s="413">
        <f t="shared" si="16"/>
        <v>-43139</v>
      </c>
      <c r="L19" s="451">
        <f>+BI19</f>
        <v>-10141</v>
      </c>
      <c r="M19" s="451">
        <f>+BM19</f>
        <v>-13054</v>
      </c>
      <c r="N19" s="451">
        <f>+BQ19</f>
        <v>-15661</v>
      </c>
      <c r="O19" s="451">
        <f>BU19</f>
        <v>-18285</v>
      </c>
      <c r="P19" s="451">
        <f>BY19</f>
        <v>-20716</v>
      </c>
      <c r="Q19" s="451">
        <f>CC19</f>
        <v>-22155</v>
      </c>
      <c r="R19" s="451">
        <f>CG19</f>
        <v>-24352</v>
      </c>
      <c r="S19" s="451">
        <f t="shared" si="0"/>
        <v>-29806.51630359636</v>
      </c>
      <c r="T19" s="451">
        <f>+S19-CFS!T128</f>
        <v>-35151.942281120791</v>
      </c>
      <c r="U19" s="451">
        <f>+T19-CFS!U128</f>
        <v>-40390.459739094738</v>
      </c>
      <c r="V19" s="451">
        <f>+U19-CFS!V128</f>
        <v>-45537.303141554141</v>
      </c>
      <c r="W19" s="451">
        <f>+V19-CFS!W128</f>
        <v>-50594.076784470504</v>
      </c>
      <c r="X19" s="451">
        <f>+W19-CFS!X128</f>
        <v>-55562.356888635826</v>
      </c>
      <c r="Y19" s="823"/>
      <c r="Z19" s="399"/>
      <c r="AA19" s="573"/>
      <c r="AB19" s="573"/>
      <c r="AC19" s="569">
        <f>(INPUTS_2!B18+INPUTS_2!B69)/1000</f>
        <v>-3728.674</v>
      </c>
      <c r="AD19" s="489">
        <f>(INPUTS_2!C18+INPUTS_2!C69)/1000</f>
        <v>-3838.3229999999999</v>
      </c>
      <c r="AE19" s="451">
        <f>(INPUTS_2!D18+INPUTS_2!D69)/1000</f>
        <v>-3906.6129999999998</v>
      </c>
      <c r="AF19" s="451">
        <f>(INPUTS_2!E18+INPUTS_2!E69)/1000</f>
        <v>-3998.3319999999999</v>
      </c>
      <c r="AG19" s="569">
        <f>(INPUTS_2!F18+INPUTS_2!F69)/1000</f>
        <v>-4089.616</v>
      </c>
      <c r="AH19" s="489">
        <f>(INPUTS_2!G18+INPUTS_2!G69)/1000</f>
        <v>-4208.5140000000001</v>
      </c>
      <c r="AI19" s="451">
        <f>(INPUTS_2!H18+INPUTS_2!H69)/1000</f>
        <v>-4313.99</v>
      </c>
      <c r="AJ19" s="451">
        <f>(INPUTS_2!I18+INPUTS_2!I69)/1000</f>
        <v>-4400.3029999999999</v>
      </c>
      <c r="AK19" s="569">
        <f>(INPUTS_2!J18+INPUTS_2!J69)/1000</f>
        <v>-16782.891</v>
      </c>
      <c r="AL19" s="489">
        <f>(INPUTS_2!K18+INPUTS_2!K69)/1000</f>
        <v>-17026.845100131755</v>
      </c>
      <c r="AM19" s="451">
        <f>(INPUTS_2!L18+INPUTS_2!L69)/1000</f>
        <v>-17233.522000000001</v>
      </c>
      <c r="AN19" s="451">
        <f>(INPUTS_2!M18+INPUTS_2!M69)/1000</f>
        <v>-17403.812000000002</v>
      </c>
      <c r="AO19" s="569">
        <f>(INPUTS_2!N18+INPUTS_2!N69)/1000</f>
        <v>-17601.483</v>
      </c>
      <c r="AP19" s="489">
        <f>(INPUTS_2!O18+INPUTS_2!O69)/1000</f>
        <v>-17795.438999999998</v>
      </c>
      <c r="AQ19" s="451">
        <f>(INPUTS_2!P18+INPUTS_2!P69)/1000</f>
        <v>-18398.716</v>
      </c>
      <c r="AR19" s="451">
        <f>(INPUTS_2!Q18+INPUTS_2!Q69)/1000</f>
        <v>-18525.957999999999</v>
      </c>
      <c r="AS19" s="569">
        <f>(INPUTS_2!R18+INPUTS_2!R69)/1000</f>
        <v>-18611.73</v>
      </c>
      <c r="AT19" s="489">
        <f>(INPUTS_2!S18+INPUTS_2!S69)/1000</f>
        <v>-51970.578000000001</v>
      </c>
      <c r="AU19" s="451">
        <f>(INPUTS_2!T18+INPUTS_2!T69)/1000</f>
        <v>-52508.897345351412</v>
      </c>
      <c r="AV19" s="451">
        <f>(INPUTS_2!U18+INPUTS_2!U69)/1000</f>
        <v>-53283.97</v>
      </c>
      <c r="AW19" s="569">
        <f>(INPUTS_2!V18+INPUTS_2!V69)/1000</f>
        <v>-53543.115831775365</v>
      </c>
      <c r="AX19" s="489">
        <f>(INPUTS_2!W18+INPUTS_2!W69)/1000</f>
        <v>-53838.245655537052</v>
      </c>
      <c r="AY19" s="451">
        <f>(INPUTS_2!X18+INPUTS_2!X69)/1000</f>
        <v>-54394.415667287867</v>
      </c>
      <c r="AZ19" s="451">
        <f>(INPUTS_2!Y18+INPUTS_2!Y69)/1000</f>
        <v>-40406.366000000002</v>
      </c>
      <c r="BA19" s="569">
        <f>(INPUTS_2!Z18+INPUTS_2!Z69)/1000</f>
        <v>-40760.624000000003</v>
      </c>
      <c r="BB19" s="489">
        <f>(INPUTS_2!AA18+INPUTS_2!AA69)/1000</f>
        <v>-41333.614999999998</v>
      </c>
      <c r="BC19" s="451">
        <f>(INPUTS_2!AB18+INPUTS_2!AB69)/1000</f>
        <v>-41863.016000000003</v>
      </c>
      <c r="BD19" s="451">
        <f>(INPUTS_2!AC18+INPUTS_2!AC69)/1000</f>
        <v>-42529.542000000001</v>
      </c>
      <c r="BE19" s="622">
        <v>-43139</v>
      </c>
      <c r="BF19" s="572">
        <f>-7868.405-35886</f>
        <v>-43754.404999999999</v>
      </c>
      <c r="BG19" s="622">
        <v>-8571</v>
      </c>
      <c r="BH19" s="622">
        <v>-9316</v>
      </c>
      <c r="BI19" s="1830">
        <v>-10141</v>
      </c>
      <c r="BJ19" s="622">
        <v>-10893</v>
      </c>
      <c r="BK19" s="622">
        <v>-11569</v>
      </c>
      <c r="BL19" s="622">
        <v>-12275</v>
      </c>
      <c r="BM19" s="622">
        <v>-13054</v>
      </c>
      <c r="BN19" s="572">
        <v>-13746</v>
      </c>
      <c r="BO19" s="622">
        <v>-14427</v>
      </c>
      <c r="BP19" s="622">
        <v>-15059</v>
      </c>
      <c r="BQ19" s="1830">
        <v>-15661</v>
      </c>
      <c r="BR19" s="622">
        <v>-16354</v>
      </c>
      <c r="BS19" s="622">
        <v>-16969</v>
      </c>
      <c r="BT19" s="622">
        <v>-17647</v>
      </c>
      <c r="BU19" s="1830">
        <v>-18285</v>
      </c>
      <c r="BV19" s="622">
        <v>-18917</v>
      </c>
      <c r="BW19" s="622">
        <v>-19553</v>
      </c>
      <c r="BX19" s="622">
        <v>-20182</v>
      </c>
      <c r="BY19" s="1830">
        <v>-20716</v>
      </c>
      <c r="BZ19" s="2880">
        <v>-21266</v>
      </c>
      <c r="CA19" s="2880">
        <v>-21869</v>
      </c>
      <c r="CB19" s="2880">
        <v>-22464</v>
      </c>
      <c r="CC19" s="2881">
        <v>-22155</v>
      </c>
      <c r="CD19" s="2880">
        <v>-22626</v>
      </c>
      <c r="CE19" s="2880">
        <v>-23161</v>
      </c>
      <c r="CF19" s="2880">
        <v>-23718</v>
      </c>
      <c r="CG19" s="2881">
        <v>-24352</v>
      </c>
      <c r="CH19" s="680">
        <f>+CG19-CFS!CE128</f>
        <v>-25711.544999999998</v>
      </c>
      <c r="CI19" s="680">
        <f>+CH19-CFS!CF128</f>
        <v>-27073.809089999999</v>
      </c>
      <c r="CJ19" s="680">
        <f>+CI19-CFS!CG128</f>
        <v>-28438.797708179998</v>
      </c>
      <c r="CK19" s="568">
        <f>+CJ19-CFS!CH128</f>
        <v>-29806.51630359636</v>
      </c>
      <c r="CL19" s="680"/>
      <c r="CT19" s="2074"/>
    </row>
    <row r="20" spans="1:98" collapsed="1">
      <c r="A20" s="418" t="s">
        <v>941</v>
      </c>
      <c r="B20" s="365"/>
      <c r="C20" s="365"/>
      <c r="D20" s="413">
        <f t="shared" si="9"/>
        <v>3455.4809999999998</v>
      </c>
      <c r="E20" s="451">
        <f t="shared" si="10"/>
        <v>3341.4009999999998</v>
      </c>
      <c r="F20" s="413">
        <f t="shared" si="11"/>
        <v>11458.486000000001</v>
      </c>
      <c r="G20" s="413">
        <f t="shared" si="12"/>
        <v>11097.276999999998</v>
      </c>
      <c r="H20" s="413">
        <f t="shared" si="13"/>
        <v>10856.376</v>
      </c>
      <c r="I20" s="413">
        <f t="shared" si="14"/>
        <v>23351.892</v>
      </c>
      <c r="J20" s="413">
        <f t="shared" si="15"/>
        <v>21396.138999999996</v>
      </c>
      <c r="K20" s="413">
        <f t="shared" si="16"/>
        <v>20548</v>
      </c>
      <c r="L20" s="451">
        <f>+BI20</f>
        <v>19444</v>
      </c>
      <c r="M20" s="451">
        <f>+BM20</f>
        <v>19032</v>
      </c>
      <c r="N20" s="451">
        <f>+BQ20</f>
        <v>18646</v>
      </c>
      <c r="O20" s="451">
        <f>BU20</f>
        <v>18433</v>
      </c>
      <c r="P20" s="451">
        <f>BY20</f>
        <v>18069</v>
      </c>
      <c r="Q20" s="451">
        <f>CC20</f>
        <v>17039</v>
      </c>
      <c r="R20" s="451">
        <f>CG20</f>
        <v>26852</v>
      </c>
      <c r="S20" s="451">
        <f t="shared" si="0"/>
        <v>25278.734719617587</v>
      </c>
      <c r="T20" s="451">
        <f>T19+T18</f>
        <v>23707.249350299273</v>
      </c>
      <c r="U20" s="451">
        <f>U19+U18</f>
        <v>22211.19534606333</v>
      </c>
      <c r="V20" s="451">
        <f>V19+V18</f>
        <v>20782.597652422417</v>
      </c>
      <c r="W20" s="451">
        <f>W19+W18</f>
        <v>19432.662124311122</v>
      </c>
      <c r="X20" s="451">
        <f>X19+X18</f>
        <v>18163.590946793862</v>
      </c>
      <c r="Y20" s="823"/>
      <c r="Z20" s="399"/>
      <c r="AA20" s="573"/>
      <c r="AB20" s="573"/>
      <c r="AC20" s="569">
        <f t="shared" ref="AC20:BE20" si="17">SUM(AC18:AC19)</f>
        <v>3455.4809999999998</v>
      </c>
      <c r="AD20" s="489">
        <f t="shared" si="17"/>
        <v>3388.8160000000003</v>
      </c>
      <c r="AE20" s="451">
        <f t="shared" si="17"/>
        <v>3347.971</v>
      </c>
      <c r="AF20" s="451">
        <f t="shared" si="17"/>
        <v>3335.5390000000002</v>
      </c>
      <c r="AG20" s="569">
        <f t="shared" si="17"/>
        <v>3341.4009999999998</v>
      </c>
      <c r="AH20" s="489">
        <f t="shared" si="17"/>
        <v>3287.8490000000002</v>
      </c>
      <c r="AI20" s="451">
        <f t="shared" si="17"/>
        <v>3319.8540000000003</v>
      </c>
      <c r="AJ20" s="451">
        <f t="shared" si="17"/>
        <v>3299.1149999999998</v>
      </c>
      <c r="AK20" s="569">
        <f t="shared" si="17"/>
        <v>11458.486000000001</v>
      </c>
      <c r="AL20" s="489">
        <f t="shared" si="17"/>
        <v>11329.041999999994</v>
      </c>
      <c r="AM20" s="451">
        <f t="shared" si="17"/>
        <v>11219.006999999998</v>
      </c>
      <c r="AN20" s="451">
        <f t="shared" si="17"/>
        <v>11184.039999999997</v>
      </c>
      <c r="AO20" s="569">
        <f t="shared" si="17"/>
        <v>11097.276999999998</v>
      </c>
      <c r="AP20" s="489">
        <f t="shared" si="17"/>
        <v>10944.557000000001</v>
      </c>
      <c r="AQ20" s="451">
        <f t="shared" si="17"/>
        <v>11041.55</v>
      </c>
      <c r="AR20" s="451">
        <f t="shared" si="17"/>
        <v>10905.819</v>
      </c>
      <c r="AS20" s="569">
        <f t="shared" si="17"/>
        <v>10856.376</v>
      </c>
      <c r="AT20" s="489">
        <f t="shared" si="17"/>
        <v>24191.133999999998</v>
      </c>
      <c r="AU20" s="451">
        <f t="shared" si="17"/>
        <v>24006.840000000004</v>
      </c>
      <c r="AV20" s="451">
        <f t="shared" si="17"/>
        <v>23724.350000000006</v>
      </c>
      <c r="AW20" s="569">
        <f t="shared" si="17"/>
        <v>23351.892</v>
      </c>
      <c r="AX20" s="489">
        <f t="shared" si="17"/>
        <v>22888.57</v>
      </c>
      <c r="AY20" s="451">
        <f t="shared" si="17"/>
        <v>22563.755988249184</v>
      </c>
      <c r="AZ20" s="451">
        <f t="shared" si="17"/>
        <v>21762.186999999998</v>
      </c>
      <c r="BA20" s="569">
        <f t="shared" si="17"/>
        <v>21396.138999999996</v>
      </c>
      <c r="BB20" s="489">
        <f t="shared" si="17"/>
        <v>21048.296999999999</v>
      </c>
      <c r="BC20" s="451">
        <f t="shared" si="17"/>
        <v>20795.470999999998</v>
      </c>
      <c r="BD20" s="451">
        <f t="shared" si="17"/>
        <v>20631.743000000002</v>
      </c>
      <c r="BE20" s="451">
        <f t="shared" si="17"/>
        <v>20548</v>
      </c>
      <c r="BF20" s="572">
        <f>ROUNDUP(SUM(BF18:BF19),0)</f>
        <v>20314</v>
      </c>
      <c r="BG20" s="622">
        <f>SUM(BG18:BG19)</f>
        <v>18024</v>
      </c>
      <c r="BH20" s="622">
        <v>19290</v>
      </c>
      <c r="BI20" s="1830">
        <v>19444</v>
      </c>
      <c r="BJ20" s="622">
        <v>19295</v>
      </c>
      <c r="BK20" s="622">
        <v>19054</v>
      </c>
      <c r="BL20" s="451">
        <f t="shared" ref="BL20:BR20" si="18">+BL18+BL19</f>
        <v>19013</v>
      </c>
      <c r="BM20" s="451">
        <f t="shared" si="18"/>
        <v>19032</v>
      </c>
      <c r="BN20" s="489">
        <f t="shared" si="18"/>
        <v>18825</v>
      </c>
      <c r="BO20" s="451">
        <f t="shared" si="18"/>
        <v>18777</v>
      </c>
      <c r="BP20" s="451">
        <f t="shared" si="18"/>
        <v>18665</v>
      </c>
      <c r="BQ20" s="569">
        <f t="shared" si="18"/>
        <v>18646</v>
      </c>
      <c r="BR20" s="451">
        <f t="shared" si="18"/>
        <v>18493</v>
      </c>
      <c r="BS20" s="451">
        <f>+BS18+BS19</f>
        <v>18435</v>
      </c>
      <c r="BT20" s="451">
        <f t="shared" ref="BT20:BY20" si="19">SUM(BT18:BT19)</f>
        <v>18323</v>
      </c>
      <c r="BU20" s="569">
        <f t="shared" si="19"/>
        <v>18433</v>
      </c>
      <c r="BV20" s="451">
        <f t="shared" si="19"/>
        <v>18183</v>
      </c>
      <c r="BW20" s="451">
        <f t="shared" si="19"/>
        <v>18089</v>
      </c>
      <c r="BX20" s="451">
        <f t="shared" si="19"/>
        <v>18068</v>
      </c>
      <c r="BY20" s="569">
        <f t="shared" si="19"/>
        <v>18069</v>
      </c>
      <c r="BZ20" s="451">
        <f t="shared" ref="BZ20:CB20" si="20">SUM(BZ18:BZ19)</f>
        <v>17963</v>
      </c>
      <c r="CA20" s="451">
        <f t="shared" si="20"/>
        <v>17894</v>
      </c>
      <c r="CB20" s="451">
        <f t="shared" si="20"/>
        <v>17840</v>
      </c>
      <c r="CC20" s="569">
        <f>SUM(CC18:CC19)</f>
        <v>17039</v>
      </c>
      <c r="CD20" s="451">
        <f>SUM(CD18:CD19)</f>
        <v>17016</v>
      </c>
      <c r="CE20" s="451">
        <f>SUM(CE18:CE19)</f>
        <v>17583</v>
      </c>
      <c r="CF20" s="451">
        <f>SUM(CF18:CF19)</f>
        <v>17634</v>
      </c>
      <c r="CG20" s="569">
        <f t="shared" ref="CG20" si="21">SUM(CG18:CG19)</f>
        <v>26852</v>
      </c>
      <c r="CH20" s="680">
        <f>SUM(CH18:CH19)</f>
        <v>26492.931040000003</v>
      </c>
      <c r="CI20" s="680">
        <f>SUM(CI18:CI19)</f>
        <v>26097.236489194005</v>
      </c>
      <c r="CJ20" s="680">
        <f>SUM(CJ18:CJ19)</f>
        <v>25696.32870199623</v>
      </c>
      <c r="CK20" s="568">
        <f>SUM(CK18:CK19)</f>
        <v>25278.734719617587</v>
      </c>
      <c r="CL20" s="680"/>
      <c r="CT20" s="2074"/>
    </row>
    <row r="21" spans="1:98">
      <c r="A21" s="418" t="s">
        <v>576</v>
      </c>
      <c r="B21" s="365"/>
      <c r="C21" s="365"/>
      <c r="D21" s="413">
        <f t="shared" si="9"/>
        <v>3425.0010000000002</v>
      </c>
      <c r="E21" s="451">
        <f t="shared" si="10"/>
        <v>3433.864</v>
      </c>
      <c r="F21" s="413">
        <f t="shared" si="11"/>
        <v>3459.6489999999999</v>
      </c>
      <c r="G21" s="413">
        <f t="shared" si="12"/>
        <v>3458.136</v>
      </c>
      <c r="H21" s="413">
        <f t="shared" si="13"/>
        <v>4037.9160000000002</v>
      </c>
      <c r="I21" s="413">
        <f t="shared" si="14"/>
        <v>7879.674</v>
      </c>
      <c r="J21" s="413">
        <f t="shared" si="15"/>
        <v>10251.758</v>
      </c>
      <c r="K21" s="413">
        <f t="shared" si="16"/>
        <v>23001</v>
      </c>
      <c r="L21" s="451">
        <f>+BI21</f>
        <v>21732</v>
      </c>
      <c r="M21" s="451">
        <f>+BM21</f>
        <v>21732</v>
      </c>
      <c r="N21" s="451">
        <f>+BQ21</f>
        <v>20674</v>
      </c>
      <c r="O21" s="451">
        <f>BU21</f>
        <v>20755</v>
      </c>
      <c r="P21" s="451">
        <f>BY21</f>
        <v>20742</v>
      </c>
      <c r="Q21" s="451">
        <f>CC21</f>
        <v>19650</v>
      </c>
      <c r="R21" s="451">
        <f>CG21</f>
        <v>30475</v>
      </c>
      <c r="S21" s="451">
        <f t="shared" si="0"/>
        <v>30475</v>
      </c>
      <c r="T21" s="2933">
        <f>+S21</f>
        <v>30475</v>
      </c>
      <c r="U21" s="2933">
        <f>+T21</f>
        <v>30475</v>
      </c>
      <c r="V21" s="2933">
        <f>+U21</f>
        <v>30475</v>
      </c>
      <c r="W21" s="2933">
        <f>+V21</f>
        <v>30475</v>
      </c>
      <c r="X21" s="2933">
        <f>+W21</f>
        <v>30475</v>
      </c>
      <c r="Y21" s="823"/>
      <c r="Z21" s="399"/>
      <c r="AA21" s="612"/>
      <c r="AB21" s="612"/>
      <c r="AC21" s="569">
        <f>(INPUTS_2!B20+INPUTS_2!B71)/1000</f>
        <v>3425.0010000000002</v>
      </c>
      <c r="AD21" s="489">
        <f>(INPUTS_2!C20+INPUTS_2!C71)/1000</f>
        <v>3426.7139999999999</v>
      </c>
      <c r="AE21" s="451">
        <f>(INPUTS_2!D20+INPUTS_2!D71)/1000</f>
        <v>3426.7660000000001</v>
      </c>
      <c r="AF21" s="451">
        <f>(INPUTS_2!E20+INPUTS_2!E71)/1000</f>
        <v>3430.3020000000001</v>
      </c>
      <c r="AG21" s="569">
        <f>(INPUTS_2!F20+INPUTS_2!F71)/1000</f>
        <v>3433.864</v>
      </c>
      <c r="AH21" s="489">
        <f>(INPUTS_2!G20+INPUTS_2!G71)/1000</f>
        <v>3433.864</v>
      </c>
      <c r="AI21" s="451">
        <f>(INPUTS_2!H20+INPUTS_2!H71)/1000</f>
        <v>3444.1979999999999</v>
      </c>
      <c r="AJ21" s="451">
        <f>(INPUTS_2!I20+INPUTS_2!I71)/1000</f>
        <v>3432.623</v>
      </c>
      <c r="AK21" s="569">
        <f>(INPUTS_2!J20+INPUTS_2!J71)/1000</f>
        <v>3459.6489999999999</v>
      </c>
      <c r="AL21" s="489">
        <f>(INPUTS_2!K20+INPUTS_2!K71)/1000</f>
        <v>3459.6489999999999</v>
      </c>
      <c r="AM21" s="451">
        <f>(INPUTS_2!L20+INPUTS_2!L71)/1000</f>
        <v>3458.136</v>
      </c>
      <c r="AN21" s="451">
        <f>(INPUTS_2!M20+INPUTS_2!M71)/1000</f>
        <v>3458.136</v>
      </c>
      <c r="AO21" s="569">
        <f>(INPUTS_2!N20+INPUTS_2!N71)/1000</f>
        <v>3458.136</v>
      </c>
      <c r="AP21" s="489">
        <f>(INPUTS_2!O20+INPUTS_2!O71)/1000</f>
        <v>3458.136</v>
      </c>
      <c r="AQ21" s="451">
        <f>(INPUTS_2!P20+INPUTS_2!P71)/1000</f>
        <v>4026.5259999999998</v>
      </c>
      <c r="AR21" s="451">
        <f>(INPUTS_2!Q20+INPUTS_2!Q71)/1000</f>
        <v>4024.0279999999998</v>
      </c>
      <c r="AS21" s="569">
        <f>(INPUTS_2!R20+INPUTS_2!R71)/1000</f>
        <v>4037.9160000000002</v>
      </c>
      <c r="AT21" s="489">
        <f>(INPUTS_2!S20+INPUTS_2!S71)/1000</f>
        <v>4037.9160000000002</v>
      </c>
      <c r="AU21" s="451">
        <f>(INPUTS_2!T20+INPUTS_2!T71)/1000</f>
        <v>4037.027</v>
      </c>
      <c r="AV21" s="451">
        <f>(INPUTS_2!U20+INPUTS_2!U71)/1000</f>
        <v>7874.027</v>
      </c>
      <c r="AW21" s="569">
        <f>(INPUTS_2!V20+INPUTS_2!V71)/1000</f>
        <v>7879.674</v>
      </c>
      <c r="AX21" s="489">
        <f>(INPUTS_2!W20+INPUTS_2!W71)/1000</f>
        <v>9615</v>
      </c>
      <c r="AY21" s="451">
        <f>(INPUTS_2!X20+INPUTS_2!X71)/1000</f>
        <v>9615</v>
      </c>
      <c r="AZ21" s="451">
        <f>(INPUTS_2!Y20+INPUTS_2!Y71)/1000</f>
        <v>10033.994000000001</v>
      </c>
      <c r="BA21" s="569">
        <f>(INPUTS_2!Z20+INPUTS_2!Z71)/1000</f>
        <v>10251.758</v>
      </c>
      <c r="BB21" s="489">
        <f>(INPUTS_2!AA20+INPUTS_2!AA71)/1000</f>
        <v>10251.758</v>
      </c>
      <c r="BC21" s="451">
        <f>(INPUTS_2!AB20+INPUTS_2!AB71)/1000</f>
        <v>10260.64</v>
      </c>
      <c r="BD21" s="451">
        <f>(INPUTS_2!AC20+INPUTS_2!AC71)/1000</f>
        <v>10260.64</v>
      </c>
      <c r="BE21" s="622">
        <v>23001</v>
      </c>
      <c r="BF21" s="572">
        <v>22898</v>
      </c>
      <c r="BG21" s="622">
        <v>20266</v>
      </c>
      <c r="BH21" s="622">
        <v>21702</v>
      </c>
      <c r="BI21" s="1830">
        <v>21732</v>
      </c>
      <c r="BJ21" s="622">
        <v>21726</v>
      </c>
      <c r="BK21" s="622">
        <v>21732</v>
      </c>
      <c r="BL21" s="622">
        <v>21732</v>
      </c>
      <c r="BM21" s="622">
        <v>21732</v>
      </c>
      <c r="BN21" s="572">
        <v>21733</v>
      </c>
      <c r="BO21" s="622">
        <v>21744</v>
      </c>
      <c r="BP21" s="622">
        <v>20637</v>
      </c>
      <c r="BQ21" s="1830">
        <v>20674</v>
      </c>
      <c r="BR21" s="622">
        <v>20674</v>
      </c>
      <c r="BS21" s="622">
        <v>20674</v>
      </c>
      <c r="BT21" s="622">
        <v>20664</v>
      </c>
      <c r="BU21" s="1830">
        <v>20755</v>
      </c>
      <c r="BV21" s="2880">
        <v>20753</v>
      </c>
      <c r="BW21" s="2880">
        <v>20758</v>
      </c>
      <c r="BX21" s="2880">
        <v>20757</v>
      </c>
      <c r="BY21" s="2881">
        <v>20742</v>
      </c>
      <c r="BZ21" s="2880">
        <v>20743</v>
      </c>
      <c r="CA21" s="2880">
        <v>20766</v>
      </c>
      <c r="CB21" s="2880">
        <v>20766</v>
      </c>
      <c r="CC21" s="2881">
        <v>19650</v>
      </c>
      <c r="CD21" s="2880">
        <v>19650</v>
      </c>
      <c r="CE21" s="2880">
        <v>19639</v>
      </c>
      <c r="CF21" s="2880">
        <v>19638</v>
      </c>
      <c r="CG21" s="2881">
        <v>30475</v>
      </c>
      <c r="CH21" s="680">
        <f>+CG21</f>
        <v>30475</v>
      </c>
      <c r="CI21" s="680">
        <f>+CH21</f>
        <v>30475</v>
      </c>
      <c r="CJ21" s="680">
        <f>+CI21</f>
        <v>30475</v>
      </c>
      <c r="CK21" s="568">
        <f>+CJ21</f>
        <v>30475</v>
      </c>
      <c r="CL21" s="680"/>
      <c r="CT21" s="2074"/>
    </row>
    <row r="22" spans="1:98">
      <c r="A22" s="418" t="s">
        <v>579</v>
      </c>
      <c r="B22" s="365"/>
      <c r="C22" s="365"/>
      <c r="D22" s="413">
        <f t="shared" si="9"/>
        <v>0</v>
      </c>
      <c r="E22" s="451">
        <f t="shared" si="10"/>
        <v>0</v>
      </c>
      <c r="F22" s="413">
        <f t="shared" si="11"/>
        <v>0</v>
      </c>
      <c r="G22" s="413">
        <f t="shared" si="12"/>
        <v>0</v>
      </c>
      <c r="H22" s="413">
        <f t="shared" si="13"/>
        <v>0</v>
      </c>
      <c r="I22" s="413">
        <f t="shared" si="14"/>
        <v>875</v>
      </c>
      <c r="J22" s="413">
        <f t="shared" si="15"/>
        <v>911</v>
      </c>
      <c r="K22" s="413">
        <f t="shared" si="16"/>
        <v>0</v>
      </c>
      <c r="L22" s="451"/>
      <c r="M22" s="451"/>
      <c r="N22" s="451"/>
      <c r="O22" s="451"/>
      <c r="P22" s="451"/>
      <c r="Q22" s="451"/>
      <c r="R22" s="451"/>
      <c r="S22" s="451">
        <f t="shared" si="0"/>
        <v>0</v>
      </c>
      <c r="T22" s="451"/>
      <c r="U22" s="451"/>
      <c r="V22" s="451"/>
      <c r="W22" s="451"/>
      <c r="X22" s="451"/>
      <c r="Y22" s="823"/>
      <c r="Z22" s="399"/>
      <c r="AA22" s="612"/>
      <c r="AB22" s="612"/>
      <c r="AC22" s="569">
        <f>INPUTS_2!B72/1000</f>
        <v>0</v>
      </c>
      <c r="AD22" s="489">
        <f>INPUTS_2!C72/1000</f>
        <v>0</v>
      </c>
      <c r="AE22" s="451">
        <f>INPUTS_2!D72/1000</f>
        <v>0</v>
      </c>
      <c r="AF22" s="451">
        <f>INPUTS_2!E72/1000</f>
        <v>0</v>
      </c>
      <c r="AG22" s="569">
        <f>INPUTS_2!F72/1000</f>
        <v>0</v>
      </c>
      <c r="AH22" s="489">
        <f>INPUTS_2!G72/1000</f>
        <v>0</v>
      </c>
      <c r="AI22" s="451">
        <f>INPUTS_2!H72/1000</f>
        <v>0</v>
      </c>
      <c r="AJ22" s="451">
        <f>INPUTS_2!I72/1000</f>
        <v>0</v>
      </c>
      <c r="AK22" s="569">
        <f>INPUTS_2!J72/1000</f>
        <v>0</v>
      </c>
      <c r="AL22" s="489">
        <f>INPUTS_2!K72/1000</f>
        <v>0</v>
      </c>
      <c r="AM22" s="451">
        <f>INPUTS_2!L72/1000</f>
        <v>0</v>
      </c>
      <c r="AN22" s="451">
        <f>INPUTS_2!M72/1000</f>
        <v>0</v>
      </c>
      <c r="AO22" s="569">
        <f>INPUTS_2!N72/1000</f>
        <v>0</v>
      </c>
      <c r="AP22" s="489">
        <f>INPUTS_2!O72/1000</f>
        <v>0</v>
      </c>
      <c r="AQ22" s="451">
        <f>INPUTS_2!P72/1000</f>
        <v>0</v>
      </c>
      <c r="AR22" s="451">
        <f>INPUTS_2!Q72/1000</f>
        <v>0</v>
      </c>
      <c r="AS22" s="569">
        <f>INPUTS_2!R72/1000</f>
        <v>0</v>
      </c>
      <c r="AT22" s="489">
        <f>INPUTS_2!S72/1000</f>
        <v>868</v>
      </c>
      <c r="AU22" s="451">
        <f>INPUTS_2!T72/1000</f>
        <v>862</v>
      </c>
      <c r="AV22" s="451">
        <f>INPUTS_2!U72/1000</f>
        <v>864</v>
      </c>
      <c r="AW22" s="569">
        <f>INPUTS_2!V72/1000</f>
        <v>875</v>
      </c>
      <c r="AX22" s="489">
        <f>INPUTS_2!W72/1000</f>
        <v>880</v>
      </c>
      <c r="AY22" s="451">
        <f>INPUTS_2!X72/1000</f>
        <v>885</v>
      </c>
      <c r="AZ22" s="451">
        <f>INPUTS_2!Y72/1000</f>
        <v>888</v>
      </c>
      <c r="BA22" s="569">
        <f>INPUTS_2!Z72/1000</f>
        <v>911</v>
      </c>
      <c r="BB22" s="489">
        <f>INPUTS_2!AA72/1000</f>
        <v>912</v>
      </c>
      <c r="BC22" s="451">
        <f>INPUTS_2!AB72/1000</f>
        <v>917</v>
      </c>
      <c r="BD22" s="451">
        <f>INPUTS_2!AC72/1000</f>
        <v>923</v>
      </c>
      <c r="BE22" s="451"/>
      <c r="BF22" s="1811"/>
      <c r="BG22" s="2015">
        <v>10767</v>
      </c>
      <c r="BH22" s="451"/>
      <c r="BI22" s="569"/>
      <c r="BJ22" s="451"/>
      <c r="BK22" s="451"/>
      <c r="BL22" s="451"/>
      <c r="BM22" s="451"/>
      <c r="BN22" s="489"/>
      <c r="BO22" s="451"/>
      <c r="BP22" s="451"/>
      <c r="BQ22" s="569"/>
      <c r="BR22" s="451"/>
      <c r="BS22" s="451"/>
      <c r="BT22" s="451"/>
      <c r="BU22" s="569"/>
      <c r="BV22" s="451"/>
      <c r="BW22" s="451"/>
      <c r="BX22" s="451"/>
      <c r="BY22" s="569"/>
      <c r="BZ22" s="451"/>
      <c r="CA22" s="451"/>
      <c r="CB22" s="451"/>
      <c r="CC22" s="569"/>
      <c r="CD22" s="451"/>
      <c r="CE22" s="451"/>
      <c r="CF22" s="451"/>
      <c r="CG22" s="569"/>
      <c r="CH22" s="680"/>
      <c r="CI22" s="680"/>
      <c r="CJ22" s="680"/>
      <c r="CK22" s="568"/>
      <c r="CL22" s="680"/>
      <c r="CT22" s="2074"/>
    </row>
    <row r="23" spans="1:98">
      <c r="A23" s="418" t="s">
        <v>918</v>
      </c>
      <c r="B23" s="365"/>
      <c r="C23" s="365"/>
      <c r="D23" s="413">
        <f t="shared" si="9"/>
        <v>0</v>
      </c>
      <c r="E23" s="451">
        <f t="shared" si="10"/>
        <v>0</v>
      </c>
      <c r="F23" s="413">
        <f t="shared" si="11"/>
        <v>0</v>
      </c>
      <c r="G23" s="413">
        <f t="shared" si="12"/>
        <v>0</v>
      </c>
      <c r="H23" s="413">
        <f t="shared" si="13"/>
        <v>0</v>
      </c>
      <c r="I23" s="413">
        <f t="shared" si="14"/>
        <v>2168</v>
      </c>
      <c r="J23" s="413">
        <f t="shared" si="15"/>
        <v>1971</v>
      </c>
      <c r="K23" s="413">
        <f t="shared" si="16"/>
        <v>0</v>
      </c>
      <c r="L23" s="451"/>
      <c r="M23" s="451"/>
      <c r="N23" s="451"/>
      <c r="O23" s="451"/>
      <c r="P23" s="451"/>
      <c r="Q23" s="451"/>
      <c r="R23" s="451"/>
      <c r="S23" s="451">
        <f t="shared" si="0"/>
        <v>0</v>
      </c>
      <c r="T23" s="451"/>
      <c r="U23" s="451"/>
      <c r="V23" s="451"/>
      <c r="W23" s="451"/>
      <c r="X23" s="451"/>
      <c r="Y23" s="823"/>
      <c r="Z23" s="399"/>
      <c r="AA23" s="612"/>
      <c r="AB23" s="612"/>
      <c r="AC23" s="569">
        <f>INPUTS_2!B73/1000</f>
        <v>0</v>
      </c>
      <c r="AD23" s="489">
        <f>INPUTS_2!C73/1000</f>
        <v>0</v>
      </c>
      <c r="AE23" s="451">
        <f>INPUTS_2!D73/1000</f>
        <v>0</v>
      </c>
      <c r="AF23" s="451">
        <f>INPUTS_2!E73/1000</f>
        <v>0</v>
      </c>
      <c r="AG23" s="569">
        <f>INPUTS_2!F73/1000</f>
        <v>0</v>
      </c>
      <c r="AH23" s="489">
        <f>INPUTS_2!G73/1000</f>
        <v>0</v>
      </c>
      <c r="AI23" s="451">
        <f>INPUTS_2!H73/1000</f>
        <v>0</v>
      </c>
      <c r="AJ23" s="451">
        <f>INPUTS_2!I73/1000</f>
        <v>0</v>
      </c>
      <c r="AK23" s="569">
        <f>INPUTS_2!J73/1000</f>
        <v>0</v>
      </c>
      <c r="AL23" s="489">
        <f>INPUTS_2!K73/1000</f>
        <v>0</v>
      </c>
      <c r="AM23" s="451">
        <f>INPUTS_2!L73/1000</f>
        <v>0</v>
      </c>
      <c r="AN23" s="451">
        <f>INPUTS_2!M73/1000</f>
        <v>0</v>
      </c>
      <c r="AO23" s="569">
        <f>INPUTS_2!N73/1000</f>
        <v>0</v>
      </c>
      <c r="AP23" s="489">
        <f>INPUTS_2!O73/1000</f>
        <v>0</v>
      </c>
      <c r="AQ23" s="451">
        <f>INPUTS_2!P73/1000</f>
        <v>0</v>
      </c>
      <c r="AR23" s="451">
        <f>INPUTS_2!Q73/1000</f>
        <v>0</v>
      </c>
      <c r="AS23" s="569">
        <f>INPUTS_2!R73/1000</f>
        <v>0</v>
      </c>
      <c r="AT23" s="489">
        <f>INPUTS_2!S73/1000</f>
        <v>1491</v>
      </c>
      <c r="AU23" s="451">
        <f>INPUTS_2!T73/1000</f>
        <v>1404</v>
      </c>
      <c r="AV23" s="451">
        <f>INPUTS_2!U73/1000</f>
        <v>1192</v>
      </c>
      <c r="AW23" s="569">
        <f>INPUTS_2!V73/1000</f>
        <v>2168</v>
      </c>
      <c r="AX23" s="489">
        <f>INPUTS_2!W73/1000</f>
        <v>2051</v>
      </c>
      <c r="AY23" s="451">
        <f>INPUTS_2!X73/1000</f>
        <v>2063</v>
      </c>
      <c r="AZ23" s="451">
        <f>INPUTS_2!Y73/1000</f>
        <v>2003</v>
      </c>
      <c r="BA23" s="569">
        <f>INPUTS_2!Z73/1000</f>
        <v>1971</v>
      </c>
      <c r="BB23" s="489">
        <f>INPUTS_2!AA73/1000</f>
        <v>1772</v>
      </c>
      <c r="BC23" s="451">
        <f>INPUTS_2!AB73/1000</f>
        <v>1658</v>
      </c>
      <c r="BD23" s="451">
        <f>INPUTS_2!AC73/1000</f>
        <v>1537</v>
      </c>
      <c r="BE23" s="451"/>
      <c r="BF23" s="1811"/>
      <c r="BG23" s="2015"/>
      <c r="BH23" s="451"/>
      <c r="BI23" s="569"/>
      <c r="BJ23" s="451"/>
      <c r="BK23" s="451"/>
      <c r="BL23" s="451"/>
      <c r="BM23" s="451"/>
      <c r="BN23" s="489"/>
      <c r="BO23" s="451"/>
      <c r="BP23" s="451"/>
      <c r="BQ23" s="569"/>
      <c r="BR23" s="451"/>
      <c r="BS23" s="451"/>
      <c r="BT23" s="451"/>
      <c r="BU23" s="569"/>
      <c r="BV23" s="451"/>
      <c r="BW23" s="451"/>
      <c r="BX23" s="451"/>
      <c r="BY23" s="569"/>
      <c r="BZ23" s="451"/>
      <c r="CA23" s="451"/>
      <c r="CB23" s="451"/>
      <c r="CC23" s="569"/>
      <c r="CD23" s="451"/>
      <c r="CE23" s="451"/>
      <c r="CF23" s="451"/>
      <c r="CG23" s="569"/>
      <c r="CH23" s="680"/>
      <c r="CI23" s="680"/>
      <c r="CJ23" s="680"/>
      <c r="CK23" s="568"/>
      <c r="CL23" s="680"/>
      <c r="CT23" s="2074"/>
    </row>
    <row r="24" spans="1:98">
      <c r="A24" s="418" t="s">
        <v>829</v>
      </c>
      <c r="B24" s="365"/>
      <c r="C24" s="365"/>
      <c r="D24" s="413">
        <f t="shared" si="9"/>
        <v>552.43100000000004</v>
      </c>
      <c r="E24" s="451">
        <f t="shared" si="10"/>
        <v>401.84100000000001</v>
      </c>
      <c r="F24" s="413">
        <f t="shared" si="11"/>
        <v>700.55600000000004</v>
      </c>
      <c r="G24" s="413">
        <f t="shared" si="12"/>
        <v>663.47699999999998</v>
      </c>
      <c r="H24" s="413">
        <f t="shared" si="13"/>
        <v>912.86199999999997</v>
      </c>
      <c r="I24" s="413">
        <f t="shared" si="14"/>
        <v>3127.2220000000002</v>
      </c>
      <c r="J24" s="413">
        <f t="shared" si="15"/>
        <v>2675.241</v>
      </c>
      <c r="K24" s="413">
        <f t="shared" si="16"/>
        <v>5803</v>
      </c>
      <c r="L24" s="451">
        <f>+BI24</f>
        <v>11351</v>
      </c>
      <c r="M24" s="451">
        <f>+BM24</f>
        <v>9643</v>
      </c>
      <c r="N24" s="451">
        <f>+BQ24</f>
        <v>8560</v>
      </c>
      <c r="O24" s="451">
        <f>BU24</f>
        <v>7383</v>
      </c>
      <c r="P24" s="451">
        <f>BY24</f>
        <v>6143</v>
      </c>
      <c r="Q24" s="451">
        <f>CC24</f>
        <v>5164</v>
      </c>
      <c r="R24" s="451">
        <f>CG24</f>
        <v>14059</v>
      </c>
      <c r="S24" s="451">
        <f t="shared" si="0"/>
        <v>14059</v>
      </c>
      <c r="T24" s="2933">
        <f>+S24</f>
        <v>14059</v>
      </c>
      <c r="U24" s="2933">
        <f>+T24</f>
        <v>14059</v>
      </c>
      <c r="V24" s="2933">
        <f>+U24</f>
        <v>14059</v>
      </c>
      <c r="W24" s="2933">
        <f>+V24</f>
        <v>14059</v>
      </c>
      <c r="X24" s="2933">
        <f>+W24</f>
        <v>14059</v>
      </c>
      <c r="Y24" s="823"/>
      <c r="Z24" s="399"/>
      <c r="AA24" s="413"/>
      <c r="AB24" s="413"/>
      <c r="AC24" s="569">
        <f>(INPUTS_2!B21+INPUTS_2!B74)/1000</f>
        <v>552.43100000000004</v>
      </c>
      <c r="AD24" s="489">
        <f>(INPUTS_2!C21+INPUTS_2!C74)/1000</f>
        <v>567.875</v>
      </c>
      <c r="AE24" s="451">
        <f>(INPUTS_2!D21+INPUTS_2!D74)/1000</f>
        <v>572.721</v>
      </c>
      <c r="AF24" s="451">
        <f>(INPUTS_2!E21+INPUTS_2!E74)/1000</f>
        <v>593.65700000000004</v>
      </c>
      <c r="AG24" s="569">
        <f>(INPUTS_2!F21+INPUTS_2!F74)/1000</f>
        <v>401.84100000000001</v>
      </c>
      <c r="AH24" s="489">
        <f>(INPUTS_2!G21+INPUTS_2!G74)/1000</f>
        <v>402.20499999999998</v>
      </c>
      <c r="AI24" s="451">
        <f>(INPUTS_2!H21+INPUTS_2!H74)/1000</f>
        <v>394.62900000000002</v>
      </c>
      <c r="AJ24" s="451">
        <f>(INPUTS_2!I21+INPUTS_2!I74)/1000</f>
        <v>382.447</v>
      </c>
      <c r="AK24" s="569">
        <f>(INPUTS_2!J21+INPUTS_2!J74)/1000</f>
        <v>700.55600000000004</v>
      </c>
      <c r="AL24" s="489">
        <f>(INPUTS_2!K21+INPUTS_2!K74)/1000</f>
        <v>705.82615985997666</v>
      </c>
      <c r="AM24" s="451">
        <f>(INPUTS_2!L21+INPUTS_2!L74)/1000</f>
        <v>709.58900000000006</v>
      </c>
      <c r="AN24" s="451">
        <f>(INPUTS_2!M21+INPUTS_2!M74)/1000</f>
        <v>1399.904</v>
      </c>
      <c r="AO24" s="569">
        <f>(INPUTS_2!N21+INPUTS_2!N74)/1000</f>
        <v>663.47699999999998</v>
      </c>
      <c r="AP24" s="489">
        <f>(INPUTS_2!O21+INPUTS_2!O74)/1000</f>
        <v>649.55499999999995</v>
      </c>
      <c r="AQ24" s="451">
        <f>(INPUTS_2!P21+INPUTS_2!P74)/1000</f>
        <v>810.05399999999997</v>
      </c>
      <c r="AR24" s="451">
        <f>(INPUTS_2!Q21+INPUTS_2!Q74)/1000</f>
        <v>853.923</v>
      </c>
      <c r="AS24" s="569">
        <f>(INPUTS_2!R21+INPUTS_2!R74)/1000</f>
        <v>912.86199999999997</v>
      </c>
      <c r="AT24" s="489">
        <f>(INPUTS_2!S21+INPUTS_2!S74)/1000</f>
        <v>3804.84</v>
      </c>
      <c r="AU24" s="451">
        <f>(INPUTS_2!T21+INPUTS_2!T74)/1000</f>
        <v>3902.8809999999999</v>
      </c>
      <c r="AV24" s="451">
        <f>(INPUTS_2!U21+INPUTS_2!U74)/1000</f>
        <v>5151.7420000000002</v>
      </c>
      <c r="AW24" s="569">
        <f>(INPUTS_2!V21+INPUTS_2!V74)/1000</f>
        <v>3127.2220000000002</v>
      </c>
      <c r="AX24" s="489">
        <f>(INPUTS_2!W21+INPUTS_2!W74)/1000</f>
        <v>3316</v>
      </c>
      <c r="AY24" s="451">
        <f>(INPUTS_2!X21+INPUTS_2!X74)/1000</f>
        <v>2827</v>
      </c>
      <c r="AZ24" s="451">
        <f>(INPUTS_2!Y21+INPUTS_2!Y74)/1000</f>
        <v>2689.6239999999998</v>
      </c>
      <c r="BA24" s="569">
        <f>(INPUTS_2!Z21+INPUTS_2!Z74)/1000</f>
        <v>2675.241</v>
      </c>
      <c r="BB24" s="489">
        <f>(INPUTS_2!AA21+INPUTS_2!AA74)/1000</f>
        <v>2653.502</v>
      </c>
      <c r="BC24" s="451">
        <f>(INPUTS_2!AB21+INPUTS_2!AB74)/1000</f>
        <v>2563.8229999999999</v>
      </c>
      <c r="BD24" s="451">
        <f>(INPUTS_2!AC21+INPUTS_2!AC74)/1000</f>
        <v>2514.7199999999998</v>
      </c>
      <c r="BE24" s="622">
        <v>5803</v>
      </c>
      <c r="BF24" s="572">
        <v>5691</v>
      </c>
      <c r="BG24" s="622">
        <v>778</v>
      </c>
      <c r="BH24" s="622">
        <f>8651+2452+832</f>
        <v>11935</v>
      </c>
      <c r="BI24" s="1830">
        <f>8239+2243+869</f>
        <v>11351</v>
      </c>
      <c r="BJ24" s="622">
        <v>10939</v>
      </c>
      <c r="BK24" s="622">
        <v>10457</v>
      </c>
      <c r="BL24" s="622">
        <v>10054</v>
      </c>
      <c r="BM24" s="622">
        <f>7052+1795+796</f>
        <v>9643</v>
      </c>
      <c r="BN24" s="572">
        <v>9296</v>
      </c>
      <c r="BO24" s="622">
        <v>9085</v>
      </c>
      <c r="BP24" s="622">
        <f>6206+1842+822</f>
        <v>8870</v>
      </c>
      <c r="BQ24" s="1830">
        <v>8560</v>
      </c>
      <c r="BR24" s="622">
        <v>8251</v>
      </c>
      <c r="BS24" s="622">
        <v>7907</v>
      </c>
      <c r="BT24" s="622">
        <f>5146+1664+831</f>
        <v>7641</v>
      </c>
      <c r="BU24" s="1830">
        <v>7383</v>
      </c>
      <c r="BV24" s="2880">
        <v>7116</v>
      </c>
      <c r="BW24" s="2880">
        <f>4399+1586+840</f>
        <v>6825</v>
      </c>
      <c r="BX24" s="2880">
        <v>6579</v>
      </c>
      <c r="BY24" s="2881">
        <v>6143</v>
      </c>
      <c r="BZ24" s="2880">
        <f>3698+1525+662</f>
        <v>5885</v>
      </c>
      <c r="CA24" s="2880">
        <v>5667</v>
      </c>
      <c r="CB24" s="2880">
        <v>5462</v>
      </c>
      <c r="CC24" s="2881">
        <f>2797+1531+836</f>
        <v>5164</v>
      </c>
      <c r="CD24" s="2880">
        <v>4968</v>
      </c>
      <c r="CE24" s="2880">
        <f>2401+1556+823</f>
        <v>4780</v>
      </c>
      <c r="CF24" s="2880">
        <f>2214+1539+813</f>
        <v>4566</v>
      </c>
      <c r="CG24" s="2881">
        <f>10876+1897+1286</f>
        <v>14059</v>
      </c>
      <c r="CH24" s="680">
        <f>+CG24</f>
        <v>14059</v>
      </c>
      <c r="CI24" s="680">
        <f>+CH24</f>
        <v>14059</v>
      </c>
      <c r="CJ24" s="680">
        <f>+CI24</f>
        <v>14059</v>
      </c>
      <c r="CK24" s="568">
        <f>+CJ24</f>
        <v>14059</v>
      </c>
      <c r="CL24" s="680"/>
      <c r="CT24" s="2074"/>
    </row>
    <row r="25" spans="1:98" s="3532" customFormat="1">
      <c r="A25" s="2655" t="s">
        <v>1963</v>
      </c>
      <c r="B25" s="843"/>
      <c r="C25" s="843"/>
      <c r="D25" s="413"/>
      <c r="E25" s="451"/>
      <c r="F25" s="413"/>
      <c r="G25" s="413"/>
      <c r="H25" s="413"/>
      <c r="I25" s="413"/>
      <c r="J25" s="413"/>
      <c r="K25" s="413"/>
      <c r="L25" s="451"/>
      <c r="M25" s="451"/>
      <c r="N25" s="451"/>
      <c r="O25" s="451"/>
      <c r="P25" s="451"/>
      <c r="Q25" s="451">
        <f>CC25</f>
        <v>2</v>
      </c>
      <c r="R25" s="451">
        <f>CG25</f>
        <v>31</v>
      </c>
      <c r="S25" s="451">
        <f t="shared" si="0"/>
        <v>0</v>
      </c>
      <c r="T25" s="2933"/>
      <c r="U25" s="2933"/>
      <c r="V25" s="2933"/>
      <c r="W25" s="2933"/>
      <c r="X25" s="2933"/>
      <c r="Y25" s="823"/>
      <c r="Z25" s="2634"/>
      <c r="AA25" s="413"/>
      <c r="AB25" s="413"/>
      <c r="AC25" s="569"/>
      <c r="AD25" s="489"/>
      <c r="AE25" s="451"/>
      <c r="AF25" s="451"/>
      <c r="AG25" s="569"/>
      <c r="AH25" s="489"/>
      <c r="AI25" s="451"/>
      <c r="AJ25" s="451"/>
      <c r="AK25" s="569"/>
      <c r="AL25" s="489"/>
      <c r="AM25" s="451"/>
      <c r="AN25" s="451"/>
      <c r="AO25" s="569"/>
      <c r="AP25" s="489"/>
      <c r="AQ25" s="451"/>
      <c r="AR25" s="451"/>
      <c r="AS25" s="569"/>
      <c r="AT25" s="489"/>
      <c r="AU25" s="451"/>
      <c r="AV25" s="451"/>
      <c r="AW25" s="569"/>
      <c r="AX25" s="489"/>
      <c r="AY25" s="451"/>
      <c r="AZ25" s="451"/>
      <c r="BA25" s="569"/>
      <c r="BB25" s="489"/>
      <c r="BC25" s="451"/>
      <c r="BD25" s="451"/>
      <c r="BE25" s="622"/>
      <c r="BF25" s="572"/>
      <c r="BG25" s="622"/>
      <c r="BH25" s="622"/>
      <c r="BI25" s="1830"/>
      <c r="BJ25" s="622"/>
      <c r="BK25" s="622"/>
      <c r="BL25" s="622"/>
      <c r="BM25" s="622"/>
      <c r="BN25" s="572"/>
      <c r="BO25" s="622"/>
      <c r="BP25" s="622"/>
      <c r="BQ25" s="1830"/>
      <c r="BR25" s="622"/>
      <c r="BS25" s="622"/>
      <c r="BT25" s="622"/>
      <c r="BU25" s="1830"/>
      <c r="BV25" s="2880"/>
      <c r="BW25" s="2880"/>
      <c r="BX25" s="2880"/>
      <c r="BY25" s="2881"/>
      <c r="BZ25" s="2880"/>
      <c r="CA25" s="2880"/>
      <c r="CB25" s="2880"/>
      <c r="CC25" s="2881">
        <v>2</v>
      </c>
      <c r="CD25" s="2880"/>
      <c r="CE25" s="2880">
        <v>2</v>
      </c>
      <c r="CF25" s="2880">
        <v>2</v>
      </c>
      <c r="CG25" s="2881">
        <v>31</v>
      </c>
      <c r="CH25" s="680"/>
      <c r="CI25" s="680"/>
      <c r="CJ25" s="680"/>
      <c r="CK25" s="568"/>
      <c r="CL25" s="680"/>
      <c r="CM25"/>
      <c r="CN25"/>
      <c r="CO25"/>
      <c r="CP25"/>
      <c r="CQ25"/>
      <c r="CR25"/>
    </row>
    <row r="26" spans="1:98">
      <c r="A26" s="404" t="s">
        <v>833</v>
      </c>
      <c r="B26" s="364"/>
      <c r="C26" s="364"/>
      <c r="D26" s="582">
        <f t="shared" ref="D26:O26" si="22">D16+SUM(D20:D24)</f>
        <v>7895.8520000000008</v>
      </c>
      <c r="E26" s="582">
        <f t="shared" si="22"/>
        <v>7796.9529999999995</v>
      </c>
      <c r="F26" s="582">
        <f t="shared" si="22"/>
        <v>17235.707000000002</v>
      </c>
      <c r="G26" s="582">
        <f t="shared" si="22"/>
        <v>16532.006999999998</v>
      </c>
      <c r="H26" s="582">
        <f t="shared" si="22"/>
        <v>17085.553</v>
      </c>
      <c r="I26" s="582">
        <f t="shared" si="22"/>
        <v>41817.194999970845</v>
      </c>
      <c r="J26" s="582">
        <f t="shared" si="22"/>
        <v>42620.084012130843</v>
      </c>
      <c r="K26" s="582">
        <f t="shared" si="22"/>
        <v>52617</v>
      </c>
      <c r="L26" s="499">
        <f t="shared" si="22"/>
        <v>56044</v>
      </c>
      <c r="M26" s="499">
        <f t="shared" si="22"/>
        <v>54020</v>
      </c>
      <c r="N26" s="499">
        <f t="shared" si="22"/>
        <v>51787</v>
      </c>
      <c r="O26" s="499">
        <f t="shared" si="22"/>
        <v>50147.435861999998</v>
      </c>
      <c r="P26" s="499">
        <f t="shared" ref="P26:U26" ca="1" si="23">P16+SUM(P20:P24)</f>
        <v>47606</v>
      </c>
      <c r="Q26" s="499">
        <f ca="1">Q16+SUM(Q20:Q25)</f>
        <v>47019</v>
      </c>
      <c r="R26" s="499">
        <f ca="1">R16+SUM(R20:R25)</f>
        <v>75611</v>
      </c>
      <c r="S26" s="499">
        <f ca="1">S16+SUM(S20:S25)</f>
        <v>73561.996135711568</v>
      </c>
      <c r="T26" s="499">
        <f t="shared" ca="1" si="23"/>
        <v>72332.682070988827</v>
      </c>
      <c r="U26" s="499">
        <f t="shared" ca="1" si="23"/>
        <v>71225.402349325814</v>
      </c>
      <c r="V26" s="499">
        <f ca="1">V16+SUM(V20:V24)</f>
        <v>70365.419549318947</v>
      </c>
      <c r="W26" s="499">
        <f ca="1">W16+SUM(W20:W24)</f>
        <v>69744.029445349224</v>
      </c>
      <c r="X26" s="499">
        <f ca="1">X16+SUM(X20:X24)</f>
        <v>68957.725810873628</v>
      </c>
      <c r="Y26" s="2552"/>
      <c r="Z26" s="404"/>
      <c r="AA26" s="582"/>
      <c r="AB26" s="582"/>
      <c r="AC26" s="608">
        <f t="shared" ref="AC26:BY26" si="24">AC16+SUM(AC20:AC24)</f>
        <v>7895.8520000000008</v>
      </c>
      <c r="AD26" s="610">
        <f t="shared" si="24"/>
        <v>7896.505000000001</v>
      </c>
      <c r="AE26" s="499">
        <f t="shared" si="24"/>
        <v>7684.3380000000006</v>
      </c>
      <c r="AF26" s="499">
        <f t="shared" si="24"/>
        <v>7790.3340000000007</v>
      </c>
      <c r="AG26" s="608">
        <f t="shared" si="24"/>
        <v>7796.9529999999995</v>
      </c>
      <c r="AH26" s="610">
        <f t="shared" si="24"/>
        <v>7702.5239999999994</v>
      </c>
      <c r="AI26" s="499">
        <f t="shared" si="24"/>
        <v>7710.0379999999996</v>
      </c>
      <c r="AJ26" s="499">
        <f t="shared" si="24"/>
        <v>7842.5359999999991</v>
      </c>
      <c r="AK26" s="608">
        <f t="shared" si="24"/>
        <v>17235.707000000002</v>
      </c>
      <c r="AL26" s="610">
        <f t="shared" si="24"/>
        <v>17154.562460704317</v>
      </c>
      <c r="AM26" s="499">
        <f t="shared" si="24"/>
        <v>16612.983999999997</v>
      </c>
      <c r="AN26" s="499">
        <f t="shared" si="24"/>
        <v>17323.625999999997</v>
      </c>
      <c r="AO26" s="608">
        <f t="shared" si="24"/>
        <v>16532.006999999998</v>
      </c>
      <c r="AP26" s="610">
        <f t="shared" si="24"/>
        <v>17073.111000000001</v>
      </c>
      <c r="AQ26" s="499">
        <f t="shared" si="24"/>
        <v>17164.536</v>
      </c>
      <c r="AR26" s="499">
        <f t="shared" si="24"/>
        <v>17103.650000000001</v>
      </c>
      <c r="AS26" s="608">
        <f t="shared" si="24"/>
        <v>17085.553</v>
      </c>
      <c r="AT26" s="610">
        <f t="shared" si="24"/>
        <v>38795.126999970846</v>
      </c>
      <c r="AU26" s="499">
        <f t="shared" si="24"/>
        <v>38725.063999970851</v>
      </c>
      <c r="AV26" s="499">
        <f t="shared" si="24"/>
        <v>43209.901999970854</v>
      </c>
      <c r="AW26" s="608">
        <f t="shared" si="24"/>
        <v>41817.194999970845</v>
      </c>
      <c r="AX26" s="610">
        <f t="shared" si="24"/>
        <v>42606.905002850843</v>
      </c>
      <c r="AY26" s="499">
        <f t="shared" si="24"/>
        <v>42840.193958748634</v>
      </c>
      <c r="AZ26" s="499">
        <f t="shared" si="24"/>
        <v>42886.610147490836</v>
      </c>
      <c r="BA26" s="608">
        <f t="shared" si="24"/>
        <v>42620.084012130843</v>
      </c>
      <c r="BB26" s="610">
        <f t="shared" si="24"/>
        <v>41450.572072410847</v>
      </c>
      <c r="BC26" s="499">
        <f t="shared" si="24"/>
        <v>40902.101247050836</v>
      </c>
      <c r="BD26" s="499">
        <f t="shared" si="24"/>
        <v>41157.314505530849</v>
      </c>
      <c r="BE26" s="499">
        <f t="shared" si="24"/>
        <v>52617</v>
      </c>
      <c r="BF26" s="610">
        <f t="shared" si="24"/>
        <v>52010</v>
      </c>
      <c r="BG26" s="499">
        <f t="shared" si="24"/>
        <v>54842</v>
      </c>
      <c r="BH26" s="499">
        <f t="shared" si="24"/>
        <v>56735</v>
      </c>
      <c r="BI26" s="608">
        <f t="shared" si="24"/>
        <v>56044</v>
      </c>
      <c r="BJ26" s="499">
        <f t="shared" si="24"/>
        <v>56842</v>
      </c>
      <c r="BK26" s="499">
        <f t="shared" si="24"/>
        <v>55090</v>
      </c>
      <c r="BL26" s="499">
        <f t="shared" si="24"/>
        <v>54632</v>
      </c>
      <c r="BM26" s="499">
        <f t="shared" si="24"/>
        <v>54020</v>
      </c>
      <c r="BN26" s="610">
        <f t="shared" si="24"/>
        <v>53729</v>
      </c>
      <c r="BO26" s="499">
        <f t="shared" si="24"/>
        <v>53254</v>
      </c>
      <c r="BP26" s="499">
        <f t="shared" si="24"/>
        <v>51984</v>
      </c>
      <c r="BQ26" s="608">
        <f t="shared" si="24"/>
        <v>51787</v>
      </c>
      <c r="BR26" s="499">
        <f t="shared" si="24"/>
        <v>51166</v>
      </c>
      <c r="BS26" s="499">
        <f t="shared" si="24"/>
        <v>50614</v>
      </c>
      <c r="BT26" s="499">
        <f t="shared" si="24"/>
        <v>50646</v>
      </c>
      <c r="BU26" s="608">
        <f>BU16+SUM(BU20:BU24)</f>
        <v>50147.435861999998</v>
      </c>
      <c r="BV26" s="499">
        <f ca="1">BV16+SUM(BV20:BV24)</f>
        <v>49520</v>
      </c>
      <c r="BW26" s="499">
        <f ca="1">BW16+SUM(BW20:BW24)</f>
        <v>48977</v>
      </c>
      <c r="BX26" s="499">
        <f ca="1">BX16+SUM(BX20:BX24)</f>
        <v>48754</v>
      </c>
      <c r="BY26" s="608">
        <f t="shared" ca="1" si="24"/>
        <v>47606</v>
      </c>
      <c r="BZ26" s="499">
        <f ca="1">BZ16+SUM(BZ20:BZ24)</f>
        <v>47519</v>
      </c>
      <c r="CA26" s="499">
        <f ca="1">CA16+SUM(CA20:CA24)</f>
        <v>47120</v>
      </c>
      <c r="CB26" s="499">
        <f ca="1">CB16+SUM(CB20:CB24)</f>
        <v>46798</v>
      </c>
      <c r="CC26" s="608">
        <f ca="1">CC16+SUM(CC20:CC25)</f>
        <v>47019</v>
      </c>
      <c r="CD26" s="499">
        <f ca="1">CD16+SUM(CD20:CD24)</f>
        <v>46604</v>
      </c>
      <c r="CE26" s="499">
        <f ca="1">CE16+SUM(CE20:CE24)+CE25</f>
        <v>50927</v>
      </c>
      <c r="CF26" s="499">
        <f ca="1">CF16+SUM(CF20:CF24)+CF25</f>
        <v>50538</v>
      </c>
      <c r="CG26" s="608">
        <f t="shared" ref="CG26" ca="1" si="25">CG16+SUM(CG20:CG24)+CG25</f>
        <v>75611</v>
      </c>
      <c r="CH26" s="499">
        <f ca="1">CH16+SUM(CH20:CH25)</f>
        <v>74876.764095869134</v>
      </c>
      <c r="CI26" s="499">
        <f ca="1">CI16+SUM(CI20:CI25)</f>
        <v>74398.159084278217</v>
      </c>
      <c r="CJ26" s="499">
        <f ca="1">CJ16+SUM(CJ20:CJ25)</f>
        <v>73978.270246005457</v>
      </c>
      <c r="CK26" s="608">
        <f ca="1">CK16+SUM(CK20:CK25)</f>
        <v>73561.996135711568</v>
      </c>
      <c r="CL26" s="680"/>
      <c r="CT26" s="2074"/>
    </row>
    <row r="27" spans="1:98" ht="12" customHeight="1">
      <c r="A27" s="399"/>
      <c r="B27" s="365"/>
      <c r="C27" s="365"/>
      <c r="D27" s="413"/>
      <c r="E27" s="413"/>
      <c r="F27" s="413"/>
      <c r="G27" s="413"/>
      <c r="H27" s="413"/>
      <c r="I27" s="413"/>
      <c r="J27" s="413"/>
      <c r="K27" s="413"/>
      <c r="L27" s="589"/>
      <c r="M27" s="589"/>
      <c r="N27" s="589"/>
      <c r="O27" s="451"/>
      <c r="P27" s="451"/>
      <c r="Q27" s="451"/>
      <c r="R27" s="451"/>
      <c r="S27" s="451"/>
      <c r="T27" s="451"/>
      <c r="U27" s="451"/>
      <c r="V27" s="451"/>
      <c r="W27" s="451"/>
      <c r="X27" s="451"/>
      <c r="Y27" s="2544"/>
      <c r="Z27" s="399"/>
      <c r="AA27" s="613"/>
      <c r="AB27" s="613"/>
      <c r="AC27" s="614"/>
      <c r="AD27" s="615"/>
      <c r="AE27" s="616"/>
      <c r="AF27" s="616"/>
      <c r="AG27" s="614"/>
      <c r="AH27" s="615"/>
      <c r="AI27" s="616"/>
      <c r="AJ27" s="616"/>
      <c r="AK27" s="614"/>
      <c r="AL27" s="615"/>
      <c r="AM27" s="616"/>
      <c r="AN27" s="616"/>
      <c r="AO27" s="614"/>
      <c r="AP27" s="615"/>
      <c r="AQ27" s="616"/>
      <c r="AR27" s="616"/>
      <c r="AS27" s="614"/>
      <c r="AT27" s="615"/>
      <c r="AU27" s="616"/>
      <c r="AV27" s="616"/>
      <c r="AW27" s="614"/>
      <c r="AX27" s="615"/>
      <c r="AY27" s="616"/>
      <c r="AZ27" s="616"/>
      <c r="BA27" s="614"/>
      <c r="BB27" s="615"/>
      <c r="BC27" s="616"/>
      <c r="BD27" s="616"/>
      <c r="BE27" s="616"/>
      <c r="BF27" s="615"/>
      <c r="BG27" s="616"/>
      <c r="BH27" s="616"/>
      <c r="BI27" s="614"/>
      <c r="BJ27" s="616"/>
      <c r="BK27" s="616"/>
      <c r="BL27" s="616"/>
      <c r="BM27" s="499"/>
      <c r="BN27" s="610"/>
      <c r="BO27" s="499"/>
      <c r="BP27" s="499"/>
      <c r="BQ27" s="608"/>
      <c r="BR27" s="499"/>
      <c r="BS27" s="499"/>
      <c r="BT27" s="499"/>
      <c r="BU27" s="608"/>
      <c r="BV27" s="499"/>
      <c r="BW27" s="499"/>
      <c r="BX27" s="499"/>
      <c r="BY27" s="608"/>
      <c r="BZ27" s="499"/>
      <c r="CA27" s="499"/>
      <c r="CB27" s="499"/>
      <c r="CC27" s="608"/>
      <c r="CD27" s="499"/>
      <c r="CE27" s="499"/>
      <c r="CF27" s="499"/>
      <c r="CG27" s="608"/>
      <c r="CH27" s="3103"/>
      <c r="CI27" s="3103"/>
      <c r="CJ27" s="3103"/>
      <c r="CK27" s="2530"/>
      <c r="CL27" s="680"/>
      <c r="CT27" s="2074"/>
    </row>
    <row r="28" spans="1:98" ht="13.5" customHeight="1">
      <c r="A28" s="404" t="s">
        <v>942</v>
      </c>
      <c r="B28" s="365"/>
      <c r="C28" s="365"/>
      <c r="D28" s="413"/>
      <c r="E28" s="413"/>
      <c r="F28" s="413"/>
      <c r="G28" s="413"/>
      <c r="H28" s="413"/>
      <c r="I28" s="413"/>
      <c r="J28" s="413"/>
      <c r="K28" s="413"/>
      <c r="L28" s="589"/>
      <c r="M28" s="589"/>
      <c r="N28" s="589"/>
      <c r="O28" s="451"/>
      <c r="P28" s="451"/>
      <c r="Q28" s="451"/>
      <c r="R28" s="451"/>
      <c r="S28" s="451"/>
      <c r="T28" s="451"/>
      <c r="U28" s="451"/>
      <c r="V28" s="451"/>
      <c r="W28" s="451"/>
      <c r="X28" s="451"/>
      <c r="Y28" s="2544"/>
      <c r="Z28" s="399"/>
      <c r="AA28" s="408"/>
      <c r="AB28" s="399"/>
      <c r="AC28" s="412"/>
      <c r="AD28" s="411"/>
      <c r="AE28" s="368"/>
      <c r="AF28" s="368"/>
      <c r="AG28" s="412"/>
      <c r="AH28" s="411"/>
      <c r="AI28" s="368"/>
      <c r="AJ28" s="368"/>
      <c r="AK28" s="412"/>
      <c r="AL28" s="411"/>
      <c r="AM28" s="368"/>
      <c r="AN28" s="368"/>
      <c r="AO28" s="412"/>
      <c r="AP28" s="411"/>
      <c r="AQ28" s="368"/>
      <c r="AR28" s="368"/>
      <c r="AS28" s="412"/>
      <c r="AT28" s="411"/>
      <c r="AU28" s="368"/>
      <c r="AV28" s="368"/>
      <c r="AW28" s="412"/>
      <c r="AX28" s="411"/>
      <c r="AY28" s="368"/>
      <c r="AZ28" s="368"/>
      <c r="BA28" s="412"/>
      <c r="BB28" s="411"/>
      <c r="BC28" s="368"/>
      <c r="BD28" s="368"/>
      <c r="BE28" s="368"/>
      <c r="BF28" s="411"/>
      <c r="BG28" s="368"/>
      <c r="BH28" s="368"/>
      <c r="BI28" s="412"/>
      <c r="BJ28" s="368"/>
      <c r="BK28" s="368"/>
      <c r="BL28" s="368"/>
      <c r="BM28" s="451"/>
      <c r="BN28" s="489"/>
      <c r="BO28" s="451"/>
      <c r="BP28" s="451"/>
      <c r="BQ28" s="569"/>
      <c r="BR28" s="451"/>
      <c r="BS28" s="451"/>
      <c r="BT28" s="451"/>
      <c r="BU28" s="569"/>
      <c r="BV28" s="451"/>
      <c r="BW28" s="451"/>
      <c r="BX28" s="451"/>
      <c r="BY28" s="569"/>
      <c r="BZ28" s="451"/>
      <c r="CA28" s="451"/>
      <c r="CB28" s="451"/>
      <c r="CC28" s="569"/>
      <c r="CD28" s="451"/>
      <c r="CE28" s="451"/>
      <c r="CF28" s="451"/>
      <c r="CG28" s="569"/>
      <c r="CH28" s="444"/>
      <c r="CI28" s="444"/>
      <c r="CJ28" s="444"/>
      <c r="CK28" s="484"/>
      <c r="CL28" s="680"/>
      <c r="CT28" s="2074"/>
    </row>
    <row r="29" spans="1:98">
      <c r="A29" s="2603" t="s">
        <v>951</v>
      </c>
      <c r="B29" s="399"/>
      <c r="C29" s="365"/>
      <c r="D29" s="413">
        <f>AC29</f>
        <v>72.453000000000003</v>
      </c>
      <c r="E29" s="413">
        <f>AG29</f>
        <v>249.61699999999999</v>
      </c>
      <c r="F29" s="413">
        <f>AK29</f>
        <v>278.73599999999999</v>
      </c>
      <c r="G29" s="413">
        <f>AO29</f>
        <v>215.012</v>
      </c>
      <c r="H29" s="413">
        <f>AS29</f>
        <v>378.89800000000002</v>
      </c>
      <c r="I29" s="413">
        <f>AW29</f>
        <v>842.40700000000004</v>
      </c>
      <c r="J29" s="2604">
        <f>BA29</f>
        <v>2696.0650000000001</v>
      </c>
      <c r="K29" s="413">
        <f>BE29</f>
        <v>1101</v>
      </c>
      <c r="L29" s="451">
        <f>+BI29</f>
        <v>480</v>
      </c>
      <c r="M29" s="451">
        <f>+BM29</f>
        <v>1205</v>
      </c>
      <c r="N29" s="451">
        <f>+BQ29</f>
        <v>785</v>
      </c>
      <c r="O29" s="451">
        <f>BU29</f>
        <v>550</v>
      </c>
      <c r="P29" s="451">
        <f>BY29</f>
        <v>1503</v>
      </c>
      <c r="Q29" s="451">
        <f>CC29</f>
        <v>1503</v>
      </c>
      <c r="R29" s="451">
        <f>CG29</f>
        <v>443</v>
      </c>
      <c r="S29" s="451">
        <f>CK29</f>
        <v>443</v>
      </c>
      <c r="T29" s="2933">
        <f>+S29</f>
        <v>443</v>
      </c>
      <c r="U29" s="2933">
        <f>+T29</f>
        <v>443</v>
      </c>
      <c r="V29" s="2933">
        <f>+U29</f>
        <v>443</v>
      </c>
      <c r="W29" s="2933">
        <f>+V29</f>
        <v>443</v>
      </c>
      <c r="X29" s="2933">
        <f>+W29</f>
        <v>443</v>
      </c>
      <c r="Y29" s="823"/>
      <c r="Z29" s="399"/>
      <c r="AA29" s="399"/>
      <c r="AB29" s="399"/>
      <c r="AC29" s="569">
        <f>(INPUTS_2!B29+INPUTS_2!B82)/1000</f>
        <v>72.453000000000003</v>
      </c>
      <c r="AD29" s="489">
        <f>(INPUTS_2!C29+INPUTS_2!C82)/1000</f>
        <v>172.25800000000001</v>
      </c>
      <c r="AE29" s="451">
        <f>(INPUTS_2!D29+INPUTS_2!D82)/1000</f>
        <v>121.456</v>
      </c>
      <c r="AF29" s="451">
        <f>(INPUTS_2!E29+INPUTS_2!E82)/1000</f>
        <v>121.15600000000001</v>
      </c>
      <c r="AG29" s="569">
        <f>(INPUTS_2!F29+INPUTS_2!F82)/1000</f>
        <v>249.61699999999999</v>
      </c>
      <c r="AH29" s="489">
        <f>(INPUTS_2!G29+INPUTS_2!G82)/1000</f>
        <v>144.81100000000001</v>
      </c>
      <c r="AI29" s="451">
        <f>(INPUTS_2!H29+INPUTS_2!H82)/1000</f>
        <v>144.13499999999999</v>
      </c>
      <c r="AJ29" s="451">
        <f>(INPUTS_2!I29+INPUTS_2!I82)/1000</f>
        <v>334.57600000000002</v>
      </c>
      <c r="AK29" s="569">
        <f>(INPUTS_2!J29+INPUTS_2!J82)/1000</f>
        <v>278.73599999999999</v>
      </c>
      <c r="AL29" s="489">
        <f>(INPUTS_2!K29+INPUTS_2!K82)/1000</f>
        <v>573.45600000000002</v>
      </c>
      <c r="AM29" s="451">
        <f>(INPUTS_2!L29+INPUTS_2!L82)/1000</f>
        <v>383.45499999999998</v>
      </c>
      <c r="AN29" s="451">
        <f>(INPUTS_2!M29+INPUTS_2!M82)/1000</f>
        <v>231.11699999999999</v>
      </c>
      <c r="AO29" s="569">
        <f>(INPUTS_2!N29+INPUTS_2!N82)/1000</f>
        <v>215.012</v>
      </c>
      <c r="AP29" s="489">
        <f>(INPUTS_2!O29+INPUTS_2!O82)/1000</f>
        <v>397.74900000000002</v>
      </c>
      <c r="AQ29" s="451">
        <f>(INPUTS_2!P29+INPUTS_2!P82)/1000</f>
        <v>565.30700000000002</v>
      </c>
      <c r="AR29" s="451">
        <f>(INPUTS_2!Q29+INPUTS_2!Q82)/1000</f>
        <v>353.89499999999998</v>
      </c>
      <c r="AS29" s="569">
        <f>(INPUTS_2!R29+INPUTS_2!R82)/1000</f>
        <v>378.89800000000002</v>
      </c>
      <c r="AT29" s="489">
        <f>(INPUTS_2!S29+INPUTS_2!S82)/1000</f>
        <v>1036.444</v>
      </c>
      <c r="AU29" s="451">
        <f>(INPUTS_2!T29+INPUTS_2!T82)/1000</f>
        <v>978.34400000000005</v>
      </c>
      <c r="AV29" s="451">
        <f>(INPUTS_2!U29+INPUTS_2!U82)/1000</f>
        <v>1287.357</v>
      </c>
      <c r="AW29" s="569">
        <f>(INPUTS_2!V29+INPUTS_2!V82)/1000</f>
        <v>842.40700000000004</v>
      </c>
      <c r="AX29" s="489">
        <f>(INPUTS_2!W29+INPUTS_2!W82)/1000</f>
        <v>609</v>
      </c>
      <c r="AY29" s="451">
        <f>(INPUTS_2!X29+INPUTS_2!X82)/1000</f>
        <v>1107</v>
      </c>
      <c r="AZ29" s="451">
        <f>(INPUTS_2!Y29+INPUTS_2!Y82)/1000</f>
        <v>1694.482</v>
      </c>
      <c r="BA29" s="569">
        <f>(INPUTS_2!Z29+INPUTS_2!Z82)/1000</f>
        <v>2696.0650000000001</v>
      </c>
      <c r="BB29" s="489">
        <f>(INPUTS_2!AA29+INPUTS_2!AA82)/1000</f>
        <v>2546.0709999999999</v>
      </c>
      <c r="BC29" s="451">
        <f>(INPUTS_2!AB29+INPUTS_2!AB82)/1000</f>
        <v>2050.5590000000002</v>
      </c>
      <c r="BD29" s="451">
        <f>(INPUTS_2!AC29+INPUTS_2!AC82)/1000</f>
        <v>2687.5520000000001</v>
      </c>
      <c r="BE29" s="622">
        <v>1101</v>
      </c>
      <c r="BF29" s="572">
        <f>ROUNDUP(11.539+2422,0)</f>
        <v>2434</v>
      </c>
      <c r="BG29" s="622">
        <v>1610</v>
      </c>
      <c r="BH29" s="622">
        <v>1034</v>
      </c>
      <c r="BI29" s="1830">
        <v>480</v>
      </c>
      <c r="BJ29" s="622">
        <v>2200</v>
      </c>
      <c r="BK29" s="622">
        <v>1903</v>
      </c>
      <c r="BL29" s="622">
        <v>1198</v>
      </c>
      <c r="BM29" s="1830">
        <v>1205</v>
      </c>
      <c r="BN29" s="572">
        <v>1193</v>
      </c>
      <c r="BO29" s="622">
        <v>302</v>
      </c>
      <c r="BP29" s="622">
        <v>191</v>
      </c>
      <c r="BQ29" s="1830">
        <v>785</v>
      </c>
      <c r="BR29" s="622">
        <v>1126</v>
      </c>
      <c r="BS29" s="622">
        <v>1188</v>
      </c>
      <c r="BT29" s="622">
        <v>1169</v>
      </c>
      <c r="BU29" s="1830">
        <v>550</v>
      </c>
      <c r="BV29" s="2880">
        <v>202</v>
      </c>
      <c r="BW29" s="2880">
        <v>1519</v>
      </c>
      <c r="BX29" s="2880">
        <v>1910</v>
      </c>
      <c r="BY29" s="2881">
        <v>1503</v>
      </c>
      <c r="BZ29" s="2880">
        <v>517</v>
      </c>
      <c r="CA29" s="2880">
        <v>1451</v>
      </c>
      <c r="CB29" s="2880">
        <v>1534</v>
      </c>
      <c r="CC29" s="2881">
        <v>1503</v>
      </c>
      <c r="CD29" s="2880">
        <v>1499</v>
      </c>
      <c r="CE29" s="2880">
        <v>196</v>
      </c>
      <c r="CF29" s="2880">
        <v>124</v>
      </c>
      <c r="CG29" s="2881">
        <v>443</v>
      </c>
      <c r="CH29" s="680">
        <f>+CG29</f>
        <v>443</v>
      </c>
      <c r="CI29" s="680">
        <f>+CH29</f>
        <v>443</v>
      </c>
      <c r="CJ29" s="680">
        <f>+CI29</f>
        <v>443</v>
      </c>
      <c r="CK29" s="568">
        <f>+CJ29</f>
        <v>443</v>
      </c>
      <c r="CL29" s="680"/>
      <c r="CT29" s="2074"/>
    </row>
    <row r="30" spans="1:98">
      <c r="A30" s="418" t="s">
        <v>656</v>
      </c>
      <c r="B30" s="365"/>
      <c r="C30" s="365"/>
      <c r="D30" s="413">
        <f>AC30</f>
        <v>113.274</v>
      </c>
      <c r="E30" s="413">
        <f>AG30</f>
        <v>141.61799999999999</v>
      </c>
      <c r="F30" s="413">
        <f>AK30</f>
        <v>632.44399999999996</v>
      </c>
      <c r="G30" s="413">
        <f>AO30</f>
        <v>632.35</v>
      </c>
      <c r="H30" s="413">
        <f>AS30</f>
        <v>507.38099999999997</v>
      </c>
      <c r="I30" s="413">
        <f>AW30</f>
        <v>1263.086</v>
      </c>
      <c r="J30" s="2604">
        <f>BA30</f>
        <v>1159.6869999999999</v>
      </c>
      <c r="K30" s="413">
        <f>BE30</f>
        <v>1101</v>
      </c>
      <c r="L30" s="451">
        <f>+BI30</f>
        <v>1400</v>
      </c>
      <c r="M30" s="451">
        <f>+BM30</f>
        <v>1207</v>
      </c>
      <c r="N30" s="451">
        <f>+BQ30</f>
        <v>1111</v>
      </c>
      <c r="O30" s="451">
        <f>BU30</f>
        <v>1226</v>
      </c>
      <c r="P30" s="451">
        <f>BY30</f>
        <v>968</v>
      </c>
      <c r="Q30" s="451">
        <f>CC30</f>
        <v>1179</v>
      </c>
      <c r="R30" s="451">
        <f>CG30</f>
        <v>1555</v>
      </c>
      <c r="S30" s="451">
        <f>CK30</f>
        <v>1598.1227953046257</v>
      </c>
      <c r="T30" s="451">
        <f>+T60/360*IS!T32</f>
        <v>1506.6010181502288</v>
      </c>
      <c r="U30" s="451">
        <f>+U60/360*IS!U32</f>
        <v>1460.4611521146014</v>
      </c>
      <c r="V30" s="451">
        <f>+V60/360*IS!V32</f>
        <v>1434.3321244933582</v>
      </c>
      <c r="W30" s="451">
        <f>+W60/360*IS!W32</f>
        <v>1413.3044758142091</v>
      </c>
      <c r="X30" s="451">
        <f>+X60/360*IS!X32</f>
        <v>1393.802808155129</v>
      </c>
      <c r="Y30" s="823"/>
      <c r="Z30" s="399"/>
      <c r="AA30" s="451"/>
      <c r="AB30" s="451"/>
      <c r="AC30" s="569">
        <f>(INPUTS_2!B30+INPUTS_2!B83)/1000</f>
        <v>113.274</v>
      </c>
      <c r="AD30" s="489">
        <f>(INPUTS_2!C30+INPUTS_2!C83)/1000</f>
        <v>127.833</v>
      </c>
      <c r="AE30" s="451">
        <f>(INPUTS_2!D30+INPUTS_2!D83)/1000</f>
        <v>137.886</v>
      </c>
      <c r="AF30" s="451">
        <f>(INPUTS_2!E30+INPUTS_2!E83)/1000</f>
        <v>144.977</v>
      </c>
      <c r="AG30" s="569">
        <f>(INPUTS_2!F30+INPUTS_2!F83)/1000</f>
        <v>141.61799999999999</v>
      </c>
      <c r="AH30" s="489">
        <f>(INPUTS_2!G30+INPUTS_2!G83)/1000</f>
        <v>141.524</v>
      </c>
      <c r="AI30" s="451">
        <f>(INPUTS_2!H30+INPUTS_2!H83)/1000</f>
        <v>141.38200000000001</v>
      </c>
      <c r="AJ30" s="451">
        <f>(INPUTS_2!I30+INPUTS_2!I83)/1000</f>
        <v>108.39100000000001</v>
      </c>
      <c r="AK30" s="569">
        <f>(INPUTS_2!J30+INPUTS_2!J83)/1000</f>
        <v>632.44399999999996</v>
      </c>
      <c r="AL30" s="489">
        <f>(INPUTS_2!K30+INPUTS_2!K83)/1000</f>
        <v>619.96064420218045</v>
      </c>
      <c r="AM30" s="451">
        <f>(INPUTS_2!L30+INPUTS_2!L83)/1000</f>
        <v>538.89099999999996</v>
      </c>
      <c r="AN30" s="451">
        <f>(INPUTS_2!M30+INPUTS_2!M83)/1000</f>
        <v>603.23</v>
      </c>
      <c r="AO30" s="569">
        <f>(INPUTS_2!N30+INPUTS_2!N83)/1000</f>
        <v>632.35</v>
      </c>
      <c r="AP30" s="489">
        <f>(INPUTS_2!O30+INPUTS_2!O83)/1000</f>
        <v>573.76499999999999</v>
      </c>
      <c r="AQ30" s="451">
        <f>(INPUTS_2!P30+INPUTS_2!P83)/1000</f>
        <v>571.18499999999995</v>
      </c>
      <c r="AR30" s="451">
        <f>(INPUTS_2!Q30+INPUTS_2!Q83)/1000</f>
        <v>504.91399999999999</v>
      </c>
      <c r="AS30" s="569">
        <f>(INPUTS_2!R30+INPUTS_2!R83)/1000</f>
        <v>507.38099999999997</v>
      </c>
      <c r="AT30" s="489">
        <f>(INPUTS_2!S30+INPUTS_2!S83)/1000</f>
        <v>1445.308</v>
      </c>
      <c r="AU30" s="451">
        <f>(INPUTS_2!T30+INPUTS_2!T83)/1000</f>
        <v>1381.7619999999999</v>
      </c>
      <c r="AV30" s="451">
        <f>(INPUTS_2!U30+INPUTS_2!U83)/1000</f>
        <v>1334.7360000000001</v>
      </c>
      <c r="AW30" s="569">
        <f>(INPUTS_2!V30+INPUTS_2!V83)/1000</f>
        <v>1263.086</v>
      </c>
      <c r="AX30" s="489">
        <f>(INPUTS_2!W30+INPUTS_2!W83)/1000</f>
        <v>1161</v>
      </c>
      <c r="AY30" s="451">
        <f>(INPUTS_2!X30+INPUTS_2!X83)/1000</f>
        <v>1202.5039919113017</v>
      </c>
      <c r="AZ30" s="451">
        <f>(INPUTS_2!Y30+INPUTS_2!Y83)/1000</f>
        <v>1085.6949999999999</v>
      </c>
      <c r="BA30" s="569">
        <f>(INPUTS_2!Z30+INPUTS_2!Z83)/1000</f>
        <v>1159.6869999999999</v>
      </c>
      <c r="BB30" s="489">
        <f>(INPUTS_2!AA30+INPUTS_2!AA83)/1000</f>
        <v>992.69500000000005</v>
      </c>
      <c r="BC30" s="451">
        <f>(INPUTS_2!AB30+INPUTS_2!AB83)/1000</f>
        <v>985.06600000000003</v>
      </c>
      <c r="BD30" s="451">
        <f>(INPUTS_2!AC30+INPUTS_2!AC83)/1000</f>
        <v>1051.675</v>
      </c>
      <c r="BE30" s="622">
        <v>1101</v>
      </c>
      <c r="BF30" s="572">
        <v>1186</v>
      </c>
      <c r="BG30" s="622">
        <v>1256</v>
      </c>
      <c r="BH30" s="622">
        <v>1360</v>
      </c>
      <c r="BI30" s="1830">
        <v>1400</v>
      </c>
      <c r="BJ30" s="622">
        <v>1026</v>
      </c>
      <c r="BK30" s="622">
        <v>1134</v>
      </c>
      <c r="BL30" s="622">
        <v>1320</v>
      </c>
      <c r="BM30" s="1830">
        <v>1207</v>
      </c>
      <c r="BN30" s="572">
        <v>1094</v>
      </c>
      <c r="BO30" s="622">
        <v>1285</v>
      </c>
      <c r="BP30" s="622">
        <v>1158</v>
      </c>
      <c r="BQ30" s="1830">
        <v>1111</v>
      </c>
      <c r="BR30" s="622">
        <v>1183</v>
      </c>
      <c r="BS30" s="622">
        <v>1153</v>
      </c>
      <c r="BT30" s="622">
        <v>1069</v>
      </c>
      <c r="BU30" s="1830">
        <v>1226</v>
      </c>
      <c r="BV30" s="2880">
        <v>1068</v>
      </c>
      <c r="BW30" s="2880">
        <v>1049</v>
      </c>
      <c r="BX30" s="2880">
        <v>1087</v>
      </c>
      <c r="BY30" s="2881">
        <v>968</v>
      </c>
      <c r="BZ30" s="2880">
        <v>1039</v>
      </c>
      <c r="CA30" s="2880">
        <v>1067</v>
      </c>
      <c r="CB30" s="2880">
        <v>1036</v>
      </c>
      <c r="CC30" s="2881">
        <v>1179</v>
      </c>
      <c r="CD30" s="2880">
        <v>1036</v>
      </c>
      <c r="CE30" s="2880">
        <v>944</v>
      </c>
      <c r="CF30" s="2880">
        <v>939</v>
      </c>
      <c r="CG30" s="2881">
        <v>1555</v>
      </c>
      <c r="CH30" s="680">
        <f>+CH60/90*IS!CI32</f>
        <v>1582.5466222222226</v>
      </c>
      <c r="CI30" s="680">
        <f>+CI60/90*IS!CJ32</f>
        <v>1589.0721436543331</v>
      </c>
      <c r="CJ30" s="680">
        <f>+CJ60/90*IS!CK32</f>
        <v>1598.866563316195</v>
      </c>
      <c r="CK30" s="568">
        <f>+CK60/90*IS!CL32</f>
        <v>1598.1227953046257</v>
      </c>
      <c r="CL30" s="680"/>
      <c r="CT30" s="2074"/>
    </row>
    <row r="31" spans="1:98">
      <c r="A31" s="418" t="s">
        <v>580</v>
      </c>
      <c r="B31" s="365"/>
      <c r="C31" s="365"/>
      <c r="D31" s="413">
        <f>AC31</f>
        <v>285.65600000000001</v>
      </c>
      <c r="E31" s="413">
        <f>AG31</f>
        <v>300.38299999999998</v>
      </c>
      <c r="F31" s="413">
        <f>AK31</f>
        <v>992.05</v>
      </c>
      <c r="G31" s="413">
        <f>AO31</f>
        <v>1034.203</v>
      </c>
      <c r="H31" s="413">
        <f>AS31</f>
        <v>1048.2560000000001</v>
      </c>
      <c r="I31" s="413">
        <f>AW31</f>
        <v>2529.8969999999999</v>
      </c>
      <c r="J31" s="2604">
        <f>BA31</f>
        <v>2392.4430000000002</v>
      </c>
      <c r="K31" s="413">
        <f>BE31</f>
        <v>2540</v>
      </c>
      <c r="L31" s="451">
        <f>+BI31</f>
        <v>2137</v>
      </c>
      <c r="M31" s="451">
        <f>+BM31</f>
        <v>2183</v>
      </c>
      <c r="N31" s="451">
        <f>+BQ31</f>
        <v>2513</v>
      </c>
      <c r="O31" s="451">
        <f>BU31</f>
        <v>1107</v>
      </c>
      <c r="P31" s="451">
        <f>BY31</f>
        <v>1072</v>
      </c>
      <c r="Q31" s="451">
        <f>CC31</f>
        <v>1694</v>
      </c>
      <c r="R31" s="451">
        <f>CG31</f>
        <v>1597</v>
      </c>
      <c r="S31" s="451">
        <f>CK31</f>
        <v>1474.4227743502809</v>
      </c>
      <c r="T31" s="451">
        <f>+T61/360*(IS!T32+IS!T39)</f>
        <v>1597.0451792538918</v>
      </c>
      <c r="U31" s="451">
        <f>+U61/360*(IS!U32+IS!U39)</f>
        <v>1543.1814147522812</v>
      </c>
      <c r="V31" s="451">
        <f>+V61/360*(IS!V32+IS!V39)</f>
        <v>1518.0900058035459</v>
      </c>
      <c r="W31" s="451">
        <f>+W61/360*(IS!W32+IS!W39)</f>
        <v>1498.3734692188634</v>
      </c>
      <c r="X31" s="451">
        <f>+X61/360*(IS!X32+IS!X39)</f>
        <v>1480.2615720540139</v>
      </c>
      <c r="Y31" s="823"/>
      <c r="Z31" s="399"/>
      <c r="AA31" s="451"/>
      <c r="AB31" s="451"/>
      <c r="AC31" s="569">
        <f>(INPUTS_2!B31+INPUTS_2!B84)/1000</f>
        <v>285.65600000000001</v>
      </c>
      <c r="AD31" s="489">
        <f>(INPUTS_2!C31+INPUTS_2!C84)/1000</f>
        <v>310.346</v>
      </c>
      <c r="AE31" s="451">
        <f>(INPUTS_2!D31+INPUTS_2!D84)/1000</f>
        <v>274.55500000000001</v>
      </c>
      <c r="AF31" s="451">
        <f>(INPUTS_2!E31+INPUTS_2!E84)/1000</f>
        <v>273.95299999999997</v>
      </c>
      <c r="AG31" s="569">
        <f>(INPUTS_2!F31+INPUTS_2!F84)/1000</f>
        <v>300.38299999999998</v>
      </c>
      <c r="AH31" s="489">
        <f>(INPUTS_2!G31+INPUTS_2!G84)/1000</f>
        <v>324.74299999999999</v>
      </c>
      <c r="AI31" s="451">
        <f>(INPUTS_2!H31+INPUTS_2!H84)/1000</f>
        <v>315.78100000000001</v>
      </c>
      <c r="AJ31" s="451">
        <f>(INPUTS_2!I31+INPUTS_2!I84)/1000</f>
        <v>364.6</v>
      </c>
      <c r="AK31" s="569">
        <f>(INPUTS_2!J31+INPUTS_2!J84)/1000</f>
        <v>992.05</v>
      </c>
      <c r="AL31" s="489">
        <f>(INPUTS_2!K31+INPUTS_2!K84)/1000</f>
        <v>927.67393359762139</v>
      </c>
      <c r="AM31" s="451">
        <f>(INPUTS_2!L31+INPUTS_2!L84)/1000</f>
        <v>1068.75</v>
      </c>
      <c r="AN31" s="451">
        <f>(INPUTS_2!M31+INPUTS_2!M84)/1000</f>
        <v>1121.8630000000001</v>
      </c>
      <c r="AO31" s="569">
        <f>(INPUTS_2!N31+INPUTS_2!N84)/1000</f>
        <v>1034.203</v>
      </c>
      <c r="AP31" s="489">
        <f>(INPUTS_2!O31+INPUTS_2!O84)/1000</f>
        <v>1215.5820000000001</v>
      </c>
      <c r="AQ31" s="451">
        <f>(INPUTS_2!P31+INPUTS_2!P84)/1000</f>
        <v>988.78200000000004</v>
      </c>
      <c r="AR31" s="451">
        <f>(INPUTS_2!Q31+INPUTS_2!Q84)/1000</f>
        <v>1152.107</v>
      </c>
      <c r="AS31" s="569">
        <f>(INPUTS_2!R31+INPUTS_2!R84)/1000</f>
        <v>1048.2560000000001</v>
      </c>
      <c r="AT31" s="489">
        <f>(INPUTS_2!S31+INPUTS_2!S84)/1000</f>
        <v>2704.2809999999999</v>
      </c>
      <c r="AU31" s="451">
        <f>(INPUTS_2!T31+INPUTS_2!T84)/1000</f>
        <v>2558.0120000000002</v>
      </c>
      <c r="AV31" s="451">
        <f>(INPUTS_2!U31+INPUTS_2!U84)/1000</f>
        <v>2517.62</v>
      </c>
      <c r="AW31" s="569">
        <f>(INPUTS_2!V31+INPUTS_2!V84)/1000</f>
        <v>2529.8969999999999</v>
      </c>
      <c r="AX31" s="489">
        <f>(INPUTS_2!W31+INPUTS_2!W84)/1000</f>
        <v>2186</v>
      </c>
      <c r="AY31" s="451">
        <f>(INPUTS_2!X31+INPUTS_2!X84)/1000</f>
        <v>2208.9887669238938</v>
      </c>
      <c r="AZ31" s="451">
        <f>(INPUTS_2!Y31+INPUTS_2!Y84)/1000</f>
        <v>2403.1</v>
      </c>
      <c r="BA31" s="569">
        <f>(INPUTS_2!Z31+INPUTS_2!Z84)/1000</f>
        <v>2392.4430000000002</v>
      </c>
      <c r="BB31" s="489">
        <f>(INPUTS_2!AA31+INPUTS_2!AA84)/1000</f>
        <v>2270.297</v>
      </c>
      <c r="BC31" s="451">
        <f>(INPUTS_2!AB31+INPUTS_2!AB84)/1000</f>
        <v>2356.9609999999998</v>
      </c>
      <c r="BD31" s="451">
        <f>(INPUTS_2!AC31+INPUTS_2!AC84)/1000</f>
        <v>2612.5010000000002</v>
      </c>
      <c r="BE31" s="622">
        <v>2540</v>
      </c>
      <c r="BF31" s="572">
        <v>2216</v>
      </c>
      <c r="BG31" s="622">
        <f>1034+543+234</f>
        <v>1811</v>
      </c>
      <c r="BH31" s="622">
        <f>697+453+390+252+551</f>
        <v>2343</v>
      </c>
      <c r="BI31" s="1830">
        <f>633+383+293+255+573</f>
        <v>2137</v>
      </c>
      <c r="BJ31" s="622">
        <f>692+425+416+279+605</f>
        <v>2417</v>
      </c>
      <c r="BK31" s="622">
        <f>653+371+279+269+598</f>
        <v>2170</v>
      </c>
      <c r="BL31" s="622">
        <f>778+418+347+254+616</f>
        <v>2413</v>
      </c>
      <c r="BM31" s="1830">
        <f>683+356+268+234+642</f>
        <v>2183</v>
      </c>
      <c r="BN31" s="572">
        <f>601+398+334+274+689</f>
        <v>2296</v>
      </c>
      <c r="BO31" s="622">
        <f>584+366+286+259+666</f>
        <v>2161</v>
      </c>
      <c r="BP31" s="622">
        <f>679+397+355+498+700</f>
        <v>2629</v>
      </c>
      <c r="BQ31" s="1830">
        <f>650+339+273+514+737</f>
        <v>2513</v>
      </c>
      <c r="BR31" s="622">
        <f>598+410+340+255+709</f>
        <v>2312</v>
      </c>
      <c r="BS31" s="622">
        <f>572+342+264+208+716</f>
        <v>2102</v>
      </c>
      <c r="BT31" s="622">
        <f>699+372+330+224+714</f>
        <v>2339</v>
      </c>
      <c r="BU31" s="1830">
        <f>641+256+210</f>
        <v>1107</v>
      </c>
      <c r="BV31" s="2880">
        <f>578+315+259</f>
        <v>1152</v>
      </c>
      <c r="BW31" s="2880">
        <f>576+260+225</f>
        <v>1061</v>
      </c>
      <c r="BX31" s="2880">
        <f>682+329+268</f>
        <v>1279</v>
      </c>
      <c r="BY31" s="2881">
        <f>602+220+250</f>
        <v>1072</v>
      </c>
      <c r="BZ31" s="2880">
        <f>462+318+302</f>
        <v>1082</v>
      </c>
      <c r="CA31" s="2880">
        <f>562+505+258</f>
        <v>1325</v>
      </c>
      <c r="CB31" s="2880">
        <f>548+320+255</f>
        <v>1123</v>
      </c>
      <c r="CC31" s="2881">
        <f>802+260+213+419</f>
        <v>1694</v>
      </c>
      <c r="CD31" s="2880">
        <f>3597-CD30-CD32-CD33</f>
        <v>1521</v>
      </c>
      <c r="CE31" s="2880">
        <f>669+262+238</f>
        <v>1169</v>
      </c>
      <c r="CF31" s="2880">
        <f>679+216+309</f>
        <v>1204</v>
      </c>
      <c r="CG31" s="3110">
        <f>890+344+363</f>
        <v>1597</v>
      </c>
      <c r="CH31" s="680">
        <f>+CH61/90*(IS!CI32+IS!CI39)</f>
        <v>1558.7625398819191</v>
      </c>
      <c r="CI31" s="680">
        <f>+CI61/90*(IS!CJ32+IS!CJ39)</f>
        <v>1528.3050631991212</v>
      </c>
      <c r="CJ31" s="680">
        <f>+CJ61/90*(IS!CK32+IS!CK39)</f>
        <v>1505.6660806320497</v>
      </c>
      <c r="CK31" s="568">
        <f>+CK61/90*(IS!CL32+IS!CL39)</f>
        <v>1474.4227743502809</v>
      </c>
      <c r="CL31" s="680"/>
      <c r="CT31" s="2074"/>
    </row>
    <row r="32" spans="1:98">
      <c r="A32" s="418" t="s">
        <v>581</v>
      </c>
      <c r="B32" s="365"/>
      <c r="C32" s="365"/>
      <c r="D32" s="413">
        <f>AC32</f>
        <v>0</v>
      </c>
      <c r="E32" s="413">
        <f>AG32</f>
        <v>0</v>
      </c>
      <c r="F32" s="413">
        <f>AK32</f>
        <v>0</v>
      </c>
      <c r="G32" s="413">
        <f>AO32</f>
        <v>0</v>
      </c>
      <c r="H32" s="413">
        <f>AS32</f>
        <v>0</v>
      </c>
      <c r="I32" s="413">
        <f>AW32</f>
        <v>572</v>
      </c>
      <c r="J32" s="2604">
        <f>BA32</f>
        <v>556</v>
      </c>
      <c r="K32" s="413">
        <f>BE32</f>
        <v>0</v>
      </c>
      <c r="L32" s="451"/>
      <c r="M32" s="451"/>
      <c r="N32" s="451"/>
      <c r="O32" s="451">
        <f>BU32</f>
        <v>726</v>
      </c>
      <c r="P32" s="451">
        <f>BY32</f>
        <v>743</v>
      </c>
      <c r="Q32" s="451">
        <f>CC32</f>
        <v>672</v>
      </c>
      <c r="R32" s="451">
        <f>CG32</f>
        <v>892</v>
      </c>
      <c r="S32" s="451">
        <f>CK32</f>
        <v>892</v>
      </c>
      <c r="T32" s="451">
        <f t="shared" ref="T32:V33" si="26">S32</f>
        <v>892</v>
      </c>
      <c r="U32" s="451">
        <f t="shared" si="26"/>
        <v>892</v>
      </c>
      <c r="V32" s="451">
        <f t="shared" si="26"/>
        <v>892</v>
      </c>
      <c r="W32" s="451">
        <f>V32</f>
        <v>892</v>
      </c>
      <c r="X32" s="451">
        <f>W32</f>
        <v>892</v>
      </c>
      <c r="Y32" s="823"/>
      <c r="Z32" s="399"/>
      <c r="AA32" s="451"/>
      <c r="AB32" s="451"/>
      <c r="AC32" s="569">
        <f>INPUTS_2!B85/1000</f>
        <v>0</v>
      </c>
      <c r="AD32" s="489">
        <f>INPUTS_2!C85/1000</f>
        <v>0</v>
      </c>
      <c r="AE32" s="451">
        <f>INPUTS_2!D85/1000</f>
        <v>0</v>
      </c>
      <c r="AF32" s="451">
        <f>INPUTS_2!E85/1000</f>
        <v>0</v>
      </c>
      <c r="AG32" s="569">
        <f>INPUTS_2!F85/1000</f>
        <v>0</v>
      </c>
      <c r="AH32" s="489">
        <f>INPUTS_2!G85/1000</f>
        <v>0</v>
      </c>
      <c r="AI32" s="451">
        <f>INPUTS_2!H85/1000</f>
        <v>0</v>
      </c>
      <c r="AJ32" s="451">
        <f>INPUTS_2!I85/1000</f>
        <v>0</v>
      </c>
      <c r="AK32" s="569">
        <f>INPUTS_2!J85/1000</f>
        <v>0</v>
      </c>
      <c r="AL32" s="489">
        <f>INPUTS_2!K85/1000</f>
        <v>0</v>
      </c>
      <c r="AM32" s="451">
        <f>INPUTS_2!L85/1000</f>
        <v>0</v>
      </c>
      <c r="AN32" s="451">
        <f>INPUTS_2!M85/1000</f>
        <v>0</v>
      </c>
      <c r="AO32" s="569">
        <f>INPUTS_2!N85/1000</f>
        <v>0</v>
      </c>
      <c r="AP32" s="489">
        <f>INPUTS_2!O85/1000</f>
        <v>0</v>
      </c>
      <c r="AQ32" s="451">
        <f>INPUTS_2!P85/1000</f>
        <v>0</v>
      </c>
      <c r="AR32" s="451">
        <f>INPUTS_2!Q85/1000</f>
        <v>0</v>
      </c>
      <c r="AS32" s="569">
        <f>INPUTS_2!R85/1000</f>
        <v>0</v>
      </c>
      <c r="AT32" s="489">
        <f>INPUTS_2!S85/1000</f>
        <v>593</v>
      </c>
      <c r="AU32" s="451">
        <f>INPUTS_2!T85/1000</f>
        <v>585</v>
      </c>
      <c r="AV32" s="451">
        <f>INPUTS_2!U85/1000</f>
        <v>587</v>
      </c>
      <c r="AW32" s="569">
        <f>INPUTS_2!V85/1000</f>
        <v>572</v>
      </c>
      <c r="AX32" s="489">
        <f>INPUTS_2!W85/1000</f>
        <v>565</v>
      </c>
      <c r="AY32" s="451">
        <f>INPUTS_2!X85/1000</f>
        <v>551</v>
      </c>
      <c r="AZ32" s="451">
        <f>INPUTS_2!Y85/1000</f>
        <v>547</v>
      </c>
      <c r="BA32" s="569">
        <f>INPUTS_2!Z85/1000</f>
        <v>556</v>
      </c>
      <c r="BB32" s="489">
        <f>INPUTS_2!AA85/1000</f>
        <v>542</v>
      </c>
      <c r="BC32" s="451">
        <f>INPUTS_2!AB85/1000</f>
        <v>541</v>
      </c>
      <c r="BD32" s="451">
        <f>INPUTS_2!AC85/1000</f>
        <v>546</v>
      </c>
      <c r="BE32" s="451"/>
      <c r="BF32" s="1811"/>
      <c r="BG32" s="2015"/>
      <c r="BH32" s="451"/>
      <c r="BI32" s="569"/>
      <c r="BJ32" s="451"/>
      <c r="BK32" s="451"/>
      <c r="BL32" s="451"/>
      <c r="BM32" s="569"/>
      <c r="BN32" s="489"/>
      <c r="BO32" s="451"/>
      <c r="BP32" s="451"/>
      <c r="BQ32" s="569"/>
      <c r="BR32" s="451"/>
      <c r="BS32" s="451"/>
      <c r="BT32" s="451"/>
      <c r="BU32" s="1830">
        <v>726</v>
      </c>
      <c r="BV32" s="2880">
        <v>739</v>
      </c>
      <c r="BW32" s="2880">
        <v>745</v>
      </c>
      <c r="BX32" s="2880">
        <v>736</v>
      </c>
      <c r="BY32" s="2881">
        <v>743</v>
      </c>
      <c r="BZ32" s="2880">
        <v>730</v>
      </c>
      <c r="CA32" s="2880">
        <v>727</v>
      </c>
      <c r="CB32" s="2880">
        <v>710</v>
      </c>
      <c r="CC32" s="2881">
        <v>672</v>
      </c>
      <c r="CD32" s="2880">
        <v>710</v>
      </c>
      <c r="CE32" s="2880">
        <v>644</v>
      </c>
      <c r="CF32" s="2880">
        <v>642</v>
      </c>
      <c r="CG32" s="2881">
        <v>892</v>
      </c>
      <c r="CH32" s="680">
        <f t="shared" ref="CH32:CK33" si="27">+CG32</f>
        <v>892</v>
      </c>
      <c r="CI32" s="680">
        <f t="shared" si="27"/>
        <v>892</v>
      </c>
      <c r="CJ32" s="680">
        <f t="shared" si="27"/>
        <v>892</v>
      </c>
      <c r="CK32" s="568">
        <f t="shared" si="27"/>
        <v>892</v>
      </c>
      <c r="CL32" s="680"/>
      <c r="CT32" s="2074"/>
    </row>
    <row r="33" spans="1:98">
      <c r="A33" s="418" t="s">
        <v>584</v>
      </c>
      <c r="B33" s="365"/>
      <c r="C33" s="365"/>
      <c r="D33" s="413">
        <f>AC33</f>
        <v>0</v>
      </c>
      <c r="E33" s="413">
        <f>AG33</f>
        <v>0</v>
      </c>
      <c r="F33" s="413">
        <f>AK33</f>
        <v>0</v>
      </c>
      <c r="G33" s="413">
        <f>AO33</f>
        <v>0</v>
      </c>
      <c r="H33" s="413">
        <f>AS33</f>
        <v>0</v>
      </c>
      <c r="I33" s="413">
        <f>AW33</f>
        <v>0</v>
      </c>
      <c r="J33" s="2604">
        <f>BA33</f>
        <v>0</v>
      </c>
      <c r="K33" s="413">
        <f>BE33</f>
        <v>0</v>
      </c>
      <c r="L33" s="451"/>
      <c r="M33" s="451"/>
      <c r="N33" s="451"/>
      <c r="O33" s="451">
        <f>BU33</f>
        <v>309</v>
      </c>
      <c r="P33" s="451">
        <f>BY33</f>
        <v>318</v>
      </c>
      <c r="Q33" s="451">
        <f>CC33</f>
        <v>301</v>
      </c>
      <c r="R33" s="451">
        <f>CG33</f>
        <v>370</v>
      </c>
      <c r="S33" s="451">
        <f>CK33</f>
        <v>370</v>
      </c>
      <c r="T33" s="451">
        <f t="shared" si="26"/>
        <v>370</v>
      </c>
      <c r="U33" s="451">
        <f t="shared" si="26"/>
        <v>370</v>
      </c>
      <c r="V33" s="451">
        <f t="shared" si="26"/>
        <v>370</v>
      </c>
      <c r="W33" s="451">
        <f>V33</f>
        <v>370</v>
      </c>
      <c r="X33" s="451">
        <f>W33</f>
        <v>370</v>
      </c>
      <c r="Y33" s="823"/>
      <c r="Z33" s="399"/>
      <c r="AA33" s="451"/>
      <c r="AB33" s="451"/>
      <c r="AC33" s="569">
        <f>INPUTS_2!B86/1000</f>
        <v>0</v>
      </c>
      <c r="AD33" s="489">
        <f>INPUTS_2!C86/1000</f>
        <v>0</v>
      </c>
      <c r="AE33" s="451">
        <f>INPUTS_2!D86/1000</f>
        <v>0</v>
      </c>
      <c r="AF33" s="451">
        <f>INPUTS_2!E86/1000</f>
        <v>0</v>
      </c>
      <c r="AG33" s="569">
        <f>INPUTS_2!F86/1000</f>
        <v>0</v>
      </c>
      <c r="AH33" s="489">
        <f>INPUTS_2!G86/1000</f>
        <v>0</v>
      </c>
      <c r="AI33" s="451">
        <f>INPUTS_2!H86/1000</f>
        <v>0</v>
      </c>
      <c r="AJ33" s="451">
        <f>INPUTS_2!I86/1000</f>
        <v>0</v>
      </c>
      <c r="AK33" s="569">
        <f>INPUTS_2!J86/1000</f>
        <v>0</v>
      </c>
      <c r="AL33" s="489">
        <f>INPUTS_2!K86/1000</f>
        <v>0</v>
      </c>
      <c r="AM33" s="451">
        <f>INPUTS_2!L86/1000</f>
        <v>0</v>
      </c>
      <c r="AN33" s="451">
        <f>INPUTS_2!M86/1000</f>
        <v>0</v>
      </c>
      <c r="AO33" s="569">
        <f>INPUTS_2!N86/1000</f>
        <v>0</v>
      </c>
      <c r="AP33" s="489">
        <f>INPUTS_2!O86/1000</f>
        <v>0</v>
      </c>
      <c r="AQ33" s="451">
        <f>INPUTS_2!P86/1000</f>
        <v>0</v>
      </c>
      <c r="AR33" s="451">
        <f>INPUTS_2!Q86/1000</f>
        <v>0</v>
      </c>
      <c r="AS33" s="569">
        <f>INPUTS_2!R86/1000</f>
        <v>0</v>
      </c>
      <c r="AT33" s="489">
        <f>INPUTS_2!S86/1000</f>
        <v>0</v>
      </c>
      <c r="AU33" s="451">
        <f>INPUTS_2!T86/1000</f>
        <v>0</v>
      </c>
      <c r="AV33" s="451">
        <f>INPUTS_2!U86/1000</f>
        <v>0</v>
      </c>
      <c r="AW33" s="569">
        <f>INPUTS_2!V86/1000</f>
        <v>0</v>
      </c>
      <c r="AX33" s="489">
        <f>INPUTS_2!W86/1000</f>
        <v>0</v>
      </c>
      <c r="AY33" s="451">
        <f>INPUTS_2!X86/1000</f>
        <v>0</v>
      </c>
      <c r="AZ33" s="451">
        <f>INPUTS_2!Y86/1000</f>
        <v>0</v>
      </c>
      <c r="BA33" s="569">
        <f>INPUTS_2!Z86/1000</f>
        <v>0</v>
      </c>
      <c r="BB33" s="489">
        <f>INPUTS_2!AA86/1000</f>
        <v>0</v>
      </c>
      <c r="BC33" s="451">
        <f>INPUTS_2!AB86/1000</f>
        <v>0</v>
      </c>
      <c r="BD33" s="451">
        <f>INPUTS_2!AC86/1000</f>
        <v>0</v>
      </c>
      <c r="BE33" s="451"/>
      <c r="BF33" s="1811"/>
      <c r="BG33" s="2015">
        <v>387</v>
      </c>
      <c r="BH33" s="451"/>
      <c r="BI33" s="569"/>
      <c r="BJ33" s="451"/>
      <c r="BK33" s="451"/>
      <c r="BL33" s="451"/>
      <c r="BM33" s="569"/>
      <c r="BN33" s="489"/>
      <c r="BO33" s="451"/>
      <c r="BP33" s="451"/>
      <c r="BQ33" s="569"/>
      <c r="BR33" s="451"/>
      <c r="BS33" s="451"/>
      <c r="BT33" s="451"/>
      <c r="BU33" s="1830">
        <v>309</v>
      </c>
      <c r="BV33" s="2880">
        <v>418</v>
      </c>
      <c r="BW33" s="2880">
        <v>423</v>
      </c>
      <c r="BX33" s="2880">
        <v>535</v>
      </c>
      <c r="BY33" s="2881">
        <v>318</v>
      </c>
      <c r="BZ33" s="2880">
        <v>458</v>
      </c>
      <c r="CA33" s="2880">
        <v>272</v>
      </c>
      <c r="CB33" s="2880">
        <v>330</v>
      </c>
      <c r="CC33" s="2881">
        <v>301</v>
      </c>
      <c r="CD33" s="2880">
        <v>330</v>
      </c>
      <c r="CE33" s="2880">
        <v>290</v>
      </c>
      <c r="CF33" s="2880">
        <v>357</v>
      </c>
      <c r="CG33" s="2881">
        <v>370</v>
      </c>
      <c r="CH33" s="680">
        <f t="shared" si="27"/>
        <v>370</v>
      </c>
      <c r="CI33" s="680">
        <f t="shared" si="27"/>
        <v>370</v>
      </c>
      <c r="CJ33" s="680">
        <f t="shared" si="27"/>
        <v>370</v>
      </c>
      <c r="CK33" s="568">
        <f t="shared" si="27"/>
        <v>370</v>
      </c>
      <c r="CL33" s="680"/>
      <c r="CT33" s="2074"/>
    </row>
    <row r="34" spans="1:98">
      <c r="A34" s="404" t="s">
        <v>841</v>
      </c>
      <c r="B34" s="364"/>
      <c r="C34" s="364"/>
      <c r="D34" s="499">
        <f t="shared" ref="D34:O34" si="28">SUM(D29:D33)</f>
        <v>471.38300000000004</v>
      </c>
      <c r="E34" s="499">
        <f t="shared" si="28"/>
        <v>691.61799999999994</v>
      </c>
      <c r="F34" s="499">
        <f t="shared" si="28"/>
        <v>1903.23</v>
      </c>
      <c r="G34" s="499">
        <f t="shared" si="28"/>
        <v>1881.5650000000001</v>
      </c>
      <c r="H34" s="499">
        <f t="shared" si="28"/>
        <v>1934.5350000000001</v>
      </c>
      <c r="I34" s="499">
        <f t="shared" si="28"/>
        <v>5207.3899999999994</v>
      </c>
      <c r="J34" s="499">
        <f t="shared" si="28"/>
        <v>6804.1949999999997</v>
      </c>
      <c r="K34" s="499">
        <f t="shared" si="28"/>
        <v>4742</v>
      </c>
      <c r="L34" s="499">
        <f t="shared" si="28"/>
        <v>4017</v>
      </c>
      <c r="M34" s="499">
        <f t="shared" si="28"/>
        <v>4595</v>
      </c>
      <c r="N34" s="499">
        <f t="shared" si="28"/>
        <v>4409</v>
      </c>
      <c r="O34" s="499">
        <f t="shared" si="28"/>
        <v>3918</v>
      </c>
      <c r="P34" s="499">
        <f t="shared" ref="P34:U34" si="29">SUM(P29:P33)</f>
        <v>4604</v>
      </c>
      <c r="Q34" s="499">
        <f t="shared" si="29"/>
        <v>5349</v>
      </c>
      <c r="R34" s="499">
        <f>SUM(R29:R33)</f>
        <v>4857</v>
      </c>
      <c r="S34" s="499">
        <f>SUM(S29:S33)</f>
        <v>4777.545569654907</v>
      </c>
      <c r="T34" s="499">
        <f t="shared" si="29"/>
        <v>4808.6461974041204</v>
      </c>
      <c r="U34" s="499">
        <f t="shared" si="29"/>
        <v>4708.6425668668826</v>
      </c>
      <c r="V34" s="499">
        <f>SUM(V29:V33)</f>
        <v>4657.4221302969036</v>
      </c>
      <c r="W34" s="499">
        <f>SUM(W29:W33)</f>
        <v>4616.6779450330723</v>
      </c>
      <c r="X34" s="499">
        <f>SUM(X29:X33)</f>
        <v>4579.0643802091427</v>
      </c>
      <c r="Y34" s="823"/>
      <c r="Z34" s="404"/>
      <c r="AA34" s="499"/>
      <c r="AB34" s="499"/>
      <c r="AC34" s="608">
        <f t="shared" ref="AC34:BY34" si="30">SUM(AC29:AC33)</f>
        <v>471.38300000000004</v>
      </c>
      <c r="AD34" s="610">
        <f t="shared" si="30"/>
        <v>610.43700000000001</v>
      </c>
      <c r="AE34" s="499">
        <f t="shared" si="30"/>
        <v>533.89699999999993</v>
      </c>
      <c r="AF34" s="499">
        <f t="shared" si="30"/>
        <v>540.08600000000001</v>
      </c>
      <c r="AG34" s="608">
        <f t="shared" si="30"/>
        <v>691.61799999999994</v>
      </c>
      <c r="AH34" s="610">
        <f t="shared" si="30"/>
        <v>611.07799999999997</v>
      </c>
      <c r="AI34" s="499">
        <f t="shared" si="30"/>
        <v>601.298</v>
      </c>
      <c r="AJ34" s="499">
        <f t="shared" si="30"/>
        <v>807.56700000000001</v>
      </c>
      <c r="AK34" s="608">
        <f t="shared" si="30"/>
        <v>1903.23</v>
      </c>
      <c r="AL34" s="610">
        <f t="shared" si="30"/>
        <v>2121.0905777998018</v>
      </c>
      <c r="AM34" s="499">
        <f t="shared" si="30"/>
        <v>1991.096</v>
      </c>
      <c r="AN34" s="499">
        <f t="shared" si="30"/>
        <v>1956.21</v>
      </c>
      <c r="AO34" s="608">
        <f t="shared" si="30"/>
        <v>1881.5650000000001</v>
      </c>
      <c r="AP34" s="610">
        <f t="shared" si="30"/>
        <v>2187.096</v>
      </c>
      <c r="AQ34" s="499">
        <f t="shared" si="30"/>
        <v>2125.2739999999999</v>
      </c>
      <c r="AR34" s="499">
        <f t="shared" si="30"/>
        <v>2010.9159999999999</v>
      </c>
      <c r="AS34" s="608">
        <f t="shared" si="30"/>
        <v>1934.5350000000001</v>
      </c>
      <c r="AT34" s="610">
        <f t="shared" si="30"/>
        <v>5779.0329999999994</v>
      </c>
      <c r="AU34" s="499">
        <f t="shared" si="30"/>
        <v>5503.1180000000004</v>
      </c>
      <c r="AV34" s="499">
        <f t="shared" si="30"/>
        <v>5726.7129999999997</v>
      </c>
      <c r="AW34" s="608">
        <f t="shared" si="30"/>
        <v>5207.3899999999994</v>
      </c>
      <c r="AX34" s="610">
        <f t="shared" si="30"/>
        <v>4521</v>
      </c>
      <c r="AY34" s="499">
        <f t="shared" si="30"/>
        <v>5069.4927588351948</v>
      </c>
      <c r="AZ34" s="499">
        <f t="shared" si="30"/>
        <v>5730.277</v>
      </c>
      <c r="BA34" s="608">
        <f t="shared" si="30"/>
        <v>6804.1949999999997</v>
      </c>
      <c r="BB34" s="610">
        <f t="shared" si="30"/>
        <v>6351.0630000000001</v>
      </c>
      <c r="BC34" s="499">
        <f t="shared" si="30"/>
        <v>5933.5859999999993</v>
      </c>
      <c r="BD34" s="499">
        <f t="shared" si="30"/>
        <v>6897.7280000000001</v>
      </c>
      <c r="BE34" s="499">
        <f t="shared" si="30"/>
        <v>4742</v>
      </c>
      <c r="BF34" s="610">
        <f t="shared" si="30"/>
        <v>5836</v>
      </c>
      <c r="BG34" s="499">
        <f t="shared" si="30"/>
        <v>5064</v>
      </c>
      <c r="BH34" s="499">
        <f t="shared" si="30"/>
        <v>4737</v>
      </c>
      <c r="BI34" s="608">
        <f t="shared" si="30"/>
        <v>4017</v>
      </c>
      <c r="BJ34" s="499">
        <f t="shared" si="30"/>
        <v>5643</v>
      </c>
      <c r="BK34" s="499">
        <f t="shared" si="30"/>
        <v>5207</v>
      </c>
      <c r="BL34" s="499">
        <f t="shared" si="30"/>
        <v>4931</v>
      </c>
      <c r="BM34" s="608">
        <f t="shared" si="30"/>
        <v>4595</v>
      </c>
      <c r="BN34" s="610">
        <f t="shared" si="30"/>
        <v>4583</v>
      </c>
      <c r="BO34" s="499">
        <f t="shared" si="30"/>
        <v>3748</v>
      </c>
      <c r="BP34" s="499">
        <f t="shared" si="30"/>
        <v>3978</v>
      </c>
      <c r="BQ34" s="608">
        <f t="shared" si="30"/>
        <v>4409</v>
      </c>
      <c r="BR34" s="499">
        <f t="shared" si="30"/>
        <v>4621</v>
      </c>
      <c r="BS34" s="499">
        <f t="shared" si="30"/>
        <v>4443</v>
      </c>
      <c r="BT34" s="499">
        <f t="shared" si="30"/>
        <v>4577</v>
      </c>
      <c r="BU34" s="608">
        <f>SUM(BU29:BU33)</f>
        <v>3918</v>
      </c>
      <c r="BV34" s="499">
        <f>SUM(BV29:BV33)</f>
        <v>3579</v>
      </c>
      <c r="BW34" s="499">
        <f>SUM(BW29:BW33)</f>
        <v>4797</v>
      </c>
      <c r="BX34" s="499">
        <f>SUM(BX29:BX33)</f>
        <v>5547</v>
      </c>
      <c r="BY34" s="608">
        <f t="shared" si="30"/>
        <v>4604</v>
      </c>
      <c r="BZ34" s="499">
        <f t="shared" ref="BZ34:CB34" si="31">SUM(BZ29:BZ33)</f>
        <v>3826</v>
      </c>
      <c r="CA34" s="499">
        <f t="shared" si="31"/>
        <v>4842</v>
      </c>
      <c r="CB34" s="499">
        <f t="shared" si="31"/>
        <v>4733</v>
      </c>
      <c r="CC34" s="608">
        <f>SUM(CC29:CC33)</f>
        <v>5349</v>
      </c>
      <c r="CD34" s="499">
        <f>SUM(CD29:CD33)</f>
        <v>5096</v>
      </c>
      <c r="CE34" s="499">
        <f>SUM(CE29:CE33)</f>
        <v>3243</v>
      </c>
      <c r="CF34" s="499">
        <f>SUM(CF29:CF33)</f>
        <v>3266</v>
      </c>
      <c r="CG34" s="608">
        <f t="shared" ref="CG34" si="32">SUM(CG29:CG33)</f>
        <v>4857</v>
      </c>
      <c r="CH34" s="685">
        <f>SUM(CH29:CH33)</f>
        <v>4846.3091621041422</v>
      </c>
      <c r="CI34" s="685">
        <f>SUM(CI29:CI33)</f>
        <v>4822.3772068534545</v>
      </c>
      <c r="CJ34" s="685">
        <f>SUM(CJ29:CJ33)</f>
        <v>4809.5326439482451</v>
      </c>
      <c r="CK34" s="683">
        <f>SUM(CK29:CK33)</f>
        <v>4777.545569654907</v>
      </c>
      <c r="CL34" s="680"/>
      <c r="CT34" s="2074"/>
    </row>
    <row r="35" spans="1:98">
      <c r="A35" s="407"/>
      <c r="B35" s="365"/>
      <c r="C35" s="365"/>
      <c r="D35" s="413"/>
      <c r="E35" s="413"/>
      <c r="F35" s="413"/>
      <c r="G35" s="413"/>
      <c r="H35" s="413"/>
      <c r="I35" s="413"/>
      <c r="J35" s="413"/>
      <c r="K35" s="413"/>
      <c r="L35" s="589"/>
      <c r="M35" s="589"/>
      <c r="N35" s="589"/>
      <c r="O35" s="451"/>
      <c r="P35" s="451"/>
      <c r="Q35" s="451"/>
      <c r="R35" s="451"/>
      <c r="S35" s="451"/>
      <c r="T35" s="451"/>
      <c r="U35" s="451"/>
      <c r="V35" s="451"/>
      <c r="W35" s="451"/>
      <c r="X35" s="451"/>
      <c r="Y35" s="823"/>
      <c r="Z35" s="399"/>
      <c r="AA35" s="613"/>
      <c r="AB35" s="613"/>
      <c r="AC35" s="614"/>
      <c r="AD35" s="615"/>
      <c r="AE35" s="616"/>
      <c r="AF35" s="616"/>
      <c r="AG35" s="614"/>
      <c r="AH35" s="615"/>
      <c r="AI35" s="616"/>
      <c r="AJ35" s="616"/>
      <c r="AK35" s="614"/>
      <c r="AL35" s="615"/>
      <c r="AM35" s="616"/>
      <c r="AN35" s="616"/>
      <c r="AO35" s="614"/>
      <c r="AP35" s="615"/>
      <c r="AQ35" s="616"/>
      <c r="AR35" s="616"/>
      <c r="AS35" s="614"/>
      <c r="AT35" s="615"/>
      <c r="AU35" s="616"/>
      <c r="AV35" s="616"/>
      <c r="AW35" s="614"/>
      <c r="AX35" s="615"/>
      <c r="AY35" s="616"/>
      <c r="AZ35" s="616"/>
      <c r="BA35" s="616"/>
      <c r="BB35" s="615"/>
      <c r="BC35" s="616"/>
      <c r="BD35" s="616"/>
      <c r="BE35" s="616"/>
      <c r="BF35" s="1812"/>
      <c r="BG35" s="2536"/>
      <c r="BH35" s="616"/>
      <c r="BI35" s="614"/>
      <c r="BJ35" s="616"/>
      <c r="BK35" s="616"/>
      <c r="BL35" s="616"/>
      <c r="BM35" s="499"/>
      <c r="BN35" s="610"/>
      <c r="BO35" s="499"/>
      <c r="BP35" s="499"/>
      <c r="BQ35" s="608"/>
      <c r="BR35" s="499"/>
      <c r="BS35" s="499"/>
      <c r="BT35" s="499"/>
      <c r="BU35" s="608"/>
      <c r="BV35" s="499"/>
      <c r="BW35" s="499"/>
      <c r="BX35" s="499"/>
      <c r="BY35" s="608"/>
      <c r="BZ35" s="499"/>
      <c r="CA35" s="499"/>
      <c r="CB35" s="499"/>
      <c r="CC35" s="608"/>
      <c r="CD35" s="499"/>
      <c r="CE35" s="499"/>
      <c r="CF35" s="499"/>
      <c r="CG35" s="608"/>
      <c r="CH35" s="3103"/>
      <c r="CI35" s="3103"/>
      <c r="CJ35" s="3103"/>
      <c r="CK35" s="2530"/>
      <c r="CL35" s="680"/>
      <c r="CT35" s="2074"/>
    </row>
    <row r="36" spans="1:98" ht="12" customHeight="1">
      <c r="A36" s="2605" t="s">
        <v>585</v>
      </c>
      <c r="B36" s="369"/>
      <c r="C36" s="369"/>
      <c r="D36" s="451">
        <f>AC36</f>
        <v>3109.3020000000001</v>
      </c>
      <c r="E36" s="451">
        <f>AG36</f>
        <v>2762.0189999999998</v>
      </c>
      <c r="F36" s="451">
        <f>AK36</f>
        <v>9624.07</v>
      </c>
      <c r="G36" s="451">
        <f>AO36</f>
        <v>8833.8520000000008</v>
      </c>
      <c r="H36" s="451">
        <f>AS36</f>
        <v>8513.357</v>
      </c>
      <c r="I36" s="451">
        <f>AW36</f>
        <v>21772.118999999999</v>
      </c>
      <c r="J36" s="2604">
        <f>BA36</f>
        <v>19257.652999999998</v>
      </c>
      <c r="K36" s="451">
        <f>BE36</f>
        <v>19075</v>
      </c>
      <c r="L36" s="451">
        <f>+BI36</f>
        <v>21356</v>
      </c>
      <c r="M36" s="451">
        <f>+BM36</f>
        <v>19400</v>
      </c>
      <c r="N36" s="451">
        <f>+BQ36</f>
        <v>20181</v>
      </c>
      <c r="O36" s="451">
        <f>BU36</f>
        <v>20121</v>
      </c>
      <c r="P36" s="451">
        <f>BY36</f>
        <v>18722</v>
      </c>
      <c r="Q36" s="451">
        <f>CC36</f>
        <v>18185</v>
      </c>
      <c r="R36" s="451">
        <f>CG36</f>
        <v>37283</v>
      </c>
      <c r="S36" s="451">
        <f>CK36</f>
        <v>36332</v>
      </c>
      <c r="T36" s="2933">
        <f>DEBT!N80</f>
        <v>35982</v>
      </c>
      <c r="U36" s="2933">
        <f>DEBT!O80</f>
        <v>35457</v>
      </c>
      <c r="V36" s="2933">
        <f>DEBT!P80</f>
        <v>34932</v>
      </c>
      <c r="W36" s="2933">
        <f>DEBT!Q80</f>
        <v>34407</v>
      </c>
      <c r="X36" s="2933">
        <f>DEBT!R80</f>
        <v>33882</v>
      </c>
      <c r="Y36" s="823"/>
      <c r="Z36" s="368"/>
      <c r="AA36" s="425"/>
      <c r="AB36" s="425"/>
      <c r="AC36" s="569">
        <f>(INPUTS_2!B34+INPUTS_2!B89)/1000</f>
        <v>3109.3020000000001</v>
      </c>
      <c r="AD36" s="489">
        <f>(INPUTS_2!C34+INPUTS_2!C89)/1000</f>
        <v>3016.9920000000002</v>
      </c>
      <c r="AE36" s="451">
        <f>(INPUTS_2!D34+INPUTS_2!D89)/1000</f>
        <v>2883.7840000000001</v>
      </c>
      <c r="AF36" s="451">
        <f>(INPUTS_2!E34+INPUTS_2!E89)/1000</f>
        <v>2900.9639999999999</v>
      </c>
      <c r="AG36" s="569">
        <f>(INPUTS_2!F34+INPUTS_2!F89)/1000</f>
        <v>2762.0189999999998</v>
      </c>
      <c r="AH36" s="489">
        <f>(INPUTS_2!G34+INPUTS_2!G89)/1000</f>
        <v>2694.203</v>
      </c>
      <c r="AI36" s="451">
        <f>(INPUTS_2!H34+INPUTS_2!H89)/1000</f>
        <v>2709.3989999999999</v>
      </c>
      <c r="AJ36" s="451">
        <f>(INPUTS_2!I34+INPUTS_2!I89)/1000</f>
        <v>2500.27</v>
      </c>
      <c r="AK36" s="569">
        <f>(INPUTS_2!J34+INPUTS_2!J89)/1000</f>
        <v>9624.07</v>
      </c>
      <c r="AL36" s="489">
        <f>(INPUTS_2!K34+INPUTS_2!K89)/1000</f>
        <v>9601.8590000000004</v>
      </c>
      <c r="AM36" s="451">
        <f>(INPUTS_2!L34+INPUTS_2!L89)/1000</f>
        <v>8985.2630000000008</v>
      </c>
      <c r="AN36" s="451">
        <f>(INPUTS_2!M34+INPUTS_2!M89)/1000</f>
        <v>8923.8070000000007</v>
      </c>
      <c r="AO36" s="569">
        <f>(INPUTS_2!N34+INPUTS_2!N89)/1000</f>
        <v>8833.8520000000008</v>
      </c>
      <c r="AP36" s="489">
        <f>(INPUTS_2!O34+INPUTS_2!O89)/1000</f>
        <v>8974.5110000000004</v>
      </c>
      <c r="AQ36" s="451">
        <f>(INPUTS_2!P34+INPUTS_2!P89)/1000</f>
        <v>8804.0730000000003</v>
      </c>
      <c r="AR36" s="451">
        <f>(INPUTS_2!Q34+INPUTS_2!Q89)/1000</f>
        <v>8521.5759999999991</v>
      </c>
      <c r="AS36" s="569">
        <f>(INPUTS_2!R34+INPUTS_2!R89)/1000</f>
        <v>8513.357</v>
      </c>
      <c r="AT36" s="489">
        <f>(INPUTS_2!S34+INPUTS_2!S89)/1000</f>
        <v>21717.31</v>
      </c>
      <c r="AU36" s="451">
        <f>(INPUTS_2!T34+INPUTS_2!T89)/1000</f>
        <v>22145.242999999999</v>
      </c>
      <c r="AV36" s="451">
        <f>(INPUTS_2!U34+INPUTS_2!U89)/1000</f>
        <v>21836.266</v>
      </c>
      <c r="AW36" s="569">
        <f>(INPUTS_2!V34+INPUTS_2!V89)/1000</f>
        <v>21772.118999999999</v>
      </c>
      <c r="AX36" s="489">
        <f>(INPUTS_2!W34+INPUTS_2!W89)/1000</f>
        <v>20875</v>
      </c>
      <c r="AY36" s="451">
        <f>(INPUTS_2!X34+INPUTS_2!X89)/1000</f>
        <v>20993.936000000002</v>
      </c>
      <c r="AZ36" s="451">
        <f>(INPUTS_2!Y34+INPUTS_2!Y89)/1000</f>
        <v>20664.514999999999</v>
      </c>
      <c r="BA36" s="451">
        <f>(INPUTS_2!Z34+INPUTS_2!Z89)/1000</f>
        <v>19257.652999999998</v>
      </c>
      <c r="BB36" s="489">
        <f>(INPUTS_2!AA34+INPUTS_2!AA89)/1000</f>
        <v>18721.018</v>
      </c>
      <c r="BC36" s="451">
        <f>(INPUTS_2!AB34+INPUTS_2!AB89)/1000</f>
        <v>18707.646000000001</v>
      </c>
      <c r="BD36" s="451">
        <f>(INPUTS_2!AC34+INPUTS_2!AC89)/1000</f>
        <v>17849.743999999999</v>
      </c>
      <c r="BE36" s="622">
        <v>19075</v>
      </c>
      <c r="BF36" s="572">
        <v>17410</v>
      </c>
      <c r="BG36" s="622">
        <v>19734</v>
      </c>
      <c r="BH36" s="622">
        <v>21142</v>
      </c>
      <c r="BI36" s="1830">
        <v>21356</v>
      </c>
      <c r="BJ36" s="622">
        <v>20667</v>
      </c>
      <c r="BK36" s="622">
        <v>19682</v>
      </c>
      <c r="BL36" s="622">
        <v>19508</v>
      </c>
      <c r="BM36" s="622">
        <v>19400</v>
      </c>
      <c r="BN36" s="572">
        <v>19595</v>
      </c>
      <c r="BO36" s="622">
        <v>20283</v>
      </c>
      <c r="BP36" s="622">
        <v>20391</v>
      </c>
      <c r="BQ36" s="1830">
        <v>20181</v>
      </c>
      <c r="BR36" s="622">
        <v>19814</v>
      </c>
      <c r="BS36" s="622">
        <v>19771</v>
      </c>
      <c r="BT36" s="622">
        <v>19982</v>
      </c>
      <c r="BU36" s="1830">
        <v>20121</v>
      </c>
      <c r="BV36" s="2880">
        <v>20254</v>
      </c>
      <c r="BW36" s="2880">
        <v>18834</v>
      </c>
      <c r="BX36" s="2880">
        <v>18504</v>
      </c>
      <c r="BY36" s="2881">
        <v>18722</v>
      </c>
      <c r="BZ36" s="2880">
        <v>19508</v>
      </c>
      <c r="CA36" s="2880">
        <v>18165</v>
      </c>
      <c r="CB36" s="2880">
        <v>18184</v>
      </c>
      <c r="CC36" s="2881">
        <v>18185</v>
      </c>
      <c r="CD36" s="2880">
        <v>18180</v>
      </c>
      <c r="CE36" s="2880">
        <v>24881</v>
      </c>
      <c r="CF36" s="2880">
        <v>24854</v>
      </c>
      <c r="CG36" s="2881">
        <v>37283</v>
      </c>
      <c r="CH36" s="680">
        <f>DEBT!AV80</f>
        <v>36895.25</v>
      </c>
      <c r="CI36" s="680">
        <f>DEBT!AW80</f>
        <v>36716.9375</v>
      </c>
      <c r="CJ36" s="680">
        <f>DEBT!AX80</f>
        <v>36545.703125</v>
      </c>
      <c r="CK36" s="568">
        <f>DEBT!AY80</f>
        <v>36332</v>
      </c>
      <c r="CL36" s="680"/>
      <c r="CT36" s="2074"/>
    </row>
    <row r="37" spans="1:98">
      <c r="A37" s="2658" t="s">
        <v>918</v>
      </c>
      <c r="B37" s="368"/>
      <c r="C37" s="368"/>
      <c r="D37" s="451">
        <f>AC37</f>
        <v>0</v>
      </c>
      <c r="E37" s="451">
        <f>AG37</f>
        <v>0</v>
      </c>
      <c r="F37" s="451">
        <f>AK37</f>
        <v>0</v>
      </c>
      <c r="G37" s="451">
        <f>AO37</f>
        <v>0</v>
      </c>
      <c r="H37" s="451">
        <f>AS37</f>
        <v>0</v>
      </c>
      <c r="I37" s="451">
        <f>AW37</f>
        <v>3232</v>
      </c>
      <c r="J37" s="451">
        <f>BA37</f>
        <v>3296</v>
      </c>
      <c r="K37" s="2606"/>
      <c r="L37" s="451"/>
      <c r="M37" s="451"/>
      <c r="N37" s="451"/>
      <c r="O37" s="451">
        <f>BU37</f>
        <v>4030</v>
      </c>
      <c r="P37" s="451">
        <f>BY37</f>
        <v>3569</v>
      </c>
      <c r="Q37" s="451">
        <f>CC37</f>
        <v>3471</v>
      </c>
      <c r="R37" s="451">
        <f>CG37</f>
        <v>2413</v>
      </c>
      <c r="S37" s="451">
        <f>CK37</f>
        <v>2714.0879508741641</v>
      </c>
      <c r="T37" s="451">
        <f>+S37+(-IS!T81+CFS!T82)</f>
        <v>2954.2362688486996</v>
      </c>
      <c r="U37" s="451">
        <f>+T37+(-IS!U81+CFS!U82)</f>
        <v>3302.4696331532759</v>
      </c>
      <c r="V37" s="451">
        <f>+U37+(-IS!V81+CFS!V82)</f>
        <v>3703.3479085292365</v>
      </c>
      <c r="W37" s="451">
        <f>+V37+(-IS!W81+CFS!W82)</f>
        <v>4163.6678807576172</v>
      </c>
      <c r="X37" s="451">
        <f>+W37+(-IS!X81+CFS!X82)</f>
        <v>4281.0435180349668</v>
      </c>
      <c r="Y37" s="823"/>
      <c r="Z37" s="368"/>
      <c r="AA37" s="451"/>
      <c r="AB37" s="451"/>
      <c r="AC37" s="451">
        <f>INPUTS_2!B90/1000</f>
        <v>0</v>
      </c>
      <c r="AD37" s="451">
        <f>INPUTS_2!C90/1000</f>
        <v>0</v>
      </c>
      <c r="AE37" s="451">
        <f>INPUTS_2!D90/1000</f>
        <v>0</v>
      </c>
      <c r="AF37" s="451">
        <f>INPUTS_2!E90/1000</f>
        <v>0</v>
      </c>
      <c r="AG37" s="451">
        <f>INPUTS_2!F90/1000</f>
        <v>0</v>
      </c>
      <c r="AH37" s="451">
        <f>INPUTS_2!G90/1000</f>
        <v>0</v>
      </c>
      <c r="AI37" s="451">
        <f>INPUTS_2!H90/1000</f>
        <v>0</v>
      </c>
      <c r="AJ37" s="451">
        <f>INPUTS_2!I90/1000</f>
        <v>0</v>
      </c>
      <c r="AK37" s="451">
        <f>INPUTS_2!J90/1000</f>
        <v>0</v>
      </c>
      <c r="AL37" s="451">
        <f>INPUTS_2!K90/1000</f>
        <v>0</v>
      </c>
      <c r="AM37" s="451">
        <f>INPUTS_2!L90/1000</f>
        <v>0</v>
      </c>
      <c r="AN37" s="451">
        <f>INPUTS_2!M90/1000</f>
        <v>0</v>
      </c>
      <c r="AO37" s="451">
        <f>INPUTS_2!N90/1000</f>
        <v>0</v>
      </c>
      <c r="AP37" s="451">
        <f>INPUTS_2!O90/1000</f>
        <v>0</v>
      </c>
      <c r="AQ37" s="451">
        <f>INPUTS_2!P90/1000</f>
        <v>0</v>
      </c>
      <c r="AR37" s="451">
        <f>INPUTS_2!Q90/1000</f>
        <v>0</v>
      </c>
      <c r="AS37" s="451">
        <f>INPUTS_2!R90/1000</f>
        <v>0</v>
      </c>
      <c r="AT37" s="451">
        <f>INPUTS_2!S90/1000</f>
        <v>2180</v>
      </c>
      <c r="AU37" s="451">
        <f>INPUTS_2!T90/1000</f>
        <v>2170</v>
      </c>
      <c r="AV37" s="451">
        <f>INPUTS_2!U90/1000</f>
        <v>2173</v>
      </c>
      <c r="AW37" s="451">
        <f>INPUTS_2!V90/1000</f>
        <v>3232</v>
      </c>
      <c r="AX37" s="451">
        <f>INPUTS_2!W90/1000</f>
        <v>3239</v>
      </c>
      <c r="AY37" s="451">
        <f>INPUTS_2!X90/1000</f>
        <v>3259</v>
      </c>
      <c r="AZ37" s="451">
        <f>INPUTS_2!Y90/1000</f>
        <v>3270</v>
      </c>
      <c r="BA37" s="451">
        <f>INPUTS_2!Z90/1000</f>
        <v>3296</v>
      </c>
      <c r="BB37" s="489">
        <f>INPUTS_2!AA90/1000</f>
        <v>3278</v>
      </c>
      <c r="BC37" s="451">
        <f>INPUTS_2!AB90/1000</f>
        <v>3267</v>
      </c>
      <c r="BD37" s="451">
        <f>INPUTS_2!AC90/1000</f>
        <v>3257</v>
      </c>
      <c r="BE37" s="451"/>
      <c r="BF37" s="572"/>
      <c r="BG37" s="622"/>
      <c r="BH37" s="622"/>
      <c r="BI37" s="1830"/>
      <c r="BJ37" s="622"/>
      <c r="BK37" s="622"/>
      <c r="BL37" s="622"/>
      <c r="BM37" s="622"/>
      <c r="BN37" s="572"/>
      <c r="BO37" s="622"/>
      <c r="BP37" s="622"/>
      <c r="BQ37" s="1830"/>
      <c r="BR37" s="622"/>
      <c r="BS37" s="622"/>
      <c r="BT37" s="622"/>
      <c r="BU37" s="1830">
        <v>4030</v>
      </c>
      <c r="BV37" s="2880">
        <v>3921</v>
      </c>
      <c r="BW37" s="2880">
        <v>3834</v>
      </c>
      <c r="BX37" s="2880">
        <v>3742</v>
      </c>
      <c r="BY37" s="2881">
        <v>3569</v>
      </c>
      <c r="BZ37" s="2880">
        <v>3596</v>
      </c>
      <c r="CA37" s="2880">
        <v>3625</v>
      </c>
      <c r="CB37" s="2880">
        <v>3653</v>
      </c>
      <c r="CC37" s="3110">
        <v>3471</v>
      </c>
      <c r="CD37" s="2880">
        <f>10020-CD38-CD39</f>
        <v>3686</v>
      </c>
      <c r="CE37" s="2880">
        <v>3230</v>
      </c>
      <c r="CF37" s="2880">
        <v>3128</v>
      </c>
      <c r="CG37" s="2881">
        <v>2413</v>
      </c>
      <c r="CH37" s="680">
        <f>+CG37+(-IS!CI81+CFS!CE82)+50</f>
        <v>2467.42006078125</v>
      </c>
      <c r="CI37" s="680">
        <f>+CH37+(-IS!CJ81+CFS!CF82)+50</f>
        <v>2537.0737490361876</v>
      </c>
      <c r="CJ37" s="680">
        <f>+CI37+(-IS!CK81+CFS!CG82)+50</f>
        <v>2617.2401012842997</v>
      </c>
      <c r="CK37" s="568">
        <f>+CJ37+(-IS!CL81+CFS!CH82)+50</f>
        <v>2714.0879508741641</v>
      </c>
      <c r="CL37" s="680"/>
      <c r="CT37" s="2074"/>
    </row>
    <row r="38" spans="1:98">
      <c r="A38" s="2658" t="s">
        <v>1258</v>
      </c>
      <c r="B38" s="368"/>
      <c r="C38" s="368"/>
      <c r="D38" s="451"/>
      <c r="E38" s="451"/>
      <c r="F38" s="451"/>
      <c r="G38" s="451"/>
      <c r="H38" s="451"/>
      <c r="I38" s="451"/>
      <c r="J38" s="451"/>
      <c r="K38" s="2606"/>
      <c r="L38" s="451"/>
      <c r="M38" s="451"/>
      <c r="N38" s="451"/>
      <c r="O38" s="451">
        <f>BU38</f>
        <v>5808</v>
      </c>
      <c r="P38" s="451">
        <f>BY38</f>
        <v>5511</v>
      </c>
      <c r="Q38" s="451">
        <f>CC38</f>
        <v>5527</v>
      </c>
      <c r="R38" s="451">
        <f>CG38</f>
        <v>5178</v>
      </c>
      <c r="S38" s="451">
        <f>CK38</f>
        <v>5178</v>
      </c>
      <c r="T38" s="451">
        <f>S38</f>
        <v>5178</v>
      </c>
      <c r="U38" s="451">
        <f>T38</f>
        <v>5178</v>
      </c>
      <c r="V38" s="451">
        <f>U38</f>
        <v>5178</v>
      </c>
      <c r="W38" s="451">
        <f>V38</f>
        <v>5178</v>
      </c>
      <c r="X38" s="451">
        <f>W38</f>
        <v>5178</v>
      </c>
      <c r="Y38" s="823"/>
      <c r="Z38" s="368"/>
      <c r="AA38" s="451"/>
      <c r="AB38" s="451"/>
      <c r="AC38" s="451"/>
      <c r="AD38" s="451"/>
      <c r="AE38" s="451"/>
      <c r="AF38" s="451"/>
      <c r="AG38" s="451"/>
      <c r="AH38" s="451"/>
      <c r="AI38" s="451"/>
      <c r="AJ38" s="451"/>
      <c r="AK38" s="451"/>
      <c r="AL38" s="451"/>
      <c r="AM38" s="451"/>
      <c r="AN38" s="451"/>
      <c r="AO38" s="451"/>
      <c r="AP38" s="451"/>
      <c r="AQ38" s="451"/>
      <c r="AR38" s="451"/>
      <c r="AS38" s="451"/>
      <c r="AT38" s="451"/>
      <c r="AU38" s="451"/>
      <c r="AV38" s="451"/>
      <c r="AW38" s="451"/>
      <c r="AX38" s="451"/>
      <c r="AY38" s="451"/>
      <c r="AZ38" s="451"/>
      <c r="BA38" s="451"/>
      <c r="BB38" s="489"/>
      <c r="BC38" s="451"/>
      <c r="BD38" s="451"/>
      <c r="BE38" s="451"/>
      <c r="BF38" s="572"/>
      <c r="BG38" s="622"/>
      <c r="BH38" s="622"/>
      <c r="BI38" s="1830"/>
      <c r="BJ38" s="622"/>
      <c r="BK38" s="622"/>
      <c r="BL38" s="622"/>
      <c r="BM38" s="622"/>
      <c r="BN38" s="572"/>
      <c r="BO38" s="622"/>
      <c r="BP38" s="622"/>
      <c r="BQ38" s="1830"/>
      <c r="BR38" s="622"/>
      <c r="BS38" s="622"/>
      <c r="BT38" s="622"/>
      <c r="BU38" s="1830">
        <v>5808</v>
      </c>
      <c r="BV38" s="2880">
        <v>5755</v>
      </c>
      <c r="BW38" s="2880">
        <v>5696</v>
      </c>
      <c r="BX38" s="2880">
        <v>5534</v>
      </c>
      <c r="BY38" s="2881">
        <v>5511</v>
      </c>
      <c r="BZ38" s="2880">
        <v>5445</v>
      </c>
      <c r="CA38" s="2880">
        <v>5390</v>
      </c>
      <c r="CB38" s="2880">
        <v>5228</v>
      </c>
      <c r="CC38" s="2881">
        <v>5527</v>
      </c>
      <c r="CD38" s="2880">
        <v>5228</v>
      </c>
      <c r="CE38" s="2880">
        <v>5362</v>
      </c>
      <c r="CF38" s="2880">
        <v>5183</v>
      </c>
      <c r="CG38" s="2881">
        <v>5178</v>
      </c>
      <c r="CH38" s="680">
        <f t="shared" ref="CH38:CK38" si="33">+CG38</f>
        <v>5178</v>
      </c>
      <c r="CI38" s="680">
        <f t="shared" si="33"/>
        <v>5178</v>
      </c>
      <c r="CJ38" s="680">
        <f t="shared" si="33"/>
        <v>5178</v>
      </c>
      <c r="CK38" s="568">
        <f t="shared" si="33"/>
        <v>5178</v>
      </c>
      <c r="CL38" s="680"/>
      <c r="CT38" s="2074"/>
    </row>
    <row r="39" spans="1:98">
      <c r="A39" s="2658" t="s">
        <v>792</v>
      </c>
      <c r="B39" s="368"/>
      <c r="C39" s="368"/>
      <c r="D39" s="451">
        <f>AC39</f>
        <v>836.65099999999995</v>
      </c>
      <c r="E39" s="451">
        <f>AG39</f>
        <v>933.55100000000004</v>
      </c>
      <c r="F39" s="451">
        <f>AK39</f>
        <v>3162.134</v>
      </c>
      <c r="G39" s="451">
        <f>AO39</f>
        <v>3093.6390000000001</v>
      </c>
      <c r="H39" s="451">
        <f>AS39</f>
        <v>2964.4560000000001</v>
      </c>
      <c r="I39" s="451">
        <f>AW39</f>
        <v>5516.4459999999999</v>
      </c>
      <c r="J39" s="2604">
        <f>BA39</f>
        <v>5296.0820000000003</v>
      </c>
      <c r="K39" s="451">
        <f>BE39</f>
        <v>6871</v>
      </c>
      <c r="L39" s="451">
        <f>+BI39</f>
        <v>9844</v>
      </c>
      <c r="M39" s="451">
        <f>+BM39</f>
        <v>10736</v>
      </c>
      <c r="N39" s="451">
        <f>+BQ39</f>
        <v>10006</v>
      </c>
      <c r="O39" s="451">
        <f>BU39</f>
        <v>1247</v>
      </c>
      <c r="P39" s="451">
        <f>BY39</f>
        <v>1138</v>
      </c>
      <c r="Q39" s="451">
        <f>CC39</f>
        <v>1086</v>
      </c>
      <c r="R39" s="451">
        <f>CG39</f>
        <v>2389</v>
      </c>
      <c r="S39" s="451">
        <f>CK39</f>
        <v>2589</v>
      </c>
      <c r="T39" s="451">
        <f>+S39</f>
        <v>2589</v>
      </c>
      <c r="U39" s="451">
        <f>+T39</f>
        <v>2589</v>
      </c>
      <c r="V39" s="451">
        <f>+U39</f>
        <v>2589</v>
      </c>
      <c r="W39" s="451">
        <f>+V39</f>
        <v>2589</v>
      </c>
      <c r="X39" s="451">
        <f>+W39</f>
        <v>2589</v>
      </c>
      <c r="Y39" s="823"/>
      <c r="Z39" s="368"/>
      <c r="AA39" s="451"/>
      <c r="AB39" s="451"/>
      <c r="AC39" s="451">
        <f>(INPUTS_2!B35+INPUTS_2!B91+INPUTS_2!B92)/1000</f>
        <v>836.65099999999995</v>
      </c>
      <c r="AD39" s="451">
        <f>(INPUTS_2!C35+INPUTS_2!C91+INPUTS_2!C92)/1000</f>
        <v>854.43200000000002</v>
      </c>
      <c r="AE39" s="451">
        <f>(INPUTS_2!D35+INPUTS_2!D91+INPUTS_2!D92)/1000</f>
        <v>913.51300000000003</v>
      </c>
      <c r="AF39" s="451">
        <f>(INPUTS_2!E35+INPUTS_2!E91+INPUTS_2!E92)/1000</f>
        <v>941.53899999999999</v>
      </c>
      <c r="AG39" s="451">
        <f>(INPUTS_2!F35+INPUTS_2!F91+INPUTS_2!F92)/1000</f>
        <v>933.55100000000004</v>
      </c>
      <c r="AH39" s="451">
        <f>(INPUTS_2!G35+INPUTS_2!G91+INPUTS_2!G92)/1000</f>
        <v>968.05899999999997</v>
      </c>
      <c r="AI39" s="451">
        <f>(INPUTS_2!H35+INPUTS_2!H91+INPUTS_2!H92)/1000</f>
        <v>956.23400000000004</v>
      </c>
      <c r="AJ39" s="451">
        <f>(INPUTS_2!I35+INPUTS_2!I91+INPUTS_2!I92)/1000</f>
        <v>979.26400000000001</v>
      </c>
      <c r="AK39" s="451">
        <f>(INPUTS_2!J35+INPUTS_2!J91+INPUTS_2!J92)/1000</f>
        <v>3162.134</v>
      </c>
      <c r="AL39" s="451">
        <f>(INPUTS_2!K35+INPUTS_2!K91+INPUTS_2!K92)/1000</f>
        <v>3186.0427314172448</v>
      </c>
      <c r="AM39" s="451">
        <f>(INPUTS_2!L35+INPUTS_2!L91+INPUTS_2!L92)/1000</f>
        <v>3118.0650000000001</v>
      </c>
      <c r="AN39" s="451">
        <f>(INPUTS_2!M35+INPUTS_2!M91+INPUTS_2!M92)/1000</f>
        <v>3333.57</v>
      </c>
      <c r="AO39" s="451">
        <f>(INPUTS_2!N35+INPUTS_2!N91+INPUTS_2!N92)/1000</f>
        <v>3093.6390000000001</v>
      </c>
      <c r="AP39" s="451">
        <f>(INPUTS_2!O35+INPUTS_2!O91+INPUTS_2!O92)/1000</f>
        <v>3115.2739999999999</v>
      </c>
      <c r="AQ39" s="451">
        <f>(INPUTS_2!P35+INPUTS_2!P91+INPUTS_2!P92)/1000</f>
        <v>3063.1550000000002</v>
      </c>
      <c r="AR39" s="451">
        <f>(INPUTS_2!Q35+INPUTS_2!Q91+INPUTS_2!Q92)/1000</f>
        <v>3084.7370000000001</v>
      </c>
      <c r="AS39" s="451">
        <f>(INPUTS_2!R35+INPUTS_2!R91+INPUTS_2!R92)/1000</f>
        <v>2964.4560000000001</v>
      </c>
      <c r="AT39" s="451">
        <f>(INPUTS_2!S35+INPUTS_2!S91+INPUTS_2!S92)/1000</f>
        <v>4870.8</v>
      </c>
      <c r="AU39" s="451">
        <f>(INPUTS_2!T35+INPUTS_2!T91+INPUTS_2!T92)/1000</f>
        <v>4853.6660000000002</v>
      </c>
      <c r="AV39" s="451">
        <f>(INPUTS_2!U35+INPUTS_2!U91+INPUTS_2!U92)/1000</f>
        <v>4873.683</v>
      </c>
      <c r="AW39" s="451">
        <f>(INPUTS_2!V35+INPUTS_2!V91+INPUTS_2!V92)/1000</f>
        <v>5516.4459999999999</v>
      </c>
      <c r="AX39" s="451">
        <f>(INPUTS_2!W35+INPUTS_2!W91+INPUTS_2!W92)/1000</f>
        <v>6004</v>
      </c>
      <c r="AY39" s="451">
        <f>(INPUTS_2!X35+INPUTS_2!X91+INPUTS_2!X92)/1000</f>
        <v>5526</v>
      </c>
      <c r="AZ39" s="451">
        <f>(INPUTS_2!Y35+INPUTS_2!Y91+INPUTS_2!Y92)/1000</f>
        <v>5184.2420000000002</v>
      </c>
      <c r="BA39" s="451">
        <f>(INPUTS_2!Z35+INPUTS_2!Z91+INPUTS_2!Z92)/1000</f>
        <v>5296.0820000000003</v>
      </c>
      <c r="BB39" s="489">
        <f>(INPUTS_2!AA35+INPUTS_2!AA91+INPUTS_2!AA92)/1000</f>
        <v>4952.21</v>
      </c>
      <c r="BC39" s="451">
        <f>(INPUTS_2!AB35+INPUTS_2!AB91+INPUTS_2!AB92)/1000</f>
        <v>4940.2560000000003</v>
      </c>
      <c r="BD39" s="451">
        <f>(INPUTS_2!AC35+INPUTS_2!AC91+INPUTS_2!AC92)/1000</f>
        <v>4993.884</v>
      </c>
      <c r="BE39" s="622">
        <v>6871</v>
      </c>
      <c r="BF39" s="572">
        <v>6823</v>
      </c>
      <c r="BG39" s="622">
        <f>3106+4008+1289</f>
        <v>8403</v>
      </c>
      <c r="BH39" s="622">
        <v>8880</v>
      </c>
      <c r="BI39" s="1830">
        <v>9844</v>
      </c>
      <c r="BJ39" s="622">
        <v>9894</v>
      </c>
      <c r="BK39" s="622">
        <v>9890</v>
      </c>
      <c r="BL39" s="622">
        <v>9996</v>
      </c>
      <c r="BM39" s="622">
        <f>3644+5844+1248</f>
        <v>10736</v>
      </c>
      <c r="BN39" s="572">
        <v>10695</v>
      </c>
      <c r="BO39" s="622">
        <v>10823</v>
      </c>
      <c r="BP39" s="622">
        <v>10901</v>
      </c>
      <c r="BQ39" s="1830">
        <v>10006</v>
      </c>
      <c r="BR39" s="622">
        <v>9933</v>
      </c>
      <c r="BS39" s="622">
        <v>9802</v>
      </c>
      <c r="BT39" s="622">
        <f>4629+3761+1252</f>
        <v>9642</v>
      </c>
      <c r="BU39" s="1830">
        <v>1247</v>
      </c>
      <c r="BV39" s="2880">
        <v>1246</v>
      </c>
      <c r="BW39" s="2880">
        <v>1229</v>
      </c>
      <c r="BX39" s="2880">
        <v>1177</v>
      </c>
      <c r="BY39" s="2881">
        <v>1138</v>
      </c>
      <c r="BZ39" s="2880">
        <v>1106</v>
      </c>
      <c r="CA39" s="2880">
        <v>1111</v>
      </c>
      <c r="CB39" s="2880">
        <v>1106</v>
      </c>
      <c r="CC39" s="2881">
        <v>1086</v>
      </c>
      <c r="CD39" s="2880">
        <v>1106</v>
      </c>
      <c r="CE39" s="2880">
        <v>1123</v>
      </c>
      <c r="CF39" s="2880">
        <v>1145</v>
      </c>
      <c r="CG39" s="2881">
        <v>2389</v>
      </c>
      <c r="CH39" s="680">
        <f>+CG39+50</f>
        <v>2439</v>
      </c>
      <c r="CI39" s="680">
        <f t="shared" ref="CI39:CK39" si="34">+CH39+50</f>
        <v>2489</v>
      </c>
      <c r="CJ39" s="680">
        <f t="shared" si="34"/>
        <v>2539</v>
      </c>
      <c r="CK39" s="568">
        <f t="shared" si="34"/>
        <v>2589</v>
      </c>
      <c r="CL39" s="680"/>
      <c r="CT39" s="2074"/>
    </row>
    <row r="40" spans="1:98">
      <c r="A40" s="364" t="s">
        <v>943</v>
      </c>
      <c r="B40" s="364"/>
      <c r="C40" s="364"/>
      <c r="D40" s="493">
        <f t="shared" ref="D40:O40" si="35">SUM(D36:D39)+D34</f>
        <v>4417.3360000000002</v>
      </c>
      <c r="E40" s="493">
        <f t="shared" si="35"/>
        <v>4387.1880000000001</v>
      </c>
      <c r="F40" s="493">
        <f t="shared" si="35"/>
        <v>14689.433999999999</v>
      </c>
      <c r="G40" s="493">
        <f t="shared" si="35"/>
        <v>13809.056000000002</v>
      </c>
      <c r="H40" s="493">
        <f t="shared" si="35"/>
        <v>13412.348</v>
      </c>
      <c r="I40" s="493">
        <f t="shared" si="35"/>
        <v>35727.955000000002</v>
      </c>
      <c r="J40" s="493">
        <f t="shared" si="35"/>
        <v>34653.93</v>
      </c>
      <c r="K40" s="493">
        <f t="shared" si="35"/>
        <v>30688</v>
      </c>
      <c r="L40" s="493">
        <f t="shared" si="35"/>
        <v>35217</v>
      </c>
      <c r="M40" s="493">
        <f t="shared" si="35"/>
        <v>34731</v>
      </c>
      <c r="N40" s="493">
        <f t="shared" si="35"/>
        <v>34596</v>
      </c>
      <c r="O40" s="493">
        <f t="shared" si="35"/>
        <v>35124</v>
      </c>
      <c r="P40" s="493">
        <f t="shared" ref="P40:U40" si="36">SUM(P36:P39)+P34</f>
        <v>33544</v>
      </c>
      <c r="Q40" s="493">
        <f t="shared" si="36"/>
        <v>33618</v>
      </c>
      <c r="R40" s="493">
        <f>SUM(R36:R39)+R34</f>
        <v>52120</v>
      </c>
      <c r="S40" s="493">
        <f>SUM(S36:S39)+S34</f>
        <v>51590.633520529067</v>
      </c>
      <c r="T40" s="493">
        <f t="shared" si="36"/>
        <v>51511.88246625282</v>
      </c>
      <c r="U40" s="493">
        <f t="shared" si="36"/>
        <v>51235.112200020158</v>
      </c>
      <c r="V40" s="493">
        <f>SUM(V36:V39)+V34</f>
        <v>51059.770038826136</v>
      </c>
      <c r="W40" s="493">
        <f>SUM(W36:W39)+W34</f>
        <v>50954.34582579069</v>
      </c>
      <c r="X40" s="493">
        <f>SUM(X36:X39)+X34</f>
        <v>50509.10789824411</v>
      </c>
      <c r="Y40" s="2544"/>
      <c r="Z40" s="399"/>
      <c r="AA40" s="619"/>
      <c r="AB40" s="619"/>
      <c r="AC40" s="593">
        <f t="shared" ref="AC40:BY40" si="37">SUM(AC36:AC39)+AC34</f>
        <v>4417.3360000000002</v>
      </c>
      <c r="AD40" s="594">
        <f t="shared" si="37"/>
        <v>4481.8609999999999</v>
      </c>
      <c r="AE40" s="582">
        <f t="shared" si="37"/>
        <v>4331.1939999999995</v>
      </c>
      <c r="AF40" s="582">
        <f t="shared" si="37"/>
        <v>4382.5889999999999</v>
      </c>
      <c r="AG40" s="593">
        <f t="shared" si="37"/>
        <v>4387.1880000000001</v>
      </c>
      <c r="AH40" s="594">
        <f t="shared" si="37"/>
        <v>4273.34</v>
      </c>
      <c r="AI40" s="582">
        <f t="shared" si="37"/>
        <v>4266.9309999999996</v>
      </c>
      <c r="AJ40" s="582">
        <f t="shared" si="37"/>
        <v>4287.1010000000006</v>
      </c>
      <c r="AK40" s="593">
        <f t="shared" si="37"/>
        <v>14689.433999999999</v>
      </c>
      <c r="AL40" s="594">
        <f t="shared" si="37"/>
        <v>14908.992309217047</v>
      </c>
      <c r="AM40" s="582">
        <f t="shared" si="37"/>
        <v>14094.424000000001</v>
      </c>
      <c r="AN40" s="582">
        <f t="shared" si="37"/>
        <v>14213.587</v>
      </c>
      <c r="AO40" s="593">
        <f t="shared" si="37"/>
        <v>13809.056000000002</v>
      </c>
      <c r="AP40" s="594">
        <f t="shared" si="37"/>
        <v>14276.880999999999</v>
      </c>
      <c r="AQ40" s="582">
        <f t="shared" si="37"/>
        <v>13992.502</v>
      </c>
      <c r="AR40" s="582">
        <f t="shared" si="37"/>
        <v>13617.228999999998</v>
      </c>
      <c r="AS40" s="593">
        <f t="shared" si="37"/>
        <v>13412.348</v>
      </c>
      <c r="AT40" s="594">
        <f t="shared" si="37"/>
        <v>34547.142999999996</v>
      </c>
      <c r="AU40" s="582">
        <f t="shared" si="37"/>
        <v>34672.027000000002</v>
      </c>
      <c r="AV40" s="582">
        <f t="shared" si="37"/>
        <v>34609.661999999997</v>
      </c>
      <c r="AW40" s="593">
        <f t="shared" si="37"/>
        <v>35727.955000000002</v>
      </c>
      <c r="AX40" s="594">
        <f t="shared" si="37"/>
        <v>34639</v>
      </c>
      <c r="AY40" s="582">
        <f t="shared" si="37"/>
        <v>34848.428758835194</v>
      </c>
      <c r="AZ40" s="582">
        <f t="shared" si="37"/>
        <v>34849.034</v>
      </c>
      <c r="BA40" s="593">
        <f t="shared" si="37"/>
        <v>34653.93</v>
      </c>
      <c r="BB40" s="594">
        <f t="shared" si="37"/>
        <v>33302.290999999997</v>
      </c>
      <c r="BC40" s="582">
        <f t="shared" si="37"/>
        <v>32848.487999999998</v>
      </c>
      <c r="BD40" s="582">
        <f t="shared" si="37"/>
        <v>32998.356</v>
      </c>
      <c r="BE40" s="582">
        <f t="shared" si="37"/>
        <v>30688</v>
      </c>
      <c r="BF40" s="594">
        <f t="shared" si="37"/>
        <v>30069</v>
      </c>
      <c r="BG40" s="582">
        <f t="shared" si="37"/>
        <v>33201</v>
      </c>
      <c r="BH40" s="582">
        <f t="shared" si="37"/>
        <v>34759</v>
      </c>
      <c r="BI40" s="593">
        <f t="shared" si="37"/>
        <v>35217</v>
      </c>
      <c r="BJ40" s="582">
        <f t="shared" si="37"/>
        <v>36204</v>
      </c>
      <c r="BK40" s="582">
        <f t="shared" si="37"/>
        <v>34779</v>
      </c>
      <c r="BL40" s="582">
        <f t="shared" si="37"/>
        <v>34435</v>
      </c>
      <c r="BM40" s="582">
        <f t="shared" si="37"/>
        <v>34731</v>
      </c>
      <c r="BN40" s="594">
        <f t="shared" si="37"/>
        <v>34873</v>
      </c>
      <c r="BO40" s="582">
        <f t="shared" si="37"/>
        <v>34854</v>
      </c>
      <c r="BP40" s="582">
        <f t="shared" si="37"/>
        <v>35270</v>
      </c>
      <c r="BQ40" s="593">
        <f t="shared" si="37"/>
        <v>34596</v>
      </c>
      <c r="BR40" s="582">
        <f t="shared" si="37"/>
        <v>34368</v>
      </c>
      <c r="BS40" s="582">
        <f t="shared" si="37"/>
        <v>34016</v>
      </c>
      <c r="BT40" s="582">
        <f t="shared" si="37"/>
        <v>34201</v>
      </c>
      <c r="BU40" s="593">
        <f>SUM(BU36:BU39)+BU34</f>
        <v>35124</v>
      </c>
      <c r="BV40" s="582">
        <f>SUM(BV36:BV39)+BV34</f>
        <v>34755</v>
      </c>
      <c r="BW40" s="582">
        <f>SUM(BW36:BW39)+BW34</f>
        <v>34390</v>
      </c>
      <c r="BX40" s="582">
        <f>SUM(BX36:BX39)+BX34</f>
        <v>34504</v>
      </c>
      <c r="BY40" s="593">
        <f t="shared" si="37"/>
        <v>33544</v>
      </c>
      <c r="BZ40" s="582">
        <f t="shared" ref="BZ40:CB40" si="38">SUM(BZ36:BZ39)+BZ34</f>
        <v>33481</v>
      </c>
      <c r="CA40" s="582">
        <f t="shared" si="38"/>
        <v>33133</v>
      </c>
      <c r="CB40" s="582">
        <f t="shared" si="38"/>
        <v>32904</v>
      </c>
      <c r="CC40" s="593">
        <f>SUM(CC36:CC39)+CC34</f>
        <v>33618</v>
      </c>
      <c r="CD40" s="582">
        <f>SUM(CD36:CD39)+CD34</f>
        <v>33296</v>
      </c>
      <c r="CE40" s="582">
        <f>SUM(CE36:CE39)+CE34</f>
        <v>37839</v>
      </c>
      <c r="CF40" s="582">
        <f>SUM(CF36:CF39)+CF34</f>
        <v>37576</v>
      </c>
      <c r="CG40" s="593">
        <f t="shared" ref="CG40" si="39">SUM(CG36:CG39)+CG34</f>
        <v>52120</v>
      </c>
      <c r="CH40" s="685">
        <f>SUM(CH36:CH39)+CH34</f>
        <v>51825.979222885391</v>
      </c>
      <c r="CI40" s="685">
        <f>SUM(CI36:CI39)+CI34</f>
        <v>51743.388455889639</v>
      </c>
      <c r="CJ40" s="685">
        <f>SUM(CJ36:CJ39)+CJ34</f>
        <v>51689.475870232542</v>
      </c>
      <c r="CK40" s="683">
        <f>SUM(CK36:CK39)+CK34</f>
        <v>51590.633520529067</v>
      </c>
      <c r="CL40" s="680"/>
      <c r="CT40" s="2074"/>
    </row>
    <row r="41" spans="1:98">
      <c r="A41" s="365"/>
      <c r="B41" s="365"/>
      <c r="C41" s="365"/>
      <c r="D41" s="413"/>
      <c r="E41" s="413"/>
      <c r="F41" s="413"/>
      <c r="G41" s="413"/>
      <c r="H41" s="413"/>
      <c r="I41" s="413"/>
      <c r="J41" s="413"/>
      <c r="K41" s="413"/>
      <c r="L41" s="589"/>
      <c r="M41" s="589"/>
      <c r="N41" s="589"/>
      <c r="O41" s="451"/>
      <c r="P41" s="451"/>
      <c r="Q41" s="451"/>
      <c r="R41" s="451"/>
      <c r="S41" s="451"/>
      <c r="T41" s="451"/>
      <c r="U41" s="451"/>
      <c r="V41" s="451"/>
      <c r="W41" s="451"/>
      <c r="X41" s="451"/>
      <c r="Y41" s="2544"/>
      <c r="Z41" s="399"/>
      <c r="AA41" s="613"/>
      <c r="AB41" s="613"/>
      <c r="AC41" s="620"/>
      <c r="AD41" s="621"/>
      <c r="AE41" s="613"/>
      <c r="AF41" s="613"/>
      <c r="AG41" s="620"/>
      <c r="AH41" s="621"/>
      <c r="AI41" s="613"/>
      <c r="AJ41" s="613"/>
      <c r="AK41" s="620"/>
      <c r="AL41" s="621"/>
      <c r="AM41" s="613"/>
      <c r="AN41" s="613"/>
      <c r="AO41" s="620"/>
      <c r="AP41" s="621"/>
      <c r="AQ41" s="613"/>
      <c r="AR41" s="613"/>
      <c r="AS41" s="620"/>
      <c r="AT41" s="621"/>
      <c r="AU41" s="613"/>
      <c r="AV41" s="613"/>
      <c r="AW41" s="620"/>
      <c r="AX41" s="621"/>
      <c r="AY41" s="613"/>
      <c r="AZ41" s="613"/>
      <c r="BA41" s="620"/>
      <c r="BB41" s="621"/>
      <c r="BC41" s="613"/>
      <c r="BD41" s="613"/>
      <c r="BE41" s="613"/>
      <c r="BF41" s="621"/>
      <c r="BG41" s="613"/>
      <c r="BH41" s="613"/>
      <c r="BI41" s="620"/>
      <c r="BJ41" s="613"/>
      <c r="BK41" s="613"/>
      <c r="BL41" s="613"/>
      <c r="BM41" s="582"/>
      <c r="BN41" s="594"/>
      <c r="BO41" s="582"/>
      <c r="BP41" s="582"/>
      <c r="BQ41" s="593"/>
      <c r="BR41" s="582"/>
      <c r="BS41" s="582"/>
      <c r="BT41" s="582"/>
      <c r="BU41" s="593"/>
      <c r="BV41" s="582"/>
      <c r="BW41" s="582"/>
      <c r="BX41" s="582"/>
      <c r="BY41" s="593"/>
      <c r="BZ41" s="582"/>
      <c r="CA41" s="582"/>
      <c r="CB41" s="582"/>
      <c r="CC41" s="593"/>
      <c r="CD41" s="582"/>
      <c r="CE41" s="582"/>
      <c r="CF41" s="582"/>
      <c r="CG41" s="593"/>
      <c r="CH41" s="3103"/>
      <c r="CI41" s="3103"/>
      <c r="CJ41" s="3103"/>
      <c r="CK41" s="2530"/>
      <c r="CL41" s="680"/>
      <c r="CT41" s="2074"/>
    </row>
    <row r="42" spans="1:98">
      <c r="A42" s="364" t="s">
        <v>944</v>
      </c>
      <c r="B42" s="365"/>
      <c r="C42" s="365"/>
      <c r="D42" s="413"/>
      <c r="E42" s="413"/>
      <c r="F42" s="413"/>
      <c r="G42" s="413"/>
      <c r="H42" s="413"/>
      <c r="I42" s="413"/>
      <c r="J42" s="413"/>
      <c r="K42" s="413"/>
      <c r="L42" s="589"/>
      <c r="M42" s="589"/>
      <c r="N42" s="589"/>
      <c r="O42" s="451"/>
      <c r="P42" s="451"/>
      <c r="Q42" s="451"/>
      <c r="R42" s="451"/>
      <c r="S42" s="451"/>
      <c r="T42" s="451"/>
      <c r="U42" s="451"/>
      <c r="V42" s="451"/>
      <c r="W42" s="451"/>
      <c r="X42" s="451"/>
      <c r="Y42" s="2544"/>
      <c r="Z42" s="399"/>
      <c r="AA42" s="399"/>
      <c r="AB42" s="399"/>
      <c r="AC42" s="400"/>
      <c r="AD42" s="407"/>
      <c r="AE42" s="399"/>
      <c r="AF42" s="399"/>
      <c r="AG42" s="400"/>
      <c r="AH42" s="407"/>
      <c r="AI42" s="399"/>
      <c r="AJ42" s="399"/>
      <c r="AK42" s="400"/>
      <c r="AL42" s="407"/>
      <c r="AM42" s="399"/>
      <c r="AN42" s="399"/>
      <c r="AO42" s="400"/>
      <c r="AP42" s="407"/>
      <c r="AQ42" s="399"/>
      <c r="AR42" s="399"/>
      <c r="AS42" s="400"/>
      <c r="AT42" s="407"/>
      <c r="AU42" s="399"/>
      <c r="AV42" s="399"/>
      <c r="AW42" s="400"/>
      <c r="AX42" s="407"/>
      <c r="AY42" s="399"/>
      <c r="AZ42" s="399"/>
      <c r="BA42" s="400"/>
      <c r="BB42" s="407"/>
      <c r="BC42" s="399"/>
      <c r="BD42" s="399"/>
      <c r="BE42" s="399"/>
      <c r="BF42" s="407"/>
      <c r="BG42" s="399"/>
      <c r="BH42" s="399"/>
      <c r="BI42" s="400"/>
      <c r="BJ42" s="399"/>
      <c r="BK42" s="399"/>
      <c r="BL42" s="368"/>
      <c r="BM42" s="569"/>
      <c r="BN42" s="489"/>
      <c r="BO42" s="622"/>
      <c r="BP42" s="622"/>
      <c r="BQ42" s="1830"/>
      <c r="BR42" s="622"/>
      <c r="BS42" s="622"/>
      <c r="BT42" s="622"/>
      <c r="BU42" s="1830"/>
      <c r="BV42" s="622"/>
      <c r="BW42" s="622"/>
      <c r="BX42" s="622"/>
      <c r="BY42" s="1830"/>
      <c r="BZ42" s="622"/>
      <c r="CA42" s="622"/>
      <c r="CB42" s="622"/>
      <c r="CC42" s="1830"/>
      <c r="CD42" s="622"/>
      <c r="CE42" s="622"/>
      <c r="CF42" s="622"/>
      <c r="CG42" s="1830"/>
      <c r="CH42" s="444"/>
      <c r="CI42" s="444"/>
      <c r="CJ42" s="444"/>
      <c r="CK42" s="484"/>
      <c r="CL42" s="680"/>
      <c r="CT42" s="2074"/>
    </row>
    <row r="43" spans="1:98">
      <c r="A43" s="132" t="s">
        <v>845</v>
      </c>
      <c r="B43" s="365"/>
      <c r="C43" s="365"/>
      <c r="D43" s="413">
        <f t="shared" ref="D43:D48" si="40">AC43</f>
        <v>144.364</v>
      </c>
      <c r="E43" s="413">
        <f t="shared" ref="E43:E48" si="41">AG43</f>
        <v>132.374</v>
      </c>
      <c r="F43" s="413">
        <f t="shared" ref="F43:F48" si="42">AK43</f>
        <v>132.07400000000001</v>
      </c>
      <c r="G43" s="413">
        <f t="shared" ref="G43:G48" si="43">AO43</f>
        <v>114.254</v>
      </c>
      <c r="H43" s="413">
        <f t="shared" ref="H43:H48" si="44">AS43</f>
        <v>110.492</v>
      </c>
      <c r="I43" s="413">
        <f t="shared" ref="I43:I48" si="45">AW43</f>
        <v>312.27699999999999</v>
      </c>
      <c r="J43" s="2604">
        <f t="shared" ref="J43:J48" si="46">BA43</f>
        <v>316.18900000000002</v>
      </c>
      <c r="K43" s="413">
        <f t="shared" ref="K43:K48" si="47">BE43</f>
        <v>599</v>
      </c>
      <c r="L43" s="451">
        <f>+BI43</f>
        <v>619</v>
      </c>
      <c r="M43" s="451">
        <f>+BM43</f>
        <v>626</v>
      </c>
      <c r="N43" s="451">
        <f>+BQ43</f>
        <v>584</v>
      </c>
      <c r="O43" s="451">
        <f>BU43</f>
        <v>569</v>
      </c>
      <c r="P43" s="451">
        <f>BY43</f>
        <v>544</v>
      </c>
      <c r="Q43" s="451">
        <f t="shared" ref="Q43:Q48" si="48">CC43</f>
        <v>547</v>
      </c>
      <c r="R43" s="451">
        <f t="shared" ref="R43:R48" si="49">CG43</f>
        <v>1069</v>
      </c>
      <c r="S43" s="451">
        <f t="shared" ref="S43:S48" si="50">CK43</f>
        <v>1069</v>
      </c>
      <c r="T43" s="451">
        <f>+S43</f>
        <v>1069</v>
      </c>
      <c r="U43" s="451">
        <f>+T43</f>
        <v>1069</v>
      </c>
      <c r="V43" s="451">
        <f>+U43</f>
        <v>1069</v>
      </c>
      <c r="W43" s="451">
        <f>+V43</f>
        <v>1069</v>
      </c>
      <c r="X43" s="451">
        <f>+W43</f>
        <v>1069</v>
      </c>
      <c r="Y43" s="823"/>
      <c r="Z43" s="399"/>
      <c r="AA43" s="399"/>
      <c r="AB43" s="399"/>
      <c r="AC43" s="414">
        <f>(INPUTS_2!B41+INPUTS_2!B98)/1000</f>
        <v>144.364</v>
      </c>
      <c r="AD43" s="490">
        <f>(INPUTS_2!C41+INPUTS_2!C98)/1000</f>
        <v>139.494</v>
      </c>
      <c r="AE43" s="413">
        <f>(INPUTS_2!D41+INPUTS_2!D98)/1000</f>
        <v>134.99299999999999</v>
      </c>
      <c r="AF43" s="413">
        <f>(INPUTS_2!E41+INPUTS_2!E98)/1000</f>
        <v>134.447</v>
      </c>
      <c r="AG43" s="414">
        <f>(INPUTS_2!F41+INPUTS_2!F98)/1000</f>
        <v>132.374</v>
      </c>
      <c r="AH43" s="490">
        <f>(INPUTS_2!G41+INPUTS_2!G98)/1000</f>
        <v>131.27199999999999</v>
      </c>
      <c r="AI43" s="413">
        <f>(INPUTS_2!H41+INPUTS_2!H98)/1000</f>
        <v>129.90700000000001</v>
      </c>
      <c r="AJ43" s="413">
        <f>(INPUTS_2!I41+INPUTS_2!I98)/1000</f>
        <v>130.977</v>
      </c>
      <c r="AK43" s="414">
        <f>(INPUTS_2!J41+INPUTS_2!J98)/1000</f>
        <v>132.07400000000001</v>
      </c>
      <c r="AL43" s="490">
        <f>(INPUTS_2!K41+INPUTS_2!K98)/1000</f>
        <v>116.98399999999999</v>
      </c>
      <c r="AM43" s="413">
        <f>(INPUTS_2!L41+INPUTS_2!L98)/1000</f>
        <v>117.301</v>
      </c>
      <c r="AN43" s="413">
        <f>(INPUTS_2!M41+INPUTS_2!M98)/1000</f>
        <v>116.4</v>
      </c>
      <c r="AO43" s="414">
        <f>(INPUTS_2!N41+INPUTS_2!N98)/1000</f>
        <v>114.254</v>
      </c>
      <c r="AP43" s="490">
        <f>(INPUTS_2!O41+INPUTS_2!O98)/1000</f>
        <v>112.31100000000001</v>
      </c>
      <c r="AQ43" s="413">
        <f>(INPUTS_2!P41+INPUTS_2!P98)/1000</f>
        <v>110.20099999999999</v>
      </c>
      <c r="AR43" s="413">
        <f>(INPUTS_2!Q41+INPUTS_2!Q98)/1000</f>
        <v>113.179</v>
      </c>
      <c r="AS43" s="414">
        <f>(INPUTS_2!R41+INPUTS_2!R98)/1000</f>
        <v>110.492</v>
      </c>
      <c r="AT43" s="490">
        <f>(INPUTS_2!S41+INPUTS_2!S98)/1000</f>
        <v>126.259</v>
      </c>
      <c r="AU43" s="413">
        <f>(INPUTS_2!T41+INPUTS_2!T98)/1000</f>
        <v>122.67700000000001</v>
      </c>
      <c r="AV43" s="413">
        <f>(INPUTS_2!U41+INPUTS_2!U98)/1000</f>
        <v>312.12099999999998</v>
      </c>
      <c r="AW43" s="414">
        <f>(INPUTS_2!V41+INPUTS_2!V98)/1000</f>
        <v>312.27699999999999</v>
      </c>
      <c r="AX43" s="490">
        <f>(INPUTS_2!W41+INPUTS_2!W98)/1000</f>
        <v>314</v>
      </c>
      <c r="AY43" s="413">
        <f>(INPUTS_2!X41+INPUTS_2!X98)/1000</f>
        <v>314</v>
      </c>
      <c r="AZ43" s="413">
        <f>(INPUTS_2!Y41+INPUTS_2!Y98)/1000</f>
        <v>314.46699999999998</v>
      </c>
      <c r="BA43" s="414">
        <f>(INPUTS_2!Z41+INPUTS_2!Z98)/1000</f>
        <v>316.18900000000002</v>
      </c>
      <c r="BB43" s="490">
        <f>(INPUTS_2!AA41+INPUTS_2!AA98)/1000</f>
        <v>317.16199999999998</v>
      </c>
      <c r="BC43" s="413">
        <f>(INPUTS_2!AB41+INPUTS_2!AB98)/1000</f>
        <v>318.26600000000002</v>
      </c>
      <c r="BD43" s="413">
        <f>(INPUTS_2!AC41+INPUTS_2!AC98)/1000</f>
        <v>319.685</v>
      </c>
      <c r="BE43" s="573">
        <v>599</v>
      </c>
      <c r="BF43" s="572">
        <v>600</v>
      </c>
      <c r="BG43" s="622">
        <v>602</v>
      </c>
      <c r="BH43" s="622">
        <v>617</v>
      </c>
      <c r="BI43" s="1830">
        <v>619</v>
      </c>
      <c r="BJ43" s="622">
        <v>621</v>
      </c>
      <c r="BK43" s="622">
        <v>622</v>
      </c>
      <c r="BL43" s="622">
        <v>623</v>
      </c>
      <c r="BM43" s="1830">
        <v>626</v>
      </c>
      <c r="BN43" s="572">
        <v>616</v>
      </c>
      <c r="BO43" s="622">
        <v>604</v>
      </c>
      <c r="BP43" s="622">
        <v>593</v>
      </c>
      <c r="BQ43" s="1830">
        <v>584</v>
      </c>
      <c r="BR43" s="622">
        <v>575</v>
      </c>
      <c r="BS43" s="622">
        <v>571</v>
      </c>
      <c r="BT43" s="622">
        <f>+BS43</f>
        <v>571</v>
      </c>
      <c r="BU43" s="1830">
        <v>569</v>
      </c>
      <c r="BV43" s="2880">
        <v>566</v>
      </c>
      <c r="BW43" s="2880">
        <v>563</v>
      </c>
      <c r="BX43" s="2880">
        <v>554</v>
      </c>
      <c r="BY43" s="2881">
        <v>544</v>
      </c>
      <c r="BZ43" s="2880">
        <v>546</v>
      </c>
      <c r="CA43" s="2880">
        <v>546</v>
      </c>
      <c r="CB43" s="2880">
        <v>547</v>
      </c>
      <c r="CC43" s="2881">
        <v>547</v>
      </c>
      <c r="CD43" s="2880">
        <v>547</v>
      </c>
      <c r="CE43" s="2880">
        <v>550</v>
      </c>
      <c r="CF43" s="2880">
        <v>550</v>
      </c>
      <c r="CG43" s="2881">
        <v>1069</v>
      </c>
      <c r="CH43" s="680">
        <f>+CG43</f>
        <v>1069</v>
      </c>
      <c r="CI43" s="680">
        <f>+CH43</f>
        <v>1069</v>
      </c>
      <c r="CJ43" s="680">
        <f>+CI43</f>
        <v>1069</v>
      </c>
      <c r="CK43" s="568">
        <f>+CJ43</f>
        <v>1069</v>
      </c>
      <c r="CL43" s="680"/>
      <c r="CT43" s="2074"/>
    </row>
    <row r="44" spans="1:98">
      <c r="A44" s="132" t="s">
        <v>846</v>
      </c>
      <c r="B44" s="365"/>
      <c r="C44" s="365"/>
      <c r="D44" s="413">
        <f t="shared" si="40"/>
        <v>583.99</v>
      </c>
      <c r="E44" s="413">
        <f t="shared" si="41"/>
        <v>230.18</v>
      </c>
      <c r="F44" s="413">
        <f t="shared" si="42"/>
        <v>-463.34399999999999</v>
      </c>
      <c r="G44" s="413">
        <f t="shared" si="43"/>
        <v>-382.29399999999998</v>
      </c>
      <c r="H44" s="413">
        <f t="shared" si="44"/>
        <v>-132.88200000000001</v>
      </c>
      <c r="I44" s="413">
        <f t="shared" si="45"/>
        <v>47006.197</v>
      </c>
      <c r="J44" s="2604">
        <f t="shared" si="46"/>
        <v>48283.050999999999</v>
      </c>
      <c r="K44" s="413">
        <f t="shared" si="47"/>
        <v>18163</v>
      </c>
      <c r="L44" s="451">
        <f>+BI44</f>
        <v>18901</v>
      </c>
      <c r="M44" s="451">
        <f>+BM44</f>
        <v>19079</v>
      </c>
      <c r="N44" s="451">
        <f>+BQ44</f>
        <v>17343</v>
      </c>
      <c r="O44" s="451">
        <f>BU44</f>
        <v>16324</v>
      </c>
      <c r="P44" s="451">
        <f>BY44</f>
        <v>15178</v>
      </c>
      <c r="Q44" s="451">
        <f t="shared" si="48"/>
        <v>14970</v>
      </c>
      <c r="R44" s="451">
        <f t="shared" si="49"/>
        <v>23314</v>
      </c>
      <c r="S44" s="451">
        <f t="shared" si="50"/>
        <v>23514</v>
      </c>
      <c r="T44" s="451">
        <f ca="1">+S44+CFS!T45+CFS!T19</f>
        <v>23655.487601026525</v>
      </c>
      <c r="U44" s="451">
        <f ca="1">+T44+CFS!U45+CFS!U19</f>
        <v>23795.983933486663</v>
      </c>
      <c r="V44" s="451">
        <f ca="1">+U44+CFS!V45+CFS!V19</f>
        <v>23935.853997310525</v>
      </c>
      <c r="W44" s="451">
        <f ca="1">+V44+CFS!W45+CFS!W19</f>
        <v>24075.418006890461</v>
      </c>
      <c r="X44" s="451">
        <f ca="1">+W44+CFS!X45+CFS!X19</f>
        <v>24214.891335421504</v>
      </c>
      <c r="Y44" s="823"/>
      <c r="Z44" s="399"/>
      <c r="AA44" s="622"/>
      <c r="AB44" s="622"/>
      <c r="AC44" s="414">
        <f>(INPUTS_2!B42+INPUTS_2!B99)/1000</f>
        <v>583.99</v>
      </c>
      <c r="AD44" s="490">
        <f>(INPUTS_2!C42+INPUTS_2!C99)/1000</f>
        <v>452.72500000000002</v>
      </c>
      <c r="AE44" s="413">
        <f>(INPUTS_2!D42+INPUTS_2!D99)/1000</f>
        <v>318.22199999999998</v>
      </c>
      <c r="AF44" s="413">
        <f>(INPUTS_2!E42+INPUTS_2!E99)/1000</f>
        <v>295.77699999999999</v>
      </c>
      <c r="AG44" s="414">
        <f>(INPUTS_2!F42+INPUTS_2!F99)/1000</f>
        <v>230.18</v>
      </c>
      <c r="AH44" s="490">
        <f>(INPUTS_2!G42+INPUTS_2!G99)/1000</f>
        <v>183.86099999999999</v>
      </c>
      <c r="AI44" s="413">
        <f>(INPUTS_2!H42+INPUTS_2!H99)/1000</f>
        <v>121.181</v>
      </c>
      <c r="AJ44" s="413">
        <f>(INPUTS_2!I42+INPUTS_2!I99)/1000</f>
        <v>148.15299999999999</v>
      </c>
      <c r="AK44" s="414">
        <f>(INPUTS_2!J42+INPUTS_2!J99)/1000</f>
        <v>-463.34399999999999</v>
      </c>
      <c r="AL44" s="490">
        <f>(INPUTS_2!K42+INPUTS_2!K99)/1000</f>
        <v>-497.70400000000001</v>
      </c>
      <c r="AM44" s="413">
        <f>(INPUTS_2!L42+INPUTS_2!L99)/1000</f>
        <v>-349.41199999999998</v>
      </c>
      <c r="AN44" s="413">
        <f>(INPUTS_2!M42+INPUTS_2!M99)/1000</f>
        <v>-335.1</v>
      </c>
      <c r="AO44" s="414">
        <f>(INPUTS_2!N42+INPUTS_2!N99)/1000</f>
        <v>-382.29399999999998</v>
      </c>
      <c r="AP44" s="490">
        <f>(INPUTS_2!O42+INPUTS_2!O99)/1000</f>
        <v>-301.779</v>
      </c>
      <c r="AQ44" s="413">
        <f>(INPUTS_2!P42+INPUTS_2!P99)/1000</f>
        <v>-184.89500000000001</v>
      </c>
      <c r="AR44" s="413">
        <f>(INPUTS_2!Q42+INPUTS_2!Q99)/1000</f>
        <v>-41.648000000000003</v>
      </c>
      <c r="AS44" s="414">
        <f>(INPUTS_2!R42+INPUTS_2!R99)/1000</f>
        <v>-132.88200000000001</v>
      </c>
      <c r="AT44" s="490">
        <f>(INPUTS_2!S42+INPUTS_2!S99)/1000</f>
        <v>42126.256999999998</v>
      </c>
      <c r="AU44" s="413">
        <f>(INPUTS_2!T42+INPUTS_2!T99)/1000</f>
        <v>42090.190999999999</v>
      </c>
      <c r="AV44" s="413">
        <f>(INPUTS_2!U42+INPUTS_2!U99)/1000</f>
        <v>46957.576000000001</v>
      </c>
      <c r="AW44" s="414">
        <f>(INPUTS_2!V42+INPUTS_2!V99)/1000</f>
        <v>47006.197</v>
      </c>
      <c r="AX44" s="490">
        <f>(INPUTS_2!W42+INPUTS_2!W99)/1000</f>
        <v>48057</v>
      </c>
      <c r="AY44" s="413">
        <f>(INPUTS_2!X42+INPUTS_2!X99)/1000</f>
        <v>48089</v>
      </c>
      <c r="AZ44" s="413">
        <f>(INPUTS_2!Y42+INPUTS_2!Y99)/1000</f>
        <v>48204.186000000002</v>
      </c>
      <c r="BA44" s="414">
        <f>(INPUTS_2!Z42+INPUTS_2!Z99)/1000</f>
        <v>48283.050999999999</v>
      </c>
      <c r="BB44" s="490">
        <f>(INPUTS_2!AA42+INPUTS_2!AA99)/1000</f>
        <v>48315.923999999999</v>
      </c>
      <c r="BC44" s="413">
        <f>(INPUTS_2!AB42+INPUTS_2!AB99)/1000</f>
        <v>48195.167999999998</v>
      </c>
      <c r="BD44" s="413">
        <f>(INPUTS_2!AC42+INPUTS_2!AC99)/1000</f>
        <v>48275.135999999999</v>
      </c>
      <c r="BE44" s="573">
        <v>18163</v>
      </c>
      <c r="BF44" s="567">
        <v>18182</v>
      </c>
      <c r="BG44" s="573">
        <v>18236</v>
      </c>
      <c r="BH44" s="622">
        <v>18854</v>
      </c>
      <c r="BI44" s="1830">
        <v>18901</v>
      </c>
      <c r="BJ44" s="622">
        <v>18950</v>
      </c>
      <c r="BK44" s="622">
        <v>18999</v>
      </c>
      <c r="BL44" s="622">
        <v>19052</v>
      </c>
      <c r="BM44" s="1830">
        <v>19079</v>
      </c>
      <c r="BN44" s="567">
        <v>18691</v>
      </c>
      <c r="BO44" s="573">
        <v>18291</v>
      </c>
      <c r="BP44" s="573">
        <v>17954</v>
      </c>
      <c r="BQ44" s="1830">
        <v>17343</v>
      </c>
      <c r="BR44" s="573">
        <v>16874</v>
      </c>
      <c r="BS44" s="573">
        <v>16671</v>
      </c>
      <c r="BT44" s="573">
        <v>16532</v>
      </c>
      <c r="BU44" s="1830">
        <v>16324</v>
      </c>
      <c r="BV44" s="2882">
        <v>16059</v>
      </c>
      <c r="BW44" s="2882">
        <v>15896</v>
      </c>
      <c r="BX44" s="2882">
        <v>15460</v>
      </c>
      <c r="BY44" s="2881">
        <v>15178</v>
      </c>
      <c r="BZ44" s="2880">
        <v>15184</v>
      </c>
      <c r="CA44" s="2882">
        <v>15205</v>
      </c>
      <c r="CB44" s="2882">
        <v>15121</v>
      </c>
      <c r="CC44" s="2881">
        <v>14970</v>
      </c>
      <c r="CD44" s="2880">
        <f>13306-CD43-CD46-CD47</f>
        <v>15005.847320000001</v>
      </c>
      <c r="CE44" s="2882">
        <v>14637</v>
      </c>
      <c r="CF44" s="2882">
        <v>14370</v>
      </c>
      <c r="CG44" s="3846">
        <v>23314</v>
      </c>
      <c r="CH44" s="680">
        <f>+CG44+CFS!CE45+CFS!CE19</f>
        <v>23364</v>
      </c>
      <c r="CI44" s="680">
        <f>+CH44+CFS!CF45+CFS!CF19</f>
        <v>23414</v>
      </c>
      <c r="CJ44" s="680">
        <f>+CI44+CFS!CG45+CFS!CG19</f>
        <v>23464</v>
      </c>
      <c r="CK44" s="568">
        <f>+CJ44+CFS!CH45+CFS!CH19</f>
        <v>23514</v>
      </c>
      <c r="CL44" s="680"/>
      <c r="CT44" s="2074"/>
    </row>
    <row r="45" spans="1:98">
      <c r="A45" s="132" t="s">
        <v>945</v>
      </c>
      <c r="B45" s="365"/>
      <c r="C45" s="365"/>
      <c r="D45" s="413">
        <f t="shared" si="40"/>
        <v>0</v>
      </c>
      <c r="E45" s="413">
        <f t="shared" si="41"/>
        <v>0</v>
      </c>
      <c r="F45" s="413">
        <f t="shared" si="42"/>
        <v>0</v>
      </c>
      <c r="G45" s="413">
        <f t="shared" si="43"/>
        <v>0</v>
      </c>
      <c r="H45" s="413">
        <f t="shared" si="44"/>
        <v>0</v>
      </c>
      <c r="I45" s="413">
        <f t="shared" si="45"/>
        <v>-20</v>
      </c>
      <c r="J45" s="2604">
        <f t="shared" si="46"/>
        <v>-22</v>
      </c>
      <c r="K45" s="413">
        <f t="shared" si="47"/>
        <v>0</v>
      </c>
      <c r="L45" s="451"/>
      <c r="M45" s="451"/>
      <c r="N45" s="451"/>
      <c r="O45" s="451"/>
      <c r="P45" s="451"/>
      <c r="Q45" s="451">
        <f t="shared" si="48"/>
        <v>0</v>
      </c>
      <c r="R45" s="451">
        <f t="shared" si="49"/>
        <v>0</v>
      </c>
      <c r="S45" s="451">
        <f t="shared" si="50"/>
        <v>0</v>
      </c>
      <c r="T45" s="451"/>
      <c r="U45" s="451"/>
      <c r="V45" s="451"/>
      <c r="W45" s="451"/>
      <c r="X45" s="451"/>
      <c r="Y45" s="823"/>
      <c r="Z45" s="399"/>
      <c r="AA45" s="622"/>
      <c r="AB45" s="622"/>
      <c r="AC45" s="414">
        <f>(INPUTS_2!B43+INPUTS_2!B100)/1000</f>
        <v>0</v>
      </c>
      <c r="AD45" s="490">
        <f>(INPUTS_2!C43+INPUTS_2!C100)/1000</f>
        <v>0</v>
      </c>
      <c r="AE45" s="413">
        <f>(INPUTS_2!D43+INPUTS_2!D100)/1000</f>
        <v>0</v>
      </c>
      <c r="AF45" s="413">
        <f>(INPUTS_2!E43+INPUTS_2!E100)/1000</f>
        <v>0</v>
      </c>
      <c r="AG45" s="414">
        <f>(INPUTS_2!F43+INPUTS_2!F100)/1000</f>
        <v>0</v>
      </c>
      <c r="AH45" s="490">
        <f>(INPUTS_2!G43+INPUTS_2!G100)/1000</f>
        <v>0</v>
      </c>
      <c r="AI45" s="413">
        <f>(INPUTS_2!H43+INPUTS_2!H100)/1000</f>
        <v>0</v>
      </c>
      <c r="AJ45" s="413">
        <f>(INPUTS_2!I43+INPUTS_2!I100)/1000</f>
        <v>0</v>
      </c>
      <c r="AK45" s="414">
        <f>(INPUTS_2!J43+INPUTS_2!J100)/1000</f>
        <v>0</v>
      </c>
      <c r="AL45" s="490">
        <f>(INPUTS_2!K43+INPUTS_2!K100)/1000</f>
        <v>0</v>
      </c>
      <c r="AM45" s="413">
        <f>(INPUTS_2!L43+INPUTS_2!L100)/1000</f>
        <v>0</v>
      </c>
      <c r="AN45" s="413">
        <f>(INPUTS_2!M43+INPUTS_2!M100)/1000</f>
        <v>0</v>
      </c>
      <c r="AO45" s="414">
        <f>(INPUTS_2!N43+INPUTS_2!N100)/1000</f>
        <v>0</v>
      </c>
      <c r="AP45" s="490">
        <f>(INPUTS_2!O43+INPUTS_2!O100)/1000</f>
        <v>-2</v>
      </c>
      <c r="AQ45" s="413">
        <f>(INPUTS_2!P43+INPUTS_2!P100)/1000</f>
        <v>0</v>
      </c>
      <c r="AR45" s="413">
        <f>(INPUTS_2!Q43+INPUTS_2!Q100)/1000</f>
        <v>0</v>
      </c>
      <c r="AS45" s="414">
        <f>(INPUTS_2!R43+INPUTS_2!R100)/1000</f>
        <v>0</v>
      </c>
      <c r="AT45" s="490">
        <f>(INPUTS_2!S43+INPUTS_2!S100)/1000</f>
        <v>-155</v>
      </c>
      <c r="AU45" s="413">
        <f>(INPUTS_2!T43+INPUTS_2!T100)/1000</f>
        <v>-421</v>
      </c>
      <c r="AV45" s="413">
        <f>(INPUTS_2!U43+INPUTS_2!U100)/1000</f>
        <v>-20</v>
      </c>
      <c r="AW45" s="414">
        <f>(INPUTS_2!V43+INPUTS_2!V100)/1000</f>
        <v>-20</v>
      </c>
      <c r="AX45" s="490">
        <f>(INPUTS_2!W43+INPUTS_2!W100)/1000</f>
        <v>-22</v>
      </c>
      <c r="AY45" s="413">
        <f>(INPUTS_2!X43+INPUTS_2!X100)/1000</f>
        <v>-22</v>
      </c>
      <c r="AZ45" s="413">
        <f>(INPUTS_2!Y43+INPUTS_2!Y100)/1000</f>
        <v>-22</v>
      </c>
      <c r="BA45" s="414">
        <f>(INPUTS_2!Z43+INPUTS_2!Z100)/1000</f>
        <v>-22</v>
      </c>
      <c r="BB45" s="490">
        <f>(INPUTS_2!AA43+INPUTS_2!AA100)/1000</f>
        <v>-29</v>
      </c>
      <c r="BC45" s="413">
        <f>(INPUTS_2!AB43+INPUTS_2!AB100)/1000</f>
        <v>-28</v>
      </c>
      <c r="BD45" s="413">
        <f>(INPUTS_2!AC43+INPUTS_2!AC100)/1000</f>
        <v>-30</v>
      </c>
      <c r="BE45" s="413"/>
      <c r="BF45" s="567"/>
      <c r="BG45" s="573">
        <v>-14</v>
      </c>
      <c r="BH45" s="622"/>
      <c r="BI45" s="1830"/>
      <c r="BJ45" s="622"/>
      <c r="BK45" s="622"/>
      <c r="BL45" s="622"/>
      <c r="BM45" s="1830"/>
      <c r="BN45" s="572"/>
      <c r="BO45" s="622"/>
      <c r="BP45" s="622"/>
      <c r="BQ45" s="1830"/>
      <c r="BR45" s="622"/>
      <c r="BS45" s="622"/>
      <c r="BT45" s="622"/>
      <c r="BU45" s="1830"/>
      <c r="BV45" s="2880"/>
      <c r="BW45" s="2880"/>
      <c r="BX45" s="2880"/>
      <c r="BY45" s="2881"/>
      <c r="BZ45" s="2880"/>
      <c r="CA45" s="2880"/>
      <c r="CB45" s="2880"/>
      <c r="CC45" s="2881"/>
      <c r="CD45" s="2880"/>
      <c r="CE45" s="2880"/>
      <c r="CF45" s="2880"/>
      <c r="CG45" s="2881"/>
      <c r="CH45" s="680"/>
      <c r="CI45" s="680"/>
      <c r="CJ45" s="680"/>
      <c r="CK45" s="568"/>
      <c r="CL45" s="680"/>
      <c r="CT45" s="2074"/>
    </row>
    <row r="46" spans="1:98">
      <c r="A46" s="132" t="s">
        <v>485</v>
      </c>
      <c r="B46" s="365"/>
      <c r="C46" s="365"/>
      <c r="D46" s="413">
        <f t="shared" si="40"/>
        <v>0</v>
      </c>
      <c r="E46" s="413">
        <f t="shared" si="41"/>
        <v>-8.3339999999999996</v>
      </c>
      <c r="F46" s="413">
        <f t="shared" si="42"/>
        <v>-480.61900000000003</v>
      </c>
      <c r="G46" s="413">
        <f t="shared" si="43"/>
        <v>-467.94200000000001</v>
      </c>
      <c r="H46" s="413">
        <f t="shared" si="44"/>
        <v>-172.70699999999999</v>
      </c>
      <c r="I46" s="413">
        <f t="shared" si="45"/>
        <v>-1384.489</v>
      </c>
      <c r="J46" s="2604">
        <f t="shared" si="46"/>
        <v>-574.30600000000004</v>
      </c>
      <c r="K46" s="413">
        <f t="shared" si="47"/>
        <v>-141</v>
      </c>
      <c r="L46" s="451">
        <f>+BI46</f>
        <v>-1012</v>
      </c>
      <c r="M46" s="451">
        <f>+BM46</f>
        <v>-1701</v>
      </c>
      <c r="N46" s="451">
        <f>+BQ46</f>
        <v>-802</v>
      </c>
      <c r="O46" s="451">
        <f>BU46</f>
        <v>-2017</v>
      </c>
      <c r="P46" s="451">
        <f>BY46</f>
        <v>-1934</v>
      </c>
      <c r="Q46" s="451">
        <f t="shared" si="48"/>
        <v>-2117</v>
      </c>
      <c r="R46" s="451">
        <f t="shared" si="49"/>
        <v>-1995</v>
      </c>
      <c r="S46" s="451">
        <f t="shared" si="50"/>
        <v>-1995</v>
      </c>
      <c r="T46" s="451">
        <f>+S46</f>
        <v>-1995</v>
      </c>
      <c r="U46" s="451">
        <f>+T46</f>
        <v>-1995</v>
      </c>
      <c r="V46" s="451">
        <f>+U46</f>
        <v>-1995</v>
      </c>
      <c r="W46" s="451">
        <f>+V46</f>
        <v>-1995</v>
      </c>
      <c r="X46" s="451">
        <f>+W46</f>
        <v>-1995</v>
      </c>
      <c r="Y46" s="823"/>
      <c r="Z46" s="399"/>
      <c r="AA46" s="622"/>
      <c r="AB46" s="622"/>
      <c r="AC46" s="414">
        <f>(INPUTS_2!B44+INPUTS_2!B102)/1000</f>
        <v>0</v>
      </c>
      <c r="AD46" s="490">
        <f>(INPUTS_2!C44+INPUTS_2!C102)/1000</f>
        <v>-2.7629999999999999</v>
      </c>
      <c r="AE46" s="413">
        <f>(INPUTS_2!D44+INPUTS_2!D102)/1000</f>
        <v>-0.50700000000000001</v>
      </c>
      <c r="AF46" s="413">
        <f>(INPUTS_2!E44+INPUTS_2!E102)/1000</f>
        <v>-1.2370000000000001</v>
      </c>
      <c r="AG46" s="414">
        <f>(INPUTS_2!F44+INPUTS_2!F102)/1000</f>
        <v>-8.3339999999999996</v>
      </c>
      <c r="AH46" s="490">
        <f>(INPUTS_2!G44+INPUTS_2!G102)/1000</f>
        <v>-13.036</v>
      </c>
      <c r="AI46" s="413">
        <f>(INPUTS_2!H44+INPUTS_2!H102)/1000</f>
        <v>-12.304</v>
      </c>
      <c r="AJ46" s="413">
        <f>(INPUTS_2!I44+INPUTS_2!I102)/1000</f>
        <v>-11.476000000000001</v>
      </c>
      <c r="AK46" s="414">
        <f>(INPUTS_2!J44+INPUTS_2!J102)/1000</f>
        <v>-480.61900000000003</v>
      </c>
      <c r="AL46" s="490">
        <f>(INPUTS_2!K44+INPUTS_2!K102)/1000</f>
        <v>-481.78199999999998</v>
      </c>
      <c r="AM46" s="413">
        <f>(INPUTS_2!L44+INPUTS_2!L102)/1000</f>
        <v>-432.62</v>
      </c>
      <c r="AN46" s="413">
        <f>(INPUTS_2!M44+INPUTS_2!M102)/1000</f>
        <v>19.646999999999998</v>
      </c>
      <c r="AO46" s="414">
        <f>(INPUTS_2!N44+INPUTS_2!N102)/1000</f>
        <v>-467.94200000000001</v>
      </c>
      <c r="AP46" s="490">
        <f>(INPUTS_2!O44+INPUTS_2!O102)/1000</f>
        <v>-464.96199999999999</v>
      </c>
      <c r="AQ46" s="413">
        <f>(INPUTS_2!P44+INPUTS_2!P102)/1000</f>
        <v>-254.911</v>
      </c>
      <c r="AR46" s="413">
        <f>(INPUTS_2!Q44+INPUTS_2!Q102)/1000</f>
        <v>-251.59</v>
      </c>
      <c r="AS46" s="414">
        <f>(INPUTS_2!R44+INPUTS_2!R102)/1000</f>
        <v>-172.70699999999999</v>
      </c>
      <c r="AT46" s="490">
        <f>(INPUTS_2!S44+INPUTS_2!S102)/1000</f>
        <v>1109.6669999999999</v>
      </c>
      <c r="AU46" s="413">
        <f>(INPUTS_2!T44+INPUTS_2!T102)/1000</f>
        <v>1094.989</v>
      </c>
      <c r="AV46" s="413">
        <f>(INPUTS_2!U44+INPUTS_2!U102)/1000</f>
        <v>1201.2429999999999</v>
      </c>
      <c r="AW46" s="414">
        <f>(INPUTS_2!V44+INPUTS_2!V102)/1000</f>
        <v>-1384.489</v>
      </c>
      <c r="AX46" s="490">
        <f>(INPUTS_2!W44+INPUTS_2!W102)/1000</f>
        <v>-609</v>
      </c>
      <c r="AY46" s="413">
        <f>(INPUTS_2!X44+INPUTS_2!X102)/1000</f>
        <v>-602</v>
      </c>
      <c r="AZ46" s="413">
        <f>(INPUTS_2!Y44+INPUTS_2!Y102)/1000</f>
        <v>-598.68100000000004</v>
      </c>
      <c r="BA46" s="414">
        <f>(INPUTS_2!Z44+INPUTS_2!Z102)/1000</f>
        <v>-574.30600000000004</v>
      </c>
      <c r="BB46" s="490">
        <f>(INPUTS_2!AA44+INPUTS_2!AA102)/1000</f>
        <v>-581.60299999999995</v>
      </c>
      <c r="BC46" s="413">
        <f>(INPUTS_2!AB44+INPUTS_2!AB102)/1000</f>
        <v>-573.07399999999996</v>
      </c>
      <c r="BD46" s="413">
        <f>(INPUTS_2!AC44+INPUTS_2!AC102)/1000</f>
        <v>-564.54399999999998</v>
      </c>
      <c r="BE46" s="573">
        <v>-141</v>
      </c>
      <c r="BF46" s="567">
        <v>-139</v>
      </c>
      <c r="BG46" s="573">
        <v>-141</v>
      </c>
      <c r="BH46" s="622">
        <v>-158</v>
      </c>
      <c r="BI46" s="1830">
        <v>-1012</v>
      </c>
      <c r="BJ46" s="622">
        <v>-1000</v>
      </c>
      <c r="BK46" s="622">
        <v>-998</v>
      </c>
      <c r="BL46" s="622">
        <v>-984</v>
      </c>
      <c r="BM46" s="1830">
        <v>-1701</v>
      </c>
      <c r="BN46" s="567">
        <v>-1695</v>
      </c>
      <c r="BO46" s="573">
        <v>-1688</v>
      </c>
      <c r="BP46" s="573">
        <v>-1660</v>
      </c>
      <c r="BQ46" s="1830">
        <v>-802</v>
      </c>
      <c r="BR46" s="573">
        <v>-795</v>
      </c>
      <c r="BS46" s="573">
        <v>-779</v>
      </c>
      <c r="BT46" s="573">
        <v>-789</v>
      </c>
      <c r="BU46" s="1830">
        <v>-2017</v>
      </c>
      <c r="BV46" s="2882">
        <v>-2001</v>
      </c>
      <c r="BW46" s="2882">
        <v>-1959</v>
      </c>
      <c r="BX46" s="2882">
        <v>-1941</v>
      </c>
      <c r="BY46" s="2881">
        <v>-1934</v>
      </c>
      <c r="BZ46" s="2880">
        <v>-1907</v>
      </c>
      <c r="CA46" s="2882">
        <v>-1881</v>
      </c>
      <c r="CB46" s="2882">
        <v>-1855</v>
      </c>
      <c r="CC46" s="2881">
        <v>-2117</v>
      </c>
      <c r="CD46" s="2880">
        <f>+CC46</f>
        <v>-2117</v>
      </c>
      <c r="CE46" s="2882">
        <v>-2050</v>
      </c>
      <c r="CF46" s="2882">
        <v>-1994</v>
      </c>
      <c r="CG46" s="3846">
        <v>-1995</v>
      </c>
      <c r="CH46" s="680">
        <f>+CG46</f>
        <v>-1995</v>
      </c>
      <c r="CI46" s="680">
        <f>+CH46</f>
        <v>-1995</v>
      </c>
      <c r="CJ46" s="680">
        <f>+CI46</f>
        <v>-1995</v>
      </c>
      <c r="CK46" s="568">
        <f>+CJ46</f>
        <v>-1995</v>
      </c>
      <c r="CL46" s="680"/>
      <c r="CT46" s="2074"/>
    </row>
    <row r="47" spans="1:98">
      <c r="A47" s="132" t="s">
        <v>848</v>
      </c>
      <c r="B47" s="365"/>
      <c r="C47" s="365"/>
      <c r="D47" s="413">
        <f t="shared" si="40"/>
        <v>2750.1619999999998</v>
      </c>
      <c r="E47" s="413">
        <f t="shared" si="41"/>
        <v>3055.5450000000001</v>
      </c>
      <c r="F47" s="413">
        <f t="shared" si="42"/>
        <v>3358.1619999999998</v>
      </c>
      <c r="G47" s="413">
        <f t="shared" si="43"/>
        <v>3458.933</v>
      </c>
      <c r="H47" s="413">
        <f t="shared" si="44"/>
        <v>3868.3020000000001</v>
      </c>
      <c r="I47" s="413">
        <f t="shared" si="45"/>
        <v>-39824.745000000003</v>
      </c>
      <c r="J47" s="2604">
        <f t="shared" si="46"/>
        <v>-40042.831087840001</v>
      </c>
      <c r="K47" s="413">
        <f t="shared" si="47"/>
        <v>3302</v>
      </c>
      <c r="L47" s="451">
        <f>+BI47</f>
        <v>2319</v>
      </c>
      <c r="M47" s="451">
        <f>+BM47</f>
        <v>1285</v>
      </c>
      <c r="N47" s="451">
        <f>+BQ47</f>
        <v>66</v>
      </c>
      <c r="O47" s="451">
        <f>BU47</f>
        <v>147</v>
      </c>
      <c r="P47" s="451">
        <f>BY47</f>
        <v>272</v>
      </c>
      <c r="Q47" s="451">
        <f t="shared" si="48"/>
        <v>-1</v>
      </c>
      <c r="R47" s="451">
        <f t="shared" si="49"/>
        <v>1103</v>
      </c>
      <c r="S47" s="451">
        <f t="shared" si="50"/>
        <v>-616.63738481750806</v>
      </c>
      <c r="T47" s="451">
        <f>+S47+IS!T96-IS!T117</f>
        <v>-1908.6879962905268</v>
      </c>
      <c r="U47" s="451">
        <f>+T47+IS!U96-IS!U117</f>
        <v>-2879.6937841810022</v>
      </c>
      <c r="V47" s="451">
        <f>+U47+IS!V96-IS!V117</f>
        <v>-3704.20448681773</v>
      </c>
      <c r="W47" s="451">
        <f>+V47+IS!W96-IS!W117</f>
        <v>-4359.7343873319242</v>
      </c>
      <c r="X47" s="451">
        <f>+W47+IS!X96-IS!X117</f>
        <v>-4840.2734227919864</v>
      </c>
      <c r="Y47" s="823"/>
      <c r="Z47" s="399"/>
      <c r="AA47" s="622"/>
      <c r="AB47" s="622"/>
      <c r="AC47" s="414">
        <f>(INPUTS_2!B45+INPUTS_2!B101)/1000</f>
        <v>2750.1619999999998</v>
      </c>
      <c r="AD47" s="490">
        <f>(INPUTS_2!C45+INPUTS_2!C101)/1000</f>
        <v>2825.1880000000001</v>
      </c>
      <c r="AE47" s="413">
        <f>(INPUTS_2!D45+INPUTS_2!D101)/1000</f>
        <v>2900.4360000000001</v>
      </c>
      <c r="AF47" s="413">
        <f>(INPUTS_2!E45+INPUTS_2!E101)/1000</f>
        <v>2978.7579999999998</v>
      </c>
      <c r="AG47" s="414">
        <f>(INPUTS_2!F45+INPUTS_2!F101)/1000</f>
        <v>3055.5450000000001</v>
      </c>
      <c r="AH47" s="490">
        <f>(INPUTS_2!G45+INPUTS_2!G101)/1000</f>
        <v>3127.087</v>
      </c>
      <c r="AI47" s="413">
        <f>(INPUTS_2!H45+INPUTS_2!H101)/1000</f>
        <v>3204.3229999999999</v>
      </c>
      <c r="AJ47" s="413">
        <f>(INPUTS_2!I45+INPUTS_2!I101)/1000</f>
        <v>3287.7809999999999</v>
      </c>
      <c r="AK47" s="414">
        <f>(INPUTS_2!J45+INPUTS_2!J101)/1000</f>
        <v>3358.1619999999998</v>
      </c>
      <c r="AL47" s="490">
        <f>(INPUTS_2!K45+INPUTS_2!K101)/1000</f>
        <v>3108.0721514872739</v>
      </c>
      <c r="AM47" s="413">
        <f>(INPUTS_2!L45+INPUTS_2!L101)/1000</f>
        <v>3183.2910000000002</v>
      </c>
      <c r="AN47" s="413">
        <f>(INPUTS_2!M45+INPUTS_2!M101)/1000</f>
        <v>3309.0920000000001</v>
      </c>
      <c r="AO47" s="414">
        <f>(INPUTS_2!N45+INPUTS_2!N101)/1000</f>
        <v>3458.933</v>
      </c>
      <c r="AP47" s="490">
        <f>(INPUTS_2!O45+INPUTS_2!O101)/1000</f>
        <v>3452.66</v>
      </c>
      <c r="AQ47" s="413">
        <f>(INPUTS_2!P45+INPUTS_2!P101)/1000</f>
        <v>3501.6390000000001</v>
      </c>
      <c r="AR47" s="413">
        <f>(INPUTS_2!Q45+INPUTS_2!Q101)/1000</f>
        <v>3666.48</v>
      </c>
      <c r="AS47" s="414">
        <f>(INPUTS_2!R45+INPUTS_2!R101)/1000</f>
        <v>3868.3020000000001</v>
      </c>
      <c r="AT47" s="490">
        <f>(INPUTS_2!S45+INPUTS_2!S101)/1000+1</f>
        <v>-38959.199000000001</v>
      </c>
      <c r="AU47" s="413">
        <f>(INPUTS_2!T45+INPUTS_2!T101)/1000+8</f>
        <v>-38833.82</v>
      </c>
      <c r="AV47" s="413">
        <f>(INPUTS_2!U45+INPUTS_2!U101)/1000</f>
        <v>-39850.699999999997</v>
      </c>
      <c r="AW47" s="414">
        <f>(INPUTS_2!V45+INPUTS_2!V101)/1000</f>
        <v>-39824.745000000003</v>
      </c>
      <c r="AX47" s="487">
        <f>+AW47+IS!AY87-IS!AY117-69.8</f>
        <v>-39777.106997120005</v>
      </c>
      <c r="AY47" s="488">
        <f>+AX47+IS!AZ87-IS!AZ117-38.6</f>
        <v>-39792.253450560005</v>
      </c>
      <c r="AZ47" s="488">
        <f>+AY47+IS!BA87-IS!BA117-89.1</f>
        <v>-39867.12095248</v>
      </c>
      <c r="BA47" s="488">
        <f>+AZ47+IS!BB87-IS!BB117-195.2</f>
        <v>-40042.831087840001</v>
      </c>
      <c r="BB47" s="487">
        <f>+BA47+IS!BC87-IS!BC117+99.7</f>
        <v>-39877.391027560006</v>
      </c>
      <c r="BC47" s="488">
        <f>+BB47+IS!BD87-IS!BD117+2</f>
        <v>-39859.688852920008</v>
      </c>
      <c r="BD47" s="488">
        <f>+BC47+IS!BE87-IS!BE117+11</f>
        <v>-39838.947594440011</v>
      </c>
      <c r="BE47" s="573">
        <v>3302</v>
      </c>
      <c r="BF47" s="572">
        <v>3292</v>
      </c>
      <c r="BG47" s="622">
        <v>2958</v>
      </c>
      <c r="BH47" s="622">
        <v>2663</v>
      </c>
      <c r="BI47" s="1830">
        <v>2319</v>
      </c>
      <c r="BJ47" s="622">
        <v>2067</v>
      </c>
      <c r="BK47" s="622">
        <v>1688</v>
      </c>
      <c r="BL47" s="622">
        <v>1506</v>
      </c>
      <c r="BM47" s="622">
        <v>1285</v>
      </c>
      <c r="BN47" s="572">
        <v>1244</v>
      </c>
      <c r="BO47" s="622">
        <f>1193+0.436-0.000138</f>
        <v>1193.4358619999998</v>
      </c>
      <c r="BP47" s="622">
        <v>-173</v>
      </c>
      <c r="BQ47" s="1830">
        <v>66</v>
      </c>
      <c r="BR47" s="622">
        <v>144</v>
      </c>
      <c r="BS47" s="622">
        <v>135</v>
      </c>
      <c r="BT47" s="622">
        <v>131</v>
      </c>
      <c r="BU47" s="1830">
        <v>147</v>
      </c>
      <c r="BV47" s="2880">
        <v>141</v>
      </c>
      <c r="BW47" s="2880">
        <v>87</v>
      </c>
      <c r="BX47" s="2880">
        <v>177</v>
      </c>
      <c r="BY47" s="2881">
        <v>272</v>
      </c>
      <c r="BZ47" s="2880">
        <v>213</v>
      </c>
      <c r="CA47" s="2880">
        <v>115</v>
      </c>
      <c r="CB47" s="2880">
        <v>79</v>
      </c>
      <c r="CC47" s="2881">
        <v>-1</v>
      </c>
      <c r="CD47" s="2880">
        <f>+CC47+IS!CE96-IS!CE117</f>
        <v>-129.84732000000002</v>
      </c>
      <c r="CE47" s="2880">
        <v>-51</v>
      </c>
      <c r="CF47" s="2880">
        <v>34</v>
      </c>
      <c r="CG47" s="2881">
        <v>1103</v>
      </c>
      <c r="CH47" s="680">
        <f>+CG47+IS!CI96-IS!CI117</f>
        <v>612.78487298375057</v>
      </c>
      <c r="CI47" s="680">
        <f>+CH47+IS!CJ96-IS!CJ117</f>
        <v>166.77062838856273</v>
      </c>
      <c r="CJ47" s="680">
        <f>+CI47+IS!CK96-IS!CK117</f>
        <v>-249.20562422710145</v>
      </c>
      <c r="CK47" s="568">
        <f>+CJ47+IS!CL96-IS!CL117</f>
        <v>-616.63738481750806</v>
      </c>
      <c r="CL47" s="680"/>
      <c r="CT47" s="2074"/>
    </row>
    <row r="48" spans="1:98">
      <c r="A48" s="132" t="s">
        <v>432</v>
      </c>
      <c r="B48" s="365"/>
      <c r="C48" s="365"/>
      <c r="D48" s="413">
        <f t="shared" si="40"/>
        <v>0</v>
      </c>
      <c r="E48" s="413">
        <f t="shared" si="41"/>
        <v>0</v>
      </c>
      <c r="F48" s="413">
        <f t="shared" si="42"/>
        <v>0</v>
      </c>
      <c r="G48" s="413">
        <f t="shared" si="43"/>
        <v>0</v>
      </c>
      <c r="H48" s="413">
        <f t="shared" si="44"/>
        <v>0</v>
      </c>
      <c r="I48" s="413">
        <f t="shared" si="45"/>
        <v>0</v>
      </c>
      <c r="J48" s="2604">
        <f t="shared" si="46"/>
        <v>6.0960000000000001</v>
      </c>
      <c r="K48" s="413">
        <f t="shared" si="47"/>
        <v>6</v>
      </c>
      <c r="L48" s="451">
        <f>+BI48</f>
        <v>0</v>
      </c>
      <c r="M48" s="451">
        <f>+BM48</f>
        <v>0</v>
      </c>
      <c r="N48" s="451">
        <f>+BQ48</f>
        <v>0</v>
      </c>
      <c r="O48" s="451">
        <f>BU48</f>
        <v>0</v>
      </c>
      <c r="P48" s="451">
        <f>BY48</f>
        <v>0</v>
      </c>
      <c r="Q48" s="451">
        <f t="shared" si="48"/>
        <v>0</v>
      </c>
      <c r="R48" s="451">
        <f t="shared" si="49"/>
        <v>0</v>
      </c>
      <c r="S48" s="451">
        <f t="shared" si="50"/>
        <v>0</v>
      </c>
      <c r="T48" s="451">
        <f>+S48</f>
        <v>0</v>
      </c>
      <c r="U48" s="451">
        <f>+T48</f>
        <v>0</v>
      </c>
      <c r="V48" s="451">
        <f>+U48</f>
        <v>0</v>
      </c>
      <c r="W48" s="451">
        <f>+V48</f>
        <v>0</v>
      </c>
      <c r="X48" s="451">
        <f>+W48</f>
        <v>0</v>
      </c>
      <c r="Y48" s="823"/>
      <c r="Z48" s="399"/>
      <c r="AA48" s="622"/>
      <c r="AB48" s="622"/>
      <c r="AC48" s="414">
        <f>INPUTS_2!B46/1000</f>
        <v>0</v>
      </c>
      <c r="AD48" s="490">
        <f>INPUTS_2!C46/1000</f>
        <v>0</v>
      </c>
      <c r="AE48" s="413">
        <f>INPUTS_2!D46/1000</f>
        <v>0</v>
      </c>
      <c r="AF48" s="413">
        <f>INPUTS_2!E46/1000</f>
        <v>0</v>
      </c>
      <c r="AG48" s="414">
        <f>INPUTS_2!F46/1000</f>
        <v>0</v>
      </c>
      <c r="AH48" s="490">
        <f>INPUTS_2!G46/1000</f>
        <v>0</v>
      </c>
      <c r="AI48" s="413">
        <f>INPUTS_2!H46/1000</f>
        <v>0</v>
      </c>
      <c r="AJ48" s="413">
        <f>INPUTS_2!I46/1000</f>
        <v>0</v>
      </c>
      <c r="AK48" s="414">
        <f>INPUTS_2!J46/1000</f>
        <v>0</v>
      </c>
      <c r="AL48" s="490">
        <f>INPUTS_2!K46/1000</f>
        <v>0</v>
      </c>
      <c r="AM48" s="413">
        <f>INPUTS_2!L46/1000</f>
        <v>0</v>
      </c>
      <c r="AN48" s="413">
        <f>INPUTS_2!M46/1000</f>
        <v>0</v>
      </c>
      <c r="AO48" s="414">
        <f>INPUTS_2!N46/1000</f>
        <v>0</v>
      </c>
      <c r="AP48" s="490">
        <f>INPUTS_2!O46/1000</f>
        <v>0</v>
      </c>
      <c r="AQ48" s="413">
        <f>INPUTS_2!P46/1000</f>
        <v>0</v>
      </c>
      <c r="AR48" s="413">
        <f>INPUTS_2!Q46/1000</f>
        <v>0</v>
      </c>
      <c r="AS48" s="414">
        <f>INPUTS_2!R46/1000</f>
        <v>0</v>
      </c>
      <c r="AT48" s="490">
        <f>INPUTS_2!S46/1000</f>
        <v>0</v>
      </c>
      <c r="AU48" s="413">
        <f>INPUTS_2!T46/1000</f>
        <v>0</v>
      </c>
      <c r="AV48" s="413">
        <f>INPUTS_2!U46/1000</f>
        <v>0</v>
      </c>
      <c r="AW48" s="414">
        <f>INPUTS_2!V46/1000</f>
        <v>0</v>
      </c>
      <c r="AX48" s="490">
        <f>INPUTS_2!W46/1000</f>
        <v>5</v>
      </c>
      <c r="AY48" s="413">
        <f>INPUTS_2!X46/1000</f>
        <v>5</v>
      </c>
      <c r="AZ48" s="413">
        <f>INPUTS_2!Y46/1000</f>
        <v>6.7290000000000001</v>
      </c>
      <c r="BA48" s="414">
        <f>INPUTS_2!Z46/1000</f>
        <v>6.0960000000000001</v>
      </c>
      <c r="BB48" s="490">
        <f>INPUTS_2!AA46/1000</f>
        <v>6.452</v>
      </c>
      <c r="BC48" s="413">
        <f>INPUTS_2!AB46/1000</f>
        <v>6.5110000000000001</v>
      </c>
      <c r="BD48" s="413">
        <f>INPUTS_2!AC46/1000</f>
        <v>6.9340000000000002</v>
      </c>
      <c r="BE48" s="573">
        <v>6</v>
      </c>
      <c r="BF48" s="572">
        <f>ROUNDUP(5.907,0)</f>
        <v>6</v>
      </c>
      <c r="BG48" s="622"/>
      <c r="BH48" s="622">
        <v>0</v>
      </c>
      <c r="BI48" s="1830">
        <f t="shared" ref="BI48:BV48" si="51">+BH48</f>
        <v>0</v>
      </c>
      <c r="BJ48" s="622">
        <f t="shared" si="51"/>
        <v>0</v>
      </c>
      <c r="BK48" s="622">
        <f t="shared" si="51"/>
        <v>0</v>
      </c>
      <c r="BL48" s="622">
        <f t="shared" si="51"/>
        <v>0</v>
      </c>
      <c r="BM48" s="622">
        <f t="shared" si="51"/>
        <v>0</v>
      </c>
      <c r="BN48" s="572">
        <f t="shared" si="51"/>
        <v>0</v>
      </c>
      <c r="BO48" s="622">
        <f t="shared" si="51"/>
        <v>0</v>
      </c>
      <c r="BP48" s="622">
        <f t="shared" si="51"/>
        <v>0</v>
      </c>
      <c r="BQ48" s="1830">
        <v>0</v>
      </c>
      <c r="BR48" s="622">
        <f>+BQ48</f>
        <v>0</v>
      </c>
      <c r="BS48" s="622">
        <f>+BR48</f>
        <v>0</v>
      </c>
      <c r="BT48" s="622">
        <f t="shared" si="51"/>
        <v>0</v>
      </c>
      <c r="BU48" s="1830">
        <f t="shared" si="51"/>
        <v>0</v>
      </c>
      <c r="BV48" s="2880">
        <f t="shared" si="51"/>
        <v>0</v>
      </c>
      <c r="BW48" s="2880">
        <f t="shared" ref="BW48:CE48" si="52">+BV48</f>
        <v>0</v>
      </c>
      <c r="BX48" s="2880">
        <f t="shared" si="52"/>
        <v>0</v>
      </c>
      <c r="BY48" s="2881">
        <f t="shared" si="52"/>
        <v>0</v>
      </c>
      <c r="BZ48" s="2880">
        <f t="shared" si="52"/>
        <v>0</v>
      </c>
      <c r="CA48" s="2880">
        <f t="shared" si="52"/>
        <v>0</v>
      </c>
      <c r="CB48" s="2880">
        <f t="shared" si="52"/>
        <v>0</v>
      </c>
      <c r="CC48" s="2881">
        <f t="shared" si="52"/>
        <v>0</v>
      </c>
      <c r="CD48" s="2880">
        <f t="shared" si="52"/>
        <v>0</v>
      </c>
      <c r="CE48" s="2880">
        <f t="shared" si="52"/>
        <v>0</v>
      </c>
      <c r="CF48" s="2880">
        <f t="shared" ref="CF48:CK48" si="53">+CE48</f>
        <v>0</v>
      </c>
      <c r="CG48" s="2881">
        <f t="shared" ref="CG48" si="54">+CF48</f>
        <v>0</v>
      </c>
      <c r="CH48" s="680">
        <f t="shared" si="53"/>
        <v>0</v>
      </c>
      <c r="CI48" s="680">
        <f t="shared" si="53"/>
        <v>0</v>
      </c>
      <c r="CJ48" s="680">
        <f t="shared" si="53"/>
        <v>0</v>
      </c>
      <c r="CK48" s="568">
        <f t="shared" si="53"/>
        <v>0</v>
      </c>
      <c r="CL48" s="680"/>
      <c r="CT48" s="2074"/>
    </row>
    <row r="49" spans="1:98">
      <c r="A49" s="624" t="s">
        <v>952</v>
      </c>
      <c r="B49" s="364"/>
      <c r="C49" s="364"/>
      <c r="D49" s="585">
        <f t="shared" ref="D49:K49" si="55">SUM(D43:D48)</f>
        <v>3478.5159999999996</v>
      </c>
      <c r="E49" s="585">
        <f t="shared" si="55"/>
        <v>3409.7649999999999</v>
      </c>
      <c r="F49" s="585">
        <f t="shared" si="55"/>
        <v>2546.2729999999997</v>
      </c>
      <c r="G49" s="585">
        <f t="shared" si="55"/>
        <v>2722.951</v>
      </c>
      <c r="H49" s="585">
        <f t="shared" si="55"/>
        <v>3673.2049999999999</v>
      </c>
      <c r="I49" s="585">
        <f t="shared" si="55"/>
        <v>6089.239999999998</v>
      </c>
      <c r="J49" s="499">
        <f t="shared" si="55"/>
        <v>7966.19891216</v>
      </c>
      <c r="K49" s="499">
        <f t="shared" si="55"/>
        <v>21929</v>
      </c>
      <c r="L49" s="499">
        <f>+BI49</f>
        <v>20827</v>
      </c>
      <c r="M49" s="585">
        <f>SUM(M43:M48)</f>
        <v>19289</v>
      </c>
      <c r="N49" s="585">
        <f>SUM(N43:N48)</f>
        <v>17191</v>
      </c>
      <c r="O49" s="499">
        <f>SUM(O43:O48)</f>
        <v>15023</v>
      </c>
      <c r="P49" s="499">
        <f t="shared" ref="P49:V49" si="56">SUM(P43:P48)</f>
        <v>14060</v>
      </c>
      <c r="Q49" s="499">
        <f t="shared" si="56"/>
        <v>13399</v>
      </c>
      <c r="R49" s="499">
        <f t="shared" si="56"/>
        <v>23491</v>
      </c>
      <c r="S49" s="499">
        <f>SUM(S43:S48)</f>
        <v>21971.362615182494</v>
      </c>
      <c r="T49" s="499">
        <f t="shared" ca="1" si="56"/>
        <v>20820.799604735999</v>
      </c>
      <c r="U49" s="499">
        <f t="shared" ca="1" si="56"/>
        <v>19990.29014930566</v>
      </c>
      <c r="V49" s="499">
        <f t="shared" ca="1" si="56"/>
        <v>19305.649510492796</v>
      </c>
      <c r="W49" s="499">
        <f ca="1">SUM(W43:W48)</f>
        <v>18789.683619558535</v>
      </c>
      <c r="X49" s="499">
        <f ca="1">SUM(X43:X48)</f>
        <v>18448.617912629517</v>
      </c>
      <c r="Y49" s="2544"/>
      <c r="Z49" s="399"/>
      <c r="AA49" s="622"/>
      <c r="AB49" s="622"/>
      <c r="AC49" s="608">
        <f t="shared" ref="AC49:BY49" si="57">SUM(AC43:AC48)</f>
        <v>3478.5159999999996</v>
      </c>
      <c r="AD49" s="610">
        <f t="shared" si="57"/>
        <v>3414.6440000000002</v>
      </c>
      <c r="AE49" s="499">
        <f t="shared" si="57"/>
        <v>3353.1440000000002</v>
      </c>
      <c r="AF49" s="499">
        <f t="shared" si="57"/>
        <v>3407.7449999999999</v>
      </c>
      <c r="AG49" s="608">
        <f t="shared" si="57"/>
        <v>3409.7649999999999</v>
      </c>
      <c r="AH49" s="610">
        <f t="shared" si="57"/>
        <v>3429.1840000000002</v>
      </c>
      <c r="AI49" s="499">
        <f t="shared" si="57"/>
        <v>3443.107</v>
      </c>
      <c r="AJ49" s="499">
        <f t="shared" si="57"/>
        <v>3555.4349999999999</v>
      </c>
      <c r="AK49" s="608">
        <f t="shared" si="57"/>
        <v>2546.2729999999997</v>
      </c>
      <c r="AL49" s="610">
        <f t="shared" si="57"/>
        <v>2245.570151487274</v>
      </c>
      <c r="AM49" s="499">
        <f t="shared" si="57"/>
        <v>2518.5600000000004</v>
      </c>
      <c r="AN49" s="499">
        <f t="shared" si="57"/>
        <v>3110.0390000000002</v>
      </c>
      <c r="AO49" s="608">
        <f t="shared" si="57"/>
        <v>2722.951</v>
      </c>
      <c r="AP49" s="610">
        <f t="shared" si="57"/>
        <v>2796.23</v>
      </c>
      <c r="AQ49" s="499">
        <f t="shared" si="57"/>
        <v>3172.0340000000001</v>
      </c>
      <c r="AR49" s="499">
        <f t="shared" si="57"/>
        <v>3486.4209999999998</v>
      </c>
      <c r="AS49" s="608">
        <f t="shared" si="57"/>
        <v>3673.2049999999999</v>
      </c>
      <c r="AT49" s="610">
        <f t="shared" si="57"/>
        <v>4247.9839999999967</v>
      </c>
      <c r="AU49" s="499">
        <f t="shared" si="57"/>
        <v>4053.0370000000039</v>
      </c>
      <c r="AV49" s="499">
        <f t="shared" si="57"/>
        <v>8600.2400000000052</v>
      </c>
      <c r="AW49" s="608">
        <f t="shared" si="57"/>
        <v>6089.239999999998</v>
      </c>
      <c r="AX49" s="610">
        <f t="shared" si="57"/>
        <v>7967.893002879995</v>
      </c>
      <c r="AY49" s="499">
        <f t="shared" si="57"/>
        <v>7991.7465494399949</v>
      </c>
      <c r="AZ49" s="499">
        <f t="shared" si="57"/>
        <v>8037.5800475200022</v>
      </c>
      <c r="BA49" s="608">
        <f t="shared" si="57"/>
        <v>7966.19891216</v>
      </c>
      <c r="BB49" s="610">
        <f t="shared" si="57"/>
        <v>8151.5439724399866</v>
      </c>
      <c r="BC49" s="499">
        <f t="shared" si="57"/>
        <v>8059.1821470799932</v>
      </c>
      <c r="BD49" s="499">
        <f t="shared" si="57"/>
        <v>8168.2634055599838</v>
      </c>
      <c r="BE49" s="499">
        <f t="shared" si="57"/>
        <v>21929</v>
      </c>
      <c r="BF49" s="610">
        <f t="shared" si="57"/>
        <v>21941</v>
      </c>
      <c r="BG49" s="499">
        <f t="shared" si="57"/>
        <v>21641</v>
      </c>
      <c r="BH49" s="499">
        <f t="shared" si="57"/>
        <v>21976</v>
      </c>
      <c r="BI49" s="608">
        <f t="shared" si="57"/>
        <v>20827</v>
      </c>
      <c r="BJ49" s="499">
        <f t="shared" si="57"/>
        <v>20638</v>
      </c>
      <c r="BK49" s="499">
        <f t="shared" si="57"/>
        <v>20311</v>
      </c>
      <c r="BL49" s="499">
        <f t="shared" si="57"/>
        <v>20197</v>
      </c>
      <c r="BM49" s="499">
        <f t="shared" si="57"/>
        <v>19289</v>
      </c>
      <c r="BN49" s="610">
        <f t="shared" si="57"/>
        <v>18856</v>
      </c>
      <c r="BO49" s="499">
        <f t="shared" si="57"/>
        <v>18400.435861999998</v>
      </c>
      <c r="BP49" s="499">
        <f t="shared" si="57"/>
        <v>16714</v>
      </c>
      <c r="BQ49" s="608">
        <f t="shared" si="57"/>
        <v>17191</v>
      </c>
      <c r="BR49" s="499">
        <f t="shared" si="57"/>
        <v>16798</v>
      </c>
      <c r="BS49" s="499">
        <f t="shared" si="57"/>
        <v>16598</v>
      </c>
      <c r="BT49" s="499">
        <f t="shared" si="57"/>
        <v>16445</v>
      </c>
      <c r="BU49" s="608">
        <f>SUM(BU43:BU48)</f>
        <v>15023</v>
      </c>
      <c r="BV49" s="499">
        <f>SUM(BV43:BV48)</f>
        <v>14765</v>
      </c>
      <c r="BW49" s="499">
        <f>SUM(BW43:BW48)</f>
        <v>14587</v>
      </c>
      <c r="BX49" s="499">
        <f>SUM(BX43:BX48)</f>
        <v>14250</v>
      </c>
      <c r="BY49" s="608">
        <f t="shared" si="57"/>
        <v>14060</v>
      </c>
      <c r="BZ49" s="499">
        <f t="shared" ref="BZ49:CB49" si="58">SUM(BZ43:BZ48)</f>
        <v>14036</v>
      </c>
      <c r="CA49" s="499">
        <f t="shared" si="58"/>
        <v>13985</v>
      </c>
      <c r="CB49" s="499">
        <f t="shared" si="58"/>
        <v>13892</v>
      </c>
      <c r="CC49" s="608">
        <f>SUM(CC43:CC48)</f>
        <v>13399</v>
      </c>
      <c r="CD49" s="499">
        <f>SUM(CD43:CD48)</f>
        <v>13306</v>
      </c>
      <c r="CE49" s="499">
        <f>SUM(CE43:CE48)</f>
        <v>13086</v>
      </c>
      <c r="CF49" s="499">
        <f>SUM(CF43:CF48)</f>
        <v>12960</v>
      </c>
      <c r="CG49" s="608">
        <f t="shared" ref="CG49" si="59">SUM(CG43:CG48)</f>
        <v>23491</v>
      </c>
      <c r="CH49" s="499">
        <f>SUM(CH43:CH48)</f>
        <v>23050.78487298375</v>
      </c>
      <c r="CI49" s="499">
        <f>SUM(CI43:CI48)</f>
        <v>22654.770628388564</v>
      </c>
      <c r="CJ49" s="499">
        <f>SUM(CJ43:CJ48)</f>
        <v>22288.794375772897</v>
      </c>
      <c r="CK49" s="608">
        <f>SUM(CK43:CK48)</f>
        <v>21971.362615182494</v>
      </c>
      <c r="CL49" s="680"/>
      <c r="CT49" s="2074"/>
    </row>
    <row r="50" spans="1:98" ht="12.75" customHeight="1">
      <c r="A50" s="364" t="s">
        <v>487</v>
      </c>
      <c r="B50" s="364"/>
      <c r="C50" s="364"/>
      <c r="D50" s="493">
        <f t="shared" ref="D50:P50" si="60">(+D40+D49)</f>
        <v>7895.8519999999999</v>
      </c>
      <c r="E50" s="493">
        <f t="shared" si="60"/>
        <v>7796.9529999999995</v>
      </c>
      <c r="F50" s="493">
        <f t="shared" si="60"/>
        <v>17235.706999999999</v>
      </c>
      <c r="G50" s="493">
        <f t="shared" si="60"/>
        <v>16532.007000000001</v>
      </c>
      <c r="H50" s="493">
        <f t="shared" si="60"/>
        <v>17085.553</v>
      </c>
      <c r="I50" s="493">
        <f t="shared" si="60"/>
        <v>41817.195</v>
      </c>
      <c r="J50" s="493">
        <f t="shared" si="60"/>
        <v>42620.128912159998</v>
      </c>
      <c r="K50" s="493">
        <f t="shared" si="60"/>
        <v>52617</v>
      </c>
      <c r="L50" s="493">
        <f t="shared" si="60"/>
        <v>56044</v>
      </c>
      <c r="M50" s="493">
        <f t="shared" si="60"/>
        <v>54020</v>
      </c>
      <c r="N50" s="493">
        <f t="shared" si="60"/>
        <v>51787</v>
      </c>
      <c r="O50" s="493">
        <f t="shared" si="60"/>
        <v>50147</v>
      </c>
      <c r="P50" s="493">
        <f t="shared" si="60"/>
        <v>47604</v>
      </c>
      <c r="Q50" s="493">
        <f t="shared" ref="Q50:V50" si="61">(+Q40+Q49)</f>
        <v>47017</v>
      </c>
      <c r="R50" s="493">
        <f>(+R40+R49)</f>
        <v>75611</v>
      </c>
      <c r="S50" s="493">
        <f>(+S40+S49)</f>
        <v>73561.996135711554</v>
      </c>
      <c r="T50" s="493">
        <f t="shared" ca="1" si="61"/>
        <v>72332.682070988812</v>
      </c>
      <c r="U50" s="493">
        <f t="shared" ca="1" si="61"/>
        <v>71225.402349325814</v>
      </c>
      <c r="V50" s="493">
        <f t="shared" ca="1" si="61"/>
        <v>70365.419549318933</v>
      </c>
      <c r="W50" s="493">
        <f ca="1">(+W40+W49)</f>
        <v>69744.029445349224</v>
      </c>
      <c r="X50" s="493">
        <f ca="1">(+X40+X49)</f>
        <v>68957.725810873628</v>
      </c>
      <c r="Y50" s="2544"/>
      <c r="Z50" s="399"/>
      <c r="AA50" s="405"/>
      <c r="AB50" s="405"/>
      <c r="AC50" s="625">
        <f t="shared" ref="AC50:BR50" si="62">SUM(AC49+AC40)</f>
        <v>7895.8519999999999</v>
      </c>
      <c r="AD50" s="626">
        <f t="shared" si="62"/>
        <v>7896.5050000000001</v>
      </c>
      <c r="AE50" s="627">
        <f t="shared" si="62"/>
        <v>7684.3379999999997</v>
      </c>
      <c r="AF50" s="627">
        <f t="shared" si="62"/>
        <v>7790.3339999999998</v>
      </c>
      <c r="AG50" s="625">
        <f t="shared" si="62"/>
        <v>7796.9529999999995</v>
      </c>
      <c r="AH50" s="626">
        <f t="shared" si="62"/>
        <v>7702.5240000000003</v>
      </c>
      <c r="AI50" s="627">
        <f t="shared" si="62"/>
        <v>7710.0379999999996</v>
      </c>
      <c r="AJ50" s="627">
        <f t="shared" si="62"/>
        <v>7842.5360000000001</v>
      </c>
      <c r="AK50" s="625">
        <f t="shared" si="62"/>
        <v>17235.706999999999</v>
      </c>
      <c r="AL50" s="626">
        <f t="shared" si="62"/>
        <v>17154.562460704321</v>
      </c>
      <c r="AM50" s="627">
        <f t="shared" si="62"/>
        <v>16612.984</v>
      </c>
      <c r="AN50" s="627">
        <f t="shared" si="62"/>
        <v>17323.626</v>
      </c>
      <c r="AO50" s="625">
        <f t="shared" si="62"/>
        <v>16532.007000000001</v>
      </c>
      <c r="AP50" s="626">
        <f t="shared" si="62"/>
        <v>17073.111000000001</v>
      </c>
      <c r="AQ50" s="627">
        <f t="shared" si="62"/>
        <v>17164.536</v>
      </c>
      <c r="AR50" s="627">
        <f t="shared" si="62"/>
        <v>17103.649999999998</v>
      </c>
      <c r="AS50" s="625">
        <f t="shared" si="62"/>
        <v>17085.553</v>
      </c>
      <c r="AT50" s="626">
        <f t="shared" si="62"/>
        <v>38795.126999999993</v>
      </c>
      <c r="AU50" s="627">
        <f t="shared" si="62"/>
        <v>38725.064000000006</v>
      </c>
      <c r="AV50" s="627">
        <f t="shared" si="62"/>
        <v>43209.902000000002</v>
      </c>
      <c r="AW50" s="625">
        <f t="shared" si="62"/>
        <v>41817.195</v>
      </c>
      <c r="AX50" s="626">
        <f t="shared" si="62"/>
        <v>42606.893002879995</v>
      </c>
      <c r="AY50" s="627">
        <f t="shared" si="62"/>
        <v>42840.175308275189</v>
      </c>
      <c r="AZ50" s="627">
        <f t="shared" si="62"/>
        <v>42886.614047520001</v>
      </c>
      <c r="BA50" s="625">
        <f t="shared" si="62"/>
        <v>42620.128912159998</v>
      </c>
      <c r="BB50" s="626">
        <f t="shared" si="62"/>
        <v>41453.834972439981</v>
      </c>
      <c r="BC50" s="627">
        <f t="shared" si="62"/>
        <v>40907.670147079989</v>
      </c>
      <c r="BD50" s="627">
        <f t="shared" si="62"/>
        <v>41166.619405559984</v>
      </c>
      <c r="BE50" s="627">
        <f t="shared" si="62"/>
        <v>52617</v>
      </c>
      <c r="BF50" s="626">
        <f t="shared" si="62"/>
        <v>52010</v>
      </c>
      <c r="BG50" s="627">
        <f t="shared" si="62"/>
        <v>54842</v>
      </c>
      <c r="BH50" s="627">
        <f t="shared" si="62"/>
        <v>56735</v>
      </c>
      <c r="BI50" s="625">
        <f t="shared" si="62"/>
        <v>56044</v>
      </c>
      <c r="BJ50" s="627">
        <f t="shared" si="62"/>
        <v>56842</v>
      </c>
      <c r="BK50" s="627">
        <f t="shared" si="62"/>
        <v>55090</v>
      </c>
      <c r="BL50" s="627">
        <f t="shared" si="62"/>
        <v>54632</v>
      </c>
      <c r="BM50" s="627">
        <f t="shared" si="62"/>
        <v>54020</v>
      </c>
      <c r="BN50" s="626">
        <f t="shared" si="62"/>
        <v>53729</v>
      </c>
      <c r="BO50" s="627">
        <f t="shared" si="62"/>
        <v>53254.435861999998</v>
      </c>
      <c r="BP50" s="627">
        <f t="shared" si="62"/>
        <v>51984</v>
      </c>
      <c r="BQ50" s="625">
        <f t="shared" si="62"/>
        <v>51787</v>
      </c>
      <c r="BR50" s="627">
        <f t="shared" si="62"/>
        <v>51166</v>
      </c>
      <c r="BS50" s="627">
        <f t="shared" ref="BS50:BX50" si="63">SUM(BS49+BS40)</f>
        <v>50614</v>
      </c>
      <c r="BT50" s="627">
        <f t="shared" si="63"/>
        <v>50646</v>
      </c>
      <c r="BU50" s="625">
        <f t="shared" si="63"/>
        <v>50147</v>
      </c>
      <c r="BV50" s="627">
        <f t="shared" si="63"/>
        <v>49520</v>
      </c>
      <c r="BW50" s="627">
        <f t="shared" si="63"/>
        <v>48977</v>
      </c>
      <c r="BX50" s="627">
        <f t="shared" si="63"/>
        <v>48754</v>
      </c>
      <c r="BY50" s="625">
        <f t="shared" ref="BY50:CF50" si="64">ROUNDUP(SUM(BY49+BY40),0)</f>
        <v>47604</v>
      </c>
      <c r="BZ50" s="627">
        <f t="shared" si="64"/>
        <v>47517</v>
      </c>
      <c r="CA50" s="627">
        <f t="shared" si="64"/>
        <v>47118</v>
      </c>
      <c r="CB50" s="627">
        <f t="shared" si="64"/>
        <v>46796</v>
      </c>
      <c r="CC50" s="625">
        <f t="shared" si="64"/>
        <v>47017</v>
      </c>
      <c r="CD50" s="627">
        <f t="shared" si="64"/>
        <v>46602</v>
      </c>
      <c r="CE50" s="627">
        <f t="shared" si="64"/>
        <v>50925</v>
      </c>
      <c r="CF50" s="627">
        <f t="shared" si="64"/>
        <v>50536</v>
      </c>
      <c r="CG50" s="625">
        <f t="shared" ref="CG50" si="65">ROUNDUP(SUM(CG49+CG40),0)</f>
        <v>75611</v>
      </c>
      <c r="CH50" s="627">
        <f>ROUNDUP(SUM(CH49+CH40),0)</f>
        <v>74877</v>
      </c>
      <c r="CI50" s="627">
        <f>ROUNDUP(SUM(CI49+CI40),0)</f>
        <v>74399</v>
      </c>
      <c r="CJ50" s="627">
        <f>ROUNDUP(SUM(CJ49+CJ40),0)</f>
        <v>73979</v>
      </c>
      <c r="CK50" s="625">
        <f>ROUNDUP(SUM(CK49+CK40),0)</f>
        <v>73562</v>
      </c>
      <c r="CL50" s="680"/>
      <c r="CT50" s="2074"/>
    </row>
    <row r="51" spans="1:98" ht="12.75" customHeight="1">
      <c r="A51" s="364"/>
      <c r="B51" s="364"/>
      <c r="C51" s="364"/>
      <c r="D51" s="493"/>
      <c r="E51" s="493"/>
      <c r="F51" s="493"/>
      <c r="G51" s="493"/>
      <c r="H51" s="493"/>
      <c r="I51" s="493"/>
      <c r="J51" s="493"/>
      <c r="K51" s="493"/>
      <c r="L51" s="493"/>
      <c r="M51" s="493"/>
      <c r="N51" s="493"/>
      <c r="O51" s="493"/>
      <c r="P51" s="493"/>
      <c r="Q51" s="493"/>
      <c r="R51" s="493"/>
      <c r="S51" s="493"/>
      <c r="T51" s="493"/>
      <c r="U51" s="493"/>
      <c r="V51" s="493"/>
      <c r="W51" s="493"/>
      <c r="X51" s="493"/>
      <c r="Y51" s="2544"/>
      <c r="Z51" s="399"/>
      <c r="AA51" s="405"/>
      <c r="AB51" s="405"/>
      <c r="AC51" s="625"/>
      <c r="AD51" s="626"/>
      <c r="AE51" s="627"/>
      <c r="AF51" s="627"/>
      <c r="AG51" s="625"/>
      <c r="AH51" s="626"/>
      <c r="AI51" s="627"/>
      <c r="AJ51" s="627"/>
      <c r="AK51" s="625"/>
      <c r="AL51" s="626"/>
      <c r="AM51" s="627"/>
      <c r="AN51" s="627"/>
      <c r="AO51" s="625"/>
      <c r="AP51" s="626"/>
      <c r="AQ51" s="627"/>
      <c r="AR51" s="627"/>
      <c r="AS51" s="625"/>
      <c r="AT51" s="626"/>
      <c r="AU51" s="627"/>
      <c r="AV51" s="627"/>
      <c r="AW51" s="625"/>
      <c r="AX51" s="626"/>
      <c r="AY51" s="627"/>
      <c r="AZ51" s="627"/>
      <c r="BA51" s="625"/>
      <c r="BB51" s="626"/>
      <c r="BC51" s="627"/>
      <c r="BD51" s="627"/>
      <c r="BE51" s="627"/>
      <c r="BF51" s="626"/>
      <c r="BG51" s="627"/>
      <c r="BH51" s="627"/>
      <c r="BI51" s="625"/>
      <c r="BJ51" s="627"/>
      <c r="BK51" s="627"/>
      <c r="BL51" s="627"/>
      <c r="BM51" s="627"/>
      <c r="BN51" s="626"/>
      <c r="BO51" s="627"/>
      <c r="BP51" s="627"/>
      <c r="BQ51" s="625"/>
      <c r="BR51" s="627"/>
      <c r="BS51" s="627"/>
      <c r="BT51" s="627"/>
      <c r="BU51" s="625"/>
      <c r="BV51" s="627"/>
      <c r="BW51" s="627"/>
      <c r="BX51" s="627"/>
      <c r="BY51" s="625"/>
      <c r="BZ51" s="627"/>
      <c r="CA51" s="627"/>
      <c r="CB51" s="627"/>
      <c r="CC51" s="625"/>
      <c r="CD51" s="627"/>
      <c r="CE51" s="627"/>
      <c r="CF51" s="627"/>
      <c r="CG51" s="625"/>
      <c r="CH51" s="627"/>
      <c r="CI51" s="627"/>
      <c r="CJ51" s="627"/>
      <c r="CK51" s="625"/>
      <c r="CL51" s="680"/>
      <c r="CT51" s="2074"/>
    </row>
    <row r="52" spans="1:98" s="2522" customFormat="1" hidden="1" outlineLevel="1">
      <c r="A52" s="2521" t="s">
        <v>953</v>
      </c>
      <c r="B52" s="2521"/>
      <c r="C52" s="2521"/>
      <c r="D52" s="2520">
        <f t="shared" ref="D52:I52" si="66">+D26-D50</f>
        <v>0</v>
      </c>
      <c r="E52" s="2520">
        <f t="shared" si="66"/>
        <v>0</v>
      </c>
      <c r="F52" s="2520">
        <f t="shared" si="66"/>
        <v>0</v>
      </c>
      <c r="G52" s="2520">
        <f t="shared" si="66"/>
        <v>0</v>
      </c>
      <c r="H52" s="2520">
        <f t="shared" si="66"/>
        <v>0</v>
      </c>
      <c r="I52" s="2520">
        <f t="shared" si="66"/>
        <v>-2.9154762160032988E-8</v>
      </c>
      <c r="J52" s="2520">
        <f>J50-J26</f>
        <v>4.4900029155542143E-2</v>
      </c>
      <c r="K52" s="2520">
        <f>K50-K26</f>
        <v>0</v>
      </c>
      <c r="L52" s="2520">
        <f>L50-L26</f>
        <v>0</v>
      </c>
      <c r="M52" s="2523">
        <f>M50-M26</f>
        <v>0</v>
      </c>
      <c r="N52" s="2523">
        <f>N50-N26</f>
        <v>0</v>
      </c>
      <c r="O52" s="2523">
        <f t="shared" ref="O52:U52" si="67">ROUNDDOWN(O50-O26,0)</f>
        <v>0</v>
      </c>
      <c r="P52" s="2523">
        <f t="shared" ca="1" si="67"/>
        <v>-2</v>
      </c>
      <c r="Q52" s="2523">
        <f t="shared" ca="1" si="67"/>
        <v>-2</v>
      </c>
      <c r="R52" s="2523">
        <f ca="1">ROUNDDOWN(R50-R26,0)</f>
        <v>0</v>
      </c>
      <c r="S52" s="2523">
        <f ca="1">ROUNDDOWN(S50-S26,0)</f>
        <v>0</v>
      </c>
      <c r="T52" s="2523">
        <f t="shared" ca="1" si="67"/>
        <v>0</v>
      </c>
      <c r="U52" s="2523">
        <f t="shared" ca="1" si="67"/>
        <v>0</v>
      </c>
      <c r="V52" s="2523">
        <f ca="1">ROUNDDOWN(V50-V26,0)</f>
        <v>0</v>
      </c>
      <c r="W52" s="2523">
        <f ca="1">ROUNDDOWN(W50-W26,0)</f>
        <v>0</v>
      </c>
      <c r="X52" s="2523">
        <f ca="1">ROUNDDOWN(X50-X26,0)</f>
        <v>0</v>
      </c>
      <c r="Y52" s="2544"/>
      <c r="Z52" s="595"/>
      <c r="AA52" s="451"/>
      <c r="AB52" s="451"/>
      <c r="AC52" s="695">
        <f t="shared" ref="AC52:BR52" si="68">AC50-AC26</f>
        <v>0</v>
      </c>
      <c r="AD52" s="694">
        <f t="shared" si="68"/>
        <v>0</v>
      </c>
      <c r="AE52" s="693">
        <f t="shared" si="68"/>
        <v>0</v>
      </c>
      <c r="AF52" s="693">
        <f t="shared" si="68"/>
        <v>0</v>
      </c>
      <c r="AG52" s="695">
        <f t="shared" si="68"/>
        <v>0</v>
      </c>
      <c r="AH52" s="694">
        <f t="shared" si="68"/>
        <v>0</v>
      </c>
      <c r="AI52" s="693">
        <f t="shared" si="68"/>
        <v>0</v>
      </c>
      <c r="AJ52" s="693">
        <f t="shared" si="68"/>
        <v>0</v>
      </c>
      <c r="AK52" s="695">
        <f t="shared" si="68"/>
        <v>0</v>
      </c>
      <c r="AL52" s="694">
        <f t="shared" si="68"/>
        <v>0</v>
      </c>
      <c r="AM52" s="693">
        <f t="shared" si="68"/>
        <v>0</v>
      </c>
      <c r="AN52" s="693">
        <f t="shared" si="68"/>
        <v>0</v>
      </c>
      <c r="AO52" s="695">
        <f t="shared" si="68"/>
        <v>0</v>
      </c>
      <c r="AP52" s="694">
        <f t="shared" si="68"/>
        <v>0</v>
      </c>
      <c r="AQ52" s="693">
        <f t="shared" si="68"/>
        <v>0</v>
      </c>
      <c r="AR52" s="693">
        <f t="shared" si="68"/>
        <v>0</v>
      </c>
      <c r="AS52" s="695">
        <f t="shared" si="68"/>
        <v>0</v>
      </c>
      <c r="AT52" s="694">
        <f t="shared" si="68"/>
        <v>2.9147486202418804E-8</v>
      </c>
      <c r="AU52" s="693">
        <f t="shared" si="68"/>
        <v>2.9154762160032988E-8</v>
      </c>
      <c r="AV52" s="693">
        <f t="shared" si="68"/>
        <v>2.9147486202418804E-8</v>
      </c>
      <c r="AW52" s="695">
        <f t="shared" si="68"/>
        <v>2.9154762160032988E-8</v>
      </c>
      <c r="AX52" s="694">
        <f t="shared" si="68"/>
        <v>-1.1999970847682562E-2</v>
      </c>
      <c r="AY52" s="693">
        <f t="shared" si="68"/>
        <v>-1.8650473444722593E-2</v>
      </c>
      <c r="AZ52" s="693">
        <f t="shared" si="68"/>
        <v>3.9000291653792374E-3</v>
      </c>
      <c r="BA52" s="695">
        <f t="shared" si="68"/>
        <v>4.4900029155542143E-2</v>
      </c>
      <c r="BB52" s="694">
        <f t="shared" si="68"/>
        <v>3.262900029134471</v>
      </c>
      <c r="BC52" s="693">
        <f t="shared" si="68"/>
        <v>5.5689000291531556</v>
      </c>
      <c r="BD52" s="693">
        <f t="shared" si="68"/>
        <v>9.3049000291357515</v>
      </c>
      <c r="BE52" s="693">
        <f t="shared" si="68"/>
        <v>0</v>
      </c>
      <c r="BF52" s="694">
        <f t="shared" si="68"/>
        <v>0</v>
      </c>
      <c r="BG52" s="693">
        <f t="shared" si="68"/>
        <v>0</v>
      </c>
      <c r="BH52" s="693">
        <f t="shared" si="68"/>
        <v>0</v>
      </c>
      <c r="BI52" s="695">
        <f t="shared" si="68"/>
        <v>0</v>
      </c>
      <c r="BJ52" s="693">
        <f t="shared" si="68"/>
        <v>0</v>
      </c>
      <c r="BK52" s="693">
        <f t="shared" si="68"/>
        <v>0</v>
      </c>
      <c r="BL52" s="693">
        <f t="shared" si="68"/>
        <v>0</v>
      </c>
      <c r="BM52" s="693">
        <f t="shared" si="68"/>
        <v>0</v>
      </c>
      <c r="BN52" s="694">
        <f t="shared" si="68"/>
        <v>0</v>
      </c>
      <c r="BO52" s="693">
        <f t="shared" si="68"/>
        <v>0.43586199999845121</v>
      </c>
      <c r="BP52" s="693">
        <f t="shared" si="68"/>
        <v>0</v>
      </c>
      <c r="BQ52" s="695">
        <f t="shared" si="68"/>
        <v>0</v>
      </c>
      <c r="BR52" s="693">
        <f t="shared" si="68"/>
        <v>0</v>
      </c>
      <c r="BS52" s="693">
        <f>BS50-BS26</f>
        <v>0</v>
      </c>
      <c r="BT52" s="693">
        <f>BT50-BT26</f>
        <v>0</v>
      </c>
      <c r="BU52" s="695">
        <f>ROUNDDOWN(BU50-BU26,0)</f>
        <v>0</v>
      </c>
      <c r="BV52" s="694">
        <f ca="1">ROUNDDOWN(BV50-BV26,0)</f>
        <v>0</v>
      </c>
      <c r="BW52" s="693">
        <f ca="1">ROUNDDOWN(BW50-BW26,0)</f>
        <v>0</v>
      </c>
      <c r="BX52" s="693">
        <f ca="1">ROUNDDOWN(BX50-BX26,0)</f>
        <v>0</v>
      </c>
      <c r="BY52" s="695">
        <f ca="1">ROUNDDOWN(BY50-BY26,0)</f>
        <v>-2</v>
      </c>
      <c r="BZ52" s="693">
        <f t="shared" ref="BZ52:CC52" ca="1" si="69">ROUNDDOWN(BZ50-BZ26,0)</f>
        <v>-2</v>
      </c>
      <c r="CA52" s="693">
        <f t="shared" ca="1" si="69"/>
        <v>-2</v>
      </c>
      <c r="CB52" s="693">
        <f t="shared" ca="1" si="69"/>
        <v>-2</v>
      </c>
      <c r="CC52" s="695">
        <f t="shared" ca="1" si="69"/>
        <v>-2</v>
      </c>
      <c r="CD52" s="693">
        <f ca="1">ROUNDDOWN(CD50-CD26,0)</f>
        <v>-2</v>
      </c>
      <c r="CE52" s="693">
        <f ca="1">+CE26-CE50</f>
        <v>2</v>
      </c>
      <c r="CF52" s="693">
        <f ca="1">+CF26-CF50</f>
        <v>2</v>
      </c>
      <c r="CG52" s="695">
        <f t="shared" ref="CG52" ca="1" si="70">+CG26-CG50</f>
        <v>0</v>
      </c>
      <c r="CH52" s="693">
        <f ca="1">ROUNDDOWN(CH50-CH26,0)</f>
        <v>0</v>
      </c>
      <c r="CI52" s="693">
        <f ca="1">ROUNDDOWN(CI50-CI26,0)</f>
        <v>0</v>
      </c>
      <c r="CJ52" s="693">
        <f ca="1">ROUNDDOWN(CJ50-CJ26,0)</f>
        <v>0</v>
      </c>
      <c r="CK52" s="695">
        <f ca="1">ROUNDDOWN(CK50-CK26,0)</f>
        <v>0</v>
      </c>
      <c r="CL52" s="680"/>
      <c r="CM52"/>
      <c r="CN52"/>
      <c r="CO52"/>
      <c r="CP52"/>
      <c r="CQ52"/>
      <c r="CR52"/>
    </row>
    <row r="53" spans="1:98" hidden="1" outlineLevel="1">
      <c r="A53" s="628"/>
      <c r="B53" s="372"/>
      <c r="C53" s="372"/>
      <c r="D53" s="629"/>
      <c r="E53" s="630"/>
      <c r="F53" s="630"/>
      <c r="G53" s="630"/>
      <c r="H53" s="630"/>
      <c r="I53" s="630">
        <v>0</v>
      </c>
      <c r="J53" s="630">
        <v>0</v>
      </c>
      <c r="K53" s="630">
        <v>0</v>
      </c>
      <c r="L53" s="630" t="s">
        <v>698</v>
      </c>
      <c r="M53" s="630" t="s">
        <v>698</v>
      </c>
      <c r="N53" s="630" t="s">
        <v>698</v>
      </c>
      <c r="O53" s="630" t="s">
        <v>698</v>
      </c>
      <c r="P53" s="630" t="s">
        <v>698</v>
      </c>
      <c r="Q53" s="630" t="s">
        <v>698</v>
      </c>
      <c r="R53" s="630" t="s">
        <v>698</v>
      </c>
      <c r="S53" s="630" t="s">
        <v>698</v>
      </c>
      <c r="T53" s="630" t="s">
        <v>698</v>
      </c>
      <c r="U53" s="630" t="s">
        <v>698</v>
      </c>
      <c r="V53" s="630" t="s">
        <v>698</v>
      </c>
      <c r="W53" s="630" t="s">
        <v>698</v>
      </c>
      <c r="X53" s="630" t="s">
        <v>698</v>
      </c>
      <c r="Y53" s="2630"/>
      <c r="Z53" s="630" t="s">
        <v>698</v>
      </c>
      <c r="AA53" s="630" t="s">
        <v>698</v>
      </c>
      <c r="AB53" s="630" t="s">
        <v>698</v>
      </c>
      <c r="AC53" s="630" t="s">
        <v>698</v>
      </c>
      <c r="AD53" s="630" t="s">
        <v>698</v>
      </c>
      <c r="AE53" s="630" t="s">
        <v>698</v>
      </c>
      <c r="AF53" s="630" t="s">
        <v>698</v>
      </c>
      <c r="AG53" s="630" t="s">
        <v>698</v>
      </c>
      <c r="AH53" s="630" t="s">
        <v>698</v>
      </c>
      <c r="AI53" s="630" t="s">
        <v>698</v>
      </c>
      <c r="AJ53" s="630" t="s">
        <v>698</v>
      </c>
      <c r="AK53" s="630" t="s">
        <v>698</v>
      </c>
      <c r="AL53" s="630" t="s">
        <v>698</v>
      </c>
      <c r="AM53" s="630" t="s">
        <v>698</v>
      </c>
      <c r="AN53" s="630" t="s">
        <v>698</v>
      </c>
      <c r="AO53" s="630" t="s">
        <v>698</v>
      </c>
      <c r="AP53" s="630" t="s">
        <v>698</v>
      </c>
      <c r="AQ53" s="630" t="s">
        <v>698</v>
      </c>
      <c r="AR53" s="630" t="s">
        <v>698</v>
      </c>
      <c r="AS53" s="630" t="s">
        <v>698</v>
      </c>
      <c r="AT53" s="630" t="s">
        <v>698</v>
      </c>
      <c r="AU53" s="630" t="s">
        <v>698</v>
      </c>
      <c r="AV53" s="630" t="s">
        <v>698</v>
      </c>
      <c r="AW53" s="630" t="s">
        <v>698</v>
      </c>
      <c r="AX53" s="630" t="s">
        <v>698</v>
      </c>
      <c r="AY53" s="630" t="s">
        <v>698</v>
      </c>
      <c r="AZ53" s="630" t="s">
        <v>698</v>
      </c>
      <c r="BA53" s="630" t="s">
        <v>698</v>
      </c>
      <c r="BB53" s="630" t="s">
        <v>698</v>
      </c>
      <c r="BC53" s="630" t="s">
        <v>698</v>
      </c>
      <c r="BD53" s="630" t="s">
        <v>698</v>
      </c>
      <c r="BE53" s="630" t="s">
        <v>698</v>
      </c>
      <c r="BF53" s="630" t="s">
        <v>698</v>
      </c>
      <c r="BG53" s="630" t="s">
        <v>698</v>
      </c>
      <c r="BH53" s="630" t="s">
        <v>698</v>
      </c>
      <c r="BI53" s="630" t="s">
        <v>698</v>
      </c>
      <c r="BJ53" s="630" t="s">
        <v>698</v>
      </c>
      <c r="BK53" s="630" t="s">
        <v>698</v>
      </c>
      <c r="BL53" s="630" t="s">
        <v>698</v>
      </c>
      <c r="BM53" s="2249" t="s">
        <v>698</v>
      </c>
      <c r="BN53" s="2268" t="s">
        <v>698</v>
      </c>
      <c r="BO53" s="630" t="s">
        <v>698</v>
      </c>
      <c r="BP53" s="630" t="s">
        <v>698</v>
      </c>
      <c r="BQ53" s="2249" t="s">
        <v>698</v>
      </c>
      <c r="BR53" s="630" t="s">
        <v>698</v>
      </c>
      <c r="BS53" s="630" t="s">
        <v>698</v>
      </c>
      <c r="BT53" s="630" t="s">
        <v>698</v>
      </c>
      <c r="BU53" s="2249" t="s">
        <v>698</v>
      </c>
      <c r="BV53" s="630" t="s">
        <v>698</v>
      </c>
      <c r="BW53" s="630" t="s">
        <v>698</v>
      </c>
      <c r="BX53" s="630" t="s">
        <v>698</v>
      </c>
      <c r="BY53" s="2249" t="s">
        <v>698</v>
      </c>
      <c r="BZ53" s="630" t="s">
        <v>698</v>
      </c>
      <c r="CA53" s="630" t="s">
        <v>698</v>
      </c>
      <c r="CB53" s="630" t="s">
        <v>698</v>
      </c>
      <c r="CC53" s="2249" t="s">
        <v>698</v>
      </c>
      <c r="CD53" s="630" t="s">
        <v>698</v>
      </c>
      <c r="CE53" s="630" t="s">
        <v>698</v>
      </c>
      <c r="CF53" s="630" t="s">
        <v>698</v>
      </c>
      <c r="CG53" s="2249" t="s">
        <v>698</v>
      </c>
      <c r="CH53" s="630" t="s">
        <v>698</v>
      </c>
      <c r="CI53" s="630" t="s">
        <v>698</v>
      </c>
      <c r="CJ53" s="630" t="s">
        <v>698</v>
      </c>
      <c r="CK53" s="2249" t="s">
        <v>698</v>
      </c>
      <c r="CL53" s="680"/>
    </row>
    <row r="54" spans="1:98" hidden="1" outlineLevel="1">
      <c r="A54" s="133" t="s">
        <v>954</v>
      </c>
      <c r="B54" s="372"/>
      <c r="C54" s="372"/>
      <c r="D54" s="582"/>
      <c r="E54" s="499">
        <f>SUM(AD54:AG54)</f>
        <v>-365.79999999999995</v>
      </c>
      <c r="F54" s="499">
        <f>SUM(AH54:AK54)</f>
        <v>-693.82399999999996</v>
      </c>
      <c r="G54" s="499">
        <f>SUM(AL54:AO54)</f>
        <v>63.230000000000004</v>
      </c>
      <c r="H54" s="582">
        <f>SUM(AP54:AS54)</f>
        <v>245.64999999999998</v>
      </c>
      <c r="I54" s="582">
        <f>SUM(AT54:AW54)</f>
        <v>7117.6633799999981</v>
      </c>
      <c r="J54" s="582">
        <f>SUM(AX54:BA54)</f>
        <v>924.66599909999945</v>
      </c>
      <c r="K54" s="582">
        <f>SUM(BB54:BE54)</f>
        <v>14017.025877999997</v>
      </c>
      <c r="L54" s="582">
        <v>1552.1</v>
      </c>
      <c r="M54" s="2632">
        <v>-248.71652499999999</v>
      </c>
      <c r="N54" s="2632">
        <f>-2259.07166+799</f>
        <v>-1460.0716600000001</v>
      </c>
      <c r="O54" s="2632">
        <f>-201.12632-295</f>
        <v>-496.12631999999996</v>
      </c>
      <c r="P54" s="582">
        <v>-726.76005999999995</v>
      </c>
      <c r="Q54" s="582">
        <f t="shared" ref="Q54:S54" si="71">(Q43-P43)+(Q44-P44)+(Q45-P45)</f>
        <v>-205</v>
      </c>
      <c r="R54" s="582">
        <f t="shared" si="71"/>
        <v>8866</v>
      </c>
      <c r="S54" s="582">
        <f t="shared" si="71"/>
        <v>200</v>
      </c>
      <c r="T54" s="582">
        <f ca="1">(T43-S43)+(T44-S44)+(T45-S45)</f>
        <v>141.48760102652523</v>
      </c>
      <c r="U54" s="582">
        <f ca="1">(U43-T43)+(U44-T44)+(U45-T45)</f>
        <v>140.49633246013764</v>
      </c>
      <c r="V54" s="582">
        <f ca="1">(V43-U43)+(V44-U44)+(V45-U45)</f>
        <v>139.87006382386244</v>
      </c>
      <c r="W54" s="582">
        <f ca="1">(W43-V43)+(W44-V44)+(W45-V45)</f>
        <v>139.56400957993537</v>
      </c>
      <c r="X54" s="582">
        <f ca="1">(X43-W43)+(X44-W44)+(X45-W45)</f>
        <v>139.47332853104308</v>
      </c>
      <c r="Y54" s="2544"/>
      <c r="Z54" s="582"/>
      <c r="AA54" s="631"/>
      <c r="AB54" s="631"/>
      <c r="AC54" s="593">
        <f t="shared" ref="AC54:AS54" si="72">(AC43-AB43)+(AC44-AB44)+(AC45-AB45)</f>
        <v>728.35400000000004</v>
      </c>
      <c r="AD54" s="594">
        <f t="shared" si="72"/>
        <v>-136.13499999999999</v>
      </c>
      <c r="AE54" s="582">
        <f t="shared" si="72"/>
        <v>-139.00400000000005</v>
      </c>
      <c r="AF54" s="582">
        <f t="shared" si="72"/>
        <v>-22.990999999999985</v>
      </c>
      <c r="AG54" s="593">
        <f t="shared" si="72"/>
        <v>-67.669999999999987</v>
      </c>
      <c r="AH54" s="594">
        <f t="shared" si="72"/>
        <v>-47.421000000000021</v>
      </c>
      <c r="AI54" s="582">
        <f t="shared" si="72"/>
        <v>-64.044999999999973</v>
      </c>
      <c r="AJ54" s="582">
        <f t="shared" si="72"/>
        <v>28.041999999999987</v>
      </c>
      <c r="AK54" s="593">
        <f t="shared" si="72"/>
        <v>-610.4</v>
      </c>
      <c r="AL54" s="594">
        <f t="shared" si="72"/>
        <v>-49.450000000000031</v>
      </c>
      <c r="AM54" s="582">
        <f t="shared" si="72"/>
        <v>148.60900000000004</v>
      </c>
      <c r="AN54" s="582">
        <f t="shared" si="72"/>
        <v>13.410999999999959</v>
      </c>
      <c r="AO54" s="593">
        <f t="shared" si="72"/>
        <v>-49.339999999999961</v>
      </c>
      <c r="AP54" s="594">
        <f t="shared" si="72"/>
        <v>76.571999999999989</v>
      </c>
      <c r="AQ54" s="582">
        <f t="shared" si="72"/>
        <v>116.77399999999997</v>
      </c>
      <c r="AR54" s="582">
        <f t="shared" si="72"/>
        <v>146.22500000000002</v>
      </c>
      <c r="AS54" s="593">
        <f t="shared" si="72"/>
        <v>-93.921000000000006</v>
      </c>
      <c r="AT54" s="594">
        <f>(AT43-AS43)+(AT44-AS44)+(AT45-AS45)-39066.6383</f>
        <v>3053.2676999999967</v>
      </c>
      <c r="AU54" s="582">
        <f>(AU43-AT43)+(AU44-AT44)+(AU45-AT45)+37.66788</f>
        <v>-267.98011999999892</v>
      </c>
      <c r="AV54" s="582">
        <f>(AV43-AU43)+(AV44-AU44)+(AV45-AU45)-1050.7964</f>
        <v>4407.0326000000014</v>
      </c>
      <c r="AW54" s="593">
        <f>(AW43-AV43)+(AW44-AV44)+(AW45-AV45)-123.4338</f>
        <v>-74.656800000000814</v>
      </c>
      <c r="AX54" s="594">
        <f>(AX43-AW43)+(AX44-AW44)+(AX45-AW45)-69.8</f>
        <v>980.72599999999989</v>
      </c>
      <c r="AY54" s="582">
        <f>(AY43-AX43)+(AY44-AX44)+(AY45-AX45)</f>
        <v>32</v>
      </c>
      <c r="AZ54" s="582">
        <f>(AZ43-AY43)+(AZ44-AY44)+(AZ45-AY45)-89.0999999</f>
        <v>26.553000100001498</v>
      </c>
      <c r="BA54" s="593">
        <f>(BA43-AZ43)+(BA44-AZ44)+(BA45-AZ45)-195.200001</f>
        <v>-114.61300100000199</v>
      </c>
      <c r="BB54" s="594">
        <f>(BB43-BA43)+(BB44-BA44)+(BB45-BA45)+380.5</f>
        <v>407.34599999999955</v>
      </c>
      <c r="BC54" s="582">
        <f>(BC43-BB43)+(BC44-BB44)+(BC45-BB45)+280</f>
        <v>161.34799999999882</v>
      </c>
      <c r="BD54" s="582">
        <f>(BD43-BC43)+(BD44-BC44)+(BD45-BC45)+275</f>
        <v>354.38700000000074</v>
      </c>
      <c r="BE54" s="582">
        <f>(BE43-BD43)+(BE44-BD44)+(BE45-BD45)+42896.765878</f>
        <v>13093.944877999998</v>
      </c>
      <c r="BF54" s="594">
        <f>(BF43-BE43)+(BF44-BE44)+(BF45-BE45)</f>
        <v>20</v>
      </c>
      <c r="BG54" s="582">
        <v>-277.02499999999998</v>
      </c>
      <c r="BH54" s="582"/>
      <c r="BI54" s="593">
        <v>804.97500000000002</v>
      </c>
      <c r="BJ54" s="582"/>
      <c r="BK54" s="582"/>
      <c r="BL54" s="582"/>
      <c r="BM54" s="582"/>
      <c r="BN54" s="594">
        <v>-574.51157999999998</v>
      </c>
      <c r="BO54" s="582">
        <v>-553.24105799999995</v>
      </c>
      <c r="BP54" s="582">
        <v>-1768.358882</v>
      </c>
      <c r="BQ54" s="593">
        <v>-460.96014000000002</v>
      </c>
      <c r="BR54" s="2632">
        <f t="shared" ref="BR54:BU54" si="73">(BR43-BQ43)+(BR44-BQ44)+(BR45-BQ45)</f>
        <v>-478</v>
      </c>
      <c r="BS54" s="2632">
        <v>-317.32589999999999</v>
      </c>
      <c r="BT54" s="2632">
        <f t="shared" si="73"/>
        <v>-139</v>
      </c>
      <c r="BU54" s="2633">
        <f t="shared" si="73"/>
        <v>-210</v>
      </c>
      <c r="BV54" s="582">
        <v>-345.53674000000001</v>
      </c>
      <c r="BW54" s="2632"/>
      <c r="BX54" s="582"/>
      <c r="BY54" s="2633"/>
      <c r="BZ54" s="2632"/>
      <c r="CA54" s="2632"/>
      <c r="CB54" s="2632"/>
      <c r="CC54" s="2633"/>
      <c r="CD54" s="2632"/>
      <c r="CE54" s="582"/>
      <c r="CF54" s="582"/>
      <c r="CG54" s="593"/>
      <c r="CH54" s="582"/>
      <c r="CI54" s="582"/>
      <c r="CJ54" s="582"/>
      <c r="CK54" s="593"/>
      <c r="CL54" s="680"/>
    </row>
    <row r="55" spans="1:98" collapsed="1">
      <c r="A55" s="2843" t="s">
        <v>955</v>
      </c>
      <c r="B55" s="2828"/>
      <c r="C55" s="2828"/>
      <c r="D55" s="2820"/>
      <c r="E55" s="2820"/>
      <c r="F55" s="2820"/>
      <c r="G55" s="2820"/>
      <c r="H55" s="2820"/>
      <c r="I55" s="2820"/>
      <c r="J55" s="2820"/>
      <c r="K55" s="2820"/>
      <c r="L55" s="2820"/>
      <c r="M55" s="2820"/>
      <c r="N55" s="2820"/>
      <c r="O55" s="2820"/>
      <c r="P55" s="2820"/>
      <c r="Q55" s="2820"/>
      <c r="R55" s="2820"/>
      <c r="S55" s="2820"/>
      <c r="T55" s="2820"/>
      <c r="U55" s="2820"/>
      <c r="V55" s="2820"/>
      <c r="W55" s="2820"/>
      <c r="X55" s="2820"/>
      <c r="Y55" s="2544"/>
      <c r="Z55" s="2823"/>
      <c r="AA55" s="2823"/>
      <c r="AB55" s="2823"/>
      <c r="AC55" s="2824"/>
      <c r="AD55" s="2844"/>
      <c r="AE55" s="2820"/>
      <c r="AF55" s="2820"/>
      <c r="AG55" s="2845"/>
      <c r="AH55" s="2844"/>
      <c r="AI55" s="2820"/>
      <c r="AJ55" s="2820"/>
      <c r="AK55" s="2845"/>
      <c r="AL55" s="2844"/>
      <c r="AM55" s="2820"/>
      <c r="AN55" s="2820"/>
      <c r="AO55" s="2845"/>
      <c r="AP55" s="2844"/>
      <c r="AQ55" s="2820"/>
      <c r="AR55" s="2820"/>
      <c r="AS55" s="2845"/>
      <c r="AT55" s="2846"/>
      <c r="AU55" s="2847"/>
      <c r="AV55" s="2847"/>
      <c r="AW55" s="2848"/>
      <c r="AX55" s="2846"/>
      <c r="AY55" s="2847"/>
      <c r="AZ55" s="2847"/>
      <c r="BA55" s="2848"/>
      <c r="BB55" s="2846"/>
      <c r="BC55" s="2847"/>
      <c r="BD55" s="2847"/>
      <c r="BE55" s="2847"/>
      <c r="BF55" s="2846"/>
      <c r="BG55" s="2847"/>
      <c r="BH55" s="2847"/>
      <c r="BI55" s="2848"/>
      <c r="BJ55" s="2847"/>
      <c r="BK55" s="2847"/>
      <c r="BL55" s="2847"/>
      <c r="BM55" s="2847"/>
      <c r="BN55" s="2846"/>
      <c r="BO55" s="2847"/>
      <c r="BP55" s="2847"/>
      <c r="BQ55" s="2848"/>
      <c r="BR55" s="2847"/>
      <c r="BS55" s="2847"/>
      <c r="BT55" s="2847"/>
      <c r="BU55" s="2848"/>
      <c r="BV55" s="2847"/>
      <c r="BW55" s="2847"/>
      <c r="BX55" s="2847"/>
      <c r="BY55" s="2848"/>
      <c r="BZ55" s="2847"/>
      <c r="CA55" s="2847"/>
      <c r="CB55" s="2847"/>
      <c r="CC55" s="2848"/>
      <c r="CD55" s="2847"/>
      <c r="CE55" s="2847"/>
      <c r="CF55" s="2847"/>
      <c r="CG55" s="2848"/>
      <c r="CH55" s="2847"/>
      <c r="CI55" s="2847"/>
      <c r="CJ55" s="2847"/>
      <c r="CK55" s="2848"/>
      <c r="CL55" s="368"/>
    </row>
    <row r="56" spans="1:98">
      <c r="A56" s="404" t="s">
        <v>956</v>
      </c>
      <c r="B56" s="365"/>
      <c r="C56" s="365"/>
      <c r="D56" s="365"/>
      <c r="E56" s="365"/>
      <c r="F56" s="365"/>
      <c r="G56" s="365"/>
      <c r="H56" s="399"/>
      <c r="I56" s="399"/>
      <c r="J56" s="399"/>
      <c r="K56" s="399"/>
      <c r="L56" s="399"/>
      <c r="M56" s="399"/>
      <c r="N56" s="399"/>
      <c r="O56" s="399"/>
      <c r="P56" s="399"/>
      <c r="Q56" s="399"/>
      <c r="R56" s="399"/>
      <c r="S56" s="2634"/>
      <c r="T56" s="399"/>
      <c r="U56" s="399"/>
      <c r="V56" s="399"/>
      <c r="W56" s="2634"/>
      <c r="X56" s="2634"/>
      <c r="Y56" s="2544"/>
      <c r="Z56" s="399"/>
      <c r="AA56" s="399"/>
      <c r="AB56" s="399"/>
      <c r="AC56" s="400"/>
      <c r="AD56" s="407"/>
      <c r="AE56" s="399"/>
      <c r="AF56" s="399"/>
      <c r="AG56" s="400"/>
      <c r="AH56" s="407"/>
      <c r="AI56" s="399"/>
      <c r="AJ56" s="399"/>
      <c r="AK56" s="400"/>
      <c r="AL56" s="407"/>
      <c r="AM56" s="399"/>
      <c r="AN56" s="399"/>
      <c r="AO56" s="400"/>
      <c r="AP56" s="407"/>
      <c r="AQ56" s="399"/>
      <c r="AR56" s="399"/>
      <c r="AS56" s="400"/>
      <c r="AT56" s="407"/>
      <c r="AU56" s="399"/>
      <c r="AV56" s="399"/>
      <c r="AW56" s="484"/>
      <c r="AX56" s="443"/>
      <c r="AY56" s="544"/>
      <c r="AZ56" s="544"/>
      <c r="BA56" s="543"/>
      <c r="BB56" s="633"/>
      <c r="BC56" s="444"/>
      <c r="BD56" s="444"/>
      <c r="BE56" s="444"/>
      <c r="BF56" s="1792"/>
      <c r="BG56" s="444"/>
      <c r="BH56" s="444"/>
      <c r="BI56" s="484"/>
      <c r="BJ56" s="444"/>
      <c r="BK56" s="444"/>
      <c r="BL56" s="444"/>
      <c r="BM56" s="444"/>
      <c r="BN56" s="443"/>
      <c r="BO56" s="444"/>
      <c r="BP56" s="444"/>
      <c r="BQ56" s="484"/>
      <c r="BR56" s="444"/>
      <c r="BS56" s="444"/>
      <c r="BT56" s="444"/>
      <c r="BU56" s="484"/>
      <c r="BV56" s="444"/>
      <c r="BW56" s="444"/>
      <c r="BX56" s="444"/>
      <c r="BY56" s="484"/>
      <c r="BZ56" s="444"/>
      <c r="CA56" s="444"/>
      <c r="CB56" s="444"/>
      <c r="CC56" s="484"/>
      <c r="CD56" s="444"/>
      <c r="CE56" s="444"/>
      <c r="CF56" s="444"/>
      <c r="CG56" s="484"/>
      <c r="CH56" s="444"/>
      <c r="CI56" s="444"/>
      <c r="CJ56" s="444"/>
      <c r="CK56" s="484"/>
      <c r="CL56" s="368"/>
    </row>
    <row r="57" spans="1:98">
      <c r="A57" s="399" t="s">
        <v>819</v>
      </c>
      <c r="B57" s="365"/>
      <c r="C57" s="365"/>
      <c r="D57" s="634"/>
      <c r="E57" s="634">
        <f>E13/IS!E25*360</f>
        <v>71.003303867628205</v>
      </c>
      <c r="F57" s="634">
        <f>F13/IS!F25*360</f>
        <v>266.56139093441851</v>
      </c>
      <c r="G57" s="634">
        <f>G13/IS!G25*360</f>
        <v>46.647725912015439</v>
      </c>
      <c r="H57" s="634">
        <f>H13/IS!H25*360</f>
        <v>43.832736271075071</v>
      </c>
      <c r="I57" s="634">
        <f>I13/IS!I25*360</f>
        <v>36.733217771448899</v>
      </c>
      <c r="J57" s="634">
        <f>J13/IS!J25*360</f>
        <v>36.027426746379632</v>
      </c>
      <c r="K57" s="634">
        <f>K13/IS!K25*360</f>
        <v>36.628068550254746</v>
      </c>
      <c r="L57" s="634">
        <f ca="1">L13/IS!L25*360</f>
        <v>38.076589734536</v>
      </c>
      <c r="M57" s="634">
        <f>M13/IS!M25*360</f>
        <v>38.376231158513363</v>
      </c>
      <c r="N57" s="634">
        <f>N13/IS!N25*360</f>
        <v>39.33241226858248</v>
      </c>
      <c r="O57" s="634">
        <f>O13/IS!O25*360</f>
        <v>39.700449326010983</v>
      </c>
      <c r="P57" s="634">
        <f>P13/IS!P25*360</f>
        <v>39.077094972067037</v>
      </c>
      <c r="Q57" s="634">
        <f>Q13/IS!Q25*360</f>
        <v>41.563823697767603</v>
      </c>
      <c r="R57" s="634">
        <f>R13/IS!R25*360</f>
        <v>50.197404297088013</v>
      </c>
      <c r="S57" s="634">
        <f>S13/IS!S25*360</f>
        <v>32.879326711330165</v>
      </c>
      <c r="T57" s="2888">
        <f t="shared" ref="T57:X58" si="74">+S57</f>
        <v>32.879326711330165</v>
      </c>
      <c r="U57" s="2888">
        <f t="shared" si="74"/>
        <v>32.879326711330165</v>
      </c>
      <c r="V57" s="2888">
        <f t="shared" si="74"/>
        <v>32.879326711330165</v>
      </c>
      <c r="W57" s="2888">
        <f t="shared" si="74"/>
        <v>32.879326711330165</v>
      </c>
      <c r="X57" s="2888">
        <f t="shared" si="74"/>
        <v>32.879326711330165</v>
      </c>
      <c r="Y57" s="2544"/>
      <c r="Z57" s="634"/>
      <c r="AA57" s="634"/>
      <c r="AB57" s="634"/>
      <c r="AC57" s="635"/>
      <c r="AD57" s="634">
        <f>AD13/IS!AE25*90</f>
        <v>32.392050584129471</v>
      </c>
      <c r="AE57" s="634">
        <f>AE13/IS!AF25*90</f>
        <v>32.759997017670308</v>
      </c>
      <c r="AF57" s="634">
        <f>AF13/IS!AG25*90</f>
        <v>35.97143195827406</v>
      </c>
      <c r="AG57" s="635">
        <f>AG13/IS!AH25*90</f>
        <v>34.528251467255217</v>
      </c>
      <c r="AH57" s="634">
        <f>AH13/IS!AI25*90</f>
        <v>34.122264741752652</v>
      </c>
      <c r="AI57" s="634">
        <f>AI13/IS!AJ25*90</f>
        <v>33.85242400806051</v>
      </c>
      <c r="AJ57" s="634">
        <f>AJ13/IS!AK25*90</f>
        <v>32.741791396851241</v>
      </c>
      <c r="AK57" s="635">
        <f>AK13/IS!AL25*90</f>
        <v>130.06914091207986</v>
      </c>
      <c r="AL57" s="634">
        <f>AL13/IS!AM25*90</f>
        <v>36.207397590598966</v>
      </c>
      <c r="AM57" s="634">
        <f>AM13/IS!AN25*90</f>
        <v>38.079020299067501</v>
      </c>
      <c r="AN57" s="634">
        <f>AN13/IS!AO25*90</f>
        <v>38.268441920519209</v>
      </c>
      <c r="AO57" s="635">
        <f>AO13/IS!AP25*90</f>
        <v>37.854353354394824</v>
      </c>
      <c r="AP57" s="634">
        <f>AP13/IS!AQ25*90</f>
        <v>36.354315894187728</v>
      </c>
      <c r="AQ57" s="634">
        <f>AQ13/IS!AR25*90</f>
        <v>36.948794081622836</v>
      </c>
      <c r="AR57" s="634">
        <f>AR13/IS!AS25*90</f>
        <v>37.379624866937519</v>
      </c>
      <c r="AS57" s="635">
        <f>AS13/IS!AT25*90</f>
        <v>35.588082264217107</v>
      </c>
      <c r="AT57" s="634">
        <f>AT13/IS!AU25*90</f>
        <v>37.734410516435204</v>
      </c>
      <c r="AU57" s="634">
        <f>AU13/IS!AV25*90</f>
        <v>39.00743679056572</v>
      </c>
      <c r="AV57" s="634">
        <f>AV13/IS!AW25*90</f>
        <v>36.681699877857078</v>
      </c>
      <c r="AW57" s="635">
        <f>AW13/IS!AX25*90</f>
        <v>37.678779107673968</v>
      </c>
      <c r="AX57" s="634">
        <f>AX13/IS!AY25*90</f>
        <v>35.24430010835659</v>
      </c>
      <c r="AY57" s="634">
        <f>AY13/IS!AZ25*90</f>
        <v>37.299649246513553</v>
      </c>
      <c r="AZ57" s="634">
        <f>AZ13/IS!BA25*90</f>
        <v>36.774336108109758</v>
      </c>
      <c r="BA57" s="635">
        <f>BA13/IS!BB25*90</f>
        <v>37.009583682292302</v>
      </c>
      <c r="BB57" s="634">
        <f>BB13/IS!BC25*90</f>
        <v>35.097929981681254</v>
      </c>
      <c r="BC57" s="634">
        <f>BC13/IS!BD25*90</f>
        <v>36.137762669962918</v>
      </c>
      <c r="BD57" s="634">
        <f>BD13/IS!BE25*90</f>
        <v>37.22025324274243</v>
      </c>
      <c r="BE57" s="634">
        <f>BE13/IS!BF25*90</f>
        <v>37.01477012689827</v>
      </c>
      <c r="BF57" s="636">
        <f ca="1">BF13/IS!BG25*90</f>
        <v>34.90331025164668</v>
      </c>
      <c r="BG57" s="1843">
        <f ca="1">+BF57</f>
        <v>34.90331025164668</v>
      </c>
      <c r="BH57" s="634">
        <f>BH13/IS!BI25*90</f>
        <v>38.812864234837036</v>
      </c>
      <c r="BI57" s="635">
        <f>BI13/IS!BJ25*90</f>
        <v>38.239845261121857</v>
      </c>
      <c r="BJ57" s="634">
        <f>BJ13/IS!BK25*90</f>
        <v>36.683297180043382</v>
      </c>
      <c r="BK57" s="634">
        <f>BK13/IS!BL25*90</f>
        <v>37.467476149176065</v>
      </c>
      <c r="BL57" s="634">
        <f>BL13/IS!BM25*90</f>
        <v>38.80770072194268</v>
      </c>
      <c r="BM57" s="634">
        <f>BM13/IS!BN25*90</f>
        <v>38.462041884816756</v>
      </c>
      <c r="BN57" s="636">
        <f>BN13/IS!BO25*90</f>
        <v>38.36915577221361</v>
      </c>
      <c r="BO57" s="634">
        <f>BO13/IS!BP25*90</f>
        <v>37.790055248618785</v>
      </c>
      <c r="BP57" s="634">
        <f>BP13/IS!BQ25*90</f>
        <v>38.093023255813954</v>
      </c>
      <c r="BQ57" s="2607">
        <f>BQ13/IS!BR25*90</f>
        <v>39.174372523117569</v>
      </c>
      <c r="BR57" s="2608">
        <f>BR13/IS!BS25*90</f>
        <v>37.423975319524018</v>
      </c>
      <c r="BS57" s="634">
        <f>BS13/IS!BT25*90</f>
        <v>39.370044052863435</v>
      </c>
      <c r="BT57" s="634">
        <f>BT13/IS!BU25*90</f>
        <v>39.446044759583422</v>
      </c>
      <c r="BU57" s="2607">
        <v>39</v>
      </c>
      <c r="BV57" s="2608">
        <f>BV13/IS!BW25*90</f>
        <v>39.894405751516516</v>
      </c>
      <c r="BW57" s="634">
        <f>BW13/IS!BX25*90</f>
        <v>39.816700610997962</v>
      </c>
      <c r="BX57" s="634">
        <f>BX13/IS!BY25*90</f>
        <v>38.557312252964429</v>
      </c>
      <c r="BY57" s="2607">
        <f>BY13/IS!BZ25*90</f>
        <v>39.068364611260051</v>
      </c>
      <c r="BZ57" s="2608">
        <f>BZ13/IS!CA25*90</f>
        <v>38.261758691206545</v>
      </c>
      <c r="CA57" s="634">
        <f>CA13/IS!CB25*90</f>
        <v>40.354706684856751</v>
      </c>
      <c r="CB57" s="634">
        <f>CB13/IS!CC25*90</f>
        <v>40.193975353719765</v>
      </c>
      <c r="CC57" s="2607">
        <f>CC13/IS!CD25*90</f>
        <v>42.324551177430635</v>
      </c>
      <c r="CD57" s="2608">
        <f ca="1">CD13/IS!CE25*90</f>
        <v>38.261758691206545</v>
      </c>
      <c r="CE57" s="634">
        <f>CE13/IS!CF25*90</f>
        <v>41.105134474327627</v>
      </c>
      <c r="CF57" s="634">
        <f>CF13/IS!CG25*90</f>
        <v>42.121963311849285</v>
      </c>
      <c r="CG57" s="635">
        <f>CG13/IS!CH25*90</f>
        <v>38.323064113238964</v>
      </c>
      <c r="CH57" s="3104">
        <v>36</v>
      </c>
      <c r="CI57" s="3104">
        <v>35</v>
      </c>
      <c r="CJ57" s="3104">
        <v>34</v>
      </c>
      <c r="CK57" s="2883">
        <v>33</v>
      </c>
      <c r="CL57" s="368"/>
    </row>
    <row r="58" spans="1:98">
      <c r="A58" s="637" t="s">
        <v>587</v>
      </c>
      <c r="B58" s="365"/>
      <c r="C58" s="365"/>
      <c r="D58" s="634"/>
      <c r="E58" s="634">
        <f>E15/(IS!E32+IS!E39)*360</f>
        <v>6.2634499334065081</v>
      </c>
      <c r="F58" s="634">
        <f>F15/(IS!F32+IS!F39)*360</f>
        <v>107.98103006891745</v>
      </c>
      <c r="G58" s="634">
        <f>G15/(IS!G32+IS!G39)*360</f>
        <v>27.363181782978053</v>
      </c>
      <c r="H58" s="634">
        <f>H15/(IS!H32+IS!H39)*360</f>
        <v>25.996274308396739</v>
      </c>
      <c r="I58" s="634">
        <f>I15/(IS!I32+IS!I39)*360</f>
        <v>19.266429576353357</v>
      </c>
      <c r="J58" s="634">
        <f>J15/(IS!J32+IS!J39)*360</f>
        <v>19.948073637582411</v>
      </c>
      <c r="K58" s="634">
        <f>K15/(IS!K32+IS!K39)*360</f>
        <v>13.786803976000716</v>
      </c>
      <c r="L58" s="634">
        <f>L15/(IS!L32+IS!L39)*360</f>
        <v>12.967919340054996</v>
      </c>
      <c r="M58" s="634">
        <f>M15/(IS!M32+IS!M39)*360</f>
        <v>18.53731343283582</v>
      </c>
      <c r="N58" s="634">
        <f>N15/(IS!N32+IS!N39)*360</f>
        <v>20.155678514489356</v>
      </c>
      <c r="O58" s="634">
        <f>O15/(IS!O32+IS!O39)*360</f>
        <v>19.025056947608199</v>
      </c>
      <c r="P58" s="634">
        <f>P15/(IS!P32+IS!P39)*360</f>
        <v>9.2248768922122935</v>
      </c>
      <c r="Q58" s="634">
        <f>Q15/(IS!Q32+IS!Q39)*360</f>
        <v>87.297032350057933</v>
      </c>
      <c r="R58" s="634">
        <f ca="1">R15/(IS!R32+IS!R39)*360</f>
        <v>25.017249876786593</v>
      </c>
      <c r="S58" s="634">
        <f ca="1">S15/(IS!S32+IS!S39)*360</f>
        <v>18.20745099891591</v>
      </c>
      <c r="T58" s="2888">
        <f t="shared" ca="1" si="74"/>
        <v>18.20745099891591</v>
      </c>
      <c r="U58" s="2888">
        <f t="shared" ca="1" si="74"/>
        <v>18.20745099891591</v>
      </c>
      <c r="V58" s="2888">
        <f t="shared" ca="1" si="74"/>
        <v>18.20745099891591</v>
      </c>
      <c r="W58" s="2888">
        <f t="shared" ca="1" si="74"/>
        <v>18.20745099891591</v>
      </c>
      <c r="X58" s="2888">
        <f t="shared" ca="1" si="74"/>
        <v>18.20745099891591</v>
      </c>
      <c r="Y58" s="2544"/>
      <c r="Z58" s="634"/>
      <c r="AA58" s="634"/>
      <c r="AB58" s="634"/>
      <c r="AC58" s="635"/>
      <c r="AD58" s="634">
        <f>AD15/(IS!AE32+IS!AE39)*90</f>
        <v>8.3040737405308072</v>
      </c>
      <c r="AE58" s="634">
        <f>AE15/(IS!AF32+IS!AF39)*90</f>
        <v>6.6173429529892926</v>
      </c>
      <c r="AF58" s="634">
        <f>AF15/(IS!AG32+IS!AG39)*90</f>
        <v>5.7453209561662426</v>
      </c>
      <c r="AG58" s="635">
        <f>AG15/(IS!AH32+IS!AH39)*90</f>
        <v>6.2812114968292523</v>
      </c>
      <c r="AH58" s="634">
        <f>AH15/(IS!AI32+IS!AI39)*90</f>
        <v>7.4145056542077299</v>
      </c>
      <c r="AI58" s="634">
        <f>AI15/(IS!AJ32+IS!AJ39)*90</f>
        <v>7.0739350314914207</v>
      </c>
      <c r="AJ58" s="634">
        <f>AJ15/(IS!AK32+IS!AK39)*90</f>
        <v>5.9165023509783099</v>
      </c>
      <c r="AK58" s="635">
        <f>AK15/(IS!AL32+IS!AL39)*90</f>
        <v>104.1743335201345</v>
      </c>
      <c r="AL58" s="634">
        <f>AL15/(IS!AM32+IS!AM39)*90</f>
        <v>27.079440794932395</v>
      </c>
      <c r="AM58" s="634">
        <f>AM15/(IS!AN32+IS!AN39)*90</f>
        <v>23.146869273968488</v>
      </c>
      <c r="AN58" s="634">
        <f>AN15/(IS!AO32+IS!AO39)*90</f>
        <v>24.838495506901769</v>
      </c>
      <c r="AO58" s="635">
        <f>AO15/(IS!AP32+IS!AP39)*90</f>
        <v>27.507687186965068</v>
      </c>
      <c r="AP58" s="634">
        <f>AP15/(IS!AQ32+IS!AQ39)*90</f>
        <v>29.154326793637697</v>
      </c>
      <c r="AQ58" s="634">
        <f>AQ15/(IS!AR32+IS!AR39)*90</f>
        <v>28.123311365080252</v>
      </c>
      <c r="AR58" s="634">
        <f>AR15/(IS!AS32+IS!AS39)*90</f>
        <v>25.992231245518912</v>
      </c>
      <c r="AS58" s="635">
        <f>AS15/(IS!AT32+IS!AT39)*90</f>
        <v>25.901981712801554</v>
      </c>
      <c r="AT58" s="634">
        <f>AT15/(IS!AU32+IS!AU39)*90</f>
        <v>20.3104624962941</v>
      </c>
      <c r="AU58" s="634">
        <f>AU15/(IS!AV32+IS!AV39)*90</f>
        <v>18.115305819477435</v>
      </c>
      <c r="AV58" s="634">
        <f>AV15/(IS!AW32+IS!AW39)*90</f>
        <v>17.791910828025479</v>
      </c>
      <c r="AW58" s="635">
        <f>AW15/(IS!AX32+IS!AX39)*90</f>
        <v>20.536877171707602</v>
      </c>
      <c r="AX58" s="634">
        <f>AX15/(IS!AY32+IS!AY39)*90</f>
        <v>19.198272816539479</v>
      </c>
      <c r="AY58" s="634">
        <f>AY15/(IS!AZ32+IS!AZ39)*90</f>
        <v>19.45464642234554</v>
      </c>
      <c r="AZ58" s="634">
        <f>AZ15/(IS!BA32+IS!BA39)*90</f>
        <v>19.122375593440609</v>
      </c>
      <c r="BA58" s="635">
        <f>BA15/(IS!BB32+IS!BB39)*90</f>
        <v>20.670596313789918</v>
      </c>
      <c r="BB58" s="634">
        <f>BB15/(IS!BC32+IS!BC39)*90</f>
        <v>17.446991812032753</v>
      </c>
      <c r="BC58" s="634">
        <f>BC15/(IS!BD32+IS!BD39)*90</f>
        <v>16.480540830945557</v>
      </c>
      <c r="BD58" s="634">
        <f>BD15/(IS!BE32+IS!BE39)*90</f>
        <v>18.012700179533216</v>
      </c>
      <c r="BE58" s="634">
        <f>BE15/(IS!BF32+IS!BF39)*90</f>
        <v>13.84009708737864</v>
      </c>
      <c r="BF58" s="636">
        <f>BF15/(IS!BG32+IS!BG39)*90</f>
        <v>11.342557965594615</v>
      </c>
      <c r="BG58" s="1843">
        <v>12.25</v>
      </c>
      <c r="BH58" s="634">
        <f>BH15/(IS!BI32+IS!BI39)*90</f>
        <v>12.420591456736036</v>
      </c>
      <c r="BI58" s="635">
        <f>BI15/(IS!BJ32+IS!BJ39)*90</f>
        <v>12.600641254007838</v>
      </c>
      <c r="BJ58" s="634">
        <f>BJ15/(IS!BK32+IS!BK39)*90</f>
        <v>16.237809452363091</v>
      </c>
      <c r="BK58" s="634">
        <f>BK15/(IS!BL32+IS!BL39)*90</f>
        <v>20.840707964601769</v>
      </c>
      <c r="BL58" s="634">
        <f>BL15/(IS!BM32+IS!BM39)*90</f>
        <v>21.860029940119759</v>
      </c>
      <c r="BM58" s="634">
        <f>BM15/(IS!BN32+IS!BN39)*90</f>
        <v>18.606741573033705</v>
      </c>
      <c r="BN58" s="636">
        <f>BN15/(IS!BO32+IS!BO39)*90</f>
        <v>20.651162790697676</v>
      </c>
      <c r="BO58" s="634">
        <f>BO15/(IS!BP32+IS!BP39)*90</f>
        <v>21.192350956130483</v>
      </c>
      <c r="BP58" s="634">
        <f>BP15/(IS!BQ32+IS!BQ39)*90</f>
        <v>20.955719557195572</v>
      </c>
      <c r="BQ58" s="2607">
        <f>BQ15/(IS!BR32+IS!BR39)*90</f>
        <v>19.855875831485587</v>
      </c>
      <c r="BR58" s="2608">
        <f>BR15/(IS!BS32+IS!BS39)*90</f>
        <v>20.683636363636364</v>
      </c>
      <c r="BS58" s="634">
        <f>BS15/(IS!BT32+IS!BT39)*90</f>
        <v>20.718475073313783</v>
      </c>
      <c r="BT58" s="634">
        <f>BT15/(IS!BU32+IS!BU39)*90</f>
        <v>19.216040462427745</v>
      </c>
      <c r="BU58" s="2607">
        <f>BU15/(IS!BV32+IS!BV39)*90</f>
        <v>19.127885672407476</v>
      </c>
      <c r="BV58" s="2608">
        <f>BV15/(IS!BW32+IS!BW39)*90</f>
        <v>20.528052805280527</v>
      </c>
      <c r="BW58" s="634">
        <f>BW15/(IS!BX32+IS!BX39)*90</f>
        <v>19.27422238112263</v>
      </c>
      <c r="BX58" s="634">
        <f>BX15/(IS!BY32+IS!BY39)*90</f>
        <v>19.244060475161987</v>
      </c>
      <c r="BY58" s="2607">
        <f>BY15/(IS!BZ32+IS!BZ39)*90</f>
        <v>9.4932432432432421</v>
      </c>
      <c r="BZ58" s="2608">
        <f>BZ15/(IS!CA32+IS!CA39)*90</f>
        <v>12.067957617829739</v>
      </c>
      <c r="CA58" s="634">
        <f>CA15/(IS!CB32+IS!CB39)*90</f>
        <v>13.871201157742403</v>
      </c>
      <c r="CB58" s="634">
        <f>CB15/(IS!CC32+IS!CC39)*90</f>
        <v>13.818897637795276</v>
      </c>
      <c r="CC58" s="2607">
        <f>CC15/(IS!CD32+IS!CD39)*90</f>
        <v>83.694463431305536</v>
      </c>
      <c r="CD58" s="2608">
        <f ca="1">CD15/(IS!CE32+IS!CE39)*90</f>
        <v>92.155766370908708</v>
      </c>
      <c r="CE58" s="634">
        <f>CE15/(IS!CF32+IS!CF39)*90</f>
        <v>16.092285508291276</v>
      </c>
      <c r="CF58" s="634">
        <f>CF15/(IS!CG32+IS!CG39)*90</f>
        <v>15.15358361774744</v>
      </c>
      <c r="CG58" s="635">
        <f ca="1">CG15/(IS!CH32+IS!CH39)*90</f>
        <v>18.730627306273064</v>
      </c>
      <c r="CH58" s="3104">
        <f ca="1">CG58</f>
        <v>18.730627306273064</v>
      </c>
      <c r="CI58" s="3104">
        <f t="shared" ref="CI58:CI61" ca="1" si="75">CH58</f>
        <v>18.730627306273064</v>
      </c>
      <c r="CJ58" s="3104">
        <f t="shared" ref="CJ58:CJ61" ca="1" si="76">CI58</f>
        <v>18.730627306273064</v>
      </c>
      <c r="CK58" s="2883">
        <f t="shared" ref="CK58:CK61" ca="1" si="77">CJ58</f>
        <v>18.730627306273064</v>
      </c>
      <c r="CL58" s="368"/>
    </row>
    <row r="59" spans="1:98">
      <c r="A59" s="637" t="s">
        <v>588</v>
      </c>
      <c r="B59" s="365"/>
      <c r="C59" s="365"/>
      <c r="D59" s="634"/>
      <c r="E59" s="634">
        <f>E24/(IS!E32+IS!E39)*360</f>
        <v>125.51919931627791</v>
      </c>
      <c r="F59" s="634">
        <f>F24/(IS!F32+IS!F39)*360</f>
        <v>209.28344944048661</v>
      </c>
      <c r="G59" s="634">
        <f>G24/(IS!G32+IS!G39)*360</f>
        <v>52.303903336545439</v>
      </c>
      <c r="H59" s="634">
        <f>H24/(IS!H32+IS!H39)*360</f>
        <v>70.634315438020238</v>
      </c>
      <c r="I59" s="634">
        <f>I24/(IS!I32+IS!I39)*360</f>
        <v>84.527801299436732</v>
      </c>
      <c r="J59" s="634">
        <f>J24/(IS!J32+IS!J39)*360</f>
        <v>82.841227371028339</v>
      </c>
      <c r="K59" s="634">
        <f>K24/(IS!K32+IS!K39)*360</f>
        <v>187.0762066803976</v>
      </c>
      <c r="L59" s="634">
        <f>L24/(IS!L32+IS!L39)*360</f>
        <v>374.55178735105409</v>
      </c>
      <c r="M59" s="634">
        <f>M24/(IS!M32+IS!M39)*360</f>
        <v>323.83208955223881</v>
      </c>
      <c r="N59" s="634">
        <f>N24/(IS!N32+IS!N39)*360</f>
        <v>288.9993435243365</v>
      </c>
      <c r="O59" s="634">
        <f>O24/(IS!O32+IS!O39)*360</f>
        <v>242.17585421412301</v>
      </c>
      <c r="P59" s="634">
        <f>P24/(IS!P32+IS!P39)*360</f>
        <v>201.66697063651284</v>
      </c>
      <c r="Q59" s="634">
        <f>Q24/(IS!Q32+IS!Q39)*360</f>
        <v>165.67507352285892</v>
      </c>
      <c r="R59" s="634">
        <f>R24/(IS!R32+IS!R39)*360</f>
        <v>415.74174470182356</v>
      </c>
      <c r="S59" s="634">
        <f>S24/(IS!S32+IS!S39)*360</f>
        <v>327.72992859363626</v>
      </c>
      <c r="T59" s="634">
        <f>T24/(IS!T32+IS!T39)*360</f>
        <v>343.32215964995777</v>
      </c>
      <c r="U59" s="634">
        <f>U24/(IS!U32+IS!U39)*360</f>
        <v>355.30560098665779</v>
      </c>
      <c r="V59" s="634">
        <f>V24/(IS!V32+IS!V39)*360</f>
        <v>361.17818963558534</v>
      </c>
      <c r="W59" s="634">
        <f>W24/(IS!W32+IS!W39)*360</f>
        <v>365.93079847165336</v>
      </c>
      <c r="X59" s="634">
        <f>X24/(IS!X32+IS!X39)*360</f>
        <v>370.40818349366219</v>
      </c>
      <c r="Y59" s="2544"/>
      <c r="Z59" s="634"/>
      <c r="AA59" s="634"/>
      <c r="AB59" s="634"/>
      <c r="AC59" s="635"/>
      <c r="AD59" s="634">
        <f>AD24/(IS!AE32+IS!AE39)*90</f>
        <v>180.49743073581607</v>
      </c>
      <c r="AE59" s="634">
        <f>AE24/(IS!AF32+IS!AF39)*90</f>
        <v>182.20631122014328</v>
      </c>
      <c r="AF59" s="634">
        <f>AF24/(IS!AG32+IS!AG39)*90</f>
        <v>178.60135114807471</v>
      </c>
      <c r="AG59" s="635">
        <f>AG24/(IS!AH32+IS!AH39)*90</f>
        <v>125.87514009063254</v>
      </c>
      <c r="AH59" s="634">
        <f>AH24/(IS!AI32+IS!AI39)*90</f>
        <v>126.45879258123227</v>
      </c>
      <c r="AI59" s="634">
        <f>AI24/(IS!AJ32+IS!AJ39)*90</f>
        <v>122.43771524308895</v>
      </c>
      <c r="AJ59" s="634">
        <f>AJ24/(IS!AK32+IS!AK39)*90</f>
        <v>108.76507280448961</v>
      </c>
      <c r="AK59" s="635">
        <f>AK24/(IS!AL32+IS!AL39)*90</f>
        <v>201.90549995997119</v>
      </c>
      <c r="AL59" s="634">
        <f>AL24/(IS!AM32+IS!AM39)*90</f>
        <v>54.994314388834923</v>
      </c>
      <c r="AM59" s="634">
        <f>AM24/(IS!AN32+IS!AN39)*90</f>
        <v>57.531029798335595</v>
      </c>
      <c r="AN59" s="634">
        <f>AN24/(IS!AO32+IS!AO39)*90</f>
        <v>108.07398943890313</v>
      </c>
      <c r="AO59" s="635">
        <f>AO24/(IS!AP32+IS!AP39)*90</f>
        <v>52.580121093007037</v>
      </c>
      <c r="AP59" s="634">
        <f>AP24/(IS!AQ32+IS!AQ39)*90</f>
        <v>51.101890928925833</v>
      </c>
      <c r="AQ59" s="634">
        <f>AQ24/(IS!AR32+IS!AR39)*90</f>
        <v>63.622580059621448</v>
      </c>
      <c r="AR59" s="634">
        <f>AR24/(IS!AS32+IS!AS39)*90</f>
        <v>64.295997409857435</v>
      </c>
      <c r="AS59" s="635">
        <f>AS24/(IS!AT32+IS!AT39)*90</f>
        <v>70.378113612261359</v>
      </c>
      <c r="AT59" s="634">
        <f>AT24/(IS!AU32+IS!AU39)*90</f>
        <v>101.52256151793655</v>
      </c>
      <c r="AU59" s="634">
        <f>AU24/(IS!AV32+IS!AV39)*90</f>
        <v>104.29313836104514</v>
      </c>
      <c r="AV59" s="634">
        <f>AV24/(IS!AW32+IS!AW39)*90</f>
        <v>134.23763173132602</v>
      </c>
      <c r="AW59" s="635">
        <f>AW24/(IS!AX32+IS!AX39)*90</f>
        <v>90.101648881100388</v>
      </c>
      <c r="AX59" s="634">
        <f>AX24/(IS!AY32+IS!AY39)*90</f>
        <v>100.22177476227382</v>
      </c>
      <c r="AY59" s="634">
        <f>AY24/(IS!AZ32+IS!AZ39)*90</f>
        <v>86.612934851876673</v>
      </c>
      <c r="AZ59" s="634">
        <f>AZ24/(IS!BA32+IS!BA39)*90</f>
        <v>83.312680647899128</v>
      </c>
      <c r="BA59" s="635">
        <f>BA24/(IS!BB32+IS!BB39)*90</f>
        <v>85.841750949789514</v>
      </c>
      <c r="BB59" s="634">
        <f>BB24/(IS!BC32+IS!BC39)*90</f>
        <v>85.017864008543967</v>
      </c>
      <c r="BC59" s="634">
        <f>BC24/(IS!BD32+IS!BD39)*90</f>
        <v>82.644724212034376</v>
      </c>
      <c r="BD59" s="634">
        <f>BD24/(IS!BE32+IS!BE39)*90</f>
        <v>81.265637342908434</v>
      </c>
      <c r="BE59" s="634">
        <f>BE24/(IS!BF32+IS!BF39)*90</f>
        <v>187.79935275080905</v>
      </c>
      <c r="BF59" s="636">
        <f>BF24/(IS!BG32+IS!BG39)*90</f>
        <v>191.54450261780107</v>
      </c>
      <c r="BG59" s="1843">
        <v>206</v>
      </c>
      <c r="BH59" s="634">
        <f>BH24/(IS!BI32+IS!BI39)*90</f>
        <v>392.1686746987952</v>
      </c>
      <c r="BI59" s="635">
        <f>BI24/(IS!BJ32+IS!BJ39)*90</f>
        <v>363.94371214820092</v>
      </c>
      <c r="BJ59" s="634">
        <f>BJ24/(IS!BK32+IS!BK39)*90</f>
        <v>369.28357089272316</v>
      </c>
      <c r="BK59" s="634">
        <f>BK24/(IS!BL32+IS!BL39)*90</f>
        <v>347.02433628318585</v>
      </c>
      <c r="BL59" s="634">
        <f>BL24/(IS!BM32+IS!BM39)*90</f>
        <v>338.6452095808383</v>
      </c>
      <c r="BM59" s="634">
        <f>BM24/(IS!BN32+IS!BN39)*90</f>
        <v>325.04494382022472</v>
      </c>
      <c r="BN59" s="636">
        <f>BN24/(IS!BO32+IS!BO39)*90</f>
        <v>324.27906976744185</v>
      </c>
      <c r="BO59" s="634">
        <f>BO24/(IS!BP32+IS!BP39)*90</f>
        <v>306.58042744656916</v>
      </c>
      <c r="BP59" s="634">
        <f>BP24/(IS!BQ32+IS!BQ39)*90</f>
        <v>294.57564575645756</v>
      </c>
      <c r="BQ59" s="2607">
        <f>BQ24/(IS!BR32+IS!BR39)*90</f>
        <v>284.70066518847011</v>
      </c>
      <c r="BR59" s="2608">
        <f>BR24/(IS!BS32+IS!BS39)*90</f>
        <v>270.0327272727273</v>
      </c>
      <c r="BS59" s="634">
        <f>BS24/(IS!BT32+IS!BT39)*90</f>
        <v>260.86143695014664</v>
      </c>
      <c r="BT59" s="634">
        <f>BT24/(IS!BU32+IS!BU39)*90</f>
        <v>248.44291907514452</v>
      </c>
      <c r="BU59" s="2607">
        <f>BU24/(IS!BV32+IS!BV39)*90</f>
        <v>243.48479296445583</v>
      </c>
      <c r="BV59" s="2608">
        <f>BV24/(IS!BW32+IS!BW39)*90</f>
        <v>234.85148514851488</v>
      </c>
      <c r="BW59" s="634">
        <f>BW24/(IS!BX32+IS!BX39)*90</f>
        <v>219.61029674651414</v>
      </c>
      <c r="BX59" s="634">
        <f>BX24/(IS!BY32+IS!BY39)*90</f>
        <v>213.14254859611231</v>
      </c>
      <c r="BY59" s="2607">
        <f>BY24/(IS!BZ32+IS!BZ39)*90</f>
        <v>207.5337837837838</v>
      </c>
      <c r="BZ59" s="2608">
        <f>BZ24/(IS!CA32+IS!CA39)*90</f>
        <v>193.51479722323711</v>
      </c>
      <c r="CA59" s="634">
        <f>CA24/(IS!CB32+IS!CB39)*90</f>
        <v>184.5260492040521</v>
      </c>
      <c r="CB59" s="634">
        <f>CB24/(IS!CC32+IS!CC39)*90</f>
        <v>175.94130279169647</v>
      </c>
      <c r="CC59" s="2607">
        <f>CC24/(IS!CD32+IS!CD39)*90</f>
        <v>158.838004101162</v>
      </c>
      <c r="CD59" s="2608">
        <f>CD24/(IS!CE32+IS!CE39)*90</f>
        <v>165.72275759822091</v>
      </c>
      <c r="CE59" s="634">
        <f>CE24/(IS!CF32+IS!CF39)*90</f>
        <v>155.08291276135543</v>
      </c>
      <c r="CF59" s="634">
        <f>CF24/(IS!CG32+IS!CG39)*90</f>
        <v>155.83617747440272</v>
      </c>
      <c r="CG59" s="635">
        <f>CG24/(IS!CH32+IS!CH39)*90</f>
        <v>311.26937269372695</v>
      </c>
      <c r="CH59" s="634">
        <f>CG59</f>
        <v>311.26937269372695</v>
      </c>
      <c r="CI59" s="634">
        <f t="shared" si="75"/>
        <v>311.26937269372695</v>
      </c>
      <c r="CJ59" s="634">
        <f t="shared" si="76"/>
        <v>311.26937269372695</v>
      </c>
      <c r="CK59" s="635">
        <f t="shared" si="77"/>
        <v>311.26937269372695</v>
      </c>
      <c r="CL59" s="368"/>
    </row>
    <row r="60" spans="1:98">
      <c r="A60" s="637" t="s">
        <v>837</v>
      </c>
      <c r="B60" s="637"/>
      <c r="C60" s="637"/>
      <c r="D60" s="638"/>
      <c r="E60" s="634">
        <f>E30/IS!E32*360</f>
        <v>67.489545453943734</v>
      </c>
      <c r="F60" s="634">
        <f>F30/IS!F32*360</f>
        <v>278.99342708277169</v>
      </c>
      <c r="G60" s="634">
        <f>G30/IS!G32*360</f>
        <v>87.11432771534237</v>
      </c>
      <c r="H60" s="634">
        <f>H30/IS!H32*360</f>
        <v>68.778771858479061</v>
      </c>
      <c r="I60" s="634">
        <f>I30/IS!I32*360</f>
        <v>59.636140596350025</v>
      </c>
      <c r="J60" s="634">
        <f>J30/IS!J32*360</f>
        <v>63.024115784955086</v>
      </c>
      <c r="K60" s="634">
        <f>K30/IS!K32*360</f>
        <v>51.542262678803638</v>
      </c>
      <c r="L60" s="634">
        <f>L30/IS!L32*360</f>
        <v>65.158371040723978</v>
      </c>
      <c r="M60" s="634">
        <f>M30/IS!M32*360</f>
        <v>57.136094674556212</v>
      </c>
      <c r="N60" s="634">
        <f>N30/IS!N32*360</f>
        <v>53.384943940202881</v>
      </c>
      <c r="O60" s="634">
        <f>O30/IS!O32*360</f>
        <v>56.61364802462802</v>
      </c>
      <c r="P60" s="634">
        <f>P30/IS!P32*360</f>
        <v>44.884080370942819</v>
      </c>
      <c r="Q60" s="634">
        <f>Q30/IS!Q32*360</f>
        <v>54.597375868278874</v>
      </c>
      <c r="R60" s="634">
        <f>R30/IS!R32*360</f>
        <v>65.527332318857546</v>
      </c>
      <c r="S60" s="634">
        <f>S30/IS!S32*360</f>
        <v>51.673236952673946</v>
      </c>
      <c r="T60" s="2888">
        <f>+S60</f>
        <v>51.673236952673946</v>
      </c>
      <c r="U60" s="2888">
        <f>+T60</f>
        <v>51.673236952673946</v>
      </c>
      <c r="V60" s="2888">
        <f>+U60</f>
        <v>51.673236952673946</v>
      </c>
      <c r="W60" s="2888">
        <f>+V60</f>
        <v>51.673236952673946</v>
      </c>
      <c r="X60" s="2888">
        <f>+W60</f>
        <v>51.673236952673946</v>
      </c>
      <c r="Y60" s="2544"/>
      <c r="Z60" s="634"/>
      <c r="AA60" s="634"/>
      <c r="AB60" s="634"/>
      <c r="AC60" s="635"/>
      <c r="AD60" s="634">
        <f>AD30/IS!AE32*90</f>
        <v>63.371155996452742</v>
      </c>
      <c r="AE60" s="634">
        <f>AE30/IS!AF32*90</f>
        <v>65.236823567756247</v>
      </c>
      <c r="AF60" s="634">
        <f>AF30/IS!AG32*90</f>
        <v>68.31376963350786</v>
      </c>
      <c r="AG60" s="635">
        <f>AG30/IS!AH32*90</f>
        <v>66.163581432531473</v>
      </c>
      <c r="AH60" s="634">
        <f>AH30/IS!AI32*90</f>
        <v>66.341793711229059</v>
      </c>
      <c r="AI60" s="634">
        <f>AI30/IS!AJ32*90</f>
        <v>65.295756723609742</v>
      </c>
      <c r="AJ60" s="634">
        <f>AJ30/IS!AK32*90</f>
        <v>44.981532800604967</v>
      </c>
      <c r="AK60" s="635">
        <f>AK30/IS!AL32*90</f>
        <v>268.06173147655397</v>
      </c>
      <c r="AL60" s="634">
        <f>AL30/IS!AM32*90</f>
        <v>85.597125378280751</v>
      </c>
      <c r="AM60" s="634">
        <f>AM30/IS!AN32*90</f>
        <v>78.674557883159807</v>
      </c>
      <c r="AN60" s="634">
        <f>AN30/IS!AO32*90</f>
        <v>79.635608348649555</v>
      </c>
      <c r="AO60" s="635">
        <f>AO30/IS!AP32*90</f>
        <v>85.822279727113155</v>
      </c>
      <c r="AP60" s="634">
        <f>AP30/IS!AQ32*90</f>
        <v>79.624335613871978</v>
      </c>
      <c r="AQ60" s="634">
        <f>AQ30/IS!AR32*90</f>
        <v>78.670803746327124</v>
      </c>
      <c r="AR60" s="634">
        <f>AR30/IS!AS32*90</f>
        <v>65.909642721944479</v>
      </c>
      <c r="AS60" s="635">
        <f>AS30/IS!AT32*90</f>
        <v>68.741912369069951</v>
      </c>
      <c r="AT60" s="634">
        <f>AT30/IS!AU32*90</f>
        <v>67.258386763185115</v>
      </c>
      <c r="AU60" s="634">
        <f>AU30/IS!AV32*90</f>
        <v>65.486350710900481</v>
      </c>
      <c r="AV60" s="634">
        <f>AV30/IS!AW32*90</f>
        <v>59.350909090909099</v>
      </c>
      <c r="AW60" s="635">
        <f>AW30/IS!AX32*90</f>
        <v>64.306276201241417</v>
      </c>
      <c r="AX60" s="634">
        <f>AX30/IS!AY32*90</f>
        <v>63.313331515390175</v>
      </c>
      <c r="AY60" s="634">
        <f>AY30/IS!AZ32*90</f>
        <v>65.2943407053464</v>
      </c>
      <c r="AZ60" s="634">
        <f>AZ30/IS!BA32*90</f>
        <v>57.625661769605976</v>
      </c>
      <c r="BA60" s="635">
        <f>BA30/IS!BB32*90</f>
        <v>64.397599616471723</v>
      </c>
      <c r="BB60" s="634">
        <f>BB30/IS!BC32*90</f>
        <v>46.727275104602512</v>
      </c>
      <c r="BC60" s="634">
        <f>BC30/IS!BD32*90</f>
        <v>44.889083544303794</v>
      </c>
      <c r="BD60" s="634">
        <f>BD30/IS!BE32*90</f>
        <v>49.763801261829656</v>
      </c>
      <c r="BE60" s="634">
        <f>BE30/IS!BF32*90</f>
        <v>52.125197264597581</v>
      </c>
      <c r="BF60" s="636">
        <f>BF30/IS!BG32*90</f>
        <v>58.359759431383267</v>
      </c>
      <c r="BG60" s="1843">
        <v>58.45</v>
      </c>
      <c r="BH60" s="634">
        <f>BH30/IS!BI32*90</f>
        <v>61.445783132530124</v>
      </c>
      <c r="BI60" s="635">
        <f>BI30/IS!BJ32*90</f>
        <v>64.351378958120534</v>
      </c>
      <c r="BJ60" s="634">
        <f>BJ30/IS!BK32*90</f>
        <v>49.512064343163537</v>
      </c>
      <c r="BK60" s="634">
        <f>BK30/IS!BL32*90</f>
        <v>53.631108775617442</v>
      </c>
      <c r="BL60" s="634">
        <f>BL30/IS!BM32*90</f>
        <v>61.268695203713257</v>
      </c>
      <c r="BM60" s="634">
        <f>BM30/IS!BN32*90</f>
        <v>57.233930453108535</v>
      </c>
      <c r="BN60" s="636">
        <f>BN30/IS!BO32*90</f>
        <v>54.88294314381271</v>
      </c>
      <c r="BO60" s="634">
        <f>BO30/IS!BP32*90</f>
        <v>61.878009630818624</v>
      </c>
      <c r="BP60" s="634">
        <f>BP30/IS!BQ32*90</f>
        <v>54.422976501305484</v>
      </c>
      <c r="BQ60" s="2607">
        <f>BQ30/IS!BR32*90</f>
        <v>52.241379310344826</v>
      </c>
      <c r="BR60" s="2608">
        <f>BR30/IS!BS32*90</f>
        <v>55.137234593474879</v>
      </c>
      <c r="BS60" s="634">
        <f>BS30/IS!BT32*90</f>
        <v>53.052147239263803</v>
      </c>
      <c r="BT60" s="634">
        <f>BT30/IS!BU32*90</f>
        <v>48.763304612265586</v>
      </c>
      <c r="BU60" s="2607">
        <f>BU30/IS!BV32*90</f>
        <v>56.993801652892557</v>
      </c>
      <c r="BV60" s="2608">
        <f>BV30/IS!BW32*90</f>
        <v>50.377358490566039</v>
      </c>
      <c r="BW60" s="634">
        <f>BW30/IS!BX32*90</f>
        <v>48.266871165644176</v>
      </c>
      <c r="BX60" s="634">
        <f>BX30/IS!BY32*90</f>
        <v>49.210261569416502</v>
      </c>
      <c r="BY60" s="2607">
        <f>BY30/IS!BZ32*90</f>
        <v>45.56485355648536</v>
      </c>
      <c r="BZ60" s="2608">
        <f>BZ30/IS!CA32*90</f>
        <v>49.215789473684211</v>
      </c>
      <c r="CA60" s="634">
        <f>CA30/IS!CB32*90</f>
        <v>49.271421241662395</v>
      </c>
      <c r="CB60" s="634">
        <f>CB30/IS!CC32*90</f>
        <v>46.713426853707411</v>
      </c>
      <c r="CC60" s="2607">
        <f>CC30/IS!CD32*90</f>
        <v>55.007776049766719</v>
      </c>
      <c r="CD60" s="2608">
        <f>CD30/IS!CE32*90</f>
        <v>49.385593220338983</v>
      </c>
      <c r="CE60" s="634">
        <f>CE30/IS!CF32*90</f>
        <v>44.952380952380949</v>
      </c>
      <c r="CF60" s="634">
        <f>CF30/IS!CG32*90</f>
        <v>43.855734302023876</v>
      </c>
      <c r="CG60" s="635">
        <f>CG30/IS!CH32*90</f>
        <v>49.312896405919666</v>
      </c>
      <c r="CH60" s="3104">
        <v>50</v>
      </c>
      <c r="CI60" s="3104">
        <v>51</v>
      </c>
      <c r="CJ60" s="3104">
        <v>52</v>
      </c>
      <c r="CK60" s="2883">
        <v>53</v>
      </c>
      <c r="CL60" s="368"/>
    </row>
    <row r="61" spans="1:98">
      <c r="A61" s="637" t="s">
        <v>840</v>
      </c>
      <c r="B61" s="637"/>
      <c r="C61" s="637"/>
      <c r="D61" s="638"/>
      <c r="E61" s="638">
        <f>E31/(IS!F32+IS!F39)*360</f>
        <v>89.736138714509167</v>
      </c>
      <c r="F61" s="638">
        <f>F31/(IS!G32+IS!G39)*360</f>
        <v>78.206309043146788</v>
      </c>
      <c r="G61" s="638">
        <f>G31/(IS!H32+IS!H39)*360</f>
        <v>80.023290408568712</v>
      </c>
      <c r="H61" s="638">
        <f>H31/(IS!I32+IS!I39)*360</f>
        <v>28.33402133872886</v>
      </c>
      <c r="I61" s="638">
        <f>H31/(IS!I32+IS!I39)*360</f>
        <v>28.33402133872886</v>
      </c>
      <c r="J61" s="638">
        <f>I31/(IS!J32+IS!J39)*360</f>
        <v>78.340520574513647</v>
      </c>
      <c r="K61" s="638">
        <f>J31/(IS!K32+IS!K39)*360</f>
        <v>77.127203367063672</v>
      </c>
      <c r="L61" s="638">
        <f>K31/(IS!L32+IS!L39)*360</f>
        <v>83.813015582034822</v>
      </c>
      <c r="M61" s="638">
        <f>L31/(IS!M32+IS!M39)*360</f>
        <v>71.764925373134332</v>
      </c>
      <c r="N61" s="638">
        <f>M31/(IS!N32+IS!N39)*360</f>
        <v>73.701584919816185</v>
      </c>
      <c r="O61" s="638">
        <f>N31/(IS!O32+IS!O39)*360</f>
        <v>82.430979498861049</v>
      </c>
      <c r="P61" s="638">
        <f>O31/(IS!P32+IS!P39)*360</f>
        <v>36.341418931242018</v>
      </c>
      <c r="Q61" s="638">
        <f>P31/(IS!Q32+IS!Q39)*360</f>
        <v>34.392656625969167</v>
      </c>
      <c r="R61" s="638">
        <f>R31/(IS!R32+IS!R39)*360</f>
        <v>47.225234105470676</v>
      </c>
      <c r="S61" s="638">
        <f>S31/(IS!S32+IS!S39)*360</f>
        <v>34.370330077149774</v>
      </c>
      <c r="T61" s="2888">
        <v>39</v>
      </c>
      <c r="U61" s="2888">
        <f>+T61</f>
        <v>39</v>
      </c>
      <c r="V61" s="2888">
        <f>+U61</f>
        <v>39</v>
      </c>
      <c r="W61" s="2888">
        <f>+V61</f>
        <v>39</v>
      </c>
      <c r="X61" s="2888">
        <f>+W61</f>
        <v>39</v>
      </c>
      <c r="Y61" s="2544"/>
      <c r="Z61" s="634"/>
      <c r="AA61" s="634"/>
      <c r="AB61" s="634"/>
      <c r="AC61" s="639">
        <f>AC31/(IS!AD32+IS!AD39)*90</f>
        <v>91.44275811046812</v>
      </c>
      <c r="AD61" s="638">
        <f>AD31/(IS!AE32+IS!AE39)*90</f>
        <v>98.642580918578176</v>
      </c>
      <c r="AE61" s="638">
        <f>AE31/(IS!AF32+IS!AF39)*90</f>
        <v>87.34733627201804</v>
      </c>
      <c r="AF61" s="638">
        <f>AF31/(IS!AG32+IS!AG39)*90</f>
        <v>82.41859516702155</v>
      </c>
      <c r="AG61" s="639">
        <f>AG31/(IS!AH32+IS!AH39)*90</f>
        <v>94.093813736887142</v>
      </c>
      <c r="AH61" s="638">
        <f>AH31/(IS!AI32+IS!AI39)*90</f>
        <v>102.10367270224666</v>
      </c>
      <c r="AI61" s="638">
        <f>AI31/(IS!AJ32+IS!AJ39)*90</f>
        <v>97.974310446464571</v>
      </c>
      <c r="AJ61" s="638">
        <f>AJ31/(IS!AK32+IS!AK39)*90</f>
        <v>103.68951918701653</v>
      </c>
      <c r="AK61" s="639">
        <f>AK31/(IS!AL32+IS!AL39)*90</f>
        <v>285.91625970698902</v>
      </c>
      <c r="AL61" s="638">
        <f>AL31/(IS!AM32+IS!AM39)*90</f>
        <v>72.279542550131012</v>
      </c>
      <c r="AM61" s="638">
        <f>AM31/(IS!AN32+IS!AN39)*90</f>
        <v>86.650565463911036</v>
      </c>
      <c r="AN61" s="638">
        <f>AN31/(IS!AO32+IS!AO39)*90</f>
        <v>86.608946051940833</v>
      </c>
      <c r="AO61" s="639">
        <f>AO31/(IS!AP32+IS!AP39)*90</f>
        <v>81.959915678691445</v>
      </c>
      <c r="AP61" s="638">
        <f>AP31/(IS!AQ32+IS!AQ39)*90</f>
        <v>95.632454186582393</v>
      </c>
      <c r="AQ61" s="638">
        <f>AQ31/(IS!AR32+IS!AR39)*90</f>
        <v>77.660084335751222</v>
      </c>
      <c r="AR61" s="638">
        <f>AR31/(IS!AS32+IS!AS39)*90</f>
        <v>86.747714592391375</v>
      </c>
      <c r="AS61" s="639">
        <f>AS31/(IS!AT32+IS!AT39)*90</f>
        <v>80.816464988940993</v>
      </c>
      <c r="AT61" s="638">
        <f>AT31/(IS!AU32+IS!AU39)*90</f>
        <v>72.156919656092498</v>
      </c>
      <c r="AU61" s="638">
        <f>AU31/(IS!AV32+IS!AV39)*90</f>
        <v>68.355427553444187</v>
      </c>
      <c r="AV61" s="638">
        <f>AV31/(IS!AW32+IS!AW39)*90</f>
        <v>65.600984365952513</v>
      </c>
      <c r="AW61" s="639">
        <f>AW31/(IS!AX32+IS!AX39)*90</f>
        <v>72.891496414181418</v>
      </c>
      <c r="AX61" s="638">
        <f>AX31/(IS!AY32+IS!AY39)*90</f>
        <v>66.068998682246857</v>
      </c>
      <c r="AY61" s="638">
        <f>AY31/(IS!AZ32+IS!AZ39)*90</f>
        <v>67.678457784968728</v>
      </c>
      <c r="AZ61" s="638">
        <f>AZ31/(IS!BA32+IS!BA39)*90</f>
        <v>74.437431724644924</v>
      </c>
      <c r="BA61" s="639">
        <f>BA31/(IS!BB32+IS!BB39)*90</f>
        <v>76.767474843413083</v>
      </c>
      <c r="BB61" s="638">
        <f>BB31/(IS!BC32+IS!BC39)*90</f>
        <v>72.740024919900321</v>
      </c>
      <c r="BC61" s="638">
        <f>BC31/(IS!BD32+IS!BD39)*90</f>
        <v>75.976536532951286</v>
      </c>
      <c r="BD61" s="638">
        <f>BD31/(IS!BE32+IS!BE39)*90</f>
        <v>84.425526032315986</v>
      </c>
      <c r="BE61" s="638">
        <f>BE31/(IS!BF32+IS!BF39)*90</f>
        <v>82.200647249190951</v>
      </c>
      <c r="BF61" s="1793">
        <f>BF31/(IS!BG32+IS!BG39)*90</f>
        <v>74.584891548242339</v>
      </c>
      <c r="BG61" s="1843">
        <v>73.8</v>
      </c>
      <c r="BH61" s="638">
        <f>BH31/(IS!BI32+IS!BI39)*90</f>
        <v>76.98795180722891</v>
      </c>
      <c r="BI61" s="639">
        <f>BI31/(IS!BJ32+IS!BJ39)*90</f>
        <v>68.517990737442119</v>
      </c>
      <c r="BJ61" s="638">
        <f>BJ31/(IS!BK32+IS!BK39)*90</f>
        <v>81.594148537134274</v>
      </c>
      <c r="BK61" s="638">
        <f>BK31/(IS!BL32+IS!BL39)*90</f>
        <v>72.013274336283189</v>
      </c>
      <c r="BL61" s="638">
        <f>BL31/(IS!BM32+IS!BM39)*90</f>
        <v>81.276197604790426</v>
      </c>
      <c r="BM61" s="638">
        <f>BM31/(IS!BN32+IS!BN39)*90</f>
        <v>73.584269662921358</v>
      </c>
      <c r="BN61" s="1793">
        <f>BN31/(IS!BO32+IS!BO39)*90</f>
        <v>80.093023255813947</v>
      </c>
      <c r="BO61" s="638">
        <f>BO31/(IS!BP32+IS!BP39)*90</f>
        <v>72.924634420697402</v>
      </c>
      <c r="BP61" s="638">
        <f>BP31/(IS!BQ32+IS!BQ39)*90</f>
        <v>87.309963099630991</v>
      </c>
      <c r="BQ61" s="2607">
        <f>BQ31/(IS!BR32+IS!BR39)*90</f>
        <v>83.580931263858091</v>
      </c>
      <c r="BR61" s="2608">
        <f>BR31/(IS!BS32+IS!BS39)*90</f>
        <v>75.665454545454551</v>
      </c>
      <c r="BS61" s="638">
        <f>BS31/(IS!BT32+IS!BT39)*90</f>
        <v>69.347507331378296</v>
      </c>
      <c r="BT61" s="638">
        <f>BT31/(IS!BU32+IS!BU39)*90</f>
        <v>76.051300578034684</v>
      </c>
      <c r="BU61" s="2607">
        <f>BU31/(IS!BV32+IS!BV39)*90</f>
        <v>36.507878343715646</v>
      </c>
      <c r="BV61" s="2608">
        <f>BV31/(IS!BW32+IS!BW39)*90</f>
        <v>38.019801980198018</v>
      </c>
      <c r="BW61" s="638">
        <f>BW31/(IS!BX32+IS!BX39)*90</f>
        <v>34.140150160886662</v>
      </c>
      <c r="BX61" s="638">
        <f>BX31/(IS!BY32+IS!BY39)*90</f>
        <v>41.436285097192226</v>
      </c>
      <c r="BY61" s="2607">
        <f>BY31/(IS!BZ32+IS!BZ39)*90</f>
        <v>36.216216216216218</v>
      </c>
      <c r="BZ61" s="2608">
        <f>BZ31/(IS!CA32+IS!CA39)*90</f>
        <v>35.579101205699672</v>
      </c>
      <c r="CA61" s="638">
        <f>CA31/(IS!CB32+IS!CB39)*90</f>
        <v>43.143994211287989</v>
      </c>
      <c r="CB61" s="638">
        <f>CB31/(IS!CC32+IS!CC39)*90</f>
        <v>36.17394416607015</v>
      </c>
      <c r="CC61" s="2607">
        <f>CC31/(IS!CD32+IS!CD39)*90</f>
        <v>52.10526315789474</v>
      </c>
      <c r="CD61" s="2608">
        <f>CD31/(IS!CE32+IS!CE39)*90</f>
        <v>50.737583395107485</v>
      </c>
      <c r="CE61" s="638">
        <f>CE31/(IS!CF32+IS!CF39)*90</f>
        <v>37.927180966113916</v>
      </c>
      <c r="CF61" s="638">
        <f>CF31/(IS!CG32+IS!CG39)*90</f>
        <v>41.092150170648466</v>
      </c>
      <c r="CG61" s="639">
        <f>CG31/(IS!CH32+IS!CH39)*90</f>
        <v>35.357933579335793</v>
      </c>
      <c r="CH61" s="3104">
        <f>CG61</f>
        <v>35.357933579335793</v>
      </c>
      <c r="CI61" s="3104">
        <f t="shared" si="75"/>
        <v>35.357933579335793</v>
      </c>
      <c r="CJ61" s="3104">
        <f t="shared" si="76"/>
        <v>35.357933579335793</v>
      </c>
      <c r="CK61" s="2883">
        <f t="shared" si="77"/>
        <v>35.357933579335793</v>
      </c>
      <c r="CL61" s="368"/>
    </row>
    <row r="62" spans="1:98">
      <c r="A62" s="365" t="s">
        <v>589</v>
      </c>
      <c r="B62" s="637"/>
      <c r="C62" s="637"/>
      <c r="D62" s="638"/>
      <c r="E62" s="638">
        <f>E39/(IS!F32+IS!F39)*360</f>
        <v>278.88815955985774</v>
      </c>
      <c r="F62" s="638">
        <f>F39/(IS!G32+IS!G39)*360</f>
        <v>249.28060968685239</v>
      </c>
      <c r="G62" s="638">
        <f>G39/(IS!H32+IS!H39)*360</f>
        <v>239.37580157500426</v>
      </c>
      <c r="H62" s="638">
        <f>H39/(IS!I32+IS!I39)*360</f>
        <v>80.128288854748078</v>
      </c>
      <c r="I62" s="638">
        <f>H39/(IS!I32+IS!I39)*360</f>
        <v>80.128288854748078</v>
      </c>
      <c r="J62" s="638">
        <f>I39/(IS!J32+IS!J39)*360</f>
        <v>170.82167825851943</v>
      </c>
      <c r="K62" s="638">
        <f>J39/(IS!K32+IS!K39)*360</f>
        <v>170.73426345482224</v>
      </c>
      <c r="L62" s="638">
        <f>K39/(IS!L32+IS!L39)*360</f>
        <v>226.72410632447296</v>
      </c>
      <c r="M62" s="638">
        <f>L39/(IS!M32+IS!M39)*360</f>
        <v>330.58208955223881</v>
      </c>
      <c r="N62" s="638">
        <f>M39/(IS!N32+IS!N39)*360</f>
        <v>362.46459720528929</v>
      </c>
      <c r="O62" s="638">
        <f>N39/(IS!O32+IS!O39)*360</f>
        <v>328.2150341685649</v>
      </c>
      <c r="P62" s="638">
        <f>O39/(IS!P32+IS!P39)*360</f>
        <v>40.93744300565384</v>
      </c>
      <c r="Q62" s="638">
        <f>P39/(IS!Q32+IS!Q39)*360</f>
        <v>36.510114963015774</v>
      </c>
      <c r="R62" s="638">
        <f>R39/(IS!R32+IS!R39)*360</f>
        <v>70.645638245441106</v>
      </c>
      <c r="S62" s="638">
        <f>S39/(IS!S32+IS!S39)*360</f>
        <v>60.352285733617208</v>
      </c>
      <c r="T62" s="638">
        <f>T39/(IS!T32+IS!T39)*360</f>
        <v>63.223634065989089</v>
      </c>
      <c r="U62" s="638">
        <f>T39/(IS!U32+IS!U39)*360</f>
        <v>65.430414748876657</v>
      </c>
      <c r="V62" s="638">
        <f>U39/(IS!V32+IS!V39)*360</f>
        <v>66.511866631092573</v>
      </c>
      <c r="W62" s="638">
        <f>V39/(IS!W32+IS!W39)*360</f>
        <v>67.387071430621702</v>
      </c>
      <c r="X62" s="638">
        <f>W39/(IS!X32+IS!X39)*360</f>
        <v>68.211593076683371</v>
      </c>
      <c r="Y62" s="2544"/>
      <c r="Z62" s="634"/>
      <c r="AA62" s="634"/>
      <c r="AB62" s="634"/>
      <c r="AC62" s="639">
        <f>AC39/(IS!AD32+IS!AD39)*90</f>
        <v>267.82449875333003</v>
      </c>
      <c r="AD62" s="638">
        <f>AD39/(IS!AE32+IS!AE39)*90</f>
        <v>271.57874662287441</v>
      </c>
      <c r="AE62" s="638">
        <f>AE39/(IS!AF32+IS!AF39)*90</f>
        <v>290.62638524106285</v>
      </c>
      <c r="AF62" s="638">
        <f>AF39/(IS!AG32+IS!AG39)*90</f>
        <v>283.26144146974957</v>
      </c>
      <c r="AG62" s="639">
        <f>AG39/(IS!AH32+IS!AH39)*90</f>
        <v>292.43124247339148</v>
      </c>
      <c r="AH62" s="638">
        <f>AH39/(IS!AI32+IS!AI39)*90</f>
        <v>304.37108511180901</v>
      </c>
      <c r="AI62" s="638">
        <f>AI39/(IS!AJ32+IS!AJ39)*90</f>
        <v>296.68145574136702</v>
      </c>
      <c r="AJ62" s="638">
        <f>AJ39/(IS!AK32+IS!AK39)*90</f>
        <v>278.49537388138936</v>
      </c>
      <c r="AK62" s="639">
        <f>AK39/(IS!AL32+IS!AL39)*90</f>
        <v>911.35076455047636</v>
      </c>
      <c r="AL62" s="638">
        <f>AL39/(IS!AM32+IS!AM39)*90</f>
        <v>248.23992874191811</v>
      </c>
      <c r="AM62" s="638">
        <f>AM39/(IS!AN32+IS!AN39)*90</f>
        <v>252.80196061120913</v>
      </c>
      <c r="AN62" s="638">
        <f>AN39/(IS!AO32+IS!AO39)*90</f>
        <v>257.35493932001356</v>
      </c>
      <c r="AO62" s="639">
        <f>AO39/(IS!AP32+IS!AP39)*90</f>
        <v>245.16888036518102</v>
      </c>
      <c r="AP62" s="638">
        <f>AP39/(IS!AQ32+IS!AQ39)*90</f>
        <v>245.08531558023338</v>
      </c>
      <c r="AQ62" s="638">
        <f>AQ39/(IS!AR32+IS!AR39)*90</f>
        <v>240.58374407450586</v>
      </c>
      <c r="AR62" s="638">
        <f>AR39/(IS!AS32+IS!AS39)*90</f>
        <v>232.26478518799868</v>
      </c>
      <c r="AS62" s="639">
        <f>AS39/(IS!AT32+IS!AT39)*90</f>
        <v>228.54804030242238</v>
      </c>
      <c r="AT62" s="638">
        <f>AT39/(IS!AU32+IS!AU39)*90</f>
        <v>129.9650163059591</v>
      </c>
      <c r="AU62" s="638">
        <f>AU39/(IS!AV32+IS!AV39)*90</f>
        <v>129.70010095011878</v>
      </c>
      <c r="AV62" s="638">
        <f>AV39/(IS!AW32+IS!AW39)*90</f>
        <v>126.99231905037638</v>
      </c>
      <c r="AW62" s="639">
        <f>AW39/(IS!AX32+IS!AX39)*90</f>
        <v>158.94006903365053</v>
      </c>
      <c r="AX62" s="638">
        <f>AX39/(IS!AY32+IS!AY39)*90</f>
        <v>181.46306865883358</v>
      </c>
      <c r="AY62" s="638">
        <f>AY39/(IS!AZ32+IS!AZ39)*90</f>
        <v>169.30423699733657</v>
      </c>
      <c r="AZ62" s="638">
        <f>AZ39/(IS!BA32+IS!BA39)*90</f>
        <v>160.58493609048176</v>
      </c>
      <c r="BA62" s="639">
        <f>BA39/(IS!BB32+IS!BB39)*90</f>
        <v>169.93794280726976</v>
      </c>
      <c r="BB62" s="638">
        <f>BB39/(IS!BC32+IS!BC39)*90</f>
        <v>158.66817372730509</v>
      </c>
      <c r="BC62" s="638">
        <f>BC39/(IS!BD32+IS!BD39)*90</f>
        <v>159.24893982808024</v>
      </c>
      <c r="BD62" s="638">
        <f>BD39/(IS!BE32+IS!BE39)*90</f>
        <v>161.38224775583481</v>
      </c>
      <c r="BE62" s="638">
        <f>BE39/(IS!BF32+IS!BF39)*90</f>
        <v>222.36245954692558</v>
      </c>
      <c r="BF62" s="1793">
        <f>BF39/(IS!BG32+IS!BG39)*90</f>
        <v>229.64472700074793</v>
      </c>
      <c r="BG62" s="1843">
        <v>247</v>
      </c>
      <c r="BH62" s="638">
        <f>BH39/(IS!BI32+IS!BI39)*90</f>
        <v>291.78532311062435</v>
      </c>
      <c r="BI62" s="639">
        <f>BI39/(IS!BJ32+IS!BJ39)*90</f>
        <v>315.62522265764164</v>
      </c>
      <c r="BJ62" s="638">
        <f>BJ39/(IS!BK32+IS!BK39)*90</f>
        <v>334.00600150037508</v>
      </c>
      <c r="BK62" s="638">
        <f>BK39/(IS!BL32+IS!BL39)*90</f>
        <v>328.20796460176996</v>
      </c>
      <c r="BL62" s="638">
        <f>BL39/(IS!BM32+IS!BM39)*90</f>
        <v>336.69161676646706</v>
      </c>
      <c r="BM62" s="638">
        <f>BM39/(IS!BN32+IS!BN39)*90</f>
        <v>361.88764044943815</v>
      </c>
      <c r="BN62" s="1793">
        <f>BN39/(IS!BO32+IS!BO39)*90</f>
        <v>373.08139534883719</v>
      </c>
      <c r="BO62" s="638">
        <f>BO39/(IS!BP32+IS!BP39)*90</f>
        <v>365.23059617547807</v>
      </c>
      <c r="BP62" s="638">
        <f>BP39/(IS!BQ32+IS!BQ39)*90</f>
        <v>362.02583025830256</v>
      </c>
      <c r="BQ62" s="2607">
        <f>BQ39/(IS!BR32+IS!BR39)*90</f>
        <v>332.7937915742794</v>
      </c>
      <c r="BR62" s="2608">
        <f>BR39/(IS!BS32+IS!BS39)*90</f>
        <v>325.08</v>
      </c>
      <c r="BS62" s="638">
        <f>BS39/(IS!BT32+IS!BT39)*90</f>
        <v>323.37976539589442</v>
      </c>
      <c r="BT62" s="638">
        <f>BT39/(IS!BU32+IS!BU39)*90</f>
        <v>313.50433526011562</v>
      </c>
      <c r="BU62" s="2607">
        <f>BU39/(IS!BV32+IS!BV39)*90</f>
        <v>41.124954195676068</v>
      </c>
      <c r="BV62" s="2608">
        <f>BV39/(IS!BW32+IS!BW39)*90</f>
        <v>41.122112211221122</v>
      </c>
      <c r="BW62" s="638">
        <f>BW39/(IS!BX32+IS!BX39)*90</f>
        <v>39.545942080800856</v>
      </c>
      <c r="BX62" s="638">
        <f>BX39/(IS!BY32+IS!BY39)*90</f>
        <v>38.131749460043196</v>
      </c>
      <c r="BY62" s="2607">
        <f>BY39/(IS!BZ32+IS!BZ39)*90</f>
        <v>38.445945945945944</v>
      </c>
      <c r="BZ62" s="2608">
        <f>BZ39/(IS!CA32+IS!CA39)*90</f>
        <v>36.368286445012792</v>
      </c>
      <c r="CA62" s="638">
        <f>CA39/(IS!CB32+IS!CB39)*90</f>
        <v>36.175832127351661</v>
      </c>
      <c r="CB62" s="638">
        <f>CB39/(IS!CC32+IS!CC39)*90</f>
        <v>35.626342161775234</v>
      </c>
      <c r="CC62" s="2607">
        <f>CC39/(IS!CD32+IS!CD39)*90</f>
        <v>33.403964456596036</v>
      </c>
      <c r="CD62" s="2608">
        <f>CD39/(IS!CE32+IS!CE39)*90</f>
        <v>36.89399555226094</v>
      </c>
      <c r="CE62" s="638">
        <f>CE39/(IS!CF32+IS!CF39)*90</f>
        <v>36.434751261715931</v>
      </c>
      <c r="CF62" s="638">
        <f>CF39/(IS!CG32+IS!CG39)*90</f>
        <v>39.078498293515359</v>
      </c>
      <c r="CG62" s="639">
        <f>CG39/(IS!CH32+IS!CH39)*90</f>
        <v>52.892988929889299</v>
      </c>
      <c r="CH62" s="638">
        <f>CG62</f>
        <v>52.892988929889299</v>
      </c>
      <c r="CI62" s="638">
        <f>+CH62+1</f>
        <v>53.892988929889299</v>
      </c>
      <c r="CJ62" s="638">
        <f t="shared" ref="CJ62:CK62" si="78">+CI62+1</f>
        <v>54.892988929889299</v>
      </c>
      <c r="CK62" s="639">
        <f t="shared" si="78"/>
        <v>55.892988929889299</v>
      </c>
      <c r="CL62" s="368"/>
    </row>
    <row r="63" spans="1:98">
      <c r="A63" s="637"/>
      <c r="B63" s="637"/>
      <c r="C63" s="637"/>
      <c r="D63" s="640"/>
      <c r="E63" s="640"/>
      <c r="F63" s="640"/>
      <c r="G63" s="640"/>
      <c r="H63" s="640"/>
      <c r="I63" s="640"/>
      <c r="J63" s="640"/>
      <c r="K63" s="640"/>
      <c r="L63" s="640"/>
      <c r="M63" s="640"/>
      <c r="N63" s="640"/>
      <c r="O63" s="640"/>
      <c r="P63" s="640"/>
      <c r="Q63" s="640"/>
      <c r="R63" s="640"/>
      <c r="S63" s="640"/>
      <c r="T63" s="640"/>
      <c r="U63" s="640"/>
      <c r="V63" s="640"/>
      <c r="W63" s="640"/>
      <c r="X63" s="640"/>
      <c r="Y63" s="2544"/>
      <c r="Z63" s="640"/>
      <c r="AA63" s="640"/>
      <c r="AB63" s="640"/>
      <c r="AC63" s="641"/>
      <c r="AD63" s="640"/>
      <c r="AE63" s="640"/>
      <c r="AF63" s="640"/>
      <c r="AG63" s="641"/>
      <c r="AH63" s="640"/>
      <c r="AI63" s="640"/>
      <c r="AJ63" s="640"/>
      <c r="AK63" s="641"/>
      <c r="AL63" s="640"/>
      <c r="AM63" s="640"/>
      <c r="AN63" s="640"/>
      <c r="AO63" s="641"/>
      <c r="AP63" s="640"/>
      <c r="AQ63" s="640"/>
      <c r="AR63" s="640"/>
      <c r="AS63" s="641"/>
      <c r="AT63" s="640"/>
      <c r="AU63" s="640"/>
      <c r="AV63" s="640"/>
      <c r="AW63" s="641"/>
      <c r="AX63" s="640"/>
      <c r="AY63" s="640"/>
      <c r="AZ63" s="640"/>
      <c r="BA63" s="641"/>
      <c r="BB63" s="640"/>
      <c r="BC63" s="640"/>
      <c r="BD63" s="643"/>
      <c r="BE63" s="643"/>
      <c r="BF63" s="736"/>
      <c r="BG63" s="640"/>
      <c r="BH63" s="643"/>
      <c r="BI63" s="644"/>
      <c r="BJ63" s="736"/>
      <c r="BK63" s="640"/>
      <c r="BL63" s="640"/>
      <c r="BM63" s="640"/>
      <c r="BN63" s="642"/>
      <c r="BO63" s="640"/>
      <c r="BP63" s="640"/>
      <c r="BQ63" s="641"/>
      <c r="BR63" s="640"/>
      <c r="BS63" s="640"/>
      <c r="BT63" s="640"/>
      <c r="BU63" s="641"/>
      <c r="BV63" s="640"/>
      <c r="BW63" s="640"/>
      <c r="BX63" s="640"/>
      <c r="BY63" s="641"/>
      <c r="BZ63" s="640"/>
      <c r="CA63" s="640"/>
      <c r="CB63" s="640"/>
      <c r="CC63" s="641"/>
      <c r="CD63" s="640"/>
      <c r="CE63" s="640"/>
      <c r="CF63" s="640"/>
      <c r="CG63" s="641"/>
      <c r="CH63" s="643"/>
      <c r="CI63" s="643"/>
      <c r="CJ63" s="643"/>
      <c r="CK63" s="644"/>
      <c r="CL63" s="368"/>
    </row>
    <row r="64" spans="1:98" ht="11.25" customHeight="1">
      <c r="A64" s="365" t="s">
        <v>957</v>
      </c>
      <c r="B64" s="365"/>
      <c r="C64" s="365"/>
      <c r="D64" s="451">
        <f>(D16-D11)-(D34-D29)</f>
        <v>-139.17200000000003</v>
      </c>
      <c r="E64" s="451">
        <f t="shared" ref="E64:P64" si="79">+(E16-E11)-(E34-E29)</f>
        <v>-189.36899999999997</v>
      </c>
      <c r="F64" s="451">
        <f t="shared" si="79"/>
        <v>-366.32400000000007</v>
      </c>
      <c r="G64" s="451">
        <f t="shared" si="79"/>
        <v>-432.10400000000004</v>
      </c>
      <c r="H64" s="451">
        <f t="shared" si="79"/>
        <v>-380.6400000000001</v>
      </c>
      <c r="I64" s="451">
        <f t="shared" si="79"/>
        <v>-864.90299999999979</v>
      </c>
      <c r="J64" s="451">
        <f t="shared" si="79"/>
        <v>-938.346</v>
      </c>
      <c r="K64" s="408">
        <f t="shared" si="79"/>
        <v>-921</v>
      </c>
      <c r="L64" s="408">
        <f t="shared" si="79"/>
        <v>-148</v>
      </c>
      <c r="M64" s="408">
        <f t="shared" si="79"/>
        <v>12</v>
      </c>
      <c r="N64" s="408">
        <f t="shared" si="79"/>
        <v>115</v>
      </c>
      <c r="O64" s="408">
        <f t="shared" si="79"/>
        <v>80</v>
      </c>
      <c r="P64" s="408">
        <f t="shared" ca="1" si="79"/>
        <v>-577</v>
      </c>
      <c r="Q64" s="408">
        <f t="shared" ref="Q64:X64" ca="1" si="80">+(Q16-Q11)-(Q34-Q29)</f>
        <v>1094</v>
      </c>
      <c r="R64" s="408">
        <f t="shared" ca="1" si="80"/>
        <v>-809</v>
      </c>
      <c r="S64" s="408">
        <f t="shared" ca="1" si="80"/>
        <v>-1174.1111249519167</v>
      </c>
      <c r="T64" s="408">
        <f t="shared" ca="1" si="80"/>
        <v>-1263.8063461572028</v>
      </c>
      <c r="U64" s="408">
        <f t="shared" ca="1" si="80"/>
        <v>-1206.9172708649994</v>
      </c>
      <c r="V64" s="408">
        <f t="shared" ca="1" si="80"/>
        <v>-1181.2349651923014</v>
      </c>
      <c r="W64" s="408">
        <f t="shared" ca="1" si="80"/>
        <v>-1156.2072987758702</v>
      </c>
      <c r="X64" s="408">
        <f t="shared" ca="1" si="80"/>
        <v>-1131.4043186579529</v>
      </c>
      <c r="Y64" s="2544"/>
      <c r="Z64" s="408"/>
      <c r="AA64" s="408"/>
      <c r="AB64" s="408"/>
      <c r="AC64" s="569">
        <f>(AC16-AC11)-(AC34-AC29)</f>
        <v>-139.17200000000003</v>
      </c>
      <c r="AD64" s="451">
        <f>(AD16-AD11)-(AD34-AD29)</f>
        <v>-198.37199999999996</v>
      </c>
      <c r="AE64" s="413">
        <f t="shared" ref="AE64:AX64" si="81">(AE16-AE13)-(AE34-AE29)</f>
        <v>-295.25499999999988</v>
      </c>
      <c r="AF64" s="413">
        <f t="shared" si="81"/>
        <v>-230.858</v>
      </c>
      <c r="AG64" s="414">
        <f t="shared" si="81"/>
        <v>-54.734000000000037</v>
      </c>
      <c r="AH64" s="413">
        <f t="shared" si="81"/>
        <v>-113.35399999999993</v>
      </c>
      <c r="AI64" s="413">
        <f t="shared" si="81"/>
        <v>-133.90100000000007</v>
      </c>
      <c r="AJ64" s="413">
        <f t="shared" si="81"/>
        <v>16.314000000000021</v>
      </c>
      <c r="AK64" s="414">
        <f t="shared" si="81"/>
        <v>-904.19200000000012</v>
      </c>
      <c r="AL64" s="413">
        <f t="shared" si="81"/>
        <v>-741.81713226467343</v>
      </c>
      <c r="AM64" s="413">
        <f t="shared" si="81"/>
        <v>-1270.3780000000002</v>
      </c>
      <c r="AN64" s="413">
        <f t="shared" si="81"/>
        <v>-1336.6610000000001</v>
      </c>
      <c r="AO64" s="414">
        <f t="shared" si="81"/>
        <v>-1240.7820000000002</v>
      </c>
      <c r="AP64" s="413">
        <f t="shared" si="81"/>
        <v>-609.01800000000026</v>
      </c>
      <c r="AQ64" s="413">
        <f t="shared" si="81"/>
        <v>-1144.3709999999999</v>
      </c>
      <c r="AR64" s="413">
        <f t="shared" si="81"/>
        <v>-1243.1009999999999</v>
      </c>
      <c r="AS64" s="414">
        <f t="shared" si="81"/>
        <v>-1116.2650000000001</v>
      </c>
      <c r="AT64" s="413">
        <f t="shared" si="81"/>
        <v>-2647.8590000291547</v>
      </c>
      <c r="AU64" s="413">
        <f t="shared" si="81"/>
        <v>-2386.9590000291555</v>
      </c>
      <c r="AV64" s="413">
        <f t="shared" si="81"/>
        <v>-2251.5850000291543</v>
      </c>
      <c r="AW64" s="414">
        <f t="shared" si="81"/>
        <v>-2164.8680000291547</v>
      </c>
      <c r="AX64" s="413">
        <f t="shared" si="81"/>
        <v>-2053.8589971491551</v>
      </c>
      <c r="AY64" s="413">
        <f t="shared" ref="AY64:BW64" si="82">+(AY16-AY11)-(AY34-AY29)</f>
        <v>-680.78733774658986</v>
      </c>
      <c r="AZ64" s="413">
        <f t="shared" si="82"/>
        <v>-835.72600000000057</v>
      </c>
      <c r="BA64" s="414">
        <f t="shared" si="82"/>
        <v>-938.346</v>
      </c>
      <c r="BB64" s="413">
        <f t="shared" si="82"/>
        <v>-161.49499999999989</v>
      </c>
      <c r="BC64" s="413">
        <f t="shared" si="82"/>
        <v>-223.73399999999947</v>
      </c>
      <c r="BD64" s="413">
        <f t="shared" si="82"/>
        <v>-1108.1299999999997</v>
      </c>
      <c r="BE64" s="413">
        <f t="shared" si="82"/>
        <v>-921</v>
      </c>
      <c r="BF64" s="490">
        <f t="shared" si="82"/>
        <v>-989</v>
      </c>
      <c r="BG64" s="413">
        <f t="shared" si="82"/>
        <v>-993</v>
      </c>
      <c r="BH64" s="413">
        <f t="shared" si="82"/>
        <v>-1018</v>
      </c>
      <c r="BI64" s="414">
        <f t="shared" si="82"/>
        <v>-148</v>
      </c>
      <c r="BJ64" s="490">
        <f t="shared" si="82"/>
        <v>-91</v>
      </c>
      <c r="BK64" s="413">
        <f t="shared" si="82"/>
        <v>262</v>
      </c>
      <c r="BL64" s="413">
        <f t="shared" si="82"/>
        <v>-94</v>
      </c>
      <c r="BM64" s="413">
        <f t="shared" si="82"/>
        <v>12</v>
      </c>
      <c r="BN64" s="490">
        <f t="shared" si="82"/>
        <v>9</v>
      </c>
      <c r="BO64" s="413">
        <f t="shared" si="82"/>
        <v>-12</v>
      </c>
      <c r="BP64" s="413">
        <f t="shared" si="82"/>
        <v>-241</v>
      </c>
      <c r="BQ64" s="414">
        <f t="shared" si="82"/>
        <v>115</v>
      </c>
      <c r="BR64" s="413">
        <f t="shared" si="82"/>
        <v>34</v>
      </c>
      <c r="BS64" s="413">
        <f t="shared" si="82"/>
        <v>162</v>
      </c>
      <c r="BT64" s="413">
        <f t="shared" si="82"/>
        <v>-124</v>
      </c>
      <c r="BU64" s="414">
        <f t="shared" si="82"/>
        <v>80</v>
      </c>
      <c r="BV64" s="413">
        <f t="shared" ca="1" si="82"/>
        <v>-64</v>
      </c>
      <c r="BW64" s="413">
        <f t="shared" ca="1" si="82"/>
        <v>-128</v>
      </c>
      <c r="BX64" s="413">
        <f t="shared" ref="BX64:CC64" ca="1" si="83">+(BX16-BX11)-(BX34-BX29)</f>
        <v>-642</v>
      </c>
      <c r="BY64" s="414">
        <f t="shared" ca="1" si="83"/>
        <v>-577</v>
      </c>
      <c r="BZ64" s="413">
        <f t="shared" ca="1" si="83"/>
        <v>-821</v>
      </c>
      <c r="CA64" s="413">
        <f t="shared" ca="1" si="83"/>
        <v>-791</v>
      </c>
      <c r="CB64" s="413">
        <f t="shared" ca="1" si="83"/>
        <v>-611</v>
      </c>
      <c r="CC64" s="414">
        <f t="shared" ca="1" si="83"/>
        <v>1094</v>
      </c>
      <c r="CD64" s="413">
        <f ca="1">+(CD16-CD11)-(CD34-CD29)</f>
        <v>1157</v>
      </c>
      <c r="CE64" s="413">
        <f ca="1">+(CE16-CE11)-(CE34-CE29)</f>
        <v>-481</v>
      </c>
      <c r="CF64" s="413">
        <f ca="1">+(CF16-CF11)-(CF34-CF29)</f>
        <v>-608</v>
      </c>
      <c r="CG64" s="414">
        <f t="shared" ref="CG64" ca="1" si="84">+(CG16-CG11)-(CG34-CG29)</f>
        <v>-809</v>
      </c>
      <c r="CH64" s="413">
        <f ca="1">+(CH16-CH11)-(CH34-CH29)</f>
        <v>-981.79719921115247</v>
      </c>
      <c r="CI64" s="413">
        <f ca="1">+(CI16-CI11)-(CI34-CI29)</f>
        <v>-1047.4706394903706</v>
      </c>
      <c r="CJ64" s="413">
        <f ca="1">+(CJ16-CJ11)-(CJ34-CJ29)</f>
        <v>-1118.7167042480696</v>
      </c>
      <c r="CK64" s="414">
        <f ca="1">+(CK16-CK11)-(CK34-CK29)</f>
        <v>-1174.1111249519167</v>
      </c>
      <c r="CL64" s="368"/>
    </row>
    <row r="65" spans="1:90">
      <c r="A65" s="365" t="s">
        <v>958</v>
      </c>
      <c r="B65" s="365"/>
      <c r="C65" s="365"/>
      <c r="D65" s="413"/>
      <c r="E65" s="413">
        <f t="shared" ref="E65:Q65" si="85">-(E64-D64)</f>
        <v>50.196999999999946</v>
      </c>
      <c r="F65" s="413">
        <f t="shared" si="85"/>
        <v>176.9550000000001</v>
      </c>
      <c r="G65" s="413">
        <f t="shared" si="85"/>
        <v>65.779999999999973</v>
      </c>
      <c r="H65" s="413">
        <f t="shared" si="85"/>
        <v>-51.463999999999942</v>
      </c>
      <c r="I65" s="413">
        <f t="shared" si="85"/>
        <v>484.26299999999969</v>
      </c>
      <c r="J65" s="413">
        <f t="shared" si="85"/>
        <v>73.443000000000211</v>
      </c>
      <c r="K65" s="408">
        <f t="shared" si="85"/>
        <v>-17.346000000000004</v>
      </c>
      <c r="L65" s="408">
        <f t="shared" si="85"/>
        <v>-773</v>
      </c>
      <c r="M65" s="408">
        <f t="shared" si="85"/>
        <v>-160</v>
      </c>
      <c r="N65" s="408">
        <f t="shared" si="85"/>
        <v>-103</v>
      </c>
      <c r="O65" s="408">
        <f t="shared" si="85"/>
        <v>35</v>
      </c>
      <c r="P65" s="408">
        <f t="shared" ca="1" si="85"/>
        <v>657</v>
      </c>
      <c r="Q65" s="408">
        <f t="shared" ca="1" si="85"/>
        <v>-1671</v>
      </c>
      <c r="R65" s="408">
        <f t="shared" ref="R65:X65" ca="1" si="86">-(R64-Q64)</f>
        <v>1903</v>
      </c>
      <c r="S65" s="408">
        <f t="shared" ca="1" si="86"/>
        <v>365.11112495191674</v>
      </c>
      <c r="T65" s="408">
        <f t="shared" ca="1" si="86"/>
        <v>89.695221205286089</v>
      </c>
      <c r="U65" s="408">
        <f t="shared" ca="1" si="86"/>
        <v>-56.889075292203415</v>
      </c>
      <c r="V65" s="408">
        <f t="shared" ca="1" si="86"/>
        <v>-25.682305672698021</v>
      </c>
      <c r="W65" s="408">
        <f t="shared" ca="1" si="86"/>
        <v>-25.027666416431202</v>
      </c>
      <c r="X65" s="408">
        <f t="shared" ca="1" si="86"/>
        <v>-24.802980117917286</v>
      </c>
      <c r="Y65" s="2544"/>
      <c r="Z65" s="408"/>
      <c r="AA65" s="408"/>
      <c r="AB65" s="408"/>
      <c r="AC65" s="414"/>
      <c r="AD65" s="490">
        <f t="shared" ref="AD65:BV65" si="87">-(AD64-AC64)</f>
        <v>59.199999999999932</v>
      </c>
      <c r="AE65" s="413">
        <f t="shared" si="87"/>
        <v>96.882999999999925</v>
      </c>
      <c r="AF65" s="413">
        <f t="shared" si="87"/>
        <v>-64.396999999999878</v>
      </c>
      <c r="AG65" s="414">
        <f t="shared" si="87"/>
        <v>-176.12399999999997</v>
      </c>
      <c r="AH65" s="413">
        <f t="shared" si="87"/>
        <v>58.619999999999891</v>
      </c>
      <c r="AI65" s="413">
        <f t="shared" si="87"/>
        <v>20.547000000000139</v>
      </c>
      <c r="AJ65" s="413">
        <f t="shared" si="87"/>
        <v>-150.21500000000009</v>
      </c>
      <c r="AK65" s="414">
        <f t="shared" si="87"/>
        <v>920.50600000000009</v>
      </c>
      <c r="AL65" s="413">
        <f t="shared" si="87"/>
        <v>-162.37486773532669</v>
      </c>
      <c r="AM65" s="413">
        <f t="shared" si="87"/>
        <v>528.56086773532672</v>
      </c>
      <c r="AN65" s="413">
        <f t="shared" si="87"/>
        <v>66.282999999999902</v>
      </c>
      <c r="AO65" s="414">
        <f t="shared" si="87"/>
        <v>-95.878999999999905</v>
      </c>
      <c r="AP65" s="413">
        <f t="shared" si="87"/>
        <v>-631.7639999999999</v>
      </c>
      <c r="AQ65" s="413">
        <f t="shared" si="87"/>
        <v>535.35299999999961</v>
      </c>
      <c r="AR65" s="413">
        <f t="shared" si="87"/>
        <v>98.730000000000018</v>
      </c>
      <c r="AS65" s="414">
        <f t="shared" si="87"/>
        <v>-126.83599999999979</v>
      </c>
      <c r="AT65" s="413">
        <f t="shared" si="87"/>
        <v>1531.5940000291546</v>
      </c>
      <c r="AU65" s="413">
        <f t="shared" si="87"/>
        <v>-260.89999999999918</v>
      </c>
      <c r="AV65" s="413">
        <f t="shared" si="87"/>
        <v>-135.37400000000116</v>
      </c>
      <c r="AW65" s="414">
        <f t="shared" si="87"/>
        <v>-86.716999999999643</v>
      </c>
      <c r="AX65" s="413">
        <f t="shared" si="87"/>
        <v>-111.00900287999957</v>
      </c>
      <c r="AY65" s="413">
        <f t="shared" si="87"/>
        <v>-1373.0716594025653</v>
      </c>
      <c r="AZ65" s="413">
        <f t="shared" si="87"/>
        <v>154.93866225341071</v>
      </c>
      <c r="BA65" s="414">
        <f t="shared" si="87"/>
        <v>102.61999999999944</v>
      </c>
      <c r="BB65" s="413">
        <f t="shared" si="87"/>
        <v>-776.85100000000011</v>
      </c>
      <c r="BC65" s="413">
        <f t="shared" si="87"/>
        <v>62.238999999999578</v>
      </c>
      <c r="BD65" s="413">
        <f t="shared" si="87"/>
        <v>884.39600000000019</v>
      </c>
      <c r="BE65" s="413">
        <f t="shared" si="87"/>
        <v>-187.12999999999965</v>
      </c>
      <c r="BF65" s="490">
        <f t="shared" si="87"/>
        <v>68</v>
      </c>
      <c r="BG65" s="413">
        <f t="shared" si="87"/>
        <v>4</v>
      </c>
      <c r="BH65" s="413">
        <f t="shared" si="87"/>
        <v>25</v>
      </c>
      <c r="BI65" s="414">
        <f t="shared" si="87"/>
        <v>-870</v>
      </c>
      <c r="BJ65" s="413">
        <f t="shared" si="87"/>
        <v>-57</v>
      </c>
      <c r="BK65" s="413">
        <f t="shared" si="87"/>
        <v>-353</v>
      </c>
      <c r="BL65" s="413">
        <f t="shared" si="87"/>
        <v>356</v>
      </c>
      <c r="BM65" s="413">
        <f t="shared" si="87"/>
        <v>-106</v>
      </c>
      <c r="BN65" s="490">
        <f t="shared" si="87"/>
        <v>3</v>
      </c>
      <c r="BO65" s="413">
        <f t="shared" si="87"/>
        <v>21</v>
      </c>
      <c r="BP65" s="413">
        <f t="shared" si="87"/>
        <v>229</v>
      </c>
      <c r="BQ65" s="414">
        <f t="shared" si="87"/>
        <v>-356</v>
      </c>
      <c r="BR65" s="413">
        <f t="shared" si="87"/>
        <v>81</v>
      </c>
      <c r="BS65" s="413">
        <f t="shared" si="87"/>
        <v>-128</v>
      </c>
      <c r="BT65" s="413">
        <f t="shared" si="87"/>
        <v>286</v>
      </c>
      <c r="BU65" s="414">
        <f t="shared" si="87"/>
        <v>-204</v>
      </c>
      <c r="BV65" s="413">
        <f t="shared" ca="1" si="87"/>
        <v>144</v>
      </c>
      <c r="BW65" s="413">
        <f t="shared" ref="BW65:CC65" ca="1" si="88">-(BW64-BV64)</f>
        <v>64</v>
      </c>
      <c r="BX65" s="413">
        <f t="shared" ca="1" si="88"/>
        <v>514</v>
      </c>
      <c r="BY65" s="414">
        <f t="shared" ca="1" si="88"/>
        <v>-65</v>
      </c>
      <c r="BZ65" s="413">
        <f t="shared" ca="1" si="88"/>
        <v>244</v>
      </c>
      <c r="CA65" s="413">
        <f t="shared" ca="1" si="88"/>
        <v>-30</v>
      </c>
      <c r="CB65" s="413">
        <f t="shared" ca="1" si="88"/>
        <v>-180</v>
      </c>
      <c r="CC65" s="414">
        <f t="shared" ca="1" si="88"/>
        <v>-1705</v>
      </c>
      <c r="CD65" s="413">
        <f ca="1">-(CD64-CC64)</f>
        <v>-63</v>
      </c>
      <c r="CE65" s="413">
        <f ca="1">-(CE64-CD64)</f>
        <v>1638</v>
      </c>
      <c r="CF65" s="413">
        <f ca="1">-(CF64-CE64)</f>
        <v>127</v>
      </c>
      <c r="CG65" s="414">
        <f t="shared" ref="CG65" ca="1" si="89">-(CG64-CF64)</f>
        <v>201</v>
      </c>
      <c r="CH65" s="413">
        <f ca="1">-(CH64-CG64)</f>
        <v>172.79719921115247</v>
      </c>
      <c r="CI65" s="413">
        <f ca="1">-(CI64-CH64)</f>
        <v>65.673440279218084</v>
      </c>
      <c r="CJ65" s="413">
        <f ca="1">-(CJ64-CI64)</f>
        <v>71.24606475769906</v>
      </c>
      <c r="CK65" s="414">
        <f ca="1">-(CK64-CJ64)</f>
        <v>55.394420703847118</v>
      </c>
      <c r="CL65" s="368"/>
    </row>
    <row r="66" spans="1:90" ht="12.75" customHeight="1">
      <c r="A66" s="365"/>
      <c r="B66" s="365"/>
      <c r="C66" s="365"/>
      <c r="D66" s="369"/>
      <c r="E66" s="369"/>
      <c r="F66" s="369"/>
      <c r="G66" s="369"/>
      <c r="H66" s="369"/>
      <c r="I66" s="368"/>
      <c r="J66" s="368"/>
      <c r="K66" s="365"/>
      <c r="L66" s="365"/>
      <c r="M66" s="365"/>
      <c r="N66" s="365"/>
      <c r="O66" s="399"/>
      <c r="P66" s="399"/>
      <c r="Q66" s="399"/>
      <c r="R66" s="399"/>
      <c r="S66" s="2634"/>
      <c r="T66" s="399"/>
      <c r="U66" s="399"/>
      <c r="V66" s="399"/>
      <c r="W66" s="2634"/>
      <c r="X66" s="2634"/>
      <c r="Y66" s="2544"/>
      <c r="Z66" s="365"/>
      <c r="AA66" s="365"/>
      <c r="AB66" s="365"/>
      <c r="AC66" s="400"/>
      <c r="AD66" s="365"/>
      <c r="AE66" s="365"/>
      <c r="AF66" s="365"/>
      <c r="AG66" s="365"/>
      <c r="AH66" s="365"/>
      <c r="AI66" s="365"/>
      <c r="AJ66" s="365"/>
      <c r="AK66" s="400"/>
      <c r="AL66" s="365"/>
      <c r="AM66" s="365"/>
      <c r="AN66" s="365"/>
      <c r="AO66" s="400"/>
      <c r="AP66" s="365"/>
      <c r="AQ66" s="365"/>
      <c r="AR66" s="365"/>
      <c r="AS66" s="400"/>
      <c r="AT66" s="365"/>
      <c r="AU66" s="365"/>
      <c r="AV66" s="365"/>
      <c r="AW66" s="400"/>
      <c r="AX66" s="399"/>
      <c r="AY66" s="365"/>
      <c r="AZ66" s="365"/>
      <c r="BA66" s="400"/>
      <c r="BB66" s="399"/>
      <c r="BC66" s="365"/>
      <c r="BD66" s="365"/>
      <c r="BE66" s="365"/>
      <c r="BF66" s="407"/>
      <c r="BG66" s="399"/>
      <c r="BH66" s="399"/>
      <c r="BI66" s="400"/>
      <c r="BJ66" s="399"/>
      <c r="BK66" s="399"/>
      <c r="BL66" s="399"/>
      <c r="BM66" s="399"/>
      <c r="BN66" s="407"/>
      <c r="BO66" s="399"/>
      <c r="BP66" s="399"/>
      <c r="BQ66" s="400"/>
      <c r="BR66" s="399"/>
      <c r="BS66" s="399"/>
      <c r="BT66" s="399"/>
      <c r="BU66" s="400"/>
      <c r="BV66" s="399"/>
      <c r="BW66" s="399"/>
      <c r="BX66" s="399"/>
      <c r="BY66" s="400"/>
      <c r="BZ66" s="399"/>
      <c r="CA66" s="399"/>
      <c r="CB66" s="399"/>
      <c r="CC66" s="400"/>
      <c r="CD66" s="2634"/>
      <c r="CE66" s="2634"/>
      <c r="CF66" s="2634"/>
      <c r="CG66" s="2596"/>
      <c r="CH66" s="2634"/>
      <c r="CI66" s="2634"/>
      <c r="CJ66" s="2634"/>
      <c r="CK66" s="2596"/>
      <c r="CL66" s="368"/>
    </row>
    <row r="67" spans="1:90" ht="10.5" customHeight="1">
      <c r="A67" s="364" t="s">
        <v>959</v>
      </c>
      <c r="B67" s="365"/>
      <c r="C67" s="365"/>
      <c r="D67" s="399"/>
      <c r="E67" s="272"/>
      <c r="F67" s="272"/>
      <c r="G67" s="272"/>
      <c r="H67" s="272"/>
      <c r="I67" s="272"/>
      <c r="J67" s="272"/>
      <c r="K67" s="408"/>
      <c r="L67" s="408"/>
      <c r="M67" s="408"/>
      <c r="N67" s="408"/>
      <c r="O67" s="408"/>
      <c r="P67" s="408"/>
      <c r="Q67" s="408"/>
      <c r="R67" s="408"/>
      <c r="S67" s="408"/>
      <c r="T67" s="408"/>
      <c r="U67" s="408"/>
      <c r="V67" s="408"/>
      <c r="W67" s="408"/>
      <c r="X67" s="408"/>
      <c r="Y67" s="2544"/>
      <c r="Z67" s="399"/>
      <c r="AA67" s="399"/>
      <c r="AB67" s="399"/>
      <c r="AC67" s="400"/>
      <c r="AD67" s="146"/>
      <c r="AE67" s="272"/>
      <c r="AF67" s="272"/>
      <c r="AG67" s="224"/>
      <c r="AH67" s="408"/>
      <c r="AI67" s="408"/>
      <c r="AJ67" s="399"/>
      <c r="AK67" s="400"/>
      <c r="AL67" s="408"/>
      <c r="AM67" s="408"/>
      <c r="AN67" s="408"/>
      <c r="AO67" s="416"/>
      <c r="AP67" s="408"/>
      <c r="AQ67" s="408"/>
      <c r="AR67" s="408"/>
      <c r="AS67" s="416"/>
      <c r="AT67" s="408"/>
      <c r="AU67" s="408"/>
      <c r="AV67" s="408"/>
      <c r="AW67" s="543"/>
      <c r="AX67" s="544"/>
      <c r="AY67" s="544"/>
      <c r="AZ67" s="655"/>
      <c r="BA67" s="543"/>
      <c r="BB67" s="544"/>
      <c r="BC67" s="544"/>
      <c r="BD67" s="544"/>
      <c r="BE67" s="544"/>
      <c r="BF67" s="545"/>
      <c r="BG67" s="544"/>
      <c r="BH67" s="544"/>
      <c r="BI67" s="543"/>
      <c r="BJ67" s="544"/>
      <c r="BK67" s="544"/>
      <c r="BL67" s="544"/>
      <c r="BM67" s="544"/>
      <c r="BN67" s="545"/>
      <c r="BO67" s="544"/>
      <c r="BP67" s="544"/>
      <c r="BQ67" s="543"/>
      <c r="BR67" s="544"/>
      <c r="BS67" s="544"/>
      <c r="BT67" s="544"/>
      <c r="BU67" s="543"/>
      <c r="BV67" s="544"/>
      <c r="BW67" s="544"/>
      <c r="BX67" s="544"/>
      <c r="BY67" s="543"/>
      <c r="BZ67" s="544"/>
      <c r="CA67" s="544"/>
      <c r="CB67" s="544"/>
      <c r="CC67" s="543"/>
      <c r="CD67" s="544"/>
      <c r="CE67" s="544"/>
      <c r="CF67" s="544"/>
      <c r="CG67" s="543"/>
      <c r="CH67" s="544"/>
      <c r="CI67" s="544"/>
      <c r="CJ67" s="544"/>
      <c r="CK67" s="543"/>
      <c r="CL67" s="368"/>
    </row>
    <row r="68" spans="1:90">
      <c r="A68" s="365" t="s">
        <v>960</v>
      </c>
      <c r="B68" s="365"/>
      <c r="C68" s="365"/>
      <c r="D68" s="408">
        <f t="shared" ref="D68:P68" si="90">+D29+D36</f>
        <v>3181.7550000000001</v>
      </c>
      <c r="E68" s="408">
        <f t="shared" si="90"/>
        <v>3011.636</v>
      </c>
      <c r="F68" s="408">
        <f t="shared" si="90"/>
        <v>9902.8060000000005</v>
      </c>
      <c r="G68" s="408">
        <f t="shared" si="90"/>
        <v>9048.8640000000014</v>
      </c>
      <c r="H68" s="408">
        <f t="shared" si="90"/>
        <v>8892.2549999999992</v>
      </c>
      <c r="I68" s="408">
        <f t="shared" si="90"/>
        <v>22614.525999999998</v>
      </c>
      <c r="J68" s="408">
        <f t="shared" si="90"/>
        <v>21953.717999999997</v>
      </c>
      <c r="K68" s="408">
        <f t="shared" si="90"/>
        <v>20176</v>
      </c>
      <c r="L68" s="408">
        <f t="shared" si="90"/>
        <v>21836</v>
      </c>
      <c r="M68" s="408">
        <f t="shared" si="90"/>
        <v>20605</v>
      </c>
      <c r="N68" s="408">
        <f t="shared" si="90"/>
        <v>20966</v>
      </c>
      <c r="O68" s="408">
        <f t="shared" si="90"/>
        <v>20671</v>
      </c>
      <c r="P68" s="408">
        <f t="shared" si="90"/>
        <v>20225</v>
      </c>
      <c r="Q68" s="408">
        <f t="shared" ref="Q68:V68" si="91">+Q29+Q36</f>
        <v>19688</v>
      </c>
      <c r="R68" s="408">
        <f t="shared" si="91"/>
        <v>37726</v>
      </c>
      <c r="S68" s="408">
        <f t="shared" si="91"/>
        <v>36775</v>
      </c>
      <c r="T68" s="408">
        <f t="shared" si="91"/>
        <v>36425</v>
      </c>
      <c r="U68" s="408">
        <f t="shared" si="91"/>
        <v>35900</v>
      </c>
      <c r="V68" s="408">
        <f t="shared" si="91"/>
        <v>35375</v>
      </c>
      <c r="W68" s="408">
        <f>+W29+W36</f>
        <v>34850</v>
      </c>
      <c r="X68" s="408">
        <f>+X29+X36</f>
        <v>34325</v>
      </c>
      <c r="Y68" s="2544"/>
      <c r="Z68" s="408"/>
      <c r="AA68" s="408"/>
      <c r="AB68" s="408"/>
      <c r="AC68" s="416">
        <f t="shared" ref="AC68:BH68" si="92">+AC29+AC36</f>
        <v>3181.7550000000001</v>
      </c>
      <c r="AD68" s="415">
        <f t="shared" si="92"/>
        <v>3189.25</v>
      </c>
      <c r="AE68" s="425">
        <f t="shared" si="92"/>
        <v>3005.2400000000002</v>
      </c>
      <c r="AF68" s="425">
        <f t="shared" si="92"/>
        <v>3022.12</v>
      </c>
      <c r="AG68" s="416">
        <f t="shared" si="92"/>
        <v>3011.636</v>
      </c>
      <c r="AH68" s="408">
        <f t="shared" si="92"/>
        <v>2839.0140000000001</v>
      </c>
      <c r="AI68" s="408">
        <f t="shared" si="92"/>
        <v>2853.5339999999997</v>
      </c>
      <c r="AJ68" s="408">
        <f t="shared" si="92"/>
        <v>2834.846</v>
      </c>
      <c r="AK68" s="416">
        <f t="shared" si="92"/>
        <v>9902.8060000000005</v>
      </c>
      <c r="AL68" s="408">
        <f t="shared" si="92"/>
        <v>10175.315000000001</v>
      </c>
      <c r="AM68" s="408">
        <f t="shared" si="92"/>
        <v>9368.7180000000008</v>
      </c>
      <c r="AN68" s="408">
        <f t="shared" si="92"/>
        <v>9154.9240000000009</v>
      </c>
      <c r="AO68" s="416">
        <f t="shared" si="92"/>
        <v>9048.8640000000014</v>
      </c>
      <c r="AP68" s="408">
        <f t="shared" si="92"/>
        <v>9372.26</v>
      </c>
      <c r="AQ68" s="408">
        <f t="shared" si="92"/>
        <v>9369.380000000001</v>
      </c>
      <c r="AR68" s="408">
        <f t="shared" si="92"/>
        <v>8875.4709999999995</v>
      </c>
      <c r="AS68" s="416">
        <f t="shared" si="92"/>
        <v>8892.2549999999992</v>
      </c>
      <c r="AT68" s="408">
        <f t="shared" si="92"/>
        <v>22753.754000000001</v>
      </c>
      <c r="AU68" s="408">
        <f t="shared" si="92"/>
        <v>23123.587</v>
      </c>
      <c r="AV68" s="408">
        <f t="shared" si="92"/>
        <v>23123.623</v>
      </c>
      <c r="AW68" s="416">
        <f t="shared" si="92"/>
        <v>22614.525999999998</v>
      </c>
      <c r="AX68" s="408">
        <f t="shared" si="92"/>
        <v>21484</v>
      </c>
      <c r="AY68" s="408">
        <f t="shared" si="92"/>
        <v>22100.936000000002</v>
      </c>
      <c r="AZ68" s="408">
        <f t="shared" si="92"/>
        <v>22358.996999999999</v>
      </c>
      <c r="BA68" s="416">
        <f t="shared" si="92"/>
        <v>21953.717999999997</v>
      </c>
      <c r="BB68" s="408">
        <f t="shared" si="92"/>
        <v>21267.089</v>
      </c>
      <c r="BC68" s="408">
        <f t="shared" si="92"/>
        <v>20758.205000000002</v>
      </c>
      <c r="BD68" s="408">
        <f t="shared" si="92"/>
        <v>20537.295999999998</v>
      </c>
      <c r="BE68" s="408">
        <f t="shared" si="92"/>
        <v>20176</v>
      </c>
      <c r="BF68" s="415">
        <f t="shared" si="92"/>
        <v>19844</v>
      </c>
      <c r="BG68" s="408">
        <f t="shared" si="92"/>
        <v>21344</v>
      </c>
      <c r="BH68" s="408">
        <f t="shared" si="92"/>
        <v>22176</v>
      </c>
      <c r="BI68" s="416">
        <f t="shared" ref="BI68:BW68" si="93">+BI29+BI36</f>
        <v>21836</v>
      </c>
      <c r="BJ68" s="408">
        <f t="shared" si="93"/>
        <v>22867</v>
      </c>
      <c r="BK68" s="408">
        <f t="shared" si="93"/>
        <v>21585</v>
      </c>
      <c r="BL68" s="408">
        <f t="shared" si="93"/>
        <v>20706</v>
      </c>
      <c r="BM68" s="408">
        <f t="shared" si="93"/>
        <v>20605</v>
      </c>
      <c r="BN68" s="415">
        <f t="shared" si="93"/>
        <v>20788</v>
      </c>
      <c r="BO68" s="408">
        <f t="shared" si="93"/>
        <v>20585</v>
      </c>
      <c r="BP68" s="408">
        <f t="shared" si="93"/>
        <v>20582</v>
      </c>
      <c r="BQ68" s="416">
        <f t="shared" si="93"/>
        <v>20966</v>
      </c>
      <c r="BR68" s="408">
        <f t="shared" si="93"/>
        <v>20940</v>
      </c>
      <c r="BS68" s="408">
        <f t="shared" si="93"/>
        <v>20959</v>
      </c>
      <c r="BT68" s="408">
        <f t="shared" si="93"/>
        <v>21151</v>
      </c>
      <c r="BU68" s="416">
        <f t="shared" si="93"/>
        <v>20671</v>
      </c>
      <c r="BV68" s="408">
        <f t="shared" si="93"/>
        <v>20456</v>
      </c>
      <c r="BW68" s="408">
        <f t="shared" si="93"/>
        <v>20353</v>
      </c>
      <c r="BX68" s="408">
        <f t="shared" ref="BX68:CC68" si="94">+BX29+BX36</f>
        <v>20414</v>
      </c>
      <c r="BY68" s="416">
        <f t="shared" si="94"/>
        <v>20225</v>
      </c>
      <c r="BZ68" s="408">
        <f t="shared" si="94"/>
        <v>20025</v>
      </c>
      <c r="CA68" s="408">
        <f t="shared" si="94"/>
        <v>19616</v>
      </c>
      <c r="CB68" s="408">
        <f t="shared" si="94"/>
        <v>19718</v>
      </c>
      <c r="CC68" s="416">
        <f t="shared" si="94"/>
        <v>19688</v>
      </c>
      <c r="CD68" s="408">
        <f t="shared" ref="CD68:CK68" si="95">+CD29+CD36</f>
        <v>19679</v>
      </c>
      <c r="CE68" s="408">
        <f t="shared" si="95"/>
        <v>25077</v>
      </c>
      <c r="CF68" s="408">
        <f t="shared" si="95"/>
        <v>24978</v>
      </c>
      <c r="CG68" s="416">
        <f t="shared" ref="CG68" si="96">+CG29+CG36</f>
        <v>37726</v>
      </c>
      <c r="CH68" s="408">
        <f t="shared" si="95"/>
        <v>37338.25</v>
      </c>
      <c r="CI68" s="408">
        <f t="shared" si="95"/>
        <v>37159.9375</v>
      </c>
      <c r="CJ68" s="408">
        <f t="shared" si="95"/>
        <v>36988.703125</v>
      </c>
      <c r="CK68" s="416">
        <f t="shared" si="95"/>
        <v>36775</v>
      </c>
      <c r="CL68" s="425"/>
    </row>
    <row r="69" spans="1:90">
      <c r="A69" s="365" t="s">
        <v>961</v>
      </c>
      <c r="B69" s="365"/>
      <c r="C69" s="365"/>
      <c r="D69" s="408"/>
      <c r="E69" s="408">
        <f t="shared" ref="E69:J69" si="97">AVERAGE(E68,D68)</f>
        <v>3096.6954999999998</v>
      </c>
      <c r="F69" s="408">
        <f t="shared" si="97"/>
        <v>6457.2210000000005</v>
      </c>
      <c r="G69" s="408">
        <f t="shared" si="97"/>
        <v>9475.8350000000009</v>
      </c>
      <c r="H69" s="408">
        <f t="shared" si="97"/>
        <v>8970.5594999999994</v>
      </c>
      <c r="I69" s="408">
        <f t="shared" si="97"/>
        <v>15753.390499999998</v>
      </c>
      <c r="J69" s="408">
        <f t="shared" si="97"/>
        <v>22284.121999999996</v>
      </c>
      <c r="K69" s="408">
        <f t="shared" ref="K69:Q69" si="98">+(K68+J68)/2</f>
        <v>21064.858999999997</v>
      </c>
      <c r="L69" s="408">
        <f t="shared" si="98"/>
        <v>21006</v>
      </c>
      <c r="M69" s="408">
        <f t="shared" si="98"/>
        <v>21220.5</v>
      </c>
      <c r="N69" s="408">
        <f t="shared" si="98"/>
        <v>20785.5</v>
      </c>
      <c r="O69" s="408">
        <f t="shared" si="98"/>
        <v>20818.5</v>
      </c>
      <c r="P69" s="408">
        <f t="shared" si="98"/>
        <v>20448</v>
      </c>
      <c r="Q69" s="408">
        <f t="shared" si="98"/>
        <v>19956.5</v>
      </c>
      <c r="R69" s="408">
        <f t="shared" ref="R69:X69" si="99">+(R68+Q68)/2</f>
        <v>28707</v>
      </c>
      <c r="S69" s="408">
        <f t="shared" si="99"/>
        <v>37250.5</v>
      </c>
      <c r="T69" s="408">
        <f t="shared" si="99"/>
        <v>36600</v>
      </c>
      <c r="U69" s="408">
        <f t="shared" si="99"/>
        <v>36162.5</v>
      </c>
      <c r="V69" s="408">
        <f t="shared" si="99"/>
        <v>35637.5</v>
      </c>
      <c r="W69" s="408">
        <f t="shared" si="99"/>
        <v>35112.5</v>
      </c>
      <c r="X69" s="408">
        <f t="shared" si="99"/>
        <v>34587.5</v>
      </c>
      <c r="Y69" s="2544"/>
      <c r="Z69" s="408"/>
      <c r="AA69" s="408"/>
      <c r="AB69" s="408"/>
      <c r="AC69" s="416"/>
      <c r="AD69" s="415">
        <f t="shared" ref="AD69:BV69" si="100">AVERAGE(AD68,AC68)</f>
        <v>3185.5025000000001</v>
      </c>
      <c r="AE69" s="425">
        <f t="shared" si="100"/>
        <v>3097.2449999999999</v>
      </c>
      <c r="AF69" s="425">
        <f t="shared" si="100"/>
        <v>3013.6800000000003</v>
      </c>
      <c r="AG69" s="416">
        <f t="shared" si="100"/>
        <v>3016.8779999999997</v>
      </c>
      <c r="AH69" s="408">
        <f t="shared" si="100"/>
        <v>2925.3249999999998</v>
      </c>
      <c r="AI69" s="408">
        <f t="shared" si="100"/>
        <v>2846.2739999999999</v>
      </c>
      <c r="AJ69" s="408">
        <f t="shared" si="100"/>
        <v>2844.1899999999996</v>
      </c>
      <c r="AK69" s="416">
        <f t="shared" si="100"/>
        <v>6368.826</v>
      </c>
      <c r="AL69" s="408">
        <f t="shared" si="100"/>
        <v>10039.0605</v>
      </c>
      <c r="AM69" s="408">
        <f t="shared" si="100"/>
        <v>9772.0165000000015</v>
      </c>
      <c r="AN69" s="408">
        <f t="shared" si="100"/>
        <v>9261.8209999999999</v>
      </c>
      <c r="AO69" s="416">
        <f t="shared" si="100"/>
        <v>9101.8940000000002</v>
      </c>
      <c r="AP69" s="408">
        <f t="shared" si="100"/>
        <v>9210.5620000000017</v>
      </c>
      <c r="AQ69" s="408">
        <f t="shared" si="100"/>
        <v>9370.82</v>
      </c>
      <c r="AR69" s="408">
        <f t="shared" si="100"/>
        <v>9122.4255000000012</v>
      </c>
      <c r="AS69" s="416">
        <f t="shared" si="100"/>
        <v>8883.8629999999994</v>
      </c>
      <c r="AT69" s="408">
        <f t="shared" si="100"/>
        <v>15823.004499999999</v>
      </c>
      <c r="AU69" s="408">
        <f t="shared" si="100"/>
        <v>22938.6705</v>
      </c>
      <c r="AV69" s="408">
        <f t="shared" si="100"/>
        <v>23123.605</v>
      </c>
      <c r="AW69" s="416">
        <f t="shared" si="100"/>
        <v>22869.074499999999</v>
      </c>
      <c r="AX69" s="408">
        <f t="shared" si="100"/>
        <v>22049.262999999999</v>
      </c>
      <c r="AY69" s="408">
        <f t="shared" si="100"/>
        <v>21792.468000000001</v>
      </c>
      <c r="AZ69" s="408">
        <f t="shared" si="100"/>
        <v>22229.966500000002</v>
      </c>
      <c r="BA69" s="416">
        <f t="shared" si="100"/>
        <v>22156.357499999998</v>
      </c>
      <c r="BB69" s="408">
        <f t="shared" si="100"/>
        <v>21610.4035</v>
      </c>
      <c r="BC69" s="408">
        <f t="shared" si="100"/>
        <v>21012.647000000001</v>
      </c>
      <c r="BD69" s="408">
        <f t="shared" si="100"/>
        <v>20647.750500000002</v>
      </c>
      <c r="BE69" s="408">
        <f t="shared" si="100"/>
        <v>20356.648000000001</v>
      </c>
      <c r="BF69" s="415">
        <f t="shared" si="100"/>
        <v>20010</v>
      </c>
      <c r="BG69" s="408">
        <f t="shared" si="100"/>
        <v>20594</v>
      </c>
      <c r="BH69" s="408">
        <f t="shared" si="100"/>
        <v>21760</v>
      </c>
      <c r="BI69" s="416">
        <f t="shared" si="100"/>
        <v>22006</v>
      </c>
      <c r="BJ69" s="408">
        <f t="shared" si="100"/>
        <v>22351.5</v>
      </c>
      <c r="BK69" s="408">
        <f t="shared" si="100"/>
        <v>22226</v>
      </c>
      <c r="BL69" s="408">
        <f t="shared" si="100"/>
        <v>21145.5</v>
      </c>
      <c r="BM69" s="408">
        <f t="shared" si="100"/>
        <v>20655.5</v>
      </c>
      <c r="BN69" s="415">
        <f t="shared" si="100"/>
        <v>20696.5</v>
      </c>
      <c r="BO69" s="408">
        <f t="shared" si="100"/>
        <v>20686.5</v>
      </c>
      <c r="BP69" s="408">
        <f t="shared" si="100"/>
        <v>20583.5</v>
      </c>
      <c r="BQ69" s="416">
        <f t="shared" si="100"/>
        <v>20774</v>
      </c>
      <c r="BR69" s="408">
        <f t="shared" si="100"/>
        <v>20953</v>
      </c>
      <c r="BS69" s="408">
        <f t="shared" si="100"/>
        <v>20949.5</v>
      </c>
      <c r="BT69" s="408">
        <f t="shared" si="100"/>
        <v>21055</v>
      </c>
      <c r="BU69" s="416">
        <f t="shared" si="100"/>
        <v>20911</v>
      </c>
      <c r="BV69" s="408">
        <f t="shared" si="100"/>
        <v>20563.5</v>
      </c>
      <c r="BW69" s="408">
        <f t="shared" ref="BW69:CC69" si="101">AVERAGE(BW68,BV68)</f>
        <v>20404.5</v>
      </c>
      <c r="BX69" s="408">
        <f t="shared" si="101"/>
        <v>20383.5</v>
      </c>
      <c r="BY69" s="416">
        <f t="shared" si="101"/>
        <v>20319.5</v>
      </c>
      <c r="BZ69" s="408">
        <f t="shared" si="101"/>
        <v>20125</v>
      </c>
      <c r="CA69" s="408">
        <f t="shared" si="101"/>
        <v>19820.5</v>
      </c>
      <c r="CB69" s="408">
        <f t="shared" si="101"/>
        <v>19667</v>
      </c>
      <c r="CC69" s="416">
        <f t="shared" si="101"/>
        <v>19703</v>
      </c>
      <c r="CD69" s="408">
        <f>AVERAGE(CD68,CC68)</f>
        <v>19683.5</v>
      </c>
      <c r="CE69" s="408">
        <f>AVERAGE(CE68,CD68)</f>
        <v>22378</v>
      </c>
      <c r="CF69" s="408">
        <f>AVERAGE(CF68,CE68)</f>
        <v>25027.5</v>
      </c>
      <c r="CG69" s="3742">
        <f>AVERAGE(CG68,CF68,CG68)</f>
        <v>33476.666666666664</v>
      </c>
      <c r="CH69" s="408">
        <f>AVERAGE(CH68,CG68)</f>
        <v>37532.125</v>
      </c>
      <c r="CI69" s="408">
        <f>AVERAGE(CI68,CH68)</f>
        <v>37249.09375</v>
      </c>
      <c r="CJ69" s="408">
        <f>AVERAGE(CJ68,CI68)</f>
        <v>37074.3203125</v>
      </c>
      <c r="CK69" s="416">
        <f>AVERAGE(CK68,CJ68)</f>
        <v>36881.8515625</v>
      </c>
      <c r="CL69" s="368"/>
    </row>
    <row r="70" spans="1:90">
      <c r="A70" s="365" t="s">
        <v>962</v>
      </c>
      <c r="B70" s="365"/>
      <c r="C70" s="365"/>
      <c r="D70" s="371">
        <f t="shared" ref="D70:J70" si="102">+D68/(D68+D50)</f>
        <v>0.2872240367436758</v>
      </c>
      <c r="E70" s="409">
        <f t="shared" si="102"/>
        <v>0.27863359407967125</v>
      </c>
      <c r="F70" s="409">
        <f t="shared" si="102"/>
        <v>0.36489862211684188</v>
      </c>
      <c r="G70" s="409">
        <f t="shared" si="102"/>
        <v>0.35373557061446426</v>
      </c>
      <c r="H70" s="409">
        <f t="shared" si="102"/>
        <v>0.34230197559393771</v>
      </c>
      <c r="I70" s="409">
        <f t="shared" si="102"/>
        <v>0.35098435443001746</v>
      </c>
      <c r="J70" s="409">
        <f t="shared" si="102"/>
        <v>0.33997847502973932</v>
      </c>
      <c r="K70" s="409">
        <f t="shared" ref="K70:P70" si="103">+K68/(K68+K49)</f>
        <v>0.47918299489371807</v>
      </c>
      <c r="L70" s="409">
        <f t="shared" si="103"/>
        <v>0.51182523498113119</v>
      </c>
      <c r="M70" s="409">
        <f t="shared" si="103"/>
        <v>0.51649370832706676</v>
      </c>
      <c r="N70" s="409">
        <f t="shared" si="103"/>
        <v>0.54946667714967112</v>
      </c>
      <c r="O70" s="409">
        <f t="shared" si="103"/>
        <v>0.57911693842102319</v>
      </c>
      <c r="P70" s="409">
        <f t="shared" si="103"/>
        <v>0.58990812308589757</v>
      </c>
      <c r="Q70" s="409">
        <f t="shared" ref="Q70:X70" si="104">+Q68/(Q68+Q49)</f>
        <v>0.59503732583794244</v>
      </c>
      <c r="R70" s="409">
        <f t="shared" si="104"/>
        <v>0.61626672329581655</v>
      </c>
      <c r="S70" s="409">
        <f t="shared" si="104"/>
        <v>0.62599620406959144</v>
      </c>
      <c r="T70" s="409">
        <f t="shared" ca="1" si="104"/>
        <v>0.6362912257580996</v>
      </c>
      <c r="U70" s="409">
        <f t="shared" ca="1" si="104"/>
        <v>0.64232981979690074</v>
      </c>
      <c r="V70" s="409">
        <f t="shared" ca="1" si="104"/>
        <v>0.64693818227619648</v>
      </c>
      <c r="W70" s="409">
        <f t="shared" ca="1" si="104"/>
        <v>0.64970554724324869</v>
      </c>
      <c r="X70" s="409">
        <f t="shared" ca="1" si="104"/>
        <v>0.65041968615506862</v>
      </c>
      <c r="Y70" s="2544"/>
      <c r="Z70" s="409"/>
      <c r="AA70" s="409"/>
      <c r="AB70" s="409"/>
      <c r="AC70" s="423">
        <f t="shared" ref="AC70:BH70" si="105">+AC68/(AC68+AC50)</f>
        <v>0.2872240367436758</v>
      </c>
      <c r="AD70" s="420">
        <f t="shared" si="105"/>
        <v>0.28768902072975633</v>
      </c>
      <c r="AE70" s="371">
        <f t="shared" si="105"/>
        <v>0.28113738446924663</v>
      </c>
      <c r="AF70" s="371">
        <f t="shared" si="105"/>
        <v>0.27950361684775721</v>
      </c>
      <c r="AG70" s="419">
        <f t="shared" si="105"/>
        <v>0.27863359407967125</v>
      </c>
      <c r="AH70" s="409">
        <f t="shared" si="105"/>
        <v>0.26931686818375078</v>
      </c>
      <c r="AI70" s="409">
        <f t="shared" si="105"/>
        <v>0.2701296493269511</v>
      </c>
      <c r="AJ70" s="409">
        <f t="shared" si="105"/>
        <v>0.26550010105473421</v>
      </c>
      <c r="AK70" s="419">
        <f t="shared" si="105"/>
        <v>0.36489862211684188</v>
      </c>
      <c r="AL70" s="409">
        <f t="shared" si="105"/>
        <v>0.37231469532310779</v>
      </c>
      <c r="AM70" s="409">
        <f t="shared" si="105"/>
        <v>0.36058907919119387</v>
      </c>
      <c r="AN70" s="409">
        <f t="shared" si="105"/>
        <v>0.3457486909215195</v>
      </c>
      <c r="AO70" s="419">
        <f t="shared" si="105"/>
        <v>0.35373557061446426</v>
      </c>
      <c r="AP70" s="409">
        <f t="shared" si="105"/>
        <v>0.35440077584844626</v>
      </c>
      <c r="AQ70" s="409">
        <f t="shared" si="105"/>
        <v>0.35310958246796292</v>
      </c>
      <c r="AR70" s="409">
        <f t="shared" si="105"/>
        <v>0.34163861818111552</v>
      </c>
      <c r="AS70" s="419">
        <f t="shared" si="105"/>
        <v>0.34230197559393771</v>
      </c>
      <c r="AT70" s="409">
        <f t="shared" si="105"/>
        <v>0.36968590866826651</v>
      </c>
      <c r="AU70" s="409">
        <f t="shared" si="105"/>
        <v>0.37387374867723466</v>
      </c>
      <c r="AV70" s="409">
        <f t="shared" si="105"/>
        <v>0.34859632440760541</v>
      </c>
      <c r="AW70" s="419">
        <f t="shared" si="105"/>
        <v>0.35098435443001746</v>
      </c>
      <c r="AX70" s="409">
        <f t="shared" si="105"/>
        <v>0.33521143166213324</v>
      </c>
      <c r="AY70" s="409">
        <f t="shared" si="105"/>
        <v>0.34032272553955767</v>
      </c>
      <c r="AZ70" s="409">
        <f t="shared" si="105"/>
        <v>0.34268967124417593</v>
      </c>
      <c r="BA70" s="419">
        <f t="shared" si="105"/>
        <v>0.33997847502973932</v>
      </c>
      <c r="BB70" s="409">
        <f t="shared" si="105"/>
        <v>0.33907486773225648</v>
      </c>
      <c r="BC70" s="409">
        <f t="shared" si="105"/>
        <v>0.3366238612602086</v>
      </c>
      <c r="BD70" s="409">
        <f t="shared" si="105"/>
        <v>0.3328361881902463</v>
      </c>
      <c r="BE70" s="409">
        <f t="shared" si="105"/>
        <v>0.27716950805709339</v>
      </c>
      <c r="BF70" s="420">
        <f t="shared" si="105"/>
        <v>0.27617112478080552</v>
      </c>
      <c r="BG70" s="409">
        <f t="shared" si="105"/>
        <v>0.28015645919197751</v>
      </c>
      <c r="BH70" s="409">
        <f t="shared" si="105"/>
        <v>0.2810254590614743</v>
      </c>
      <c r="BI70" s="419">
        <f t="shared" ref="BI70:BW70" si="106">+BI68/(BI68+BI50)</f>
        <v>0.28038007190549563</v>
      </c>
      <c r="BJ70" s="409">
        <f t="shared" si="106"/>
        <v>0.28688102974570001</v>
      </c>
      <c r="BK70" s="409">
        <f t="shared" si="106"/>
        <v>0.28151287903488753</v>
      </c>
      <c r="BL70" s="409">
        <f t="shared" si="106"/>
        <v>0.27484138150734028</v>
      </c>
      <c r="BM70" s="409">
        <f t="shared" si="106"/>
        <v>0.2761139028475712</v>
      </c>
      <c r="BN70" s="420">
        <f t="shared" si="106"/>
        <v>0.2789698994860233</v>
      </c>
      <c r="BO70" s="409">
        <f t="shared" si="106"/>
        <v>0.27878056975505228</v>
      </c>
      <c r="BP70" s="409">
        <f t="shared" si="106"/>
        <v>0.28363145274646528</v>
      </c>
      <c r="BQ70" s="419">
        <f t="shared" si="106"/>
        <v>0.28818055612826965</v>
      </c>
      <c r="BR70" s="409">
        <f t="shared" si="106"/>
        <v>0.2904057914736638</v>
      </c>
      <c r="BS70" s="409">
        <f t="shared" si="106"/>
        <v>0.2928338898746734</v>
      </c>
      <c r="BT70" s="409">
        <f t="shared" si="106"/>
        <v>0.29459448166357927</v>
      </c>
      <c r="BU70" s="419">
        <f t="shared" si="106"/>
        <v>0.29188906775113671</v>
      </c>
      <c r="BV70" s="409">
        <f t="shared" si="106"/>
        <v>0.29232879844518123</v>
      </c>
      <c r="BW70" s="409">
        <f t="shared" si="106"/>
        <v>0.29356699841338524</v>
      </c>
      <c r="BX70" s="409">
        <f t="shared" ref="BX70:CC70" si="107">+BX68/(BX68+BX50)</f>
        <v>0.29513647929678466</v>
      </c>
      <c r="BY70" s="419">
        <f t="shared" si="107"/>
        <v>0.29817629627445486</v>
      </c>
      <c r="BZ70" s="409">
        <f t="shared" si="107"/>
        <v>0.29648218886026473</v>
      </c>
      <c r="CA70" s="409">
        <f t="shared" si="107"/>
        <v>0.29394311745137414</v>
      </c>
      <c r="CB70" s="409">
        <f t="shared" si="107"/>
        <v>0.29644886790750818</v>
      </c>
      <c r="CC70" s="419">
        <f t="shared" si="107"/>
        <v>0.29515028858406417</v>
      </c>
      <c r="CD70" s="409">
        <f>+CD68/(CD68+CD50)</f>
        <v>0.29690258143359333</v>
      </c>
      <c r="CE70" s="409">
        <f>+CE68/(CE68+CE50)</f>
        <v>0.32995184337254285</v>
      </c>
      <c r="CF70" s="409">
        <f>+CF68/(CF68+CF50)</f>
        <v>0.33077310167651031</v>
      </c>
      <c r="CG70" s="419">
        <f t="shared" ref="CG70" si="108">+CG68/(CG68+CG50)</f>
        <v>0.33286570140377814</v>
      </c>
      <c r="CH70" s="409">
        <f>+CH68/(CH68+CH50)</f>
        <v>0.33273775177616233</v>
      </c>
      <c r="CI70" s="409">
        <f>+CI68/(CI68+CI50)</f>
        <v>0.33309691121789325</v>
      </c>
      <c r="CJ70" s="409">
        <f>+CJ68/(CJ68+CJ50)</f>
        <v>0.33332854590433336</v>
      </c>
      <c r="CK70" s="419">
        <f>+CK68/(CK68+CK50)</f>
        <v>0.33329708076166653</v>
      </c>
      <c r="CL70" s="368"/>
    </row>
    <row r="71" spans="1:90">
      <c r="A71" s="365" t="s">
        <v>963</v>
      </c>
      <c r="B71" s="365"/>
      <c r="C71" s="365"/>
      <c r="D71" s="656"/>
      <c r="E71" s="656"/>
      <c r="F71" s="656"/>
      <c r="G71" s="656"/>
      <c r="H71" s="656"/>
      <c r="I71" s="656"/>
      <c r="J71" s="656"/>
      <c r="K71" s="656">
        <f>+K68/IS!K60</f>
        <v>2.4414327202323332</v>
      </c>
      <c r="L71" s="656">
        <f ca="1">+L68/IS!L60</f>
        <v>2.7677117199333297</v>
      </c>
      <c r="M71" s="656">
        <f>+M68/IS!M60</f>
        <v>2.5534419728607722</v>
      </c>
      <c r="N71" s="656">
        <f>+N68/IS!N60</f>
        <v>2.8210441334768568</v>
      </c>
      <c r="O71" s="656">
        <f>+O68/IS!O60</f>
        <v>2.9312251843448669</v>
      </c>
      <c r="P71" s="656">
        <f>+P68/IS!P60</f>
        <v>2.9167868474185172</v>
      </c>
      <c r="Q71" s="656">
        <f>+Q68/IS!Q60</f>
        <v>3.0228773222785197</v>
      </c>
      <c r="R71" s="656">
        <f>+R68/IS!R60</f>
        <v>5.7316924946824672</v>
      </c>
      <c r="S71" s="656">
        <f>+S68/IS!S60</f>
        <v>4.1567912979260626</v>
      </c>
      <c r="T71" s="656">
        <f>+T68/IS!T60</f>
        <v>3.9721168626203713</v>
      </c>
      <c r="U71" s="656">
        <f>+U68/IS!U60</f>
        <v>3.8413613774152511</v>
      </c>
      <c r="V71" s="656">
        <f>+V68/IS!V60</f>
        <v>3.7529584060530126</v>
      </c>
      <c r="W71" s="656">
        <f>+W68/IS!W60</f>
        <v>3.6543427925496181</v>
      </c>
      <c r="X71" s="656">
        <f>+X68/IS!X60</f>
        <v>3.5547467383393463</v>
      </c>
      <c r="Y71" s="2544"/>
      <c r="Z71" s="658"/>
      <c r="AA71" s="656"/>
      <c r="AB71" s="656"/>
      <c r="AC71" s="657"/>
      <c r="AD71" s="659"/>
      <c r="AE71" s="658"/>
      <c r="AF71" s="658"/>
      <c r="AG71" s="657"/>
      <c r="AH71" s="656"/>
      <c r="AI71" s="656"/>
      <c r="AJ71" s="656"/>
      <c r="AK71" s="657"/>
      <c r="AL71" s="656"/>
      <c r="AM71" s="656"/>
      <c r="AN71" s="656"/>
      <c r="AO71" s="657"/>
      <c r="AP71" s="656"/>
      <c r="AQ71" s="656"/>
      <c r="AR71" s="656"/>
      <c r="AS71" s="657"/>
      <c r="AT71" s="656"/>
      <c r="AU71" s="656"/>
      <c r="AV71" s="656"/>
      <c r="AW71" s="657"/>
      <c r="AX71" s="656"/>
      <c r="AY71" s="656"/>
      <c r="AZ71" s="656"/>
      <c r="BA71" s="656"/>
      <c r="BB71" s="659"/>
      <c r="BC71" s="656"/>
      <c r="BD71" s="656"/>
      <c r="BE71" s="656"/>
      <c r="BF71" s="659"/>
      <c r="BG71" s="656"/>
      <c r="BH71" s="656"/>
      <c r="BI71" s="657"/>
      <c r="BJ71" s="656"/>
      <c r="BK71" s="656"/>
      <c r="BL71" s="656"/>
      <c r="BM71" s="656"/>
      <c r="BN71" s="659"/>
      <c r="BO71" s="656"/>
      <c r="BP71" s="656"/>
      <c r="BQ71" s="657"/>
      <c r="BR71" s="656"/>
      <c r="BS71" s="656"/>
      <c r="BT71" s="656"/>
      <c r="BU71" s="657"/>
      <c r="BV71" s="656"/>
      <c r="BW71" s="656"/>
      <c r="BX71" s="656"/>
      <c r="BY71" s="657"/>
      <c r="BZ71" s="656"/>
      <c r="CA71" s="656"/>
      <c r="CB71" s="656"/>
      <c r="CC71" s="657"/>
      <c r="CD71" s="656"/>
      <c r="CE71" s="656"/>
      <c r="CF71" s="656"/>
      <c r="CG71" s="657"/>
      <c r="CH71" s="656"/>
      <c r="CI71" s="656"/>
      <c r="CJ71" s="656"/>
      <c r="CK71" s="657"/>
      <c r="CL71" s="368"/>
    </row>
    <row r="72" spans="1:90">
      <c r="A72" s="365"/>
      <c r="B72" s="365"/>
      <c r="C72" s="365"/>
      <c r="D72" s="399"/>
      <c r="E72" s="399"/>
      <c r="F72" s="399"/>
      <c r="G72" s="399"/>
      <c r="H72" s="399"/>
      <c r="I72" s="399"/>
      <c r="J72" s="399"/>
      <c r="K72" s="399"/>
      <c r="L72" s="399"/>
      <c r="M72" s="399"/>
      <c r="N72" s="399"/>
      <c r="O72" s="399"/>
      <c r="P72" s="399"/>
      <c r="Q72" s="399"/>
      <c r="R72" s="399"/>
      <c r="S72" s="2634"/>
      <c r="T72" s="399"/>
      <c r="U72" s="399"/>
      <c r="V72" s="399"/>
      <c r="W72" s="2634"/>
      <c r="X72" s="2634"/>
      <c r="Y72" s="2544"/>
      <c r="Z72" s="425"/>
      <c r="AA72" s="399"/>
      <c r="AB72" s="399"/>
      <c r="AC72" s="400"/>
      <c r="AD72" s="407"/>
      <c r="AE72" s="368"/>
      <c r="AF72" s="368"/>
      <c r="AG72" s="400"/>
      <c r="AH72" s="399"/>
      <c r="AI72" s="399"/>
      <c r="AJ72" s="399"/>
      <c r="AK72" s="400"/>
      <c r="AL72" s="399"/>
      <c r="AM72" s="399"/>
      <c r="AN72" s="399"/>
      <c r="AO72" s="400"/>
      <c r="AP72" s="399"/>
      <c r="AQ72" s="399"/>
      <c r="AR72" s="399"/>
      <c r="AS72" s="400"/>
      <c r="AT72" s="399"/>
      <c r="AU72" s="399"/>
      <c r="AV72" s="399"/>
      <c r="AW72" s="400"/>
      <c r="AX72" s="399"/>
      <c r="AY72" s="399"/>
      <c r="AZ72" s="399"/>
      <c r="BA72" s="399"/>
      <c r="BB72" s="407"/>
      <c r="BC72" s="399"/>
      <c r="BD72" s="399"/>
      <c r="BE72" s="399"/>
      <c r="BF72" s="407"/>
      <c r="BG72" s="399"/>
      <c r="BH72" s="399"/>
      <c r="BI72" s="400"/>
      <c r="BJ72" s="399"/>
      <c r="BK72" s="2135"/>
      <c r="BL72" s="2135"/>
      <c r="BM72" s="2135"/>
      <c r="BN72" s="2227"/>
      <c r="BO72" s="2135"/>
      <c r="BP72" s="2135"/>
      <c r="BQ72" s="2595"/>
      <c r="BR72" s="2135"/>
      <c r="BS72" s="2135"/>
      <c r="BT72" s="2135"/>
      <c r="BU72" s="2595"/>
      <c r="BV72" s="2135"/>
      <c r="BW72" s="2135"/>
      <c r="BX72" s="2135"/>
      <c r="BY72" s="2595"/>
      <c r="BZ72" s="2135"/>
      <c r="CA72" s="2135"/>
      <c r="CB72" s="2135"/>
      <c r="CC72" s="2595"/>
      <c r="CD72" s="2135"/>
      <c r="CE72" s="2135"/>
      <c r="CF72" s="2135"/>
      <c r="CG72" s="2595"/>
      <c r="CH72" s="2634"/>
      <c r="CI72" s="2634"/>
      <c r="CJ72" s="2634"/>
      <c r="CK72" s="2596"/>
      <c r="CL72" s="368"/>
    </row>
    <row r="73" spans="1:90" ht="13.5" customHeight="1">
      <c r="A73" s="365" t="s">
        <v>965</v>
      </c>
      <c r="B73" s="365"/>
      <c r="C73" s="365"/>
      <c r="D73" s="425">
        <f t="shared" ref="D73:P73" si="109">+D68-D11</f>
        <v>2978.5740000000001</v>
      </c>
      <c r="E73" s="425">
        <f t="shared" si="109"/>
        <v>2644.4209999999998</v>
      </c>
      <c r="F73" s="425">
        <f t="shared" si="109"/>
        <v>9543.9600000000009</v>
      </c>
      <c r="G73" s="425">
        <f t="shared" si="109"/>
        <v>8970.1960000000017</v>
      </c>
      <c r="H73" s="425">
        <f t="shared" si="109"/>
        <v>8788.8529999999992</v>
      </c>
      <c r="I73" s="425">
        <f t="shared" si="109"/>
        <v>21699.199000029152</v>
      </c>
      <c r="J73" s="425">
        <f t="shared" si="109"/>
        <v>19708.555987869153</v>
      </c>
      <c r="K73" s="408">
        <f t="shared" si="109"/>
        <v>19631</v>
      </c>
      <c r="L73" s="408">
        <f t="shared" si="109"/>
        <v>21708</v>
      </c>
      <c r="M73" s="408">
        <f t="shared" si="109"/>
        <v>20394</v>
      </c>
      <c r="N73" s="408">
        <f t="shared" si="109"/>
        <v>20798</v>
      </c>
      <c r="O73" s="408">
        <f t="shared" si="109"/>
        <v>20542.564138000002</v>
      </c>
      <c r="P73" s="408">
        <f t="shared" ca="1" si="109"/>
        <v>20097</v>
      </c>
      <c r="Q73" s="408">
        <f t="shared" ref="Q73:X73" ca="1" si="110">+Q68-Q11</f>
        <v>19464</v>
      </c>
      <c r="R73" s="408">
        <f t="shared" ca="1" si="110"/>
        <v>37137</v>
      </c>
      <c r="S73" s="408">
        <f t="shared" ca="1" si="110"/>
        <v>36186.17302860901</v>
      </c>
      <c r="T73" s="408">
        <f t="shared" ca="1" si="110"/>
        <v>35435.407130557367</v>
      </c>
      <c r="U73" s="408">
        <f t="shared" ca="1" si="110"/>
        <v>34478.518292739391</v>
      </c>
      <c r="V73" s="408">
        <f t="shared" ca="1" si="110"/>
        <v>33359.365268208072</v>
      </c>
      <c r="W73" s="408">
        <f t="shared" ca="1" si="110"/>
        <v>32090.103325219097</v>
      </c>
      <c r="X73" s="408">
        <f t="shared" ca="1" si="110"/>
        <v>31069.525197471423</v>
      </c>
      <c r="Y73" s="2544"/>
      <c r="Z73" s="425"/>
      <c r="AA73" s="408"/>
      <c r="AB73" s="408"/>
      <c r="AC73" s="426">
        <f t="shared" ref="AC73:BH73" si="111">+AC68-AC11</f>
        <v>2978.5740000000001</v>
      </c>
      <c r="AD73" s="425">
        <f t="shared" si="111"/>
        <v>2915.9569999999999</v>
      </c>
      <c r="AE73" s="425">
        <f t="shared" si="111"/>
        <v>2908.8540000000003</v>
      </c>
      <c r="AF73" s="425">
        <f t="shared" si="111"/>
        <v>2853.145</v>
      </c>
      <c r="AG73" s="426">
        <f t="shared" si="111"/>
        <v>2644.4209999999998</v>
      </c>
      <c r="AH73" s="425">
        <f t="shared" si="111"/>
        <v>2509.683</v>
      </c>
      <c r="AI73" s="425">
        <f t="shared" si="111"/>
        <v>2553.0719999999997</v>
      </c>
      <c r="AJ73" s="425">
        <f t="shared" si="111"/>
        <v>2366.3450000000003</v>
      </c>
      <c r="AK73" s="426">
        <f t="shared" si="111"/>
        <v>9543.9600000000009</v>
      </c>
      <c r="AL73" s="425">
        <f t="shared" si="111"/>
        <v>9717.0494408708455</v>
      </c>
      <c r="AM73" s="425">
        <f t="shared" si="111"/>
        <v>9316.9490000000005</v>
      </c>
      <c r="AN73" s="425">
        <f t="shared" si="111"/>
        <v>9088.2300000000014</v>
      </c>
      <c r="AO73" s="426">
        <f t="shared" si="111"/>
        <v>8970.1960000000017</v>
      </c>
      <c r="AP73" s="425">
        <f t="shared" si="111"/>
        <v>8562.5110000000004</v>
      </c>
      <c r="AQ73" s="425">
        <f t="shared" si="111"/>
        <v>9311.8550000000014</v>
      </c>
      <c r="AR73" s="425">
        <f t="shared" si="111"/>
        <v>8806.7569999999996</v>
      </c>
      <c r="AS73" s="426">
        <f t="shared" si="111"/>
        <v>8788.8529999999992</v>
      </c>
      <c r="AT73" s="425">
        <f t="shared" si="111"/>
        <v>22029.215000029155</v>
      </c>
      <c r="AU73" s="425">
        <f t="shared" si="111"/>
        <v>22246.687000029153</v>
      </c>
      <c r="AV73" s="425">
        <f t="shared" si="111"/>
        <v>22195.666000029156</v>
      </c>
      <c r="AW73" s="426">
        <f t="shared" si="111"/>
        <v>21699.199000029152</v>
      </c>
      <c r="AX73" s="425">
        <f t="shared" si="111"/>
        <v>20850.064997149155</v>
      </c>
      <c r="AY73" s="425">
        <f t="shared" si="111"/>
        <v>20496.203450589157</v>
      </c>
      <c r="AZ73" s="425">
        <f t="shared" si="111"/>
        <v>20049.260852509156</v>
      </c>
      <c r="BA73" s="426">
        <f t="shared" si="111"/>
        <v>19708.555987869153</v>
      </c>
      <c r="BB73" s="425">
        <f t="shared" si="111"/>
        <v>20097.570927589157</v>
      </c>
      <c r="BC73" s="425">
        <f t="shared" si="111"/>
        <v>19710.330752949158</v>
      </c>
      <c r="BD73" s="425">
        <f t="shared" si="111"/>
        <v>18349.130494469155</v>
      </c>
      <c r="BE73" s="425">
        <f t="shared" si="111"/>
        <v>19631</v>
      </c>
      <c r="BF73" s="553">
        <f t="shared" si="111"/>
        <v>19150</v>
      </c>
      <c r="BG73" s="425">
        <f t="shared" si="111"/>
        <v>18798</v>
      </c>
      <c r="BH73" s="425">
        <f t="shared" si="111"/>
        <v>21053</v>
      </c>
      <c r="BI73" s="426">
        <f t="shared" ref="BI73:BW73" si="112">+BI68-BI11</f>
        <v>21708</v>
      </c>
      <c r="BJ73" s="425">
        <f t="shared" si="112"/>
        <v>21337</v>
      </c>
      <c r="BK73" s="425">
        <f t="shared" si="112"/>
        <v>21304</v>
      </c>
      <c r="BL73" s="425">
        <f t="shared" si="112"/>
        <v>20512</v>
      </c>
      <c r="BM73" s="425">
        <f t="shared" si="112"/>
        <v>20394</v>
      </c>
      <c r="BN73" s="553">
        <f t="shared" si="112"/>
        <v>20312</v>
      </c>
      <c r="BO73" s="425">
        <f t="shared" si="112"/>
        <v>20371</v>
      </c>
      <c r="BP73" s="425">
        <f t="shared" si="112"/>
        <v>20316</v>
      </c>
      <c r="BQ73" s="426">
        <f t="shared" si="112"/>
        <v>20798</v>
      </c>
      <c r="BR73" s="425">
        <f t="shared" si="112"/>
        <v>20721</v>
      </c>
      <c r="BS73" s="425">
        <f t="shared" si="112"/>
        <v>20778</v>
      </c>
      <c r="BT73" s="425">
        <f t="shared" si="112"/>
        <v>20417</v>
      </c>
      <c r="BU73" s="426">
        <f t="shared" si="112"/>
        <v>20542.564138000002</v>
      </c>
      <c r="BV73" s="425">
        <f t="shared" ca="1" si="112"/>
        <v>20301</v>
      </c>
      <c r="BW73" s="425">
        <f t="shared" ca="1" si="112"/>
        <v>20198</v>
      </c>
      <c r="BX73" s="425">
        <f t="shared" ref="BX73:CC73" ca="1" si="113">+BX68-BX11</f>
        <v>20059</v>
      </c>
      <c r="BY73" s="426">
        <f t="shared" ca="1" si="113"/>
        <v>20097</v>
      </c>
      <c r="BZ73" s="425">
        <f t="shared" ca="1" si="113"/>
        <v>19585</v>
      </c>
      <c r="CA73" s="425">
        <f t="shared" ca="1" si="113"/>
        <v>19423</v>
      </c>
      <c r="CB73" s="425">
        <f t="shared" ca="1" si="113"/>
        <v>19576</v>
      </c>
      <c r="CC73" s="426">
        <f t="shared" ca="1" si="113"/>
        <v>19464</v>
      </c>
      <c r="CD73" s="425">
        <f ca="1">+CD68-CD11</f>
        <v>19463</v>
      </c>
      <c r="CE73" s="425">
        <f ca="1">+CE68-CE11</f>
        <v>18720</v>
      </c>
      <c r="CF73" s="425">
        <f ca="1">+CF68-CF11</f>
        <v>18814</v>
      </c>
      <c r="CG73" s="426">
        <f t="shared" ref="CG73" ca="1" si="114">+CG68-CG11</f>
        <v>37137</v>
      </c>
      <c r="CH73" s="425">
        <f ca="1">+CH68-CH11</f>
        <v>36909.928907023845</v>
      </c>
      <c r="CI73" s="425">
        <f ca="1">+CI68-CI11</f>
        <v>36724.921472278882</v>
      </c>
      <c r="CJ73" s="425">
        <f ca="1">+CJ68-CJ11</f>
        <v>36488.577520690953</v>
      </c>
      <c r="CK73" s="426">
        <f ca="1">+CK68-CK11</f>
        <v>36186.17302860901</v>
      </c>
      <c r="CL73" s="368"/>
    </row>
    <row r="74" spans="1:90">
      <c r="A74" s="365" t="s">
        <v>966</v>
      </c>
      <c r="B74" s="365"/>
      <c r="C74" s="365"/>
      <c r="D74" s="409">
        <f t="shared" ref="D74:P74" si="115">+D73/(D73+D49)</f>
        <v>0.4612873600956468</v>
      </c>
      <c r="E74" s="409">
        <f t="shared" si="115"/>
        <v>0.43679216330651222</v>
      </c>
      <c r="F74" s="409">
        <f t="shared" si="115"/>
        <v>0.78939421597582116</v>
      </c>
      <c r="G74" s="409">
        <f t="shared" si="115"/>
        <v>0.76713274878011894</v>
      </c>
      <c r="H74" s="409">
        <f t="shared" si="115"/>
        <v>0.70524892437509112</v>
      </c>
      <c r="I74" s="409">
        <f t="shared" si="115"/>
        <v>0.78087146240947147</v>
      </c>
      <c r="J74" s="409">
        <f t="shared" si="115"/>
        <v>0.71214925151327679</v>
      </c>
      <c r="K74" s="409">
        <f t="shared" si="115"/>
        <v>0.47235322425409049</v>
      </c>
      <c r="L74" s="409">
        <f t="shared" si="115"/>
        <v>0.51035617726578109</v>
      </c>
      <c r="M74" s="409">
        <f t="shared" si="115"/>
        <v>0.51392283849507348</v>
      </c>
      <c r="N74" s="409">
        <f t="shared" si="115"/>
        <v>0.54747426886730366</v>
      </c>
      <c r="O74" s="409">
        <f t="shared" si="115"/>
        <v>0.57759702779608979</v>
      </c>
      <c r="P74" s="409">
        <f t="shared" ca="1" si="115"/>
        <v>0.5883713440875955</v>
      </c>
      <c r="Q74" s="409">
        <f t="shared" ref="Q74:X74" ca="1" si="116">+Q73/(Q73+Q49)</f>
        <v>0.59227702887746092</v>
      </c>
      <c r="R74" s="409">
        <f t="shared" ca="1" si="116"/>
        <v>0.61253876096852944</v>
      </c>
      <c r="S74" s="409">
        <f t="shared" ca="1" si="116"/>
        <v>0.62220953188672457</v>
      </c>
      <c r="T74" s="409">
        <f t="shared" ca="1" si="116"/>
        <v>0.62989328977146108</v>
      </c>
      <c r="U74" s="409">
        <f t="shared" ca="1" si="116"/>
        <v>0.63299564060456037</v>
      </c>
      <c r="V74" s="409">
        <f t="shared" ca="1" si="116"/>
        <v>0.63342553701702342</v>
      </c>
      <c r="W74" s="409">
        <f t="shared" ca="1" si="116"/>
        <v>0.63070435731281826</v>
      </c>
      <c r="X74" s="409">
        <f t="shared" ca="1" si="116"/>
        <v>0.62743720273173409</v>
      </c>
      <c r="Y74" s="2544"/>
      <c r="Z74" s="371"/>
      <c r="AA74" s="409"/>
      <c r="AB74" s="409"/>
      <c r="AC74" s="419">
        <f t="shared" ref="AC74:BH74" si="117">+AC73/(AC73+AC49)</f>
        <v>0.4612873600956468</v>
      </c>
      <c r="AD74" s="420">
        <f t="shared" si="117"/>
        <v>0.46061298129514078</v>
      </c>
      <c r="AE74" s="371">
        <f t="shared" si="117"/>
        <v>0.46452490083835862</v>
      </c>
      <c r="AF74" s="371">
        <f t="shared" si="117"/>
        <v>0.45570917233811808</v>
      </c>
      <c r="AG74" s="419">
        <f t="shared" si="117"/>
        <v>0.43679216330651222</v>
      </c>
      <c r="AH74" s="409">
        <f t="shared" si="117"/>
        <v>0.42258615995273169</v>
      </c>
      <c r="AI74" s="409">
        <f t="shared" si="117"/>
        <v>0.42578315290454133</v>
      </c>
      <c r="AJ74" s="409">
        <f t="shared" si="117"/>
        <v>0.3996002891022632</v>
      </c>
      <c r="AK74" s="419">
        <f t="shared" si="117"/>
        <v>0.78939421597582116</v>
      </c>
      <c r="AL74" s="409">
        <f t="shared" si="117"/>
        <v>0.81228441361440817</v>
      </c>
      <c r="AM74" s="409">
        <f t="shared" si="117"/>
        <v>0.78720306832600095</v>
      </c>
      <c r="AN74" s="409">
        <f t="shared" si="117"/>
        <v>0.74504259579781362</v>
      </c>
      <c r="AO74" s="419">
        <f t="shared" si="117"/>
        <v>0.76713274878011894</v>
      </c>
      <c r="AP74" s="409">
        <f t="shared" si="117"/>
        <v>0.75382571008529908</v>
      </c>
      <c r="AQ74" s="409">
        <f t="shared" si="117"/>
        <v>0.74590978820782539</v>
      </c>
      <c r="AR74" s="409">
        <f t="shared" si="117"/>
        <v>0.716393840551239</v>
      </c>
      <c r="AS74" s="419">
        <f t="shared" si="117"/>
        <v>0.70524892437509112</v>
      </c>
      <c r="AT74" s="409">
        <f t="shared" si="117"/>
        <v>0.8383395429628826</v>
      </c>
      <c r="AU74" s="409">
        <f t="shared" si="117"/>
        <v>0.84589051200706478</v>
      </c>
      <c r="AV74" s="409">
        <f t="shared" si="117"/>
        <v>0.72073430799561922</v>
      </c>
      <c r="AW74" s="409">
        <f t="shared" si="117"/>
        <v>0.78087146240947147</v>
      </c>
      <c r="AX74" s="420">
        <f t="shared" si="117"/>
        <v>0.72350945188857807</v>
      </c>
      <c r="AY74" s="409">
        <f t="shared" si="117"/>
        <v>0.71946922999261731</v>
      </c>
      <c r="AZ74" s="409">
        <f t="shared" si="117"/>
        <v>0.7138311112976875</v>
      </c>
      <c r="BA74" s="409">
        <f t="shared" si="117"/>
        <v>0.71214925151327679</v>
      </c>
      <c r="BB74" s="420">
        <f t="shared" si="117"/>
        <v>0.71144073004455166</v>
      </c>
      <c r="BC74" s="409">
        <f t="shared" si="117"/>
        <v>0.70978309284382402</v>
      </c>
      <c r="BD74" s="409">
        <f t="shared" si="117"/>
        <v>0.69196583056561189</v>
      </c>
      <c r="BE74" s="409">
        <f t="shared" si="117"/>
        <v>0.47235322425409049</v>
      </c>
      <c r="BF74" s="420">
        <f t="shared" si="117"/>
        <v>0.46603879194957532</v>
      </c>
      <c r="BG74" s="409">
        <f t="shared" si="117"/>
        <v>0.46484829001706274</v>
      </c>
      <c r="BH74" s="409">
        <f t="shared" si="117"/>
        <v>0.48927467521903834</v>
      </c>
      <c r="BI74" s="419">
        <f t="shared" ref="BI74:BW74" si="118">+BI73/(BI73+BI49)</f>
        <v>0.51035617726578109</v>
      </c>
      <c r="BJ74" s="409">
        <f t="shared" si="118"/>
        <v>0.5083263847528291</v>
      </c>
      <c r="BK74" s="409">
        <f t="shared" si="118"/>
        <v>0.51193079418478915</v>
      </c>
      <c r="BL74" s="409">
        <f t="shared" si="118"/>
        <v>0.50386892333390654</v>
      </c>
      <c r="BM74" s="409">
        <f t="shared" si="118"/>
        <v>0.51392283849507348</v>
      </c>
      <c r="BN74" s="420">
        <f t="shared" si="118"/>
        <v>0.51858660130718959</v>
      </c>
      <c r="BO74" s="409">
        <f t="shared" si="118"/>
        <v>0.52541257621995063</v>
      </c>
      <c r="BP74" s="409">
        <f t="shared" si="118"/>
        <v>0.54863624088576834</v>
      </c>
      <c r="BQ74" s="419">
        <f t="shared" si="118"/>
        <v>0.54747426886730366</v>
      </c>
      <c r="BR74" s="409">
        <f t="shared" si="118"/>
        <v>0.55228017804312479</v>
      </c>
      <c r="BS74" s="409">
        <f t="shared" si="118"/>
        <v>0.55591823630136983</v>
      </c>
      <c r="BT74" s="409">
        <f t="shared" si="118"/>
        <v>0.55387662091042267</v>
      </c>
      <c r="BU74" s="419">
        <f t="shared" si="118"/>
        <v>0.57759702779608979</v>
      </c>
      <c r="BV74" s="409">
        <f t="shared" ca="1" si="118"/>
        <v>0.57893686191752691</v>
      </c>
      <c r="BW74" s="409">
        <f t="shared" ca="1" si="118"/>
        <v>0.58065258013511567</v>
      </c>
      <c r="BX74" s="409">
        <f t="shared" ref="BX74:CC74" ca="1" si="119">+BX73/(BX73+BX49)</f>
        <v>0.58465708706170394</v>
      </c>
      <c r="BY74" s="419">
        <f t="shared" ca="1" si="119"/>
        <v>0.5883713440875955</v>
      </c>
      <c r="BZ74" s="409">
        <f t="shared" ca="1" si="119"/>
        <v>0.58252282799440824</v>
      </c>
      <c r="CA74" s="409">
        <f t="shared" ca="1" si="119"/>
        <v>0.58138769157088122</v>
      </c>
      <c r="CB74" s="409">
        <f t="shared" ca="1" si="119"/>
        <v>0.58491693558025581</v>
      </c>
      <c r="CC74" s="419">
        <f t="shared" ca="1" si="119"/>
        <v>0.59227702887746092</v>
      </c>
      <c r="CD74" s="409">
        <f ca="1">+CD73/(CD73+CD49)</f>
        <v>0.59394549726876011</v>
      </c>
      <c r="CE74" s="409">
        <f ca="1">+CE73/(CE73+CE49)</f>
        <v>0.58856819468024901</v>
      </c>
      <c r="CF74" s="409">
        <f ca="1">+CF73/(CF73+CF49)</f>
        <v>0.5921193428589413</v>
      </c>
      <c r="CG74" s="419">
        <f t="shared" ref="CG74" ca="1" si="120">+CG73/(CG73+CG49)</f>
        <v>0.61253876096852944</v>
      </c>
      <c r="CH74" s="409">
        <f ca="1">+CH73/(CH73+CH49)</f>
        <v>0.61556853780033782</v>
      </c>
      <c r="CI74" s="409">
        <f ca="1">+CI73/(CI73+CI49)</f>
        <v>0.61847611823278692</v>
      </c>
      <c r="CJ74" s="409">
        <f ca="1">+CJ73/(CJ73+CJ49)</f>
        <v>0.62079294026560872</v>
      </c>
      <c r="CK74" s="419">
        <f ca="1">+CK73/(CK73+CK49)</f>
        <v>0.62220953188672457</v>
      </c>
      <c r="CL74" s="368"/>
    </row>
    <row r="75" spans="1:90">
      <c r="A75" s="365" t="s">
        <v>967</v>
      </c>
      <c r="B75" s="365"/>
      <c r="C75" s="365"/>
      <c r="D75" s="656"/>
      <c r="E75" s="656"/>
      <c r="F75" s="656"/>
      <c r="G75" s="656"/>
      <c r="H75" s="656"/>
      <c r="I75" s="656"/>
      <c r="J75" s="656">
        <f>+J73/IS!J60</f>
        <v>2.3932483821158868</v>
      </c>
      <c r="K75" s="656">
        <f>+K73/IS!K60</f>
        <v>2.375484027105518</v>
      </c>
      <c r="L75" s="656">
        <f ca="1">+L73/IS!L60</f>
        <v>2.7514877274369263</v>
      </c>
      <c r="M75" s="656">
        <f>+M73/IS!M60</f>
        <v>2.5272941322262841</v>
      </c>
      <c r="N75" s="656">
        <f>+N73/IS!N60</f>
        <v>2.7984391819160388</v>
      </c>
      <c r="O75" s="656">
        <f>+O73/IS!O60</f>
        <v>2.9130124982983552</v>
      </c>
      <c r="P75" s="656">
        <f ca="1">+P73/IS!P60</f>
        <v>2.898327083934237</v>
      </c>
      <c r="Q75" s="656">
        <f ca="1">+Q73/IS!Q60</f>
        <v>2.9884845693228925</v>
      </c>
      <c r="R75" s="656">
        <f ca="1">+R73/IS!R60</f>
        <v>5.6422060164083865</v>
      </c>
      <c r="S75" s="656">
        <f ca="1">+S73/IS!S60</f>
        <v>4.090234375270394</v>
      </c>
      <c r="T75" s="656">
        <f ca="1">+T73/IS!T60</f>
        <v>3.8642025586027473</v>
      </c>
      <c r="U75" s="656">
        <f ca="1">+U73/IS!U60</f>
        <v>3.6892604044633517</v>
      </c>
      <c r="V75" s="656">
        <f ca="1">+V73/IS!V60</f>
        <v>3.5391183124781453</v>
      </c>
      <c r="W75" s="656">
        <f ca="1">+W73/IS!W60</f>
        <v>3.3649422610814042</v>
      </c>
      <c r="X75" s="656">
        <f ca="1">+X73/IS!X60</f>
        <v>3.2176050504723577</v>
      </c>
      <c r="Y75" s="2544"/>
      <c r="Z75" s="658"/>
      <c r="AA75" s="656"/>
      <c r="AB75" s="656"/>
      <c r="AC75" s="657"/>
      <c r="AD75" s="659"/>
      <c r="AE75" s="658"/>
      <c r="AF75" s="658"/>
      <c r="AG75" s="657"/>
      <c r="AH75" s="656"/>
      <c r="AI75" s="656"/>
      <c r="AJ75" s="656"/>
      <c r="AK75" s="657"/>
      <c r="AL75" s="656"/>
      <c r="AM75" s="656"/>
      <c r="AN75" s="656"/>
      <c r="AO75" s="657"/>
      <c r="AP75" s="656"/>
      <c r="AQ75" s="656"/>
      <c r="AR75" s="656"/>
      <c r="AS75" s="657"/>
      <c r="AT75" s="656"/>
      <c r="AU75" s="656"/>
      <c r="AV75" s="656"/>
      <c r="AW75" s="656"/>
      <c r="AX75" s="659">
        <f>+AX73/SUM(IS!AV60:AY60)</f>
        <v>2.4862271194363275</v>
      </c>
      <c r="AY75" s="656">
        <f>+AY73/SUM(IS!AW60:AZ60)</f>
        <v>2.4591957001204219</v>
      </c>
      <c r="AZ75" s="656">
        <f>+AZ73/SUM(IS!AX60:BA60)</f>
        <v>2.3941551386743583</v>
      </c>
      <c r="BA75" s="656">
        <f>+BA73/SUM(IS!AY60:BB60)</f>
        <v>2.3932483821158859</v>
      </c>
      <c r="BB75" s="659">
        <f>+BB73/SUM(IS!AZ60:BC60)</f>
        <v>2.4466672762878279</v>
      </c>
      <c r="BC75" s="656">
        <f>+BC73/SUM(IS!BA60:BD60)</f>
        <v>2.3986082650381344</v>
      </c>
      <c r="BD75" s="656">
        <f>+BD73/SUM(IS!BB60:BE60)</f>
        <v>2.2196729310541943</v>
      </c>
      <c r="BE75" s="656">
        <f>+BE73/SUM(IS!BC60:BF60)</f>
        <v>2.375484027105518</v>
      </c>
      <c r="BF75" s="659">
        <f ca="1">+BF73/SUM(IS!BD60:BG60)</f>
        <v>2.328890402296055</v>
      </c>
      <c r="BG75" s="656">
        <f ca="1">+BG73/SUM(IS!BE60:BH60)</f>
        <v>2.3093933511879898</v>
      </c>
      <c r="BH75" s="656">
        <f ca="1">+BH73/SUM(IS!BF60:BI60)</f>
        <v>2.644251299957296</v>
      </c>
      <c r="BI75" s="657">
        <f ca="1">+BI73/SUM(IS!BG60:BJ60)</f>
        <v>2.7895859569765351</v>
      </c>
      <c r="BJ75" s="659">
        <f>+BJ73/SUM(IS!BH60:BK60)</f>
        <v>2.7844186349993474</v>
      </c>
      <c r="BK75" s="656">
        <f>+BK73/SUM(IS!BI60:BL60)</f>
        <v>2.8090717299578061</v>
      </c>
      <c r="BL75" s="656">
        <f>+BL73/SUM(IS!BJ60:BM60)</f>
        <v>2.7028594017657137</v>
      </c>
      <c r="BM75" s="657">
        <f>+BM73/SUM(IS!BK60:BN60)</f>
        <v>2.6634452135301032</v>
      </c>
      <c r="BN75" s="659">
        <f>+BN73/SUM(IS!BL60:BO60)</f>
        <v>2.6565524457232539</v>
      </c>
      <c r="BO75" s="656">
        <f>+BO73/SUM(IS!BM60:BP60)</f>
        <v>2.6789847448711206</v>
      </c>
      <c r="BP75" s="656">
        <f>+BP73/SUM(IS!BN60:BQ60)</f>
        <v>2.7051930758988014</v>
      </c>
      <c r="BQ75" s="657">
        <f>+BQ73/SUM(IS!BO60:BR60)</f>
        <v>2.7984391819160388</v>
      </c>
      <c r="BR75" s="659">
        <f>+BR73/SUM(IS!BP60:BS60)</f>
        <v>2.8435570193495265</v>
      </c>
      <c r="BS75" s="656">
        <f>+BS73/SUM(IS!BQ60:BT60)</f>
        <v>2.8694931639276344</v>
      </c>
      <c r="BT75" s="656">
        <f>+BT73/SUM(IS!BR60:BU60)</f>
        <v>2.8431973262776773</v>
      </c>
      <c r="BU75" s="657">
        <f>+BU73/SUM(IS!BS60:BV60)</f>
        <v>2.9130124982983552</v>
      </c>
      <c r="BV75" s="659">
        <f ca="1">+BV73/SUM(IS!BT60:BW60)</f>
        <v>2.9051230681167715</v>
      </c>
      <c r="BW75" s="656">
        <f ca="1">+BW73/SUM(IS!BU60:BX60)</f>
        <v>2.9711679905854664</v>
      </c>
      <c r="BX75" s="656">
        <f ca="1">+BX73/SUM(IS!BV60:BY60)</f>
        <v>2.937326109240006</v>
      </c>
      <c r="BY75" s="657">
        <f ca="1">+BY73/SUM(IS!BW60:BZ60)</f>
        <v>2.898327083934237</v>
      </c>
      <c r="BZ75" s="659">
        <f ca="1">+BZ73/SUM(IS!BX60:CA60)</f>
        <v>2.8408761241659413</v>
      </c>
      <c r="CA75" s="656">
        <f ca="1">+CA73/SUM(IS!BY60:CB60)</f>
        <v>2.8067919075144507</v>
      </c>
      <c r="CB75" s="656">
        <f ca="1">+CB73/SUM(IS!BZ60:CC60)</f>
        <v>2.9044510385756674</v>
      </c>
      <c r="CC75" s="657">
        <f ca="1">+CC73/SUM(IS!CA60:CD60)</f>
        <v>2.9884845693228925</v>
      </c>
      <c r="CD75" s="659">
        <f ca="1">+CD73/SUM(IS!CB60:CE60)</f>
        <v>3.0597390347429649</v>
      </c>
      <c r="CE75" s="656">
        <f ca="1">+CE73/SUM(IS!CC60:CF60)</f>
        <v>3.0414297319252639</v>
      </c>
      <c r="CF75" s="656">
        <f ca="1">+CF73/SUM(IS!CD60:CG60)</f>
        <v>3.1588314304902618</v>
      </c>
      <c r="CG75" s="657">
        <f ca="1">+CG73/SUM(IS!CE60:CH60)</f>
        <v>5.6422060164083865</v>
      </c>
      <c r="CH75" s="656">
        <f ca="1">+CH73/SUM(IS!CF60:CI60)</f>
        <v>5.1411959845351527</v>
      </c>
      <c r="CI75" s="656">
        <f ca="1">+CI73/SUM(IS!CG60:CJ60)</f>
        <v>4.6334256592078749</v>
      </c>
      <c r="CJ75" s="656">
        <f ca="1">+CJ73/SUM(IS!CH60:CK60)</f>
        <v>4.1652764355876304</v>
      </c>
      <c r="CK75" s="657">
        <f ca="1">+CK73/SUM(IS!CI60:CL60)</f>
        <v>4.0902343752703949</v>
      </c>
      <c r="CL75" s="368"/>
    </row>
    <row r="76" spans="1:90">
      <c r="A76" s="365"/>
      <c r="B76" s="365"/>
      <c r="C76" s="365"/>
      <c r="D76" s="399"/>
      <c r="E76" s="399"/>
      <c r="F76" s="399"/>
      <c r="G76" s="399"/>
      <c r="H76" s="399"/>
      <c r="I76" s="399"/>
      <c r="J76" s="399"/>
      <c r="K76" s="399"/>
      <c r="L76" s="399"/>
      <c r="M76" s="399"/>
      <c r="N76" s="399"/>
      <c r="O76" s="399"/>
      <c r="P76" s="399"/>
      <c r="Q76" s="399"/>
      <c r="R76" s="399"/>
      <c r="S76" s="2634"/>
      <c r="T76" s="399"/>
      <c r="U76" s="399"/>
      <c r="V76" s="399"/>
      <c r="W76" s="2634"/>
      <c r="X76" s="2634"/>
      <c r="Y76" s="2544"/>
      <c r="Z76" s="368"/>
      <c r="AA76" s="399"/>
      <c r="AB76" s="399"/>
      <c r="AC76" s="400"/>
      <c r="AD76" s="407"/>
      <c r="AE76" s="368"/>
      <c r="AF76" s="368"/>
      <c r="AG76" s="400"/>
      <c r="AH76" s="399"/>
      <c r="AI76" s="399"/>
      <c r="AJ76" s="399"/>
      <c r="AK76" s="400"/>
      <c r="AL76" s="399"/>
      <c r="AM76" s="399"/>
      <c r="AN76" s="399"/>
      <c r="AO76" s="400"/>
      <c r="AP76" s="399"/>
      <c r="AQ76" s="399"/>
      <c r="AR76" s="399"/>
      <c r="AS76" s="400"/>
      <c r="AT76" s="399"/>
      <c r="AU76" s="399"/>
      <c r="AV76" s="399"/>
      <c r="AW76" s="399"/>
      <c r="AX76" s="407"/>
      <c r="AY76" s="399"/>
      <c r="AZ76" s="399"/>
      <c r="BA76" s="399"/>
      <c r="BB76" s="407"/>
      <c r="BC76" s="399"/>
      <c r="BD76" s="399"/>
      <c r="BE76" s="399"/>
      <c r="BF76" s="407"/>
      <c r="BG76" s="399"/>
      <c r="BH76" s="399"/>
      <c r="BI76" s="400"/>
      <c r="BJ76" s="407"/>
      <c r="BK76" s="399"/>
      <c r="BL76" s="399"/>
      <c r="BM76" s="399"/>
      <c r="BN76" s="407"/>
      <c r="BO76" s="399"/>
      <c r="BP76" s="399"/>
      <c r="BQ76" s="400"/>
      <c r="BR76" s="399"/>
      <c r="BS76" s="399"/>
      <c r="BT76" s="399"/>
      <c r="BU76" s="400"/>
      <c r="BV76" s="399"/>
      <c r="BW76" s="399"/>
      <c r="BX76" s="399"/>
      <c r="BY76" s="400"/>
      <c r="BZ76" s="399"/>
      <c r="CA76" s="399"/>
      <c r="CB76" s="399"/>
      <c r="CC76" s="400"/>
      <c r="CD76" s="2634"/>
      <c r="CE76" s="2634"/>
      <c r="CF76" s="2634"/>
      <c r="CG76" s="2596">
        <f ca="1">+CG73/IS!CH60/4</f>
        <v>4.1991180461329716</v>
      </c>
      <c r="CH76" s="2634"/>
      <c r="CI76" s="2634"/>
      <c r="CJ76" s="2634"/>
      <c r="CK76" s="2596"/>
      <c r="CL76" s="368"/>
    </row>
    <row r="77" spans="1:90" ht="12.75" customHeight="1">
      <c r="A77" s="365" t="s">
        <v>968</v>
      </c>
      <c r="B77" s="365"/>
      <c r="C77" s="365"/>
      <c r="D77" s="656">
        <f>IS!E60/-IS!E76</f>
        <v>0.12655234990594719</v>
      </c>
      <c r="E77" s="656">
        <f>IS!E60/-IS!E76</f>
        <v>0.12655234990594719</v>
      </c>
      <c r="F77" s="656">
        <f>IS!F60/-IS!F76</f>
        <v>2.9794870516686334E-2</v>
      </c>
      <c r="G77" s="656">
        <f>IS!G60/-IS!G76</f>
        <v>3.3667334621831095</v>
      </c>
      <c r="H77" s="656">
        <f>IS!H60/-IS!H76</f>
        <v>3.1136240342965573</v>
      </c>
      <c r="I77" s="656">
        <f>IS!I60/-IS!I76</f>
        <v>5.0142324174077659</v>
      </c>
      <c r="J77" s="656">
        <f>IS!J60/-IS!J76</f>
        <v>4.9574988878072945</v>
      </c>
      <c r="K77" s="656">
        <f>IS!K60/-IS!K76</f>
        <v>5.7749825296995105</v>
      </c>
      <c r="L77" s="656">
        <f ca="1">IS!L60/-IS!L76</f>
        <v>5.9275356874530427</v>
      </c>
      <c r="M77" s="656">
        <f>IS!M60/-IS!M76</f>
        <v>6.1178923426838514</v>
      </c>
      <c r="N77" s="656">
        <f>IS!N60/-IS!N76</f>
        <v>5.7257318952234204</v>
      </c>
      <c r="O77" s="656">
        <f>IS!O60/-IS!O76</f>
        <v>5.3790999237223494</v>
      </c>
      <c r="P77" s="656">
        <f>IS!P60/-IS!P76</f>
        <v>5.2850609756097562</v>
      </c>
      <c r="Q77" s="656">
        <f>IS!Q60/-IS!Q76</f>
        <v>4.9415781487101667</v>
      </c>
      <c r="R77" s="656">
        <f>IS!R60/-IS!R76</f>
        <v>4.4442943956785959</v>
      </c>
      <c r="S77" s="656">
        <f>IS!S60/-IS!S76</f>
        <v>4.1377709825243487</v>
      </c>
      <c r="T77" s="656">
        <f>IS!T60/-IS!T76</f>
        <v>4.4035235088672033</v>
      </c>
      <c r="U77" s="656">
        <f>IS!U60/-IS!U76</f>
        <v>4.5823473172309415</v>
      </c>
      <c r="V77" s="656">
        <f>IS!V60/-IS!V76</f>
        <v>4.7317313118347641</v>
      </c>
      <c r="W77" s="656">
        <f>IS!W60/-IS!W76</f>
        <v>4.9027364320101965</v>
      </c>
      <c r="X77" s="656">
        <f>IS!X60/-IS!X76</f>
        <v>5.0854229695823898</v>
      </c>
      <c r="Y77" s="2544"/>
      <c r="Z77" s="658"/>
      <c r="AA77" s="656"/>
      <c r="AB77" s="656"/>
      <c r="AC77" s="657">
        <f>IS!AD60/-IS!AD76</f>
        <v>5.9981627985452359</v>
      </c>
      <c r="AD77" s="659">
        <f>IS!AE60/-IS!AE76</f>
        <v>5.9103781664541417</v>
      </c>
      <c r="AE77" s="658">
        <f>IS!AF60/-IS!AF76</f>
        <v>6.0400836331443415</v>
      </c>
      <c r="AF77" s="658">
        <f>IS!AG60/-IS!AG76</f>
        <v>5.9079043201594672</v>
      </c>
      <c r="AG77" s="657">
        <f>IS!AH60/-IS!AH76</f>
        <v>5.9896703915860643</v>
      </c>
      <c r="AH77" s="656">
        <f>IS!AI60/-IS!AI76</f>
        <v>6.0089638141904373</v>
      </c>
      <c r="AI77" s="656">
        <f>IS!AJ60/-IS!AJ76</f>
        <v>6.3716639474691323</v>
      </c>
      <c r="AJ77" s="656">
        <f>IS!AK60/-IS!AK76</f>
        <v>6.82552500801539</v>
      </c>
      <c r="AK77" s="656">
        <f>IS!AL60/-IS!AL76</f>
        <v>6.2105188916876575</v>
      </c>
      <c r="AL77" s="659">
        <f>IS!AM60/-IS!AM76</f>
        <v>5.564784232895799</v>
      </c>
      <c r="AM77" s="656">
        <f>IS!AN60/-IS!AN76</f>
        <v>5.7819380978981405</v>
      </c>
      <c r="AN77" s="656">
        <f>IS!AO60/-IS!AO76</f>
        <v>5.7040224097841401</v>
      </c>
      <c r="AO77" s="657">
        <f>IS!AP60/-IS!AP76</f>
        <v>5.7849383815887165</v>
      </c>
      <c r="AP77" s="656">
        <f>IS!AQ60/-IS!AQ76</f>
        <v>5.3700655160752264</v>
      </c>
      <c r="AQ77" s="656">
        <f>IS!AR60/-IS!AR76</f>
        <v>5.2104591087104009</v>
      </c>
      <c r="AR77" s="656">
        <f>IS!AS60/-IS!AS76</f>
        <v>5.427271626411855</v>
      </c>
      <c r="AS77" s="657">
        <f>IS!AT60/-IS!AT76</f>
        <v>5.4354278425074893</v>
      </c>
      <c r="AT77" s="656">
        <f>IS!AU60/-IS!AU76</f>
        <v>5.0014413145539898</v>
      </c>
      <c r="AU77" s="656">
        <f>IS!AV60/-IS!AV76</f>
        <v>5.0251738095238103</v>
      </c>
      <c r="AV77" s="656">
        <f>IS!AW60/-IS!AW76</f>
        <v>4.8132839805825247</v>
      </c>
      <c r="AW77" s="656">
        <f>IS!AX60/-IS!AX76</f>
        <v>5.2154728565791899</v>
      </c>
      <c r="AX77" s="659">
        <f>IS!AY60/-IS!AY76</f>
        <v>5.2544660962461043</v>
      </c>
      <c r="AY77" s="656">
        <f>IS!AZ60/-IS!AZ76</f>
        <v>4.9457492270994425</v>
      </c>
      <c r="AZ77" s="656">
        <f>IS!BA60/-IS!BA76</f>
        <v>4.8471228451890855</v>
      </c>
      <c r="BA77" s="656">
        <f>IS!BB60/-IS!BB76</f>
        <v>4.794116395914374</v>
      </c>
      <c r="BB77" s="659">
        <f>IS!BC60/-IS!BC76</f>
        <v>5.671159029649596</v>
      </c>
      <c r="BC77" s="656">
        <f>IS!BD60/-IS!BD76</f>
        <v>5.7119113573407203</v>
      </c>
      <c r="BD77" s="656">
        <f>IS!BE60/-IS!BE76</f>
        <v>5.8531073446327682</v>
      </c>
      <c r="BE77" s="656">
        <f>IS!BF60/-IS!BF76</f>
        <v>5.8724637681159422</v>
      </c>
      <c r="BF77" s="659">
        <f ca="1">IS!BG60/-IS!BG76</f>
        <v>5.9446685878962544</v>
      </c>
      <c r="BG77" s="656">
        <f>IS!BH60/-IS!BH76</f>
        <v>6.242902208201893</v>
      </c>
      <c r="BH77" s="656">
        <f>IS!BI60/-IS!BI76</f>
        <v>5.7920489296636086</v>
      </c>
      <c r="BI77" s="657">
        <f>IS!BJ60/-IS!BJ76</f>
        <v>5.4294117647058826</v>
      </c>
      <c r="BJ77" s="659">
        <f>IS!BK60/-IS!BK76</f>
        <v>5.6676384839650149</v>
      </c>
      <c r="BK77" s="656">
        <f>IS!BL60/-IS!BL76</f>
        <v>5.6716417910447765</v>
      </c>
      <c r="BL77" s="656">
        <f>IS!BM60/-IS!BM76</f>
        <v>5.8251533742331292</v>
      </c>
      <c r="BM77" s="656">
        <f>IS!BN60/-IS!BN76</f>
        <v>6.0761904761904759</v>
      </c>
      <c r="BN77" s="659">
        <f>IS!BO60/-IS!BO76</f>
        <v>6.1170886075949369</v>
      </c>
      <c r="BO77" s="656">
        <f>IS!BP60/-IS!BP76</f>
        <v>5.7169230769230772</v>
      </c>
      <c r="BP77" s="656">
        <f>IS!BQ60/-IS!BQ76</f>
        <v>5.4863221884498481</v>
      </c>
      <c r="BQ77" s="657">
        <f>IS!BR60/-IS!BR76</f>
        <v>5.5975609756097562</v>
      </c>
      <c r="BR77" s="656">
        <f>IS!BS60/-IS!BS76</f>
        <v>5.4018126888217521</v>
      </c>
      <c r="BS77" s="656">
        <f>IS!BT60/-IS!BT76</f>
        <v>5.5753846153846158</v>
      </c>
      <c r="BT77" s="656">
        <f>IS!BU60/-IS!BU76</f>
        <v>5.3692307692307688</v>
      </c>
      <c r="BU77" s="657">
        <f>IS!BV60/-IS!BV76</f>
        <v>5.1727272727272728</v>
      </c>
      <c r="BV77" s="656">
        <f>IS!BW60/-IS!BW76</f>
        <v>5.2560975609756095</v>
      </c>
      <c r="BW77" s="656">
        <f>IS!BX60/-IS!BX76</f>
        <v>4.9602446483180431</v>
      </c>
      <c r="BX77" s="656">
        <f>IS!BY60/-IS!BY76</f>
        <v>5.3981762917933134</v>
      </c>
      <c r="BY77" s="657">
        <f>IS!BZ60/-IS!BZ76</f>
        <v>5.524390243902439</v>
      </c>
      <c r="BZ77" s="656">
        <f>IS!CA60/-IS!CA76</f>
        <v>5.0876132930513593</v>
      </c>
      <c r="CA77" s="656">
        <f>IS!CB60/-IS!CB76</f>
        <v>4.8470588235294114</v>
      </c>
      <c r="CB77" s="656">
        <f>IS!CC60/-IS!CC76</f>
        <v>4.8807339449541285</v>
      </c>
      <c r="CC77" s="657">
        <f>IS!CD60/-IS!CD76</f>
        <v>4.953125</v>
      </c>
      <c r="CD77" s="656">
        <f>IS!CE60/-IS!CE76</f>
        <v>4.817610062893082</v>
      </c>
      <c r="CE77" s="656">
        <f>IS!CF60/-IS!CF76</f>
        <v>4.5062499999999996</v>
      </c>
      <c r="CF77" s="656">
        <f>IS!CG60/-IS!CG76</f>
        <v>3.8591160220994474</v>
      </c>
      <c r="CG77" s="657">
        <f>IS!CH60/-IS!CH76</f>
        <v>4.5966735966735968</v>
      </c>
      <c r="CH77" s="656">
        <f>IS!CI60/-IS!CI76</f>
        <v>3.9465313283070116</v>
      </c>
      <c r="CI77" s="656">
        <f>IS!CJ60/-IS!CJ76</f>
        <v>4.087797502317815</v>
      </c>
      <c r="CJ77" s="656">
        <f>IS!CK60/-IS!CK76</f>
        <v>4.1863687066527469</v>
      </c>
      <c r="CK77" s="657">
        <f>IS!CL60/-IS!CL76</f>
        <v>4.33400217913902</v>
      </c>
      <c r="CL77" s="368"/>
    </row>
    <row r="78" spans="1:90">
      <c r="A78" s="369" t="s">
        <v>969</v>
      </c>
      <c r="B78" s="365"/>
      <c r="C78" s="365"/>
      <c r="D78" s="658"/>
      <c r="E78" s="658">
        <f>(IS!E60+CFS!E34)/-IS!E76</f>
        <v>-1.6991485470336551</v>
      </c>
      <c r="F78" s="658">
        <f>(IS!F60+CFS!F34)/-IS!F76</f>
        <v>-2.0383091149273453</v>
      </c>
      <c r="G78" s="658">
        <f>(IS!G60+CFS!G34)/-IS!G76</f>
        <v>1.442280366697654</v>
      </c>
      <c r="H78" s="658">
        <f>(IS!H60+CFS!H34)/-IS!H76</f>
        <v>1.506953621196653</v>
      </c>
      <c r="I78" s="658">
        <f>(IS!I60+CFS!I34)/-IS!I76</f>
        <v>3.3777930073540148</v>
      </c>
      <c r="J78" s="658">
        <f>(IS!J60+CFS!J34)/-IS!J76</f>
        <v>3.5057523991155404</v>
      </c>
      <c r="K78" s="658">
        <f>(IS!K60+CFS!K34)/-IS!K76</f>
        <v>3.9942585604472396</v>
      </c>
      <c r="L78" s="658">
        <f ca="1">(IS!L60+CFS!L34)/-IS!L76</f>
        <v>3.7565432006010511</v>
      </c>
      <c r="M78" s="658">
        <f>(IS!M60+CFS!M34)/-IS!M76</f>
        <v>3.9048521607278239</v>
      </c>
      <c r="N78" s="658">
        <f>(IS!N60+CFS!N34)/-IS!N76</f>
        <v>3.3775038520801233</v>
      </c>
      <c r="O78" s="658">
        <f>(IS!O60+CFS!O34)/-IS!O76</f>
        <v>3.054919908466819</v>
      </c>
      <c r="P78" s="658">
        <f>(IS!P60+CFS!P34)/-IS!P76</f>
        <v>3.0960365853658538</v>
      </c>
      <c r="Q78" s="658">
        <f>(IS!Q60+CFS!Q34)/-IS!Q76</f>
        <v>2.6798179059180578</v>
      </c>
      <c r="R78" s="658">
        <f>(IS!R60+CFS!R34)/-IS!R76</f>
        <v>2.3470627954085077</v>
      </c>
      <c r="S78" s="658">
        <f>(IS!S60+CFS!S34)/-IS!S76</f>
        <v>2.3369894284344097</v>
      </c>
      <c r="T78" s="658">
        <f>(IS!T60+CFS!T34)/-IS!T76</f>
        <v>2.591274640197649</v>
      </c>
      <c r="U78" s="658">
        <f>(IS!U60+CFS!U34)/-IS!U76</f>
        <v>2.7473463892411076</v>
      </c>
      <c r="V78" s="658">
        <f>(IS!V60+CFS!V34)/-IS!V76</f>
        <v>2.8651992101660397</v>
      </c>
      <c r="W78" s="658">
        <f>(IS!W60+CFS!W34)/-IS!W76</f>
        <v>2.9970621740611643</v>
      </c>
      <c r="X78" s="658">
        <f>(IS!X60+CFS!X34)/-IS!X76</f>
        <v>3.1372206359925943</v>
      </c>
      <c r="Y78" s="2544"/>
      <c r="Z78" s="658"/>
      <c r="AA78" s="656"/>
      <c r="AB78" s="656"/>
      <c r="AC78" s="661">
        <f>(IS!AD60+CFS!Z34)/-IS!AD76</f>
        <v>3.7207828727831718</v>
      </c>
      <c r="AD78" s="658">
        <f>(IS!AE60+CFS!AA34)/-IS!AE76</f>
        <v>4.7352454180385584</v>
      </c>
      <c r="AE78" s="658">
        <f>(IS!AF60+CFS!AB34)/-IS!AF76</f>
        <v>4.2644050556612463</v>
      </c>
      <c r="AF78" s="658">
        <f>(IS!AG60+CFS!AC34)/-IS!AG76</f>
        <v>4.0375666040556606</v>
      </c>
      <c r="AG78" s="661">
        <f>(IS!AH60+CFS!AD34)/-IS!AH76</f>
        <v>3.5158418630857353</v>
      </c>
      <c r="AH78" s="658">
        <f>(IS!AI60+CFS!AE34)/-IS!AI76</f>
        <v>4.5525287289272587</v>
      </c>
      <c r="AI78" s="658">
        <f>(IS!AJ60+CFS!AF34)/-IS!AJ76</f>
        <v>4.3169375793099283</v>
      </c>
      <c r="AJ78" s="658">
        <f>(IS!AK60+CFS!AG34)/-IS!AK76</f>
        <v>4.72060355883296</v>
      </c>
      <c r="AK78" s="661">
        <f>(IS!AL60+CFS!AH34)/-IS!AL76</f>
        <v>3.5321511335012596</v>
      </c>
      <c r="AL78" s="658">
        <f>(IS!AM60+CFS!AI34)/-IS!AM76</f>
        <v>4.0469695026420096</v>
      </c>
      <c r="AM78" s="658">
        <f>(IS!AN60+CFS!AJ34)/-IS!AN76</f>
        <v>3.5511929886484133</v>
      </c>
      <c r="AN78" s="658">
        <f>(IS!AO60+CFS!AK34)/-IS!AO76</f>
        <v>3.6133030630366711</v>
      </c>
      <c r="AO78" s="661">
        <f>(IS!AP60+CFS!AL34)/-IS!AP76</f>
        <v>3.9138945805493699</v>
      </c>
      <c r="AP78" s="658">
        <f>(IS!AQ60+CFS!AM34)/-IS!AQ76</f>
        <v>4.0409432480611711</v>
      </c>
      <c r="AQ78" s="658">
        <f>(IS!AR60+CFS!AN34)/-IS!AR76</f>
        <v>3.8962530788012826</v>
      </c>
      <c r="AR78" s="658">
        <f>(IS!AS60+CFS!AO34)/-IS!AS76</f>
        <v>3.9276514234131104</v>
      </c>
      <c r="AS78" s="661">
        <f>(IS!AT60+CFS!AP34)/-IS!AT76</f>
        <v>3.1305338207993079</v>
      </c>
      <c r="AT78" s="658">
        <f>(IS!AU60+CFS!AQ34)/-IS!AU76</f>
        <v>3.4809272300469472</v>
      </c>
      <c r="AU78" s="658">
        <f>(IS!AV60+CFS!AR34)/-IS!AV76</f>
        <v>3.1855095238095243</v>
      </c>
      <c r="AV78" s="658">
        <f>(IS!AW60+CFS!AS34)/-IS!AW76</f>
        <v>3.0982208737864085</v>
      </c>
      <c r="AW78" s="661">
        <f>(IS!AX60+CFS!AT34)/-IS!AX76</f>
        <v>3.7435088681660278</v>
      </c>
      <c r="AX78" s="658">
        <f>(IS!AY60+CFS!AU34)/-IS!AY76</f>
        <v>4.0632696968198223</v>
      </c>
      <c r="AY78" s="658">
        <f>(IS!AZ60+CFS!AV34)/-IS!AZ76</f>
        <v>3.5546363223625894</v>
      </c>
      <c r="AZ78" s="658">
        <f>(IS!BA60+CFS!AW34)/-IS!BA76</f>
        <v>3.3439047066773364</v>
      </c>
      <c r="BA78" s="661">
        <f>(IS!BB60+CFS!AX34)/-IS!BB76</f>
        <v>3.0844846410897526</v>
      </c>
      <c r="BB78" s="658">
        <f>(IS!BC60+CFS!AY34)/-IS!BC76</f>
        <v>4.0399460916442056</v>
      </c>
      <c r="BC78" s="658">
        <f>(IS!BD60+CFS!AZ34)/-IS!BD76</f>
        <v>4.1162160664819947</v>
      </c>
      <c r="BD78" s="658">
        <f>(IS!BE60+CFS!BA34)/-IS!BE76</f>
        <v>3.9858757062146895</v>
      </c>
      <c r="BE78" s="658">
        <f>(IS!BF60+CFS!BB34)/-IS!BF76</f>
        <v>3.8261159420289856</v>
      </c>
      <c r="BF78" s="660">
        <f ca="1">(IS!BG60+CFS!BC34)/-IS!BG76</f>
        <v>4.0668847262247843</v>
      </c>
      <c r="BG78" s="658">
        <f>(IS!BH60+CFS!BD34)/-IS!BH76</f>
        <v>4.2839116719242902</v>
      </c>
      <c r="BH78" s="658">
        <f>(IS!BI60+CFS!BE34)/-IS!BI76</f>
        <v>3.5871559633027523</v>
      </c>
      <c r="BI78" s="661">
        <f>(IS!BJ60+CFS!BF34)/-IS!BJ76</f>
        <v>2.7941176470588234</v>
      </c>
      <c r="BJ78" s="660">
        <f>(IS!BK60+CFS!BG34)/-IS!BK76</f>
        <v>3.6909620991253642</v>
      </c>
      <c r="BK78" s="658">
        <f>(IS!BL60+CFS!BH34)/-IS!BL76</f>
        <v>3.8</v>
      </c>
      <c r="BL78" s="658">
        <f>(IS!BM60+CFS!BI34)/-IS!BM76</f>
        <v>3.6196319018404908</v>
      </c>
      <c r="BM78" s="658">
        <f>(IS!BN60+CFS!BJ34)/-IS!BN76</f>
        <v>3.234920634920635</v>
      </c>
      <c r="BN78" s="660">
        <f>(IS!BO60+CFS!BK34)/-IS!BO76</f>
        <v>4.018987341772152</v>
      </c>
      <c r="BO78" s="658">
        <f>(IS!BP60+CFS!BL34)/-IS!BP76</f>
        <v>3.4184615384615387</v>
      </c>
      <c r="BP78" s="658">
        <f>(IS!BQ60+CFS!BM34)/-IS!BQ76</f>
        <v>3.0516717325227964</v>
      </c>
      <c r="BQ78" s="661">
        <f>(IS!BR60+CFS!BN34)/-IS!BR76</f>
        <v>3.0457317073170733</v>
      </c>
      <c r="BR78" s="658">
        <f>(IS!BS60+CFS!BO34)/-IS!BS76</f>
        <v>3.3776435045317221</v>
      </c>
      <c r="BS78" s="658">
        <f>(IS!BT60+CFS!BP34)/-IS!BT76</f>
        <v>3.3261538461538462</v>
      </c>
      <c r="BT78" s="658">
        <f>(IS!BU60+CFS!BQ34)/-IS!BU76</f>
        <v>3.1784615384615384</v>
      </c>
      <c r="BU78" s="661">
        <f>(IS!BV60+CFS!BR34)/-IS!BV76</f>
        <v>2.3424242424242423</v>
      </c>
      <c r="BV78" s="658">
        <f>(IS!BW60+CFS!BS34)/-IS!BW76</f>
        <v>3.3780487804878048</v>
      </c>
      <c r="BW78" s="658">
        <f>(IS!BX60+CFS!BT34)/-IS!BX76</f>
        <v>2.9541284403669725</v>
      </c>
      <c r="BX78" s="658">
        <f>(IS!BY60+CFS!BU34)/-IS!BY76</f>
        <v>3.0668693009118542</v>
      </c>
      <c r="BY78" s="661">
        <f>(IS!BZ60+CFS!BV34)/-IS!BZ76</f>
        <v>2.9847560975609757</v>
      </c>
      <c r="BZ78" s="658">
        <f>(IS!CA60+CFS!BW34)/-IS!CA76</f>
        <v>3.2416918429003023</v>
      </c>
      <c r="CA78" s="658">
        <f>(IS!CB60+CFS!BX34)/-IS!CB76</f>
        <v>2.9264705882352939</v>
      </c>
      <c r="CB78" s="658">
        <f>(IS!CC60+CFS!BY34)/-IS!CC76</f>
        <v>2.5993883792048931</v>
      </c>
      <c r="CC78" s="661">
        <f>(IS!CD60+CFS!BZ34)/-IS!CD76</f>
        <v>1.91875</v>
      </c>
      <c r="CD78" s="658">
        <f>(IS!CE60+CFS!CA34)/-IS!CE76</f>
        <v>2.3647798742138364</v>
      </c>
      <c r="CE78" s="658">
        <f>(IS!CF60+CFS!CB34)/-IS!CF76</f>
        <v>1.9125000000000001</v>
      </c>
      <c r="CF78" s="658">
        <f>(IS!CG60+CFS!CC34)/-IS!CG76</f>
        <v>1.7790055248618784</v>
      </c>
      <c r="CG78" s="661">
        <f>(IS!CH60+CFS!CD34)/-IS!CH76</f>
        <v>3.0519750519750519</v>
      </c>
      <c r="CH78" s="658">
        <f>(IS!CI60+CFS!CE34)/-IS!CI76</f>
        <v>2.1496223742240526</v>
      </c>
      <c r="CI78" s="658">
        <f>(IS!CJ60+CFS!CF34)/-IS!CJ76</f>
        <v>2.2826631124954195</v>
      </c>
      <c r="CJ78" s="658">
        <f>(IS!CK60+CFS!CG34)/-IS!CK76</f>
        <v>2.3773944078722669</v>
      </c>
      <c r="CK78" s="661">
        <f>(IS!CL60+CFS!CH34)/-IS!CL76</f>
        <v>2.541911422990506</v>
      </c>
      <c r="CL78" s="368"/>
    </row>
    <row r="79" spans="1:90">
      <c r="A79" s="365"/>
      <c r="B79" s="365"/>
      <c r="C79" s="365"/>
      <c r="D79" s="399"/>
      <c r="E79" s="399"/>
      <c r="F79" s="399"/>
      <c r="G79" s="399"/>
      <c r="H79" s="399"/>
      <c r="I79" s="399"/>
      <c r="J79" s="399"/>
      <c r="K79" s="399"/>
      <c r="L79" s="399"/>
      <c r="M79" s="399"/>
      <c r="N79" s="399"/>
      <c r="O79" s="413"/>
      <c r="P79" s="413"/>
      <c r="Q79" s="413"/>
      <c r="R79" s="413"/>
      <c r="S79" s="413"/>
      <c r="T79" s="413"/>
      <c r="U79" s="413"/>
      <c r="V79" s="399"/>
      <c r="W79" s="2634"/>
      <c r="X79" s="2634"/>
      <c r="Y79" s="2544"/>
      <c r="Z79" s="368"/>
      <c r="AA79" s="399"/>
      <c r="AB79" s="399"/>
      <c r="AC79" s="400"/>
      <c r="AD79" s="407"/>
      <c r="AE79" s="368"/>
      <c r="AF79" s="368"/>
      <c r="AG79" s="399"/>
      <c r="AH79" s="407"/>
      <c r="AI79" s="399"/>
      <c r="AJ79" s="399"/>
      <c r="AK79" s="399"/>
      <c r="AL79" s="407"/>
      <c r="AM79" s="399"/>
      <c r="AN79" s="399"/>
      <c r="AO79" s="400"/>
      <c r="AP79" s="399"/>
      <c r="AQ79" s="399"/>
      <c r="AR79" s="399"/>
      <c r="AS79" s="400"/>
      <c r="AT79" s="399"/>
      <c r="AU79" s="399"/>
      <c r="AV79" s="399"/>
      <c r="AW79" s="399"/>
      <c r="AX79" s="407"/>
      <c r="AY79" s="399"/>
      <c r="AZ79" s="399"/>
      <c r="BA79" s="399"/>
      <c r="BB79" s="407"/>
      <c r="BC79" s="399"/>
      <c r="BD79" s="399"/>
      <c r="BE79" s="399"/>
      <c r="BF79" s="407"/>
      <c r="BG79" s="444"/>
      <c r="BH79" s="444"/>
      <c r="BI79" s="484"/>
      <c r="BJ79" s="444"/>
      <c r="BK79" s="444"/>
      <c r="BL79" s="444"/>
      <c r="BM79" s="444"/>
      <c r="BN79" s="443"/>
      <c r="BO79" s="444"/>
      <c r="BP79" s="444"/>
      <c r="BQ79" s="484"/>
      <c r="BR79" s="444"/>
      <c r="BS79" s="444"/>
      <c r="BT79" s="444"/>
      <c r="BU79" s="484"/>
      <c r="BV79" s="444"/>
      <c r="BW79" s="444"/>
      <c r="BX79" s="444"/>
      <c r="BY79" s="484"/>
      <c r="BZ79" s="444"/>
      <c r="CA79" s="444"/>
      <c r="CB79" s="444"/>
      <c r="CC79" s="484"/>
      <c r="CD79" s="2608"/>
      <c r="CE79" s="3769"/>
      <c r="CF79" s="2608"/>
      <c r="CG79" s="2607"/>
      <c r="CH79" s="2608"/>
      <c r="CI79" s="2608"/>
      <c r="CJ79" s="2608"/>
      <c r="CK79" s="2607"/>
      <c r="CL79" s="368"/>
    </row>
    <row r="80" spans="1:90" ht="12.75" customHeight="1">
      <c r="A80" s="2548" t="s">
        <v>2020</v>
      </c>
      <c r="B80" s="365"/>
      <c r="C80" s="365"/>
      <c r="D80" s="16"/>
      <c r="E80" s="16">
        <f>(-IS!E76)/E69</f>
        <v>6.8153617299472946E-2</v>
      </c>
      <c r="F80" s="16">
        <f>(-IS!F76)/F69</f>
        <v>3.1066770054796015E-2</v>
      </c>
      <c r="G80" s="16">
        <f>(-IS!G76)/G69</f>
        <v>7.1511587105516278E-2</v>
      </c>
      <c r="H80" s="16">
        <f>(-IS!H76)/H69</f>
        <v>8.0140597696275254E-2</v>
      </c>
      <c r="I80" s="16">
        <f>(-IS!I76)/I69</f>
        <v>0.10624024079133951</v>
      </c>
      <c r="J80" s="16">
        <f>(-IS!J76)/J69</f>
        <v>7.4543345257219479E-2</v>
      </c>
      <c r="K80" s="409">
        <f>-IS!K76/BS!K69</f>
        <v>6.7933044318027491E-2</v>
      </c>
      <c r="L80" s="409">
        <f>-IS!L76/BS!L69</f>
        <v>6.3362848709892408E-2</v>
      </c>
      <c r="M80" s="409">
        <f>-IS!M76/BS!M69</f>
        <v>6.2156876605169532E-2</v>
      </c>
      <c r="N80" s="409">
        <f>-IS!N76/BS!N69</f>
        <v>6.2447379182603256E-2</v>
      </c>
      <c r="O80" s="409">
        <f>-IS!O76/BS!O69</f>
        <v>6.2972836659701714E-2</v>
      </c>
      <c r="P80" s="409">
        <f>-IS!P76/BS!P69</f>
        <v>6.416275430359937E-2</v>
      </c>
      <c r="Q80" s="409">
        <f>-IS!Q76/BS!Q69</f>
        <v>6.604364492771779E-2</v>
      </c>
      <c r="R80" s="409">
        <f>-IS!R76/BS!R69</f>
        <v>5.1590204479743614E-2</v>
      </c>
      <c r="S80" s="409">
        <f>-IS!S76/BS!S69</f>
        <v>5.7397887014519942E-2</v>
      </c>
      <c r="T80" s="2889">
        <f>+S80-0.05%</f>
        <v>5.6897887014519942E-2</v>
      </c>
      <c r="U80" s="2889">
        <f>+T80-0.05%</f>
        <v>5.6397887014519942E-2</v>
      </c>
      <c r="V80" s="2889">
        <f>+U80-0.05%</f>
        <v>5.5897887014519941E-2</v>
      </c>
      <c r="W80" s="2889">
        <f>+V80-0.05%</f>
        <v>5.5397887014519941E-2</v>
      </c>
      <c r="X80" s="2889">
        <f>+W80-0.05%</f>
        <v>5.489788701451994E-2</v>
      </c>
      <c r="Y80" s="2544"/>
      <c r="Z80" s="16"/>
      <c r="AA80" s="16"/>
      <c r="AB80" s="16"/>
      <c r="AC80" s="284"/>
      <c r="AD80" s="16">
        <f>(-(SUM(IS!AB76:AE76))/AD69)</f>
        <v>3.3239653712404865E-2</v>
      </c>
      <c r="AE80" s="15">
        <f>(-(SUM(IS!AC76:AF76))/AE69)</f>
        <v>5.1327550774962906E-2</v>
      </c>
      <c r="AF80" s="15">
        <f>(-(SUM(IS!AD76:AG76))/AF69)</f>
        <v>7.0063178572376622E-2</v>
      </c>
      <c r="AG80" s="284">
        <f>(-(SUM(IS!AE76:AH76))/AG69)</f>
        <v>6.9956756620585925E-2</v>
      </c>
      <c r="AH80" s="16">
        <f>(-(SUM(IS!AF76:AI76))/AH69)</f>
        <v>7.176535940451062E-2</v>
      </c>
      <c r="AI80" s="16">
        <f>(-(SUM(IS!AG76:AJ76))/AI69)</f>
        <v>7.2549234543125507E-2</v>
      </c>
      <c r="AJ80" s="16">
        <f>(-(SUM(IS!AH76:AK76))/AJ69)</f>
        <v>7.1804274679258429E-2</v>
      </c>
      <c r="AK80" s="284">
        <f>(-(SUM(IS!AI76:AL76))/AK69)</f>
        <v>3.1497955824197427E-2</v>
      </c>
      <c r="AL80" s="16">
        <f>(-(SUM(IS!AJ76:AM76))/AL69)</f>
        <v>3.2191085012387363E-2</v>
      </c>
      <c r="AM80" s="16">
        <f>(-(SUM(IS!AK76:AN76))/AM69)</f>
        <v>4.5530930079784447E-2</v>
      </c>
      <c r="AN80" s="16">
        <f>(-(SUM(IS!AL76:AO76))/AN69)</f>
        <v>6.0342561144293323E-2</v>
      </c>
      <c r="AO80" s="284">
        <f>(-(SUM(IS!AM76:AP76))/AO69)</f>
        <v>7.4449559619129815E-2</v>
      </c>
      <c r="AP80" s="16">
        <f>(-(SUM(IS!AN76:AQ76))/AP69)</f>
        <v>7.362208190987693E-2</v>
      </c>
      <c r="AQ80" s="16">
        <f>(-(SUM(IS!AO76:AR76))/AQ69)</f>
        <v>7.4044747418048798E-2</v>
      </c>
      <c r="AR80" s="16">
        <f>(-(SUM(IS!AP76:AS76))/AR69)</f>
        <v>7.8014229877788527E-2</v>
      </c>
      <c r="AS80" s="284">
        <f>(-(SUM(IS!AQ76:AT76))/AS69)</f>
        <v>8.0922679694632849E-2</v>
      </c>
      <c r="AT80" s="16">
        <f>(-(SUM(IS!AR76:AU76))/AT69)</f>
        <v>6.1331272452080768E-2</v>
      </c>
      <c r="AU80" s="16">
        <f>(-(SUM(IS!AS76:AV76))/AU69)</f>
        <v>5.2456309531975706E-2</v>
      </c>
      <c r="AV80" s="16">
        <f>(-(SUM(IS!AT76:AW76))/AV69)</f>
        <v>6.1997339947642241E-2</v>
      </c>
      <c r="AW80" s="284">
        <f>(-(SUM(IS!AU76:AX76))/AW69)</f>
        <v>7.3183722410804161E-2</v>
      </c>
      <c r="AX80" s="16">
        <f>(-(SUM(IS!AV76:AY76))/AX69)</f>
        <v>7.4924227626111589E-2</v>
      </c>
      <c r="AY80" s="16">
        <f>(-(SUM(IS!AW76:AZ76))/AY69)</f>
        <v>7.5636820941987842E-2</v>
      </c>
      <c r="AZ80" s="16">
        <f>(-(SUM(IS!AX76:BA76))/AZ69)</f>
        <v>7.4387651461373105E-2</v>
      </c>
      <c r="BA80" s="284">
        <f>(-(SUM(IS!AY76:BB76))/BA69)</f>
        <v>7.4973199001686086E-2</v>
      </c>
      <c r="BB80" s="16">
        <f>(-(SUM(IS!AZ76:BC76))/BB69)</f>
        <v>7.5322656515876718E-2</v>
      </c>
      <c r="BC80" s="16">
        <f>(-(SUM(IS!BA76:BD76))/BC69)</f>
        <v>7.4834170107174025E-2</v>
      </c>
      <c r="BD80" s="16">
        <f>(-(SUM(IS!BB76:BE76))/BD69)</f>
        <v>7.3089899066728845E-2</v>
      </c>
      <c r="BE80" s="16">
        <f>(-(SUM(IS!BC76:BF76))/BE69)</f>
        <v>7.0296445662370338E-2</v>
      </c>
      <c r="BF80" s="1835">
        <f>(-((IS!BG76*4))/BF69)</f>
        <v>6.9365317341329336E-2</v>
      </c>
      <c r="BG80" s="1890">
        <f>(-((IS!BH76*4))/BG69)</f>
        <v>6.1571331455763816E-2</v>
      </c>
      <c r="BH80" s="16">
        <f>(-(SUM(IS!BF76:BI76))/BH69)</f>
        <v>6.1397058823529409E-2</v>
      </c>
      <c r="BI80" s="284">
        <f>(-(SUM(IS!BG76:BJ76))/BI69)</f>
        <v>6.0483504498773065E-2</v>
      </c>
      <c r="BJ80" s="16">
        <f>(-(SUM(IS!BH76:BK76))/BJ69)</f>
        <v>5.9369617251638591E-2</v>
      </c>
      <c r="BK80" s="16">
        <f>(-(SUM(IS!BI76:BL76))/BK69)</f>
        <v>6.0514712498875189E-2</v>
      </c>
      <c r="BL80" s="16">
        <f>(-(SUM(IS!BJ76:BM76))/BL69)</f>
        <v>6.3559622614740727E-2</v>
      </c>
      <c r="BM80" s="16">
        <f>(-(SUM(IS!BK76:BN76))/BM69)</f>
        <v>6.3857084069618264E-2</v>
      </c>
      <c r="BN80" s="7">
        <f>(-(SUM(IS!BL76:BO76))/BN69)</f>
        <v>6.2426014060348367E-2</v>
      </c>
      <c r="BO80" s="16">
        <f>(-(SUM(IS!BM76:BP76))/BO69)</f>
        <v>6.197278418292123E-2</v>
      </c>
      <c r="BP80" s="16">
        <f>(-(SUM(IS!BN76:BQ76))/BP69)</f>
        <v>6.2428644302475286E-2</v>
      </c>
      <c r="BQ80" s="284">
        <f>(-(SUM(IS!BO76:BR76))/BQ69)</f>
        <v>6.2481948589583135E-2</v>
      </c>
      <c r="BR80" s="16">
        <f>(-(SUM(IS!BP76:BS76))/BR69)</f>
        <v>6.2664057652842081E-2</v>
      </c>
      <c r="BS80" s="16">
        <f>(-(SUM(IS!BQ76:BT76))/BS69)</f>
        <v>6.267452683834937E-2</v>
      </c>
      <c r="BT80" s="16">
        <f>(-(SUM(IS!BR76:BU76))/BT69)</f>
        <v>6.2170505818095467E-2</v>
      </c>
      <c r="BU80" s="284">
        <f>(-(SUM(IS!BS76:BV76))/BU69)</f>
        <v>6.2694275740041133E-2</v>
      </c>
      <c r="BV80" s="16">
        <f>(-(SUM(IS!BT76:BW76))/BV69)</f>
        <v>6.3607848858414182E-2</v>
      </c>
      <c r="BW80" s="16">
        <f>(-(SUM(IS!BU76:BX76))/BW69)</f>
        <v>6.4201524173589153E-2</v>
      </c>
      <c r="BX80" s="16">
        <f>(-(SUM(IS!BV76:BY76))/BX69)</f>
        <v>6.4463904628743837E-2</v>
      </c>
      <c r="BY80" s="284">
        <f>(-(SUM(IS!BW76:BZ76))/BY69)</f>
        <v>6.4568517926130067E-2</v>
      </c>
      <c r="BZ80" s="16">
        <f>(-(SUM(IS!BX76:CA76))/BZ69)</f>
        <v>6.5341614906832296E-2</v>
      </c>
      <c r="CA80" s="16">
        <f>(-(SUM(IS!BY76:CB76))/CA69)</f>
        <v>6.7001336999571157E-2</v>
      </c>
      <c r="CB80" s="16">
        <f>(-(SUM(IS!BZ76:CC76))/CB69)</f>
        <v>6.7422586057863429E-2</v>
      </c>
      <c r="CC80" s="284">
        <f>(-(SUM(IS!CA76:CD76))/CC69)</f>
        <v>6.6893366492412329E-2</v>
      </c>
      <c r="CD80" s="16">
        <f>(-(SUM(IS!CB76:CE76))/CD69)</f>
        <v>6.6299184596235419E-2</v>
      </c>
      <c r="CE80" s="16">
        <f>(-(SUM(IS!CC76:CF76))/CE69)</f>
        <v>5.7422468495844134E-2</v>
      </c>
      <c r="CF80" s="16">
        <f>(-(SUM(IS!CD76:CG76))/CF69)</f>
        <v>5.2741983817800417E-2</v>
      </c>
      <c r="CG80" s="284">
        <f>(-(SUM(IS!CE76:CH76))/CG69)</f>
        <v>4.4239768993328689E-2</v>
      </c>
      <c r="CH80" s="3105">
        <v>5.7500000000000002E-2</v>
      </c>
      <c r="CI80" s="3105">
        <v>5.7500000000000002E-2</v>
      </c>
      <c r="CJ80" s="3105">
        <v>5.7500000000000002E-2</v>
      </c>
      <c r="CK80" s="2884">
        <v>5.7500000000000002E-2</v>
      </c>
      <c r="CL80" s="368"/>
    </row>
    <row r="81" spans="1:96" s="3617" customFormat="1" ht="12.75" customHeight="1">
      <c r="A81" s="843" t="s">
        <v>970</v>
      </c>
      <c r="B81" s="843"/>
      <c r="C81" s="843"/>
      <c r="D81" s="16"/>
      <c r="E81" s="16"/>
      <c r="F81" s="16"/>
      <c r="G81" s="16"/>
      <c r="H81" s="16"/>
      <c r="I81" s="16"/>
      <c r="J81" s="16"/>
      <c r="K81" s="409"/>
      <c r="L81" s="409"/>
      <c r="M81" s="409"/>
      <c r="N81" s="409"/>
      <c r="O81" s="409"/>
      <c r="P81" s="409"/>
      <c r="Q81" s="409"/>
      <c r="R81" s="409"/>
      <c r="S81" s="409"/>
      <c r="T81" s="2889"/>
      <c r="U81" s="2889"/>
      <c r="V81" s="2889"/>
      <c r="W81" s="2889"/>
      <c r="X81" s="2889"/>
      <c r="Y81" s="2544"/>
      <c r="Z81" s="16"/>
      <c r="AA81" s="16"/>
      <c r="AB81" s="16"/>
      <c r="AC81" s="284"/>
      <c r="AD81" s="16"/>
      <c r="AE81" s="15"/>
      <c r="AF81" s="15"/>
      <c r="AG81" s="16"/>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835"/>
      <c r="BG81" s="1890"/>
      <c r="BH81" s="16"/>
      <c r="BI81" s="284"/>
      <c r="BJ81" s="16"/>
      <c r="BK81" s="16"/>
      <c r="BL81" s="16"/>
      <c r="BM81" s="16"/>
      <c r="BN81" s="7"/>
      <c r="BO81" s="16"/>
      <c r="BP81" s="16"/>
      <c r="BQ81" s="284"/>
      <c r="BR81" s="16"/>
      <c r="BS81" s="16"/>
      <c r="BT81" s="16"/>
      <c r="BU81" s="284"/>
      <c r="BV81" s="16"/>
      <c r="BW81" s="16"/>
      <c r="BX81" s="16"/>
      <c r="BY81" s="284"/>
      <c r="BZ81" s="16">
        <f t="shared" ref="BZ81:CE81" si="121">+BZ82*4/BZ69</f>
        <v>6.5788819875776394E-2</v>
      </c>
      <c r="CA81" s="16">
        <f t="shared" si="121"/>
        <v>6.8615827047753583E-2</v>
      </c>
      <c r="CB81" s="16">
        <f t="shared" si="121"/>
        <v>6.6507347333096045E-2</v>
      </c>
      <c r="CC81" s="284">
        <f t="shared" si="121"/>
        <v>6.4964726183829868E-2</v>
      </c>
      <c r="CD81" s="16">
        <f t="shared" si="121"/>
        <v>6.4622653491503035E-2</v>
      </c>
      <c r="CE81" s="16">
        <f t="shared" si="121"/>
        <v>5.719903476628832E-2</v>
      </c>
      <c r="CF81" s="16">
        <f>+CF82*4/CF69</f>
        <v>5.7856358006193188E-2</v>
      </c>
      <c r="CG81" s="284">
        <f t="shared" ref="CG81" si="122">+CG82*4/CG69</f>
        <v>5.7472866673304791E-2</v>
      </c>
      <c r="CH81" s="3105"/>
      <c r="CI81" s="3105"/>
      <c r="CJ81" s="3105"/>
      <c r="CK81" s="2884"/>
      <c r="CL81" s="2606"/>
      <c r="CM81"/>
      <c r="CN81"/>
      <c r="CO81"/>
      <c r="CP81"/>
      <c r="CQ81"/>
      <c r="CR81"/>
    </row>
    <row r="82" spans="1:96">
      <c r="A82" s="2548" t="s">
        <v>2019</v>
      </c>
      <c r="B82" s="365"/>
      <c r="C82" s="365"/>
      <c r="D82" s="16"/>
      <c r="E82" s="16"/>
      <c r="F82" s="16"/>
      <c r="G82" s="16"/>
      <c r="H82" s="16"/>
      <c r="I82" s="16"/>
      <c r="J82" s="16"/>
      <c r="K82" s="273"/>
      <c r="L82" s="273"/>
      <c r="M82" s="273"/>
      <c r="N82" s="273"/>
      <c r="O82" s="273"/>
      <c r="P82" s="273"/>
      <c r="Q82" s="408">
        <f>+SUM(BZ82:CC82)</f>
        <v>1318</v>
      </c>
      <c r="R82" s="408">
        <f>+SUM(CD82:CG82)</f>
        <v>1481</v>
      </c>
      <c r="S82" s="408">
        <f>+SUM(CH82:CK82)</f>
        <v>2138.0999902343751</v>
      </c>
      <c r="T82" s="408">
        <f>-IS!T76</f>
        <v>2082.4626647314299</v>
      </c>
      <c r="U82" s="408">
        <f>-IS!U76</f>
        <v>2039.4885891625775</v>
      </c>
      <c r="V82" s="408">
        <f>-IS!V76</f>
        <v>1992.0609484799545</v>
      </c>
      <c r="W82" s="408">
        <f>-IS!W76</f>
        <v>1945.1583077973314</v>
      </c>
      <c r="X82" s="408">
        <f>-IS!X76</f>
        <v>1898.7806671147084</v>
      </c>
      <c r="Y82" s="2544"/>
      <c r="Z82" s="16"/>
      <c r="AA82" s="16"/>
      <c r="AB82" s="16"/>
      <c r="AC82" s="284"/>
      <c r="AD82" s="7"/>
      <c r="AE82" s="15"/>
      <c r="AF82" s="15"/>
      <c r="AG82" s="16"/>
      <c r="AH82" s="7"/>
      <c r="AI82" s="16"/>
      <c r="AJ82" s="16"/>
      <c r="AK82" s="16"/>
      <c r="AL82" s="7"/>
      <c r="AM82" s="16"/>
      <c r="AN82" s="16"/>
      <c r="AO82" s="16"/>
      <c r="AP82" s="7"/>
      <c r="AQ82" s="16"/>
      <c r="AR82" s="16"/>
      <c r="AS82" s="16"/>
      <c r="AT82" s="7"/>
      <c r="AU82" s="16"/>
      <c r="AV82" s="16"/>
      <c r="AW82" s="16"/>
      <c r="AX82" s="7"/>
      <c r="AY82" s="16"/>
      <c r="AZ82" s="16"/>
      <c r="BA82" s="16"/>
      <c r="BB82" s="7"/>
      <c r="BC82" s="16"/>
      <c r="BD82" s="16"/>
      <c r="BE82" s="16"/>
      <c r="BF82" s="7"/>
      <c r="BG82" s="662"/>
      <c r="BH82" s="662"/>
      <c r="BI82" s="357"/>
      <c r="BJ82" s="662"/>
      <c r="BK82" s="662"/>
      <c r="BL82" s="662"/>
      <c r="BM82" s="662"/>
      <c r="BN82" s="2204"/>
      <c r="BO82" s="662"/>
      <c r="BP82" s="662"/>
      <c r="BQ82" s="357"/>
      <c r="BR82" s="662"/>
      <c r="BS82" s="662"/>
      <c r="BT82" s="662"/>
      <c r="BU82" s="357"/>
      <c r="BV82" s="662"/>
      <c r="BW82" s="662"/>
      <c r="BX82" s="662"/>
      <c r="BY82" s="357"/>
      <c r="BZ82" s="3741">
        <f>-IS!CA76</f>
        <v>331</v>
      </c>
      <c r="CA82" s="3741">
        <f>-IS!CB76</f>
        <v>340</v>
      </c>
      <c r="CB82" s="3741">
        <f>-IS!CC76</f>
        <v>327</v>
      </c>
      <c r="CC82" s="3740">
        <f>-IS!CD76</f>
        <v>320</v>
      </c>
      <c r="CD82" s="3741">
        <f>-IS!CE76</f>
        <v>318</v>
      </c>
      <c r="CE82" s="3741">
        <f>-IS!CF76</f>
        <v>320</v>
      </c>
      <c r="CF82" s="3741">
        <f>-IS!CG76</f>
        <v>362</v>
      </c>
      <c r="CG82" s="3740">
        <f>-IS!CH76</f>
        <v>481</v>
      </c>
      <c r="CH82" s="3741">
        <f>-IS!CI76</f>
        <v>539.524296875</v>
      </c>
      <c r="CI82" s="3741">
        <f>-IS!CJ76</f>
        <v>535.45572265625003</v>
      </c>
      <c r="CJ82" s="3741">
        <f>-IS!CK76</f>
        <v>532.9433544921875</v>
      </c>
      <c r="CK82" s="3740">
        <f>-IS!CL76</f>
        <v>530.17661621093748</v>
      </c>
      <c r="CL82" s="368"/>
    </row>
    <row r="83" spans="1:96" s="3617" customFormat="1">
      <c r="A83" s="2548"/>
      <c r="B83" s="843"/>
      <c r="C83" s="843"/>
      <c r="D83" s="16"/>
      <c r="E83" s="16"/>
      <c r="F83" s="16"/>
      <c r="G83" s="16"/>
      <c r="H83" s="16"/>
      <c r="I83" s="16"/>
      <c r="J83" s="16"/>
      <c r="K83" s="273"/>
      <c r="L83" s="273"/>
      <c r="M83" s="273"/>
      <c r="N83" s="273"/>
      <c r="O83" s="273"/>
      <c r="P83" s="273"/>
      <c r="Q83" s="273"/>
      <c r="R83" s="273"/>
      <c r="S83" s="273"/>
      <c r="T83" s="408"/>
      <c r="U83" s="408"/>
      <c r="V83" s="408"/>
      <c r="W83" s="408"/>
      <c r="X83" s="408"/>
      <c r="Y83" s="2544"/>
      <c r="Z83" s="16"/>
      <c r="AA83" s="16"/>
      <c r="AB83" s="16"/>
      <c r="AC83" s="284"/>
      <c r="AD83" s="7"/>
      <c r="AE83" s="15"/>
      <c r="AF83" s="15"/>
      <c r="AG83" s="16"/>
      <c r="AH83" s="7"/>
      <c r="AI83" s="16"/>
      <c r="AJ83" s="16"/>
      <c r="AK83" s="16"/>
      <c r="AL83" s="7"/>
      <c r="AM83" s="16"/>
      <c r="AN83" s="16"/>
      <c r="AO83" s="16"/>
      <c r="AP83" s="7"/>
      <c r="AQ83" s="16"/>
      <c r="AR83" s="16"/>
      <c r="AS83" s="16"/>
      <c r="AT83" s="7"/>
      <c r="AU83" s="16"/>
      <c r="AV83" s="16"/>
      <c r="AW83" s="16"/>
      <c r="AX83" s="7"/>
      <c r="AY83" s="16"/>
      <c r="AZ83" s="16"/>
      <c r="BA83" s="16"/>
      <c r="BB83" s="7"/>
      <c r="BC83" s="16"/>
      <c r="BD83" s="16"/>
      <c r="BE83" s="16"/>
      <c r="BF83" s="7"/>
      <c r="BG83" s="662"/>
      <c r="BH83" s="662"/>
      <c r="BI83" s="357"/>
      <c r="BJ83" s="662"/>
      <c r="BK83" s="662"/>
      <c r="BL83" s="662"/>
      <c r="BM83" s="662"/>
      <c r="BN83" s="2204"/>
      <c r="BO83" s="662"/>
      <c r="BP83" s="662"/>
      <c r="BQ83" s="357"/>
      <c r="BR83" s="662"/>
      <c r="BS83" s="662"/>
      <c r="BT83" s="662"/>
      <c r="BU83" s="357"/>
      <c r="BV83" s="662"/>
      <c r="BW83" s="662"/>
      <c r="BX83" s="662"/>
      <c r="BY83" s="357"/>
      <c r="BZ83" s="3741"/>
      <c r="CA83" s="3741"/>
      <c r="CB83" s="3741"/>
      <c r="CC83" s="3740"/>
      <c r="CD83" s="3741"/>
      <c r="CE83" s="3741"/>
      <c r="CF83" s="3741"/>
      <c r="CG83" s="3740"/>
      <c r="CH83" s="3741"/>
      <c r="CI83" s="3741"/>
      <c r="CJ83" s="3741"/>
      <c r="CK83" s="3740"/>
      <c r="CL83" s="2606"/>
      <c r="CM83"/>
      <c r="CN83"/>
      <c r="CO83"/>
      <c r="CP83"/>
      <c r="CQ83"/>
      <c r="CR83"/>
    </row>
    <row r="84" spans="1:96" ht="10.5" customHeight="1">
      <c r="A84" s="365" t="s">
        <v>971</v>
      </c>
      <c r="B84" s="365"/>
      <c r="C84" s="365"/>
      <c r="D84" s="408"/>
      <c r="E84" s="408">
        <f t="shared" ref="E84:J84" si="123">+AVERAGE(D11:E11)</f>
        <v>285.19799999999998</v>
      </c>
      <c r="F84" s="408">
        <f t="shared" si="123"/>
        <v>363.03049999999996</v>
      </c>
      <c r="G84" s="408">
        <f t="shared" si="123"/>
        <v>218.75700000000001</v>
      </c>
      <c r="H84" s="408">
        <f t="shared" si="123"/>
        <v>91.034999999999997</v>
      </c>
      <c r="I84" s="408">
        <f t="shared" si="123"/>
        <v>509.36449998542258</v>
      </c>
      <c r="J84" s="408">
        <f t="shared" si="123"/>
        <v>1580.2445060508448</v>
      </c>
      <c r="K84" s="408">
        <f t="shared" ref="K84:Q84" si="124">+AVERAGE(J13:K13)</f>
        <v>1982.2945</v>
      </c>
      <c r="L84" s="408">
        <f t="shared" si="124"/>
        <v>1977</v>
      </c>
      <c r="M84" s="408">
        <f t="shared" si="124"/>
        <v>1968</v>
      </c>
      <c r="N84" s="408">
        <f t="shared" si="124"/>
        <v>1968</v>
      </c>
      <c r="O84" s="408">
        <f t="shared" si="124"/>
        <v>1982.5</v>
      </c>
      <c r="P84" s="408">
        <f t="shared" si="124"/>
        <v>1965.5</v>
      </c>
      <c r="Q84" s="408">
        <f t="shared" si="124"/>
        <v>1980</v>
      </c>
      <c r="R84" s="408">
        <f t="shared" ref="R84:X84" si="125">+AVERAGE(Q13:R13)</f>
        <v>2287</v>
      </c>
      <c r="S84" s="408">
        <f t="shared" si="125"/>
        <v>2367.1844524390535</v>
      </c>
      <c r="T84" s="408">
        <f t="shared" si="125"/>
        <v>2165.8079441609725</v>
      </c>
      <c r="U84" s="408">
        <f t="shared" si="125"/>
        <v>2145.2630629082469</v>
      </c>
      <c r="V84" s="408">
        <f t="shared" si="125"/>
        <v>2129.3671358846286</v>
      </c>
      <c r="W84" s="408">
        <f t="shared" si="125"/>
        <v>2119.1992786105166</v>
      </c>
      <c r="X84" s="408">
        <f t="shared" si="125"/>
        <v>2113.7659749602244</v>
      </c>
      <c r="Y84" s="2544"/>
      <c r="Z84" s="408"/>
      <c r="AA84" s="408"/>
      <c r="AB84" s="408"/>
      <c r="AC84" s="416"/>
      <c r="AD84" s="415">
        <f t="shared" ref="AD84:BX84" si="126">+AVERAGE(AC11:AD11)</f>
        <v>238.23700000000002</v>
      </c>
      <c r="AE84" s="425">
        <f t="shared" si="126"/>
        <v>184.83949999999999</v>
      </c>
      <c r="AF84" s="425">
        <f t="shared" si="126"/>
        <v>132.68049999999999</v>
      </c>
      <c r="AG84" s="408">
        <f t="shared" si="126"/>
        <v>268.09499999999997</v>
      </c>
      <c r="AH84" s="415">
        <f t="shared" si="126"/>
        <v>348.27300000000002</v>
      </c>
      <c r="AI84" s="408">
        <f t="shared" si="126"/>
        <v>314.8965</v>
      </c>
      <c r="AJ84" s="408">
        <f t="shared" si="126"/>
        <v>384.48149999999998</v>
      </c>
      <c r="AK84" s="408">
        <f t="shared" si="126"/>
        <v>413.67349999999999</v>
      </c>
      <c r="AL84" s="415">
        <f t="shared" si="126"/>
        <v>408.55577956457751</v>
      </c>
      <c r="AM84" s="408">
        <f t="shared" si="126"/>
        <v>255.01727956457754</v>
      </c>
      <c r="AN84" s="408">
        <f t="shared" si="126"/>
        <v>59.231499999999997</v>
      </c>
      <c r="AO84" s="408">
        <f t="shared" si="126"/>
        <v>72.681000000000012</v>
      </c>
      <c r="AP84" s="415">
        <f t="shared" si="126"/>
        <v>444.20850000000002</v>
      </c>
      <c r="AQ84" s="408">
        <f t="shared" si="126"/>
        <v>433.637</v>
      </c>
      <c r="AR84" s="408">
        <f t="shared" si="126"/>
        <v>63.119500000000002</v>
      </c>
      <c r="AS84" s="408">
        <f t="shared" si="126"/>
        <v>86.057999999999993</v>
      </c>
      <c r="AT84" s="415">
        <f t="shared" si="126"/>
        <v>413.97049998542258</v>
      </c>
      <c r="AU84" s="408">
        <f t="shared" si="126"/>
        <v>800.71949997084505</v>
      </c>
      <c r="AV84" s="408">
        <f t="shared" si="126"/>
        <v>902.428499970845</v>
      </c>
      <c r="AW84" s="408">
        <f t="shared" si="126"/>
        <v>921.64199997084506</v>
      </c>
      <c r="AX84" s="415">
        <f t="shared" si="126"/>
        <v>774.63100141084499</v>
      </c>
      <c r="AY84" s="408">
        <f t="shared" si="126"/>
        <v>1119.3337761308449</v>
      </c>
      <c r="AZ84" s="408">
        <f t="shared" si="126"/>
        <v>1957.2343484508449</v>
      </c>
      <c r="BA84" s="408">
        <f t="shared" si="126"/>
        <v>2277.4490798108445</v>
      </c>
      <c r="BB84" s="415">
        <f t="shared" si="126"/>
        <v>1707.3400422708446</v>
      </c>
      <c r="BC84" s="408">
        <f t="shared" si="126"/>
        <v>1108.696159730845</v>
      </c>
      <c r="BD84" s="408">
        <f t="shared" si="126"/>
        <v>1618.0198762908451</v>
      </c>
      <c r="BE84" s="408">
        <f t="shared" si="126"/>
        <v>1366.5827527654226</v>
      </c>
      <c r="BF84" s="415">
        <f t="shared" si="126"/>
        <v>619.5</v>
      </c>
      <c r="BG84" s="408">
        <f t="shared" si="126"/>
        <v>1620</v>
      </c>
      <c r="BH84" s="408">
        <f t="shared" si="126"/>
        <v>1834.5</v>
      </c>
      <c r="BI84" s="416">
        <f t="shared" si="126"/>
        <v>625.5</v>
      </c>
      <c r="BJ84" s="408">
        <f t="shared" si="126"/>
        <v>829</v>
      </c>
      <c r="BK84" s="408">
        <f t="shared" si="126"/>
        <v>905.5</v>
      </c>
      <c r="BL84" s="408">
        <f t="shared" si="126"/>
        <v>237.5</v>
      </c>
      <c r="BM84" s="408">
        <f t="shared" si="126"/>
        <v>202.5</v>
      </c>
      <c r="BN84" s="415">
        <f t="shared" si="126"/>
        <v>343.5</v>
      </c>
      <c r="BO84" s="408">
        <f t="shared" si="126"/>
        <v>345</v>
      </c>
      <c r="BP84" s="408">
        <f t="shared" si="126"/>
        <v>240</v>
      </c>
      <c r="BQ84" s="416">
        <f t="shared" si="126"/>
        <v>217</v>
      </c>
      <c r="BR84" s="408">
        <f t="shared" si="126"/>
        <v>193.5</v>
      </c>
      <c r="BS84" s="408">
        <f t="shared" si="126"/>
        <v>200</v>
      </c>
      <c r="BT84" s="408">
        <f t="shared" si="126"/>
        <v>457.5</v>
      </c>
      <c r="BU84" s="416">
        <f t="shared" si="126"/>
        <v>431.21793100000002</v>
      </c>
      <c r="BV84" s="408">
        <f t="shared" ca="1" si="126"/>
        <v>141.71793099999999</v>
      </c>
      <c r="BW84" s="408">
        <f t="shared" ca="1" si="126"/>
        <v>155</v>
      </c>
      <c r="BX84" s="408">
        <f t="shared" ca="1" si="126"/>
        <v>255</v>
      </c>
      <c r="BY84" s="416">
        <f t="shared" ref="BY84:CC84" ca="1" si="127">+AVERAGE(BX11:BY11)</f>
        <v>241.5</v>
      </c>
      <c r="BZ84" s="408">
        <f t="shared" ca="1" si="127"/>
        <v>284</v>
      </c>
      <c r="CA84" s="408">
        <f t="shared" ca="1" si="127"/>
        <v>316.5</v>
      </c>
      <c r="CB84" s="408">
        <f t="shared" ca="1" si="127"/>
        <v>167.5</v>
      </c>
      <c r="CC84" s="416">
        <f t="shared" ca="1" si="127"/>
        <v>183</v>
      </c>
      <c r="CD84" s="408">
        <f ca="1">+AVERAGE(CC11:CD11)</f>
        <v>220</v>
      </c>
      <c r="CE84" s="408">
        <f ca="1">+AVERAGE(CD11:CE11)</f>
        <v>3286.5</v>
      </c>
      <c r="CF84" s="408">
        <f ca="1">+AVERAGE(CE11:CF11)</f>
        <v>6260.5</v>
      </c>
      <c r="CG84" s="416">
        <f t="shared" ref="CG84" ca="1" si="128">+AVERAGE(CF11:CG11)</f>
        <v>3376.5</v>
      </c>
      <c r="CH84" s="408">
        <f ca="1">+AVERAGE(CG11:CH11)</f>
        <v>508.66054648807608</v>
      </c>
      <c r="CI84" s="408">
        <f ca="1">+AVERAGE(CH11:CI11)</f>
        <v>431.66856034863611</v>
      </c>
      <c r="CJ84" s="408">
        <f ca="1">+AVERAGE(CI11:CJ11)</f>
        <v>467.57081601508253</v>
      </c>
      <c r="CK84" s="416">
        <f ca="1">+AVERAGE(CJ11:CK11)</f>
        <v>544.47628785001757</v>
      </c>
      <c r="CL84" s="368"/>
    </row>
    <row r="85" spans="1:96">
      <c r="A85" s="137" t="s">
        <v>794</v>
      </c>
      <c r="B85" s="365"/>
      <c r="C85" s="365"/>
      <c r="D85" s="408"/>
      <c r="E85" s="408">
        <f>IS!E77</f>
        <v>6.9700000000000006</v>
      </c>
      <c r="F85" s="408">
        <f>IS!F77</f>
        <v>17.420999999999999</v>
      </c>
      <c r="G85" s="408">
        <f>IS!G77</f>
        <v>28.705209888359803</v>
      </c>
      <c r="H85" s="408">
        <f>IS!H77</f>
        <v>29.127000000000002</v>
      </c>
      <c r="I85" s="408">
        <f>IS!I77</f>
        <v>58.366</v>
      </c>
      <c r="J85" s="408">
        <f>IS!J77</f>
        <v>47.192999999999998</v>
      </c>
      <c r="K85" s="408">
        <f>+IS!K77</f>
        <v>8</v>
      </c>
      <c r="L85" s="408">
        <f>+IS!L77</f>
        <v>22</v>
      </c>
      <c r="M85" s="408">
        <f>+IS!M77</f>
        <v>21</v>
      </c>
      <c r="N85" s="408">
        <f>+IS!N77</f>
        <v>22</v>
      </c>
      <c r="O85" s="408">
        <f>+IS!O77</f>
        <v>25</v>
      </c>
      <c r="P85" s="408">
        <f>+IS!P77</f>
        <v>39</v>
      </c>
      <c r="Q85" s="408">
        <f>+IS!Q77</f>
        <v>5</v>
      </c>
      <c r="R85" s="408">
        <f>+IS!R77</f>
        <v>12</v>
      </c>
      <c r="S85" s="408">
        <f>+IS!S77</f>
        <v>0</v>
      </c>
      <c r="T85" s="408">
        <f>+IS!T77</f>
        <v>0</v>
      </c>
      <c r="U85" s="408">
        <f>+IS!U77</f>
        <v>0</v>
      </c>
      <c r="V85" s="408">
        <f>+IS!V77</f>
        <v>0</v>
      </c>
      <c r="W85" s="408">
        <f>+IS!W77</f>
        <v>0</v>
      </c>
      <c r="X85" s="408">
        <f>+IS!X77</f>
        <v>0</v>
      </c>
      <c r="Y85" s="2544"/>
      <c r="Z85" s="408"/>
      <c r="AA85" s="408"/>
      <c r="AB85" s="408"/>
      <c r="AC85" s="416"/>
      <c r="AD85" s="415">
        <f>IS!AE77</f>
        <v>4.3630000000000004</v>
      </c>
      <c r="AE85" s="425">
        <f>IS!AF77</f>
        <v>-1.6850000000000001</v>
      </c>
      <c r="AF85" s="425">
        <f>IS!AG77</f>
        <v>2.6070000000000002</v>
      </c>
      <c r="AG85" s="408">
        <f>IS!AH77</f>
        <v>1.6850000000000001</v>
      </c>
      <c r="AH85" s="415">
        <f>IS!AI77</f>
        <v>4.4219999999999997</v>
      </c>
      <c r="AI85" s="408">
        <f>IS!AJ77</f>
        <v>1.944</v>
      </c>
      <c r="AJ85" s="408">
        <f>IS!AK77</f>
        <v>3.4849999999999999</v>
      </c>
      <c r="AK85" s="408">
        <f>IS!AL77</f>
        <v>7.57</v>
      </c>
      <c r="AL85" s="415">
        <f>IS!AM77</f>
        <v>7.7580458467343316</v>
      </c>
      <c r="AM85" s="408">
        <f>IS!AN77</f>
        <v>9.7201640416254751</v>
      </c>
      <c r="AN85" s="408">
        <f>IS!AO77</f>
        <v>7.8179999999999996</v>
      </c>
      <c r="AO85" s="408">
        <f>IS!AP77</f>
        <v>3.4089999999999998</v>
      </c>
      <c r="AP85" s="415">
        <f>IS!AQ77</f>
        <v>5.29</v>
      </c>
      <c r="AQ85" s="408">
        <f>IS!AR77</f>
        <v>8.08</v>
      </c>
      <c r="AR85" s="408">
        <f>IS!AS77</f>
        <v>6.3239999999999998</v>
      </c>
      <c r="AS85" s="408">
        <f>IS!AT77</f>
        <v>9.4329999999999998</v>
      </c>
      <c r="AT85" s="415">
        <f>IS!AU77</f>
        <v>7</v>
      </c>
      <c r="AU85" s="408">
        <f>IS!AV77</f>
        <v>18</v>
      </c>
      <c r="AV85" s="408">
        <f>IS!AW77</f>
        <v>32</v>
      </c>
      <c r="AW85" s="408">
        <f>IS!AX77</f>
        <v>1.3660000000000001</v>
      </c>
      <c r="AX85" s="415">
        <f>IS!AY77</f>
        <v>15.022</v>
      </c>
      <c r="AY85" s="408">
        <f>IS!AZ77</f>
        <v>8.1950000000000003</v>
      </c>
      <c r="AZ85" s="408">
        <f>IS!BA77</f>
        <v>9.3620000000000001</v>
      </c>
      <c r="BA85" s="408">
        <f>IS!BB77</f>
        <v>14.614000000000001</v>
      </c>
      <c r="BB85" s="415">
        <f>IS!BC77</f>
        <v>5</v>
      </c>
      <c r="BC85" s="408">
        <f>IS!BD77</f>
        <v>4</v>
      </c>
      <c r="BD85" s="408">
        <f>IS!BE77</f>
        <v>-1</v>
      </c>
      <c r="BE85" s="408">
        <f>IS!BF77</f>
        <v>0</v>
      </c>
      <c r="BF85" s="415">
        <f>IS!BG77</f>
        <v>8</v>
      </c>
      <c r="BG85" s="408">
        <f>IS!BH77</f>
        <v>2</v>
      </c>
      <c r="BH85" s="408">
        <f>IS!BI77</f>
        <v>7</v>
      </c>
      <c r="BI85" s="416">
        <f>IS!BJ77</f>
        <v>5</v>
      </c>
      <c r="BJ85" s="408">
        <f>IS!BK77</f>
        <v>7</v>
      </c>
      <c r="BK85" s="408">
        <f>IS!BL77</f>
        <v>3</v>
      </c>
      <c r="BL85" s="408">
        <f>IS!BM77</f>
        <v>6</v>
      </c>
      <c r="BM85" s="408">
        <f>IS!BN77</f>
        <v>5</v>
      </c>
      <c r="BN85" s="415">
        <f>IS!BO77</f>
        <v>2</v>
      </c>
      <c r="BO85" s="408">
        <f>IS!BP77</f>
        <v>4</v>
      </c>
      <c r="BP85" s="408">
        <f>IS!BQ77</f>
        <v>9</v>
      </c>
      <c r="BQ85" s="416">
        <f>IS!BR77</f>
        <v>7</v>
      </c>
      <c r="BR85" s="408">
        <f>IS!BS77</f>
        <v>9</v>
      </c>
      <c r="BS85" s="408">
        <f>IS!BT77</f>
        <v>7</v>
      </c>
      <c r="BT85" s="408">
        <f>IS!BU77</f>
        <v>5</v>
      </c>
      <c r="BU85" s="416">
        <f>IS!BV77</f>
        <v>4</v>
      </c>
      <c r="BV85" s="408">
        <f>IS!BW77</f>
        <v>13</v>
      </c>
      <c r="BW85" s="408">
        <f>IS!BX77</f>
        <v>4</v>
      </c>
      <c r="BX85" s="408">
        <f>IS!BY77</f>
        <v>8</v>
      </c>
      <c r="BY85" s="416">
        <f>IS!BZ77</f>
        <v>14</v>
      </c>
      <c r="BZ85" s="408">
        <f>IS!CA77</f>
        <v>23</v>
      </c>
      <c r="CA85" s="408">
        <f>IS!CB77</f>
        <v>10</v>
      </c>
      <c r="CB85" s="408">
        <f>IS!CC77</f>
        <v>-17</v>
      </c>
      <c r="CC85" s="416">
        <f>IS!CD77</f>
        <v>-11</v>
      </c>
      <c r="CD85" s="408">
        <f>IS!CE77</f>
        <v>-6</v>
      </c>
      <c r="CE85" s="408">
        <f>IS!CF77</f>
        <v>-7</v>
      </c>
      <c r="CF85" s="408">
        <f>IS!CG77</f>
        <v>14</v>
      </c>
      <c r="CG85" s="416">
        <f>IS!CH77</f>
        <v>11</v>
      </c>
      <c r="CH85" s="408">
        <f>IS!CI77</f>
        <v>0</v>
      </c>
      <c r="CI85" s="408">
        <f>IS!CJ77</f>
        <v>0</v>
      </c>
      <c r="CJ85" s="408">
        <f>IS!CK77</f>
        <v>0</v>
      </c>
      <c r="CK85" s="416">
        <f>IS!CL77</f>
        <v>0</v>
      </c>
      <c r="CL85" s="368"/>
    </row>
    <row r="86" spans="1:96">
      <c r="A86" s="365" t="s">
        <v>1146</v>
      </c>
      <c r="B86" s="365"/>
      <c r="C86" s="365"/>
      <c r="D86" s="16"/>
      <c r="E86" s="16">
        <f t="shared" ref="E86:P86" si="129">+E85/E84/4</f>
        <v>6.1097903912369659E-3</v>
      </c>
      <c r="F86" s="16">
        <f t="shared" si="129"/>
        <v>1.1996925878128699E-2</v>
      </c>
      <c r="G86" s="16">
        <f t="shared" si="129"/>
        <v>3.2804904401184651E-2</v>
      </c>
      <c r="H86" s="16">
        <f t="shared" si="129"/>
        <v>7.9988465974625153E-2</v>
      </c>
      <c r="I86" s="16">
        <f t="shared" si="129"/>
        <v>2.8646480075501121E-2</v>
      </c>
      <c r="J86" s="16">
        <f t="shared" si="129"/>
        <v>7.466091452825078E-3</v>
      </c>
      <c r="K86" s="16">
        <f t="shared" si="129"/>
        <v>1.0089318211799509E-3</v>
      </c>
      <c r="L86" s="16">
        <f t="shared" si="129"/>
        <v>2.7819929185634801E-3</v>
      </c>
      <c r="M86" s="16">
        <f t="shared" si="129"/>
        <v>2.6676829268292685E-3</v>
      </c>
      <c r="N86" s="16">
        <f t="shared" si="129"/>
        <v>2.7947154471544716E-3</v>
      </c>
      <c r="O86" s="16">
        <f t="shared" si="129"/>
        <v>3.1525851197982345E-3</v>
      </c>
      <c r="P86" s="16">
        <f t="shared" si="129"/>
        <v>4.9605698295599084E-3</v>
      </c>
      <c r="Q86" s="16">
        <f t="shared" ref="Q86:X86" si="130">+Q85/Q84/4</f>
        <v>6.3131313131313137E-4</v>
      </c>
      <c r="R86" s="16">
        <f t="shared" si="130"/>
        <v>1.3117621337997377E-3</v>
      </c>
      <c r="S86" s="16">
        <f t="shared" si="130"/>
        <v>0</v>
      </c>
      <c r="T86" s="16">
        <f t="shared" si="130"/>
        <v>0</v>
      </c>
      <c r="U86" s="16">
        <f t="shared" si="130"/>
        <v>0</v>
      </c>
      <c r="V86" s="16">
        <f t="shared" si="130"/>
        <v>0</v>
      </c>
      <c r="W86" s="16">
        <f t="shared" si="130"/>
        <v>0</v>
      </c>
      <c r="X86" s="16">
        <f t="shared" si="130"/>
        <v>0</v>
      </c>
      <c r="Y86" s="2544"/>
      <c r="Z86" s="16"/>
      <c r="AA86" s="16"/>
      <c r="AB86" s="16"/>
      <c r="AC86" s="284"/>
      <c r="AD86" s="7">
        <f t="shared" ref="AD86:BT86" si="131">+AD85/AD84/4</f>
        <v>4.5784240063466214E-3</v>
      </c>
      <c r="AE86" s="15">
        <f t="shared" si="131"/>
        <v>-2.2790042171721954E-3</v>
      </c>
      <c r="AF86" s="15">
        <f t="shared" si="131"/>
        <v>4.9121762429294438E-3</v>
      </c>
      <c r="AG86" s="16">
        <f t="shared" si="131"/>
        <v>1.5712713776832841E-3</v>
      </c>
      <c r="AH86" s="7">
        <f t="shared" si="131"/>
        <v>3.1742340060814359E-3</v>
      </c>
      <c r="AI86" s="16">
        <f t="shared" si="131"/>
        <v>1.5433642482529973E-3</v>
      </c>
      <c r="AJ86" s="16">
        <f t="shared" si="131"/>
        <v>2.2660388081091028E-3</v>
      </c>
      <c r="AK86" s="16">
        <f t="shared" si="131"/>
        <v>4.574863992979971E-3</v>
      </c>
      <c r="AL86" s="7">
        <f t="shared" si="131"/>
        <v>4.7472378526884065E-3</v>
      </c>
      <c r="AM86" s="16">
        <f t="shared" si="131"/>
        <v>9.5289268811724354E-3</v>
      </c>
      <c r="AN86" s="16">
        <f t="shared" si="131"/>
        <v>3.2997644834252042E-2</v>
      </c>
      <c r="AO86" s="16">
        <f t="shared" si="131"/>
        <v>1.1725898102667821E-2</v>
      </c>
      <c r="AP86" s="7">
        <f t="shared" si="131"/>
        <v>2.9772055239825441E-3</v>
      </c>
      <c r="AQ86" s="16">
        <f t="shared" si="131"/>
        <v>4.6582740863902296E-3</v>
      </c>
      <c r="AR86" s="16">
        <f t="shared" si="131"/>
        <v>2.5047726930663265E-2</v>
      </c>
      <c r="AS86" s="16">
        <f t="shared" si="131"/>
        <v>2.7403030514304309E-2</v>
      </c>
      <c r="AT86" s="7">
        <f t="shared" si="131"/>
        <v>4.2273543647714604E-3</v>
      </c>
      <c r="AU86" s="16">
        <f t="shared" si="131"/>
        <v>5.6199455616652893E-3</v>
      </c>
      <c r="AV86" s="16">
        <f t="shared" si="131"/>
        <v>8.8649682498485559E-3</v>
      </c>
      <c r="AW86" s="16">
        <f t="shared" si="131"/>
        <v>3.7053432895940388E-4</v>
      </c>
      <c r="AX86" s="7">
        <f t="shared" si="131"/>
        <v>4.8481147709813601E-3</v>
      </c>
      <c r="AY86" s="16">
        <f t="shared" si="131"/>
        <v>1.8303298298402379E-3</v>
      </c>
      <c r="AZ86" s="16">
        <f t="shared" si="131"/>
        <v>1.1958200109519388E-3</v>
      </c>
      <c r="BA86" s="16">
        <f t="shared" si="131"/>
        <v>1.6042071071478993E-3</v>
      </c>
      <c r="BB86" s="7">
        <f t="shared" si="131"/>
        <v>7.3213300751585474E-4</v>
      </c>
      <c r="BC86" s="16">
        <f t="shared" si="131"/>
        <v>9.0196037139947079E-4</v>
      </c>
      <c r="BD86" s="16">
        <f t="shared" si="131"/>
        <v>-1.5450984481915077E-4</v>
      </c>
      <c r="BE86" s="16">
        <f t="shared" si="131"/>
        <v>0</v>
      </c>
      <c r="BF86" s="7">
        <f t="shared" si="131"/>
        <v>3.2284100080710249E-3</v>
      </c>
      <c r="BG86" s="16">
        <f t="shared" si="131"/>
        <v>3.0864197530864197E-4</v>
      </c>
      <c r="BH86" s="16">
        <f t="shared" si="131"/>
        <v>9.5393840283455986E-4</v>
      </c>
      <c r="BI86" s="284">
        <f t="shared" si="131"/>
        <v>1.9984012789768186E-3</v>
      </c>
      <c r="BJ86" s="16">
        <f t="shared" si="131"/>
        <v>2.1109770808202654E-3</v>
      </c>
      <c r="BK86" s="16">
        <f t="shared" si="131"/>
        <v>8.2827167310877965E-4</v>
      </c>
      <c r="BL86" s="16">
        <f t="shared" si="131"/>
        <v>6.3157894736842104E-3</v>
      </c>
      <c r="BM86" s="16">
        <f t="shared" si="131"/>
        <v>6.1728395061728392E-3</v>
      </c>
      <c r="BN86" s="7">
        <f t="shared" si="131"/>
        <v>1.455604075691412E-3</v>
      </c>
      <c r="BO86" s="16">
        <f t="shared" si="131"/>
        <v>2.8985507246376812E-3</v>
      </c>
      <c r="BP86" s="16">
        <f t="shared" si="131"/>
        <v>9.3749999999999997E-3</v>
      </c>
      <c r="BQ86" s="284">
        <f t="shared" si="131"/>
        <v>8.0645161290322578E-3</v>
      </c>
      <c r="BR86" s="16">
        <f t="shared" si="131"/>
        <v>1.1627906976744186E-2</v>
      </c>
      <c r="BS86" s="16">
        <f t="shared" si="131"/>
        <v>8.7500000000000008E-3</v>
      </c>
      <c r="BT86" s="16">
        <f t="shared" si="131"/>
        <v>2.7322404371584699E-3</v>
      </c>
      <c r="BU86" s="284">
        <f>+BU85/BU84/4</f>
        <v>2.3190130282407019E-3</v>
      </c>
      <c r="BV86" s="16">
        <f ca="1">+BV85/BV84/4</f>
        <v>2.2932877844512138E-2</v>
      </c>
      <c r="BW86" s="16">
        <f ca="1">+BW85/BW84/4</f>
        <v>6.4516129032258064E-3</v>
      </c>
      <c r="BX86" s="16">
        <f ca="1">+BX85/BX84/4</f>
        <v>7.8431372549019607E-3</v>
      </c>
      <c r="BY86" s="284">
        <f ca="1">+BY85/BY84/4</f>
        <v>1.4492753623188406E-2</v>
      </c>
      <c r="BZ86" s="16">
        <f t="shared" ref="BZ86:CC86" ca="1" si="132">+BZ85/BZ84/4</f>
        <v>2.0246478873239437E-2</v>
      </c>
      <c r="CA86" s="16">
        <f t="shared" ca="1" si="132"/>
        <v>7.8988941548183249E-3</v>
      </c>
      <c r="CB86" s="16">
        <f t="shared" ca="1" si="132"/>
        <v>-2.5373134328358207E-2</v>
      </c>
      <c r="CC86" s="284">
        <f t="shared" ca="1" si="132"/>
        <v>-1.5027322404371584E-2</v>
      </c>
      <c r="CD86" s="16">
        <f ca="1">+CD85/CD84/4</f>
        <v>-6.8181818181818179E-3</v>
      </c>
      <c r="CE86" s="16">
        <f ca="1">+CE85/CE84/4</f>
        <v>-5.3248136315228972E-4</v>
      </c>
      <c r="CF86" s="16">
        <f ca="1">+CF85/CF84/4</f>
        <v>5.5906077789313956E-4</v>
      </c>
      <c r="CG86" s="284">
        <f t="shared" ref="CG86" ca="1" si="133">+CG85/CG84/4</f>
        <v>8.1445283577669179E-4</v>
      </c>
      <c r="CH86" s="16">
        <f ca="1">+CH85/CH84/4</f>
        <v>0</v>
      </c>
      <c r="CI86" s="16">
        <f ca="1">+CI85/CI84/4</f>
        <v>0</v>
      </c>
      <c r="CJ86" s="16">
        <f ca="1">+CJ85/CJ84/4</f>
        <v>0</v>
      </c>
      <c r="CK86" s="284">
        <f ca="1">+CK85/CK84/4</f>
        <v>0</v>
      </c>
      <c r="CL86" s="368"/>
    </row>
    <row r="87" spans="1:96">
      <c r="A87" s="2849" t="s">
        <v>972</v>
      </c>
      <c r="B87" s="2834"/>
      <c r="C87" s="2833"/>
      <c r="D87" s="2847"/>
      <c r="E87" s="2847"/>
      <c r="F87" s="2850"/>
      <c r="G87" s="2850"/>
      <c r="H87" s="2850"/>
      <c r="I87" s="2820"/>
      <c r="J87" s="2820"/>
      <c r="K87" s="2820"/>
      <c r="L87" s="2820"/>
      <c r="M87" s="2820"/>
      <c r="N87" s="2820"/>
      <c r="O87" s="2820"/>
      <c r="P87" s="2820"/>
      <c r="Q87" s="2820"/>
      <c r="R87" s="2820"/>
      <c r="S87" s="2820"/>
      <c r="T87" s="2820"/>
      <c r="U87" s="2820"/>
      <c r="V87" s="2820"/>
      <c r="W87" s="2820"/>
      <c r="X87" s="2820"/>
      <c r="Y87" s="2544"/>
      <c r="Z87" s="2841"/>
      <c r="AA87" s="2841"/>
      <c r="AB87" s="2841"/>
      <c r="AC87" s="2842"/>
      <c r="AD87" s="2851"/>
      <c r="AE87" s="2820"/>
      <c r="AF87" s="2820"/>
      <c r="AG87" s="2852"/>
      <c r="AH87" s="2851"/>
      <c r="AI87" s="2820"/>
      <c r="AJ87" s="2820"/>
      <c r="AK87" s="2852"/>
      <c r="AL87" s="2851"/>
      <c r="AM87" s="2820"/>
      <c r="AN87" s="2820"/>
      <c r="AO87" s="2852"/>
      <c r="AP87" s="2851"/>
      <c r="AQ87" s="2820"/>
      <c r="AR87" s="2820"/>
      <c r="AS87" s="2852"/>
      <c r="AT87" s="2851"/>
      <c r="AU87" s="2820"/>
      <c r="AV87" s="2820"/>
      <c r="AW87" s="2848"/>
      <c r="AX87" s="2846"/>
      <c r="AY87" s="2820"/>
      <c r="AZ87" s="2820"/>
      <c r="BA87" s="2848"/>
      <c r="BB87" s="2846"/>
      <c r="BC87" s="2820"/>
      <c r="BD87" s="2820"/>
      <c r="BE87" s="2847"/>
      <c r="BF87" s="2846"/>
      <c r="BG87" s="2820"/>
      <c r="BH87" s="2820"/>
      <c r="BI87" s="2845"/>
      <c r="BJ87" s="2820"/>
      <c r="BK87" s="2820"/>
      <c r="BL87" s="2820"/>
      <c r="BM87" s="2820"/>
      <c r="BN87" s="2844"/>
      <c r="BO87" s="2820"/>
      <c r="BP87" s="2820"/>
      <c r="BQ87" s="2845"/>
      <c r="BR87" s="2820"/>
      <c r="BS87" s="2820"/>
      <c r="BT87" s="2820"/>
      <c r="BU87" s="2845"/>
      <c r="BV87" s="2820"/>
      <c r="BW87" s="2820"/>
      <c r="BX87" s="2820"/>
      <c r="BY87" s="2845"/>
      <c r="BZ87" s="2820"/>
      <c r="CA87" s="2820"/>
      <c r="CB87" s="2820"/>
      <c r="CC87" s="2845"/>
      <c r="CD87" s="2820"/>
      <c r="CE87" s="2820"/>
      <c r="CF87" s="2820"/>
      <c r="CG87" s="2845"/>
      <c r="CH87" s="2820"/>
      <c r="CI87" s="2820"/>
      <c r="CJ87" s="2820"/>
      <c r="CK87" s="2845"/>
      <c r="CL87" s="368"/>
    </row>
    <row r="88" spans="1:96">
      <c r="A88" s="364" t="s">
        <v>973</v>
      </c>
      <c r="B88" s="364"/>
      <c r="C88" s="364"/>
      <c r="D88" s="663"/>
      <c r="E88" s="663">
        <f t="shared" ref="E88:O88" si="134">+((E89*(1-E90))/(E91+E92+E93))</f>
        <v>4.8850507601143995E-3</v>
      </c>
      <c r="F88" s="663">
        <f t="shared" si="134"/>
        <v>3.2944483197172271E-4</v>
      </c>
      <c r="G88" s="663">
        <f t="shared" si="134"/>
        <v>0.1308994552872533</v>
      </c>
      <c r="H88" s="664">
        <f t="shared" si="134"/>
        <v>0.12775601966106809</v>
      </c>
      <c r="I88" s="664">
        <f>+((EBITDA*(1-Tax_Rate))/(Net_PPE+NWC+Intangibles))</f>
        <v>0.21296092235673397</v>
      </c>
      <c r="J88" s="664">
        <f t="shared" si="134"/>
        <v>0.23139170806561726</v>
      </c>
      <c r="K88" s="664">
        <f t="shared" si="134"/>
        <v>0.21123082972866694</v>
      </c>
      <c r="L88" s="664">
        <f t="shared" ca="1" si="134"/>
        <v>0.16733146800665644</v>
      </c>
      <c r="M88" s="664">
        <f t="shared" si="134"/>
        <v>0.18284153100707637</v>
      </c>
      <c r="N88" s="664">
        <f>+((N89*(1-N90))/(N91+N92+N93))</f>
        <v>0.17681636836133377</v>
      </c>
      <c r="O88" s="664">
        <f t="shared" si="134"/>
        <v>0.17700803212851407</v>
      </c>
      <c r="P88" s="664">
        <f t="shared" ref="P88:U88" ca="1" si="135">+((P89*(1-P90))/(P91+P92+P93))</f>
        <v>0.19069600169240536</v>
      </c>
      <c r="Q88" s="664">
        <f t="shared" ca="1" si="135"/>
        <v>0.18171653002532515</v>
      </c>
      <c r="R88" s="664">
        <f ca="1">+((R89*(1-R90))/(R91+R92+R93))</f>
        <v>0.10668545209715227</v>
      </c>
      <c r="S88" s="664">
        <f ca="1">+((S89*(1-S90))/(S91+S92+S93))</f>
        <v>0.17618074806996639</v>
      </c>
      <c r="T88" s="664">
        <f t="shared" ca="1" si="135"/>
        <v>0.19092781564171785</v>
      </c>
      <c r="U88" s="664">
        <f t="shared" ca="1" si="135"/>
        <v>0.20256777572884527</v>
      </c>
      <c r="V88" s="664">
        <f ca="1">+((V89*(1-V90))/(V91+V92+V93))</f>
        <v>0.21282247942391219</v>
      </c>
      <c r="W88" s="664">
        <f ca="1">+((W89*(1-W90))/(W91+W92+W93))</f>
        <v>0.22414451568320065</v>
      </c>
      <c r="X88" s="664">
        <f ca="1">+((X89*(1-X90))/(X91+X92+X93))</f>
        <v>0.23603596189553083</v>
      </c>
      <c r="Y88" s="2544"/>
      <c r="Z88" s="664"/>
      <c r="AA88" s="664"/>
      <c r="AB88" s="664"/>
      <c r="AC88" s="665">
        <f t="shared" ref="AC88:CC88" si="136">+((AC89*(1-AC90))/(AC91+AC92+AC93))</f>
        <v>3.0850101834806586E-2</v>
      </c>
      <c r="AD88" s="664">
        <f t="shared" si="136"/>
        <v>3.0505067281149999E-2</v>
      </c>
      <c r="AE88" s="664">
        <f t="shared" si="136"/>
        <v>3.2167741186718314E-2</v>
      </c>
      <c r="AF88" s="664">
        <f t="shared" si="136"/>
        <v>3.0658893833388705E-2</v>
      </c>
      <c r="AG88" s="665">
        <f t="shared" si="136"/>
        <v>3.0845479322988017E-2</v>
      </c>
      <c r="AH88" s="664">
        <f t="shared" si="136"/>
        <v>3.039676718531787E-2</v>
      </c>
      <c r="AI88" s="664">
        <f t="shared" si="136"/>
        <v>3.1012430938601555E-2</v>
      </c>
      <c r="AJ88" s="664">
        <f t="shared" si="136"/>
        <v>3.2810009466435655E-2</v>
      </c>
      <c r="AK88" s="665">
        <f t="shared" si="136"/>
        <v>1.4294909719555732E-2</v>
      </c>
      <c r="AL88" s="664">
        <f t="shared" si="136"/>
        <v>4.4803496497929855E-2</v>
      </c>
      <c r="AM88" s="664">
        <f t="shared" si="136"/>
        <v>4.8049984466797181E-2</v>
      </c>
      <c r="AN88" s="664">
        <f t="shared" si="136"/>
        <v>4.5659157123944472E-2</v>
      </c>
      <c r="AO88" s="665">
        <f t="shared" si="136"/>
        <v>4.755109998917733E-2</v>
      </c>
      <c r="AP88" s="664">
        <f t="shared" si="136"/>
        <v>4.4148027991090119E-2</v>
      </c>
      <c r="AQ88" s="664">
        <f t="shared" si="136"/>
        <v>4.5526452908906057E-2</v>
      </c>
      <c r="AR88" s="664">
        <f t="shared" si="136"/>
        <v>4.6826561258607423E-2</v>
      </c>
      <c r="AS88" s="665">
        <f t="shared" si="136"/>
        <v>4.5028711295165849E-2</v>
      </c>
      <c r="AT88" s="664">
        <f t="shared" si="136"/>
        <v>5.2360735721615322E-2</v>
      </c>
      <c r="AU88" s="664">
        <f t="shared" si="136"/>
        <v>5.1731860527647229E-2</v>
      </c>
      <c r="AV88" s="664">
        <f t="shared" si="136"/>
        <v>4.2666787749266681E-2</v>
      </c>
      <c r="AW88" s="665">
        <f t="shared" si="136"/>
        <v>4.7060023115635341E-2</v>
      </c>
      <c r="AX88" s="664">
        <f t="shared" si="136"/>
        <v>0.17398971696559803</v>
      </c>
      <c r="AY88" s="664">
        <f t="shared" si="136"/>
        <v>0.16729271514506189</v>
      </c>
      <c r="AZ88" s="664">
        <f t="shared" si="136"/>
        <v>0.17091141312820357</v>
      </c>
      <c r="BA88" s="665">
        <f t="shared" si="136"/>
        <v>0.16928206753892433</v>
      </c>
      <c r="BB88" s="664">
        <f t="shared" si="136"/>
        <v>0.1665890268375966</v>
      </c>
      <c r="BC88" s="664">
        <f t="shared" si="136"/>
        <v>0.16823359872541752</v>
      </c>
      <c r="BD88" s="664">
        <f t="shared" si="136"/>
        <v>0.1749842227828064</v>
      </c>
      <c r="BE88" s="664">
        <f t="shared" si="136"/>
        <v>0.12601107253448438</v>
      </c>
      <c r="BF88" s="666">
        <f t="shared" ca="1" si="136"/>
        <v>0.12658551026691614</v>
      </c>
      <c r="BG88" s="664">
        <f t="shared" ca="1" si="136"/>
        <v>0.11007968541944074</v>
      </c>
      <c r="BH88" s="664">
        <f t="shared" ca="1" si="136"/>
        <v>0.129463401210787</v>
      </c>
      <c r="BI88" s="665">
        <f t="shared" ca="1" si="136"/>
        <v>0.12328580481622307</v>
      </c>
      <c r="BJ88" s="664">
        <f t="shared" si="136"/>
        <v>0.12169435621793305</v>
      </c>
      <c r="BK88" s="664">
        <f t="shared" si="136"/>
        <v>0.12009354901578641</v>
      </c>
      <c r="BL88" s="664">
        <f t="shared" si="136"/>
        <v>0.12134633834346019</v>
      </c>
      <c r="BM88" s="664">
        <f t="shared" si="136"/>
        <v>0.12205831861879538</v>
      </c>
      <c r="BN88" s="666">
        <f t="shared" si="136"/>
        <v>0.12251090788078982</v>
      </c>
      <c r="BO88" s="664">
        <f t="shared" si="136"/>
        <v>0.1220123923078822</v>
      </c>
      <c r="BP88" s="664">
        <f t="shared" si="136"/>
        <v>0.12497119889403753</v>
      </c>
      <c r="BQ88" s="665">
        <f t="shared" si="136"/>
        <v>0.12250031697730443</v>
      </c>
      <c r="BR88" s="664">
        <f t="shared" si="136"/>
        <v>0.120827274814418</v>
      </c>
      <c r="BS88" s="664">
        <f t="shared" si="136"/>
        <v>0.11985052583331213</v>
      </c>
      <c r="BT88" s="664">
        <f t="shared" si="136"/>
        <v>0.12010524148933434</v>
      </c>
      <c r="BU88" s="665">
        <f t="shared" si="136"/>
        <v>0.11673118060507284</v>
      </c>
      <c r="BV88" s="664">
        <f t="shared" ca="1" si="136"/>
        <v>0.11685017493311381</v>
      </c>
      <c r="BW88" s="664">
        <f t="shared" ca="1" si="136"/>
        <v>0.11412226555437899</v>
      </c>
      <c r="BX88" s="664">
        <f t="shared" ca="1" si="136"/>
        <v>0.11625199696199881</v>
      </c>
      <c r="BY88" s="665">
        <f t="shared" ca="1" si="136"/>
        <v>0.11788198985196423</v>
      </c>
      <c r="BZ88" s="664">
        <f t="shared" ca="1" si="136"/>
        <v>0.11828164181074305</v>
      </c>
      <c r="CA88" s="664">
        <f t="shared" ca="1" si="136"/>
        <v>0.11877789220734637</v>
      </c>
      <c r="CB88" s="664">
        <f t="shared" ca="1" si="136"/>
        <v>0.11530464534807211</v>
      </c>
      <c r="CC88" s="665">
        <f t="shared" ca="1" si="136"/>
        <v>0.1120464229944684</v>
      </c>
      <c r="CD88" s="664">
        <f t="shared" ref="CD88:CK88" ca="1" si="137">+((CD89*(1-CD90))/(CD91+CD92+CD93))</f>
        <v>0.10931576025169872</v>
      </c>
      <c r="CE88" s="664">
        <f t="shared" ca="1" si="137"/>
        <v>0.10889061266704771</v>
      </c>
      <c r="CF88" s="664">
        <f t="shared" ca="1" si="137"/>
        <v>0.10559131573205324</v>
      </c>
      <c r="CG88" s="665">
        <f t="shared" ref="CG88" ca="1" si="138">+((CG89*(1-CG90))/(CG91+CG92+CG93))</f>
        <v>7.5698007714356488E-2</v>
      </c>
      <c r="CH88" s="664">
        <f t="shared" ca="1" si="137"/>
        <v>9.6174477243098244E-2</v>
      </c>
      <c r="CI88" s="664">
        <f t="shared" ca="1" si="137"/>
        <v>0.10706147046793407</v>
      </c>
      <c r="CJ88" s="664">
        <f t="shared" ca="1" si="137"/>
        <v>0.11934285907768043</v>
      </c>
      <c r="CK88" s="665">
        <f t="shared" ca="1" si="137"/>
        <v>0.1215696561462552</v>
      </c>
      <c r="CL88" s="368"/>
    </row>
    <row r="89" spans="1:96">
      <c r="A89" s="365" t="s">
        <v>627</v>
      </c>
      <c r="B89" s="365"/>
      <c r="C89" s="365"/>
      <c r="D89" s="485"/>
      <c r="E89" s="485">
        <f>+IS!E60</f>
        <v>26.70900000000006</v>
      </c>
      <c r="F89" s="485">
        <f>+IS!F60</f>
        <v>5.9769999999998618</v>
      </c>
      <c r="G89" s="485">
        <f>+IS!G60</f>
        <v>2281.4063294460648</v>
      </c>
      <c r="H89" s="408">
        <f>+IS!H60</f>
        <v>2238.4030000000012</v>
      </c>
      <c r="I89" s="408">
        <f>+IS!I60</f>
        <v>8392.0400000000027</v>
      </c>
      <c r="J89" s="408">
        <f>+IS!J60</f>
        <v>8235.0649999999951</v>
      </c>
      <c r="K89" s="408">
        <f>+IS!K60</f>
        <v>8264</v>
      </c>
      <c r="L89" s="408">
        <f ca="1">+IS!L60</f>
        <v>7889.5499999999993</v>
      </c>
      <c r="M89" s="408">
        <f>+IS!M60</f>
        <v>8069.5</v>
      </c>
      <c r="N89" s="408">
        <f>+IS!N60</f>
        <v>7432</v>
      </c>
      <c r="O89" s="408">
        <f>+IS!O60</f>
        <v>7052</v>
      </c>
      <c r="P89" s="408">
        <f>+IS!P60</f>
        <v>6934</v>
      </c>
      <c r="Q89" s="408">
        <f>+IS!Q60</f>
        <v>6513</v>
      </c>
      <c r="R89" s="408">
        <f>+IS!R60</f>
        <v>6582</v>
      </c>
      <c r="S89" s="408">
        <f>+IS!S60</f>
        <v>8846.9680973273917</v>
      </c>
      <c r="T89" s="408">
        <f>+IS!T60</f>
        <v>9170.173300483093</v>
      </c>
      <c r="U89" s="408">
        <f>+IS!U60</f>
        <v>9345.6450650722545</v>
      </c>
      <c r="V89" s="408">
        <f>+IS!V60</f>
        <v>9425.8971650058593</v>
      </c>
      <c r="W89" s="408">
        <f>+IS!W60</f>
        <v>9536.5985016652794</v>
      </c>
      <c r="X89" s="408">
        <f>+IS!X60</f>
        <v>9656.1028187441116</v>
      </c>
      <c r="Y89" s="2544"/>
      <c r="Z89" s="408"/>
      <c r="AA89" s="408"/>
      <c r="AB89" s="408"/>
      <c r="AC89" s="416">
        <f>+IS!AD60</f>
        <v>319.95399999999995</v>
      </c>
      <c r="AD89" s="408">
        <f>+IS!AE60</f>
        <v>310.54899999999998</v>
      </c>
      <c r="AE89" s="408">
        <f>+IS!AF60</f>
        <v>320.66199999999992</v>
      </c>
      <c r="AF89" s="408">
        <f>+IS!AG60</f>
        <v>308.23900000000003</v>
      </c>
      <c r="AG89" s="416">
        <f>+IS!AH60</f>
        <v>318.91999999999996</v>
      </c>
      <c r="AH89" s="408">
        <f>+IS!AI60</f>
        <v>309.03500000000003</v>
      </c>
      <c r="AI89" s="408">
        <f>+IS!AJ60</f>
        <v>316.334</v>
      </c>
      <c r="AJ89" s="408">
        <f>+IS!AK60</f>
        <v>340.62100000000004</v>
      </c>
      <c r="AK89" s="416">
        <f>+IS!AL60</f>
        <v>308.197</v>
      </c>
      <c r="AL89" s="408">
        <f>+IS!AM60</f>
        <v>968.22932944606418</v>
      </c>
      <c r="AM89" s="408">
        <f>+IS!AN60</f>
        <v>991.06899999999996</v>
      </c>
      <c r="AN89" s="408">
        <f>+IS!AO60</f>
        <v>934.64399999999978</v>
      </c>
      <c r="AO89" s="416">
        <f>+IS!AP60</f>
        <v>974.0390000000001</v>
      </c>
      <c r="AP89" s="408">
        <f>+IS!AQ60</f>
        <v>936.86700000000008</v>
      </c>
      <c r="AQ89" s="408">
        <f>+IS!AR60</f>
        <v>975.22599999999966</v>
      </c>
      <c r="AR89" s="408">
        <f>+IS!AS60</f>
        <v>986.00500000000011</v>
      </c>
      <c r="AS89" s="416">
        <f>+IS!AT60</f>
        <v>954.47200000000009</v>
      </c>
      <c r="AT89" s="408">
        <f>+IS!AU60</f>
        <v>2130.6139999999996</v>
      </c>
      <c r="AU89" s="408">
        <f>+IS!AV60</f>
        <v>2110.5730000000003</v>
      </c>
      <c r="AV89" s="408">
        <f>+IS!AW60</f>
        <v>1983.0730000000003</v>
      </c>
      <c r="AW89" s="416">
        <f>+IS!AX60</f>
        <v>2167.7800000000007</v>
      </c>
      <c r="AX89" s="408">
        <f>+SUM(IS!AV60:AY60)</f>
        <v>8386.2270000000008</v>
      </c>
      <c r="AY89" s="408">
        <f>+SUM(IS!AW60:AZ60)</f>
        <v>8334.5149999999994</v>
      </c>
      <c r="AZ89" s="408">
        <f>+SUM(IS!AX60:BA60)</f>
        <v>8374.2529999999988</v>
      </c>
      <c r="BA89" s="416">
        <f>+SUM(IS!AY60:BB60)</f>
        <v>8235.0649999999987</v>
      </c>
      <c r="BB89" s="408">
        <f>+SUM(IS!AZ60:BC60)</f>
        <v>8214.2639999999992</v>
      </c>
      <c r="BC89" s="408">
        <f>+SUM(IS!BA60:BD60)</f>
        <v>8217.4029999999984</v>
      </c>
      <c r="BD89" s="408">
        <f>+SUM(IS!BB60:BE60)</f>
        <v>8266.5920000000006</v>
      </c>
      <c r="BE89" s="408">
        <f>+SUM(IS!BC60:BF60)</f>
        <v>8264</v>
      </c>
      <c r="BF89" s="415">
        <f ca="1">+SUM(IS!BD60:BG60)</f>
        <v>8222.7999999999993</v>
      </c>
      <c r="BG89" s="408">
        <f ca="1">+SUM(IS!BE60:BH60)</f>
        <v>8139.8</v>
      </c>
      <c r="BH89" s="408">
        <f ca="1">+SUM(IS!BF60:BI60)</f>
        <v>7961.8</v>
      </c>
      <c r="BI89" s="416">
        <f ca="1">+SUM(IS!BG60:BJ60)</f>
        <v>7781.8</v>
      </c>
      <c r="BJ89" s="408">
        <f>+SUM(IS!BH60:BK60)</f>
        <v>7663</v>
      </c>
      <c r="BK89" s="408">
        <f>+SUM(IS!BI60:BL60)</f>
        <v>7584</v>
      </c>
      <c r="BL89" s="408">
        <f>+SUM(IS!BJ60:BM60)</f>
        <v>7589</v>
      </c>
      <c r="BM89" s="408">
        <f>+SUM(IS!BK60:BN60)</f>
        <v>7657</v>
      </c>
      <c r="BN89" s="415">
        <f>+SUM(IS!BL60:BO60)</f>
        <v>7646</v>
      </c>
      <c r="BO89" s="408">
        <f>+SUM(IS!BM60:BP60)</f>
        <v>7604</v>
      </c>
      <c r="BP89" s="408">
        <f>+SUM(IS!BN60:BQ60)</f>
        <v>7510</v>
      </c>
      <c r="BQ89" s="416">
        <f>+SUM(IS!BO60:BR60)</f>
        <v>7432</v>
      </c>
      <c r="BR89" s="408">
        <f>+SUM(IS!BP60:BS60)</f>
        <v>7287</v>
      </c>
      <c r="BS89" s="408">
        <f>+SUM(IS!BQ60:BT60)</f>
        <v>7241</v>
      </c>
      <c r="BT89" s="408">
        <f>+SUM(IS!BR60:BU60)</f>
        <v>7181</v>
      </c>
      <c r="BU89" s="416">
        <f>+SUM(IS!BS60:BV60)</f>
        <v>7052</v>
      </c>
      <c r="BV89" s="408">
        <f>+SUM(IS!BT60:BW60)</f>
        <v>6988</v>
      </c>
      <c r="BW89" s="408">
        <f>+SUM(IS!BU60:BX60)</f>
        <v>6798</v>
      </c>
      <c r="BX89" s="408">
        <f>+SUM(IS!BV60:BY60)</f>
        <v>6829</v>
      </c>
      <c r="BY89" s="416">
        <f>+SUM(IS!BW60:BZ60)</f>
        <v>6934</v>
      </c>
      <c r="BZ89" s="408">
        <f>+SUM(IS!BX60:CA60)</f>
        <v>6894</v>
      </c>
      <c r="CA89" s="408">
        <f>+SUM(IS!BY60:CB60)</f>
        <v>6920</v>
      </c>
      <c r="CB89" s="408">
        <f>+SUM(IS!BZ60:CC60)</f>
        <v>6740</v>
      </c>
      <c r="CC89" s="416">
        <f>+SUM(IS!CA60:CD60)</f>
        <v>6513</v>
      </c>
      <c r="CD89" s="408">
        <f>+SUM(IS!CB60:CE60)</f>
        <v>6361</v>
      </c>
      <c r="CE89" s="408">
        <f>+SUM(IS!CC60:CF60)</f>
        <v>6155</v>
      </c>
      <c r="CF89" s="408">
        <f>+SUM(IS!CD60:CG60)</f>
        <v>5956</v>
      </c>
      <c r="CG89" s="416">
        <f>+SUM(IS!CE60:CH60)</f>
        <v>6582</v>
      </c>
      <c r="CH89" s="408">
        <f>+SUM(IS!CF60:CI60)</f>
        <v>7179.2495400000007</v>
      </c>
      <c r="CI89" s="408">
        <f>+SUM(IS!CG60:CJ60)</f>
        <v>7926.084105676</v>
      </c>
      <c r="CJ89" s="408">
        <f>+SUM(IS!CH60:CK60)</f>
        <v>8760.1814873406365</v>
      </c>
      <c r="CK89" s="416">
        <f>+SUM(IS!CI60:CL60)</f>
        <v>8846.9680973273898</v>
      </c>
      <c r="CL89" s="368"/>
    </row>
    <row r="90" spans="1:96">
      <c r="A90" s="365" t="s">
        <v>975</v>
      </c>
      <c r="B90" s="365"/>
      <c r="C90" s="365"/>
      <c r="D90" s="424"/>
      <c r="E90" s="424">
        <f>IS!E83</f>
        <v>0.35</v>
      </c>
      <c r="F90" s="424">
        <f>IS!F83</f>
        <v>0.35</v>
      </c>
      <c r="G90" s="424">
        <f>IS!G83</f>
        <v>0.35</v>
      </c>
      <c r="H90" s="409">
        <f>IS!H83</f>
        <v>0.35</v>
      </c>
      <c r="I90" s="409">
        <f>IS!I83</f>
        <v>0.35</v>
      </c>
      <c r="J90" s="409">
        <f>IS!J83</f>
        <v>0.35</v>
      </c>
      <c r="K90" s="409">
        <f>IS!K83</f>
        <v>0.35</v>
      </c>
      <c r="L90" s="409">
        <f>IS!L83</f>
        <v>0.35</v>
      </c>
      <c r="M90" s="409">
        <f>IS!M83</f>
        <v>0.35</v>
      </c>
      <c r="N90" s="409">
        <f>IS!N83</f>
        <v>0.35</v>
      </c>
      <c r="O90" s="409">
        <f>IS!O83</f>
        <v>0.35</v>
      </c>
      <c r="P90" s="409">
        <f>IS!P83</f>
        <v>0.35</v>
      </c>
      <c r="Q90" s="409">
        <f>IS!Q83</f>
        <v>0.35</v>
      </c>
      <c r="R90" s="409">
        <f>IS!R83</f>
        <v>0.35</v>
      </c>
      <c r="S90" s="409">
        <f>IS!S83</f>
        <v>0.24</v>
      </c>
      <c r="T90" s="409">
        <f>IS!T83</f>
        <v>0.24</v>
      </c>
      <c r="U90" s="409">
        <f>IS!U83</f>
        <v>0.24</v>
      </c>
      <c r="V90" s="409">
        <f>IS!V83</f>
        <v>0.24</v>
      </c>
      <c r="W90" s="409">
        <f>IS!W83</f>
        <v>0.24</v>
      </c>
      <c r="X90" s="409">
        <f>IS!X83</f>
        <v>0.24</v>
      </c>
      <c r="Y90" s="2544"/>
      <c r="Z90" s="409"/>
      <c r="AA90" s="409"/>
      <c r="AB90" s="409"/>
      <c r="AC90" s="419">
        <f>IS!AD83</f>
        <v>0.35</v>
      </c>
      <c r="AD90" s="409">
        <f>IS!AE83</f>
        <v>0.35</v>
      </c>
      <c r="AE90" s="409">
        <f>IS!AF83</f>
        <v>0.35</v>
      </c>
      <c r="AF90" s="409">
        <f>IS!AG83</f>
        <v>0.35</v>
      </c>
      <c r="AG90" s="419">
        <f>IS!AH83</f>
        <v>0.35</v>
      </c>
      <c r="AH90" s="409">
        <f>IS!AI83</f>
        <v>0.35</v>
      </c>
      <c r="AI90" s="409">
        <f>IS!AJ83</f>
        <v>0.35</v>
      </c>
      <c r="AJ90" s="409">
        <f>IS!AK83</f>
        <v>0.35</v>
      </c>
      <c r="AK90" s="419">
        <f>IS!AL83</f>
        <v>0.35</v>
      </c>
      <c r="AL90" s="409">
        <f>IS!AM83</f>
        <v>0.35</v>
      </c>
      <c r="AM90" s="409">
        <f>IS!AN83</f>
        <v>0.35</v>
      </c>
      <c r="AN90" s="409">
        <f>IS!AO83</f>
        <v>0.35</v>
      </c>
      <c r="AO90" s="419">
        <f>IS!AP83</f>
        <v>0.35</v>
      </c>
      <c r="AP90" s="409">
        <f>IS!AQ83</f>
        <v>0.35</v>
      </c>
      <c r="AQ90" s="409">
        <f>IS!AR83</f>
        <v>0.35</v>
      </c>
      <c r="AR90" s="409">
        <f>IS!AS83</f>
        <v>0.35</v>
      </c>
      <c r="AS90" s="419">
        <f>IS!AT83</f>
        <v>0.35</v>
      </c>
      <c r="AT90" s="409">
        <f>IS!AU83</f>
        <v>0.35</v>
      </c>
      <c r="AU90" s="409">
        <f>IS!AV83</f>
        <v>0.35</v>
      </c>
      <c r="AV90" s="409">
        <f>IS!AW83</f>
        <v>0.35</v>
      </c>
      <c r="AW90" s="419">
        <f>IS!AX83</f>
        <v>0.35</v>
      </c>
      <c r="AX90" s="409">
        <f>IS!AY83</f>
        <v>0.35</v>
      </c>
      <c r="AY90" s="409">
        <f>IS!AZ83</f>
        <v>0.35</v>
      </c>
      <c r="AZ90" s="409">
        <f>IS!BA83</f>
        <v>0.35</v>
      </c>
      <c r="BA90" s="419">
        <f>IS!BB83</f>
        <v>0.35</v>
      </c>
      <c r="BB90" s="409">
        <f>IS!BC83</f>
        <v>0.35</v>
      </c>
      <c r="BC90" s="409">
        <f>IS!BD83</f>
        <v>0.35</v>
      </c>
      <c r="BD90" s="409">
        <f>IS!BE83</f>
        <v>0.35</v>
      </c>
      <c r="BE90" s="409">
        <f>IS!BF83</f>
        <v>0.35</v>
      </c>
      <c r="BF90" s="420">
        <f>IS!BG83</f>
        <v>0.35</v>
      </c>
      <c r="BG90" s="409">
        <f>IS!BH83</f>
        <v>0.35</v>
      </c>
      <c r="BH90" s="409">
        <f>IS!BI83</f>
        <v>0.35</v>
      </c>
      <c r="BI90" s="419">
        <f>IS!BJ83</f>
        <v>0.35</v>
      </c>
      <c r="BJ90" s="409">
        <f>IS!BK83</f>
        <v>0.35</v>
      </c>
      <c r="BK90" s="409">
        <f>IS!BL83</f>
        <v>0.35</v>
      </c>
      <c r="BL90" s="409">
        <f>IS!BM83</f>
        <v>0.35</v>
      </c>
      <c r="BM90" s="409">
        <f>IS!BN83</f>
        <v>0.35</v>
      </c>
      <c r="BN90" s="420">
        <f>IS!BO83</f>
        <v>0.35</v>
      </c>
      <c r="BO90" s="409">
        <f>IS!BP83</f>
        <v>0.35</v>
      </c>
      <c r="BP90" s="409">
        <f>IS!BQ83</f>
        <v>0.35</v>
      </c>
      <c r="BQ90" s="419">
        <f>IS!BR83</f>
        <v>0.35</v>
      </c>
      <c r="BR90" s="409">
        <f>IS!BS83</f>
        <v>0.35</v>
      </c>
      <c r="BS90" s="409">
        <f>IS!BT83</f>
        <v>0.35</v>
      </c>
      <c r="BT90" s="409">
        <f>IS!BU83</f>
        <v>0.35</v>
      </c>
      <c r="BU90" s="419">
        <f>IS!BV83</f>
        <v>0.35</v>
      </c>
      <c r="BV90" s="409">
        <f>IS!BW83</f>
        <v>0.35</v>
      </c>
      <c r="BW90" s="409">
        <f>IS!BX83</f>
        <v>0.35</v>
      </c>
      <c r="BX90" s="409">
        <f>IS!BY83</f>
        <v>0.35</v>
      </c>
      <c r="BY90" s="419">
        <f>IS!BZ83</f>
        <v>0.35</v>
      </c>
      <c r="BZ90" s="409">
        <f>IS!CA83</f>
        <v>0.35</v>
      </c>
      <c r="CA90" s="409">
        <f>IS!CB83</f>
        <v>0.35</v>
      </c>
      <c r="CB90" s="409">
        <f>IS!CC83</f>
        <v>0.35</v>
      </c>
      <c r="CC90" s="419">
        <f>IS!CD83</f>
        <v>0.35</v>
      </c>
      <c r="CD90" s="409">
        <f>IS!CE83</f>
        <v>0.35</v>
      </c>
      <c r="CE90" s="409">
        <f>IS!CF83</f>
        <v>0.35</v>
      </c>
      <c r="CF90" s="409">
        <f>IS!CG83</f>
        <v>0.35</v>
      </c>
      <c r="CG90" s="419">
        <f>IS!CH83</f>
        <v>0.35</v>
      </c>
      <c r="CH90" s="409">
        <f>IS!CI83</f>
        <v>0.25</v>
      </c>
      <c r="CI90" s="409">
        <f>IS!CJ83</f>
        <v>0.25</v>
      </c>
      <c r="CJ90" s="409">
        <f>IS!CK83</f>
        <v>0.25</v>
      </c>
      <c r="CK90" s="419">
        <f>IS!CL83</f>
        <v>0.25</v>
      </c>
      <c r="CL90" s="368"/>
    </row>
    <row r="91" spans="1:96">
      <c r="A91" s="365" t="s">
        <v>976</v>
      </c>
      <c r="B91" s="365"/>
      <c r="C91" s="365"/>
      <c r="D91" s="485"/>
      <c r="E91" s="485">
        <f t="shared" ref="E91:P91" si="139">+E20</f>
        <v>3341.4009999999998</v>
      </c>
      <c r="F91" s="485">
        <f t="shared" si="139"/>
        <v>11458.486000000001</v>
      </c>
      <c r="G91" s="485">
        <f t="shared" si="139"/>
        <v>11097.276999999998</v>
      </c>
      <c r="H91" s="408">
        <f t="shared" si="139"/>
        <v>10856.376</v>
      </c>
      <c r="I91" s="408">
        <f t="shared" si="139"/>
        <v>23351.892</v>
      </c>
      <c r="J91" s="408">
        <f t="shared" si="139"/>
        <v>21396.138999999996</v>
      </c>
      <c r="K91" s="408">
        <f t="shared" si="139"/>
        <v>20548</v>
      </c>
      <c r="L91" s="408">
        <f t="shared" si="139"/>
        <v>19444</v>
      </c>
      <c r="M91" s="408">
        <f t="shared" si="139"/>
        <v>19032</v>
      </c>
      <c r="N91" s="408">
        <f t="shared" si="139"/>
        <v>18646</v>
      </c>
      <c r="O91" s="408">
        <f t="shared" si="139"/>
        <v>18433</v>
      </c>
      <c r="P91" s="408">
        <f t="shared" si="139"/>
        <v>18069</v>
      </c>
      <c r="Q91" s="408">
        <f t="shared" ref="Q91:X91" si="140">+Q20</f>
        <v>17039</v>
      </c>
      <c r="R91" s="408">
        <f t="shared" si="140"/>
        <v>26852</v>
      </c>
      <c r="S91" s="408">
        <f t="shared" si="140"/>
        <v>25278.734719617587</v>
      </c>
      <c r="T91" s="408">
        <f t="shared" si="140"/>
        <v>23707.249350299273</v>
      </c>
      <c r="U91" s="408">
        <f t="shared" si="140"/>
        <v>22211.19534606333</v>
      </c>
      <c r="V91" s="408">
        <f t="shared" si="140"/>
        <v>20782.597652422417</v>
      </c>
      <c r="W91" s="408">
        <f t="shared" si="140"/>
        <v>19432.662124311122</v>
      </c>
      <c r="X91" s="408">
        <f t="shared" si="140"/>
        <v>18163.590946793862</v>
      </c>
      <c r="Y91" s="2544"/>
      <c r="Z91" s="408"/>
      <c r="AA91" s="408"/>
      <c r="AB91" s="408"/>
      <c r="AC91" s="416">
        <f t="shared" ref="AC91:BH91" si="141">+AC20</f>
        <v>3455.4809999999998</v>
      </c>
      <c r="AD91" s="408">
        <f t="shared" si="141"/>
        <v>3388.8160000000003</v>
      </c>
      <c r="AE91" s="408">
        <f t="shared" si="141"/>
        <v>3347.971</v>
      </c>
      <c r="AF91" s="408">
        <f t="shared" si="141"/>
        <v>3335.5390000000002</v>
      </c>
      <c r="AG91" s="416">
        <f t="shared" si="141"/>
        <v>3341.4009999999998</v>
      </c>
      <c r="AH91" s="408">
        <f t="shared" si="141"/>
        <v>3287.8490000000002</v>
      </c>
      <c r="AI91" s="408">
        <f t="shared" si="141"/>
        <v>3319.8540000000003</v>
      </c>
      <c r="AJ91" s="408">
        <f t="shared" si="141"/>
        <v>3299.1149999999998</v>
      </c>
      <c r="AK91" s="416">
        <f t="shared" si="141"/>
        <v>11458.486000000001</v>
      </c>
      <c r="AL91" s="408">
        <f t="shared" si="141"/>
        <v>11329.041999999994</v>
      </c>
      <c r="AM91" s="408">
        <f t="shared" si="141"/>
        <v>11219.006999999998</v>
      </c>
      <c r="AN91" s="408">
        <f t="shared" si="141"/>
        <v>11184.039999999997</v>
      </c>
      <c r="AO91" s="416">
        <f t="shared" si="141"/>
        <v>11097.276999999998</v>
      </c>
      <c r="AP91" s="408">
        <f t="shared" si="141"/>
        <v>10944.557000000001</v>
      </c>
      <c r="AQ91" s="408">
        <f t="shared" si="141"/>
        <v>11041.55</v>
      </c>
      <c r="AR91" s="408">
        <f t="shared" si="141"/>
        <v>10905.819</v>
      </c>
      <c r="AS91" s="416">
        <f t="shared" si="141"/>
        <v>10856.376</v>
      </c>
      <c r="AT91" s="408">
        <f t="shared" si="141"/>
        <v>24191.133999999998</v>
      </c>
      <c r="AU91" s="408">
        <f t="shared" si="141"/>
        <v>24006.840000000004</v>
      </c>
      <c r="AV91" s="408">
        <f t="shared" si="141"/>
        <v>23724.350000000006</v>
      </c>
      <c r="AW91" s="416">
        <f t="shared" si="141"/>
        <v>23351.892</v>
      </c>
      <c r="AX91" s="408">
        <f t="shared" si="141"/>
        <v>22888.57</v>
      </c>
      <c r="AY91" s="408">
        <f t="shared" si="141"/>
        <v>22563.755988249184</v>
      </c>
      <c r="AZ91" s="408">
        <f t="shared" si="141"/>
        <v>21762.186999999998</v>
      </c>
      <c r="BA91" s="416">
        <f t="shared" si="141"/>
        <v>21396.138999999996</v>
      </c>
      <c r="BB91" s="408">
        <f t="shared" si="141"/>
        <v>21048.296999999999</v>
      </c>
      <c r="BC91" s="408">
        <f t="shared" si="141"/>
        <v>20795.470999999998</v>
      </c>
      <c r="BD91" s="408">
        <f t="shared" si="141"/>
        <v>20631.743000000002</v>
      </c>
      <c r="BE91" s="408">
        <f t="shared" si="141"/>
        <v>20548</v>
      </c>
      <c r="BF91" s="415">
        <f t="shared" si="141"/>
        <v>20314</v>
      </c>
      <c r="BG91" s="408">
        <f t="shared" si="141"/>
        <v>18024</v>
      </c>
      <c r="BH91" s="408">
        <f t="shared" si="141"/>
        <v>19290</v>
      </c>
      <c r="BI91" s="416">
        <f t="shared" ref="BI91:BX91" si="142">+BI20</f>
        <v>19444</v>
      </c>
      <c r="BJ91" s="408">
        <f t="shared" si="142"/>
        <v>19295</v>
      </c>
      <c r="BK91" s="408">
        <f t="shared" si="142"/>
        <v>19054</v>
      </c>
      <c r="BL91" s="408">
        <f t="shared" si="142"/>
        <v>19013</v>
      </c>
      <c r="BM91" s="408">
        <f t="shared" si="142"/>
        <v>19032</v>
      </c>
      <c r="BN91" s="415">
        <f t="shared" si="142"/>
        <v>18825</v>
      </c>
      <c r="BO91" s="408">
        <f t="shared" si="142"/>
        <v>18777</v>
      </c>
      <c r="BP91" s="408">
        <f t="shared" si="142"/>
        <v>18665</v>
      </c>
      <c r="BQ91" s="416">
        <f t="shared" si="142"/>
        <v>18646</v>
      </c>
      <c r="BR91" s="408">
        <f t="shared" si="142"/>
        <v>18493</v>
      </c>
      <c r="BS91" s="408">
        <f t="shared" si="142"/>
        <v>18435</v>
      </c>
      <c r="BT91" s="408">
        <f t="shared" si="142"/>
        <v>18323</v>
      </c>
      <c r="BU91" s="416">
        <f t="shared" si="142"/>
        <v>18433</v>
      </c>
      <c r="BV91" s="408">
        <f t="shared" si="142"/>
        <v>18183</v>
      </c>
      <c r="BW91" s="408">
        <f t="shared" si="142"/>
        <v>18089</v>
      </c>
      <c r="BX91" s="408">
        <f t="shared" si="142"/>
        <v>18068</v>
      </c>
      <c r="BY91" s="416">
        <f t="shared" ref="BY91:CB91" si="143">+BY20</f>
        <v>18069</v>
      </c>
      <c r="BZ91" s="408">
        <f t="shared" si="143"/>
        <v>17963</v>
      </c>
      <c r="CA91" s="408">
        <f t="shared" si="143"/>
        <v>17894</v>
      </c>
      <c r="CB91" s="408">
        <f t="shared" si="143"/>
        <v>17840</v>
      </c>
      <c r="CC91" s="416">
        <f>+CC20</f>
        <v>17039</v>
      </c>
      <c r="CD91" s="408">
        <f>+CD20</f>
        <v>17016</v>
      </c>
      <c r="CE91" s="408">
        <f>+CE20</f>
        <v>17583</v>
      </c>
      <c r="CF91" s="408">
        <f>+CF20</f>
        <v>17634</v>
      </c>
      <c r="CG91" s="416">
        <f t="shared" ref="CG91" si="144">+CG20</f>
        <v>26852</v>
      </c>
      <c r="CH91" s="408">
        <f>+CH20</f>
        <v>26492.931040000003</v>
      </c>
      <c r="CI91" s="408">
        <f>+CI20</f>
        <v>26097.236489194005</v>
      </c>
      <c r="CJ91" s="408">
        <f>+CJ20</f>
        <v>25696.32870199623</v>
      </c>
      <c r="CK91" s="416">
        <f>+CK20</f>
        <v>25278.734719617587</v>
      </c>
      <c r="CL91" s="368"/>
    </row>
    <row r="92" spans="1:96">
      <c r="A92" s="365" t="s">
        <v>977</v>
      </c>
      <c r="B92" s="365"/>
      <c r="C92" s="365"/>
      <c r="D92" s="485"/>
      <c r="E92" s="485">
        <f t="shared" ref="E92:O92" si="145">+E64</f>
        <v>-189.36899999999997</v>
      </c>
      <c r="F92" s="485">
        <f t="shared" si="145"/>
        <v>-366.32400000000007</v>
      </c>
      <c r="G92" s="485">
        <f t="shared" si="145"/>
        <v>-432.10400000000004</v>
      </c>
      <c r="H92" s="408">
        <f t="shared" si="145"/>
        <v>-380.6400000000001</v>
      </c>
      <c r="I92" s="408">
        <f t="shared" si="145"/>
        <v>-864.90299999999979</v>
      </c>
      <c r="J92" s="408">
        <f t="shared" si="145"/>
        <v>-938.346</v>
      </c>
      <c r="K92" s="408">
        <f t="shared" si="145"/>
        <v>-921</v>
      </c>
      <c r="L92" s="408">
        <f t="shared" si="145"/>
        <v>-148</v>
      </c>
      <c r="M92" s="408">
        <f t="shared" si="145"/>
        <v>12</v>
      </c>
      <c r="N92" s="408">
        <f t="shared" si="145"/>
        <v>115</v>
      </c>
      <c r="O92" s="408">
        <f t="shared" si="145"/>
        <v>80</v>
      </c>
      <c r="P92" s="408">
        <f t="shared" ref="P92:V92" ca="1" si="146">+P64</f>
        <v>-577</v>
      </c>
      <c r="Q92" s="408">
        <f t="shared" ca="1" si="146"/>
        <v>1094</v>
      </c>
      <c r="R92" s="408">
        <f t="shared" ca="1" si="146"/>
        <v>-809</v>
      </c>
      <c r="S92" s="408">
        <f ca="1">+S64</f>
        <v>-1174.1111249519167</v>
      </c>
      <c r="T92" s="408">
        <f t="shared" ca="1" si="146"/>
        <v>-1263.8063461572028</v>
      </c>
      <c r="U92" s="408">
        <f t="shared" ca="1" si="146"/>
        <v>-1206.9172708649994</v>
      </c>
      <c r="V92" s="408">
        <f t="shared" ca="1" si="146"/>
        <v>-1181.2349651923014</v>
      </c>
      <c r="W92" s="408">
        <f ca="1">+W64</f>
        <v>-1156.2072987758702</v>
      </c>
      <c r="X92" s="408">
        <f ca="1">+X64</f>
        <v>-1131.4043186579529</v>
      </c>
      <c r="Y92" s="2544"/>
      <c r="Z92" s="408"/>
      <c r="AA92" s="408"/>
      <c r="AB92" s="408"/>
      <c r="AC92" s="414">
        <f t="shared" ref="AC92:BT92" si="147">+AC64</f>
        <v>-139.17200000000003</v>
      </c>
      <c r="AD92" s="413">
        <f t="shared" si="147"/>
        <v>-198.37199999999996</v>
      </c>
      <c r="AE92" s="413">
        <f t="shared" si="147"/>
        <v>-295.25499999999988</v>
      </c>
      <c r="AF92" s="413">
        <f t="shared" si="147"/>
        <v>-230.858</v>
      </c>
      <c r="AG92" s="414">
        <f t="shared" si="147"/>
        <v>-54.734000000000037</v>
      </c>
      <c r="AH92" s="413">
        <f t="shared" si="147"/>
        <v>-113.35399999999993</v>
      </c>
      <c r="AI92" s="413">
        <f t="shared" si="147"/>
        <v>-133.90100000000007</v>
      </c>
      <c r="AJ92" s="413">
        <f t="shared" si="147"/>
        <v>16.314000000000021</v>
      </c>
      <c r="AK92" s="414">
        <f t="shared" si="147"/>
        <v>-904.19200000000012</v>
      </c>
      <c r="AL92" s="413">
        <f t="shared" si="147"/>
        <v>-741.81713226467343</v>
      </c>
      <c r="AM92" s="413">
        <f t="shared" si="147"/>
        <v>-1270.3780000000002</v>
      </c>
      <c r="AN92" s="413">
        <f t="shared" si="147"/>
        <v>-1336.6610000000001</v>
      </c>
      <c r="AO92" s="414">
        <f t="shared" si="147"/>
        <v>-1240.7820000000002</v>
      </c>
      <c r="AP92" s="413">
        <f t="shared" si="147"/>
        <v>-609.01800000000026</v>
      </c>
      <c r="AQ92" s="413">
        <f t="shared" si="147"/>
        <v>-1144.3709999999999</v>
      </c>
      <c r="AR92" s="413">
        <f t="shared" si="147"/>
        <v>-1243.1009999999999</v>
      </c>
      <c r="AS92" s="414">
        <f t="shared" si="147"/>
        <v>-1116.2650000000001</v>
      </c>
      <c r="AT92" s="413">
        <f t="shared" si="147"/>
        <v>-2647.8590000291547</v>
      </c>
      <c r="AU92" s="413">
        <f t="shared" si="147"/>
        <v>-2386.9590000291555</v>
      </c>
      <c r="AV92" s="413">
        <f t="shared" si="147"/>
        <v>-2251.5850000291543</v>
      </c>
      <c r="AW92" s="414">
        <f t="shared" si="147"/>
        <v>-2164.8680000291547</v>
      </c>
      <c r="AX92" s="413">
        <f t="shared" si="147"/>
        <v>-2053.8589971491551</v>
      </c>
      <c r="AY92" s="413">
        <f t="shared" si="147"/>
        <v>-680.78733774658986</v>
      </c>
      <c r="AZ92" s="413">
        <f t="shared" si="147"/>
        <v>-835.72600000000057</v>
      </c>
      <c r="BA92" s="414">
        <f t="shared" si="147"/>
        <v>-938.346</v>
      </c>
      <c r="BB92" s="413">
        <f t="shared" si="147"/>
        <v>-161.49499999999989</v>
      </c>
      <c r="BC92" s="413">
        <f t="shared" si="147"/>
        <v>-223.73399999999947</v>
      </c>
      <c r="BD92" s="413">
        <f t="shared" si="147"/>
        <v>-1108.1299999999997</v>
      </c>
      <c r="BE92" s="413">
        <f t="shared" si="147"/>
        <v>-921</v>
      </c>
      <c r="BF92" s="490">
        <f t="shared" si="147"/>
        <v>-989</v>
      </c>
      <c r="BG92" s="413">
        <f t="shared" si="147"/>
        <v>-993</v>
      </c>
      <c r="BH92" s="413">
        <f t="shared" si="147"/>
        <v>-1018</v>
      </c>
      <c r="BI92" s="414">
        <f t="shared" si="147"/>
        <v>-148</v>
      </c>
      <c r="BJ92" s="413">
        <f t="shared" si="147"/>
        <v>-91</v>
      </c>
      <c r="BK92" s="413">
        <f t="shared" si="147"/>
        <v>262</v>
      </c>
      <c r="BL92" s="413">
        <f t="shared" si="147"/>
        <v>-94</v>
      </c>
      <c r="BM92" s="413">
        <f t="shared" si="147"/>
        <v>12</v>
      </c>
      <c r="BN92" s="490">
        <f t="shared" si="147"/>
        <v>9</v>
      </c>
      <c r="BO92" s="413">
        <f t="shared" si="147"/>
        <v>-12</v>
      </c>
      <c r="BP92" s="413">
        <f t="shared" si="147"/>
        <v>-241</v>
      </c>
      <c r="BQ92" s="414">
        <f t="shared" si="147"/>
        <v>115</v>
      </c>
      <c r="BR92" s="413">
        <f>+BR64</f>
        <v>34</v>
      </c>
      <c r="BS92" s="413">
        <f>+BS64</f>
        <v>162</v>
      </c>
      <c r="BT92" s="413">
        <f t="shared" si="147"/>
        <v>-124</v>
      </c>
      <c r="BU92" s="414">
        <f>+BU64</f>
        <v>80</v>
      </c>
      <c r="BV92" s="413">
        <f ca="1">+BV64</f>
        <v>-64</v>
      </c>
      <c r="BW92" s="413">
        <f ca="1">+BW64</f>
        <v>-128</v>
      </c>
      <c r="BX92" s="413">
        <f ca="1">+BX64</f>
        <v>-642</v>
      </c>
      <c r="BY92" s="414">
        <f t="shared" ref="BY92:CC92" ca="1" si="148">+BY64</f>
        <v>-577</v>
      </c>
      <c r="BZ92" s="413">
        <f t="shared" ca="1" si="148"/>
        <v>-821</v>
      </c>
      <c r="CA92" s="413">
        <f t="shared" ca="1" si="148"/>
        <v>-791</v>
      </c>
      <c r="CB92" s="413">
        <f t="shared" ca="1" si="148"/>
        <v>-611</v>
      </c>
      <c r="CC92" s="414">
        <f t="shared" ca="1" si="148"/>
        <v>1094</v>
      </c>
      <c r="CD92" s="413">
        <f ca="1">+CD64</f>
        <v>1157</v>
      </c>
      <c r="CE92" s="413">
        <f ca="1">+CE64</f>
        <v>-481</v>
      </c>
      <c r="CF92" s="413">
        <f ca="1">+CF64</f>
        <v>-608</v>
      </c>
      <c r="CG92" s="414">
        <f t="shared" ref="CG92" ca="1" si="149">+CG64</f>
        <v>-809</v>
      </c>
      <c r="CH92" s="413">
        <f ca="1">+CH64</f>
        <v>-981.79719921115247</v>
      </c>
      <c r="CI92" s="413">
        <f ca="1">+CI64</f>
        <v>-1047.4706394903706</v>
      </c>
      <c r="CJ92" s="413">
        <f ca="1">+CJ64</f>
        <v>-1118.7167042480696</v>
      </c>
      <c r="CK92" s="414">
        <f ca="1">+CK64</f>
        <v>-1174.1111249519167</v>
      </c>
      <c r="CL92" s="368"/>
    </row>
    <row r="93" spans="1:96">
      <c r="A93" s="365" t="s">
        <v>978</v>
      </c>
      <c r="B93" s="365"/>
      <c r="C93" s="365"/>
      <c r="D93" s="485"/>
      <c r="E93" s="485">
        <f t="shared" ref="E93:P93" si="150">+E24</f>
        <v>401.84100000000001</v>
      </c>
      <c r="F93" s="485">
        <f t="shared" si="150"/>
        <v>700.55600000000004</v>
      </c>
      <c r="G93" s="485">
        <f t="shared" si="150"/>
        <v>663.47699999999998</v>
      </c>
      <c r="H93" s="408">
        <f t="shared" si="150"/>
        <v>912.86199999999997</v>
      </c>
      <c r="I93" s="408">
        <f t="shared" si="150"/>
        <v>3127.2220000000002</v>
      </c>
      <c r="J93" s="408">
        <f t="shared" si="150"/>
        <v>2675.241</v>
      </c>
      <c r="K93" s="408">
        <f t="shared" si="150"/>
        <v>5803</v>
      </c>
      <c r="L93" s="408">
        <f t="shared" si="150"/>
        <v>11351</v>
      </c>
      <c r="M93" s="408">
        <f t="shared" si="150"/>
        <v>9643</v>
      </c>
      <c r="N93" s="408">
        <f t="shared" si="150"/>
        <v>8560</v>
      </c>
      <c r="O93" s="408">
        <f t="shared" si="150"/>
        <v>7383</v>
      </c>
      <c r="P93" s="408">
        <f t="shared" si="150"/>
        <v>6143</v>
      </c>
      <c r="Q93" s="408">
        <f t="shared" ref="Q93:X93" si="151">+Q24</f>
        <v>5164</v>
      </c>
      <c r="R93" s="408">
        <f t="shared" si="151"/>
        <v>14059</v>
      </c>
      <c r="S93" s="408">
        <f t="shared" si="151"/>
        <v>14059</v>
      </c>
      <c r="T93" s="408">
        <f t="shared" si="151"/>
        <v>14059</v>
      </c>
      <c r="U93" s="408">
        <f t="shared" si="151"/>
        <v>14059</v>
      </c>
      <c r="V93" s="408">
        <f t="shared" si="151"/>
        <v>14059</v>
      </c>
      <c r="W93" s="408">
        <f t="shared" si="151"/>
        <v>14059</v>
      </c>
      <c r="X93" s="408">
        <f t="shared" si="151"/>
        <v>14059</v>
      </c>
      <c r="Y93" s="2544"/>
      <c r="Z93" s="408"/>
      <c r="AA93" s="408"/>
      <c r="AB93" s="408"/>
      <c r="AC93" s="416">
        <f t="shared" ref="AC93:BH93" si="152">AC22+AC21</f>
        <v>3425.0010000000002</v>
      </c>
      <c r="AD93" s="408">
        <f t="shared" si="152"/>
        <v>3426.7139999999999</v>
      </c>
      <c r="AE93" s="408">
        <f t="shared" si="152"/>
        <v>3426.7660000000001</v>
      </c>
      <c r="AF93" s="408">
        <f t="shared" si="152"/>
        <v>3430.3020000000001</v>
      </c>
      <c r="AG93" s="416">
        <f t="shared" si="152"/>
        <v>3433.864</v>
      </c>
      <c r="AH93" s="408">
        <f t="shared" si="152"/>
        <v>3433.864</v>
      </c>
      <c r="AI93" s="408">
        <f t="shared" si="152"/>
        <v>3444.1979999999999</v>
      </c>
      <c r="AJ93" s="408">
        <f t="shared" si="152"/>
        <v>3432.623</v>
      </c>
      <c r="AK93" s="416">
        <f t="shared" si="152"/>
        <v>3459.6489999999999</v>
      </c>
      <c r="AL93" s="408">
        <f t="shared" si="152"/>
        <v>3459.6489999999999</v>
      </c>
      <c r="AM93" s="408">
        <f t="shared" si="152"/>
        <v>3458.136</v>
      </c>
      <c r="AN93" s="408">
        <f t="shared" si="152"/>
        <v>3458.136</v>
      </c>
      <c r="AO93" s="416">
        <f t="shared" si="152"/>
        <v>3458.136</v>
      </c>
      <c r="AP93" s="408">
        <f t="shared" si="152"/>
        <v>3458.136</v>
      </c>
      <c r="AQ93" s="408">
        <f t="shared" si="152"/>
        <v>4026.5259999999998</v>
      </c>
      <c r="AR93" s="408">
        <f t="shared" si="152"/>
        <v>4024.0279999999998</v>
      </c>
      <c r="AS93" s="416">
        <f t="shared" si="152"/>
        <v>4037.9160000000002</v>
      </c>
      <c r="AT93" s="408">
        <f t="shared" si="152"/>
        <v>4905.9160000000002</v>
      </c>
      <c r="AU93" s="408">
        <f t="shared" si="152"/>
        <v>4899.027</v>
      </c>
      <c r="AV93" s="408">
        <f t="shared" si="152"/>
        <v>8738.027</v>
      </c>
      <c r="AW93" s="416">
        <f t="shared" si="152"/>
        <v>8754.6739999999991</v>
      </c>
      <c r="AX93" s="408">
        <f t="shared" si="152"/>
        <v>10495</v>
      </c>
      <c r="AY93" s="408">
        <f t="shared" si="152"/>
        <v>10500</v>
      </c>
      <c r="AZ93" s="408">
        <f t="shared" si="152"/>
        <v>10921.994000000001</v>
      </c>
      <c r="BA93" s="416">
        <f t="shared" si="152"/>
        <v>11162.758</v>
      </c>
      <c r="BB93" s="408">
        <f t="shared" si="152"/>
        <v>11163.758</v>
      </c>
      <c r="BC93" s="408">
        <f t="shared" si="152"/>
        <v>11177.64</v>
      </c>
      <c r="BD93" s="408">
        <f t="shared" si="152"/>
        <v>11183.64</v>
      </c>
      <c r="BE93" s="408">
        <f t="shared" si="152"/>
        <v>23001</v>
      </c>
      <c r="BF93" s="415">
        <f t="shared" si="152"/>
        <v>22898</v>
      </c>
      <c r="BG93" s="408">
        <f t="shared" si="152"/>
        <v>31033</v>
      </c>
      <c r="BH93" s="408">
        <f t="shared" si="152"/>
        <v>21702</v>
      </c>
      <c r="BI93" s="416">
        <f t="shared" ref="BI93:BX93" si="153">BI22+BI21</f>
        <v>21732</v>
      </c>
      <c r="BJ93" s="408">
        <f t="shared" si="153"/>
        <v>21726</v>
      </c>
      <c r="BK93" s="408">
        <f t="shared" si="153"/>
        <v>21732</v>
      </c>
      <c r="BL93" s="408">
        <f t="shared" si="153"/>
        <v>21732</v>
      </c>
      <c r="BM93" s="408">
        <f t="shared" si="153"/>
        <v>21732</v>
      </c>
      <c r="BN93" s="415">
        <f t="shared" si="153"/>
        <v>21733</v>
      </c>
      <c r="BO93" s="408">
        <f t="shared" si="153"/>
        <v>21744</v>
      </c>
      <c r="BP93" s="408">
        <f t="shared" si="153"/>
        <v>20637</v>
      </c>
      <c r="BQ93" s="416">
        <f t="shared" si="153"/>
        <v>20674</v>
      </c>
      <c r="BR93" s="408">
        <f t="shared" si="153"/>
        <v>20674</v>
      </c>
      <c r="BS93" s="408">
        <f t="shared" si="153"/>
        <v>20674</v>
      </c>
      <c r="BT93" s="408">
        <f t="shared" si="153"/>
        <v>20664</v>
      </c>
      <c r="BU93" s="416">
        <f t="shared" si="153"/>
        <v>20755</v>
      </c>
      <c r="BV93" s="408">
        <f t="shared" si="153"/>
        <v>20753</v>
      </c>
      <c r="BW93" s="408">
        <f t="shared" si="153"/>
        <v>20758</v>
      </c>
      <c r="BX93" s="408">
        <f t="shared" si="153"/>
        <v>20757</v>
      </c>
      <c r="BY93" s="416">
        <f t="shared" ref="BY93:CB93" si="154">BY22+BY21</f>
        <v>20742</v>
      </c>
      <c r="BZ93" s="408">
        <f t="shared" si="154"/>
        <v>20743</v>
      </c>
      <c r="CA93" s="408">
        <f t="shared" si="154"/>
        <v>20766</v>
      </c>
      <c r="CB93" s="408">
        <f t="shared" si="154"/>
        <v>20766</v>
      </c>
      <c r="CC93" s="416">
        <f>CC22+CC21</f>
        <v>19650</v>
      </c>
      <c r="CD93" s="408">
        <f>CD22+CD21</f>
        <v>19650</v>
      </c>
      <c r="CE93" s="408">
        <f>CE22+CE21</f>
        <v>19639</v>
      </c>
      <c r="CF93" s="408">
        <f>CF22+CF21</f>
        <v>19638</v>
      </c>
      <c r="CG93" s="416">
        <f t="shared" ref="CG93" si="155">CG22+CG21</f>
        <v>30475</v>
      </c>
      <c r="CH93" s="408">
        <f>CH22+CH21</f>
        <v>30475</v>
      </c>
      <c r="CI93" s="408">
        <f>CI22+CI21</f>
        <v>30475</v>
      </c>
      <c r="CJ93" s="408">
        <f>CJ22+CJ21</f>
        <v>30475</v>
      </c>
      <c r="CK93" s="416">
        <f>CK22+CK21</f>
        <v>30475</v>
      </c>
      <c r="CL93" s="368"/>
    </row>
    <row r="94" spans="1:96">
      <c r="A94" s="365"/>
      <c r="B94" s="365"/>
      <c r="C94" s="365"/>
      <c r="D94" s="6"/>
      <c r="E94" s="6"/>
      <c r="F94" s="6"/>
      <c r="G94" s="6"/>
      <c r="H94" s="16"/>
      <c r="I94" s="16"/>
      <c r="J94" s="16"/>
      <c r="K94" s="16"/>
      <c r="L94" s="16"/>
      <c r="M94" s="16"/>
      <c r="N94" s="16"/>
      <c r="O94" s="16"/>
      <c r="P94" s="16"/>
      <c r="Q94" s="16"/>
      <c r="R94" s="16"/>
      <c r="S94" s="16"/>
      <c r="T94" s="16"/>
      <c r="U94" s="16"/>
      <c r="V94" s="16"/>
      <c r="W94" s="16"/>
      <c r="X94" s="16"/>
      <c r="Y94" s="2544"/>
      <c r="Z94" s="399"/>
      <c r="AA94" s="399"/>
      <c r="AB94" s="399"/>
      <c r="AC94" s="400"/>
      <c r="AD94" s="399"/>
      <c r="AE94" s="399"/>
      <c r="AF94" s="399"/>
      <c r="AG94" s="400"/>
      <c r="AH94" s="399"/>
      <c r="AI94" s="399"/>
      <c r="AJ94" s="399"/>
      <c r="AK94" s="400"/>
      <c r="AL94" s="399"/>
      <c r="AM94" s="399"/>
      <c r="AN94" s="399"/>
      <c r="AO94" s="400"/>
      <c r="AP94" s="399"/>
      <c r="AQ94" s="399"/>
      <c r="AR94" s="399"/>
      <c r="AS94" s="400"/>
      <c r="AT94" s="399"/>
      <c r="AU94" s="399"/>
      <c r="AV94" s="399"/>
      <c r="AW94" s="400"/>
      <c r="AX94" s="399"/>
      <c r="AY94" s="399"/>
      <c r="AZ94" s="399"/>
      <c r="BA94" s="400"/>
      <c r="BB94" s="399"/>
      <c r="BC94" s="399"/>
      <c r="BD94" s="399"/>
      <c r="BE94" s="399"/>
      <c r="BF94" s="407"/>
      <c r="BG94" s="399"/>
      <c r="BH94" s="399"/>
      <c r="BI94" s="400"/>
      <c r="BJ94" s="399"/>
      <c r="BK94" s="399"/>
      <c r="BL94" s="399"/>
      <c r="BM94" s="399"/>
      <c r="BN94" s="407"/>
      <c r="BO94" s="399"/>
      <c r="BP94" s="399"/>
      <c r="BQ94" s="400"/>
      <c r="BR94" s="399"/>
      <c r="BS94" s="399"/>
      <c r="BT94" s="399"/>
      <c r="BU94" s="400"/>
      <c r="BV94" s="399"/>
      <c r="BW94" s="399"/>
      <c r="BX94" s="399"/>
      <c r="BY94" s="400"/>
      <c r="BZ94" s="399"/>
      <c r="CA94" s="399"/>
      <c r="CB94" s="399"/>
      <c r="CC94" s="400"/>
      <c r="CD94" s="2634"/>
      <c r="CE94" s="2634"/>
      <c r="CF94" s="2634"/>
      <c r="CG94" s="2596"/>
      <c r="CH94" s="2634"/>
      <c r="CI94" s="2634"/>
      <c r="CJ94" s="2634"/>
      <c r="CK94" s="2596"/>
      <c r="CL94" s="368"/>
    </row>
    <row r="95" spans="1:96" ht="11.25" customHeight="1">
      <c r="A95" s="364" t="s">
        <v>979</v>
      </c>
      <c r="B95" s="364"/>
      <c r="C95" s="364"/>
      <c r="D95" s="663"/>
      <c r="E95" s="663">
        <f t="shared" ref="E95:O95" si="156">+((E96*(1-E97))/(E98+E99))</f>
        <v>5.5078279662135535E-3</v>
      </c>
      <c r="F95" s="663">
        <f t="shared" si="156"/>
        <v>3.5025182646989018E-4</v>
      </c>
      <c r="G95" s="663">
        <f t="shared" si="156"/>
        <v>0.13904266851929567</v>
      </c>
      <c r="H95" s="664">
        <f t="shared" si="156"/>
        <v>0.1388887568377058</v>
      </c>
      <c r="I95" s="664">
        <f t="shared" si="156"/>
        <v>0.24257698529580823</v>
      </c>
      <c r="J95" s="664">
        <f t="shared" si="156"/>
        <v>0.26165052359264745</v>
      </c>
      <c r="K95" s="664">
        <f t="shared" si="156"/>
        <v>0.27368421052631581</v>
      </c>
      <c r="L95" s="664">
        <f t="shared" ca="1" si="156"/>
        <v>0.26576531405472636</v>
      </c>
      <c r="M95" s="664">
        <f t="shared" si="156"/>
        <v>0.27542401806343209</v>
      </c>
      <c r="N95" s="664">
        <f>+((N96*(1-N97))/(N98+N99))</f>
        <v>0.25749160492511058</v>
      </c>
      <c r="O95" s="664">
        <f t="shared" si="156"/>
        <v>0.24759898449738024</v>
      </c>
      <c r="P95" s="664">
        <f t="shared" ref="P95:U95" ca="1" si="157">+((P96*(1-P97))/(P98+P99))</f>
        <v>0.25766636176537849</v>
      </c>
      <c r="Q95" s="664">
        <f t="shared" ca="1" si="157"/>
        <v>0.23346660784205592</v>
      </c>
      <c r="R95" s="664">
        <f ca="1">+((R96*(1-R97))/(R98+R99))</f>
        <v>0.16427830895058174</v>
      </c>
      <c r="S95" s="664">
        <f ca="1">+((S96*(1-S97))/(S98+S99))</f>
        <v>0.27893801069172325</v>
      </c>
      <c r="T95" s="664">
        <f t="shared" ca="1" si="157"/>
        <v>0.3105286344470819</v>
      </c>
      <c r="U95" s="664">
        <f t="shared" ca="1" si="157"/>
        <v>0.33815445710755981</v>
      </c>
      <c r="V95" s="664">
        <f ca="1">+((V96*(1-V97))/(V98+V99))</f>
        <v>0.3654685625541455</v>
      </c>
      <c r="W95" s="664">
        <f ca="1">+((W96*(1-W97))/(W98+W99))</f>
        <v>0.39656568686062721</v>
      </c>
      <c r="X95" s="664">
        <f ca="1">+((X96*(1-X97))/(X98+X99))</f>
        <v>0.43086881928140913</v>
      </c>
      <c r="Y95" s="2544"/>
      <c r="Z95" s="664"/>
      <c r="AA95" s="664"/>
      <c r="AB95" s="664"/>
      <c r="AC95" s="665">
        <f t="shared" ref="AC95:BT95" si="158">+((AC96*(1-AC97))/(AC98+AC99))</f>
        <v>6.2711315501661632E-2</v>
      </c>
      <c r="AD95" s="664">
        <f t="shared" si="158"/>
        <v>6.3269203283304751E-2</v>
      </c>
      <c r="AE95" s="664">
        <f t="shared" si="158"/>
        <v>6.8277003167015848E-2</v>
      </c>
      <c r="AF95" s="664">
        <f t="shared" si="158"/>
        <v>6.4533312762245137E-2</v>
      </c>
      <c r="AG95" s="665">
        <f t="shared" si="158"/>
        <v>6.3072407396307553E-2</v>
      </c>
      <c r="AH95" s="664">
        <f t="shared" si="158"/>
        <v>6.3277072416242586E-2</v>
      </c>
      <c r="AI95" s="664">
        <f t="shared" si="158"/>
        <v>6.4538648247478847E-2</v>
      </c>
      <c r="AJ95" s="664">
        <f t="shared" si="158"/>
        <v>6.6779789282171348E-2</v>
      </c>
      <c r="AK95" s="665">
        <f t="shared" si="158"/>
        <v>1.8980715337283575E-2</v>
      </c>
      <c r="AL95" s="664">
        <f t="shared" si="158"/>
        <v>5.9444195433865747E-2</v>
      </c>
      <c r="AM95" s="664">
        <f t="shared" si="158"/>
        <v>6.4752123131740072E-2</v>
      </c>
      <c r="AN95" s="664">
        <f t="shared" si="158"/>
        <v>6.1693431318120287E-2</v>
      </c>
      <c r="AO95" s="665">
        <f t="shared" si="158"/>
        <v>6.4234329749063956E-2</v>
      </c>
      <c r="AP95" s="664">
        <f t="shared" si="158"/>
        <v>5.8919380014917463E-2</v>
      </c>
      <c r="AQ95" s="664">
        <f t="shared" si="158"/>
        <v>6.4048240412747898E-2</v>
      </c>
      <c r="AR95" s="664">
        <f t="shared" si="158"/>
        <v>6.6327429818401007E-2</v>
      </c>
      <c r="AS95" s="665">
        <f t="shared" si="158"/>
        <v>6.3696070814798722E-2</v>
      </c>
      <c r="AT95" s="664">
        <f t="shared" si="158"/>
        <v>6.4284520343442411E-2</v>
      </c>
      <c r="AU95" s="664">
        <f t="shared" si="158"/>
        <v>6.3454209114372565E-2</v>
      </c>
      <c r="AV95" s="664">
        <f t="shared" si="158"/>
        <v>6.0029411675755311E-2</v>
      </c>
      <c r="AW95" s="665">
        <f t="shared" si="158"/>
        <v>6.6505659313074797E-2</v>
      </c>
      <c r="AX95" s="664">
        <f t="shared" si="158"/>
        <v>0.26163298109842398</v>
      </c>
      <c r="AY95" s="664">
        <f t="shared" si="158"/>
        <v>0.24756397710580166</v>
      </c>
      <c r="AZ95" s="664">
        <f t="shared" si="158"/>
        <v>0.26011395094469153</v>
      </c>
      <c r="BA95" s="665">
        <f t="shared" si="158"/>
        <v>0.26165052359264762</v>
      </c>
      <c r="BB95" s="664">
        <f t="shared" si="158"/>
        <v>0.25562896608106883</v>
      </c>
      <c r="BC95" s="664">
        <f t="shared" si="158"/>
        <v>0.2596432158353959</v>
      </c>
      <c r="BD95" s="664">
        <f t="shared" si="158"/>
        <v>0.27521979666366059</v>
      </c>
      <c r="BE95" s="664">
        <f t="shared" si="158"/>
        <v>0.27368421052631581</v>
      </c>
      <c r="BF95" s="666">
        <f ca="1">+((BF96*(1-BF97))/(BF98+BF99))</f>
        <v>0.27657542043984473</v>
      </c>
      <c r="BG95" s="664">
        <f t="shared" ca="1" si="158"/>
        <v>0.31066114731959366</v>
      </c>
      <c r="BH95" s="664">
        <f t="shared" ca="1" si="158"/>
        <v>0.28322953152364272</v>
      </c>
      <c r="BI95" s="665">
        <f ca="1">+((BI96*(1-BI97))/(BI98+BI99))</f>
        <v>0.26213567578772801</v>
      </c>
      <c r="BJ95" s="664">
        <f>+((BJ96*(1-BJ97))/(BJ98+BJ99))</f>
        <v>0.25937044365757134</v>
      </c>
      <c r="BK95" s="664">
        <f t="shared" si="158"/>
        <v>0.25520811762269624</v>
      </c>
      <c r="BL95" s="664">
        <f t="shared" si="158"/>
        <v>0.26073523970611556</v>
      </c>
      <c r="BM95" s="664">
        <f t="shared" si="158"/>
        <v>0.26134478050829657</v>
      </c>
      <c r="BN95" s="666">
        <f t="shared" si="158"/>
        <v>0.26387915472018691</v>
      </c>
      <c r="BO95" s="664">
        <f t="shared" si="158"/>
        <v>0.26339461763922195</v>
      </c>
      <c r="BP95" s="664">
        <f>+((BP96*(1-BP97))/(BP98+BP99))</f>
        <v>0.26495332175423358</v>
      </c>
      <c r="BQ95" s="665">
        <f>+((BQ96*(1-BQ97))/(BQ98+BQ99))</f>
        <v>0.25749160492511058</v>
      </c>
      <c r="BR95" s="664">
        <f>+((BR96*(1-BR97))/(BR98+BR99))</f>
        <v>0.25565660927295297</v>
      </c>
      <c r="BS95" s="664">
        <f>+((BS96*(1-BS97))/(BS98+BS99))</f>
        <v>0.25308651933107496</v>
      </c>
      <c r="BT95" s="664">
        <f t="shared" si="158"/>
        <v>0.2564783779328535</v>
      </c>
      <c r="BU95" s="665">
        <f>+((BU96*(1-BU97))/(BU98+BU99))</f>
        <v>0.24759898449738024</v>
      </c>
      <c r="BV95" s="664">
        <f ca="1">+((BV96*(1-BV97))/(BV98+BV99))</f>
        <v>0.25068712401346649</v>
      </c>
      <c r="BW95" s="664">
        <f ca="1">+((BW96*(1-BW97))/(BW98+BW99))</f>
        <v>0.24601636879906463</v>
      </c>
      <c r="BX95" s="664">
        <f ca="1">+((BX96*(1-BX97))/(BX98+BX99))</f>
        <v>0.25472569723401817</v>
      </c>
      <c r="BY95" s="665">
        <f t="shared" ref="BY95:CC95" ca="1" si="159">+((BY96*(1-BY97))/(BY98+BY99))</f>
        <v>0.25766636176537849</v>
      </c>
      <c r="BZ95" s="664">
        <f t="shared" ca="1" si="159"/>
        <v>0.26141057052852645</v>
      </c>
      <c r="CA95" s="664">
        <f t="shared" ca="1" si="159"/>
        <v>0.26299479623457872</v>
      </c>
      <c r="CB95" s="664">
        <f t="shared" ca="1" si="159"/>
        <v>0.25428057345173832</v>
      </c>
      <c r="CC95" s="665">
        <f t="shared" ca="1" si="159"/>
        <v>0.23346660784205592</v>
      </c>
      <c r="CD95" s="664">
        <f ca="1">+((CD96*(1-CD97))/(CD98+CD99))</f>
        <v>0.22751609530622355</v>
      </c>
      <c r="CE95" s="664">
        <f ca="1">+((CE96*(1-CE97))/(CE98+CE99))</f>
        <v>0.23393462752894398</v>
      </c>
      <c r="CF95" s="664">
        <f ca="1">+((CF96*(1-CF97))/(CF98+CF99))</f>
        <v>0.2273816515916833</v>
      </c>
      <c r="CG95" s="665">
        <f t="shared" ref="CG95" ca="1" si="160">+((CG96*(1-CG97))/(CG98+CG99))</f>
        <v>0.16427830895058174</v>
      </c>
      <c r="CH95" s="664">
        <f ca="1">+((CH96*(1-CH97))/(CH98+CH99))</f>
        <v>0.21106224398348827</v>
      </c>
      <c r="CI95" s="664">
        <f ca="1">+((CI96*(1-CI97))/(CI98+CI99))</f>
        <v>0.2373101255685921</v>
      </c>
      <c r="CJ95" s="664">
        <f ca="1">+((CJ96*(1-CJ97))/(CJ98+CJ99))</f>
        <v>0.26732198864997314</v>
      </c>
      <c r="CK95" s="665">
        <f ca="1">+((CK96*(1-CK97))/(CK98+CK99))</f>
        <v>0.27526777370893735</v>
      </c>
      <c r="CL95" s="368"/>
    </row>
    <row r="96" spans="1:96">
      <c r="A96" s="365" t="s">
        <v>627</v>
      </c>
      <c r="B96" s="365"/>
      <c r="C96" s="365"/>
      <c r="D96" s="485"/>
      <c r="E96" s="485">
        <f t="shared" ref="E96:O99" si="161">+E89</f>
        <v>26.70900000000006</v>
      </c>
      <c r="F96" s="485">
        <f t="shared" si="161"/>
        <v>5.9769999999998618</v>
      </c>
      <c r="G96" s="485">
        <f t="shared" si="161"/>
        <v>2281.4063294460648</v>
      </c>
      <c r="H96" s="408">
        <f t="shared" si="161"/>
        <v>2238.4030000000012</v>
      </c>
      <c r="I96" s="408">
        <f t="shared" si="161"/>
        <v>8392.0400000000027</v>
      </c>
      <c r="J96" s="408">
        <f t="shared" si="161"/>
        <v>8235.0649999999951</v>
      </c>
      <c r="K96" s="408">
        <f t="shared" si="161"/>
        <v>8264</v>
      </c>
      <c r="L96" s="408">
        <f t="shared" ca="1" si="161"/>
        <v>7889.5499999999993</v>
      </c>
      <c r="M96" s="408">
        <f t="shared" si="161"/>
        <v>8069.5</v>
      </c>
      <c r="N96" s="408">
        <f>+N89</f>
        <v>7432</v>
      </c>
      <c r="O96" s="408">
        <f t="shared" si="161"/>
        <v>7052</v>
      </c>
      <c r="P96" s="408">
        <f t="shared" ref="P96:Q99" si="162">+P89</f>
        <v>6934</v>
      </c>
      <c r="Q96" s="408">
        <f t="shared" si="162"/>
        <v>6513</v>
      </c>
      <c r="R96" s="408">
        <f t="shared" ref="R96:S99" si="163">+R89</f>
        <v>6582</v>
      </c>
      <c r="S96" s="408">
        <f t="shared" si="163"/>
        <v>8846.9680973273917</v>
      </c>
      <c r="T96" s="408">
        <f t="shared" ref="T96:U99" si="164">+T89</f>
        <v>9170.173300483093</v>
      </c>
      <c r="U96" s="408">
        <f t="shared" si="164"/>
        <v>9345.6450650722545</v>
      </c>
      <c r="V96" s="408">
        <f t="shared" ref="V96:X99" si="165">+V89</f>
        <v>9425.8971650058593</v>
      </c>
      <c r="W96" s="408">
        <f t="shared" si="165"/>
        <v>9536.5985016652794</v>
      </c>
      <c r="X96" s="408">
        <f t="shared" si="165"/>
        <v>9656.1028187441116</v>
      </c>
      <c r="Y96" s="2544"/>
      <c r="Z96" s="408"/>
      <c r="AA96" s="408"/>
      <c r="AB96" s="408"/>
      <c r="AC96" s="416">
        <f t="shared" ref="AC96:BT99" si="166">+AC89</f>
        <v>319.95399999999995</v>
      </c>
      <c r="AD96" s="408">
        <f t="shared" si="166"/>
        <v>310.54899999999998</v>
      </c>
      <c r="AE96" s="408">
        <f t="shared" si="166"/>
        <v>320.66199999999992</v>
      </c>
      <c r="AF96" s="408">
        <f t="shared" si="166"/>
        <v>308.23900000000003</v>
      </c>
      <c r="AG96" s="416">
        <f t="shared" si="166"/>
        <v>318.91999999999996</v>
      </c>
      <c r="AH96" s="408">
        <f t="shared" si="166"/>
        <v>309.03500000000003</v>
      </c>
      <c r="AI96" s="408">
        <f t="shared" si="166"/>
        <v>316.334</v>
      </c>
      <c r="AJ96" s="408">
        <f t="shared" si="166"/>
        <v>340.62100000000004</v>
      </c>
      <c r="AK96" s="416">
        <f t="shared" si="166"/>
        <v>308.197</v>
      </c>
      <c r="AL96" s="408">
        <f t="shared" si="166"/>
        <v>968.22932944606418</v>
      </c>
      <c r="AM96" s="408">
        <f t="shared" si="166"/>
        <v>991.06899999999996</v>
      </c>
      <c r="AN96" s="408">
        <f t="shared" si="166"/>
        <v>934.64399999999978</v>
      </c>
      <c r="AO96" s="416">
        <f t="shared" si="166"/>
        <v>974.0390000000001</v>
      </c>
      <c r="AP96" s="408">
        <f t="shared" si="166"/>
        <v>936.86700000000008</v>
      </c>
      <c r="AQ96" s="408">
        <f t="shared" si="166"/>
        <v>975.22599999999966</v>
      </c>
      <c r="AR96" s="408">
        <f t="shared" si="166"/>
        <v>986.00500000000011</v>
      </c>
      <c r="AS96" s="416">
        <f t="shared" si="166"/>
        <v>954.47200000000009</v>
      </c>
      <c r="AT96" s="408">
        <f t="shared" si="166"/>
        <v>2130.6139999999996</v>
      </c>
      <c r="AU96" s="408">
        <f t="shared" si="166"/>
        <v>2110.5730000000003</v>
      </c>
      <c r="AV96" s="408">
        <f t="shared" si="166"/>
        <v>1983.0730000000003</v>
      </c>
      <c r="AW96" s="416">
        <f t="shared" si="166"/>
        <v>2167.7800000000007</v>
      </c>
      <c r="AX96" s="408">
        <f t="shared" si="166"/>
        <v>8386.2270000000008</v>
      </c>
      <c r="AY96" s="408">
        <f t="shared" si="166"/>
        <v>8334.5149999999994</v>
      </c>
      <c r="AZ96" s="408">
        <f t="shared" si="166"/>
        <v>8374.2529999999988</v>
      </c>
      <c r="BA96" s="416">
        <f t="shared" si="166"/>
        <v>8235.0649999999987</v>
      </c>
      <c r="BB96" s="408">
        <f t="shared" si="166"/>
        <v>8214.2639999999992</v>
      </c>
      <c r="BC96" s="408">
        <f t="shared" si="166"/>
        <v>8217.4029999999984</v>
      </c>
      <c r="BD96" s="408">
        <f t="shared" si="166"/>
        <v>8266.5920000000006</v>
      </c>
      <c r="BE96" s="408">
        <f t="shared" si="166"/>
        <v>8264</v>
      </c>
      <c r="BF96" s="415">
        <f t="shared" ca="1" si="166"/>
        <v>8222.7999999999993</v>
      </c>
      <c r="BG96" s="408">
        <f t="shared" ca="1" si="166"/>
        <v>8139.8</v>
      </c>
      <c r="BH96" s="408">
        <f t="shared" ca="1" si="166"/>
        <v>7961.8</v>
      </c>
      <c r="BI96" s="416">
        <f t="shared" ca="1" si="166"/>
        <v>7781.8</v>
      </c>
      <c r="BJ96" s="408">
        <f t="shared" si="166"/>
        <v>7663</v>
      </c>
      <c r="BK96" s="408">
        <f t="shared" si="166"/>
        <v>7584</v>
      </c>
      <c r="BL96" s="408">
        <f t="shared" si="166"/>
        <v>7589</v>
      </c>
      <c r="BM96" s="408">
        <f t="shared" si="166"/>
        <v>7657</v>
      </c>
      <c r="BN96" s="415">
        <f t="shared" si="166"/>
        <v>7646</v>
      </c>
      <c r="BO96" s="408">
        <f t="shared" si="166"/>
        <v>7604</v>
      </c>
      <c r="BP96" s="408">
        <f t="shared" si="166"/>
        <v>7510</v>
      </c>
      <c r="BQ96" s="416">
        <f t="shared" si="166"/>
        <v>7432</v>
      </c>
      <c r="BR96" s="408">
        <f t="shared" si="166"/>
        <v>7287</v>
      </c>
      <c r="BS96" s="408">
        <f t="shared" si="166"/>
        <v>7241</v>
      </c>
      <c r="BT96" s="408">
        <f t="shared" si="166"/>
        <v>7181</v>
      </c>
      <c r="BU96" s="416">
        <f>+BU89</f>
        <v>7052</v>
      </c>
      <c r="BV96" s="408">
        <f t="shared" ref="BV96:BX99" si="167">+BV89</f>
        <v>6988</v>
      </c>
      <c r="BW96" s="408">
        <f>+BW89</f>
        <v>6798</v>
      </c>
      <c r="BX96" s="408">
        <f t="shared" si="167"/>
        <v>6829</v>
      </c>
      <c r="BY96" s="416">
        <f t="shared" ref="BY96:BZ99" si="168">+BY89</f>
        <v>6934</v>
      </c>
      <c r="BZ96" s="408">
        <f t="shared" si="168"/>
        <v>6894</v>
      </c>
      <c r="CA96" s="408">
        <f t="shared" ref="CA96:CB99" si="169">+CA89</f>
        <v>6920</v>
      </c>
      <c r="CB96" s="408">
        <f t="shared" si="169"/>
        <v>6740</v>
      </c>
      <c r="CC96" s="416">
        <f t="shared" ref="CC96:CD99" si="170">+CC89</f>
        <v>6513</v>
      </c>
      <c r="CD96" s="408">
        <f t="shared" si="170"/>
        <v>6361</v>
      </c>
      <c r="CE96" s="408">
        <f t="shared" ref="CE96:CE99" si="171">+CE89</f>
        <v>6155</v>
      </c>
      <c r="CF96" s="408">
        <f>+CF89</f>
        <v>5956</v>
      </c>
      <c r="CG96" s="416">
        <f t="shared" ref="CG96:CG99" si="172">+CG89</f>
        <v>6582</v>
      </c>
      <c r="CH96" s="408">
        <f t="shared" ref="CH96:CK99" si="173">+CH89</f>
        <v>7179.2495400000007</v>
      </c>
      <c r="CI96" s="408">
        <f t="shared" si="173"/>
        <v>7926.084105676</v>
      </c>
      <c r="CJ96" s="408">
        <f t="shared" si="173"/>
        <v>8760.1814873406365</v>
      </c>
      <c r="CK96" s="416">
        <f t="shared" si="173"/>
        <v>8846.9680973273898</v>
      </c>
      <c r="CL96" s="368"/>
    </row>
    <row r="97" spans="1:90">
      <c r="A97" s="365" t="s">
        <v>975</v>
      </c>
      <c r="B97" s="365"/>
      <c r="C97" s="365"/>
      <c r="D97" s="424"/>
      <c r="E97" s="424">
        <f t="shared" si="161"/>
        <v>0.35</v>
      </c>
      <c r="F97" s="424">
        <f t="shared" si="161"/>
        <v>0.35</v>
      </c>
      <c r="G97" s="424">
        <f t="shared" si="161"/>
        <v>0.35</v>
      </c>
      <c r="H97" s="409">
        <f t="shared" si="161"/>
        <v>0.35</v>
      </c>
      <c r="I97" s="409">
        <f t="shared" si="161"/>
        <v>0.35</v>
      </c>
      <c r="J97" s="409">
        <f t="shared" si="161"/>
        <v>0.35</v>
      </c>
      <c r="K97" s="409">
        <f t="shared" si="161"/>
        <v>0.35</v>
      </c>
      <c r="L97" s="409">
        <f t="shared" si="161"/>
        <v>0.35</v>
      </c>
      <c r="M97" s="409">
        <f t="shared" si="161"/>
        <v>0.35</v>
      </c>
      <c r="N97" s="409">
        <f>+N90</f>
        <v>0.35</v>
      </c>
      <c r="O97" s="409">
        <f t="shared" si="161"/>
        <v>0.35</v>
      </c>
      <c r="P97" s="409">
        <f t="shared" si="162"/>
        <v>0.35</v>
      </c>
      <c r="Q97" s="409">
        <f t="shared" si="162"/>
        <v>0.35</v>
      </c>
      <c r="R97" s="409">
        <f t="shared" si="163"/>
        <v>0.35</v>
      </c>
      <c r="S97" s="409">
        <f t="shared" si="163"/>
        <v>0.24</v>
      </c>
      <c r="T97" s="409">
        <f t="shared" si="164"/>
        <v>0.24</v>
      </c>
      <c r="U97" s="409">
        <f t="shared" si="164"/>
        <v>0.24</v>
      </c>
      <c r="V97" s="409">
        <f t="shared" si="165"/>
        <v>0.24</v>
      </c>
      <c r="W97" s="409">
        <f t="shared" si="165"/>
        <v>0.24</v>
      </c>
      <c r="X97" s="409">
        <f t="shared" si="165"/>
        <v>0.24</v>
      </c>
      <c r="Y97" s="2544"/>
      <c r="Z97" s="409"/>
      <c r="AA97" s="409"/>
      <c r="AB97" s="409"/>
      <c r="AC97" s="419">
        <f t="shared" si="166"/>
        <v>0.35</v>
      </c>
      <c r="AD97" s="409">
        <f t="shared" si="166"/>
        <v>0.35</v>
      </c>
      <c r="AE97" s="409">
        <f t="shared" si="166"/>
        <v>0.35</v>
      </c>
      <c r="AF97" s="409">
        <f t="shared" si="166"/>
        <v>0.35</v>
      </c>
      <c r="AG97" s="419">
        <f t="shared" si="166"/>
        <v>0.35</v>
      </c>
      <c r="AH97" s="409">
        <f t="shared" si="166"/>
        <v>0.35</v>
      </c>
      <c r="AI97" s="409">
        <f t="shared" si="166"/>
        <v>0.35</v>
      </c>
      <c r="AJ97" s="409">
        <f t="shared" si="166"/>
        <v>0.35</v>
      </c>
      <c r="AK97" s="419">
        <f t="shared" si="166"/>
        <v>0.35</v>
      </c>
      <c r="AL97" s="409">
        <f t="shared" si="166"/>
        <v>0.35</v>
      </c>
      <c r="AM97" s="409">
        <f t="shared" si="166"/>
        <v>0.35</v>
      </c>
      <c r="AN97" s="409">
        <f t="shared" si="166"/>
        <v>0.35</v>
      </c>
      <c r="AO97" s="419">
        <f t="shared" si="166"/>
        <v>0.35</v>
      </c>
      <c r="AP97" s="409">
        <f t="shared" si="166"/>
        <v>0.35</v>
      </c>
      <c r="AQ97" s="409">
        <f t="shared" si="166"/>
        <v>0.35</v>
      </c>
      <c r="AR97" s="409">
        <f t="shared" si="166"/>
        <v>0.35</v>
      </c>
      <c r="AS97" s="419">
        <f t="shared" si="166"/>
        <v>0.35</v>
      </c>
      <c r="AT97" s="409">
        <f t="shared" si="166"/>
        <v>0.35</v>
      </c>
      <c r="AU97" s="409">
        <f t="shared" si="166"/>
        <v>0.35</v>
      </c>
      <c r="AV97" s="409">
        <f t="shared" si="166"/>
        <v>0.35</v>
      </c>
      <c r="AW97" s="419">
        <f t="shared" si="166"/>
        <v>0.35</v>
      </c>
      <c r="AX97" s="409">
        <f t="shared" si="166"/>
        <v>0.35</v>
      </c>
      <c r="AY97" s="409">
        <f t="shared" si="166"/>
        <v>0.35</v>
      </c>
      <c r="AZ97" s="409">
        <f t="shared" si="166"/>
        <v>0.35</v>
      </c>
      <c r="BA97" s="419">
        <f t="shared" si="166"/>
        <v>0.35</v>
      </c>
      <c r="BB97" s="409">
        <f t="shared" si="166"/>
        <v>0.35</v>
      </c>
      <c r="BC97" s="409">
        <f t="shared" si="166"/>
        <v>0.35</v>
      </c>
      <c r="BD97" s="409">
        <f t="shared" si="166"/>
        <v>0.35</v>
      </c>
      <c r="BE97" s="409">
        <f t="shared" si="166"/>
        <v>0.35</v>
      </c>
      <c r="BF97" s="420">
        <f t="shared" si="166"/>
        <v>0.35</v>
      </c>
      <c r="BG97" s="409">
        <f t="shared" si="166"/>
        <v>0.35</v>
      </c>
      <c r="BH97" s="409">
        <f t="shared" si="166"/>
        <v>0.35</v>
      </c>
      <c r="BI97" s="419">
        <f t="shared" si="166"/>
        <v>0.35</v>
      </c>
      <c r="BJ97" s="409">
        <f t="shared" si="166"/>
        <v>0.35</v>
      </c>
      <c r="BK97" s="409">
        <f t="shared" si="166"/>
        <v>0.35</v>
      </c>
      <c r="BL97" s="409">
        <f t="shared" si="166"/>
        <v>0.35</v>
      </c>
      <c r="BM97" s="409">
        <f t="shared" si="166"/>
        <v>0.35</v>
      </c>
      <c r="BN97" s="420">
        <f t="shared" si="166"/>
        <v>0.35</v>
      </c>
      <c r="BO97" s="409">
        <f t="shared" si="166"/>
        <v>0.35</v>
      </c>
      <c r="BP97" s="409">
        <f t="shared" si="166"/>
        <v>0.35</v>
      </c>
      <c r="BQ97" s="419">
        <f t="shared" si="166"/>
        <v>0.35</v>
      </c>
      <c r="BR97" s="409">
        <f t="shared" si="166"/>
        <v>0.35</v>
      </c>
      <c r="BS97" s="409">
        <f t="shared" si="166"/>
        <v>0.35</v>
      </c>
      <c r="BT97" s="409">
        <f t="shared" si="166"/>
        <v>0.35</v>
      </c>
      <c r="BU97" s="419">
        <f>+BU90</f>
        <v>0.35</v>
      </c>
      <c r="BV97" s="409">
        <f t="shared" si="167"/>
        <v>0.35</v>
      </c>
      <c r="BW97" s="409">
        <f>+BW90</f>
        <v>0.35</v>
      </c>
      <c r="BX97" s="409">
        <f t="shared" si="167"/>
        <v>0.35</v>
      </c>
      <c r="BY97" s="419">
        <f t="shared" si="168"/>
        <v>0.35</v>
      </c>
      <c r="BZ97" s="409">
        <f t="shared" si="168"/>
        <v>0.35</v>
      </c>
      <c r="CA97" s="409">
        <f t="shared" si="169"/>
        <v>0.35</v>
      </c>
      <c r="CB97" s="409">
        <f t="shared" si="169"/>
        <v>0.35</v>
      </c>
      <c r="CC97" s="419">
        <f t="shared" si="170"/>
        <v>0.35</v>
      </c>
      <c r="CD97" s="409">
        <f t="shared" si="170"/>
        <v>0.35</v>
      </c>
      <c r="CE97" s="409">
        <f t="shared" si="171"/>
        <v>0.35</v>
      </c>
      <c r="CF97" s="409">
        <f>+CF90</f>
        <v>0.35</v>
      </c>
      <c r="CG97" s="419">
        <f t="shared" si="172"/>
        <v>0.35</v>
      </c>
      <c r="CH97" s="409">
        <f t="shared" si="173"/>
        <v>0.25</v>
      </c>
      <c r="CI97" s="409">
        <f t="shared" si="173"/>
        <v>0.25</v>
      </c>
      <c r="CJ97" s="409">
        <f t="shared" si="173"/>
        <v>0.25</v>
      </c>
      <c r="CK97" s="419">
        <f t="shared" si="173"/>
        <v>0.25</v>
      </c>
      <c r="CL97" s="368"/>
    </row>
    <row r="98" spans="1:90">
      <c r="A98" s="365" t="s">
        <v>976</v>
      </c>
      <c r="B98" s="365"/>
      <c r="C98" s="365"/>
      <c r="D98" s="485"/>
      <c r="E98" s="485">
        <f t="shared" si="161"/>
        <v>3341.4009999999998</v>
      </c>
      <c r="F98" s="485">
        <f t="shared" si="161"/>
        <v>11458.486000000001</v>
      </c>
      <c r="G98" s="485">
        <f t="shared" si="161"/>
        <v>11097.276999999998</v>
      </c>
      <c r="H98" s="408">
        <f t="shared" si="161"/>
        <v>10856.376</v>
      </c>
      <c r="I98" s="408">
        <f t="shared" si="161"/>
        <v>23351.892</v>
      </c>
      <c r="J98" s="408">
        <f t="shared" si="161"/>
        <v>21396.138999999996</v>
      </c>
      <c r="K98" s="408">
        <f t="shared" si="161"/>
        <v>20548</v>
      </c>
      <c r="L98" s="408">
        <f t="shared" si="161"/>
        <v>19444</v>
      </c>
      <c r="M98" s="408">
        <f t="shared" si="161"/>
        <v>19032</v>
      </c>
      <c r="N98" s="408">
        <f>+N91</f>
        <v>18646</v>
      </c>
      <c r="O98" s="408">
        <f t="shared" si="161"/>
        <v>18433</v>
      </c>
      <c r="P98" s="408">
        <f t="shared" si="162"/>
        <v>18069</v>
      </c>
      <c r="Q98" s="408">
        <f t="shared" si="162"/>
        <v>17039</v>
      </c>
      <c r="R98" s="408">
        <f t="shared" si="163"/>
        <v>26852</v>
      </c>
      <c r="S98" s="408">
        <f t="shared" si="163"/>
        <v>25278.734719617587</v>
      </c>
      <c r="T98" s="408">
        <f t="shared" si="164"/>
        <v>23707.249350299273</v>
      </c>
      <c r="U98" s="408">
        <f t="shared" si="164"/>
        <v>22211.19534606333</v>
      </c>
      <c r="V98" s="408">
        <f t="shared" si="165"/>
        <v>20782.597652422417</v>
      </c>
      <c r="W98" s="408">
        <f t="shared" si="165"/>
        <v>19432.662124311122</v>
      </c>
      <c r="X98" s="408">
        <f t="shared" si="165"/>
        <v>18163.590946793862</v>
      </c>
      <c r="Y98" s="2544"/>
      <c r="Z98" s="408"/>
      <c r="AA98" s="408"/>
      <c r="AB98" s="408"/>
      <c r="AC98" s="416">
        <f t="shared" si="166"/>
        <v>3455.4809999999998</v>
      </c>
      <c r="AD98" s="408">
        <f t="shared" si="166"/>
        <v>3388.8160000000003</v>
      </c>
      <c r="AE98" s="408">
        <f t="shared" si="166"/>
        <v>3347.971</v>
      </c>
      <c r="AF98" s="408">
        <f t="shared" si="166"/>
        <v>3335.5390000000002</v>
      </c>
      <c r="AG98" s="416">
        <f t="shared" si="166"/>
        <v>3341.4009999999998</v>
      </c>
      <c r="AH98" s="408">
        <f t="shared" si="166"/>
        <v>3287.8490000000002</v>
      </c>
      <c r="AI98" s="408">
        <f t="shared" si="166"/>
        <v>3319.8540000000003</v>
      </c>
      <c r="AJ98" s="408">
        <f t="shared" si="166"/>
        <v>3299.1149999999998</v>
      </c>
      <c r="AK98" s="416">
        <f t="shared" si="166"/>
        <v>11458.486000000001</v>
      </c>
      <c r="AL98" s="408">
        <f t="shared" si="166"/>
        <v>11329.041999999994</v>
      </c>
      <c r="AM98" s="408">
        <f t="shared" si="166"/>
        <v>11219.006999999998</v>
      </c>
      <c r="AN98" s="408">
        <f t="shared" si="166"/>
        <v>11184.039999999997</v>
      </c>
      <c r="AO98" s="416">
        <f t="shared" si="166"/>
        <v>11097.276999999998</v>
      </c>
      <c r="AP98" s="408">
        <f t="shared" si="166"/>
        <v>10944.557000000001</v>
      </c>
      <c r="AQ98" s="408">
        <f t="shared" si="166"/>
        <v>11041.55</v>
      </c>
      <c r="AR98" s="408">
        <f t="shared" si="166"/>
        <v>10905.819</v>
      </c>
      <c r="AS98" s="416">
        <f t="shared" si="166"/>
        <v>10856.376</v>
      </c>
      <c r="AT98" s="408">
        <f t="shared" si="166"/>
        <v>24191.133999999998</v>
      </c>
      <c r="AU98" s="408">
        <f t="shared" si="166"/>
        <v>24006.840000000004</v>
      </c>
      <c r="AV98" s="408">
        <f t="shared" si="166"/>
        <v>23724.350000000006</v>
      </c>
      <c r="AW98" s="416">
        <f t="shared" si="166"/>
        <v>23351.892</v>
      </c>
      <c r="AX98" s="408">
        <f t="shared" si="166"/>
        <v>22888.57</v>
      </c>
      <c r="AY98" s="408">
        <f t="shared" si="166"/>
        <v>22563.755988249184</v>
      </c>
      <c r="AZ98" s="408">
        <f t="shared" si="166"/>
        <v>21762.186999999998</v>
      </c>
      <c r="BA98" s="416">
        <f t="shared" si="166"/>
        <v>21396.138999999996</v>
      </c>
      <c r="BB98" s="408">
        <f t="shared" si="166"/>
        <v>21048.296999999999</v>
      </c>
      <c r="BC98" s="408">
        <f t="shared" si="166"/>
        <v>20795.470999999998</v>
      </c>
      <c r="BD98" s="408">
        <f t="shared" si="166"/>
        <v>20631.743000000002</v>
      </c>
      <c r="BE98" s="408">
        <f t="shared" si="166"/>
        <v>20548</v>
      </c>
      <c r="BF98" s="415">
        <f t="shared" si="166"/>
        <v>20314</v>
      </c>
      <c r="BG98" s="408">
        <f t="shared" si="166"/>
        <v>18024</v>
      </c>
      <c r="BH98" s="408">
        <f t="shared" si="166"/>
        <v>19290</v>
      </c>
      <c r="BI98" s="416">
        <f t="shared" si="166"/>
        <v>19444</v>
      </c>
      <c r="BJ98" s="408">
        <f t="shared" si="166"/>
        <v>19295</v>
      </c>
      <c r="BK98" s="408">
        <f t="shared" si="166"/>
        <v>19054</v>
      </c>
      <c r="BL98" s="408">
        <f t="shared" si="166"/>
        <v>19013</v>
      </c>
      <c r="BM98" s="408">
        <f t="shared" si="166"/>
        <v>19032</v>
      </c>
      <c r="BN98" s="415">
        <f t="shared" si="166"/>
        <v>18825</v>
      </c>
      <c r="BO98" s="408">
        <f t="shared" si="166"/>
        <v>18777</v>
      </c>
      <c r="BP98" s="408">
        <f t="shared" si="166"/>
        <v>18665</v>
      </c>
      <c r="BQ98" s="416">
        <f t="shared" si="166"/>
        <v>18646</v>
      </c>
      <c r="BR98" s="408">
        <f t="shared" si="166"/>
        <v>18493</v>
      </c>
      <c r="BS98" s="408">
        <f t="shared" si="166"/>
        <v>18435</v>
      </c>
      <c r="BT98" s="408">
        <f t="shared" si="166"/>
        <v>18323</v>
      </c>
      <c r="BU98" s="416">
        <f>+BU91</f>
        <v>18433</v>
      </c>
      <c r="BV98" s="408">
        <f t="shared" si="167"/>
        <v>18183</v>
      </c>
      <c r="BW98" s="408">
        <f>+BW91</f>
        <v>18089</v>
      </c>
      <c r="BX98" s="408">
        <f t="shared" si="167"/>
        <v>18068</v>
      </c>
      <c r="BY98" s="416">
        <f t="shared" si="168"/>
        <v>18069</v>
      </c>
      <c r="BZ98" s="408">
        <f t="shared" si="168"/>
        <v>17963</v>
      </c>
      <c r="CA98" s="408">
        <f t="shared" si="169"/>
        <v>17894</v>
      </c>
      <c r="CB98" s="408">
        <f t="shared" si="169"/>
        <v>17840</v>
      </c>
      <c r="CC98" s="416">
        <f t="shared" si="170"/>
        <v>17039</v>
      </c>
      <c r="CD98" s="408">
        <f t="shared" si="170"/>
        <v>17016</v>
      </c>
      <c r="CE98" s="408">
        <f t="shared" si="171"/>
        <v>17583</v>
      </c>
      <c r="CF98" s="408">
        <f>+CF91</f>
        <v>17634</v>
      </c>
      <c r="CG98" s="416">
        <f t="shared" si="172"/>
        <v>26852</v>
      </c>
      <c r="CH98" s="408">
        <f t="shared" si="173"/>
        <v>26492.931040000003</v>
      </c>
      <c r="CI98" s="408">
        <f t="shared" si="173"/>
        <v>26097.236489194005</v>
      </c>
      <c r="CJ98" s="408">
        <f t="shared" si="173"/>
        <v>25696.32870199623</v>
      </c>
      <c r="CK98" s="416">
        <f t="shared" si="173"/>
        <v>25278.734719617587</v>
      </c>
      <c r="CL98" s="368"/>
    </row>
    <row r="99" spans="1:90">
      <c r="A99" s="399" t="s">
        <v>977</v>
      </c>
      <c r="B99" s="399"/>
      <c r="C99" s="399"/>
      <c r="D99" s="408"/>
      <c r="E99" s="408">
        <f t="shared" si="161"/>
        <v>-189.36899999999997</v>
      </c>
      <c r="F99" s="408">
        <f t="shared" si="161"/>
        <v>-366.32400000000007</v>
      </c>
      <c r="G99" s="408">
        <f t="shared" si="161"/>
        <v>-432.10400000000004</v>
      </c>
      <c r="H99" s="408">
        <f t="shared" si="161"/>
        <v>-380.6400000000001</v>
      </c>
      <c r="I99" s="408">
        <f t="shared" si="161"/>
        <v>-864.90299999999979</v>
      </c>
      <c r="J99" s="408">
        <f t="shared" si="161"/>
        <v>-938.346</v>
      </c>
      <c r="K99" s="408">
        <f t="shared" si="161"/>
        <v>-921</v>
      </c>
      <c r="L99" s="408">
        <f t="shared" si="161"/>
        <v>-148</v>
      </c>
      <c r="M99" s="408">
        <f t="shared" si="161"/>
        <v>12</v>
      </c>
      <c r="N99" s="408">
        <f>+N92</f>
        <v>115</v>
      </c>
      <c r="O99" s="408">
        <f t="shared" si="161"/>
        <v>80</v>
      </c>
      <c r="P99" s="408">
        <f t="shared" ca="1" si="162"/>
        <v>-577</v>
      </c>
      <c r="Q99" s="408">
        <f t="shared" ca="1" si="162"/>
        <v>1094</v>
      </c>
      <c r="R99" s="408">
        <f t="shared" ca="1" si="163"/>
        <v>-809</v>
      </c>
      <c r="S99" s="408">
        <f t="shared" ca="1" si="163"/>
        <v>-1174.1111249519167</v>
      </c>
      <c r="T99" s="408">
        <f t="shared" ca="1" si="164"/>
        <v>-1263.8063461572028</v>
      </c>
      <c r="U99" s="408">
        <f t="shared" ca="1" si="164"/>
        <v>-1206.9172708649994</v>
      </c>
      <c r="V99" s="408">
        <f t="shared" ca="1" si="165"/>
        <v>-1181.2349651923014</v>
      </c>
      <c r="W99" s="408">
        <f t="shared" ca="1" si="165"/>
        <v>-1156.2072987758702</v>
      </c>
      <c r="X99" s="408">
        <f t="shared" ca="1" si="165"/>
        <v>-1131.4043186579529</v>
      </c>
      <c r="Y99" s="2544"/>
      <c r="Z99" s="408"/>
      <c r="AA99" s="408"/>
      <c r="AB99" s="408"/>
      <c r="AC99" s="414">
        <f t="shared" si="166"/>
        <v>-139.17200000000003</v>
      </c>
      <c r="AD99" s="413">
        <f t="shared" si="166"/>
        <v>-198.37199999999996</v>
      </c>
      <c r="AE99" s="413">
        <f t="shared" si="166"/>
        <v>-295.25499999999988</v>
      </c>
      <c r="AF99" s="413">
        <f t="shared" si="166"/>
        <v>-230.858</v>
      </c>
      <c r="AG99" s="414">
        <f t="shared" si="166"/>
        <v>-54.734000000000037</v>
      </c>
      <c r="AH99" s="413">
        <f t="shared" si="166"/>
        <v>-113.35399999999993</v>
      </c>
      <c r="AI99" s="413">
        <f t="shared" si="166"/>
        <v>-133.90100000000007</v>
      </c>
      <c r="AJ99" s="413">
        <f t="shared" si="166"/>
        <v>16.314000000000021</v>
      </c>
      <c r="AK99" s="414">
        <f t="shared" si="166"/>
        <v>-904.19200000000012</v>
      </c>
      <c r="AL99" s="413">
        <f t="shared" si="166"/>
        <v>-741.81713226467343</v>
      </c>
      <c r="AM99" s="413">
        <f t="shared" si="166"/>
        <v>-1270.3780000000002</v>
      </c>
      <c r="AN99" s="413">
        <f t="shared" si="166"/>
        <v>-1336.6610000000001</v>
      </c>
      <c r="AO99" s="414">
        <f t="shared" si="166"/>
        <v>-1240.7820000000002</v>
      </c>
      <c r="AP99" s="413">
        <f t="shared" si="166"/>
        <v>-609.01800000000026</v>
      </c>
      <c r="AQ99" s="413">
        <f t="shared" si="166"/>
        <v>-1144.3709999999999</v>
      </c>
      <c r="AR99" s="413">
        <f t="shared" si="166"/>
        <v>-1243.1009999999999</v>
      </c>
      <c r="AS99" s="414">
        <f t="shared" si="166"/>
        <v>-1116.2650000000001</v>
      </c>
      <c r="AT99" s="413">
        <f t="shared" si="166"/>
        <v>-2647.8590000291547</v>
      </c>
      <c r="AU99" s="413">
        <f t="shared" si="166"/>
        <v>-2386.9590000291555</v>
      </c>
      <c r="AV99" s="413">
        <f t="shared" si="166"/>
        <v>-2251.5850000291543</v>
      </c>
      <c r="AW99" s="414">
        <f t="shared" si="166"/>
        <v>-2164.8680000291547</v>
      </c>
      <c r="AX99" s="413">
        <f t="shared" si="166"/>
        <v>-2053.8589971491551</v>
      </c>
      <c r="AY99" s="413">
        <f t="shared" si="166"/>
        <v>-680.78733774658986</v>
      </c>
      <c r="AZ99" s="413">
        <f t="shared" si="166"/>
        <v>-835.72600000000057</v>
      </c>
      <c r="BA99" s="414">
        <f t="shared" si="166"/>
        <v>-938.346</v>
      </c>
      <c r="BB99" s="413">
        <f t="shared" si="166"/>
        <v>-161.49499999999989</v>
      </c>
      <c r="BC99" s="413">
        <f t="shared" si="166"/>
        <v>-223.73399999999947</v>
      </c>
      <c r="BD99" s="413">
        <f t="shared" si="166"/>
        <v>-1108.1299999999997</v>
      </c>
      <c r="BE99" s="413">
        <f t="shared" si="166"/>
        <v>-921</v>
      </c>
      <c r="BF99" s="490">
        <f t="shared" si="166"/>
        <v>-989</v>
      </c>
      <c r="BG99" s="413">
        <f t="shared" si="166"/>
        <v>-993</v>
      </c>
      <c r="BH99" s="413">
        <f t="shared" si="166"/>
        <v>-1018</v>
      </c>
      <c r="BI99" s="414">
        <f t="shared" si="166"/>
        <v>-148</v>
      </c>
      <c r="BJ99" s="413">
        <f t="shared" si="166"/>
        <v>-91</v>
      </c>
      <c r="BK99" s="413">
        <f t="shared" si="166"/>
        <v>262</v>
      </c>
      <c r="BL99" s="413">
        <f t="shared" si="166"/>
        <v>-94</v>
      </c>
      <c r="BM99" s="413">
        <f t="shared" si="166"/>
        <v>12</v>
      </c>
      <c r="BN99" s="490">
        <f t="shared" si="166"/>
        <v>9</v>
      </c>
      <c r="BO99" s="413">
        <f t="shared" si="166"/>
        <v>-12</v>
      </c>
      <c r="BP99" s="413">
        <f t="shared" si="166"/>
        <v>-241</v>
      </c>
      <c r="BQ99" s="414">
        <f t="shared" si="166"/>
        <v>115</v>
      </c>
      <c r="BR99" s="413">
        <f t="shared" si="166"/>
        <v>34</v>
      </c>
      <c r="BS99" s="413">
        <f t="shared" si="166"/>
        <v>162</v>
      </c>
      <c r="BT99" s="413">
        <f t="shared" si="166"/>
        <v>-124</v>
      </c>
      <c r="BU99" s="414">
        <f>+BU92</f>
        <v>80</v>
      </c>
      <c r="BV99" s="413">
        <f t="shared" ca="1" si="167"/>
        <v>-64</v>
      </c>
      <c r="BW99" s="413">
        <f ca="1">+BW92</f>
        <v>-128</v>
      </c>
      <c r="BX99" s="413">
        <f t="shared" ca="1" si="167"/>
        <v>-642</v>
      </c>
      <c r="BY99" s="414">
        <f t="shared" ca="1" si="168"/>
        <v>-577</v>
      </c>
      <c r="BZ99" s="413">
        <f t="shared" ca="1" si="168"/>
        <v>-821</v>
      </c>
      <c r="CA99" s="413">
        <f t="shared" ca="1" si="169"/>
        <v>-791</v>
      </c>
      <c r="CB99" s="413">
        <f t="shared" ca="1" si="169"/>
        <v>-611</v>
      </c>
      <c r="CC99" s="414">
        <f t="shared" ca="1" si="170"/>
        <v>1094</v>
      </c>
      <c r="CD99" s="413">
        <f t="shared" ca="1" si="170"/>
        <v>1157</v>
      </c>
      <c r="CE99" s="413">
        <f t="shared" ca="1" si="171"/>
        <v>-481</v>
      </c>
      <c r="CF99" s="413">
        <f ca="1">+CF92</f>
        <v>-608</v>
      </c>
      <c r="CG99" s="414">
        <f t="shared" ca="1" si="172"/>
        <v>-809</v>
      </c>
      <c r="CH99" s="413">
        <f t="shared" ca="1" si="173"/>
        <v>-981.79719921115247</v>
      </c>
      <c r="CI99" s="413">
        <f t="shared" ca="1" si="173"/>
        <v>-1047.4706394903706</v>
      </c>
      <c r="CJ99" s="413">
        <f t="shared" ca="1" si="173"/>
        <v>-1118.7167042480696</v>
      </c>
      <c r="CK99" s="414">
        <f t="shared" ca="1" si="173"/>
        <v>-1174.1111249519167</v>
      </c>
      <c r="CL99" s="368"/>
    </row>
    <row r="100" spans="1:90">
      <c r="A100" s="399"/>
      <c r="B100" s="399"/>
      <c r="C100" s="399"/>
      <c r="D100" s="399"/>
      <c r="E100" s="431"/>
      <c r="F100" s="431"/>
      <c r="G100" s="431"/>
      <c r="H100" s="431"/>
      <c r="I100" s="431"/>
      <c r="J100" s="431"/>
      <c r="K100" s="431"/>
      <c r="L100" s="431"/>
      <c r="M100" s="431"/>
      <c r="N100" s="431"/>
      <c r="O100" s="431"/>
      <c r="P100" s="431"/>
      <c r="Q100" s="431"/>
      <c r="R100" s="431"/>
      <c r="S100" s="431"/>
      <c r="T100" s="431"/>
      <c r="U100" s="431"/>
      <c r="V100" s="431"/>
      <c r="W100" s="431"/>
      <c r="X100" s="431"/>
      <c r="Y100" s="2544"/>
      <c r="Z100" s="431"/>
      <c r="AA100" s="431"/>
      <c r="AB100" s="431"/>
      <c r="AC100" s="432"/>
      <c r="AD100" s="434"/>
      <c r="AE100" s="431"/>
      <c r="AF100" s="431"/>
      <c r="AG100" s="432"/>
      <c r="AH100" s="434"/>
      <c r="AI100" s="431"/>
      <c r="AJ100" s="431"/>
      <c r="AK100" s="432"/>
      <c r="AL100" s="434"/>
      <c r="AM100" s="431"/>
      <c r="AN100" s="431"/>
      <c r="AO100" s="432"/>
      <c r="AP100" s="434"/>
      <c r="AQ100" s="431"/>
      <c r="AR100" s="431"/>
      <c r="AS100" s="432"/>
      <c r="AT100" s="434"/>
      <c r="AU100" s="431"/>
      <c r="AV100" s="431"/>
      <c r="AW100" s="439"/>
      <c r="AX100" s="667"/>
      <c r="AY100" s="668"/>
      <c r="AZ100" s="668"/>
      <c r="BA100" s="439"/>
      <c r="BB100" s="667"/>
      <c r="BC100" s="668"/>
      <c r="BD100" s="668"/>
      <c r="BE100" s="668"/>
      <c r="BF100" s="667"/>
      <c r="BG100" s="668"/>
      <c r="BH100" s="668"/>
      <c r="BI100" s="439"/>
      <c r="BJ100" s="668"/>
      <c r="BK100" s="668"/>
      <c r="BL100" s="668"/>
      <c r="BM100" s="668"/>
      <c r="BN100" s="667"/>
      <c r="BO100" s="668"/>
      <c r="BP100" s="668"/>
      <c r="BQ100" s="439"/>
      <c r="BR100" s="668"/>
      <c r="BS100" s="668"/>
      <c r="BT100" s="668"/>
      <c r="BU100" s="439"/>
      <c r="BV100" s="668"/>
      <c r="BW100" s="668"/>
      <c r="BX100" s="668"/>
      <c r="BY100" s="439"/>
      <c r="BZ100" s="668"/>
      <c r="CA100" s="668"/>
      <c r="CB100" s="668"/>
      <c r="CC100" s="439"/>
      <c r="CD100" s="668"/>
      <c r="CE100" s="668"/>
      <c r="CF100" s="668"/>
      <c r="CG100" s="439"/>
      <c r="CH100" s="668"/>
      <c r="CI100" s="668"/>
      <c r="CJ100" s="668"/>
      <c r="CK100" s="439"/>
      <c r="CL100" s="368"/>
    </row>
    <row r="101" spans="1:90">
      <c r="A101" s="401"/>
      <c r="B101" s="402"/>
      <c r="C101" s="402"/>
      <c r="D101" s="402"/>
      <c r="E101" s="365"/>
      <c r="F101" s="365"/>
      <c r="G101" s="365"/>
      <c r="H101" s="365"/>
      <c r="I101" s="399"/>
      <c r="J101" s="399"/>
      <c r="K101" s="399"/>
      <c r="L101" s="399"/>
      <c r="M101" s="399"/>
      <c r="N101" s="399"/>
      <c r="O101" s="399"/>
      <c r="P101" s="399"/>
      <c r="Q101" s="399"/>
      <c r="R101" s="399"/>
      <c r="S101" s="2634"/>
      <c r="T101" s="399"/>
      <c r="U101" s="399"/>
      <c r="V101" s="399"/>
      <c r="W101" s="2634"/>
      <c r="X101" s="2634"/>
      <c r="Y101" s="2544"/>
      <c r="Z101" s="402"/>
      <c r="AA101" s="402"/>
      <c r="AB101" s="402"/>
      <c r="AC101" s="403"/>
      <c r="AD101" s="401"/>
      <c r="AE101" s="402"/>
      <c r="AF101" s="402"/>
      <c r="AG101" s="403"/>
      <c r="AH101" s="401"/>
      <c r="AI101" s="402"/>
      <c r="AJ101" s="402"/>
      <c r="AK101" s="403"/>
      <c r="AL101" s="401"/>
      <c r="AM101" s="402"/>
      <c r="AN101" s="402"/>
      <c r="AO101" s="403"/>
      <c r="AP101" s="401"/>
      <c r="AQ101" s="402"/>
      <c r="AR101" s="402"/>
      <c r="AS101" s="403"/>
      <c r="AT101" s="401"/>
      <c r="AU101" s="402"/>
      <c r="AV101" s="402"/>
      <c r="AW101" s="442"/>
      <c r="AX101" s="445"/>
      <c r="AY101" s="446"/>
      <c r="AZ101" s="446"/>
      <c r="BA101" s="442"/>
      <c r="BB101" s="445"/>
      <c r="BC101" s="446"/>
      <c r="BD101" s="446"/>
      <c r="BE101" s="446"/>
      <c r="BF101" s="445"/>
      <c r="BG101" s="446"/>
      <c r="BH101" s="446"/>
      <c r="BI101" s="442"/>
      <c r="BJ101" s="446"/>
      <c r="BK101" s="446"/>
      <c r="BL101" s="446"/>
      <c r="BM101" s="446"/>
      <c r="BN101" s="445"/>
      <c r="BO101" s="446"/>
      <c r="BP101" s="446"/>
      <c r="BQ101" s="442"/>
      <c r="BR101" s="446"/>
      <c r="BS101" s="446"/>
      <c r="BT101" s="446"/>
      <c r="BU101" s="442"/>
      <c r="BV101" s="446"/>
      <c r="BW101" s="446"/>
      <c r="BX101" s="446"/>
      <c r="BY101" s="442"/>
      <c r="BZ101" s="446"/>
      <c r="CA101" s="446"/>
      <c r="CB101" s="446"/>
      <c r="CC101" s="442"/>
      <c r="CD101" s="446"/>
      <c r="CE101" s="446"/>
      <c r="CF101" s="446"/>
      <c r="CG101" s="442"/>
      <c r="CH101" s="446"/>
      <c r="CI101" s="446"/>
      <c r="CJ101" s="446"/>
      <c r="CK101" s="442"/>
      <c r="CL101" s="368"/>
    </row>
    <row r="102" spans="1:90">
      <c r="A102" s="407" t="s">
        <v>980</v>
      </c>
      <c r="B102" s="399"/>
      <c r="C102" s="399"/>
      <c r="D102" s="485">
        <f>Subscribers!E11</f>
        <v>7896740</v>
      </c>
      <c r="E102" s="485">
        <f>Subscribers!F11</f>
        <v>23179740</v>
      </c>
      <c r="F102" s="485">
        <f>Subscribers!G11</f>
        <v>24469160.5</v>
      </c>
      <c r="G102" s="485">
        <f>Subscribers!H11</f>
        <v>22801735</v>
      </c>
      <c r="H102" s="485">
        <f>Subscribers!I11</f>
        <v>20772740</v>
      </c>
      <c r="I102" s="485">
        <f>Subscribers!J11</f>
        <v>18841000</v>
      </c>
      <c r="J102" s="408">
        <f>Subscribers!K11</f>
        <v>16964000</v>
      </c>
      <c r="K102" s="408">
        <f>Subscribers!L11</f>
        <v>15613000</v>
      </c>
      <c r="L102" s="485">
        <f>Subscribers!M11</f>
        <v>14584000</v>
      </c>
      <c r="M102" s="485">
        <f>Subscribers!N11</f>
        <v>13751000</v>
      </c>
      <c r="N102" s="485">
        <f>Subscribers!O11</f>
        <v>13002000</v>
      </c>
      <c r="O102" s="408">
        <f>Subscribers!P11</f>
        <v>12394000</v>
      </c>
      <c r="P102" s="408">
        <f>Subscribers!Q11</f>
        <v>11748000</v>
      </c>
      <c r="Q102" s="408">
        <f>Subscribers!R11</f>
        <v>11090000</v>
      </c>
      <c r="R102" s="408">
        <f>Subscribers!S11</f>
        <v>10282000</v>
      </c>
      <c r="S102" s="408">
        <f>Subscribers!T11</f>
        <v>9753001.5999999996</v>
      </c>
      <c r="T102" s="408">
        <f>Subscribers!U11</f>
        <v>9021526.4800000004</v>
      </c>
      <c r="U102" s="408">
        <f>Subscribers!V11</f>
        <v>8299804.3616000004</v>
      </c>
      <c r="V102" s="408">
        <f>Subscribers!W11</f>
        <v>7594320.9908640003</v>
      </c>
      <c r="W102" s="408">
        <f>Subscribers!X11</f>
        <v>6948803.7066405602</v>
      </c>
      <c r="X102" s="408">
        <f>Subscribers!Y11</f>
        <v>6358155.3915761132</v>
      </c>
      <c r="Y102" s="2544"/>
      <c r="Z102" s="408"/>
      <c r="AA102" s="408"/>
      <c r="AB102" s="408"/>
      <c r="AC102" s="416">
        <f>+Subscribers!AL11</f>
        <v>7896740</v>
      </c>
      <c r="AD102" s="415">
        <f>+Subscribers!AM11</f>
        <v>23915740</v>
      </c>
      <c r="AE102" s="408">
        <f>+Subscribers!AN11</f>
        <v>23608740</v>
      </c>
      <c r="AF102" s="408">
        <f>+Subscribers!AO11</f>
        <v>23387740</v>
      </c>
      <c r="AG102" s="416">
        <f>+Subscribers!AP11</f>
        <v>23179740</v>
      </c>
      <c r="AH102" s="415">
        <f>+Subscribers!AQ11</f>
        <v>25443629.781260338</v>
      </c>
      <c r="AI102" s="408">
        <f>+Subscribers!AR11</f>
        <v>25055964.548010275</v>
      </c>
      <c r="AJ102" s="408">
        <f>+Subscribers!AS11</f>
        <v>24787356.47368421</v>
      </c>
      <c r="AK102" s="416">
        <f>+Subscribers!AT11</f>
        <v>24469160.5</v>
      </c>
      <c r="AL102" s="415">
        <f>+Subscribers!AU11</f>
        <v>24011538</v>
      </c>
      <c r="AM102" s="408">
        <f>+Subscribers!AV11</f>
        <v>23569317.719999999</v>
      </c>
      <c r="AN102" s="408">
        <f>+Subscribers!AW11</f>
        <v>23166330</v>
      </c>
      <c r="AO102" s="416">
        <f>+Subscribers!AX11</f>
        <v>22801735</v>
      </c>
      <c r="AP102" s="415">
        <f>+Subscribers!AY11</f>
        <v>22029490</v>
      </c>
      <c r="AQ102" s="408">
        <f>+Subscribers!AZ11</f>
        <v>21567740</v>
      </c>
      <c r="AR102" s="408">
        <f>+Subscribers!BA11</f>
        <v>21143740</v>
      </c>
      <c r="AS102" s="416">
        <f>+Subscribers!BB11</f>
        <v>20772740</v>
      </c>
      <c r="AT102" s="415">
        <f>+Subscribers!BC11</f>
        <v>20347740</v>
      </c>
      <c r="AU102" s="408">
        <f>+Subscribers!BD11</f>
        <v>19859260</v>
      </c>
      <c r="AV102" s="408">
        <f>+Subscribers!BE11</f>
        <v>19344660</v>
      </c>
      <c r="AW102" s="543">
        <f>+Subscribers!BF11</f>
        <v>18841000</v>
      </c>
      <c r="AX102" s="545">
        <f>+Subscribers!BG11</f>
        <v>18343000</v>
      </c>
      <c r="AY102" s="544">
        <f>+Subscribers!BH11</f>
        <v>17710239.651416123</v>
      </c>
      <c r="AZ102" s="544">
        <f>+Subscribers!BI11</f>
        <v>17355000</v>
      </c>
      <c r="BA102" s="543">
        <f>+Subscribers!BJ11</f>
        <v>16964000</v>
      </c>
      <c r="BB102" s="545">
        <f>+Subscribers!BK11</f>
        <v>16627000</v>
      </c>
      <c r="BC102" s="544">
        <f>+Subscribers!BL11</f>
        <v>16258000</v>
      </c>
      <c r="BD102" s="544">
        <f>+Subscribers!BM11</f>
        <v>15936000</v>
      </c>
      <c r="BE102" s="544">
        <f>+Subscribers!BN11</f>
        <v>15613000</v>
      </c>
      <c r="BF102" s="545">
        <f>+Subscribers!BO11</f>
        <v>15357000</v>
      </c>
      <c r="BG102" s="544">
        <f>+Subscribers!BP11</f>
        <v>15057000</v>
      </c>
      <c r="BH102" s="544">
        <f>+Subscribers!BQ11</f>
        <v>14803000</v>
      </c>
      <c r="BI102" s="543">
        <f>+Subscribers!BR11</f>
        <v>14584000</v>
      </c>
      <c r="BJ102" s="544">
        <f>+Subscribers!BS11</f>
        <v>14383000</v>
      </c>
      <c r="BK102" s="544">
        <f>+Subscribers!BT11</f>
        <v>14149000</v>
      </c>
      <c r="BL102" s="544">
        <f>+Subscribers!BU11</f>
        <v>13950000</v>
      </c>
      <c r="BM102" s="544">
        <f>+Subscribers!BV11</f>
        <v>13751000</v>
      </c>
      <c r="BN102" s="545">
        <f>+Subscribers!BW11</f>
        <v>13561000</v>
      </c>
      <c r="BO102" s="544">
        <f>+Subscribers!BX11</f>
        <v>13331000</v>
      </c>
      <c r="BP102" s="544">
        <f>+Subscribers!BY11</f>
        <v>13150000</v>
      </c>
      <c r="BQ102" s="543">
        <f>+Subscribers!BZ11</f>
        <v>13002000</v>
      </c>
      <c r="BR102" s="544">
        <f>+Subscribers!CA11</f>
        <v>12882000</v>
      </c>
      <c r="BS102" s="544">
        <f>+Subscribers!CB11</f>
        <v>12707000</v>
      </c>
      <c r="BT102" s="544">
        <f>+Subscribers!CC11</f>
        <v>12537000</v>
      </c>
      <c r="BU102" s="543">
        <f>+Subscribers!CD11</f>
        <v>12394000</v>
      </c>
      <c r="BV102" s="544">
        <f>+Subscribers!CE11</f>
        <v>12270000</v>
      </c>
      <c r="BW102" s="544">
        <f>+Subscribers!CF11</f>
        <v>12109000</v>
      </c>
      <c r="BX102" s="544">
        <f>+Subscribers!CG11</f>
        <v>11915000</v>
      </c>
      <c r="BY102" s="543">
        <f>+Subscribers!CH11</f>
        <v>11748000</v>
      </c>
      <c r="BZ102" s="544">
        <f>+Subscribers!CI11</f>
        <v>11611000</v>
      </c>
      <c r="CA102" s="544">
        <f>+Subscribers!CJ11</f>
        <v>11413000</v>
      </c>
      <c r="CB102" s="544">
        <f>+Subscribers!CK11</f>
        <v>11231000</v>
      </c>
      <c r="CC102" s="543">
        <f>+Subscribers!CL11</f>
        <v>11090000</v>
      </c>
      <c r="CD102" s="544">
        <f>+Subscribers!CM11</f>
        <v>10945000</v>
      </c>
      <c r="CE102" s="544">
        <f>+Subscribers!CN11</f>
        <v>10733000</v>
      </c>
      <c r="CF102" s="544">
        <f>+Subscribers!CO11</f>
        <v>10506000</v>
      </c>
      <c r="CG102" s="543">
        <f>+Subscribers!CP11</f>
        <v>10282000</v>
      </c>
      <c r="CH102" s="544">
        <f>+Subscribers!CQ11</f>
        <v>10102800</v>
      </c>
      <c r="CI102" s="544">
        <f>+Subscribers!CR11</f>
        <v>9959440</v>
      </c>
      <c r="CJ102" s="544">
        <f>+Subscribers!CS11</f>
        <v>9844752</v>
      </c>
      <c r="CK102" s="543">
        <f>+Subscribers!CT11</f>
        <v>9753001.5999999996</v>
      </c>
      <c r="CL102" s="368"/>
    </row>
    <row r="103" spans="1:90">
      <c r="A103" s="434" t="s">
        <v>981</v>
      </c>
      <c r="B103" s="431"/>
      <c r="C103" s="431"/>
      <c r="D103" s="433">
        <f>AC103</f>
        <v>6720</v>
      </c>
      <c r="E103" s="433">
        <f>AG103</f>
        <v>6800</v>
      </c>
      <c r="F103" s="433">
        <f>AK103</f>
        <v>21300</v>
      </c>
      <c r="G103" s="433">
        <f>AO103</f>
        <v>21200</v>
      </c>
      <c r="H103" s="433">
        <f>AK103</f>
        <v>21300</v>
      </c>
      <c r="I103" s="433">
        <f>AW103</f>
        <v>53937</v>
      </c>
      <c r="J103" s="433">
        <f>BA103</f>
        <v>51138</v>
      </c>
      <c r="K103" s="433">
        <f>BE103</f>
        <v>49343</v>
      </c>
      <c r="L103" s="433">
        <v>49200</v>
      </c>
      <c r="M103" s="433">
        <f>BM103</f>
        <v>47000</v>
      </c>
      <c r="N103" s="433">
        <f>BQ103</f>
        <v>47000</v>
      </c>
      <c r="O103" s="433">
        <f>BU103</f>
        <v>47000</v>
      </c>
      <c r="P103" s="433">
        <f>BV103</f>
        <v>47000</v>
      </c>
      <c r="Q103" s="433">
        <f>BW103</f>
        <v>47000</v>
      </c>
      <c r="R103" s="433">
        <f>BX103</f>
        <v>47000</v>
      </c>
      <c r="S103" s="433">
        <f>BY103</f>
        <v>47000</v>
      </c>
      <c r="T103" s="433">
        <f>S103</f>
        <v>47000</v>
      </c>
      <c r="U103" s="433">
        <f>T103</f>
        <v>47000</v>
      </c>
      <c r="V103" s="433">
        <f>U103</f>
        <v>47000</v>
      </c>
      <c r="W103" s="433">
        <f>V103</f>
        <v>47000</v>
      </c>
      <c r="X103" s="433">
        <f>W103</f>
        <v>47000</v>
      </c>
      <c r="Y103" s="2544"/>
      <c r="Z103" s="431"/>
      <c r="AA103" s="431"/>
      <c r="AB103" s="431"/>
      <c r="AC103" s="669">
        <f>INPUTS_2!B134</f>
        <v>6720</v>
      </c>
      <c r="AD103" s="433">
        <f>INPUTS_2!C134</f>
        <v>6800</v>
      </c>
      <c r="AE103" s="433">
        <f>INPUTS_2!D134</f>
        <v>6800</v>
      </c>
      <c r="AF103" s="433">
        <f>INPUTS_2!E134</f>
        <v>6800</v>
      </c>
      <c r="AG103" s="669">
        <f>INPUTS_2!F134</f>
        <v>6800</v>
      </c>
      <c r="AH103" s="433">
        <f>INPUTS_2!G134</f>
        <v>21300</v>
      </c>
      <c r="AI103" s="433">
        <f>INPUTS_2!H134</f>
        <v>21300</v>
      </c>
      <c r="AJ103" s="433">
        <f>INPUTS_2!I134</f>
        <v>21300</v>
      </c>
      <c r="AK103" s="669">
        <f>INPUTS_2!J134</f>
        <v>21300</v>
      </c>
      <c r="AL103" s="433">
        <f>INPUTS_2!K134</f>
        <v>21200</v>
      </c>
      <c r="AM103" s="433">
        <f>INPUTS_2!L134</f>
        <v>21200</v>
      </c>
      <c r="AN103" s="433">
        <f>INPUTS_2!M134</f>
        <v>21200</v>
      </c>
      <c r="AO103" s="669">
        <f>INPUTS_2!N134</f>
        <v>21200</v>
      </c>
      <c r="AP103" s="433">
        <f>INPUTS_2!O134</f>
        <v>21100</v>
      </c>
      <c r="AQ103" s="433">
        <f>INPUTS_2!P134</f>
        <v>21100</v>
      </c>
      <c r="AR103" s="433">
        <f>INPUTS_2!Q134</f>
        <v>21100</v>
      </c>
      <c r="AS103" s="669">
        <f>INPUTS_2!R134</f>
        <v>21100</v>
      </c>
      <c r="AT103" s="433">
        <f>INPUTS_2!S134</f>
        <v>57519</v>
      </c>
      <c r="AU103" s="433">
        <f>INPUTS_2!T134</f>
        <v>56111</v>
      </c>
      <c r="AV103" s="433">
        <f>INPUTS_2!U134</f>
        <v>55656</v>
      </c>
      <c r="AW103" s="669">
        <f>INPUTS_2!V134</f>
        <v>53937</v>
      </c>
      <c r="AX103" s="433">
        <f>INPUTS_2!W134</f>
        <v>53838</v>
      </c>
      <c r="AY103" s="433">
        <f>INPUTS_2!X134</f>
        <v>52509</v>
      </c>
      <c r="AZ103" s="433">
        <f>INPUTS_2!Y134</f>
        <v>52292</v>
      </c>
      <c r="BA103" s="669">
        <f>INPUTS_2!Z134</f>
        <v>51138</v>
      </c>
      <c r="BB103" s="433">
        <f>INPUTS_2!AA134</f>
        <v>50519</v>
      </c>
      <c r="BC103" s="433">
        <f>INPUTS_2!AB134</f>
        <v>50221</v>
      </c>
      <c r="BD103" s="433">
        <f>INPUTS_2!AC134</f>
        <v>49535</v>
      </c>
      <c r="BE103" s="433">
        <f>INPUTS_2!AD134</f>
        <v>49343</v>
      </c>
      <c r="BF103" s="2103">
        <f>INPUTS_2!AE134</f>
        <v>49043</v>
      </c>
      <c r="BG103" s="2104">
        <v>48400</v>
      </c>
      <c r="BH103" s="2104">
        <f>INPUTS_2!AG134</f>
        <v>49250</v>
      </c>
      <c r="BI103" s="2105">
        <v>49200</v>
      </c>
      <c r="BJ103" s="2104">
        <v>47900</v>
      </c>
      <c r="BK103" s="2104">
        <v>47100</v>
      </c>
      <c r="BL103" s="2104">
        <v>46500</v>
      </c>
      <c r="BM103" s="2225">
        <v>47000</v>
      </c>
      <c r="BN103" s="2228">
        <v>47000</v>
      </c>
      <c r="BO103" s="2519">
        <v>46900</v>
      </c>
      <c r="BP103" s="2519">
        <v>46700</v>
      </c>
      <c r="BQ103" s="2597">
        <v>47000</v>
      </c>
      <c r="BR103" s="2519">
        <f>+BQ103</f>
        <v>47000</v>
      </c>
      <c r="BS103" s="2519">
        <f>+BR103</f>
        <v>47000</v>
      </c>
      <c r="BT103" s="2519">
        <f t="shared" ref="BT103:BY103" si="174">BS103</f>
        <v>47000</v>
      </c>
      <c r="BU103" s="2597">
        <f t="shared" si="174"/>
        <v>47000</v>
      </c>
      <c r="BV103" s="2887">
        <f t="shared" si="174"/>
        <v>47000</v>
      </c>
      <c r="BW103" s="2886">
        <f t="shared" si="174"/>
        <v>47000</v>
      </c>
      <c r="BX103" s="2887">
        <f t="shared" si="174"/>
        <v>47000</v>
      </c>
      <c r="BY103" s="2885">
        <f t="shared" si="174"/>
        <v>47000</v>
      </c>
      <c r="BZ103" s="2886">
        <f t="shared" ref="BZ103:CE103" si="175">BY103</f>
        <v>47000</v>
      </c>
      <c r="CA103" s="2886">
        <f t="shared" si="175"/>
        <v>47000</v>
      </c>
      <c r="CB103" s="2886">
        <f t="shared" si="175"/>
        <v>47000</v>
      </c>
      <c r="CC103" s="2885">
        <f t="shared" si="175"/>
        <v>47000</v>
      </c>
      <c r="CD103" s="2886">
        <f>CC103</f>
        <v>47000</v>
      </c>
      <c r="CE103" s="433">
        <f t="shared" si="175"/>
        <v>47000</v>
      </c>
      <c r="CF103" s="433">
        <f>CE103</f>
        <v>47000</v>
      </c>
      <c r="CG103" s="669">
        <f t="shared" ref="CG103" si="176">CF103</f>
        <v>47000</v>
      </c>
      <c r="CH103" s="433">
        <f>CG103</f>
        <v>47000</v>
      </c>
      <c r="CI103" s="433">
        <f>CH103</f>
        <v>47000</v>
      </c>
      <c r="CJ103" s="433">
        <f>CI103</f>
        <v>47000</v>
      </c>
      <c r="CK103" s="669">
        <f>CJ103</f>
        <v>47000</v>
      </c>
      <c r="CL103" s="368"/>
    </row>
    <row r="104" spans="1:90">
      <c r="A104" s="369"/>
      <c r="B104" s="369"/>
      <c r="C104" s="368"/>
      <c r="D104" s="670"/>
      <c r="E104" s="670"/>
      <c r="F104" s="670"/>
      <c r="G104" s="670"/>
      <c r="H104" s="670"/>
      <c r="I104" s="671"/>
      <c r="J104" s="671"/>
      <c r="K104" s="671"/>
      <c r="L104" s="671"/>
      <c r="M104" s="671"/>
      <c r="N104" s="671"/>
      <c r="O104" s="671"/>
      <c r="P104" s="671"/>
      <c r="Q104" s="671"/>
      <c r="R104" s="671"/>
      <c r="S104" s="671"/>
      <c r="T104" s="671"/>
      <c r="U104" s="671"/>
      <c r="V104" s="671"/>
      <c r="W104" s="671"/>
      <c r="X104" s="671"/>
      <c r="Y104" s="2544"/>
      <c r="Z104" s="385"/>
      <c r="AA104" s="385"/>
      <c r="AB104" s="385"/>
      <c r="AC104" s="670"/>
      <c r="AD104" s="670"/>
      <c r="AE104" s="670"/>
      <c r="AF104" s="670"/>
      <c r="AG104" s="670"/>
      <c r="AH104" s="670"/>
      <c r="AI104" s="670"/>
      <c r="AJ104" s="670"/>
      <c r="AK104" s="670"/>
      <c r="AL104" s="670"/>
      <c r="AM104" s="670"/>
      <c r="AN104" s="670"/>
      <c r="AO104" s="670"/>
      <c r="AP104" s="670"/>
      <c r="AQ104" s="670"/>
      <c r="AR104" s="670"/>
      <c r="AS104" s="670"/>
      <c r="AT104" s="670"/>
      <c r="AU104" s="670"/>
      <c r="AV104" s="670"/>
      <c r="AW104" s="385"/>
      <c r="AX104" s="427"/>
      <c r="AY104" s="385"/>
      <c r="AZ104" s="385"/>
      <c r="BA104" s="385"/>
      <c r="BB104" s="385"/>
      <c r="BC104" s="385"/>
      <c r="BD104" s="385"/>
      <c r="BE104" s="385"/>
      <c r="BF104" s="385"/>
      <c r="BG104" s="369"/>
      <c r="BH104" s="369"/>
      <c r="BI104" s="369"/>
      <c r="BJ104" s="369"/>
      <c r="BK104" s="369"/>
      <c r="BL104" s="369"/>
      <c r="BM104" s="369"/>
      <c r="BN104" s="411"/>
      <c r="BO104" s="369"/>
      <c r="BP104" s="369"/>
      <c r="BQ104" s="369"/>
      <c r="BR104" s="369"/>
      <c r="BS104" s="369"/>
      <c r="BT104" s="369"/>
      <c r="BU104" s="369"/>
      <c r="BV104" s="368"/>
      <c r="BW104" s="369"/>
      <c r="BX104" s="368"/>
      <c r="BY104" s="369"/>
      <c r="BZ104" s="368"/>
      <c r="CA104" s="369"/>
      <c r="CB104" s="369"/>
      <c r="CC104" s="369"/>
      <c r="CD104" s="368"/>
      <c r="CE104" s="368"/>
      <c r="CF104" s="2606"/>
      <c r="CG104" s="368"/>
      <c r="CH104" s="2606"/>
      <c r="CI104" s="2606"/>
      <c r="CJ104" s="2606"/>
      <c r="CK104" s="2606"/>
      <c r="CL104" s="368"/>
    </row>
    <row r="105" spans="1:90">
      <c r="A105" s="365"/>
      <c r="B105" s="365"/>
      <c r="C105" s="365"/>
      <c r="D105" s="365"/>
      <c r="E105" s="365"/>
      <c r="F105" s="365"/>
      <c r="G105" s="365"/>
      <c r="H105" s="365"/>
      <c r="I105" s="365"/>
      <c r="J105" s="365"/>
      <c r="K105" s="399"/>
      <c r="L105" s="365"/>
      <c r="M105" s="365"/>
      <c r="N105" s="365"/>
      <c r="O105" s="365"/>
      <c r="P105" s="365"/>
      <c r="Q105" s="365"/>
      <c r="R105" s="365"/>
      <c r="S105" s="843"/>
      <c r="T105" s="399"/>
      <c r="U105" s="399"/>
      <c r="V105" s="399"/>
      <c r="W105" s="2634"/>
      <c r="X105" s="2634"/>
      <c r="Y105" s="2544"/>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H105" s="365"/>
      <c r="BI105" s="365"/>
      <c r="BJ105" s="365"/>
      <c r="BK105" s="365"/>
      <c r="BL105" s="365"/>
      <c r="BM105" s="365"/>
      <c r="BN105" s="407"/>
      <c r="BO105" s="365"/>
      <c r="BP105" s="365"/>
      <c r="BQ105" s="365"/>
      <c r="BR105" s="365"/>
      <c r="BS105" s="365"/>
      <c r="BT105" s="365"/>
      <c r="BU105" s="365"/>
      <c r="BV105" s="399"/>
      <c r="BW105" s="365"/>
      <c r="BX105" s="399"/>
      <c r="BY105" s="365"/>
      <c r="BZ105" s="399"/>
      <c r="CA105" s="365"/>
      <c r="CB105" s="365"/>
      <c r="CC105" s="365"/>
      <c r="CD105" s="399"/>
      <c r="CE105" s="399"/>
      <c r="CF105" s="2634"/>
      <c r="CG105" s="399"/>
      <c r="CH105" s="2634"/>
      <c r="CI105" s="2634"/>
      <c r="CJ105" s="2634"/>
      <c r="CK105" s="2634"/>
      <c r="CL105" s="368"/>
    </row>
    <row r="106" spans="1:90">
      <c r="A106" s="364" t="s">
        <v>988</v>
      </c>
      <c r="B106" s="365"/>
      <c r="C106" s="365"/>
      <c r="D106" s="365"/>
      <c r="E106" s="365"/>
      <c r="F106" s="365"/>
      <c r="G106" s="365"/>
      <c r="H106" s="365"/>
      <c r="I106" s="365"/>
      <c r="J106" s="365"/>
      <c r="K106" s="399"/>
      <c r="L106" s="365"/>
      <c r="M106" s="365"/>
      <c r="N106" s="365"/>
      <c r="O106" s="365"/>
      <c r="P106" s="365"/>
      <c r="Q106" s="365"/>
      <c r="R106" s="365"/>
      <c r="S106" s="843"/>
      <c r="T106" s="399"/>
      <c r="U106" s="399"/>
      <c r="V106" s="399"/>
      <c r="W106" s="2634"/>
      <c r="X106" s="2634"/>
      <c r="Y106" s="2544"/>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H106" s="365"/>
      <c r="BI106" s="365"/>
      <c r="BJ106" s="365"/>
      <c r="BK106" s="365"/>
      <c r="BL106" s="365"/>
      <c r="BM106" s="365"/>
      <c r="BN106" s="407"/>
      <c r="BO106" s="365"/>
      <c r="BP106" s="365"/>
      <c r="BQ106" s="365"/>
      <c r="BR106" s="365"/>
      <c r="BS106" s="365"/>
      <c r="BT106" s="365"/>
      <c r="BU106" s="365"/>
      <c r="BV106" s="399"/>
      <c r="BW106" s="365"/>
      <c r="BX106" s="399"/>
      <c r="BY106" s="365"/>
      <c r="BZ106" s="399"/>
      <c r="CA106" s="365"/>
      <c r="CB106" s="365"/>
      <c r="CC106" s="365"/>
      <c r="CD106" s="399"/>
      <c r="CE106" s="399"/>
      <c r="CF106" s="2634"/>
      <c r="CG106" s="399"/>
      <c r="CH106" s="2634"/>
      <c r="CI106" s="2634"/>
      <c r="CJ106" s="2634"/>
      <c r="CK106" s="2634"/>
      <c r="CL106" s="368"/>
    </row>
    <row r="107" spans="1:90">
      <c r="A107" s="365" t="s">
        <v>628</v>
      </c>
      <c r="B107" s="365"/>
      <c r="C107" s="365"/>
      <c r="D107" s="365"/>
      <c r="E107" s="485">
        <f t="shared" ref="E107:Q107" si="177">D49</f>
        <v>3478.5159999999996</v>
      </c>
      <c r="F107" s="485">
        <f t="shared" si="177"/>
        <v>3409.7649999999999</v>
      </c>
      <c r="G107" s="485">
        <f t="shared" si="177"/>
        <v>2546.2729999999997</v>
      </c>
      <c r="H107" s="485">
        <f t="shared" si="177"/>
        <v>2722.951</v>
      </c>
      <c r="I107" s="485">
        <f t="shared" si="177"/>
        <v>3673.2049999999999</v>
      </c>
      <c r="J107" s="485">
        <f t="shared" si="177"/>
        <v>6089.239999999998</v>
      </c>
      <c r="K107" s="408">
        <f t="shared" si="177"/>
        <v>7966.19891216</v>
      </c>
      <c r="L107" s="485">
        <f t="shared" si="177"/>
        <v>21929</v>
      </c>
      <c r="M107" s="485">
        <f t="shared" si="177"/>
        <v>20827</v>
      </c>
      <c r="N107" s="485">
        <f t="shared" si="177"/>
        <v>19289</v>
      </c>
      <c r="O107" s="485">
        <f t="shared" si="177"/>
        <v>17191</v>
      </c>
      <c r="P107" s="485">
        <f t="shared" si="177"/>
        <v>15023</v>
      </c>
      <c r="Q107" s="485">
        <f t="shared" si="177"/>
        <v>14060</v>
      </c>
      <c r="R107" s="485">
        <f t="shared" ref="R107:X107" si="178">Q49</f>
        <v>13399</v>
      </c>
      <c r="S107" s="485">
        <f t="shared" si="178"/>
        <v>23491</v>
      </c>
      <c r="T107" s="408">
        <f t="shared" si="178"/>
        <v>21971.362615182494</v>
      </c>
      <c r="U107" s="408">
        <f t="shared" ca="1" si="178"/>
        <v>20820.799604735999</v>
      </c>
      <c r="V107" s="408">
        <f t="shared" ca="1" si="178"/>
        <v>19990.29014930566</v>
      </c>
      <c r="W107" s="408">
        <f t="shared" ca="1" si="178"/>
        <v>19305.649510492796</v>
      </c>
      <c r="X107" s="408">
        <f t="shared" ca="1" si="178"/>
        <v>18789.683619558535</v>
      </c>
      <c r="Y107" s="2544"/>
      <c r="Z107" s="365"/>
      <c r="AA107" s="365"/>
      <c r="AB107" s="365"/>
      <c r="AC107" s="365"/>
      <c r="AD107" s="365"/>
      <c r="AE107" s="365"/>
      <c r="AF107" s="365"/>
      <c r="AG107" s="365"/>
      <c r="AH107" s="365"/>
      <c r="AI107" s="365"/>
      <c r="AJ107" s="365"/>
      <c r="AK107" s="365"/>
      <c r="AL107" s="365"/>
      <c r="AM107" s="365"/>
      <c r="AN107" s="365"/>
      <c r="AO107" s="365"/>
      <c r="AP107" s="365"/>
      <c r="AQ107" s="365"/>
      <c r="AR107" s="365"/>
      <c r="AS107" s="365"/>
      <c r="AT107" s="365"/>
      <c r="AU107" s="365"/>
      <c r="AV107" s="365"/>
      <c r="AW107" s="365"/>
      <c r="AX107" s="365"/>
      <c r="AY107" s="365"/>
      <c r="AZ107" s="365"/>
      <c r="BA107" s="365"/>
      <c r="BB107" s="365"/>
      <c r="BC107" s="365"/>
      <c r="BD107" s="365"/>
      <c r="BE107" s="365"/>
      <c r="BF107" s="365"/>
      <c r="BG107" s="365"/>
      <c r="BH107" s="365"/>
      <c r="BI107" s="365"/>
      <c r="BJ107" s="365"/>
      <c r="BK107" s="365"/>
      <c r="BL107" s="365"/>
      <c r="BM107" s="365"/>
      <c r="BN107" s="407"/>
      <c r="BO107" s="365"/>
      <c r="BP107" s="365"/>
      <c r="BQ107" s="365"/>
      <c r="BR107" s="365"/>
      <c r="BS107" s="365"/>
      <c r="BT107" s="365"/>
      <c r="BU107" s="365"/>
      <c r="BV107" s="399"/>
      <c r="BW107" s="365"/>
      <c r="BX107" s="399"/>
      <c r="BY107" s="365"/>
      <c r="BZ107" s="399"/>
      <c r="CA107" s="365"/>
      <c r="CB107" s="365"/>
      <c r="CC107" s="365"/>
      <c r="CD107" s="399"/>
      <c r="CE107" s="399"/>
      <c r="CF107" s="2634"/>
      <c r="CG107" s="399"/>
      <c r="CH107" s="2634"/>
      <c r="CI107" s="2634"/>
      <c r="CJ107" s="2634"/>
      <c r="CK107" s="2634"/>
      <c r="CL107" s="368"/>
    </row>
    <row r="108" spans="1:90">
      <c r="A108" s="365" t="s">
        <v>1041</v>
      </c>
      <c r="B108" s="365"/>
      <c r="C108" s="365"/>
      <c r="D108" s="365"/>
      <c r="E108" s="485">
        <f>IS!E84</f>
        <v>-898.85799999999995</v>
      </c>
      <c r="F108" s="485">
        <f>IS!F84</f>
        <v>-921.94000000000017</v>
      </c>
      <c r="G108" s="485">
        <f>IS!G84</f>
        <v>-567.41696357147759</v>
      </c>
      <c r="H108" s="485">
        <f>IS!H84</f>
        <v>-724.90399999999909</v>
      </c>
      <c r="I108" s="485">
        <f>IS!I84</f>
        <v>1734.7420000000022</v>
      </c>
      <c r="J108" s="485">
        <f>IS!J84</f>
        <v>1804.4909999999963</v>
      </c>
      <c r="K108" s="408">
        <f>IS!K84</f>
        <v>1852</v>
      </c>
      <c r="L108" s="485">
        <f ca="1">IS!L84</f>
        <v>1739.5499999999993</v>
      </c>
      <c r="M108" s="485">
        <f>IS!M84</f>
        <v>2067.5</v>
      </c>
      <c r="N108" s="485">
        <f>IS!N84</f>
        <v>1663</v>
      </c>
      <c r="O108" s="485">
        <f>IS!O84</f>
        <v>1000</v>
      </c>
      <c r="P108" s="485">
        <f>IS!P84</f>
        <v>1034</v>
      </c>
      <c r="Q108" s="485">
        <f>IS!Q84</f>
        <v>626</v>
      </c>
      <c r="R108" s="485">
        <f>IS!R84</f>
        <v>1504</v>
      </c>
      <c r="S108" s="485">
        <f>IS!S84</f>
        <v>603.26385262249107</v>
      </c>
      <c r="T108" s="408">
        <f>IS!T84</f>
        <v>1077.1363402526958</v>
      </c>
      <c r="U108" s="408">
        <f>IS!U84</f>
        <v>1419.4056536311577</v>
      </c>
      <c r="V108" s="408">
        <f>IS!V84</f>
        <v>1586.1145386905418</v>
      </c>
      <c r="W108" s="408">
        <f>IS!W84</f>
        <v>1774.3465787232058</v>
      </c>
      <c r="X108" s="408">
        <f>IS!X84</f>
        <v>1967.6719560726992</v>
      </c>
      <c r="Y108" s="2544"/>
      <c r="Z108" s="365"/>
      <c r="AA108" s="365"/>
      <c r="AB108" s="365"/>
      <c r="AC108" s="365"/>
      <c r="AD108" s="365"/>
      <c r="AE108" s="365"/>
      <c r="AF108" s="365"/>
      <c r="AG108" s="365"/>
      <c r="AH108" s="365"/>
      <c r="AI108" s="365"/>
      <c r="AJ108" s="365"/>
      <c r="AK108" s="365"/>
      <c r="AL108" s="365"/>
      <c r="AM108" s="365"/>
      <c r="AN108" s="365"/>
      <c r="AO108" s="365"/>
      <c r="AP108" s="365"/>
      <c r="AQ108" s="365"/>
      <c r="AR108" s="365"/>
      <c r="AS108" s="365"/>
      <c r="AT108" s="365"/>
      <c r="AU108" s="365"/>
      <c r="AV108" s="365"/>
      <c r="AW108" s="365"/>
      <c r="AX108" s="365"/>
      <c r="AY108" s="365"/>
      <c r="AZ108" s="365"/>
      <c r="BA108" s="365"/>
      <c r="BB108" s="365"/>
      <c r="BC108" s="365"/>
      <c r="BD108" s="365"/>
      <c r="BE108" s="365"/>
      <c r="BF108" s="365"/>
      <c r="BG108" s="365"/>
      <c r="BH108" s="365"/>
      <c r="BI108" s="365"/>
      <c r="BJ108" s="365"/>
      <c r="BK108" s="365"/>
      <c r="BL108" s="365"/>
      <c r="BM108" s="365"/>
      <c r="BN108" s="407"/>
      <c r="BO108" s="365"/>
      <c r="BP108" s="365"/>
      <c r="BQ108" s="365"/>
      <c r="BR108" s="365"/>
      <c r="BS108" s="365"/>
      <c r="BT108" s="365"/>
      <c r="BU108" s="365"/>
      <c r="BV108" s="399"/>
      <c r="BW108" s="365"/>
      <c r="BX108" s="399"/>
      <c r="BY108" s="365"/>
      <c r="BZ108" s="399"/>
      <c r="CA108" s="365"/>
      <c r="CB108" s="365"/>
      <c r="CC108" s="365"/>
      <c r="CD108" s="399"/>
      <c r="CE108" s="399"/>
      <c r="CF108" s="2634"/>
      <c r="CG108" s="399"/>
      <c r="CH108" s="2634"/>
      <c r="CI108" s="2634"/>
      <c r="CJ108" s="2634"/>
      <c r="CK108" s="2634"/>
      <c r="CL108" s="368"/>
    </row>
    <row r="109" spans="1:90">
      <c r="A109" s="365" t="s">
        <v>629</v>
      </c>
      <c r="B109" s="365"/>
      <c r="C109" s="365"/>
      <c r="D109" s="365"/>
      <c r="E109" s="476">
        <f t="shared" ref="E109:Q109" si="179">E46-D46</f>
        <v>-8.3339999999999996</v>
      </c>
      <c r="F109" s="476">
        <f t="shared" si="179"/>
        <v>-472.28500000000003</v>
      </c>
      <c r="G109" s="476">
        <f t="shared" si="179"/>
        <v>12.677000000000021</v>
      </c>
      <c r="H109" s="476">
        <f t="shared" si="179"/>
        <v>295.23500000000001</v>
      </c>
      <c r="I109" s="476">
        <f t="shared" si="179"/>
        <v>-1211.7820000000002</v>
      </c>
      <c r="J109" s="476">
        <f t="shared" si="179"/>
        <v>810.18299999999999</v>
      </c>
      <c r="K109" s="413">
        <f t="shared" si="179"/>
        <v>433.30600000000004</v>
      </c>
      <c r="L109" s="476">
        <f t="shared" si="179"/>
        <v>-871</v>
      </c>
      <c r="M109" s="476">
        <f t="shared" si="179"/>
        <v>-689</v>
      </c>
      <c r="N109" s="476">
        <f t="shared" si="179"/>
        <v>899</v>
      </c>
      <c r="O109" s="476">
        <f t="shared" si="179"/>
        <v>-1215</v>
      </c>
      <c r="P109" s="476">
        <f t="shared" si="179"/>
        <v>83</v>
      </c>
      <c r="Q109" s="476">
        <f t="shared" si="179"/>
        <v>-183</v>
      </c>
      <c r="R109" s="476">
        <f t="shared" ref="R109:X109" si="180">R46-Q46</f>
        <v>122</v>
      </c>
      <c r="S109" s="476">
        <f t="shared" si="180"/>
        <v>0</v>
      </c>
      <c r="T109" s="413">
        <f t="shared" si="180"/>
        <v>0</v>
      </c>
      <c r="U109" s="413">
        <f t="shared" si="180"/>
        <v>0</v>
      </c>
      <c r="V109" s="413">
        <f t="shared" si="180"/>
        <v>0</v>
      </c>
      <c r="W109" s="413">
        <f t="shared" si="180"/>
        <v>0</v>
      </c>
      <c r="X109" s="413">
        <f t="shared" si="180"/>
        <v>0</v>
      </c>
      <c r="Y109" s="2544"/>
      <c r="Z109" s="365"/>
      <c r="AA109" s="365"/>
      <c r="AB109" s="365"/>
      <c r="AC109" s="365"/>
      <c r="AD109" s="365"/>
      <c r="AE109" s="365"/>
      <c r="AF109" s="365"/>
      <c r="AG109" s="365"/>
      <c r="AH109" s="365"/>
      <c r="AI109" s="365"/>
      <c r="AJ109" s="365"/>
      <c r="AK109" s="365"/>
      <c r="AL109" s="365"/>
      <c r="AM109" s="365"/>
      <c r="AN109" s="365"/>
      <c r="AO109" s="365"/>
      <c r="AP109" s="365"/>
      <c r="AQ109" s="365"/>
      <c r="AR109" s="365"/>
      <c r="AS109" s="365"/>
      <c r="AT109" s="365"/>
      <c r="AU109" s="365"/>
      <c r="AV109" s="365"/>
      <c r="AW109" s="365"/>
      <c r="AX109" s="365"/>
      <c r="AY109" s="365"/>
      <c r="AZ109" s="365"/>
      <c r="BA109" s="365"/>
      <c r="BB109" s="365"/>
      <c r="BC109" s="365"/>
      <c r="BD109" s="365"/>
      <c r="BE109" s="365"/>
      <c r="BF109" s="365"/>
      <c r="BG109" s="365"/>
      <c r="BH109" s="365"/>
      <c r="BI109" s="365"/>
      <c r="BJ109" s="365"/>
      <c r="BK109" s="365"/>
      <c r="BL109" s="365"/>
      <c r="BM109" s="365"/>
      <c r="BN109" s="407"/>
      <c r="BO109" s="365"/>
      <c r="BP109" s="365"/>
      <c r="BQ109" s="365"/>
      <c r="BR109" s="365"/>
      <c r="BS109" s="365"/>
      <c r="BT109" s="365"/>
      <c r="BU109" s="365"/>
      <c r="BV109" s="399"/>
      <c r="BW109" s="365"/>
      <c r="BX109" s="399"/>
      <c r="BY109" s="365"/>
      <c r="BZ109" s="399"/>
      <c r="CA109" s="365"/>
      <c r="CB109" s="365"/>
      <c r="CC109" s="365"/>
      <c r="CD109" s="399"/>
      <c r="CE109" s="399"/>
      <c r="CF109" s="2634"/>
      <c r="CG109" s="399"/>
      <c r="CH109" s="2634"/>
      <c r="CI109" s="2634"/>
      <c r="CJ109" s="2634"/>
      <c r="CK109" s="2634"/>
      <c r="CL109" s="368"/>
    </row>
    <row r="110" spans="1:90">
      <c r="A110" s="365" t="s">
        <v>630</v>
      </c>
      <c r="B110" s="365"/>
      <c r="C110" s="365"/>
      <c r="D110" s="365"/>
      <c r="E110" s="485">
        <f>IS!E117</f>
        <v>31.559449999999998</v>
      </c>
      <c r="F110" s="485">
        <f>IS!F117</f>
        <v>31.401719999999997</v>
      </c>
      <c r="G110" s="485">
        <f>IS!G117</f>
        <v>179.1678125</v>
      </c>
      <c r="H110" s="485">
        <f>IS!H117</f>
        <v>408.30859999999996</v>
      </c>
      <c r="I110" s="485">
        <f>IS!I117</f>
        <v>1403.7083799999998</v>
      </c>
      <c r="J110" s="485">
        <f>IS!J117</f>
        <v>1628.4970878399999</v>
      </c>
      <c r="K110" s="408">
        <f>IS!K117</f>
        <v>1744.4411504799998</v>
      </c>
      <c r="L110" s="485">
        <f>IS!L117</f>
        <v>1783.9342750000001</v>
      </c>
      <c r="M110" s="485">
        <f>IS!M117</f>
        <v>1798.283475</v>
      </c>
      <c r="N110" s="485">
        <f>IS!N117</f>
        <v>1297.9283400000002</v>
      </c>
      <c r="O110" s="485">
        <f>IS!O117</f>
        <v>1228.8736799999999</v>
      </c>
      <c r="P110" s="485">
        <f>IS!P117</f>
        <v>1197.2399400000002</v>
      </c>
      <c r="Q110" s="485">
        <f>IS!Q117</f>
        <v>1165.8438000000001</v>
      </c>
      <c r="R110" s="485">
        <f>IS!R117</f>
        <v>1356.0642</v>
      </c>
      <c r="S110" s="485">
        <f>IS!S117</f>
        <v>2322.9012374400004</v>
      </c>
      <c r="T110" s="408">
        <f>IS!T117</f>
        <v>2369.1869517257146</v>
      </c>
      <c r="U110" s="408">
        <f>IS!U117</f>
        <v>2390.4114415216332</v>
      </c>
      <c r="V110" s="408">
        <f>IS!V117</f>
        <v>2410.6252413272696</v>
      </c>
      <c r="W110" s="408">
        <f>IS!W117</f>
        <v>2429.8764792373995</v>
      </c>
      <c r="X110" s="408">
        <f>IS!X117</f>
        <v>2448.2109915327619</v>
      </c>
      <c r="Y110" s="2544"/>
      <c r="Z110" s="365"/>
      <c r="AA110" s="365"/>
      <c r="AB110" s="365"/>
      <c r="AC110" s="365"/>
      <c r="AD110" s="365"/>
      <c r="AE110" s="365"/>
      <c r="AF110" s="365"/>
      <c r="AG110" s="365"/>
      <c r="AH110" s="365"/>
      <c r="AI110" s="365"/>
      <c r="AJ110" s="365"/>
      <c r="AK110" s="365"/>
      <c r="AL110" s="365"/>
      <c r="AM110" s="365"/>
      <c r="AN110" s="365"/>
      <c r="AO110" s="365"/>
      <c r="AP110" s="365"/>
      <c r="AQ110" s="365"/>
      <c r="AR110" s="365"/>
      <c r="AS110" s="365"/>
      <c r="AT110" s="365"/>
      <c r="AU110" s="365"/>
      <c r="AV110" s="365"/>
      <c r="AW110" s="365"/>
      <c r="AX110" s="365"/>
      <c r="AY110" s="365"/>
      <c r="AZ110" s="365"/>
      <c r="BA110" s="365"/>
      <c r="BB110" s="365"/>
      <c r="BC110" s="365"/>
      <c r="BD110" s="365"/>
      <c r="BE110" s="365"/>
      <c r="BF110" s="365"/>
      <c r="BG110" s="365"/>
      <c r="BH110" s="365"/>
      <c r="BI110" s="365"/>
      <c r="BJ110" s="365"/>
      <c r="BK110" s="365"/>
      <c r="BL110" s="365"/>
      <c r="BM110" s="365"/>
      <c r="BN110" s="407"/>
      <c r="BO110" s="365"/>
      <c r="BP110" s="365"/>
      <c r="BQ110" s="365"/>
      <c r="BR110" s="365"/>
      <c r="BS110" s="365"/>
      <c r="BT110" s="365"/>
      <c r="BU110" s="365"/>
      <c r="BV110" s="399"/>
      <c r="BW110" s="365"/>
      <c r="BX110" s="399"/>
      <c r="BY110" s="365"/>
      <c r="BZ110" s="399"/>
      <c r="CA110" s="365"/>
      <c r="CB110" s="365"/>
      <c r="CC110" s="365"/>
      <c r="CD110" s="399"/>
      <c r="CE110" s="399"/>
      <c r="CF110" s="2634"/>
      <c r="CG110" s="399"/>
      <c r="CH110" s="2634"/>
      <c r="CI110" s="2634"/>
      <c r="CJ110" s="2634"/>
      <c r="CK110" s="2634"/>
      <c r="CL110" s="368"/>
    </row>
    <row r="111" spans="1:90">
      <c r="A111" s="365" t="s">
        <v>631</v>
      </c>
      <c r="B111" s="365"/>
      <c r="C111" s="365"/>
      <c r="D111" s="365"/>
      <c r="E111" s="476">
        <f t="shared" ref="E111:Q111" si="181">E43-D43</f>
        <v>-11.990000000000009</v>
      </c>
      <c r="F111" s="476">
        <f t="shared" si="181"/>
        <v>-0.29999999999998295</v>
      </c>
      <c r="G111" s="476">
        <f t="shared" si="181"/>
        <v>-17.820000000000007</v>
      </c>
      <c r="H111" s="476">
        <f t="shared" si="181"/>
        <v>-3.7620000000000005</v>
      </c>
      <c r="I111" s="476">
        <f t="shared" si="181"/>
        <v>201.78499999999997</v>
      </c>
      <c r="J111" s="476">
        <f t="shared" si="181"/>
        <v>3.9120000000000346</v>
      </c>
      <c r="K111" s="413">
        <f t="shared" si="181"/>
        <v>282.81099999999998</v>
      </c>
      <c r="L111" s="476">
        <f t="shared" si="181"/>
        <v>20</v>
      </c>
      <c r="M111" s="476">
        <f t="shared" si="181"/>
        <v>7</v>
      </c>
      <c r="N111" s="476">
        <f t="shared" si="181"/>
        <v>-42</v>
      </c>
      <c r="O111" s="476">
        <f t="shared" si="181"/>
        <v>-15</v>
      </c>
      <c r="P111" s="476">
        <f t="shared" si="181"/>
        <v>-25</v>
      </c>
      <c r="Q111" s="476">
        <f t="shared" si="181"/>
        <v>3</v>
      </c>
      <c r="R111" s="476">
        <f>R43-Q43</f>
        <v>522</v>
      </c>
      <c r="S111" s="476">
        <f>S43-R43</f>
        <v>0</v>
      </c>
      <c r="T111" s="413">
        <f t="shared" ref="T111:V112" si="182">T43-S43</f>
        <v>0</v>
      </c>
      <c r="U111" s="413">
        <f t="shared" si="182"/>
        <v>0</v>
      </c>
      <c r="V111" s="413">
        <f t="shared" si="182"/>
        <v>0</v>
      </c>
      <c r="W111" s="413">
        <f>W43-V43</f>
        <v>0</v>
      </c>
      <c r="X111" s="413">
        <f>X43-W43</f>
        <v>0</v>
      </c>
      <c r="Y111" s="2544"/>
      <c r="Z111" s="365"/>
      <c r="AA111" s="365"/>
      <c r="AB111" s="365"/>
      <c r="AC111" s="365"/>
      <c r="AD111" s="365"/>
      <c r="AE111" s="365"/>
      <c r="AF111" s="365"/>
      <c r="AG111" s="365"/>
      <c r="AH111" s="365"/>
      <c r="AI111" s="365"/>
      <c r="AJ111" s="365"/>
      <c r="AK111" s="365"/>
      <c r="AL111" s="365"/>
      <c r="AM111" s="365"/>
      <c r="AN111" s="365"/>
      <c r="AO111" s="365"/>
      <c r="AP111" s="365"/>
      <c r="AQ111" s="365"/>
      <c r="AR111" s="365"/>
      <c r="AS111" s="365"/>
      <c r="AT111" s="365"/>
      <c r="AU111" s="365"/>
      <c r="AV111" s="365"/>
      <c r="AW111" s="365"/>
      <c r="AX111" s="365"/>
      <c r="AY111" s="365"/>
      <c r="AZ111" s="365"/>
      <c r="BA111" s="365"/>
      <c r="BB111" s="365"/>
      <c r="BC111" s="365"/>
      <c r="BD111" s="365"/>
      <c r="BE111" s="365"/>
      <c r="BF111" s="365"/>
      <c r="BG111" s="365"/>
      <c r="BH111" s="365"/>
      <c r="BI111" s="365"/>
      <c r="BJ111" s="365"/>
      <c r="BK111" s="365"/>
      <c r="BL111" s="365"/>
      <c r="BM111" s="365"/>
      <c r="BN111" s="407"/>
      <c r="BO111" s="365"/>
      <c r="BP111" s="365"/>
      <c r="BQ111" s="365"/>
      <c r="BR111" s="365"/>
      <c r="BS111" s="365"/>
      <c r="BT111" s="365"/>
      <c r="BU111" s="365"/>
      <c r="BV111" s="399"/>
      <c r="BW111" s="365"/>
      <c r="BX111" s="399"/>
      <c r="BY111" s="365"/>
      <c r="BZ111" s="399"/>
      <c r="CA111" s="365"/>
      <c r="CB111" s="365"/>
      <c r="CC111" s="365"/>
      <c r="CD111" s="399"/>
      <c r="CE111" s="399"/>
      <c r="CF111" s="2634"/>
      <c r="CG111" s="399"/>
      <c r="CH111" s="2634"/>
      <c r="CI111" s="2634"/>
      <c r="CJ111" s="2634"/>
      <c r="CK111" s="2634"/>
      <c r="CL111" s="368"/>
    </row>
    <row r="112" spans="1:90">
      <c r="A112" s="365" t="s">
        <v>632</v>
      </c>
      <c r="B112" s="365"/>
      <c r="C112" s="365"/>
      <c r="D112" s="365"/>
      <c r="E112" s="476">
        <f t="shared" ref="E112:Q112" si="183">E44-D44</f>
        <v>-353.81</v>
      </c>
      <c r="F112" s="476">
        <f t="shared" si="183"/>
        <v>-693.524</v>
      </c>
      <c r="G112" s="476">
        <f t="shared" si="183"/>
        <v>81.050000000000011</v>
      </c>
      <c r="H112" s="476">
        <f t="shared" si="183"/>
        <v>249.41199999999998</v>
      </c>
      <c r="I112" s="476">
        <f t="shared" si="183"/>
        <v>47139.078999999998</v>
      </c>
      <c r="J112" s="476">
        <f t="shared" si="183"/>
        <v>1276.8539999999994</v>
      </c>
      <c r="K112" s="413">
        <f t="shared" si="183"/>
        <v>-30120.050999999999</v>
      </c>
      <c r="L112" s="476">
        <f t="shared" si="183"/>
        <v>738</v>
      </c>
      <c r="M112" s="476">
        <f t="shared" si="183"/>
        <v>178</v>
      </c>
      <c r="N112" s="476">
        <f t="shared" si="183"/>
        <v>-1736</v>
      </c>
      <c r="O112" s="476">
        <f t="shared" si="183"/>
        <v>-1019</v>
      </c>
      <c r="P112" s="476">
        <f t="shared" si="183"/>
        <v>-1146</v>
      </c>
      <c r="Q112" s="476">
        <f t="shared" si="183"/>
        <v>-208</v>
      </c>
      <c r="R112" s="476">
        <f>R44-Q44</f>
        <v>8344</v>
      </c>
      <c r="S112" s="476">
        <f>S44-R44</f>
        <v>200</v>
      </c>
      <c r="T112" s="413">
        <f t="shared" ca="1" si="182"/>
        <v>141.48760102652523</v>
      </c>
      <c r="U112" s="413">
        <f t="shared" ca="1" si="182"/>
        <v>140.49633246013764</v>
      </c>
      <c r="V112" s="413">
        <f t="shared" ca="1" si="182"/>
        <v>139.87006382386244</v>
      </c>
      <c r="W112" s="413">
        <f ca="1">W44-V44</f>
        <v>139.56400957993537</v>
      </c>
      <c r="X112" s="413">
        <f ca="1">X44-W44</f>
        <v>139.47332853104308</v>
      </c>
      <c r="Y112" s="2544"/>
      <c r="Z112" s="365"/>
      <c r="AA112" s="365"/>
      <c r="AB112" s="365"/>
      <c r="AC112" s="365"/>
      <c r="AD112" s="365"/>
      <c r="AE112" s="365"/>
      <c r="AF112" s="365"/>
      <c r="AG112" s="365"/>
      <c r="AH112" s="365"/>
      <c r="AI112" s="365"/>
      <c r="AJ112" s="365"/>
      <c r="AK112" s="365"/>
      <c r="AL112" s="365"/>
      <c r="AM112" s="365"/>
      <c r="AN112" s="365"/>
      <c r="AO112" s="365"/>
      <c r="AP112" s="365"/>
      <c r="AQ112" s="365"/>
      <c r="AR112" s="365"/>
      <c r="AS112" s="365"/>
      <c r="AT112" s="365"/>
      <c r="AU112" s="365"/>
      <c r="AV112" s="365"/>
      <c r="AW112" s="365"/>
      <c r="AX112" s="365"/>
      <c r="AY112" s="365"/>
      <c r="AZ112" s="365"/>
      <c r="BA112" s="365"/>
      <c r="BB112" s="365"/>
      <c r="BC112" s="365"/>
      <c r="BD112" s="365"/>
      <c r="BE112" s="365"/>
      <c r="BF112" s="365"/>
      <c r="BG112" s="365"/>
      <c r="BH112" s="365"/>
      <c r="BI112" s="365"/>
      <c r="BJ112" s="365"/>
      <c r="BK112" s="365"/>
      <c r="BL112" s="365"/>
      <c r="BM112" s="365"/>
      <c r="BN112" s="407"/>
      <c r="BO112" s="365"/>
      <c r="BP112" s="365"/>
      <c r="BQ112" s="365"/>
      <c r="BR112" s="365"/>
      <c r="BS112" s="365"/>
      <c r="BT112" s="365"/>
      <c r="BU112" s="365"/>
      <c r="BV112" s="399"/>
      <c r="BW112" s="365"/>
      <c r="BX112" s="399"/>
      <c r="BY112" s="365"/>
      <c r="BZ112" s="399"/>
      <c r="CA112" s="365"/>
      <c r="CB112" s="365"/>
      <c r="CC112" s="365"/>
      <c r="CD112" s="399"/>
      <c r="CE112" s="399"/>
      <c r="CF112" s="2634"/>
      <c r="CG112" s="399"/>
      <c r="CH112" s="2634"/>
      <c r="CI112" s="2634"/>
      <c r="CJ112" s="2634"/>
      <c r="CK112" s="2634"/>
      <c r="CL112" s="368"/>
    </row>
    <row r="113" spans="1:90">
      <c r="A113" s="365" t="s">
        <v>633</v>
      </c>
      <c r="B113" s="365"/>
      <c r="C113" s="365"/>
      <c r="D113" s="365"/>
      <c r="E113" s="476">
        <f t="shared" ref="E113:Q113" si="184">E47-D47-E108-E110</f>
        <v>1172.6815500000002</v>
      </c>
      <c r="F113" s="476">
        <f t="shared" si="184"/>
        <v>1193.1552799999997</v>
      </c>
      <c r="G113" s="476">
        <f t="shared" si="184"/>
        <v>489.02015107147781</v>
      </c>
      <c r="H113" s="476">
        <f t="shared" si="184"/>
        <v>725.96439999999927</v>
      </c>
      <c r="I113" s="476">
        <f t="shared" si="184"/>
        <v>-46831.497380000008</v>
      </c>
      <c r="J113" s="476">
        <f t="shared" si="184"/>
        <v>-3651.0741756799944</v>
      </c>
      <c r="K113" s="413">
        <f t="shared" si="184"/>
        <v>39748.38993736</v>
      </c>
      <c r="L113" s="476">
        <f t="shared" ca="1" si="184"/>
        <v>-4506.4842749999989</v>
      </c>
      <c r="M113" s="476">
        <f t="shared" si="184"/>
        <v>-4899.7834750000002</v>
      </c>
      <c r="N113" s="476">
        <f t="shared" si="184"/>
        <v>-4179.9283400000004</v>
      </c>
      <c r="O113" s="476">
        <f t="shared" si="184"/>
        <v>-2147.8736799999997</v>
      </c>
      <c r="P113" s="476">
        <f t="shared" si="184"/>
        <v>-2106.2399400000004</v>
      </c>
      <c r="Q113" s="476">
        <f t="shared" si="184"/>
        <v>-2064.8438000000001</v>
      </c>
      <c r="R113" s="476">
        <f t="shared" ref="R113:X113" si="185">R47-Q47-R108-R110</f>
        <v>-1756.0642</v>
      </c>
      <c r="S113" s="476">
        <f t="shared" si="185"/>
        <v>-4645.8024748799999</v>
      </c>
      <c r="T113" s="413">
        <f t="shared" si="185"/>
        <v>-4738.3739034514292</v>
      </c>
      <c r="U113" s="413">
        <f t="shared" si="185"/>
        <v>-4780.8228830432663</v>
      </c>
      <c r="V113" s="413">
        <f t="shared" si="185"/>
        <v>-4821.2504826545392</v>
      </c>
      <c r="W113" s="413">
        <f t="shared" si="185"/>
        <v>-4859.752958474799</v>
      </c>
      <c r="X113" s="413">
        <f t="shared" si="185"/>
        <v>-4896.4219830655238</v>
      </c>
      <c r="Y113" s="2544"/>
      <c r="Z113" s="365"/>
      <c r="AA113" s="365"/>
      <c r="AB113" s="365"/>
      <c r="AC113" s="365"/>
      <c r="AD113" s="365"/>
      <c r="AE113" s="365"/>
      <c r="AF113" s="365"/>
      <c r="AG113" s="365"/>
      <c r="AH113" s="365"/>
      <c r="AI113" s="365"/>
      <c r="AJ113" s="365"/>
      <c r="AK113" s="365"/>
      <c r="AL113" s="365"/>
      <c r="AM113" s="365"/>
      <c r="AN113" s="365"/>
      <c r="AO113" s="365"/>
      <c r="AP113" s="365"/>
      <c r="AQ113" s="365"/>
      <c r="AR113" s="365"/>
      <c r="AS113" s="365"/>
      <c r="AT113" s="365"/>
      <c r="AU113" s="365"/>
      <c r="AV113" s="365"/>
      <c r="AW113" s="365"/>
      <c r="AX113" s="365"/>
      <c r="AY113" s="365"/>
      <c r="AZ113" s="365"/>
      <c r="BA113" s="365"/>
      <c r="BB113" s="365"/>
      <c r="BC113" s="365"/>
      <c r="BD113" s="365"/>
      <c r="BE113" s="365"/>
      <c r="BF113" s="365"/>
      <c r="BG113" s="365"/>
      <c r="BH113" s="365"/>
      <c r="BI113" s="365"/>
      <c r="BJ113" s="365"/>
      <c r="BK113" s="365"/>
      <c r="BL113" s="365"/>
      <c r="BM113" s="365"/>
      <c r="BN113" s="407"/>
      <c r="BO113" s="365"/>
      <c r="BP113" s="365"/>
      <c r="BQ113" s="365"/>
      <c r="BR113" s="365"/>
      <c r="BS113" s="365"/>
      <c r="BT113" s="365"/>
      <c r="BU113" s="365"/>
      <c r="BV113" s="399"/>
      <c r="BW113" s="365"/>
      <c r="BX113" s="399"/>
      <c r="BY113" s="365"/>
      <c r="BZ113" s="399"/>
      <c r="CA113" s="365"/>
      <c r="CB113" s="365"/>
      <c r="CC113" s="365"/>
      <c r="CD113" s="399"/>
      <c r="CE113" s="399"/>
      <c r="CF113" s="2634"/>
      <c r="CG113" s="399"/>
      <c r="CH113" s="2634"/>
      <c r="CI113" s="2634"/>
      <c r="CJ113" s="2634"/>
      <c r="CK113" s="2634"/>
      <c r="CL113" s="368"/>
    </row>
    <row r="114" spans="1:90">
      <c r="A114" s="364" t="s">
        <v>634</v>
      </c>
      <c r="B114" s="364"/>
      <c r="C114" s="364"/>
      <c r="D114" s="364"/>
      <c r="E114" s="417">
        <f t="shared" ref="E114:O114" si="186">SUM(E107:E113)</f>
        <v>3409.7649999999999</v>
      </c>
      <c r="F114" s="417">
        <f t="shared" si="186"/>
        <v>2546.2729999999992</v>
      </c>
      <c r="G114" s="417">
        <f t="shared" si="186"/>
        <v>2722.951</v>
      </c>
      <c r="H114" s="417">
        <f t="shared" si="186"/>
        <v>3673.2049999999999</v>
      </c>
      <c r="I114" s="417">
        <f t="shared" si="186"/>
        <v>6109.2399999999907</v>
      </c>
      <c r="J114" s="417">
        <f t="shared" si="186"/>
        <v>7962.1029121599986</v>
      </c>
      <c r="K114" s="405">
        <f t="shared" si="186"/>
        <v>21907.095999999998</v>
      </c>
      <c r="L114" s="417">
        <f t="shared" ca="1" si="186"/>
        <v>20833</v>
      </c>
      <c r="M114" s="417">
        <f t="shared" si="186"/>
        <v>19289</v>
      </c>
      <c r="N114" s="417">
        <f t="shared" si="186"/>
        <v>17191</v>
      </c>
      <c r="O114" s="417">
        <f t="shared" si="186"/>
        <v>15023</v>
      </c>
      <c r="P114" s="417">
        <f t="shared" ref="P114:U114" si="187">SUM(P107:P113)</f>
        <v>14060</v>
      </c>
      <c r="Q114" s="417">
        <f t="shared" si="187"/>
        <v>13399</v>
      </c>
      <c r="R114" s="417">
        <f>SUM(R107:R113)</f>
        <v>23491</v>
      </c>
      <c r="S114" s="417">
        <f>SUM(S107:S113)</f>
        <v>21971.362615182494</v>
      </c>
      <c r="T114" s="417">
        <f t="shared" ca="1" si="187"/>
        <v>20820.799604735999</v>
      </c>
      <c r="U114" s="417">
        <f t="shared" ca="1" si="187"/>
        <v>19990.29014930566</v>
      </c>
      <c r="V114" s="417">
        <f ca="1">SUM(V107:V113)</f>
        <v>19305.649510492796</v>
      </c>
      <c r="W114" s="417">
        <f ca="1">SUM(W107:W113)</f>
        <v>18789.683619558535</v>
      </c>
      <c r="X114" s="417">
        <f ca="1">SUM(X107:X113)</f>
        <v>18448.617912629514</v>
      </c>
      <c r="Y114" s="2552"/>
      <c r="Z114" s="364"/>
      <c r="AA114" s="364"/>
      <c r="AB114" s="364"/>
      <c r="AC114" s="364"/>
      <c r="AD114" s="364"/>
      <c r="AE114" s="364"/>
      <c r="AF114" s="364"/>
      <c r="AG114" s="364"/>
      <c r="AH114" s="364"/>
      <c r="AI114" s="364"/>
      <c r="AJ114" s="364"/>
      <c r="AK114" s="364"/>
      <c r="AL114" s="364"/>
      <c r="AM114" s="364"/>
      <c r="AN114" s="364"/>
      <c r="AO114" s="364"/>
      <c r="AP114" s="364"/>
      <c r="AQ114" s="364"/>
      <c r="AR114" s="364"/>
      <c r="AS114" s="364"/>
      <c r="AT114" s="364"/>
      <c r="AU114" s="364"/>
      <c r="AV114" s="364"/>
      <c r="AW114" s="364"/>
      <c r="AX114" s="364"/>
      <c r="AY114" s="364"/>
      <c r="AZ114" s="364"/>
      <c r="BA114" s="364"/>
      <c r="BB114" s="364"/>
      <c r="BC114" s="364"/>
      <c r="BD114" s="364"/>
      <c r="BE114" s="364"/>
      <c r="BF114" s="364"/>
      <c r="BG114" s="364"/>
      <c r="BH114" s="364"/>
      <c r="BI114" s="364"/>
      <c r="BJ114" s="364"/>
      <c r="BK114" s="364"/>
      <c r="BL114" s="364"/>
      <c r="BM114" s="364"/>
      <c r="BN114" s="609"/>
      <c r="BO114" s="364"/>
      <c r="BP114" s="364"/>
      <c r="BQ114" s="364"/>
      <c r="BR114" s="364"/>
      <c r="BS114" s="364"/>
      <c r="BT114" s="364"/>
      <c r="BU114" s="364"/>
      <c r="BV114" s="404"/>
      <c r="BW114" s="364"/>
      <c r="BX114" s="404"/>
      <c r="BY114" s="364"/>
      <c r="BZ114" s="404"/>
      <c r="CA114" s="364"/>
      <c r="CB114" s="364"/>
      <c r="CC114" s="364"/>
      <c r="CD114" s="404"/>
      <c r="CE114" s="404"/>
      <c r="CF114" s="592"/>
      <c r="CG114" s="404"/>
      <c r="CH114" s="592"/>
      <c r="CI114" s="592"/>
      <c r="CJ114" s="592"/>
      <c r="CK114" s="592"/>
      <c r="CL114" s="427"/>
    </row>
    <row r="115" spans="1:90">
      <c r="A115" s="365"/>
      <c r="B115" s="365"/>
      <c r="C115" s="365"/>
      <c r="D115" s="365"/>
      <c r="E115" s="485">
        <f t="shared" ref="E115:P115" si="188">E114-E49</f>
        <v>0</v>
      </c>
      <c r="F115" s="485">
        <f t="shared" si="188"/>
        <v>0</v>
      </c>
      <c r="G115" s="485">
        <f t="shared" si="188"/>
        <v>0</v>
      </c>
      <c r="H115" s="485">
        <f t="shared" si="188"/>
        <v>0</v>
      </c>
      <c r="I115" s="485">
        <f t="shared" si="188"/>
        <v>19.999999999992724</v>
      </c>
      <c r="J115" s="485">
        <f t="shared" si="188"/>
        <v>-4.0960000000013679</v>
      </c>
      <c r="K115" s="408">
        <f t="shared" si="188"/>
        <v>-21.90400000000227</v>
      </c>
      <c r="L115" s="485">
        <f t="shared" ca="1" si="188"/>
        <v>6</v>
      </c>
      <c r="M115" s="485">
        <f t="shared" si="188"/>
        <v>0</v>
      </c>
      <c r="N115" s="485">
        <f t="shared" si="188"/>
        <v>0</v>
      </c>
      <c r="O115" s="485">
        <f t="shared" si="188"/>
        <v>0</v>
      </c>
      <c r="P115" s="485">
        <f t="shared" si="188"/>
        <v>0</v>
      </c>
      <c r="Q115" s="485">
        <f t="shared" ref="Q115:X115" si="189">Q114-Q49</f>
        <v>0</v>
      </c>
      <c r="R115" s="485">
        <f t="shared" si="189"/>
        <v>0</v>
      </c>
      <c r="S115" s="485">
        <f t="shared" si="189"/>
        <v>0</v>
      </c>
      <c r="T115" s="485">
        <f t="shared" ca="1" si="189"/>
        <v>0</v>
      </c>
      <c r="U115" s="485">
        <f t="shared" ca="1" si="189"/>
        <v>0</v>
      </c>
      <c r="V115" s="485">
        <f t="shared" ca="1" si="189"/>
        <v>0</v>
      </c>
      <c r="W115" s="485">
        <f t="shared" ca="1" si="189"/>
        <v>0</v>
      </c>
      <c r="X115" s="485">
        <f t="shared" ca="1" si="189"/>
        <v>0</v>
      </c>
      <c r="Y115" s="2544"/>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5"/>
      <c r="BC115" s="365"/>
      <c r="BD115" s="365"/>
      <c r="BE115" s="365"/>
      <c r="BF115" s="365"/>
      <c r="BG115" s="365"/>
      <c r="BH115" s="365"/>
      <c r="BI115" s="365"/>
      <c r="BJ115" s="365"/>
      <c r="BK115" s="365"/>
      <c r="BL115" s="365"/>
      <c r="BM115" s="365"/>
      <c r="BN115" s="407"/>
      <c r="BO115" s="365"/>
      <c r="BP115" s="365"/>
      <c r="BQ115" s="365"/>
      <c r="BR115" s="365"/>
      <c r="BS115" s="365"/>
      <c r="BT115" s="365"/>
      <c r="BU115" s="365"/>
      <c r="BV115" s="399"/>
      <c r="BW115" s="365"/>
      <c r="BX115" s="399"/>
      <c r="BY115" s="365"/>
      <c r="BZ115" s="399"/>
      <c r="CA115" s="365"/>
      <c r="CB115" s="365"/>
      <c r="CC115" s="365"/>
      <c r="CD115" s="399"/>
      <c r="CE115" s="399"/>
      <c r="CF115" s="2634"/>
      <c r="CG115" s="399"/>
      <c r="CH115" s="2634"/>
      <c r="CI115" s="2634"/>
      <c r="CJ115" s="2634"/>
      <c r="CK115" s="2634"/>
      <c r="CL115" s="368"/>
    </row>
    <row r="116" spans="1:90">
      <c r="A116" s="365"/>
      <c r="B116" s="365"/>
      <c r="C116" s="365"/>
      <c r="D116" s="365"/>
      <c r="E116" s="365"/>
      <c r="F116" s="365"/>
      <c r="G116" s="365"/>
      <c r="H116" s="365"/>
      <c r="I116" s="365"/>
      <c r="J116" s="365"/>
      <c r="K116" s="399"/>
      <c r="L116" s="365"/>
      <c r="M116" s="365"/>
      <c r="N116" s="365"/>
      <c r="O116" s="365"/>
      <c r="P116" s="365"/>
      <c r="Q116" s="365"/>
      <c r="R116" s="365"/>
      <c r="S116" s="843"/>
      <c r="T116" s="365"/>
      <c r="U116" s="365"/>
      <c r="V116" s="365"/>
      <c r="W116" s="843"/>
      <c r="X116" s="843"/>
      <c r="Y116" s="2544"/>
      <c r="Z116" s="365"/>
      <c r="AA116" s="365"/>
      <c r="AB116" s="365"/>
      <c r="AC116" s="365"/>
      <c r="AD116" s="365"/>
      <c r="AE116" s="365"/>
      <c r="AF116" s="365"/>
      <c r="AG116" s="365"/>
      <c r="AH116" s="365"/>
      <c r="AI116" s="365"/>
      <c r="AJ116" s="365"/>
      <c r="AK116" s="365"/>
      <c r="AL116" s="365"/>
      <c r="AM116" s="365"/>
      <c r="AN116" s="365"/>
      <c r="AO116" s="365"/>
      <c r="AP116" s="365"/>
      <c r="AQ116" s="365"/>
      <c r="AR116" s="365"/>
      <c r="AS116" s="365"/>
      <c r="AT116" s="365"/>
      <c r="AU116" s="365"/>
      <c r="AV116" s="365"/>
      <c r="AW116" s="365"/>
      <c r="AX116" s="365"/>
      <c r="AY116" s="365"/>
      <c r="AZ116" s="365"/>
      <c r="BA116" s="365"/>
      <c r="BB116" s="365"/>
      <c r="BC116" s="365"/>
      <c r="BD116" s="365"/>
      <c r="BE116" s="365"/>
      <c r="BF116" s="365"/>
      <c r="BG116" s="365"/>
      <c r="BH116" s="365"/>
      <c r="BI116" s="365"/>
      <c r="BJ116" s="365"/>
      <c r="BK116" s="365"/>
      <c r="BL116" s="365"/>
      <c r="BM116" s="365"/>
      <c r="BN116" s="407"/>
      <c r="BO116" s="365"/>
      <c r="BP116" s="365"/>
      <c r="BQ116" s="365"/>
      <c r="BR116" s="365"/>
      <c r="BS116" s="365"/>
      <c r="BT116" s="365"/>
      <c r="BU116" s="365"/>
      <c r="BV116" s="399"/>
      <c r="BW116" s="365"/>
      <c r="BX116" s="399"/>
      <c r="BY116" s="365"/>
      <c r="BZ116" s="399"/>
      <c r="CA116" s="365"/>
      <c r="CB116" s="365"/>
      <c r="CC116" s="365"/>
      <c r="CD116" s="399"/>
      <c r="CE116" s="399"/>
      <c r="CF116" s="2634"/>
      <c r="CG116" s="399"/>
      <c r="CH116" s="2634"/>
      <c r="CI116" s="2634"/>
      <c r="CJ116" s="2634"/>
      <c r="CK116" s="2634"/>
      <c r="CL116" s="368"/>
    </row>
    <row r="117" spans="1:90">
      <c r="A117" s="365"/>
      <c r="B117" s="365"/>
      <c r="C117" s="365"/>
      <c r="D117" s="365"/>
      <c r="E117" s="365"/>
      <c r="F117" s="365"/>
      <c r="G117" s="365"/>
      <c r="H117" s="365"/>
      <c r="I117" s="365"/>
      <c r="J117" s="365"/>
      <c r="K117" s="399"/>
      <c r="L117" s="365"/>
      <c r="M117" s="365"/>
      <c r="N117" s="365"/>
      <c r="O117" s="365"/>
      <c r="P117" s="365"/>
      <c r="Q117" s="365"/>
      <c r="R117" s="365"/>
      <c r="S117" s="843"/>
      <c r="T117" s="365"/>
      <c r="U117" s="365"/>
      <c r="V117" s="365"/>
      <c r="W117" s="843"/>
      <c r="X117" s="843"/>
      <c r="Y117" s="2544"/>
      <c r="Z117" s="365"/>
      <c r="AA117" s="365"/>
      <c r="AB117" s="365"/>
      <c r="AC117" s="365"/>
      <c r="AD117" s="365"/>
      <c r="AE117" s="365"/>
      <c r="AF117" s="365"/>
      <c r="AG117" s="365"/>
      <c r="AH117" s="365"/>
      <c r="AI117" s="365"/>
      <c r="AJ117" s="365"/>
      <c r="AK117" s="365"/>
      <c r="AL117" s="365"/>
      <c r="AM117" s="365"/>
      <c r="AN117" s="365"/>
      <c r="AO117" s="365"/>
      <c r="AP117" s="365"/>
      <c r="AQ117" s="365"/>
      <c r="AR117" s="365"/>
      <c r="AS117" s="365"/>
      <c r="AT117" s="365"/>
      <c r="AU117" s="365"/>
      <c r="AV117" s="365"/>
      <c r="AW117" s="365"/>
      <c r="AX117" s="365"/>
      <c r="AY117" s="365"/>
      <c r="AZ117" s="365"/>
      <c r="BA117" s="365"/>
      <c r="BB117" s="365"/>
      <c r="BC117" s="365"/>
      <c r="BD117" s="365"/>
      <c r="BE117" s="365"/>
      <c r="BF117" s="365"/>
      <c r="BG117" s="365"/>
      <c r="BH117" s="365"/>
      <c r="BI117" s="365"/>
      <c r="BJ117" s="365"/>
      <c r="BK117" s="365"/>
      <c r="BL117" s="365"/>
      <c r="BM117" s="365"/>
      <c r="BN117" s="407"/>
      <c r="BO117" s="365"/>
      <c r="BP117" s="365"/>
      <c r="BQ117" s="365"/>
      <c r="BR117" s="365"/>
      <c r="BS117" s="365"/>
      <c r="BT117" s="365"/>
      <c r="BU117" s="365"/>
      <c r="BV117" s="399"/>
      <c r="BW117" s="365"/>
      <c r="BX117" s="399"/>
      <c r="BY117" s="365"/>
      <c r="BZ117" s="399"/>
      <c r="CA117" s="365"/>
      <c r="CB117" s="365"/>
      <c r="CC117" s="365"/>
      <c r="CD117" s="399"/>
      <c r="CE117" s="399"/>
      <c r="CF117" s="2634"/>
      <c r="CG117" s="399"/>
      <c r="CH117" s="2634"/>
      <c r="CI117" s="2634"/>
      <c r="CJ117" s="2634"/>
      <c r="CK117" s="2634"/>
      <c r="CL117" s="368"/>
    </row>
    <row r="118" spans="1:90">
      <c r="A118" s="364" t="s">
        <v>572</v>
      </c>
      <c r="B118" s="365"/>
      <c r="C118" s="365"/>
      <c r="D118" s="365"/>
      <c r="E118" s="365"/>
      <c r="F118" s="365"/>
      <c r="G118" s="365"/>
      <c r="H118" s="365"/>
      <c r="I118" s="365"/>
      <c r="J118" s="365"/>
      <c r="K118" s="399"/>
      <c r="L118" s="365"/>
      <c r="M118" s="365"/>
      <c r="N118" s="365"/>
      <c r="O118" s="365"/>
      <c r="P118" s="365"/>
      <c r="Q118" s="365"/>
      <c r="R118" s="365"/>
      <c r="S118" s="843"/>
      <c r="T118" s="365"/>
      <c r="U118" s="365"/>
      <c r="V118" s="365"/>
      <c r="W118" s="843"/>
      <c r="X118" s="843"/>
      <c r="Y118" s="2544"/>
      <c r="Z118" s="365"/>
      <c r="AA118" s="365"/>
      <c r="AB118" s="365"/>
      <c r="AC118" s="365"/>
      <c r="AD118" s="365"/>
      <c r="AE118" s="365"/>
      <c r="AF118" s="365"/>
      <c r="AG118" s="365"/>
      <c r="AH118" s="365"/>
      <c r="AI118" s="365"/>
      <c r="AJ118" s="365"/>
      <c r="AK118" s="365"/>
      <c r="AL118" s="365"/>
      <c r="AM118" s="365"/>
      <c r="AN118" s="365"/>
      <c r="AO118" s="365"/>
      <c r="AP118" s="365"/>
      <c r="AQ118" s="365"/>
      <c r="AR118" s="365"/>
      <c r="AS118" s="365"/>
      <c r="AT118" s="365"/>
      <c r="AU118" s="365"/>
      <c r="AV118" s="365"/>
      <c r="AW118" s="476"/>
      <c r="AX118" s="476"/>
      <c r="AY118" s="476"/>
      <c r="AZ118" s="476"/>
      <c r="BA118" s="476"/>
      <c r="BB118" s="476"/>
      <c r="BC118" s="476"/>
      <c r="BD118" s="476"/>
      <c r="BE118" s="476"/>
      <c r="BF118" s="365"/>
      <c r="BG118" s="365"/>
      <c r="BH118" s="365"/>
      <c r="BI118" s="365"/>
      <c r="BJ118" s="365"/>
      <c r="BK118" s="365"/>
      <c r="BL118" s="365"/>
      <c r="BM118" s="365"/>
      <c r="BN118" s="407"/>
      <c r="BO118" s="365"/>
      <c r="BP118" s="365"/>
      <c r="BQ118" s="365"/>
      <c r="BR118" s="365"/>
      <c r="BS118" s="365"/>
      <c r="BT118" s="365"/>
      <c r="BU118" s="365"/>
      <c r="BV118" s="399"/>
      <c r="BW118" s="365"/>
      <c r="BX118" s="399"/>
      <c r="BY118" s="365"/>
      <c r="BZ118" s="399"/>
      <c r="CA118" s="365"/>
      <c r="CB118" s="365"/>
      <c r="CC118" s="365"/>
      <c r="CD118" s="399"/>
      <c r="CE118" s="399"/>
      <c r="CF118" s="2634"/>
      <c r="CG118" s="399"/>
      <c r="CH118" s="2634"/>
      <c r="CI118" s="2634"/>
      <c r="CJ118" s="2634"/>
      <c r="CK118" s="2634"/>
      <c r="CL118" s="368"/>
    </row>
    <row r="119" spans="1:90">
      <c r="A119" s="1991" t="s">
        <v>635</v>
      </c>
      <c r="B119" s="1991"/>
      <c r="C119" s="1991"/>
      <c r="D119" s="1991"/>
      <c r="E119" s="1991"/>
      <c r="F119" s="1991"/>
      <c r="G119" s="1991"/>
      <c r="H119" s="1991"/>
      <c r="I119" s="1991"/>
      <c r="J119" s="1991"/>
      <c r="K119" s="1992"/>
      <c r="L119" s="1991"/>
      <c r="M119" s="1991"/>
      <c r="N119" s="1991"/>
      <c r="O119" s="1991"/>
      <c r="P119" s="1991"/>
      <c r="Q119" s="1991"/>
      <c r="R119" s="1991"/>
      <c r="S119" s="1991"/>
      <c r="T119" s="1991"/>
      <c r="U119" s="1991"/>
      <c r="V119" s="1991"/>
      <c r="W119" s="1991"/>
      <c r="X119" s="1991"/>
      <c r="Y119" s="2631"/>
      <c r="Z119" s="1991"/>
      <c r="AA119" s="1991"/>
      <c r="AB119" s="1991"/>
      <c r="AC119" s="1991"/>
      <c r="AD119" s="1991"/>
      <c r="AE119" s="1991"/>
      <c r="AF119" s="1991"/>
      <c r="AG119" s="1991"/>
      <c r="AH119" s="1991"/>
      <c r="AI119" s="1991"/>
      <c r="AJ119" s="1991"/>
      <c r="AK119" s="1991"/>
      <c r="AL119" s="1991"/>
      <c r="AM119" s="1991"/>
      <c r="AN119" s="1991"/>
      <c r="AO119" s="1991"/>
      <c r="AP119" s="1991"/>
      <c r="AQ119" s="1991"/>
      <c r="AR119" s="1991"/>
      <c r="AS119" s="1991"/>
      <c r="AT119" s="1991"/>
      <c r="AU119" s="1991"/>
      <c r="AV119" s="1991"/>
      <c r="AW119" s="1991"/>
      <c r="AX119" s="1993"/>
      <c r="AY119" s="1993"/>
      <c r="AZ119" s="1993"/>
      <c r="BA119" s="1993"/>
      <c r="BB119" s="1993"/>
      <c r="BC119" s="1993"/>
      <c r="BD119" s="1993"/>
      <c r="BE119" s="1993"/>
      <c r="BF119" s="1991"/>
      <c r="BG119" s="1991"/>
      <c r="BH119" s="1991"/>
      <c r="BI119" s="1991"/>
      <c r="BJ119" s="1991"/>
      <c r="BK119" s="1991"/>
      <c r="BL119" s="1991"/>
      <c r="BM119" s="1991"/>
      <c r="BN119" s="2229"/>
      <c r="BO119" s="1991"/>
      <c r="BP119" s="1991"/>
      <c r="BQ119" s="1991"/>
      <c r="BR119" s="1991"/>
      <c r="BS119" s="1991"/>
      <c r="BT119" s="1991"/>
      <c r="BU119" s="1991"/>
      <c r="BV119" s="1992"/>
      <c r="BW119" s="1991"/>
      <c r="BX119" s="1992"/>
      <c r="BY119" s="1991"/>
      <c r="BZ119" s="1992"/>
      <c r="CA119" s="1991"/>
      <c r="CB119" s="1991"/>
      <c r="CC119" s="1991"/>
      <c r="CD119" s="1992"/>
      <c r="CE119" s="1992"/>
      <c r="CF119" s="1992"/>
      <c r="CG119" s="1992"/>
      <c r="CH119" s="1992"/>
      <c r="CI119" s="1992"/>
      <c r="CJ119" s="1992"/>
      <c r="CK119" s="1992"/>
      <c r="CL119" s="1909"/>
    </row>
    <row r="120" spans="1:90">
      <c r="A120" s="365"/>
      <c r="B120" s="365"/>
      <c r="C120" s="365"/>
      <c r="D120" s="365"/>
      <c r="E120" s="365"/>
      <c r="F120" s="365"/>
      <c r="G120" s="365"/>
      <c r="H120" s="365"/>
      <c r="I120" s="365"/>
      <c r="J120" s="365"/>
      <c r="K120" s="399"/>
      <c r="L120" s="365"/>
      <c r="M120" s="365"/>
      <c r="N120" s="365"/>
      <c r="O120" s="365"/>
      <c r="P120" s="365"/>
      <c r="Q120" s="365"/>
      <c r="R120" s="365"/>
      <c r="S120" s="843"/>
      <c r="T120" s="365"/>
      <c r="U120" s="365"/>
      <c r="V120" s="365"/>
      <c r="W120" s="843"/>
      <c r="X120" s="843"/>
      <c r="Y120" s="2544"/>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476"/>
      <c r="AY120" s="476"/>
      <c r="AZ120" s="476"/>
      <c r="BA120" s="476"/>
      <c r="BB120" s="476"/>
      <c r="BC120" s="476"/>
      <c r="BD120" s="476"/>
      <c r="BE120" s="476"/>
      <c r="BF120" s="365"/>
      <c r="BG120" s="365"/>
      <c r="BH120" s="365"/>
      <c r="BI120" s="365"/>
      <c r="BJ120" s="365"/>
      <c r="BK120" s="365"/>
      <c r="BL120" s="365"/>
      <c r="BM120" s="365"/>
      <c r="BN120" s="407"/>
      <c r="BO120" s="365"/>
      <c r="BP120" s="365"/>
      <c r="BQ120" s="365"/>
      <c r="BR120" s="365"/>
      <c r="BS120" s="365"/>
      <c r="BT120" s="365"/>
      <c r="BU120" s="365"/>
      <c r="BV120" s="399"/>
      <c r="BW120" s="365"/>
      <c r="BX120" s="399"/>
      <c r="BY120" s="365"/>
      <c r="BZ120" s="399"/>
      <c r="CA120" s="365"/>
      <c r="CB120" s="365"/>
      <c r="CC120" s="365"/>
      <c r="CD120" s="399"/>
      <c r="CE120" s="399"/>
      <c r="CF120" s="2634"/>
      <c r="CG120" s="399"/>
      <c r="CH120" s="2634"/>
      <c r="CI120" s="2634"/>
      <c r="CJ120" s="2634"/>
      <c r="CK120" s="2634"/>
      <c r="CL120" s="368"/>
    </row>
    <row r="121" spans="1:90">
      <c r="S121"/>
      <c r="W121"/>
      <c r="X121"/>
      <c r="BV121"/>
      <c r="BX121"/>
      <c r="BZ121"/>
      <c r="CD121"/>
      <c r="CE121"/>
      <c r="CF121"/>
      <c r="CG121"/>
      <c r="CH121"/>
      <c r="CI121"/>
      <c r="CJ121"/>
      <c r="CK121"/>
    </row>
    <row r="122" spans="1:90">
      <c r="BN122" s="292"/>
    </row>
    <row r="123" spans="1:90">
      <c r="BN123" s="292"/>
    </row>
    <row r="124" spans="1:90">
      <c r="H124" s="74"/>
      <c r="I124" s="74"/>
      <c r="J124" s="74"/>
      <c r="K124" s="74"/>
      <c r="L124" s="74"/>
      <c r="M124" s="74"/>
      <c r="N124" s="74"/>
      <c r="O124" s="74"/>
      <c r="P124" s="74"/>
      <c r="Q124" s="74"/>
      <c r="R124" s="74"/>
      <c r="S124" s="74"/>
      <c r="T124" s="74"/>
      <c r="U124" s="74"/>
      <c r="V124" s="74"/>
      <c r="W124" s="74"/>
      <c r="X124" s="74"/>
      <c r="BN124" s="292"/>
    </row>
    <row r="125" spans="1:90">
      <c r="H125" s="74"/>
      <c r="I125" s="74"/>
      <c r="J125" s="74"/>
      <c r="K125" s="74"/>
      <c r="L125" s="74"/>
      <c r="M125" s="74"/>
      <c r="N125" s="74"/>
      <c r="O125" s="74"/>
      <c r="P125" s="74"/>
      <c r="Q125" s="74"/>
      <c r="R125" s="74"/>
      <c r="S125" s="74"/>
      <c r="T125" s="74"/>
      <c r="U125" s="74"/>
      <c r="V125" s="74"/>
      <c r="W125" s="74"/>
      <c r="X125" s="74"/>
      <c r="BN125" s="292"/>
    </row>
    <row r="126" spans="1:90">
      <c r="BN126" s="292"/>
    </row>
    <row r="127" spans="1:90">
      <c r="BN127" s="292"/>
    </row>
    <row r="128" spans="1:90">
      <c r="BN128" s="292"/>
    </row>
    <row r="129" spans="66:66">
      <c r="BN129" s="292"/>
    </row>
    <row r="130" spans="66:66">
      <c r="BN130" s="292"/>
    </row>
    <row r="131" spans="66:66">
      <c r="BN131" s="292"/>
    </row>
    <row r="132" spans="66:66">
      <c r="BN132" s="292"/>
    </row>
    <row r="133" spans="66:66">
      <c r="BN133" s="292"/>
    </row>
    <row r="134" spans="66:66">
      <c r="BN134" s="292"/>
    </row>
    <row r="135" spans="66:66">
      <c r="BN135" s="292"/>
    </row>
    <row r="136" spans="66:66">
      <c r="BN136" s="292"/>
    </row>
    <row r="137" spans="66:66">
      <c r="BN137" s="292"/>
    </row>
    <row r="138" spans="66:66">
      <c r="BN138" s="292"/>
    </row>
    <row r="139" spans="66:66">
      <c r="BN139" s="292"/>
    </row>
    <row r="140" spans="66:66">
      <c r="BN140" s="292"/>
    </row>
    <row r="141" spans="66:66">
      <c r="BN141" s="292"/>
    </row>
    <row r="142" spans="66:66">
      <c r="BN142" s="292"/>
    </row>
    <row r="143" spans="66:66">
      <c r="BN143" s="292"/>
    </row>
    <row r="144" spans="66:66">
      <c r="BN144" s="292"/>
    </row>
    <row r="145" spans="66:66">
      <c r="BN145" s="292"/>
    </row>
    <row r="146" spans="66:66">
      <c r="BN146" s="292"/>
    </row>
    <row r="147" spans="66:66">
      <c r="BN147" s="292"/>
    </row>
    <row r="148" spans="66:66">
      <c r="BN148" s="292"/>
    </row>
    <row r="149" spans="66:66">
      <c r="BN149" s="292"/>
    </row>
    <row r="150" spans="66:66">
      <c r="BN150" s="292"/>
    </row>
    <row r="151" spans="66:66">
      <c r="BN151" s="292"/>
    </row>
    <row r="152" spans="66:66">
      <c r="BN152" s="292"/>
    </row>
    <row r="153" spans="66:66">
      <c r="BN153" s="292"/>
    </row>
    <row r="154" spans="66:66">
      <c r="BN154" s="292"/>
    </row>
    <row r="155" spans="66:66">
      <c r="BN155" s="292"/>
    </row>
    <row r="156" spans="66:66">
      <c r="BN156" s="292"/>
    </row>
    <row r="157" spans="66:66">
      <c r="BN157" s="292"/>
    </row>
    <row r="158" spans="66:66">
      <c r="BN158" s="292"/>
    </row>
    <row r="159" spans="66:66">
      <c r="BN159" s="292"/>
    </row>
    <row r="160" spans="66:66">
      <c r="BN160" s="292"/>
    </row>
    <row r="161" spans="66:66">
      <c r="BN161" s="292"/>
    </row>
    <row r="162" spans="66:66">
      <c r="BN162" s="292"/>
    </row>
    <row r="163" spans="66:66">
      <c r="BN163" s="292"/>
    </row>
    <row r="164" spans="66:66">
      <c r="BN164" s="292"/>
    </row>
    <row r="165" spans="66:66">
      <c r="BN165" s="292"/>
    </row>
    <row r="166" spans="66:66">
      <c r="BN166" s="292"/>
    </row>
    <row r="167" spans="66:66">
      <c r="BN167" s="292"/>
    </row>
    <row r="168" spans="66:66">
      <c r="BN168" s="292"/>
    </row>
    <row r="169" spans="66:66">
      <c r="BN169" s="292"/>
    </row>
    <row r="170" spans="66:66">
      <c r="BN170" s="292"/>
    </row>
    <row r="171" spans="66:66">
      <c r="BN171" s="292"/>
    </row>
    <row r="172" spans="66:66">
      <c r="BN172" s="292"/>
    </row>
    <row r="173" spans="66:66">
      <c r="BN173" s="292"/>
    </row>
    <row r="174" spans="66:66">
      <c r="BN174" s="292"/>
    </row>
    <row r="175" spans="66:66">
      <c r="BN175" s="292"/>
    </row>
    <row r="176" spans="66:66">
      <c r="BN176" s="292"/>
    </row>
    <row r="177" spans="66:66">
      <c r="BN177" s="292"/>
    </row>
    <row r="178" spans="66:66">
      <c r="BN178" s="292"/>
    </row>
    <row r="179" spans="66:66">
      <c r="BN179" s="292"/>
    </row>
    <row r="180" spans="66:66">
      <c r="BN180" s="292"/>
    </row>
    <row r="181" spans="66:66">
      <c r="BN181" s="292"/>
    </row>
    <row r="182" spans="66:66">
      <c r="BN182" s="292"/>
    </row>
    <row r="183" spans="66:66">
      <c r="BN183" s="292"/>
    </row>
    <row r="184" spans="66:66">
      <c r="BN184" s="292"/>
    </row>
    <row r="185" spans="66:66">
      <c r="BN185" s="292"/>
    </row>
    <row r="186" spans="66:66">
      <c r="BN186" s="292"/>
    </row>
    <row r="187" spans="66:66">
      <c r="BN187" s="292"/>
    </row>
    <row r="188" spans="66:66">
      <c r="BN188" s="292"/>
    </row>
    <row r="189" spans="66:66">
      <c r="BN189" s="292"/>
    </row>
    <row r="190" spans="66:66">
      <c r="BN190" s="292"/>
    </row>
    <row r="191" spans="66:66">
      <c r="BN191" s="292"/>
    </row>
    <row r="192" spans="66:66">
      <c r="BN192" s="292"/>
    </row>
    <row r="193" spans="66:66">
      <c r="BN193" s="292"/>
    </row>
    <row r="194" spans="66:66">
      <c r="BN194" s="292"/>
    </row>
    <row r="195" spans="66:66">
      <c r="BN195" s="292"/>
    </row>
    <row r="196" spans="66:66">
      <c r="BN196" s="292"/>
    </row>
    <row r="197" spans="66:66">
      <c r="BN197" s="292"/>
    </row>
    <row r="198" spans="66:66">
      <c r="BN198" s="292"/>
    </row>
    <row r="199" spans="66:66">
      <c r="BN199" s="292"/>
    </row>
    <row r="200" spans="66:66">
      <c r="BN200" s="292"/>
    </row>
    <row r="201" spans="66:66">
      <c r="BN201" s="292"/>
    </row>
    <row r="202" spans="66:66">
      <c r="BN202" s="292"/>
    </row>
    <row r="203" spans="66:66">
      <c r="BN203" s="292"/>
    </row>
    <row r="204" spans="66:66">
      <c r="BN204" s="292"/>
    </row>
    <row r="205" spans="66:66">
      <c r="BN205" s="292"/>
    </row>
    <row r="206" spans="66:66">
      <c r="BN206" s="292"/>
    </row>
    <row r="207" spans="66:66">
      <c r="BN207" s="292"/>
    </row>
    <row r="208" spans="66:66">
      <c r="BN208" s="292"/>
    </row>
    <row r="209" spans="66:66">
      <c r="BN209" s="292"/>
    </row>
    <row r="210" spans="66:66">
      <c r="BN210" s="292"/>
    </row>
    <row r="211" spans="66:66">
      <c r="BN211" s="292"/>
    </row>
    <row r="212" spans="66:66">
      <c r="BN212" s="292"/>
    </row>
    <row r="213" spans="66:66">
      <c r="BN213" s="292"/>
    </row>
    <row r="214" spans="66:66">
      <c r="BN214" s="292"/>
    </row>
    <row r="215" spans="66:66">
      <c r="BN215" s="292"/>
    </row>
    <row r="216" spans="66:66">
      <c r="BN216" s="292"/>
    </row>
    <row r="217" spans="66:66">
      <c r="BN217" s="292"/>
    </row>
    <row r="218" spans="66:66">
      <c r="BN218" s="292"/>
    </row>
    <row r="219" spans="66:66">
      <c r="BN219" s="292"/>
    </row>
    <row r="220" spans="66:66">
      <c r="BN220" s="292"/>
    </row>
    <row r="221" spans="66:66">
      <c r="BN221" s="292"/>
    </row>
    <row r="222" spans="66:66">
      <c r="BN222" s="292"/>
    </row>
    <row r="223" spans="66:66">
      <c r="BN223" s="292"/>
    </row>
    <row r="224" spans="66:66">
      <c r="BN224" s="292"/>
    </row>
    <row r="225" spans="66:66">
      <c r="BN225" s="292"/>
    </row>
    <row r="226" spans="66:66">
      <c r="BN226" s="292"/>
    </row>
    <row r="227" spans="66:66">
      <c r="BN227" s="292"/>
    </row>
    <row r="228" spans="66:66">
      <c r="BN228" s="292"/>
    </row>
    <row r="229" spans="66:66">
      <c r="BN229" s="292"/>
    </row>
    <row r="230" spans="66:66">
      <c r="BN230" s="292"/>
    </row>
    <row r="231" spans="66:66">
      <c r="BN231" s="292"/>
    </row>
    <row r="232" spans="66:66">
      <c r="BN232" s="292"/>
    </row>
  </sheetData>
  <mergeCells count="2">
    <mergeCell ref="AL4:AW4"/>
    <mergeCell ref="BF5:BI5"/>
  </mergeCells>
  <phoneticPr fontId="21" type="noConversion"/>
  <pageMargins left="0" right="0" top="0" bottom="0" header="0" footer="0"/>
  <pageSetup paperSize="5" orientation="landscape" verticalDpi="300" r:id="rId1"/>
  <headerFooter alignWithMargins="0"/>
  <rowBreaks count="1" manualBreakCount="1">
    <brk id="54" max="64" man="1"/>
  </row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tabColor indexed="51"/>
    <pageSetUpPr fitToPage="1"/>
  </sheetPr>
  <dimension ref="A1:CQ195"/>
  <sheetViews>
    <sheetView showGridLines="0" zoomScale="85" zoomScaleNormal="85" zoomScaleSheetLayoutView="85" workbookViewId="0">
      <pane xSplit="1" ySplit="8" topLeftCell="Q9" activePane="bottomRight" state="frozen"/>
      <selection pane="topRight" activeCell="B1" sqref="B1"/>
      <selection pane="bottomLeft" activeCell="A9" sqref="A9"/>
      <selection pane="bottomRight" activeCell="A8" sqref="A8:CH62"/>
    </sheetView>
  </sheetViews>
  <sheetFormatPr defaultRowHeight="12.75" outlineLevelRow="1" outlineLevelCol="3"/>
  <cols>
    <col min="1" max="1" width="47.5703125" customWidth="1"/>
    <col min="2" max="3" width="2.42578125" hidden="1" customWidth="1" outlineLevel="2"/>
    <col min="4" max="10" width="8.85546875" hidden="1" customWidth="1" outlineLevel="2"/>
    <col min="11" max="11" width="10.42578125" hidden="1" customWidth="1" outlineLevel="2"/>
    <col min="12" max="12" width="8" hidden="1" customWidth="1" outlineLevel="2"/>
    <col min="13" max="13" width="8" hidden="1" customWidth="1" outlineLevel="1" collapsed="1"/>
    <col min="14" max="16" width="8.85546875" hidden="1" customWidth="1" outlineLevel="1"/>
    <col min="17" max="17" width="8.42578125" customWidth="1" collapsed="1"/>
    <col min="18" max="18" width="8.42578125" customWidth="1"/>
    <col min="19" max="19" width="8.42578125" style="3617" customWidth="1"/>
    <col min="20" max="21" width="8.42578125" customWidth="1"/>
    <col min="22" max="22" width="8.42578125" hidden="1" customWidth="1" outlineLevel="1"/>
    <col min="23" max="24" width="8.42578125" style="3617" hidden="1" customWidth="1" outlineLevel="1"/>
    <col min="25" max="25" width="2.7109375" style="59" customWidth="1" collapsed="1"/>
    <col min="26" max="26" width="6.42578125" hidden="1" customWidth="1" outlineLevel="3"/>
    <col min="27" max="27" width="6.42578125" hidden="1" customWidth="1" outlineLevel="3" collapsed="1"/>
    <col min="28" max="33" width="6.42578125" hidden="1" customWidth="1" outlineLevel="3"/>
    <col min="34" max="38" width="7.42578125" hidden="1" customWidth="1" outlineLevel="3"/>
    <col min="39" max="42" width="7" hidden="1" customWidth="1" outlineLevel="3"/>
    <col min="43" max="43" width="14.42578125" hidden="1" customWidth="1" outlineLevel="3" collapsed="1"/>
    <col min="44" max="46" width="8.140625" hidden="1" customWidth="1" outlineLevel="3"/>
    <col min="47" max="47" width="8.140625" hidden="1" customWidth="1" outlineLevel="2" collapsed="1"/>
    <col min="48" max="50" width="8.85546875" hidden="1" customWidth="1" outlineLevel="2"/>
    <col min="51" max="51" width="8.85546875" hidden="1" customWidth="1" outlineLevel="2" collapsed="1"/>
    <col min="52" max="54" width="8.85546875" hidden="1" customWidth="1" outlineLevel="2"/>
    <col min="55" max="55" width="8.42578125" hidden="1" customWidth="1" outlineLevel="2"/>
    <col min="56" max="56" width="10.140625" hidden="1" customWidth="1" outlineLevel="2"/>
    <col min="57" max="66" width="8.42578125" hidden="1" customWidth="1" outlineLevel="2"/>
    <col min="67" max="67" width="8.42578125" hidden="1" customWidth="1" outlineLevel="1" collapsed="1"/>
    <col min="68" max="70" width="8.42578125" hidden="1" customWidth="1" outlineLevel="1"/>
    <col min="71" max="71" width="9.85546875" style="292" hidden="1" customWidth="1" outlineLevel="1"/>
    <col min="72" max="72" width="8.42578125" hidden="1" customWidth="1" outlineLevel="1"/>
    <col min="73" max="73" width="8.42578125" style="292" hidden="1" customWidth="1" outlineLevel="1"/>
    <col min="74" max="74" width="8.42578125" hidden="1" customWidth="1" outlineLevel="1"/>
    <col min="75" max="75" width="8.42578125" style="292" hidden="1" customWidth="1" outlineLevel="1"/>
    <col min="76" max="78" width="8.42578125" hidden="1" customWidth="1" outlineLevel="1"/>
    <col min="79" max="79" width="8.42578125" style="292" customWidth="1" collapsed="1"/>
    <col min="80" max="80" width="8.42578125" style="3532" customWidth="1"/>
    <col min="81" max="82" width="8.42578125" style="3617" customWidth="1"/>
    <col min="83" max="86" width="8.42578125" style="2248" customWidth="1"/>
    <col min="87" max="87" width="6.42578125" customWidth="1"/>
    <col min="88" max="88" width="74.42578125" customWidth="1"/>
    <col min="90" max="90" width="13.42578125" customWidth="1"/>
    <col min="91" max="91" width="12.42578125" customWidth="1"/>
    <col min="95" max="95" width="10.5703125" bestFit="1" customWidth="1"/>
  </cols>
  <sheetData>
    <row r="1" spans="1:95" ht="15.75" customHeight="1">
      <c r="A1" s="364" t="s">
        <v>556</v>
      </c>
      <c r="B1" s="364"/>
      <c r="C1" s="364"/>
      <c r="D1" s="365"/>
      <c r="E1" s="365"/>
      <c r="F1" s="365"/>
      <c r="G1" s="365"/>
      <c r="H1" s="365"/>
      <c r="I1" s="365"/>
      <c r="J1" s="365"/>
      <c r="K1" s="399"/>
      <c r="L1" s="833"/>
      <c r="M1" s="365"/>
      <c r="N1" s="365"/>
      <c r="O1" s="365"/>
      <c r="P1" s="365"/>
      <c r="Q1" s="424"/>
      <c r="R1" s="365"/>
      <c r="S1" s="843"/>
      <c r="T1" s="365"/>
      <c r="U1" s="365"/>
      <c r="V1" s="365"/>
      <c r="W1" s="843"/>
      <c r="X1" s="843"/>
      <c r="Y1" s="369"/>
      <c r="Z1" s="365"/>
      <c r="AA1" s="365"/>
      <c r="AB1" s="365"/>
      <c r="AC1" s="365"/>
      <c r="AD1" s="365"/>
      <c r="AE1" s="365"/>
      <c r="AF1" s="365"/>
      <c r="AG1" s="365"/>
      <c r="AH1" s="365"/>
      <c r="AI1" s="365"/>
      <c r="AJ1" s="365"/>
      <c r="AK1" s="365"/>
      <c r="AL1" s="365"/>
      <c r="AM1" s="365"/>
      <c r="AN1" s="365"/>
      <c r="AO1" s="365"/>
      <c r="AP1" s="365"/>
      <c r="AQ1" s="365"/>
      <c r="AR1" s="365"/>
      <c r="AS1" s="365"/>
      <c r="AT1" s="365"/>
      <c r="AU1" s="365"/>
      <c r="AV1" s="365"/>
      <c r="AW1" s="365"/>
      <c r="AX1" s="365"/>
      <c r="AY1" s="365"/>
      <c r="AZ1" s="365"/>
      <c r="BA1" s="365"/>
      <c r="BB1" s="365"/>
      <c r="BG1" s="365"/>
      <c r="BH1" s="365"/>
      <c r="BI1" s="365"/>
      <c r="BJ1" s="365"/>
      <c r="BK1" s="365"/>
      <c r="BL1" s="365"/>
      <c r="BM1" s="365"/>
      <c r="BN1" s="365"/>
      <c r="BO1" s="365"/>
      <c r="BP1" s="365"/>
      <c r="BQ1" s="365"/>
      <c r="BR1" s="365"/>
      <c r="BS1" s="399"/>
      <c r="BT1" s="365"/>
      <c r="BU1" s="476"/>
      <c r="BV1" s="476"/>
      <c r="BW1" s="476"/>
      <c r="BX1" s="476"/>
      <c r="BY1" s="476"/>
      <c r="BZ1" s="476"/>
      <c r="CA1" s="476"/>
      <c r="CB1" s="476"/>
      <c r="CC1" s="476"/>
      <c r="CD1" s="476"/>
      <c r="CE1" s="2634"/>
      <c r="CF1" s="2634"/>
      <c r="CG1" s="2634"/>
      <c r="CH1" s="2634"/>
      <c r="CI1" s="369"/>
    </row>
    <row r="2" spans="1:95">
      <c r="A2" s="364" t="s">
        <v>986</v>
      </c>
      <c r="B2" s="364"/>
      <c r="C2" s="364"/>
      <c r="D2" s="369"/>
      <c r="E2" s="365"/>
      <c r="F2" s="365"/>
      <c r="G2" s="365"/>
      <c r="H2" s="365"/>
      <c r="I2" s="365"/>
      <c r="J2" s="365"/>
      <c r="K2" s="399"/>
      <c r="L2" s="1901"/>
      <c r="M2" s="1901"/>
      <c r="N2" s="476"/>
      <c r="O2" s="476"/>
      <c r="P2" s="476"/>
      <c r="Q2" s="476"/>
      <c r="R2" s="476"/>
      <c r="S2" s="476"/>
      <c r="T2" s="476"/>
      <c r="U2" s="476"/>
      <c r="V2" s="476"/>
      <c r="W2" s="476"/>
      <c r="X2" s="476"/>
      <c r="Y2" s="589"/>
      <c r="Z2" s="476"/>
      <c r="AA2" s="476"/>
      <c r="AB2" s="476"/>
      <c r="AC2" s="476"/>
      <c r="AD2" s="476"/>
      <c r="AE2" s="476"/>
      <c r="AF2" s="476"/>
      <c r="AG2" s="476"/>
      <c r="AH2" s="476"/>
      <c r="AI2" s="476"/>
      <c r="AJ2" s="476"/>
      <c r="AK2" s="476"/>
      <c r="AL2" s="476"/>
      <c r="AM2" s="476"/>
      <c r="AN2" s="476"/>
      <c r="AO2" s="476"/>
      <c r="AP2" s="476"/>
      <c r="AQ2" s="476"/>
      <c r="AR2" s="476"/>
      <c r="AS2" s="476"/>
      <c r="AT2" s="476"/>
      <c r="AU2" s="476"/>
      <c r="AV2" s="476"/>
      <c r="AW2" s="476"/>
      <c r="AX2" s="476"/>
      <c r="AY2" s="476"/>
      <c r="AZ2" s="476"/>
      <c r="BA2" s="476"/>
      <c r="BB2" s="476"/>
      <c r="BC2" s="476"/>
      <c r="BD2" s="476"/>
      <c r="BE2" s="476"/>
      <c r="BF2" s="476"/>
      <c r="BG2" s="413"/>
      <c r="BH2" s="476"/>
      <c r="BI2" s="476"/>
      <c r="BJ2" s="476"/>
      <c r="BK2" s="476"/>
      <c r="BL2" s="476"/>
      <c r="BM2" s="476"/>
      <c r="BN2" s="476"/>
      <c r="BO2" s="476"/>
      <c r="BP2" s="476"/>
      <c r="BQ2" s="476"/>
      <c r="BR2" s="476"/>
      <c r="BS2" s="413"/>
      <c r="BT2" s="476"/>
      <c r="BU2" s="476"/>
      <c r="BV2" s="476"/>
      <c r="BW2" s="476"/>
      <c r="BX2" s="476"/>
      <c r="BY2" s="476"/>
      <c r="BZ2" s="476"/>
      <c r="CA2" s="476"/>
      <c r="CB2" s="476"/>
      <c r="CC2" s="476"/>
      <c r="CD2" s="476"/>
      <c r="CE2" s="413"/>
      <c r="CF2" s="413"/>
      <c r="CG2" s="413"/>
      <c r="CH2" s="413"/>
      <c r="CI2" s="369"/>
    </row>
    <row r="3" spans="1:95">
      <c r="A3" s="365" t="s">
        <v>763</v>
      </c>
      <c r="B3" s="365"/>
      <c r="C3" s="365"/>
      <c r="D3" s="369"/>
      <c r="E3" s="365"/>
      <c r="F3" s="365"/>
      <c r="G3" s="365"/>
      <c r="H3" s="365"/>
      <c r="I3" s="365"/>
      <c r="J3" s="365"/>
      <c r="K3" s="399"/>
      <c r="L3" s="365"/>
      <c r="M3" s="1901"/>
      <c r="N3" s="226"/>
      <c r="O3" s="365"/>
      <c r="P3" s="476"/>
      <c r="Q3" s="476"/>
      <c r="R3" s="602"/>
      <c r="S3" s="476"/>
      <c r="T3" s="476"/>
      <c r="U3" s="476"/>
      <c r="V3" s="476"/>
      <c r="W3" s="476"/>
      <c r="X3" s="476"/>
      <c r="Y3" s="369"/>
      <c r="Z3" s="365"/>
      <c r="AA3" s="365"/>
      <c r="AB3" s="365"/>
      <c r="AC3" s="365"/>
      <c r="AD3" s="365"/>
      <c r="AE3" s="365"/>
      <c r="AF3" s="365"/>
      <c r="AG3" s="365"/>
      <c r="AH3" s="365"/>
      <c r="AI3" s="365"/>
      <c r="AJ3" s="365"/>
      <c r="AK3" s="365"/>
      <c r="AL3" s="365"/>
      <c r="AM3" s="365"/>
      <c r="AN3" s="365"/>
      <c r="AO3" s="365"/>
      <c r="AP3" s="365"/>
      <c r="AQ3" s="365"/>
      <c r="AR3" s="365"/>
      <c r="AS3" s="365"/>
      <c r="AT3" s="365"/>
      <c r="AU3" s="365"/>
      <c r="AV3" s="365"/>
      <c r="AW3" s="365"/>
      <c r="AX3" s="365"/>
      <c r="AY3" s="365"/>
      <c r="AZ3" s="365"/>
      <c r="BA3" s="365"/>
      <c r="BB3" s="365"/>
      <c r="BC3" s="365"/>
      <c r="BD3" s="365"/>
      <c r="BE3" s="365"/>
      <c r="BF3" s="365"/>
      <c r="BG3" s="399"/>
      <c r="BH3" s="365"/>
      <c r="BI3" s="365"/>
      <c r="BJ3" s="365"/>
      <c r="BK3" s="365"/>
      <c r="BL3" s="365"/>
      <c r="BM3" s="365"/>
      <c r="BN3" s="485"/>
      <c r="BO3" s="485"/>
      <c r="BP3" s="365"/>
      <c r="BQ3" s="365"/>
      <c r="BR3" s="365"/>
      <c r="BS3" s="399"/>
      <c r="BT3" s="365"/>
      <c r="BU3" s="476"/>
      <c r="BV3" s="476"/>
      <c r="BW3" s="476"/>
      <c r="BX3" s="476"/>
      <c r="BY3" s="476"/>
      <c r="BZ3" s="476"/>
      <c r="CA3" s="476"/>
      <c r="CB3" s="476"/>
      <c r="CC3" s="476"/>
      <c r="CD3" s="476"/>
      <c r="CE3" s="413"/>
      <c r="CF3" s="413"/>
      <c r="CG3" s="413"/>
      <c r="CH3" s="413"/>
      <c r="CI3" s="369"/>
    </row>
    <row r="4" spans="1:95">
      <c r="A4" s="365"/>
      <c r="B4" s="365"/>
      <c r="C4" s="365"/>
      <c r="D4" s="369"/>
      <c r="E4" s="365"/>
      <c r="F4" s="4155" t="s">
        <v>560</v>
      </c>
      <c r="G4" s="4156"/>
      <c r="H4" s="4156"/>
      <c r="I4" s="4157"/>
      <c r="J4" s="365"/>
      <c r="K4" s="1987"/>
      <c r="L4" s="365"/>
      <c r="M4" s="365"/>
      <c r="N4" s="365"/>
      <c r="O4" s="365"/>
      <c r="P4" s="476"/>
      <c r="Q4" s="476"/>
      <c r="R4" s="365"/>
      <c r="S4" s="843"/>
      <c r="T4" s="476"/>
      <c r="U4" s="365"/>
      <c r="V4" s="365"/>
      <c r="W4" s="843"/>
      <c r="X4" s="843"/>
      <c r="Y4" s="369"/>
      <c r="Z4" s="365"/>
      <c r="AA4" s="365"/>
      <c r="AB4" s="365"/>
      <c r="AC4" s="365"/>
      <c r="AD4" s="365"/>
      <c r="AE4" s="365"/>
      <c r="AF4" s="365"/>
      <c r="AG4" s="365"/>
      <c r="AH4" s="365"/>
      <c r="AI4" s="4155" t="s">
        <v>1141</v>
      </c>
      <c r="AJ4" s="4156"/>
      <c r="AK4" s="4156"/>
      <c r="AL4" s="4156"/>
      <c r="AM4" s="4156"/>
      <c r="AN4" s="4156"/>
      <c r="AO4" s="4156"/>
      <c r="AP4" s="4156"/>
      <c r="AQ4" s="4156"/>
      <c r="AR4" s="4156"/>
      <c r="AS4" s="4156"/>
      <c r="AT4" s="4157"/>
      <c r="AU4" s="365"/>
      <c r="AV4" s="365"/>
      <c r="AW4" s="365"/>
      <c r="AX4" s="365"/>
      <c r="AY4" s="365"/>
      <c r="AZ4" s="365"/>
      <c r="BA4" s="365"/>
      <c r="BB4" s="365"/>
      <c r="BC4" s="2198" t="s">
        <v>108</v>
      </c>
      <c r="BD4" s="2199"/>
      <c r="BE4" s="2199"/>
      <c r="BF4" s="2200"/>
      <c r="BG4" s="399"/>
      <c r="BH4" s="365"/>
      <c r="BI4" s="365"/>
      <c r="BJ4" s="365"/>
      <c r="BK4" s="365"/>
      <c r="BL4" s="365"/>
      <c r="BM4" s="365"/>
      <c r="BN4" s="485"/>
      <c r="BO4" s="485"/>
      <c r="BP4" s="485"/>
      <c r="BQ4" s="365"/>
      <c r="BR4" s="365"/>
      <c r="BS4" s="399"/>
      <c r="BT4" s="485"/>
      <c r="BU4" s="485"/>
      <c r="BV4" s="485"/>
      <c r="BW4" s="485"/>
      <c r="BX4" s="485"/>
      <c r="BY4" s="485"/>
      <c r="BZ4" s="485"/>
      <c r="CA4" s="485"/>
      <c r="CB4" s="485"/>
      <c r="CC4" s="485"/>
      <c r="CD4" s="485"/>
      <c r="CE4" s="2634"/>
      <c r="CF4" s="2634"/>
      <c r="CG4" s="2634"/>
      <c r="CH4" s="2634"/>
      <c r="CI4" s="369"/>
    </row>
    <row r="5" spans="1:95">
      <c r="A5" s="395"/>
      <c r="B5" s="395"/>
      <c r="C5" s="395"/>
      <c r="D5" s="368"/>
      <c r="E5" s="399"/>
      <c r="F5" s="373"/>
      <c r="G5" s="373"/>
      <c r="H5" s="373"/>
      <c r="I5" s="373"/>
      <c r="J5" s="346"/>
      <c r="K5" s="4162" t="s">
        <v>426</v>
      </c>
      <c r="L5" s="4163"/>
      <c r="M5" s="604"/>
      <c r="N5" s="604"/>
      <c r="O5" s="604"/>
      <c r="P5" s="604"/>
      <c r="Q5" s="476"/>
      <c r="R5" s="604"/>
      <c r="S5" s="604"/>
      <c r="T5" s="604"/>
      <c r="U5" s="604"/>
      <c r="V5" s="604"/>
      <c r="W5" s="604"/>
      <c r="X5" s="604"/>
      <c r="Y5" s="604"/>
      <c r="Z5" s="373"/>
      <c r="AA5" s="373"/>
      <c r="AB5" s="399"/>
      <c r="AC5" s="399"/>
      <c r="AD5" s="399"/>
      <c r="AE5" s="399"/>
      <c r="AF5" s="399"/>
      <c r="AG5" s="399"/>
      <c r="AH5" s="399"/>
      <c r="AI5" s="373"/>
      <c r="AJ5" s="373"/>
      <c r="AK5" s="373"/>
      <c r="AL5" s="373"/>
      <c r="AM5" s="373"/>
      <c r="AN5" s="373"/>
      <c r="AO5" s="373"/>
      <c r="AP5" s="373"/>
      <c r="AQ5" s="1846" t="s">
        <v>561</v>
      </c>
      <c r="AR5" s="1847"/>
      <c r="AS5" s="1847"/>
      <c r="AT5" s="1847"/>
      <c r="AU5" s="1847"/>
      <c r="AV5" s="1847"/>
      <c r="AW5" s="1847"/>
      <c r="AX5" s="1847"/>
      <c r="AY5" s="1831" t="s">
        <v>985</v>
      </c>
      <c r="AZ5" s="1832"/>
      <c r="BA5" s="1832"/>
      <c r="BB5" s="1832"/>
      <c r="BC5" s="1831" t="s">
        <v>985</v>
      </c>
      <c r="BD5" s="1907"/>
      <c r="BE5" s="1907"/>
      <c r="BF5" s="1908"/>
      <c r="BG5" s="672"/>
      <c r="BH5" s="672"/>
      <c r="BI5" s="672"/>
      <c r="BJ5" s="672"/>
      <c r="BK5" s="366"/>
      <c r="BL5" s="366"/>
      <c r="BM5" s="366"/>
      <c r="BN5" s="366"/>
      <c r="BO5" s="366"/>
      <c r="BP5" s="366"/>
      <c r="BQ5" s="366"/>
      <c r="BR5" s="366"/>
      <c r="BS5" s="373"/>
      <c r="BT5" s="366"/>
      <c r="BU5" s="373"/>
      <c r="BV5" s="366"/>
      <c r="BW5" s="373"/>
      <c r="BX5" s="366"/>
      <c r="BY5" s="366"/>
      <c r="BZ5" s="366"/>
      <c r="CA5" s="373"/>
      <c r="CB5" s="366"/>
      <c r="CC5" s="366"/>
      <c r="CD5" s="366"/>
      <c r="CE5" s="2271"/>
      <c r="CF5" s="2271"/>
      <c r="CG5" s="2271"/>
      <c r="CH5" s="2271"/>
      <c r="CI5" s="369"/>
    </row>
    <row r="6" spans="1:95" hidden="1" outlineLevel="1">
      <c r="A6" s="673" t="s">
        <v>764</v>
      </c>
      <c r="B6" s="673"/>
      <c r="C6" s="673"/>
      <c r="D6" s="674"/>
      <c r="E6" s="674">
        <f>IS!E6</f>
        <v>-6.4626407185521115</v>
      </c>
      <c r="F6" s="674">
        <f>IS!F6</f>
        <v>-6.7393776396306047</v>
      </c>
      <c r="G6" s="674">
        <f>IS!G6</f>
        <v>-1.7133093831662458</v>
      </c>
      <c r="H6" s="674">
        <f>IS!H6</f>
        <v>-2.222796433745823</v>
      </c>
      <c r="I6" s="381">
        <f>IS!I6</f>
        <v>2.9254653652975398</v>
      </c>
      <c r="J6" s="674">
        <f>IS!J6</f>
        <v>3.0904647285107814</v>
      </c>
      <c r="K6" s="674">
        <f>IS!K6</f>
        <v>3.0630087973919395</v>
      </c>
      <c r="L6" s="674">
        <f ca="1">IS!L6</f>
        <v>2.8242898178714193</v>
      </c>
      <c r="M6" s="674">
        <f>IS!M6</f>
        <v>3.3224326474203942</v>
      </c>
      <c r="N6" s="674">
        <f>IS!N6</f>
        <v>2.7628657879380056</v>
      </c>
      <c r="O6" s="383">
        <f>IS!O6</f>
        <v>1.756320999276396</v>
      </c>
      <c r="P6" s="383">
        <f>IS!P6</f>
        <v>1.8627492485500192</v>
      </c>
      <c r="Q6" s="674">
        <f>IS!Q6</f>
        <v>1.1577911158026928</v>
      </c>
      <c r="R6" s="674">
        <f>IS!R6</f>
        <v>2.3922655382935467</v>
      </c>
      <c r="S6" s="674">
        <f>IS!S6</f>
        <v>0.55951274391392103</v>
      </c>
      <c r="T6" s="674">
        <f>IS!T6</f>
        <v>0.98203077357450352</v>
      </c>
      <c r="U6" s="674">
        <f>IS!U6</f>
        <v>1.2825893311034651</v>
      </c>
      <c r="V6" s="674">
        <f>IS!V6</f>
        <v>1.4212111218437422</v>
      </c>
      <c r="W6" s="674">
        <f>IS!W6</f>
        <v>1.5772771343689689</v>
      </c>
      <c r="X6" s="674">
        <f>IS!X6</f>
        <v>1.7360315102809452</v>
      </c>
      <c r="Y6" s="2272"/>
      <c r="Z6" s="674">
        <f>IS!AD6</f>
        <v>0.61413514591961671</v>
      </c>
      <c r="AA6" s="674">
        <f>IS!AE6</f>
        <v>0.58096088512490629</v>
      </c>
      <c r="AB6" s="674">
        <f>IS!AF6</f>
        <v>0.59964432028454329</v>
      </c>
      <c r="AC6" s="674">
        <f>IS!AG6</f>
        <v>0.59773679984086914</v>
      </c>
      <c r="AD6" s="674">
        <f>IS!AH6</f>
        <v>0.61506273126734501</v>
      </c>
      <c r="AE6" s="674">
        <f>IS!AI6</f>
        <v>0.58315654411711104</v>
      </c>
      <c r="AF6" s="674">
        <f>IS!AJ6</f>
        <v>0.62889652369869586</v>
      </c>
      <c r="AG6" s="674">
        <f>IS!AK6</f>
        <v>0.72822184290296987</v>
      </c>
      <c r="AH6" s="674">
        <f>IS!AL6</f>
        <v>0.60466314000456134</v>
      </c>
      <c r="AI6" s="674">
        <f>IS!AM6</f>
        <v>0.73718052574181037</v>
      </c>
      <c r="AJ6" s="674">
        <f>IS!AN6</f>
        <v>0.80028659485713416</v>
      </c>
      <c r="AK6" s="674">
        <f>IS!AO6</f>
        <v>0.72891287775576841</v>
      </c>
      <c r="AL6" s="674">
        <f>IS!AP6</f>
        <v>0.83804739911674497</v>
      </c>
      <c r="AM6" s="674">
        <f>IS!AQ6</f>
        <v>0.61787902650294091</v>
      </c>
      <c r="AN6" s="674">
        <f>IS!AR6</f>
        <v>0.67077583733607171</v>
      </c>
      <c r="AO6" s="674">
        <f>IS!AS6</f>
        <v>0.70234942574313564</v>
      </c>
      <c r="AP6" s="674">
        <f>IS!AT6</f>
        <v>0.74958248827725904</v>
      </c>
      <c r="AQ6" s="381">
        <f>IS!AU6</f>
        <v>0.72722469576457049</v>
      </c>
      <c r="AR6" s="674">
        <f>IS!AV6</f>
        <v>0.73580714916975454</v>
      </c>
      <c r="AS6" s="674">
        <f>IS!AW6</f>
        <v>0.64620064482093797</v>
      </c>
      <c r="AT6" s="674">
        <f>IS!AX6</f>
        <v>0.81768961957067898</v>
      </c>
      <c r="AU6" s="674">
        <f>IS!AY6</f>
        <v>0.90153754345154336</v>
      </c>
      <c r="AV6" s="674">
        <f>IS!AZ6</f>
        <v>0.73704518538427288</v>
      </c>
      <c r="AW6" s="674">
        <f>IS!BA6</f>
        <v>0.72322267531414786</v>
      </c>
      <c r="AX6" s="383">
        <f>IS!BB6</f>
        <v>0.73211958605311178</v>
      </c>
      <c r="AY6" s="674">
        <f>IS!BC6</f>
        <v>0.82932492950738101</v>
      </c>
      <c r="AZ6" s="674">
        <f>IS!BD6</f>
        <v>0.74261081296510933</v>
      </c>
      <c r="BA6" s="674">
        <f>IS!BE6</f>
        <v>0.74034702613502279</v>
      </c>
      <c r="BB6" s="674">
        <f>IS!BF6</f>
        <v>0.75094900148539367</v>
      </c>
      <c r="BC6" s="674">
        <f ca="1">IS!BG6</f>
        <v>0.78781957335938801</v>
      </c>
      <c r="BD6" s="674">
        <f>IS!BH6</f>
        <v>0.69646835218516945</v>
      </c>
      <c r="BE6" s="674">
        <f>IS!BI6</f>
        <v>0.61145711690670823</v>
      </c>
      <c r="BF6" s="674">
        <f>IS!BJ6</f>
        <v>0.55455853583612236</v>
      </c>
      <c r="BG6" s="674">
        <f>IS!BK6</f>
        <v>0.68187313613282818</v>
      </c>
      <c r="BH6" s="674">
        <f>IS!BL6</f>
        <v>0.64807771786587842</v>
      </c>
      <c r="BI6" s="674">
        <f>IS!BM6</f>
        <v>0.66260653044460416</v>
      </c>
      <c r="BJ6" s="674">
        <f>IS!BN6</f>
        <v>0.66703652987072959</v>
      </c>
      <c r="BK6" s="674">
        <f>IS!BO6</f>
        <v>0.76480419402518873</v>
      </c>
      <c r="BL6" s="674">
        <f>IS!BP6</f>
        <v>0.68857104170725991</v>
      </c>
      <c r="BM6" s="674">
        <f>IS!BQ6</f>
        <v>0.63068987381157005</v>
      </c>
      <c r="BN6" s="383">
        <f>IS!BR6</f>
        <v>0.67532768741196014</v>
      </c>
      <c r="BO6" s="383">
        <f>IS!BS6</f>
        <v>0.40142078629817046</v>
      </c>
      <c r="BP6" s="379">
        <f>IS!BT6</f>
        <v>0.47624738151808682</v>
      </c>
      <c r="BQ6" s="379">
        <f>IS!BU6</f>
        <v>0.38341593561439308</v>
      </c>
      <c r="BR6" s="379">
        <f>IS!BV6</f>
        <v>0.49556023878596561</v>
      </c>
      <c r="BS6" s="377">
        <f>IS!BW6</f>
        <v>0.42235650082962883</v>
      </c>
      <c r="BT6" s="379">
        <f>IS!BX6</f>
        <v>0.28611279997138872</v>
      </c>
      <c r="BU6" s="377">
        <f>IS!BY6</f>
        <v>0.54038864751529303</v>
      </c>
      <c r="BV6" s="379">
        <f>IS!BZ6</f>
        <v>0.61936283048813523</v>
      </c>
      <c r="BW6" s="377">
        <f>IS!CA6</f>
        <v>0.43688574512159678</v>
      </c>
      <c r="BX6" s="379">
        <f>IS!CB6</f>
        <v>0.36269430051813473</v>
      </c>
      <c r="BY6" s="379">
        <f>IS!CC6</f>
        <v>0.28100429455905435</v>
      </c>
      <c r="BZ6" s="379">
        <f>IS!CD6</f>
        <v>7.7600303010706986E-2</v>
      </c>
      <c r="CA6" s="377">
        <f>IS!CE6</f>
        <v>0.30100346800314665</v>
      </c>
      <c r="CB6" s="379">
        <f>IS!CF6</f>
        <v>3.1356577779991186E-2</v>
      </c>
      <c r="CC6" s="379">
        <f>IS!CG6</f>
        <v>0.16975328574090853</v>
      </c>
      <c r="CD6" s="379">
        <f>IS!CH6</f>
        <v>1.3856163574710252</v>
      </c>
      <c r="CE6" s="377">
        <f>IS!CI6</f>
        <v>8.2176771487424846E-2</v>
      </c>
      <c r="CF6" s="377">
        <f>IS!CJ6</f>
        <v>0.12440592714524437</v>
      </c>
      <c r="CG6" s="377">
        <f>IS!CK6</f>
        <v>0.15329892914341892</v>
      </c>
      <c r="CH6" s="379">
        <f>IS!CL6</f>
        <v>0.19914188755557743</v>
      </c>
      <c r="CI6" s="385"/>
    </row>
    <row r="7" spans="1:95" hidden="1" outlineLevel="1">
      <c r="A7" s="675" t="s">
        <v>940</v>
      </c>
      <c r="B7" s="675"/>
      <c r="C7" s="675"/>
      <c r="D7" s="675"/>
      <c r="E7" s="676">
        <f>IS!E7</f>
        <v>0</v>
      </c>
      <c r="F7" s="676">
        <f>IS!F7</f>
        <v>4.2821028296385455E-2</v>
      </c>
      <c r="G7" s="676">
        <f>IS!G7</f>
        <v>-0.74577632019146578</v>
      </c>
      <c r="H7" s="676">
        <f>IS!H7</f>
        <v>0.29737013967555015</v>
      </c>
      <c r="I7" s="677">
        <f>IS!I7</f>
        <v>-2.316119335483902</v>
      </c>
      <c r="J7" s="676">
        <f>IS!J7</f>
        <v>5.6401065338355094E-2</v>
      </c>
      <c r="K7" s="676">
        <f>IS!K7</f>
        <v>-8.8840784576992293E-3</v>
      </c>
      <c r="L7" s="676">
        <f ca="1">IS!L7</f>
        <v>-7.7936106394399629E-2</v>
      </c>
      <c r="M7" s="676">
        <f ca="1">IS!M7</f>
        <v>0.17637808499568575</v>
      </c>
      <c r="N7" s="676">
        <f>IS!N7</f>
        <v>-0.16842082861088181</v>
      </c>
      <c r="O7" s="678">
        <f>IS!O7</f>
        <v>-0.36431186525814507</v>
      </c>
      <c r="P7" s="678">
        <f>IS!P7</f>
        <v>6.0597265145421408E-2</v>
      </c>
      <c r="Q7" s="676">
        <f>IS!Q7</f>
        <v>-0.37845036485510442</v>
      </c>
      <c r="R7" s="676">
        <f>IS!R7</f>
        <v>1.0662324193384372</v>
      </c>
      <c r="S7" s="676">
        <f>IS!S7</f>
        <v>-0.76611595370260055</v>
      </c>
      <c r="T7" s="676">
        <f>IS!T7</f>
        <v>0.75515354074863628</v>
      </c>
      <c r="U7" s="676">
        <f>IS!U7</f>
        <v>0.30605818637938964</v>
      </c>
      <c r="V7" s="676">
        <f>IS!V7</f>
        <v>0.10807963810287968</v>
      </c>
      <c r="W7" s="676">
        <f>IS!W7</f>
        <v>0.10981198368526823</v>
      </c>
      <c r="X7" s="676">
        <f>IS!X7</f>
        <v>0.10065090810784505</v>
      </c>
      <c r="Y7" s="2273"/>
      <c r="Z7" s="675"/>
      <c r="AA7" s="676">
        <f>IS!AE7</f>
        <v>0</v>
      </c>
      <c r="AB7" s="676">
        <f>IS!AF7</f>
        <v>0</v>
      </c>
      <c r="AC7" s="676">
        <f>IS!AG7</f>
        <v>0</v>
      </c>
      <c r="AD7" s="676">
        <f>IS!AH7</f>
        <v>1.5103928734436778E-3</v>
      </c>
      <c r="AE7" s="676">
        <f>IS!AI7</f>
        <v>3.7793576958846664E-3</v>
      </c>
      <c r="AF7" s="676">
        <f>IS!AJ7</f>
        <v>4.8782590653525748E-2</v>
      </c>
      <c r="AG7" s="676">
        <f>IS!AK7</f>
        <v>0.21829849374647625</v>
      </c>
      <c r="AH7" s="676">
        <f>IS!AL7</f>
        <v>-1.6908179823146074E-2</v>
      </c>
      <c r="AI7" s="676">
        <f>IS!AM7</f>
        <v>0.26412115782373502</v>
      </c>
      <c r="AJ7" s="676">
        <f>IS!AN7</f>
        <v>0.27252507320353891</v>
      </c>
      <c r="AK7" s="676">
        <f>IS!AO7</f>
        <v>9.4893453077959933E-4</v>
      </c>
      <c r="AL7" s="676">
        <f>IS!AP7</f>
        <v>0.38597401374660123</v>
      </c>
      <c r="AM7" s="676">
        <f>IS!AQ7</f>
        <v>-0.16183484923020541</v>
      </c>
      <c r="AN7" s="676">
        <f>IS!AR7</f>
        <v>-0.1618304721750119</v>
      </c>
      <c r="AO7" s="676">
        <f>IS!AS7</f>
        <v>-3.64425610018283E-2</v>
      </c>
      <c r="AP7" s="676">
        <f>IS!AT7</f>
        <v>-0.10556074863154874</v>
      </c>
      <c r="AQ7" s="677">
        <f>IS!AU7</f>
        <v>0.17696938166116749</v>
      </c>
      <c r="AR7" s="676">
        <f>IS!AV7</f>
        <v>9.6949395332946109E-2</v>
      </c>
      <c r="AS7" s="676">
        <f>IS!AW7</f>
        <v>-7.9944225572318617E-2</v>
      </c>
      <c r="AT7" s="676">
        <f>IS!AX7</f>
        <v>9.0860088594049593E-2</v>
      </c>
      <c r="AU7" s="676">
        <f>IS!AY7</f>
        <v>0.23969599588983748</v>
      </c>
      <c r="AV7" s="676">
        <f>IS!AZ7</f>
        <v>1.6825552944346178E-3</v>
      </c>
      <c r="AW7" s="676">
        <f>IS!BA7</f>
        <v>0.11919212880784524</v>
      </c>
      <c r="AX7" s="678">
        <f>IS!BB7</f>
        <v>-0.10464855058633982</v>
      </c>
      <c r="AY7" s="676" t="str">
        <f>IS!BC7</f>
        <v>NM</v>
      </c>
      <c r="AZ7" s="676" t="str">
        <f>IS!BD7</f>
        <v>NM</v>
      </c>
      <c r="BA7" s="676" t="str">
        <f>IS!BE7</f>
        <v>NM</v>
      </c>
      <c r="BB7" s="676" t="str">
        <f>IS!BF7</f>
        <v>NM</v>
      </c>
      <c r="BC7" s="676">
        <f ca="1">IS!BG7</f>
        <v>-5.0047158443249917E-2</v>
      </c>
      <c r="BD7" s="676">
        <f>IS!BH7</f>
        <v>-6.2135455038287768E-2</v>
      </c>
      <c r="BE7" s="676">
        <f>IS!BI7</f>
        <v>-0.1740939109341515</v>
      </c>
      <c r="BF7" s="676">
        <f>IS!BJ7</f>
        <v>-0.26152303986130432</v>
      </c>
      <c r="BG7" s="676">
        <f ca="1">IS!BK7</f>
        <v>-0.13448058516087302</v>
      </c>
      <c r="BH7" s="676">
        <f>IS!BL7</f>
        <v>-6.948001896635414E-2</v>
      </c>
      <c r="BI7" s="676">
        <f>IS!BM7</f>
        <v>8.3651677482559972E-2</v>
      </c>
      <c r="BJ7" s="676">
        <f>IS!BN7</f>
        <v>0.20282438510304646</v>
      </c>
      <c r="BK7" s="676">
        <f>IS!BO7</f>
        <v>0.12162241551660968</v>
      </c>
      <c r="BL7" s="676">
        <f>IS!BP7</f>
        <v>6.2482203484369281E-2</v>
      </c>
      <c r="BM7" s="676">
        <f>IS!BQ7</f>
        <v>-4.8168339982430086E-2</v>
      </c>
      <c r="BN7" s="678">
        <f>IS!BR7</f>
        <v>1.2429840301006356E-2</v>
      </c>
      <c r="BO7" s="678">
        <f>IS!BS7</f>
        <v>-0.47513260330663187</v>
      </c>
      <c r="BP7" s="678">
        <f>IS!BT7</f>
        <v>-0.30835403658964888</v>
      </c>
      <c r="BQ7" s="678">
        <f>IS!BU7</f>
        <v>-0.392068984242253</v>
      </c>
      <c r="BR7" s="678">
        <f>IS!BV7</f>
        <v>-0.26619291934395939</v>
      </c>
      <c r="BS7" s="676">
        <f>IS!BW7</f>
        <v>5.2154036975822216E-2</v>
      </c>
      <c r="BT7" s="678">
        <f>IS!BX7</f>
        <v>-0.39923491220177387</v>
      </c>
      <c r="BU7" s="676">
        <f>IS!BY7</f>
        <v>0.40940581055757064</v>
      </c>
      <c r="BV7" s="678">
        <f>IS!BZ7</f>
        <v>0.24982349674676074</v>
      </c>
      <c r="BW7" s="676">
        <f>IS!CA7</f>
        <v>3.4400427751031026E-2</v>
      </c>
      <c r="BX7" s="678">
        <f>IS!CB7</f>
        <v>0.26766191709844556</v>
      </c>
      <c r="BY7" s="678">
        <f>IS!CC7</f>
        <v>-0.4799959328325788</v>
      </c>
      <c r="BZ7" s="678">
        <f>IS!CD7</f>
        <v>-0.87470946077027545</v>
      </c>
      <c r="CA7" s="676">
        <f>IS!CE7</f>
        <v>-0.31102474419400095</v>
      </c>
      <c r="CB7" s="678">
        <f>IS!CF7</f>
        <v>-0.91354543554945289</v>
      </c>
      <c r="CC7" s="678">
        <f>IS!CG7</f>
        <v>-0.39590501274266432</v>
      </c>
      <c r="CD7" s="678">
        <f>IS!CH7</f>
        <v>16.855811172281676</v>
      </c>
      <c r="CE7" s="676">
        <f>IS!CI7</f>
        <v>-0.72699061564777123</v>
      </c>
      <c r="CF7" s="676">
        <f>IS!CJ7</f>
        <v>2.9674586945718455</v>
      </c>
      <c r="CG7" s="676">
        <f>IS!CK7</f>
        <v>-9.6931005050492014E-2</v>
      </c>
      <c r="CH7" s="678">
        <f>IS!CL7</f>
        <v>-0.85627920276645431</v>
      </c>
      <c r="CI7" s="369"/>
    </row>
    <row r="8" spans="1:95" collapsed="1">
      <c r="A8" s="2817" t="s">
        <v>1022</v>
      </c>
      <c r="B8" s="2900"/>
      <c r="C8" s="2900"/>
      <c r="D8" s="2901">
        <v>2003</v>
      </c>
      <c r="E8" s="2901">
        <v>2004</v>
      </c>
      <c r="F8" s="2901">
        <v>2005</v>
      </c>
      <c r="G8" s="2901">
        <v>2006</v>
      </c>
      <c r="H8" s="2901">
        <v>2007</v>
      </c>
      <c r="I8" s="2901">
        <v>2008</v>
      </c>
      <c r="J8" s="2901">
        <v>2009</v>
      </c>
      <c r="K8" s="2838" t="s">
        <v>583</v>
      </c>
      <c r="L8" s="2838" t="str">
        <f>IS!L8</f>
        <v>2011</v>
      </c>
      <c r="M8" s="2838" t="str">
        <f>IS!M8</f>
        <v>2012</v>
      </c>
      <c r="N8" s="2838" t="str">
        <f>IS!N8</f>
        <v>2013</v>
      </c>
      <c r="O8" s="2838" t="str">
        <f>IS!O8</f>
        <v>2014</v>
      </c>
      <c r="P8" s="2838" t="str">
        <f>IS!P8</f>
        <v>2015</v>
      </c>
      <c r="Q8" s="2838" t="str">
        <f>IS!Q8</f>
        <v>2016</v>
      </c>
      <c r="R8" s="2838" t="str">
        <f>IS!R8</f>
        <v>2017</v>
      </c>
      <c r="S8" s="2838" t="str">
        <f>IS!S8</f>
        <v>2018E</v>
      </c>
      <c r="T8" s="2838" t="str">
        <f>IS!T8</f>
        <v>2019E</v>
      </c>
      <c r="U8" s="2838" t="str">
        <f>IS!U8</f>
        <v>2020E</v>
      </c>
      <c r="V8" s="2838" t="str">
        <f>IS!V8</f>
        <v>2021E</v>
      </c>
      <c r="W8" s="2838" t="str">
        <f>IS!W8</f>
        <v>2022E</v>
      </c>
      <c r="X8" s="2838" t="str">
        <f>IS!X8</f>
        <v>2023E</v>
      </c>
      <c r="Y8" s="2540"/>
      <c r="Z8" s="2902" t="s">
        <v>767</v>
      </c>
      <c r="AA8" s="2839" t="s">
        <v>768</v>
      </c>
      <c r="AB8" s="2825" t="s">
        <v>769</v>
      </c>
      <c r="AC8" s="2838" t="s">
        <v>770</v>
      </c>
      <c r="AD8" s="2836" t="s">
        <v>771</v>
      </c>
      <c r="AE8" s="2837" t="s">
        <v>800</v>
      </c>
      <c r="AF8" s="2838" t="s">
        <v>801</v>
      </c>
      <c r="AG8" s="2838" t="s">
        <v>802</v>
      </c>
      <c r="AH8" s="2836" t="s">
        <v>803</v>
      </c>
      <c r="AI8" s="2837" t="s">
        <v>804</v>
      </c>
      <c r="AJ8" s="2838" t="s">
        <v>805</v>
      </c>
      <c r="AK8" s="2838" t="s">
        <v>806</v>
      </c>
      <c r="AL8" s="2836" t="s">
        <v>807</v>
      </c>
      <c r="AM8" s="2837" t="s">
        <v>808</v>
      </c>
      <c r="AN8" s="2838" t="s">
        <v>809</v>
      </c>
      <c r="AO8" s="2838" t="s">
        <v>810</v>
      </c>
      <c r="AP8" s="2838" t="s">
        <v>811</v>
      </c>
      <c r="AQ8" s="2839" t="s">
        <v>812</v>
      </c>
      <c r="AR8" s="2825" t="s">
        <v>813</v>
      </c>
      <c r="AS8" s="2825" t="s">
        <v>814</v>
      </c>
      <c r="AT8" s="2826" t="s">
        <v>430</v>
      </c>
      <c r="AU8" s="2839" t="s">
        <v>431</v>
      </c>
      <c r="AV8" s="2825" t="s">
        <v>486</v>
      </c>
      <c r="AW8" s="2825" t="s">
        <v>493</v>
      </c>
      <c r="AX8" s="2826" t="s">
        <v>513</v>
      </c>
      <c r="AY8" s="2825" t="s">
        <v>559</v>
      </c>
      <c r="AZ8" s="2825" t="s">
        <v>730</v>
      </c>
      <c r="BA8" s="2825" t="s">
        <v>367</v>
      </c>
      <c r="BB8" s="2825" t="s">
        <v>582</v>
      </c>
      <c r="BC8" s="2839" t="s">
        <v>257</v>
      </c>
      <c r="BD8" s="2825" t="s">
        <v>950</v>
      </c>
      <c r="BE8" s="2825" t="s">
        <v>455</v>
      </c>
      <c r="BF8" s="2826" t="s">
        <v>70</v>
      </c>
      <c r="BG8" s="2825" t="str">
        <f>IS!BK8</f>
        <v>1Q12</v>
      </c>
      <c r="BH8" s="2825" t="s">
        <v>414</v>
      </c>
      <c r="BI8" s="2825" t="s">
        <v>733</v>
      </c>
      <c r="BJ8" s="2826" t="s">
        <v>141</v>
      </c>
      <c r="BK8" s="2825" t="s">
        <v>276</v>
      </c>
      <c r="BL8" s="2825" t="s">
        <v>557</v>
      </c>
      <c r="BM8" s="2825" t="s">
        <v>964</v>
      </c>
      <c r="BN8" s="2825" t="s">
        <v>418</v>
      </c>
      <c r="BO8" s="2839" t="str">
        <f>IS!BS8</f>
        <v>1Q14</v>
      </c>
      <c r="BP8" s="2825" t="str">
        <f>IS!BT8</f>
        <v>2Q14</v>
      </c>
      <c r="BQ8" s="2825" t="str">
        <f>IS!BU8</f>
        <v>3Q14</v>
      </c>
      <c r="BR8" s="2826" t="str">
        <f>IS!BV8</f>
        <v>4Q14</v>
      </c>
      <c r="BS8" s="2823" t="str">
        <f>IS!BW8</f>
        <v>1Q15</v>
      </c>
      <c r="BT8" s="2825" t="str">
        <f>IS!BX8</f>
        <v>2Q15</v>
      </c>
      <c r="BU8" s="2823" t="str">
        <f>IS!BY8</f>
        <v>3Q15</v>
      </c>
      <c r="BV8" s="2826" t="str">
        <f>IS!BZ8</f>
        <v>4Q15</v>
      </c>
      <c r="BW8" s="2825" t="str">
        <f>IS!CA8</f>
        <v>1Q16</v>
      </c>
      <c r="BX8" s="2825" t="str">
        <f>IS!CB8</f>
        <v>2Q16</v>
      </c>
      <c r="BY8" s="2825" t="str">
        <f>IS!CC8</f>
        <v>3Q16</v>
      </c>
      <c r="BZ8" s="2826" t="str">
        <f>IS!CD8</f>
        <v>4Q16</v>
      </c>
      <c r="CA8" s="2825" t="str">
        <f>IS!CE8</f>
        <v>1Q17</v>
      </c>
      <c r="CB8" s="2825" t="str">
        <f>IS!CF8</f>
        <v>2Q17</v>
      </c>
      <c r="CC8" s="2825" t="str">
        <f>IS!CG8</f>
        <v>3Q17</v>
      </c>
      <c r="CD8" s="2826" t="str">
        <f>IS!CH8</f>
        <v>4Q17</v>
      </c>
      <c r="CE8" s="2825" t="str">
        <f>IS!CI8</f>
        <v>1Q18E</v>
      </c>
      <c r="CF8" s="2825" t="str">
        <f>IS!CJ8</f>
        <v>2Q18E</v>
      </c>
      <c r="CG8" s="2825" t="str">
        <f>IS!CK8</f>
        <v>3Q18E</v>
      </c>
      <c r="CH8" s="2826" t="str">
        <f>IS!CL8</f>
        <v>4Q18E</v>
      </c>
      <c r="CI8" s="632"/>
    </row>
    <row r="9" spans="1:95">
      <c r="A9" s="404" t="s">
        <v>1040</v>
      </c>
      <c r="B9" s="404"/>
      <c r="C9" s="404"/>
      <c r="D9" s="413"/>
      <c r="E9" s="413"/>
      <c r="F9" s="413"/>
      <c r="G9" s="413"/>
      <c r="H9" s="413"/>
      <c r="I9" s="1701"/>
      <c r="J9" s="1701"/>
      <c r="K9" s="1701"/>
      <c r="L9" s="1701"/>
      <c r="M9" s="1701"/>
      <c r="N9" s="1701"/>
      <c r="O9" s="1701"/>
      <c r="P9" s="1701"/>
      <c r="Q9" s="1701"/>
      <c r="R9" s="1701"/>
      <c r="S9" s="1701"/>
      <c r="T9" s="1701"/>
      <c r="U9" s="1701"/>
      <c r="V9" s="1701"/>
      <c r="W9" s="1701"/>
      <c r="X9" s="1701"/>
      <c r="Y9" s="2540"/>
      <c r="Z9" s="679"/>
      <c r="AA9" s="490"/>
      <c r="AB9" s="413"/>
      <c r="AC9" s="413"/>
      <c r="AD9" s="414"/>
      <c r="AE9" s="415"/>
      <c r="AF9" s="425"/>
      <c r="AG9" s="408"/>
      <c r="AH9" s="416"/>
      <c r="AI9" s="415"/>
      <c r="AJ9" s="408"/>
      <c r="AK9" s="408"/>
      <c r="AL9" s="416"/>
      <c r="AM9" s="415"/>
      <c r="AN9" s="413"/>
      <c r="AO9" s="413"/>
      <c r="AP9" s="413"/>
      <c r="AQ9" s="490"/>
      <c r="AR9" s="413"/>
      <c r="AS9" s="413"/>
      <c r="AT9" s="568"/>
      <c r="AU9" s="570"/>
      <c r="AV9" s="680"/>
      <c r="AW9" s="680"/>
      <c r="AX9" s="680"/>
      <c r="AY9" s="1743"/>
      <c r="AZ9" s="1744"/>
      <c r="BA9" s="1744"/>
      <c r="BB9" s="1744"/>
      <c r="BC9" s="1743"/>
      <c r="BD9" s="1744"/>
      <c r="BE9" s="1744"/>
      <c r="BF9" s="1745"/>
      <c r="BG9" s="1744"/>
      <c r="BH9" s="1744"/>
      <c r="BI9" s="1744"/>
      <c r="BJ9" s="1745"/>
      <c r="BK9" s="1744"/>
      <c r="BL9" s="1744"/>
      <c r="BM9" s="1744"/>
      <c r="BN9" s="1744"/>
      <c r="BO9" s="1743"/>
      <c r="BP9" s="1744"/>
      <c r="BQ9" s="1744"/>
      <c r="BR9" s="1745"/>
      <c r="BS9" s="1744"/>
      <c r="BT9" s="1744"/>
      <c r="BU9" s="1744"/>
      <c r="BV9" s="1745"/>
      <c r="BW9" s="1744"/>
      <c r="BX9" s="1744"/>
      <c r="BY9" s="1744"/>
      <c r="BZ9" s="1745"/>
      <c r="CA9" s="1744"/>
      <c r="CB9" s="1744"/>
      <c r="CC9" s="1744"/>
      <c r="CD9" s="1745"/>
      <c r="CE9" s="1744"/>
      <c r="CF9" s="1744"/>
      <c r="CG9" s="1744"/>
      <c r="CH9" s="1745"/>
      <c r="CI9" s="632"/>
    </row>
    <row r="10" spans="1:95">
      <c r="A10" s="373" t="s">
        <v>1041</v>
      </c>
      <c r="B10" s="399"/>
      <c r="C10" s="399"/>
      <c r="D10" s="451"/>
      <c r="E10" s="451">
        <f>SUM(AA10:AD10)</f>
        <v>337.24400000000003</v>
      </c>
      <c r="F10" s="413">
        <f>SUM(AE10:AH10)</f>
        <v>334.47899999999998</v>
      </c>
      <c r="G10" s="413">
        <f>SUM(AI10:AL10)</f>
        <v>1086.0567069824576</v>
      </c>
      <c r="H10" s="413">
        <f>SUM(AM10:AP10)</f>
        <v>1101.3699999999999</v>
      </c>
      <c r="I10" s="1701">
        <f>SUM(AQ10:AT10)</f>
        <v>1815.732</v>
      </c>
      <c r="J10" s="1701">
        <f>SUM(AU10:AX10)</f>
        <v>1803.1109999999985</v>
      </c>
      <c r="K10" s="1701">
        <f>SUM(AY10:BB10)</f>
        <v>1852</v>
      </c>
      <c r="L10" s="1701">
        <f ca="1">SUM(BC10:BF10)</f>
        <v>1631.8000000000002</v>
      </c>
      <c r="M10" s="1701">
        <f>SUM(BG10:BJ10)</f>
        <v>777</v>
      </c>
      <c r="N10" s="1701">
        <f>SUM(BK10:BN10)</f>
        <v>-239</v>
      </c>
      <c r="O10" s="1710">
        <f>SUM(BO10:BR10)</f>
        <v>772</v>
      </c>
      <c r="P10" s="1710">
        <f>SUM(BS10:BV10)</f>
        <v>878</v>
      </c>
      <c r="Q10" s="1710">
        <f>SUM(BW10:BZ10)</f>
        <v>626</v>
      </c>
      <c r="R10" s="1710">
        <f>SUM(CA10:CD10)</f>
        <v>1389</v>
      </c>
      <c r="S10" s="1710">
        <f>SUM(CE10:CH10)</f>
        <v>603.2638526224921</v>
      </c>
      <c r="T10" s="1710">
        <f>IS!T96</f>
        <v>1077.1363402526958</v>
      </c>
      <c r="U10" s="1710">
        <f>IS!U96</f>
        <v>1419.4056536311577</v>
      </c>
      <c r="V10" s="1710">
        <f>IS!V96</f>
        <v>1586.1145386905418</v>
      </c>
      <c r="W10" s="1710">
        <f>IS!W96</f>
        <v>1774.3465787232058</v>
      </c>
      <c r="X10" s="1710">
        <f>IS!X96</f>
        <v>1967.6719560726992</v>
      </c>
      <c r="Y10" s="2540"/>
      <c r="Z10" s="679">
        <f>(INPUTS_2!B151+INPUTS_2!B196)/1000</f>
        <v>82.441999999999993</v>
      </c>
      <c r="AA10" s="490">
        <f>(INPUTS_2!C151+INPUTS_2!C196)/1000</f>
        <v>83.278999999999996</v>
      </c>
      <c r="AB10" s="413">
        <f>(INPUTS_2!D151+INPUTS_2!D196)/1000</f>
        <v>83.284000000000006</v>
      </c>
      <c r="AC10" s="413">
        <f>(INPUTS_2!E151+INPUTS_2!E196)/1000</f>
        <v>86.191999999999993</v>
      </c>
      <c r="AD10" s="414">
        <f>(INPUTS_2!F151+INPUTS_2!F196)/1000</f>
        <v>84.489000000000004</v>
      </c>
      <c r="AE10" s="490">
        <f>(INPUTS_2!G151+INPUTS_2!G196)/1000</f>
        <v>79.616</v>
      </c>
      <c r="AF10" s="413">
        <f>(INPUTS_2!H151+INPUTS_2!H196)/1000</f>
        <v>85.117999999999995</v>
      </c>
      <c r="AG10" s="413">
        <f>(INPUTS_2!I151+INPUTS_2!I196)/1000</f>
        <v>91.411000000000001</v>
      </c>
      <c r="AH10" s="414">
        <f>(INPUTS_2!J151+INPUTS_2!J196)/1000</f>
        <v>78.334000000000003</v>
      </c>
      <c r="AI10" s="490">
        <f>(INPUTS_2!K151+INPUTS_2!K196)/1000</f>
        <v>243.21415148727425</v>
      </c>
      <c r="AJ10" s="413">
        <f>(INPUTS_2!L151+INPUTS_2!L196)/1000</f>
        <v>340.6085554951834</v>
      </c>
      <c r="AK10" s="413">
        <f>(INPUTS_2!M151+INPUTS_2!M196)/1000</f>
        <v>236.483</v>
      </c>
      <c r="AL10" s="414">
        <f>(INPUTS_2!N151+INPUTS_2!N196)/1000</f>
        <v>265.75099999999998</v>
      </c>
      <c r="AM10" s="490">
        <f>(INPUTS_2!O151+INPUTS_2!O196)/1000</f>
        <v>237.87</v>
      </c>
      <c r="AN10" s="413">
        <f>(INPUTS_2!P151+INPUTS_2!P196)/1000</f>
        <v>288.26499999999999</v>
      </c>
      <c r="AO10" s="413">
        <f>(INPUTS_2!Q151+INPUTS_2!Q196)/1000</f>
        <v>270.202</v>
      </c>
      <c r="AP10" s="413">
        <f>(INPUTS_2!R151+INPUTS_2!R196)/1000</f>
        <v>305.03300000000002</v>
      </c>
      <c r="AQ10" s="490">
        <f>(INPUTS_2!S151+INPUTS_2!S196)/1000</f>
        <v>450.76</v>
      </c>
      <c r="AR10" s="413">
        <f>(INPUTS_2!T151+INPUTS_2!T196)/1000</f>
        <v>493.16699999999997</v>
      </c>
      <c r="AS10" s="413">
        <f>(INPUTS_2!U151+INPUTS_2!U196)/1000</f>
        <v>395.733</v>
      </c>
      <c r="AT10" s="413">
        <f>(INPUTS_2!V151+INPUTS_2!V196)/1000</f>
        <v>476.072</v>
      </c>
      <c r="AU10" s="489">
        <f>+IS!AY87</f>
        <v>522.40499999999929</v>
      </c>
      <c r="AV10" s="451">
        <f>+IS!AZ87</f>
        <v>430.08299999999991</v>
      </c>
      <c r="AW10" s="451">
        <f>+IS!BA87</f>
        <v>422.33399999999943</v>
      </c>
      <c r="AX10" s="451">
        <f>+IS!BB87</f>
        <v>428.28900000000004</v>
      </c>
      <c r="AY10" s="1724">
        <f>+IS!BC87</f>
        <v>500</v>
      </c>
      <c r="AZ10" s="1710">
        <f>+IS!BD87</f>
        <v>451</v>
      </c>
      <c r="BA10" s="1710">
        <f>+IS!BE87</f>
        <v>446</v>
      </c>
      <c r="BB10" s="1710">
        <f>+IS!BF87</f>
        <v>455</v>
      </c>
      <c r="BC10" s="1724">
        <f ca="1">+IS!BG87</f>
        <v>483.80000000000018</v>
      </c>
      <c r="BD10" s="1710">
        <f>+IS!BH87</f>
        <v>428</v>
      </c>
      <c r="BE10" s="1710">
        <f>+IS!BI87</f>
        <v>377</v>
      </c>
      <c r="BF10" s="1742">
        <f>+IS!BJ87</f>
        <v>343</v>
      </c>
      <c r="BG10" s="622">
        <v>200</v>
      </c>
      <c r="BH10" s="622">
        <f>274-BG10</f>
        <v>74</v>
      </c>
      <c r="BI10" s="622">
        <f>544-BH10-BG10</f>
        <v>270</v>
      </c>
      <c r="BJ10" s="1830">
        <f>777-BI10-BH10-BG10</f>
        <v>233</v>
      </c>
      <c r="BK10" s="622">
        <v>298</v>
      </c>
      <c r="BL10" s="622">
        <f>567-BK10</f>
        <v>269</v>
      </c>
      <c r="BM10" s="622">
        <f>-478-BL10-BK10</f>
        <v>-1045</v>
      </c>
      <c r="BN10" s="622">
        <f>-239-BM10-BL10-BK10</f>
        <v>239</v>
      </c>
      <c r="BO10" s="576">
        <v>203</v>
      </c>
      <c r="BP10" s="578">
        <f>396-BO10</f>
        <v>193</v>
      </c>
      <c r="BQ10" s="578">
        <f>584-BP10-BO10</f>
        <v>188</v>
      </c>
      <c r="BR10" s="575">
        <f>772-BQ10-BP10-BO10</f>
        <v>188</v>
      </c>
      <c r="BS10" s="2890">
        <v>192</v>
      </c>
      <c r="BT10" s="2891">
        <f>335-BS10</f>
        <v>143</v>
      </c>
      <c r="BU10" s="2891">
        <f>540-BT10-BS10</f>
        <v>205</v>
      </c>
      <c r="BV10" s="2892">
        <f>878-BU10-BT10-BS10</f>
        <v>338</v>
      </c>
      <c r="BW10" s="2891">
        <v>236</v>
      </c>
      <c r="BX10" s="2891">
        <f>432-BW10</f>
        <v>196</v>
      </c>
      <c r="BY10" s="2891">
        <f>584-BX10-BW10</f>
        <v>152</v>
      </c>
      <c r="BZ10" s="2892">
        <f>626-BY10-BX10-BW10</f>
        <v>42</v>
      </c>
      <c r="CA10" s="2891">
        <v>163</v>
      </c>
      <c r="CB10" s="2891">
        <v>17</v>
      </c>
      <c r="CC10" s="2891">
        <v>92</v>
      </c>
      <c r="CD10" s="2892">
        <v>1117</v>
      </c>
      <c r="CE10" s="1744">
        <f>IS!CI96</f>
        <v>88.260182343750472</v>
      </c>
      <c r="CF10" s="1744">
        <f>IS!CJ96</f>
        <v>133.96106476481222</v>
      </c>
      <c r="CG10" s="1744">
        <f>IS!CK96</f>
        <v>165.49905674433589</v>
      </c>
      <c r="CH10" s="1745">
        <f>IS!CL96</f>
        <v>215.54354876959349</v>
      </c>
      <c r="CI10" s="632"/>
      <c r="CQ10" s="2074"/>
    </row>
    <row r="11" spans="1:95">
      <c r="A11" s="373" t="s">
        <v>1042</v>
      </c>
      <c r="B11" s="399"/>
      <c r="C11" s="399"/>
      <c r="D11" s="451"/>
      <c r="E11" s="451"/>
      <c r="F11" s="413"/>
      <c r="G11" s="413"/>
      <c r="H11" s="413"/>
      <c r="I11" s="1701"/>
      <c r="J11" s="1701"/>
      <c r="K11" s="1701"/>
      <c r="L11" s="1701"/>
      <c r="M11" s="1701"/>
      <c r="N11" s="1701"/>
      <c r="O11" s="1701"/>
      <c r="P11" s="1701"/>
      <c r="Q11" s="1701"/>
      <c r="R11" s="1701"/>
      <c r="S11" s="1701">
        <f t="shared" ref="S11:S29" si="0">SUM(CE11:CH11)</f>
        <v>0</v>
      </c>
      <c r="T11" s="1701"/>
      <c r="U11" s="1701"/>
      <c r="V11" s="1701"/>
      <c r="W11" s="1701"/>
      <c r="X11" s="1701"/>
      <c r="Y11" s="2540"/>
      <c r="Z11" s="679"/>
      <c r="AA11" s="490"/>
      <c r="AB11" s="413"/>
      <c r="AC11" s="413"/>
      <c r="AD11" s="414"/>
      <c r="AE11" s="490"/>
      <c r="AF11" s="413"/>
      <c r="AG11" s="413"/>
      <c r="AH11" s="414"/>
      <c r="AI11" s="490"/>
      <c r="AJ11" s="413"/>
      <c r="AK11" s="413"/>
      <c r="AL11" s="414"/>
      <c r="AM11" s="490"/>
      <c r="AN11" s="413"/>
      <c r="AO11" s="413"/>
      <c r="AP11" s="413"/>
      <c r="AQ11" s="490"/>
      <c r="AR11" s="413"/>
      <c r="AS11" s="413"/>
      <c r="AT11" s="413"/>
      <c r="AU11" s="490"/>
      <c r="AV11" s="413"/>
      <c r="AW11" s="413"/>
      <c r="AX11" s="413"/>
      <c r="AY11" s="1725"/>
      <c r="AZ11" s="1701"/>
      <c r="BA11" s="1701"/>
      <c r="BB11" s="1701"/>
      <c r="BC11" s="1725"/>
      <c r="BD11" s="1701"/>
      <c r="BE11" s="1701"/>
      <c r="BF11" s="1702"/>
      <c r="BG11" s="573"/>
      <c r="BH11" s="573"/>
      <c r="BI11" s="573"/>
      <c r="BJ11" s="574"/>
      <c r="BK11" s="573"/>
      <c r="BL11" s="573"/>
      <c r="BM11" s="573"/>
      <c r="BN11" s="573"/>
      <c r="BO11" s="576"/>
      <c r="BP11" s="578"/>
      <c r="BQ11" s="578"/>
      <c r="BR11" s="575"/>
      <c r="BS11" s="2890"/>
      <c r="BT11" s="2891"/>
      <c r="BU11" s="2891"/>
      <c r="BV11" s="2892"/>
      <c r="BW11" s="2891"/>
      <c r="BX11" s="2891"/>
      <c r="BY11" s="2891"/>
      <c r="BZ11" s="2892"/>
      <c r="CA11" s="2891"/>
      <c r="CB11" s="2891"/>
      <c r="CC11" s="2891"/>
      <c r="CD11" s="2892"/>
      <c r="CE11" s="1744"/>
      <c r="CF11" s="1744"/>
      <c r="CG11" s="1744"/>
      <c r="CH11" s="1745"/>
      <c r="CI11" s="632"/>
      <c r="CQ11" s="2074"/>
    </row>
    <row r="12" spans="1:95" hidden="1" outlineLevel="1">
      <c r="A12" s="1687" t="s">
        <v>1043</v>
      </c>
      <c r="B12" s="418"/>
      <c r="C12" s="418"/>
      <c r="D12" s="451"/>
      <c r="E12" s="451">
        <f t="shared" ref="E12:E19" si="1">SUM(AA12:AD12)</f>
        <v>0</v>
      </c>
      <c r="F12" s="413">
        <f t="shared" ref="F12:F19" si="2">SUM(AE12:AH12)</f>
        <v>0</v>
      </c>
      <c r="G12" s="413">
        <f t="shared" ref="G12:G19" si="3">SUM(AI12:AL12)</f>
        <v>0</v>
      </c>
      <c r="H12" s="413">
        <f t="shared" ref="H12:H19" si="4">SUM(AM12:AP12)</f>
        <v>0</v>
      </c>
      <c r="I12" s="1701">
        <f t="shared" ref="I12:I19" si="5">SUM(AQ12:AT12)</f>
        <v>0</v>
      </c>
      <c r="J12" s="1701">
        <f t="shared" ref="J12:J19" si="6">SUM(AU12:AX12)</f>
        <v>26</v>
      </c>
      <c r="K12" s="1701"/>
      <c r="L12" s="1701"/>
      <c r="M12" s="1701"/>
      <c r="N12" s="1701"/>
      <c r="O12" s="1746"/>
      <c r="P12" s="1746"/>
      <c r="Q12" s="1746"/>
      <c r="R12" s="1746">
        <f t="shared" ref="R12:R29" si="7">SUM(CA12:CD12)</f>
        <v>0</v>
      </c>
      <c r="S12" s="1746">
        <f t="shared" si="0"/>
        <v>0</v>
      </c>
      <c r="T12" s="1746"/>
      <c r="U12" s="1746"/>
      <c r="V12" s="1746"/>
      <c r="W12" s="1746"/>
      <c r="X12" s="1746"/>
      <c r="Y12" s="2541"/>
      <c r="Z12" s="679">
        <f>(INPUTS_2!B153)/1000</f>
        <v>0</v>
      </c>
      <c r="AA12" s="490">
        <f>(INPUTS_2!C153)/1000</f>
        <v>0</v>
      </c>
      <c r="AB12" s="413">
        <f>(INPUTS_2!D153)/1000</f>
        <v>0</v>
      </c>
      <c r="AC12" s="413">
        <f>(INPUTS_2!E153)/1000</f>
        <v>0</v>
      </c>
      <c r="AD12" s="414">
        <f>(INPUTS_2!F153)/1000</f>
        <v>0</v>
      </c>
      <c r="AE12" s="490">
        <f>(INPUTS_2!G153)/1000</f>
        <v>0</v>
      </c>
      <c r="AF12" s="413">
        <f>(INPUTS_2!H153)/1000</f>
        <v>0</v>
      </c>
      <c r="AG12" s="413">
        <f>(INPUTS_2!I153)/1000</f>
        <v>0</v>
      </c>
      <c r="AH12" s="414">
        <f>(INPUTS_2!J153)/1000</f>
        <v>0</v>
      </c>
      <c r="AI12" s="490">
        <f>(INPUTS_2!K153)/1000</f>
        <v>0</v>
      </c>
      <c r="AJ12" s="413">
        <f>(INPUTS_2!L153)/1000</f>
        <v>0</v>
      </c>
      <c r="AK12" s="413">
        <f>(INPUTS_2!M153)/1000</f>
        <v>0</v>
      </c>
      <c r="AL12" s="414">
        <f>(INPUTS_2!N153)/1000</f>
        <v>0</v>
      </c>
      <c r="AM12" s="490">
        <f>(INPUTS_2!O153)/1000</f>
        <v>0</v>
      </c>
      <c r="AN12" s="413">
        <f>(INPUTS_2!P153)/1000</f>
        <v>0</v>
      </c>
      <c r="AO12" s="413">
        <f>(INPUTS_2!Q153)/1000</f>
        <v>0</v>
      </c>
      <c r="AP12" s="413">
        <f>(INPUTS_2!R153)/1000</f>
        <v>0</v>
      </c>
      <c r="AQ12" s="490">
        <f>(INPUTS_2!S153)/1000</f>
        <v>0</v>
      </c>
      <c r="AR12" s="413">
        <f>(INPUTS_2!T153)/1000</f>
        <v>0</v>
      </c>
      <c r="AS12" s="413">
        <f>(INPUTS_2!U153)/1000</f>
        <v>0</v>
      </c>
      <c r="AT12" s="413">
        <f>(INPUTS_2!V153)/1000</f>
        <v>0</v>
      </c>
      <c r="AU12" s="490">
        <f>(INPUTS_2!W153)/1000</f>
        <v>26</v>
      </c>
      <c r="AV12" s="413">
        <f>(INPUTS_2!X153)/1000</f>
        <v>0</v>
      </c>
      <c r="AW12" s="413">
        <f>(INPUTS_2!Y153)/1000</f>
        <v>0</v>
      </c>
      <c r="AX12" s="413">
        <f>(INPUTS_2!Z153)/1000</f>
        <v>0</v>
      </c>
      <c r="AY12" s="1725"/>
      <c r="AZ12" s="1701"/>
      <c r="BA12" s="1701"/>
      <c r="BB12" s="1701"/>
      <c r="BC12" s="1725"/>
      <c r="BD12" s="1701"/>
      <c r="BE12" s="1701"/>
      <c r="BF12" s="1702"/>
      <c r="BG12" s="573"/>
      <c r="BH12" s="573"/>
      <c r="BI12" s="573"/>
      <c r="BJ12" s="574"/>
      <c r="BK12" s="573"/>
      <c r="BL12" s="573"/>
      <c r="BM12" s="573"/>
      <c r="BN12" s="573"/>
      <c r="BO12" s="576"/>
      <c r="BP12" s="578"/>
      <c r="BQ12" s="578"/>
      <c r="BR12" s="575"/>
      <c r="BS12" s="2890"/>
      <c r="BT12" s="2891"/>
      <c r="BU12" s="2891"/>
      <c r="BV12" s="2892"/>
      <c r="BW12" s="2891"/>
      <c r="BX12" s="2891"/>
      <c r="BY12" s="2891"/>
      <c r="BZ12" s="2892"/>
      <c r="CA12" s="2891"/>
      <c r="CB12" s="2891"/>
      <c r="CC12" s="2891"/>
      <c r="CD12" s="2892"/>
      <c r="CE12" s="1744"/>
      <c r="CF12" s="1744"/>
      <c r="CG12" s="1744"/>
      <c r="CH12" s="1745"/>
      <c r="CI12" s="632"/>
      <c r="CQ12" s="2074"/>
    </row>
    <row r="13" spans="1:95" collapsed="1">
      <c r="A13" s="1687" t="s">
        <v>999</v>
      </c>
      <c r="B13" s="418"/>
      <c r="C13" s="418"/>
      <c r="D13" s="451"/>
      <c r="E13" s="451">
        <f t="shared" si="1"/>
        <v>500.904</v>
      </c>
      <c r="F13" s="413">
        <f t="shared" si="2"/>
        <v>531.93100000000004</v>
      </c>
      <c r="G13" s="413">
        <f t="shared" si="3"/>
        <v>1588.5059999999999</v>
      </c>
      <c r="H13" s="413">
        <f t="shared" si="4"/>
        <v>1756.2550000000001</v>
      </c>
      <c r="I13" s="1701">
        <f t="shared" si="5"/>
        <v>3880.7860000000001</v>
      </c>
      <c r="J13" s="1701">
        <f t="shared" si="6"/>
        <v>3773.71</v>
      </c>
      <c r="K13" s="1701">
        <f t="shared" ref="K13:K19" si="8">SUM(AY13:BB13)</f>
        <v>3836</v>
      </c>
      <c r="L13" s="1701">
        <f t="shared" ref="L13:L26" si="9">SUM(BC13:BF13)</f>
        <v>3800</v>
      </c>
      <c r="M13" s="1701">
        <f>SUM(BG13:BJ13)</f>
        <v>4780</v>
      </c>
      <c r="N13" s="1701">
        <f>SUM(BK13:BN13)</f>
        <v>4541</v>
      </c>
      <c r="O13" s="1710">
        <f>SUM(BO13:BR13)</f>
        <v>4428</v>
      </c>
      <c r="P13" s="1710">
        <f t="shared" ref="P13:P19" si="10">SUM(BS13:BV13)</f>
        <v>4189</v>
      </c>
      <c r="Q13" s="1710">
        <f>SUM(BW13:BZ13)</f>
        <v>3916</v>
      </c>
      <c r="R13" s="1710">
        <f t="shared" si="7"/>
        <v>3936</v>
      </c>
      <c r="S13" s="1710">
        <f t="shared" si="0"/>
        <v>5454.5163035963596</v>
      </c>
      <c r="T13" s="1701">
        <f>T128</f>
        <v>5345.4259775244327</v>
      </c>
      <c r="U13" s="1701">
        <f>U128</f>
        <v>5238.5174579739441</v>
      </c>
      <c r="V13" s="1701">
        <f>V128</f>
        <v>5146.8434024594007</v>
      </c>
      <c r="W13" s="1701">
        <f>W128</f>
        <v>5056.7736429163615</v>
      </c>
      <c r="X13" s="1701">
        <f>X128</f>
        <v>4968.2801041653256</v>
      </c>
      <c r="Y13" s="2540"/>
      <c r="Z13" s="679">
        <f>(INPUTS_2!B154+INPUTS_2!B198+INPUTS_2!B199)/1000</f>
        <v>118.98099999999999</v>
      </c>
      <c r="AA13" s="490">
        <f>(INPUTS_2!C154+INPUTS_2!C198+INPUTS_2!C199)/1000</f>
        <v>126.992</v>
      </c>
      <c r="AB13" s="413">
        <f>(INPUTS_2!D154+INPUTS_2!D198+INPUTS_2!D199)/1000</f>
        <v>130.751</v>
      </c>
      <c r="AC13" s="413">
        <f>(INPUTS_2!E154+INPUTS_2!E198+INPUTS_2!E199)/1000</f>
        <v>113.857</v>
      </c>
      <c r="AD13" s="414">
        <f>(INPUTS_2!F154+INPUTS_2!F198+INPUTS_2!F199)/1000</f>
        <v>129.304</v>
      </c>
      <c r="AE13" s="490">
        <f>(INPUTS_2!G154+INPUTS_2!G198+INPUTS_2!G199)/1000</f>
        <v>132.17500000000001</v>
      </c>
      <c r="AF13" s="413">
        <f>(INPUTS_2!H154+INPUTS_2!H198+INPUTS_2!H199)/1000</f>
        <v>130.452</v>
      </c>
      <c r="AG13" s="413">
        <f>(INPUTS_2!I154+INPUTS_2!I198+INPUTS_2!I199)/1000</f>
        <v>133.52600000000001</v>
      </c>
      <c r="AH13" s="414">
        <f>(INPUTS_2!J154+INPUTS_2!J198+INPUTS_2!J199)/1000</f>
        <v>135.77799999999999</v>
      </c>
      <c r="AI13" s="490">
        <f>(INPUTS_2!K154+INPUTS_2!K198+INPUTS_2!K199)/1000</f>
        <v>397.565</v>
      </c>
      <c r="AJ13" s="413">
        <f>(INPUTS_2!L154+INPUTS_2!L198+INPUTS_2!L199)/1000</f>
        <v>398.82</v>
      </c>
      <c r="AK13" s="413">
        <f>(INPUTS_2!M154+INPUTS_2!M198+INPUTS_2!M199)/1000</f>
        <v>396.84</v>
      </c>
      <c r="AL13" s="414">
        <f>(INPUTS_2!N154+INPUTS_2!N198+INPUTS_2!N199)/1000</f>
        <v>395.28100000000001</v>
      </c>
      <c r="AM13" s="490">
        <f>(INPUTS_2!O154+INPUTS_2!O198+INPUTS_2!O199)/1000</f>
        <v>397.78399999999999</v>
      </c>
      <c r="AN13" s="413">
        <f>(INPUTS_2!P154+INPUTS_2!P198+INPUTS_2!P199)/1000</f>
        <v>398.31099999999998</v>
      </c>
      <c r="AO13" s="413">
        <f>(INPUTS_2!Q154+INPUTS_2!Q198+INPUTS_2!Q199)/1000</f>
        <v>396.60599999999999</v>
      </c>
      <c r="AP13" s="413">
        <f>(INPUTS_2!R154+INPUTS_2!R198+INPUTS_2!R199)/1000</f>
        <v>563.55399999999997</v>
      </c>
      <c r="AQ13" s="490">
        <f>(INPUTS_2!S154+INPUTS_2!S198+INPUTS_2!S199)/1000</f>
        <v>962.68399999999997</v>
      </c>
      <c r="AR13" s="413">
        <f>(INPUTS_2!T154+INPUTS_2!T198+INPUTS_2!T199)/1000</f>
        <v>955.95399999999995</v>
      </c>
      <c r="AS13" s="413">
        <f>(INPUTS_2!U154+INPUTS_2!U198+INPUTS_2!U199)/1000</f>
        <v>979.35199999999998</v>
      </c>
      <c r="AT13" s="413">
        <f>(INPUTS_2!V154+INPUTS_2!V198+INPUTS_2!V199)/1000</f>
        <v>982.79600000000005</v>
      </c>
      <c r="AU13" s="490">
        <f>(INPUTS_2!W154+INPUTS_2!W198+INPUTS_2!W199)/1000</f>
        <v>944.72</v>
      </c>
      <c r="AV13" s="413">
        <f>(INPUTS_2!X154+INPUTS_2!X198+INPUTS_2!X199)/1000</f>
        <v>950.404</v>
      </c>
      <c r="AW13" s="413">
        <f>(INPUTS_2!Y154+INPUTS_2!Y198+INPUTS_2!Y199)/1000</f>
        <v>943.202</v>
      </c>
      <c r="AX13" s="413">
        <f>(INPUTS_2!Z154+INPUTS_2!Z198+INPUTS_2!Z199)/1000</f>
        <v>935.38400000000001</v>
      </c>
      <c r="AY13" s="1725">
        <f>+IS!BC47</f>
        <v>950</v>
      </c>
      <c r="AZ13" s="1701">
        <f>+IS!BD47</f>
        <v>957</v>
      </c>
      <c r="BA13" s="1701">
        <f>+IS!BE47</f>
        <v>968</v>
      </c>
      <c r="BB13" s="1701">
        <f>+IS!BF47</f>
        <v>961</v>
      </c>
      <c r="BC13" s="1725">
        <f>+IS!BG47</f>
        <v>930</v>
      </c>
      <c r="BD13" s="1701">
        <f>+IS!BH47</f>
        <v>963</v>
      </c>
      <c r="BE13" s="1701">
        <f>+IS!BI47</f>
        <v>957</v>
      </c>
      <c r="BF13" s="1702">
        <f>+IS!BJ47</f>
        <v>950</v>
      </c>
      <c r="BG13" s="573">
        <v>1208</v>
      </c>
      <c r="BH13" s="573">
        <f>2416-BG13</f>
        <v>1208</v>
      </c>
      <c r="BI13" s="573">
        <f>3560-BH13-BG13</f>
        <v>1144</v>
      </c>
      <c r="BJ13" s="574">
        <f>4780-BI13-BH13-BG13</f>
        <v>1220</v>
      </c>
      <c r="BK13" s="573">
        <v>1117</v>
      </c>
      <c r="BL13" s="573">
        <f>2240-BK13</f>
        <v>1123</v>
      </c>
      <c r="BM13" s="573">
        <f>3375-BL13-BK13</f>
        <v>1135</v>
      </c>
      <c r="BN13" s="622">
        <f>4541-BM13-BL13-BK13</f>
        <v>1166</v>
      </c>
      <c r="BO13" s="576">
        <v>1107</v>
      </c>
      <c r="BP13" s="578">
        <v>1093</v>
      </c>
      <c r="BQ13" s="578">
        <v>1097</v>
      </c>
      <c r="BR13" s="575">
        <v>1131</v>
      </c>
      <c r="BS13" s="2890">
        <v>1040</v>
      </c>
      <c r="BT13" s="2891">
        <v>1048</v>
      </c>
      <c r="BU13" s="2891">
        <v>1048</v>
      </c>
      <c r="BV13" s="2892">
        <v>1053</v>
      </c>
      <c r="BW13" s="2890">
        <v>976</v>
      </c>
      <c r="BX13" s="2891">
        <f>1963-BW13</f>
        <v>987</v>
      </c>
      <c r="BY13" s="2891">
        <f>2958-BX13-BW13</f>
        <v>995</v>
      </c>
      <c r="BZ13" s="2892">
        <f>3916-BY13-BX13-BW13</f>
        <v>958</v>
      </c>
      <c r="CA13" s="2890">
        <v>880</v>
      </c>
      <c r="CB13" s="2891">
        <v>949</v>
      </c>
      <c r="CC13" s="2891">
        <f>2739-CB13-CA13</f>
        <v>910</v>
      </c>
      <c r="CD13" s="2892">
        <f>3936-CC13-CB13-CA13</f>
        <v>1197</v>
      </c>
      <c r="CE13" s="1744">
        <f>CE128</f>
        <v>1359.5449999999998</v>
      </c>
      <c r="CF13" s="1744">
        <f>CF128</f>
        <v>1362.2640899999999</v>
      </c>
      <c r="CG13" s="1744">
        <f>CG128</f>
        <v>1364.98861818</v>
      </c>
      <c r="CH13" s="1745">
        <f>CH128</f>
        <v>1367.7185954163599</v>
      </c>
      <c r="CI13" s="632"/>
      <c r="CQ13" s="2074"/>
    </row>
    <row r="14" spans="1:95" hidden="1" outlineLevel="1">
      <c r="A14" s="1687" t="s">
        <v>1049</v>
      </c>
      <c r="B14" s="418"/>
      <c r="C14" s="418"/>
      <c r="D14" s="451"/>
      <c r="E14" s="451">
        <f t="shared" si="1"/>
        <v>-7.0670000000000011</v>
      </c>
      <c r="F14" s="413">
        <f t="shared" si="2"/>
        <v>-4.91</v>
      </c>
      <c r="G14" s="413">
        <f t="shared" si="3"/>
        <v>-5.8609999999999998</v>
      </c>
      <c r="H14" s="413">
        <f t="shared" si="4"/>
        <v>-4.3490000000000002</v>
      </c>
      <c r="I14" s="1701">
        <f t="shared" si="5"/>
        <v>-12.045000000000002</v>
      </c>
      <c r="J14" s="1701">
        <f t="shared" si="6"/>
        <v>-0.312</v>
      </c>
      <c r="K14" s="1701"/>
      <c r="L14" s="1701"/>
      <c r="M14" s="1701"/>
      <c r="N14" s="1701"/>
      <c r="O14" s="1746"/>
      <c r="P14" s="1746">
        <f t="shared" si="10"/>
        <v>0</v>
      </c>
      <c r="Q14" s="1746">
        <f>SUM(BT14:BW14)</f>
        <v>0</v>
      </c>
      <c r="R14" s="1746">
        <f t="shared" si="7"/>
        <v>0</v>
      </c>
      <c r="S14" s="1746">
        <f t="shared" si="0"/>
        <v>0</v>
      </c>
      <c r="T14" s="1746"/>
      <c r="U14" s="1746"/>
      <c r="V14" s="1746"/>
      <c r="W14" s="1746"/>
      <c r="X14" s="1746"/>
      <c r="Y14" s="2541"/>
      <c r="Z14" s="679">
        <f>INPUTS_2!B155/1000</f>
        <v>-1.2649999999999999</v>
      </c>
      <c r="AA14" s="490">
        <f>INPUTS_2!C155/1000</f>
        <v>-2.0590000000000002</v>
      </c>
      <c r="AB14" s="413">
        <f>INPUTS_2!D155/1000</f>
        <v>-2.1259999999999999</v>
      </c>
      <c r="AC14" s="413">
        <f>INPUTS_2!E155/1000</f>
        <v>-1.929</v>
      </c>
      <c r="AD14" s="414">
        <f>INPUTS_2!F155/1000</f>
        <v>-0.95299999999999996</v>
      </c>
      <c r="AE14" s="490">
        <f>INPUTS_2!G155/1000</f>
        <v>-1.3129999999999999</v>
      </c>
      <c r="AF14" s="413">
        <f>INPUTS_2!H155/1000</f>
        <v>-0.72399999999999998</v>
      </c>
      <c r="AG14" s="413">
        <f>INPUTS_2!I155/1000</f>
        <v>-1.27</v>
      </c>
      <c r="AH14" s="414">
        <f>INPUTS_2!J155/1000</f>
        <v>-1.603</v>
      </c>
      <c r="AI14" s="490">
        <f>INPUTS_2!K155/1000</f>
        <v>-2.073</v>
      </c>
      <c r="AJ14" s="413">
        <f>INPUTS_2!L155/1000</f>
        <v>-2.0760000000000001</v>
      </c>
      <c r="AK14" s="413">
        <f>INPUTS_2!M155/1000</f>
        <v>-0.89100000000000001</v>
      </c>
      <c r="AL14" s="414">
        <f>INPUTS_2!N155/1000</f>
        <v>-0.82099999999999995</v>
      </c>
      <c r="AM14" s="490">
        <f>INPUTS_2!O155/1000</f>
        <v>0</v>
      </c>
      <c r="AN14" s="413">
        <f>INPUTS_2!P155/1000</f>
        <v>0</v>
      </c>
      <c r="AO14" s="413">
        <f>INPUTS_2!Q155/1000</f>
        <v>0</v>
      </c>
      <c r="AP14" s="413">
        <f>INPUTS_2!R155/1000</f>
        <v>-4.3490000000000002</v>
      </c>
      <c r="AQ14" s="490">
        <f>INPUTS_2!S155/1000</f>
        <v>-3.306</v>
      </c>
      <c r="AR14" s="413">
        <f>INPUTS_2!T155/1000</f>
        <v>-5.3890000000000002</v>
      </c>
      <c r="AS14" s="413">
        <f>INPUTS_2!U155/1000</f>
        <v>0.49099999999999999</v>
      </c>
      <c r="AT14" s="413">
        <f>INPUTS_2!V155/1000</f>
        <v>-3.8410000000000002</v>
      </c>
      <c r="AU14" s="490">
        <f>INPUTS_2!W155/1000</f>
        <v>-0.63500000000000001</v>
      </c>
      <c r="AV14" s="413">
        <f>INPUTS_2!X155/1000</f>
        <v>0.32300000000000001</v>
      </c>
      <c r="AW14" s="413">
        <f>INPUTS_2!Y155/1000</f>
        <v>0</v>
      </c>
      <c r="AX14" s="413">
        <f>INPUTS_2!Z155/1000</f>
        <v>0</v>
      </c>
      <c r="AY14" s="1725">
        <f>INPUTS_2!AA155/1000</f>
        <v>-5.2359999999999998</v>
      </c>
      <c r="AZ14" s="1701">
        <f>INPUTS_2!AB155/1000</f>
        <v>-4.5510000000000002</v>
      </c>
      <c r="BA14" s="1701">
        <f>INPUTS_2!AC155/1000</f>
        <v>9.6980000000000004</v>
      </c>
      <c r="BB14" s="1701">
        <f>INPUTS_2!AD155/1000</f>
        <v>-0.25099999999999945</v>
      </c>
      <c r="BC14" s="1725"/>
      <c r="BD14" s="1701"/>
      <c r="BE14" s="1701"/>
      <c r="BF14" s="1702"/>
      <c r="BG14" s="573"/>
      <c r="BH14" s="573"/>
      <c r="BI14" s="622"/>
      <c r="BJ14" s="1830"/>
      <c r="BK14" s="622"/>
      <c r="BL14" s="622"/>
      <c r="BM14" s="622"/>
      <c r="BN14" s="622"/>
      <c r="BO14" s="576"/>
      <c r="BP14" s="578"/>
      <c r="BQ14" s="578"/>
      <c r="BR14" s="575"/>
      <c r="BS14" s="2890"/>
      <c r="BT14" s="2891"/>
      <c r="BU14" s="2891"/>
      <c r="BV14" s="2892"/>
      <c r="BW14" s="2891"/>
      <c r="BX14" s="2891"/>
      <c r="BY14" s="2891"/>
      <c r="BZ14" s="2892"/>
      <c r="CA14" s="2891"/>
      <c r="CB14" s="2891"/>
      <c r="CC14" s="2891"/>
      <c r="CD14" s="2892"/>
      <c r="CE14" s="1744"/>
      <c r="CF14" s="1744"/>
      <c r="CG14" s="1744"/>
      <c r="CH14" s="1745"/>
      <c r="CI14" s="632"/>
      <c r="CQ14" s="2074"/>
    </row>
    <row r="15" spans="1:95" hidden="1" outlineLevel="1">
      <c r="A15" s="1687" t="s">
        <v>1050</v>
      </c>
      <c r="B15" s="418"/>
      <c r="C15" s="418"/>
      <c r="D15" s="451"/>
      <c r="E15" s="451">
        <f t="shared" si="1"/>
        <v>0</v>
      </c>
      <c r="F15" s="413">
        <f t="shared" si="2"/>
        <v>0</v>
      </c>
      <c r="G15" s="413">
        <f t="shared" si="3"/>
        <v>0</v>
      </c>
      <c r="H15" s="413">
        <f t="shared" si="4"/>
        <v>0</v>
      </c>
      <c r="I15" s="1701">
        <f t="shared" si="5"/>
        <v>0</v>
      </c>
      <c r="J15" s="1701">
        <f t="shared" si="6"/>
        <v>0</v>
      </c>
      <c r="K15" s="1701"/>
      <c r="L15" s="1701"/>
      <c r="M15" s="1701"/>
      <c r="N15" s="1701"/>
      <c r="O15" s="1746"/>
      <c r="P15" s="1746">
        <f t="shared" si="10"/>
        <v>0</v>
      </c>
      <c r="Q15" s="1746">
        <f>SUM(BT15:BW15)</f>
        <v>0</v>
      </c>
      <c r="R15" s="1746">
        <f t="shared" si="7"/>
        <v>0</v>
      </c>
      <c r="S15" s="1746">
        <f t="shared" si="0"/>
        <v>0</v>
      </c>
      <c r="T15" s="1746"/>
      <c r="U15" s="1746"/>
      <c r="V15" s="1746"/>
      <c r="W15" s="1746"/>
      <c r="X15" s="1746"/>
      <c r="Y15" s="2541"/>
      <c r="Z15" s="679">
        <f>INPUTS_2!B156/1000</f>
        <v>0</v>
      </c>
      <c r="AA15" s="490">
        <f>INPUTS_2!C156/1000</f>
        <v>0</v>
      </c>
      <c r="AB15" s="413">
        <f>INPUTS_2!D156/1000</f>
        <v>0</v>
      </c>
      <c r="AC15" s="413">
        <f>INPUTS_2!E156/1000</f>
        <v>0</v>
      </c>
      <c r="AD15" s="414">
        <f>INPUTS_2!F156/1000</f>
        <v>0</v>
      </c>
      <c r="AE15" s="490">
        <f>INPUTS_2!G156/1000</f>
        <v>0</v>
      </c>
      <c r="AF15" s="413">
        <f>INPUTS_2!H156/1000</f>
        <v>0</v>
      </c>
      <c r="AG15" s="413">
        <f>INPUTS_2!I156/1000</f>
        <v>0</v>
      </c>
      <c r="AH15" s="414">
        <f>INPUTS_2!J156/1000</f>
        <v>0</v>
      </c>
      <c r="AI15" s="490">
        <f>INPUTS_2!K156/1000</f>
        <v>0</v>
      </c>
      <c r="AJ15" s="413">
        <f>INPUTS_2!L156/1000</f>
        <v>0</v>
      </c>
      <c r="AK15" s="413">
        <f>INPUTS_2!M156/1000</f>
        <v>0</v>
      </c>
      <c r="AL15" s="414">
        <f>INPUTS_2!N156/1000</f>
        <v>0</v>
      </c>
      <c r="AM15" s="490">
        <f>INPUTS_2!O156/1000</f>
        <v>0</v>
      </c>
      <c r="AN15" s="413">
        <f>INPUTS_2!P156/1000</f>
        <v>0</v>
      </c>
      <c r="AO15" s="413">
        <f>INPUTS_2!Q156/1000</f>
        <v>0</v>
      </c>
      <c r="AP15" s="413">
        <f>INPUTS_2!R156/1000</f>
        <v>0</v>
      </c>
      <c r="AQ15" s="490">
        <f>INPUTS_2!S156/1000</f>
        <v>0</v>
      </c>
      <c r="AR15" s="413">
        <f>INPUTS_2!T156/1000</f>
        <v>0</v>
      </c>
      <c r="AS15" s="413">
        <f>INPUTS_2!U156/1000</f>
        <v>0</v>
      </c>
      <c r="AT15" s="413">
        <f>INPUTS_2!V156/1000</f>
        <v>0</v>
      </c>
      <c r="AU15" s="490">
        <f>INPUTS_2!W156/1000</f>
        <v>0</v>
      </c>
      <c r="AV15" s="413">
        <f>INPUTS_2!X156/1000</f>
        <v>0</v>
      </c>
      <c r="AW15" s="413">
        <f>INPUTS_2!Y156/1000</f>
        <v>0</v>
      </c>
      <c r="AX15" s="413">
        <f>INPUTS_2!Z156/1000</f>
        <v>0</v>
      </c>
      <c r="AY15" s="1725"/>
      <c r="AZ15" s="1701"/>
      <c r="BA15" s="1701"/>
      <c r="BB15" s="1701"/>
      <c r="BC15" s="1725"/>
      <c r="BD15" s="1701"/>
      <c r="BE15" s="1701"/>
      <c r="BF15" s="1702"/>
      <c r="BG15" s="573"/>
      <c r="BH15" s="573"/>
      <c r="BI15" s="622"/>
      <c r="BJ15" s="1830"/>
      <c r="BK15" s="622"/>
      <c r="BL15" s="622"/>
      <c r="BM15" s="622"/>
      <c r="BN15" s="622"/>
      <c r="BO15" s="576"/>
      <c r="BP15" s="578"/>
      <c r="BQ15" s="578"/>
      <c r="BR15" s="575"/>
      <c r="BS15" s="2890"/>
      <c r="BT15" s="2891"/>
      <c r="BU15" s="2891"/>
      <c r="BV15" s="2892"/>
      <c r="BW15" s="2891"/>
      <c r="BX15" s="2891"/>
      <c r="BY15" s="2891"/>
      <c r="BZ15" s="2892"/>
      <c r="CA15" s="2891"/>
      <c r="CB15" s="2891"/>
      <c r="CC15" s="2891"/>
      <c r="CD15" s="2892"/>
      <c r="CE15" s="1744"/>
      <c r="CF15" s="1744"/>
      <c r="CG15" s="1744"/>
      <c r="CH15" s="1745"/>
      <c r="CI15" s="632"/>
      <c r="CQ15" s="2074"/>
    </row>
    <row r="16" spans="1:95" collapsed="1">
      <c r="A16" s="1687" t="s">
        <v>1051</v>
      </c>
      <c r="B16" s="418"/>
      <c r="C16" s="418"/>
      <c r="D16" s="451"/>
      <c r="E16" s="451">
        <f t="shared" si="1"/>
        <v>74.373999999999995</v>
      </c>
      <c r="F16" s="413">
        <f t="shared" si="2"/>
        <v>69.53</v>
      </c>
      <c r="G16" s="413">
        <f t="shared" si="3"/>
        <v>49.685000000000002</v>
      </c>
      <c r="H16" s="413">
        <f t="shared" si="4"/>
        <v>-41.981999999999999</v>
      </c>
      <c r="I16" s="1701">
        <f t="shared" si="5"/>
        <v>520.51800000000003</v>
      </c>
      <c r="J16" s="1701">
        <f t="shared" si="6"/>
        <v>461.94999999999993</v>
      </c>
      <c r="K16" s="1701">
        <f t="shared" si="8"/>
        <v>639.76800000000003</v>
      </c>
      <c r="L16" s="1701">
        <f t="shared" si="9"/>
        <v>2269.3409999999999</v>
      </c>
      <c r="M16" s="1701">
        <f>SUM(BG16:BJ16)</f>
        <v>394</v>
      </c>
      <c r="N16" s="1701">
        <f>SUM(BK16:BN16)</f>
        <v>391</v>
      </c>
      <c r="O16" s="1710">
        <f>SUM(BO16:BR16)</f>
        <v>291</v>
      </c>
      <c r="P16" s="1710">
        <f t="shared" si="10"/>
        <v>350</v>
      </c>
      <c r="Q16" s="1710">
        <f>SUM(BW16:BZ16)</f>
        <v>6</v>
      </c>
      <c r="R16" s="1710">
        <f t="shared" si="7"/>
        <v>-931</v>
      </c>
      <c r="S16" s="1710">
        <f t="shared" si="0"/>
        <v>601.08795087416411</v>
      </c>
      <c r="T16" s="1701">
        <f>+(BS!S14-BS!T14)+(BS!T39-BS!S39)+(BS!T37-BS!S37)-T28</f>
        <v>340.14831797453553</v>
      </c>
      <c r="U16" s="1701">
        <f>+(BS!T14-BS!U14)+(BS!U39-BS!T39)+(BS!U37-BS!T37)-U28</f>
        <v>448.2333643045763</v>
      </c>
      <c r="V16" s="1701">
        <f>+(BS!U14-BS!V14)+(BS!V39-BS!U39)+(BS!V37-BS!U37)-V28</f>
        <v>500.87827537596058</v>
      </c>
      <c r="W16" s="1701">
        <f>+(BS!V14-BS!W14)+(BS!W39-BS!V39)+(BS!W37-BS!V37)-W28</f>
        <v>560.31997222838072</v>
      </c>
      <c r="X16" s="1701">
        <f>+(BS!W14-BS!X14)+(BS!X39-BS!W39)+(BS!X37-BS!W37)-X28</f>
        <v>217.3756372773496</v>
      </c>
      <c r="Y16" s="2540"/>
      <c r="Z16" s="679">
        <f>(INPUTS_2!B157+INPUTS_2!B201)/1000</f>
        <v>60.683999999999997</v>
      </c>
      <c r="AA16" s="490">
        <f>(INPUTS_2!C157+INPUTS_2!C201)/1000</f>
        <v>26.672999999999998</v>
      </c>
      <c r="AB16" s="413">
        <f>(INPUTS_2!D157+INPUTS_2!D201)/1000</f>
        <v>30.364999999999998</v>
      </c>
      <c r="AC16" s="413">
        <f>(INPUTS_2!E157+INPUTS_2!E201)/1000</f>
        <v>18.37</v>
      </c>
      <c r="AD16" s="414">
        <f>(INPUTS_2!F157+INPUTS_2!F201)/1000</f>
        <v>-1.034</v>
      </c>
      <c r="AE16" s="490">
        <f>(INPUTS_2!G157+INPUTS_2!G201)/1000</f>
        <v>22.140999999999998</v>
      </c>
      <c r="AF16" s="413">
        <f>(INPUTS_2!H157+INPUTS_2!H201)/1000</f>
        <v>3.806</v>
      </c>
      <c r="AG16" s="413">
        <f>(INPUTS_2!I157+INPUTS_2!I201)/1000</f>
        <v>7.4710000000000001</v>
      </c>
      <c r="AH16" s="414">
        <f>(INPUTS_2!J157+INPUTS_2!J201)/1000</f>
        <v>36.112000000000002</v>
      </c>
      <c r="AI16" s="490">
        <f>(INPUTS_2!K157+INPUTS_2!K201)/1000</f>
        <v>9.5220000000000002</v>
      </c>
      <c r="AJ16" s="413">
        <f>(INPUTS_2!L157+INPUTS_2!L201)/1000</f>
        <v>12.83</v>
      </c>
      <c r="AK16" s="413">
        <f>(INPUTS_2!M157+INPUTS_2!M201)/1000</f>
        <v>11.361000000000001</v>
      </c>
      <c r="AL16" s="414">
        <f>(INPUTS_2!N157+INPUTS_2!N201)/1000</f>
        <v>15.972</v>
      </c>
      <c r="AM16" s="490">
        <f>(INPUTS_2!O157+INPUTS_2!O201)/1000</f>
        <v>-22.629000000000001</v>
      </c>
      <c r="AN16" s="413">
        <f>(INPUTS_2!P157+INPUTS_2!P201)/1000</f>
        <v>0.63400000000000001</v>
      </c>
      <c r="AO16" s="413">
        <f>(INPUTS_2!Q157+INPUTS_2!Q201)/1000</f>
        <v>47.106000000000002</v>
      </c>
      <c r="AP16" s="413">
        <f>(INPUTS_2!R157+INPUTS_2!R201)/1000</f>
        <v>-67.093000000000004</v>
      </c>
      <c r="AQ16" s="490">
        <f>(INPUTS_2!S157+INPUTS_2!S201)/1000</f>
        <v>86.356999999999999</v>
      </c>
      <c r="AR16" s="413">
        <f>(INPUTS_2!T157+INPUTS_2!T201)/1000</f>
        <v>124.068</v>
      </c>
      <c r="AS16" s="413">
        <f>(INPUTS_2!U157+INPUTS_2!U201)/1000</f>
        <v>144.53200000000001</v>
      </c>
      <c r="AT16" s="413">
        <f>(INPUTS_2!V157+INPUTS_2!V201)/1000</f>
        <v>165.56100000000001</v>
      </c>
      <c r="AU16" s="490">
        <f>(INPUTS_2!W157+INPUTS_2!W201)/1000</f>
        <v>194.249</v>
      </c>
      <c r="AV16" s="413">
        <f>(INPUTS_2!X157+INPUTS_2!X201)/1000</f>
        <v>2.5819999999999999</v>
      </c>
      <c r="AW16" s="413">
        <f>(INPUTS_2!Y157+INPUTS_2!Y201)/1000</f>
        <v>76.406000000000006</v>
      </c>
      <c r="AX16" s="413">
        <f>(INPUTS_2!Z157+INPUTS_2!Z201)/1000</f>
        <v>188.71299999999999</v>
      </c>
      <c r="AY16" s="1725">
        <f>(INPUTS_2!AA157+INPUTS_2!AA201)/1000</f>
        <v>189.631</v>
      </c>
      <c r="AZ16" s="1701">
        <f>(INPUTS_2!AB157+INPUTS_2!AB201)/1000</f>
        <v>95.902000000000001</v>
      </c>
      <c r="BA16" s="1701">
        <f>(INPUTS_2!AC157+INPUTS_2!AC201)/1000</f>
        <v>155.34200000000001</v>
      </c>
      <c r="BB16" s="1701">
        <f>(INPUTS_2!AD157+INPUTS_2!AD201)/1000</f>
        <v>198.893</v>
      </c>
      <c r="BC16" s="1725">
        <f>+(BS!BE14-BS!BF14)+(BS!BF39-BS!BE39)</f>
        <v>28.341000000000008</v>
      </c>
      <c r="BD16" s="1701">
        <f>+(BS!BF14-BS!BG14)+(BS!BG39-BS!BF39)</f>
        <v>1543</v>
      </c>
      <c r="BE16" s="1701">
        <f>+(BS!BG14-BS!BH14)+(BS!BH39-BS!BG39)</f>
        <v>444</v>
      </c>
      <c r="BF16" s="1702">
        <f>+(BS!BH14-BS!BI14)+(BS!BI39-BS!BH39)</f>
        <v>254</v>
      </c>
      <c r="BG16" s="573">
        <v>115</v>
      </c>
      <c r="BH16" s="573">
        <f>137-BG16</f>
        <v>22</v>
      </c>
      <c r="BI16" s="622">
        <f>260-BH16-BG16</f>
        <v>123</v>
      </c>
      <c r="BJ16" s="1830">
        <f>394-BI16-BH16-BG16</f>
        <v>134</v>
      </c>
      <c r="BK16" s="622">
        <v>166</v>
      </c>
      <c r="BL16" s="622">
        <f>307-BK16</f>
        <v>141</v>
      </c>
      <c r="BM16" s="622">
        <f>349-BL16-BK16</f>
        <v>42</v>
      </c>
      <c r="BN16" s="622">
        <f>391-BM16-BL16-BK16</f>
        <v>42</v>
      </c>
      <c r="BO16" s="576">
        <v>106</v>
      </c>
      <c r="BP16" s="578">
        <f>208-BO16</f>
        <v>102</v>
      </c>
      <c r="BQ16" s="578">
        <f>301-BP16-BO16</f>
        <v>93</v>
      </c>
      <c r="BR16" s="575">
        <f>291-BQ16-BP16-BO16</f>
        <v>-10</v>
      </c>
      <c r="BS16" s="2890">
        <v>37</v>
      </c>
      <c r="BT16" s="2891">
        <f>53-BS16</f>
        <v>16</v>
      </c>
      <c r="BU16" s="2891">
        <f>93-BT16-BS16</f>
        <v>40</v>
      </c>
      <c r="BV16" s="2892">
        <f>350-BU16-BT16-BS16</f>
        <v>257</v>
      </c>
      <c r="BW16" s="2891">
        <v>11</v>
      </c>
      <c r="BX16" s="2891">
        <f>21-BW16</f>
        <v>10</v>
      </c>
      <c r="BY16" s="2891">
        <f>32-BX16-BW16</f>
        <v>11</v>
      </c>
      <c r="BZ16" s="2892">
        <f>6-BY16-BX16-BW16</f>
        <v>-26</v>
      </c>
      <c r="CA16" s="2891">
        <v>-37</v>
      </c>
      <c r="CB16" s="2891">
        <f>-126-CA16</f>
        <v>-89</v>
      </c>
      <c r="CC16" s="2891">
        <f>-243-CB16-CA16</f>
        <v>-117</v>
      </c>
      <c r="CD16" s="2892">
        <f>-931-CC16-CB16-CA16</f>
        <v>-688</v>
      </c>
      <c r="CE16" s="1744">
        <f>+(BS!CG14-BS!CH14)+(BS!CH39-BS!CG39)+(BS!CH37-BS!CG37)-CE28</f>
        <v>129.42006078124996</v>
      </c>
      <c r="CF16" s="1744">
        <f>+(BS!CH14-BS!CI14)+(BS!CI39-BS!CH39)+(BS!CI37-BS!CH37)-CF28</f>
        <v>144.65368825493761</v>
      </c>
      <c r="CG16" s="1744">
        <f>+(BS!CI14-BS!CJ14)+(BS!CJ39-BS!CI39)+(BS!CJ37-BS!CI37)-CG28</f>
        <v>155.16635224811216</v>
      </c>
      <c r="CH16" s="1745">
        <f>+(BS!CJ14-BS!CK14)+(BS!CK39-BS!CJ39)+(BS!CK37-BS!CJ37)-CH28</f>
        <v>171.84784958986438</v>
      </c>
      <c r="CI16" s="632"/>
      <c r="CQ16" s="2074"/>
    </row>
    <row r="17" spans="1:95">
      <c r="A17" s="1687" t="s">
        <v>1052</v>
      </c>
      <c r="B17" s="418"/>
      <c r="C17" s="418"/>
      <c r="D17" s="451"/>
      <c r="E17" s="451">
        <f t="shared" si="1"/>
        <v>0</v>
      </c>
      <c r="F17" s="413">
        <f t="shared" si="2"/>
        <v>0</v>
      </c>
      <c r="G17" s="413">
        <f t="shared" si="3"/>
        <v>-118.649</v>
      </c>
      <c r="H17" s="413">
        <f t="shared" si="4"/>
        <v>166.357</v>
      </c>
      <c r="I17" s="1701">
        <f t="shared" si="5"/>
        <v>75.548000000000002</v>
      </c>
      <c r="J17" s="1701">
        <f t="shared" si="6"/>
        <v>40</v>
      </c>
      <c r="K17" s="1701"/>
      <c r="L17" s="1701"/>
      <c r="M17" s="1701">
        <f>SUM(BG17:BJ17)</f>
        <v>179</v>
      </c>
      <c r="N17" s="1701">
        <f>SUM(BK17:BN17)</f>
        <v>-32</v>
      </c>
      <c r="O17" s="1746"/>
      <c r="P17" s="1746">
        <f t="shared" si="10"/>
        <v>0</v>
      </c>
      <c r="Q17" s="1746">
        <f>SUM(BW17:BZ17)</f>
        <v>0</v>
      </c>
      <c r="R17" s="1746">
        <f t="shared" si="7"/>
        <v>82</v>
      </c>
      <c r="S17" s="1746">
        <f t="shared" si="0"/>
        <v>0</v>
      </c>
      <c r="T17" s="1746"/>
      <c r="U17" s="1746"/>
      <c r="V17" s="1746"/>
      <c r="W17" s="1746"/>
      <c r="X17" s="1746"/>
      <c r="Y17" s="2541"/>
      <c r="Z17" s="679">
        <f>INPUTS_2!B158/1000</f>
        <v>0</v>
      </c>
      <c r="AA17" s="490">
        <f>INPUTS_2!C158/1000</f>
        <v>0</v>
      </c>
      <c r="AB17" s="413">
        <f>INPUTS_2!D158/1000</f>
        <v>0</v>
      </c>
      <c r="AC17" s="413">
        <f>INPUTS_2!E158/1000</f>
        <v>0</v>
      </c>
      <c r="AD17" s="414">
        <f>INPUTS_2!F158/1000</f>
        <v>0</v>
      </c>
      <c r="AE17" s="490">
        <f>INPUTS_2!G158/1000</f>
        <v>0</v>
      </c>
      <c r="AF17" s="413">
        <f>INPUTS_2!H158/1000</f>
        <v>0</v>
      </c>
      <c r="AG17" s="413">
        <f>INPUTS_2!I158/1000</f>
        <v>0</v>
      </c>
      <c r="AH17" s="414">
        <f>INPUTS_2!J158/1000</f>
        <v>0</v>
      </c>
      <c r="AI17" s="490">
        <f>INPUTS_2!K158/1000</f>
        <v>0</v>
      </c>
      <c r="AJ17" s="413">
        <f>INPUTS_2!L158/1000</f>
        <v>-118.649</v>
      </c>
      <c r="AK17" s="413">
        <f>INPUTS_2!M158/1000</f>
        <v>0</v>
      </c>
      <c r="AL17" s="414">
        <f>INPUTS_2!N158/1000</f>
        <v>0</v>
      </c>
      <c r="AM17" s="490">
        <f>INPUTS_2!O158/1000</f>
        <v>39</v>
      </c>
      <c r="AN17" s="413">
        <f>INPUTS_2!P158/1000</f>
        <v>43</v>
      </c>
      <c r="AO17" s="413">
        <f>INPUTS_2!Q158/1000</f>
        <v>45.564</v>
      </c>
      <c r="AP17" s="413">
        <f>INPUTS_2!R158/1000</f>
        <v>38.792999999999999</v>
      </c>
      <c r="AQ17" s="490">
        <f>INPUTS_2!S158/1000</f>
        <v>36.865000000000002</v>
      </c>
      <c r="AR17" s="413">
        <f>INPUTS_2!T158/1000</f>
        <v>42.494</v>
      </c>
      <c r="AS17" s="413">
        <f>INPUTS_2!U158/1000</f>
        <v>-3.8109999999999999</v>
      </c>
      <c r="AT17" s="413">
        <f>INPUTS_2!V158/1000</f>
        <v>0</v>
      </c>
      <c r="AU17" s="490">
        <f>INPUTS_2!W158/1000</f>
        <v>40</v>
      </c>
      <c r="AV17" s="413">
        <f>INPUTS_2!X158/1000</f>
        <v>0</v>
      </c>
      <c r="AW17" s="413">
        <f>INPUTS_2!Y158/1000</f>
        <v>0</v>
      </c>
      <c r="AX17" s="413">
        <f>INPUTS_2!Z158/1000</f>
        <v>0</v>
      </c>
      <c r="AY17" s="1725"/>
      <c r="AZ17" s="1701"/>
      <c r="BA17" s="1701"/>
      <c r="BB17" s="1701"/>
      <c r="BC17" s="1725"/>
      <c r="BD17" s="1701"/>
      <c r="BE17" s="1701"/>
      <c r="BF17" s="1702"/>
      <c r="BG17" s="573">
        <v>0</v>
      </c>
      <c r="BH17" s="573">
        <f>194-BG17</f>
        <v>194</v>
      </c>
      <c r="BI17" s="622">
        <f>194-BH17-BG17</f>
        <v>0</v>
      </c>
      <c r="BJ17" s="1830">
        <f>179-BI17-BH17-BG17</f>
        <v>-15</v>
      </c>
      <c r="BK17" s="622">
        <v>-32</v>
      </c>
      <c r="BL17" s="622">
        <f>-32-BK17</f>
        <v>0</v>
      </c>
      <c r="BM17" s="622">
        <f>-32-BL17-BK17</f>
        <v>0</v>
      </c>
      <c r="BN17" s="622">
        <f>-32-BM17-BL17-BK17</f>
        <v>0</v>
      </c>
      <c r="BO17" s="576">
        <v>0</v>
      </c>
      <c r="BP17" s="578">
        <v>0</v>
      </c>
      <c r="BQ17" s="578">
        <f>0-BP17-BO17</f>
        <v>0</v>
      </c>
      <c r="BR17" s="575">
        <v>0</v>
      </c>
      <c r="BS17" s="2890">
        <v>8</v>
      </c>
      <c r="BT17" s="2891">
        <f>8-BS17</f>
        <v>0</v>
      </c>
      <c r="BU17" s="2891">
        <v>0</v>
      </c>
      <c r="BV17" s="2892">
        <f>0-BU17-BT17-BS17</f>
        <v>-8</v>
      </c>
      <c r="BW17" s="2891">
        <v>0</v>
      </c>
      <c r="BX17" s="2891">
        <v>1</v>
      </c>
      <c r="BY17" s="2891">
        <f>1-BX17-BW17</f>
        <v>0</v>
      </c>
      <c r="BZ17" s="3109">
        <f>0-BY17-BX17-BW17</f>
        <v>-1</v>
      </c>
      <c r="CA17" s="2891">
        <v>0</v>
      </c>
      <c r="CB17" s="2891">
        <f>11-CA17</f>
        <v>11</v>
      </c>
      <c r="CC17" s="2891">
        <f>82+11-CB17-CA17</f>
        <v>82</v>
      </c>
      <c r="CD17" s="3109">
        <f>82-CC17-CB17-CA17</f>
        <v>-11</v>
      </c>
      <c r="CE17" s="1744"/>
      <c r="CF17" s="1744"/>
      <c r="CG17" s="1744"/>
      <c r="CH17" s="1745"/>
      <c r="CI17" s="632"/>
      <c r="CQ17" s="2074"/>
    </row>
    <row r="18" spans="1:95">
      <c r="A18" s="1833" t="s">
        <v>636</v>
      </c>
      <c r="B18" s="418"/>
      <c r="C18" s="418"/>
      <c r="D18" s="451"/>
      <c r="E18" s="451">
        <f t="shared" si="1"/>
        <v>0</v>
      </c>
      <c r="F18" s="413">
        <f t="shared" si="2"/>
        <v>0</v>
      </c>
      <c r="G18" s="413">
        <f t="shared" si="3"/>
        <v>0</v>
      </c>
      <c r="H18" s="413">
        <f t="shared" si="4"/>
        <v>0</v>
      </c>
      <c r="I18" s="1701">
        <f t="shared" si="5"/>
        <v>231</v>
      </c>
      <c r="J18" s="1701">
        <f t="shared" si="6"/>
        <v>130</v>
      </c>
      <c r="K18" s="1701">
        <f t="shared" si="8"/>
        <v>86</v>
      </c>
      <c r="L18" s="1701">
        <f t="shared" si="9"/>
        <v>0</v>
      </c>
      <c r="M18" s="1701">
        <f>SUM(BG18:BJ18)</f>
        <v>187</v>
      </c>
      <c r="N18" s="1701">
        <f>SUM(BK18:BN18)</f>
        <v>152</v>
      </c>
      <c r="O18" s="1710">
        <f>SUM(BO18:BR18)</f>
        <v>159</v>
      </c>
      <c r="P18" s="1710">
        <f t="shared" si="10"/>
        <v>177</v>
      </c>
      <c r="Q18" s="1710">
        <f>SUM(BW18:BZ18)</f>
        <v>192</v>
      </c>
      <c r="R18" s="1710">
        <f t="shared" si="7"/>
        <v>176</v>
      </c>
      <c r="S18" s="1710">
        <f t="shared" si="0"/>
        <v>0</v>
      </c>
      <c r="T18" s="1746"/>
      <c r="U18" s="1746"/>
      <c r="V18" s="1746"/>
      <c r="W18" s="1746"/>
      <c r="X18" s="1746"/>
      <c r="Y18" s="2541"/>
      <c r="Z18" s="679">
        <f>INPUTS_2!B200/1000</f>
        <v>0</v>
      </c>
      <c r="AA18" s="490">
        <f>INPUTS_2!C200/1000</f>
        <v>0</v>
      </c>
      <c r="AB18" s="413">
        <f>INPUTS_2!D200/1000</f>
        <v>0</v>
      </c>
      <c r="AC18" s="413">
        <f>INPUTS_2!E200/1000</f>
        <v>0</v>
      </c>
      <c r="AD18" s="414">
        <f>INPUTS_2!F200/1000</f>
        <v>0</v>
      </c>
      <c r="AE18" s="490">
        <f>INPUTS_2!G200/1000</f>
        <v>0</v>
      </c>
      <c r="AF18" s="413">
        <f>INPUTS_2!H200/1000</f>
        <v>0</v>
      </c>
      <c r="AG18" s="413">
        <f>INPUTS_2!I200/1000</f>
        <v>0</v>
      </c>
      <c r="AH18" s="414">
        <f>INPUTS_2!J200/1000</f>
        <v>0</v>
      </c>
      <c r="AI18" s="490">
        <f>INPUTS_2!K200/1000</f>
        <v>0</v>
      </c>
      <c r="AJ18" s="413">
        <f>INPUTS_2!L200/1000</f>
        <v>0</v>
      </c>
      <c r="AK18" s="413">
        <f>INPUTS_2!M200/1000</f>
        <v>0</v>
      </c>
      <c r="AL18" s="414">
        <f>INPUTS_2!N200/1000</f>
        <v>0</v>
      </c>
      <c r="AM18" s="490">
        <f>INPUTS_2!O200/1000</f>
        <v>0</v>
      </c>
      <c r="AN18" s="413">
        <f>INPUTS_2!P200/1000</f>
        <v>0</v>
      </c>
      <c r="AO18" s="413">
        <f>INPUTS_2!Q200/1000</f>
        <v>0</v>
      </c>
      <c r="AP18" s="413">
        <f>INPUTS_2!R200/1000</f>
        <v>0</v>
      </c>
      <c r="AQ18" s="490">
        <f>INPUTS_2!S200/1000</f>
        <v>43</v>
      </c>
      <c r="AR18" s="413">
        <f>INPUTS_2!T200/1000</f>
        <v>26</v>
      </c>
      <c r="AS18" s="413">
        <f>INPUTS_2!U200/1000</f>
        <v>54</v>
      </c>
      <c r="AT18" s="413">
        <f>INPUTS_2!V200/1000</f>
        <v>108</v>
      </c>
      <c r="AU18" s="490">
        <f>INPUTS_2!W200/1000</f>
        <v>49</v>
      </c>
      <c r="AV18" s="413">
        <f>INPUTS_2!X200/1000</f>
        <v>35</v>
      </c>
      <c r="AW18" s="413">
        <f>INPUTS_2!Y200/1000</f>
        <v>27</v>
      </c>
      <c r="AX18" s="413">
        <f>INPUTS_2!Z200/1000</f>
        <v>19</v>
      </c>
      <c r="AY18" s="1725">
        <f>INPUTS_2!AA200/1000</f>
        <v>22</v>
      </c>
      <c r="AZ18" s="1701">
        <f>INPUTS_2!AB200/1000</f>
        <v>14</v>
      </c>
      <c r="BA18" s="1701">
        <f>INPUTS_2!AC200/1000</f>
        <v>23</v>
      </c>
      <c r="BB18" s="1701">
        <f>INPUTS_2!AD200/1000</f>
        <v>27</v>
      </c>
      <c r="BC18" s="1725"/>
      <c r="BD18" s="1701"/>
      <c r="BE18" s="1701"/>
      <c r="BF18" s="1702"/>
      <c r="BG18" s="573">
        <v>56</v>
      </c>
      <c r="BH18" s="573">
        <f>103-BG18</f>
        <v>47</v>
      </c>
      <c r="BI18" s="622">
        <f>144-BH18-BG18</f>
        <v>41</v>
      </c>
      <c r="BJ18" s="1830">
        <f>187-BI18-BH18-BG18</f>
        <v>43</v>
      </c>
      <c r="BK18" s="622">
        <v>27</v>
      </c>
      <c r="BL18" s="622">
        <f>65-BK18</f>
        <v>38</v>
      </c>
      <c r="BM18" s="622">
        <f>111-BL18-BK18</f>
        <v>46</v>
      </c>
      <c r="BN18" s="622">
        <f>152-BM18-BL18-BK18</f>
        <v>41</v>
      </c>
      <c r="BO18" s="576">
        <v>30</v>
      </c>
      <c r="BP18" s="578">
        <f>63-BO18</f>
        <v>33</v>
      </c>
      <c r="BQ18" s="578">
        <f>110-BP18-BO18</f>
        <v>47</v>
      </c>
      <c r="BR18" s="575">
        <f>159-BQ18-BP18-BO18</f>
        <v>49</v>
      </c>
      <c r="BS18" s="2890">
        <v>42</v>
      </c>
      <c r="BT18" s="2891">
        <f>84-BS18</f>
        <v>42</v>
      </c>
      <c r="BU18" s="2891">
        <f>128-BT18-BS18</f>
        <v>44</v>
      </c>
      <c r="BV18" s="2892">
        <f>177-BU18-BT18-BS18</f>
        <v>49</v>
      </c>
      <c r="BW18" s="2891">
        <v>46</v>
      </c>
      <c r="BX18" s="2891">
        <f>96-BW18</f>
        <v>50</v>
      </c>
      <c r="BY18" s="2891">
        <f>144-BX18-BW18</f>
        <v>48</v>
      </c>
      <c r="BZ18" s="2892">
        <f>192-BY18-BX18-BW18</f>
        <v>48</v>
      </c>
      <c r="CA18" s="2891">
        <v>47</v>
      </c>
      <c r="CB18" s="2891">
        <f>78-CA18</f>
        <v>31</v>
      </c>
      <c r="CC18" s="2891">
        <f>127-CB18-CA18</f>
        <v>49</v>
      </c>
      <c r="CD18" s="2892">
        <f>176-CC18-CB18-CA18</f>
        <v>49</v>
      </c>
      <c r="CE18" s="1744">
        <v>0</v>
      </c>
      <c r="CF18" s="1744">
        <v>0</v>
      </c>
      <c r="CG18" s="1744">
        <v>0</v>
      </c>
      <c r="CH18" s="1745">
        <v>0</v>
      </c>
      <c r="CI18" s="632"/>
      <c r="CQ18" s="2074"/>
    </row>
    <row r="19" spans="1:95">
      <c r="A19" s="2658" t="s">
        <v>1583</v>
      </c>
      <c r="B19" s="418"/>
      <c r="C19" s="418"/>
      <c r="D19" s="451"/>
      <c r="E19" s="451">
        <f t="shared" si="1"/>
        <v>0</v>
      </c>
      <c r="F19" s="413">
        <f t="shared" si="2"/>
        <v>0</v>
      </c>
      <c r="G19" s="413">
        <f t="shared" si="3"/>
        <v>0</v>
      </c>
      <c r="H19" s="413">
        <f t="shared" si="4"/>
        <v>0</v>
      </c>
      <c r="I19" s="1701">
        <f t="shared" si="5"/>
        <v>125</v>
      </c>
      <c r="J19" s="1701">
        <f t="shared" si="6"/>
        <v>136</v>
      </c>
      <c r="K19" s="1701">
        <f t="shared" si="8"/>
        <v>187</v>
      </c>
      <c r="L19" s="1701">
        <f t="shared" si="9"/>
        <v>0</v>
      </c>
      <c r="M19" s="1701">
        <f>SUM(BG19:BJ19)</f>
        <v>-88</v>
      </c>
      <c r="N19" s="1701">
        <f>SUM(BK19:BN19)</f>
        <v>1092</v>
      </c>
      <c r="O19" s="1710">
        <f>SUM(BO19:BR19)</f>
        <v>32</v>
      </c>
      <c r="P19" s="1710">
        <f t="shared" si="10"/>
        <v>82</v>
      </c>
      <c r="Q19" s="1710">
        <f>SUM(BW19:BZ19)</f>
        <v>80</v>
      </c>
      <c r="R19" s="1710">
        <f t="shared" si="7"/>
        <v>111</v>
      </c>
      <c r="S19" s="1710">
        <f t="shared" si="0"/>
        <v>200</v>
      </c>
      <c r="T19" s="1746">
        <f ca="1">'EBITDA &amp; Expense Detail'!H36</f>
        <v>141.48760102652585</v>
      </c>
      <c r="U19" s="1746">
        <f ca="1">'EBITDA &amp; Expense Detail'!I36</f>
        <v>140.49633246013858</v>
      </c>
      <c r="V19" s="1746">
        <f ca="1">'EBITDA &amp; Expense Detail'!J36</f>
        <v>139.87006382386315</v>
      </c>
      <c r="W19" s="1746">
        <f ca="1">'EBITDA &amp; Expense Detail'!K36</f>
        <v>139.56400957993355</v>
      </c>
      <c r="X19" s="1746">
        <f ca="1">'EBITDA &amp; Expense Detail'!L36</f>
        <v>139.473328531042</v>
      </c>
      <c r="Y19" s="2541"/>
      <c r="Z19" s="679">
        <f>INPUTS_2!B202/1000</f>
        <v>0</v>
      </c>
      <c r="AA19" s="490">
        <f>INPUTS_2!C202/1000</f>
        <v>0</v>
      </c>
      <c r="AB19" s="413">
        <f>INPUTS_2!D202/1000</f>
        <v>0</v>
      </c>
      <c r="AC19" s="413">
        <f>INPUTS_2!E202/1000</f>
        <v>0</v>
      </c>
      <c r="AD19" s="414">
        <f>INPUTS_2!F202/1000</f>
        <v>0</v>
      </c>
      <c r="AE19" s="490">
        <f>INPUTS_2!G202/1000</f>
        <v>0</v>
      </c>
      <c r="AF19" s="413">
        <f>INPUTS_2!H202/1000</f>
        <v>0</v>
      </c>
      <c r="AG19" s="413">
        <f>INPUTS_2!I202/1000</f>
        <v>0</v>
      </c>
      <c r="AH19" s="414">
        <f>INPUTS_2!J202/1000</f>
        <v>0</v>
      </c>
      <c r="AI19" s="490">
        <f>INPUTS_2!K202/1000</f>
        <v>0</v>
      </c>
      <c r="AJ19" s="413">
        <f>INPUTS_2!L202/1000</f>
        <v>0</v>
      </c>
      <c r="AK19" s="413">
        <f>INPUTS_2!M202/1000</f>
        <v>0</v>
      </c>
      <c r="AL19" s="414">
        <f>INPUTS_2!N202/1000</f>
        <v>0</v>
      </c>
      <c r="AM19" s="490">
        <f>INPUTS_2!O202/1000</f>
        <v>0</v>
      </c>
      <c r="AN19" s="413">
        <f>INPUTS_2!P202/1000</f>
        <v>0</v>
      </c>
      <c r="AO19" s="413">
        <f>INPUTS_2!Q202/1000</f>
        <v>0</v>
      </c>
      <c r="AP19" s="413">
        <f>INPUTS_2!R202/1000</f>
        <v>0</v>
      </c>
      <c r="AQ19" s="490">
        <f>INPUTS_2!S202/1000</f>
        <v>20</v>
      </c>
      <c r="AR19" s="413">
        <f>INPUTS_2!T202/1000</f>
        <v>29</v>
      </c>
      <c r="AS19" s="413">
        <f>INPUTS_2!U202/1000</f>
        <v>32</v>
      </c>
      <c r="AT19" s="413">
        <f>INPUTS_2!V202/1000</f>
        <v>44</v>
      </c>
      <c r="AU19" s="490">
        <f>INPUTS_2!W202/1000</f>
        <v>29</v>
      </c>
      <c r="AV19" s="413">
        <f>INPUTS_2!X202/1000</f>
        <v>36</v>
      </c>
      <c r="AW19" s="413">
        <f>INPUTS_2!Y202/1000</f>
        <v>30</v>
      </c>
      <c r="AX19" s="413">
        <f>INPUTS_2!Z202/1000</f>
        <v>41</v>
      </c>
      <c r="AY19" s="1725">
        <f>INPUTS_2!AA202/1000</f>
        <v>35</v>
      </c>
      <c r="AZ19" s="1701">
        <f>INPUTS_2!AB202/1000</f>
        <v>40</v>
      </c>
      <c r="BA19" s="1701">
        <f>INPUTS_2!AC202/1000</f>
        <v>42</v>
      </c>
      <c r="BB19" s="1701">
        <f>INPUTS_2!AD202/1000</f>
        <v>70</v>
      </c>
      <c r="BC19" s="1725"/>
      <c r="BD19" s="1701"/>
      <c r="BE19" s="1701"/>
      <c r="BF19" s="1702"/>
      <c r="BG19" s="573"/>
      <c r="BH19" s="573"/>
      <c r="BI19" s="622"/>
      <c r="BJ19" s="1830">
        <v>-88</v>
      </c>
      <c r="BK19" s="622">
        <v>-16</v>
      </c>
      <c r="BL19" s="622">
        <f>0-BK19</f>
        <v>16</v>
      </c>
      <c r="BM19" s="622">
        <f>1100-BL19-BK19</f>
        <v>1100</v>
      </c>
      <c r="BN19" s="622">
        <f>1092-BM19-BL19-BK19</f>
        <v>-8</v>
      </c>
      <c r="BO19" s="576">
        <v>-11</v>
      </c>
      <c r="BP19" s="578">
        <f>32-BO19</f>
        <v>43</v>
      </c>
      <c r="BQ19" s="578">
        <f>0+32-BP19-BO19</f>
        <v>0</v>
      </c>
      <c r="BR19" s="575">
        <f>32-BQ19-BP19-BO19</f>
        <v>0</v>
      </c>
      <c r="BS19" s="2890">
        <f>-4+18</f>
        <v>14</v>
      </c>
      <c r="BT19" s="2891">
        <f>38-BS19</f>
        <v>24</v>
      </c>
      <c r="BU19" s="2891">
        <f>9-BT19-BS19</f>
        <v>-29</v>
      </c>
      <c r="BV19" s="2892">
        <f>9+73-BU19-BT19-BS19</f>
        <v>73</v>
      </c>
      <c r="BW19" s="2891">
        <v>18</v>
      </c>
      <c r="BX19" s="2891">
        <f>40-BW19</f>
        <v>22</v>
      </c>
      <c r="BY19" s="2891">
        <f>60-BX19-BW19</f>
        <v>20</v>
      </c>
      <c r="BZ19" s="2892">
        <f>80-BY19-BX19-BW19</f>
        <v>20</v>
      </c>
      <c r="CA19" s="2891">
        <v>21</v>
      </c>
      <c r="CB19" s="2891">
        <f>43-CA19</f>
        <v>22</v>
      </c>
      <c r="CC19" s="2891">
        <f>64-CB19-CA19</f>
        <v>21</v>
      </c>
      <c r="CD19" s="2892">
        <f>111-CC19-CB19-CA19</f>
        <v>47</v>
      </c>
      <c r="CE19" s="1744">
        <f>IS!CI58</f>
        <v>50</v>
      </c>
      <c r="CF19" s="1744">
        <f>IS!CJ58</f>
        <v>50</v>
      </c>
      <c r="CG19" s="1744">
        <f>IS!CK58</f>
        <v>50</v>
      </c>
      <c r="CH19" s="1745">
        <f>IS!CL58</f>
        <v>50</v>
      </c>
      <c r="CI19" s="632"/>
      <c r="CQ19" s="2074"/>
    </row>
    <row r="20" spans="1:95">
      <c r="A20" s="1833" t="s">
        <v>1053</v>
      </c>
      <c r="B20" s="418"/>
      <c r="C20" s="418"/>
      <c r="D20" s="451"/>
      <c r="E20" s="451"/>
      <c r="F20" s="413"/>
      <c r="G20" s="413"/>
      <c r="H20" s="413"/>
      <c r="I20" s="1701"/>
      <c r="J20" s="1701"/>
      <c r="K20" s="1701"/>
      <c r="L20" s="1701"/>
      <c r="M20" s="1701"/>
      <c r="N20" s="1701"/>
      <c r="O20" s="1701"/>
      <c r="P20" s="1701"/>
      <c r="Q20" s="1701"/>
      <c r="R20" s="1701">
        <f t="shared" si="7"/>
        <v>0</v>
      </c>
      <c r="S20" s="1701">
        <f t="shared" si="0"/>
        <v>0</v>
      </c>
      <c r="T20" s="1701"/>
      <c r="U20" s="1701"/>
      <c r="V20" s="1701"/>
      <c r="W20" s="1701"/>
      <c r="X20" s="1701"/>
      <c r="Y20" s="2540"/>
      <c r="Z20" s="679"/>
      <c r="AA20" s="490"/>
      <c r="AB20" s="413"/>
      <c r="AC20" s="413"/>
      <c r="AD20" s="414"/>
      <c r="AE20" s="490"/>
      <c r="AF20" s="413"/>
      <c r="AG20" s="413"/>
      <c r="AH20" s="414"/>
      <c r="AI20" s="490"/>
      <c r="AJ20" s="413"/>
      <c r="AK20" s="413"/>
      <c r="AL20" s="414"/>
      <c r="AM20" s="490"/>
      <c r="AN20" s="413"/>
      <c r="AO20" s="413"/>
      <c r="AP20" s="413"/>
      <c r="AQ20" s="490"/>
      <c r="AR20" s="413"/>
      <c r="AS20" s="413"/>
      <c r="AT20" s="413"/>
      <c r="AU20" s="490"/>
      <c r="AV20" s="413"/>
      <c r="AW20" s="413"/>
      <c r="AX20" s="413"/>
      <c r="AY20" s="1725"/>
      <c r="AZ20" s="1701"/>
      <c r="BA20" s="1701"/>
      <c r="BB20" s="1701"/>
      <c r="BC20" s="1725"/>
      <c r="BD20" s="1701"/>
      <c r="BE20" s="1701"/>
      <c r="BF20" s="1702"/>
      <c r="BG20" s="573"/>
      <c r="BH20" s="573"/>
      <c r="BI20" s="622"/>
      <c r="BJ20" s="1830"/>
      <c r="BK20" s="622"/>
      <c r="BL20" s="622"/>
      <c r="BM20" s="622"/>
      <c r="BN20" s="622"/>
      <c r="BO20" s="576"/>
      <c r="BP20" s="578"/>
      <c r="BQ20" s="578"/>
      <c r="BR20" s="575"/>
      <c r="BS20" s="2890"/>
      <c r="BT20" s="2891"/>
      <c r="BU20" s="2891"/>
      <c r="BV20" s="2892"/>
      <c r="BW20" s="2891"/>
      <c r="BX20" s="2891"/>
      <c r="BY20" s="2891"/>
      <c r="BZ20" s="2892"/>
      <c r="CA20" s="2891"/>
      <c r="CB20" s="2891"/>
      <c r="CC20" s="2891"/>
      <c r="CD20" s="2892"/>
      <c r="CE20" s="1744"/>
      <c r="CF20" s="1744"/>
      <c r="CG20" s="1744"/>
      <c r="CH20" s="1745"/>
      <c r="CI20" s="632"/>
      <c r="CQ20" s="2074"/>
    </row>
    <row r="21" spans="1:95">
      <c r="A21" s="1747" t="s">
        <v>819</v>
      </c>
      <c r="B21" s="681"/>
      <c r="C21" s="681"/>
      <c r="D21" s="451"/>
      <c r="E21" s="451">
        <f t="shared" ref="E21:E29" si="11">SUM(AA21:AD21)</f>
        <v>2.9369999999999994</v>
      </c>
      <c r="F21" s="413">
        <f t="shared" ref="F21:F29" si="12">SUM(AE21:AH21)</f>
        <v>-4.6330000000000009</v>
      </c>
      <c r="G21" s="413">
        <f t="shared" ref="G21:G29" si="13">SUM(AI21:AL21)</f>
        <v>7.908999999999998</v>
      </c>
      <c r="H21" s="413">
        <f t="shared" ref="H21:H29" si="14">SUM(AM21:AP21)</f>
        <v>-59.079999999999991</v>
      </c>
      <c r="I21" s="1701">
        <f t="shared" ref="I21:I29" si="15">SUM(AQ21:AT21)</f>
        <v>-77.978000000000009</v>
      </c>
      <c r="J21" s="1701">
        <f t="shared" ref="J21:J29" si="16">SUM(AU21:AX21)</f>
        <v>-54.110000000000014</v>
      </c>
      <c r="K21" s="1701">
        <f t="shared" ref="K21:K26" si="17">SUM(AY21:BB21)</f>
        <v>-232.30599999999998</v>
      </c>
      <c r="L21" s="1701">
        <f t="shared" si="9"/>
        <v>0</v>
      </c>
      <c r="M21" s="1701">
        <f t="shared" ref="M21:M29" si="18">SUM(BG21:BJ21)</f>
        <v>-154</v>
      </c>
      <c r="N21" s="1701">
        <f>SUM(BK21:BN21)</f>
        <v>-212</v>
      </c>
      <c r="O21" s="1710">
        <f>SUM(BO21:BR21)</f>
        <v>-163</v>
      </c>
      <c r="P21" s="1710">
        <f t="shared" ref="P21:P29" si="19">SUM(BS21:BV21)</f>
        <v>-132</v>
      </c>
      <c r="Q21" s="1710">
        <f t="shared" ref="Q21:Q29" si="20">SUM(BW21:BZ21)</f>
        <v>-266</v>
      </c>
      <c r="R21" s="1710">
        <f t="shared" si="7"/>
        <v>31</v>
      </c>
      <c r="S21" s="1710">
        <f t="shared" si="0"/>
        <v>379.63109512189249</v>
      </c>
      <c r="T21" s="1701">
        <f>-(BS!T13-BS!S13)</f>
        <v>23.121921434269552</v>
      </c>
      <c r="U21" s="1701">
        <f>-(BS!U13-BS!T13)</f>
        <v>17.967841071182193</v>
      </c>
      <c r="V21" s="1701">
        <f>-(BS!V13-BS!U13)</f>
        <v>13.824012976053837</v>
      </c>
      <c r="W21" s="1701">
        <f>-(BS!W13-BS!V13)</f>
        <v>6.511701572171205</v>
      </c>
      <c r="X21" s="1701">
        <f>-(BS!X13-BS!W13)</f>
        <v>4.354905728412632</v>
      </c>
      <c r="Y21" s="2540"/>
      <c r="Z21" s="679">
        <f>(INPUTS_2!B160+INPUTS_2!B204)/1000</f>
        <v>10.157</v>
      </c>
      <c r="AA21" s="490">
        <f>(INPUTS_2!C160+INPUTS_2!C204)/1000</f>
        <v>22.506</v>
      </c>
      <c r="AB21" s="413">
        <f>(INPUTS_2!D160+INPUTS_2!D204)/1000</f>
        <v>-6.5179999999999998</v>
      </c>
      <c r="AC21" s="413">
        <f>(INPUTS_2!E160+INPUTS_2!E204)/1000</f>
        <v>-23.236000000000001</v>
      </c>
      <c r="AD21" s="414">
        <f>(INPUTS_2!F160+INPUTS_2!F204)/1000</f>
        <v>10.185</v>
      </c>
      <c r="AE21" s="490">
        <f>(INPUTS_2!G160+INPUTS_2!G204)/1000</f>
        <v>6.8869999999999996</v>
      </c>
      <c r="AF21" s="413">
        <f>(INPUTS_2!H160+INPUTS_2!H204)/1000</f>
        <v>0.97299999999999998</v>
      </c>
      <c r="AG21" s="413">
        <f>(INPUTS_2!I160+INPUTS_2!I204)/1000</f>
        <v>-10.127000000000001</v>
      </c>
      <c r="AH21" s="414">
        <f>(INPUTS_2!J160+INPUTS_2!J204)/1000</f>
        <v>-2.3660000000000001</v>
      </c>
      <c r="AI21" s="490">
        <f>(INPUTS_2!K160+INPUTS_2!K204)/1000</f>
        <v>42.486144690781828</v>
      </c>
      <c r="AJ21" s="413">
        <f>(INPUTS_2!L160+INPUTS_2!L204)/1000</f>
        <v>-34.845144690781829</v>
      </c>
      <c r="AK21" s="413">
        <f>(INPUTS_2!M160+INPUTS_2!M204)/1000</f>
        <v>-5.5</v>
      </c>
      <c r="AL21" s="414">
        <f>(INPUTS_2!N160+INPUTS_2!N204)/1000</f>
        <v>5.7679999999999998</v>
      </c>
      <c r="AM21" s="490">
        <f>(INPUTS_2!O160+INPUTS_2!O204)/1000</f>
        <v>29.812000000000001</v>
      </c>
      <c r="AN21" s="413">
        <f>(INPUTS_2!P160+INPUTS_2!P204)/1000</f>
        <v>-31.495999999999999</v>
      </c>
      <c r="AO21" s="413">
        <f>(INPUTS_2!Q160+INPUTS_2!Q204)/1000</f>
        <v>-65.328999999999994</v>
      </c>
      <c r="AP21" s="413">
        <f>(INPUTS_2!R160+INPUTS_2!R204)/1000</f>
        <v>7.9329999999999998</v>
      </c>
      <c r="AQ21" s="490">
        <f>(INPUTS_2!S160+INPUTS_2!S204)/1000</f>
        <v>43.52</v>
      </c>
      <c r="AR21" s="413">
        <f>(INPUTS_2!T160+INPUTS_2!T204)/1000</f>
        <v>-121.13500000000001</v>
      </c>
      <c r="AS21" s="413">
        <f>(INPUTS_2!U160+INPUTS_2!U204)/1000</f>
        <v>77.917000000000002</v>
      </c>
      <c r="AT21" s="413">
        <f>(INPUTS_2!V160+INPUTS_2!V204)/1000</f>
        <v>-78.28</v>
      </c>
      <c r="AU21" s="490">
        <f>(INPUTS_2!W160+INPUTS_2!W204)/1000</f>
        <v>122.098</v>
      </c>
      <c r="AV21" s="413">
        <f>(INPUTS_2!X160+INPUTS_2!X204)/1000</f>
        <v>-5.9059999999999997</v>
      </c>
      <c r="AW21" s="413">
        <f>(INPUTS_2!Y160+INPUTS_2!Y204)/1000</f>
        <v>-15.079000000000001</v>
      </c>
      <c r="AX21" s="413">
        <f>(INPUTS_2!Z160+INPUTS_2!Z204)/1000</f>
        <v>-155.22300000000001</v>
      </c>
      <c r="AY21" s="1725">
        <f>(INPUTS_2!AA160+INPUTS_2!AA204)/1000</f>
        <v>40.631999999999998</v>
      </c>
      <c r="AZ21" s="1701">
        <f>(INPUTS_2!AB160+INPUTS_2!AB204)/1000</f>
        <v>-48.073</v>
      </c>
      <c r="BA21" s="1701">
        <f>(INPUTS_2!AC160+INPUTS_2!AC204)/1000</f>
        <v>-69.623000000000005</v>
      </c>
      <c r="BB21" s="1701">
        <f>(INPUTS_2!AD160+INPUTS_2!AD204)/1000</f>
        <v>-155.24199999999999</v>
      </c>
      <c r="BC21" s="1725">
        <f>-(BS!BF13-BS!BE13)</f>
        <v>140</v>
      </c>
      <c r="BD21" s="1701">
        <f>-(BS!BG13-BS!BF13)</f>
        <v>0</v>
      </c>
      <c r="BE21" s="1701">
        <f>-(BS!BH13-BS!BG13)</f>
        <v>-161</v>
      </c>
      <c r="BF21" s="1702">
        <f>-(BS!BI13-BS!BH13)</f>
        <v>21</v>
      </c>
      <c r="BG21" s="573">
        <v>18</v>
      </c>
      <c r="BH21" s="573">
        <f>-64-BG21</f>
        <v>-82</v>
      </c>
      <c r="BI21" s="622">
        <f>-136-BH21-BG21</f>
        <v>-72</v>
      </c>
      <c r="BJ21" s="1830">
        <f>-154-BI21-BH21-BG21</f>
        <v>-18</v>
      </c>
      <c r="BK21" s="573">
        <v>-34</v>
      </c>
      <c r="BL21" s="573">
        <f>-48-BK21</f>
        <v>-14</v>
      </c>
      <c r="BM21" s="573">
        <f>-105-BL21-BK21</f>
        <v>-57</v>
      </c>
      <c r="BN21" s="573">
        <f>-212-BM21-BL21-BK21</f>
        <v>-107</v>
      </c>
      <c r="BO21" s="576">
        <v>60</v>
      </c>
      <c r="BP21" s="578">
        <f>-72-BO21</f>
        <v>-132</v>
      </c>
      <c r="BQ21" s="578">
        <f>-111-BP21-BO21</f>
        <v>-39</v>
      </c>
      <c r="BR21" s="575">
        <f>-163-BQ21-BP21-BO21</f>
        <v>-52</v>
      </c>
      <c r="BS21" s="2890">
        <v>-27</v>
      </c>
      <c r="BT21" s="2891">
        <f>-93-BS21</f>
        <v>-66</v>
      </c>
      <c r="BU21" s="2891">
        <f>-91-BT21-BS21</f>
        <v>2</v>
      </c>
      <c r="BV21" s="2892">
        <f>-132-BU21-BT21-BS21</f>
        <v>-41</v>
      </c>
      <c r="BW21" s="2891">
        <v>26</v>
      </c>
      <c r="BX21" s="2891">
        <f>-125-BW21</f>
        <v>-151</v>
      </c>
      <c r="BY21" s="2891">
        <f>-158-BX21-BW21</f>
        <v>-33</v>
      </c>
      <c r="BZ21" s="2892">
        <f>-266-BY21-BX21-BW21</f>
        <v>-108</v>
      </c>
      <c r="CA21" s="2891">
        <v>116</v>
      </c>
      <c r="CB21" s="2891">
        <f>71-CA21</f>
        <v>-45</v>
      </c>
      <c r="CC21" s="2891">
        <f>2-CB21-CA21</f>
        <v>-69</v>
      </c>
      <c r="CD21" s="2892">
        <f>31-CC21-CB21-CA21</f>
        <v>29</v>
      </c>
      <c r="CE21" s="1744">
        <f>-(BS!CH13-BS!CG13)</f>
        <v>163.23199999999952</v>
      </c>
      <c r="CF21" s="1744">
        <f>-(BS!CI13-BS!CH13)</f>
        <v>73.470752277778502</v>
      </c>
      <c r="CG21" s="1744">
        <f>-(BS!CJ13-BS!CI13)</f>
        <v>72.097779039400393</v>
      </c>
      <c r="CH21" s="1745">
        <f>-(BS!CK13-BS!CJ13)</f>
        <v>70.830563804714075</v>
      </c>
      <c r="CI21" s="632"/>
      <c r="CQ21" s="2074"/>
    </row>
    <row r="22" spans="1:95" hidden="1">
      <c r="A22" s="1747" t="s">
        <v>638</v>
      </c>
      <c r="B22" s="681"/>
      <c r="C22" s="681"/>
      <c r="D22" s="451"/>
      <c r="E22" s="451">
        <f t="shared" si="11"/>
        <v>0</v>
      </c>
      <c r="F22" s="413">
        <f t="shared" si="12"/>
        <v>0</v>
      </c>
      <c r="G22" s="413">
        <f t="shared" si="13"/>
        <v>0</v>
      </c>
      <c r="H22" s="413">
        <f t="shared" si="14"/>
        <v>0</v>
      </c>
      <c r="I22" s="1701">
        <f t="shared" si="15"/>
        <v>42</v>
      </c>
      <c r="J22" s="1701">
        <f t="shared" si="16"/>
        <v>-5</v>
      </c>
      <c r="K22" s="1701">
        <f t="shared" si="17"/>
        <v>58</v>
      </c>
      <c r="L22" s="1701">
        <f t="shared" si="9"/>
        <v>0</v>
      </c>
      <c r="M22" s="1701">
        <f t="shared" si="18"/>
        <v>0</v>
      </c>
      <c r="N22" s="1701">
        <f>SUM(BH22:BK22)</f>
        <v>0</v>
      </c>
      <c r="O22" s="1710"/>
      <c r="P22" s="1710">
        <f t="shared" si="19"/>
        <v>0</v>
      </c>
      <c r="Q22" s="1710">
        <f t="shared" si="20"/>
        <v>0</v>
      </c>
      <c r="R22" s="1710">
        <f t="shared" si="7"/>
        <v>0</v>
      </c>
      <c r="S22" s="1710">
        <f t="shared" si="0"/>
        <v>0</v>
      </c>
      <c r="T22" s="1710"/>
      <c r="U22" s="1710"/>
      <c r="V22" s="1710"/>
      <c r="W22" s="1710"/>
      <c r="X22" s="1710"/>
      <c r="Y22" s="2540"/>
      <c r="Z22" s="679">
        <f>INPUTS_2!B205/1000</f>
        <v>0</v>
      </c>
      <c r="AA22" s="490">
        <f>INPUTS_2!C205/1000</f>
        <v>0</v>
      </c>
      <c r="AB22" s="413">
        <f>INPUTS_2!D205/1000</f>
        <v>0</v>
      </c>
      <c r="AC22" s="413">
        <f>INPUTS_2!E205/1000</f>
        <v>0</v>
      </c>
      <c r="AD22" s="414">
        <f>INPUTS_2!F205/1000</f>
        <v>0</v>
      </c>
      <c r="AE22" s="490">
        <f>INPUTS_2!G205/1000</f>
        <v>0</v>
      </c>
      <c r="AF22" s="413">
        <f>INPUTS_2!H205/1000</f>
        <v>0</v>
      </c>
      <c r="AG22" s="413">
        <f>INPUTS_2!I205/1000</f>
        <v>0</v>
      </c>
      <c r="AH22" s="414">
        <f>INPUTS_2!J205/1000</f>
        <v>0</v>
      </c>
      <c r="AI22" s="490">
        <f>INPUTS_2!K205/1000</f>
        <v>0</v>
      </c>
      <c r="AJ22" s="413">
        <f>INPUTS_2!L205/1000</f>
        <v>0</v>
      </c>
      <c r="AK22" s="413">
        <f>INPUTS_2!M205/1000</f>
        <v>0</v>
      </c>
      <c r="AL22" s="414">
        <f>INPUTS_2!N205/1000</f>
        <v>0</v>
      </c>
      <c r="AM22" s="490">
        <f>INPUTS_2!O205/1000</f>
        <v>0</v>
      </c>
      <c r="AN22" s="413">
        <f>INPUTS_2!P205/1000</f>
        <v>0</v>
      </c>
      <c r="AO22" s="413">
        <f>INPUTS_2!Q205/1000</f>
        <v>0</v>
      </c>
      <c r="AP22" s="413">
        <f>INPUTS_2!R205/1000</f>
        <v>0</v>
      </c>
      <c r="AQ22" s="490">
        <f>INPUTS_2!S205/1000</f>
        <v>-5</v>
      </c>
      <c r="AR22" s="413">
        <f>INPUTS_2!T205/1000</f>
        <v>44</v>
      </c>
      <c r="AS22" s="413">
        <f>INPUTS_2!U205/1000</f>
        <v>-4</v>
      </c>
      <c r="AT22" s="413">
        <f>INPUTS_2!V205/1000</f>
        <v>7</v>
      </c>
      <c r="AU22" s="490">
        <f>INPUTS_2!W205/1000</f>
        <v>-28</v>
      </c>
      <c r="AV22" s="413">
        <f>INPUTS_2!X205/1000</f>
        <v>37</v>
      </c>
      <c r="AW22" s="413">
        <f>INPUTS_2!Y205/1000</f>
        <v>-13</v>
      </c>
      <c r="AX22" s="413">
        <f>INPUTS_2!Z205/1000</f>
        <v>-1</v>
      </c>
      <c r="AY22" s="1725">
        <f>INPUTS_2!AA205/1000</f>
        <v>22</v>
      </c>
      <c r="AZ22" s="1701">
        <f>INPUTS_2!AB205/1000</f>
        <v>53</v>
      </c>
      <c r="BA22" s="1701">
        <f>INPUTS_2!AC205/1000</f>
        <v>3</v>
      </c>
      <c r="BB22" s="1701">
        <f>INPUTS_2!AD205/1000</f>
        <v>-20</v>
      </c>
      <c r="BC22" s="1725"/>
      <c r="BD22" s="1701"/>
      <c r="BE22" s="1701"/>
      <c r="BF22" s="1702"/>
      <c r="BG22" s="573"/>
      <c r="BH22" s="573"/>
      <c r="BI22" s="622"/>
      <c r="BJ22" s="1830"/>
      <c r="BK22" s="573"/>
      <c r="BL22" s="573"/>
      <c r="BM22" s="573"/>
      <c r="BN22" s="1701"/>
      <c r="BO22" s="576"/>
      <c r="BP22" s="578"/>
      <c r="BQ22" s="578"/>
      <c r="BR22" s="575"/>
      <c r="BS22" s="2890"/>
      <c r="BT22" s="2891"/>
      <c r="BU22" s="2891"/>
      <c r="BV22" s="2892"/>
      <c r="BW22" s="2891"/>
      <c r="BX22" s="2891"/>
      <c r="BY22" s="2891"/>
      <c r="BZ22" s="2892"/>
      <c r="CA22" s="2891"/>
      <c r="CB22" s="2891"/>
      <c r="CC22" s="2891"/>
      <c r="CD22" s="2892"/>
      <c r="CE22" s="1744"/>
      <c r="CF22" s="1744"/>
      <c r="CG22" s="1744"/>
      <c r="CH22" s="1745"/>
      <c r="CI22" s="632"/>
      <c r="CQ22" s="2074"/>
    </row>
    <row r="23" spans="1:95">
      <c r="A23" s="1747" t="s">
        <v>837</v>
      </c>
      <c r="B23" s="681"/>
      <c r="C23" s="681"/>
      <c r="D23" s="451"/>
      <c r="E23" s="451">
        <f t="shared" si="11"/>
        <v>15.513999999999999</v>
      </c>
      <c r="F23" s="413">
        <f t="shared" si="12"/>
        <v>-33.226999999999997</v>
      </c>
      <c r="G23" s="413">
        <f t="shared" si="13"/>
        <v>-9.3999999999997641E-2</v>
      </c>
      <c r="H23" s="413">
        <f t="shared" si="14"/>
        <v>-111.69800000000001</v>
      </c>
      <c r="I23" s="1701">
        <f t="shared" si="15"/>
        <v>-698.95699999999988</v>
      </c>
      <c r="J23" s="1701">
        <f t="shared" si="16"/>
        <v>-92.238999999999976</v>
      </c>
      <c r="K23" s="1701">
        <f t="shared" si="17"/>
        <v>-125.012</v>
      </c>
      <c r="L23" s="1701">
        <f t="shared" si="9"/>
        <v>299</v>
      </c>
      <c r="M23" s="1701">
        <f t="shared" si="18"/>
        <v>-72</v>
      </c>
      <c r="N23" s="1701">
        <f>SUM(BK23:BN23)</f>
        <v>-76</v>
      </c>
      <c r="O23" s="1710">
        <f>SUM(BO23:BR23)</f>
        <v>70</v>
      </c>
      <c r="P23" s="1710">
        <f t="shared" si="19"/>
        <v>-168</v>
      </c>
      <c r="Q23" s="1710">
        <f t="shared" si="20"/>
        <v>109</v>
      </c>
      <c r="R23" s="1710">
        <f t="shared" si="7"/>
        <v>-123</v>
      </c>
      <c r="S23" s="1710">
        <f t="shared" si="0"/>
        <v>43.122795304625697</v>
      </c>
      <c r="T23" s="1701">
        <f>(BS!T30-BS!S30)</f>
        <v>-91.521777154396887</v>
      </c>
      <c r="U23" s="1701">
        <f>(BS!U30-BS!T30)</f>
        <v>-46.139866035627392</v>
      </c>
      <c r="V23" s="1701">
        <f>(BS!V30-BS!U30)</f>
        <v>-26.129027621243267</v>
      </c>
      <c r="W23" s="1701">
        <f>(BS!W30-BS!V30)</f>
        <v>-21.027648679149024</v>
      </c>
      <c r="X23" s="1701">
        <f>(BS!X30-BS!W30)</f>
        <v>-19.501667659080113</v>
      </c>
      <c r="Y23" s="2540"/>
      <c r="Z23" s="679">
        <f>(INPUTS_2!B161+INPUTS_2!B206)/1000</f>
        <v>-5.96</v>
      </c>
      <c r="AA23" s="490">
        <f>(INPUTS_2!C161+INPUTS_2!C206)/1000</f>
        <v>14.558999999999999</v>
      </c>
      <c r="AB23" s="413">
        <f>(INPUTS_2!D161+INPUTS_2!D206)/1000</f>
        <v>10.053000000000001</v>
      </c>
      <c r="AC23" s="413">
        <f>(INPUTS_2!E161+INPUTS_2!E206)/1000</f>
        <v>7.13</v>
      </c>
      <c r="AD23" s="414">
        <f>(INPUTS_2!F161+INPUTS_2!F206)/1000</f>
        <v>-16.228000000000002</v>
      </c>
      <c r="AE23" s="490">
        <f>(INPUTS_2!G161+INPUTS_2!G206)/1000</f>
        <v>-9.4E-2</v>
      </c>
      <c r="AF23" s="413">
        <f>(INPUTS_2!H161+INPUTS_2!H206)/1000</f>
        <v>-0.14199999999999999</v>
      </c>
      <c r="AG23" s="413">
        <f>(INPUTS_2!I161+INPUTS_2!I206)/1000</f>
        <v>-32.991</v>
      </c>
      <c r="AH23" s="414">
        <f>(INPUTS_2!J161+INPUTS_2!J206)/1000</f>
        <v>0</v>
      </c>
      <c r="AI23" s="490">
        <f>(INPUTS_2!K161+INPUTS_2!K206)/1000</f>
        <v>-12.483355797819613</v>
      </c>
      <c r="AJ23" s="413">
        <f>(INPUTS_2!L161+INPUTS_2!L206)/1000</f>
        <v>-81.069644202180385</v>
      </c>
      <c r="AK23" s="413">
        <f>(INPUTS_2!M161+INPUTS_2!M206)/1000</f>
        <v>64.338999999999999</v>
      </c>
      <c r="AL23" s="414">
        <f>(INPUTS_2!N161+INPUTS_2!N206)/1000</f>
        <v>29.12</v>
      </c>
      <c r="AM23" s="490">
        <f>(INPUTS_2!O161+INPUTS_2!O206)/1000</f>
        <v>72.415000000000006</v>
      </c>
      <c r="AN23" s="413">
        <f>(INPUTS_2!P161+INPUTS_2!P206)/1000</f>
        <v>-217.309</v>
      </c>
      <c r="AO23" s="413">
        <f>(INPUTS_2!Q161+INPUTS_2!Q206)/1000</f>
        <v>84.728999999999999</v>
      </c>
      <c r="AP23" s="413">
        <f>(INPUTS_2!R161+INPUTS_2!R206)/1000</f>
        <v>-51.533000000000001</v>
      </c>
      <c r="AQ23" s="490">
        <f>(INPUTS_2!S161+INPUTS_2!S206)/1000</f>
        <v>-312.07299999999998</v>
      </c>
      <c r="AR23" s="413">
        <f>(INPUTS_2!T161+INPUTS_2!T206)/1000</f>
        <v>-167.208</v>
      </c>
      <c r="AS23" s="413">
        <f>(INPUTS_2!U161+INPUTS_2!U206)/1000</f>
        <v>-107.026</v>
      </c>
      <c r="AT23" s="413">
        <f>(INPUTS_2!V161+INPUTS_2!V206)/1000</f>
        <v>-112.65</v>
      </c>
      <c r="AU23" s="490">
        <f>(INPUTS_2!W161+INPUTS_2!W206)/1000</f>
        <v>-212.86799999999999</v>
      </c>
      <c r="AV23" s="413">
        <f>(INPUTS_2!X161+INPUTS_2!X206)/1000</f>
        <v>104.629</v>
      </c>
      <c r="AW23" s="413">
        <f>(INPUTS_2!Y161+INPUTS_2!Y206)/1000</f>
        <v>-36</v>
      </c>
      <c r="AX23" s="413">
        <f>(INPUTS_2!Z161+INPUTS_2!Z206)/1000</f>
        <v>52</v>
      </c>
      <c r="AY23" s="1725">
        <f>(INPUTS_2!AA161+INPUTS_2!AA206)/1000</f>
        <v>-205.99199999999999</v>
      </c>
      <c r="AZ23" s="1701">
        <f>(INPUTS_2!AB161+INPUTS_2!AB206)/1000</f>
        <v>19.370999999999999</v>
      </c>
      <c r="BA23" s="1701">
        <f>(INPUTS_2!AC161+INPUTS_2!AC206)/1000</f>
        <v>49.608999999999988</v>
      </c>
      <c r="BB23" s="1701">
        <f>(INPUTS_2!AD161+INPUTS_2!AD206)/1000</f>
        <v>12</v>
      </c>
      <c r="BC23" s="1725">
        <f>(BS!BF30-BS!BE30)</f>
        <v>85</v>
      </c>
      <c r="BD23" s="1701">
        <f>(BS!BG30-BS!BF30)</f>
        <v>70</v>
      </c>
      <c r="BE23" s="1701">
        <f>(BS!BH30-BS!BG30)</f>
        <v>104</v>
      </c>
      <c r="BF23" s="1702">
        <f>(BS!BI30-BS!BH30)</f>
        <v>40</v>
      </c>
      <c r="BG23" s="573">
        <v>-198</v>
      </c>
      <c r="BH23" s="573">
        <f>-140-BG23</f>
        <v>58</v>
      </c>
      <c r="BI23" s="622">
        <f>48-BH23-BG23</f>
        <v>188</v>
      </c>
      <c r="BJ23" s="1830">
        <f>-72-BI23-BH23-BG23</f>
        <v>-120</v>
      </c>
      <c r="BK23" s="573">
        <v>-34</v>
      </c>
      <c r="BL23" s="573">
        <f>123-BK23</f>
        <v>157</v>
      </c>
      <c r="BM23" s="573">
        <f>0-BL23-BK23</f>
        <v>-123</v>
      </c>
      <c r="BN23" s="573">
        <f>-76-BM23-BL23-BK23</f>
        <v>-76</v>
      </c>
      <c r="BO23" s="576">
        <v>123</v>
      </c>
      <c r="BP23" s="578">
        <f>75-BO23</f>
        <v>-48</v>
      </c>
      <c r="BQ23" s="578">
        <f>-21-BP23-BO23</f>
        <v>-96</v>
      </c>
      <c r="BR23" s="575">
        <f>70-BQ23-BP23-BO23</f>
        <v>91</v>
      </c>
      <c r="BS23" s="2890">
        <v>-80</v>
      </c>
      <c r="BT23" s="2891">
        <f>(BS!BW30-BS!BV30)</f>
        <v>-19</v>
      </c>
      <c r="BU23" s="2891">
        <f>-84-BT23-BS23</f>
        <v>15</v>
      </c>
      <c r="BV23" s="2892">
        <f>-168-BU23-BT23-BS23</f>
        <v>-84</v>
      </c>
      <c r="BW23" s="2891">
        <v>78</v>
      </c>
      <c r="BX23" s="2891">
        <f>74-BW23</f>
        <v>-4</v>
      </c>
      <c r="BY23" s="2891">
        <f>52-BX23-BW23</f>
        <v>-22</v>
      </c>
      <c r="BZ23" s="2892">
        <f>109-BY23-BX23-BW23</f>
        <v>57</v>
      </c>
      <c r="CA23" s="2891">
        <v>-81</v>
      </c>
      <c r="CB23" s="2891">
        <f>-112-CA23</f>
        <v>-31</v>
      </c>
      <c r="CC23" s="2891">
        <f>-93-CB23-CA23</f>
        <v>19</v>
      </c>
      <c r="CD23" s="2892">
        <f>-123-CC23-CB23-CA23</f>
        <v>-30</v>
      </c>
      <c r="CE23" s="1744">
        <f>(BS!CH30-BS!CG30)</f>
        <v>27.546622222222595</v>
      </c>
      <c r="CF23" s="1744">
        <f>(BS!CI30-BS!CH30)</f>
        <v>6.5255214321105086</v>
      </c>
      <c r="CG23" s="1744">
        <f>(BS!CJ30-BS!CI30)</f>
        <v>9.7944196618618662</v>
      </c>
      <c r="CH23" s="1745">
        <f>(BS!CK30-BS!CJ30)</f>
        <v>-0.74376801156927286</v>
      </c>
      <c r="CI23" s="632"/>
      <c r="CQ23" s="2074"/>
    </row>
    <row r="24" spans="1:95">
      <c r="A24" s="1747" t="s">
        <v>1054</v>
      </c>
      <c r="B24" s="681"/>
      <c r="C24" s="681"/>
      <c r="D24" s="451"/>
      <c r="E24" s="451">
        <f t="shared" si="11"/>
        <v>27.04</v>
      </c>
      <c r="F24" s="413">
        <f t="shared" si="12"/>
        <v>75.721999999999994</v>
      </c>
      <c r="G24" s="413">
        <f t="shared" si="13"/>
        <v>-49.734999999999999</v>
      </c>
      <c r="H24" s="413">
        <f t="shared" si="14"/>
        <v>11.603999999999999</v>
      </c>
      <c r="I24" s="1701">
        <f t="shared" si="15"/>
        <v>-64.778000000000006</v>
      </c>
      <c r="J24" s="1701">
        <f t="shared" si="16"/>
        <v>31.094000000000001</v>
      </c>
      <c r="K24" s="1701">
        <f t="shared" si="17"/>
        <v>94.817000000000007</v>
      </c>
      <c r="L24" s="1701">
        <f t="shared" si="9"/>
        <v>-403</v>
      </c>
      <c r="M24" s="1701">
        <f t="shared" si="18"/>
        <v>-14</v>
      </c>
      <c r="N24" s="1701">
        <f>SUM(BK24:BN24)</f>
        <v>28</v>
      </c>
      <c r="O24" s="1710">
        <f>SUM(BO24:BR24)</f>
        <v>-84</v>
      </c>
      <c r="P24" s="1710">
        <f t="shared" si="19"/>
        <v>32</v>
      </c>
      <c r="Q24" s="1710">
        <f t="shared" si="20"/>
        <v>-43</v>
      </c>
      <c r="R24" s="1710">
        <f t="shared" si="7"/>
        <v>54</v>
      </c>
      <c r="S24" s="1710">
        <f t="shared" si="0"/>
        <v>0</v>
      </c>
      <c r="T24" s="1701"/>
      <c r="U24" s="1701"/>
      <c r="V24" s="1701"/>
      <c r="W24" s="1701"/>
      <c r="X24" s="1701"/>
      <c r="Y24" s="2540"/>
      <c r="Z24" s="679">
        <f>INPUTS_2!B162/1000</f>
        <v>29.782</v>
      </c>
      <c r="AA24" s="490">
        <f>INPUTS_2!C162/1000</f>
        <v>19.920999999999999</v>
      </c>
      <c r="AB24" s="413">
        <f>INPUTS_2!D162/1000</f>
        <v>-25.643000000000001</v>
      </c>
      <c r="AC24" s="413">
        <f>INPUTS_2!E162/1000</f>
        <v>30.902999999999999</v>
      </c>
      <c r="AD24" s="414">
        <f>INPUTS_2!F162/1000</f>
        <v>1.859</v>
      </c>
      <c r="AE24" s="490">
        <f>INPUTS_2!G162/1000</f>
        <v>36.54</v>
      </c>
      <c r="AF24" s="413">
        <f>INPUTS_2!H162/1000</f>
        <v>-24.356000000000002</v>
      </c>
      <c r="AG24" s="413">
        <f>INPUTS_2!I162/1000</f>
        <v>63.537999999999997</v>
      </c>
      <c r="AH24" s="414">
        <f>INPUTS_2!J162/1000</f>
        <v>0</v>
      </c>
      <c r="AI24" s="490">
        <f>INPUTS_2!K162/1000</f>
        <v>-37.072000000000003</v>
      </c>
      <c r="AJ24" s="413">
        <f>INPUTS_2!L162/1000</f>
        <v>8.9589999999999996</v>
      </c>
      <c r="AK24" s="413">
        <f>INPUTS_2!M162/1000</f>
        <v>-2.74</v>
      </c>
      <c r="AL24" s="414">
        <f>INPUTS_2!N162/1000</f>
        <v>-18.882000000000001</v>
      </c>
      <c r="AM24" s="490">
        <f>INPUTS_2!O162/1000</f>
        <v>35.695</v>
      </c>
      <c r="AN24" s="413">
        <f>INPUTS_2!P162/1000</f>
        <v>-8.6240000000000006</v>
      </c>
      <c r="AO24" s="413">
        <f>INPUTS_2!Q162/1000</f>
        <v>22.59</v>
      </c>
      <c r="AP24" s="413">
        <f>INPUTS_2!R162/1000</f>
        <v>-38.057000000000002</v>
      </c>
      <c r="AQ24" s="490">
        <f>INPUTS_2!S162/1000</f>
        <v>9.6989999999999998</v>
      </c>
      <c r="AR24" s="413">
        <f>INPUTS_2!T162/1000</f>
        <v>-42.328000000000003</v>
      </c>
      <c r="AS24" s="413">
        <f>INPUTS_2!U162/1000</f>
        <v>7.4130000000000003</v>
      </c>
      <c r="AT24" s="413">
        <f>INPUTS_2!V162/1000</f>
        <v>-39.561999999999998</v>
      </c>
      <c r="AU24" s="490">
        <f>INPUTS_2!W162/1000</f>
        <v>19.103000000000002</v>
      </c>
      <c r="AV24" s="413">
        <f>INPUTS_2!X162/1000</f>
        <v>11.991</v>
      </c>
      <c r="AW24" s="413">
        <f>INPUTS_2!Y162/1000</f>
        <v>0</v>
      </c>
      <c r="AX24" s="413">
        <f>INPUTS_2!Z162/1000</f>
        <v>0</v>
      </c>
      <c r="AY24" s="1725">
        <f>INPUTS_2!AA162/1000</f>
        <v>194.274</v>
      </c>
      <c r="AZ24" s="1701">
        <f>INPUTS_2!AB162/1000</f>
        <v>-79.328999999999994</v>
      </c>
      <c r="BA24" s="1701">
        <f>INPUTS_2!AC162/1000</f>
        <v>-20.128</v>
      </c>
      <c r="BB24" s="1701">
        <f>INPUTS_2!AD162/1000</f>
        <v>0</v>
      </c>
      <c r="BC24" s="1725">
        <f>(BS!BF31-BS!BE31)</f>
        <v>-324</v>
      </c>
      <c r="BD24" s="1701">
        <f>(BS!BG31-BS!BF31)</f>
        <v>-405</v>
      </c>
      <c r="BE24" s="1701">
        <f>(BS!BH31-BS!BG31)</f>
        <v>532</v>
      </c>
      <c r="BF24" s="1702">
        <f>(BS!BI31-BS!BH31)</f>
        <v>-206</v>
      </c>
      <c r="BG24" s="573">
        <v>80</v>
      </c>
      <c r="BH24" s="573">
        <f>22-BG24</f>
        <v>-58</v>
      </c>
      <c r="BI24" s="622">
        <f>65-BH24-BG24</f>
        <v>43</v>
      </c>
      <c r="BJ24" s="1830">
        <f>-14-BI24-BH24-BG24</f>
        <v>-79</v>
      </c>
      <c r="BK24" s="573">
        <v>76</v>
      </c>
      <c r="BL24" s="573">
        <f>-11-BK24</f>
        <v>-87</v>
      </c>
      <c r="BM24" s="573">
        <f>30-BL24-BK24</f>
        <v>41</v>
      </c>
      <c r="BN24" s="573">
        <f>28-BM24-BL24-BK24</f>
        <v>-2</v>
      </c>
      <c r="BO24" s="576">
        <v>65</v>
      </c>
      <c r="BP24" s="578">
        <f>-11-BO24</f>
        <v>-76</v>
      </c>
      <c r="BQ24" s="578">
        <f>38-BP24-BO24</f>
        <v>49</v>
      </c>
      <c r="BR24" s="575">
        <f>-84-BQ24-BP24-BO24</f>
        <v>-122</v>
      </c>
      <c r="BS24" s="2890">
        <v>136</v>
      </c>
      <c r="BT24" s="2891">
        <f>(BS!BW31-BS!BV31)</f>
        <v>-91</v>
      </c>
      <c r="BU24" s="2891">
        <f>250-BT24-BS24</f>
        <v>205</v>
      </c>
      <c r="BV24" s="2892">
        <f>32-BU24-BT24-BS24</f>
        <v>-218</v>
      </c>
      <c r="BW24" s="2891">
        <v>160</v>
      </c>
      <c r="BX24" s="2891">
        <f>208-BW24</f>
        <v>48</v>
      </c>
      <c r="BY24" s="2891">
        <f>1-BX24-BW24</f>
        <v>-207</v>
      </c>
      <c r="BZ24" s="2892">
        <f>-43-BY24-BX24-BW24</f>
        <v>-44</v>
      </c>
      <c r="CA24" s="2891">
        <v>206</v>
      </c>
      <c r="CB24" s="2891">
        <f>29-CA24</f>
        <v>-177</v>
      </c>
      <c r="CC24" s="2891">
        <f>103-CB24-CA24</f>
        <v>74</v>
      </c>
      <c r="CD24" s="2892">
        <f>54-CC24-CB24-CA24</f>
        <v>-49</v>
      </c>
      <c r="CE24" s="1744"/>
      <c r="CF24" s="1744"/>
      <c r="CG24" s="1744"/>
      <c r="CH24" s="1745"/>
      <c r="CI24" s="632"/>
      <c r="CQ24" s="2074"/>
    </row>
    <row r="25" spans="1:95">
      <c r="A25" s="1747" t="s">
        <v>1055</v>
      </c>
      <c r="B25" s="681"/>
      <c r="C25" s="681"/>
      <c r="D25" s="451"/>
      <c r="E25" s="451">
        <f t="shared" si="11"/>
        <v>12.831</v>
      </c>
      <c r="F25" s="413">
        <f t="shared" si="12"/>
        <v>-10.861000000000001</v>
      </c>
      <c r="G25" s="413">
        <f t="shared" si="13"/>
        <v>81.269000000000005</v>
      </c>
      <c r="H25" s="413">
        <f t="shared" si="14"/>
        <v>19.782</v>
      </c>
      <c r="I25" s="1701">
        <f t="shared" si="15"/>
        <v>-14.611999999999997</v>
      </c>
      <c r="J25" s="1701">
        <f t="shared" si="16"/>
        <v>-6.4249999999999989</v>
      </c>
      <c r="K25" s="1701">
        <f t="shared" si="17"/>
        <v>-7.1370000000000005</v>
      </c>
      <c r="L25" s="1701">
        <f t="shared" si="9"/>
        <v>34.658999999999992</v>
      </c>
      <c r="M25" s="1701">
        <f t="shared" si="18"/>
        <v>16</v>
      </c>
      <c r="N25" s="1701">
        <f>SUM(BK25:BN25)</f>
        <v>263</v>
      </c>
      <c r="O25" s="1710">
        <f>SUM(BO25:BR25)</f>
        <v>-270</v>
      </c>
      <c r="P25" s="1710">
        <f t="shared" si="19"/>
        <v>-53</v>
      </c>
      <c r="Q25" s="1710">
        <f t="shared" si="20"/>
        <v>92</v>
      </c>
      <c r="R25" s="1710">
        <f t="shared" si="7"/>
        <v>-614</v>
      </c>
      <c r="S25" s="1710">
        <f t="shared" ca="1" si="0"/>
        <v>64.934460175117351</v>
      </c>
      <c r="T25" s="1701">
        <f ca="1">-(BS!T15-BS!S15)</f>
        <v>35.472672021802964</v>
      </c>
      <c r="U25" s="1701">
        <f ca="1">-(BS!U15-BS!T15)</f>
        <v>25.146714173851819</v>
      </c>
      <c r="V25" s="1701">
        <f ca="1">-(BS!V15-BS!U15)</f>
        <v>11.714117921227057</v>
      </c>
      <c r="W25" s="1701">
        <f ca="1">-(BS!W15-BS!V15)</f>
        <v>9.2048172752292885</v>
      </c>
      <c r="X25" s="1701">
        <f ca="1">-(BS!X15-BS!W15)</f>
        <v>8.4556789776000869</v>
      </c>
      <c r="Y25" s="2540"/>
      <c r="Z25" s="679">
        <f>INPUTS_2!B163/1000</f>
        <v>-1.542</v>
      </c>
      <c r="AA25" s="490">
        <f>INPUTS_2!C163/1000</f>
        <v>0.70899999999999996</v>
      </c>
      <c r="AB25" s="413">
        <f>INPUTS_2!D163/1000</f>
        <v>-3.3170000000000002</v>
      </c>
      <c r="AC25" s="413">
        <f>INPUTS_2!E163/1000</f>
        <v>-1.175</v>
      </c>
      <c r="AD25" s="414">
        <f>INPUTS_2!F163/1000</f>
        <v>16.614000000000001</v>
      </c>
      <c r="AE25" s="490">
        <f>INPUTS_2!G163/1000</f>
        <v>-15.71</v>
      </c>
      <c r="AF25" s="413">
        <f>INPUTS_2!H163/1000</f>
        <v>14.856</v>
      </c>
      <c r="AG25" s="413">
        <f>INPUTS_2!I163/1000</f>
        <v>-10.007</v>
      </c>
      <c r="AH25" s="414">
        <f>INPUTS_2!J163/1000</f>
        <v>0</v>
      </c>
      <c r="AI25" s="490">
        <f>INPUTS_2!K163/1000</f>
        <v>-13.959577079063511</v>
      </c>
      <c r="AJ25" s="413">
        <f>INPUTS_2!L163/1000</f>
        <v>59.678577079063515</v>
      </c>
      <c r="AK25" s="413">
        <f>INPUTS_2!M163/1000</f>
        <v>76.965999999999994</v>
      </c>
      <c r="AL25" s="414">
        <f>INPUTS_2!N163/1000</f>
        <v>-41.415999999999997</v>
      </c>
      <c r="AM25" s="490">
        <f>INPUTS_2!O163/1000</f>
        <v>-43.03</v>
      </c>
      <c r="AN25" s="413">
        <f>INPUTS_2!P163/1000</f>
        <v>31.372</v>
      </c>
      <c r="AO25" s="413">
        <f>INPUTS_2!Q163/1000</f>
        <v>4.6890000000000001</v>
      </c>
      <c r="AP25" s="413">
        <f>INPUTS_2!R163/1000</f>
        <v>26.751000000000001</v>
      </c>
      <c r="AQ25" s="490">
        <f>INPUTS_2!S163/1000</f>
        <v>-29.422999999999998</v>
      </c>
      <c r="AR25" s="413">
        <f>INPUTS_2!T163/1000</f>
        <v>16.922000000000001</v>
      </c>
      <c r="AS25" s="413">
        <f>INPUTS_2!U163/1000</f>
        <v>-14.967000000000001</v>
      </c>
      <c r="AT25" s="413">
        <f>INPUTS_2!V163/1000</f>
        <v>12.856</v>
      </c>
      <c r="AU25" s="490">
        <f>INPUTS_2!W163/1000</f>
        <v>-15.302</v>
      </c>
      <c r="AV25" s="413">
        <f>INPUTS_2!X163/1000</f>
        <v>8.8770000000000007</v>
      </c>
      <c r="AW25" s="413">
        <f>INPUTS_2!Y163/1000</f>
        <v>0</v>
      </c>
      <c r="AX25" s="413">
        <f>INPUTS_2!Z163/1000</f>
        <v>0</v>
      </c>
      <c r="AY25" s="1725">
        <f>INPUTS_2!AA163/1000</f>
        <v>27.271999999999998</v>
      </c>
      <c r="AZ25" s="1701">
        <f>INPUTS_2!AB163/1000</f>
        <v>-51.512</v>
      </c>
      <c r="BA25" s="1701">
        <f>INPUTS_2!AC163/1000</f>
        <v>17.103000000000002</v>
      </c>
      <c r="BB25" s="1701">
        <f>INPUTS_2!AD163/1000</f>
        <v>0</v>
      </c>
      <c r="BC25" s="1725">
        <f>-(BS!BF15-BS!BE15)</f>
        <v>90.658999999999992</v>
      </c>
      <c r="BD25" s="1701">
        <f>-(BS!BG15-BS!BF15)</f>
        <v>-11</v>
      </c>
      <c r="BE25" s="1701">
        <f>-(BS!BH15-BS!BG15)</f>
        <v>-30</v>
      </c>
      <c r="BF25" s="1702">
        <f>-(BS!BI15-BS!BH15)</f>
        <v>-15</v>
      </c>
      <c r="BG25" s="573">
        <v>156</v>
      </c>
      <c r="BH25" s="573">
        <f>-6-BG25</f>
        <v>-162</v>
      </c>
      <c r="BI25" s="622">
        <f>134-BH25-BG25</f>
        <v>140</v>
      </c>
      <c r="BJ25" s="1830">
        <f>16-BI25-BH25-BG25</f>
        <v>-118</v>
      </c>
      <c r="BK25" s="622">
        <v>-37</v>
      </c>
      <c r="BL25" s="622">
        <f>-163-BK25</f>
        <v>-126</v>
      </c>
      <c r="BM25" s="622">
        <f>303-BL25-BK25</f>
        <v>466</v>
      </c>
      <c r="BN25" s="622">
        <f>263-BM25-BL25-BK25</f>
        <v>-40</v>
      </c>
      <c r="BO25" s="576">
        <v>-295</v>
      </c>
      <c r="BP25" s="578">
        <f>-356-BO25</f>
        <v>-61</v>
      </c>
      <c r="BQ25" s="578">
        <f>-130-BP25-BO25</f>
        <v>226</v>
      </c>
      <c r="BR25" s="575">
        <f>-270-BQ25-BP25-BO25</f>
        <v>-140</v>
      </c>
      <c r="BS25" s="2890">
        <v>-16</v>
      </c>
      <c r="BT25" s="2891">
        <f>53-BS25</f>
        <v>69</v>
      </c>
      <c r="BU25" s="2891">
        <f>123-BT25-BS25</f>
        <v>70</v>
      </c>
      <c r="BV25" s="2892">
        <f>-53-BU25-BT25-BS25</f>
        <v>-176</v>
      </c>
      <c r="BW25" s="2891">
        <v>-72</v>
      </c>
      <c r="BX25" s="2891">
        <f>-64-BW25</f>
        <v>8</v>
      </c>
      <c r="BY25" s="2891">
        <f>-24-BX25-BW25</f>
        <v>40</v>
      </c>
      <c r="BZ25" s="2892">
        <f>92-BY25-BX25-BW25</f>
        <v>116</v>
      </c>
      <c r="CA25" s="2891">
        <v>-266</v>
      </c>
      <c r="CB25" s="2891">
        <f>-306-CA25</f>
        <v>-40</v>
      </c>
      <c r="CC25" s="2891">
        <f>-221-CB25-CA25</f>
        <v>85</v>
      </c>
      <c r="CD25" s="2892">
        <f>-614-CC25-CB25-CA25</f>
        <v>-393</v>
      </c>
      <c r="CE25" s="1744">
        <f ca="1">-(BS!CH15-BS!CG15)</f>
        <v>20.256037107010911</v>
      </c>
      <c r="CF25" s="1744">
        <f ca="1">-(BS!CI15-BS!CH15)</f>
        <v>16.134643252127148</v>
      </c>
      <c r="CG25" s="1744">
        <f ca="1">-(BS!CJ15-BS!CI15)</f>
        <v>11.992848623508166</v>
      </c>
      <c r="CH25" s="1745">
        <f ca="1">-(BS!CK15-BS!CJ15)</f>
        <v>16.550931192471126</v>
      </c>
      <c r="CI25" s="632"/>
      <c r="CQ25" s="2074"/>
    </row>
    <row r="26" spans="1:95">
      <c r="A26" s="1833" t="s">
        <v>639</v>
      </c>
      <c r="B26" s="681"/>
      <c r="C26" s="681"/>
      <c r="D26" s="451"/>
      <c r="E26" s="451">
        <f t="shared" si="11"/>
        <v>-37.934000000000005</v>
      </c>
      <c r="F26" s="413">
        <f t="shared" si="12"/>
        <v>4.6109999999999998</v>
      </c>
      <c r="G26" s="413">
        <f t="shared" si="13"/>
        <v>9.786999999999999</v>
      </c>
      <c r="H26" s="413">
        <f t="shared" si="14"/>
        <v>-86.062999999999988</v>
      </c>
      <c r="I26" s="1701">
        <f t="shared" si="15"/>
        <v>-405.81700000000001</v>
      </c>
      <c r="J26" s="1701">
        <f t="shared" si="16"/>
        <v>49.302000000000007</v>
      </c>
      <c r="K26" s="1701">
        <f t="shared" si="17"/>
        <v>429.11199999999997</v>
      </c>
      <c r="L26" s="1701">
        <f t="shared" si="9"/>
        <v>0</v>
      </c>
      <c r="M26" s="1701">
        <f t="shared" si="18"/>
        <v>161</v>
      </c>
      <c r="N26" s="1701">
        <f>SUM(BK26:BN26)</f>
        <v>19</v>
      </c>
      <c r="O26" s="1710">
        <f>SUM(BO26:BR26)</f>
        <v>99</v>
      </c>
      <c r="P26" s="1710">
        <f t="shared" si="19"/>
        <v>-78</v>
      </c>
      <c r="Q26" s="1710">
        <f t="shared" si="20"/>
        <v>-18</v>
      </c>
      <c r="R26" s="1710">
        <f t="shared" si="7"/>
        <v>-174</v>
      </c>
      <c r="S26" s="1710">
        <f t="shared" si="0"/>
        <v>-122.57722564971914</v>
      </c>
      <c r="T26" s="1710">
        <f>(BS!T31-BS!S31)</f>
        <v>122.62240490361091</v>
      </c>
      <c r="U26" s="1710">
        <f>(BS!U31-BS!T31)</f>
        <v>-53.863764501610603</v>
      </c>
      <c r="V26" s="1710">
        <f>(BS!V31-BS!U31)</f>
        <v>-25.091408948735307</v>
      </c>
      <c r="W26" s="1710">
        <f>(BS!W31-BS!V31)</f>
        <v>-19.716536584682444</v>
      </c>
      <c r="X26" s="1710">
        <f>(BS!X31-BS!W31)</f>
        <v>-18.111897164849552</v>
      </c>
      <c r="Y26" s="2540"/>
      <c r="Z26" s="679">
        <f>(INPUTS_2!B164+INPUTS_2!B208)/1000</f>
        <v>-18.446000000000002</v>
      </c>
      <c r="AA26" s="490">
        <f>(INPUTS_2!C164+INPUTS_2!C208)/1000</f>
        <v>-14.981</v>
      </c>
      <c r="AB26" s="413">
        <f>(INPUTS_2!D164+INPUTS_2!D208)/1000</f>
        <v>-6.4720000000000004</v>
      </c>
      <c r="AC26" s="413">
        <f>(INPUTS_2!E164+INPUTS_2!E208)/1000</f>
        <v>-9.7170000000000005</v>
      </c>
      <c r="AD26" s="414">
        <f>(INPUTS_2!F164+INPUTS_2!F208)/1000</f>
        <v>-6.7640000000000002</v>
      </c>
      <c r="AE26" s="490">
        <f>(INPUTS_2!G164+INPUTS_2!G208)/1000</f>
        <v>-2.0870000000000002</v>
      </c>
      <c r="AF26" s="413">
        <f>(INPUTS_2!H164+INPUTS_2!H208)/1000</f>
        <v>2.5999999999999999E-2</v>
      </c>
      <c r="AG26" s="413">
        <f>(INPUTS_2!I164+INPUTS_2!I208)/1000</f>
        <v>0.35</v>
      </c>
      <c r="AH26" s="414">
        <f>(INPUTS_2!J164+INPUTS_2!J208)/1000</f>
        <v>6.3220000000000001</v>
      </c>
      <c r="AI26" s="490">
        <f>(INPUTS_2!K164+INPUTS_2!K208)/1000</f>
        <v>-1.236</v>
      </c>
      <c r="AJ26" s="413">
        <f>(INPUTS_2!L164+INPUTS_2!L208)/1000</f>
        <v>3.7549999999999999</v>
      </c>
      <c r="AK26" s="413">
        <f>(INPUTS_2!M164+INPUTS_2!M208)/1000</f>
        <v>2.375</v>
      </c>
      <c r="AL26" s="414">
        <f>(INPUTS_2!N164+INPUTS_2!N208)/1000</f>
        <v>4.8929999999999998</v>
      </c>
      <c r="AM26" s="490">
        <f>(INPUTS_2!O164+INPUTS_2!O208)/1000</f>
        <v>-13.369</v>
      </c>
      <c r="AN26" s="413">
        <f>(INPUTS_2!P164+INPUTS_2!P208)/1000</f>
        <v>12.355</v>
      </c>
      <c r="AO26" s="413">
        <f>(INPUTS_2!Q164+INPUTS_2!Q208)/1000</f>
        <v>-72.141999999999996</v>
      </c>
      <c r="AP26" s="413">
        <f>(INPUTS_2!R164+INPUTS_2!R208)/1000</f>
        <v>-12.907</v>
      </c>
      <c r="AQ26" s="490">
        <f>(INPUTS_2!S164+INPUTS_2!S208)/1000</f>
        <v>-110.57899999999999</v>
      </c>
      <c r="AR26" s="413">
        <f>(INPUTS_2!T164+INPUTS_2!T208)/1000</f>
        <v>-47.646000000000001</v>
      </c>
      <c r="AS26" s="413">
        <f>(INPUTS_2!U164+INPUTS_2!U208)/1000</f>
        <v>-169.64500000000001</v>
      </c>
      <c r="AT26" s="413">
        <f>(INPUTS_2!V164+INPUTS_2!V208)/1000</f>
        <v>-77.947000000000003</v>
      </c>
      <c r="AU26" s="490">
        <f>(INPUTS_2!W164+INPUTS_2!W208)/1000</f>
        <v>-63.085000000000001</v>
      </c>
      <c r="AV26" s="413">
        <f>(INPUTS_2!X164+INPUTS_2!X208)/1000</f>
        <v>43.804000000000002</v>
      </c>
      <c r="AW26" s="413">
        <f>(INPUTS_2!Y164+INPUTS_2!Y208)/1000</f>
        <v>22.24</v>
      </c>
      <c r="AX26" s="413">
        <f>(INPUTS_2!Z164+INPUTS_2!Z208)/1000</f>
        <v>46.343000000000004</v>
      </c>
      <c r="AY26" s="1725">
        <f>(INPUTS_2!AA164+INPUTS_2!AA208)/1000</f>
        <v>-65.094999999999999</v>
      </c>
      <c r="AZ26" s="1701">
        <f>(INPUTS_2!AB164+INPUTS_2!AB208)/1000</f>
        <v>-13.436</v>
      </c>
      <c r="BA26" s="1701">
        <f>(INPUTS_2!AC164+INPUTS_2!AC208)/1000</f>
        <v>258.83300000000008</v>
      </c>
      <c r="BB26" s="1701">
        <f>(INPUTS_2!AD164+INPUTS_2!AD208)/1000</f>
        <v>248.80999999999989</v>
      </c>
      <c r="BC26" s="1725"/>
      <c r="BD26" s="1701"/>
      <c r="BE26" s="1701"/>
      <c r="BF26" s="1702"/>
      <c r="BG26" s="573">
        <v>47</v>
      </c>
      <c r="BH26" s="573">
        <f>53-BG26</f>
        <v>6</v>
      </c>
      <c r="BI26" s="622">
        <f>91-BH26-BG26</f>
        <v>38</v>
      </c>
      <c r="BJ26" s="1830">
        <f>161-BI26-BH26-BG26</f>
        <v>70</v>
      </c>
      <c r="BK26" s="622">
        <v>14</v>
      </c>
      <c r="BL26" s="622">
        <f>48-BK26</f>
        <v>34</v>
      </c>
      <c r="BM26" s="622">
        <f>61-BL26-BK26</f>
        <v>13</v>
      </c>
      <c r="BN26" s="622">
        <f>19-BM26-BL26-BK26</f>
        <v>-42</v>
      </c>
      <c r="BO26" s="576">
        <v>3</v>
      </c>
      <c r="BP26" s="578">
        <f>66-BO26</f>
        <v>63</v>
      </c>
      <c r="BQ26" s="578">
        <f>66-BP26-BO26</f>
        <v>0</v>
      </c>
      <c r="BR26" s="575">
        <f>99-BQ26-BP26-BO26</f>
        <v>33</v>
      </c>
      <c r="BS26" s="2890">
        <v>-10</v>
      </c>
      <c r="BT26" s="2891">
        <v>0</v>
      </c>
      <c r="BU26" s="2891">
        <f>-54-BT26-BS26</f>
        <v>-44</v>
      </c>
      <c r="BV26" s="2892">
        <f>-78-BU26-BT26-BS26</f>
        <v>-24</v>
      </c>
      <c r="BW26" s="2891">
        <v>-35</v>
      </c>
      <c r="BX26" s="2891">
        <f>-35-BW26</f>
        <v>0</v>
      </c>
      <c r="BY26" s="2891">
        <f>-41-BX26-BW26</f>
        <v>-6</v>
      </c>
      <c r="BZ26" s="2892">
        <f>-18-BY26-BX26-BW26</f>
        <v>23</v>
      </c>
      <c r="CA26" s="2891">
        <v>12</v>
      </c>
      <c r="CB26" s="2891">
        <f>-92-CA26</f>
        <v>-104</v>
      </c>
      <c r="CC26" s="2891">
        <f>-54-CB26-CA26</f>
        <v>38</v>
      </c>
      <c r="CD26" s="2892">
        <f>-174-CC26-CB26-CA26</f>
        <v>-120</v>
      </c>
      <c r="CE26" s="1744">
        <f>(BS!CH31-BS!CG31)</f>
        <v>-38.23746011808089</v>
      </c>
      <c r="CF26" s="1744">
        <f>(BS!CI31-BS!CH31)</f>
        <v>-30.45747668279796</v>
      </c>
      <c r="CG26" s="1744">
        <f>(BS!CJ31-BS!CI31)</f>
        <v>-22.63898256707148</v>
      </c>
      <c r="CH26" s="1745">
        <f>(BS!CK31-BS!CJ31)</f>
        <v>-31.24330628176881</v>
      </c>
      <c r="CI26" s="632"/>
      <c r="CQ26" s="2074"/>
    </row>
    <row r="27" spans="1:95" hidden="1">
      <c r="A27" s="1833" t="s">
        <v>640</v>
      </c>
      <c r="B27" s="681"/>
      <c r="C27" s="681"/>
      <c r="D27" s="451"/>
      <c r="E27" s="451">
        <f t="shared" si="11"/>
        <v>0</v>
      </c>
      <c r="F27" s="413">
        <f t="shared" si="12"/>
        <v>0</v>
      </c>
      <c r="G27" s="413">
        <f t="shared" si="13"/>
        <v>0</v>
      </c>
      <c r="H27" s="413">
        <f t="shared" si="14"/>
        <v>0</v>
      </c>
      <c r="I27" s="1701">
        <f t="shared" si="15"/>
        <v>-48</v>
      </c>
      <c r="J27" s="1701">
        <f t="shared" si="16"/>
        <v>-58</v>
      </c>
      <c r="K27" s="1701">
        <f>SUM(AY27:BB27)</f>
        <v>-32</v>
      </c>
      <c r="L27" s="1701">
        <f>SUM(BC27:BF27)</f>
        <v>0</v>
      </c>
      <c r="M27" s="1701">
        <f t="shared" si="18"/>
        <v>0</v>
      </c>
      <c r="N27" s="1701">
        <f>SUM(BH27:BK27)</f>
        <v>0</v>
      </c>
      <c r="O27" s="1746"/>
      <c r="P27" s="1746">
        <f t="shared" si="19"/>
        <v>0</v>
      </c>
      <c r="Q27" s="1746">
        <f t="shared" si="20"/>
        <v>0</v>
      </c>
      <c r="R27" s="1746">
        <f t="shared" si="7"/>
        <v>0</v>
      </c>
      <c r="S27" s="1746">
        <f t="shared" si="0"/>
        <v>0</v>
      </c>
      <c r="T27" s="1746"/>
      <c r="U27" s="1746"/>
      <c r="V27" s="1746"/>
      <c r="W27" s="1746"/>
      <c r="X27" s="1746"/>
      <c r="Y27" s="2541"/>
      <c r="Z27" s="679"/>
      <c r="AA27" s="490"/>
      <c r="AB27" s="413"/>
      <c r="AC27" s="413"/>
      <c r="AD27" s="414"/>
      <c r="AE27" s="490"/>
      <c r="AF27" s="413"/>
      <c r="AG27" s="413"/>
      <c r="AH27" s="414"/>
      <c r="AI27" s="490"/>
      <c r="AJ27" s="413"/>
      <c r="AK27" s="413"/>
      <c r="AL27" s="414"/>
      <c r="AM27" s="490"/>
      <c r="AN27" s="413"/>
      <c r="AO27" s="413"/>
      <c r="AP27" s="413"/>
      <c r="AQ27" s="490">
        <f>INPUTS_2!S207/1000</f>
        <v>-9</v>
      </c>
      <c r="AR27" s="413">
        <f>INPUTS_2!T207/1000</f>
        <v>-8</v>
      </c>
      <c r="AS27" s="413">
        <f>INPUTS_2!U207/1000</f>
        <v>-7</v>
      </c>
      <c r="AT27" s="413">
        <f>INPUTS_2!V207/1000</f>
        <v>-24</v>
      </c>
      <c r="AU27" s="490">
        <f>INPUTS_2!W207/1000</f>
        <v>-19</v>
      </c>
      <c r="AV27" s="413">
        <f>INPUTS_2!X207/1000</f>
        <v>-19</v>
      </c>
      <c r="AW27" s="413">
        <f>INPUTS_2!Y207/1000</f>
        <v>-13</v>
      </c>
      <c r="AX27" s="413">
        <f>INPUTS_2!Z207/1000</f>
        <v>-7</v>
      </c>
      <c r="AY27" s="1725">
        <f>INPUTS_2!AA207/1000</f>
        <v>-25</v>
      </c>
      <c r="AZ27" s="1701">
        <f>INPUTS_2!AB207/1000</f>
        <v>-11</v>
      </c>
      <c r="BA27" s="1701">
        <f>INPUTS_2!AC207/1000</f>
        <v>3</v>
      </c>
      <c r="BB27" s="1701">
        <f>INPUTS_2!AD207/1000</f>
        <v>1</v>
      </c>
      <c r="BC27" s="1725"/>
      <c r="BD27" s="1701"/>
      <c r="BE27" s="1701"/>
      <c r="BF27" s="1702"/>
      <c r="BG27" s="573"/>
      <c r="BH27" s="573"/>
      <c r="BI27" s="622"/>
      <c r="BJ27" s="575"/>
      <c r="BK27" s="578"/>
      <c r="BL27" s="578"/>
      <c r="BM27" s="578"/>
      <c r="BN27" s="578"/>
      <c r="BO27" s="576"/>
      <c r="BP27" s="578"/>
      <c r="BQ27" s="578"/>
      <c r="BR27" s="575"/>
      <c r="BS27" s="2890"/>
      <c r="BT27" s="2891"/>
      <c r="BU27" s="2891"/>
      <c r="BV27" s="2892"/>
      <c r="BW27" s="2891"/>
      <c r="BX27" s="2891"/>
      <c r="BY27" s="2891"/>
      <c r="BZ27" s="2892"/>
      <c r="CA27" s="2891"/>
      <c r="CB27" s="2891"/>
      <c r="CC27" s="2891"/>
      <c r="CD27" s="2892"/>
      <c r="CE27" s="1744"/>
      <c r="CF27" s="1744"/>
      <c r="CG27" s="1744"/>
      <c r="CH27" s="1745"/>
      <c r="CI27" s="632"/>
      <c r="CQ27" s="2074"/>
    </row>
    <row r="28" spans="1:95">
      <c r="A28" s="1833" t="s">
        <v>641</v>
      </c>
      <c r="B28" s="681"/>
      <c r="C28" s="681"/>
      <c r="D28" s="451"/>
      <c r="E28" s="451">
        <f t="shared" si="11"/>
        <v>0</v>
      </c>
      <c r="F28" s="413">
        <f t="shared" si="12"/>
        <v>0</v>
      </c>
      <c r="G28" s="413">
        <f t="shared" si="13"/>
        <v>0</v>
      </c>
      <c r="H28" s="413">
        <f t="shared" si="14"/>
        <v>0</v>
      </c>
      <c r="I28" s="1701">
        <f t="shared" si="15"/>
        <v>0</v>
      </c>
      <c r="J28" s="1701">
        <f t="shared" si="16"/>
        <v>0</v>
      </c>
      <c r="K28" s="1701">
        <f>SUM(AY28:BB28)</f>
        <v>0</v>
      </c>
      <c r="L28" s="1701">
        <f>SUM(BC28:BF28)</f>
        <v>0</v>
      </c>
      <c r="M28" s="1701">
        <f t="shared" si="18"/>
        <v>-169</v>
      </c>
      <c r="N28" s="1701">
        <f>SUM(BK28:BN28)</f>
        <v>-342</v>
      </c>
      <c r="O28" s="1710">
        <f>SUM(BO28:BR28)</f>
        <v>-184</v>
      </c>
      <c r="P28" s="1710">
        <f t="shared" si="19"/>
        <v>-141</v>
      </c>
      <c r="Q28" s="1710">
        <f t="shared" si="20"/>
        <v>-152</v>
      </c>
      <c r="R28" s="1710">
        <f t="shared" si="7"/>
        <v>-202</v>
      </c>
      <c r="S28" s="1710">
        <f t="shared" si="0"/>
        <v>-100</v>
      </c>
      <c r="T28" s="2882">
        <f>+S28</f>
        <v>-100</v>
      </c>
      <c r="U28" s="2882">
        <f>+T28</f>
        <v>-100</v>
      </c>
      <c r="V28" s="2882">
        <f>+U28</f>
        <v>-100</v>
      </c>
      <c r="W28" s="2882">
        <f>+V28</f>
        <v>-100</v>
      </c>
      <c r="X28" s="2882">
        <f>+W28</f>
        <v>-100</v>
      </c>
      <c r="Y28" s="2542"/>
      <c r="Z28" s="679">
        <f>INPUTS_2!B209/1000</f>
        <v>0</v>
      </c>
      <c r="AA28" s="490">
        <f>INPUTS_2!C209/1000</f>
        <v>0</v>
      </c>
      <c r="AB28" s="413">
        <f>INPUTS_2!D209/1000</f>
        <v>0</v>
      </c>
      <c r="AC28" s="413">
        <f>INPUTS_2!E209/1000</f>
        <v>0</v>
      </c>
      <c r="AD28" s="414">
        <f>INPUTS_2!F209/1000</f>
        <v>0</v>
      </c>
      <c r="AE28" s="490">
        <f>INPUTS_2!G209/1000</f>
        <v>0</v>
      </c>
      <c r="AF28" s="413">
        <f>INPUTS_2!H209/1000</f>
        <v>0</v>
      </c>
      <c r="AG28" s="413">
        <f>INPUTS_2!I209/1000</f>
        <v>0</v>
      </c>
      <c r="AH28" s="414">
        <f>INPUTS_2!J209/1000</f>
        <v>0</v>
      </c>
      <c r="AI28" s="490">
        <f>INPUTS_2!K209/1000</f>
        <v>0</v>
      </c>
      <c r="AJ28" s="413">
        <f>INPUTS_2!L209/1000</f>
        <v>0</v>
      </c>
      <c r="AK28" s="413">
        <f>INPUTS_2!M209/1000</f>
        <v>0</v>
      </c>
      <c r="AL28" s="414">
        <f>INPUTS_2!N209/1000</f>
        <v>0</v>
      </c>
      <c r="AM28" s="490">
        <f>INPUTS_2!O209/1000</f>
        <v>0</v>
      </c>
      <c r="AN28" s="413">
        <f>INPUTS_2!P209/1000</f>
        <v>0</v>
      </c>
      <c r="AO28" s="413">
        <f>INPUTS_2!Q209/1000</f>
        <v>0</v>
      </c>
      <c r="AP28" s="413">
        <f>INPUTS_2!R209/1000</f>
        <v>0</v>
      </c>
      <c r="AQ28" s="490">
        <f>INPUTS_2!S209/1000</f>
        <v>0</v>
      </c>
      <c r="AR28" s="413">
        <f>INPUTS_2!T209/1000</f>
        <v>0</v>
      </c>
      <c r="AS28" s="413">
        <f>INPUTS_2!U209/1000</f>
        <v>0</v>
      </c>
      <c r="AT28" s="413">
        <f>INPUTS_2!V209/1000</f>
        <v>0</v>
      </c>
      <c r="AU28" s="490">
        <f>INPUTS_2!W209/1000</f>
        <v>0</v>
      </c>
      <c r="AV28" s="413">
        <f>INPUTS_2!X209/1000</f>
        <v>0</v>
      </c>
      <c r="AW28" s="413">
        <f>INPUTS_2!Y209/1000</f>
        <v>0</v>
      </c>
      <c r="AX28" s="413">
        <f>INPUTS_2!Z209/1000</f>
        <v>0</v>
      </c>
      <c r="AY28" s="1725">
        <f>INPUTS_2!AA209/1000</f>
        <v>0</v>
      </c>
      <c r="AZ28" s="1701">
        <f>INPUTS_2!AB209/1000</f>
        <v>0</v>
      </c>
      <c r="BA28" s="1701">
        <f>INPUTS_2!AC209/1000</f>
        <v>0</v>
      </c>
      <c r="BB28" s="1701">
        <f>INPUTS_2!AD209/1000</f>
        <v>0</v>
      </c>
      <c r="BC28" s="1725"/>
      <c r="BD28" s="1701"/>
      <c r="BE28" s="1701"/>
      <c r="BF28" s="1702"/>
      <c r="BG28" s="573">
        <v>-75</v>
      </c>
      <c r="BH28" s="573">
        <f>-163-BG28</f>
        <v>-88</v>
      </c>
      <c r="BI28" s="622">
        <f>-179-BH28-BG28</f>
        <v>-16</v>
      </c>
      <c r="BJ28" s="1830">
        <f>-169-BI28-BH28-BG28</f>
        <v>10</v>
      </c>
      <c r="BK28" s="622">
        <v>-178</v>
      </c>
      <c r="BL28" s="622">
        <f>-220-BK28</f>
        <v>-42</v>
      </c>
      <c r="BM28" s="622">
        <f>-288-BL28-BK28</f>
        <v>-68</v>
      </c>
      <c r="BN28" s="622">
        <f>-342-BM28-BL28-BK28</f>
        <v>-54</v>
      </c>
      <c r="BO28" s="576">
        <v>-28</v>
      </c>
      <c r="BP28" s="578">
        <f>-102-BO28</f>
        <v>-74</v>
      </c>
      <c r="BQ28" s="578">
        <f>-255-BP28-BO28</f>
        <v>-153</v>
      </c>
      <c r="BR28" s="575">
        <f>-184-BQ28-BP28-BO28</f>
        <v>71</v>
      </c>
      <c r="BS28" s="2890">
        <v>-9</v>
      </c>
      <c r="BT28" s="2891">
        <f>-19-BS28</f>
        <v>-10</v>
      </c>
      <c r="BU28" s="2891">
        <f>-134-BT28-BS28</f>
        <v>-115</v>
      </c>
      <c r="BV28" s="2892">
        <f>-141-BU28-BT28-BS28</f>
        <v>-7</v>
      </c>
      <c r="BW28" s="2891">
        <v>-21</v>
      </c>
      <c r="BX28" s="2891">
        <f>-28-BW28</f>
        <v>-7</v>
      </c>
      <c r="BY28" s="2891">
        <f>-143-BX28-BW28</f>
        <v>-115</v>
      </c>
      <c r="BZ28" s="2892">
        <f>-152-BY28-BX28-BW28</f>
        <v>-9</v>
      </c>
      <c r="CA28" s="2891">
        <v>-25</v>
      </c>
      <c r="CB28" s="2891">
        <f>-56-CA28</f>
        <v>-31</v>
      </c>
      <c r="CC28" s="2891">
        <f>-181-CB28-CA28</f>
        <v>-125</v>
      </c>
      <c r="CD28" s="2892">
        <f>-202-CC28-CB28-CA28</f>
        <v>-21</v>
      </c>
      <c r="CE28" s="2891">
        <v>-25</v>
      </c>
      <c r="CF28" s="2891">
        <v>-25</v>
      </c>
      <c r="CG28" s="2891">
        <v>-25</v>
      </c>
      <c r="CH28" s="2892">
        <v>-25</v>
      </c>
      <c r="CI28" s="632"/>
      <c r="CQ28" s="2074"/>
    </row>
    <row r="29" spans="1:95">
      <c r="A29" s="1687" t="s">
        <v>1058</v>
      </c>
      <c r="B29" s="418"/>
      <c r="C29" s="418"/>
      <c r="D29" s="451"/>
      <c r="E29" s="451">
        <f t="shared" si="11"/>
        <v>29.988000000000003</v>
      </c>
      <c r="F29" s="413">
        <f t="shared" si="12"/>
        <v>2.0970000000000013</v>
      </c>
      <c r="G29" s="413">
        <f t="shared" si="13"/>
        <v>-201.12499999999994</v>
      </c>
      <c r="H29" s="413">
        <f t="shared" si="14"/>
        <v>-98.210000000000008</v>
      </c>
      <c r="I29" s="1701">
        <f t="shared" si="15"/>
        <v>118.90300000000001</v>
      </c>
      <c r="J29" s="1701">
        <f t="shared" si="16"/>
        <v>-21.033000000000001</v>
      </c>
      <c r="K29" s="1701">
        <f>SUM(AY29:BB29)</f>
        <v>-255.88499999999999</v>
      </c>
      <c r="L29" s="1701">
        <f>SUM(BC29:BF29)</f>
        <v>0</v>
      </c>
      <c r="M29" s="1701">
        <f t="shared" si="18"/>
        <v>68</v>
      </c>
      <c r="N29" s="1701">
        <f>SUM(BK29:BN29)</f>
        <v>-26</v>
      </c>
      <c r="O29" s="1710">
        <f>SUM(BO29:BR29)</f>
        <v>38</v>
      </c>
      <c r="P29" s="1710">
        <f t="shared" si="19"/>
        <v>16</v>
      </c>
      <c r="Q29" s="1710">
        <f t="shared" si="20"/>
        <v>66</v>
      </c>
      <c r="R29" s="1710">
        <f t="shared" si="7"/>
        <v>143</v>
      </c>
      <c r="S29" s="1710">
        <f t="shared" si="0"/>
        <v>0</v>
      </c>
      <c r="T29" s="1746"/>
      <c r="U29" s="1746"/>
      <c r="V29" s="1746"/>
      <c r="W29" s="1746"/>
      <c r="X29" s="1746"/>
      <c r="Y29" s="2541"/>
      <c r="Z29" s="679">
        <f>INPUTS_2!B165/1000</f>
        <v>-35.290999999999997</v>
      </c>
      <c r="AA29" s="490">
        <f>INPUTS_2!C165/1000</f>
        <v>5.8410000000000002</v>
      </c>
      <c r="AB29" s="413">
        <f>INPUTS_2!D165/1000</f>
        <v>9.5410000000000004</v>
      </c>
      <c r="AC29" s="413">
        <f>INPUTS_2!E165/1000</f>
        <v>12.041</v>
      </c>
      <c r="AD29" s="414">
        <f>INPUTS_2!F165/1000</f>
        <v>2.5649999999999999</v>
      </c>
      <c r="AE29" s="490">
        <f>INPUTS_2!G165/1000</f>
        <v>-1.3360000000000001</v>
      </c>
      <c r="AF29" s="413">
        <f>INPUTS_2!H165/1000</f>
        <v>12.085000000000001</v>
      </c>
      <c r="AG29" s="413">
        <f>INPUTS_2!I165/1000</f>
        <v>12.555</v>
      </c>
      <c r="AH29" s="414">
        <f>INPUTS_2!J165/1000</f>
        <v>-21.207000000000001</v>
      </c>
      <c r="AI29" s="490">
        <f>INPUTS_2!K165/1000</f>
        <v>0.26657155726813464</v>
      </c>
      <c r="AJ29" s="413">
        <f>INPUTS_2!L165/1000</f>
        <v>-98.894571557268137</v>
      </c>
      <c r="AK29" s="413">
        <f>INPUTS_2!M165/1000</f>
        <v>-474.04199999999997</v>
      </c>
      <c r="AL29" s="414">
        <f>INPUTS_2!N165/1000</f>
        <v>371.54500000000002</v>
      </c>
      <c r="AM29" s="490">
        <f>INPUTS_2!O165/1000</f>
        <v>5.1619999999999999</v>
      </c>
      <c r="AN29" s="413">
        <f>INPUTS_2!P165/1000</f>
        <v>7.8070000000000004</v>
      </c>
      <c r="AO29" s="413">
        <f>INPUTS_2!Q165/1000</f>
        <v>19.393000000000001</v>
      </c>
      <c r="AP29" s="413">
        <f>INPUTS_2!R165/1000</f>
        <v>-130.572</v>
      </c>
      <c r="AQ29" s="490">
        <f>INPUTS_2!S165/1000</f>
        <v>20.706</v>
      </c>
      <c r="AR29" s="413">
        <f>INPUTS_2!T165/1000</f>
        <v>22.878</v>
      </c>
      <c r="AS29" s="413">
        <f>INPUTS_2!U165/1000</f>
        <v>66.257000000000005</v>
      </c>
      <c r="AT29" s="413">
        <f>INPUTS_2!V165/1000</f>
        <v>9.0619999999999994</v>
      </c>
      <c r="AU29" s="490">
        <f>INPUTS_2!W165/1000</f>
        <v>-11.119</v>
      </c>
      <c r="AV29" s="413">
        <f>INPUTS_2!X165/1000</f>
        <v>13.632</v>
      </c>
      <c r="AW29" s="413">
        <f>INPUTS_2!Y165/1000</f>
        <v>-56.847999999999999</v>
      </c>
      <c r="AX29" s="413">
        <f>INPUTS_2!Z165/1000</f>
        <v>33.302</v>
      </c>
      <c r="AY29" s="1725">
        <f>INPUTS_2!AA165/1000</f>
        <v>-277.142</v>
      </c>
      <c r="AZ29" s="1701">
        <f>INPUTS_2!AB165/1000</f>
        <v>21.257000000000001</v>
      </c>
      <c r="BA29" s="1701">
        <f>INPUTS_2!AC165/1000</f>
        <v>0</v>
      </c>
      <c r="BB29" s="1701">
        <f>INPUTS_2!AD165/1000</f>
        <v>0</v>
      </c>
      <c r="BC29" s="1725"/>
      <c r="BD29" s="1701"/>
      <c r="BE29" s="1701"/>
      <c r="BF29" s="1702"/>
      <c r="BG29" s="573">
        <v>-24</v>
      </c>
      <c r="BH29" s="573">
        <f>-27-BG29</f>
        <v>-3</v>
      </c>
      <c r="BI29" s="622">
        <f>-39-BH29-BG29</f>
        <v>-12</v>
      </c>
      <c r="BJ29" s="1830">
        <f>68-BI29-BH29-BG29</f>
        <v>107</v>
      </c>
      <c r="BK29" s="622">
        <v>20</v>
      </c>
      <c r="BL29" s="622">
        <f>12-32-BK29</f>
        <v>-40</v>
      </c>
      <c r="BM29" s="622">
        <f>-18-BL29-BK29</f>
        <v>2</v>
      </c>
      <c r="BN29" s="622">
        <f>-10-16-BM29-BL29-BK29</f>
        <v>-8</v>
      </c>
      <c r="BO29" s="576">
        <v>17</v>
      </c>
      <c r="BP29" s="578">
        <f>10-BO29</f>
        <v>-7</v>
      </c>
      <c r="BQ29" s="578">
        <f>-30+56-BP29-BO29</f>
        <v>16</v>
      </c>
      <c r="BR29" s="575">
        <f>-8-33+79-BQ29-BP29-BO29</f>
        <v>12</v>
      </c>
      <c r="BS29" s="2890">
        <v>9</v>
      </c>
      <c r="BT29" s="2891">
        <f>-2-BS29</f>
        <v>-11</v>
      </c>
      <c r="BU29" s="2891">
        <f>32-BT29-BS29</f>
        <v>34</v>
      </c>
      <c r="BV29" s="2892">
        <v>-16</v>
      </c>
      <c r="BW29" s="2891">
        <f>1-1</f>
        <v>0</v>
      </c>
      <c r="BX29" s="2891">
        <f>18-BW29</f>
        <v>18</v>
      </c>
      <c r="BY29" s="2891">
        <f>17+27+2-BX29-BW29</f>
        <v>28</v>
      </c>
      <c r="BZ29" s="2892">
        <f>24+2+27+13-BY29-BX29-BW29</f>
        <v>20</v>
      </c>
      <c r="CA29" s="2891">
        <v>20</v>
      </c>
      <c r="CB29" s="2891">
        <f>119+5+69-CA29</f>
        <v>173</v>
      </c>
      <c r="CC29" s="2891">
        <f>87+5-CB29-CA29</f>
        <v>-101</v>
      </c>
      <c r="CD29" s="2892">
        <f>129+5+9-CC29-CB29-CA29</f>
        <v>51</v>
      </c>
      <c r="CE29" s="1744"/>
      <c r="CF29" s="1744"/>
      <c r="CG29" s="1744"/>
      <c r="CH29" s="1745"/>
      <c r="CI29" s="632"/>
      <c r="CQ29" s="2074"/>
    </row>
    <row r="30" spans="1:95">
      <c r="A30" s="404" t="s">
        <v>1059</v>
      </c>
      <c r="B30" s="404"/>
      <c r="C30" s="404"/>
      <c r="D30" s="499"/>
      <c r="E30" s="499">
        <f t="shared" ref="E30:O30" si="21">SUM(E10:E29)</f>
        <v>955.83100000000013</v>
      </c>
      <c r="F30" s="582">
        <f t="shared" si="21"/>
        <v>964.73900000000003</v>
      </c>
      <c r="G30" s="582">
        <f t="shared" si="21"/>
        <v>2447.7487069824579</v>
      </c>
      <c r="H30" s="582">
        <f t="shared" si="21"/>
        <v>2653.9859999999999</v>
      </c>
      <c r="I30" s="582">
        <f t="shared" si="21"/>
        <v>5487.2999999999993</v>
      </c>
      <c r="J30" s="582">
        <f t="shared" si="21"/>
        <v>6214.047999999998</v>
      </c>
      <c r="K30" s="582">
        <f t="shared" si="21"/>
        <v>6530.3570000000009</v>
      </c>
      <c r="L30" s="582">
        <f t="shared" ca="1" si="21"/>
        <v>7631.7999999999993</v>
      </c>
      <c r="M30" s="582">
        <f t="shared" si="21"/>
        <v>6065</v>
      </c>
      <c r="N30" s="582">
        <f t="shared" si="21"/>
        <v>5559</v>
      </c>
      <c r="O30" s="582">
        <f t="shared" si="21"/>
        <v>5188</v>
      </c>
      <c r="P30" s="582">
        <f t="shared" ref="P30:U30" si="22">SUM(P10:P29)</f>
        <v>5152</v>
      </c>
      <c r="Q30" s="582">
        <f t="shared" si="22"/>
        <v>4608</v>
      </c>
      <c r="R30" s="582">
        <f>SUM(R10:R29)</f>
        <v>3878</v>
      </c>
      <c r="S30" s="582">
        <f ca="1">SUM(S10:S29)</f>
        <v>7123.9792320449324</v>
      </c>
      <c r="T30" s="582">
        <f t="shared" ca="1" si="22"/>
        <v>6893.8934579834777</v>
      </c>
      <c r="U30" s="582">
        <f t="shared" ca="1" si="22"/>
        <v>7089.7637330776133</v>
      </c>
      <c r="V30" s="582">
        <f ca="1">SUM(V10:V29)</f>
        <v>7248.0239746770694</v>
      </c>
      <c r="W30" s="582">
        <f ca="1">SUM(W10:W29)</f>
        <v>7405.9765370314508</v>
      </c>
      <c r="X30" s="582">
        <f ca="1">SUM(X10:X29)</f>
        <v>7167.9980459284998</v>
      </c>
      <c r="Y30" s="820"/>
      <c r="Z30" s="682">
        <f t="shared" ref="Z30:BO30" si="23">SUM(Z10:Z29)</f>
        <v>239.54199999999997</v>
      </c>
      <c r="AA30" s="594">
        <f t="shared" si="23"/>
        <v>283.44000000000005</v>
      </c>
      <c r="AB30" s="582">
        <f t="shared" si="23"/>
        <v>219.91800000000001</v>
      </c>
      <c r="AC30" s="582">
        <f t="shared" si="23"/>
        <v>232.43599999999995</v>
      </c>
      <c r="AD30" s="608">
        <f t="shared" si="23"/>
        <v>220.03700000000001</v>
      </c>
      <c r="AE30" s="594">
        <f t="shared" si="23"/>
        <v>256.81900000000002</v>
      </c>
      <c r="AF30" s="499">
        <f t="shared" si="23"/>
        <v>222.09400000000005</v>
      </c>
      <c r="AG30" s="582">
        <f t="shared" si="23"/>
        <v>254.45599999999999</v>
      </c>
      <c r="AH30" s="593">
        <f t="shared" si="23"/>
        <v>231.36999999999998</v>
      </c>
      <c r="AI30" s="594">
        <f t="shared" si="23"/>
        <v>626.2299348584412</v>
      </c>
      <c r="AJ30" s="582">
        <f t="shared" si="23"/>
        <v>489.11677212401662</v>
      </c>
      <c r="AK30" s="582">
        <f t="shared" si="23"/>
        <v>305.19100000000009</v>
      </c>
      <c r="AL30" s="593">
        <f t="shared" si="23"/>
        <v>1027.211</v>
      </c>
      <c r="AM30" s="594">
        <f t="shared" si="23"/>
        <v>738.71</v>
      </c>
      <c r="AN30" s="582">
        <f t="shared" si="23"/>
        <v>524.31500000000005</v>
      </c>
      <c r="AO30" s="582">
        <f t="shared" si="23"/>
        <v>753.40800000000013</v>
      </c>
      <c r="AP30" s="582">
        <f t="shared" si="23"/>
        <v>637.55299999999988</v>
      </c>
      <c r="AQ30" s="594">
        <f t="shared" si="23"/>
        <v>1204.2099999999998</v>
      </c>
      <c r="AR30" s="582">
        <f t="shared" si="23"/>
        <v>1362.7769999999998</v>
      </c>
      <c r="AS30" s="582">
        <f t="shared" si="23"/>
        <v>1451.2459999999999</v>
      </c>
      <c r="AT30" s="683">
        <f t="shared" si="23"/>
        <v>1469.067</v>
      </c>
      <c r="AU30" s="684">
        <f t="shared" si="23"/>
        <v>1596.5659999999996</v>
      </c>
      <c r="AV30" s="685">
        <f t="shared" si="23"/>
        <v>1649.4190000000001</v>
      </c>
      <c r="AW30" s="685">
        <f t="shared" si="23"/>
        <v>1387.2549999999994</v>
      </c>
      <c r="AX30" s="683">
        <f t="shared" si="23"/>
        <v>1580.808</v>
      </c>
      <c r="AY30" s="684">
        <f t="shared" si="23"/>
        <v>1402.3440000000001</v>
      </c>
      <c r="AZ30" s="685">
        <f t="shared" si="23"/>
        <v>1443.6290000000004</v>
      </c>
      <c r="BA30" s="685">
        <f t="shared" si="23"/>
        <v>1885.8340000000003</v>
      </c>
      <c r="BB30" s="685">
        <f t="shared" si="23"/>
        <v>1798.21</v>
      </c>
      <c r="BC30" s="684">
        <f ca="1">SUM(BC10:BC29)</f>
        <v>1433.8000000000002</v>
      </c>
      <c r="BD30" s="685">
        <f t="shared" si="23"/>
        <v>2588</v>
      </c>
      <c r="BE30" s="685">
        <f t="shared" si="23"/>
        <v>2223</v>
      </c>
      <c r="BF30" s="683">
        <f t="shared" si="23"/>
        <v>1387</v>
      </c>
      <c r="BG30" s="685">
        <f t="shared" si="23"/>
        <v>1583</v>
      </c>
      <c r="BH30" s="685">
        <f t="shared" si="23"/>
        <v>1216</v>
      </c>
      <c r="BI30" s="685">
        <f t="shared" si="23"/>
        <v>1887</v>
      </c>
      <c r="BJ30" s="683">
        <f t="shared" si="23"/>
        <v>1379</v>
      </c>
      <c r="BK30" s="685">
        <f t="shared" si="23"/>
        <v>1387</v>
      </c>
      <c r="BL30" s="685">
        <f t="shared" si="23"/>
        <v>1469</v>
      </c>
      <c r="BM30" s="685">
        <f t="shared" si="23"/>
        <v>1552</v>
      </c>
      <c r="BN30" s="499">
        <f t="shared" si="23"/>
        <v>1151</v>
      </c>
      <c r="BO30" s="684">
        <f t="shared" si="23"/>
        <v>1380</v>
      </c>
      <c r="BP30" s="685">
        <f t="shared" ref="BP30:BV30" si="24">SUM(BP10:BP29)</f>
        <v>1129</v>
      </c>
      <c r="BQ30" s="685">
        <f t="shared" si="24"/>
        <v>1428</v>
      </c>
      <c r="BR30" s="683">
        <f t="shared" si="24"/>
        <v>1251</v>
      </c>
      <c r="BS30" s="684">
        <f>SUM(BS10:BS29)</f>
        <v>1336</v>
      </c>
      <c r="BT30" s="685">
        <f t="shared" si="24"/>
        <v>1145</v>
      </c>
      <c r="BU30" s="685">
        <f t="shared" si="24"/>
        <v>1475</v>
      </c>
      <c r="BV30" s="683">
        <f t="shared" si="24"/>
        <v>1196</v>
      </c>
      <c r="BW30" s="685">
        <f t="shared" ref="BW30:CB30" si="25">SUM(BW10:BW29)</f>
        <v>1423</v>
      </c>
      <c r="BX30" s="685">
        <f t="shared" si="25"/>
        <v>1178</v>
      </c>
      <c r="BY30" s="685">
        <f t="shared" si="25"/>
        <v>911</v>
      </c>
      <c r="BZ30" s="683">
        <f>SUM(BZ10:BZ29)</f>
        <v>1096</v>
      </c>
      <c r="CA30" s="685">
        <f>SUM(CA10:CA29)</f>
        <v>1056</v>
      </c>
      <c r="CB30" s="685">
        <f t="shared" si="25"/>
        <v>686</v>
      </c>
      <c r="CC30" s="685">
        <f>SUM(CC10:CC29)</f>
        <v>958</v>
      </c>
      <c r="CD30" s="683">
        <f t="shared" ref="CD30" si="26">SUM(CD10:CD29)</f>
        <v>1178</v>
      </c>
      <c r="CE30" s="685">
        <f ca="1">SUM(CE10:CE29)</f>
        <v>1775.0224423361524</v>
      </c>
      <c r="CF30" s="685">
        <f ca="1">SUM(CF10:CF29)</f>
        <v>1731.552283298968</v>
      </c>
      <c r="CG30" s="685">
        <f ca="1">SUM(CG10:CG29)</f>
        <v>1781.9000919301468</v>
      </c>
      <c r="CH30" s="683">
        <f ca="1">SUM(CH10:CH29)</f>
        <v>1835.5044144796648</v>
      </c>
      <c r="CI30" s="632"/>
      <c r="CQ30" s="2074"/>
    </row>
    <row r="31" spans="1:95" ht="8.25" customHeight="1">
      <c r="A31" s="373"/>
      <c r="B31" s="399"/>
      <c r="C31" s="399"/>
      <c r="D31" s="451"/>
      <c r="E31" s="451"/>
      <c r="F31" s="413"/>
      <c r="G31" s="413"/>
      <c r="H31" s="413"/>
      <c r="I31" s="1701"/>
      <c r="J31" s="1701"/>
      <c r="K31" s="1701"/>
      <c r="L31" s="1701"/>
      <c r="M31" s="1701"/>
      <c r="N31" s="1701"/>
      <c r="O31" s="1701"/>
      <c r="P31" s="1701"/>
      <c r="Q31" s="1701"/>
      <c r="R31" s="1701"/>
      <c r="S31" s="1701"/>
      <c r="T31" s="1701"/>
      <c r="U31" s="1701"/>
      <c r="V31" s="1701"/>
      <c r="W31" s="1701"/>
      <c r="X31" s="1701"/>
      <c r="Y31" s="2540"/>
      <c r="Z31" s="679"/>
      <c r="AA31" s="490"/>
      <c r="AB31" s="413"/>
      <c r="AC31" s="413"/>
      <c r="AD31" s="569"/>
      <c r="AE31" s="490"/>
      <c r="AF31" s="451"/>
      <c r="AG31" s="413"/>
      <c r="AH31" s="414"/>
      <c r="AI31" s="490"/>
      <c r="AJ31" s="413"/>
      <c r="AK31" s="413"/>
      <c r="AL31" s="414"/>
      <c r="AM31" s="490"/>
      <c r="AN31" s="413"/>
      <c r="AO31" s="413"/>
      <c r="AP31" s="413"/>
      <c r="AQ31" s="490"/>
      <c r="AR31" s="413"/>
      <c r="AS31" s="413"/>
      <c r="AT31" s="568"/>
      <c r="AU31" s="570"/>
      <c r="AV31" s="680"/>
      <c r="AW31" s="680"/>
      <c r="AX31" s="568"/>
      <c r="AY31" s="1743"/>
      <c r="AZ31" s="1744"/>
      <c r="BA31" s="1744"/>
      <c r="BB31" s="1744"/>
      <c r="BC31" s="1743"/>
      <c r="BD31" s="1744"/>
      <c r="BE31" s="1744"/>
      <c r="BF31" s="1745"/>
      <c r="BG31" s="1744"/>
      <c r="BH31" s="1744"/>
      <c r="BI31" s="1744"/>
      <c r="BJ31" s="1745"/>
      <c r="BK31" s="1744"/>
      <c r="BL31" s="1744"/>
      <c r="BM31" s="1744"/>
      <c r="BN31" s="1744"/>
      <c r="BO31" s="1743"/>
      <c r="BP31" s="1744"/>
      <c r="BQ31" s="1744"/>
      <c r="BR31" s="1745"/>
      <c r="BS31" s="1743"/>
      <c r="BT31" s="1744"/>
      <c r="BU31" s="1744"/>
      <c r="BV31" s="1745"/>
      <c r="BW31" s="1744"/>
      <c r="BX31" s="1744"/>
      <c r="BY31" s="1744"/>
      <c r="BZ31" s="1745"/>
      <c r="CA31" s="1744"/>
      <c r="CB31" s="1744"/>
      <c r="CC31" s="1744"/>
      <c r="CD31" s="1745"/>
      <c r="CE31" s="1744"/>
      <c r="CF31" s="1744"/>
      <c r="CG31" s="1744"/>
      <c r="CH31" s="1745"/>
      <c r="CI31" s="632"/>
      <c r="CQ31" s="2074"/>
    </row>
    <row r="32" spans="1:95">
      <c r="A32" s="404" t="s">
        <v>1060</v>
      </c>
      <c r="B32" s="404"/>
      <c r="C32" s="404"/>
      <c r="D32" s="451"/>
      <c r="E32" s="451"/>
      <c r="F32" s="413"/>
      <c r="G32" s="413"/>
      <c r="H32" s="413"/>
      <c r="I32" s="1701"/>
      <c r="J32" s="1701"/>
      <c r="K32" s="1701"/>
      <c r="L32" s="1701"/>
      <c r="M32" s="1701"/>
      <c r="N32" s="1701"/>
      <c r="O32" s="1701"/>
      <c r="P32" s="1701"/>
      <c r="Q32" s="1701"/>
      <c r="R32" s="1701"/>
      <c r="S32" s="1701"/>
      <c r="T32" s="1701"/>
      <c r="U32" s="1701"/>
      <c r="V32" s="1701"/>
      <c r="W32" s="1701"/>
      <c r="X32" s="1701"/>
      <c r="Y32" s="2540"/>
      <c r="Z32" s="679"/>
      <c r="AA32" s="490"/>
      <c r="AB32" s="413"/>
      <c r="AC32" s="413"/>
      <c r="AD32" s="569"/>
      <c r="AE32" s="490"/>
      <c r="AF32" s="451"/>
      <c r="AG32" s="413"/>
      <c r="AH32" s="414"/>
      <c r="AI32" s="490"/>
      <c r="AJ32" s="413"/>
      <c r="AK32" s="413"/>
      <c r="AL32" s="414"/>
      <c r="AM32" s="490"/>
      <c r="AN32" s="413"/>
      <c r="AO32" s="413"/>
      <c r="AP32" s="573"/>
      <c r="AQ32" s="490"/>
      <c r="AR32" s="413"/>
      <c r="AS32" s="413"/>
      <c r="AT32" s="568"/>
      <c r="AU32" s="570"/>
      <c r="AV32" s="680"/>
      <c r="AW32" s="680"/>
      <c r="AX32" s="568"/>
      <c r="AY32" s="1743"/>
      <c r="AZ32" s="1744"/>
      <c r="BA32" s="1744"/>
      <c r="BB32" s="1744"/>
      <c r="BC32" s="1743"/>
      <c r="BD32" s="1744"/>
      <c r="BE32" s="1744"/>
      <c r="BF32" s="1745"/>
      <c r="BG32" s="1744"/>
      <c r="BH32" s="1744"/>
      <c r="BI32" s="1744"/>
      <c r="BJ32" s="1745"/>
      <c r="BK32" s="1744"/>
      <c r="BL32" s="1744"/>
      <c r="BM32" s="1744"/>
      <c r="BN32" s="1744"/>
      <c r="BO32" s="1743"/>
      <c r="BP32" s="1744"/>
      <c r="BQ32" s="1744"/>
      <c r="BR32" s="1745"/>
      <c r="BS32" s="1743"/>
      <c r="BT32" s="1744"/>
      <c r="BU32" s="578"/>
      <c r="BV32" s="1745"/>
      <c r="BW32" s="1744"/>
      <c r="BX32" s="1744"/>
      <c r="BY32" s="1744"/>
      <c r="BZ32" s="1745"/>
      <c r="CA32" s="1744"/>
      <c r="CB32" s="1744"/>
      <c r="CC32" s="1744"/>
      <c r="CD32" s="1745"/>
      <c r="CE32" s="1744"/>
      <c r="CF32" s="1744"/>
      <c r="CG32" s="1744"/>
      <c r="CH32" s="1745"/>
      <c r="CI32" s="632"/>
      <c r="CQ32" s="2074"/>
    </row>
    <row r="33" spans="1:95" hidden="1" outlineLevel="1">
      <c r="A33" s="1687" t="s">
        <v>1061</v>
      </c>
      <c r="B33" s="418"/>
      <c r="C33" s="418"/>
      <c r="D33" s="451"/>
      <c r="E33" s="451">
        <f t="shared" ref="E33:E40" si="27">SUM(AA33:AD33)</f>
        <v>-2</v>
      </c>
      <c r="F33" s="413">
        <f t="shared" ref="F33:F40" si="28">SUM(AE33:AH33)</f>
        <v>-75.453000000000003</v>
      </c>
      <c r="G33" s="413">
        <f t="shared" ref="G33:G40" si="29">SUM(AI33:AL33)</f>
        <v>0</v>
      </c>
      <c r="H33" s="413">
        <f t="shared" ref="H33:H40" si="30">SUM(AM33:AP33)</f>
        <v>-306.80500000000001</v>
      </c>
      <c r="I33" s="413">
        <f t="shared" ref="I33:I41" si="31">SUM(AQ33:AT33)</f>
        <v>-148.964</v>
      </c>
      <c r="J33" s="413">
        <f t="shared" ref="J33:J40" si="32">SUM(AU33:AX33)</f>
        <v>0</v>
      </c>
      <c r="K33" s="1701"/>
      <c r="L33" s="1701"/>
      <c r="M33" s="1746"/>
      <c r="N33" s="1746"/>
      <c r="O33" s="1746"/>
      <c r="P33" s="1746"/>
      <c r="Q33" s="1746"/>
      <c r="R33" s="1746">
        <f t="shared" ref="R33:R48" si="33">SUM(CA33:CD33)</f>
        <v>0</v>
      </c>
      <c r="S33" s="1746">
        <f>SUM(CB33:CE33)</f>
        <v>0</v>
      </c>
      <c r="T33" s="1746"/>
      <c r="U33" s="1746"/>
      <c r="V33" s="1746"/>
      <c r="W33" s="1746"/>
      <c r="X33" s="1746"/>
      <c r="Y33" s="2541"/>
      <c r="Z33" s="679">
        <f>INPUTS_2!B169/1000</f>
        <v>-48.298000000000002</v>
      </c>
      <c r="AA33" s="490">
        <f>INPUTS_2!C169/1000</f>
        <v>0</v>
      </c>
      <c r="AB33" s="413">
        <f>INPUTS_2!D169/1000</f>
        <v>-2</v>
      </c>
      <c r="AC33" s="413">
        <f>INPUTS_2!E169/1000</f>
        <v>0</v>
      </c>
      <c r="AD33" s="414">
        <f>INPUTS_2!F169/1000</f>
        <v>0</v>
      </c>
      <c r="AE33" s="490">
        <f>INPUTS_2!G169/1000</f>
        <v>0</v>
      </c>
      <c r="AF33" s="413">
        <f>INPUTS_2!H169/1000</f>
        <v>-73.152000000000001</v>
      </c>
      <c r="AG33" s="413">
        <f>INPUTS_2!I169/1000</f>
        <v>-2.2719999999999998</v>
      </c>
      <c r="AH33" s="414">
        <f>INPUTS_2!J169/1000</f>
        <v>-2.9000000000000001E-2</v>
      </c>
      <c r="AI33" s="490">
        <f>INPUTS_2!K169/1000</f>
        <v>0</v>
      </c>
      <c r="AJ33" s="413">
        <f>INPUTS_2!L169/1000</f>
        <v>0</v>
      </c>
      <c r="AK33" s="413">
        <f>INPUTS_2!M169/1000</f>
        <v>0</v>
      </c>
      <c r="AL33" s="414">
        <f>INPUTS_2!N169/1000</f>
        <v>0</v>
      </c>
      <c r="AM33" s="490">
        <f>INPUTS_2!O169/1000</f>
        <v>0</v>
      </c>
      <c r="AN33" s="413">
        <f>INPUTS_2!P169/1000</f>
        <v>-307.42399999999998</v>
      </c>
      <c r="AO33" s="413">
        <f>INPUTS_2!Q169/1000</f>
        <v>0.65900000000000003</v>
      </c>
      <c r="AP33" s="413">
        <f>INPUTS_2!R169/1000</f>
        <v>-0.04</v>
      </c>
      <c r="AQ33" s="490">
        <f>INPUTS_2!S169/1000</f>
        <v>-25</v>
      </c>
      <c r="AR33" s="413">
        <f>INPUTS_2!T169/1000</f>
        <v>-123.964</v>
      </c>
      <c r="AS33" s="413">
        <f>INPUTS_2!U169/1000</f>
        <v>0</v>
      </c>
      <c r="AT33" s="413">
        <f>INPUTS_2!V169/1000</f>
        <v>0</v>
      </c>
      <c r="AU33" s="490">
        <f>INPUTS_2!W169/1000</f>
        <v>0</v>
      </c>
      <c r="AV33" s="413">
        <f>INPUTS_2!X169/1000</f>
        <v>0</v>
      </c>
      <c r="AW33" s="413">
        <f>INPUTS_2!Y169/1000</f>
        <v>0</v>
      </c>
      <c r="AX33" s="413">
        <f>INPUTS_2!Z169/1000</f>
        <v>0</v>
      </c>
      <c r="AY33" s="1725">
        <f>INPUTS_2!AA169/1000</f>
        <v>0</v>
      </c>
      <c r="AZ33" s="1701">
        <f>INPUTS_2!AB169/1000</f>
        <v>0</v>
      </c>
      <c r="BA33" s="1701">
        <f>INPUTS_2!AC169/1000</f>
        <v>0</v>
      </c>
      <c r="BB33" s="1701">
        <f>INPUTS_2!AD169/1000</f>
        <v>0</v>
      </c>
      <c r="BC33" s="1725"/>
      <c r="BD33" s="1701"/>
      <c r="BE33" s="1701"/>
      <c r="BF33" s="1702"/>
      <c r="BG33" s="1701"/>
      <c r="BH33" s="1701"/>
      <c r="BI33" s="1701"/>
      <c r="BJ33" s="1702"/>
      <c r="BK33" s="1701"/>
      <c r="BL33" s="1701"/>
      <c r="BM33" s="1701"/>
      <c r="BN33" s="1701"/>
      <c r="BO33" s="1743"/>
      <c r="BP33" s="1744"/>
      <c r="BQ33" s="1744"/>
      <c r="BR33" s="1745"/>
      <c r="BS33" s="1743"/>
      <c r="BT33" s="1744"/>
      <c r="BU33" s="1744"/>
      <c r="BV33" s="1745"/>
      <c r="BW33" s="1744"/>
      <c r="BX33" s="1744"/>
      <c r="BY33" s="1744"/>
      <c r="BZ33" s="1745"/>
      <c r="CA33" s="1744"/>
      <c r="CB33" s="1744"/>
      <c r="CC33" s="1744"/>
      <c r="CD33" s="1745"/>
      <c r="CE33" s="1744"/>
      <c r="CF33" s="1744"/>
      <c r="CG33" s="1744"/>
      <c r="CH33" s="1745"/>
      <c r="CI33" s="632"/>
      <c r="CQ33" s="2074"/>
    </row>
    <row r="34" spans="1:95" collapsed="1">
      <c r="A34" s="1687" t="s">
        <v>1062</v>
      </c>
      <c r="B34" s="418"/>
      <c r="C34" s="418"/>
      <c r="D34" s="451"/>
      <c r="E34" s="451">
        <f t="shared" si="27"/>
        <v>-385.31600000000003</v>
      </c>
      <c r="F34" s="413">
        <f t="shared" si="28"/>
        <v>-414.87199999999996</v>
      </c>
      <c r="G34" s="413">
        <f t="shared" si="29"/>
        <v>-1304.0710000000001</v>
      </c>
      <c r="H34" s="413">
        <f t="shared" si="30"/>
        <v>-1155.0450000000001</v>
      </c>
      <c r="I34" s="1701">
        <f t="shared" si="31"/>
        <v>-2738.817</v>
      </c>
      <c r="J34" s="1701">
        <f t="shared" si="32"/>
        <v>-2411.5439999999999</v>
      </c>
      <c r="K34" s="1701">
        <f t="shared" ref="K34:K40" si="34">SUM(AY34:BB34)</f>
        <v>-2548.2160000000003</v>
      </c>
      <c r="L34" s="1701">
        <f t="shared" ref="L34:L40" si="35">SUM(BC34:BF34)</f>
        <v>-2889.5909999999999</v>
      </c>
      <c r="M34" s="1701">
        <f>SUM(BG34:BJ34)</f>
        <v>-2919</v>
      </c>
      <c r="N34" s="1701">
        <f>SUM(BK34:BN34)</f>
        <v>-3048</v>
      </c>
      <c r="O34" s="1710">
        <f>SUM(BO34:BR34)</f>
        <v>-3047</v>
      </c>
      <c r="P34" s="1710">
        <f t="shared" ref="P34:P40" si="36">SUM(BS34:BV34)</f>
        <v>-2872</v>
      </c>
      <c r="Q34" s="1710">
        <f>SUM(BW34:BZ34)</f>
        <v>-2981</v>
      </c>
      <c r="R34" s="1710">
        <f t="shared" si="33"/>
        <v>-3106</v>
      </c>
      <c r="S34" s="1710">
        <f t="shared" ref="S34:S40" si="37">SUM(CE34:CH34)</f>
        <v>-3850.2510232139421</v>
      </c>
      <c r="T34" s="1701">
        <f t="shared" ref="T34:X34" si="38">-T108</f>
        <v>-3773.9406082061196</v>
      </c>
      <c r="U34" s="1701">
        <f t="shared" si="38"/>
        <v>-3742.4634537380066</v>
      </c>
      <c r="V34" s="1701">
        <f t="shared" si="38"/>
        <v>-3718.2457088184824</v>
      </c>
      <c r="W34" s="1701">
        <f t="shared" si="38"/>
        <v>-3706.8381148050739</v>
      </c>
      <c r="X34" s="1701">
        <f t="shared" si="38"/>
        <v>-3699.208926648063</v>
      </c>
      <c r="Y34" s="2540"/>
      <c r="Z34" s="679">
        <f>(INPUTS_2!B170+INPUTS_2!B213)/1000</f>
        <v>-121.48</v>
      </c>
      <c r="AA34" s="490">
        <f>(INPUTS_2!C170+INPUTS_2!C213)/1000</f>
        <v>-61.744999999999997</v>
      </c>
      <c r="AB34" s="413">
        <f>(INPUTS_2!D170+INPUTS_2!D213)/1000</f>
        <v>-94.269000000000005</v>
      </c>
      <c r="AC34" s="413">
        <f>(INPUTS_2!E170+INPUTS_2!E213)/1000</f>
        <v>-97.582999999999998</v>
      </c>
      <c r="AD34" s="414">
        <f>(INPUTS_2!F170+INPUTS_2!F213)/1000</f>
        <v>-131.71899999999999</v>
      </c>
      <c r="AE34" s="490">
        <f>(INPUTS_2!G170+INPUTS_2!G213)/1000</f>
        <v>-74.903000000000006</v>
      </c>
      <c r="AF34" s="413">
        <f>(INPUTS_2!H170+INPUTS_2!H213)/1000</f>
        <v>-102.011</v>
      </c>
      <c r="AG34" s="413">
        <f>(INPUTS_2!I170+INPUTS_2!I213)/1000</f>
        <v>-105.044</v>
      </c>
      <c r="AH34" s="414">
        <f>(INPUTS_2!J170+INPUTS_2!J213)/1000</f>
        <v>-132.91399999999999</v>
      </c>
      <c r="AI34" s="490">
        <f>(INPUTS_2!K170+INPUTS_2!K213)/1000</f>
        <v>-264.08800000000002</v>
      </c>
      <c r="AJ34" s="413">
        <f>(INPUTS_2!L170+INPUTS_2!L213)/1000</f>
        <v>-382.36700000000002</v>
      </c>
      <c r="AK34" s="413">
        <f>(INPUTS_2!M170+INPUTS_2!M213)/1000</f>
        <v>-342.57900000000001</v>
      </c>
      <c r="AL34" s="414">
        <f>(INPUTS_2!N170+INPUTS_2!N213)/1000</f>
        <v>-315.03699999999998</v>
      </c>
      <c r="AM34" s="490">
        <f>(INPUTS_2!O170+INPUTS_2!O213)/1000</f>
        <v>-231.88</v>
      </c>
      <c r="AN34" s="413">
        <f>(INPUTS_2!P170+INPUTS_2!P213)/1000</f>
        <v>-245.976</v>
      </c>
      <c r="AO34" s="413">
        <f>(INPUTS_2!Q170+INPUTS_2!Q213)/1000</f>
        <v>-272.44499999999999</v>
      </c>
      <c r="AP34" s="413">
        <f>(INPUTS_2!R170+INPUTS_2!R213)/1000</f>
        <v>-404.74400000000003</v>
      </c>
      <c r="AQ34" s="490">
        <f>(INPUTS_2!S170+INPUTS_2!S213)/1000</f>
        <v>-647.73900000000003</v>
      </c>
      <c r="AR34" s="413">
        <f>(INPUTS_2!T170+INPUTS_2!T213)/1000</f>
        <v>-772.65899999999999</v>
      </c>
      <c r="AS34" s="413">
        <f>(INPUTS_2!U170+INPUTS_2!U213)/1000</f>
        <v>-706.60599999999999</v>
      </c>
      <c r="AT34" s="413">
        <f>(INPUTS_2!V170+INPUTS_2!V213)/1000</f>
        <v>-611.81299999999999</v>
      </c>
      <c r="AU34" s="490">
        <f>(INPUTS_2!W170+INPUTS_2!W213)/1000</f>
        <v>-481.69600000000003</v>
      </c>
      <c r="AV34" s="413">
        <f>(INPUTS_2!X170+INPUTS_2!X213)/1000</f>
        <v>-579.10500000000002</v>
      </c>
      <c r="AW34" s="413">
        <f>(INPUTS_2!Y170+INPUTS_2!Y213)/1000</f>
        <v>-627.32600000000002</v>
      </c>
      <c r="AX34" s="413">
        <f>(INPUTS_2!Z170+INPUTS_2!Z213)/1000</f>
        <v>-723.41700000000003</v>
      </c>
      <c r="AY34" s="1725">
        <f t="shared" ref="AY34:BF34" si="39">-AY108</f>
        <v>-605.17999999999995</v>
      </c>
      <c r="AZ34" s="1701">
        <f t="shared" si="39"/>
        <v>-576.04600000000005</v>
      </c>
      <c r="BA34" s="1701">
        <f t="shared" si="39"/>
        <v>-661</v>
      </c>
      <c r="BB34" s="1701">
        <f t="shared" si="39"/>
        <v>-705.99</v>
      </c>
      <c r="BC34" s="1725">
        <f t="shared" si="39"/>
        <v>-651.59100000000001</v>
      </c>
      <c r="BD34" s="1701">
        <f t="shared" si="39"/>
        <v>-621</v>
      </c>
      <c r="BE34" s="1701">
        <f t="shared" si="39"/>
        <v>-721</v>
      </c>
      <c r="BF34" s="1702">
        <f t="shared" si="39"/>
        <v>-896</v>
      </c>
      <c r="BG34" s="573">
        <v>-678</v>
      </c>
      <c r="BH34" s="573">
        <f>-1305-BG34</f>
        <v>-627</v>
      </c>
      <c r="BI34" s="573">
        <f>-2024-BH34-BG34</f>
        <v>-719</v>
      </c>
      <c r="BJ34" s="574">
        <f>-2919-BI34-BH34-BG34</f>
        <v>-895</v>
      </c>
      <c r="BK34" s="573">
        <v>-663</v>
      </c>
      <c r="BL34" s="573">
        <f>-1410-BK34</f>
        <v>-747</v>
      </c>
      <c r="BM34" s="573">
        <f>-2211-BL34-BK34</f>
        <v>-801</v>
      </c>
      <c r="BN34" s="622">
        <f>-3048-BM34-BL34-BK34</f>
        <v>-837</v>
      </c>
      <c r="BO34" s="576">
        <v>-670</v>
      </c>
      <c r="BP34" s="578">
        <f>-1401-BO34</f>
        <v>-731</v>
      </c>
      <c r="BQ34" s="578">
        <f>-2113-BP34-BO34</f>
        <v>-712</v>
      </c>
      <c r="BR34" s="575">
        <f>-3047-BQ34-BP34-BO34</f>
        <v>-934</v>
      </c>
      <c r="BS34" s="2890">
        <v>-616</v>
      </c>
      <c r="BT34" s="2891">
        <f>-1272-BS34</f>
        <v>-656</v>
      </c>
      <c r="BU34" s="2891">
        <f>-2039-BT34-BS34</f>
        <v>-767</v>
      </c>
      <c r="BV34" s="2892">
        <f>-2872-BU34-BT34-BS34</f>
        <v>-833</v>
      </c>
      <c r="BW34" s="2891">
        <v>-611</v>
      </c>
      <c r="BX34" s="2891">
        <f>-1264-BW34</f>
        <v>-653</v>
      </c>
      <c r="BY34" s="2891">
        <f>-2010-BX34-BW34</f>
        <v>-746</v>
      </c>
      <c r="BZ34" s="2892">
        <f>-2981-BY34-BX34-BW34</f>
        <v>-971</v>
      </c>
      <c r="CA34" s="2891">
        <v>-780</v>
      </c>
      <c r="CB34" s="2891">
        <f>-1610-CA34</f>
        <v>-830</v>
      </c>
      <c r="CC34" s="2891">
        <f>-2363-CB34-CA34</f>
        <v>-753</v>
      </c>
      <c r="CD34" s="2892">
        <f>-3106-CC34-CB34-CA34</f>
        <v>-743</v>
      </c>
      <c r="CE34" s="1744">
        <f t="shared" ref="CE34" si="40">-CE108</f>
        <v>-969.47604000000024</v>
      </c>
      <c r="CF34" s="1744">
        <f>-CF108</f>
        <v>-966.56953919399996</v>
      </c>
      <c r="CG34" s="1744">
        <f t="shared" ref="CG34:CH34" si="41">-CG108</f>
        <v>-964.08083098222176</v>
      </c>
      <c r="CH34" s="1745">
        <f t="shared" si="41"/>
        <v>-950.12461303771966</v>
      </c>
      <c r="CI34" s="632"/>
      <c r="CQ34" s="2074"/>
    </row>
    <row r="35" spans="1:95">
      <c r="A35" s="2655" t="s">
        <v>1653</v>
      </c>
      <c r="B35" s="418"/>
      <c r="C35" s="418"/>
      <c r="D35" s="451"/>
      <c r="E35" s="451">
        <f t="shared" si="27"/>
        <v>0</v>
      </c>
      <c r="F35" s="413">
        <f t="shared" si="28"/>
        <v>0</v>
      </c>
      <c r="G35" s="413">
        <f t="shared" si="29"/>
        <v>128.684</v>
      </c>
      <c r="H35" s="413">
        <f t="shared" si="30"/>
        <v>18.231000000000002</v>
      </c>
      <c r="I35" s="1701">
        <f t="shared" si="31"/>
        <v>43.944999999999993</v>
      </c>
      <c r="J35" s="1701">
        <f t="shared" si="32"/>
        <v>12</v>
      </c>
      <c r="K35" s="1701">
        <f t="shared" si="34"/>
        <v>0</v>
      </c>
      <c r="L35" s="1701">
        <f t="shared" si="35"/>
        <v>0</v>
      </c>
      <c r="M35" s="1701"/>
      <c r="N35" s="1701">
        <f>SUM(BK35:BN35)</f>
        <v>80</v>
      </c>
      <c r="O35" s="1710">
        <f>SUM(BO35:BR35)</f>
        <v>63</v>
      </c>
      <c r="P35" s="1710">
        <f t="shared" si="36"/>
        <v>31</v>
      </c>
      <c r="Q35" s="1710">
        <f>SUM(BW35:BZ35)</f>
        <v>30</v>
      </c>
      <c r="R35" s="1710">
        <f t="shared" si="33"/>
        <v>1524</v>
      </c>
      <c r="S35" s="1710">
        <f t="shared" si="37"/>
        <v>0</v>
      </c>
      <c r="T35" s="1746"/>
      <c r="U35" s="1746"/>
      <c r="V35" s="1746"/>
      <c r="W35" s="1746"/>
      <c r="X35" s="1746"/>
      <c r="Y35" s="2541"/>
      <c r="Z35" s="679">
        <f>INPUTS_2!B171/1000</f>
        <v>0</v>
      </c>
      <c r="AA35" s="490">
        <f>INPUTS_2!C171/1000</f>
        <v>0</v>
      </c>
      <c r="AB35" s="413">
        <f>INPUTS_2!D171/1000</f>
        <v>0</v>
      </c>
      <c r="AC35" s="413">
        <f>INPUTS_2!E171/1000</f>
        <v>0</v>
      </c>
      <c r="AD35" s="414">
        <f>INPUTS_2!F171/1000</f>
        <v>0</v>
      </c>
      <c r="AE35" s="490">
        <f>INPUTS_2!G171/1000</f>
        <v>0</v>
      </c>
      <c r="AF35" s="413">
        <f>INPUTS_2!H171/1000</f>
        <v>0</v>
      </c>
      <c r="AG35" s="413">
        <f>INPUTS_2!I171/1000</f>
        <v>0</v>
      </c>
      <c r="AH35" s="414">
        <f>INPUTS_2!J171/1000</f>
        <v>0</v>
      </c>
      <c r="AI35" s="490">
        <f>INPUTS_2!K171/1000</f>
        <v>0</v>
      </c>
      <c r="AJ35" s="413">
        <f>INPUTS_2!L171/1000</f>
        <v>128.684</v>
      </c>
      <c r="AK35" s="413">
        <f>INPUTS_2!M171/1000</f>
        <v>0</v>
      </c>
      <c r="AL35" s="414">
        <f>INPUTS_2!N171/1000</f>
        <v>0</v>
      </c>
      <c r="AM35" s="490">
        <f>INPUTS_2!O171/1000</f>
        <v>3</v>
      </c>
      <c r="AN35" s="413">
        <f>INPUTS_2!P171/1000</f>
        <v>2</v>
      </c>
      <c r="AO35" s="413">
        <f>INPUTS_2!Q171/1000</f>
        <v>10.231</v>
      </c>
      <c r="AP35" s="413">
        <f>INPUTS_2!R171/1000</f>
        <v>3</v>
      </c>
      <c r="AQ35" s="490">
        <f>INPUTS_2!S171/1000</f>
        <v>4.2089999999999996</v>
      </c>
      <c r="AR35" s="413">
        <f>INPUTS_2!T171/1000</f>
        <v>34.945</v>
      </c>
      <c r="AS35" s="413">
        <f>INPUTS_2!U171/1000</f>
        <v>3.7909999999999999</v>
      </c>
      <c r="AT35" s="413">
        <f>INPUTS_2!V171/1000</f>
        <v>1</v>
      </c>
      <c r="AU35" s="490">
        <f>INPUTS_2!W171/1000</f>
        <v>12</v>
      </c>
      <c r="AV35" s="413">
        <f>INPUTS_2!X171/1000</f>
        <v>0</v>
      </c>
      <c r="AW35" s="413">
        <f>INPUTS_2!Y171/1000</f>
        <v>0</v>
      </c>
      <c r="AX35" s="413">
        <f>INPUTS_2!Z171/1000</f>
        <v>0</v>
      </c>
      <c r="AY35" s="1725">
        <f>INPUTS_2!AA171/1000</f>
        <v>0</v>
      </c>
      <c r="AZ35" s="1701">
        <f>INPUTS_2!AB171/1000</f>
        <v>0</v>
      </c>
      <c r="BA35" s="1701">
        <f>INPUTS_2!AC171/1000</f>
        <v>0</v>
      </c>
      <c r="BB35" s="1701">
        <f>INPUTS_2!AD171/1000</f>
        <v>0</v>
      </c>
      <c r="BC35" s="1725"/>
      <c r="BD35" s="1701"/>
      <c r="BE35" s="1701"/>
      <c r="BF35" s="1702"/>
      <c r="BG35" s="573"/>
      <c r="BH35" s="573"/>
      <c r="BI35" s="573"/>
      <c r="BJ35" s="574"/>
      <c r="BK35" s="573">
        <v>75</v>
      </c>
      <c r="BL35" s="573">
        <f>75-BK35</f>
        <v>0</v>
      </c>
      <c r="BM35" s="573">
        <f>75-BL35-BK35</f>
        <v>0</v>
      </c>
      <c r="BN35" s="622">
        <f>80-BM35-BL35-BK35</f>
        <v>5</v>
      </c>
      <c r="BO35" s="576">
        <v>1</v>
      </c>
      <c r="BP35" s="578">
        <f>0-BO35</f>
        <v>-1</v>
      </c>
      <c r="BQ35" s="578">
        <f>0-BP35-BO35</f>
        <v>0</v>
      </c>
      <c r="BR35" s="575">
        <f>63-BQ35-BP35-BO35</f>
        <v>63</v>
      </c>
      <c r="BS35" s="2890">
        <v>14</v>
      </c>
      <c r="BT35" s="2891">
        <f>26-BS35</f>
        <v>12</v>
      </c>
      <c r="BU35" s="2891">
        <f>29-BT35-BS35</f>
        <v>3</v>
      </c>
      <c r="BV35" s="2892">
        <f>31-BU35-BT35-BS35</f>
        <v>2</v>
      </c>
      <c r="BW35" s="2891">
        <v>7</v>
      </c>
      <c r="BX35" s="2891">
        <f>11-BW35</f>
        <v>4</v>
      </c>
      <c r="BY35" s="2891">
        <f>22-BX35-BW35</f>
        <v>11</v>
      </c>
      <c r="BZ35" s="2892">
        <f>30-BY35-BX35-BW35</f>
        <v>8</v>
      </c>
      <c r="CA35" s="2891">
        <v>45</v>
      </c>
      <c r="CB35" s="2891">
        <f>1473+48-CA35</f>
        <v>1476</v>
      </c>
      <c r="CC35" s="2891">
        <f>51+1467-CB35-CA35</f>
        <v>-3</v>
      </c>
      <c r="CD35" s="2892">
        <f>-5+1529-CC35-CB35-CA35</f>
        <v>6</v>
      </c>
      <c r="CE35" s="1744">
        <v>0</v>
      </c>
      <c r="CF35" s="1744">
        <v>0</v>
      </c>
      <c r="CG35" s="1744">
        <v>0</v>
      </c>
      <c r="CH35" s="1745">
        <v>0</v>
      </c>
      <c r="CI35" s="632"/>
      <c r="CQ35" s="2074"/>
    </row>
    <row r="36" spans="1:95" hidden="1" outlineLevel="1">
      <c r="A36" s="1687" t="s">
        <v>642</v>
      </c>
      <c r="B36" s="418"/>
      <c r="C36" s="418"/>
      <c r="D36" s="451"/>
      <c r="E36" s="451">
        <f t="shared" si="27"/>
        <v>0</v>
      </c>
      <c r="F36" s="413">
        <f t="shared" si="28"/>
        <v>0</v>
      </c>
      <c r="G36" s="413">
        <f t="shared" si="29"/>
        <v>0</v>
      </c>
      <c r="H36" s="413">
        <f t="shared" si="30"/>
        <v>0</v>
      </c>
      <c r="I36" s="1701">
        <f t="shared" si="31"/>
        <v>65</v>
      </c>
      <c r="J36" s="1701">
        <f t="shared" si="32"/>
        <v>18</v>
      </c>
      <c r="K36" s="1701">
        <f t="shared" si="34"/>
        <v>943</v>
      </c>
      <c r="L36" s="1701">
        <f t="shared" si="35"/>
        <v>0</v>
      </c>
      <c r="M36" s="1701"/>
      <c r="N36" s="1701"/>
      <c r="O36" s="1746"/>
      <c r="P36" s="1746">
        <f t="shared" si="36"/>
        <v>0</v>
      </c>
      <c r="Q36" s="1746">
        <f>SUM(BT36:BW36)</f>
        <v>0</v>
      </c>
      <c r="R36" s="1746">
        <f t="shared" si="33"/>
        <v>0</v>
      </c>
      <c r="S36" s="1746">
        <f t="shared" si="37"/>
        <v>0</v>
      </c>
      <c r="T36" s="1746"/>
      <c r="U36" s="1746"/>
      <c r="V36" s="1746"/>
      <c r="W36" s="1746"/>
      <c r="X36" s="1746"/>
      <c r="Y36" s="2541"/>
      <c r="Z36" s="679"/>
      <c r="AA36" s="490"/>
      <c r="AB36" s="413"/>
      <c r="AC36" s="413"/>
      <c r="AD36" s="414"/>
      <c r="AE36" s="490"/>
      <c r="AF36" s="413"/>
      <c r="AG36" s="413"/>
      <c r="AH36" s="414"/>
      <c r="AI36" s="490"/>
      <c r="AJ36" s="413"/>
      <c r="AK36" s="413"/>
      <c r="AL36" s="414"/>
      <c r="AM36" s="490"/>
      <c r="AN36" s="413"/>
      <c r="AO36" s="413"/>
      <c r="AP36" s="413"/>
      <c r="AQ36" s="490">
        <f>INPUTS_2!S214/1000</f>
        <v>31</v>
      </c>
      <c r="AR36" s="413">
        <f>INPUTS_2!T214/1000</f>
        <v>11</v>
      </c>
      <c r="AS36" s="413">
        <f>INPUTS_2!U214/1000</f>
        <v>14</v>
      </c>
      <c r="AT36" s="413">
        <f>INPUTS_2!V214/1000</f>
        <v>9</v>
      </c>
      <c r="AU36" s="490">
        <f>INPUTS_2!W214/1000</f>
        <v>6</v>
      </c>
      <c r="AV36" s="413">
        <f>INPUTS_2!X214/1000</f>
        <v>-1</v>
      </c>
      <c r="AW36" s="413">
        <f>INPUTS_2!Y214/1000</f>
        <v>8</v>
      </c>
      <c r="AX36" s="413">
        <f>INPUTS_2!Z214/1000</f>
        <v>5</v>
      </c>
      <c r="AY36" s="1725">
        <f>INPUTS_2!AA214/1000</f>
        <v>0</v>
      </c>
      <c r="AZ36" s="1701">
        <f>INPUTS_2!AB214/1000</f>
        <v>159</v>
      </c>
      <c r="BA36" s="1701">
        <f>INPUTS_2!AC214/1000</f>
        <v>784</v>
      </c>
      <c r="BB36" s="1701">
        <f>INPUTS_2!AD214/1000</f>
        <v>0</v>
      </c>
      <c r="BC36" s="1725"/>
      <c r="BD36" s="1701"/>
      <c r="BE36" s="1701"/>
      <c r="BF36" s="1702"/>
      <c r="BG36" s="573"/>
      <c r="BH36" s="573"/>
      <c r="BI36" s="573"/>
      <c r="BJ36" s="574"/>
      <c r="BK36" s="573"/>
      <c r="BL36" s="573"/>
      <c r="BM36" s="573"/>
      <c r="BN36" s="622"/>
      <c r="BO36" s="576"/>
      <c r="BP36" s="578"/>
      <c r="BQ36" s="578"/>
      <c r="BR36" s="575"/>
      <c r="BS36" s="2890"/>
      <c r="BT36" s="2891"/>
      <c r="BU36" s="2891"/>
      <c r="BV36" s="2892"/>
      <c r="BW36" s="2891"/>
      <c r="BX36" s="2891"/>
      <c r="BY36" s="2891"/>
      <c r="BZ36" s="2892"/>
      <c r="CA36" s="2891"/>
      <c r="CB36" s="2891"/>
      <c r="CC36" s="2891"/>
      <c r="CD36" s="2892"/>
      <c r="CE36" s="1744"/>
      <c r="CF36" s="1744"/>
      <c r="CG36" s="1744"/>
      <c r="CH36" s="1745"/>
      <c r="CI36" s="632"/>
      <c r="CQ36" s="2074"/>
    </row>
    <row r="37" spans="1:95" hidden="1" outlineLevel="1">
      <c r="A37" s="1687" t="s">
        <v>710</v>
      </c>
      <c r="B37" s="418"/>
      <c r="C37" s="418"/>
      <c r="D37" s="451"/>
      <c r="E37" s="451">
        <f t="shared" si="27"/>
        <v>0</v>
      </c>
      <c r="F37" s="413">
        <f t="shared" si="28"/>
        <v>0</v>
      </c>
      <c r="G37" s="413">
        <f t="shared" si="29"/>
        <v>0</v>
      </c>
      <c r="H37" s="413">
        <f t="shared" si="30"/>
        <v>0</v>
      </c>
      <c r="I37" s="1701">
        <f t="shared" si="31"/>
        <v>0</v>
      </c>
      <c r="J37" s="1701">
        <f t="shared" si="32"/>
        <v>0</v>
      </c>
      <c r="K37" s="1701">
        <f t="shared" si="34"/>
        <v>-944</v>
      </c>
      <c r="L37" s="1701">
        <f t="shared" si="35"/>
        <v>0</v>
      </c>
      <c r="M37" s="1701"/>
      <c r="N37" s="1701"/>
      <c r="O37" s="1746"/>
      <c r="P37" s="1746">
        <f t="shared" si="36"/>
        <v>0</v>
      </c>
      <c r="Q37" s="1746">
        <f>SUM(BT37:BW37)</f>
        <v>0</v>
      </c>
      <c r="R37" s="1746">
        <f t="shared" si="33"/>
        <v>0</v>
      </c>
      <c r="S37" s="1746">
        <f t="shared" si="37"/>
        <v>0</v>
      </c>
      <c r="T37" s="1746"/>
      <c r="U37" s="1746"/>
      <c r="V37" s="1746"/>
      <c r="W37" s="1746"/>
      <c r="X37" s="1746"/>
      <c r="Y37" s="2541"/>
      <c r="Z37" s="679">
        <f>INPUTS_2!B215/1000</f>
        <v>0</v>
      </c>
      <c r="AA37" s="490">
        <f>INPUTS_2!C215/1000</f>
        <v>0</v>
      </c>
      <c r="AB37" s="413">
        <f>INPUTS_2!D215/1000</f>
        <v>0</v>
      </c>
      <c r="AC37" s="413">
        <f>INPUTS_2!E215/1000</f>
        <v>0</v>
      </c>
      <c r="AD37" s="414">
        <f>INPUTS_2!F215/1000</f>
        <v>0</v>
      </c>
      <c r="AE37" s="490">
        <f>INPUTS_2!G215/1000</f>
        <v>0</v>
      </c>
      <c r="AF37" s="413">
        <f>INPUTS_2!H215/1000</f>
        <v>0</v>
      </c>
      <c r="AG37" s="413">
        <f>INPUTS_2!I215/1000</f>
        <v>0</v>
      </c>
      <c r="AH37" s="414">
        <f>INPUTS_2!J215/1000</f>
        <v>0</v>
      </c>
      <c r="AI37" s="490">
        <f>INPUTS_2!K215/1000</f>
        <v>0</v>
      </c>
      <c r="AJ37" s="413">
        <f>INPUTS_2!L215/1000</f>
        <v>0</v>
      </c>
      <c r="AK37" s="413">
        <f>INPUTS_2!M215/1000</f>
        <v>0</v>
      </c>
      <c r="AL37" s="414">
        <f>INPUTS_2!N215/1000</f>
        <v>0</v>
      </c>
      <c r="AM37" s="490">
        <f>INPUTS_2!O215/1000</f>
        <v>0</v>
      </c>
      <c r="AN37" s="413">
        <f>INPUTS_2!P215/1000</f>
        <v>0</v>
      </c>
      <c r="AO37" s="413">
        <f>INPUTS_2!Q215/1000</f>
        <v>0</v>
      </c>
      <c r="AP37" s="413">
        <f>INPUTS_2!R215/1000</f>
        <v>0</v>
      </c>
      <c r="AQ37" s="490">
        <f>INPUTS_2!S215/1000</f>
        <v>0</v>
      </c>
      <c r="AR37" s="413">
        <f>INPUTS_2!T215/1000</f>
        <v>0</v>
      </c>
      <c r="AS37" s="413">
        <f>INPUTS_2!U215/1000</f>
        <v>0</v>
      </c>
      <c r="AT37" s="413">
        <f>INPUTS_2!V215/1000</f>
        <v>0</v>
      </c>
      <c r="AU37" s="490">
        <f>INPUTS_2!W215/1000</f>
        <v>0</v>
      </c>
      <c r="AV37" s="413">
        <f>INPUTS_2!X215/1000</f>
        <v>0</v>
      </c>
      <c r="AW37" s="413">
        <f>INPUTS_2!Y215/1000</f>
        <v>0</v>
      </c>
      <c r="AX37" s="413">
        <f>INPUTS_2!Z215/1000</f>
        <v>0</v>
      </c>
      <c r="AY37" s="1725">
        <f>INPUTS_2!AA215/1000</f>
        <v>-657</v>
      </c>
      <c r="AZ37" s="1701">
        <f>INPUTS_2!AB215/1000</f>
        <v>-164</v>
      </c>
      <c r="BA37" s="1701">
        <f>INPUTS_2!AC215/1000</f>
        <v>-123</v>
      </c>
      <c r="BB37" s="1701">
        <f>INPUTS_2!AD215/1000</f>
        <v>0</v>
      </c>
      <c r="BC37" s="1725"/>
      <c r="BD37" s="1701"/>
      <c r="BE37" s="1701"/>
      <c r="BF37" s="1702"/>
      <c r="BG37" s="573"/>
      <c r="BH37" s="573"/>
      <c r="BI37" s="573"/>
      <c r="BJ37" s="574"/>
      <c r="BK37" s="573"/>
      <c r="BL37" s="2289"/>
      <c r="BM37" s="2289"/>
      <c r="BN37" s="2510"/>
      <c r="BO37" s="2556"/>
      <c r="BP37" s="2557"/>
      <c r="BQ37" s="2557"/>
      <c r="BR37" s="575"/>
      <c r="BS37" s="2893"/>
      <c r="BT37" s="2894"/>
      <c r="BU37" s="2894"/>
      <c r="BV37" s="2892"/>
      <c r="BW37" s="2891"/>
      <c r="BX37" s="2894"/>
      <c r="BY37" s="2894"/>
      <c r="BZ37" s="2892"/>
      <c r="CA37" s="2891"/>
      <c r="CB37" s="2894"/>
      <c r="CC37" s="2894"/>
      <c r="CD37" s="2892"/>
      <c r="CE37" s="1744"/>
      <c r="CF37" s="1744"/>
      <c r="CG37" s="1744"/>
      <c r="CH37" s="1745"/>
      <c r="CI37" s="632"/>
      <c r="CQ37" s="2074"/>
    </row>
    <row r="38" spans="1:95" hidden="1" outlineLevel="1">
      <c r="A38" s="1687" t="s">
        <v>1065</v>
      </c>
      <c r="B38" s="418"/>
      <c r="C38" s="418"/>
      <c r="D38" s="451"/>
      <c r="E38" s="451">
        <f t="shared" si="27"/>
        <v>8.2189999999999994</v>
      </c>
      <c r="F38" s="413">
        <f t="shared" si="28"/>
        <v>2.339</v>
      </c>
      <c r="G38" s="413">
        <f t="shared" si="29"/>
        <v>-5.2220000000000004</v>
      </c>
      <c r="H38" s="413">
        <f t="shared" si="30"/>
        <v>-2.6669999999999998</v>
      </c>
      <c r="I38" s="1701">
        <f t="shared" si="31"/>
        <v>0</v>
      </c>
      <c r="J38" s="1701">
        <f t="shared" si="32"/>
        <v>0</v>
      </c>
      <c r="K38" s="1701">
        <f t="shared" si="34"/>
        <v>0</v>
      </c>
      <c r="L38" s="1701">
        <f t="shared" si="35"/>
        <v>0</v>
      </c>
      <c r="M38" s="1701"/>
      <c r="N38" s="1701"/>
      <c r="O38" s="1746"/>
      <c r="P38" s="1746">
        <f t="shared" si="36"/>
        <v>0</v>
      </c>
      <c r="Q38" s="1746">
        <f>SUM(BT38:BW38)</f>
        <v>0</v>
      </c>
      <c r="R38" s="1746">
        <f t="shared" si="33"/>
        <v>0</v>
      </c>
      <c r="S38" s="1746">
        <f t="shared" si="37"/>
        <v>0</v>
      </c>
      <c r="T38" s="1746"/>
      <c r="U38" s="1746"/>
      <c r="V38" s="1746"/>
      <c r="W38" s="1746"/>
      <c r="X38" s="1746"/>
      <c r="Y38" s="2541"/>
      <c r="Z38" s="679">
        <f>INPUTS_2!B172/1000</f>
        <v>0</v>
      </c>
      <c r="AA38" s="490">
        <f>INPUTS_2!C172/1000</f>
        <v>0.49</v>
      </c>
      <c r="AB38" s="413">
        <f>INPUTS_2!D172/1000</f>
        <v>3.7429999999999999</v>
      </c>
      <c r="AC38" s="413">
        <f>INPUTS_2!E172/1000</f>
        <v>2.0259999999999998</v>
      </c>
      <c r="AD38" s="414">
        <f>INPUTS_2!F172/1000</f>
        <v>1.96</v>
      </c>
      <c r="AE38" s="490">
        <f>INPUTS_2!G172/1000</f>
        <v>0</v>
      </c>
      <c r="AF38" s="413">
        <f>INPUTS_2!H172/1000</f>
        <v>2.339</v>
      </c>
      <c r="AG38" s="413">
        <f>INPUTS_2!I172/1000</f>
        <v>0</v>
      </c>
      <c r="AH38" s="414">
        <f>INPUTS_2!J172/1000</f>
        <v>0</v>
      </c>
      <c r="AI38" s="490">
        <f>INPUTS_2!K172/1000</f>
        <v>-5.2220000000000004</v>
      </c>
      <c r="AJ38" s="413">
        <f>INPUTS_2!L172/1000</f>
        <v>0</v>
      </c>
      <c r="AK38" s="413">
        <f>INPUTS_2!M172/1000</f>
        <v>0</v>
      </c>
      <c r="AL38" s="414">
        <f>INPUTS_2!N172/1000</f>
        <v>0</v>
      </c>
      <c r="AM38" s="490">
        <f>INPUTS_2!O172/1000</f>
        <v>0</v>
      </c>
      <c r="AN38" s="413">
        <f>INPUTS_2!P172/1000</f>
        <v>0</v>
      </c>
      <c r="AO38" s="413">
        <f>INPUTS_2!Q172/1000</f>
        <v>0</v>
      </c>
      <c r="AP38" s="413">
        <f>INPUTS_2!R172/1000</f>
        <v>-2.6669999999999998</v>
      </c>
      <c r="AQ38" s="490">
        <f>INPUTS_2!S172/1000</f>
        <v>0</v>
      </c>
      <c r="AR38" s="413">
        <f>INPUTS_2!T172/1000</f>
        <v>0</v>
      </c>
      <c r="AS38" s="413">
        <f>INPUTS_2!U172/1000</f>
        <v>0</v>
      </c>
      <c r="AT38" s="413">
        <f>INPUTS_2!V172/1000</f>
        <v>0</v>
      </c>
      <c r="AU38" s="490">
        <f>INPUTS_2!W172/1000</f>
        <v>0</v>
      </c>
      <c r="AV38" s="413">
        <f>INPUTS_2!X172/1000</f>
        <v>0</v>
      </c>
      <c r="AW38" s="413">
        <f>INPUTS_2!Y172/1000</f>
        <v>0</v>
      </c>
      <c r="AX38" s="413">
        <f>INPUTS_2!Z172/1000</f>
        <v>0</v>
      </c>
      <c r="AY38" s="1725">
        <f>INPUTS_2!AA172/1000</f>
        <v>0</v>
      </c>
      <c r="AZ38" s="1701">
        <f>INPUTS_2!AB172/1000</f>
        <v>0</v>
      </c>
      <c r="BA38" s="1701">
        <f>INPUTS_2!AC172/1000</f>
        <v>0</v>
      </c>
      <c r="BB38" s="1701">
        <f>INPUTS_2!AD172/1000</f>
        <v>0</v>
      </c>
      <c r="BC38" s="1725"/>
      <c r="BD38" s="1701"/>
      <c r="BE38" s="1701"/>
      <c r="BF38" s="1702"/>
      <c r="BG38" s="573"/>
      <c r="BH38" s="573"/>
      <c r="BI38" s="573"/>
      <c r="BJ38" s="574"/>
      <c r="BK38" s="573"/>
      <c r="BL38" s="573"/>
      <c r="BM38" s="573"/>
      <c r="BN38" s="622"/>
      <c r="BO38" s="576"/>
      <c r="BP38" s="578"/>
      <c r="BQ38" s="578"/>
      <c r="BR38" s="575"/>
      <c r="BS38" s="2890"/>
      <c r="BT38" s="2891"/>
      <c r="BU38" s="2891"/>
      <c r="BV38" s="2892"/>
      <c r="BW38" s="2891"/>
      <c r="BX38" s="2891"/>
      <c r="BY38" s="2891"/>
      <c r="BZ38" s="2892"/>
      <c r="CA38" s="2891"/>
      <c r="CB38" s="2891"/>
      <c r="CC38" s="2891"/>
      <c r="CD38" s="2892"/>
      <c r="CE38" s="1744"/>
      <c r="CF38" s="1744"/>
      <c r="CG38" s="1744"/>
      <c r="CH38" s="1745"/>
      <c r="CI38" s="632"/>
      <c r="CQ38" s="2074"/>
    </row>
    <row r="39" spans="1:95" hidden="1" outlineLevel="1">
      <c r="A39" s="1687" t="s">
        <v>643</v>
      </c>
      <c r="B39" s="418"/>
      <c r="C39" s="418"/>
      <c r="D39" s="451"/>
      <c r="E39" s="451">
        <f t="shared" si="27"/>
        <v>0</v>
      </c>
      <c r="F39" s="413">
        <f t="shared" si="28"/>
        <v>0</v>
      </c>
      <c r="G39" s="413">
        <f t="shared" si="29"/>
        <v>0</v>
      </c>
      <c r="H39" s="413">
        <f t="shared" si="30"/>
        <v>0</v>
      </c>
      <c r="I39" s="1701">
        <f t="shared" si="31"/>
        <v>0</v>
      </c>
      <c r="J39" s="1701">
        <f t="shared" si="32"/>
        <v>0</v>
      </c>
      <c r="K39" s="1701">
        <f t="shared" si="34"/>
        <v>0</v>
      </c>
      <c r="L39" s="1701">
        <f t="shared" si="35"/>
        <v>0</v>
      </c>
      <c r="M39" s="1701"/>
      <c r="N39" s="1701"/>
      <c r="O39" s="1746"/>
      <c r="P39" s="1746">
        <f t="shared" si="36"/>
        <v>0</v>
      </c>
      <c r="Q39" s="1746">
        <f>SUM(BT39:BW39)</f>
        <v>0</v>
      </c>
      <c r="R39" s="1746">
        <f t="shared" si="33"/>
        <v>0</v>
      </c>
      <c r="S39" s="1746">
        <f t="shared" si="37"/>
        <v>0</v>
      </c>
      <c r="T39" s="1746"/>
      <c r="U39" s="1746"/>
      <c r="V39" s="1746"/>
      <c r="W39" s="1746"/>
      <c r="X39" s="1746"/>
      <c r="Y39" s="2541"/>
      <c r="Z39" s="679">
        <f>INPUTS_2!B216/1000</f>
        <v>0</v>
      </c>
      <c r="AA39" s="490">
        <f>INPUTS_2!C216/1000</f>
        <v>0</v>
      </c>
      <c r="AB39" s="413">
        <f>INPUTS_2!D216/1000</f>
        <v>0</v>
      </c>
      <c r="AC39" s="413">
        <f>INPUTS_2!E216/1000</f>
        <v>0</v>
      </c>
      <c r="AD39" s="414">
        <f>INPUTS_2!F216/1000</f>
        <v>0</v>
      </c>
      <c r="AE39" s="490">
        <f>INPUTS_2!G216/1000</f>
        <v>0</v>
      </c>
      <c r="AF39" s="413">
        <f>INPUTS_2!H216/1000</f>
        <v>0</v>
      </c>
      <c r="AG39" s="413">
        <f>INPUTS_2!I216/1000</f>
        <v>0</v>
      </c>
      <c r="AH39" s="414">
        <f>INPUTS_2!J216/1000</f>
        <v>0</v>
      </c>
      <c r="AI39" s="490">
        <f>INPUTS_2!K216/1000</f>
        <v>0</v>
      </c>
      <c r="AJ39" s="413">
        <f>INPUTS_2!L216/1000</f>
        <v>0</v>
      </c>
      <c r="AK39" s="413">
        <f>INPUTS_2!M216/1000</f>
        <v>0</v>
      </c>
      <c r="AL39" s="414">
        <f>INPUTS_2!N216/1000</f>
        <v>0</v>
      </c>
      <c r="AM39" s="490">
        <f>INPUTS_2!O216/1000</f>
        <v>0</v>
      </c>
      <c r="AN39" s="413">
        <f>INPUTS_2!P216/1000</f>
        <v>0</v>
      </c>
      <c r="AO39" s="413">
        <f>INPUTS_2!Q216/1000</f>
        <v>0</v>
      </c>
      <c r="AP39" s="413">
        <f>INPUTS_2!R216/1000</f>
        <v>0</v>
      </c>
      <c r="AQ39" s="490">
        <f>INPUTS_2!S216/1000</f>
        <v>0</v>
      </c>
      <c r="AR39" s="413">
        <f>INPUTS_2!T216/1000</f>
        <v>0</v>
      </c>
      <c r="AS39" s="413">
        <f>INPUTS_2!U216/1000</f>
        <v>0</v>
      </c>
      <c r="AT39" s="413">
        <f>INPUTS_2!V216/1000</f>
        <v>0</v>
      </c>
      <c r="AU39" s="490">
        <f>INPUTS_2!W216/1000</f>
        <v>0</v>
      </c>
      <c r="AV39" s="413">
        <f>INPUTS_2!X216/1000</f>
        <v>0</v>
      </c>
      <c r="AW39" s="413">
        <f>INPUTS_2!Y216/1000</f>
        <v>0</v>
      </c>
      <c r="AX39" s="413">
        <f>INPUTS_2!Z216/1000</f>
        <v>0</v>
      </c>
      <c r="AY39" s="1725">
        <f>INPUTS_2!AA216/1000</f>
        <v>0</v>
      </c>
      <c r="AZ39" s="1701">
        <f>INPUTS_2!AB216/1000</f>
        <v>0</v>
      </c>
      <c r="BA39" s="1701">
        <f>INPUTS_2!AC216/1000</f>
        <v>0</v>
      </c>
      <c r="BB39" s="1701">
        <f>INPUTS_2!AD216/1000</f>
        <v>0</v>
      </c>
      <c r="BC39" s="1725"/>
      <c r="BD39" s="1701"/>
      <c r="BE39" s="1701"/>
      <c r="BF39" s="1702"/>
      <c r="BG39" s="573"/>
      <c r="BH39" s="573"/>
      <c r="BI39" s="573"/>
      <c r="BJ39" s="574"/>
      <c r="BK39" s="573"/>
      <c r="BL39" s="573"/>
      <c r="BM39" s="573"/>
      <c r="BN39" s="622"/>
      <c r="BO39" s="576"/>
      <c r="BP39" s="578"/>
      <c r="BQ39" s="578"/>
      <c r="BR39" s="575"/>
      <c r="BS39" s="2890"/>
      <c r="BT39" s="2891"/>
      <c r="BU39" s="2891"/>
      <c r="BV39" s="2892"/>
      <c r="BW39" s="2891"/>
      <c r="BX39" s="2891"/>
      <c r="BY39" s="2891"/>
      <c r="BZ39" s="2892"/>
      <c r="CA39" s="2891"/>
      <c r="CB39" s="2891"/>
      <c r="CC39" s="2891"/>
      <c r="CD39" s="2892"/>
      <c r="CE39" s="1744"/>
      <c r="CF39" s="1744"/>
      <c r="CG39" s="1744"/>
      <c r="CH39" s="1745"/>
      <c r="CI39" s="632"/>
      <c r="CQ39" s="2074"/>
    </row>
    <row r="40" spans="1:95" collapsed="1">
      <c r="A40" s="1687" t="s">
        <v>1058</v>
      </c>
      <c r="B40" s="418"/>
      <c r="C40" s="418"/>
      <c r="D40" s="451"/>
      <c r="E40" s="451">
        <f t="shared" si="27"/>
        <v>-34.213999999999999</v>
      </c>
      <c r="F40" s="413">
        <f t="shared" si="28"/>
        <v>6.5939999999999994</v>
      </c>
      <c r="G40" s="413">
        <f t="shared" si="29"/>
        <v>-3.1219999999999999</v>
      </c>
      <c r="H40" s="413">
        <f t="shared" si="30"/>
        <v>33.097999999999999</v>
      </c>
      <c r="I40" s="1701">
        <f t="shared" si="31"/>
        <v>32.840999999999994</v>
      </c>
      <c r="J40" s="1701">
        <f t="shared" si="32"/>
        <v>-7.79</v>
      </c>
      <c r="K40" s="1701">
        <f t="shared" si="34"/>
        <v>5.7159999999999993</v>
      </c>
      <c r="L40" s="1701">
        <f t="shared" si="35"/>
        <v>0</v>
      </c>
      <c r="M40" s="1701">
        <f>SUM(BG40:BJ40)</f>
        <v>229</v>
      </c>
      <c r="N40" s="1701">
        <f>SUM(BK40:BN40)</f>
        <v>-180</v>
      </c>
      <c r="O40" s="1710">
        <f>SUM(BO40:BR40)</f>
        <v>-93</v>
      </c>
      <c r="P40" s="1710">
        <f t="shared" si="36"/>
        <v>-12</v>
      </c>
      <c r="Q40" s="1710">
        <f>SUM(BW40:BZ40)</f>
        <v>-43</v>
      </c>
      <c r="R40" s="1710">
        <f t="shared" si="33"/>
        <v>-7289</v>
      </c>
      <c r="S40" s="1710">
        <f t="shared" si="37"/>
        <v>0</v>
      </c>
      <c r="T40" s="1746"/>
      <c r="U40" s="1746"/>
      <c r="V40" s="1746"/>
      <c r="W40" s="1746"/>
      <c r="X40" s="1746"/>
      <c r="Y40" s="2541"/>
      <c r="Z40" s="679">
        <f>(INPUTS_2!B173+INPUTS_2!B217)/1000</f>
        <v>3.6240000000000001</v>
      </c>
      <c r="AA40" s="490">
        <f>(INPUTS_2!C173+INPUTS_2!C217)/1000</f>
        <v>-0.51100000000000001</v>
      </c>
      <c r="AB40" s="413">
        <f>(INPUTS_2!D173+INPUTS_2!D217)/1000</f>
        <v>-2.79</v>
      </c>
      <c r="AC40" s="413">
        <f>(INPUTS_2!E173+INPUTS_2!E217)/1000</f>
        <v>-28.067</v>
      </c>
      <c r="AD40" s="414">
        <f>(INPUTS_2!F173+INPUTS_2!F217)/1000</f>
        <v>-2.8460000000000001</v>
      </c>
      <c r="AE40" s="490">
        <f>(INPUTS_2!G173+INPUTS_2!G217)/1000</f>
        <v>-2.7160000000000002</v>
      </c>
      <c r="AF40" s="413">
        <f>(INPUTS_2!H173+INPUTS_2!H217)/1000</f>
        <v>-0.23899999999999999</v>
      </c>
      <c r="AG40" s="413">
        <f>(INPUTS_2!I173+INPUTS_2!I217)/1000</f>
        <v>5.8860000000000001</v>
      </c>
      <c r="AH40" s="414">
        <f>(INPUTS_2!J173+INPUTS_2!J217)/1000</f>
        <v>3.6629999999999998</v>
      </c>
      <c r="AI40" s="490">
        <f>(INPUTS_2!K173+INPUTS_2!K217)/1000</f>
        <v>-0.40799999999999997</v>
      </c>
      <c r="AJ40" s="413">
        <f>(INPUTS_2!L173+INPUTS_2!L217)/1000</f>
        <v>-0.88800000000000001</v>
      </c>
      <c r="AK40" s="413">
        <f>(INPUTS_2!M173+INPUTS_2!M217)/1000</f>
        <v>-0.56899999999999995</v>
      </c>
      <c r="AL40" s="414">
        <f>(INPUTS_2!N173+INPUTS_2!N217)/1000</f>
        <v>-1.2569999999999999</v>
      </c>
      <c r="AM40" s="490">
        <f>(INPUTS_2!O173+INPUTS_2!O217)/1000</f>
        <v>15.365</v>
      </c>
      <c r="AN40" s="413">
        <f>(INPUTS_2!P173+INPUTS_2!P217)/1000</f>
        <v>4.1580000000000004</v>
      </c>
      <c r="AO40" s="413">
        <f>(INPUTS_2!Q173+INPUTS_2!Q217)/1000</f>
        <v>-0.12</v>
      </c>
      <c r="AP40" s="413">
        <f>(INPUTS_2!R173+INPUTS_2!R217)/1000</f>
        <v>13.695</v>
      </c>
      <c r="AQ40" s="490">
        <f>(INPUTS_2!S173+INPUTS_2!S217)/1000</f>
        <v>4.9829999999999997</v>
      </c>
      <c r="AR40" s="413">
        <f>(INPUTS_2!T173+INPUTS_2!T217)/1000</f>
        <v>2.1469999999999998</v>
      </c>
      <c r="AS40" s="413">
        <f>(INPUTS_2!U173+INPUTS_2!U217)/1000</f>
        <v>24.111999999999998</v>
      </c>
      <c r="AT40" s="413">
        <f>(INPUTS_2!V173+INPUTS_2!V217)/1000</f>
        <v>1.599</v>
      </c>
      <c r="AU40" s="490">
        <f>(INPUTS_2!W173+INPUTS_2!W217)/1000</f>
        <v>-0.872</v>
      </c>
      <c r="AV40" s="413">
        <f>(INPUTS_2!X173+INPUTS_2!X217)/1000</f>
        <v>1.0820000000000001</v>
      </c>
      <c r="AW40" s="413">
        <f>(INPUTS_2!Y173+INPUTS_2!Y217)/1000</f>
        <v>1</v>
      </c>
      <c r="AX40" s="413">
        <f>(INPUTS_2!Z173+INPUTS_2!Z217)/1000</f>
        <v>-9</v>
      </c>
      <c r="AY40" s="1725">
        <f>(INPUTS_2!AA173+INPUTS_2!AA217)/1000</f>
        <v>-0.30599999999999999</v>
      </c>
      <c r="AZ40" s="1701">
        <f>(INPUTS_2!AB173+INPUTS_2!AB217)/1000</f>
        <v>2.569</v>
      </c>
      <c r="BA40" s="1701">
        <f>(INPUTS_2!AC173+INPUTS_2!AC217)/1000</f>
        <v>0.65300000000000002</v>
      </c>
      <c r="BB40" s="1701">
        <f>(INPUTS_2!AD173+INPUTS_2!AD217)/1000</f>
        <v>2.8</v>
      </c>
      <c r="BC40" s="1725"/>
      <c r="BD40" s="1701"/>
      <c r="BE40" s="1701"/>
      <c r="BF40" s="1702"/>
      <c r="BG40" s="573">
        <v>15</v>
      </c>
      <c r="BH40" s="573">
        <f>130-BG40</f>
        <v>115</v>
      </c>
      <c r="BI40" s="573">
        <f>133+28-BH40-BG40</f>
        <v>31</v>
      </c>
      <c r="BJ40" s="1830">
        <f>191+38-BI40-BH40-BG40</f>
        <v>68</v>
      </c>
      <c r="BK40" s="622">
        <v>4</v>
      </c>
      <c r="BL40" s="622">
        <f>23-BK40</f>
        <v>19</v>
      </c>
      <c r="BM40" s="622">
        <f>19-BL40-BK40</f>
        <v>-4</v>
      </c>
      <c r="BN40" s="622">
        <f>-160-20-BM40-BL40-BK40</f>
        <v>-199</v>
      </c>
      <c r="BO40" s="576">
        <v>-13</v>
      </c>
      <c r="BP40" s="578">
        <f>-18-BO40</f>
        <v>-5</v>
      </c>
      <c r="BQ40" s="578">
        <f>0-BP40-BO40</f>
        <v>18</v>
      </c>
      <c r="BR40" s="575">
        <f>-93-BQ40-BP40-BO40</f>
        <v>-93</v>
      </c>
      <c r="BS40" s="2890">
        <v>-8</v>
      </c>
      <c r="BT40" s="2891">
        <f>-12-BS40</f>
        <v>-4</v>
      </c>
      <c r="BU40" s="2891">
        <f>-12-BT40-BS40</f>
        <v>0</v>
      </c>
      <c r="BV40" s="2892">
        <f>-4-8-BU40-BT40-BS40</f>
        <v>0</v>
      </c>
      <c r="BW40" s="2891">
        <v>-1</v>
      </c>
      <c r="BX40" s="2891">
        <f>-24-2-BW40</f>
        <v>-25</v>
      </c>
      <c r="BY40" s="2891">
        <f>-24-BX40-BW40</f>
        <v>2</v>
      </c>
      <c r="BZ40" s="2892">
        <f>-39-4-BY40-BX40-BW40</f>
        <v>-19</v>
      </c>
      <c r="CA40" s="2891">
        <f>3+1</f>
        <v>4</v>
      </c>
      <c r="CB40" s="2891">
        <f>-5-CA40</f>
        <v>-9</v>
      </c>
      <c r="CC40" s="2891">
        <f>-5-CB40-CA40</f>
        <v>0</v>
      </c>
      <c r="CD40" s="3109">
        <f>-7289-0-CC40-CB40-CA40</f>
        <v>-7284</v>
      </c>
      <c r="CE40" s="1744">
        <v>0</v>
      </c>
      <c r="CF40" s="1744">
        <v>0</v>
      </c>
      <c r="CG40" s="1744">
        <v>0</v>
      </c>
      <c r="CH40" s="1745">
        <v>0</v>
      </c>
      <c r="CI40" s="632"/>
      <c r="CQ40" s="2074"/>
    </row>
    <row r="41" spans="1:95">
      <c r="A41" s="404" t="s">
        <v>1068</v>
      </c>
      <c r="B41" s="404"/>
      <c r="C41" s="404"/>
      <c r="D41" s="499"/>
      <c r="E41" s="499">
        <f>SUM(E33:E40)</f>
        <v>-413.31100000000004</v>
      </c>
      <c r="F41" s="582">
        <f>SUM(F33:F40)</f>
        <v>-481.39199999999994</v>
      </c>
      <c r="G41" s="582">
        <f>SUM(G33:G40)</f>
        <v>-1183.7310000000002</v>
      </c>
      <c r="H41" s="582">
        <f>SUM(H33:H40)</f>
        <v>-1413.1880000000001</v>
      </c>
      <c r="I41" s="582">
        <f t="shared" si="31"/>
        <v>-2745.9949999999999</v>
      </c>
      <c r="J41" s="582">
        <f t="shared" ref="J41:O41" si="42">SUM(J32:J40)</f>
        <v>-2389.3339999999998</v>
      </c>
      <c r="K41" s="582">
        <f t="shared" si="42"/>
        <v>-2543.5000000000005</v>
      </c>
      <c r="L41" s="582">
        <f t="shared" si="42"/>
        <v>-2889.5909999999999</v>
      </c>
      <c r="M41" s="582">
        <f t="shared" si="42"/>
        <v>-2690</v>
      </c>
      <c r="N41" s="582">
        <f t="shared" si="42"/>
        <v>-3148</v>
      </c>
      <c r="O41" s="582">
        <f t="shared" si="42"/>
        <v>-3077</v>
      </c>
      <c r="P41" s="582">
        <f t="shared" ref="P41:U41" si="43">SUM(P32:P40)</f>
        <v>-2853</v>
      </c>
      <c r="Q41" s="582">
        <f t="shared" si="43"/>
        <v>-2994</v>
      </c>
      <c r="R41" s="582">
        <f>SUM(R32:R40)</f>
        <v>-8871</v>
      </c>
      <c r="S41" s="582">
        <f>SUM(S32:S40)</f>
        <v>-3850.2510232139421</v>
      </c>
      <c r="T41" s="582">
        <f t="shared" si="43"/>
        <v>-3773.9406082061196</v>
      </c>
      <c r="U41" s="582">
        <f t="shared" si="43"/>
        <v>-3742.4634537380066</v>
      </c>
      <c r="V41" s="582">
        <f>SUM(V32:V40)</f>
        <v>-3718.2457088184824</v>
      </c>
      <c r="W41" s="582">
        <f>SUM(W32:W40)</f>
        <v>-3706.8381148050739</v>
      </c>
      <c r="X41" s="582">
        <f>SUM(X32:X40)</f>
        <v>-3699.208926648063</v>
      </c>
      <c r="Y41" s="820"/>
      <c r="Z41" s="682">
        <f t="shared" ref="Z41:BO41" si="44">SUM(Z33:Z40)</f>
        <v>-166.15400000000002</v>
      </c>
      <c r="AA41" s="594">
        <f t="shared" si="44"/>
        <v>-61.765999999999998</v>
      </c>
      <c r="AB41" s="582">
        <f t="shared" si="44"/>
        <v>-95.316000000000017</v>
      </c>
      <c r="AC41" s="582">
        <f t="shared" si="44"/>
        <v>-123.624</v>
      </c>
      <c r="AD41" s="608">
        <f t="shared" si="44"/>
        <v>-132.60499999999999</v>
      </c>
      <c r="AE41" s="594">
        <f t="shared" si="44"/>
        <v>-77.619</v>
      </c>
      <c r="AF41" s="499">
        <f t="shared" si="44"/>
        <v>-173.06300000000002</v>
      </c>
      <c r="AG41" s="582">
        <f t="shared" si="44"/>
        <v>-101.43</v>
      </c>
      <c r="AH41" s="593">
        <f t="shared" si="44"/>
        <v>-129.27999999999997</v>
      </c>
      <c r="AI41" s="594">
        <f t="shared" si="44"/>
        <v>-269.71800000000002</v>
      </c>
      <c r="AJ41" s="582">
        <f t="shared" si="44"/>
        <v>-254.57100000000003</v>
      </c>
      <c r="AK41" s="582">
        <f t="shared" si="44"/>
        <v>-343.14800000000002</v>
      </c>
      <c r="AL41" s="593">
        <f t="shared" si="44"/>
        <v>-316.29399999999998</v>
      </c>
      <c r="AM41" s="594">
        <f t="shared" si="44"/>
        <v>-213.51499999999999</v>
      </c>
      <c r="AN41" s="582">
        <f t="shared" si="44"/>
        <v>-547.24199999999996</v>
      </c>
      <c r="AO41" s="582">
        <f t="shared" si="44"/>
        <v>-261.67500000000001</v>
      </c>
      <c r="AP41" s="582">
        <f t="shared" si="44"/>
        <v>-390.75600000000003</v>
      </c>
      <c r="AQ41" s="594">
        <f t="shared" si="44"/>
        <v>-632.54700000000014</v>
      </c>
      <c r="AR41" s="582">
        <f t="shared" si="44"/>
        <v>-848.53099999999995</v>
      </c>
      <c r="AS41" s="582">
        <f t="shared" si="44"/>
        <v>-664.70299999999997</v>
      </c>
      <c r="AT41" s="683">
        <f t="shared" si="44"/>
        <v>-600.21399999999994</v>
      </c>
      <c r="AU41" s="684">
        <f t="shared" si="44"/>
        <v>-464.56800000000004</v>
      </c>
      <c r="AV41" s="685">
        <f t="shared" si="44"/>
        <v>-579.02300000000002</v>
      </c>
      <c r="AW41" s="685">
        <f t="shared" si="44"/>
        <v>-618.32600000000002</v>
      </c>
      <c r="AX41" s="683">
        <f t="shared" si="44"/>
        <v>-727.41700000000003</v>
      </c>
      <c r="AY41" s="684">
        <f t="shared" si="44"/>
        <v>-1262.4859999999999</v>
      </c>
      <c r="AZ41" s="685">
        <f t="shared" si="44"/>
        <v>-578.47700000000009</v>
      </c>
      <c r="BA41" s="685">
        <f t="shared" si="44"/>
        <v>0.65300000000000002</v>
      </c>
      <c r="BB41" s="685">
        <f t="shared" si="44"/>
        <v>-703.19</v>
      </c>
      <c r="BC41" s="684">
        <f t="shared" si="44"/>
        <v>-651.59100000000001</v>
      </c>
      <c r="BD41" s="685">
        <f t="shared" si="44"/>
        <v>-621</v>
      </c>
      <c r="BE41" s="685">
        <f t="shared" si="44"/>
        <v>-721</v>
      </c>
      <c r="BF41" s="683">
        <f t="shared" si="44"/>
        <v>-896</v>
      </c>
      <c r="BG41" s="685">
        <f t="shared" si="44"/>
        <v>-663</v>
      </c>
      <c r="BH41" s="685">
        <f t="shared" si="44"/>
        <v>-512</v>
      </c>
      <c r="BI41" s="685">
        <f t="shared" si="44"/>
        <v>-688</v>
      </c>
      <c r="BJ41" s="683">
        <f t="shared" si="44"/>
        <v>-827</v>
      </c>
      <c r="BK41" s="685">
        <f t="shared" si="44"/>
        <v>-584</v>
      </c>
      <c r="BL41" s="685">
        <f t="shared" si="44"/>
        <v>-728</v>
      </c>
      <c r="BM41" s="685">
        <f t="shared" si="44"/>
        <v>-805</v>
      </c>
      <c r="BN41" s="685">
        <f t="shared" si="44"/>
        <v>-1031</v>
      </c>
      <c r="BO41" s="684">
        <f t="shared" si="44"/>
        <v>-682</v>
      </c>
      <c r="BP41" s="685">
        <f t="shared" ref="BP41:BV41" si="45">SUM(BP33:BP40)</f>
        <v>-737</v>
      </c>
      <c r="BQ41" s="685">
        <f t="shared" si="45"/>
        <v>-694</v>
      </c>
      <c r="BR41" s="683">
        <f t="shared" si="45"/>
        <v>-964</v>
      </c>
      <c r="BS41" s="684">
        <f>SUM(BS33:BS40)</f>
        <v>-610</v>
      </c>
      <c r="BT41" s="685">
        <f t="shared" si="45"/>
        <v>-648</v>
      </c>
      <c r="BU41" s="685">
        <f t="shared" si="45"/>
        <v>-764</v>
      </c>
      <c r="BV41" s="683">
        <f t="shared" si="45"/>
        <v>-831</v>
      </c>
      <c r="BW41" s="685">
        <f t="shared" ref="BW41:CB41" si="46">SUM(BW33:BW40)</f>
        <v>-605</v>
      </c>
      <c r="BX41" s="685">
        <f t="shared" si="46"/>
        <v>-674</v>
      </c>
      <c r="BY41" s="685">
        <f t="shared" si="46"/>
        <v>-733</v>
      </c>
      <c r="BZ41" s="683">
        <f>SUM(BZ33:BZ40)</f>
        <v>-982</v>
      </c>
      <c r="CA41" s="685">
        <f>SUM(CA33:CA40)</f>
        <v>-731</v>
      </c>
      <c r="CB41" s="685">
        <f t="shared" si="46"/>
        <v>637</v>
      </c>
      <c r="CC41" s="685">
        <f>SUM(CC33:CC40)</f>
        <v>-756</v>
      </c>
      <c r="CD41" s="683">
        <f t="shared" ref="CD41" si="47">SUM(CD33:CD40)</f>
        <v>-8021</v>
      </c>
      <c r="CE41" s="685">
        <f>SUM(CE33:CE40)</f>
        <v>-969.47604000000024</v>
      </c>
      <c r="CF41" s="685">
        <f>SUM(CF33:CF40)</f>
        <v>-966.56953919399996</v>
      </c>
      <c r="CG41" s="685">
        <f>SUM(CG33:CG40)</f>
        <v>-964.08083098222176</v>
      </c>
      <c r="CH41" s="683">
        <f>SUM(CH33:CH40)</f>
        <v>-950.12461303771966</v>
      </c>
      <c r="CI41" s="632"/>
      <c r="CQ41" s="2074"/>
    </row>
    <row r="42" spans="1:95" ht="9" customHeight="1">
      <c r="A42" s="373"/>
      <c r="B42" s="399"/>
      <c r="C42" s="399"/>
      <c r="D42" s="451"/>
      <c r="E42" s="451"/>
      <c r="F42" s="413"/>
      <c r="G42" s="413"/>
      <c r="H42" s="413"/>
      <c r="I42" s="1701"/>
      <c r="J42" s="1701"/>
      <c r="K42" s="1701"/>
      <c r="L42" s="1701"/>
      <c r="M42" s="1701"/>
      <c r="N42" s="1701"/>
      <c r="O42" s="1701"/>
      <c r="P42" s="1701"/>
      <c r="Q42" s="1701"/>
      <c r="R42" s="1701"/>
      <c r="S42" s="1701"/>
      <c r="T42" s="1701"/>
      <c r="U42" s="1701"/>
      <c r="V42" s="1701"/>
      <c r="W42" s="1701"/>
      <c r="X42" s="1701"/>
      <c r="Y42" s="2540"/>
      <c r="Z42" s="679"/>
      <c r="AA42" s="490"/>
      <c r="AB42" s="413"/>
      <c r="AC42" s="413"/>
      <c r="AD42" s="569"/>
      <c r="AE42" s="490"/>
      <c r="AF42" s="451"/>
      <c r="AG42" s="413"/>
      <c r="AH42" s="414"/>
      <c r="AI42" s="490"/>
      <c r="AJ42" s="413"/>
      <c r="AK42" s="413"/>
      <c r="AL42" s="414"/>
      <c r="AM42" s="490"/>
      <c r="AN42" s="413"/>
      <c r="AO42" s="413"/>
      <c r="AP42" s="413"/>
      <c r="AQ42" s="490"/>
      <c r="AR42" s="413"/>
      <c r="AS42" s="413"/>
      <c r="AT42" s="568"/>
      <c r="AU42" s="570"/>
      <c r="AV42" s="680"/>
      <c r="AW42" s="680"/>
      <c r="AX42" s="568"/>
      <c r="AY42" s="1743"/>
      <c r="AZ42" s="1744"/>
      <c r="BA42" s="1744"/>
      <c r="BB42" s="1744"/>
      <c r="BC42" s="1743"/>
      <c r="BD42" s="1744"/>
      <c r="BE42" s="1744"/>
      <c r="BF42" s="1745"/>
      <c r="BG42" s="1744"/>
      <c r="BH42" s="1744"/>
      <c r="BI42" s="1744"/>
      <c r="BJ42" s="1745"/>
      <c r="BK42" s="1744"/>
      <c r="BL42" s="1744"/>
      <c r="BM42" s="1744"/>
      <c r="BN42" s="1744"/>
      <c r="BO42" s="1743"/>
      <c r="BP42" s="1744"/>
      <c r="BQ42" s="1744"/>
      <c r="BR42" s="1745"/>
      <c r="BS42" s="1743"/>
      <c r="BT42" s="1744"/>
      <c r="BU42" s="1744"/>
      <c r="BV42" s="1745"/>
      <c r="BW42" s="1744"/>
      <c r="BX42" s="1744"/>
      <c r="BY42" s="1744"/>
      <c r="BZ42" s="1745"/>
      <c r="CA42" s="1744"/>
      <c r="CB42" s="1744"/>
      <c r="CC42" s="1744"/>
      <c r="CD42" s="1745"/>
      <c r="CE42" s="1744"/>
      <c r="CF42" s="1744"/>
      <c r="CG42" s="1744"/>
      <c r="CH42" s="1745"/>
      <c r="CI42" s="632"/>
      <c r="CQ42" s="2074"/>
    </row>
    <row r="43" spans="1:95">
      <c r="A43" s="404" t="s">
        <v>1073</v>
      </c>
      <c r="B43" s="404"/>
      <c r="C43" s="404"/>
      <c r="D43" s="451"/>
      <c r="E43" s="451"/>
      <c r="F43" s="413"/>
      <c r="G43" s="413"/>
      <c r="H43" s="413"/>
      <c r="I43" s="1701"/>
      <c r="J43" s="1701"/>
      <c r="K43" s="1701"/>
      <c r="L43" s="1701"/>
      <c r="M43" s="1701"/>
      <c r="N43" s="1701"/>
      <c r="O43" s="1701"/>
      <c r="P43" s="1701"/>
      <c r="Q43" s="1701"/>
      <c r="R43" s="1701"/>
      <c r="S43" s="1701">
        <f t="shared" ref="S43:S48" si="48">SUM(CE43:CH43)</f>
        <v>0</v>
      </c>
      <c r="T43" s="1701"/>
      <c r="U43" s="1701"/>
      <c r="V43" s="1701"/>
      <c r="W43" s="1701"/>
      <c r="X43" s="1701"/>
      <c r="Y43" s="2540"/>
      <c r="Z43" s="679"/>
      <c r="AA43" s="490"/>
      <c r="AB43" s="413"/>
      <c r="AC43" s="413"/>
      <c r="AD43" s="569"/>
      <c r="AE43" s="490"/>
      <c r="AF43" s="622"/>
      <c r="AG43" s="413"/>
      <c r="AH43" s="414"/>
      <c r="AI43" s="490"/>
      <c r="AJ43" s="413"/>
      <c r="AK43" s="413"/>
      <c r="AL43" s="414"/>
      <c r="AM43" s="490"/>
      <c r="AN43" s="413"/>
      <c r="AO43" s="413"/>
      <c r="AP43" s="413"/>
      <c r="AQ43" s="490"/>
      <c r="AR43" s="413"/>
      <c r="AS43" s="413"/>
      <c r="AT43" s="568"/>
      <c r="AU43" s="570"/>
      <c r="AV43" s="680"/>
      <c r="AW43" s="680"/>
      <c r="AX43" s="568"/>
      <c r="AY43" s="1743"/>
      <c r="AZ43" s="1744"/>
      <c r="BA43" s="1744"/>
      <c r="BB43" s="1744"/>
      <c r="BC43" s="1743"/>
      <c r="BD43" s="1744"/>
      <c r="BE43" s="1744"/>
      <c r="BF43" s="1745"/>
      <c r="BG43" s="1744"/>
      <c r="BH43" s="1744"/>
      <c r="BI43" s="1744"/>
      <c r="BJ43" s="1745"/>
      <c r="BK43" s="1744"/>
      <c r="BL43" s="1744"/>
      <c r="BM43" s="1744"/>
      <c r="BN43" s="1744"/>
      <c r="BO43" s="1743"/>
      <c r="BP43" s="1744"/>
      <c r="BQ43" s="1744"/>
      <c r="BR43" s="1745"/>
      <c r="BS43" s="1743"/>
      <c r="BT43" s="1744"/>
      <c r="BU43" s="1744"/>
      <c r="BV43" s="1745"/>
      <c r="BW43" s="1744"/>
      <c r="BX43" s="1744"/>
      <c r="BY43" s="1744"/>
      <c r="BZ43" s="1745"/>
      <c r="CA43" s="1744"/>
      <c r="CB43" s="1744"/>
      <c r="CC43" s="1744"/>
      <c r="CD43" s="1745"/>
      <c r="CE43" s="1744"/>
      <c r="CF43" s="1744"/>
      <c r="CG43" s="1744"/>
      <c r="CH43" s="1745"/>
      <c r="CI43" s="632"/>
      <c r="CQ43" s="2074"/>
    </row>
    <row r="44" spans="1:95">
      <c r="A44" s="1687" t="s">
        <v>1074</v>
      </c>
      <c r="B44" s="418"/>
      <c r="C44" s="418"/>
      <c r="D44" s="451"/>
      <c r="E44" s="451">
        <f>SUM(AA44:AD44)</f>
        <v>-179.393</v>
      </c>
      <c r="F44" s="413">
        <f>SUM(AE44:AH44)</f>
        <v>-349.17200000000003</v>
      </c>
      <c r="G44" s="413">
        <f>SUM(AI44:AL44)</f>
        <v>-850.99499999999989</v>
      </c>
      <c r="H44" s="413">
        <f>SUM(AM44:AP44)</f>
        <v>-548.14</v>
      </c>
      <c r="I44" s="1701">
        <f t="shared" ref="I44:I49" si="49">SUM(AQ44:AT44)</f>
        <v>-487.28599999999994</v>
      </c>
      <c r="J44" s="1701">
        <f>SUM(AU44:AX44)</f>
        <v>-862.88399999999933</v>
      </c>
      <c r="K44" s="1701">
        <f>SUM(AY44:BB44)</f>
        <v>-3030.1310000000003</v>
      </c>
      <c r="L44" s="1701">
        <f>SUM(BC44:BF44)</f>
        <v>1660</v>
      </c>
      <c r="M44" s="1701">
        <f>SUM(BG44:BJ44)</f>
        <v>-1559</v>
      </c>
      <c r="N44" s="1701">
        <f>SUM(BK44:BN44)</f>
        <v>345</v>
      </c>
      <c r="O44" s="1710">
        <f>SUM(BO44:BR44)</f>
        <v>-317</v>
      </c>
      <c r="P44" s="1710">
        <f>SUM(BS44:BV44)</f>
        <v>-292</v>
      </c>
      <c r="Q44" s="1710">
        <f>SUM(BW44:BZ44)</f>
        <v>-341</v>
      </c>
      <c r="R44" s="1710">
        <f t="shared" si="33"/>
        <v>6826</v>
      </c>
      <c r="S44" s="1710">
        <f t="shared" si="48"/>
        <v>-951</v>
      </c>
      <c r="T44" s="1710">
        <f>+(BS!T29-BS!S29)+(BS!T36-BS!S36)</f>
        <v>-350</v>
      </c>
      <c r="U44" s="1710">
        <f>+(BS!U29-BS!T29)+(BS!U36-BS!T36)</f>
        <v>-525</v>
      </c>
      <c r="V44" s="1710">
        <f>+(BS!V29-BS!U29)+(BS!V36-BS!U36)</f>
        <v>-525</v>
      </c>
      <c r="W44" s="1710">
        <f>+(BS!W29-BS!V29)+(BS!W36-BS!V36)</f>
        <v>-525</v>
      </c>
      <c r="X44" s="1710">
        <f>+(BS!X29-BS!W29)+(BS!X36-BS!W36)</f>
        <v>-525</v>
      </c>
      <c r="Y44" s="2540"/>
      <c r="Z44" s="679">
        <f>(INPUTS_2!B177+INPUTS_2!B221+INPUTS_2!B222+INPUTS_2!B223)/1000</f>
        <v>-26.027000000000001</v>
      </c>
      <c r="AA44" s="490">
        <f>(INPUTS_2!C177+INPUTS_2!C221+INPUTS_2!C222+INPUTS_2!C223)/1000</f>
        <v>-7.0289999999999999</v>
      </c>
      <c r="AB44" s="413">
        <f>(INPUTS_2!D177+INPUTS_2!D221+INPUTS_2!D222+INPUTS_2!D223)/1000</f>
        <v>-155.69499999999999</v>
      </c>
      <c r="AC44" s="413">
        <f>(INPUTS_2!E177+INPUTS_2!E221+INPUTS_2!E222+INPUTS_2!E223)/1000</f>
        <v>-5.6870000000000003</v>
      </c>
      <c r="AD44" s="414">
        <f>(INPUTS_2!F177+INPUTS_2!F221+INPUTS_2!F222+INPUTS_2!F223)/1000</f>
        <v>-10.981999999999999</v>
      </c>
      <c r="AE44" s="490">
        <f>(INPUTS_2!G177+INPUTS_2!G221+INPUTS_2!G222+INPUTS_2!G223)/1000</f>
        <v>-159.25399999999999</v>
      </c>
      <c r="AF44" s="413">
        <f>(INPUTS_2!H177+INPUTS_2!H221+INPUTS_2!H222+INPUTS_2!H223)/1000</f>
        <v>-8.1980000000000004</v>
      </c>
      <c r="AG44" s="413">
        <f>(INPUTS_2!I177+INPUTS_2!I221+INPUTS_2!I222+INPUTS_2!I223)/1000</f>
        <v>-4.468</v>
      </c>
      <c r="AH44" s="414">
        <f>(INPUTS_2!J177+INPUTS_2!J221+INPUTS_2!J222+INPUTS_2!J223)/1000</f>
        <v>-177.25200000000001</v>
      </c>
      <c r="AI44" s="490">
        <f>(INPUTS_2!K177+INPUTS_2!K221+INPUTS_2!K222+INPUTS_2!K223)/1000</f>
        <v>282.99799999999999</v>
      </c>
      <c r="AJ44" s="413">
        <f>(INPUTS_2!L177+INPUTS_2!L221+INPUTS_2!L222+INPUTS_2!L223)/1000</f>
        <v>-797.55700000000002</v>
      </c>
      <c r="AK44" s="413">
        <f>(INPUTS_2!M177+INPUTS_2!M221+INPUTS_2!M222+INPUTS_2!M223)/1000</f>
        <v>-231.387</v>
      </c>
      <c r="AL44" s="414">
        <f>(INPUTS_2!N177+INPUTS_2!N221+INPUTS_2!N222+INPUTS_2!N223)/1000</f>
        <v>-105.04900000000001</v>
      </c>
      <c r="AM44" s="490">
        <f>(INPUTS_2!O177+INPUTS_2!O221+INPUTS_2!O222+INPUTS_2!O223)/1000</f>
        <v>336.916</v>
      </c>
      <c r="AN44" s="413">
        <f>(INPUTS_2!P177+INPUTS_2!P221+INPUTS_2!P222+INPUTS_2!P223)/1000</f>
        <v>-530.20799999999997</v>
      </c>
      <c r="AO44" s="413">
        <f>(INPUTS_2!Q177+INPUTS_2!Q221+INPUTS_2!Q222+INPUTS_2!Q223)/1000</f>
        <v>-356.21300000000002</v>
      </c>
      <c r="AP44" s="413">
        <f>(INPUTS_2!R177+INPUTS_2!R221+INPUTS_2!R222+INPUTS_2!R223)/1000</f>
        <v>1.365</v>
      </c>
      <c r="AQ44" s="490">
        <f>(INPUTS_2!S177+INPUTS_2!S221+INPUTS_2!S222+INPUTS_2!S223)/1000</f>
        <v>-284.05799999999999</v>
      </c>
      <c r="AR44" s="413">
        <f>(INPUTS_2!T177+INPUTS_2!T221+INPUTS_2!T222+INPUTS_2!T223)/1000</f>
        <v>376.83300000000003</v>
      </c>
      <c r="AS44" s="413">
        <f>(INPUTS_2!U177+INPUTS_2!U221+INPUTS_2!U222+INPUTS_2!U223)/1000</f>
        <v>-28.963999999999999</v>
      </c>
      <c r="AT44" s="413">
        <f>(INPUTS_2!V177+INPUTS_2!V221+INPUTS_2!V222+INPUTS_2!V223)/1000</f>
        <v>-551.09699999999998</v>
      </c>
      <c r="AU44" s="490">
        <f>(INPUTS_2!W177+INPUTS_2!W221+INPUTS_2!W222+INPUTS_2!W223)/1000</f>
        <v>-985.976</v>
      </c>
      <c r="AV44" s="413">
        <f>(INPUTS_2!X177+INPUTS_2!X221+INPUTS_2!X222+INPUTS_2!X223)/1000</f>
        <v>394.31</v>
      </c>
      <c r="AW44" s="413">
        <f>(INPUTS_2!Y177+INPUTS_2!Y221+INPUTS_2!Y222+INPUTS_2!Y223)/1000</f>
        <v>207.06100000000058</v>
      </c>
      <c r="AX44" s="413">
        <f>(INPUTS_2!Z177+INPUTS_2!Z221+INPUTS_2!Z222+INPUTS_2!Z223)/1000</f>
        <v>-478.279</v>
      </c>
      <c r="AY44" s="1725">
        <f>(INPUTS_2!AA177+INPUTS_2!AA221+INPUTS_2!AA222+INPUTS_2!AA223)/1000</f>
        <v>-752.62900000000002</v>
      </c>
      <c r="AZ44" s="1701">
        <f>(INPUTS_2!AB177+INPUTS_2!AB221+INPUTS_2!AB222+INPUTS_2!AB223)/1000</f>
        <v>-555.88400000000001</v>
      </c>
      <c r="BA44" s="1701">
        <f>(INPUTS_2!AC177+INPUTS_2!AC221+INPUTS_2!AC222+INPUTS_2!AC223)/1000</f>
        <v>-348.90899999999999</v>
      </c>
      <c r="BB44" s="1701">
        <f>(INPUTS_2!AD177+INPUTS_2!AD221+INPUTS_2!AD222+INPUTS_2!AD223)/1000</f>
        <v>-1372.7090000000001</v>
      </c>
      <c r="BC44" s="1725">
        <f>+BS!BF29-BS!BE29+BS!BF36-BS!BE36</f>
        <v>-332</v>
      </c>
      <c r="BD44" s="1701">
        <f>+BS!BG29-BS!BF29+BS!BG36-BS!BF36</f>
        <v>1500</v>
      </c>
      <c r="BE44" s="1701">
        <f>+BS!BH29-BS!BG29+BS!BH36-BS!BG36</f>
        <v>832</v>
      </c>
      <c r="BF44" s="1702">
        <f>+BS!BI29-BS!BH29+BS!BI36-BS!BH36</f>
        <v>-340</v>
      </c>
      <c r="BG44" s="573">
        <f>2032-849-277</f>
        <v>906</v>
      </c>
      <c r="BH44" s="573">
        <f>3361-3630-324-27-BG44</f>
        <v>-1526</v>
      </c>
      <c r="BI44" s="573">
        <f>3363-4529-324+3-BH44-BG44</f>
        <v>-867</v>
      </c>
      <c r="BJ44" s="574">
        <f>3362-5118-346+543-BI44-BH44-BG44</f>
        <v>-72</v>
      </c>
      <c r="BK44" s="573">
        <f>988-56-745</f>
        <v>187</v>
      </c>
      <c r="BL44" s="573">
        <f>1740-1018-775-BK44</f>
        <v>-240</v>
      </c>
      <c r="BM44" s="573">
        <f>1740-1169-620-BL44-BK44</f>
        <v>4</v>
      </c>
      <c r="BN44" s="622">
        <f>2481-2010-95-31-BM44-BL44-BK44</f>
        <v>394</v>
      </c>
      <c r="BO44" s="576">
        <f>-47+30</f>
        <v>-17</v>
      </c>
      <c r="BP44" s="578">
        <f>-121+120-BO44</f>
        <v>16</v>
      </c>
      <c r="BQ44" s="578">
        <f>483-162-140-BP44-BO44</f>
        <v>182</v>
      </c>
      <c r="BR44" s="575">
        <f>483-800-BQ44-BP44-BO44</f>
        <v>-498</v>
      </c>
      <c r="BS44" s="2890">
        <f>594-386-425</f>
        <v>-217</v>
      </c>
      <c r="BT44" s="2891">
        <f>594-506-405-BS44</f>
        <v>-100</v>
      </c>
      <c r="BU44" s="2891">
        <f>990-535-725-BT44-BS44</f>
        <v>47</v>
      </c>
      <c r="BV44" s="2892">
        <f>989-966-315-BU44-BT44-BS44</f>
        <v>-22</v>
      </c>
      <c r="BW44" s="2891">
        <f>227-25-410</f>
        <v>-208</v>
      </c>
      <c r="BX44" s="2891">
        <f>1215-1464-410-BW44</f>
        <v>-451</v>
      </c>
      <c r="BY44" s="2891">
        <f>2161-2436-325-BX44-BW44</f>
        <v>59</v>
      </c>
      <c r="BZ44" s="2892">
        <f>2161-2462-40-BY44-BX44-BW44</f>
        <v>259</v>
      </c>
      <c r="CA44" s="2891">
        <f>-31+5</f>
        <v>-26</v>
      </c>
      <c r="CB44" s="2891">
        <f>6608+378-1530-370-CA44</f>
        <v>5112</v>
      </c>
      <c r="CC44" s="2891">
        <f>6608+356-1612-370-CB44-CA44</f>
        <v>-104</v>
      </c>
      <c r="CD44" s="2892">
        <f>8398+356-1963+35-CC44-CB44-CA44</f>
        <v>1844</v>
      </c>
      <c r="CE44" s="1744">
        <f>+BS!CH29-BS!CG29+BS!CH36-BS!CG36</f>
        <v>-387.75</v>
      </c>
      <c r="CF44" s="1744">
        <f>+BS!CI29-BS!CH29+BS!CI36-BS!CH36</f>
        <v>-178.3125</v>
      </c>
      <c r="CG44" s="1744">
        <f>+BS!CJ29-BS!CI29+BS!CJ36-BS!CI36</f>
        <v>-171.234375</v>
      </c>
      <c r="CH44" s="1745">
        <f>+BS!CK29-BS!CJ29+BS!CK36-BS!CJ36</f>
        <v>-213.703125</v>
      </c>
      <c r="CI44" s="632"/>
      <c r="CQ44" s="2074"/>
    </row>
    <row r="45" spans="1:95">
      <c r="A45" s="1687" t="s">
        <v>1076</v>
      </c>
      <c r="B45" s="418"/>
      <c r="C45" s="418"/>
      <c r="D45" s="451"/>
      <c r="E45" s="451">
        <f>SUM(AA45:AD45)</f>
        <v>-371.52800000000002</v>
      </c>
      <c r="F45" s="413">
        <f>SUM(AE45:AH45)</f>
        <v>-501.38500000000005</v>
      </c>
      <c r="G45" s="413">
        <f>SUM(AI45:AL45)</f>
        <v>-704.38499999999999</v>
      </c>
      <c r="H45" s="413">
        <f>SUM(AM45:AP45)</f>
        <v>-302.27199999999993</v>
      </c>
      <c r="I45" s="1701">
        <f t="shared" si="49"/>
        <v>-1206.665</v>
      </c>
      <c r="J45" s="1701">
        <f>SUM(AU45:AX45)</f>
        <v>209.74900000000068</v>
      </c>
      <c r="K45" s="1701">
        <f>SUM(AY45:BB45)</f>
        <v>180.745</v>
      </c>
      <c r="L45" s="1701">
        <f>SUM(BC45:BF45)</f>
        <v>0</v>
      </c>
      <c r="M45" s="1701">
        <f>SUM(BG45:BJ45)</f>
        <v>73</v>
      </c>
      <c r="N45" s="1701">
        <f>SUM(BK45:BN45)</f>
        <v>-1513</v>
      </c>
      <c r="O45" s="1710">
        <f>SUM(BO45:BR45)</f>
        <v>-650</v>
      </c>
      <c r="P45" s="1710">
        <f>SUM(BS45:BV45)</f>
        <v>-808</v>
      </c>
      <c r="Q45" s="1710">
        <f>SUM(BW45:BZ45)</f>
        <v>-10</v>
      </c>
      <c r="R45" s="1710">
        <f t="shared" si="33"/>
        <v>-15</v>
      </c>
      <c r="S45" s="1710">
        <f t="shared" si="48"/>
        <v>0</v>
      </c>
      <c r="T45" s="2882">
        <v>0</v>
      </c>
      <c r="U45" s="2882">
        <v>0</v>
      </c>
      <c r="V45" s="2882">
        <v>0</v>
      </c>
      <c r="W45" s="2882">
        <v>0</v>
      </c>
      <c r="X45" s="2882">
        <v>0</v>
      </c>
      <c r="Y45" s="2540"/>
      <c r="Z45" s="679">
        <f>(INPUTS_2!B178+INPUTS_2!B224+INPUTS_2!B225)/1000</f>
        <v>5.069</v>
      </c>
      <c r="AA45" s="490">
        <f>(INPUTS_2!C178+INPUTS_2!C224+INPUTS_2!C225)/1000</f>
        <v>-137.13800000000001</v>
      </c>
      <c r="AB45" s="413">
        <f>(INPUTS_2!D178+INPUTS_2!D224+INPUTS_2!D225)/1000</f>
        <v>-139.584</v>
      </c>
      <c r="AC45" s="413">
        <f>(INPUTS_2!E178+INPUTS_2!E224+INPUTS_2!E225)/1000</f>
        <v>-23.472999999999999</v>
      </c>
      <c r="AD45" s="414">
        <f>(INPUTS_2!F178+INPUTS_2!F224+INPUTS_2!F225)/1000</f>
        <v>-71.332999999999998</v>
      </c>
      <c r="AE45" s="490">
        <f>(INPUTS_2!G178+INPUTS_2!G224+INPUTS_2!G225)/1000</f>
        <v>-48.042000000000002</v>
      </c>
      <c r="AF45" s="413">
        <f>(INPUTS_2!H178+INPUTS_2!H224+INPUTS_2!H225)/1000</f>
        <v>-462.20100000000002</v>
      </c>
      <c r="AG45" s="413">
        <f>(INPUTS_2!I178+INPUTS_2!I224+INPUTS_2!I225)/1000</f>
        <v>27.029</v>
      </c>
      <c r="AH45" s="414">
        <f>(INPUTS_2!J178+INPUTS_2!J224+INPUTS_2!J225)/1000</f>
        <v>-18.170999999999999</v>
      </c>
      <c r="AI45" s="490">
        <f>(INPUTS_2!K178+INPUTS_2!K224+INPUTS_2!K225)/1000</f>
        <v>-541.26499999999999</v>
      </c>
      <c r="AJ45" s="413">
        <f>(INPUTS_2!L178+INPUTS_2!L224+INPUTS_2!L225)/1000</f>
        <v>8.5830000000000002</v>
      </c>
      <c r="AK45" s="413">
        <f>(INPUTS_2!M178+INPUTS_2!M224+INPUTS_2!M225)/1000</f>
        <v>-71.831999999999994</v>
      </c>
      <c r="AL45" s="414">
        <f>(INPUTS_2!N178+INPUTS_2!N224+INPUTS_2!N225)/1000</f>
        <v>-99.870999999999995</v>
      </c>
      <c r="AM45" s="490">
        <f>(INPUTS_2!O178+INPUTS_2!O224+INPUTS_2!O225)/1000</f>
        <v>-129.00899999999999</v>
      </c>
      <c r="AN45" s="413">
        <f>(INPUTS_2!P178+INPUTS_2!P224+INPUTS_2!P225)/1000</f>
        <v>-42.731999999999999</v>
      </c>
      <c r="AO45" s="413">
        <f>(INPUTS_2!Q178+INPUTS_2!Q224+INPUTS_2!Q225)/1000</f>
        <v>-26.704999999999998</v>
      </c>
      <c r="AP45" s="413">
        <f>(INPUTS_2!R178+INPUTS_2!R224+INPUTS_2!R225)/1000</f>
        <v>-103.82599999999999</v>
      </c>
      <c r="AQ45" s="490">
        <f>(INPUTS_2!S178+INPUTS_2!S224+INPUTS_2!S225)/1000</f>
        <v>-368.28199999999998</v>
      </c>
      <c r="AR45" s="413">
        <f>(INPUTS_2!T178+INPUTS_2!T224+INPUTS_2!T225)/1000</f>
        <v>-466.35899999999998</v>
      </c>
      <c r="AS45" s="413">
        <f>(INPUTS_2!U178+INPUTS_2!U224+INPUTS_2!U225)/1000</f>
        <v>-387.94799999999998</v>
      </c>
      <c r="AT45" s="413">
        <f>(INPUTS_2!V178+INPUTS_2!V224+INPUTS_2!V225)/1000</f>
        <v>15.923999999999999</v>
      </c>
      <c r="AU45" s="490">
        <f>(INPUTS_2!W178+INPUTS_2!W224+INPUTS_2!W225)/1000</f>
        <v>15.922000000000001</v>
      </c>
      <c r="AV45" s="413">
        <f>(INPUTS_2!X178+INPUTS_2!X224+INPUTS_2!X225)/1000</f>
        <v>21.587</v>
      </c>
      <c r="AW45" s="413">
        <f>(INPUTS_2!Y178+INPUTS_2!Y224+INPUTS_2!Y225)/1000</f>
        <v>103.65299999999932</v>
      </c>
      <c r="AX45" s="413">
        <f>(INPUTS_2!Z178+INPUTS_2!Z224+INPUTS_2!Z225)/1000</f>
        <v>68.587000000001353</v>
      </c>
      <c r="AY45" s="1725">
        <f>(INPUTS_2!AA178+INPUTS_2!AA224+INPUTS_2!AA225)/1000</f>
        <v>9.5389999999999997</v>
      </c>
      <c r="AZ45" s="1701">
        <f>(INPUTS_2!AB178+INPUTS_2!AB224+INPUTS_2!AB225)/1000</f>
        <v>20.498999999999999</v>
      </c>
      <c r="BA45" s="1701">
        <f>(INPUTS_2!AC178+INPUTS_2!AC224+INPUTS_2!AC225)/1000</f>
        <v>51.052999999999997</v>
      </c>
      <c r="BB45" s="1701">
        <f>(INPUTS_2!AD178+INPUTS_2!AD224+INPUTS_2!AD225)/1000</f>
        <v>99.653999999999996</v>
      </c>
      <c r="BC45" s="1725"/>
      <c r="BD45" s="1701"/>
      <c r="BE45" s="1701"/>
      <c r="BF45" s="1702"/>
      <c r="BG45" s="573">
        <f>35-11</f>
        <v>24</v>
      </c>
      <c r="BH45" s="573">
        <f>65-20-BG45</f>
        <v>21</v>
      </c>
      <c r="BI45" s="573">
        <f>91-20-BH45-BG45</f>
        <v>26</v>
      </c>
      <c r="BJ45" s="574">
        <f>110-37-BI45-BH45-BG45</f>
        <v>2</v>
      </c>
      <c r="BK45" s="573">
        <f>-397+13</f>
        <v>-384</v>
      </c>
      <c r="BL45" s="573">
        <f>-867-BK45+40</f>
        <v>-443</v>
      </c>
      <c r="BM45" s="573">
        <f>-1252+54-BL45-BK45</f>
        <v>-371</v>
      </c>
      <c r="BN45" s="622">
        <f>73-1586-BM45-BL45-BK45</f>
        <v>-315</v>
      </c>
      <c r="BO45" s="576">
        <f>-328+7</f>
        <v>-321</v>
      </c>
      <c r="BP45" s="578">
        <f>-493+32-BO45</f>
        <v>-140</v>
      </c>
      <c r="BQ45" s="578">
        <f>-558+45-BP45-BO45</f>
        <v>-52</v>
      </c>
      <c r="BR45" s="575">
        <f>-650-BQ45-BP45-BO45</f>
        <v>-137</v>
      </c>
      <c r="BS45" s="2890">
        <f>-185+8</f>
        <v>-177</v>
      </c>
      <c r="BT45" s="2891">
        <f>-277+9-BS45</f>
        <v>-91</v>
      </c>
      <c r="BU45" s="2891">
        <f>11-541-BT45-BS45</f>
        <v>-262</v>
      </c>
      <c r="BV45" s="2892">
        <f>-819+11-BU45-BT45-BS45</f>
        <v>-278</v>
      </c>
      <c r="BW45" s="2891">
        <f>-12+4</f>
        <v>-8</v>
      </c>
      <c r="BX45" s="2891">
        <f>3-15-BW45</f>
        <v>-4</v>
      </c>
      <c r="BY45" s="2891">
        <f>5-15-BX45-BW45</f>
        <v>2</v>
      </c>
      <c r="BZ45" s="2892">
        <f>-16+6-BY45-BX45-BW45</f>
        <v>0</v>
      </c>
      <c r="CA45" s="2891">
        <f>3-14</f>
        <v>-11</v>
      </c>
      <c r="CB45" s="2891">
        <f>4-15-CA45</f>
        <v>0</v>
      </c>
      <c r="CC45" s="2891">
        <f>5-16-CB45-CA45</f>
        <v>0</v>
      </c>
      <c r="CD45" s="3109">
        <f>-17+2-CC45-CB45-CA45</f>
        <v>-4</v>
      </c>
      <c r="CE45" s="2891">
        <v>0</v>
      </c>
      <c r="CF45" s="2891">
        <v>0</v>
      </c>
      <c r="CG45" s="2891">
        <v>0</v>
      </c>
      <c r="CH45" s="2892">
        <v>0</v>
      </c>
      <c r="CI45" s="632"/>
      <c r="CQ45" s="2074"/>
    </row>
    <row r="46" spans="1:95">
      <c r="A46" s="1687" t="s">
        <v>1077</v>
      </c>
      <c r="B46" s="418"/>
      <c r="C46" s="418"/>
      <c r="D46" s="451"/>
      <c r="E46" s="451">
        <f>SUM(AA46:AD46)</f>
        <v>-31.861000000000004</v>
      </c>
      <c r="F46" s="413">
        <f>SUM(AE46:AH46)</f>
        <v>-31.861999999999998</v>
      </c>
      <c r="G46" s="413">
        <f>SUM(AI46:AL46)</f>
        <v>-179.203</v>
      </c>
      <c r="H46" s="413">
        <f>SUM(AM46:AP46)</f>
        <v>-396.05200000000002</v>
      </c>
      <c r="I46" s="1701">
        <f t="shared" si="49"/>
        <v>-1192.2660000000001</v>
      </c>
      <c r="J46" s="1701">
        <f>SUM(AU46:AX46)</f>
        <v>-1628.4970878399999</v>
      </c>
      <c r="K46" s="1701">
        <f>SUM(AY46:BB46)</f>
        <v>-1744.4411504799998</v>
      </c>
      <c r="L46" s="1701">
        <f>SUM(BC46:BF46)</f>
        <v>-1783.9342750000001</v>
      </c>
      <c r="M46" s="1701">
        <f>SUM(BG46:BJ46)</f>
        <v>-1811</v>
      </c>
      <c r="N46" s="1701">
        <f>SUM(BK46:BN46)</f>
        <v>-1301</v>
      </c>
      <c r="O46" s="1710">
        <f>SUM(BO46:BR46)</f>
        <v>-1228</v>
      </c>
      <c r="P46" s="1710">
        <f>SUM(BS46:BV46)</f>
        <v>-1198</v>
      </c>
      <c r="Q46" s="1710">
        <f>SUM(BW46:BZ46)</f>
        <v>-1167</v>
      </c>
      <c r="R46" s="1710">
        <f t="shared" si="33"/>
        <v>-1453</v>
      </c>
      <c r="S46" s="1710">
        <f t="shared" si="48"/>
        <v>-2322.9012374400004</v>
      </c>
      <c r="T46" s="1710">
        <f>-IS!T117</f>
        <v>-2369.1869517257146</v>
      </c>
      <c r="U46" s="1710">
        <f>-IS!U117</f>
        <v>-2390.4114415216332</v>
      </c>
      <c r="V46" s="1710">
        <f>-IS!V117</f>
        <v>-2410.6252413272696</v>
      </c>
      <c r="W46" s="1710">
        <f>-IS!W117</f>
        <v>-2429.8764792373995</v>
      </c>
      <c r="X46" s="1710">
        <f>-IS!X117</f>
        <v>-2448.2109915327619</v>
      </c>
      <c r="Y46" s="2540"/>
      <c r="Z46" s="679">
        <f>(INPUTS_2!B179+INPUTS_2!B226)/1000</f>
        <v>-8.0310000000000006</v>
      </c>
      <c r="AA46" s="490">
        <f>(INPUTS_2!C179+INPUTS_2!C226)/1000</f>
        <v>-8.2530000000000001</v>
      </c>
      <c r="AB46" s="413">
        <f>(INPUTS_2!D179+INPUTS_2!D226)/1000</f>
        <v>-8.0359999999999996</v>
      </c>
      <c r="AC46" s="413">
        <f>(INPUTS_2!E179+INPUTS_2!E226)/1000</f>
        <v>-7.87</v>
      </c>
      <c r="AD46" s="414">
        <f>(INPUTS_2!F179+INPUTS_2!F226)/1000</f>
        <v>-7.702</v>
      </c>
      <c r="AE46" s="490">
        <f>(INPUTS_2!G179+INPUTS_2!G226)/1000</f>
        <v>-8.0739999999999998</v>
      </c>
      <c r="AF46" s="413">
        <f>(INPUTS_2!H179+INPUTS_2!H226)/1000</f>
        <v>-7.8819999999999997</v>
      </c>
      <c r="AG46" s="413">
        <f>(INPUTS_2!I179+INPUTS_2!I226)/1000</f>
        <v>-7.9530000000000003</v>
      </c>
      <c r="AH46" s="414">
        <f>(INPUTS_2!J179+INPUTS_2!J226)/1000</f>
        <v>-7.9530000000000003</v>
      </c>
      <c r="AI46" s="490">
        <f>(INPUTS_2!K179+INPUTS_2!K226)/1000</f>
        <v>-7.3010000000000002</v>
      </c>
      <c r="AJ46" s="413">
        <f>(INPUTS_2!L179+INPUTS_2!L226)/1000</f>
        <v>-7.36</v>
      </c>
      <c r="AK46" s="413">
        <f>(INPUTS_2!M179+INPUTS_2!M226)/1000</f>
        <v>-82.314999999999998</v>
      </c>
      <c r="AL46" s="414">
        <f>(INPUTS_2!N179+INPUTS_2!N226)/1000</f>
        <v>-82.227000000000004</v>
      </c>
      <c r="AM46" s="490">
        <f>(INPUTS_2!O179+INPUTS_2!O226)/1000</f>
        <v>-11.308999999999999</v>
      </c>
      <c r="AN46" s="413">
        <f>(INPUTS_2!P179+INPUTS_2!P226)/1000</f>
        <v>-177.17099999999999</v>
      </c>
      <c r="AO46" s="413">
        <f>(INPUTS_2!Q179+INPUTS_2!Q226)/1000</f>
        <v>-104.361</v>
      </c>
      <c r="AP46" s="413">
        <f>(INPUTS_2!R179+INPUTS_2!R226)/1000</f>
        <v>-103.211</v>
      </c>
      <c r="AQ46" s="490">
        <f>(INPUTS_2!S179+INPUTS_2!S226)/1000</f>
        <v>-256.26100000000002</v>
      </c>
      <c r="AR46" s="413">
        <f>(INPUTS_2!T179+INPUTS_2!T226)/1000</f>
        <v>-248.08500000000001</v>
      </c>
      <c r="AS46" s="413">
        <f>(INPUTS_2!U179+INPUTS_2!U226)/1000</f>
        <v>-383.803</v>
      </c>
      <c r="AT46" s="413">
        <f>(INPUTS_2!V179+INPUTS_2!V226)/1000</f>
        <v>-304.11700000000002</v>
      </c>
      <c r="AU46" s="489">
        <f>-IS!AY117</f>
        <v>-404.96699711999997</v>
      </c>
      <c r="AV46" s="451">
        <f>-IS!AZ117</f>
        <v>-406.62945343999996</v>
      </c>
      <c r="AW46" s="451">
        <f>-IS!BA117</f>
        <v>-408.10150191999992</v>
      </c>
      <c r="AX46" s="451">
        <f>-IS!BB117</f>
        <v>-408.79913535999998</v>
      </c>
      <c r="AY46" s="1724">
        <f>-IS!BC117</f>
        <v>-434.25993971999998</v>
      </c>
      <c r="AZ46" s="1710">
        <f>-IS!BD117</f>
        <v>-435.29782535999999</v>
      </c>
      <c r="BA46" s="1710">
        <f>-IS!BE117</f>
        <v>-436.25874152</v>
      </c>
      <c r="BB46" s="1710">
        <f>-IS!BF117</f>
        <v>-438.62464387999995</v>
      </c>
      <c r="BC46" s="1724">
        <f>-IS!BG117</f>
        <v>-442.97499999999997</v>
      </c>
      <c r="BD46" s="1710">
        <f>-IS!BH117</f>
        <v>-445.533525</v>
      </c>
      <c r="BE46" s="1710">
        <f>-IS!BI117</f>
        <v>-447.00599999999997</v>
      </c>
      <c r="BF46" s="1742">
        <f>-IS!BJ117</f>
        <v>-448.41974999999996</v>
      </c>
      <c r="BG46" s="622">
        <v>-452</v>
      </c>
      <c r="BH46" s="622">
        <f>-905-BG46</f>
        <v>-453</v>
      </c>
      <c r="BI46" s="622">
        <f>-1357-BH46-BG46</f>
        <v>-452</v>
      </c>
      <c r="BJ46" s="1830">
        <f>-1811-BI46-BH46-BG46</f>
        <v>-454</v>
      </c>
      <c r="BK46" s="622">
        <v>-341</v>
      </c>
      <c r="BL46" s="622">
        <f>-661-BK46</f>
        <v>-320</v>
      </c>
      <c r="BM46" s="622">
        <f>-986-BL46-BK46</f>
        <v>-325</v>
      </c>
      <c r="BN46" s="622">
        <f>-1301-BM46-BL46-BK46</f>
        <v>-315</v>
      </c>
      <c r="BO46" s="576">
        <v>-309</v>
      </c>
      <c r="BP46" s="578">
        <f>-616-BO46</f>
        <v>-307</v>
      </c>
      <c r="BQ46" s="578">
        <f>-924-BP46-BO46</f>
        <v>-308</v>
      </c>
      <c r="BR46" s="575">
        <f>-1228-BQ46-BP46-BO46</f>
        <v>-304</v>
      </c>
      <c r="BS46" s="2890">
        <v>-304</v>
      </c>
      <c r="BT46" s="2891">
        <f>-609-BS46</f>
        <v>-305</v>
      </c>
      <c r="BU46" s="2891">
        <f>-905-BT46-BS46</f>
        <v>-296</v>
      </c>
      <c r="BV46" s="2892">
        <f>-1198-BU46-BT46-BS46</f>
        <v>-293</v>
      </c>
      <c r="BW46" s="2891">
        <v>-290</v>
      </c>
      <c r="BX46" s="2891">
        <f>-586-BW46</f>
        <v>-296</v>
      </c>
      <c r="BY46" s="2891">
        <f>-876-BX46-BW46</f>
        <v>-290</v>
      </c>
      <c r="BZ46" s="2892">
        <f>-1167-BY46-BX46-BW46</f>
        <v>-291</v>
      </c>
      <c r="CA46" s="2891">
        <v>-296</v>
      </c>
      <c r="CB46" s="2891">
        <f>-590-CA46</f>
        <v>-294</v>
      </c>
      <c r="CC46" s="2891">
        <f>-881-CB46-CA46</f>
        <v>-291</v>
      </c>
      <c r="CD46" s="2892">
        <f>-1453-CC46-CB46-CA46</f>
        <v>-572</v>
      </c>
      <c r="CE46" s="1744">
        <f>-IS!CI117</f>
        <v>-578.47530935999998</v>
      </c>
      <c r="CF46" s="1744">
        <f>-IS!CJ117</f>
        <v>-579.9753093600001</v>
      </c>
      <c r="CG46" s="1744">
        <f>-IS!CK117</f>
        <v>-581.4753093600001</v>
      </c>
      <c r="CH46" s="1745">
        <f>-IS!CL117</f>
        <v>-582.9753093600001</v>
      </c>
      <c r="CI46" s="632"/>
      <c r="CP46" s="287"/>
      <c r="CQ46" s="2074"/>
    </row>
    <row r="47" spans="1:95" hidden="1" outlineLevel="1">
      <c r="A47" s="1687" t="s">
        <v>644</v>
      </c>
      <c r="B47" s="418"/>
      <c r="C47" s="418"/>
      <c r="D47" s="451"/>
      <c r="E47" s="451">
        <f>SUM(AA47:AD47)</f>
        <v>0</v>
      </c>
      <c r="F47" s="413">
        <f>SUM(AE47:AH47)</f>
        <v>0</v>
      </c>
      <c r="G47" s="413">
        <f>SUM(AI47:AL47)</f>
        <v>0</v>
      </c>
      <c r="H47" s="413">
        <f>SUM(AM47:AP47)</f>
        <v>0</v>
      </c>
      <c r="I47" s="1701">
        <f t="shared" si="49"/>
        <v>0</v>
      </c>
      <c r="J47" s="1701">
        <f>SUM(AU47:AX47)</f>
        <v>0</v>
      </c>
      <c r="K47" s="1701">
        <f>SUM(AY47:BB47)</f>
        <v>0</v>
      </c>
      <c r="L47" s="1701">
        <f>SUM(BC47:BF47)</f>
        <v>0</v>
      </c>
      <c r="M47" s="1701">
        <f>SUM(BG47:BJ47)</f>
        <v>0</v>
      </c>
      <c r="N47" s="1701">
        <f>SUM(BK47:BN47)</f>
        <v>0</v>
      </c>
      <c r="O47" s="1710">
        <f>SUM(BO47:BR47)</f>
        <v>0</v>
      </c>
      <c r="P47" s="1710">
        <f>SUM(BS47:BV47)</f>
        <v>0</v>
      </c>
      <c r="Q47" s="1710">
        <f>SUM(BT47:BW47)</f>
        <v>0</v>
      </c>
      <c r="R47" s="1710">
        <f t="shared" si="33"/>
        <v>0</v>
      </c>
      <c r="S47" s="1710">
        <f t="shared" si="48"/>
        <v>0</v>
      </c>
      <c r="T47" s="2216">
        <v>0</v>
      </c>
      <c r="U47" s="2216">
        <v>0</v>
      </c>
      <c r="V47" s="2216">
        <v>0</v>
      </c>
      <c r="W47" s="2216">
        <v>0</v>
      </c>
      <c r="X47" s="2216">
        <v>0</v>
      </c>
      <c r="Y47" s="2541"/>
      <c r="Z47" s="679">
        <f>INPUTS_2!B227/1000</f>
        <v>0</v>
      </c>
      <c r="AA47" s="490">
        <f>INPUTS_2!C227/1000</f>
        <v>0</v>
      </c>
      <c r="AB47" s="413">
        <f>INPUTS_2!D227/1000</f>
        <v>0</v>
      </c>
      <c r="AC47" s="413">
        <f>INPUTS_2!E227/1000</f>
        <v>0</v>
      </c>
      <c r="AD47" s="414">
        <f>INPUTS_2!F227/1000</f>
        <v>0</v>
      </c>
      <c r="AE47" s="490">
        <f>INPUTS_2!G227/1000</f>
        <v>0</v>
      </c>
      <c r="AF47" s="413">
        <f>INPUTS_2!H227/1000</f>
        <v>0</v>
      </c>
      <c r="AG47" s="413">
        <f>INPUTS_2!I227/1000</f>
        <v>0</v>
      </c>
      <c r="AH47" s="414">
        <f>INPUTS_2!J227/1000</f>
        <v>0</v>
      </c>
      <c r="AI47" s="490">
        <f>INPUTS_2!K227/1000</f>
        <v>0</v>
      </c>
      <c r="AJ47" s="413">
        <f>INPUTS_2!L227/1000</f>
        <v>0</v>
      </c>
      <c r="AK47" s="413">
        <f>INPUTS_2!M227/1000</f>
        <v>0</v>
      </c>
      <c r="AL47" s="414">
        <f>INPUTS_2!N227/1000</f>
        <v>0</v>
      </c>
      <c r="AM47" s="490">
        <f>INPUTS_2!O227/1000</f>
        <v>0</v>
      </c>
      <c r="AN47" s="413">
        <f>INPUTS_2!P227/1000</f>
        <v>0</v>
      </c>
      <c r="AO47" s="413">
        <f>INPUTS_2!Q227/1000</f>
        <v>0</v>
      </c>
      <c r="AP47" s="413">
        <f>INPUTS_2!R227/1000</f>
        <v>0</v>
      </c>
      <c r="AQ47" s="490">
        <f>INPUTS_2!S227/1000</f>
        <v>0</v>
      </c>
      <c r="AR47" s="413">
        <f>INPUTS_2!T227/1000</f>
        <v>0</v>
      </c>
      <c r="AS47" s="413">
        <f>INPUTS_2!U227/1000</f>
        <v>0</v>
      </c>
      <c r="AT47" s="413">
        <f>INPUTS_2!V227/1000</f>
        <v>0</v>
      </c>
      <c r="AU47" s="490">
        <f>INPUTS_2!W227/1000</f>
        <v>0</v>
      </c>
      <c r="AV47" s="413">
        <f>INPUTS_2!X227/1000</f>
        <v>0</v>
      </c>
      <c r="AW47" s="413">
        <f>INPUTS_2!Y227/1000</f>
        <v>0</v>
      </c>
      <c r="AX47" s="413">
        <f>INPUTS_2!Z227/1000</f>
        <v>0</v>
      </c>
      <c r="AY47" s="1725">
        <v>0</v>
      </c>
      <c r="AZ47" s="1701"/>
      <c r="BA47" s="1701"/>
      <c r="BB47" s="1701"/>
      <c r="BC47" s="1725"/>
      <c r="BD47" s="1701"/>
      <c r="BE47" s="1701"/>
      <c r="BF47" s="1702"/>
      <c r="BG47" s="573"/>
      <c r="BH47" s="573"/>
      <c r="BI47" s="573"/>
      <c r="BJ47" s="574"/>
      <c r="BK47" s="573"/>
      <c r="BL47" s="573"/>
      <c r="BM47" s="573"/>
      <c r="BN47" s="622"/>
      <c r="BO47" s="576"/>
      <c r="BP47" s="578"/>
      <c r="BQ47" s="578"/>
      <c r="BR47" s="1745"/>
      <c r="BS47" s="2890"/>
      <c r="BT47" s="2891"/>
      <c r="BU47" s="2891"/>
      <c r="BV47" s="2892"/>
      <c r="BW47" s="2891"/>
      <c r="BX47" s="2891"/>
      <c r="BY47" s="2891"/>
      <c r="BZ47" s="2892"/>
      <c r="CA47" s="2891"/>
      <c r="CB47" s="2891"/>
      <c r="CC47" s="2891"/>
      <c r="CD47" s="2892"/>
      <c r="CE47" s="1744"/>
      <c r="CF47" s="1744"/>
      <c r="CG47" s="1744"/>
      <c r="CH47" s="1745"/>
      <c r="CI47" s="632"/>
      <c r="CP47" s="287"/>
      <c r="CQ47" s="2074"/>
    </row>
    <row r="48" spans="1:95" collapsed="1">
      <c r="A48" s="1687" t="s">
        <v>1058</v>
      </c>
      <c r="B48" s="418"/>
      <c r="C48" s="418"/>
      <c r="D48" s="413"/>
      <c r="E48" s="451">
        <f>SUM(AA48:AD48)</f>
        <v>4.2960000000000003</v>
      </c>
      <c r="F48" s="413">
        <f>SUM(AE48:AH48)</f>
        <v>390.70299999999997</v>
      </c>
      <c r="G48" s="413">
        <f>SUM(AI48:AL48)</f>
        <v>190.38729301754228</v>
      </c>
      <c r="H48" s="413">
        <f>SUM(AM48:AP48)</f>
        <v>30.400000000000002</v>
      </c>
      <c r="I48" s="1701">
        <f t="shared" si="49"/>
        <v>46.837000000000003</v>
      </c>
      <c r="J48" s="1701">
        <f>SUM(AU48:AX48)</f>
        <v>-213.24690000000066</v>
      </c>
      <c r="K48" s="1701">
        <f>SUM(AY48:BB48)</f>
        <v>-1093.124</v>
      </c>
      <c r="L48" s="1701">
        <f>SUM(BC48:BF48)</f>
        <v>-5047</v>
      </c>
      <c r="M48" s="1701">
        <f>SUM(BG48:BJ48)</f>
        <v>5</v>
      </c>
      <c r="N48" s="1701">
        <f>SUM(BK48:BN48)</f>
        <v>15</v>
      </c>
      <c r="O48" s="1710">
        <f>SUM(BO48:BR48)</f>
        <v>44</v>
      </c>
      <c r="P48" s="1710">
        <f>SUM(BS48:BV48)</f>
        <v>-3</v>
      </c>
      <c r="Q48" s="1710">
        <f>SUM(BW48:BZ48)</f>
        <v>0</v>
      </c>
      <c r="R48" s="1710">
        <f t="shared" si="33"/>
        <v>0</v>
      </c>
      <c r="S48" s="1710">
        <f t="shared" si="48"/>
        <v>0</v>
      </c>
      <c r="T48" s="1746"/>
      <c r="U48" s="1746"/>
      <c r="V48" s="1746"/>
      <c r="W48" s="1746"/>
      <c r="X48" s="1746"/>
      <c r="Y48" s="2541"/>
      <c r="Z48" s="679">
        <f>(INPUTS_2!B180+INPUTS_2!B217)/1000</f>
        <v>0.83799999999999997</v>
      </c>
      <c r="AA48" s="490">
        <f>(INPUTS_2!C180+INPUTS_2!C217)/1000</f>
        <v>0.85799999999999998</v>
      </c>
      <c r="AB48" s="413">
        <f>(INPUTS_2!D180+INPUTS_2!D217)/1000</f>
        <v>1.806</v>
      </c>
      <c r="AC48" s="413">
        <f>(INPUTS_2!E180+INPUTS_2!E217)/1000</f>
        <v>0.80700000000000005</v>
      </c>
      <c r="AD48" s="414">
        <f>(INPUTS_2!F180+INPUTS_2!F217)/1000</f>
        <v>0.82499999999999996</v>
      </c>
      <c r="AE48" s="490">
        <f>(INPUTS_2!G180+INPUTS_2!G217)/1000</f>
        <v>-1.714</v>
      </c>
      <c r="AF48" s="413">
        <f>(INPUTS_2!H180+INPUTS_2!H217)/1000</f>
        <v>400.38099999999997</v>
      </c>
      <c r="AG48" s="413">
        <f>(INPUTS_2!I180+INPUTS_2!I217)/1000</f>
        <v>0.40500000000000003</v>
      </c>
      <c r="AH48" s="414">
        <f>(INPUTS_2!J180+INPUTS_2!J217)/1000</f>
        <v>-8.3689999999999998</v>
      </c>
      <c r="AI48" s="490">
        <f>(INPUTS_2!K180+INPUTS_2!K217)/1000</f>
        <v>8.4756242707139595</v>
      </c>
      <c r="AJ48" s="413">
        <f>(INPUTS_2!L180+INPUTS_2!L217)/1000</f>
        <v>155.29166874682835</v>
      </c>
      <c r="AK48" s="413">
        <f>(INPUTS_2!M180+INPUTS_2!M217)/1000</f>
        <v>438.416</v>
      </c>
      <c r="AL48" s="414">
        <f>(INPUTS_2!N180+INPUTS_2!N217)/1000</f>
        <v>-411.79599999999999</v>
      </c>
      <c r="AM48" s="490">
        <f>(INPUTS_2!O180+INPUTS_2!O217)/1000</f>
        <v>9.2880000000000003</v>
      </c>
      <c r="AN48" s="413">
        <f>(INPUTS_2!P180+INPUTS_2!P217)/1000</f>
        <v>20.814</v>
      </c>
      <c r="AO48" s="413">
        <f>(INPUTS_2!Q180+INPUTS_2!Q217)/1000</f>
        <v>6.7350000000000003</v>
      </c>
      <c r="AP48" s="413">
        <f>(INPUTS_2!R180+INPUTS_2!R217)/1000</f>
        <v>-6.4370000000000003</v>
      </c>
      <c r="AQ48" s="490">
        <f>(INPUTS_2!S180+INPUTS_2!S228)/1000</f>
        <v>48.075000000000003</v>
      </c>
      <c r="AR48" s="413">
        <f>(INPUTS_2!T180+INPUTS_2!T228)/1000</f>
        <v>-24.274000000000001</v>
      </c>
      <c r="AS48" s="413">
        <f>(INPUTS_2!U180+INPUTS_2!U228)/1000</f>
        <v>65.228999999999999</v>
      </c>
      <c r="AT48" s="413">
        <f>(INPUTS_2!V180+INPUTS_2!V228)/1000</f>
        <v>-42.192999999999998</v>
      </c>
      <c r="AU48" s="490">
        <f>(INPUTS_2!W180+INPUTS_2!W228)/1000</f>
        <v>-38.369</v>
      </c>
      <c r="AV48" s="413">
        <f>(INPUTS_2!X180+INPUTS_2!X228)/1000</f>
        <v>-108.866</v>
      </c>
      <c r="AW48" s="413">
        <f>(INPUTS_2!Y180+INPUTS_2!Y228)/1000</f>
        <v>33.46210000000076</v>
      </c>
      <c r="AX48" s="413">
        <f>(INPUTS_2!Z180+INPUTS_2!Z228)/1000</f>
        <v>-99.474000000001411</v>
      </c>
      <c r="AY48" s="1725">
        <f>(INPUTS_2!AA180+INPUTS_2!AA228)/1000</f>
        <v>-38.152000000000001</v>
      </c>
      <c r="AZ48" s="1701">
        <f>(INPUTS_2!AB180+INPUTS_2!AB228)/1000</f>
        <v>-16.113</v>
      </c>
      <c r="BA48" s="1701">
        <f>(INPUTS_2!AC180+INPUTS_2!AC228)/1000</f>
        <v>-12.081</v>
      </c>
      <c r="BB48" s="721">
        <f>(INPUTS_2!AD180+INPUTS_2!AD228)/1000-288</f>
        <v>-1026.778</v>
      </c>
      <c r="BC48" s="2031">
        <v>142</v>
      </c>
      <c r="BD48" s="1701">
        <v>-2</v>
      </c>
      <c r="BE48" s="721">
        <f>-4480-4</f>
        <v>-4484</v>
      </c>
      <c r="BF48" s="2041">
        <f>-699-4</f>
        <v>-703</v>
      </c>
      <c r="BG48" s="573">
        <f>3+1</f>
        <v>4</v>
      </c>
      <c r="BH48" s="573">
        <f>7+2-BG48</f>
        <v>5</v>
      </c>
      <c r="BI48" s="573">
        <f>14+2-BH48-BG48</f>
        <v>7</v>
      </c>
      <c r="BJ48" s="1830">
        <f>2+3-2+2-BI48-BH48-BG48</f>
        <v>-11</v>
      </c>
      <c r="BK48" s="622">
        <v>0</v>
      </c>
      <c r="BL48" s="622">
        <f>0-BK48</f>
        <v>0</v>
      </c>
      <c r="BM48" s="622">
        <f>-3-BL48-BK48</f>
        <v>-3</v>
      </c>
      <c r="BN48" s="622">
        <f>15-BM48-BL48-BK48</f>
        <v>18</v>
      </c>
      <c r="BO48" s="576"/>
      <c r="BP48" s="578">
        <f>1-BO48</f>
        <v>1</v>
      </c>
      <c r="BQ48" s="578">
        <f>-2-BP48-BO48</f>
        <v>-3</v>
      </c>
      <c r="BR48" s="575">
        <f>-4+50-2-BQ48-BP48-BO48</f>
        <v>46</v>
      </c>
      <c r="BS48" s="2890">
        <v>-1</v>
      </c>
      <c r="BT48" s="2891">
        <f>-2-BS48</f>
        <v>-1</v>
      </c>
      <c r="BU48" s="2891">
        <f>-2-BT48-BS48</f>
        <v>0</v>
      </c>
      <c r="BV48" s="2892">
        <f>-1-2-BU48-BT48-BS48</f>
        <v>-1</v>
      </c>
      <c r="BW48" s="2891">
        <v>0</v>
      </c>
      <c r="BX48" s="2891">
        <v>0</v>
      </c>
      <c r="BY48" s="2891">
        <v>0</v>
      </c>
      <c r="BZ48" s="2892">
        <v>0</v>
      </c>
      <c r="CA48" s="2891">
        <v>0</v>
      </c>
      <c r="CB48" s="2891">
        <v>0</v>
      </c>
      <c r="CC48" s="2891">
        <v>0</v>
      </c>
      <c r="CD48" s="2892">
        <v>0</v>
      </c>
      <c r="CE48" s="1744">
        <v>0</v>
      </c>
      <c r="CF48" s="1744">
        <v>0</v>
      </c>
      <c r="CG48" s="1744">
        <v>0</v>
      </c>
      <c r="CH48" s="1745">
        <v>0</v>
      </c>
      <c r="CI48" s="632"/>
      <c r="CQ48" s="2074"/>
    </row>
    <row r="49" spans="1:95">
      <c r="A49" s="404" t="s">
        <v>1080</v>
      </c>
      <c r="B49" s="404"/>
      <c r="C49" s="404"/>
      <c r="D49" s="582"/>
      <c r="E49" s="582">
        <f>SUM(E44:E48)</f>
        <v>-578.48599999999999</v>
      </c>
      <c r="F49" s="582">
        <f>SUM(F44:F48)</f>
        <v>-491.71600000000001</v>
      </c>
      <c r="G49" s="582">
        <f>SUM(G44:G48)</f>
        <v>-1544.1957069824575</v>
      </c>
      <c r="H49" s="582">
        <f>SUM(H44:H48)</f>
        <v>-1216.0639999999999</v>
      </c>
      <c r="I49" s="582">
        <f t="shared" si="49"/>
        <v>-2839.3799999999997</v>
      </c>
      <c r="J49" s="582">
        <f t="shared" ref="J49:O49" si="50">SUM(J43:J48)</f>
        <v>-2494.8789878399989</v>
      </c>
      <c r="K49" s="582">
        <f t="shared" si="50"/>
        <v>-5686.9511504800003</v>
      </c>
      <c r="L49" s="582">
        <f t="shared" si="50"/>
        <v>-5170.9342749999996</v>
      </c>
      <c r="M49" s="582">
        <f t="shared" si="50"/>
        <v>-3292</v>
      </c>
      <c r="N49" s="582">
        <f t="shared" si="50"/>
        <v>-2454</v>
      </c>
      <c r="O49" s="582">
        <f t="shared" si="50"/>
        <v>-2151</v>
      </c>
      <c r="P49" s="582">
        <f t="shared" ref="P49:U49" si="51">SUM(P43:P48)</f>
        <v>-2301</v>
      </c>
      <c r="Q49" s="582">
        <f t="shared" si="51"/>
        <v>-1518</v>
      </c>
      <c r="R49" s="582">
        <f>SUM(R43:R48)</f>
        <v>5358</v>
      </c>
      <c r="S49" s="582">
        <f>SUM(S43:S48)</f>
        <v>-3273.9012374400004</v>
      </c>
      <c r="T49" s="582">
        <f t="shared" si="51"/>
        <v>-2719.1869517257146</v>
      </c>
      <c r="U49" s="582">
        <f t="shared" si="51"/>
        <v>-2915.4114415216332</v>
      </c>
      <c r="V49" s="582">
        <f>SUM(V43:V48)</f>
        <v>-2935.6252413272696</v>
      </c>
      <c r="W49" s="582">
        <f>SUM(W43:W48)</f>
        <v>-2954.8764792373995</v>
      </c>
      <c r="X49" s="582">
        <f>SUM(X43:X48)</f>
        <v>-2973.2109915327619</v>
      </c>
      <c r="Y49" s="820"/>
      <c r="Z49" s="682">
        <f t="shared" ref="Z49:BG49" si="52">SUM(Z44:Z48)</f>
        <v>-28.151000000000003</v>
      </c>
      <c r="AA49" s="594">
        <f t="shared" si="52"/>
        <v>-151.56200000000001</v>
      </c>
      <c r="AB49" s="582">
        <f t="shared" si="52"/>
        <v>-301.50900000000001</v>
      </c>
      <c r="AC49" s="582">
        <f t="shared" si="52"/>
        <v>-36.222999999999999</v>
      </c>
      <c r="AD49" s="593">
        <f t="shared" si="52"/>
        <v>-89.191999999999993</v>
      </c>
      <c r="AE49" s="594">
        <f t="shared" si="52"/>
        <v>-217.084</v>
      </c>
      <c r="AF49" s="499">
        <f t="shared" si="52"/>
        <v>-77.900000000000034</v>
      </c>
      <c r="AG49" s="582">
        <f t="shared" si="52"/>
        <v>15.013</v>
      </c>
      <c r="AH49" s="593">
        <f t="shared" si="52"/>
        <v>-211.745</v>
      </c>
      <c r="AI49" s="594">
        <f t="shared" si="52"/>
        <v>-257.092375729286</v>
      </c>
      <c r="AJ49" s="582">
        <f t="shared" si="52"/>
        <v>-641.04233125317171</v>
      </c>
      <c r="AK49" s="582">
        <f t="shared" si="52"/>
        <v>52.882000000000005</v>
      </c>
      <c r="AL49" s="593">
        <f t="shared" si="52"/>
        <v>-698.94299999999998</v>
      </c>
      <c r="AM49" s="594">
        <f t="shared" si="52"/>
        <v>205.88600000000002</v>
      </c>
      <c r="AN49" s="582">
        <f t="shared" si="52"/>
        <v>-729.29699999999991</v>
      </c>
      <c r="AO49" s="582">
        <f t="shared" si="52"/>
        <v>-480.54399999999998</v>
      </c>
      <c r="AP49" s="582">
        <f t="shared" si="52"/>
        <v>-212.10900000000001</v>
      </c>
      <c r="AQ49" s="594">
        <f t="shared" si="52"/>
        <v>-860.52599999999984</v>
      </c>
      <c r="AR49" s="582">
        <f t="shared" si="52"/>
        <v>-361.88499999999999</v>
      </c>
      <c r="AS49" s="582">
        <f t="shared" si="52"/>
        <v>-735.48599999999988</v>
      </c>
      <c r="AT49" s="683">
        <f t="shared" si="52"/>
        <v>-881.48299999999995</v>
      </c>
      <c r="AU49" s="684">
        <f t="shared" si="52"/>
        <v>-1413.3899971199999</v>
      </c>
      <c r="AV49" s="499">
        <f t="shared" si="52"/>
        <v>-99.598453439999972</v>
      </c>
      <c r="AW49" s="685">
        <f t="shared" si="52"/>
        <v>-63.925401919999274</v>
      </c>
      <c r="AX49" s="683">
        <f t="shared" si="52"/>
        <v>-917.96513536000009</v>
      </c>
      <c r="AY49" s="684">
        <f t="shared" si="52"/>
        <v>-1215.5019397200001</v>
      </c>
      <c r="AZ49" s="685">
        <f t="shared" si="52"/>
        <v>-986.79582535999998</v>
      </c>
      <c r="BA49" s="685">
        <f t="shared" si="52"/>
        <v>-746.19574152000007</v>
      </c>
      <c r="BB49" s="685">
        <f t="shared" si="52"/>
        <v>-2738.45764388</v>
      </c>
      <c r="BC49" s="684">
        <f t="shared" si="52"/>
        <v>-632.97499999999991</v>
      </c>
      <c r="BD49" s="685">
        <f t="shared" si="52"/>
        <v>1052.4664749999999</v>
      </c>
      <c r="BE49" s="685">
        <f t="shared" si="52"/>
        <v>-4099.0060000000003</v>
      </c>
      <c r="BF49" s="683">
        <f t="shared" si="52"/>
        <v>-1491.41975</v>
      </c>
      <c r="BG49" s="685">
        <f t="shared" si="52"/>
        <v>482</v>
      </c>
      <c r="BH49" s="685">
        <f t="shared" ref="BH49:BO49" si="53">SUM(BH44:BH48)</f>
        <v>-1953</v>
      </c>
      <c r="BI49" s="685">
        <f t="shared" si="53"/>
        <v>-1286</v>
      </c>
      <c r="BJ49" s="683">
        <f t="shared" si="53"/>
        <v>-535</v>
      </c>
      <c r="BK49" s="685">
        <f t="shared" si="53"/>
        <v>-538</v>
      </c>
      <c r="BL49" s="685">
        <f t="shared" si="53"/>
        <v>-1003</v>
      </c>
      <c r="BM49" s="685">
        <f t="shared" si="53"/>
        <v>-695</v>
      </c>
      <c r="BN49" s="685">
        <f t="shared" si="53"/>
        <v>-218</v>
      </c>
      <c r="BO49" s="684">
        <f t="shared" si="53"/>
        <v>-647</v>
      </c>
      <c r="BP49" s="685">
        <f t="shared" ref="BP49:BV49" si="54">SUM(BP44:BP48)</f>
        <v>-430</v>
      </c>
      <c r="BQ49" s="685">
        <f t="shared" si="54"/>
        <v>-181</v>
      </c>
      <c r="BR49" s="683">
        <f t="shared" si="54"/>
        <v>-893</v>
      </c>
      <c r="BS49" s="684">
        <f>SUM(BS44:BS48)</f>
        <v>-699</v>
      </c>
      <c r="BT49" s="685">
        <f t="shared" si="54"/>
        <v>-497</v>
      </c>
      <c r="BU49" s="685">
        <f t="shared" si="54"/>
        <v>-511</v>
      </c>
      <c r="BV49" s="683">
        <f t="shared" si="54"/>
        <v>-594</v>
      </c>
      <c r="BW49" s="685">
        <f t="shared" ref="BW49:CB49" si="55">SUM(BW44:BW48)</f>
        <v>-506</v>
      </c>
      <c r="BX49" s="685">
        <f t="shared" si="55"/>
        <v>-751</v>
      </c>
      <c r="BY49" s="685">
        <f t="shared" si="55"/>
        <v>-229</v>
      </c>
      <c r="BZ49" s="683">
        <f>SUM(BZ44:BZ48)</f>
        <v>-32</v>
      </c>
      <c r="CA49" s="685">
        <f>SUM(CA44:CA48)</f>
        <v>-333</v>
      </c>
      <c r="CB49" s="685">
        <f t="shared" si="55"/>
        <v>4818</v>
      </c>
      <c r="CC49" s="685">
        <f>SUM(CC44:CC48)</f>
        <v>-395</v>
      </c>
      <c r="CD49" s="683">
        <f t="shared" ref="CD49" si="56">SUM(CD44:CD48)</f>
        <v>1268</v>
      </c>
      <c r="CE49" s="685">
        <f>SUM(CE44:CE48)</f>
        <v>-966.22530935999998</v>
      </c>
      <c r="CF49" s="685">
        <f>SUM(CF44:CF48)</f>
        <v>-758.2878093600001</v>
      </c>
      <c r="CG49" s="685">
        <f>SUM(CG44:CG48)</f>
        <v>-752.7096843600001</v>
      </c>
      <c r="CH49" s="683">
        <f>SUM(CH44:CH48)</f>
        <v>-796.6784343600001</v>
      </c>
      <c r="CI49" s="632"/>
      <c r="CQ49" s="2074"/>
    </row>
    <row r="50" spans="1:95" ht="8.25" hidden="1" customHeight="1" outlineLevel="1">
      <c r="A50" s="373"/>
      <c r="B50" s="399"/>
      <c r="C50" s="399"/>
      <c r="D50" s="413"/>
      <c r="E50" s="413"/>
      <c r="F50" s="413"/>
      <c r="G50" s="413"/>
      <c r="H50" s="413"/>
      <c r="I50" s="1701"/>
      <c r="J50" s="1701"/>
      <c r="K50" s="1701"/>
      <c r="L50" s="1701"/>
      <c r="M50" s="1701"/>
      <c r="N50" s="1701"/>
      <c r="O50" s="413"/>
      <c r="P50" s="413"/>
      <c r="Q50" s="413"/>
      <c r="R50" s="413"/>
      <c r="S50" s="413"/>
      <c r="T50" s="413"/>
      <c r="U50" s="413"/>
      <c r="V50" s="413"/>
      <c r="W50" s="413"/>
      <c r="X50" s="413"/>
      <c r="Y50" s="823"/>
      <c r="Z50" s="679"/>
      <c r="AA50" s="490"/>
      <c r="AB50" s="413"/>
      <c r="AC50" s="413"/>
      <c r="AD50" s="414"/>
      <c r="AE50" s="490"/>
      <c r="AF50" s="413"/>
      <c r="AG50" s="413"/>
      <c r="AH50" s="414"/>
      <c r="AI50" s="490"/>
      <c r="AJ50" s="413"/>
      <c r="AK50" s="413"/>
      <c r="AL50" s="414"/>
      <c r="AM50" s="490"/>
      <c r="AN50" s="413"/>
      <c r="AO50" s="413"/>
      <c r="AP50" s="413"/>
      <c r="AQ50" s="490"/>
      <c r="AR50" s="413"/>
      <c r="AS50" s="413"/>
      <c r="AT50" s="568"/>
      <c r="AU50" s="570"/>
      <c r="AV50" s="680"/>
      <c r="AW50" s="680"/>
      <c r="AX50" s="568"/>
      <c r="AY50" s="1743"/>
      <c r="AZ50" s="1744"/>
      <c r="BA50" s="1744"/>
      <c r="BB50" s="1744"/>
      <c r="BC50" s="1743"/>
      <c r="BD50" s="1744"/>
      <c r="BE50" s="1744"/>
      <c r="BF50" s="1745"/>
      <c r="BG50" s="1744"/>
      <c r="BH50" s="1744"/>
      <c r="BI50" s="1744"/>
      <c r="BJ50" s="1745"/>
      <c r="BK50" s="1744"/>
      <c r="BL50" s="1744"/>
      <c r="BM50" s="1744"/>
      <c r="BN50" s="1744"/>
      <c r="BO50" s="1743"/>
      <c r="BP50" s="1744"/>
      <c r="BQ50" s="1744"/>
      <c r="BR50" s="1745"/>
      <c r="BS50" s="1743"/>
      <c r="BT50" s="1744"/>
      <c r="BU50" s="1744"/>
      <c r="BV50" s="1745"/>
      <c r="BW50" s="1744"/>
      <c r="BX50" s="1744"/>
      <c r="BY50" s="1744"/>
      <c r="BZ50" s="1745"/>
      <c r="CA50" s="1744"/>
      <c r="CB50" s="1744"/>
      <c r="CC50" s="1744"/>
      <c r="CD50" s="1745"/>
      <c r="CE50" s="1744"/>
      <c r="CF50" s="1744"/>
      <c r="CG50" s="1744"/>
      <c r="CH50" s="1745"/>
      <c r="CI50" s="632"/>
      <c r="CQ50" s="2074"/>
    </row>
    <row r="51" spans="1:95" hidden="1" outlineLevel="1">
      <c r="A51" s="373" t="s">
        <v>1081</v>
      </c>
      <c r="B51" s="399"/>
      <c r="C51" s="399"/>
      <c r="D51" s="413"/>
      <c r="E51" s="413"/>
      <c r="F51" s="413"/>
      <c r="G51" s="413"/>
      <c r="H51" s="413"/>
      <c r="I51" s="1701">
        <f>SUM(AQ51:AT51)</f>
        <v>0</v>
      </c>
      <c r="J51" s="1701">
        <f>SUM(AU51:AX51)</f>
        <v>0</v>
      </c>
      <c r="K51" s="1746">
        <f>BS!K35-BS!J35+IS!K75</f>
        <v>0</v>
      </c>
      <c r="L51" s="1701">
        <v>5.8999999999999997E-2</v>
      </c>
      <c r="M51" s="1701">
        <f>SUM(BG51:BJ51)</f>
        <v>0</v>
      </c>
      <c r="N51" s="1701">
        <f>SUM(BK51:BN51)</f>
        <v>0</v>
      </c>
      <c r="O51" s="1710">
        <f>SUM(BO51:BR51)</f>
        <v>0</v>
      </c>
      <c r="P51" s="1710">
        <f>SUM(BS51:BV51)</f>
        <v>0</v>
      </c>
      <c r="Q51" s="1710">
        <f>SUM(BT51:BW51)</f>
        <v>0</v>
      </c>
      <c r="R51" s="1710">
        <f>SUM(BU51:BX51)</f>
        <v>0</v>
      </c>
      <c r="S51" s="1710">
        <f>SUM(BV51:BY51)</f>
        <v>0</v>
      </c>
      <c r="T51" s="2217">
        <f>BS!T35-BS!S35+IS!T75</f>
        <v>0</v>
      </c>
      <c r="U51" s="2217">
        <f>BS!U35-BS!T35+IS!U75</f>
        <v>0</v>
      </c>
      <c r="V51" s="2217">
        <f>BS!V35-BS!U35+IS!V75</f>
        <v>0</v>
      </c>
      <c r="W51" s="2217">
        <f>BS!W35-BS!V35+IS!W75</f>
        <v>0</v>
      </c>
      <c r="X51" s="2217">
        <f>BS!X35-BS!W35+IS!X75</f>
        <v>0</v>
      </c>
      <c r="Y51" s="2543"/>
      <c r="Z51" s="679">
        <v>0</v>
      </c>
      <c r="AA51" s="490"/>
      <c r="AB51" s="413"/>
      <c r="AC51" s="413"/>
      <c r="AD51" s="414"/>
      <c r="AE51" s="490"/>
      <c r="AF51" s="413"/>
      <c r="AG51" s="413"/>
      <c r="AH51" s="414"/>
      <c r="AI51" s="407"/>
      <c r="AJ51" s="413"/>
      <c r="AK51" s="413"/>
      <c r="AL51" s="414"/>
      <c r="AM51" s="490"/>
      <c r="AN51" s="413"/>
      <c r="AO51" s="413"/>
      <c r="AP51" s="413"/>
      <c r="AQ51" s="490"/>
      <c r="AR51" s="413"/>
      <c r="AS51" s="413"/>
      <c r="AT51" s="568"/>
      <c r="AU51" s="570"/>
      <c r="AV51" s="680"/>
      <c r="AW51" s="680"/>
      <c r="AX51" s="568"/>
      <c r="AY51" s="1743"/>
      <c r="AZ51" s="1744"/>
      <c r="BA51" s="1744"/>
      <c r="BB51" s="1744"/>
      <c r="BC51" s="1743"/>
      <c r="BD51" s="1744"/>
      <c r="BE51" s="1744"/>
      <c r="BF51" s="1745">
        <v>0.39900000000000002</v>
      </c>
      <c r="BG51" s="1744"/>
      <c r="BH51" s="1744"/>
      <c r="BI51" s="1744"/>
      <c r="BJ51" s="1745"/>
      <c r="BK51" s="1744"/>
      <c r="BL51" s="1744"/>
      <c r="BM51" s="1744"/>
      <c r="BN51" s="1744"/>
      <c r="BO51" s="1743"/>
      <c r="BP51" s="1744"/>
      <c r="BQ51" s="1744"/>
      <c r="BR51" s="1745"/>
      <c r="BS51" s="1743"/>
      <c r="BT51" s="1744"/>
      <c r="BU51" s="1744"/>
      <c r="BV51" s="1745"/>
      <c r="BW51" s="1744"/>
      <c r="BX51" s="1744"/>
      <c r="BY51" s="1744"/>
      <c r="BZ51" s="1745"/>
      <c r="CA51" s="1744"/>
      <c r="CB51" s="1744"/>
      <c r="CC51" s="1744"/>
      <c r="CD51" s="1745"/>
      <c r="CE51" s="1744"/>
      <c r="CF51" s="1744"/>
      <c r="CG51" s="1744"/>
      <c r="CH51" s="1745"/>
      <c r="CI51" s="632"/>
      <c r="CQ51" s="2074"/>
    </row>
    <row r="52" spans="1:95" ht="8.25" hidden="1" customHeight="1" outlineLevel="1">
      <c r="A52" s="373"/>
      <c r="B52" s="399"/>
      <c r="C52" s="399"/>
      <c r="D52" s="413"/>
      <c r="E52" s="413"/>
      <c r="F52" s="413"/>
      <c r="G52" s="413"/>
      <c r="H52" s="413"/>
      <c r="I52" s="1701"/>
      <c r="J52" s="1701"/>
      <c r="K52" s="1701"/>
      <c r="L52" s="1701"/>
      <c r="M52" s="1701"/>
      <c r="N52" s="1701"/>
      <c r="O52" s="413"/>
      <c r="P52" s="413"/>
      <c r="Q52" s="413"/>
      <c r="R52" s="413"/>
      <c r="S52" s="413"/>
      <c r="T52" s="413"/>
      <c r="U52" s="413"/>
      <c r="V52" s="413"/>
      <c r="W52" s="413"/>
      <c r="X52" s="413"/>
      <c r="Y52" s="823"/>
      <c r="Z52" s="679"/>
      <c r="AA52" s="490"/>
      <c r="AB52" s="413"/>
      <c r="AC52" s="413"/>
      <c r="AD52" s="414"/>
      <c r="AE52" s="490"/>
      <c r="AF52" s="413"/>
      <c r="AG52" s="413"/>
      <c r="AH52" s="414"/>
      <c r="AI52" s="490"/>
      <c r="AJ52" s="413"/>
      <c r="AK52" s="413"/>
      <c r="AL52" s="414"/>
      <c r="AM52" s="490"/>
      <c r="AN52" s="413"/>
      <c r="AO52" s="413"/>
      <c r="AP52" s="413"/>
      <c r="AQ52" s="490"/>
      <c r="AR52" s="413"/>
      <c r="AS52" s="413"/>
      <c r="AT52" s="568"/>
      <c r="AU52" s="570"/>
      <c r="AV52" s="680"/>
      <c r="AW52" s="680"/>
      <c r="AX52" s="568"/>
      <c r="AY52" s="1743"/>
      <c r="AZ52" s="1744"/>
      <c r="BA52" s="1744"/>
      <c r="BB52" s="1744"/>
      <c r="BC52" s="1743"/>
      <c r="BD52" s="1744"/>
      <c r="BE52" s="1744"/>
      <c r="BF52" s="1745"/>
      <c r="BG52" s="1744"/>
      <c r="BH52" s="1744"/>
      <c r="BI52" s="1744"/>
      <c r="BJ52" s="1745"/>
      <c r="BK52" s="1744"/>
      <c r="BL52" s="1744"/>
      <c r="BM52" s="1744"/>
      <c r="BN52" s="1744"/>
      <c r="BO52" s="1743"/>
      <c r="BP52" s="1744"/>
      <c r="BQ52" s="1744"/>
      <c r="BR52" s="1745"/>
      <c r="BS52" s="1743"/>
      <c r="BT52" s="1744"/>
      <c r="BU52" s="1744"/>
      <c r="BV52" s="1745"/>
      <c r="BW52" s="1744"/>
      <c r="BX52" s="1744"/>
      <c r="BY52" s="1744"/>
      <c r="BZ52" s="1745"/>
      <c r="CA52" s="1744"/>
      <c r="CB52" s="1744"/>
      <c r="CC52" s="1744"/>
      <c r="CD52" s="1745"/>
      <c r="CE52" s="1744"/>
      <c r="CF52" s="1744"/>
      <c r="CG52" s="1744"/>
      <c r="CH52" s="1745"/>
      <c r="CI52" s="632"/>
      <c r="CQ52" s="2074"/>
    </row>
    <row r="53" spans="1:95" collapsed="1">
      <c r="A53" s="404" t="s">
        <v>1082</v>
      </c>
      <c r="B53" s="404"/>
      <c r="C53" s="404"/>
      <c r="D53" s="582"/>
      <c r="E53" s="582">
        <f>+E30+E41+E49+E51</f>
        <v>-35.965999999999894</v>
      </c>
      <c r="F53" s="582">
        <f>+F30+F41+F49+F51</f>
        <v>-8.3689999999999145</v>
      </c>
      <c r="G53" s="582">
        <f>+G30+G41+G49+G51</f>
        <v>-280.17799999999988</v>
      </c>
      <c r="H53" s="582">
        <f>+H30+H41+H49+H51</f>
        <v>24.733999999999924</v>
      </c>
      <c r="I53" s="582">
        <f>SUM(AQ53:AT53)</f>
        <v>-98.075000000000159</v>
      </c>
      <c r="J53" s="582">
        <f t="shared" ref="J53:P53" si="57">J51+J49+J41+J30</f>
        <v>1329.8350121599988</v>
      </c>
      <c r="K53" s="582">
        <f t="shared" si="57"/>
        <v>-1700.0941504800003</v>
      </c>
      <c r="L53" s="582">
        <f t="shared" ca="1" si="57"/>
        <v>-428.66627499999959</v>
      </c>
      <c r="M53" s="582">
        <f t="shared" si="57"/>
        <v>83</v>
      </c>
      <c r="N53" s="582">
        <f t="shared" si="57"/>
        <v>-43</v>
      </c>
      <c r="O53" s="582">
        <f t="shared" si="57"/>
        <v>-40</v>
      </c>
      <c r="P53" s="582">
        <f t="shared" si="57"/>
        <v>-2</v>
      </c>
      <c r="Q53" s="582">
        <f t="shared" ref="Q53:X53" si="58">Q51+Q49+Q41+Q30</f>
        <v>96</v>
      </c>
      <c r="R53" s="582">
        <f t="shared" si="58"/>
        <v>365</v>
      </c>
      <c r="S53" s="582">
        <f t="shared" ca="1" si="58"/>
        <v>-0.17302860900963424</v>
      </c>
      <c r="T53" s="582">
        <f t="shared" ca="1" si="58"/>
        <v>400.76589805164349</v>
      </c>
      <c r="U53" s="582">
        <f t="shared" ca="1" si="58"/>
        <v>431.88883781797358</v>
      </c>
      <c r="V53" s="582">
        <f t="shared" ca="1" si="58"/>
        <v>594.15302453131699</v>
      </c>
      <c r="W53" s="582">
        <f t="shared" ca="1" si="58"/>
        <v>744.26194298897735</v>
      </c>
      <c r="X53" s="582">
        <f t="shared" ca="1" si="58"/>
        <v>495.57812774767444</v>
      </c>
      <c r="Y53" s="820"/>
      <c r="Z53" s="682">
        <f t="shared" ref="Z53:BE53" si="59">+Z30+Z41+Z49+Z51</f>
        <v>45.236999999999945</v>
      </c>
      <c r="AA53" s="594">
        <f t="shared" si="59"/>
        <v>70.112000000000052</v>
      </c>
      <c r="AB53" s="582">
        <f t="shared" si="59"/>
        <v>-176.90700000000004</v>
      </c>
      <c r="AC53" s="582">
        <f t="shared" si="59"/>
        <v>72.588999999999956</v>
      </c>
      <c r="AD53" s="593">
        <f t="shared" si="59"/>
        <v>-1.7599999999999767</v>
      </c>
      <c r="AE53" s="594">
        <f t="shared" si="59"/>
        <v>-37.883999999999986</v>
      </c>
      <c r="AF53" s="582">
        <f t="shared" si="59"/>
        <v>-28.869</v>
      </c>
      <c r="AG53" s="582">
        <f t="shared" si="59"/>
        <v>168.03899999999999</v>
      </c>
      <c r="AH53" s="593">
        <f t="shared" si="59"/>
        <v>-109.655</v>
      </c>
      <c r="AI53" s="594">
        <f t="shared" si="59"/>
        <v>99.419559129155175</v>
      </c>
      <c r="AJ53" s="582">
        <f t="shared" si="59"/>
        <v>-406.49655912915512</v>
      </c>
      <c r="AK53" s="582">
        <f t="shared" si="59"/>
        <v>14.925000000000068</v>
      </c>
      <c r="AL53" s="593">
        <f t="shared" si="59"/>
        <v>11.974000000000046</v>
      </c>
      <c r="AM53" s="594">
        <f t="shared" si="59"/>
        <v>731.08100000000013</v>
      </c>
      <c r="AN53" s="582">
        <f t="shared" si="59"/>
        <v>-752.22399999999982</v>
      </c>
      <c r="AO53" s="582">
        <f t="shared" si="59"/>
        <v>11.189000000000135</v>
      </c>
      <c r="AP53" s="685">
        <f t="shared" si="59"/>
        <v>34.687999999999846</v>
      </c>
      <c r="AQ53" s="594">
        <f t="shared" si="59"/>
        <v>-288.86300000000017</v>
      </c>
      <c r="AR53" s="582">
        <f t="shared" si="59"/>
        <v>152.36099999999988</v>
      </c>
      <c r="AS53" s="582">
        <f t="shared" si="59"/>
        <v>51.057000000000016</v>
      </c>
      <c r="AT53" s="683">
        <f t="shared" si="59"/>
        <v>-12.629999999999882</v>
      </c>
      <c r="AU53" s="684">
        <f t="shared" si="59"/>
        <v>-281.39199712000027</v>
      </c>
      <c r="AV53" s="685">
        <f t="shared" si="59"/>
        <v>970.79754656000023</v>
      </c>
      <c r="AW53" s="685">
        <f t="shared" si="59"/>
        <v>705.00359808000007</v>
      </c>
      <c r="AX53" s="683">
        <f t="shared" si="59"/>
        <v>-64.574135360000128</v>
      </c>
      <c r="AY53" s="684">
        <f t="shared" si="59"/>
        <v>-1075.6439397199999</v>
      </c>
      <c r="AZ53" s="685">
        <f t="shared" si="59"/>
        <v>-121.64382535999971</v>
      </c>
      <c r="BA53" s="685">
        <f t="shared" si="59"/>
        <v>1140.2912584800001</v>
      </c>
      <c r="BB53" s="685">
        <f t="shared" si="59"/>
        <v>-1643.43764388</v>
      </c>
      <c r="BC53" s="684">
        <f t="shared" ca="1" si="59"/>
        <v>149.23400000000026</v>
      </c>
      <c r="BD53" s="685">
        <f t="shared" si="59"/>
        <v>3019.4664750000002</v>
      </c>
      <c r="BE53" s="685">
        <f t="shared" si="59"/>
        <v>-2597.0060000000003</v>
      </c>
      <c r="BF53" s="683">
        <f t="shared" ref="BF53:BN53" si="60">+BF30+BF41+BF49+BF51</f>
        <v>-1000.02075</v>
      </c>
      <c r="BG53" s="685">
        <f t="shared" si="60"/>
        <v>1402</v>
      </c>
      <c r="BH53" s="685">
        <f t="shared" si="60"/>
        <v>-1249</v>
      </c>
      <c r="BI53" s="685">
        <f t="shared" si="60"/>
        <v>-87</v>
      </c>
      <c r="BJ53" s="683">
        <f t="shared" si="60"/>
        <v>17</v>
      </c>
      <c r="BK53" s="685">
        <f t="shared" si="60"/>
        <v>265</v>
      </c>
      <c r="BL53" s="685">
        <f t="shared" si="60"/>
        <v>-262</v>
      </c>
      <c r="BM53" s="685">
        <f t="shared" si="60"/>
        <v>52</v>
      </c>
      <c r="BN53" s="685">
        <f t="shared" si="60"/>
        <v>-98</v>
      </c>
      <c r="BO53" s="684">
        <f t="shared" ref="BO53:BV53" si="61">+BO30+BO41+BO49+BO51</f>
        <v>51</v>
      </c>
      <c r="BP53" s="685">
        <f t="shared" si="61"/>
        <v>-38</v>
      </c>
      <c r="BQ53" s="685">
        <f t="shared" si="61"/>
        <v>553</v>
      </c>
      <c r="BR53" s="683">
        <f t="shared" si="61"/>
        <v>-606</v>
      </c>
      <c r="BS53" s="684">
        <f>+BS30+BS41+BS49+BS51</f>
        <v>27</v>
      </c>
      <c r="BT53" s="685">
        <f t="shared" si="61"/>
        <v>0</v>
      </c>
      <c r="BU53" s="685">
        <f t="shared" si="61"/>
        <v>200</v>
      </c>
      <c r="BV53" s="683">
        <f t="shared" si="61"/>
        <v>-229</v>
      </c>
      <c r="BW53" s="685">
        <f t="shared" ref="BW53:CB53" si="62">+BW30+BW41+BW49+BW51</f>
        <v>312</v>
      </c>
      <c r="BX53" s="685">
        <f t="shared" si="62"/>
        <v>-247</v>
      </c>
      <c r="BY53" s="685">
        <f t="shared" si="62"/>
        <v>-51</v>
      </c>
      <c r="BZ53" s="683">
        <f>+BZ30+BZ41+BZ49+BZ51</f>
        <v>82</v>
      </c>
      <c r="CA53" s="685">
        <f>+CA30+CA41+CA49+CA51</f>
        <v>-8</v>
      </c>
      <c r="CB53" s="685">
        <f t="shared" si="62"/>
        <v>6141</v>
      </c>
      <c r="CC53" s="685">
        <f>+CC30+CC41+CC49+CC51</f>
        <v>-193</v>
      </c>
      <c r="CD53" s="683">
        <f t="shared" ref="CD53" si="63">+CD30+CD41+CD49+CD51</f>
        <v>-5575</v>
      </c>
      <c r="CE53" s="685">
        <f ca="1">+CE30+CE41+CE49+CE51</f>
        <v>-160.67890702384784</v>
      </c>
      <c r="CF53" s="685">
        <f ca="1">+CF30+CF41+CF49+CF51</f>
        <v>6.6949347449678953</v>
      </c>
      <c r="CG53" s="685">
        <f ca="1">+CG30+CG41+CG49+CG51</f>
        <v>65.109576587924948</v>
      </c>
      <c r="CH53" s="683">
        <f ca="1">+CH30+CH41+CH49+CH51</f>
        <v>88.701367081945023</v>
      </c>
      <c r="CI53" s="632"/>
      <c r="CQ53" s="2074"/>
    </row>
    <row r="54" spans="1:95" ht="9" customHeight="1">
      <c r="A54" s="373"/>
      <c r="B54" s="399"/>
      <c r="C54" s="399"/>
      <c r="D54" s="413"/>
      <c r="E54" s="413"/>
      <c r="F54" s="413"/>
      <c r="G54" s="413"/>
      <c r="H54" s="413"/>
      <c r="I54" s="1701"/>
      <c r="J54" s="1701"/>
      <c r="K54" s="1701"/>
      <c r="L54" s="1701"/>
      <c r="M54" s="1701"/>
      <c r="N54" s="1701"/>
      <c r="O54" s="1701"/>
      <c r="P54" s="1701"/>
      <c r="Q54" s="1701"/>
      <c r="R54" s="1701"/>
      <c r="S54" s="1701"/>
      <c r="T54" s="1701"/>
      <c r="U54" s="1701"/>
      <c r="V54" s="1701"/>
      <c r="W54" s="1701"/>
      <c r="X54" s="1701"/>
      <c r="Y54" s="820"/>
      <c r="Z54" s="679"/>
      <c r="AA54" s="490"/>
      <c r="AB54" s="413"/>
      <c r="AC54" s="413"/>
      <c r="AD54" s="414"/>
      <c r="AE54" s="490"/>
      <c r="AF54" s="413"/>
      <c r="AG54" s="413"/>
      <c r="AH54" s="414"/>
      <c r="AI54" s="490"/>
      <c r="AJ54" s="413"/>
      <c r="AK54" s="413"/>
      <c r="AL54" s="414"/>
      <c r="AM54" s="490"/>
      <c r="AN54" s="451"/>
      <c r="AO54" s="413"/>
      <c r="AP54" s="413"/>
      <c r="AQ54" s="490"/>
      <c r="AR54" s="413"/>
      <c r="AS54" s="413"/>
      <c r="AT54" s="568"/>
      <c r="AU54" s="570"/>
      <c r="AV54" s="680"/>
      <c r="AW54" s="680"/>
      <c r="AX54" s="568"/>
      <c r="AY54" s="1743"/>
      <c r="AZ54" s="1744"/>
      <c r="BA54" s="1744"/>
      <c r="BB54" s="1744"/>
      <c r="BC54" s="1743"/>
      <c r="BD54" s="1744"/>
      <c r="BE54" s="1744"/>
      <c r="BF54" s="1745"/>
      <c r="BG54" s="1744"/>
      <c r="BH54" s="1744"/>
      <c r="BI54" s="1744"/>
      <c r="BJ54" s="1745"/>
      <c r="BK54" s="1744"/>
      <c r="BL54" s="1744"/>
      <c r="BM54" s="1744"/>
      <c r="BN54" s="1744"/>
      <c r="BO54" s="1743"/>
      <c r="BP54" s="1744"/>
      <c r="BQ54" s="1744"/>
      <c r="BR54" s="1745"/>
      <c r="BS54" s="1743"/>
      <c r="BT54" s="1744"/>
      <c r="BU54" s="1744"/>
      <c r="BV54" s="1745"/>
      <c r="BW54" s="1744"/>
      <c r="BX54" s="1744"/>
      <c r="BY54" s="1744"/>
      <c r="BZ54" s="1745"/>
      <c r="CA54" s="1744"/>
      <c r="CB54" s="1744"/>
      <c r="CC54" s="1744"/>
      <c r="CD54" s="1745"/>
      <c r="CE54" s="1744"/>
      <c r="CF54" s="1744"/>
      <c r="CG54" s="1744"/>
      <c r="CH54" s="1745"/>
      <c r="CI54" s="632"/>
      <c r="CQ54" s="2074"/>
    </row>
    <row r="55" spans="1:95">
      <c r="A55" s="373" t="s">
        <v>1083</v>
      </c>
      <c r="B55" s="399"/>
      <c r="C55" s="399"/>
      <c r="D55" s="413"/>
      <c r="E55" s="413">
        <f>D57</f>
        <v>203.18099999999993</v>
      </c>
      <c r="F55" s="413">
        <f>E57</f>
        <v>167.21500000000003</v>
      </c>
      <c r="G55" s="413">
        <f>AI55</f>
        <v>358.846</v>
      </c>
      <c r="H55" s="413">
        <f>G57</f>
        <v>78.66800000000012</v>
      </c>
      <c r="I55" s="1701">
        <f>H57+Q_CFS!$P$61</f>
        <v>1013.402</v>
      </c>
      <c r="J55" s="1701">
        <f>I57</f>
        <v>915.32699999999988</v>
      </c>
      <c r="K55" s="1701">
        <f>J57</f>
        <v>2245.1620121599985</v>
      </c>
      <c r="L55" s="1701">
        <f>K57</f>
        <v>545.06786167999826</v>
      </c>
      <c r="M55" s="1701">
        <f ca="1">L57</f>
        <v>116.40158667999867</v>
      </c>
      <c r="N55" s="1701">
        <f ca="1">M57</f>
        <v>199.40158667999867</v>
      </c>
      <c r="O55" s="1701">
        <f ca="1">ROUNDDOWN(N57,0)</f>
        <v>156</v>
      </c>
      <c r="P55" s="1701">
        <f ca="1">ROUNDDOWN(O57,0)</f>
        <v>116</v>
      </c>
      <c r="Q55" s="1701">
        <f t="shared" ref="Q55:V55" ca="1" si="64">P57</f>
        <v>114</v>
      </c>
      <c r="R55" s="1701">
        <f ca="1">Q57</f>
        <v>210</v>
      </c>
      <c r="S55" s="1701">
        <f t="shared" ca="1" si="64"/>
        <v>589</v>
      </c>
      <c r="T55" s="1701">
        <f t="shared" ca="1" si="64"/>
        <v>588.82697139099037</v>
      </c>
      <c r="U55" s="1701">
        <f t="shared" ca="1" si="64"/>
        <v>989.59286944263386</v>
      </c>
      <c r="V55" s="1701">
        <f t="shared" ca="1" si="64"/>
        <v>1421.4817072606074</v>
      </c>
      <c r="W55" s="1701">
        <f ca="1">V57</f>
        <v>2015.6347317919244</v>
      </c>
      <c r="X55" s="1701">
        <f ca="1">W57</f>
        <v>2759.8966747809018</v>
      </c>
      <c r="Y55" s="820"/>
      <c r="Z55" s="679">
        <f>INPUTS_2!B187/1000+INPUTS_2!B233</f>
        <v>157.94399999999999</v>
      </c>
      <c r="AA55" s="490">
        <f t="shared" ref="AA55:AH55" si="65">Z57</f>
        <v>203.18099999999993</v>
      </c>
      <c r="AB55" s="413">
        <f t="shared" si="65"/>
        <v>273.29300000000001</v>
      </c>
      <c r="AC55" s="413">
        <f t="shared" si="65"/>
        <v>96.385999999999967</v>
      </c>
      <c r="AD55" s="414">
        <f t="shared" si="65"/>
        <v>168.97499999999991</v>
      </c>
      <c r="AE55" s="490">
        <f t="shared" si="65"/>
        <v>167.21499999999992</v>
      </c>
      <c r="AF55" s="413">
        <f t="shared" si="65"/>
        <v>129.33099999999993</v>
      </c>
      <c r="AG55" s="413">
        <f t="shared" si="65"/>
        <v>100.46199999999993</v>
      </c>
      <c r="AH55" s="414">
        <f t="shared" si="65"/>
        <v>268.50099999999992</v>
      </c>
      <c r="AI55" s="490">
        <f>INPUTS_2!K187/1000</f>
        <v>358.846</v>
      </c>
      <c r="AJ55" s="413">
        <v>458.26555910000002</v>
      </c>
      <c r="AK55" s="413">
        <f t="shared" ref="AK55:AP55" si="66">AJ57</f>
        <v>51.768999970844902</v>
      </c>
      <c r="AL55" s="414">
        <f t="shared" si="66"/>
        <v>66.69399997084497</v>
      </c>
      <c r="AM55" s="490">
        <f t="shared" si="66"/>
        <v>78.667999970845017</v>
      </c>
      <c r="AN55" s="413">
        <f t="shared" si="66"/>
        <v>809.74899997084515</v>
      </c>
      <c r="AO55" s="413">
        <f t="shared" si="66"/>
        <v>57.524999970845329</v>
      </c>
      <c r="AP55" s="413">
        <f t="shared" si="66"/>
        <v>68.713999970845464</v>
      </c>
      <c r="AQ55" s="490">
        <f>AP57+(INPUTS_2!S233/1000)</f>
        <v>1013.4019999708453</v>
      </c>
      <c r="AR55" s="413">
        <f t="shared" ref="AR55:BK55" si="67">AQ57</f>
        <v>724.53899997084511</v>
      </c>
      <c r="AS55" s="413">
        <f t="shared" si="67"/>
        <v>876.89999997084499</v>
      </c>
      <c r="AT55" s="414">
        <f t="shared" si="67"/>
        <v>927.956999970845</v>
      </c>
      <c r="AU55" s="490">
        <f t="shared" si="67"/>
        <v>915.32699997084512</v>
      </c>
      <c r="AV55" s="413">
        <f t="shared" si="67"/>
        <v>633.93500285084485</v>
      </c>
      <c r="AW55" s="413">
        <f t="shared" si="67"/>
        <v>1604.732549410845</v>
      </c>
      <c r="AX55" s="414">
        <f t="shared" si="67"/>
        <v>2309.7361474908448</v>
      </c>
      <c r="AY55" s="1725">
        <f t="shared" si="67"/>
        <v>2245.1620121308447</v>
      </c>
      <c r="AZ55" s="1701">
        <f t="shared" si="67"/>
        <v>1169.5180724108448</v>
      </c>
      <c r="BA55" s="1701">
        <f t="shared" si="67"/>
        <v>1047.874247050845</v>
      </c>
      <c r="BB55" s="1701">
        <f t="shared" si="67"/>
        <v>2188.1655055308452</v>
      </c>
      <c r="BC55" s="1725">
        <f t="shared" si="67"/>
        <v>544.72786165084517</v>
      </c>
      <c r="BD55" s="1701">
        <f t="shared" ca="1" si="67"/>
        <v>693.96186165084544</v>
      </c>
      <c r="BE55" s="1701">
        <f t="shared" ca="1" si="67"/>
        <v>3713.4283366508457</v>
      </c>
      <c r="BF55" s="1702">
        <f ca="1">BE57</f>
        <v>1116.4223366508454</v>
      </c>
      <c r="BG55" s="1706">
        <f ca="1">BF57</f>
        <v>116.40158665084539</v>
      </c>
      <c r="BH55" s="1701">
        <f t="shared" ca="1" si="67"/>
        <v>1518.4015866508453</v>
      </c>
      <c r="BI55" s="1701">
        <f t="shared" ca="1" si="67"/>
        <v>269.40158665084527</v>
      </c>
      <c r="BJ55" s="1702">
        <f t="shared" ca="1" si="67"/>
        <v>182.40158665084527</v>
      </c>
      <c r="BK55" s="1701">
        <f t="shared" ca="1" si="67"/>
        <v>199.40158665084527</v>
      </c>
      <c r="BL55" s="1701">
        <f t="shared" ref="BL55:BR55" ca="1" si="68">BK57</f>
        <v>464.40158665084527</v>
      </c>
      <c r="BM55" s="1701">
        <f t="shared" ca="1" si="68"/>
        <v>202.40158665084527</v>
      </c>
      <c r="BN55" s="1701">
        <f t="shared" ca="1" si="68"/>
        <v>254.40158665084527</v>
      </c>
      <c r="BO55" s="1743">
        <f t="shared" ca="1" si="68"/>
        <v>156.40158665084527</v>
      </c>
      <c r="BP55" s="1744">
        <f t="shared" ca="1" si="68"/>
        <v>207.40158665084527</v>
      </c>
      <c r="BQ55" s="1744">
        <f t="shared" ca="1" si="68"/>
        <v>169.40158665084527</v>
      </c>
      <c r="BR55" s="1745">
        <f t="shared" ca="1" si="68"/>
        <v>722.40158665084527</v>
      </c>
      <c r="BS55" s="1743">
        <f ca="1">BR57</f>
        <v>128</v>
      </c>
      <c r="BT55" s="1744">
        <f ca="1">BS57</f>
        <v>155</v>
      </c>
      <c r="BU55" s="1744">
        <f ca="1">BT57</f>
        <v>155</v>
      </c>
      <c r="BV55" s="1745">
        <f ca="1">BU57</f>
        <v>355</v>
      </c>
      <c r="BW55" s="1744">
        <f t="shared" ref="BW55:CC55" ca="1" si="69">BV57</f>
        <v>128</v>
      </c>
      <c r="BX55" s="1744">
        <f t="shared" ca="1" si="69"/>
        <v>440</v>
      </c>
      <c r="BY55" s="1744">
        <f t="shared" ca="1" si="69"/>
        <v>193</v>
      </c>
      <c r="BZ55" s="1745">
        <f t="shared" ca="1" si="69"/>
        <v>142</v>
      </c>
      <c r="CA55" s="1744">
        <f t="shared" ca="1" si="69"/>
        <v>224</v>
      </c>
      <c r="CB55" s="1744">
        <f t="shared" ca="1" si="69"/>
        <v>216</v>
      </c>
      <c r="CC55" s="1744">
        <f t="shared" ca="1" si="69"/>
        <v>6357</v>
      </c>
      <c r="CD55" s="1745">
        <f t="shared" ref="CD55" ca="1" si="70">CC57</f>
        <v>6164</v>
      </c>
      <c r="CE55" s="1744">
        <f ca="1">CD57</f>
        <v>589</v>
      </c>
      <c r="CF55" s="1744">
        <f ca="1">CE57</f>
        <v>428.32109297615216</v>
      </c>
      <c r="CG55" s="1744">
        <f ca="1">CF57</f>
        <v>435.01602772112005</v>
      </c>
      <c r="CH55" s="1745">
        <f ca="1">CG57</f>
        <v>500.125604309045</v>
      </c>
      <c r="CI55" s="632"/>
      <c r="CQ55" s="2074"/>
    </row>
    <row r="56" spans="1:95" s="3532" customFormat="1">
      <c r="A56" s="2770" t="s">
        <v>1966</v>
      </c>
      <c r="B56" s="2634"/>
      <c r="C56" s="2634"/>
      <c r="D56" s="413"/>
      <c r="E56" s="413"/>
      <c r="F56" s="413"/>
      <c r="G56" s="413"/>
      <c r="H56" s="413"/>
      <c r="I56" s="1701"/>
      <c r="J56" s="1701"/>
      <c r="K56" s="1701"/>
      <c r="L56" s="1701"/>
      <c r="M56" s="1701"/>
      <c r="N56" s="1701">
        <f>SUM(BK56:BN56)</f>
        <v>0</v>
      </c>
      <c r="O56" s="1710">
        <f>SUM(BO56:BR56)</f>
        <v>12</v>
      </c>
      <c r="P56" s="1710">
        <f>SUM(BS56:BV56)</f>
        <v>2</v>
      </c>
      <c r="Q56" s="1710"/>
      <c r="R56" s="1710"/>
      <c r="S56" s="1710"/>
      <c r="T56" s="1701"/>
      <c r="U56" s="1701"/>
      <c r="V56" s="1701"/>
      <c r="W56" s="1701"/>
      <c r="X56" s="1701"/>
      <c r="Y56" s="820"/>
      <c r="Z56" s="679"/>
      <c r="AA56" s="490"/>
      <c r="AB56" s="413"/>
      <c r="AC56" s="413"/>
      <c r="AD56" s="414"/>
      <c r="AE56" s="490"/>
      <c r="AF56" s="413"/>
      <c r="AG56" s="413"/>
      <c r="AH56" s="414"/>
      <c r="AI56" s="490"/>
      <c r="AJ56" s="413"/>
      <c r="AK56" s="413"/>
      <c r="AL56" s="414"/>
      <c r="AM56" s="490"/>
      <c r="AN56" s="413"/>
      <c r="AO56" s="413"/>
      <c r="AP56" s="413"/>
      <c r="AQ56" s="490"/>
      <c r="AR56" s="413"/>
      <c r="AS56" s="413"/>
      <c r="AT56" s="414"/>
      <c r="AU56" s="490"/>
      <c r="AV56" s="413"/>
      <c r="AW56" s="413"/>
      <c r="AX56" s="414"/>
      <c r="AY56" s="1725"/>
      <c r="AZ56" s="1701"/>
      <c r="BA56" s="1701"/>
      <c r="BB56" s="1701"/>
      <c r="BC56" s="1725"/>
      <c r="BD56" s="1701"/>
      <c r="BE56" s="1701"/>
      <c r="BF56" s="1702"/>
      <c r="BG56" s="1706"/>
      <c r="BH56" s="1701"/>
      <c r="BI56" s="1701"/>
      <c r="BJ56" s="1702"/>
      <c r="BK56" s="1701"/>
      <c r="BL56" s="1701"/>
      <c r="BM56" s="1701"/>
      <c r="BN56" s="1701"/>
      <c r="BO56" s="1743"/>
      <c r="BP56" s="1744"/>
      <c r="BQ56" s="1744"/>
      <c r="BR56" s="1745">
        <v>12</v>
      </c>
      <c r="BS56" s="1743"/>
      <c r="BT56" s="1744"/>
      <c r="BU56" s="1744"/>
      <c r="BV56" s="1745">
        <v>2</v>
      </c>
      <c r="BW56" s="1744"/>
      <c r="BX56" s="1744"/>
      <c r="BY56" s="1744"/>
      <c r="BZ56" s="1745"/>
      <c r="CA56" s="1744"/>
      <c r="CB56" s="1744"/>
      <c r="CC56" s="1744"/>
      <c r="CD56" s="1745"/>
      <c r="CE56" s="1744"/>
      <c r="CF56" s="1744"/>
      <c r="CG56" s="1744"/>
      <c r="CH56" s="1745"/>
      <c r="CI56" s="632"/>
      <c r="CJ56"/>
      <c r="CK56"/>
      <c r="CL56"/>
      <c r="CM56"/>
      <c r="CN56"/>
      <c r="CO56"/>
    </row>
    <row r="57" spans="1:95">
      <c r="A57" s="686" t="s">
        <v>1084</v>
      </c>
      <c r="B57" s="686"/>
      <c r="C57" s="686"/>
      <c r="D57" s="687">
        <f>Z57</f>
        <v>203.18099999999993</v>
      </c>
      <c r="E57" s="687">
        <f t="shared" ref="E57:P57" si="71">E55+E53</f>
        <v>167.21500000000003</v>
      </c>
      <c r="F57" s="688">
        <f t="shared" si="71"/>
        <v>158.84600000000012</v>
      </c>
      <c r="G57" s="687">
        <f t="shared" si="71"/>
        <v>78.66800000000012</v>
      </c>
      <c r="H57" s="688">
        <f t="shared" si="71"/>
        <v>103.40200000000004</v>
      </c>
      <c r="I57" s="687">
        <f t="shared" si="71"/>
        <v>915.32699999999988</v>
      </c>
      <c r="J57" s="687">
        <f t="shared" si="71"/>
        <v>2245.1620121599985</v>
      </c>
      <c r="K57" s="687">
        <f t="shared" si="71"/>
        <v>545.06786167999826</v>
      </c>
      <c r="L57" s="687">
        <f t="shared" ca="1" si="71"/>
        <v>116.40158667999867</v>
      </c>
      <c r="M57" s="687">
        <f t="shared" ca="1" si="71"/>
        <v>199.40158667999867</v>
      </c>
      <c r="N57" s="747">
        <f t="shared" ca="1" si="71"/>
        <v>156.40158667999867</v>
      </c>
      <c r="O57" s="687">
        <f t="shared" ca="1" si="71"/>
        <v>116</v>
      </c>
      <c r="P57" s="687">
        <f t="shared" ca="1" si="71"/>
        <v>114</v>
      </c>
      <c r="Q57" s="687">
        <f t="shared" ref="Q57:V57" ca="1" si="72">Q55+Q53</f>
        <v>210</v>
      </c>
      <c r="R57" s="687">
        <f ca="1">+CD57</f>
        <v>589</v>
      </c>
      <c r="S57" s="687">
        <f ca="1">S55+S53</f>
        <v>588.82697139099037</v>
      </c>
      <c r="T57" s="687">
        <f t="shared" ca="1" si="72"/>
        <v>989.59286944263386</v>
      </c>
      <c r="U57" s="687">
        <f t="shared" ca="1" si="72"/>
        <v>1421.4817072606074</v>
      </c>
      <c r="V57" s="687">
        <f t="shared" ca="1" si="72"/>
        <v>2015.6347317919244</v>
      </c>
      <c r="W57" s="687">
        <f ca="1">W55+W53</f>
        <v>2759.8966747809018</v>
      </c>
      <c r="X57" s="687">
        <f ca="1">X55+X53</f>
        <v>3255.4748025285762</v>
      </c>
      <c r="Y57" s="820"/>
      <c r="Z57" s="691">
        <f t="shared" ref="Z57:BO57" si="73">+Z55+Z53</f>
        <v>203.18099999999993</v>
      </c>
      <c r="AA57" s="621">
        <f t="shared" si="73"/>
        <v>273.29300000000001</v>
      </c>
      <c r="AB57" s="613">
        <f t="shared" si="73"/>
        <v>96.385999999999967</v>
      </c>
      <c r="AC57" s="613">
        <f t="shared" si="73"/>
        <v>168.97499999999991</v>
      </c>
      <c r="AD57" s="620">
        <f t="shared" si="73"/>
        <v>167.21499999999992</v>
      </c>
      <c r="AE57" s="621">
        <f t="shared" si="73"/>
        <v>129.33099999999993</v>
      </c>
      <c r="AF57" s="613">
        <f t="shared" si="73"/>
        <v>100.46199999999993</v>
      </c>
      <c r="AG57" s="613">
        <f t="shared" si="73"/>
        <v>268.50099999999992</v>
      </c>
      <c r="AH57" s="620">
        <f t="shared" si="73"/>
        <v>158.84599999999992</v>
      </c>
      <c r="AI57" s="621">
        <f t="shared" si="73"/>
        <v>458.26555912915518</v>
      </c>
      <c r="AJ57" s="613">
        <f t="shared" si="73"/>
        <v>51.768999970844902</v>
      </c>
      <c r="AK57" s="613">
        <f t="shared" si="73"/>
        <v>66.69399997084497</v>
      </c>
      <c r="AL57" s="620">
        <f t="shared" si="73"/>
        <v>78.667999970845017</v>
      </c>
      <c r="AM57" s="621">
        <f t="shared" si="73"/>
        <v>809.74899997084515</v>
      </c>
      <c r="AN57" s="613">
        <f t="shared" si="73"/>
        <v>57.524999970845329</v>
      </c>
      <c r="AO57" s="613">
        <f t="shared" si="73"/>
        <v>68.713999970845464</v>
      </c>
      <c r="AP57" s="613">
        <f t="shared" si="73"/>
        <v>103.40199997084531</v>
      </c>
      <c r="AQ57" s="621">
        <f t="shared" si="73"/>
        <v>724.53899997084511</v>
      </c>
      <c r="AR57" s="613">
        <f t="shared" si="73"/>
        <v>876.89999997084499</v>
      </c>
      <c r="AS57" s="613">
        <f t="shared" si="73"/>
        <v>927.956999970845</v>
      </c>
      <c r="AT57" s="620">
        <f t="shared" si="73"/>
        <v>915.32699997084512</v>
      </c>
      <c r="AU57" s="689">
        <f t="shared" si="73"/>
        <v>633.93500285084485</v>
      </c>
      <c r="AV57" s="687">
        <f t="shared" si="73"/>
        <v>1604.732549410845</v>
      </c>
      <c r="AW57" s="687">
        <f t="shared" si="73"/>
        <v>2309.7361474908448</v>
      </c>
      <c r="AX57" s="690">
        <f t="shared" si="73"/>
        <v>2245.1620121308447</v>
      </c>
      <c r="AY57" s="689">
        <f t="shared" si="73"/>
        <v>1169.5180724108448</v>
      </c>
      <c r="AZ57" s="687">
        <f t="shared" si="73"/>
        <v>1047.874247050845</v>
      </c>
      <c r="BA57" s="687">
        <f t="shared" si="73"/>
        <v>2188.1655055308452</v>
      </c>
      <c r="BB57" s="687">
        <f t="shared" si="73"/>
        <v>544.72786165084517</v>
      </c>
      <c r="BC57" s="750">
        <f ca="1">+BC55+BC53</f>
        <v>693.96186165084544</v>
      </c>
      <c r="BD57" s="747">
        <f ca="1">+BD55+BD53</f>
        <v>3713.4283366508457</v>
      </c>
      <c r="BE57" s="747">
        <f ca="1">+BE55+BE53</f>
        <v>1116.4223366508454</v>
      </c>
      <c r="BF57" s="2290">
        <f t="shared" ca="1" si="73"/>
        <v>116.40158665084539</v>
      </c>
      <c r="BG57" s="2291">
        <f t="shared" ca="1" si="73"/>
        <v>1518.4015866508453</v>
      </c>
      <c r="BH57" s="747">
        <f t="shared" ca="1" si="73"/>
        <v>269.40158665084527</v>
      </c>
      <c r="BI57" s="747">
        <f t="shared" ca="1" si="73"/>
        <v>182.40158665084527</v>
      </c>
      <c r="BJ57" s="748">
        <f t="shared" ca="1" si="73"/>
        <v>199.40158665084527</v>
      </c>
      <c r="BK57" s="747">
        <f t="shared" ca="1" si="73"/>
        <v>464.40158665084527</v>
      </c>
      <c r="BL57" s="747">
        <f t="shared" ca="1" si="73"/>
        <v>202.40158665084527</v>
      </c>
      <c r="BM57" s="747">
        <f t="shared" ca="1" si="73"/>
        <v>254.40158665084527</v>
      </c>
      <c r="BN57" s="747">
        <f t="shared" ca="1" si="73"/>
        <v>156.40158665084527</v>
      </c>
      <c r="BO57" s="2558">
        <f t="shared" ca="1" si="73"/>
        <v>207.40158665084527</v>
      </c>
      <c r="BP57" s="2559">
        <f t="shared" ref="BP57:BU57" ca="1" si="74">+BP55+BP53</f>
        <v>169.40158665084527</v>
      </c>
      <c r="BQ57" s="2559">
        <f t="shared" ca="1" si="74"/>
        <v>722.40158665084527</v>
      </c>
      <c r="BR57" s="3555">
        <f ca="1">ROUNDDOWN(BR55+BR53+BR56,0)</f>
        <v>128</v>
      </c>
      <c r="BS57" s="2558">
        <f ca="1">+BS55+BS53</f>
        <v>155</v>
      </c>
      <c r="BT57" s="2559">
        <f t="shared" ca="1" si="74"/>
        <v>155</v>
      </c>
      <c r="BU57" s="2559">
        <f t="shared" ca="1" si="74"/>
        <v>355</v>
      </c>
      <c r="BV57" s="2560">
        <f ca="1">ROUNDDOWN(BV55+BV53+BV56,0)</f>
        <v>128</v>
      </c>
      <c r="BW57" s="2559">
        <f t="shared" ref="BW57:BY57" ca="1" si="75">+BW55+BW53</f>
        <v>440</v>
      </c>
      <c r="BX57" s="2559">
        <f t="shared" ca="1" si="75"/>
        <v>193</v>
      </c>
      <c r="BY57" s="2559">
        <f t="shared" ca="1" si="75"/>
        <v>142</v>
      </c>
      <c r="BZ57" s="2560">
        <f ca="1">ROUNDDOWN(BZ55+BZ53+BZ56,0)</f>
        <v>224</v>
      </c>
      <c r="CA57" s="2559">
        <f ca="1">+CA55+CA53+CA56</f>
        <v>216</v>
      </c>
      <c r="CB57" s="2559">
        <f ca="1">+CB55+CB53+CB56</f>
        <v>6357</v>
      </c>
      <c r="CC57" s="2559">
        <f ca="1">+CC55+CC53+CC56</f>
        <v>6164</v>
      </c>
      <c r="CD57" s="2560">
        <f t="shared" ref="CD57" ca="1" si="76">+CD55+CD53+CD56</f>
        <v>589</v>
      </c>
      <c r="CE57" s="2559">
        <f ca="1">+CE55+CE53</f>
        <v>428.32109297615216</v>
      </c>
      <c r="CF57" s="2559">
        <f ca="1">+CF55+CF53</f>
        <v>435.01602772112005</v>
      </c>
      <c r="CG57" s="2559">
        <f ca="1">+CG55+CG53</f>
        <v>500.125604309045</v>
      </c>
      <c r="CH57" s="2560">
        <f ca="1">+CH55+CH53</f>
        <v>588.82697139099002</v>
      </c>
      <c r="CI57" s="632"/>
      <c r="CQ57" s="2074"/>
    </row>
    <row r="58" spans="1:95" hidden="1" outlineLevel="1">
      <c r="A58" s="692" t="s">
        <v>795</v>
      </c>
      <c r="B58" s="692"/>
      <c r="C58" s="692"/>
      <c r="D58" s="693">
        <f>D57-BS!D11</f>
        <v>0</v>
      </c>
      <c r="E58" s="693">
        <f>E57-BS!E11</f>
        <v>-199.99999999999994</v>
      </c>
      <c r="F58" s="693">
        <f>F57-BS!F11</f>
        <v>-199.99999999999989</v>
      </c>
      <c r="G58" s="693">
        <f>G57-BS!G11</f>
        <v>1.1368683772161603E-13</v>
      </c>
      <c r="H58" s="693">
        <f>H57-BS!H11</f>
        <v>0</v>
      </c>
      <c r="I58" s="693">
        <f>I57-BS!I11</f>
        <v>2.9154762160032988E-8</v>
      </c>
      <c r="J58" s="693">
        <f>J57-BS!J11</f>
        <v>2.9153852665331215E-8</v>
      </c>
      <c r="K58" s="693">
        <f>K57-BS!K11</f>
        <v>6.7861679998259206E-2</v>
      </c>
      <c r="L58" s="693">
        <f ca="1">L57-BS!L11</f>
        <v>-11.598413320001328</v>
      </c>
      <c r="M58" s="693">
        <f ca="1">M57-BS!M11</f>
        <v>-11.598413320001328</v>
      </c>
      <c r="N58" s="693">
        <f ca="1">N57-BS!N11</f>
        <v>-11.598413320001328</v>
      </c>
      <c r="O58" s="2218">
        <f ca="1">ROUNDDOWN(O57-BS!O11,0)</f>
        <v>-12</v>
      </c>
      <c r="P58" s="2218">
        <f ca="1">ROUNDDOWN(P57-BS!P11,0)</f>
        <v>-14</v>
      </c>
      <c r="Q58" s="2218">
        <f ca="1">ROUNDDOWN(Q57-BS!Q11,0)</f>
        <v>-14</v>
      </c>
      <c r="R58" s="2218">
        <f ca="1">R57-BS!R11</f>
        <v>0</v>
      </c>
      <c r="S58" s="2218">
        <f ca="1">S57-BS!S11</f>
        <v>0</v>
      </c>
      <c r="T58" s="693">
        <f ca="1">T57-BS!T11</f>
        <v>0</v>
      </c>
      <c r="U58" s="693">
        <f ca="1">U57-BS!U11</f>
        <v>0</v>
      </c>
      <c r="V58" s="693">
        <f ca="1">V57-BS!V11</f>
        <v>0</v>
      </c>
      <c r="W58" s="693">
        <f ca="1">W57-BS!W11</f>
        <v>0</v>
      </c>
      <c r="X58" s="693">
        <f ca="1">X57-BS!X11</f>
        <v>0</v>
      </c>
      <c r="Y58" s="820"/>
      <c r="Z58" s="696">
        <f>Z57-BS!AC11</f>
        <v>0</v>
      </c>
      <c r="AA58" s="694">
        <f>AA57-BS!AD11</f>
        <v>0</v>
      </c>
      <c r="AB58" s="693">
        <f>AB57-BS!AE11</f>
        <v>0</v>
      </c>
      <c r="AC58" s="693">
        <f>AC57-BS!AF11</f>
        <v>0</v>
      </c>
      <c r="AD58" s="695">
        <f>AD57-BS!AG11</f>
        <v>-200.00000000000006</v>
      </c>
      <c r="AE58" s="694">
        <f>AE57-BS!AH11</f>
        <v>-200.00000000000009</v>
      </c>
      <c r="AF58" s="693">
        <f>AF57-BS!AI11</f>
        <v>-200.00000000000006</v>
      </c>
      <c r="AG58" s="693">
        <f>AG57-BS!AJ11</f>
        <v>-200.00000000000006</v>
      </c>
      <c r="AH58" s="695">
        <f>AH57-BS!AK11</f>
        <v>-200.00000000000009</v>
      </c>
      <c r="AI58" s="694">
        <f>AI57-BS!AL11</f>
        <v>0</v>
      </c>
      <c r="AJ58" s="693">
        <f>AJ57-BS!AM11</f>
        <v>-2.9155096115118795E-8</v>
      </c>
      <c r="AK58" s="693">
        <f>AK57-BS!AN11</f>
        <v>-2.9155032166272576E-8</v>
      </c>
      <c r="AL58" s="695">
        <f>AL57-BS!AO11</f>
        <v>-2.9154989533708431E-8</v>
      </c>
      <c r="AM58" s="694">
        <f>AM57-BS!AP11</f>
        <v>-2.9154875846870709E-8</v>
      </c>
      <c r="AN58" s="693">
        <f>AN57-BS!AQ11</f>
        <v>-2.9154669789477339E-8</v>
      </c>
      <c r="AO58" s="693">
        <f>AO57-BS!AR11</f>
        <v>-2.9154534786357544E-8</v>
      </c>
      <c r="AP58" s="693">
        <f>AP57-BS!AS11</f>
        <v>-2.9154691105759412E-8</v>
      </c>
      <c r="AQ58" s="694">
        <f>AQ57-BS!AT11</f>
        <v>0</v>
      </c>
      <c r="AR58" s="693">
        <f>AR57-BS!AU11</f>
        <v>0</v>
      </c>
      <c r="AS58" s="693">
        <f>AS57-BS!AV11</f>
        <v>0</v>
      </c>
      <c r="AT58" s="695">
        <f>AT57-BS!AW11</f>
        <v>0</v>
      </c>
      <c r="AU58" s="694">
        <f>AU57-BS!AX11</f>
        <v>0</v>
      </c>
      <c r="AV58" s="693">
        <f>AV57-BS!AY11</f>
        <v>0</v>
      </c>
      <c r="AW58" s="693">
        <f>AW57-BS!AZ11</f>
        <v>0</v>
      </c>
      <c r="AX58" s="695">
        <f>AX57-BS!BA11</f>
        <v>0</v>
      </c>
      <c r="AY58" s="694">
        <f>AY57-BS!BB11</f>
        <v>0</v>
      </c>
      <c r="AZ58" s="693">
        <f>AZ57-BS!BC11</f>
        <v>0</v>
      </c>
      <c r="BA58" s="693">
        <f>BA57-BS!BD11</f>
        <v>0</v>
      </c>
      <c r="BB58" s="693">
        <f>BB57-BS!BE11</f>
        <v>-0.27213834915482948</v>
      </c>
      <c r="BC58" s="694">
        <f ca="1">BC57-BS!BF11</f>
        <v>-3.8138349154564821E-2</v>
      </c>
      <c r="BD58" s="693">
        <f ca="1">BD57-BS!BG11</f>
        <v>1167.4283366508457</v>
      </c>
      <c r="BE58" s="693">
        <f ca="1">BE57-BS!BH11</f>
        <v>-6.5776633491545908</v>
      </c>
      <c r="BF58" s="695">
        <f ca="1">BF57-BS!BI11</f>
        <v>-11.598413349154612</v>
      </c>
      <c r="BG58" s="693">
        <f ca="1">BG57-BS!BJ11</f>
        <v>-11.598413349154725</v>
      </c>
      <c r="BH58" s="693">
        <f ca="1">BH57-BS!BK11</f>
        <v>-11.598413349154725</v>
      </c>
      <c r="BI58" s="693">
        <f ca="1">BI57-BS!BL11</f>
        <v>-11.598413349154725</v>
      </c>
      <c r="BJ58" s="695">
        <f ca="1">BJ57-BS!BM11</f>
        <v>-11.598413349154725</v>
      </c>
      <c r="BK58" s="693">
        <f ca="1">BK57-BS!BN11</f>
        <v>-11.598413349154725</v>
      </c>
      <c r="BL58" s="693">
        <f ca="1">BL57-BS!BO11</f>
        <v>-11.598413349154725</v>
      </c>
      <c r="BM58" s="693">
        <f ca="1">BM57-BS!BP11</f>
        <v>-11.598413349154725</v>
      </c>
      <c r="BN58" s="693">
        <f ca="1">BN57-BS!BQ11</f>
        <v>-11.598413349154725</v>
      </c>
      <c r="BO58" s="694">
        <f ca="1">BO57-BS!BR11</f>
        <v>-11.598413349154725</v>
      </c>
      <c r="BP58" s="693">
        <f ca="1">BP57-BS!BS11</f>
        <v>-11.598413349154725</v>
      </c>
      <c r="BQ58" s="693">
        <f ca="1">BQ57-BS!BT11</f>
        <v>-11.598413349154725</v>
      </c>
      <c r="BR58" s="695">
        <f ca="1">ROUNDDOWN(BR57-BS!BU11,0)</f>
        <v>0</v>
      </c>
      <c r="BS58" s="693">
        <f ca="1">BS57-BS!BV11</f>
        <v>0</v>
      </c>
      <c r="BT58" s="693">
        <f ca="1">BT57-BS!BW11</f>
        <v>0</v>
      </c>
      <c r="BU58" s="693">
        <f ca="1">BU57-BS!BX11</f>
        <v>0</v>
      </c>
      <c r="BV58" s="695">
        <f ca="1">BV57-BS!BY11</f>
        <v>0</v>
      </c>
      <c r="BW58" s="693">
        <f ca="1">BW57-BS!BZ11</f>
        <v>0</v>
      </c>
      <c r="BX58" s="693">
        <f ca="1">BX57-BS!CA11</f>
        <v>0</v>
      </c>
      <c r="BY58" s="693">
        <f ca="1">BY57-BS!CB11</f>
        <v>0</v>
      </c>
      <c r="BZ58" s="695">
        <f ca="1">BZ57-BS!CC11</f>
        <v>0</v>
      </c>
      <c r="CA58" s="693">
        <f ca="1">CA57-BS!CD11</f>
        <v>0</v>
      </c>
      <c r="CB58" s="693">
        <f ca="1">CB57-BS!CE11</f>
        <v>0</v>
      </c>
      <c r="CC58" s="693">
        <f ca="1">CC57-BS!CF11</f>
        <v>0</v>
      </c>
      <c r="CD58" s="695">
        <f ca="1">CD57-BS!CG11</f>
        <v>0</v>
      </c>
      <c r="CE58" s="693">
        <f ca="1">CE57-BS!CH11</f>
        <v>0</v>
      </c>
      <c r="CF58" s="693">
        <f ca="1">CF57-BS!CI11</f>
        <v>0</v>
      </c>
      <c r="CG58" s="693">
        <f ca="1">CG57-BS!CJ11</f>
        <v>0</v>
      </c>
      <c r="CH58" s="695">
        <f ca="1">CH57-BS!CK11</f>
        <v>0</v>
      </c>
      <c r="CI58" s="632"/>
    </row>
    <row r="59" spans="1:95" collapsed="1">
      <c r="A59" s="697"/>
      <c r="B59" s="697"/>
      <c r="C59" s="697"/>
      <c r="D59" s="698"/>
      <c r="E59" s="698"/>
      <c r="F59" s="698"/>
      <c r="G59" s="698"/>
      <c r="H59" s="698"/>
      <c r="I59" s="698"/>
      <c r="J59" s="698"/>
      <c r="K59" s="698"/>
      <c r="L59" s="698"/>
      <c r="M59" s="698"/>
      <c r="N59" s="698"/>
      <c r="O59" s="698"/>
      <c r="P59" s="698"/>
      <c r="Q59" s="698"/>
      <c r="R59" s="698"/>
      <c r="S59" s="698"/>
      <c r="T59" s="698"/>
      <c r="U59" s="698"/>
      <c r="V59" s="698"/>
      <c r="W59" s="698"/>
      <c r="X59" s="698"/>
      <c r="Y59" s="820"/>
      <c r="Z59" s="3592"/>
      <c r="AA59" s="699"/>
      <c r="AB59" s="698"/>
      <c r="AC59" s="698"/>
      <c r="AD59" s="700"/>
      <c r="AE59" s="699"/>
      <c r="AF59" s="698"/>
      <c r="AG59" s="698"/>
      <c r="AH59" s="700"/>
      <c r="AI59" s="699"/>
      <c r="AJ59" s="698"/>
      <c r="AK59" s="698"/>
      <c r="AL59" s="700"/>
      <c r="AM59" s="699"/>
      <c r="AN59" s="698"/>
      <c r="AO59" s="698"/>
      <c r="AP59" s="698"/>
      <c r="AQ59" s="699"/>
      <c r="AR59" s="698"/>
      <c r="AS59" s="698"/>
      <c r="AT59" s="700"/>
      <c r="AU59" s="699"/>
      <c r="AV59" s="698"/>
      <c r="AW59" s="698"/>
      <c r="AX59" s="700"/>
      <c r="AY59" s="699"/>
      <c r="AZ59" s="698"/>
      <c r="BA59" s="698"/>
      <c r="BB59" s="698"/>
      <c r="BC59" s="699"/>
      <c r="BD59" s="698"/>
      <c r="BE59" s="698"/>
      <c r="BF59" s="700"/>
      <c r="BG59" s="698"/>
      <c r="BH59" s="698"/>
      <c r="BI59" s="698"/>
      <c r="BJ59" s="700"/>
      <c r="BK59" s="698"/>
      <c r="BL59" s="698"/>
      <c r="BM59" s="698"/>
      <c r="BN59" s="698"/>
      <c r="BO59" s="699"/>
      <c r="BP59" s="698"/>
      <c r="BQ59" s="698"/>
      <c r="BR59" s="700"/>
      <c r="BS59" s="698"/>
      <c r="BT59" s="698"/>
      <c r="BU59" s="698"/>
      <c r="BV59" s="700"/>
      <c r="BW59" s="698"/>
      <c r="BX59" s="698"/>
      <c r="BY59" s="698"/>
      <c r="BZ59" s="700"/>
      <c r="CA59" s="698"/>
      <c r="CB59" s="698"/>
      <c r="CC59" s="698"/>
      <c r="CD59" s="700"/>
      <c r="CE59" s="698"/>
      <c r="CF59" s="698"/>
      <c r="CG59" s="698"/>
      <c r="CH59" s="700"/>
      <c r="CI59" s="632"/>
    </row>
    <row r="60" spans="1:95">
      <c r="A60" s="3644" t="s">
        <v>1085</v>
      </c>
      <c r="B60" s="3644"/>
      <c r="C60" s="3644"/>
      <c r="D60" s="3645"/>
      <c r="E60" s="3645"/>
      <c r="F60" s="3645"/>
      <c r="G60" s="3645"/>
      <c r="H60" s="3645"/>
      <c r="I60" s="3645"/>
      <c r="J60" s="3645"/>
      <c r="K60" s="3645"/>
      <c r="L60" s="3645"/>
      <c r="M60" s="3645"/>
      <c r="N60" s="3645"/>
      <c r="O60" s="3645"/>
      <c r="P60" s="3645"/>
      <c r="Q60" s="3645"/>
      <c r="R60" s="3645"/>
      <c r="S60" s="3645"/>
      <c r="T60" s="3645"/>
      <c r="U60" s="3645"/>
      <c r="V60" s="3645"/>
      <c r="W60" s="3645"/>
      <c r="X60" s="3645"/>
      <c r="Y60" s="820"/>
      <c r="Z60" s="3646"/>
      <c r="AA60" s="3647"/>
      <c r="AB60" s="3645"/>
      <c r="AC60" s="3645"/>
      <c r="AD60" s="3648"/>
      <c r="AE60" s="3647"/>
      <c r="AF60" s="3645"/>
      <c r="AG60" s="3645"/>
      <c r="AH60" s="3648"/>
      <c r="AI60" s="3647"/>
      <c r="AJ60" s="3645"/>
      <c r="AK60" s="3645"/>
      <c r="AL60" s="3648"/>
      <c r="AM60" s="3647"/>
      <c r="AN60" s="3645"/>
      <c r="AO60" s="3645"/>
      <c r="AP60" s="3645"/>
      <c r="AQ60" s="3647"/>
      <c r="AR60" s="3645"/>
      <c r="AS60" s="3645"/>
      <c r="AT60" s="3648"/>
      <c r="AU60" s="3647"/>
      <c r="AV60" s="3645"/>
      <c r="AW60" s="3645"/>
      <c r="AX60" s="3648"/>
      <c r="AY60" s="3647"/>
      <c r="AZ60" s="3645"/>
      <c r="BA60" s="3645"/>
      <c r="BB60" s="3645"/>
      <c r="BC60" s="3647"/>
      <c r="BD60" s="3645"/>
      <c r="BE60" s="3645"/>
      <c r="BF60" s="3648"/>
      <c r="BG60" s="3645"/>
      <c r="BH60" s="3645"/>
      <c r="BI60" s="3645"/>
      <c r="BJ60" s="3648"/>
      <c r="BK60" s="3649"/>
      <c r="BL60" s="3650"/>
      <c r="BM60" s="3650"/>
      <c r="BN60" s="3650"/>
      <c r="BO60" s="3649"/>
      <c r="BP60" s="3650"/>
      <c r="BQ60" s="3650"/>
      <c r="BR60" s="3651"/>
      <c r="BS60" s="3650"/>
      <c r="BT60" s="3650"/>
      <c r="BU60" s="3650"/>
      <c r="BV60" s="3651"/>
      <c r="BW60" s="3650"/>
      <c r="BX60" s="3650"/>
      <c r="BY60" s="3650"/>
      <c r="BZ60" s="3651"/>
      <c r="CA60" s="3650"/>
      <c r="CB60" s="3650"/>
      <c r="CC60" s="3650"/>
      <c r="CD60" s="3651"/>
      <c r="CE60" s="3650"/>
      <c r="CF60" s="3650"/>
      <c r="CG60" s="3650"/>
      <c r="CH60" s="3651"/>
      <c r="CI60" s="632"/>
    </row>
    <row r="61" spans="1:95">
      <c r="A61" s="399" t="s">
        <v>1086</v>
      </c>
      <c r="B61" s="399"/>
      <c r="C61" s="399"/>
      <c r="D61" s="413">
        <f t="shared" ref="D61:O61" si="77">+D30+D34</f>
        <v>0</v>
      </c>
      <c r="E61" s="413">
        <f t="shared" si="77"/>
        <v>570.5150000000001</v>
      </c>
      <c r="F61" s="413">
        <f t="shared" si="77"/>
        <v>549.86700000000008</v>
      </c>
      <c r="G61" s="413">
        <f t="shared" si="77"/>
        <v>1143.6777069824577</v>
      </c>
      <c r="H61" s="413">
        <f t="shared" si="77"/>
        <v>1498.9409999999998</v>
      </c>
      <c r="I61" s="413">
        <f t="shared" si="77"/>
        <v>2748.4829999999993</v>
      </c>
      <c r="J61" s="413">
        <f t="shared" si="77"/>
        <v>3802.5039999999981</v>
      </c>
      <c r="K61" s="413">
        <f t="shared" si="77"/>
        <v>3982.1410000000005</v>
      </c>
      <c r="L61" s="413">
        <f t="shared" ca="1" si="77"/>
        <v>4742.2089999999989</v>
      </c>
      <c r="M61" s="413">
        <f t="shared" si="77"/>
        <v>3146</v>
      </c>
      <c r="N61" s="413">
        <f>+N30+N34</f>
        <v>2511</v>
      </c>
      <c r="O61" s="413">
        <f t="shared" si="77"/>
        <v>2141</v>
      </c>
      <c r="P61" s="413">
        <f t="shared" ref="P61:U61" si="78">+P30+P34</f>
        <v>2280</v>
      </c>
      <c r="Q61" s="413">
        <f t="shared" si="78"/>
        <v>1627</v>
      </c>
      <c r="R61" s="413">
        <f>+R30+R34</f>
        <v>772</v>
      </c>
      <c r="S61" s="413">
        <f ca="1">+S30+S34</f>
        <v>3273.7282088309903</v>
      </c>
      <c r="T61" s="413">
        <f t="shared" ca="1" si="78"/>
        <v>3119.9528497773581</v>
      </c>
      <c r="U61" s="413">
        <f t="shared" ca="1" si="78"/>
        <v>3347.3002793396067</v>
      </c>
      <c r="V61" s="413">
        <f ca="1">+V30+V34</f>
        <v>3529.778265858587</v>
      </c>
      <c r="W61" s="413">
        <f ca="1">+W30+W34</f>
        <v>3699.1384222263769</v>
      </c>
      <c r="X61" s="413">
        <f ca="1">+X30+X34</f>
        <v>3468.7891192804368</v>
      </c>
      <c r="Y61" s="820"/>
      <c r="Z61" s="704">
        <f t="shared" ref="Z61:BB61" si="79">+Z30+Z34</f>
        <v>118.06199999999997</v>
      </c>
      <c r="AA61" s="570">
        <f t="shared" si="79"/>
        <v>221.69500000000005</v>
      </c>
      <c r="AB61" s="680">
        <f t="shared" si="79"/>
        <v>125.649</v>
      </c>
      <c r="AC61" s="680">
        <f t="shared" si="79"/>
        <v>134.85299999999995</v>
      </c>
      <c r="AD61" s="568">
        <f t="shared" si="79"/>
        <v>88.318000000000012</v>
      </c>
      <c r="AE61" s="570">
        <f t="shared" si="79"/>
        <v>181.916</v>
      </c>
      <c r="AF61" s="680">
        <f t="shared" si="79"/>
        <v>120.08300000000006</v>
      </c>
      <c r="AG61" s="680">
        <f t="shared" si="79"/>
        <v>149.41199999999998</v>
      </c>
      <c r="AH61" s="568">
        <f t="shared" si="79"/>
        <v>98.455999999999989</v>
      </c>
      <c r="AI61" s="570">
        <f t="shared" si="79"/>
        <v>362.14193485844118</v>
      </c>
      <c r="AJ61" s="680">
        <f t="shared" si="79"/>
        <v>106.7497721240166</v>
      </c>
      <c r="AK61" s="680">
        <f t="shared" si="79"/>
        <v>-37.38799999999992</v>
      </c>
      <c r="AL61" s="568">
        <f t="shared" si="79"/>
        <v>712.17399999999998</v>
      </c>
      <c r="AM61" s="570">
        <f t="shared" si="79"/>
        <v>506.83000000000004</v>
      </c>
      <c r="AN61" s="680">
        <f t="shared" si="79"/>
        <v>278.33900000000006</v>
      </c>
      <c r="AO61" s="680">
        <f t="shared" si="79"/>
        <v>480.96300000000014</v>
      </c>
      <c r="AP61" s="680">
        <f t="shared" si="79"/>
        <v>232.80899999999986</v>
      </c>
      <c r="AQ61" s="570">
        <f t="shared" si="79"/>
        <v>556.47099999999978</v>
      </c>
      <c r="AR61" s="680">
        <f t="shared" si="79"/>
        <v>590.11799999999982</v>
      </c>
      <c r="AS61" s="680">
        <f t="shared" si="79"/>
        <v>744.63999999999987</v>
      </c>
      <c r="AT61" s="568">
        <f t="shared" si="79"/>
        <v>857.25400000000002</v>
      </c>
      <c r="AU61" s="570">
        <f t="shared" si="79"/>
        <v>1114.8699999999994</v>
      </c>
      <c r="AV61" s="680">
        <f t="shared" si="79"/>
        <v>1070.3140000000001</v>
      </c>
      <c r="AW61" s="680">
        <f t="shared" si="79"/>
        <v>759.92899999999941</v>
      </c>
      <c r="AX61" s="568">
        <f t="shared" si="79"/>
        <v>857.39099999999996</v>
      </c>
      <c r="AY61" s="570">
        <f t="shared" si="79"/>
        <v>797.1640000000001</v>
      </c>
      <c r="AZ61" s="680">
        <f t="shared" si="79"/>
        <v>867.58300000000031</v>
      </c>
      <c r="BA61" s="680">
        <f t="shared" si="79"/>
        <v>1224.8340000000003</v>
      </c>
      <c r="BB61" s="680">
        <f t="shared" si="79"/>
        <v>1092.22</v>
      </c>
      <c r="BC61" s="570">
        <f t="shared" ref="BC61:BI61" ca="1" si="80">+BC30+BC34</f>
        <v>782.20900000000017</v>
      </c>
      <c r="BD61" s="680">
        <f t="shared" si="80"/>
        <v>1967</v>
      </c>
      <c r="BE61" s="680">
        <f t="shared" si="80"/>
        <v>1502</v>
      </c>
      <c r="BF61" s="568">
        <f t="shared" si="80"/>
        <v>491</v>
      </c>
      <c r="BG61" s="680">
        <f t="shared" si="80"/>
        <v>905</v>
      </c>
      <c r="BH61" s="680">
        <f t="shared" si="80"/>
        <v>589</v>
      </c>
      <c r="BI61" s="680">
        <f t="shared" si="80"/>
        <v>1168</v>
      </c>
      <c r="BJ61" s="568">
        <f t="shared" ref="BJ61:BR61" si="81">+BJ30+BJ34</f>
        <v>484</v>
      </c>
      <c r="BK61" s="680">
        <f t="shared" si="81"/>
        <v>724</v>
      </c>
      <c r="BL61" s="451">
        <f t="shared" si="81"/>
        <v>722</v>
      </c>
      <c r="BM61" s="451">
        <f t="shared" si="81"/>
        <v>751</v>
      </c>
      <c r="BN61" s="2511">
        <f t="shared" si="81"/>
        <v>314</v>
      </c>
      <c r="BO61" s="2512">
        <f>+BO30+BO34</f>
        <v>710</v>
      </c>
      <c r="BP61" s="451">
        <f>+BP30+BP34</f>
        <v>398</v>
      </c>
      <c r="BQ61" s="451">
        <f>+BQ30+BQ34</f>
        <v>716</v>
      </c>
      <c r="BR61" s="568">
        <f t="shared" si="81"/>
        <v>317</v>
      </c>
      <c r="BS61" s="680">
        <f t="shared" ref="BS61:CB61" si="82">+BS30+BS34</f>
        <v>720</v>
      </c>
      <c r="BT61" s="451">
        <f t="shared" si="82"/>
        <v>489</v>
      </c>
      <c r="BU61" s="680">
        <f t="shared" si="82"/>
        <v>708</v>
      </c>
      <c r="BV61" s="568">
        <f t="shared" si="82"/>
        <v>363</v>
      </c>
      <c r="BW61" s="680">
        <f t="shared" si="82"/>
        <v>812</v>
      </c>
      <c r="BX61" s="451">
        <f t="shared" si="82"/>
        <v>525</v>
      </c>
      <c r="BY61" s="451">
        <f t="shared" si="82"/>
        <v>165</v>
      </c>
      <c r="BZ61" s="568">
        <f t="shared" si="82"/>
        <v>125</v>
      </c>
      <c r="CA61" s="680">
        <f>+CA30+CA34</f>
        <v>276</v>
      </c>
      <c r="CB61" s="451">
        <f t="shared" si="82"/>
        <v>-144</v>
      </c>
      <c r="CC61" s="451">
        <f>+CC30+CC34</f>
        <v>205</v>
      </c>
      <c r="CD61" s="568">
        <f t="shared" ref="CD61" si="83">+CD30+CD34</f>
        <v>435</v>
      </c>
      <c r="CE61" s="680">
        <f ca="1">+CE30+CE34</f>
        <v>805.54640233615214</v>
      </c>
      <c r="CF61" s="680">
        <f ca="1">+CF30+CF34</f>
        <v>764.98274410496799</v>
      </c>
      <c r="CG61" s="680">
        <f ca="1">+CG30+CG34</f>
        <v>817.81926094792505</v>
      </c>
      <c r="CH61" s="568">
        <f ca="1">+CH30+CH34</f>
        <v>885.37980144194512</v>
      </c>
      <c r="CI61" s="632"/>
    </row>
    <row r="62" spans="1:95">
      <c r="A62" s="399" t="s">
        <v>1087</v>
      </c>
      <c r="B62" s="399"/>
      <c r="C62" s="399"/>
      <c r="D62" s="413">
        <f t="shared" ref="D62:O62" si="84">+D61+D46</f>
        <v>0</v>
      </c>
      <c r="E62" s="413">
        <f t="shared" si="84"/>
        <v>538.65400000000011</v>
      </c>
      <c r="F62" s="413">
        <f t="shared" si="84"/>
        <v>518.00500000000011</v>
      </c>
      <c r="G62" s="413">
        <f t="shared" si="84"/>
        <v>964.47470698245775</v>
      </c>
      <c r="H62" s="413">
        <f t="shared" si="84"/>
        <v>1102.8889999999997</v>
      </c>
      <c r="I62" s="413">
        <f t="shared" si="84"/>
        <v>1556.2169999999992</v>
      </c>
      <c r="J62" s="413">
        <f t="shared" si="84"/>
        <v>2174.0069121599981</v>
      </c>
      <c r="K62" s="413">
        <f t="shared" si="84"/>
        <v>2237.6998495200005</v>
      </c>
      <c r="L62" s="413">
        <f t="shared" ca="1" si="84"/>
        <v>2958.2747249999989</v>
      </c>
      <c r="M62" s="413">
        <f t="shared" si="84"/>
        <v>1335</v>
      </c>
      <c r="N62" s="413">
        <f t="shared" si="84"/>
        <v>1210</v>
      </c>
      <c r="O62" s="413">
        <f t="shared" si="84"/>
        <v>913</v>
      </c>
      <c r="P62" s="413">
        <f t="shared" ref="P62:U62" si="85">+P61+P46</f>
        <v>1082</v>
      </c>
      <c r="Q62" s="413">
        <f t="shared" si="85"/>
        <v>460</v>
      </c>
      <c r="R62" s="413">
        <f>+R61+R46</f>
        <v>-681</v>
      </c>
      <c r="S62" s="413">
        <f ca="1">+S61+S46</f>
        <v>950.82697139098991</v>
      </c>
      <c r="T62" s="413">
        <f t="shared" ca="1" si="85"/>
        <v>750.76589805164349</v>
      </c>
      <c r="U62" s="413">
        <f t="shared" ca="1" si="85"/>
        <v>956.88883781797358</v>
      </c>
      <c r="V62" s="413">
        <f ca="1">+V61+V46</f>
        <v>1119.1530245313174</v>
      </c>
      <c r="W62" s="413">
        <f ca="1">+W61+W46</f>
        <v>1269.2619429889774</v>
      </c>
      <c r="X62" s="413">
        <f ca="1">+X61+X46</f>
        <v>1020.5781277476749</v>
      </c>
      <c r="Y62" s="820"/>
      <c r="Z62" s="704">
        <f t="shared" ref="Z62:BO62" si="86">+Z61+Z46</f>
        <v>110.03099999999996</v>
      </c>
      <c r="AA62" s="570">
        <f t="shared" si="86"/>
        <v>213.44200000000006</v>
      </c>
      <c r="AB62" s="680">
        <f t="shared" si="86"/>
        <v>117.613</v>
      </c>
      <c r="AC62" s="680">
        <f t="shared" si="86"/>
        <v>126.98299999999995</v>
      </c>
      <c r="AD62" s="568">
        <f t="shared" si="86"/>
        <v>80.616000000000014</v>
      </c>
      <c r="AE62" s="570">
        <f t="shared" si="86"/>
        <v>173.84199999999998</v>
      </c>
      <c r="AF62" s="680">
        <f t="shared" si="86"/>
        <v>112.20100000000005</v>
      </c>
      <c r="AG62" s="680">
        <f t="shared" si="86"/>
        <v>141.45899999999997</v>
      </c>
      <c r="AH62" s="568">
        <f t="shared" si="86"/>
        <v>90.502999999999986</v>
      </c>
      <c r="AI62" s="570">
        <f t="shared" si="86"/>
        <v>354.84093485844119</v>
      </c>
      <c r="AJ62" s="680">
        <f t="shared" si="86"/>
        <v>99.389772124016602</v>
      </c>
      <c r="AK62" s="680">
        <f t="shared" si="86"/>
        <v>-119.70299999999992</v>
      </c>
      <c r="AL62" s="568">
        <f t="shared" si="86"/>
        <v>629.947</v>
      </c>
      <c r="AM62" s="570">
        <f t="shared" si="86"/>
        <v>495.52100000000002</v>
      </c>
      <c r="AN62" s="680">
        <f t="shared" si="86"/>
        <v>101.16800000000006</v>
      </c>
      <c r="AO62" s="680">
        <f t="shared" si="86"/>
        <v>376.60200000000015</v>
      </c>
      <c r="AP62" s="680">
        <f t="shared" si="86"/>
        <v>129.59799999999984</v>
      </c>
      <c r="AQ62" s="570">
        <f t="shared" si="86"/>
        <v>300.20999999999975</v>
      </c>
      <c r="AR62" s="680">
        <f t="shared" si="86"/>
        <v>342.03299999999979</v>
      </c>
      <c r="AS62" s="680">
        <f t="shared" si="86"/>
        <v>360.83699999999988</v>
      </c>
      <c r="AT62" s="568">
        <f t="shared" si="86"/>
        <v>553.13699999999994</v>
      </c>
      <c r="AU62" s="570">
        <f t="shared" si="86"/>
        <v>709.90300287999946</v>
      </c>
      <c r="AV62" s="680">
        <f t="shared" si="86"/>
        <v>663.68454656000017</v>
      </c>
      <c r="AW62" s="680">
        <f t="shared" si="86"/>
        <v>351.82749807999949</v>
      </c>
      <c r="AX62" s="568">
        <f t="shared" si="86"/>
        <v>448.59186463999998</v>
      </c>
      <c r="AY62" s="570">
        <f t="shared" si="86"/>
        <v>362.90406028000012</v>
      </c>
      <c r="AZ62" s="680">
        <f t="shared" si="86"/>
        <v>432.28517464000032</v>
      </c>
      <c r="BA62" s="680">
        <f t="shared" si="86"/>
        <v>788.57525848000023</v>
      </c>
      <c r="BB62" s="680">
        <f t="shared" si="86"/>
        <v>653.59535612000013</v>
      </c>
      <c r="BC62" s="570">
        <f t="shared" ca="1" si="86"/>
        <v>339.23400000000021</v>
      </c>
      <c r="BD62" s="680">
        <f t="shared" si="86"/>
        <v>1521.4664749999999</v>
      </c>
      <c r="BE62" s="680">
        <f t="shared" si="86"/>
        <v>1054.9940000000001</v>
      </c>
      <c r="BF62" s="568">
        <f t="shared" si="86"/>
        <v>42.580250000000035</v>
      </c>
      <c r="BG62" s="680">
        <f t="shared" si="86"/>
        <v>453</v>
      </c>
      <c r="BH62" s="680">
        <f t="shared" si="86"/>
        <v>136</v>
      </c>
      <c r="BI62" s="680">
        <f t="shared" si="86"/>
        <v>716</v>
      </c>
      <c r="BJ62" s="568">
        <f t="shared" si="86"/>
        <v>30</v>
      </c>
      <c r="BK62" s="680">
        <f t="shared" si="86"/>
        <v>383</v>
      </c>
      <c r="BL62" s="451">
        <f t="shared" si="86"/>
        <v>402</v>
      </c>
      <c r="BM62" s="451">
        <f t="shared" si="86"/>
        <v>426</v>
      </c>
      <c r="BN62" s="451">
        <f t="shared" si="86"/>
        <v>-1</v>
      </c>
      <c r="BO62" s="489">
        <f t="shared" si="86"/>
        <v>401</v>
      </c>
      <c r="BP62" s="451">
        <f t="shared" ref="BP62:BV62" si="87">+BP61+BP46</f>
        <v>91</v>
      </c>
      <c r="BQ62" s="451">
        <f t="shared" si="87"/>
        <v>408</v>
      </c>
      <c r="BR62" s="568">
        <f t="shared" si="87"/>
        <v>13</v>
      </c>
      <c r="BS62" s="680">
        <f t="shared" si="87"/>
        <v>416</v>
      </c>
      <c r="BT62" s="451">
        <f t="shared" si="87"/>
        <v>184</v>
      </c>
      <c r="BU62" s="680">
        <f t="shared" si="87"/>
        <v>412</v>
      </c>
      <c r="BV62" s="568">
        <f t="shared" si="87"/>
        <v>70</v>
      </c>
      <c r="BW62" s="680">
        <f t="shared" ref="BW62:CB62" si="88">+BW61+BW46</f>
        <v>522</v>
      </c>
      <c r="BX62" s="451">
        <f t="shared" si="88"/>
        <v>229</v>
      </c>
      <c r="BY62" s="451">
        <f t="shared" si="88"/>
        <v>-125</v>
      </c>
      <c r="BZ62" s="568">
        <f t="shared" si="88"/>
        <v>-166</v>
      </c>
      <c r="CA62" s="680">
        <f>+CA61+CA46</f>
        <v>-20</v>
      </c>
      <c r="CB62" s="451">
        <f t="shared" si="88"/>
        <v>-438</v>
      </c>
      <c r="CC62" s="451">
        <f>+CC61+CC46</f>
        <v>-86</v>
      </c>
      <c r="CD62" s="568">
        <f t="shared" ref="CD62" si="89">+CD61+CD46</f>
        <v>-137</v>
      </c>
      <c r="CE62" s="680">
        <f ca="1">+CE61+CE46</f>
        <v>227.07109297615216</v>
      </c>
      <c r="CF62" s="680">
        <f ca="1">+CF61+CF46</f>
        <v>185.0074347449679</v>
      </c>
      <c r="CG62" s="680">
        <f ca="1">+CG61+CG46</f>
        <v>236.34395158792495</v>
      </c>
      <c r="CH62" s="568">
        <f ca="1">+CH61+CH46</f>
        <v>302.40449208194502</v>
      </c>
      <c r="CI62" s="632"/>
    </row>
    <row r="63" spans="1:95">
      <c r="A63" s="399" t="s">
        <v>1088</v>
      </c>
      <c r="B63" s="399"/>
      <c r="C63" s="399"/>
      <c r="D63" s="16"/>
      <c r="E63" s="16">
        <f>+E61/IS!E25</f>
        <v>0.48380545172079276</v>
      </c>
      <c r="F63" s="16">
        <f>+F61/IS!F25</f>
        <v>0.45404453355044672</v>
      </c>
      <c r="G63" s="16">
        <f>+G61/IS!G25</f>
        <v>0.16700852319100376</v>
      </c>
      <c r="H63" s="16">
        <f>+H61/IS!H25</f>
        <v>0.21752274936358665</v>
      </c>
      <c r="I63" s="16">
        <f>+I61/IS!I25</f>
        <v>0.12659558170626561</v>
      </c>
      <c r="J63" s="16">
        <f>+J61/IS!J25</f>
        <v>0.19145814115160445</v>
      </c>
      <c r="K63" s="16">
        <f>+K61/IS!K25</f>
        <v>0.20493752251556793</v>
      </c>
      <c r="L63" s="16">
        <f ca="1">+L61/IS!L25</f>
        <v>0.25370531462994461</v>
      </c>
      <c r="M63" s="16">
        <f>+M61/IS!M25</f>
        <v>0.17119225118354464</v>
      </c>
      <c r="N63" s="16">
        <f>+N61/IS!N25</f>
        <v>0.13876761536336005</v>
      </c>
      <c r="O63" s="16">
        <f>+O61/IS!O25</f>
        <v>0.11876629500194154</v>
      </c>
      <c r="P63" s="16">
        <f>+P61/IS!P25</f>
        <v>0.12737430167597766</v>
      </c>
      <c r="Q63" s="16">
        <f>+Q61/IS!Q25</f>
        <v>9.3131081854607903E-2</v>
      </c>
      <c r="R63" s="16">
        <f>+R61/IS!R25</f>
        <v>4.209837495910132E-2</v>
      </c>
      <c r="S63" s="16">
        <f ca="1">+S61/IS!S25</f>
        <v>0.1373191223554048</v>
      </c>
      <c r="T63" s="16">
        <f ca="1">+T61/IS!T25</f>
        <v>0.13227353257200838</v>
      </c>
      <c r="U63" s="16">
        <f ca="1">+U61/IS!U25</f>
        <v>0.14310575141606441</v>
      </c>
      <c r="V63" s="16">
        <f ca="1">+V61/IS!V25</f>
        <v>0.15189004890073141</v>
      </c>
      <c r="W63" s="16">
        <f ca="1">+W61/IS!W25</f>
        <v>0.15966765454156978</v>
      </c>
      <c r="X63" s="16">
        <f ca="1">+X61/IS!X25</f>
        <v>0.15003376940587501</v>
      </c>
      <c r="Y63" s="820"/>
      <c r="Z63" s="429">
        <f>+Z61/IS!AD25</f>
        <v>0.1964089349079941</v>
      </c>
      <c r="AA63" s="7">
        <f>+AA61/IS!AE25</f>
        <v>0.3734099820786117</v>
      </c>
      <c r="AB63" s="16">
        <f>+AB61/IS!AF25</f>
        <v>0.20818152446752991</v>
      </c>
      <c r="AC63" s="16">
        <f>+AC61/IS!AG25</f>
        <v>0.22201971708550647</v>
      </c>
      <c r="AD63" s="284">
        <f>+AD61/IS!AH25</f>
        <v>0.14568302008795284</v>
      </c>
      <c r="AE63" s="7">
        <f>+AE61/IS!AI25</f>
        <v>0.30559633921401957</v>
      </c>
      <c r="AF63" s="16">
        <f>+AF61/IS!AJ25</f>
        <v>0.19802181021844856</v>
      </c>
      <c r="AG63" s="16">
        <f>+AG61/IS!AK25</f>
        <v>0.22738610682027435</v>
      </c>
      <c r="AH63" s="284">
        <f>+AH61/IS!AL25</f>
        <v>0.15867919906135972</v>
      </c>
      <c r="AI63" s="7">
        <f>+AI61/IS!AM25</f>
        <v>0.17055320698430876</v>
      </c>
      <c r="AJ63" s="16">
        <f>+AJ61/IS!AN25</f>
        <v>5.0805862235156499E-2</v>
      </c>
      <c r="AK63" s="16">
        <f>+AK61/IS!AO25</f>
        <v>-1.7800147779123497E-2</v>
      </c>
      <c r="AL63" s="284">
        <f>+AL61/IS!AP25</f>
        <v>0.33757201870412545</v>
      </c>
      <c r="AM63" s="7">
        <f>+AM61/IS!AQ25</f>
        <v>0.24356814866965745</v>
      </c>
      <c r="AN63" s="16">
        <f>+AN61/IS!AR25</f>
        <v>0.13122253222586919</v>
      </c>
      <c r="AO63" s="16">
        <f>+AO61/IS!AS25</f>
        <v>0.22049313576362056</v>
      </c>
      <c r="AP63" s="16">
        <f>+AP61/IS!AT25</f>
        <v>0.10972002680684642</v>
      </c>
      <c r="AQ63" s="7">
        <f>+AQ61/IS!AU25</f>
        <v>0.10111010692246945</v>
      </c>
      <c r="AR63" s="16">
        <f>+AR61/IS!AV25</f>
        <v>0.10771381525809728</v>
      </c>
      <c r="AS63" s="16">
        <f>+AS61/IS!AW25</f>
        <v>0.13695604234116404</v>
      </c>
      <c r="AT63" s="284">
        <f>+AT61/IS!AX25</f>
        <v>0.16200665447850637</v>
      </c>
      <c r="AU63" s="7">
        <f>+AU61/IS!AY25</f>
        <v>0.2184907018916053</v>
      </c>
      <c r="AV63" s="16">
        <f>+AV61/IS!AZ25</f>
        <v>0.2142164789019643</v>
      </c>
      <c r="AW63" s="16">
        <f>+AW61/IS!BA25</f>
        <v>0.15419620256375127</v>
      </c>
      <c r="AX63" s="284">
        <f>+AX61/IS!BB25</f>
        <v>0.17738791382671992</v>
      </c>
      <c r="AY63" s="7">
        <f>+AY61/IS!BC25</f>
        <v>0.16225605536332183</v>
      </c>
      <c r="AZ63" s="16">
        <f>+AZ61/IS!BD25</f>
        <v>0.17873568191182537</v>
      </c>
      <c r="BA63" s="16">
        <f>+BA61/IS!BE25</f>
        <v>0.25217912291537992</v>
      </c>
      <c r="BB63" s="16">
        <f>+BB61/IS!BF25</f>
        <v>0.22721447888495944</v>
      </c>
      <c r="BC63" s="7">
        <f ca="1">+BC61/IS!BG25</f>
        <v>0.16513447897314645</v>
      </c>
      <c r="BD63" s="16">
        <f>+BD61/IS!BH25</f>
        <v>0.42128935532233885</v>
      </c>
      <c r="BE63" s="16">
        <f>+BE61/IS!BI25</f>
        <v>0.32419598532268507</v>
      </c>
      <c r="BF63" s="284">
        <f>+BF61/IS!BJ25</f>
        <v>0.10552331828927573</v>
      </c>
      <c r="BG63" s="16">
        <f>+BG61/IS!BK25</f>
        <v>0.1963123644251627</v>
      </c>
      <c r="BH63" s="16">
        <f>+BH61/IS!BL25</f>
        <v>0.1277103209019948</v>
      </c>
      <c r="BI63" s="16">
        <f>+BI61/IS!BM25</f>
        <v>0.25552395537081601</v>
      </c>
      <c r="BJ63" s="284">
        <f>+BJ61/IS!BN25</f>
        <v>0.1055846422338569</v>
      </c>
      <c r="BK63" s="16">
        <f>+BK61/IS!BO25</f>
        <v>0.16042543762463993</v>
      </c>
      <c r="BL63" s="15">
        <f>+BL61/IS!BP25</f>
        <v>0.15955801104972375</v>
      </c>
      <c r="BM63" s="15">
        <f>+BM61/IS!BQ25</f>
        <v>0.1663344407530454</v>
      </c>
      <c r="BN63" s="15">
        <f>+BN61/IS!BR25</f>
        <v>6.9132540730955525E-2</v>
      </c>
      <c r="BO63" s="14">
        <f>+BO61/IS!BS25</f>
        <v>0.15645658880564126</v>
      </c>
      <c r="BP63" s="15">
        <f>+BP61/IS!BT25</f>
        <v>8.7665198237885461E-2</v>
      </c>
      <c r="BQ63" s="15">
        <f>+BQ61/IS!BU25</f>
        <v>0.1586527808553069</v>
      </c>
      <c r="BR63" s="284">
        <f>+BR61/IS!BV25</f>
        <v>7.1460775473399463E-2</v>
      </c>
      <c r="BS63" s="16">
        <f>+BS61/IS!BW25</f>
        <v>0.16176140193215008</v>
      </c>
      <c r="BT63" s="15">
        <f>+BT61/IS!BX25</f>
        <v>0.11065852002715547</v>
      </c>
      <c r="BU63" s="16">
        <f>+BU61/IS!BY25</f>
        <v>0.155467720685112</v>
      </c>
      <c r="BV63" s="284">
        <f>+BV61/IS!BZ25</f>
        <v>8.1099195710455763E-2</v>
      </c>
      <c r="BW63" s="16">
        <f>+BW61/IS!CA25</f>
        <v>0.18450352192683481</v>
      </c>
      <c r="BX63" s="15">
        <f>+BX61/IS!CB25</f>
        <v>0.11937244201909959</v>
      </c>
      <c r="BY63" s="15">
        <f>+BY61/IS!CC25</f>
        <v>3.7654039251483341E-2</v>
      </c>
      <c r="BZ63" s="284">
        <f>+BZ61/IS!CD25</f>
        <v>2.914432268594078E-2</v>
      </c>
      <c r="CA63" s="16">
        <f>+CA61/IS!CE25</f>
        <v>6.5573770491803282E-2</v>
      </c>
      <c r="CB63" s="15">
        <f>+CB61/IS!CF25</f>
        <v>-3.5207823960880194E-2</v>
      </c>
      <c r="CC63" s="15">
        <f>+CC61/IS!CG25</f>
        <v>5.0818046603867129E-2</v>
      </c>
      <c r="CD63" s="284">
        <f>+CD61/IS!CH25</f>
        <v>7.2439633638634468E-2</v>
      </c>
      <c r="CE63" s="16">
        <f ca="1">+CE61/IS!CI25</f>
        <v>0.13460726391799907</v>
      </c>
      <c r="CF63" s="16">
        <f ca="1">+CF61/IS!CJ25</f>
        <v>0.1282134388885717</v>
      </c>
      <c r="CG63" s="16">
        <f ca="1">+CG61/IS!CK25</f>
        <v>0.13742283428515445</v>
      </c>
      <c r="CH63" s="284">
        <f ca="1">+CH61/IS!CL25</f>
        <v>0.14909704083740785</v>
      </c>
      <c r="CI63" s="632"/>
    </row>
    <row r="64" spans="1:95">
      <c r="A64" s="3643" t="s">
        <v>1092</v>
      </c>
      <c r="B64" s="705"/>
      <c r="C64" s="705"/>
      <c r="D64" s="413"/>
      <c r="E64" s="706"/>
      <c r="F64" s="413"/>
      <c r="G64" s="413"/>
      <c r="H64" s="413"/>
      <c r="I64" s="413"/>
      <c r="J64" s="413"/>
      <c r="K64" s="413"/>
      <c r="L64" s="413"/>
      <c r="M64" s="413"/>
      <c r="N64" s="413"/>
      <c r="O64" s="2773">
        <f>SUM(BO64:BR64)</f>
        <v>3479</v>
      </c>
      <c r="P64" s="2773">
        <f>SUM(BS64:BV64)</f>
        <v>3590</v>
      </c>
      <c r="Q64" s="2773">
        <f>SUM(BW64:BZ64)</f>
        <v>2928</v>
      </c>
      <c r="R64" s="2773">
        <f>SUM(CA64:CD64)</f>
        <v>1982</v>
      </c>
      <c r="S64" s="2773">
        <f ca="1">SUM(CE64:CH64)</f>
        <v>5411.828199065365</v>
      </c>
      <c r="T64" s="413">
        <f ca="1">+T61-T83</f>
        <v>5202.415514508788</v>
      </c>
      <c r="U64" s="413">
        <f ca="1">+U61-U83</f>
        <v>5386.7888685021844</v>
      </c>
      <c r="V64" s="413">
        <f ca="1">+V61-V83</f>
        <v>5521.8392143385418</v>
      </c>
      <c r="W64" s="413">
        <f ca="1">+W61-W83</f>
        <v>5644.2967300237087</v>
      </c>
      <c r="X64" s="413">
        <f ca="1">+X61-X83</f>
        <v>5367.5697863951455</v>
      </c>
      <c r="Y64" s="820"/>
      <c r="Z64" s="679"/>
      <c r="AA64" s="490"/>
      <c r="AB64" s="413"/>
      <c r="AC64" s="413"/>
      <c r="AD64" s="414"/>
      <c r="AE64" s="490"/>
      <c r="AF64" s="413"/>
      <c r="AG64" s="413"/>
      <c r="AH64" s="414"/>
      <c r="AI64" s="490"/>
      <c r="AJ64" s="413"/>
      <c r="AK64" s="413"/>
      <c r="AL64" s="414"/>
      <c r="AM64" s="490"/>
      <c r="AN64" s="413"/>
      <c r="AO64" s="413"/>
      <c r="AP64" s="413"/>
      <c r="AQ64" s="490"/>
      <c r="AR64" s="413"/>
      <c r="AS64" s="413"/>
      <c r="AT64" s="414"/>
      <c r="AU64" s="490"/>
      <c r="AV64" s="413"/>
      <c r="AW64" s="413"/>
      <c r="AX64" s="414"/>
      <c r="AY64" s="490"/>
      <c r="AZ64" s="413"/>
      <c r="BA64" s="413"/>
      <c r="BB64" s="413"/>
      <c r="BC64" s="490"/>
      <c r="BD64" s="413"/>
      <c r="BE64" s="413"/>
      <c r="BF64" s="414"/>
      <c r="BG64" s="413"/>
      <c r="BH64" s="413"/>
      <c r="BI64" s="413"/>
      <c r="BJ64" s="414"/>
      <c r="BK64" s="413"/>
      <c r="BL64" s="451"/>
      <c r="BM64" s="451"/>
      <c r="BN64" s="451"/>
      <c r="BO64" s="489">
        <f t="shared" ref="BO64:CC64" si="90">+BO61-BO83</f>
        <v>975</v>
      </c>
      <c r="BP64" s="451">
        <f t="shared" si="90"/>
        <v>805</v>
      </c>
      <c r="BQ64" s="451">
        <f t="shared" si="90"/>
        <v>978</v>
      </c>
      <c r="BR64" s="414">
        <f t="shared" si="90"/>
        <v>721</v>
      </c>
      <c r="BS64" s="413">
        <f t="shared" si="90"/>
        <v>990</v>
      </c>
      <c r="BT64" s="451">
        <f t="shared" si="90"/>
        <v>873</v>
      </c>
      <c r="BU64" s="413">
        <f t="shared" si="90"/>
        <v>968</v>
      </c>
      <c r="BV64" s="414">
        <f t="shared" si="90"/>
        <v>759</v>
      </c>
      <c r="BW64" s="413">
        <f t="shared" si="90"/>
        <v>1074</v>
      </c>
      <c r="BX64" s="451">
        <f t="shared" si="90"/>
        <v>923</v>
      </c>
      <c r="BY64" s="451">
        <f t="shared" si="90"/>
        <v>427</v>
      </c>
      <c r="BZ64" s="414">
        <f t="shared" si="90"/>
        <v>504</v>
      </c>
      <c r="CA64" s="413">
        <f t="shared" si="90"/>
        <v>531</v>
      </c>
      <c r="CB64" s="451">
        <f t="shared" si="90"/>
        <v>225</v>
      </c>
      <c r="CC64" s="451">
        <f t="shared" si="90"/>
        <v>498</v>
      </c>
      <c r="CD64" s="414">
        <f t="shared" ref="CD64" si="91">+CD61-CD83</f>
        <v>728</v>
      </c>
      <c r="CE64" s="413">
        <f ca="1">+CE61-CE83</f>
        <v>1345.0706992111523</v>
      </c>
      <c r="CF64" s="413">
        <f ca="1">+CF61-CF83</f>
        <v>1300.438466761218</v>
      </c>
      <c r="CG64" s="413">
        <f ca="1">+CG61-CG83</f>
        <v>1350.7626154401125</v>
      </c>
      <c r="CH64" s="414">
        <f ca="1">+CH61-CH83</f>
        <v>1415.5564176528826</v>
      </c>
      <c r="CI64" s="632"/>
    </row>
    <row r="65" spans="1:87">
      <c r="A65" s="707" t="s">
        <v>1093</v>
      </c>
      <c r="B65" s="707"/>
      <c r="C65" s="707"/>
      <c r="D65" s="413"/>
      <c r="E65" s="413">
        <f>IS!E60</f>
        <v>26.70900000000006</v>
      </c>
      <c r="F65" s="413">
        <f>IS!F60</f>
        <v>5.9769999999998618</v>
      </c>
      <c r="G65" s="413">
        <f>IS!G60</f>
        <v>2281.4063294460648</v>
      </c>
      <c r="H65" s="413">
        <f>IS!H60</f>
        <v>2238.4030000000012</v>
      </c>
      <c r="I65" s="413">
        <f>IS!I60</f>
        <v>8392.0400000000027</v>
      </c>
      <c r="J65" s="413">
        <f>IS!J60</f>
        <v>8235.0649999999951</v>
      </c>
      <c r="K65" s="413">
        <f>IS!K60</f>
        <v>8264</v>
      </c>
      <c r="L65" s="413">
        <f ca="1">IS!L60</f>
        <v>7889.5499999999993</v>
      </c>
      <c r="M65" s="413">
        <f>IS!M60</f>
        <v>8069.5</v>
      </c>
      <c r="N65" s="413">
        <f>IS!N60</f>
        <v>7432</v>
      </c>
      <c r="O65" s="413">
        <f>IS!O60</f>
        <v>7052</v>
      </c>
      <c r="P65" s="413">
        <f>IS!P60</f>
        <v>6934</v>
      </c>
      <c r="Q65" s="413">
        <f>IS!Q60</f>
        <v>6513</v>
      </c>
      <c r="R65" s="413">
        <f>IS!R60</f>
        <v>6582</v>
      </c>
      <c r="S65" s="413">
        <f>IS!S60</f>
        <v>8846.9680973273917</v>
      </c>
      <c r="T65" s="413">
        <f>IS!T60</f>
        <v>9170.173300483093</v>
      </c>
      <c r="U65" s="413">
        <f>IS!U60</f>
        <v>9345.6450650722545</v>
      </c>
      <c r="V65" s="413">
        <f>IS!V60</f>
        <v>9425.8971650058593</v>
      </c>
      <c r="W65" s="413">
        <f>IS!W60</f>
        <v>9536.5985016652794</v>
      </c>
      <c r="X65" s="413">
        <f>IS!X60</f>
        <v>9656.1028187441116</v>
      </c>
      <c r="Y65" s="820"/>
      <c r="Z65" s="679">
        <f>IS!AD60</f>
        <v>319.95399999999995</v>
      </c>
      <c r="AA65" s="490">
        <f>IS!AE60</f>
        <v>310.54899999999998</v>
      </c>
      <c r="AB65" s="413">
        <f>IS!AF60</f>
        <v>320.66199999999992</v>
      </c>
      <c r="AC65" s="413">
        <f>IS!AG60</f>
        <v>308.23900000000003</v>
      </c>
      <c r="AD65" s="414">
        <f>IS!AH60</f>
        <v>318.91999999999996</v>
      </c>
      <c r="AE65" s="490">
        <f>IS!AI60</f>
        <v>309.03500000000003</v>
      </c>
      <c r="AF65" s="413">
        <f>IS!AJ60</f>
        <v>316.334</v>
      </c>
      <c r="AG65" s="413">
        <f>IS!AK60</f>
        <v>340.62100000000004</v>
      </c>
      <c r="AH65" s="414">
        <f>IS!AL60</f>
        <v>308.197</v>
      </c>
      <c r="AI65" s="490">
        <f>IS!AM60</f>
        <v>968.22932944606418</v>
      </c>
      <c r="AJ65" s="413">
        <f>IS!AN60</f>
        <v>991.06899999999996</v>
      </c>
      <c r="AK65" s="413">
        <f>IS!AO60</f>
        <v>934.64399999999978</v>
      </c>
      <c r="AL65" s="414">
        <f>IS!AP60</f>
        <v>974.0390000000001</v>
      </c>
      <c r="AM65" s="490">
        <f>IS!AQ60</f>
        <v>936.86700000000008</v>
      </c>
      <c r="AN65" s="413">
        <f>IS!AR60</f>
        <v>975.22599999999966</v>
      </c>
      <c r="AO65" s="413">
        <f>IS!AS60</f>
        <v>986.00500000000011</v>
      </c>
      <c r="AP65" s="413">
        <f>IS!AT60</f>
        <v>954.47200000000009</v>
      </c>
      <c r="AQ65" s="490">
        <f>IS!AU60</f>
        <v>2130.6139999999996</v>
      </c>
      <c r="AR65" s="413">
        <f>IS!AV60</f>
        <v>2110.5730000000003</v>
      </c>
      <c r="AS65" s="413">
        <f>IS!AW60</f>
        <v>1983.0730000000003</v>
      </c>
      <c r="AT65" s="414">
        <f>IS!AX60</f>
        <v>2167.7800000000007</v>
      </c>
      <c r="AU65" s="490">
        <f>IS!AY60</f>
        <v>2124.8009999999995</v>
      </c>
      <c r="AV65" s="413">
        <f>IS!AZ60</f>
        <v>2058.8609999999999</v>
      </c>
      <c r="AW65" s="413">
        <f>IS!BA60</f>
        <v>2022.8109999999995</v>
      </c>
      <c r="AX65" s="414">
        <f>IS!BB60</f>
        <v>2028.5920000000001</v>
      </c>
      <c r="AY65" s="490">
        <f>IS!BC60</f>
        <v>2104</v>
      </c>
      <c r="AZ65" s="413">
        <f>IS!BD60</f>
        <v>2062</v>
      </c>
      <c r="BA65" s="413">
        <f>IS!BE60</f>
        <v>2072</v>
      </c>
      <c r="BB65" s="413">
        <f>IS!BF60</f>
        <v>2026</v>
      </c>
      <c r="BC65" s="490">
        <f ca="1">IS!BG60</f>
        <v>2062.8000000000002</v>
      </c>
      <c r="BD65" s="413">
        <f>IS!BH60</f>
        <v>1979</v>
      </c>
      <c r="BE65" s="413">
        <f>IS!BI60</f>
        <v>1894</v>
      </c>
      <c r="BF65" s="414">
        <f>IS!BJ60</f>
        <v>1846</v>
      </c>
      <c r="BG65" s="413">
        <f>IS!BK60</f>
        <v>1944</v>
      </c>
      <c r="BH65" s="413">
        <f>IS!BL60</f>
        <v>1900</v>
      </c>
      <c r="BI65" s="413">
        <f>IS!BM60</f>
        <v>1899</v>
      </c>
      <c r="BJ65" s="414">
        <f>IS!BN60</f>
        <v>1914</v>
      </c>
      <c r="BK65" s="413">
        <f>IS!BO60</f>
        <v>1933</v>
      </c>
      <c r="BL65" s="451">
        <f>IS!BP60</f>
        <v>1858</v>
      </c>
      <c r="BM65" s="451">
        <f>IS!BQ60</f>
        <v>1805</v>
      </c>
      <c r="BN65" s="451">
        <f>IS!BR60</f>
        <v>1836</v>
      </c>
      <c r="BO65" s="489">
        <f>IS!BS60</f>
        <v>1788</v>
      </c>
      <c r="BP65" s="413">
        <f>IS!BT60</f>
        <v>1812</v>
      </c>
      <c r="BQ65" s="413">
        <f>IS!BU60</f>
        <v>1745</v>
      </c>
      <c r="BR65" s="414">
        <f>IS!BV60</f>
        <v>1707</v>
      </c>
      <c r="BS65" s="413">
        <f>IS!BW60</f>
        <v>1724</v>
      </c>
      <c r="BT65" s="451">
        <f>IS!BX60</f>
        <v>1622</v>
      </c>
      <c r="BU65" s="413">
        <f>IS!BY60</f>
        <v>1776</v>
      </c>
      <c r="BV65" s="414">
        <f>IS!BZ60</f>
        <v>1812</v>
      </c>
      <c r="BW65" s="413">
        <f>IS!CA60</f>
        <v>1684</v>
      </c>
      <c r="BX65" s="451">
        <f>IS!CB60</f>
        <v>1648</v>
      </c>
      <c r="BY65" s="451">
        <f>IS!CC60</f>
        <v>1596</v>
      </c>
      <c r="BZ65" s="414">
        <f>IS!CD60</f>
        <v>1585</v>
      </c>
      <c r="CA65" s="413">
        <f>IS!CE60</f>
        <v>1532</v>
      </c>
      <c r="CB65" s="451">
        <f>IS!CF60</f>
        <v>1442</v>
      </c>
      <c r="CC65" s="451">
        <f>IS!CG60</f>
        <v>1397</v>
      </c>
      <c r="CD65" s="414">
        <f>IS!CH60</f>
        <v>2211</v>
      </c>
      <c r="CE65" s="413">
        <f>IS!CI60</f>
        <v>2129.2495400000003</v>
      </c>
      <c r="CF65" s="413">
        <f>IS!CJ60</f>
        <v>2188.8345656759998</v>
      </c>
      <c r="CG65" s="413">
        <f>IS!CK60</f>
        <v>2231.0973816646356</v>
      </c>
      <c r="CH65" s="414">
        <f>IS!CL60</f>
        <v>2297.7866099867551</v>
      </c>
      <c r="CI65" s="632"/>
    </row>
    <row r="66" spans="1:87">
      <c r="A66" s="707" t="s">
        <v>1094</v>
      </c>
      <c r="B66" s="707"/>
      <c r="C66" s="707"/>
      <c r="D66" s="413"/>
      <c r="E66" s="413">
        <f t="shared" ref="E66:M66" si="92">-E93</f>
        <v>281.73500000000001</v>
      </c>
      <c r="F66" s="413">
        <f t="shared" si="92"/>
        <v>282.33199999999999</v>
      </c>
      <c r="G66" s="413">
        <f t="shared" si="92"/>
        <v>661.99650290590216</v>
      </c>
      <c r="H66" s="413">
        <f t="shared" si="92"/>
        <v>475.29100000000005</v>
      </c>
      <c r="I66" s="413">
        <f t="shared" si="92"/>
        <v>520.88499999999999</v>
      </c>
      <c r="J66" s="413">
        <f t="shared" si="92"/>
        <v>580.97400000000005</v>
      </c>
      <c r="K66" s="413">
        <f t="shared" si="92"/>
        <v>513.23199999999997</v>
      </c>
      <c r="L66" s="413">
        <f t="shared" si="92"/>
        <v>-1290.3019999999999</v>
      </c>
      <c r="M66" s="413">
        <f t="shared" si="92"/>
        <v>82</v>
      </c>
      <c r="N66" s="413">
        <f t="shared" ref="N66:U66" si="93">N93</f>
        <v>-48</v>
      </c>
      <c r="O66" s="413">
        <f t="shared" si="93"/>
        <v>-27</v>
      </c>
      <c r="P66" s="413">
        <f t="shared" si="93"/>
        <v>-63</v>
      </c>
      <c r="Q66" s="413">
        <f t="shared" si="93"/>
        <v>-397</v>
      </c>
      <c r="R66" s="413">
        <f>R93</f>
        <v>-392</v>
      </c>
      <c r="S66" s="413">
        <f>S93</f>
        <v>-100</v>
      </c>
      <c r="T66" s="413">
        <f t="shared" si="93"/>
        <v>-100</v>
      </c>
      <c r="U66" s="413">
        <f t="shared" si="93"/>
        <v>-100</v>
      </c>
      <c r="V66" s="413">
        <f>V93</f>
        <v>-100</v>
      </c>
      <c r="W66" s="413">
        <f>W93</f>
        <v>-100</v>
      </c>
      <c r="X66" s="413">
        <f>X93</f>
        <v>-503.99445411402877</v>
      </c>
      <c r="Y66" s="820"/>
      <c r="Z66" s="679">
        <f t="shared" ref="Z66:BB66" si="94">-Z93</f>
        <v>111.989</v>
      </c>
      <c r="AA66" s="490">
        <f t="shared" si="94"/>
        <v>78.771000000000001</v>
      </c>
      <c r="AB66" s="413">
        <f t="shared" si="94"/>
        <v>82.218000000000004</v>
      </c>
      <c r="AC66" s="413">
        <f t="shared" si="94"/>
        <v>68.829000000000008</v>
      </c>
      <c r="AD66" s="414">
        <f t="shared" si="94"/>
        <v>51.917000000000002</v>
      </c>
      <c r="AE66" s="490">
        <f t="shared" si="94"/>
        <v>72.003</v>
      </c>
      <c r="AF66" s="413">
        <f t="shared" si="94"/>
        <v>56.866999999999997</v>
      </c>
      <c r="AG66" s="413">
        <f t="shared" si="94"/>
        <v>69.17</v>
      </c>
      <c r="AH66" s="414">
        <f t="shared" si="94"/>
        <v>84.292000000000002</v>
      </c>
      <c r="AI66" s="490">
        <f t="shared" si="94"/>
        <v>168.13264435946007</v>
      </c>
      <c r="AJ66" s="413">
        <f t="shared" si="94"/>
        <v>181.58885854644208</v>
      </c>
      <c r="AK66" s="413">
        <f t="shared" si="94"/>
        <v>155.03899999999999</v>
      </c>
      <c r="AL66" s="414">
        <f t="shared" si="94"/>
        <v>157.23600000000002</v>
      </c>
      <c r="AM66" s="490">
        <f t="shared" si="94"/>
        <v>105.663</v>
      </c>
      <c r="AN66" s="413">
        <f t="shared" si="94"/>
        <v>140.27799999999999</v>
      </c>
      <c r="AO66" s="413">
        <f t="shared" si="94"/>
        <v>192.26599999999999</v>
      </c>
      <c r="AP66" s="413">
        <f t="shared" si="94"/>
        <v>37.084000000000003</v>
      </c>
      <c r="AQ66" s="490">
        <f t="shared" si="94"/>
        <v>349.77200000000005</v>
      </c>
      <c r="AR66" s="413">
        <f t="shared" si="94"/>
        <v>396.06799999999998</v>
      </c>
      <c r="AS66" s="413">
        <f t="shared" si="94"/>
        <v>351.762</v>
      </c>
      <c r="AT66" s="414">
        <f t="shared" si="94"/>
        <v>464.31899999999996</v>
      </c>
      <c r="AU66" s="490">
        <f t="shared" si="94"/>
        <v>73.839000000000027</v>
      </c>
      <c r="AV66" s="413">
        <f t="shared" si="94"/>
        <v>267.39800000000002</v>
      </c>
      <c r="AW66" s="413">
        <f t="shared" si="94"/>
        <v>172.499</v>
      </c>
      <c r="AX66" s="414">
        <f t="shared" si="94"/>
        <v>67.238</v>
      </c>
      <c r="AY66" s="490">
        <f t="shared" si="94"/>
        <v>98.369</v>
      </c>
      <c r="AZ66" s="413">
        <f t="shared" si="94"/>
        <v>201.09800000000001</v>
      </c>
      <c r="BA66" s="413">
        <f t="shared" si="94"/>
        <v>147.65799999999999</v>
      </c>
      <c r="BB66" s="413">
        <f t="shared" si="94"/>
        <v>66.106999999999999</v>
      </c>
      <c r="BC66" s="490">
        <f t="shared" ref="BC66:BH66" si="95">-BC93</f>
        <v>4.6980000000000004</v>
      </c>
      <c r="BD66" s="413">
        <f t="shared" si="95"/>
        <v>-1270</v>
      </c>
      <c r="BE66" s="413">
        <f t="shared" si="95"/>
        <v>0</v>
      </c>
      <c r="BF66" s="414">
        <f t="shared" si="95"/>
        <v>-25</v>
      </c>
      <c r="BG66" s="413">
        <f t="shared" si="95"/>
        <v>1</v>
      </c>
      <c r="BH66" s="413">
        <f t="shared" si="95"/>
        <v>30</v>
      </c>
      <c r="BI66" s="413">
        <f t="shared" ref="BI66:BN66" si="96">-BI93</f>
        <v>28</v>
      </c>
      <c r="BJ66" s="414">
        <f t="shared" si="96"/>
        <v>23</v>
      </c>
      <c r="BK66" s="413">
        <f t="shared" si="96"/>
        <v>8</v>
      </c>
      <c r="BL66" s="451">
        <f t="shared" si="96"/>
        <v>38</v>
      </c>
      <c r="BM66" s="451">
        <f t="shared" si="96"/>
        <v>-1</v>
      </c>
      <c r="BN66" s="451">
        <f t="shared" si="96"/>
        <v>3</v>
      </c>
      <c r="BO66" s="489">
        <f t="shared" ref="BO66:BV66" si="97">BO93</f>
        <v>-10</v>
      </c>
      <c r="BP66" s="413">
        <f t="shared" si="97"/>
        <v>-13</v>
      </c>
      <c r="BQ66" s="413">
        <f>BQ93</f>
        <v>2</v>
      </c>
      <c r="BR66" s="414">
        <f>BR93</f>
        <v>-6</v>
      </c>
      <c r="BS66" s="413">
        <f t="shared" si="97"/>
        <v>-5</v>
      </c>
      <c r="BT66" s="451">
        <f t="shared" si="97"/>
        <v>-36</v>
      </c>
      <c r="BU66" s="413">
        <f t="shared" si="97"/>
        <v>-13</v>
      </c>
      <c r="BV66" s="414">
        <f t="shared" si="97"/>
        <v>-9</v>
      </c>
      <c r="BW66" s="413">
        <f t="shared" ref="BW66:CB66" si="98">BW93</f>
        <v>-11</v>
      </c>
      <c r="BX66" s="451">
        <f t="shared" si="98"/>
        <v>-10</v>
      </c>
      <c r="BY66" s="451">
        <f t="shared" si="98"/>
        <v>-323</v>
      </c>
      <c r="BZ66" s="414">
        <f t="shared" si="98"/>
        <v>-53</v>
      </c>
      <c r="CA66" s="413">
        <f>CA93</f>
        <v>5</v>
      </c>
      <c r="CB66" s="451">
        <f t="shared" si="98"/>
        <v>-265</v>
      </c>
      <c r="CC66" s="451">
        <f>CC93</f>
        <v>-118</v>
      </c>
      <c r="CD66" s="414">
        <f t="shared" ref="CD66" si="99">CD93</f>
        <v>-14</v>
      </c>
      <c r="CE66" s="413">
        <f>CE93</f>
        <v>-25</v>
      </c>
      <c r="CF66" s="413">
        <f>CF93</f>
        <v>-25</v>
      </c>
      <c r="CG66" s="413">
        <f>CG93</f>
        <v>-25</v>
      </c>
      <c r="CH66" s="414">
        <f>CH93</f>
        <v>-25</v>
      </c>
      <c r="CI66" s="632"/>
    </row>
    <row r="67" spans="1:87">
      <c r="A67" s="707" t="s">
        <v>1095</v>
      </c>
      <c r="B67" s="707"/>
      <c r="C67" s="707"/>
      <c r="D67" s="413"/>
      <c r="E67" s="413">
        <f t="shared" ref="E67:R67" si="100">+E34</f>
        <v>-385.31600000000003</v>
      </c>
      <c r="F67" s="413">
        <f t="shared" si="100"/>
        <v>-414.87199999999996</v>
      </c>
      <c r="G67" s="413">
        <f t="shared" si="100"/>
        <v>-1304.0710000000001</v>
      </c>
      <c r="H67" s="413">
        <f t="shared" si="100"/>
        <v>-1155.0450000000001</v>
      </c>
      <c r="I67" s="413">
        <f t="shared" si="100"/>
        <v>-2738.817</v>
      </c>
      <c r="J67" s="413">
        <f t="shared" si="100"/>
        <v>-2411.5439999999999</v>
      </c>
      <c r="K67" s="413">
        <f t="shared" si="100"/>
        <v>-2548.2160000000003</v>
      </c>
      <c r="L67" s="413">
        <f t="shared" si="100"/>
        <v>-2889.5909999999999</v>
      </c>
      <c r="M67" s="413">
        <f t="shared" si="100"/>
        <v>-2919</v>
      </c>
      <c r="N67" s="413">
        <f t="shared" si="100"/>
        <v>-3048</v>
      </c>
      <c r="O67" s="413">
        <f t="shared" si="100"/>
        <v>-3047</v>
      </c>
      <c r="P67" s="413">
        <f t="shared" si="100"/>
        <v>-2872</v>
      </c>
      <c r="Q67" s="413">
        <f t="shared" si="100"/>
        <v>-2981</v>
      </c>
      <c r="R67" s="413">
        <f t="shared" si="100"/>
        <v>-3106</v>
      </c>
      <c r="S67" s="413">
        <f>+S34</f>
        <v>-3850.2510232139421</v>
      </c>
      <c r="T67" s="413">
        <f t="shared" ref="T67:X67" si="101">+T34</f>
        <v>-3773.9406082061196</v>
      </c>
      <c r="U67" s="413">
        <f t="shared" si="101"/>
        <v>-3742.4634537380066</v>
      </c>
      <c r="V67" s="413">
        <f t="shared" si="101"/>
        <v>-3718.2457088184824</v>
      </c>
      <c r="W67" s="413">
        <f t="shared" si="101"/>
        <v>-3706.8381148050739</v>
      </c>
      <c r="X67" s="413">
        <f t="shared" si="101"/>
        <v>-3699.208926648063</v>
      </c>
      <c r="Y67" s="2540"/>
      <c r="Z67" s="679">
        <f t="shared" ref="Z67:BE67" si="102">+Z34</f>
        <v>-121.48</v>
      </c>
      <c r="AA67" s="490">
        <f t="shared" si="102"/>
        <v>-61.744999999999997</v>
      </c>
      <c r="AB67" s="413">
        <f t="shared" si="102"/>
        <v>-94.269000000000005</v>
      </c>
      <c r="AC67" s="413">
        <f t="shared" si="102"/>
        <v>-97.582999999999998</v>
      </c>
      <c r="AD67" s="414">
        <f t="shared" si="102"/>
        <v>-131.71899999999999</v>
      </c>
      <c r="AE67" s="490">
        <f t="shared" si="102"/>
        <v>-74.903000000000006</v>
      </c>
      <c r="AF67" s="413">
        <f t="shared" si="102"/>
        <v>-102.011</v>
      </c>
      <c r="AG67" s="413">
        <f t="shared" si="102"/>
        <v>-105.044</v>
      </c>
      <c r="AH67" s="414">
        <f t="shared" si="102"/>
        <v>-132.91399999999999</v>
      </c>
      <c r="AI67" s="490">
        <f t="shared" si="102"/>
        <v>-264.08800000000002</v>
      </c>
      <c r="AJ67" s="413">
        <f t="shared" si="102"/>
        <v>-382.36700000000002</v>
      </c>
      <c r="AK67" s="413">
        <f t="shared" si="102"/>
        <v>-342.57900000000001</v>
      </c>
      <c r="AL67" s="414">
        <f t="shared" si="102"/>
        <v>-315.03699999999998</v>
      </c>
      <c r="AM67" s="490">
        <f t="shared" si="102"/>
        <v>-231.88</v>
      </c>
      <c r="AN67" s="413">
        <f t="shared" si="102"/>
        <v>-245.976</v>
      </c>
      <c r="AO67" s="413">
        <f t="shared" si="102"/>
        <v>-272.44499999999999</v>
      </c>
      <c r="AP67" s="413">
        <f t="shared" si="102"/>
        <v>-404.74400000000003</v>
      </c>
      <c r="AQ67" s="490">
        <f t="shared" si="102"/>
        <v>-647.73900000000003</v>
      </c>
      <c r="AR67" s="413">
        <f t="shared" si="102"/>
        <v>-772.65899999999999</v>
      </c>
      <c r="AS67" s="413">
        <f t="shared" si="102"/>
        <v>-706.60599999999999</v>
      </c>
      <c r="AT67" s="414">
        <f t="shared" si="102"/>
        <v>-611.81299999999999</v>
      </c>
      <c r="AU67" s="490">
        <f t="shared" si="102"/>
        <v>-481.69600000000003</v>
      </c>
      <c r="AV67" s="413">
        <f t="shared" si="102"/>
        <v>-579.10500000000002</v>
      </c>
      <c r="AW67" s="413">
        <f t="shared" si="102"/>
        <v>-627.32600000000002</v>
      </c>
      <c r="AX67" s="414">
        <f t="shared" si="102"/>
        <v>-723.41700000000003</v>
      </c>
      <c r="AY67" s="490">
        <f t="shared" si="102"/>
        <v>-605.17999999999995</v>
      </c>
      <c r="AZ67" s="413">
        <f t="shared" si="102"/>
        <v>-576.04600000000005</v>
      </c>
      <c r="BA67" s="413">
        <f t="shared" si="102"/>
        <v>-661</v>
      </c>
      <c r="BB67" s="413">
        <f t="shared" si="102"/>
        <v>-705.99</v>
      </c>
      <c r="BC67" s="490">
        <f t="shared" si="102"/>
        <v>-651.59100000000001</v>
      </c>
      <c r="BD67" s="413">
        <f t="shared" si="102"/>
        <v>-621</v>
      </c>
      <c r="BE67" s="413">
        <f t="shared" si="102"/>
        <v>-721</v>
      </c>
      <c r="BF67" s="414">
        <f t="shared" ref="BF67:CC67" si="103">+BF34</f>
        <v>-896</v>
      </c>
      <c r="BG67" s="413">
        <f t="shared" si="103"/>
        <v>-678</v>
      </c>
      <c r="BH67" s="413">
        <f t="shared" si="103"/>
        <v>-627</v>
      </c>
      <c r="BI67" s="413">
        <f t="shared" si="103"/>
        <v>-719</v>
      </c>
      <c r="BJ67" s="414">
        <f t="shared" si="103"/>
        <v>-895</v>
      </c>
      <c r="BK67" s="413">
        <f t="shared" si="103"/>
        <v>-663</v>
      </c>
      <c r="BL67" s="451">
        <f t="shared" si="103"/>
        <v>-747</v>
      </c>
      <c r="BM67" s="451">
        <f t="shared" si="103"/>
        <v>-801</v>
      </c>
      <c r="BN67" s="451">
        <f t="shared" si="103"/>
        <v>-837</v>
      </c>
      <c r="BO67" s="489">
        <f t="shared" si="103"/>
        <v>-670</v>
      </c>
      <c r="BP67" s="413">
        <f t="shared" si="103"/>
        <v>-731</v>
      </c>
      <c r="BQ67" s="413">
        <f t="shared" si="103"/>
        <v>-712</v>
      </c>
      <c r="BR67" s="414">
        <f t="shared" si="103"/>
        <v>-934</v>
      </c>
      <c r="BS67" s="413">
        <f t="shared" si="103"/>
        <v>-616</v>
      </c>
      <c r="BT67" s="451">
        <f t="shared" si="103"/>
        <v>-656</v>
      </c>
      <c r="BU67" s="413">
        <f t="shared" si="103"/>
        <v>-767</v>
      </c>
      <c r="BV67" s="414">
        <f t="shared" si="103"/>
        <v>-833</v>
      </c>
      <c r="BW67" s="413">
        <f t="shared" si="103"/>
        <v>-611</v>
      </c>
      <c r="BX67" s="451">
        <f t="shared" si="103"/>
        <v>-653</v>
      </c>
      <c r="BY67" s="451">
        <f t="shared" si="103"/>
        <v>-746</v>
      </c>
      <c r="BZ67" s="414">
        <f t="shared" si="103"/>
        <v>-971</v>
      </c>
      <c r="CA67" s="413">
        <f t="shared" si="103"/>
        <v>-780</v>
      </c>
      <c r="CB67" s="451">
        <f t="shared" si="103"/>
        <v>-830</v>
      </c>
      <c r="CC67" s="451">
        <f t="shared" si="103"/>
        <v>-753</v>
      </c>
      <c r="CD67" s="414">
        <f t="shared" ref="CD67" si="104">+CD34</f>
        <v>-743</v>
      </c>
      <c r="CE67" s="413">
        <f>+CE34</f>
        <v>-969.47604000000024</v>
      </c>
      <c r="CF67" s="413">
        <f>+CF34</f>
        <v>-966.56953919399996</v>
      </c>
      <c r="CG67" s="413">
        <f>+CG34</f>
        <v>-964.08083098222176</v>
      </c>
      <c r="CH67" s="414">
        <f>+CH34</f>
        <v>-950.12461303771966</v>
      </c>
      <c r="CI67" s="632"/>
    </row>
    <row r="68" spans="1:87">
      <c r="A68" s="707" t="s">
        <v>1096</v>
      </c>
      <c r="B68" s="707"/>
      <c r="C68" s="707"/>
      <c r="D68" s="413"/>
      <c r="E68" s="413">
        <f>BS!E65</f>
        <v>50.196999999999946</v>
      </c>
      <c r="F68" s="413">
        <f>BS!F65</f>
        <v>176.9550000000001</v>
      </c>
      <c r="G68" s="413">
        <f>BS!G65</f>
        <v>65.779999999999973</v>
      </c>
      <c r="H68" s="413">
        <f>BS!H65</f>
        <v>-51.463999999999942</v>
      </c>
      <c r="I68" s="413">
        <f>BS!I65</f>
        <v>484.26299999999969</v>
      </c>
      <c r="J68" s="413">
        <f>BS!J65</f>
        <v>73.443000000000211</v>
      </c>
      <c r="K68" s="413">
        <f>BS!K65</f>
        <v>-17.346000000000004</v>
      </c>
      <c r="L68" s="413">
        <f>BS!L65</f>
        <v>-773</v>
      </c>
      <c r="M68" s="413">
        <f>BS!M65</f>
        <v>-160</v>
      </c>
      <c r="N68" s="413">
        <f>BS!N65</f>
        <v>-103</v>
      </c>
      <c r="O68" s="413">
        <f>BS!O65</f>
        <v>35</v>
      </c>
      <c r="P68" s="413">
        <f ca="1">BS!P65</f>
        <v>657</v>
      </c>
      <c r="Q68" s="413">
        <f ca="1">BS!Q65</f>
        <v>-1671</v>
      </c>
      <c r="R68" s="413">
        <f ca="1">BS!R65</f>
        <v>1903</v>
      </c>
      <c r="S68" s="413">
        <f ca="1">BS!S65</f>
        <v>365.11112495191674</v>
      </c>
      <c r="T68" s="413">
        <f ca="1">BS!T65</f>
        <v>89.695221205286089</v>
      </c>
      <c r="U68" s="413">
        <f ca="1">BS!U65</f>
        <v>-56.889075292203415</v>
      </c>
      <c r="V68" s="413">
        <f ca="1">BS!V65</f>
        <v>-25.682305672698021</v>
      </c>
      <c r="W68" s="413">
        <f ca="1">BS!W65</f>
        <v>-25.027666416431202</v>
      </c>
      <c r="X68" s="413">
        <f ca="1">BS!X65</f>
        <v>-24.802980117917286</v>
      </c>
      <c r="Y68" s="2540"/>
      <c r="Z68" s="679">
        <f>BS!AC65</f>
        <v>0</v>
      </c>
      <c r="AA68" s="490">
        <f>BS!AD65</f>
        <v>59.199999999999932</v>
      </c>
      <c r="AB68" s="413">
        <f>BS!AE65</f>
        <v>96.882999999999925</v>
      </c>
      <c r="AC68" s="413">
        <f>BS!AF65</f>
        <v>-64.396999999999878</v>
      </c>
      <c r="AD68" s="414">
        <f>BS!AG65</f>
        <v>-176.12399999999997</v>
      </c>
      <c r="AE68" s="490">
        <f>BS!AH65</f>
        <v>58.619999999999891</v>
      </c>
      <c r="AF68" s="413">
        <f>BS!AI65</f>
        <v>20.547000000000139</v>
      </c>
      <c r="AG68" s="413">
        <f>BS!AJ65</f>
        <v>-150.21500000000009</v>
      </c>
      <c r="AH68" s="414">
        <f>BS!AK65</f>
        <v>920.50600000000009</v>
      </c>
      <c r="AI68" s="490">
        <f>BS!AL65</f>
        <v>-162.37486773532669</v>
      </c>
      <c r="AJ68" s="413">
        <f>BS!AM65</f>
        <v>528.56086773532672</v>
      </c>
      <c r="AK68" s="413">
        <f>BS!AN65</f>
        <v>66.282999999999902</v>
      </c>
      <c r="AL68" s="414">
        <f>BS!AO65</f>
        <v>-95.878999999999905</v>
      </c>
      <c r="AM68" s="490">
        <f>BS!AP65</f>
        <v>-631.7639999999999</v>
      </c>
      <c r="AN68" s="413">
        <f>BS!AQ65</f>
        <v>535.35299999999961</v>
      </c>
      <c r="AO68" s="413">
        <f>BS!AR65</f>
        <v>98.730000000000018</v>
      </c>
      <c r="AP68" s="413">
        <f>BS!AS65</f>
        <v>-126.83599999999979</v>
      </c>
      <c r="AQ68" s="490">
        <f>BS!AT65</f>
        <v>1531.5940000291546</v>
      </c>
      <c r="AR68" s="413">
        <f>BS!AU65</f>
        <v>-260.89999999999918</v>
      </c>
      <c r="AS68" s="413">
        <f>BS!AV65</f>
        <v>-135.37400000000116</v>
      </c>
      <c r="AT68" s="414">
        <f>BS!AW65</f>
        <v>-86.716999999999643</v>
      </c>
      <c r="AU68" s="490">
        <f>BS!AX65</f>
        <v>-111.00900287999957</v>
      </c>
      <c r="AV68" s="413">
        <f>BS!AY65</f>
        <v>-1373.0716594025653</v>
      </c>
      <c r="AW68" s="413">
        <f>BS!AZ65</f>
        <v>154.93866225341071</v>
      </c>
      <c r="AX68" s="414">
        <f>BS!BA65</f>
        <v>102.61999999999944</v>
      </c>
      <c r="AY68" s="490">
        <f>BS!BB65</f>
        <v>-776.85100000000011</v>
      </c>
      <c r="AZ68" s="413">
        <f>BS!BC65</f>
        <v>62.238999999999578</v>
      </c>
      <c r="BA68" s="413">
        <f>BS!BD65</f>
        <v>884.39600000000019</v>
      </c>
      <c r="BB68" s="413">
        <f>BS!BE65</f>
        <v>-187.12999999999965</v>
      </c>
      <c r="BC68" s="490">
        <f>BS!BF65</f>
        <v>68</v>
      </c>
      <c r="BD68" s="413">
        <f>BS!BG65</f>
        <v>4</v>
      </c>
      <c r="BE68" s="413">
        <f>BS!BH65</f>
        <v>25</v>
      </c>
      <c r="BF68" s="414">
        <f>BS!BI65</f>
        <v>-870</v>
      </c>
      <c r="BG68" s="413">
        <f>BS!BJ65</f>
        <v>-57</v>
      </c>
      <c r="BH68" s="413">
        <f>BS!BK65</f>
        <v>-353</v>
      </c>
      <c r="BI68" s="413">
        <f>BS!BL65</f>
        <v>356</v>
      </c>
      <c r="BJ68" s="414">
        <f>BS!BM65</f>
        <v>-106</v>
      </c>
      <c r="BK68" s="413">
        <f>BS!BN65</f>
        <v>3</v>
      </c>
      <c r="BL68" s="451">
        <f>BS!BO65</f>
        <v>21</v>
      </c>
      <c r="BM68" s="451">
        <f>BS!BP65</f>
        <v>229</v>
      </c>
      <c r="BN68" s="451">
        <f>BS!BQ65</f>
        <v>-356</v>
      </c>
      <c r="BO68" s="489">
        <f>BS!BR65</f>
        <v>81</v>
      </c>
      <c r="BP68" s="413">
        <f>BS!BS65</f>
        <v>-128</v>
      </c>
      <c r="BQ68" s="413">
        <f>BS!BT65</f>
        <v>286</v>
      </c>
      <c r="BR68" s="414">
        <f>BS!BU65</f>
        <v>-204</v>
      </c>
      <c r="BS68" s="413">
        <f ca="1">BS!BV65</f>
        <v>144</v>
      </c>
      <c r="BT68" s="451">
        <f ca="1">BS!BW65</f>
        <v>64</v>
      </c>
      <c r="BU68" s="413">
        <f ca="1">BS!BX65</f>
        <v>514</v>
      </c>
      <c r="BV68" s="414">
        <f ca="1">BS!BY65</f>
        <v>-65</v>
      </c>
      <c r="BW68" s="413">
        <f ca="1">BS!BZ65</f>
        <v>244</v>
      </c>
      <c r="BX68" s="451">
        <f ca="1">BS!CA65</f>
        <v>-30</v>
      </c>
      <c r="BY68" s="451">
        <f ca="1">BS!CB65</f>
        <v>-180</v>
      </c>
      <c r="BZ68" s="414">
        <f ca="1">BS!CC65</f>
        <v>-1705</v>
      </c>
      <c r="CA68" s="413">
        <f ca="1">BS!CD65</f>
        <v>-63</v>
      </c>
      <c r="CB68" s="451">
        <f ca="1">BS!CE65</f>
        <v>1638</v>
      </c>
      <c r="CC68" s="451">
        <f ca="1">BS!CF65</f>
        <v>127</v>
      </c>
      <c r="CD68" s="414">
        <f ca="1">BS!CG65</f>
        <v>201</v>
      </c>
      <c r="CE68" s="413">
        <f ca="1">BS!CH65</f>
        <v>172.79719921115247</v>
      </c>
      <c r="CF68" s="413">
        <f ca="1">BS!CI65</f>
        <v>65.673440279218084</v>
      </c>
      <c r="CG68" s="413">
        <f ca="1">BS!CJ65</f>
        <v>71.24606475769906</v>
      </c>
      <c r="CH68" s="414">
        <f ca="1">BS!CK65</f>
        <v>55.394420703847118</v>
      </c>
      <c r="CI68" s="632"/>
    </row>
    <row r="69" spans="1:87">
      <c r="A69" s="399" t="s">
        <v>1097</v>
      </c>
      <c r="B69" s="399"/>
      <c r="C69" s="399"/>
      <c r="D69" s="413"/>
      <c r="E69" s="413">
        <f t="shared" ref="E69:O69" si="105">SUM(E65:E68)</f>
        <v>-26.675000000000011</v>
      </c>
      <c r="F69" s="413">
        <f t="shared" si="105"/>
        <v>50.391999999999996</v>
      </c>
      <c r="G69" s="413">
        <f t="shared" si="105"/>
        <v>1705.1118323519668</v>
      </c>
      <c r="H69" s="413">
        <f t="shared" si="105"/>
        <v>1507.1850000000013</v>
      </c>
      <c r="I69" s="413">
        <f t="shared" si="105"/>
        <v>6658.3710000000028</v>
      </c>
      <c r="J69" s="413">
        <f t="shared" si="105"/>
        <v>6477.9379999999956</v>
      </c>
      <c r="K69" s="413">
        <f t="shared" si="105"/>
        <v>6211.67</v>
      </c>
      <c r="L69" s="413">
        <f t="shared" ca="1" si="105"/>
        <v>2936.6569999999997</v>
      </c>
      <c r="M69" s="413">
        <f t="shared" si="105"/>
        <v>5072.5</v>
      </c>
      <c r="N69" s="413">
        <f t="shared" si="105"/>
        <v>4233</v>
      </c>
      <c r="O69" s="413">
        <f t="shared" si="105"/>
        <v>4013</v>
      </c>
      <c r="P69" s="413">
        <f ca="1">SUM(BS69:BV69)</f>
        <v>4656</v>
      </c>
      <c r="Q69" s="413">
        <f ca="1">SUM(BW69:BZ69)</f>
        <v>1464</v>
      </c>
      <c r="R69" s="413">
        <f ca="1">SUM(BX69:CA69)</f>
        <v>852</v>
      </c>
      <c r="S69" s="413">
        <f ca="1">SUM(BY69:CB69)</f>
        <v>1882</v>
      </c>
      <c r="T69" s="413">
        <f ca="1">SUM(T65:T68)</f>
        <v>5385.9279134822591</v>
      </c>
      <c r="U69" s="413">
        <f ca="1">SUM(U65:U68)</f>
        <v>5446.292536042045</v>
      </c>
      <c r="V69" s="413">
        <f ca="1">SUM(V65:V68)</f>
        <v>5581.9691505146793</v>
      </c>
      <c r="W69" s="413">
        <f ca="1">SUM(W65:W68)</f>
        <v>5704.7327204437743</v>
      </c>
      <c r="X69" s="413">
        <f ca="1">SUM(X65:X68)</f>
        <v>5428.0964578641024</v>
      </c>
      <c r="Y69" s="2540"/>
      <c r="Z69" s="679">
        <f t="shared" ref="Z69:BP69" si="106">SUM(Z65:Z68)</f>
        <v>310.46299999999997</v>
      </c>
      <c r="AA69" s="490">
        <f t="shared" si="106"/>
        <v>386.77499999999992</v>
      </c>
      <c r="AB69" s="413">
        <f t="shared" si="106"/>
        <v>405.49399999999986</v>
      </c>
      <c r="AC69" s="413">
        <f t="shared" si="106"/>
        <v>215.08800000000014</v>
      </c>
      <c r="AD69" s="414">
        <f t="shared" si="106"/>
        <v>62.994000000000028</v>
      </c>
      <c r="AE69" s="490">
        <f t="shared" si="106"/>
        <v>364.75499999999988</v>
      </c>
      <c r="AF69" s="413">
        <f t="shared" si="106"/>
        <v>291.73700000000019</v>
      </c>
      <c r="AG69" s="413">
        <f t="shared" si="106"/>
        <v>154.53199999999998</v>
      </c>
      <c r="AH69" s="414">
        <f t="shared" si="106"/>
        <v>1180.0810000000001</v>
      </c>
      <c r="AI69" s="490">
        <f t="shared" si="106"/>
        <v>709.8991060701976</v>
      </c>
      <c r="AJ69" s="413">
        <f t="shared" si="106"/>
        <v>1318.8517262817686</v>
      </c>
      <c r="AK69" s="413">
        <f t="shared" si="106"/>
        <v>813.38699999999972</v>
      </c>
      <c r="AL69" s="414">
        <f t="shared" si="106"/>
        <v>720.35900000000015</v>
      </c>
      <c r="AM69" s="490">
        <f t="shared" si="106"/>
        <v>178.88600000000008</v>
      </c>
      <c r="AN69" s="413">
        <f t="shared" si="106"/>
        <v>1404.8809999999994</v>
      </c>
      <c r="AO69" s="413">
        <f t="shared" si="106"/>
        <v>1004.5560000000003</v>
      </c>
      <c r="AP69" s="413">
        <f t="shared" si="106"/>
        <v>459.97600000000023</v>
      </c>
      <c r="AQ69" s="490">
        <f t="shared" si="106"/>
        <v>3364.2410000291538</v>
      </c>
      <c r="AR69" s="413">
        <f t="shared" si="106"/>
        <v>1473.0820000000012</v>
      </c>
      <c r="AS69" s="413">
        <f t="shared" si="106"/>
        <v>1492.8549999999993</v>
      </c>
      <c r="AT69" s="414">
        <f t="shared" si="106"/>
        <v>1933.5690000000009</v>
      </c>
      <c r="AU69" s="490">
        <f t="shared" si="106"/>
        <v>1605.9349971199999</v>
      </c>
      <c r="AV69" s="413">
        <f t="shared" si="106"/>
        <v>374.08234059743472</v>
      </c>
      <c r="AW69" s="413">
        <f t="shared" si="106"/>
        <v>1722.9226622534102</v>
      </c>
      <c r="AX69" s="414">
        <f t="shared" si="106"/>
        <v>1475.0329999999994</v>
      </c>
      <c r="AY69" s="490">
        <f t="shared" si="106"/>
        <v>820.33800000000019</v>
      </c>
      <c r="AZ69" s="413">
        <f t="shared" si="106"/>
        <v>1749.2909999999995</v>
      </c>
      <c r="BA69" s="413">
        <f t="shared" si="106"/>
        <v>2443.0540000000001</v>
      </c>
      <c r="BB69" s="413">
        <f t="shared" si="106"/>
        <v>1198.9870000000003</v>
      </c>
      <c r="BC69" s="490">
        <f t="shared" ca="1" si="106"/>
        <v>1483.9070000000002</v>
      </c>
      <c r="BD69" s="413">
        <f t="shared" si="106"/>
        <v>92</v>
      </c>
      <c r="BE69" s="413">
        <f t="shared" si="106"/>
        <v>1198</v>
      </c>
      <c r="BF69" s="414">
        <f t="shared" si="106"/>
        <v>55</v>
      </c>
      <c r="BG69" s="413">
        <f t="shared" si="106"/>
        <v>1210</v>
      </c>
      <c r="BH69" s="413">
        <f t="shared" si="106"/>
        <v>950</v>
      </c>
      <c r="BI69" s="413">
        <f t="shared" si="106"/>
        <v>1564</v>
      </c>
      <c r="BJ69" s="414">
        <f t="shared" si="106"/>
        <v>936</v>
      </c>
      <c r="BK69" s="413">
        <f t="shared" si="106"/>
        <v>1281</v>
      </c>
      <c r="BL69" s="451">
        <f t="shared" si="106"/>
        <v>1170</v>
      </c>
      <c r="BM69" s="451">
        <f t="shared" si="106"/>
        <v>1232</v>
      </c>
      <c r="BN69" s="451">
        <f t="shared" si="106"/>
        <v>646</v>
      </c>
      <c r="BO69" s="489">
        <f t="shared" si="106"/>
        <v>1189</v>
      </c>
      <c r="BP69" s="413">
        <f t="shared" si="106"/>
        <v>940</v>
      </c>
      <c r="BQ69" s="413">
        <f t="shared" ref="BQ69:BV69" si="107">SUM(BQ65:BQ68)</f>
        <v>1321</v>
      </c>
      <c r="BR69" s="414">
        <f t="shared" si="107"/>
        <v>563</v>
      </c>
      <c r="BS69" s="413">
        <f t="shared" ca="1" si="107"/>
        <v>1247</v>
      </c>
      <c r="BT69" s="451">
        <f t="shared" ca="1" si="107"/>
        <v>994</v>
      </c>
      <c r="BU69" s="413">
        <f t="shared" ca="1" si="107"/>
        <v>1510</v>
      </c>
      <c r="BV69" s="414">
        <f t="shared" ca="1" si="107"/>
        <v>905</v>
      </c>
      <c r="BW69" s="413">
        <f t="shared" ref="BW69:CB69" ca="1" si="108">SUM(BW65:BW68)</f>
        <v>1306</v>
      </c>
      <c r="BX69" s="451">
        <f t="shared" ca="1" si="108"/>
        <v>955</v>
      </c>
      <c r="BY69" s="451">
        <f t="shared" ca="1" si="108"/>
        <v>347</v>
      </c>
      <c r="BZ69" s="414">
        <f t="shared" ca="1" si="108"/>
        <v>-1144</v>
      </c>
      <c r="CA69" s="413">
        <f ca="1">SUM(CA65:CA68)</f>
        <v>694</v>
      </c>
      <c r="CB69" s="451">
        <f t="shared" ca="1" si="108"/>
        <v>1985</v>
      </c>
      <c r="CC69" s="451">
        <f ca="1">SUM(CC65:CC68)</f>
        <v>653</v>
      </c>
      <c r="CD69" s="414">
        <f t="shared" ref="CD69" ca="1" si="109">SUM(CD65:CD68)</f>
        <v>1655</v>
      </c>
      <c r="CE69" s="413">
        <f ca="1">SUM(CE65:CE68)</f>
        <v>1307.5706992111525</v>
      </c>
      <c r="CF69" s="413">
        <f ca="1">SUM(CF65:CF68)</f>
        <v>1262.938466761218</v>
      </c>
      <c r="CG69" s="413">
        <f ca="1">SUM(CG65:CG68)</f>
        <v>1313.2626154401128</v>
      </c>
      <c r="CH69" s="414">
        <f ca="1">SUM(CH65:CH68)</f>
        <v>1378.0564176528826</v>
      </c>
      <c r="CI69" s="632"/>
    </row>
    <row r="70" spans="1:87" ht="6" customHeight="1">
      <c r="A70" s="399"/>
      <c r="B70" s="399"/>
      <c r="C70" s="399"/>
      <c r="D70" s="413"/>
      <c r="E70" s="413"/>
      <c r="F70" s="413"/>
      <c r="G70" s="413"/>
      <c r="H70" s="413"/>
      <c r="I70" s="413"/>
      <c r="J70" s="413"/>
      <c r="K70" s="413"/>
      <c r="L70" s="413"/>
      <c r="M70" s="413"/>
      <c r="N70" s="413"/>
      <c r="O70" s="413"/>
      <c r="P70" s="413"/>
      <c r="Q70" s="413"/>
      <c r="R70" s="413"/>
      <c r="S70" s="413"/>
      <c r="T70" s="413"/>
      <c r="U70" s="413"/>
      <c r="V70" s="413"/>
      <c r="W70" s="413"/>
      <c r="X70" s="413"/>
      <c r="Y70" s="2540"/>
      <c r="Z70" s="679"/>
      <c r="AA70" s="490"/>
      <c r="AB70" s="413"/>
      <c r="AC70" s="413"/>
      <c r="AD70" s="414"/>
      <c r="AE70" s="490"/>
      <c r="AF70" s="413"/>
      <c r="AG70" s="413"/>
      <c r="AH70" s="414"/>
      <c r="AI70" s="490"/>
      <c r="AJ70" s="413"/>
      <c r="AK70" s="413"/>
      <c r="AL70" s="414"/>
      <c r="AM70" s="490"/>
      <c r="AN70" s="413"/>
      <c r="AO70" s="413"/>
      <c r="AP70" s="413"/>
      <c r="AQ70" s="490"/>
      <c r="AR70" s="413"/>
      <c r="AS70" s="413"/>
      <c r="AT70" s="414"/>
      <c r="AU70" s="490"/>
      <c r="AV70" s="413"/>
      <c r="AW70" s="413"/>
      <c r="AX70" s="414"/>
      <c r="AY70" s="490"/>
      <c r="AZ70" s="413"/>
      <c r="BA70" s="413"/>
      <c r="BB70" s="413"/>
      <c r="BC70" s="490"/>
      <c r="BD70" s="413"/>
      <c r="BE70" s="413"/>
      <c r="BF70" s="414"/>
      <c r="BG70" s="413"/>
      <c r="BH70" s="413"/>
      <c r="BI70" s="413"/>
      <c r="BJ70" s="414"/>
      <c r="BK70" s="413"/>
      <c r="BL70" s="451"/>
      <c r="BM70" s="451"/>
      <c r="BN70" s="451"/>
      <c r="BO70" s="489"/>
      <c r="BP70" s="413"/>
      <c r="BQ70" s="413"/>
      <c r="BR70" s="414"/>
      <c r="BS70" s="413"/>
      <c r="BT70" s="451"/>
      <c r="BU70" s="413"/>
      <c r="BV70" s="414"/>
      <c r="BW70" s="413"/>
      <c r="BX70" s="451"/>
      <c r="BY70" s="451"/>
      <c r="BZ70" s="414"/>
      <c r="CA70" s="413"/>
      <c r="CB70" s="451"/>
      <c r="CC70" s="451"/>
      <c r="CD70" s="414"/>
      <c r="CE70" s="413"/>
      <c r="CF70" s="413"/>
      <c r="CG70" s="413"/>
      <c r="CH70" s="414"/>
      <c r="CI70" s="632"/>
    </row>
    <row r="71" spans="1:87">
      <c r="A71" s="404" t="s">
        <v>1098</v>
      </c>
      <c r="B71" s="404"/>
      <c r="C71" s="404"/>
      <c r="D71" s="399"/>
      <c r="E71" s="399"/>
      <c r="F71" s="413"/>
      <c r="G71" s="413"/>
      <c r="H71" s="413"/>
      <c r="I71" s="413"/>
      <c r="J71" s="413"/>
      <c r="K71" s="413"/>
      <c r="L71" s="413"/>
      <c r="M71" s="413"/>
      <c r="N71" s="413"/>
      <c r="O71" s="413"/>
      <c r="P71" s="413"/>
      <c r="Q71" s="413"/>
      <c r="R71" s="413"/>
      <c r="S71" s="413"/>
      <c r="T71" s="413"/>
      <c r="U71" s="413"/>
      <c r="V71" s="413"/>
      <c r="W71" s="413"/>
      <c r="X71" s="413"/>
      <c r="Y71" s="2540"/>
      <c r="Z71" s="679"/>
      <c r="AA71" s="490"/>
      <c r="AB71" s="413"/>
      <c r="AC71" s="413"/>
      <c r="AD71" s="414"/>
      <c r="AE71" s="490"/>
      <c r="AF71" s="413"/>
      <c r="AG71" s="413"/>
      <c r="AH71" s="414"/>
      <c r="AI71" s="490"/>
      <c r="AJ71" s="413"/>
      <c r="AK71" s="413"/>
      <c r="AL71" s="414"/>
      <c r="AM71" s="490"/>
      <c r="AN71" s="413"/>
      <c r="AO71" s="413"/>
      <c r="AP71" s="413"/>
      <c r="AQ71" s="490"/>
      <c r="AR71" s="413"/>
      <c r="AS71" s="413"/>
      <c r="AT71" s="414"/>
      <c r="AU71" s="490"/>
      <c r="AV71" s="413"/>
      <c r="AW71" s="413"/>
      <c r="AX71" s="414"/>
      <c r="AY71" s="490"/>
      <c r="AZ71" s="413"/>
      <c r="BA71" s="413"/>
      <c r="BB71" s="413"/>
      <c r="BC71" s="490"/>
      <c r="BD71" s="413"/>
      <c r="BE71" s="413"/>
      <c r="BF71" s="414"/>
      <c r="BG71" s="413"/>
      <c r="BH71" s="413"/>
      <c r="BI71" s="413"/>
      <c r="BJ71" s="414"/>
      <c r="BK71" s="413"/>
      <c r="BL71" s="451"/>
      <c r="BM71" s="451"/>
      <c r="BN71" s="451"/>
      <c r="BO71" s="489"/>
      <c r="BP71" s="413"/>
      <c r="BQ71" s="413"/>
      <c r="BR71" s="414"/>
      <c r="BS71" s="413"/>
      <c r="BT71" s="451"/>
      <c r="BU71" s="413"/>
      <c r="BV71" s="414"/>
      <c r="BW71" s="413"/>
      <c r="BX71" s="451"/>
      <c r="BY71" s="451"/>
      <c r="BZ71" s="414"/>
      <c r="CA71" s="413"/>
      <c r="CB71" s="451"/>
      <c r="CC71" s="451"/>
      <c r="CD71" s="414"/>
      <c r="CE71" s="413"/>
      <c r="CF71" s="413"/>
      <c r="CG71" s="413"/>
      <c r="CH71" s="414"/>
      <c r="CI71" s="632"/>
    </row>
    <row r="72" spans="1:87">
      <c r="A72" s="708" t="s">
        <v>1041</v>
      </c>
      <c r="B72" s="708"/>
      <c r="C72" s="708"/>
      <c r="D72" s="413"/>
      <c r="E72" s="413">
        <f>IS!E84</f>
        <v>-898.85799999999995</v>
      </c>
      <c r="F72" s="413">
        <f>IS!F84</f>
        <v>-921.94000000000017</v>
      </c>
      <c r="G72" s="413">
        <f>IS!G84</f>
        <v>-567.41696357147759</v>
      </c>
      <c r="H72" s="413">
        <f>IS!H84</f>
        <v>-724.90399999999909</v>
      </c>
      <c r="I72" s="413">
        <f>IS!I84</f>
        <v>1734.7420000000022</v>
      </c>
      <c r="J72" s="413">
        <f>IS!J87</f>
        <v>1803.1109999999962</v>
      </c>
      <c r="K72" s="413">
        <f>IS!K87</f>
        <v>1852</v>
      </c>
      <c r="L72" s="413">
        <f ca="1">IS!L87</f>
        <v>1739.5499999999993</v>
      </c>
      <c r="M72" s="413">
        <f>IS!M87</f>
        <v>2067.5</v>
      </c>
      <c r="N72" s="413">
        <f>IS!N87</f>
        <v>1663</v>
      </c>
      <c r="O72" s="413">
        <f>IS!O87</f>
        <v>1000</v>
      </c>
      <c r="P72" s="413">
        <f>IS!P87</f>
        <v>1034</v>
      </c>
      <c r="Q72" s="413">
        <f>IS!Q87</f>
        <v>626</v>
      </c>
      <c r="R72" s="413">
        <f>IS!R87</f>
        <v>1504</v>
      </c>
      <c r="S72" s="413">
        <f>IS!S87</f>
        <v>603.26385262249107</v>
      </c>
      <c r="T72" s="413">
        <f>IS!T87</f>
        <v>1077.1363402526958</v>
      </c>
      <c r="U72" s="413">
        <f>IS!U87</f>
        <v>1419.4056536311577</v>
      </c>
      <c r="V72" s="413">
        <f>IS!V87</f>
        <v>1586.1145386905418</v>
      </c>
      <c r="W72" s="413">
        <f>IS!W87</f>
        <v>1774.3465787232058</v>
      </c>
      <c r="X72" s="413">
        <f>IS!X87</f>
        <v>1967.6719560726992</v>
      </c>
      <c r="Y72" s="2540"/>
      <c r="Z72" s="679">
        <f>IS!AD84</f>
        <v>89.266999999999967</v>
      </c>
      <c r="AA72" s="490">
        <f>IS!AE84</f>
        <v>83.278999999999954</v>
      </c>
      <c r="AB72" s="413">
        <f>IS!AF84</f>
        <v>83.283999999999935</v>
      </c>
      <c r="AC72" s="413">
        <f>IS!AG84</f>
        <v>81.135000000000048</v>
      </c>
      <c r="AD72" s="414">
        <f>IS!AH84</f>
        <v>85.10499999999999</v>
      </c>
      <c r="AE72" s="490">
        <f>IS!AI84</f>
        <v>79.991000000000014</v>
      </c>
      <c r="AF72" s="413">
        <f>IS!AJ84</f>
        <v>85.117999999999995</v>
      </c>
      <c r="AG72" s="413">
        <f>IS!AK84</f>
        <v>98.977000000000046</v>
      </c>
      <c r="AH72" s="414">
        <f>IS!AL84</f>
        <v>82.183999999999969</v>
      </c>
      <c r="AI72" s="490">
        <f>IS!AM84</f>
        <v>245.81948093333835</v>
      </c>
      <c r="AJ72" s="413">
        <f>IS!AN84</f>
        <v>261.80255549518347</v>
      </c>
      <c r="AK72" s="413">
        <f>IS!AO84</f>
        <v>238.08699999999988</v>
      </c>
      <c r="AL72" s="414">
        <f>IS!AP84</f>
        <v>273.44900000000007</v>
      </c>
      <c r="AM72" s="490">
        <f>IS!AQ84</f>
        <v>200.87000000000009</v>
      </c>
      <c r="AN72" s="413">
        <f>IS!AR84</f>
        <v>217.43399999999968</v>
      </c>
      <c r="AO72" s="413">
        <f>IS!AS84</f>
        <v>228.13700000000014</v>
      </c>
      <c r="AP72" s="413">
        <f>IS!AT84</f>
        <v>242.82200000000012</v>
      </c>
      <c r="AQ72" s="490">
        <f>IS!AU84</f>
        <v>445.19899999999956</v>
      </c>
      <c r="AR72" s="413">
        <f>IS!AV84</f>
        <v>440.57300000000032</v>
      </c>
      <c r="AS72" s="413">
        <f>IS!AW84</f>
        <v>376.8430000000003</v>
      </c>
      <c r="AT72" s="414">
        <f>IS!AX84</f>
        <v>472.12700000000046</v>
      </c>
      <c r="AU72" s="490">
        <f>IS!AY84</f>
        <v>522.63499999999931</v>
      </c>
      <c r="AV72" s="413">
        <f>IS!AZ84</f>
        <v>430.38299999999992</v>
      </c>
      <c r="AW72" s="413">
        <f>IS!BA84</f>
        <v>422.74399999999946</v>
      </c>
      <c r="AX72" s="414">
        <f>IS!BB84</f>
        <v>428.72900000000004</v>
      </c>
      <c r="AY72" s="490">
        <f>IS!BC87</f>
        <v>500</v>
      </c>
      <c r="AZ72" s="413">
        <f>IS!BD87</f>
        <v>451</v>
      </c>
      <c r="BA72" s="413">
        <f>IS!BE87</f>
        <v>446</v>
      </c>
      <c r="BB72" s="413">
        <f>IS!BF87</f>
        <v>455</v>
      </c>
      <c r="BC72" s="490">
        <f ca="1">IS!BG87</f>
        <v>483.80000000000018</v>
      </c>
      <c r="BD72" s="413">
        <f>IS!BH87</f>
        <v>428</v>
      </c>
      <c r="BE72" s="413">
        <f>IS!BI87</f>
        <v>377</v>
      </c>
      <c r="BF72" s="414">
        <f>IS!BJ87</f>
        <v>343</v>
      </c>
      <c r="BG72" s="413">
        <f>IS!BK87</f>
        <v>423</v>
      </c>
      <c r="BH72" s="413">
        <f>IS!BL87</f>
        <v>403</v>
      </c>
      <c r="BI72" s="413">
        <f>IS!BM87</f>
        <v>413</v>
      </c>
      <c r="BJ72" s="414">
        <f>IS!BN87</f>
        <v>416</v>
      </c>
      <c r="BK72" s="413">
        <f>IS!BO87</f>
        <v>475</v>
      </c>
      <c r="BL72" s="451">
        <f>IS!BP87</f>
        <v>417</v>
      </c>
      <c r="BM72" s="680">
        <f>IS!BQ87</f>
        <v>375</v>
      </c>
      <c r="BN72" s="680">
        <f>IS!BR87</f>
        <v>396</v>
      </c>
      <c r="BO72" s="570">
        <f>IS!BS87</f>
        <v>231</v>
      </c>
      <c r="BP72" s="413">
        <f>IS!BT87</f>
        <v>271</v>
      </c>
      <c r="BQ72" s="413">
        <f>IS!BU87</f>
        <v>217</v>
      </c>
      <c r="BR72" s="414">
        <f>IS!BV87</f>
        <v>281</v>
      </c>
      <c r="BS72" s="413">
        <f>IS!BW87</f>
        <v>238</v>
      </c>
      <c r="BT72" s="451">
        <f>IS!BX87</f>
        <v>160</v>
      </c>
      <c r="BU72" s="413">
        <f>IS!BY87</f>
        <v>300</v>
      </c>
      <c r="BV72" s="414">
        <f>IS!BZ87</f>
        <v>336</v>
      </c>
      <c r="BW72" s="413">
        <f>IS!CA87</f>
        <v>236</v>
      </c>
      <c r="BX72" s="451">
        <f>IS!CB87</f>
        <v>196</v>
      </c>
      <c r="BY72" s="451">
        <f>IS!CC87</f>
        <v>152</v>
      </c>
      <c r="BZ72" s="414">
        <f>IS!CD87</f>
        <v>42</v>
      </c>
      <c r="CA72" s="413">
        <f>IS!CE87</f>
        <v>163</v>
      </c>
      <c r="CB72" s="451">
        <f>IS!CF87</f>
        <v>17</v>
      </c>
      <c r="CC72" s="451">
        <f>IS!CG87</f>
        <v>92</v>
      </c>
      <c r="CD72" s="414">
        <f>IS!CH87</f>
        <v>1232</v>
      </c>
      <c r="CE72" s="413">
        <f>IS!CI87</f>
        <v>88.260182343750472</v>
      </c>
      <c r="CF72" s="413">
        <f>IS!CJ87</f>
        <v>133.96106476481222</v>
      </c>
      <c r="CG72" s="413">
        <f>IS!CK87</f>
        <v>165.49905674433589</v>
      </c>
      <c r="CH72" s="414">
        <f>IS!CL87</f>
        <v>215.54354876959349</v>
      </c>
      <c r="CI72" s="632"/>
    </row>
    <row r="73" spans="1:87">
      <c r="A73" s="708" t="s">
        <v>1099</v>
      </c>
      <c r="B73" s="708"/>
      <c r="C73" s="708"/>
      <c r="D73" s="413"/>
      <c r="E73" s="413">
        <f t="shared" ref="E73:J73" si="110">+E13</f>
        <v>500.904</v>
      </c>
      <c r="F73" s="413">
        <f t="shared" si="110"/>
        <v>531.93100000000004</v>
      </c>
      <c r="G73" s="413">
        <f t="shared" si="110"/>
        <v>1588.5059999999999</v>
      </c>
      <c r="H73" s="413">
        <f t="shared" si="110"/>
        <v>1756.2550000000001</v>
      </c>
      <c r="I73" s="413">
        <f t="shared" si="110"/>
        <v>3880.7860000000001</v>
      </c>
      <c r="J73" s="413">
        <f t="shared" si="110"/>
        <v>3773.71</v>
      </c>
      <c r="K73" s="413">
        <f>+IS!K47</f>
        <v>3836</v>
      </c>
      <c r="L73" s="413">
        <f>+IS!L47</f>
        <v>3800</v>
      </c>
      <c r="M73" s="413">
        <f>+IS!M47</f>
        <v>3664</v>
      </c>
      <c r="N73" s="413">
        <f>+IS!N47</f>
        <v>3438</v>
      </c>
      <c r="O73" s="413">
        <f>+IS!O47</f>
        <v>4428</v>
      </c>
      <c r="P73" s="413">
        <f>+IS!P47</f>
        <v>4189</v>
      </c>
      <c r="Q73" s="413">
        <f>+IS!Q47</f>
        <v>3916</v>
      </c>
      <c r="R73" s="413">
        <f>+IS!R47</f>
        <v>4040</v>
      </c>
      <c r="S73" s="413">
        <f>+IS!S47</f>
        <v>5454.5163035963596</v>
      </c>
      <c r="T73" s="413">
        <f>+IS!T47</f>
        <v>5345.4259775244327</v>
      </c>
      <c r="U73" s="413">
        <f>+IS!U47</f>
        <v>5238.5174579739441</v>
      </c>
      <c r="V73" s="413">
        <f>+IS!V47</f>
        <v>5146.8434024594007</v>
      </c>
      <c r="W73" s="413">
        <f>+IS!W47</f>
        <v>5056.7736429163615</v>
      </c>
      <c r="X73" s="413">
        <f>+IS!X47</f>
        <v>4968.2801041653256</v>
      </c>
      <c r="Y73" s="2540"/>
      <c r="Z73" s="679">
        <f t="shared" ref="Z73:AX73" si="111">+Z13</f>
        <v>118.98099999999999</v>
      </c>
      <c r="AA73" s="490">
        <f t="shared" si="111"/>
        <v>126.992</v>
      </c>
      <c r="AB73" s="413">
        <f t="shared" si="111"/>
        <v>130.751</v>
      </c>
      <c r="AC73" s="413">
        <f t="shared" si="111"/>
        <v>113.857</v>
      </c>
      <c r="AD73" s="414">
        <f t="shared" si="111"/>
        <v>129.304</v>
      </c>
      <c r="AE73" s="490">
        <f t="shared" si="111"/>
        <v>132.17500000000001</v>
      </c>
      <c r="AF73" s="413">
        <f t="shared" si="111"/>
        <v>130.452</v>
      </c>
      <c r="AG73" s="413">
        <f t="shared" si="111"/>
        <v>133.52600000000001</v>
      </c>
      <c r="AH73" s="414">
        <f t="shared" si="111"/>
        <v>135.77799999999999</v>
      </c>
      <c r="AI73" s="490">
        <f t="shared" si="111"/>
        <v>397.565</v>
      </c>
      <c r="AJ73" s="413">
        <f t="shared" si="111"/>
        <v>398.82</v>
      </c>
      <c r="AK73" s="413">
        <f t="shared" si="111"/>
        <v>396.84</v>
      </c>
      <c r="AL73" s="414">
        <f t="shared" si="111"/>
        <v>395.28100000000001</v>
      </c>
      <c r="AM73" s="490">
        <f t="shared" si="111"/>
        <v>397.78399999999999</v>
      </c>
      <c r="AN73" s="413">
        <f t="shared" si="111"/>
        <v>398.31099999999998</v>
      </c>
      <c r="AO73" s="413">
        <f t="shared" si="111"/>
        <v>396.60599999999999</v>
      </c>
      <c r="AP73" s="413">
        <f t="shared" si="111"/>
        <v>563.55399999999997</v>
      </c>
      <c r="AQ73" s="490">
        <f t="shared" si="111"/>
        <v>962.68399999999997</v>
      </c>
      <c r="AR73" s="413">
        <f t="shared" si="111"/>
        <v>955.95399999999995</v>
      </c>
      <c r="AS73" s="413">
        <f t="shared" si="111"/>
        <v>979.35199999999998</v>
      </c>
      <c r="AT73" s="414">
        <f t="shared" si="111"/>
        <v>982.79600000000005</v>
      </c>
      <c r="AU73" s="490">
        <f t="shared" si="111"/>
        <v>944.72</v>
      </c>
      <c r="AV73" s="413">
        <f t="shared" si="111"/>
        <v>950.404</v>
      </c>
      <c r="AW73" s="413">
        <f t="shared" si="111"/>
        <v>943.202</v>
      </c>
      <c r="AX73" s="414">
        <f t="shared" si="111"/>
        <v>935.38400000000001</v>
      </c>
      <c r="AY73" s="490">
        <f>+IS!BC47</f>
        <v>950</v>
      </c>
      <c r="AZ73" s="413">
        <f>+IS!BD47</f>
        <v>957</v>
      </c>
      <c r="BA73" s="413">
        <f>+IS!BE47</f>
        <v>968</v>
      </c>
      <c r="BB73" s="413">
        <f>+IS!BF47</f>
        <v>961</v>
      </c>
      <c r="BC73" s="490">
        <f>+IS!BG47</f>
        <v>930</v>
      </c>
      <c r="BD73" s="413">
        <f>+IS!BH47</f>
        <v>963</v>
      </c>
      <c r="BE73" s="413">
        <f>+IS!BI47</f>
        <v>957</v>
      </c>
      <c r="BF73" s="414">
        <f>+IS!BJ47</f>
        <v>950</v>
      </c>
      <c r="BG73" s="413">
        <f>+IS!BK47</f>
        <v>917</v>
      </c>
      <c r="BH73" s="413">
        <f>+IS!BL47</f>
        <v>911</v>
      </c>
      <c r="BI73" s="413">
        <f>+IS!BM47</f>
        <v>901</v>
      </c>
      <c r="BJ73" s="414">
        <f>+IS!BN47</f>
        <v>935</v>
      </c>
      <c r="BK73" s="413">
        <f>+IS!BO47</f>
        <v>836</v>
      </c>
      <c r="BL73" s="451">
        <f>+IS!BP47</f>
        <v>847</v>
      </c>
      <c r="BM73" s="680">
        <f>+IS!BQ47</f>
        <v>867</v>
      </c>
      <c r="BN73" s="680">
        <f>+IS!BR47</f>
        <v>888</v>
      </c>
      <c r="BO73" s="570">
        <f>+IS!BS47</f>
        <v>1107</v>
      </c>
      <c r="BP73" s="413">
        <f>+IS!BT47</f>
        <v>1093</v>
      </c>
      <c r="BQ73" s="413">
        <f>+IS!BU47</f>
        <v>1097</v>
      </c>
      <c r="BR73" s="414">
        <f>+IS!BV47</f>
        <v>1131</v>
      </c>
      <c r="BS73" s="413">
        <f>+IS!BW47</f>
        <v>1040</v>
      </c>
      <c r="BT73" s="451">
        <f>+IS!BX47</f>
        <v>1048</v>
      </c>
      <c r="BU73" s="413">
        <f>+IS!BY47</f>
        <v>1048</v>
      </c>
      <c r="BV73" s="414">
        <f>+IS!BZ47</f>
        <v>1053</v>
      </c>
      <c r="BW73" s="413">
        <f>+IS!CA47</f>
        <v>976</v>
      </c>
      <c r="BX73" s="451">
        <f>+IS!CB47</f>
        <v>987</v>
      </c>
      <c r="BY73" s="451">
        <f>+IS!CC47</f>
        <v>995</v>
      </c>
      <c r="BZ73" s="414">
        <f>+IS!CD47</f>
        <v>958</v>
      </c>
      <c r="CA73" s="413">
        <f>+IS!CE47</f>
        <v>880</v>
      </c>
      <c r="CB73" s="451">
        <f>+IS!CF47</f>
        <v>949</v>
      </c>
      <c r="CC73" s="451">
        <f>+IS!CG47</f>
        <v>910</v>
      </c>
      <c r="CD73" s="414">
        <f>+IS!CH47</f>
        <v>1301</v>
      </c>
      <c r="CE73" s="413">
        <f>+IS!CI47</f>
        <v>1359.5449999999998</v>
      </c>
      <c r="CF73" s="413">
        <f>+IS!CJ47</f>
        <v>1362.2640899999999</v>
      </c>
      <c r="CG73" s="413">
        <f>+IS!CK47</f>
        <v>1364.98861818</v>
      </c>
      <c r="CH73" s="414">
        <f>+IS!CL47</f>
        <v>1367.7185954163599</v>
      </c>
      <c r="CI73" s="632"/>
    </row>
    <row r="74" spans="1:87">
      <c r="A74" s="708" t="s">
        <v>1100</v>
      </c>
      <c r="B74" s="708"/>
      <c r="C74" s="708"/>
      <c r="D74" s="413"/>
      <c r="E74" s="413">
        <f t="shared" ref="E74:R74" si="112">+E34</f>
        <v>-385.31600000000003</v>
      </c>
      <c r="F74" s="413">
        <f t="shared" si="112"/>
        <v>-414.87199999999996</v>
      </c>
      <c r="G74" s="413">
        <f t="shared" si="112"/>
        <v>-1304.0710000000001</v>
      </c>
      <c r="H74" s="413">
        <f t="shared" si="112"/>
        <v>-1155.0450000000001</v>
      </c>
      <c r="I74" s="413">
        <f t="shared" si="112"/>
        <v>-2738.817</v>
      </c>
      <c r="J74" s="413">
        <f t="shared" si="112"/>
        <v>-2411.5439999999999</v>
      </c>
      <c r="K74" s="413">
        <f t="shared" si="112"/>
        <v>-2548.2160000000003</v>
      </c>
      <c r="L74" s="413">
        <f t="shared" si="112"/>
        <v>-2889.5909999999999</v>
      </c>
      <c r="M74" s="413">
        <f t="shared" si="112"/>
        <v>-2919</v>
      </c>
      <c r="N74" s="413">
        <f t="shared" si="112"/>
        <v>-3048</v>
      </c>
      <c r="O74" s="413">
        <f t="shared" si="112"/>
        <v>-3047</v>
      </c>
      <c r="P74" s="413">
        <f t="shared" si="112"/>
        <v>-2872</v>
      </c>
      <c r="Q74" s="413">
        <f t="shared" si="112"/>
        <v>-2981</v>
      </c>
      <c r="R74" s="413">
        <f t="shared" si="112"/>
        <v>-3106</v>
      </c>
      <c r="S74" s="413">
        <f t="shared" ref="S74:X74" si="113">+S34</f>
        <v>-3850.2510232139421</v>
      </c>
      <c r="T74" s="413">
        <f t="shared" si="113"/>
        <v>-3773.9406082061196</v>
      </c>
      <c r="U74" s="413">
        <f t="shared" si="113"/>
        <v>-3742.4634537380066</v>
      </c>
      <c r="V74" s="413">
        <f t="shared" si="113"/>
        <v>-3718.2457088184824</v>
      </c>
      <c r="W74" s="413">
        <f t="shared" si="113"/>
        <v>-3706.8381148050739</v>
      </c>
      <c r="X74" s="413">
        <f t="shared" si="113"/>
        <v>-3699.208926648063</v>
      </c>
      <c r="Y74" s="2540"/>
      <c r="Z74" s="679">
        <f t="shared" ref="Z74:BF74" si="114">+Z34</f>
        <v>-121.48</v>
      </c>
      <c r="AA74" s="490">
        <f t="shared" si="114"/>
        <v>-61.744999999999997</v>
      </c>
      <c r="AB74" s="413">
        <f t="shared" si="114"/>
        <v>-94.269000000000005</v>
      </c>
      <c r="AC74" s="413">
        <f t="shared" si="114"/>
        <v>-97.582999999999998</v>
      </c>
      <c r="AD74" s="414">
        <f t="shared" si="114"/>
        <v>-131.71899999999999</v>
      </c>
      <c r="AE74" s="490">
        <f t="shared" si="114"/>
        <v>-74.903000000000006</v>
      </c>
      <c r="AF74" s="413">
        <f t="shared" si="114"/>
        <v>-102.011</v>
      </c>
      <c r="AG74" s="413">
        <f t="shared" si="114"/>
        <v>-105.044</v>
      </c>
      <c r="AH74" s="414">
        <f t="shared" si="114"/>
        <v>-132.91399999999999</v>
      </c>
      <c r="AI74" s="490">
        <f t="shared" si="114"/>
        <v>-264.08800000000002</v>
      </c>
      <c r="AJ74" s="413">
        <f t="shared" si="114"/>
        <v>-382.36700000000002</v>
      </c>
      <c r="AK74" s="413">
        <f t="shared" si="114"/>
        <v>-342.57900000000001</v>
      </c>
      <c r="AL74" s="414">
        <f t="shared" si="114"/>
        <v>-315.03699999999998</v>
      </c>
      <c r="AM74" s="490">
        <f t="shared" si="114"/>
        <v>-231.88</v>
      </c>
      <c r="AN74" s="413">
        <f t="shared" si="114"/>
        <v>-245.976</v>
      </c>
      <c r="AO74" s="413">
        <f t="shared" si="114"/>
        <v>-272.44499999999999</v>
      </c>
      <c r="AP74" s="413">
        <f t="shared" si="114"/>
        <v>-404.74400000000003</v>
      </c>
      <c r="AQ74" s="490">
        <f t="shared" si="114"/>
        <v>-647.73900000000003</v>
      </c>
      <c r="AR74" s="413">
        <f t="shared" si="114"/>
        <v>-772.65899999999999</v>
      </c>
      <c r="AS74" s="413">
        <f t="shared" si="114"/>
        <v>-706.60599999999999</v>
      </c>
      <c r="AT74" s="414">
        <f t="shared" si="114"/>
        <v>-611.81299999999999</v>
      </c>
      <c r="AU74" s="490">
        <f t="shared" si="114"/>
        <v>-481.69600000000003</v>
      </c>
      <c r="AV74" s="413">
        <f t="shared" si="114"/>
        <v>-579.10500000000002</v>
      </c>
      <c r="AW74" s="413">
        <f t="shared" si="114"/>
        <v>-627.32600000000002</v>
      </c>
      <c r="AX74" s="414">
        <f t="shared" si="114"/>
        <v>-723.41700000000003</v>
      </c>
      <c r="AY74" s="490">
        <f t="shared" si="114"/>
        <v>-605.17999999999995</v>
      </c>
      <c r="AZ74" s="413">
        <f t="shared" si="114"/>
        <v>-576.04600000000005</v>
      </c>
      <c r="BA74" s="413">
        <f t="shared" si="114"/>
        <v>-661</v>
      </c>
      <c r="BB74" s="413">
        <f t="shared" si="114"/>
        <v>-705.99</v>
      </c>
      <c r="BC74" s="490">
        <f t="shared" si="114"/>
        <v>-651.59100000000001</v>
      </c>
      <c r="BD74" s="413">
        <f t="shared" si="114"/>
        <v>-621</v>
      </c>
      <c r="BE74" s="413">
        <f t="shared" si="114"/>
        <v>-721</v>
      </c>
      <c r="BF74" s="414">
        <f t="shared" si="114"/>
        <v>-896</v>
      </c>
      <c r="BG74" s="413">
        <f t="shared" ref="BG74:BL74" si="115">-BG108</f>
        <v>-668</v>
      </c>
      <c r="BH74" s="413">
        <f t="shared" si="115"/>
        <v>-609</v>
      </c>
      <c r="BI74" s="413">
        <f t="shared" si="115"/>
        <v>-704</v>
      </c>
      <c r="BJ74" s="414">
        <f t="shared" si="115"/>
        <v>-877</v>
      </c>
      <c r="BK74" s="413">
        <f t="shared" si="115"/>
        <v>-656</v>
      </c>
      <c r="BL74" s="451">
        <f t="shared" si="115"/>
        <v>-739</v>
      </c>
      <c r="BM74" s="680">
        <f t="shared" ref="BM74:BV74" si="116">-BM108</f>
        <v>-786</v>
      </c>
      <c r="BN74" s="680">
        <f t="shared" si="116"/>
        <v>-820</v>
      </c>
      <c r="BO74" s="570">
        <f t="shared" si="116"/>
        <v>-662</v>
      </c>
      <c r="BP74" s="413">
        <f t="shared" si="116"/>
        <v>-723</v>
      </c>
      <c r="BQ74" s="413">
        <f>-BQ108</f>
        <v>-711</v>
      </c>
      <c r="BR74" s="414">
        <f>-BR108</f>
        <v>-930</v>
      </c>
      <c r="BS74" s="413">
        <f t="shared" si="116"/>
        <v>-613</v>
      </c>
      <c r="BT74" s="451">
        <f t="shared" si="116"/>
        <v>-654</v>
      </c>
      <c r="BU74" s="413">
        <f t="shared" si="116"/>
        <v>-764</v>
      </c>
      <c r="BV74" s="414">
        <f t="shared" si="116"/>
        <v>-830</v>
      </c>
      <c r="BW74" s="413">
        <f t="shared" ref="BW74:CB74" si="117">-BW108</f>
        <v>-607</v>
      </c>
      <c r="BX74" s="451">
        <f t="shared" si="117"/>
        <v>-648</v>
      </c>
      <c r="BY74" s="451">
        <f t="shared" si="117"/>
        <v>-740</v>
      </c>
      <c r="BZ74" s="414">
        <f t="shared" si="117"/>
        <v>-963</v>
      </c>
      <c r="CA74" s="413">
        <f>-CA108</f>
        <v>-780</v>
      </c>
      <c r="CB74" s="451">
        <f t="shared" si="117"/>
        <v>-829</v>
      </c>
      <c r="CC74" s="451">
        <f>-CC108</f>
        <v>-749</v>
      </c>
      <c r="CD74" s="414">
        <f t="shared" ref="CD74" si="118">-CD108</f>
        <v>-743</v>
      </c>
      <c r="CE74" s="413">
        <f>-CE108</f>
        <v>-969.47604000000024</v>
      </c>
      <c r="CF74" s="413">
        <f>-CF108</f>
        <v>-966.56953919399996</v>
      </c>
      <c r="CG74" s="413">
        <f>-CG108</f>
        <v>-964.08083098222176</v>
      </c>
      <c r="CH74" s="414">
        <f>-CH108</f>
        <v>-950.12461303771966</v>
      </c>
      <c r="CI74" s="632"/>
    </row>
    <row r="75" spans="1:87">
      <c r="A75" s="708" t="s">
        <v>1101</v>
      </c>
      <c r="B75" s="708"/>
      <c r="C75" s="708"/>
      <c r="D75" s="413"/>
      <c r="E75" s="413">
        <f t="shared" ref="E75:R75" si="119">+E46</f>
        <v>-31.861000000000004</v>
      </c>
      <c r="F75" s="413">
        <f t="shared" si="119"/>
        <v>-31.861999999999998</v>
      </c>
      <c r="G75" s="413">
        <f t="shared" si="119"/>
        <v>-179.203</v>
      </c>
      <c r="H75" s="413">
        <f t="shared" si="119"/>
        <v>-396.05200000000002</v>
      </c>
      <c r="I75" s="413">
        <f t="shared" si="119"/>
        <v>-1192.2660000000001</v>
      </c>
      <c r="J75" s="413">
        <f t="shared" si="119"/>
        <v>-1628.4970878399999</v>
      </c>
      <c r="K75" s="413">
        <f t="shared" si="119"/>
        <v>-1744.4411504799998</v>
      </c>
      <c r="L75" s="413">
        <f t="shared" si="119"/>
        <v>-1783.9342750000001</v>
      </c>
      <c r="M75" s="413">
        <f t="shared" si="119"/>
        <v>-1811</v>
      </c>
      <c r="N75" s="413">
        <f t="shared" si="119"/>
        <v>-1301</v>
      </c>
      <c r="O75" s="413">
        <f t="shared" si="119"/>
        <v>-1228</v>
      </c>
      <c r="P75" s="413">
        <f t="shared" si="119"/>
        <v>-1198</v>
      </c>
      <c r="Q75" s="413">
        <f t="shared" si="119"/>
        <v>-1167</v>
      </c>
      <c r="R75" s="413">
        <f t="shared" si="119"/>
        <v>-1453</v>
      </c>
      <c r="S75" s="413">
        <f t="shared" ref="S75:X75" si="120">+S46</f>
        <v>-2322.9012374400004</v>
      </c>
      <c r="T75" s="413">
        <f t="shared" si="120"/>
        <v>-2369.1869517257146</v>
      </c>
      <c r="U75" s="413">
        <f t="shared" si="120"/>
        <v>-2390.4114415216332</v>
      </c>
      <c r="V75" s="413">
        <f t="shared" si="120"/>
        <v>-2410.6252413272696</v>
      </c>
      <c r="W75" s="413">
        <f t="shared" si="120"/>
        <v>-2429.8764792373995</v>
      </c>
      <c r="X75" s="413">
        <f t="shared" si="120"/>
        <v>-2448.2109915327619</v>
      </c>
      <c r="Y75" s="2540"/>
      <c r="Z75" s="679">
        <f t="shared" ref="Z75:BE75" si="121">+Z46</f>
        <v>-8.0310000000000006</v>
      </c>
      <c r="AA75" s="490">
        <f t="shared" si="121"/>
        <v>-8.2530000000000001</v>
      </c>
      <c r="AB75" s="413">
        <f t="shared" si="121"/>
        <v>-8.0359999999999996</v>
      </c>
      <c r="AC75" s="413">
        <f t="shared" si="121"/>
        <v>-7.87</v>
      </c>
      <c r="AD75" s="414">
        <f t="shared" si="121"/>
        <v>-7.702</v>
      </c>
      <c r="AE75" s="490">
        <f t="shared" si="121"/>
        <v>-8.0739999999999998</v>
      </c>
      <c r="AF75" s="413">
        <f t="shared" si="121"/>
        <v>-7.8819999999999997</v>
      </c>
      <c r="AG75" s="413">
        <f t="shared" si="121"/>
        <v>-7.9530000000000003</v>
      </c>
      <c r="AH75" s="414">
        <f t="shared" si="121"/>
        <v>-7.9530000000000003</v>
      </c>
      <c r="AI75" s="490">
        <f t="shared" si="121"/>
        <v>-7.3010000000000002</v>
      </c>
      <c r="AJ75" s="413">
        <f t="shared" si="121"/>
        <v>-7.36</v>
      </c>
      <c r="AK75" s="413">
        <f t="shared" si="121"/>
        <v>-82.314999999999998</v>
      </c>
      <c r="AL75" s="414">
        <f t="shared" si="121"/>
        <v>-82.227000000000004</v>
      </c>
      <c r="AM75" s="490">
        <f t="shared" si="121"/>
        <v>-11.308999999999999</v>
      </c>
      <c r="AN75" s="413">
        <f t="shared" si="121"/>
        <v>-177.17099999999999</v>
      </c>
      <c r="AO75" s="413">
        <f t="shared" si="121"/>
        <v>-104.361</v>
      </c>
      <c r="AP75" s="413">
        <f t="shared" si="121"/>
        <v>-103.211</v>
      </c>
      <c r="AQ75" s="490">
        <f t="shared" si="121"/>
        <v>-256.26100000000002</v>
      </c>
      <c r="AR75" s="413">
        <f t="shared" si="121"/>
        <v>-248.08500000000001</v>
      </c>
      <c r="AS75" s="413">
        <f t="shared" si="121"/>
        <v>-383.803</v>
      </c>
      <c r="AT75" s="414">
        <f t="shared" si="121"/>
        <v>-304.11700000000002</v>
      </c>
      <c r="AU75" s="490">
        <f t="shared" si="121"/>
        <v>-404.96699711999997</v>
      </c>
      <c r="AV75" s="413">
        <f t="shared" si="121"/>
        <v>-406.62945343999996</v>
      </c>
      <c r="AW75" s="413">
        <f t="shared" si="121"/>
        <v>-408.10150191999992</v>
      </c>
      <c r="AX75" s="414">
        <f t="shared" si="121"/>
        <v>-408.79913535999998</v>
      </c>
      <c r="AY75" s="490">
        <f t="shared" si="121"/>
        <v>-434.25993971999998</v>
      </c>
      <c r="AZ75" s="413">
        <f t="shared" si="121"/>
        <v>-435.29782535999999</v>
      </c>
      <c r="BA75" s="413">
        <f t="shared" si="121"/>
        <v>-436.25874152</v>
      </c>
      <c r="BB75" s="413">
        <f t="shared" si="121"/>
        <v>-438.62464387999995</v>
      </c>
      <c r="BC75" s="490">
        <f t="shared" si="121"/>
        <v>-442.97499999999997</v>
      </c>
      <c r="BD75" s="413">
        <f t="shared" si="121"/>
        <v>-445.533525</v>
      </c>
      <c r="BE75" s="413">
        <f t="shared" si="121"/>
        <v>-447.00599999999997</v>
      </c>
      <c r="BF75" s="414">
        <f t="shared" ref="BF75:CC75" si="122">+BF46</f>
        <v>-448.41974999999996</v>
      </c>
      <c r="BG75" s="413">
        <f t="shared" si="122"/>
        <v>-452</v>
      </c>
      <c r="BH75" s="413">
        <f t="shared" si="122"/>
        <v>-453</v>
      </c>
      <c r="BI75" s="413">
        <f t="shared" si="122"/>
        <v>-452</v>
      </c>
      <c r="BJ75" s="414">
        <f t="shared" si="122"/>
        <v>-454</v>
      </c>
      <c r="BK75" s="413">
        <f t="shared" si="122"/>
        <v>-341</v>
      </c>
      <c r="BL75" s="451">
        <f t="shared" si="122"/>
        <v>-320</v>
      </c>
      <c r="BM75" s="680">
        <f t="shared" si="122"/>
        <v>-325</v>
      </c>
      <c r="BN75" s="680">
        <f t="shared" si="122"/>
        <v>-315</v>
      </c>
      <c r="BO75" s="570">
        <f t="shared" si="122"/>
        <v>-309</v>
      </c>
      <c r="BP75" s="413">
        <f t="shared" si="122"/>
        <v>-307</v>
      </c>
      <c r="BQ75" s="413">
        <f t="shared" si="122"/>
        <v>-308</v>
      </c>
      <c r="BR75" s="414">
        <f t="shared" si="122"/>
        <v>-304</v>
      </c>
      <c r="BS75" s="413">
        <f t="shared" si="122"/>
        <v>-304</v>
      </c>
      <c r="BT75" s="451">
        <f t="shared" si="122"/>
        <v>-305</v>
      </c>
      <c r="BU75" s="413">
        <f t="shared" si="122"/>
        <v>-296</v>
      </c>
      <c r="BV75" s="414">
        <f t="shared" si="122"/>
        <v>-293</v>
      </c>
      <c r="BW75" s="413">
        <f t="shared" si="122"/>
        <v>-290</v>
      </c>
      <c r="BX75" s="451">
        <f t="shared" si="122"/>
        <v>-296</v>
      </c>
      <c r="BY75" s="451">
        <f t="shared" si="122"/>
        <v>-290</v>
      </c>
      <c r="BZ75" s="414">
        <f t="shared" si="122"/>
        <v>-291</v>
      </c>
      <c r="CA75" s="413">
        <f t="shared" si="122"/>
        <v>-296</v>
      </c>
      <c r="CB75" s="451">
        <f t="shared" si="122"/>
        <v>-294</v>
      </c>
      <c r="CC75" s="451">
        <f t="shared" si="122"/>
        <v>-291</v>
      </c>
      <c r="CD75" s="414">
        <f t="shared" ref="CD75" si="123">+CD46</f>
        <v>-572</v>
      </c>
      <c r="CE75" s="413">
        <f>+CE46</f>
        <v>-578.47530935999998</v>
      </c>
      <c r="CF75" s="413">
        <f>+CF46</f>
        <v>-579.9753093600001</v>
      </c>
      <c r="CG75" s="413">
        <f>+CG46</f>
        <v>-581.4753093600001</v>
      </c>
      <c r="CH75" s="414">
        <f>+CH46</f>
        <v>-582.9753093600001</v>
      </c>
      <c r="CI75" s="632"/>
    </row>
    <row r="76" spans="1:87">
      <c r="A76" s="708" t="s">
        <v>1102</v>
      </c>
      <c r="B76" s="708"/>
      <c r="C76" s="708"/>
      <c r="D76" s="413"/>
      <c r="E76" s="413">
        <f t="shared" ref="E76:P76" si="124">SUM(E72:E75)</f>
        <v>-815.13099999999997</v>
      </c>
      <c r="F76" s="413">
        <f t="shared" si="124"/>
        <v>-836.74300000000005</v>
      </c>
      <c r="G76" s="413">
        <f t="shared" si="124"/>
        <v>-462.18496357147785</v>
      </c>
      <c r="H76" s="413">
        <f t="shared" si="124"/>
        <v>-519.74599999999907</v>
      </c>
      <c r="I76" s="413">
        <f t="shared" si="124"/>
        <v>1684.445000000002</v>
      </c>
      <c r="J76" s="413">
        <f t="shared" si="124"/>
        <v>1536.7799121599965</v>
      </c>
      <c r="K76" s="413">
        <f t="shared" si="124"/>
        <v>1395.3428495199998</v>
      </c>
      <c r="L76" s="413">
        <f t="shared" ca="1" si="124"/>
        <v>866.02472499999931</v>
      </c>
      <c r="M76" s="413">
        <f t="shared" si="124"/>
        <v>1001.5</v>
      </c>
      <c r="N76" s="413">
        <f t="shared" si="124"/>
        <v>752</v>
      </c>
      <c r="O76" s="413">
        <f t="shared" si="124"/>
        <v>1153</v>
      </c>
      <c r="P76" s="413">
        <f t="shared" si="124"/>
        <v>1153</v>
      </c>
      <c r="Q76" s="413">
        <f t="shared" ref="Q76:V76" si="125">SUM(Q72:Q75)</f>
        <v>394</v>
      </c>
      <c r="R76" s="413">
        <f>SUM(R72:R75)</f>
        <v>985</v>
      </c>
      <c r="S76" s="413">
        <f>SUM(S72:S75)</f>
        <v>-115.37210443509184</v>
      </c>
      <c r="T76" s="413">
        <f t="shared" si="125"/>
        <v>279.43475784529437</v>
      </c>
      <c r="U76" s="413">
        <f t="shared" si="125"/>
        <v>525.0482163454617</v>
      </c>
      <c r="V76" s="413">
        <f t="shared" si="125"/>
        <v>604.08699100419062</v>
      </c>
      <c r="W76" s="413">
        <f>SUM(W72:W75)</f>
        <v>694.40562759709337</v>
      </c>
      <c r="X76" s="413">
        <f>SUM(X72:X75)</f>
        <v>788.53214205720042</v>
      </c>
      <c r="Y76" s="2540"/>
      <c r="Z76" s="679">
        <f t="shared" ref="Z76:BL76" si="126">SUM(Z72:Z75)</f>
        <v>78.736999999999952</v>
      </c>
      <c r="AA76" s="490">
        <f t="shared" si="126"/>
        <v>140.27299999999997</v>
      </c>
      <c r="AB76" s="413">
        <f t="shared" si="126"/>
        <v>111.72999999999993</v>
      </c>
      <c r="AC76" s="413">
        <f t="shared" si="126"/>
        <v>89.539000000000044</v>
      </c>
      <c r="AD76" s="414">
        <f t="shared" si="126"/>
        <v>74.988</v>
      </c>
      <c r="AE76" s="490">
        <f t="shared" si="126"/>
        <v>129.18900000000002</v>
      </c>
      <c r="AF76" s="413">
        <f t="shared" si="126"/>
        <v>105.67699999999999</v>
      </c>
      <c r="AG76" s="413">
        <f t="shared" si="126"/>
        <v>119.50600000000004</v>
      </c>
      <c r="AH76" s="414">
        <f t="shared" si="126"/>
        <v>77.09499999999997</v>
      </c>
      <c r="AI76" s="490">
        <f t="shared" si="126"/>
        <v>371.9954809333384</v>
      </c>
      <c r="AJ76" s="413">
        <f t="shared" si="126"/>
        <v>270.89555549518337</v>
      </c>
      <c r="AK76" s="413">
        <f t="shared" si="126"/>
        <v>210.0329999999999</v>
      </c>
      <c r="AL76" s="414">
        <f t="shared" si="126"/>
        <v>271.46600000000001</v>
      </c>
      <c r="AM76" s="490">
        <f t="shared" si="126"/>
        <v>355.46500000000009</v>
      </c>
      <c r="AN76" s="413">
        <f t="shared" si="126"/>
        <v>192.59799999999967</v>
      </c>
      <c r="AO76" s="413">
        <f t="shared" si="126"/>
        <v>247.93700000000018</v>
      </c>
      <c r="AP76" s="413">
        <f t="shared" si="126"/>
        <v>298.42100000000005</v>
      </c>
      <c r="AQ76" s="490">
        <f t="shared" si="126"/>
        <v>503.88299999999953</v>
      </c>
      <c r="AR76" s="413">
        <f t="shared" si="126"/>
        <v>375.78300000000024</v>
      </c>
      <c r="AS76" s="413">
        <f t="shared" si="126"/>
        <v>265.78600000000017</v>
      </c>
      <c r="AT76" s="414">
        <f t="shared" si="126"/>
        <v>538.99300000000039</v>
      </c>
      <c r="AU76" s="490">
        <f t="shared" si="126"/>
        <v>580.69200287999934</v>
      </c>
      <c r="AV76" s="413">
        <f t="shared" si="126"/>
        <v>395.05254655999983</v>
      </c>
      <c r="AW76" s="413">
        <f t="shared" si="126"/>
        <v>330.51849807999952</v>
      </c>
      <c r="AX76" s="414">
        <f t="shared" si="126"/>
        <v>231.89686464000005</v>
      </c>
      <c r="AY76" s="490">
        <f>SUM(AY72:AY75)</f>
        <v>410.56006028000007</v>
      </c>
      <c r="AZ76" s="413">
        <f>SUM(AZ72:AZ75)</f>
        <v>396.65617463999996</v>
      </c>
      <c r="BA76" s="413">
        <f>SUM(BA72:BA75)</f>
        <v>316.74125848</v>
      </c>
      <c r="BB76" s="413">
        <f>SUM(BB72:BB75)</f>
        <v>271.38535612000004</v>
      </c>
      <c r="BC76" s="490">
        <f t="shared" ca="1" si="126"/>
        <v>319.23400000000021</v>
      </c>
      <c r="BD76" s="413">
        <f t="shared" si="126"/>
        <v>324.466475</v>
      </c>
      <c r="BE76" s="413">
        <f t="shared" si="126"/>
        <v>165.99400000000003</v>
      </c>
      <c r="BF76" s="414">
        <f t="shared" si="126"/>
        <v>-51.419749999999965</v>
      </c>
      <c r="BG76" s="413">
        <f t="shared" si="126"/>
        <v>220</v>
      </c>
      <c r="BH76" s="413">
        <f t="shared" si="126"/>
        <v>252</v>
      </c>
      <c r="BI76" s="413">
        <f t="shared" si="126"/>
        <v>158</v>
      </c>
      <c r="BJ76" s="414">
        <f t="shared" si="126"/>
        <v>20</v>
      </c>
      <c r="BK76" s="413">
        <f t="shared" si="126"/>
        <v>314</v>
      </c>
      <c r="BL76" s="451">
        <f t="shared" si="126"/>
        <v>205</v>
      </c>
      <c r="BM76" s="680">
        <f t="shared" ref="BM76:BR76" si="127">SUM(BM72:BM75)</f>
        <v>131</v>
      </c>
      <c r="BN76" s="680">
        <f t="shared" si="127"/>
        <v>149</v>
      </c>
      <c r="BO76" s="570">
        <f t="shared" si="127"/>
        <v>367</v>
      </c>
      <c r="BP76" s="413">
        <f t="shared" si="127"/>
        <v>334</v>
      </c>
      <c r="BQ76" s="413">
        <f t="shared" si="127"/>
        <v>295</v>
      </c>
      <c r="BR76" s="414">
        <f t="shared" si="127"/>
        <v>178</v>
      </c>
      <c r="BS76" s="413">
        <f t="shared" ref="BS76:CB76" si="128">SUM(BS72:BS75)</f>
        <v>361</v>
      </c>
      <c r="BT76" s="451">
        <f t="shared" si="128"/>
        <v>249</v>
      </c>
      <c r="BU76" s="413">
        <f t="shared" si="128"/>
        <v>288</v>
      </c>
      <c r="BV76" s="414">
        <f t="shared" si="128"/>
        <v>266</v>
      </c>
      <c r="BW76" s="413">
        <f t="shared" si="128"/>
        <v>315</v>
      </c>
      <c r="BX76" s="451">
        <f t="shared" si="128"/>
        <v>239</v>
      </c>
      <c r="BY76" s="451">
        <f t="shared" si="128"/>
        <v>117</v>
      </c>
      <c r="BZ76" s="414">
        <f t="shared" si="128"/>
        <v>-254</v>
      </c>
      <c r="CA76" s="413">
        <f>SUM(CA72:CA75)</f>
        <v>-33</v>
      </c>
      <c r="CB76" s="451">
        <f t="shared" si="128"/>
        <v>-157</v>
      </c>
      <c r="CC76" s="451">
        <f>SUM(CC72:CC75)</f>
        <v>-38</v>
      </c>
      <c r="CD76" s="414">
        <f t="shared" ref="CD76" si="129">SUM(CD72:CD75)</f>
        <v>1218</v>
      </c>
      <c r="CE76" s="413">
        <f>SUM(CE72:CE75)</f>
        <v>-100.14616701624982</v>
      </c>
      <c r="CF76" s="413">
        <f>SUM(CF72:CF75)</f>
        <v>-50.319693789188022</v>
      </c>
      <c r="CG76" s="413">
        <f>SUM(CG72:CG75)</f>
        <v>-15.068465417886046</v>
      </c>
      <c r="CH76" s="414">
        <f>SUM(CH72:CH75)</f>
        <v>50.162221788233524</v>
      </c>
      <c r="CI76" s="632"/>
    </row>
    <row r="77" spans="1:87">
      <c r="A77" s="708" t="s">
        <v>664</v>
      </c>
      <c r="B77" s="708"/>
      <c r="C77" s="708"/>
      <c r="D77" s="413"/>
      <c r="E77" s="413"/>
      <c r="F77" s="413"/>
      <c r="G77" s="413"/>
      <c r="H77" s="413"/>
      <c r="I77" s="413"/>
      <c r="J77" s="413"/>
      <c r="K77" s="413">
        <f>-IS!K81</f>
        <v>1153</v>
      </c>
      <c r="L77" s="413">
        <f>-IS!L81</f>
        <v>1041</v>
      </c>
      <c r="M77" s="413">
        <f>-IS!M81</f>
        <v>1040</v>
      </c>
      <c r="N77" s="413">
        <f>-IS!N81</f>
        <v>1055</v>
      </c>
      <c r="O77" s="413">
        <f>-IS!O81</f>
        <v>338</v>
      </c>
      <c r="P77" s="413">
        <f>-IS!P81</f>
        <v>438</v>
      </c>
      <c r="Q77" s="413">
        <f>-IS!Q81</f>
        <v>394</v>
      </c>
      <c r="R77" s="413">
        <f>-IS!R81</f>
        <v>-849</v>
      </c>
      <c r="S77" s="413">
        <f>-IS!S81</f>
        <v>201.08795087416402</v>
      </c>
      <c r="T77" s="413">
        <f>-IS!T81</f>
        <v>340.14831797453553</v>
      </c>
      <c r="U77" s="413">
        <f>-IS!U81</f>
        <v>448.23336430457613</v>
      </c>
      <c r="V77" s="413">
        <f>-IS!V81</f>
        <v>500.87827537596058</v>
      </c>
      <c r="W77" s="413">
        <f>-IS!W81</f>
        <v>560.31997222838072</v>
      </c>
      <c r="X77" s="413">
        <f>-IS!X81</f>
        <v>621.37009139137865</v>
      </c>
      <c r="Y77" s="2540"/>
      <c r="Z77" s="679"/>
      <c r="AA77" s="490"/>
      <c r="AB77" s="413"/>
      <c r="AC77" s="413"/>
      <c r="AD77" s="414"/>
      <c r="AE77" s="490"/>
      <c r="AF77" s="413"/>
      <c r="AG77" s="413"/>
      <c r="AH77" s="414"/>
      <c r="AI77" s="490"/>
      <c r="AJ77" s="413"/>
      <c r="AK77" s="413"/>
      <c r="AL77" s="414"/>
      <c r="AM77" s="490"/>
      <c r="AN77" s="413"/>
      <c r="AO77" s="413"/>
      <c r="AP77" s="413"/>
      <c r="AQ77" s="490"/>
      <c r="AR77" s="413"/>
      <c r="AS77" s="413"/>
      <c r="AT77" s="414"/>
      <c r="AU77" s="490"/>
      <c r="AV77" s="413"/>
      <c r="AW77" s="413"/>
      <c r="AX77" s="414"/>
      <c r="AY77" s="490">
        <f>-IS!BC81</f>
        <v>288</v>
      </c>
      <c r="AZ77" s="413">
        <f>-IS!BD81</f>
        <v>297</v>
      </c>
      <c r="BA77" s="413">
        <f>-IS!BE81</f>
        <v>303</v>
      </c>
      <c r="BB77" s="413">
        <f>-IS!BF81</f>
        <v>265</v>
      </c>
      <c r="BC77" s="490">
        <f>-IS!BG81</f>
        <v>310</v>
      </c>
      <c r="BD77" s="413">
        <f>-IS!BH81</f>
        <v>273</v>
      </c>
      <c r="BE77" s="413">
        <f>-IS!BI81</f>
        <v>240</v>
      </c>
      <c r="BF77" s="414">
        <f>-IS!BJ81</f>
        <v>218</v>
      </c>
      <c r="BG77" s="413">
        <f>-IS!BK81</f>
        <v>268</v>
      </c>
      <c r="BH77" s="413">
        <f>-IS!BL81</f>
        <v>254</v>
      </c>
      <c r="BI77" s="413">
        <f>-IS!BM81</f>
        <v>265</v>
      </c>
      <c r="BJ77" s="414">
        <f>-IS!BN81</f>
        <v>253</v>
      </c>
      <c r="BK77" s="413">
        <f>-IS!BO81</f>
        <v>308</v>
      </c>
      <c r="BL77" s="451">
        <f>-IS!BP81</f>
        <v>273</v>
      </c>
      <c r="BM77" s="680">
        <f>-IS!BQ81</f>
        <v>243</v>
      </c>
      <c r="BN77" s="680">
        <f>-IS!BR81</f>
        <v>231</v>
      </c>
      <c r="BO77" s="570">
        <f>-IS!BS81</f>
        <v>128</v>
      </c>
      <c r="BP77" s="413">
        <f>-IS!BT81</f>
        <v>130</v>
      </c>
      <c r="BQ77" s="413">
        <f>-IS!BU81</f>
        <v>111</v>
      </c>
      <c r="BR77" s="414">
        <f>-IS!BV81</f>
        <v>-31</v>
      </c>
      <c r="BS77" s="413">
        <f>-IS!BW81</f>
        <v>131</v>
      </c>
      <c r="BT77" s="451">
        <f>-IS!BX81</f>
        <v>91</v>
      </c>
      <c r="BU77" s="413">
        <f>-IS!BY81</f>
        <v>107</v>
      </c>
      <c r="BV77" s="414">
        <f>-IS!BZ81</f>
        <v>109</v>
      </c>
      <c r="BW77" s="413">
        <f>-IS!CA81</f>
        <v>144</v>
      </c>
      <c r="BX77" s="451">
        <f>-IS!CB81</f>
        <v>121</v>
      </c>
      <c r="BY77" s="451">
        <f>-IS!CC81</f>
        <v>97</v>
      </c>
      <c r="BZ77" s="414">
        <f>-IS!CD81</f>
        <v>32</v>
      </c>
      <c r="CA77" s="413">
        <f>-IS!CE81</f>
        <v>144</v>
      </c>
      <c r="CB77" s="451">
        <f>-IS!CF81</f>
        <v>23</v>
      </c>
      <c r="CC77" s="451">
        <f>-IS!CG81</f>
        <v>47</v>
      </c>
      <c r="CD77" s="414">
        <f>-IS!CH81</f>
        <v>-1063</v>
      </c>
      <c r="CE77" s="413">
        <f>-IS!CI81</f>
        <v>29.420060781250157</v>
      </c>
      <c r="CF77" s="413">
        <f>-IS!CJ81</f>
        <v>44.653688254937407</v>
      </c>
      <c r="CG77" s="413">
        <f>-IS!CK81</f>
        <v>55.166352248111963</v>
      </c>
      <c r="CH77" s="414">
        <f>-IS!CL81</f>
        <v>71.847849589864495</v>
      </c>
      <c r="CI77" s="632"/>
    </row>
    <row r="78" spans="1:87">
      <c r="A78" s="707" t="s">
        <v>1094</v>
      </c>
      <c r="B78" s="708"/>
      <c r="C78" s="708"/>
      <c r="D78" s="413"/>
      <c r="E78" s="413"/>
      <c r="F78" s="413"/>
      <c r="G78" s="413"/>
      <c r="H78" s="413"/>
      <c r="I78" s="413"/>
      <c r="J78" s="413"/>
      <c r="K78" s="413">
        <f t="shared" ref="K78:P78" si="130">K93</f>
        <v>-513.23199999999997</v>
      </c>
      <c r="L78" s="413">
        <f t="shared" si="130"/>
        <v>1290.3019999999999</v>
      </c>
      <c r="M78" s="413">
        <f t="shared" si="130"/>
        <v>-82</v>
      </c>
      <c r="N78" s="413">
        <f t="shared" si="130"/>
        <v>-48</v>
      </c>
      <c r="O78" s="413">
        <f t="shared" si="130"/>
        <v>-27</v>
      </c>
      <c r="P78" s="413">
        <f t="shared" si="130"/>
        <v>-63</v>
      </c>
      <c r="Q78" s="413">
        <f t="shared" ref="Q78:V78" si="131">Q93</f>
        <v>-397</v>
      </c>
      <c r="R78" s="413">
        <f>R93</f>
        <v>-392</v>
      </c>
      <c r="S78" s="413">
        <f>S93</f>
        <v>-100</v>
      </c>
      <c r="T78" s="413">
        <f t="shared" si="131"/>
        <v>-100</v>
      </c>
      <c r="U78" s="413">
        <f t="shared" si="131"/>
        <v>-100</v>
      </c>
      <c r="V78" s="413">
        <f t="shared" si="131"/>
        <v>-100</v>
      </c>
      <c r="W78" s="413">
        <f>W93</f>
        <v>-100</v>
      </c>
      <c r="X78" s="413">
        <f>X93</f>
        <v>-503.99445411402877</v>
      </c>
      <c r="Y78" s="2540"/>
      <c r="Z78" s="679"/>
      <c r="AA78" s="490"/>
      <c r="AB78" s="413"/>
      <c r="AC78" s="413"/>
      <c r="AD78" s="414"/>
      <c r="AE78" s="490"/>
      <c r="AF78" s="413"/>
      <c r="AG78" s="413"/>
      <c r="AH78" s="414"/>
      <c r="AI78" s="490"/>
      <c r="AJ78" s="413"/>
      <c r="AK78" s="413"/>
      <c r="AL78" s="414"/>
      <c r="AM78" s="490"/>
      <c r="AN78" s="413"/>
      <c r="AO78" s="413"/>
      <c r="AP78" s="413"/>
      <c r="AQ78" s="490"/>
      <c r="AR78" s="413"/>
      <c r="AS78" s="413"/>
      <c r="AT78" s="414"/>
      <c r="AU78" s="490"/>
      <c r="AV78" s="413"/>
      <c r="AW78" s="413"/>
      <c r="AX78" s="414"/>
      <c r="AY78" s="490">
        <f t="shared" ref="AY78:BH78" si="132">+AY93</f>
        <v>-98.369</v>
      </c>
      <c r="AZ78" s="413">
        <f t="shared" si="132"/>
        <v>-201.09800000000001</v>
      </c>
      <c r="BA78" s="413">
        <f t="shared" si="132"/>
        <v>-147.65799999999999</v>
      </c>
      <c r="BB78" s="413">
        <f t="shared" si="132"/>
        <v>-66.106999999999999</v>
      </c>
      <c r="BC78" s="490">
        <f t="shared" si="132"/>
        <v>-4.6980000000000004</v>
      </c>
      <c r="BD78" s="413">
        <f t="shared" si="132"/>
        <v>1270</v>
      </c>
      <c r="BE78" s="413">
        <f t="shared" si="132"/>
        <v>0</v>
      </c>
      <c r="BF78" s="414">
        <f>+BF93</f>
        <v>25</v>
      </c>
      <c r="BG78" s="413">
        <f>+BG93</f>
        <v>-1</v>
      </c>
      <c r="BH78" s="413">
        <f t="shared" si="132"/>
        <v>-30</v>
      </c>
      <c r="BI78" s="413">
        <f t="shared" ref="BI78:BN78" si="133">+BI93</f>
        <v>-28</v>
      </c>
      <c r="BJ78" s="414">
        <f t="shared" si="133"/>
        <v>-23</v>
      </c>
      <c r="BK78" s="413">
        <f t="shared" si="133"/>
        <v>-8</v>
      </c>
      <c r="BL78" s="451">
        <f t="shared" si="133"/>
        <v>-38</v>
      </c>
      <c r="BM78" s="680">
        <f t="shared" si="133"/>
        <v>1</v>
      </c>
      <c r="BN78" s="680">
        <f t="shared" si="133"/>
        <v>-3</v>
      </c>
      <c r="BO78" s="570">
        <f t="shared" ref="BO78:BV78" si="134">+BO93</f>
        <v>-10</v>
      </c>
      <c r="BP78" s="413">
        <f t="shared" si="134"/>
        <v>-13</v>
      </c>
      <c r="BQ78" s="413">
        <f t="shared" si="134"/>
        <v>2</v>
      </c>
      <c r="BR78" s="414">
        <f t="shared" si="134"/>
        <v>-6</v>
      </c>
      <c r="BS78" s="413">
        <f t="shared" si="134"/>
        <v>-5</v>
      </c>
      <c r="BT78" s="451">
        <f t="shared" si="134"/>
        <v>-36</v>
      </c>
      <c r="BU78" s="413">
        <f t="shared" si="134"/>
        <v>-13</v>
      </c>
      <c r="BV78" s="414">
        <f t="shared" si="134"/>
        <v>-9</v>
      </c>
      <c r="BW78" s="413">
        <f t="shared" ref="BW78:CB78" si="135">+BW93</f>
        <v>-11</v>
      </c>
      <c r="BX78" s="451">
        <f t="shared" si="135"/>
        <v>-10</v>
      </c>
      <c r="BY78" s="451">
        <f t="shared" si="135"/>
        <v>-323</v>
      </c>
      <c r="BZ78" s="414">
        <f t="shared" si="135"/>
        <v>-53</v>
      </c>
      <c r="CA78" s="413">
        <f>+CA93</f>
        <v>5</v>
      </c>
      <c r="CB78" s="451">
        <f t="shared" si="135"/>
        <v>-265</v>
      </c>
      <c r="CC78" s="451">
        <f>+CC93</f>
        <v>-118</v>
      </c>
      <c r="CD78" s="414">
        <f t="shared" ref="CD78" si="136">+CD93</f>
        <v>-14</v>
      </c>
      <c r="CE78" s="413">
        <f>+CE93</f>
        <v>-25</v>
      </c>
      <c r="CF78" s="413">
        <f>+CF93</f>
        <v>-25</v>
      </c>
      <c r="CG78" s="413">
        <f>+CG93</f>
        <v>-25</v>
      </c>
      <c r="CH78" s="414">
        <f>+CH93</f>
        <v>-25</v>
      </c>
      <c r="CI78" s="632"/>
    </row>
    <row r="79" spans="1:87">
      <c r="A79" s="2748" t="s">
        <v>1445</v>
      </c>
      <c r="B79" s="708"/>
      <c r="C79" s="708"/>
      <c r="D79" s="413"/>
      <c r="E79" s="413"/>
      <c r="F79" s="413"/>
      <c r="G79" s="413"/>
      <c r="H79" s="413"/>
      <c r="I79" s="413"/>
      <c r="J79" s="413"/>
      <c r="K79" s="413"/>
      <c r="L79" s="413">
        <f>+SUM(BC79:BF79)</f>
        <v>295.5</v>
      </c>
      <c r="M79" s="413">
        <f>+SUM(BG79:BJ79)</f>
        <v>86</v>
      </c>
      <c r="N79" s="413">
        <f>SUM(BK79:BN79)</f>
        <v>36</v>
      </c>
      <c r="O79" s="413">
        <f>SUM(BO79:BR79)</f>
        <v>-240</v>
      </c>
      <c r="P79" s="413">
        <f>SUM(BS79:BV79)</f>
        <v>-12</v>
      </c>
      <c r="Q79" s="413">
        <f>SUM(BW79:BZ79)</f>
        <v>40</v>
      </c>
      <c r="R79" s="413">
        <f>SUM(BX79:CA79)</f>
        <v>40</v>
      </c>
      <c r="S79" s="413">
        <f>SUM(BY79:CB79)</f>
        <v>40</v>
      </c>
      <c r="T79" s="2864">
        <f>+S79</f>
        <v>40</v>
      </c>
      <c r="U79" s="2864">
        <f>+T79</f>
        <v>40</v>
      </c>
      <c r="V79" s="2864">
        <f>+U79</f>
        <v>40</v>
      </c>
      <c r="W79" s="2864">
        <f>+V79</f>
        <v>40</v>
      </c>
      <c r="X79" s="2864">
        <f>+W79</f>
        <v>40</v>
      </c>
      <c r="Y79" s="2540"/>
      <c r="Z79" s="679"/>
      <c r="AA79" s="490"/>
      <c r="AB79" s="413"/>
      <c r="AC79" s="413"/>
      <c r="AD79" s="414"/>
      <c r="AE79" s="490"/>
      <c r="AF79" s="413"/>
      <c r="AG79" s="413"/>
      <c r="AH79" s="414"/>
      <c r="AI79" s="490"/>
      <c r="AJ79" s="413"/>
      <c r="AK79" s="413"/>
      <c r="AL79" s="414"/>
      <c r="AM79" s="490"/>
      <c r="AN79" s="413"/>
      <c r="AO79" s="413"/>
      <c r="AP79" s="413"/>
      <c r="AQ79" s="490"/>
      <c r="AR79" s="413"/>
      <c r="AS79" s="413"/>
      <c r="AT79" s="414"/>
      <c r="AU79" s="490"/>
      <c r="AV79" s="413"/>
      <c r="AW79" s="413"/>
      <c r="AX79" s="414"/>
      <c r="AY79" s="490"/>
      <c r="AZ79" s="413"/>
      <c r="BA79" s="413"/>
      <c r="BB79" s="413"/>
      <c r="BC79" s="567">
        <v>44</v>
      </c>
      <c r="BD79" s="573">
        <v>78</v>
      </c>
      <c r="BE79" s="573">
        <v>48.5</v>
      </c>
      <c r="BF79" s="1830">
        <v>125</v>
      </c>
      <c r="BG79" s="622">
        <v>-99</v>
      </c>
      <c r="BH79" s="573">
        <v>150</v>
      </c>
      <c r="BI79" s="573">
        <v>-58</v>
      </c>
      <c r="BJ79" s="1830">
        <v>93</v>
      </c>
      <c r="BK79" s="622">
        <v>-51</v>
      </c>
      <c r="BL79" s="622">
        <v>57</v>
      </c>
      <c r="BM79" s="578">
        <f>268-329</f>
        <v>-61</v>
      </c>
      <c r="BN79" s="622">
        <f>419-328</f>
        <v>91</v>
      </c>
      <c r="BO79" s="576">
        <f>265-331</f>
        <v>-66</v>
      </c>
      <c r="BP79" s="573">
        <f>270-328</f>
        <v>-58</v>
      </c>
      <c r="BQ79" s="573">
        <f>270-328</f>
        <v>-58</v>
      </c>
      <c r="BR79" s="574">
        <f>270-328</f>
        <v>-58</v>
      </c>
      <c r="BS79" s="2864">
        <f>270-328</f>
        <v>-58</v>
      </c>
      <c r="BT79" s="2855">
        <f>384-327-10</f>
        <v>47</v>
      </c>
      <c r="BU79" s="2864">
        <v>-69</v>
      </c>
      <c r="BV79" s="2995">
        <v>68</v>
      </c>
      <c r="BW79" s="2864">
        <v>10</v>
      </c>
      <c r="BX79" s="2855">
        <v>10</v>
      </c>
      <c r="BY79" s="2855">
        <v>10</v>
      </c>
      <c r="BZ79" s="2995">
        <v>10</v>
      </c>
      <c r="CA79" s="2864">
        <v>10</v>
      </c>
      <c r="CB79" s="2855">
        <v>10</v>
      </c>
      <c r="CC79" s="2855">
        <v>10</v>
      </c>
      <c r="CD79" s="2995">
        <v>10</v>
      </c>
      <c r="CE79" s="2864">
        <v>10</v>
      </c>
      <c r="CF79" s="2864">
        <v>10</v>
      </c>
      <c r="CG79" s="2864">
        <v>10</v>
      </c>
      <c r="CH79" s="2995">
        <v>10</v>
      </c>
      <c r="CI79" s="632"/>
    </row>
    <row r="80" spans="1:87" hidden="1" outlineLevel="1">
      <c r="A80" s="599" t="s">
        <v>665</v>
      </c>
      <c r="B80" s="599"/>
      <c r="C80" s="599"/>
      <c r="D80" s="709"/>
      <c r="E80" s="709">
        <f>+E76-E75</f>
        <v>-783.27</v>
      </c>
      <c r="F80" s="709">
        <f>+F76-F75</f>
        <v>-804.88100000000009</v>
      </c>
      <c r="G80" s="709">
        <f>+G76-G75</f>
        <v>-282.98196357147788</v>
      </c>
      <c r="H80" s="709">
        <f>+H76-H75</f>
        <v>-123.69399999999905</v>
      </c>
      <c r="I80" s="709"/>
      <c r="J80" s="709">
        <f>+J76-J75</f>
        <v>3165.2769999999964</v>
      </c>
      <c r="K80" s="344">
        <f>+K76-K75+K77+K78</f>
        <v>3779.5519999999997</v>
      </c>
      <c r="L80" s="344">
        <f t="shared" ref="L80:U80" ca="1" si="137">+L76-L75+L77+L78-L79</f>
        <v>4685.7609999999995</v>
      </c>
      <c r="M80" s="344">
        <f t="shared" si="137"/>
        <v>3684.5</v>
      </c>
      <c r="N80" s="344">
        <f t="shared" si="137"/>
        <v>3024</v>
      </c>
      <c r="O80" s="344">
        <f t="shared" si="137"/>
        <v>2932</v>
      </c>
      <c r="P80" s="344">
        <f t="shared" si="137"/>
        <v>2738</v>
      </c>
      <c r="Q80" s="344">
        <f t="shared" si="137"/>
        <v>1518</v>
      </c>
      <c r="R80" s="344">
        <f>+R76-R75+R77+R78-R79</f>
        <v>1157</v>
      </c>
      <c r="S80" s="344">
        <f>+S76-S75+S77+S78-S79</f>
        <v>2268.6170838790727</v>
      </c>
      <c r="T80" s="344">
        <f t="shared" si="137"/>
        <v>2848.7700275455445</v>
      </c>
      <c r="U80" s="344">
        <f t="shared" si="137"/>
        <v>3223.6930221716711</v>
      </c>
      <c r="V80" s="344">
        <f>+V76-V75+V77+V78-V79</f>
        <v>3375.5905077074208</v>
      </c>
      <c r="W80" s="344">
        <f>+W76-W75+W77+W78-W79</f>
        <v>3544.6020790628736</v>
      </c>
      <c r="X80" s="344">
        <f>+X76-X75+X77+X78-X79</f>
        <v>3314.1187708673119</v>
      </c>
      <c r="Y80" s="2540"/>
      <c r="Z80" s="712">
        <f t="shared" ref="Z80:AX80" si="138">+Z76-Z75</f>
        <v>86.767999999999958</v>
      </c>
      <c r="AA80" s="710">
        <f t="shared" si="138"/>
        <v>148.52599999999995</v>
      </c>
      <c r="AB80" s="709">
        <f t="shared" si="138"/>
        <v>119.76599999999993</v>
      </c>
      <c r="AC80" s="709">
        <f t="shared" si="138"/>
        <v>97.409000000000049</v>
      </c>
      <c r="AD80" s="711">
        <f t="shared" si="138"/>
        <v>82.69</v>
      </c>
      <c r="AE80" s="710">
        <f t="shared" si="138"/>
        <v>137.26300000000003</v>
      </c>
      <c r="AF80" s="709">
        <f t="shared" si="138"/>
        <v>113.559</v>
      </c>
      <c r="AG80" s="709">
        <f t="shared" si="138"/>
        <v>127.45900000000005</v>
      </c>
      <c r="AH80" s="711">
        <f t="shared" si="138"/>
        <v>85.047999999999973</v>
      </c>
      <c r="AI80" s="710">
        <f t="shared" si="138"/>
        <v>379.29648093333839</v>
      </c>
      <c r="AJ80" s="709">
        <f t="shared" si="138"/>
        <v>278.25555549518339</v>
      </c>
      <c r="AK80" s="709">
        <f t="shared" si="138"/>
        <v>292.3479999999999</v>
      </c>
      <c r="AL80" s="711">
        <f t="shared" si="138"/>
        <v>353.69299999999998</v>
      </c>
      <c r="AM80" s="710">
        <f t="shared" si="138"/>
        <v>366.77400000000011</v>
      </c>
      <c r="AN80" s="709">
        <f t="shared" si="138"/>
        <v>369.76899999999966</v>
      </c>
      <c r="AO80" s="709">
        <f t="shared" si="138"/>
        <v>352.29800000000017</v>
      </c>
      <c r="AP80" s="709">
        <f t="shared" si="138"/>
        <v>401.63200000000006</v>
      </c>
      <c r="AQ80" s="710">
        <f t="shared" si="138"/>
        <v>760.14399999999955</v>
      </c>
      <c r="AR80" s="709">
        <f t="shared" si="138"/>
        <v>623.86800000000028</v>
      </c>
      <c r="AS80" s="709">
        <f t="shared" si="138"/>
        <v>649.58900000000017</v>
      </c>
      <c r="AT80" s="711">
        <f t="shared" si="138"/>
        <v>843.11000000000035</v>
      </c>
      <c r="AU80" s="710">
        <f t="shared" si="138"/>
        <v>985.65899999999931</v>
      </c>
      <c r="AV80" s="709">
        <f t="shared" si="138"/>
        <v>801.68199999999979</v>
      </c>
      <c r="AW80" s="709">
        <f t="shared" si="138"/>
        <v>738.61999999999944</v>
      </c>
      <c r="AX80" s="711">
        <f t="shared" si="138"/>
        <v>640.69600000000003</v>
      </c>
      <c r="AY80" s="157">
        <f>+AY76-AY75+AY77+AY78</f>
        <v>1034.4510000000002</v>
      </c>
      <c r="AZ80" s="344">
        <f>+AZ76-AZ75+AZ77+AZ78</f>
        <v>927.85599999999999</v>
      </c>
      <c r="BA80" s="344">
        <f>+BA76-BA75+BA77+BA78</f>
        <v>908.34199999999998</v>
      </c>
      <c r="BB80" s="344">
        <f>+BB76-BB75+BB77+BB78</f>
        <v>908.90300000000002</v>
      </c>
      <c r="BC80" s="157">
        <f t="shared" ref="BC80:BK80" ca="1" si="139">+BC76-BC75+BC77+BC78-BC79</f>
        <v>1023.5110000000002</v>
      </c>
      <c r="BD80" s="344">
        <f t="shared" si="139"/>
        <v>2235</v>
      </c>
      <c r="BE80" s="344">
        <f t="shared" si="139"/>
        <v>804.5</v>
      </c>
      <c r="BF80" s="296">
        <f t="shared" si="139"/>
        <v>515</v>
      </c>
      <c r="BG80" s="344">
        <f t="shared" si="139"/>
        <v>1038</v>
      </c>
      <c r="BH80" s="344">
        <f t="shared" si="139"/>
        <v>779</v>
      </c>
      <c r="BI80" s="344">
        <f t="shared" si="139"/>
        <v>905</v>
      </c>
      <c r="BJ80" s="296">
        <f t="shared" si="139"/>
        <v>611</v>
      </c>
      <c r="BK80" s="344">
        <f t="shared" si="139"/>
        <v>1006</v>
      </c>
      <c r="BL80" s="344">
        <f t="shared" ref="BL80:BR80" si="140">+BL76-BL75+BL77+BL78-BL79</f>
        <v>703</v>
      </c>
      <c r="BM80" s="344">
        <f t="shared" si="140"/>
        <v>761</v>
      </c>
      <c r="BN80" s="344">
        <f t="shared" si="140"/>
        <v>601</v>
      </c>
      <c r="BO80" s="157">
        <f t="shared" si="140"/>
        <v>860</v>
      </c>
      <c r="BP80" s="344">
        <f t="shared" si="140"/>
        <v>816</v>
      </c>
      <c r="BQ80" s="344">
        <f t="shared" si="140"/>
        <v>774</v>
      </c>
      <c r="BR80" s="296">
        <f t="shared" si="140"/>
        <v>503</v>
      </c>
      <c r="BS80" s="344">
        <f>+BS76-BS75+BS77+BS78-BS79</f>
        <v>849</v>
      </c>
      <c r="BT80" s="344">
        <f>+BT76-BT75+BT77+BT78-BT79</f>
        <v>562</v>
      </c>
      <c r="BU80" s="344">
        <f>+BU76-BU75+BU77+BU78-BU79</f>
        <v>747</v>
      </c>
      <c r="BV80" s="296">
        <f>+BV76-BV75+BV77+BV78-BV79</f>
        <v>591</v>
      </c>
      <c r="BW80" s="344">
        <f>+BW76-BW75+BW77+BW78-BW79</f>
        <v>728</v>
      </c>
      <c r="BX80" s="344">
        <f t="shared" ref="BX80:CB80" si="141">+BX76-BX75+BX77+BX78-BX79</f>
        <v>636</v>
      </c>
      <c r="BY80" s="344">
        <f t="shared" si="141"/>
        <v>171</v>
      </c>
      <c r="BZ80" s="296">
        <f t="shared" si="141"/>
        <v>6</v>
      </c>
      <c r="CA80" s="344">
        <f>+CA76-CA75+CA77+CA78-CA79</f>
        <v>402</v>
      </c>
      <c r="CB80" s="344">
        <f t="shared" si="141"/>
        <v>-115</v>
      </c>
      <c r="CC80" s="344">
        <f>+CC76-CC75+CC77+CC78-CC79</f>
        <v>172</v>
      </c>
      <c r="CD80" s="296">
        <f t="shared" ref="CD80" si="142">+CD76-CD75+CD77+CD78-CD79</f>
        <v>703</v>
      </c>
      <c r="CE80" s="344">
        <f>+CE76-CE75+CE77+CE78-CE79</f>
        <v>472.74920312500035</v>
      </c>
      <c r="CF80" s="344">
        <f>+CF76-CF75+CF77+CF78-CF79</f>
        <v>539.30930382574945</v>
      </c>
      <c r="CG80" s="344">
        <f>+CG76-CG75+CG77+CG78-CG79</f>
        <v>586.57319619022599</v>
      </c>
      <c r="CH80" s="296">
        <f>+CH76-CH75+CH77+CH78-CH79</f>
        <v>669.98538073809812</v>
      </c>
      <c r="CI80" s="632"/>
    </row>
    <row r="81" spans="1:93" s="253" customFormat="1" hidden="1" outlineLevel="1">
      <c r="A81" s="2777" t="s">
        <v>1093</v>
      </c>
      <c r="B81" s="2772"/>
      <c r="C81" s="2772"/>
      <c r="D81" s="680"/>
      <c r="E81" s="680"/>
      <c r="F81" s="680"/>
      <c r="G81" s="680"/>
      <c r="H81" s="680"/>
      <c r="I81" s="680"/>
      <c r="J81" s="680"/>
      <c r="K81" s="2773"/>
      <c r="L81" s="2773"/>
      <c r="M81" s="2773"/>
      <c r="N81" s="2773"/>
      <c r="O81" s="2773">
        <f t="shared" ref="O81:O87" si="143">SUM(BO81:BR81)</f>
        <v>7052</v>
      </c>
      <c r="P81" s="2773">
        <f t="shared" ref="P81:P87" si="144">SUM(BS81:BV81)</f>
        <v>6934</v>
      </c>
      <c r="Q81" s="2773">
        <f t="shared" ref="Q81:Q87" si="145">SUM(BW81:BZ81)</f>
        <v>6513</v>
      </c>
      <c r="R81" s="2773">
        <f>SUM(CA81:CD81)</f>
        <v>6582</v>
      </c>
      <c r="S81" s="2773">
        <f t="shared" ref="S81:S87" si="146">SUM(CE81:CH81)</f>
        <v>8846.9680973273898</v>
      </c>
      <c r="T81" s="2773">
        <f>IS!T60</f>
        <v>9170.173300483093</v>
      </c>
      <c r="U81" s="2773">
        <f>IS!U60</f>
        <v>9345.6450650722545</v>
      </c>
      <c r="V81" s="2773">
        <f>IS!V60</f>
        <v>9425.8971650058593</v>
      </c>
      <c r="W81" s="2773">
        <f>IS!W60</f>
        <v>9536.5985016652794</v>
      </c>
      <c r="X81" s="2773">
        <f>IS!X60</f>
        <v>9656.1028187441116</v>
      </c>
      <c r="Y81" s="2540"/>
      <c r="Z81" s="704"/>
      <c r="AA81" s="570"/>
      <c r="AB81" s="680"/>
      <c r="AC81" s="680"/>
      <c r="AD81" s="568"/>
      <c r="AE81" s="570"/>
      <c r="AF81" s="680"/>
      <c r="AG81" s="680"/>
      <c r="AH81" s="568"/>
      <c r="AI81" s="570"/>
      <c r="AJ81" s="680"/>
      <c r="AK81" s="680"/>
      <c r="AL81" s="568"/>
      <c r="AM81" s="570"/>
      <c r="AN81" s="680"/>
      <c r="AO81" s="680"/>
      <c r="AP81" s="680"/>
      <c r="AQ81" s="570"/>
      <c r="AR81" s="680"/>
      <c r="AS81" s="680"/>
      <c r="AT81" s="568"/>
      <c r="AU81" s="570"/>
      <c r="AV81" s="680"/>
      <c r="AW81" s="680"/>
      <c r="AX81" s="568"/>
      <c r="AY81" s="2774"/>
      <c r="AZ81" s="2773"/>
      <c r="BA81" s="2773"/>
      <c r="BB81" s="2773"/>
      <c r="BC81" s="2774"/>
      <c r="BD81" s="2773"/>
      <c r="BE81" s="2773"/>
      <c r="BF81" s="2775"/>
      <c r="BG81" s="2773"/>
      <c r="BH81" s="2773"/>
      <c r="BI81" s="2773"/>
      <c r="BJ81" s="2775"/>
      <c r="BK81" s="2774">
        <f t="shared" ref="BK81:CC81" si="147">+BK65</f>
        <v>1933</v>
      </c>
      <c r="BL81" s="2773">
        <f t="shared" si="147"/>
        <v>1858</v>
      </c>
      <c r="BM81" s="2773">
        <f t="shared" si="147"/>
        <v>1805</v>
      </c>
      <c r="BN81" s="2775">
        <f t="shared" si="147"/>
        <v>1836</v>
      </c>
      <c r="BO81" s="2774">
        <f t="shared" si="147"/>
        <v>1788</v>
      </c>
      <c r="BP81" s="2773">
        <f t="shared" si="147"/>
        <v>1812</v>
      </c>
      <c r="BQ81" s="2773">
        <f t="shared" si="147"/>
        <v>1745</v>
      </c>
      <c r="BR81" s="2775">
        <f t="shared" si="147"/>
        <v>1707</v>
      </c>
      <c r="BS81" s="2773">
        <f t="shared" si="147"/>
        <v>1724</v>
      </c>
      <c r="BT81" s="2773">
        <f t="shared" si="147"/>
        <v>1622</v>
      </c>
      <c r="BU81" s="2773">
        <f t="shared" si="147"/>
        <v>1776</v>
      </c>
      <c r="BV81" s="2775">
        <f t="shared" si="147"/>
        <v>1812</v>
      </c>
      <c r="BW81" s="2773">
        <f t="shared" si="147"/>
        <v>1684</v>
      </c>
      <c r="BX81" s="2773">
        <f t="shared" si="147"/>
        <v>1648</v>
      </c>
      <c r="BY81" s="2773">
        <f t="shared" si="147"/>
        <v>1596</v>
      </c>
      <c r="BZ81" s="2775">
        <f t="shared" si="147"/>
        <v>1585</v>
      </c>
      <c r="CA81" s="2773">
        <f t="shared" si="147"/>
        <v>1532</v>
      </c>
      <c r="CB81" s="2773">
        <f t="shared" si="147"/>
        <v>1442</v>
      </c>
      <c r="CC81" s="2773">
        <f t="shared" si="147"/>
        <v>1397</v>
      </c>
      <c r="CD81" s="2775">
        <f t="shared" ref="CD81" si="148">+CD65</f>
        <v>2211</v>
      </c>
      <c r="CE81" s="2773">
        <f t="shared" ref="CE81:CH82" si="149">+CE65</f>
        <v>2129.2495400000003</v>
      </c>
      <c r="CF81" s="2773">
        <f t="shared" si="149"/>
        <v>2188.8345656759998</v>
      </c>
      <c r="CG81" s="2773">
        <f t="shared" si="149"/>
        <v>2231.0973816646356</v>
      </c>
      <c r="CH81" s="2775">
        <f t="shared" si="149"/>
        <v>2297.7866099867551</v>
      </c>
      <c r="CI81" s="2776"/>
      <c r="CJ81"/>
      <c r="CK81"/>
      <c r="CL81"/>
      <c r="CM81"/>
      <c r="CN81"/>
      <c r="CO81"/>
    </row>
    <row r="82" spans="1:93" s="253" customFormat="1" hidden="1" outlineLevel="1">
      <c r="A82" s="2771" t="s">
        <v>1094</v>
      </c>
      <c r="B82" s="2772"/>
      <c r="C82" s="2772"/>
      <c r="D82" s="680"/>
      <c r="E82" s="680"/>
      <c r="F82" s="680"/>
      <c r="G82" s="680"/>
      <c r="H82" s="680"/>
      <c r="I82" s="680"/>
      <c r="J82" s="680"/>
      <c r="K82" s="2773"/>
      <c r="L82" s="2773"/>
      <c r="M82" s="2773"/>
      <c r="N82" s="2773"/>
      <c r="O82" s="2773">
        <f t="shared" si="143"/>
        <v>-27</v>
      </c>
      <c r="P82" s="2773">
        <f t="shared" si="144"/>
        <v>-63</v>
      </c>
      <c r="Q82" s="2773">
        <f t="shared" si="145"/>
        <v>-397</v>
      </c>
      <c r="R82" s="2773">
        <f t="shared" ref="R82:R87" si="150">SUM(CA82:CD82)</f>
        <v>-392</v>
      </c>
      <c r="S82" s="2773">
        <f t="shared" si="146"/>
        <v>-100</v>
      </c>
      <c r="T82" s="2773">
        <f>T93</f>
        <v>-100</v>
      </c>
      <c r="U82" s="2773">
        <f>U93</f>
        <v>-100</v>
      </c>
      <c r="V82" s="2773">
        <f>V93</f>
        <v>-100</v>
      </c>
      <c r="W82" s="2773">
        <f>W93</f>
        <v>-100</v>
      </c>
      <c r="X82" s="2773">
        <f>X93</f>
        <v>-503.99445411402877</v>
      </c>
      <c r="Y82" s="2540"/>
      <c r="Z82" s="704"/>
      <c r="AA82" s="570"/>
      <c r="AB82" s="680"/>
      <c r="AC82" s="680"/>
      <c r="AD82" s="568"/>
      <c r="AE82" s="570"/>
      <c r="AF82" s="680"/>
      <c r="AG82" s="680"/>
      <c r="AH82" s="568"/>
      <c r="AI82" s="570"/>
      <c r="AJ82" s="680"/>
      <c r="AK82" s="680"/>
      <c r="AL82" s="568"/>
      <c r="AM82" s="570"/>
      <c r="AN82" s="680"/>
      <c r="AO82" s="680"/>
      <c r="AP82" s="680"/>
      <c r="AQ82" s="570"/>
      <c r="AR82" s="680"/>
      <c r="AS82" s="680"/>
      <c r="AT82" s="568"/>
      <c r="AU82" s="570"/>
      <c r="AV82" s="680"/>
      <c r="AW82" s="680"/>
      <c r="AX82" s="568"/>
      <c r="AY82" s="2774"/>
      <c r="AZ82" s="2773"/>
      <c r="BA82" s="2773"/>
      <c r="BB82" s="2773"/>
      <c r="BC82" s="2774"/>
      <c r="BD82" s="2773"/>
      <c r="BE82" s="2773"/>
      <c r="BF82" s="2775"/>
      <c r="BG82" s="2773"/>
      <c r="BH82" s="2773"/>
      <c r="BI82" s="2773"/>
      <c r="BJ82" s="2775"/>
      <c r="BK82" s="2774">
        <f t="shared" ref="BK82:CC82" si="151">+BK66</f>
        <v>8</v>
      </c>
      <c r="BL82" s="2773">
        <f t="shared" si="151"/>
        <v>38</v>
      </c>
      <c r="BM82" s="2773">
        <f t="shared" si="151"/>
        <v>-1</v>
      </c>
      <c r="BN82" s="2775">
        <f t="shared" si="151"/>
        <v>3</v>
      </c>
      <c r="BO82" s="2774">
        <f t="shared" si="151"/>
        <v>-10</v>
      </c>
      <c r="BP82" s="2773">
        <f t="shared" si="151"/>
        <v>-13</v>
      </c>
      <c r="BQ82" s="2773">
        <f t="shared" si="151"/>
        <v>2</v>
      </c>
      <c r="BR82" s="2775">
        <f t="shared" si="151"/>
        <v>-6</v>
      </c>
      <c r="BS82" s="2773">
        <f t="shared" si="151"/>
        <v>-5</v>
      </c>
      <c r="BT82" s="2773">
        <f t="shared" si="151"/>
        <v>-36</v>
      </c>
      <c r="BU82" s="2773">
        <f t="shared" si="151"/>
        <v>-13</v>
      </c>
      <c r="BV82" s="2775">
        <f t="shared" si="151"/>
        <v>-9</v>
      </c>
      <c r="BW82" s="2773">
        <f t="shared" si="151"/>
        <v>-11</v>
      </c>
      <c r="BX82" s="2773">
        <f t="shared" si="151"/>
        <v>-10</v>
      </c>
      <c r="BY82" s="2773">
        <f t="shared" si="151"/>
        <v>-323</v>
      </c>
      <c r="BZ82" s="2775">
        <f t="shared" si="151"/>
        <v>-53</v>
      </c>
      <c r="CA82" s="2773">
        <f t="shared" si="151"/>
        <v>5</v>
      </c>
      <c r="CB82" s="2773">
        <f t="shared" si="151"/>
        <v>-265</v>
      </c>
      <c r="CC82" s="2773">
        <f t="shared" si="151"/>
        <v>-118</v>
      </c>
      <c r="CD82" s="2775">
        <f t="shared" ref="CD82" si="152">+CD66</f>
        <v>-14</v>
      </c>
      <c r="CE82" s="2773">
        <f t="shared" si="149"/>
        <v>-25</v>
      </c>
      <c r="CF82" s="2773">
        <f t="shared" si="149"/>
        <v>-25</v>
      </c>
      <c r="CG82" s="2773">
        <f t="shared" si="149"/>
        <v>-25</v>
      </c>
      <c r="CH82" s="2775">
        <f t="shared" si="149"/>
        <v>-25</v>
      </c>
      <c r="CI82" s="2776"/>
      <c r="CJ82"/>
      <c r="CK82"/>
      <c r="CL82"/>
      <c r="CM82"/>
      <c r="CN82"/>
      <c r="CO82"/>
    </row>
    <row r="83" spans="1:93" s="253" customFormat="1" hidden="1" outlineLevel="1">
      <c r="A83" s="2771" t="s">
        <v>1453</v>
      </c>
      <c r="B83" s="2772"/>
      <c r="C83" s="2772"/>
      <c r="D83" s="680"/>
      <c r="E83" s="680"/>
      <c r="F83" s="680"/>
      <c r="G83" s="680"/>
      <c r="H83" s="680"/>
      <c r="I83" s="680"/>
      <c r="J83" s="680"/>
      <c r="K83" s="2773"/>
      <c r="L83" s="2773"/>
      <c r="M83" s="2773"/>
      <c r="N83" s="2773"/>
      <c r="O83" s="2773">
        <f t="shared" si="143"/>
        <v>-1338</v>
      </c>
      <c r="P83" s="2773">
        <f t="shared" si="144"/>
        <v>-1310</v>
      </c>
      <c r="Q83" s="2773">
        <f t="shared" si="145"/>
        <v>-1301</v>
      </c>
      <c r="R83" s="2773">
        <f t="shared" si="150"/>
        <v>-1210</v>
      </c>
      <c r="S83" s="2773">
        <f t="shared" si="146"/>
        <v>-2138.0999902343751</v>
      </c>
      <c r="T83" s="2773">
        <f>IS!T76</f>
        <v>-2082.4626647314299</v>
      </c>
      <c r="U83" s="2773">
        <f>IS!U76</f>
        <v>-2039.4885891625775</v>
      </c>
      <c r="V83" s="2773">
        <f>IS!V76</f>
        <v>-1992.0609484799545</v>
      </c>
      <c r="W83" s="2773">
        <f>IS!W76</f>
        <v>-1945.1583077973314</v>
      </c>
      <c r="X83" s="2773">
        <f>IS!X76</f>
        <v>-1898.7806671147084</v>
      </c>
      <c r="Y83" s="2540"/>
      <c r="Z83" s="704"/>
      <c r="AA83" s="570"/>
      <c r="AB83" s="680"/>
      <c r="AC83" s="680"/>
      <c r="AD83" s="568"/>
      <c r="AE83" s="570"/>
      <c r="AF83" s="680"/>
      <c r="AG83" s="680"/>
      <c r="AH83" s="568"/>
      <c r="AI83" s="570"/>
      <c r="AJ83" s="680"/>
      <c r="AK83" s="680"/>
      <c r="AL83" s="568"/>
      <c r="AM83" s="570"/>
      <c r="AN83" s="680"/>
      <c r="AO83" s="680"/>
      <c r="AP83" s="680"/>
      <c r="AQ83" s="570"/>
      <c r="AR83" s="680"/>
      <c r="AS83" s="680"/>
      <c r="AT83" s="568"/>
      <c r="AU83" s="570"/>
      <c r="AV83" s="680"/>
      <c r="AW83" s="680"/>
      <c r="AX83" s="568"/>
      <c r="AY83" s="2774"/>
      <c r="AZ83" s="2773"/>
      <c r="BA83" s="2773"/>
      <c r="BB83" s="2773"/>
      <c r="BC83" s="2774"/>
      <c r="BD83" s="2773"/>
      <c r="BE83" s="2773"/>
      <c r="BF83" s="2775"/>
      <c r="BG83" s="2773"/>
      <c r="BH83" s="2773"/>
      <c r="BI83" s="2773"/>
      <c r="BJ83" s="2775"/>
      <c r="BK83" s="2774"/>
      <c r="BL83" s="2773"/>
      <c r="BM83" s="2773"/>
      <c r="BN83" s="2773"/>
      <c r="BO83" s="567">
        <v>-265</v>
      </c>
      <c r="BP83" s="573">
        <v>-407</v>
      </c>
      <c r="BQ83" s="573">
        <v>-262</v>
      </c>
      <c r="BR83" s="574">
        <v>-404</v>
      </c>
      <c r="BS83" s="2864">
        <v>-270</v>
      </c>
      <c r="BT83" s="2864">
        <v>-384</v>
      </c>
      <c r="BU83" s="2864">
        <v>-260</v>
      </c>
      <c r="BV83" s="2995">
        <v>-396</v>
      </c>
      <c r="BW83" s="2864">
        <v>-262</v>
      </c>
      <c r="BX83" s="2864">
        <v>-398</v>
      </c>
      <c r="BY83" s="2864">
        <v>-262</v>
      </c>
      <c r="BZ83" s="2995">
        <v>-379</v>
      </c>
      <c r="CA83" s="2864">
        <v>-255</v>
      </c>
      <c r="CB83" s="2864">
        <v>-369</v>
      </c>
      <c r="CC83" s="2864">
        <v>-293</v>
      </c>
      <c r="CD83" s="2995">
        <v>-293</v>
      </c>
      <c r="CE83" s="2773">
        <f>-BS!CH82</f>
        <v>-539.524296875</v>
      </c>
      <c r="CF83" s="2773">
        <f>-BS!CI82</f>
        <v>-535.45572265625003</v>
      </c>
      <c r="CG83" s="2773">
        <f>-BS!CJ82</f>
        <v>-532.9433544921875</v>
      </c>
      <c r="CH83" s="2775">
        <f>-BS!CK82</f>
        <v>-530.17661621093748</v>
      </c>
      <c r="CI83" s="2776"/>
      <c r="CJ83"/>
      <c r="CK83"/>
      <c r="CL83"/>
      <c r="CM83"/>
      <c r="CN83"/>
      <c r="CO83"/>
    </row>
    <row r="84" spans="1:93" s="253" customFormat="1" hidden="1" outlineLevel="1">
      <c r="A84" s="2771" t="s">
        <v>1095</v>
      </c>
      <c r="B84" s="2772"/>
      <c r="C84" s="2772"/>
      <c r="D84" s="680"/>
      <c r="E84" s="680"/>
      <c r="F84" s="680"/>
      <c r="G84" s="680"/>
      <c r="H84" s="680"/>
      <c r="I84" s="680"/>
      <c r="J84" s="680"/>
      <c r="K84" s="2773"/>
      <c r="L84" s="2773"/>
      <c r="M84" s="2773"/>
      <c r="N84" s="2773"/>
      <c r="O84" s="2773">
        <f t="shared" si="143"/>
        <v>-3026</v>
      </c>
      <c r="P84" s="2773">
        <f t="shared" si="144"/>
        <v>-2861</v>
      </c>
      <c r="Q84" s="2773">
        <f t="shared" si="145"/>
        <v>-2958</v>
      </c>
      <c r="R84" s="2773">
        <f t="shared" si="150"/>
        <v>-3101</v>
      </c>
      <c r="S84" s="2773">
        <f t="shared" si="146"/>
        <v>-3850.2510232139421</v>
      </c>
      <c r="T84" s="2773">
        <f>T34</f>
        <v>-3773.9406082061196</v>
      </c>
      <c r="U84" s="2773">
        <f>U34</f>
        <v>-3742.4634537380066</v>
      </c>
      <c r="V84" s="2773">
        <f>V34</f>
        <v>-3718.2457088184824</v>
      </c>
      <c r="W84" s="2773">
        <f>W34</f>
        <v>-3706.8381148050739</v>
      </c>
      <c r="X84" s="2773">
        <f>X34</f>
        <v>-3699.208926648063</v>
      </c>
      <c r="Y84" s="2540"/>
      <c r="Z84" s="704"/>
      <c r="AA84" s="570"/>
      <c r="AB84" s="680"/>
      <c r="AC84" s="680"/>
      <c r="AD84" s="568"/>
      <c r="AE84" s="570"/>
      <c r="AF84" s="680"/>
      <c r="AG84" s="680"/>
      <c r="AH84" s="568"/>
      <c r="AI84" s="570"/>
      <c r="AJ84" s="680"/>
      <c r="AK84" s="680"/>
      <c r="AL84" s="568"/>
      <c r="AM84" s="570"/>
      <c r="AN84" s="680"/>
      <c r="AO84" s="680"/>
      <c r="AP84" s="680"/>
      <c r="AQ84" s="570"/>
      <c r="AR84" s="680"/>
      <c r="AS84" s="680"/>
      <c r="AT84" s="568"/>
      <c r="AU84" s="570"/>
      <c r="AV84" s="680"/>
      <c r="AW84" s="680"/>
      <c r="AX84" s="568"/>
      <c r="AY84" s="2774"/>
      <c r="AZ84" s="2773"/>
      <c r="BA84" s="2773"/>
      <c r="BB84" s="2773"/>
      <c r="BC84" s="2774"/>
      <c r="BD84" s="2773"/>
      <c r="BE84" s="2773"/>
      <c r="BF84" s="2775"/>
      <c r="BG84" s="2773"/>
      <c r="BH84" s="2773"/>
      <c r="BI84" s="2773"/>
      <c r="BJ84" s="2775"/>
      <c r="BK84" s="2774">
        <f t="shared" ref="BK84:BR84" si="153">+BK74</f>
        <v>-656</v>
      </c>
      <c r="BL84" s="2773">
        <f t="shared" si="153"/>
        <v>-739</v>
      </c>
      <c r="BM84" s="2773">
        <f t="shared" si="153"/>
        <v>-786</v>
      </c>
      <c r="BN84" s="2773">
        <f t="shared" si="153"/>
        <v>-820</v>
      </c>
      <c r="BO84" s="2774">
        <f t="shared" si="153"/>
        <v>-662</v>
      </c>
      <c r="BP84" s="2773">
        <f>+BP74</f>
        <v>-723</v>
      </c>
      <c r="BQ84" s="2773">
        <f t="shared" si="153"/>
        <v>-711</v>
      </c>
      <c r="BR84" s="2775">
        <f t="shared" si="153"/>
        <v>-930</v>
      </c>
      <c r="BS84" s="2773">
        <f t="shared" ref="BS84:BX84" si="154">+BS74</f>
        <v>-613</v>
      </c>
      <c r="BT84" s="2773">
        <f t="shared" si="154"/>
        <v>-654</v>
      </c>
      <c r="BU84" s="2773">
        <f t="shared" si="154"/>
        <v>-764</v>
      </c>
      <c r="BV84" s="2775">
        <f t="shared" si="154"/>
        <v>-830</v>
      </c>
      <c r="BW84" s="2773">
        <f t="shared" si="154"/>
        <v>-607</v>
      </c>
      <c r="BX84" s="2773">
        <f t="shared" si="154"/>
        <v>-648</v>
      </c>
      <c r="BY84" s="2773">
        <f>+BY74</f>
        <v>-740</v>
      </c>
      <c r="BZ84" s="2775">
        <f>+BZ74</f>
        <v>-963</v>
      </c>
      <c r="CA84" s="2773">
        <f>+CA74</f>
        <v>-780</v>
      </c>
      <c r="CB84" s="2773">
        <f>+CB74</f>
        <v>-829</v>
      </c>
      <c r="CC84" s="2773">
        <f>+CC74</f>
        <v>-749</v>
      </c>
      <c r="CD84" s="2775">
        <f t="shared" ref="CD84" si="155">+CD74</f>
        <v>-743</v>
      </c>
      <c r="CE84" s="2773">
        <f>-CE108</f>
        <v>-969.47604000000024</v>
      </c>
      <c r="CF84" s="2773">
        <f t="shared" ref="CF84:CH84" si="156">-CF108</f>
        <v>-966.56953919399996</v>
      </c>
      <c r="CG84" s="2773">
        <f t="shared" si="156"/>
        <v>-964.08083098222176</v>
      </c>
      <c r="CH84" s="2775">
        <f t="shared" si="156"/>
        <v>-950.12461303771966</v>
      </c>
      <c r="CI84" s="2776"/>
      <c r="CJ84"/>
      <c r="CK84"/>
      <c r="CL84"/>
      <c r="CM84"/>
      <c r="CN84"/>
      <c r="CO84"/>
    </row>
    <row r="85" spans="1:93" s="253" customFormat="1" hidden="1" outlineLevel="1">
      <c r="A85" s="2771" t="s">
        <v>1454</v>
      </c>
      <c r="B85" s="2772"/>
      <c r="C85" s="2772"/>
      <c r="D85" s="680"/>
      <c r="E85" s="680"/>
      <c r="F85" s="680"/>
      <c r="G85" s="680"/>
      <c r="H85" s="680"/>
      <c r="I85" s="680"/>
      <c r="J85" s="680"/>
      <c r="K85" s="2773"/>
      <c r="L85" s="2773"/>
      <c r="M85" s="2773"/>
      <c r="N85" s="2773"/>
      <c r="O85" s="2773">
        <f t="shared" si="143"/>
        <v>-268</v>
      </c>
      <c r="P85" s="2773">
        <f t="shared" si="144"/>
        <v>-141</v>
      </c>
      <c r="Q85" s="2773">
        <f t="shared" si="145"/>
        <v>-168</v>
      </c>
      <c r="R85" s="2773">
        <f t="shared" si="150"/>
        <v>-306</v>
      </c>
      <c r="S85" s="2773">
        <f t="shared" si="146"/>
        <v>-100</v>
      </c>
      <c r="T85" s="2773">
        <f>T28</f>
        <v>-100</v>
      </c>
      <c r="U85" s="2773">
        <f>U28</f>
        <v>-100</v>
      </c>
      <c r="V85" s="2773">
        <f>V28</f>
        <v>-100</v>
      </c>
      <c r="W85" s="2773">
        <f>W28</f>
        <v>-100</v>
      </c>
      <c r="X85" s="2773">
        <f>X28</f>
        <v>-100</v>
      </c>
      <c r="Y85" s="2540"/>
      <c r="Z85" s="704"/>
      <c r="AA85" s="570"/>
      <c r="AB85" s="680"/>
      <c r="AC85" s="680"/>
      <c r="AD85" s="568"/>
      <c r="AE85" s="570"/>
      <c r="AF85" s="680"/>
      <c r="AG85" s="680"/>
      <c r="AH85" s="568"/>
      <c r="AI85" s="570"/>
      <c r="AJ85" s="680"/>
      <c r="AK85" s="680"/>
      <c r="AL85" s="568"/>
      <c r="AM85" s="570"/>
      <c r="AN85" s="680"/>
      <c r="AO85" s="680"/>
      <c r="AP85" s="680"/>
      <c r="AQ85" s="570"/>
      <c r="AR85" s="680"/>
      <c r="AS85" s="680"/>
      <c r="AT85" s="568"/>
      <c r="AU85" s="570"/>
      <c r="AV85" s="680"/>
      <c r="AW85" s="680"/>
      <c r="AX85" s="568"/>
      <c r="AY85" s="2774"/>
      <c r="AZ85" s="2773"/>
      <c r="BA85" s="2773"/>
      <c r="BB85" s="2773"/>
      <c r="BC85" s="2774"/>
      <c r="BD85" s="2773"/>
      <c r="BE85" s="2773"/>
      <c r="BF85" s="2775"/>
      <c r="BG85" s="2773"/>
      <c r="BH85" s="2773"/>
      <c r="BI85" s="2773"/>
      <c r="BJ85" s="2775"/>
      <c r="BK85" s="2773"/>
      <c r="BL85" s="2773"/>
      <c r="BM85" s="2773"/>
      <c r="BN85" s="2773"/>
      <c r="BO85" s="567">
        <v>-28</v>
      </c>
      <c r="BP85" s="573">
        <v>-74</v>
      </c>
      <c r="BQ85" s="573">
        <v>-154</v>
      </c>
      <c r="BR85" s="574">
        <v>-12</v>
      </c>
      <c r="BS85" s="2864">
        <v>-10</v>
      </c>
      <c r="BT85" s="2864">
        <v>-10</v>
      </c>
      <c r="BU85" s="2864">
        <v>-115</v>
      </c>
      <c r="BV85" s="2995">
        <v>-6</v>
      </c>
      <c r="BW85" s="2864">
        <v>-21</v>
      </c>
      <c r="BX85" s="2864">
        <v>-7</v>
      </c>
      <c r="BY85" s="2864">
        <v>-115</v>
      </c>
      <c r="BZ85" s="2995">
        <v>-25</v>
      </c>
      <c r="CA85" s="2864">
        <v>-25</v>
      </c>
      <c r="CB85" s="2864">
        <v>-31</v>
      </c>
      <c r="CC85" s="2864">
        <v>-125</v>
      </c>
      <c r="CD85" s="2995">
        <v>-125</v>
      </c>
      <c r="CE85" s="1701">
        <f>+CE28</f>
        <v>-25</v>
      </c>
      <c r="CF85" s="1701">
        <f>+CF28</f>
        <v>-25</v>
      </c>
      <c r="CG85" s="1701">
        <f>+CG28</f>
        <v>-25</v>
      </c>
      <c r="CH85" s="1702">
        <f>+CH28</f>
        <v>-25</v>
      </c>
      <c r="CI85" s="2776"/>
      <c r="CJ85"/>
      <c r="CK85"/>
      <c r="CL85"/>
      <c r="CM85"/>
      <c r="CN85"/>
      <c r="CO85"/>
    </row>
    <row r="86" spans="1:93" s="253" customFormat="1" hidden="1" outlineLevel="1">
      <c r="A86" s="2771" t="s">
        <v>1455</v>
      </c>
      <c r="B86" s="2772"/>
      <c r="C86" s="2772"/>
      <c r="D86" s="680"/>
      <c r="E86" s="680"/>
      <c r="F86" s="680"/>
      <c r="G86" s="680"/>
      <c r="H86" s="680"/>
      <c r="I86" s="680"/>
      <c r="J86" s="680"/>
      <c r="K86" s="2773"/>
      <c r="L86" s="2773"/>
      <c r="M86" s="2773"/>
      <c r="N86" s="2773"/>
      <c r="O86" s="2773">
        <f t="shared" si="143"/>
        <v>79</v>
      </c>
      <c r="P86" s="2773">
        <f t="shared" si="144"/>
        <v>73</v>
      </c>
      <c r="Q86" s="2773">
        <f t="shared" si="145"/>
        <v>80</v>
      </c>
      <c r="R86" s="2773">
        <f t="shared" si="150"/>
        <v>85</v>
      </c>
      <c r="S86" s="2773">
        <f t="shared" si="146"/>
        <v>200</v>
      </c>
      <c r="T86" s="2773">
        <f>+S86</f>
        <v>200</v>
      </c>
      <c r="U86" s="2773">
        <f>+T86</f>
        <v>200</v>
      </c>
      <c r="V86" s="2773">
        <f>+U86</f>
        <v>200</v>
      </c>
      <c r="W86" s="2773">
        <f>+V86</f>
        <v>200</v>
      </c>
      <c r="X86" s="2773">
        <f>+W86</f>
        <v>200</v>
      </c>
      <c r="Y86" s="2540"/>
      <c r="Z86" s="704"/>
      <c r="AA86" s="570"/>
      <c r="AB86" s="680"/>
      <c r="AC86" s="680"/>
      <c r="AD86" s="568"/>
      <c r="AE86" s="570"/>
      <c r="AF86" s="680"/>
      <c r="AG86" s="680"/>
      <c r="AH86" s="568"/>
      <c r="AI86" s="570"/>
      <c r="AJ86" s="680"/>
      <c r="AK86" s="680"/>
      <c r="AL86" s="568"/>
      <c r="AM86" s="570"/>
      <c r="AN86" s="680"/>
      <c r="AO86" s="680"/>
      <c r="AP86" s="680"/>
      <c r="AQ86" s="570"/>
      <c r="AR86" s="680"/>
      <c r="AS86" s="680"/>
      <c r="AT86" s="568"/>
      <c r="AU86" s="570"/>
      <c r="AV86" s="680"/>
      <c r="AW86" s="680"/>
      <c r="AX86" s="568"/>
      <c r="AY86" s="2774"/>
      <c r="AZ86" s="2773"/>
      <c r="BA86" s="2773"/>
      <c r="BB86" s="2773"/>
      <c r="BC86" s="2774"/>
      <c r="BD86" s="2773"/>
      <c r="BE86" s="2773"/>
      <c r="BF86" s="2775"/>
      <c r="BG86" s="2773"/>
      <c r="BH86" s="2773"/>
      <c r="BI86" s="2773"/>
      <c r="BJ86" s="2775"/>
      <c r="BK86" s="2773"/>
      <c r="BL86" s="2773"/>
      <c r="BM86" s="2773"/>
      <c r="BN86" s="2773"/>
      <c r="BO86" s="567">
        <v>19</v>
      </c>
      <c r="BP86" s="573">
        <v>23</v>
      </c>
      <c r="BQ86" s="573">
        <v>20</v>
      </c>
      <c r="BR86" s="574">
        <v>17</v>
      </c>
      <c r="BS86" s="2864">
        <v>18</v>
      </c>
      <c r="BT86" s="2864">
        <f>38-BS86</f>
        <v>20</v>
      </c>
      <c r="BU86" s="2864">
        <f>57-BT86-BS86</f>
        <v>19</v>
      </c>
      <c r="BV86" s="2995">
        <f>73-BU86-BT86-BS86</f>
        <v>16</v>
      </c>
      <c r="BW86" s="2864">
        <v>18</v>
      </c>
      <c r="BX86" s="2864">
        <v>22</v>
      </c>
      <c r="BY86" s="2864">
        <v>20</v>
      </c>
      <c r="BZ86" s="2995">
        <v>20</v>
      </c>
      <c r="CA86" s="2864">
        <v>21</v>
      </c>
      <c r="CB86" s="2864">
        <v>22</v>
      </c>
      <c r="CC86" s="2864">
        <v>21</v>
      </c>
      <c r="CD86" s="2995">
        <v>21</v>
      </c>
      <c r="CE86" s="2864">
        <v>50</v>
      </c>
      <c r="CF86" s="2864">
        <v>50</v>
      </c>
      <c r="CG86" s="2864">
        <v>50</v>
      </c>
      <c r="CH86" s="2995">
        <v>50</v>
      </c>
      <c r="CI86" s="2776"/>
      <c r="CJ86"/>
      <c r="CK86"/>
      <c r="CL86"/>
      <c r="CM86"/>
      <c r="CN86"/>
      <c r="CO86"/>
    </row>
    <row r="87" spans="1:93" s="253" customFormat="1" hidden="1" outlineLevel="1">
      <c r="A87" s="2771" t="s">
        <v>1451</v>
      </c>
      <c r="B87" s="2772"/>
      <c r="C87" s="2772"/>
      <c r="D87" s="680"/>
      <c r="E87" s="680"/>
      <c r="F87" s="680"/>
      <c r="G87" s="680"/>
      <c r="H87" s="680"/>
      <c r="I87" s="680"/>
      <c r="J87" s="680"/>
      <c r="K87" s="2773"/>
      <c r="L87" s="2773"/>
      <c r="M87" s="2773"/>
      <c r="N87" s="2773"/>
      <c r="O87" s="2773">
        <f t="shared" si="143"/>
        <v>25</v>
      </c>
      <c r="P87" s="2773">
        <f t="shared" si="144"/>
        <v>49</v>
      </c>
      <c r="Q87" s="2773">
        <f t="shared" si="145"/>
        <v>5</v>
      </c>
      <c r="R87" s="2773">
        <f t="shared" si="150"/>
        <v>-76</v>
      </c>
      <c r="S87" s="2773">
        <f t="shared" si="146"/>
        <v>0</v>
      </c>
      <c r="T87" s="2773">
        <f>IS!T77</f>
        <v>0</v>
      </c>
      <c r="U87" s="2773">
        <f>IS!U77</f>
        <v>0</v>
      </c>
      <c r="V87" s="2773">
        <f>IS!V77</f>
        <v>0</v>
      </c>
      <c r="W87" s="2773">
        <f>IS!W77</f>
        <v>0</v>
      </c>
      <c r="X87" s="2773">
        <f>IS!X77</f>
        <v>0</v>
      </c>
      <c r="Y87" s="2540"/>
      <c r="Z87" s="704"/>
      <c r="AA87" s="570"/>
      <c r="AB87" s="680"/>
      <c r="AC87" s="680"/>
      <c r="AD87" s="568"/>
      <c r="AE87" s="570"/>
      <c r="AF87" s="680"/>
      <c r="AG87" s="680"/>
      <c r="AH87" s="568"/>
      <c r="AI87" s="570"/>
      <c r="AJ87" s="680"/>
      <c r="AK87" s="680"/>
      <c r="AL87" s="568"/>
      <c r="AM87" s="570"/>
      <c r="AN87" s="680"/>
      <c r="AO87" s="680"/>
      <c r="AP87" s="680"/>
      <c r="AQ87" s="570"/>
      <c r="AR87" s="680"/>
      <c r="AS87" s="680"/>
      <c r="AT87" s="568"/>
      <c r="AU87" s="570"/>
      <c r="AV87" s="680"/>
      <c r="AW87" s="680"/>
      <c r="AX87" s="568"/>
      <c r="AY87" s="2774"/>
      <c r="AZ87" s="2773"/>
      <c r="BA87" s="2773"/>
      <c r="BB87" s="2773"/>
      <c r="BC87" s="2774"/>
      <c r="BD87" s="2773"/>
      <c r="BE87" s="2773"/>
      <c r="BF87" s="2775"/>
      <c r="BG87" s="2773"/>
      <c r="BH87" s="2773"/>
      <c r="BI87" s="2773"/>
      <c r="BJ87" s="2775"/>
      <c r="BK87" s="2773"/>
      <c r="BL87" s="2773"/>
      <c r="BM87" s="2773"/>
      <c r="BN87" s="2773"/>
      <c r="BO87" s="567">
        <v>9</v>
      </c>
      <c r="BP87" s="573">
        <v>7</v>
      </c>
      <c r="BQ87" s="573">
        <v>5</v>
      </c>
      <c r="BR87" s="574">
        <v>4</v>
      </c>
      <c r="BS87" s="2864">
        <v>13</v>
      </c>
      <c r="BT87" s="2864">
        <v>14</v>
      </c>
      <c r="BU87" s="2864">
        <v>8</v>
      </c>
      <c r="BV87" s="2995">
        <v>14</v>
      </c>
      <c r="BW87" s="1701">
        <f>IS!CA77</f>
        <v>23</v>
      </c>
      <c r="BX87" s="1701">
        <f>IS!CB77</f>
        <v>10</v>
      </c>
      <c r="BY87" s="1701">
        <f>IS!CC77</f>
        <v>-17</v>
      </c>
      <c r="BZ87" s="1702">
        <f>IS!CD77</f>
        <v>-11</v>
      </c>
      <c r="CA87" s="1701">
        <f>IS!CE77</f>
        <v>-6</v>
      </c>
      <c r="CB87" s="3142">
        <f>IS!CF77-15</f>
        <v>-22</v>
      </c>
      <c r="CC87" s="3142">
        <f>-25+1</f>
        <v>-24</v>
      </c>
      <c r="CD87" s="1702">
        <f t="shared" ref="CD87" si="157">-25+1</f>
        <v>-24</v>
      </c>
      <c r="CE87" s="1701">
        <f>IS!CI77</f>
        <v>0</v>
      </c>
      <c r="CF87" s="1701">
        <f>IS!CJ77</f>
        <v>0</v>
      </c>
      <c r="CG87" s="1701">
        <f>IS!CK77</f>
        <v>0</v>
      </c>
      <c r="CH87" s="1702">
        <f>IS!CL77</f>
        <v>0</v>
      </c>
      <c r="CI87" s="2776"/>
      <c r="CJ87"/>
      <c r="CK87"/>
      <c r="CL87"/>
      <c r="CM87"/>
      <c r="CN87"/>
      <c r="CO87"/>
    </row>
    <row r="88" spans="1:93" s="4" customFormat="1" hidden="1" outlineLevel="1">
      <c r="A88" s="599" t="s">
        <v>665</v>
      </c>
      <c r="B88" s="599"/>
      <c r="C88" s="599"/>
      <c r="D88" s="2121"/>
      <c r="E88" s="2121"/>
      <c r="F88" s="2121"/>
      <c r="G88" s="2121"/>
      <c r="H88" s="2121"/>
      <c r="I88" s="2121"/>
      <c r="J88" s="2121"/>
      <c r="K88" s="2807"/>
      <c r="L88" s="2807"/>
      <c r="M88" s="2807"/>
      <c r="N88" s="2807"/>
      <c r="O88" s="2807">
        <f t="shared" ref="O88:V88" si="158">SUM(O81:O87)</f>
        <v>2497</v>
      </c>
      <c r="P88" s="2807">
        <f t="shared" si="158"/>
        <v>2681</v>
      </c>
      <c r="Q88" s="2807">
        <f t="shared" si="158"/>
        <v>1774</v>
      </c>
      <c r="R88" s="2807">
        <f>SUM(R81:R87)</f>
        <v>1582</v>
      </c>
      <c r="S88" s="2807">
        <f>SUM(S81:S87)</f>
        <v>2858.6170838790722</v>
      </c>
      <c r="T88" s="2807">
        <f t="shared" si="158"/>
        <v>3313.7700275455436</v>
      </c>
      <c r="U88" s="2807">
        <f t="shared" si="158"/>
        <v>3563.6930221716707</v>
      </c>
      <c r="V88" s="2807">
        <f t="shared" si="158"/>
        <v>3715.5905077074226</v>
      </c>
      <c r="W88" s="2807">
        <f>SUM(W81:W87)</f>
        <v>3884.6020790628736</v>
      </c>
      <c r="X88" s="2807">
        <f>SUM(X81:X87)</f>
        <v>3654.1187708673119</v>
      </c>
      <c r="Y88" s="2540"/>
      <c r="Z88" s="2808"/>
      <c r="AA88" s="2120"/>
      <c r="AB88" s="2121"/>
      <c r="AC88" s="2121"/>
      <c r="AD88" s="2809"/>
      <c r="AE88" s="2120"/>
      <c r="AF88" s="2121"/>
      <c r="AG88" s="2121"/>
      <c r="AH88" s="2809"/>
      <c r="AI88" s="2120"/>
      <c r="AJ88" s="2121"/>
      <c r="AK88" s="2121"/>
      <c r="AL88" s="2809"/>
      <c r="AM88" s="2120"/>
      <c r="AN88" s="2121"/>
      <c r="AO88" s="2121"/>
      <c r="AP88" s="2121"/>
      <c r="AQ88" s="2120"/>
      <c r="AR88" s="2121"/>
      <c r="AS88" s="2121"/>
      <c r="AT88" s="2809"/>
      <c r="AU88" s="2120">
        <f t="shared" ref="AU88:BM88" si="159">+AU80</f>
        <v>985.65899999999931</v>
      </c>
      <c r="AV88" s="2121">
        <f t="shared" si="159"/>
        <v>801.68199999999979</v>
      </c>
      <c r="AW88" s="2121">
        <f t="shared" si="159"/>
        <v>738.61999999999944</v>
      </c>
      <c r="AX88" s="2809">
        <f t="shared" si="159"/>
        <v>640.69600000000003</v>
      </c>
      <c r="AY88" s="2810">
        <f t="shared" si="159"/>
        <v>1034.4510000000002</v>
      </c>
      <c r="AZ88" s="2807">
        <f t="shared" si="159"/>
        <v>927.85599999999999</v>
      </c>
      <c r="BA88" s="2807">
        <f t="shared" si="159"/>
        <v>908.34199999999998</v>
      </c>
      <c r="BB88" s="2807">
        <f t="shared" si="159"/>
        <v>908.90300000000002</v>
      </c>
      <c r="BC88" s="2810">
        <f t="shared" ca="1" si="159"/>
        <v>1023.5110000000002</v>
      </c>
      <c r="BD88" s="2807">
        <f t="shared" si="159"/>
        <v>2235</v>
      </c>
      <c r="BE88" s="2807">
        <f t="shared" si="159"/>
        <v>804.5</v>
      </c>
      <c r="BF88" s="2811">
        <f t="shared" si="159"/>
        <v>515</v>
      </c>
      <c r="BG88" s="2807">
        <f t="shared" si="159"/>
        <v>1038</v>
      </c>
      <c r="BH88" s="2807">
        <f t="shared" si="159"/>
        <v>779</v>
      </c>
      <c r="BI88" s="2807">
        <f t="shared" si="159"/>
        <v>905</v>
      </c>
      <c r="BJ88" s="2811">
        <f t="shared" si="159"/>
        <v>611</v>
      </c>
      <c r="BK88" s="2807">
        <f t="shared" si="159"/>
        <v>1006</v>
      </c>
      <c r="BL88" s="2807">
        <f t="shared" si="159"/>
        <v>703</v>
      </c>
      <c r="BM88" s="2807">
        <f t="shared" si="159"/>
        <v>761</v>
      </c>
      <c r="BN88" s="2807">
        <f>+BN80</f>
        <v>601</v>
      </c>
      <c r="BO88" s="2810">
        <f t="shared" ref="BO88:BW88" si="160">SUM(BO81:BO87)</f>
        <v>851</v>
      </c>
      <c r="BP88" s="2807">
        <f t="shared" si="160"/>
        <v>625</v>
      </c>
      <c r="BQ88" s="2807">
        <f t="shared" si="160"/>
        <v>645</v>
      </c>
      <c r="BR88" s="2811">
        <f t="shared" si="160"/>
        <v>376</v>
      </c>
      <c r="BS88" s="2807">
        <f t="shared" si="160"/>
        <v>857</v>
      </c>
      <c r="BT88" s="2807">
        <f t="shared" si="160"/>
        <v>572</v>
      </c>
      <c r="BU88" s="2807">
        <f t="shared" si="160"/>
        <v>651</v>
      </c>
      <c r="BV88" s="2811">
        <f t="shared" si="160"/>
        <v>601</v>
      </c>
      <c r="BW88" s="2807">
        <f t="shared" si="160"/>
        <v>824</v>
      </c>
      <c r="BX88" s="2807">
        <f t="shared" ref="BX88:CA88" si="161">SUM(BX81:BX87)</f>
        <v>617</v>
      </c>
      <c r="BY88" s="2807">
        <f t="shared" si="161"/>
        <v>159</v>
      </c>
      <c r="BZ88" s="2811">
        <f t="shared" si="161"/>
        <v>174</v>
      </c>
      <c r="CA88" s="2807">
        <f t="shared" si="161"/>
        <v>492</v>
      </c>
      <c r="CB88" s="2807">
        <f>SUM(CB81:CB87)</f>
        <v>-52</v>
      </c>
      <c r="CC88" s="2807">
        <f>SUM(CC81:CC87)</f>
        <v>109</v>
      </c>
      <c r="CD88" s="2811">
        <f t="shared" ref="CD88" si="162">SUM(CD81:CD87)</f>
        <v>1033</v>
      </c>
      <c r="CE88" s="2807">
        <f>SUM(CE81:CE87)</f>
        <v>620.24920312500012</v>
      </c>
      <c r="CF88" s="2807">
        <f>SUM(CF81:CF87)</f>
        <v>686.80930382574968</v>
      </c>
      <c r="CG88" s="2807">
        <f>SUM(CG81:CG87)</f>
        <v>734.07319619022621</v>
      </c>
      <c r="CH88" s="2811">
        <f>SUM(CH81:CH87)</f>
        <v>817.485380738098</v>
      </c>
      <c r="CI88" s="380"/>
      <c r="CJ88"/>
      <c r="CK88"/>
      <c r="CL88"/>
      <c r="CM88"/>
      <c r="CN88"/>
      <c r="CO88"/>
    </row>
    <row r="89" spans="1:93" s="3136" customFormat="1" ht="12.75" customHeight="1" collapsed="1">
      <c r="A89" s="3535"/>
      <c r="B89" s="3535"/>
      <c r="C89" s="3535"/>
      <c r="D89" s="3535"/>
      <c r="E89" s="3535"/>
      <c r="F89" s="3535"/>
      <c r="G89" s="3535"/>
      <c r="H89" s="3535"/>
      <c r="I89" s="3535"/>
      <c r="J89" s="3535"/>
      <c r="K89" s="3535"/>
      <c r="L89" s="3535"/>
      <c r="M89" s="3535"/>
      <c r="N89" s="3535"/>
      <c r="O89" s="3535"/>
      <c r="P89" s="3535"/>
      <c r="Q89" s="3535"/>
      <c r="R89" s="3535"/>
      <c r="S89" s="3535">
        <f>+S88/IS!S109</f>
        <v>2.6512987334602989</v>
      </c>
      <c r="T89" s="3535">
        <f>+T88/IS!T109</f>
        <v>3.0211812766758142</v>
      </c>
      <c r="U89" s="3535"/>
      <c r="V89" s="3535"/>
      <c r="W89" s="3535"/>
      <c r="X89" s="3535"/>
      <c r="Y89" s="3770"/>
      <c r="Z89" s="3771"/>
      <c r="AA89" s="3539"/>
      <c r="AB89" s="3535"/>
      <c r="AC89" s="3535"/>
      <c r="AD89" s="3772"/>
      <c r="AE89" s="3539"/>
      <c r="AF89" s="3535"/>
      <c r="AG89" s="3535"/>
      <c r="AH89" s="3772"/>
      <c r="AI89" s="3539"/>
      <c r="AJ89" s="3535"/>
      <c r="AK89" s="3535"/>
      <c r="AL89" s="3772"/>
      <c r="AM89" s="3539"/>
      <c r="AN89" s="3535"/>
      <c r="AO89" s="3535"/>
      <c r="AP89" s="3535"/>
      <c r="AQ89" s="3539"/>
      <c r="AR89" s="3535"/>
      <c r="AS89" s="3535"/>
      <c r="AT89" s="3772"/>
      <c r="AU89" s="3539"/>
      <c r="AV89" s="3535"/>
      <c r="AW89" s="3535"/>
      <c r="AX89" s="3772"/>
      <c r="AY89" s="3539"/>
      <c r="AZ89" s="3535"/>
      <c r="BA89" s="3535"/>
      <c r="BB89" s="3535"/>
      <c r="BC89" s="3539"/>
      <c r="BD89" s="3535"/>
      <c r="BE89" s="3535"/>
      <c r="BF89" s="3772"/>
      <c r="BG89" s="3535"/>
      <c r="BH89" s="3535"/>
      <c r="BI89" s="3535"/>
      <c r="BJ89" s="3772"/>
      <c r="BK89" s="3535"/>
      <c r="BL89" s="3541"/>
      <c r="BM89" s="3541"/>
      <c r="BN89" s="3541"/>
      <c r="BO89" s="3540"/>
      <c r="BP89" s="3541"/>
      <c r="BQ89" s="3541"/>
      <c r="BR89" s="3772"/>
      <c r="BS89" s="3535"/>
      <c r="BT89" s="3541"/>
      <c r="BU89" s="3535"/>
      <c r="BV89" s="3772"/>
      <c r="BW89" s="3535"/>
      <c r="BX89" s="3541"/>
      <c r="BY89" s="3541"/>
      <c r="BZ89" s="3772"/>
      <c r="CA89" s="3535"/>
      <c r="CB89" s="3541"/>
      <c r="CC89" s="3541"/>
      <c r="CD89" s="3772"/>
      <c r="CE89" s="3535"/>
      <c r="CF89" s="3535"/>
      <c r="CG89" s="3535"/>
      <c r="CH89" s="3772"/>
      <c r="CI89" s="3773"/>
      <c r="CJ89"/>
      <c r="CK89"/>
      <c r="CL89"/>
      <c r="CM89"/>
      <c r="CN89"/>
      <c r="CO89"/>
    </row>
    <row r="90" spans="1:93">
      <c r="A90" s="404" t="s">
        <v>1103</v>
      </c>
      <c r="B90" s="404"/>
      <c r="C90" s="404"/>
      <c r="D90" s="413"/>
      <c r="E90" s="413"/>
      <c r="F90" s="413"/>
      <c r="G90" s="413"/>
      <c r="H90" s="413"/>
      <c r="I90" s="413"/>
      <c r="J90" s="413"/>
      <c r="K90" s="413"/>
      <c r="L90" s="413"/>
      <c r="M90" s="413"/>
      <c r="N90" s="413"/>
      <c r="O90" s="413"/>
      <c r="P90" s="413"/>
      <c r="Q90" s="413"/>
      <c r="R90" s="413"/>
      <c r="S90" s="413"/>
      <c r="T90" s="413"/>
      <c r="U90" s="413"/>
      <c r="V90" s="413"/>
      <c r="W90" s="413"/>
      <c r="X90" s="413"/>
      <c r="Y90" s="2540"/>
      <c r="Z90" s="679"/>
      <c r="AA90" s="490"/>
      <c r="AB90" s="413"/>
      <c r="AC90" s="413"/>
      <c r="AD90" s="414"/>
      <c r="AE90" s="490"/>
      <c r="AF90" s="413"/>
      <c r="AG90" s="413"/>
      <c r="AH90" s="414"/>
      <c r="AI90" s="490"/>
      <c r="AJ90" s="413"/>
      <c r="AK90" s="413"/>
      <c r="AL90" s="414"/>
      <c r="AM90" s="490"/>
      <c r="AN90" s="413"/>
      <c r="AO90" s="413"/>
      <c r="AP90" s="413"/>
      <c r="AQ90" s="490"/>
      <c r="AR90" s="413"/>
      <c r="AS90" s="413"/>
      <c r="AT90" s="414"/>
      <c r="AU90" s="490"/>
      <c r="AV90" s="413"/>
      <c r="AW90" s="413"/>
      <c r="AX90" s="414"/>
      <c r="AY90" s="490"/>
      <c r="AZ90" s="413"/>
      <c r="BA90" s="413"/>
      <c r="BB90" s="413"/>
      <c r="BC90" s="490"/>
      <c r="BD90" s="413"/>
      <c r="BE90" s="413"/>
      <c r="BF90" s="414"/>
      <c r="BG90" s="413"/>
      <c r="BH90" s="413"/>
      <c r="BI90" s="413"/>
      <c r="BJ90" s="414"/>
      <c r="BK90" s="413"/>
      <c r="BL90" s="451"/>
      <c r="BM90" s="451"/>
      <c r="BN90" s="451"/>
      <c r="BO90" s="489"/>
      <c r="BP90" s="451"/>
      <c r="BQ90" s="451"/>
      <c r="BR90" s="414"/>
      <c r="BS90" s="413"/>
      <c r="BT90" s="451"/>
      <c r="BU90" s="413"/>
      <c r="BV90" s="414"/>
      <c r="BW90" s="413"/>
      <c r="BX90" s="451"/>
      <c r="BY90" s="451"/>
      <c r="BZ90" s="414"/>
      <c r="CA90" s="413"/>
      <c r="CB90" s="451"/>
      <c r="CC90" s="451"/>
      <c r="CD90" s="414"/>
      <c r="CE90" s="413"/>
      <c r="CF90" s="413"/>
      <c r="CG90" s="413"/>
      <c r="CH90" s="414"/>
      <c r="CI90" s="632"/>
    </row>
    <row r="91" spans="1:93">
      <c r="A91" s="399" t="s">
        <v>1104</v>
      </c>
      <c r="B91" s="399"/>
      <c r="C91" s="399"/>
      <c r="D91" s="413"/>
      <c r="E91" s="413">
        <f>IS!E81</f>
        <v>-207.36099999999999</v>
      </c>
      <c r="F91" s="413">
        <f>IS!F81</f>
        <v>-212.80200000000002</v>
      </c>
      <c r="G91" s="413">
        <f>IS!G81</f>
        <v>-612.31150290590222</v>
      </c>
      <c r="H91" s="413">
        <f>IS!H81</f>
        <v>-517.27300000000002</v>
      </c>
      <c r="I91" s="413">
        <f>IS!I81</f>
        <v>-1041.403</v>
      </c>
      <c r="J91" s="413">
        <f>IS!J81</f>
        <v>-1042.924</v>
      </c>
      <c r="K91" s="413">
        <f>IS!K81</f>
        <v>-1153</v>
      </c>
      <c r="L91" s="413">
        <f>IS!L81</f>
        <v>-1041</v>
      </c>
      <c r="M91" s="413">
        <f>IS!M81</f>
        <v>-1040</v>
      </c>
      <c r="N91" s="413">
        <f>IS!N81</f>
        <v>-1055</v>
      </c>
      <c r="O91" s="413">
        <f>IS!O81</f>
        <v>-338</v>
      </c>
      <c r="P91" s="413">
        <f>IS!P81</f>
        <v>-438</v>
      </c>
      <c r="Q91" s="413">
        <f>IS!Q81</f>
        <v>-394</v>
      </c>
      <c r="R91" s="413">
        <f>IS!R81</f>
        <v>849</v>
      </c>
      <c r="S91" s="413">
        <f>IS!S81</f>
        <v>-201.08795087416402</v>
      </c>
      <c r="T91" s="413">
        <f>IS!T81</f>
        <v>-340.14831797453553</v>
      </c>
      <c r="U91" s="413">
        <f>IS!U81</f>
        <v>-448.23336430457613</v>
      </c>
      <c r="V91" s="413">
        <f>IS!V81</f>
        <v>-500.87827537596058</v>
      </c>
      <c r="W91" s="413">
        <f>IS!W81</f>
        <v>-560.31997222838072</v>
      </c>
      <c r="X91" s="413">
        <f>IS!X81</f>
        <v>-621.37009139137865</v>
      </c>
      <c r="Y91" s="2540"/>
      <c r="Z91" s="679">
        <f>IS!AD81</f>
        <v>-51.305</v>
      </c>
      <c r="AA91" s="490">
        <f>IS!AE81</f>
        <v>-52.097999999999999</v>
      </c>
      <c r="AB91" s="413">
        <f>IS!AF81</f>
        <v>-51.853000000000002</v>
      </c>
      <c r="AC91" s="413">
        <f>IS!AG81</f>
        <v>-50.459000000000003</v>
      </c>
      <c r="AD91" s="414">
        <f>IS!AH81</f>
        <v>-52.951000000000001</v>
      </c>
      <c r="AE91" s="490">
        <f>IS!AI81</f>
        <v>-49.862000000000002</v>
      </c>
      <c r="AF91" s="413">
        <f>IS!AJ81</f>
        <v>-53.061</v>
      </c>
      <c r="AG91" s="413">
        <f>IS!AK81</f>
        <v>-61.698999999999998</v>
      </c>
      <c r="AH91" s="414">
        <f>IS!AL81</f>
        <v>-48.18</v>
      </c>
      <c r="AI91" s="490">
        <f>IS!AM81</f>
        <v>-158.61064435946008</v>
      </c>
      <c r="AJ91" s="413">
        <f>IS!AN81</f>
        <v>-168.75885854644207</v>
      </c>
      <c r="AK91" s="413">
        <f>IS!AO81</f>
        <v>-143.678</v>
      </c>
      <c r="AL91" s="414">
        <f>IS!AP81</f>
        <v>-141.26400000000001</v>
      </c>
      <c r="AM91" s="490">
        <f>IS!AQ81</f>
        <v>-128.292</v>
      </c>
      <c r="AN91" s="413">
        <f>IS!AR81</f>
        <v>-139.64400000000001</v>
      </c>
      <c r="AO91" s="413">
        <f>IS!AS81</f>
        <v>-145.16</v>
      </c>
      <c r="AP91" s="413">
        <f>IS!AT81</f>
        <v>-104.17700000000001</v>
      </c>
      <c r="AQ91" s="490">
        <f>IS!AU81</f>
        <v>-263.41500000000002</v>
      </c>
      <c r="AR91" s="413">
        <f>IS!AV81</f>
        <v>-272</v>
      </c>
      <c r="AS91" s="413">
        <f>IS!AW81</f>
        <v>-207.23</v>
      </c>
      <c r="AT91" s="414">
        <f>IS!AX81</f>
        <v>-298.75799999999998</v>
      </c>
      <c r="AU91" s="490">
        <f>IS!AY81</f>
        <v>-268.08800000000002</v>
      </c>
      <c r="AV91" s="413">
        <f>IS!AZ81</f>
        <v>-269.98</v>
      </c>
      <c r="AW91" s="413">
        <f>IS!BA81</f>
        <v>-248.905</v>
      </c>
      <c r="AX91" s="414">
        <f>IS!BB81</f>
        <v>-255.95099999999999</v>
      </c>
      <c r="AY91" s="490">
        <f>IS!BC81</f>
        <v>-288</v>
      </c>
      <c r="AZ91" s="413">
        <f>IS!BD81</f>
        <v>-297</v>
      </c>
      <c r="BA91" s="413">
        <f>IS!BE81</f>
        <v>-303</v>
      </c>
      <c r="BB91" s="413">
        <f>IS!BF81</f>
        <v>-265</v>
      </c>
      <c r="BC91" s="490">
        <f>IS!BG81</f>
        <v>-310</v>
      </c>
      <c r="BD91" s="413">
        <f>IS!BH81</f>
        <v>-273</v>
      </c>
      <c r="BE91" s="413">
        <f>IS!BI81</f>
        <v>-240</v>
      </c>
      <c r="BF91" s="414">
        <f>IS!BJ81</f>
        <v>-218</v>
      </c>
      <c r="BG91" s="413">
        <f>IS!BK81</f>
        <v>-268</v>
      </c>
      <c r="BH91" s="413">
        <f>IS!BL81</f>
        <v>-254</v>
      </c>
      <c r="BI91" s="413">
        <f>IS!BM81</f>
        <v>-265</v>
      </c>
      <c r="BJ91" s="414">
        <f>IS!BN81</f>
        <v>-253</v>
      </c>
      <c r="BK91" s="413">
        <f>IS!BO81</f>
        <v>-308</v>
      </c>
      <c r="BL91" s="451">
        <f>IS!BP81</f>
        <v>-273</v>
      </c>
      <c r="BM91" s="451">
        <f>IS!BQ81</f>
        <v>-243</v>
      </c>
      <c r="BN91" s="451">
        <f>IS!BR81</f>
        <v>-231</v>
      </c>
      <c r="BO91" s="489">
        <f>IS!BS81</f>
        <v>-128</v>
      </c>
      <c r="BP91" s="451">
        <f>IS!BT81</f>
        <v>-130</v>
      </c>
      <c r="BQ91" s="451">
        <f>IS!BU81</f>
        <v>-111</v>
      </c>
      <c r="BR91" s="414">
        <f>IS!BV81</f>
        <v>31</v>
      </c>
      <c r="BS91" s="413">
        <f>IS!BW81</f>
        <v>-131</v>
      </c>
      <c r="BT91" s="451">
        <f>IS!BX81</f>
        <v>-91</v>
      </c>
      <c r="BU91" s="413">
        <f>IS!BY81</f>
        <v>-107</v>
      </c>
      <c r="BV91" s="414">
        <f>IS!BZ81</f>
        <v>-109</v>
      </c>
      <c r="BW91" s="413">
        <f>IS!CA81</f>
        <v>-144</v>
      </c>
      <c r="BX91" s="451">
        <f>IS!CB81</f>
        <v>-121</v>
      </c>
      <c r="BY91" s="451">
        <f>IS!CC81</f>
        <v>-97</v>
      </c>
      <c r="BZ91" s="414">
        <f>IS!CD81</f>
        <v>-32</v>
      </c>
      <c r="CA91" s="413">
        <f>IS!CE81</f>
        <v>-144</v>
      </c>
      <c r="CB91" s="451">
        <f>IS!CF81</f>
        <v>-23</v>
      </c>
      <c r="CC91" s="451">
        <f>IS!CG81</f>
        <v>-47</v>
      </c>
      <c r="CD91" s="414">
        <f>IS!CH81</f>
        <v>1063</v>
      </c>
      <c r="CE91" s="413">
        <f>IS!CI81</f>
        <v>-29.420060781250157</v>
      </c>
      <c r="CF91" s="413">
        <f>IS!CJ81</f>
        <v>-44.653688254937407</v>
      </c>
      <c r="CG91" s="413">
        <f>IS!CK81</f>
        <v>-55.166352248111963</v>
      </c>
      <c r="CH91" s="414">
        <f>IS!CL81</f>
        <v>-71.847849589864495</v>
      </c>
      <c r="CI91" s="632"/>
    </row>
    <row r="92" spans="1:93">
      <c r="A92" s="399" t="s">
        <v>1105</v>
      </c>
      <c r="B92" s="399"/>
      <c r="C92" s="399"/>
      <c r="D92" s="413"/>
      <c r="E92" s="413">
        <f t="shared" ref="E92:R92" si="163">+E16</f>
        <v>74.373999999999995</v>
      </c>
      <c r="F92" s="413">
        <f t="shared" si="163"/>
        <v>69.53</v>
      </c>
      <c r="G92" s="413">
        <f t="shared" si="163"/>
        <v>49.685000000000002</v>
      </c>
      <c r="H92" s="413">
        <f t="shared" si="163"/>
        <v>-41.981999999999999</v>
      </c>
      <c r="I92" s="413">
        <f t="shared" si="163"/>
        <v>520.51800000000003</v>
      </c>
      <c r="J92" s="413">
        <f t="shared" si="163"/>
        <v>461.94999999999993</v>
      </c>
      <c r="K92" s="413">
        <f t="shared" si="163"/>
        <v>639.76800000000003</v>
      </c>
      <c r="L92" s="413">
        <f t="shared" si="163"/>
        <v>2269.3409999999999</v>
      </c>
      <c r="M92" s="413">
        <f t="shared" si="163"/>
        <v>394</v>
      </c>
      <c r="N92" s="413">
        <f t="shared" si="163"/>
        <v>391</v>
      </c>
      <c r="O92" s="413">
        <f t="shared" si="163"/>
        <v>291</v>
      </c>
      <c r="P92" s="413">
        <f t="shared" si="163"/>
        <v>350</v>
      </c>
      <c r="Q92" s="413">
        <f t="shared" si="163"/>
        <v>6</v>
      </c>
      <c r="R92" s="413">
        <f t="shared" si="163"/>
        <v>-931</v>
      </c>
      <c r="S92" s="413">
        <f>+S16</f>
        <v>601.08795087416411</v>
      </c>
      <c r="T92" s="413">
        <f>+T93-T91</f>
        <v>240.14831797453553</v>
      </c>
      <c r="U92" s="413">
        <f>+U93-U91</f>
        <v>348.23336430457613</v>
      </c>
      <c r="V92" s="413">
        <f>+V93-V91</f>
        <v>400.87827537596058</v>
      </c>
      <c r="W92" s="413">
        <f>+W93-W91</f>
        <v>460.31997222838072</v>
      </c>
      <c r="X92" s="413">
        <f>+X93-X91</f>
        <v>117.37563727734988</v>
      </c>
      <c r="Y92" s="2540"/>
      <c r="Z92" s="679">
        <f t="shared" ref="Z92:BE92" si="164">+Z16</f>
        <v>60.683999999999997</v>
      </c>
      <c r="AA92" s="490">
        <f t="shared" si="164"/>
        <v>26.672999999999998</v>
      </c>
      <c r="AB92" s="413">
        <f t="shared" si="164"/>
        <v>30.364999999999998</v>
      </c>
      <c r="AC92" s="413">
        <f t="shared" si="164"/>
        <v>18.37</v>
      </c>
      <c r="AD92" s="414">
        <f t="shared" si="164"/>
        <v>-1.034</v>
      </c>
      <c r="AE92" s="490">
        <f t="shared" si="164"/>
        <v>22.140999999999998</v>
      </c>
      <c r="AF92" s="413">
        <f t="shared" si="164"/>
        <v>3.806</v>
      </c>
      <c r="AG92" s="413">
        <f t="shared" si="164"/>
        <v>7.4710000000000001</v>
      </c>
      <c r="AH92" s="414">
        <f t="shared" si="164"/>
        <v>36.112000000000002</v>
      </c>
      <c r="AI92" s="490">
        <f t="shared" si="164"/>
        <v>9.5220000000000002</v>
      </c>
      <c r="AJ92" s="413">
        <f t="shared" si="164"/>
        <v>12.83</v>
      </c>
      <c r="AK92" s="413">
        <f t="shared" si="164"/>
        <v>11.361000000000001</v>
      </c>
      <c r="AL92" s="414">
        <f t="shared" si="164"/>
        <v>15.972</v>
      </c>
      <c r="AM92" s="490">
        <f t="shared" si="164"/>
        <v>-22.629000000000001</v>
      </c>
      <c r="AN92" s="413">
        <f t="shared" si="164"/>
        <v>0.63400000000000001</v>
      </c>
      <c r="AO92" s="413">
        <f t="shared" si="164"/>
        <v>47.106000000000002</v>
      </c>
      <c r="AP92" s="413">
        <f t="shared" si="164"/>
        <v>-67.093000000000004</v>
      </c>
      <c r="AQ92" s="490">
        <f t="shared" si="164"/>
        <v>86.356999999999999</v>
      </c>
      <c r="AR92" s="413">
        <f t="shared" si="164"/>
        <v>124.068</v>
      </c>
      <c r="AS92" s="413">
        <f t="shared" si="164"/>
        <v>144.53200000000001</v>
      </c>
      <c r="AT92" s="414">
        <f t="shared" si="164"/>
        <v>165.56100000000001</v>
      </c>
      <c r="AU92" s="490">
        <f t="shared" si="164"/>
        <v>194.249</v>
      </c>
      <c r="AV92" s="413">
        <f t="shared" si="164"/>
        <v>2.5819999999999999</v>
      </c>
      <c r="AW92" s="413">
        <f t="shared" si="164"/>
        <v>76.406000000000006</v>
      </c>
      <c r="AX92" s="414">
        <f t="shared" si="164"/>
        <v>188.71299999999999</v>
      </c>
      <c r="AY92" s="490">
        <f t="shared" si="164"/>
        <v>189.631</v>
      </c>
      <c r="AZ92" s="413">
        <f t="shared" si="164"/>
        <v>95.902000000000001</v>
      </c>
      <c r="BA92" s="413">
        <f t="shared" si="164"/>
        <v>155.34200000000001</v>
      </c>
      <c r="BB92" s="413">
        <f t="shared" si="164"/>
        <v>198.893</v>
      </c>
      <c r="BC92" s="490">
        <f t="shared" si="164"/>
        <v>28.341000000000008</v>
      </c>
      <c r="BD92" s="413">
        <f t="shared" si="164"/>
        <v>1543</v>
      </c>
      <c r="BE92" s="413">
        <f t="shared" si="164"/>
        <v>444</v>
      </c>
      <c r="BF92" s="414">
        <f t="shared" ref="BF92:CC92" si="165">+BF16</f>
        <v>254</v>
      </c>
      <c r="BG92" s="413">
        <f t="shared" si="165"/>
        <v>115</v>
      </c>
      <c r="BH92" s="413">
        <f t="shared" si="165"/>
        <v>22</v>
      </c>
      <c r="BI92" s="413">
        <f t="shared" si="165"/>
        <v>123</v>
      </c>
      <c r="BJ92" s="414">
        <f t="shared" si="165"/>
        <v>134</v>
      </c>
      <c r="BK92" s="413">
        <f t="shared" si="165"/>
        <v>166</v>
      </c>
      <c r="BL92" s="451">
        <f t="shared" si="165"/>
        <v>141</v>
      </c>
      <c r="BM92" s="451">
        <f t="shared" si="165"/>
        <v>42</v>
      </c>
      <c r="BN92" s="451">
        <f t="shared" si="165"/>
        <v>42</v>
      </c>
      <c r="BO92" s="489">
        <f t="shared" si="165"/>
        <v>106</v>
      </c>
      <c r="BP92" s="451">
        <f t="shared" si="165"/>
        <v>102</v>
      </c>
      <c r="BQ92" s="451">
        <f t="shared" si="165"/>
        <v>93</v>
      </c>
      <c r="BR92" s="414">
        <f t="shared" si="165"/>
        <v>-10</v>
      </c>
      <c r="BS92" s="413">
        <f t="shared" si="165"/>
        <v>37</v>
      </c>
      <c r="BT92" s="451">
        <f t="shared" si="165"/>
        <v>16</v>
      </c>
      <c r="BU92" s="413">
        <f t="shared" si="165"/>
        <v>40</v>
      </c>
      <c r="BV92" s="414">
        <f t="shared" si="165"/>
        <v>257</v>
      </c>
      <c r="BW92" s="413">
        <f t="shared" si="165"/>
        <v>11</v>
      </c>
      <c r="BX92" s="451">
        <f t="shared" si="165"/>
        <v>10</v>
      </c>
      <c r="BY92" s="451">
        <f t="shared" si="165"/>
        <v>11</v>
      </c>
      <c r="BZ92" s="414">
        <f t="shared" si="165"/>
        <v>-26</v>
      </c>
      <c r="CA92" s="413">
        <f t="shared" si="165"/>
        <v>-37</v>
      </c>
      <c r="CB92" s="451">
        <f t="shared" si="165"/>
        <v>-89</v>
      </c>
      <c r="CC92" s="451">
        <f t="shared" si="165"/>
        <v>-117</v>
      </c>
      <c r="CD92" s="414">
        <f t="shared" ref="CD92" si="166">+CD16</f>
        <v>-688</v>
      </c>
      <c r="CE92" s="413">
        <f>+CE91-CE93</f>
        <v>-4.4200607812501573</v>
      </c>
      <c r="CF92" s="413">
        <f>+CF91-CF93</f>
        <v>-19.653688254937407</v>
      </c>
      <c r="CG92" s="413">
        <f>+CG91-CG93</f>
        <v>-30.166352248111963</v>
      </c>
      <c r="CH92" s="414">
        <f>+CH91-CH93</f>
        <v>-46.847849589864495</v>
      </c>
      <c r="CI92" s="632"/>
    </row>
    <row r="93" spans="1:93">
      <c r="A93" s="399" t="s">
        <v>1106</v>
      </c>
      <c r="B93" s="399"/>
      <c r="C93" s="399"/>
      <c r="D93" s="413"/>
      <c r="E93" s="413">
        <f>+E91-E92</f>
        <v>-281.73500000000001</v>
      </c>
      <c r="F93" s="413">
        <f>+F91-F92</f>
        <v>-282.33199999999999</v>
      </c>
      <c r="G93" s="413">
        <f>+G91-G92</f>
        <v>-661.99650290590216</v>
      </c>
      <c r="H93" s="413">
        <f>+H91-H92</f>
        <v>-475.29100000000005</v>
      </c>
      <c r="I93" s="413">
        <f>+I91+I92</f>
        <v>-520.88499999999999</v>
      </c>
      <c r="J93" s="413">
        <f>+J91+J92</f>
        <v>-580.97400000000005</v>
      </c>
      <c r="K93" s="413">
        <f>+K91+K92</f>
        <v>-513.23199999999997</v>
      </c>
      <c r="L93" s="413">
        <f>+SUM(BC93:BF93)</f>
        <v>1290.3019999999999</v>
      </c>
      <c r="M93" s="413">
        <f>+SUM(BG93:BJ93)</f>
        <v>-82</v>
      </c>
      <c r="N93" s="413">
        <f>+SUM(BK93:BN93)</f>
        <v>-48</v>
      </c>
      <c r="O93" s="413">
        <f>+SUM(BO93:BR93)</f>
        <v>-27</v>
      </c>
      <c r="P93" s="413">
        <f>SUM(BS93:BV93)</f>
        <v>-63</v>
      </c>
      <c r="Q93" s="413">
        <f>SUM(BW93:BZ93)</f>
        <v>-397</v>
      </c>
      <c r="R93" s="413">
        <f>SUM(CA93:CD93)</f>
        <v>-392</v>
      </c>
      <c r="S93" s="413">
        <f>SUM(CE93:CH93)</f>
        <v>-100</v>
      </c>
      <c r="T93" s="3142">
        <f>+IF(IS!T133&gt;0,-100,-IS!T139)</f>
        <v>-100</v>
      </c>
      <c r="U93" s="3142">
        <f>+IF(IS!U133&gt;0,-100,-IS!U139)</f>
        <v>-100</v>
      </c>
      <c r="V93" s="3142">
        <f>+IF(IS!V133&gt;0,-100,-IS!V139)</f>
        <v>-100</v>
      </c>
      <c r="W93" s="3142">
        <f>+IF(IS!W133&gt;0,-100,-IS!W139)</f>
        <v>-100</v>
      </c>
      <c r="X93" s="3142">
        <f>+IF(IS!X133&gt;0,-100,-IS!X139)</f>
        <v>-503.99445411402877</v>
      </c>
      <c r="Y93" s="2540"/>
      <c r="Z93" s="679">
        <f t="shared" ref="Z93:AT93" si="167">+Z91-Z92</f>
        <v>-111.989</v>
      </c>
      <c r="AA93" s="490">
        <f t="shared" si="167"/>
        <v>-78.771000000000001</v>
      </c>
      <c r="AB93" s="413">
        <f t="shared" si="167"/>
        <v>-82.218000000000004</v>
      </c>
      <c r="AC93" s="413">
        <f t="shared" si="167"/>
        <v>-68.829000000000008</v>
      </c>
      <c r="AD93" s="414">
        <f t="shared" si="167"/>
        <v>-51.917000000000002</v>
      </c>
      <c r="AE93" s="490">
        <f t="shared" si="167"/>
        <v>-72.003</v>
      </c>
      <c r="AF93" s="413">
        <f t="shared" si="167"/>
        <v>-56.866999999999997</v>
      </c>
      <c r="AG93" s="413">
        <f t="shared" si="167"/>
        <v>-69.17</v>
      </c>
      <c r="AH93" s="414">
        <f t="shared" si="167"/>
        <v>-84.292000000000002</v>
      </c>
      <c r="AI93" s="490">
        <f t="shared" si="167"/>
        <v>-168.13264435946007</v>
      </c>
      <c r="AJ93" s="413">
        <f t="shared" si="167"/>
        <v>-181.58885854644208</v>
      </c>
      <c r="AK93" s="413">
        <f t="shared" si="167"/>
        <v>-155.03899999999999</v>
      </c>
      <c r="AL93" s="414">
        <f t="shared" si="167"/>
        <v>-157.23600000000002</v>
      </c>
      <c r="AM93" s="490">
        <f t="shared" si="167"/>
        <v>-105.663</v>
      </c>
      <c r="AN93" s="413">
        <f t="shared" si="167"/>
        <v>-140.27799999999999</v>
      </c>
      <c r="AO93" s="413">
        <f t="shared" si="167"/>
        <v>-192.26599999999999</v>
      </c>
      <c r="AP93" s="413">
        <f t="shared" si="167"/>
        <v>-37.084000000000003</v>
      </c>
      <c r="AQ93" s="490">
        <f t="shared" si="167"/>
        <v>-349.77200000000005</v>
      </c>
      <c r="AR93" s="413">
        <f t="shared" si="167"/>
        <v>-396.06799999999998</v>
      </c>
      <c r="AS93" s="413">
        <f t="shared" si="167"/>
        <v>-351.762</v>
      </c>
      <c r="AT93" s="414">
        <f t="shared" si="167"/>
        <v>-464.31899999999996</v>
      </c>
      <c r="AU93" s="490">
        <f>+AU91+AU92</f>
        <v>-73.839000000000027</v>
      </c>
      <c r="AV93" s="413">
        <f t="shared" ref="AV93:BD93" si="168">+AV91+AV92</f>
        <v>-267.39800000000002</v>
      </c>
      <c r="AW93" s="413">
        <f t="shared" si="168"/>
        <v>-172.499</v>
      </c>
      <c r="AX93" s="413">
        <f t="shared" si="168"/>
        <v>-67.238</v>
      </c>
      <c r="AY93" s="490">
        <f t="shared" si="168"/>
        <v>-98.369</v>
      </c>
      <c r="AZ93" s="413">
        <f t="shared" si="168"/>
        <v>-201.09800000000001</v>
      </c>
      <c r="BA93" s="413">
        <f t="shared" si="168"/>
        <v>-147.65799999999999</v>
      </c>
      <c r="BB93" s="413">
        <f t="shared" si="168"/>
        <v>-66.106999999999999</v>
      </c>
      <c r="BC93" s="1915">
        <v>-4.6980000000000004</v>
      </c>
      <c r="BD93" s="1914">
        <f t="shared" si="168"/>
        <v>1270</v>
      </c>
      <c r="BE93" s="1914">
        <v>0</v>
      </c>
      <c r="BF93" s="571">
        <v>25</v>
      </c>
      <c r="BG93" s="573">
        <v>-1</v>
      </c>
      <c r="BH93" s="573">
        <v>-30</v>
      </c>
      <c r="BI93" s="573">
        <v>-28</v>
      </c>
      <c r="BJ93" s="1830">
        <v>-23</v>
      </c>
      <c r="BK93" s="622">
        <v>-8</v>
      </c>
      <c r="BL93" s="622">
        <v>-38</v>
      </c>
      <c r="BM93" s="622">
        <v>1</v>
      </c>
      <c r="BN93" s="622">
        <v>-3</v>
      </c>
      <c r="BO93" s="572">
        <v>-10</v>
      </c>
      <c r="BP93" s="622">
        <f>-23-BO93</f>
        <v>-13</v>
      </c>
      <c r="BQ93" s="622">
        <f>-21-BP93-BO93</f>
        <v>2</v>
      </c>
      <c r="BR93" s="574">
        <v>-6</v>
      </c>
      <c r="BS93" s="2864">
        <v>-5</v>
      </c>
      <c r="BT93" s="2855">
        <v>-36</v>
      </c>
      <c r="BU93" s="2864">
        <v>-13</v>
      </c>
      <c r="BV93" s="2995">
        <v>-9</v>
      </c>
      <c r="BW93" s="2864">
        <v>-11</v>
      </c>
      <c r="BX93" s="2855">
        <v>-10</v>
      </c>
      <c r="BY93" s="2855">
        <v>-323</v>
      </c>
      <c r="BZ93" s="2995">
        <v>-53</v>
      </c>
      <c r="CA93" s="2864">
        <v>5</v>
      </c>
      <c r="CB93" s="2855">
        <v>-265</v>
      </c>
      <c r="CC93" s="2855">
        <v>-118</v>
      </c>
      <c r="CD93" s="2995">
        <f>-392-CC93-CB93-CA93</f>
        <v>-14</v>
      </c>
      <c r="CE93" s="2864">
        <v>-25</v>
      </c>
      <c r="CF93" s="2864">
        <v>-25</v>
      </c>
      <c r="CG93" s="2864">
        <v>-25</v>
      </c>
      <c r="CH93" s="2995">
        <v>-25</v>
      </c>
      <c r="CI93" s="632"/>
    </row>
    <row r="94" spans="1:93">
      <c r="A94" s="399"/>
      <c r="B94" s="399"/>
      <c r="C94" s="399"/>
      <c r="D94" s="413"/>
      <c r="E94" s="413"/>
      <c r="F94" s="413"/>
      <c r="G94" s="413"/>
      <c r="H94" s="413"/>
      <c r="I94" s="413"/>
      <c r="J94" s="413"/>
      <c r="K94" s="413"/>
      <c r="L94" s="413"/>
      <c r="M94" s="413"/>
      <c r="N94" s="413"/>
      <c r="O94" s="413"/>
      <c r="P94" s="413"/>
      <c r="Q94" s="413"/>
      <c r="R94" s="413"/>
      <c r="S94" s="413"/>
      <c r="T94" s="413"/>
      <c r="U94" s="413"/>
      <c r="V94" s="413"/>
      <c r="W94" s="413"/>
      <c r="X94" s="413"/>
      <c r="Y94" s="2540"/>
      <c r="Z94" s="679"/>
      <c r="AA94" s="490"/>
      <c r="AB94" s="413"/>
      <c r="AC94" s="413"/>
      <c r="AD94" s="414"/>
      <c r="AE94" s="490"/>
      <c r="AF94" s="413"/>
      <c r="AG94" s="413"/>
      <c r="AH94" s="414"/>
      <c r="AI94" s="490"/>
      <c r="AJ94" s="413"/>
      <c r="AK94" s="413"/>
      <c r="AL94" s="414"/>
      <c r="AM94" s="490"/>
      <c r="AN94" s="413"/>
      <c r="AO94" s="413"/>
      <c r="AP94" s="413"/>
      <c r="AQ94" s="490"/>
      <c r="AR94" s="413"/>
      <c r="AS94" s="413"/>
      <c r="AT94" s="413"/>
      <c r="AU94" s="490"/>
      <c r="AV94" s="413"/>
      <c r="AW94" s="413"/>
      <c r="AX94" s="414"/>
      <c r="AY94" s="490"/>
      <c r="AZ94" s="413"/>
      <c r="BA94" s="413"/>
      <c r="BB94" s="413"/>
      <c r="BC94" s="490"/>
      <c r="BD94" s="413"/>
      <c r="BE94" s="413"/>
      <c r="BF94" s="414"/>
      <c r="BG94" s="413"/>
      <c r="BH94" s="413"/>
      <c r="BI94" s="413"/>
      <c r="BJ94" s="414"/>
      <c r="BK94" s="413"/>
      <c r="BL94" s="451"/>
      <c r="BM94" s="451"/>
      <c r="BN94" s="451"/>
      <c r="BO94" s="489"/>
      <c r="BP94" s="451"/>
      <c r="BQ94" s="451"/>
      <c r="BR94" s="414"/>
      <c r="BS94" s="413"/>
      <c r="BT94" s="451"/>
      <c r="BU94" s="413"/>
      <c r="BV94" s="414"/>
      <c r="BW94" s="413"/>
      <c r="BX94" s="451"/>
      <c r="BY94" s="451"/>
      <c r="BZ94" s="414"/>
      <c r="CA94" s="413"/>
      <c r="CB94" s="451"/>
      <c r="CC94" s="451"/>
      <c r="CD94" s="414"/>
      <c r="CE94" s="413"/>
      <c r="CF94" s="413"/>
      <c r="CG94" s="413"/>
      <c r="CH94" s="414"/>
      <c r="CI94" s="632"/>
    </row>
    <row r="95" spans="1:93">
      <c r="A95" s="404" t="s">
        <v>1107</v>
      </c>
      <c r="B95" s="404"/>
      <c r="C95" s="404"/>
      <c r="D95" s="413"/>
      <c r="E95" s="413"/>
      <c r="F95" s="413"/>
      <c r="G95" s="413"/>
      <c r="H95" s="413"/>
      <c r="I95" s="413"/>
      <c r="J95" s="413"/>
      <c r="K95" s="413"/>
      <c r="L95" s="413"/>
      <c r="M95" s="413"/>
      <c r="N95" s="413"/>
      <c r="O95" s="413"/>
      <c r="P95" s="413"/>
      <c r="Q95" s="413"/>
      <c r="R95" s="413"/>
      <c r="S95" s="413"/>
      <c r="T95" s="413"/>
      <c r="U95" s="413"/>
      <c r="V95" s="413"/>
      <c r="W95" s="413"/>
      <c r="X95" s="413"/>
      <c r="Y95" s="2540"/>
      <c r="Z95" s="679"/>
      <c r="AA95" s="490"/>
      <c r="AB95" s="413"/>
      <c r="AC95" s="413"/>
      <c r="AD95" s="414"/>
      <c r="AE95" s="490"/>
      <c r="AF95" s="413"/>
      <c r="AG95" s="413"/>
      <c r="AH95" s="414"/>
      <c r="AI95" s="490"/>
      <c r="AJ95" s="413"/>
      <c r="AK95" s="413"/>
      <c r="AL95" s="414"/>
      <c r="AM95" s="490"/>
      <c r="AN95" s="413"/>
      <c r="AO95" s="413"/>
      <c r="AP95" s="413"/>
      <c r="AQ95" s="490"/>
      <c r="AR95" s="413"/>
      <c r="AS95" s="413"/>
      <c r="AT95" s="413"/>
      <c r="AU95" s="490"/>
      <c r="AV95" s="413"/>
      <c r="AW95" s="413"/>
      <c r="AX95" s="414"/>
      <c r="AY95" s="490"/>
      <c r="AZ95" s="413"/>
      <c r="BA95" s="413"/>
      <c r="BB95" s="413"/>
      <c r="BC95" s="490"/>
      <c r="BD95" s="413"/>
      <c r="BE95" s="413"/>
      <c r="BF95" s="414"/>
      <c r="BG95" s="413"/>
      <c r="BH95" s="413"/>
      <c r="BI95" s="413"/>
      <c r="BJ95" s="414"/>
      <c r="BK95" s="413"/>
      <c r="BL95" s="451"/>
      <c r="BM95" s="451"/>
      <c r="BN95" s="451"/>
      <c r="BO95" s="489"/>
      <c r="BP95" s="451"/>
      <c r="BQ95" s="451"/>
      <c r="BR95" s="414"/>
      <c r="BS95" s="413"/>
      <c r="BT95" s="451"/>
      <c r="BU95" s="413"/>
      <c r="BV95" s="414"/>
      <c r="BW95" s="413"/>
      <c r="BX95" s="451"/>
      <c r="BY95" s="451"/>
      <c r="BZ95" s="414"/>
      <c r="CA95" s="413"/>
      <c r="CB95" s="451"/>
      <c r="CC95" s="451"/>
      <c r="CD95" s="414"/>
      <c r="CE95" s="413"/>
      <c r="CF95" s="413"/>
      <c r="CG95" s="413"/>
      <c r="CH95" s="414"/>
      <c r="CI95" s="632"/>
    </row>
    <row r="96" spans="1:93">
      <c r="A96" s="399" t="s">
        <v>1108</v>
      </c>
      <c r="B96" s="399"/>
      <c r="C96" s="399"/>
      <c r="D96" s="413">
        <f t="shared" ref="D96:R96" si="169">+D61</f>
        <v>0</v>
      </c>
      <c r="E96" s="413">
        <f t="shared" si="169"/>
        <v>570.5150000000001</v>
      </c>
      <c r="F96" s="413">
        <f t="shared" si="169"/>
        <v>549.86700000000008</v>
      </c>
      <c r="G96" s="413">
        <f t="shared" si="169"/>
        <v>1143.6777069824577</v>
      </c>
      <c r="H96" s="413">
        <f t="shared" si="169"/>
        <v>1498.9409999999998</v>
      </c>
      <c r="I96" s="413">
        <f t="shared" si="169"/>
        <v>2748.4829999999993</v>
      </c>
      <c r="J96" s="413">
        <f t="shared" si="169"/>
        <v>3802.5039999999981</v>
      </c>
      <c r="K96" s="413">
        <f t="shared" si="169"/>
        <v>3982.1410000000005</v>
      </c>
      <c r="L96" s="413">
        <f t="shared" ca="1" si="169"/>
        <v>4742.2089999999989</v>
      </c>
      <c r="M96" s="413">
        <f t="shared" si="169"/>
        <v>3146</v>
      </c>
      <c r="N96" s="413">
        <f t="shared" si="169"/>
        <v>2511</v>
      </c>
      <c r="O96" s="413">
        <f t="shared" si="169"/>
        <v>2141</v>
      </c>
      <c r="P96" s="413">
        <f t="shared" si="169"/>
        <v>2280</v>
      </c>
      <c r="Q96" s="413">
        <f t="shared" si="169"/>
        <v>1627</v>
      </c>
      <c r="R96" s="413">
        <f t="shared" si="169"/>
        <v>772</v>
      </c>
      <c r="S96" s="413">
        <f t="shared" ref="S96:X96" ca="1" si="170">+S61</f>
        <v>3273.7282088309903</v>
      </c>
      <c r="T96" s="413">
        <f t="shared" ca="1" si="170"/>
        <v>3119.9528497773581</v>
      </c>
      <c r="U96" s="413">
        <f t="shared" ca="1" si="170"/>
        <v>3347.3002793396067</v>
      </c>
      <c r="V96" s="413">
        <f t="shared" ca="1" si="170"/>
        <v>3529.778265858587</v>
      </c>
      <c r="W96" s="413">
        <f t="shared" ca="1" si="170"/>
        <v>3699.1384222263769</v>
      </c>
      <c r="X96" s="413">
        <f t="shared" ca="1" si="170"/>
        <v>3468.7891192804368</v>
      </c>
      <c r="Y96" s="2540"/>
      <c r="Z96" s="679">
        <f t="shared" ref="Z96:BE96" si="171">+Z61</f>
        <v>118.06199999999997</v>
      </c>
      <c r="AA96" s="490">
        <f t="shared" si="171"/>
        <v>221.69500000000005</v>
      </c>
      <c r="AB96" s="413">
        <f t="shared" si="171"/>
        <v>125.649</v>
      </c>
      <c r="AC96" s="413">
        <f t="shared" si="171"/>
        <v>134.85299999999995</v>
      </c>
      <c r="AD96" s="414">
        <f t="shared" si="171"/>
        <v>88.318000000000012</v>
      </c>
      <c r="AE96" s="490">
        <f t="shared" si="171"/>
        <v>181.916</v>
      </c>
      <c r="AF96" s="413">
        <f t="shared" si="171"/>
        <v>120.08300000000006</v>
      </c>
      <c r="AG96" s="413">
        <f t="shared" si="171"/>
        <v>149.41199999999998</v>
      </c>
      <c r="AH96" s="414">
        <f t="shared" si="171"/>
        <v>98.455999999999989</v>
      </c>
      <c r="AI96" s="490">
        <f t="shared" si="171"/>
        <v>362.14193485844118</v>
      </c>
      <c r="AJ96" s="413">
        <f t="shared" si="171"/>
        <v>106.7497721240166</v>
      </c>
      <c r="AK96" s="413">
        <f t="shared" si="171"/>
        <v>-37.38799999999992</v>
      </c>
      <c r="AL96" s="414">
        <f t="shared" si="171"/>
        <v>712.17399999999998</v>
      </c>
      <c r="AM96" s="490">
        <f t="shared" si="171"/>
        <v>506.83000000000004</v>
      </c>
      <c r="AN96" s="413">
        <f t="shared" si="171"/>
        <v>278.33900000000006</v>
      </c>
      <c r="AO96" s="413">
        <f t="shared" si="171"/>
        <v>480.96300000000014</v>
      </c>
      <c r="AP96" s="413">
        <f t="shared" si="171"/>
        <v>232.80899999999986</v>
      </c>
      <c r="AQ96" s="490">
        <f t="shared" si="171"/>
        <v>556.47099999999978</v>
      </c>
      <c r="AR96" s="413">
        <f t="shared" si="171"/>
        <v>590.11799999999982</v>
      </c>
      <c r="AS96" s="413">
        <f t="shared" si="171"/>
        <v>744.63999999999987</v>
      </c>
      <c r="AT96" s="413">
        <f t="shared" si="171"/>
        <v>857.25400000000002</v>
      </c>
      <c r="AU96" s="490">
        <f t="shared" si="171"/>
        <v>1114.8699999999994</v>
      </c>
      <c r="AV96" s="413">
        <f t="shared" si="171"/>
        <v>1070.3140000000001</v>
      </c>
      <c r="AW96" s="413">
        <f t="shared" si="171"/>
        <v>759.92899999999941</v>
      </c>
      <c r="AX96" s="414">
        <f t="shared" si="171"/>
        <v>857.39099999999996</v>
      </c>
      <c r="AY96" s="490">
        <f t="shared" si="171"/>
        <v>797.1640000000001</v>
      </c>
      <c r="AZ96" s="413">
        <f t="shared" si="171"/>
        <v>867.58300000000031</v>
      </c>
      <c r="BA96" s="413">
        <f t="shared" si="171"/>
        <v>1224.8340000000003</v>
      </c>
      <c r="BB96" s="413">
        <f t="shared" si="171"/>
        <v>1092.22</v>
      </c>
      <c r="BC96" s="490">
        <f t="shared" ca="1" si="171"/>
        <v>782.20900000000017</v>
      </c>
      <c r="BD96" s="413">
        <f t="shared" si="171"/>
        <v>1967</v>
      </c>
      <c r="BE96" s="413">
        <f t="shared" si="171"/>
        <v>1502</v>
      </c>
      <c r="BF96" s="414">
        <f t="shared" ref="BF96:CC96" si="172">+BF61</f>
        <v>491</v>
      </c>
      <c r="BG96" s="413">
        <f t="shared" si="172"/>
        <v>905</v>
      </c>
      <c r="BH96" s="413">
        <f t="shared" si="172"/>
        <v>589</v>
      </c>
      <c r="BI96" s="413">
        <f t="shared" si="172"/>
        <v>1168</v>
      </c>
      <c r="BJ96" s="414">
        <f t="shared" si="172"/>
        <v>484</v>
      </c>
      <c r="BK96" s="413">
        <f t="shared" si="172"/>
        <v>724</v>
      </c>
      <c r="BL96" s="451">
        <f t="shared" si="172"/>
        <v>722</v>
      </c>
      <c r="BM96" s="451">
        <f t="shared" si="172"/>
        <v>751</v>
      </c>
      <c r="BN96" s="451">
        <f t="shared" si="172"/>
        <v>314</v>
      </c>
      <c r="BO96" s="489">
        <f t="shared" si="172"/>
        <v>710</v>
      </c>
      <c r="BP96" s="451">
        <f t="shared" si="172"/>
        <v>398</v>
      </c>
      <c r="BQ96" s="451">
        <f t="shared" si="172"/>
        <v>716</v>
      </c>
      <c r="BR96" s="414">
        <f t="shared" si="172"/>
        <v>317</v>
      </c>
      <c r="BS96" s="413">
        <f t="shared" si="172"/>
        <v>720</v>
      </c>
      <c r="BT96" s="451">
        <f t="shared" si="172"/>
        <v>489</v>
      </c>
      <c r="BU96" s="413">
        <f t="shared" si="172"/>
        <v>708</v>
      </c>
      <c r="BV96" s="414">
        <f t="shared" si="172"/>
        <v>363</v>
      </c>
      <c r="BW96" s="413">
        <f t="shared" si="172"/>
        <v>812</v>
      </c>
      <c r="BX96" s="451">
        <f t="shared" si="172"/>
        <v>525</v>
      </c>
      <c r="BY96" s="451">
        <f t="shared" si="172"/>
        <v>165</v>
      </c>
      <c r="BZ96" s="414">
        <f t="shared" si="172"/>
        <v>125</v>
      </c>
      <c r="CA96" s="413">
        <f t="shared" si="172"/>
        <v>276</v>
      </c>
      <c r="CB96" s="451">
        <f t="shared" si="172"/>
        <v>-144</v>
      </c>
      <c r="CC96" s="451">
        <f t="shared" si="172"/>
        <v>205</v>
      </c>
      <c r="CD96" s="414">
        <f t="shared" ref="CD96" si="173">+CD61</f>
        <v>435</v>
      </c>
      <c r="CE96" s="413">
        <f ca="1">+CE61</f>
        <v>805.54640233615214</v>
      </c>
      <c r="CF96" s="413">
        <f ca="1">+CF61</f>
        <v>764.98274410496799</v>
      </c>
      <c r="CG96" s="413">
        <f ca="1">+CG61</f>
        <v>817.81926094792505</v>
      </c>
      <c r="CH96" s="414">
        <f ca="1">+CH61</f>
        <v>885.37980144194512</v>
      </c>
      <c r="CI96" s="632"/>
    </row>
    <row r="97" spans="1:93">
      <c r="A97" s="399" t="s">
        <v>1109</v>
      </c>
      <c r="B97" s="399"/>
      <c r="C97" s="399"/>
      <c r="D97" s="714"/>
      <c r="E97" s="714">
        <f>+E96/IS!E109</f>
        <v>4.1019087214496164</v>
      </c>
      <c r="F97" s="714">
        <f>+F96/IS!F109</f>
        <v>4.0405623618757893</v>
      </c>
      <c r="G97" s="714">
        <f>+G96/IS!G109</f>
        <v>3.482784689342485</v>
      </c>
      <c r="H97" s="714">
        <f>+H96/IS!H109</f>
        <v>4.6191906729969627</v>
      </c>
      <c r="I97" s="714">
        <f>+I96/IS!I109</f>
        <v>4.6358378219675638</v>
      </c>
      <c r="J97" s="714">
        <f>+J96/IS!J109</f>
        <v>6.5173494543714607</v>
      </c>
      <c r="K97" s="714">
        <f>+K96/IS!K109</f>
        <v>6.5860328917144368</v>
      </c>
      <c r="L97" s="714">
        <f ca="1">+L96/IS!L109</f>
        <v>7.6993317771367353</v>
      </c>
      <c r="M97" s="714">
        <f>+M96/IS!M109</f>
        <v>5.0555613585415049</v>
      </c>
      <c r="N97" s="714">
        <f>+N96/IS!N109</f>
        <v>4.1717113611018233</v>
      </c>
      <c r="O97" s="714">
        <f>+O96/IS!O109</f>
        <v>3.7602832594507634</v>
      </c>
      <c r="P97" s="714">
        <f>+P96/IS!P109</f>
        <v>4.1074161380019767</v>
      </c>
      <c r="Q97" s="714">
        <f>+Q96/IS!Q109</f>
        <v>3.0091471971421422</v>
      </c>
      <c r="R97" s="714">
        <f>+R96/IS!R109</f>
        <v>1.2279448108794002</v>
      </c>
      <c r="S97" s="714">
        <f ca="1">+S96/IS!S109</f>
        <v>3.0363043384561372</v>
      </c>
      <c r="T97" s="714">
        <f ca="1">+T96/IS!T109</f>
        <v>2.8444771530631381</v>
      </c>
      <c r="U97" s="714">
        <f ca="1">+U96/IS!U109</f>
        <v>3.0246544497674996</v>
      </c>
      <c r="V97" s="714">
        <f ca="1">+V96/IS!V109</f>
        <v>3.1627981502660543</v>
      </c>
      <c r="W97" s="714">
        <f ca="1">+W96/IS!W109</f>
        <v>3.288290190996304</v>
      </c>
      <c r="X97" s="714">
        <f ca="1">+X96/IS!X109</f>
        <v>3.0604325050247527</v>
      </c>
      <c r="Y97" s="2540"/>
      <c r="Z97" s="717">
        <f>+Z96/IS!AD109</f>
        <v>0.8122377093165648</v>
      </c>
      <c r="AA97" s="715">
        <f>+AA96/IS!AE109</f>
        <v>1.5465618394525176</v>
      </c>
      <c r="AB97" s="714">
        <f>+AB96/IS!AF109</f>
        <v>0.90467207626233892</v>
      </c>
      <c r="AC97" s="714">
        <f>+AC96/IS!AG109</f>
        <v>0.99348740579208294</v>
      </c>
      <c r="AD97" s="716">
        <f>+AD96/IS!AH109</f>
        <v>0.63828341813135991</v>
      </c>
      <c r="AE97" s="715">
        <f>+AE96/IS!AI109</f>
        <v>1.3262180230226945</v>
      </c>
      <c r="AF97" s="714">
        <f>+AF96/IS!AJ109</f>
        <v>0.88723632199194691</v>
      </c>
      <c r="AG97" s="714">
        <f>+AG96/IS!AK109</f>
        <v>1.0992966243856499</v>
      </c>
      <c r="AH97" s="716">
        <f>+AH96/IS!AL109</f>
        <v>0.72438326331511138</v>
      </c>
      <c r="AI97" s="715">
        <f>+AI96/IS!AM109</f>
        <v>1.0860163764014201</v>
      </c>
      <c r="AJ97" s="714">
        <f>+AJ96/IS!AN109</f>
        <v>0.32631618691925252</v>
      </c>
      <c r="AK97" s="714">
        <f>+AK96/IS!AO109</f>
        <v>-0.11446485811292773</v>
      </c>
      <c r="AL97" s="716">
        <f>+AL96/IS!AP109</f>
        <v>2.1826211411216296</v>
      </c>
      <c r="AM97" s="715">
        <f>+AM96/IS!AQ109</f>
        <v>1.5590164136132096</v>
      </c>
      <c r="AN97" s="714">
        <f>+AN96/IS!AR109</f>
        <v>0.85866550672059194</v>
      </c>
      <c r="AO97" s="714">
        <f>+AO96/IS!AS109</f>
        <v>1.4807071490100054</v>
      </c>
      <c r="AP97" s="714">
        <f>+AP96/IS!AT109</f>
        <v>0.71867272946166416</v>
      </c>
      <c r="AQ97" s="715">
        <f>+AQ96/IS!AU109</f>
        <v>0.90898554057130976</v>
      </c>
      <c r="AR97" s="714">
        <f>+AR96/IS!AV109</f>
        <v>0.98556435200013781</v>
      </c>
      <c r="AS97" s="714">
        <f>+AS96/IS!AW109</f>
        <v>1.2768894424454289</v>
      </c>
      <c r="AT97" s="714">
        <f>+AT96/IS!AX109</f>
        <v>1.484701567873564</v>
      </c>
      <c r="AU97" s="715">
        <f>+AU96/IS!AY109</f>
        <v>1.9231340439653353</v>
      </c>
      <c r="AV97" s="714">
        <f>+AV96/IS!AZ109</f>
        <v>1.8329482822262562</v>
      </c>
      <c r="AW97" s="714">
        <f>+AW96/IS!BA109</f>
        <v>1.3000725839486906</v>
      </c>
      <c r="AX97" s="716">
        <f>+AX96/IS!BB109</f>
        <v>1.4641247594766471</v>
      </c>
      <c r="AY97" s="715">
        <f>+AY96/IS!BC109</f>
        <v>1.322215956211644</v>
      </c>
      <c r="AZ97" s="714">
        <f>+AZ96/IS!BD109</f>
        <v>1.4285510353541211</v>
      </c>
      <c r="BA97" s="714">
        <f>+BA96/IS!BE109</f>
        <v>2.0331888103342259</v>
      </c>
      <c r="BB97" s="714">
        <f>+BB96/IS!BF109</f>
        <v>1.8026406997854432</v>
      </c>
      <c r="BC97" s="715">
        <f ca="1">+BC96/IS!BG109</f>
        <v>1.2737485751506272</v>
      </c>
      <c r="BD97" s="714">
        <f>+BD96/IS!BH109</f>
        <v>3.2008253475425894</v>
      </c>
      <c r="BE97" s="714">
        <f>+BE96/IS!BI109</f>
        <v>2.4360970546256651</v>
      </c>
      <c r="BF97" s="716">
        <f>+BF96/IS!BJ109</f>
        <v>0.79384326850010511</v>
      </c>
      <c r="BG97" s="714">
        <f>+BG96/IS!BK109</f>
        <v>1.4588538728137341</v>
      </c>
      <c r="BH97" s="714">
        <f>+BH96/IS!BL109</f>
        <v>0.94719051072705307</v>
      </c>
      <c r="BI97" s="714">
        <f>+BI96/IS!BM109</f>
        <v>1.8739090255673065</v>
      </c>
      <c r="BJ97" s="716">
        <f>+BJ96/IS!BN109</f>
        <v>0.77607134725344507</v>
      </c>
      <c r="BK97" s="714">
        <f>+BK96/IS!BO109</f>
        <v>1.1657226031036561</v>
      </c>
      <c r="BL97" s="2255">
        <f>+BL96/IS!BP109</f>
        <v>1.1922021393588529</v>
      </c>
      <c r="BM97" s="2255">
        <f>+BM96/IS!BQ109</f>
        <v>1.2630615872866375</v>
      </c>
      <c r="BN97" s="2255">
        <f>+BN96/IS!BR109</f>
        <v>0.53548710567514013</v>
      </c>
      <c r="BO97" s="2513">
        <f>+BO96/IS!BS109</f>
        <v>1.2338041483623421</v>
      </c>
      <c r="BP97" s="2255">
        <f>+BP96/IS!BT109</f>
        <v>0.69943342377933049</v>
      </c>
      <c r="BQ97" s="2255">
        <f>+BQ96/IS!BU109</f>
        <v>1.2650958981562463</v>
      </c>
      <c r="BR97" s="716">
        <f>+BR96/IS!BV109</f>
        <v>0.55904838325676554</v>
      </c>
      <c r="BS97" s="714">
        <f>+BS96/IS!BW109</f>
        <v>1.2777171453669445</v>
      </c>
      <c r="BT97" s="2255">
        <f>+BT96/IS!BX109</f>
        <v>0.87443224491255678</v>
      </c>
      <c r="BU97" s="714">
        <f>+BU96/IS!BY109</f>
        <v>1.2753172081360915</v>
      </c>
      <c r="BV97" s="716">
        <f>+BV96/IS!BZ109</f>
        <v>0.66913305793807476</v>
      </c>
      <c r="BW97" s="714">
        <f>+BW96/IS!CA109</f>
        <v>1.503183156943799</v>
      </c>
      <c r="BX97" s="2255">
        <f>+BX96/IS!CB109</f>
        <v>0.97150259067357514</v>
      </c>
      <c r="BY97" s="2255">
        <f>+BY96/IS!CC109</f>
        <v>0.30503755659371029</v>
      </c>
      <c r="BZ97" s="716">
        <f>+BZ96/IS!CD109</f>
        <v>0.2309532827699613</v>
      </c>
      <c r="CA97" s="714">
        <f>+CA96/IS!CE109</f>
        <v>0.50967458385808884</v>
      </c>
      <c r="CB97" s="2255">
        <f>+CB96/IS!CF109</f>
        <v>-0.2656086588422783</v>
      </c>
      <c r="CC97" s="2255">
        <f>+CC96/IS!CG109</f>
        <v>0.37825460409658962</v>
      </c>
      <c r="CD97" s="716">
        <f>+CD96/IS!CH109</f>
        <v>0.48923954180186363</v>
      </c>
      <c r="CE97" s="714">
        <f ca="1">+CE96/IS!CI109</f>
        <v>0.75002340658525124</v>
      </c>
      <c r="CF97" s="714">
        <f ca="1">+CF96/IS!CJ109</f>
        <v>0.71041826740906744</v>
      </c>
      <c r="CG97" s="714">
        <f ca="1">+CG96/IS!CK109</f>
        <v>0.75753191228064165</v>
      </c>
      <c r="CH97" s="716">
        <f ca="1">+CH96/IS!CL109</f>
        <v>0.81800733944120751</v>
      </c>
      <c r="CI97" s="632"/>
    </row>
    <row r="98" spans="1:93">
      <c r="A98" s="3661" t="s">
        <v>1147</v>
      </c>
      <c r="B98" s="368"/>
      <c r="C98" s="368"/>
      <c r="D98" s="373"/>
      <c r="E98" s="373"/>
      <c r="F98" s="373"/>
      <c r="G98" s="533"/>
      <c r="H98" s="399"/>
      <c r="I98" s="399"/>
      <c r="J98" s="399"/>
      <c r="K98" s="399"/>
      <c r="L98" s="399"/>
      <c r="M98" s="399"/>
      <c r="N98" s="399"/>
      <c r="O98" s="399"/>
      <c r="P98" s="399"/>
      <c r="Q98" s="399"/>
      <c r="R98" s="399"/>
      <c r="S98" s="2634"/>
      <c r="T98" s="399"/>
      <c r="U98" s="399"/>
      <c r="V98" s="399"/>
      <c r="W98" s="2634"/>
      <c r="X98" s="2634"/>
      <c r="Y98" s="2540"/>
      <c r="Z98" s="679"/>
      <c r="AA98" s="490"/>
      <c r="AB98" s="413"/>
      <c r="AC98" s="413"/>
      <c r="AD98" s="414"/>
      <c r="AE98" s="490"/>
      <c r="AF98" s="413"/>
      <c r="AG98" s="413"/>
      <c r="AH98" s="414"/>
      <c r="AI98" s="490"/>
      <c r="AJ98" s="413"/>
      <c r="AK98" s="413"/>
      <c r="AL98" s="414"/>
      <c r="AM98" s="490"/>
      <c r="AN98" s="413"/>
      <c r="AO98" s="413"/>
      <c r="AP98" s="413"/>
      <c r="AQ98" s="490"/>
      <c r="AR98" s="413"/>
      <c r="AS98" s="413"/>
      <c r="AT98" s="680"/>
      <c r="AU98" s="570"/>
      <c r="AV98" s="680"/>
      <c r="AW98" s="680"/>
      <c r="AX98" s="568"/>
      <c r="AY98" s="570"/>
      <c r="AZ98" s="680"/>
      <c r="BA98" s="680"/>
      <c r="BB98" s="680"/>
      <c r="BC98" s="570"/>
      <c r="BD98" s="680"/>
      <c r="BE98" s="680"/>
      <c r="BF98" s="568"/>
      <c r="BG98" s="680"/>
      <c r="BH98" s="680"/>
      <c r="BI98" s="680"/>
      <c r="BJ98" s="568"/>
      <c r="BK98" s="680"/>
      <c r="BL98" s="680"/>
      <c r="BM98" s="680"/>
      <c r="BN98" s="680"/>
      <c r="BO98" s="570"/>
      <c r="BP98" s="680"/>
      <c r="BQ98" s="680"/>
      <c r="BR98" s="568"/>
      <c r="BS98" s="680"/>
      <c r="BT98" s="680"/>
      <c r="BU98" s="680"/>
      <c r="BV98" s="568"/>
      <c r="BW98" s="680"/>
      <c r="BX98" s="680"/>
      <c r="BY98" s="680"/>
      <c r="BZ98" s="568"/>
      <c r="CA98" s="680"/>
      <c r="CB98" s="680"/>
      <c r="CC98" s="680"/>
      <c r="CD98" s="568"/>
      <c r="CE98" s="680"/>
      <c r="CF98" s="680"/>
      <c r="CG98" s="680"/>
      <c r="CH98" s="568"/>
      <c r="CI98" s="632"/>
    </row>
    <row r="99" spans="1:93">
      <c r="A99" s="3662">
        <f>+Valuation!E9</f>
        <v>18</v>
      </c>
      <c r="B99" s="718"/>
      <c r="C99" s="718"/>
      <c r="D99" s="413"/>
      <c r="E99" s="413"/>
      <c r="F99" s="413"/>
      <c r="G99" s="413"/>
      <c r="H99" s="413"/>
      <c r="I99" s="413"/>
      <c r="J99" s="413"/>
      <c r="K99" s="409"/>
      <c r="L99" s="409"/>
      <c r="M99" s="413"/>
      <c r="N99" s="413"/>
      <c r="O99" s="413"/>
      <c r="P99" s="413"/>
      <c r="Q99" s="413"/>
      <c r="R99" s="413"/>
      <c r="S99" s="413"/>
      <c r="T99" s="413"/>
      <c r="U99" s="413"/>
      <c r="V99" s="413"/>
      <c r="W99" s="413"/>
      <c r="X99" s="413"/>
      <c r="Y99" s="2540"/>
      <c r="Z99" s="679"/>
      <c r="AA99" s="490"/>
      <c r="AB99" s="413"/>
      <c r="AC99" s="413"/>
      <c r="AD99" s="414"/>
      <c r="AE99" s="490"/>
      <c r="AF99" s="413"/>
      <c r="AG99" s="413"/>
      <c r="AH99" s="414"/>
      <c r="AI99" s="490"/>
      <c r="AJ99" s="413"/>
      <c r="AK99" s="413"/>
      <c r="AL99" s="414"/>
      <c r="AM99" s="490"/>
      <c r="AN99" s="413"/>
      <c r="AO99" s="413"/>
      <c r="AP99" s="413"/>
      <c r="AQ99" s="490"/>
      <c r="AR99" s="413"/>
      <c r="AS99" s="413"/>
      <c r="AT99" s="680"/>
      <c r="AU99" s="570"/>
      <c r="AV99" s="680"/>
      <c r="AW99" s="680"/>
      <c r="AX99" s="680"/>
      <c r="AY99" s="570"/>
      <c r="AZ99" s="680"/>
      <c r="BA99" s="680"/>
      <c r="BB99" s="680"/>
      <c r="BC99" s="570"/>
      <c r="BD99" s="680"/>
      <c r="BE99" s="680"/>
      <c r="BF99" s="568"/>
      <c r="BG99" s="680"/>
      <c r="BH99" s="680"/>
      <c r="BI99" s="680"/>
      <c r="BJ99" s="568"/>
      <c r="BK99" s="680"/>
      <c r="BL99" s="680"/>
      <c r="BM99" s="680"/>
      <c r="BN99" s="680"/>
      <c r="BO99" s="570"/>
      <c r="BP99" s="680"/>
      <c r="BQ99" s="680"/>
      <c r="BR99" s="568"/>
      <c r="BS99" s="680"/>
      <c r="BT99" s="680"/>
      <c r="BU99" s="680"/>
      <c r="BV99" s="568"/>
      <c r="BW99" s="680"/>
      <c r="BX99" s="680"/>
      <c r="BY99" s="680"/>
      <c r="BZ99" s="568"/>
      <c r="CA99" s="680"/>
      <c r="CB99" s="680"/>
      <c r="CC99" s="680"/>
      <c r="CD99" s="568"/>
      <c r="CE99" s="680"/>
      <c r="CF99" s="680"/>
      <c r="CG99" s="680"/>
      <c r="CH99" s="568"/>
      <c r="CI99" s="632"/>
    </row>
    <row r="100" spans="1:93">
      <c r="A100" s="3652" t="s">
        <v>1110</v>
      </c>
      <c r="B100" s="3652"/>
      <c r="C100" s="3652"/>
      <c r="D100" s="3653">
        <f t="shared" ref="D100:O100" si="174">+D97/$A$99</f>
        <v>0</v>
      </c>
      <c r="E100" s="3653">
        <f t="shared" si="174"/>
        <v>0.22788381785831202</v>
      </c>
      <c r="F100" s="3653">
        <f t="shared" si="174"/>
        <v>0.22447568677087718</v>
      </c>
      <c r="G100" s="3653">
        <f t="shared" si="174"/>
        <v>0.19348803829680472</v>
      </c>
      <c r="H100" s="3653">
        <f t="shared" si="174"/>
        <v>0.25662170405538681</v>
      </c>
      <c r="I100" s="3653">
        <f t="shared" si="174"/>
        <v>0.25754654566486468</v>
      </c>
      <c r="J100" s="3653">
        <f t="shared" si="174"/>
        <v>0.36207496968730335</v>
      </c>
      <c r="K100" s="3653">
        <f t="shared" si="174"/>
        <v>0.3658907162063576</v>
      </c>
      <c r="L100" s="3653">
        <f t="shared" ca="1" si="174"/>
        <v>0.42774065428537417</v>
      </c>
      <c r="M100" s="3653">
        <f t="shared" si="174"/>
        <v>0.28086451991897249</v>
      </c>
      <c r="N100" s="3653">
        <f>+N97/$A$99</f>
        <v>0.23176174228343463</v>
      </c>
      <c r="O100" s="3653">
        <f t="shared" si="174"/>
        <v>0.20890462552504241</v>
      </c>
      <c r="P100" s="3653">
        <f t="shared" ref="P100:U100" si="175">+P97/$A$99</f>
        <v>0.22818978544455426</v>
      </c>
      <c r="Q100" s="3653">
        <f t="shared" si="175"/>
        <v>0.16717484428567456</v>
      </c>
      <c r="R100" s="3653">
        <f>+R97/$A$99</f>
        <v>6.8219156159966682E-2</v>
      </c>
      <c r="S100" s="3653">
        <f ca="1">+S97/$A$99</f>
        <v>0.16868357435867429</v>
      </c>
      <c r="T100" s="3653">
        <f t="shared" ca="1" si="175"/>
        <v>0.15802650850350766</v>
      </c>
      <c r="U100" s="3653">
        <f t="shared" ca="1" si="175"/>
        <v>0.16803635832041663</v>
      </c>
      <c r="V100" s="3653">
        <f ca="1">+V97/$A$99</f>
        <v>0.17571100834811412</v>
      </c>
      <c r="W100" s="3653">
        <f ca="1">+W97/$A$99</f>
        <v>0.18268278838868357</v>
      </c>
      <c r="X100" s="3653">
        <f ca="1">+X97/$A$99</f>
        <v>0.1700240280569307</v>
      </c>
      <c r="Y100" s="2540"/>
      <c r="Z100" s="3654"/>
      <c r="AA100" s="3653"/>
      <c r="AB100" s="3653"/>
      <c r="AC100" s="3653">
        <f t="shared" ref="AC100:BQ100" si="176">+SUM(Z97:AC97)/$A$99</f>
        <v>0.23649772393463911</v>
      </c>
      <c r="AD100" s="3655">
        <f t="shared" si="176"/>
        <v>0.22683359664657221</v>
      </c>
      <c r="AE100" s="3653">
        <f t="shared" si="176"/>
        <v>0.21459227351158205</v>
      </c>
      <c r="AF100" s="3653">
        <f t="shared" si="176"/>
        <v>0.21362362049656025</v>
      </c>
      <c r="AG100" s="3653">
        <f t="shared" si="176"/>
        <v>0.21950191041842507</v>
      </c>
      <c r="AH100" s="3655">
        <f t="shared" si="176"/>
        <v>0.22428523515085569</v>
      </c>
      <c r="AI100" s="3653">
        <f t="shared" si="176"/>
        <v>0.21094069922745157</v>
      </c>
      <c r="AJ100" s="3653">
        <f t="shared" si="176"/>
        <v>0.17977846950119075</v>
      </c>
      <c r="AK100" s="3653">
        <f t="shared" si="176"/>
        <v>0.11234727602904757</v>
      </c>
      <c r="AL100" s="3655">
        <f t="shared" si="176"/>
        <v>0.19336049146274303</v>
      </c>
      <c r="AM100" s="3653">
        <f t="shared" si="176"/>
        <v>0.21963827130784244</v>
      </c>
      <c r="AN100" s="3653">
        <f t="shared" si="176"/>
        <v>0.24921323351902794</v>
      </c>
      <c r="AO100" s="3653">
        <f t="shared" si="176"/>
        <v>0.3378339005814131</v>
      </c>
      <c r="AP100" s="3653">
        <f t="shared" si="176"/>
        <v>0.25650343326697062</v>
      </c>
      <c r="AQ100" s="3656">
        <f t="shared" si="176"/>
        <v>0.22039060698686508</v>
      </c>
      <c r="AR100" s="3653">
        <f t="shared" si="176"/>
        <v>0.22744054283572876</v>
      </c>
      <c r="AS100" s="3653">
        <f t="shared" si="176"/>
        <v>0.21611733691547447</v>
      </c>
      <c r="AT100" s="3653">
        <f t="shared" si="176"/>
        <v>0.25867449460502445</v>
      </c>
      <c r="AU100" s="3656">
        <f t="shared" si="176"/>
        <v>0.31501607812691479</v>
      </c>
      <c r="AV100" s="3653">
        <f t="shared" si="176"/>
        <v>0.36209296313947692</v>
      </c>
      <c r="AW100" s="3653">
        <f t="shared" si="176"/>
        <v>0.36338091544521361</v>
      </c>
      <c r="AX100" s="3653">
        <f t="shared" si="176"/>
        <v>0.36223775942316272</v>
      </c>
      <c r="AY100" s="3656">
        <f t="shared" si="176"/>
        <v>0.32885342121462435</v>
      </c>
      <c r="AZ100" s="3657">
        <f t="shared" si="176"/>
        <v>0.30638690749950576</v>
      </c>
      <c r="BA100" s="3657">
        <f t="shared" si="176"/>
        <v>0.34711558674314652</v>
      </c>
      <c r="BB100" s="3657">
        <f t="shared" si="176"/>
        <v>0.36592202787141298</v>
      </c>
      <c r="BC100" s="3656">
        <f t="shared" ca="1" si="176"/>
        <v>0.36322939559024536</v>
      </c>
      <c r="BD100" s="3657">
        <f t="shared" ca="1" si="176"/>
        <v>0.46168907960071592</v>
      </c>
      <c r="BE100" s="3657">
        <f t="shared" ca="1" si="176"/>
        <v>0.48407287095024032</v>
      </c>
      <c r="BF100" s="3658">
        <f t="shared" ca="1" si="176"/>
        <v>0.42802856921216592</v>
      </c>
      <c r="BG100" s="3657">
        <f t="shared" si="176"/>
        <v>0.43831219686011624</v>
      </c>
      <c r="BH100" s="3657">
        <f t="shared" si="176"/>
        <v>0.31311026148147536</v>
      </c>
      <c r="BI100" s="3657">
        <f t="shared" si="176"/>
        <v>0.28187759320045547</v>
      </c>
      <c r="BJ100" s="3658">
        <f t="shared" si="176"/>
        <v>0.28089026424230773</v>
      </c>
      <c r="BK100" s="3657">
        <f t="shared" si="176"/>
        <v>0.2646051937028589</v>
      </c>
      <c r="BL100" s="3657">
        <f t="shared" si="176"/>
        <v>0.27821695084907</v>
      </c>
      <c r="BM100" s="3657">
        <f t="shared" si="176"/>
        <v>0.24428098205569951</v>
      </c>
      <c r="BN100" s="3657">
        <f t="shared" si="176"/>
        <v>0.23091519085690482</v>
      </c>
      <c r="BO100" s="3659">
        <f t="shared" si="176"/>
        <v>0.23469749892683181</v>
      </c>
      <c r="BP100" s="3657">
        <f t="shared" si="176"/>
        <v>0.20732145917241387</v>
      </c>
      <c r="BQ100" s="3657">
        <f t="shared" si="176"/>
        <v>0.20743447644294771</v>
      </c>
      <c r="BR100" s="3658">
        <f t="shared" ref="BR100:BW100" si="177">+SUM(BO97:BR97)/$A$99</f>
        <v>0.20874343630859357</v>
      </c>
      <c r="BS100" s="3657">
        <f t="shared" si="177"/>
        <v>0.2111830472532937</v>
      </c>
      <c r="BT100" s="3657">
        <f t="shared" si="177"/>
        <v>0.22090520398291741</v>
      </c>
      <c r="BU100" s="3657">
        <f t="shared" si="177"/>
        <v>0.22147305453735322</v>
      </c>
      <c r="BV100" s="3658">
        <f t="shared" si="177"/>
        <v>0.22758886979742599</v>
      </c>
      <c r="BW100" s="3657">
        <f t="shared" si="177"/>
        <v>0.24011475932947343</v>
      </c>
      <c r="BX100" s="3657">
        <f t="shared" ref="BX100:CC100" si="178">+SUM(BU97:BX97)/$A$99</f>
        <v>0.2455075563161967</v>
      </c>
      <c r="BY100" s="3657">
        <f t="shared" si="178"/>
        <v>0.19160313123050882</v>
      </c>
      <c r="BZ100" s="3658">
        <f t="shared" si="178"/>
        <v>0.16725981038783588</v>
      </c>
      <c r="CA100" s="3657">
        <f t="shared" si="178"/>
        <v>0.11206488966085199</v>
      </c>
      <c r="CB100" s="3657">
        <f t="shared" si="178"/>
        <v>4.3336486909971224E-2</v>
      </c>
      <c r="CC100" s="3657">
        <f t="shared" si="178"/>
        <v>4.7404100660131197E-2</v>
      </c>
      <c r="CD100" s="3658">
        <f t="shared" ref="CD100" si="179">+SUM(CA97:CD97)/$A$99</f>
        <v>6.1753337273014651E-2</v>
      </c>
      <c r="CE100" s="3657">
        <f ca="1">+SUM(CB97:CE97)/$A$99</f>
        <v>7.5106049646745887E-2</v>
      </c>
      <c r="CF100" s="3657">
        <f ca="1">+SUM(CC97:CF97)/$A$99</f>
        <v>0.12932976777182068</v>
      </c>
      <c r="CG100" s="3657">
        <f ca="1">+SUM(CD97:CG97)/$A$99</f>
        <v>0.15040072933760135</v>
      </c>
      <c r="CH100" s="3658">
        <f ca="1">+SUM(CE97:CH97)/$A$99</f>
        <v>0.16866560698423155</v>
      </c>
      <c r="CI100" s="632"/>
    </row>
    <row r="101" spans="1:93" ht="12.75" customHeight="1">
      <c r="A101" s="584"/>
      <c r="B101" s="399"/>
      <c r="C101" s="399"/>
      <c r="D101" s="413"/>
      <c r="E101" s="413"/>
      <c r="F101" s="413"/>
      <c r="G101" s="413"/>
      <c r="H101" s="413"/>
      <c r="I101" s="1701"/>
      <c r="J101" s="1748"/>
      <c r="K101" s="1701"/>
      <c r="L101" s="1701"/>
      <c r="M101" s="1701"/>
      <c r="N101" s="1701"/>
      <c r="O101" s="1701"/>
      <c r="P101" s="1701"/>
      <c r="Q101" s="1701"/>
      <c r="R101" s="1701"/>
      <c r="S101" s="1701"/>
      <c r="T101" s="1748"/>
      <c r="U101" s="1748"/>
      <c r="V101" s="1748"/>
      <c r="W101" s="1748"/>
      <c r="X101" s="1748"/>
      <c r="Y101" s="2540"/>
      <c r="Z101" s="1988"/>
      <c r="AA101" s="413"/>
      <c r="AB101" s="413"/>
      <c r="AC101" s="413"/>
      <c r="AD101" s="1989"/>
      <c r="AE101" s="413"/>
      <c r="AF101" s="413"/>
      <c r="AG101" s="413"/>
      <c r="AH101" s="1989"/>
      <c r="AI101" s="413"/>
      <c r="AJ101" s="413"/>
      <c r="AK101" s="413"/>
      <c r="AL101" s="1989"/>
      <c r="AM101" s="413"/>
      <c r="AN101" s="413"/>
      <c r="AO101" s="413"/>
      <c r="AP101" s="719"/>
      <c r="AQ101" s="490"/>
      <c r="AR101" s="413"/>
      <c r="AS101" s="413"/>
      <c r="AT101" s="719"/>
      <c r="AU101" s="490"/>
      <c r="AV101" s="413"/>
      <c r="AW101" s="413"/>
      <c r="AX101" s="719"/>
      <c r="AY101" s="1725"/>
      <c r="AZ101" s="1701"/>
      <c r="BA101" s="1701"/>
      <c r="BB101" s="1701"/>
      <c r="BC101" s="1813"/>
      <c r="BD101" s="1701"/>
      <c r="BE101" s="1701"/>
      <c r="BF101" s="1702"/>
      <c r="BG101" s="1701"/>
      <c r="BH101" s="1701"/>
      <c r="BI101" s="1701"/>
      <c r="BJ101" s="1702"/>
      <c r="BK101" s="1701"/>
      <c r="BL101" s="1701"/>
      <c r="BM101" s="1701"/>
      <c r="BN101" s="1701"/>
      <c r="BO101" s="1725"/>
      <c r="BP101" s="1701"/>
      <c r="BQ101" s="1701"/>
      <c r="BR101" s="1702"/>
      <c r="BS101" s="1701"/>
      <c r="BT101" s="1701"/>
      <c r="BU101" s="1701"/>
      <c r="BV101" s="1702"/>
      <c r="BW101" s="1701"/>
      <c r="BX101" s="1701"/>
      <c r="BY101" s="1701"/>
      <c r="BZ101" s="1702"/>
      <c r="CA101" s="1701"/>
      <c r="CB101" s="1701"/>
      <c r="CC101" s="1701"/>
      <c r="CD101" s="1702"/>
      <c r="CE101" s="1701"/>
      <c r="CF101" s="1701"/>
      <c r="CG101" s="1701"/>
      <c r="CH101" s="1702"/>
      <c r="CI101" s="632"/>
    </row>
    <row r="102" spans="1:93" ht="12.75" hidden="1" customHeight="1">
      <c r="A102" s="1749" t="s">
        <v>497</v>
      </c>
      <c r="B102" s="720"/>
      <c r="C102" s="720"/>
      <c r="D102" s="709"/>
      <c r="E102" s="709"/>
      <c r="F102" s="709"/>
      <c r="G102" s="709"/>
      <c r="H102" s="709"/>
      <c r="I102" s="1750"/>
      <c r="J102" s="1750"/>
      <c r="K102" s="1750"/>
      <c r="L102" s="1750"/>
      <c r="M102" s="1750"/>
      <c r="N102" s="1750"/>
      <c r="O102" s="1750"/>
      <c r="P102" s="1750"/>
      <c r="Q102" s="1750"/>
      <c r="R102" s="1750"/>
      <c r="S102" s="1750"/>
      <c r="T102" s="1750"/>
      <c r="U102" s="1750"/>
      <c r="V102" s="1750"/>
      <c r="W102" s="1750"/>
      <c r="X102" s="1750"/>
      <c r="Y102" s="2540"/>
      <c r="Z102" s="712"/>
      <c r="AA102" s="709"/>
      <c r="AB102" s="709"/>
      <c r="AC102" s="709"/>
      <c r="AD102" s="711"/>
      <c r="AE102" s="709"/>
      <c r="AF102" s="709"/>
      <c r="AG102" s="709"/>
      <c r="AH102" s="711"/>
      <c r="AI102" s="709"/>
      <c r="AJ102" s="709"/>
      <c r="AK102" s="709"/>
      <c r="AL102" s="711"/>
      <c r="AM102" s="709"/>
      <c r="AN102" s="709"/>
      <c r="AO102" s="709"/>
      <c r="AP102" s="709"/>
      <c r="AQ102" s="710"/>
      <c r="AR102" s="709"/>
      <c r="AS102" s="709"/>
      <c r="AT102" s="709"/>
      <c r="AU102" s="710"/>
      <c r="AV102" s="709"/>
      <c r="AW102" s="721"/>
      <c r="AX102" s="709"/>
      <c r="AY102" s="1751"/>
      <c r="AZ102" s="1750"/>
      <c r="BA102" s="1750"/>
      <c r="BB102" s="1750"/>
      <c r="BC102" s="1751"/>
      <c r="BD102" s="1750"/>
      <c r="BE102" s="1750"/>
      <c r="BF102" s="1769"/>
      <c r="BG102" s="1750"/>
      <c r="BH102" s="1750"/>
      <c r="BI102" s="1750"/>
      <c r="BJ102" s="1769"/>
      <c r="BK102" s="1750"/>
      <c r="BL102" s="1750"/>
      <c r="BM102" s="1750"/>
      <c r="BN102" s="1750"/>
      <c r="BO102" s="1751"/>
      <c r="BP102" s="1750"/>
      <c r="BQ102" s="1750"/>
      <c r="BR102" s="1769"/>
      <c r="BS102" s="1750"/>
      <c r="BT102" s="1750"/>
      <c r="BU102" s="1750"/>
      <c r="BV102" s="1769"/>
      <c r="BW102" s="1750"/>
      <c r="BX102" s="1750"/>
      <c r="BY102" s="1750"/>
      <c r="BZ102" s="1769"/>
      <c r="CA102" s="1750"/>
      <c r="CB102" s="1750"/>
      <c r="CC102" s="1750"/>
      <c r="CD102" s="1769"/>
      <c r="CE102" s="1750"/>
      <c r="CF102" s="1750"/>
      <c r="CG102" s="1750"/>
      <c r="CH102" s="1769"/>
      <c r="CI102" s="632"/>
    </row>
    <row r="103" spans="1:93" ht="12.75" customHeight="1">
      <c r="A103" s="599" t="s">
        <v>459</v>
      </c>
      <c r="B103" s="720"/>
      <c r="C103" s="720"/>
      <c r="D103" s="709"/>
      <c r="E103" s="709"/>
      <c r="F103" s="709"/>
      <c r="G103" s="709"/>
      <c r="H103" s="709"/>
      <c r="I103" s="1750"/>
      <c r="J103" s="1752">
        <f t="shared" ref="J103:R103" si="180">-J46/J61</f>
        <v>0.42826965805690165</v>
      </c>
      <c r="K103" s="1752">
        <f t="shared" si="180"/>
        <v>0.43806614343389638</v>
      </c>
      <c r="L103" s="1752">
        <f t="shared" ca="1" si="180"/>
        <v>0.37618212841315102</v>
      </c>
      <c r="M103" s="1752">
        <f t="shared" si="180"/>
        <v>0.57565162110616652</v>
      </c>
      <c r="N103" s="1752">
        <f t="shared" si="180"/>
        <v>0.51812027080844281</v>
      </c>
      <c r="O103" s="1752">
        <f t="shared" si="180"/>
        <v>0.57356375525455394</v>
      </c>
      <c r="P103" s="1752">
        <f t="shared" si="180"/>
        <v>0.52543859649122804</v>
      </c>
      <c r="Q103" s="1752">
        <f t="shared" si="180"/>
        <v>0.71727105101413646</v>
      </c>
      <c r="R103" s="1752">
        <f t="shared" si="180"/>
        <v>1.8821243523316062</v>
      </c>
      <c r="S103" s="1752">
        <f t="shared" ref="S103:X103" ca="1" si="181">-S46/S61</f>
        <v>0.70955836564987207</v>
      </c>
      <c r="T103" s="1752">
        <f t="shared" ca="1" si="181"/>
        <v>0.7593662679533062</v>
      </c>
      <c r="U103" s="1752">
        <f t="shared" ca="1" si="181"/>
        <v>0.71413116303782598</v>
      </c>
      <c r="V103" s="1752">
        <f t="shared" ca="1" si="181"/>
        <v>0.68293956723678406</v>
      </c>
      <c r="W103" s="1752">
        <f t="shared" ca="1" si="181"/>
        <v>0.65687633223926378</v>
      </c>
      <c r="X103" s="1752">
        <f t="shared" ca="1" si="181"/>
        <v>0.70578259656228892</v>
      </c>
      <c r="Y103" s="2540"/>
      <c r="Z103" s="712"/>
      <c r="AA103" s="709"/>
      <c r="AB103" s="709"/>
      <c r="AC103" s="709"/>
      <c r="AD103" s="711"/>
      <c r="AE103" s="709"/>
      <c r="AF103" s="709"/>
      <c r="AG103" s="709"/>
      <c r="AH103" s="711"/>
      <c r="AI103" s="709"/>
      <c r="AJ103" s="709"/>
      <c r="AK103" s="709"/>
      <c r="AL103" s="711"/>
      <c r="AM103" s="709"/>
      <c r="AN103" s="709"/>
      <c r="AO103" s="709"/>
      <c r="AP103" s="709"/>
      <c r="AQ103" s="710"/>
      <c r="AR103" s="709"/>
      <c r="AS103" s="709"/>
      <c r="AT103" s="709"/>
      <c r="AU103" s="723">
        <f t="shared" ref="AU103:CC103" si="182">-AU46/AU61</f>
        <v>0.36324145157731413</v>
      </c>
      <c r="AV103" s="722">
        <f t="shared" si="182"/>
        <v>0.37991603720029815</v>
      </c>
      <c r="AW103" s="722">
        <f t="shared" si="182"/>
        <v>0.5370258299393762</v>
      </c>
      <c r="AX103" s="722">
        <f t="shared" si="182"/>
        <v>0.47679429263894768</v>
      </c>
      <c r="AY103" s="1753">
        <f t="shared" si="182"/>
        <v>0.54475608497122285</v>
      </c>
      <c r="AZ103" s="1752">
        <f t="shared" si="182"/>
        <v>0.50173623199163631</v>
      </c>
      <c r="BA103" s="1752">
        <f t="shared" si="182"/>
        <v>0.35617785064751623</v>
      </c>
      <c r="BB103" s="1752">
        <f t="shared" si="182"/>
        <v>0.40159001289117574</v>
      </c>
      <c r="BC103" s="1911">
        <f t="shared" ca="1" si="182"/>
        <v>0.56631283966305668</v>
      </c>
      <c r="BD103" s="1912">
        <f t="shared" si="182"/>
        <v>0.22650407981698018</v>
      </c>
      <c r="BE103" s="1912">
        <f t="shared" si="182"/>
        <v>0.29760719041278294</v>
      </c>
      <c r="BF103" s="2042">
        <f t="shared" si="182"/>
        <v>0.91327851323828912</v>
      </c>
      <c r="BG103" s="1912">
        <f t="shared" si="182"/>
        <v>0.49944751381215469</v>
      </c>
      <c r="BH103" s="1752">
        <f t="shared" si="182"/>
        <v>0.76910016977928697</v>
      </c>
      <c r="BI103" s="1752">
        <f t="shared" si="182"/>
        <v>0.38698630136986301</v>
      </c>
      <c r="BJ103" s="1770">
        <f t="shared" si="182"/>
        <v>0.93801652892561982</v>
      </c>
      <c r="BK103" s="1752">
        <f t="shared" si="182"/>
        <v>0.47099447513812154</v>
      </c>
      <c r="BL103" s="1752">
        <f t="shared" si="182"/>
        <v>0.44321329639889195</v>
      </c>
      <c r="BM103" s="1752">
        <f t="shared" si="182"/>
        <v>0.43275632490013316</v>
      </c>
      <c r="BN103" s="1752">
        <f t="shared" si="182"/>
        <v>1.0031847133757963</v>
      </c>
      <c r="BO103" s="1753">
        <f t="shared" si="182"/>
        <v>0.43521126760563378</v>
      </c>
      <c r="BP103" s="1752">
        <f t="shared" si="182"/>
        <v>0.77135678391959794</v>
      </c>
      <c r="BQ103" s="1752">
        <f t="shared" si="182"/>
        <v>0.43016759776536312</v>
      </c>
      <c r="BR103" s="1770">
        <f t="shared" si="182"/>
        <v>0.95899053627760256</v>
      </c>
      <c r="BS103" s="1752">
        <f t="shared" si="182"/>
        <v>0.42222222222222222</v>
      </c>
      <c r="BT103" s="1752">
        <f t="shared" si="182"/>
        <v>0.62372188139059304</v>
      </c>
      <c r="BU103" s="1752">
        <f t="shared" si="182"/>
        <v>0.41807909604519772</v>
      </c>
      <c r="BV103" s="1770">
        <f t="shared" si="182"/>
        <v>0.80716253443526176</v>
      </c>
      <c r="BW103" s="1752">
        <f t="shared" si="182"/>
        <v>0.35714285714285715</v>
      </c>
      <c r="BX103" s="1752">
        <f t="shared" si="182"/>
        <v>0.56380952380952376</v>
      </c>
      <c r="BY103" s="1752">
        <f t="shared" si="182"/>
        <v>1.7575757575757576</v>
      </c>
      <c r="BZ103" s="1770">
        <f t="shared" si="182"/>
        <v>2.3279999999999998</v>
      </c>
      <c r="CA103" s="1752">
        <f t="shared" si="182"/>
        <v>1.0724637681159421</v>
      </c>
      <c r="CB103" s="1752">
        <f t="shared" si="182"/>
        <v>-2.0416666666666665</v>
      </c>
      <c r="CC103" s="1752">
        <f t="shared" si="182"/>
        <v>1.4195121951219511</v>
      </c>
      <c r="CD103" s="1770">
        <f t="shared" ref="CD103" si="183">-CD46/CD61</f>
        <v>1.3149425287356322</v>
      </c>
      <c r="CE103" s="1752">
        <f ca="1">-CE46/CE61</f>
        <v>0.71811544025567375</v>
      </c>
      <c r="CF103" s="1752">
        <f ca="1">-CF46/CF61</f>
        <v>0.75815476078296751</v>
      </c>
      <c r="CG103" s="1752">
        <f ca="1">-CG46/CG61</f>
        <v>0.71100711016027995</v>
      </c>
      <c r="CH103" s="1770">
        <f ca="1">-CH46/CH61</f>
        <v>0.65844658801856137</v>
      </c>
      <c r="CI103" s="632"/>
    </row>
    <row r="104" spans="1:93" ht="12.75" hidden="1" customHeight="1">
      <c r="A104" s="599" t="s">
        <v>464</v>
      </c>
      <c r="B104" s="720"/>
      <c r="C104" s="720"/>
      <c r="D104" s="709"/>
      <c r="E104" s="709"/>
      <c r="F104" s="709"/>
      <c r="G104" s="709"/>
      <c r="H104" s="709"/>
      <c r="I104" s="1750"/>
      <c r="J104" s="1752">
        <f>-J46/J80</f>
        <v>0.51448801726989513</v>
      </c>
      <c r="K104" s="1752">
        <f>-K46/K80</f>
        <v>0.46154706972678244</v>
      </c>
      <c r="L104" s="1752">
        <f ca="1">-L46/L80</f>
        <v>0.3807138851085235</v>
      </c>
      <c r="M104" s="1752">
        <f>-M46/M80</f>
        <v>0.49151852354457864</v>
      </c>
      <c r="N104" s="1752">
        <f>-N46/N80</f>
        <v>0.43022486772486773</v>
      </c>
      <c r="O104" s="1752">
        <f t="shared" ref="O104:X104" si="184">-O46/O88</f>
        <v>0.49179014817781336</v>
      </c>
      <c r="P104" s="1752">
        <f t="shared" si="184"/>
        <v>0.44684819097351736</v>
      </c>
      <c r="Q104" s="1752">
        <f t="shared" si="184"/>
        <v>0.65783540022547915</v>
      </c>
      <c r="R104" s="1752">
        <f t="shared" si="184"/>
        <v>0.91845764854614409</v>
      </c>
      <c r="S104" s="1752">
        <f t="shared" si="184"/>
        <v>0.81259615026433729</v>
      </c>
      <c r="T104" s="1752">
        <f t="shared" si="184"/>
        <v>0.71495213368217148</v>
      </c>
      <c r="U104" s="1752">
        <f t="shared" si="184"/>
        <v>0.67076805624097946</v>
      </c>
      <c r="V104" s="1752">
        <f t="shared" si="184"/>
        <v>0.64878657546540641</v>
      </c>
      <c r="W104" s="1752">
        <f t="shared" si="184"/>
        <v>0.62551489953987416</v>
      </c>
      <c r="X104" s="1752">
        <f t="shared" si="184"/>
        <v>0.66998670405879401</v>
      </c>
      <c r="Y104" s="2540"/>
      <c r="Z104" s="712"/>
      <c r="AA104" s="709"/>
      <c r="AB104" s="709"/>
      <c r="AC104" s="709"/>
      <c r="AD104" s="711"/>
      <c r="AE104" s="709"/>
      <c r="AF104" s="709"/>
      <c r="AG104" s="709"/>
      <c r="AH104" s="711"/>
      <c r="AI104" s="709"/>
      <c r="AJ104" s="709"/>
      <c r="AK104" s="709"/>
      <c r="AL104" s="711"/>
      <c r="AM104" s="709"/>
      <c r="AN104" s="709"/>
      <c r="AO104" s="709"/>
      <c r="AP104" s="709"/>
      <c r="AQ104" s="710"/>
      <c r="AR104" s="709"/>
      <c r="AS104" s="709"/>
      <c r="AT104" s="709"/>
      <c r="AU104" s="723">
        <f t="shared" ref="AU104:BJ104" si="185">-AU46/AU80</f>
        <v>0.41085912787282441</v>
      </c>
      <c r="AV104" s="722">
        <f t="shared" si="185"/>
        <v>0.50722038593856422</v>
      </c>
      <c r="AW104" s="722">
        <f t="shared" si="185"/>
        <v>0.55251888917169889</v>
      </c>
      <c r="AX104" s="722">
        <f t="shared" si="185"/>
        <v>0.63805476444366749</v>
      </c>
      <c r="AY104" s="1753">
        <f t="shared" si="185"/>
        <v>0.41979749617913259</v>
      </c>
      <c r="AZ104" s="1752">
        <f t="shared" si="185"/>
        <v>0.46914373066510318</v>
      </c>
      <c r="BA104" s="1752">
        <f t="shared" si="185"/>
        <v>0.48028027055888645</v>
      </c>
      <c r="BB104" s="1752">
        <f t="shared" si="185"/>
        <v>0.48258685897174941</v>
      </c>
      <c r="BC104" s="1753">
        <f t="shared" ca="1" si="185"/>
        <v>0.43279945208209769</v>
      </c>
      <c r="BD104" s="1752">
        <f t="shared" si="185"/>
        <v>0.19934385906040269</v>
      </c>
      <c r="BE104" s="1752">
        <f t="shared" si="185"/>
        <v>0.55563206960845246</v>
      </c>
      <c r="BF104" s="1770">
        <f t="shared" si="185"/>
        <v>0.87071796116504852</v>
      </c>
      <c r="BG104" s="1752">
        <f t="shared" si="185"/>
        <v>0.43545279383429675</v>
      </c>
      <c r="BH104" s="1752">
        <f t="shared" si="185"/>
        <v>0.58151476251604617</v>
      </c>
      <c r="BI104" s="1752">
        <f t="shared" si="185"/>
        <v>0.49944751381215469</v>
      </c>
      <c r="BJ104" s="1770">
        <f t="shared" si="185"/>
        <v>0.74304418985270049</v>
      </c>
      <c r="BK104" s="1752">
        <f t="shared" ref="BK104:CC104" si="186">-BK46/BK88</f>
        <v>0.3389662027833002</v>
      </c>
      <c r="BL104" s="1752">
        <f t="shared" si="186"/>
        <v>0.45519203413940257</v>
      </c>
      <c r="BM104" s="1752">
        <f t="shared" si="186"/>
        <v>0.42706964520367935</v>
      </c>
      <c r="BN104" s="1752">
        <f t="shared" si="186"/>
        <v>0.52412645590682194</v>
      </c>
      <c r="BO104" s="1753">
        <f t="shared" si="186"/>
        <v>0.36310223266745006</v>
      </c>
      <c r="BP104" s="1752">
        <f t="shared" si="186"/>
        <v>0.49120000000000003</v>
      </c>
      <c r="BQ104" s="1752">
        <f t="shared" si="186"/>
        <v>0.47751937984496123</v>
      </c>
      <c r="BR104" s="1770">
        <f t="shared" si="186"/>
        <v>0.80851063829787229</v>
      </c>
      <c r="BS104" s="1752">
        <f t="shared" si="186"/>
        <v>0.35472578763127188</v>
      </c>
      <c r="BT104" s="1752">
        <f t="shared" si="186"/>
        <v>0.53321678321678323</v>
      </c>
      <c r="BU104" s="1752">
        <f t="shared" si="186"/>
        <v>0.45468509984639016</v>
      </c>
      <c r="BV104" s="1770">
        <f t="shared" si="186"/>
        <v>0.4875207986688852</v>
      </c>
      <c r="BW104" s="1752">
        <f t="shared" si="186"/>
        <v>0.35194174757281554</v>
      </c>
      <c r="BX104" s="1752">
        <f t="shared" si="186"/>
        <v>0.47974068071312803</v>
      </c>
      <c r="BY104" s="1752">
        <f t="shared" si="186"/>
        <v>1.8238993710691824</v>
      </c>
      <c r="BZ104" s="1770">
        <f t="shared" si="186"/>
        <v>1.6724137931034482</v>
      </c>
      <c r="CA104" s="1752">
        <f t="shared" si="186"/>
        <v>0.60162601626016265</v>
      </c>
      <c r="CB104" s="1752">
        <f t="shared" si="186"/>
        <v>-5.6538461538461542</v>
      </c>
      <c r="CC104" s="1752">
        <f t="shared" si="186"/>
        <v>2.669724770642202</v>
      </c>
      <c r="CD104" s="1770">
        <f t="shared" ref="CD104" si="187">-CD46/CD88</f>
        <v>0.55372700871248792</v>
      </c>
      <c r="CE104" s="1752">
        <f>-CE46/CE88</f>
        <v>0.93264982275748065</v>
      </c>
      <c r="CF104" s="1752">
        <f>-CF46/CF88</f>
        <v>0.8444488246291223</v>
      </c>
      <c r="CG104" s="1752">
        <f>-CG46/CG88</f>
        <v>0.79212170172920715</v>
      </c>
      <c r="CH104" s="1770">
        <f>-CH46/CH88</f>
        <v>0.71313239734469436</v>
      </c>
      <c r="CI104" s="632"/>
    </row>
    <row r="105" spans="1:93" ht="12.75" customHeight="1">
      <c r="A105" s="599" t="s">
        <v>1301</v>
      </c>
      <c r="B105" s="720"/>
      <c r="C105" s="720"/>
      <c r="D105" s="709"/>
      <c r="E105" s="709"/>
      <c r="F105" s="709"/>
      <c r="G105" s="709"/>
      <c r="H105" s="709"/>
      <c r="I105" s="1750"/>
      <c r="J105" s="1752"/>
      <c r="K105" s="1752"/>
      <c r="L105" s="1752"/>
      <c r="M105" s="1752"/>
      <c r="N105" s="1752"/>
      <c r="O105" s="1752"/>
      <c r="P105" s="1752"/>
      <c r="Q105" s="1752"/>
      <c r="R105" s="1752"/>
      <c r="S105" s="1752"/>
      <c r="T105" s="1752"/>
      <c r="U105" s="1752"/>
      <c r="V105" s="1752"/>
      <c r="W105" s="1752"/>
      <c r="X105" s="1752"/>
      <c r="Y105" s="2540"/>
      <c r="Z105" s="712"/>
      <c r="AA105" s="709"/>
      <c r="AB105" s="709"/>
      <c r="AC105" s="709"/>
      <c r="AD105" s="711"/>
      <c r="AE105" s="709"/>
      <c r="AF105" s="709"/>
      <c r="AG105" s="709"/>
      <c r="AH105" s="711"/>
      <c r="AI105" s="709"/>
      <c r="AJ105" s="709"/>
      <c r="AK105" s="709"/>
      <c r="AL105" s="711"/>
      <c r="AM105" s="709"/>
      <c r="AN105" s="709"/>
      <c r="AO105" s="709"/>
      <c r="AP105" s="709"/>
      <c r="AQ105" s="710"/>
      <c r="AR105" s="709"/>
      <c r="AS105" s="709"/>
      <c r="AT105" s="709"/>
      <c r="AU105" s="723">
        <f t="shared" ref="AU105:CC105" si="188">(-SUM(AR46:AU46))/SUM(AR61:AU61)</f>
        <v>0.40550947905610196</v>
      </c>
      <c r="AV105" s="722">
        <f t="shared" si="188"/>
        <v>0.39595605122471739</v>
      </c>
      <c r="AW105" s="722">
        <f t="shared" si="188"/>
        <v>0.40075430711448962</v>
      </c>
      <c r="AX105" s="722">
        <f t="shared" si="188"/>
        <v>0.42826965805690159</v>
      </c>
      <c r="AY105" s="1753">
        <f t="shared" si="188"/>
        <v>0.47572055265183227</v>
      </c>
      <c r="AZ105" s="1752">
        <f t="shared" si="188"/>
        <v>0.51384033365558957</v>
      </c>
      <c r="BA105" s="1752">
        <f t="shared" si="188"/>
        <v>0.4576003348730654</v>
      </c>
      <c r="BB105" s="1752">
        <f t="shared" si="188"/>
        <v>0.43810354924316902</v>
      </c>
      <c r="BC105" s="1753">
        <f t="shared" ca="1" si="188"/>
        <v>0.44195217327821634</v>
      </c>
      <c r="BD105" s="1752">
        <f t="shared" ca="1" si="188"/>
        <v>0.34806560780599027</v>
      </c>
      <c r="BE105" s="1752">
        <f t="shared" ca="1" si="188"/>
        <v>0.33202259614191559</v>
      </c>
      <c r="BF105" s="1770">
        <f t="shared" ca="1" si="188"/>
        <v>0.37618212841315085</v>
      </c>
      <c r="BG105" s="1752">
        <f t="shared" si="188"/>
        <v>0.36854250256937304</v>
      </c>
      <c r="BH105" s="1752">
        <f t="shared" si="188"/>
        <v>0.51632513622024656</v>
      </c>
      <c r="BI105" s="1752">
        <f t="shared" si="188"/>
        <v>0.57260379004123063</v>
      </c>
      <c r="BJ105" s="1770">
        <f t="shared" si="188"/>
        <v>0.57565162110616652</v>
      </c>
      <c r="BK105" s="1752">
        <f t="shared" si="188"/>
        <v>0.57335581787521084</v>
      </c>
      <c r="BL105" s="1752">
        <f t="shared" si="188"/>
        <v>0.50581020012911559</v>
      </c>
      <c r="BM105" s="1752">
        <f t="shared" si="188"/>
        <v>0.53711301753077212</v>
      </c>
      <c r="BN105" s="1752">
        <f t="shared" si="188"/>
        <v>0.51812027080844281</v>
      </c>
      <c r="BO105" s="1753">
        <f t="shared" si="188"/>
        <v>0.50820985182218659</v>
      </c>
      <c r="BP105" s="1752">
        <f t="shared" si="188"/>
        <v>0.57800276115968707</v>
      </c>
      <c r="BQ105" s="1752">
        <f t="shared" si="188"/>
        <v>0.57951356407857813</v>
      </c>
      <c r="BR105" s="1770">
        <f t="shared" si="188"/>
        <v>0.57356375525455394</v>
      </c>
      <c r="BS105" s="1752">
        <f t="shared" si="188"/>
        <v>0.56857275685727571</v>
      </c>
      <c r="BT105" s="1752">
        <f t="shared" si="188"/>
        <v>0.54460303300624446</v>
      </c>
      <c r="BU105" s="1752">
        <f t="shared" si="188"/>
        <v>0.5411817367949866</v>
      </c>
      <c r="BV105" s="1770">
        <f t="shared" si="188"/>
        <v>0.52543859649122804</v>
      </c>
      <c r="BW105" s="1752">
        <f t="shared" si="188"/>
        <v>0.49915682967959529</v>
      </c>
      <c r="BX105" s="1752">
        <f t="shared" si="188"/>
        <v>0.48795681063122925</v>
      </c>
      <c r="BY105" s="1752">
        <f t="shared" si="188"/>
        <v>0.62680965147453083</v>
      </c>
      <c r="BZ105" s="1770">
        <f t="shared" si="188"/>
        <v>0.71727105101413646</v>
      </c>
      <c r="CA105" s="1752">
        <f t="shared" si="188"/>
        <v>1.0751604032997251</v>
      </c>
      <c r="CB105" s="1752">
        <f t="shared" si="188"/>
        <v>2.7748815165876777</v>
      </c>
      <c r="CC105" s="1752">
        <f t="shared" si="188"/>
        <v>2.5367965367965368</v>
      </c>
      <c r="CD105" s="1770">
        <f t="shared" ref="CD105" si="189">(-SUM(CA46:CD46))/SUM(CA61:CD61)</f>
        <v>1.8821243523316062</v>
      </c>
      <c r="CE105" s="1752">
        <f ca="1">(-SUM(CB46:CE46))/SUM(CB61:CE61)</f>
        <v>1.3333948803092894</v>
      </c>
      <c r="CF105" s="1752">
        <f ca="1">(-SUM(CC46:CF46))/SUM(CC61:CF61)</f>
        <v>0.91446458508564321</v>
      </c>
      <c r="CG105" s="1752">
        <f ca="1">(-SUM(CD46:CG46))/SUM(CD61:CG61)</f>
        <v>0.81885959310916412</v>
      </c>
      <c r="CH105" s="1770">
        <f ca="1">(-SUM(CE46:CH46))/SUM(CE61:CH61)</f>
        <v>0.70955836564987207</v>
      </c>
      <c r="CI105" s="632"/>
    </row>
    <row r="106" spans="1:93" ht="12.75" hidden="1" customHeight="1">
      <c r="A106" s="599" t="s">
        <v>1300</v>
      </c>
      <c r="B106" s="720"/>
      <c r="C106" s="720"/>
      <c r="D106" s="709"/>
      <c r="E106" s="709"/>
      <c r="F106" s="709"/>
      <c r="G106" s="709"/>
      <c r="H106" s="709"/>
      <c r="I106" s="1750"/>
      <c r="J106" s="1752"/>
      <c r="K106" s="1752"/>
      <c r="L106" s="1752"/>
      <c r="M106" s="1752"/>
      <c r="N106" s="1752"/>
      <c r="O106" s="1752"/>
      <c r="P106" s="1752"/>
      <c r="Q106" s="1752"/>
      <c r="R106" s="1752"/>
      <c r="S106" s="1752"/>
      <c r="T106" s="1752"/>
      <c r="U106" s="1752"/>
      <c r="V106" s="1752"/>
      <c r="W106" s="1752"/>
      <c r="X106" s="1752"/>
      <c r="Y106" s="2540"/>
      <c r="Z106" s="712"/>
      <c r="AA106" s="709"/>
      <c r="AB106" s="709"/>
      <c r="AC106" s="709"/>
      <c r="AD106" s="711"/>
      <c r="AE106" s="709"/>
      <c r="AF106" s="709"/>
      <c r="AG106" s="709"/>
      <c r="AH106" s="711"/>
      <c r="AI106" s="709"/>
      <c r="AJ106" s="709"/>
      <c r="AK106" s="709"/>
      <c r="AL106" s="711"/>
      <c r="AM106" s="709"/>
      <c r="AN106" s="709"/>
      <c r="AO106" s="709"/>
      <c r="AP106" s="709"/>
      <c r="AQ106" s="710"/>
      <c r="AR106" s="709"/>
      <c r="AS106" s="709"/>
      <c r="AT106" s="709"/>
      <c r="AU106" s="723">
        <f t="shared" ref="AU106:BQ106" si="190">-SUM(AR46:AU46)/SUM(AR80:AU80)</f>
        <v>0.43226122053003235</v>
      </c>
      <c r="AV106" s="722">
        <f t="shared" si="190"/>
        <v>0.45716407438933682</v>
      </c>
      <c r="AW106" s="722">
        <f t="shared" si="190"/>
        <v>0.45229529222744203</v>
      </c>
      <c r="AX106" s="722">
        <f t="shared" si="190"/>
        <v>0.51426380812320405</v>
      </c>
      <c r="AY106" s="1753">
        <f t="shared" si="190"/>
        <v>0.5155703077361824</v>
      </c>
      <c r="AZ106" s="1752">
        <f t="shared" si="190"/>
        <v>0.50468242598282331</v>
      </c>
      <c r="BA106" s="1752">
        <f t="shared" si="190"/>
        <v>0.48830736995652652</v>
      </c>
      <c r="BB106" s="1752">
        <f t="shared" si="190"/>
        <v>0.46154706972678233</v>
      </c>
      <c r="BC106" s="1753">
        <f t="shared" ca="1" si="190"/>
        <v>0.46519944498398874</v>
      </c>
      <c r="BD106" s="1752">
        <f t="shared" ca="1" si="190"/>
        <v>0.3474146334851399</v>
      </c>
      <c r="BE106" s="1752">
        <f t="shared" ca="1" si="190"/>
        <v>0.35683223178840173</v>
      </c>
      <c r="BF106" s="1770">
        <f t="shared" ca="1" si="190"/>
        <v>0.38967452786810691</v>
      </c>
      <c r="BG106" s="1752">
        <f t="shared" si="190"/>
        <v>0.39041029395753946</v>
      </c>
      <c r="BH106" s="1752">
        <f t="shared" si="190"/>
        <v>0.57402383229714649</v>
      </c>
      <c r="BI106" s="1752">
        <f t="shared" si="190"/>
        <v>0.55774474822366393</v>
      </c>
      <c r="BJ106" s="1770">
        <f t="shared" si="190"/>
        <v>0.54335433543354339</v>
      </c>
      <c r="BK106" s="1752">
        <f t="shared" si="190"/>
        <v>0.51499545592244778</v>
      </c>
      <c r="BL106" s="1752">
        <f t="shared" si="190"/>
        <v>0.48589147286821704</v>
      </c>
      <c r="BM106" s="1752">
        <f t="shared" si="190"/>
        <v>0.46738072054527752</v>
      </c>
      <c r="BN106" s="1752">
        <f t="shared" si="190"/>
        <v>0.42364050797785735</v>
      </c>
      <c r="BO106" s="1753">
        <f t="shared" si="190"/>
        <v>0.43384615384615383</v>
      </c>
      <c r="BP106" s="1752">
        <f t="shared" si="190"/>
        <v>0.41342988808426595</v>
      </c>
      <c r="BQ106" s="1752">
        <f t="shared" si="190"/>
        <v>0.40609636184857423</v>
      </c>
      <c r="BR106" s="1770">
        <f t="shared" ref="BR106:CC106" si="191">-SUM(BO46:BR46)/SUM(BO88:BR88)</f>
        <v>0.49179014817781336</v>
      </c>
      <c r="BS106" s="1752">
        <f t="shared" si="191"/>
        <v>0.48861366360367559</v>
      </c>
      <c r="BT106" s="1752">
        <f t="shared" si="191"/>
        <v>0.49836734693877549</v>
      </c>
      <c r="BU106" s="1752">
        <f t="shared" si="191"/>
        <v>0.49226384364820847</v>
      </c>
      <c r="BV106" s="1770">
        <f t="shared" si="191"/>
        <v>0.44684819097351736</v>
      </c>
      <c r="BW106" s="1752">
        <f t="shared" si="191"/>
        <v>0.44712990936555891</v>
      </c>
      <c r="BX106" s="1752">
        <f t="shared" si="191"/>
        <v>0.43631637578908283</v>
      </c>
      <c r="BY106" s="1752">
        <f t="shared" si="191"/>
        <v>0.53112221717401187</v>
      </c>
      <c r="BZ106" s="1770">
        <f t="shared" si="191"/>
        <v>0.65783540022547915</v>
      </c>
      <c r="CA106" s="1752">
        <f t="shared" si="191"/>
        <v>0.8134535367545076</v>
      </c>
      <c r="CB106" s="1752">
        <f t="shared" si="191"/>
        <v>1.5148771021992238</v>
      </c>
      <c r="CC106" s="1752">
        <f t="shared" si="191"/>
        <v>1.6210235131396957</v>
      </c>
      <c r="CD106" s="1770">
        <f t="shared" ref="CD106" si="192">-SUM(CA46:CD46)/SUM(CA88:CD88)</f>
        <v>0.91845764854614409</v>
      </c>
      <c r="CE106" s="1752">
        <f>-SUM(CB46:CE46)/SUM(CB88:CE88)</f>
        <v>1.0147499593561606</v>
      </c>
      <c r="CF106" s="1752">
        <f>-SUM(CC46:CF46)/SUM(CC88:CF88)</f>
        <v>0.82539907192207029</v>
      </c>
      <c r="CG106" s="1752">
        <f>-SUM(CD46:CG46)/SUM(CD88:CG88)</f>
        <v>0.75205819116916939</v>
      </c>
      <c r="CH106" s="1770">
        <f>-SUM(CE46:CH46)/SUM(CE88:CH88)</f>
        <v>0.81259615026433685</v>
      </c>
      <c r="CI106" s="632"/>
    </row>
    <row r="107" spans="1:93" ht="12.75" customHeight="1">
      <c r="A107" s="399"/>
      <c r="B107" s="399"/>
      <c r="C107" s="399"/>
      <c r="D107" s="413"/>
      <c r="E107" s="413"/>
      <c r="F107" s="413"/>
      <c r="G107" s="413"/>
      <c r="H107" s="413"/>
      <c r="I107" s="413"/>
      <c r="J107" s="413"/>
      <c r="K107" s="413"/>
      <c r="L107" s="413"/>
      <c r="M107" s="413"/>
      <c r="N107" s="413"/>
      <c r="O107" s="413"/>
      <c r="P107" s="413"/>
      <c r="Q107" s="413"/>
      <c r="R107" s="413"/>
      <c r="S107" s="413"/>
      <c r="T107" s="413"/>
      <c r="U107" s="413"/>
      <c r="V107" s="413"/>
      <c r="W107" s="413"/>
      <c r="X107" s="413"/>
      <c r="Y107" s="2540"/>
      <c r="Z107" s="679"/>
      <c r="AA107" s="413"/>
      <c r="AB107" s="413"/>
      <c r="AC107" s="413"/>
      <c r="AD107" s="414"/>
      <c r="AE107" s="413"/>
      <c r="AF107" s="413"/>
      <c r="AG107" s="413"/>
      <c r="AH107" s="414"/>
      <c r="AI107" s="413"/>
      <c r="AJ107" s="413"/>
      <c r="AK107" s="413"/>
      <c r="AL107" s="414"/>
      <c r="AM107" s="413"/>
      <c r="AN107" s="413"/>
      <c r="AO107" s="413"/>
      <c r="AP107" s="413"/>
      <c r="AQ107" s="490"/>
      <c r="AR107" s="413"/>
      <c r="AS107" s="413"/>
      <c r="AT107" s="413"/>
      <c r="AU107" s="490"/>
      <c r="AV107" s="413"/>
      <c r="AW107" s="413"/>
      <c r="AX107" s="413"/>
      <c r="AY107" s="490"/>
      <c r="AZ107" s="413"/>
      <c r="BA107" s="413"/>
      <c r="BB107" s="413"/>
      <c r="BC107" s="490"/>
      <c r="BD107" s="413"/>
      <c r="BE107" s="413"/>
      <c r="BF107" s="414"/>
      <c r="BG107" s="413"/>
      <c r="BH107" s="413"/>
      <c r="BI107" s="2213"/>
      <c r="BJ107" s="2226"/>
      <c r="BK107" s="2213"/>
      <c r="BL107" s="2213"/>
      <c r="BM107" s="2213"/>
      <c r="BN107" s="2213"/>
      <c r="BO107" s="2514"/>
      <c r="BP107" s="2213"/>
      <c r="BQ107" s="2213"/>
      <c r="BR107" s="414"/>
      <c r="BS107" s="413"/>
      <c r="BT107" s="2213"/>
      <c r="BU107" s="413"/>
      <c r="BV107" s="414"/>
      <c r="BW107" s="413"/>
      <c r="BX107" s="2213"/>
      <c r="BY107" s="2213"/>
      <c r="BZ107" s="414"/>
      <c r="CA107" s="413"/>
      <c r="CB107" s="2213"/>
      <c r="CC107" s="2213"/>
      <c r="CD107" s="414"/>
      <c r="CE107" s="413"/>
      <c r="CF107" s="413"/>
      <c r="CG107" s="413"/>
      <c r="CH107" s="414"/>
      <c r="CI107" s="632"/>
    </row>
    <row r="108" spans="1:93">
      <c r="A108" s="724" t="s">
        <v>1038</v>
      </c>
      <c r="B108" s="275"/>
      <c r="C108" s="275"/>
      <c r="D108" s="413"/>
      <c r="E108" s="582">
        <f>SUM(AA108:AD108)</f>
        <v>385.31600000000003</v>
      </c>
      <c r="F108" s="582">
        <f>SUM(AE108:AH108)</f>
        <v>414.87199999999996</v>
      </c>
      <c r="G108" s="582">
        <f>SUM(AI108:AL108)</f>
        <v>1304.0710000000001</v>
      </c>
      <c r="H108" s="582">
        <f>SUM(AM108:AP108)</f>
        <v>1155.0450000000001</v>
      </c>
      <c r="I108" s="582">
        <f>SUM(AQ108:AT108)</f>
        <v>2738.817</v>
      </c>
      <c r="J108" s="582">
        <f>SUM(AU108:AX108)</f>
        <v>2411.5439999999999</v>
      </c>
      <c r="K108" s="582">
        <f>SUM(AY108:BB108)</f>
        <v>2548.2160000000003</v>
      </c>
      <c r="L108" s="582">
        <f>SUM(BC108:BF108)</f>
        <v>2889.5909999999999</v>
      </c>
      <c r="M108" s="582">
        <f>SUM(BG108:BJ108)</f>
        <v>2858</v>
      </c>
      <c r="N108" s="582">
        <f>SUM(BK108:BN108)</f>
        <v>3001</v>
      </c>
      <c r="O108" s="582">
        <f>SUM(BO108:BR108)</f>
        <v>3026</v>
      </c>
      <c r="P108" s="582">
        <f>SUM(BS108:BV108)</f>
        <v>2861</v>
      </c>
      <c r="Q108" s="582">
        <f>SUM(BW108:BZ108)</f>
        <v>2958</v>
      </c>
      <c r="R108" s="582">
        <f>SUM(CA108:CD108)</f>
        <v>3101</v>
      </c>
      <c r="S108" s="582">
        <f>SUM(CE108:CH108)</f>
        <v>3850.2510232139421</v>
      </c>
      <c r="T108" s="2937">
        <f>+CHOOSE(Valuation!$I$2,T109,T110,T111)</f>
        <v>3773.9406082061196</v>
      </c>
      <c r="U108" s="2937">
        <f>+CHOOSE(Valuation!$I$2,U109,U110,U111)</f>
        <v>3742.4634537380066</v>
      </c>
      <c r="V108" s="2937">
        <f>+CHOOSE(Valuation!$I$2,V109,V110,V111)</f>
        <v>3718.2457088184824</v>
      </c>
      <c r="W108" s="2937">
        <f>+CHOOSE(Valuation!$I$2,W109,W110,W111)</f>
        <v>3706.8381148050739</v>
      </c>
      <c r="X108" s="2937">
        <f>+CHOOSE(Valuation!$I$2,X109,X110,X111)</f>
        <v>3699.208926648063</v>
      </c>
      <c r="Y108" s="820"/>
      <c r="Z108" s="682">
        <f>(INPUTS_2!B139+INPUTS_2!B142)/1000</f>
        <v>121.48</v>
      </c>
      <c r="AA108" s="582">
        <f>(INPUTS_2!C139+INPUTS_2!C142)/1000</f>
        <v>61.744999999999997</v>
      </c>
      <c r="AB108" s="582">
        <f>(INPUTS_2!D139+INPUTS_2!D142)/1000</f>
        <v>94.269000000000005</v>
      </c>
      <c r="AC108" s="582">
        <f>(INPUTS_2!E139+INPUTS_2!E142)/1000</f>
        <v>97.582999999999998</v>
      </c>
      <c r="AD108" s="593">
        <f>(INPUTS_2!F139+INPUTS_2!F142)/1000</f>
        <v>131.71899999999999</v>
      </c>
      <c r="AE108" s="582">
        <f>(INPUTS_2!G139+INPUTS_2!G142)/1000</f>
        <v>74.903000000000006</v>
      </c>
      <c r="AF108" s="582">
        <f>(INPUTS_2!H139+INPUTS_2!H142)/1000</f>
        <v>102.011</v>
      </c>
      <c r="AG108" s="582">
        <f>(INPUTS_2!I139+INPUTS_2!I142)/1000</f>
        <v>105.044</v>
      </c>
      <c r="AH108" s="593">
        <f>(INPUTS_2!J139+INPUTS_2!J142)/1000</f>
        <v>132.91399999999999</v>
      </c>
      <c r="AI108" s="582">
        <f>(INPUTS_2!K139+INPUTS_2!K142)/1000</f>
        <v>264.08800000000002</v>
      </c>
      <c r="AJ108" s="582">
        <f>(INPUTS_2!L139+INPUTS_2!L142)/1000</f>
        <v>382.36700000000002</v>
      </c>
      <c r="AK108" s="582">
        <f>(INPUTS_2!M139+INPUTS_2!M142)/1000</f>
        <v>342.57900000000001</v>
      </c>
      <c r="AL108" s="593">
        <f>(INPUTS_2!N139+INPUTS_2!N142)/1000</f>
        <v>315.03699999999998</v>
      </c>
      <c r="AM108" s="594">
        <f>(INPUTS_2!O139+INPUTS_2!O142)/1000</f>
        <v>231.88</v>
      </c>
      <c r="AN108" s="582">
        <f>(INPUTS_2!P139+INPUTS_2!P142)/1000</f>
        <v>245.976</v>
      </c>
      <c r="AO108" s="582">
        <f>(INPUTS_2!Q139+INPUTS_2!Q142)/1000</f>
        <v>272.44499999999999</v>
      </c>
      <c r="AP108" s="582">
        <f>(INPUTS_2!R139+INPUTS_2!R142)/1000</f>
        <v>404.74400000000003</v>
      </c>
      <c r="AQ108" s="594">
        <f>(INPUTS_2!S139+INPUTS_2!S142)/1000</f>
        <v>647.73900000000003</v>
      </c>
      <c r="AR108" s="582">
        <f>(INPUTS_2!T139+INPUTS_2!T142)/1000</f>
        <v>772.65899999999999</v>
      </c>
      <c r="AS108" s="582">
        <f>(INPUTS_2!U139+INPUTS_2!U142)/1000</f>
        <v>706.60599999999999</v>
      </c>
      <c r="AT108" s="582">
        <f>(INPUTS_2!V139+INPUTS_2!V142)/1000</f>
        <v>611.81299999999999</v>
      </c>
      <c r="AU108" s="594">
        <f>(INPUTS_2!W139+INPUTS_2!W142)/1000</f>
        <v>481.69600000000003</v>
      </c>
      <c r="AV108" s="582">
        <f>(INPUTS_2!X139+INPUTS_2!X142)/1000</f>
        <v>579.10500000000002</v>
      </c>
      <c r="AW108" s="582">
        <f>(INPUTS_2!Y139+INPUTS_2!Y142)/1000</f>
        <v>627.32600000000002</v>
      </c>
      <c r="AX108" s="582">
        <f>(INPUTS_2!Z139+INPUTS_2!Z142)/1000</f>
        <v>723.41700000000003</v>
      </c>
      <c r="AY108" s="594">
        <f>(INPUTS_2!AA139+INPUTS_2!AA142)/1000+51</f>
        <v>605.17999999999995</v>
      </c>
      <c r="AZ108" s="582">
        <f>(INPUTS_2!AB139+INPUTS_2!AB142)/1000+51</f>
        <v>576.04600000000005</v>
      </c>
      <c r="BA108" s="1903">
        <v>661</v>
      </c>
      <c r="BB108" s="582">
        <f>(INPUTS_2!AD139+INPUTS_2!AD142)/1000+44</f>
        <v>705.99</v>
      </c>
      <c r="BC108" s="594">
        <f>(INPUTS_2!AE139+INPUTS_2!AE142)/1000+31</f>
        <v>651.59100000000001</v>
      </c>
      <c r="BD108" s="582">
        <f>579+42</f>
        <v>621</v>
      </c>
      <c r="BE108" s="1903">
        <v>721</v>
      </c>
      <c r="BF108" s="2043">
        <v>896</v>
      </c>
      <c r="BG108" s="2016">
        <v>668</v>
      </c>
      <c r="BH108" s="2016">
        <v>609</v>
      </c>
      <c r="BI108" s="2016">
        <v>704</v>
      </c>
      <c r="BJ108" s="2043">
        <v>877</v>
      </c>
      <c r="BK108" s="2016">
        <v>656</v>
      </c>
      <c r="BL108" s="2016">
        <v>739</v>
      </c>
      <c r="BM108" s="2016">
        <v>786</v>
      </c>
      <c r="BN108" s="2016">
        <v>820</v>
      </c>
      <c r="BO108" s="2896">
        <v>662</v>
      </c>
      <c r="BP108" s="2897">
        <v>723</v>
      </c>
      <c r="BQ108" s="2897">
        <v>711</v>
      </c>
      <c r="BR108" s="2898">
        <v>930</v>
      </c>
      <c r="BS108" s="2896">
        <v>613</v>
      </c>
      <c r="BT108" s="2897">
        <v>654</v>
      </c>
      <c r="BU108" s="2897">
        <v>764</v>
      </c>
      <c r="BV108" s="2898">
        <v>830</v>
      </c>
      <c r="BW108" s="3663">
        <v>607</v>
      </c>
      <c r="BX108" s="3664">
        <v>648</v>
      </c>
      <c r="BY108" s="3664">
        <v>740</v>
      </c>
      <c r="BZ108" s="3665">
        <v>963</v>
      </c>
      <c r="CA108" s="3663">
        <v>780</v>
      </c>
      <c r="CB108" s="3664">
        <v>829</v>
      </c>
      <c r="CC108" s="3664">
        <v>749</v>
      </c>
      <c r="CD108" s="608">
        <f>-CD34</f>
        <v>743</v>
      </c>
      <c r="CE108" s="582">
        <f>+CHOOSE(Valuation!$I$2,CE109,CE110,CE111)</f>
        <v>969.47604000000024</v>
      </c>
      <c r="CF108" s="582">
        <f>+CHOOSE(Valuation!$I$2,CF109,CF110,CF111)</f>
        <v>966.56953919399996</v>
      </c>
      <c r="CG108" s="582">
        <f>+CHOOSE(Valuation!$I$2,CG109,CG110,CG111)</f>
        <v>964.08083098222176</v>
      </c>
      <c r="CH108" s="593">
        <f>+CHOOSE(Valuation!$I$2,CH109,CH110,CH111)</f>
        <v>950.12461303771966</v>
      </c>
      <c r="CI108" s="632"/>
    </row>
    <row r="109" spans="1:93" hidden="1" outlineLevel="1">
      <c r="A109" s="724" t="s">
        <v>778</v>
      </c>
      <c r="B109" s="275"/>
      <c r="C109" s="275"/>
      <c r="D109" s="413"/>
      <c r="E109" s="582"/>
      <c r="F109" s="582"/>
      <c r="G109" s="582"/>
      <c r="H109" s="582"/>
      <c r="I109" s="582"/>
      <c r="J109" s="582"/>
      <c r="K109" s="582"/>
      <c r="L109" s="582"/>
      <c r="M109" s="582"/>
      <c r="N109" s="582"/>
      <c r="O109" s="582"/>
      <c r="P109" s="582"/>
      <c r="Q109" s="582"/>
      <c r="R109" s="582"/>
      <c r="S109" s="582"/>
      <c r="T109" s="413">
        <f>+'Segments New'!P11*16%</f>
        <v>3773.9406082061196</v>
      </c>
      <c r="U109" s="413">
        <f>+'Segments New'!Q11*16%</f>
        <v>3742.4634537380066</v>
      </c>
      <c r="V109" s="413">
        <f>+'Segments New'!R11*16%</f>
        <v>3718.2457088184824</v>
      </c>
      <c r="W109" s="413">
        <f>+'Segments New'!S11*16%</f>
        <v>3706.8381148050739</v>
      </c>
      <c r="X109" s="413">
        <f>+'Segments New'!T11*16%</f>
        <v>3699.208926648063</v>
      </c>
      <c r="Y109" s="820"/>
      <c r="Z109" s="682"/>
      <c r="AA109" s="582"/>
      <c r="AB109" s="582"/>
      <c r="AC109" s="582"/>
      <c r="AD109" s="593"/>
      <c r="AE109" s="582"/>
      <c r="AF109" s="582"/>
      <c r="AG109" s="582"/>
      <c r="AH109" s="593"/>
      <c r="AI109" s="582"/>
      <c r="AJ109" s="582"/>
      <c r="AK109" s="582"/>
      <c r="AL109" s="593"/>
      <c r="AM109" s="594"/>
      <c r="AN109" s="582"/>
      <c r="AO109" s="582"/>
      <c r="AP109" s="582"/>
      <c r="AQ109" s="594"/>
      <c r="AR109" s="582"/>
      <c r="AS109" s="582"/>
      <c r="AT109" s="582"/>
      <c r="AU109" s="594"/>
      <c r="AV109" s="582"/>
      <c r="AW109" s="582"/>
      <c r="AX109" s="582"/>
      <c r="AY109" s="594"/>
      <c r="AZ109" s="582"/>
      <c r="BA109" s="1903"/>
      <c r="BB109" s="582"/>
      <c r="BC109" s="594"/>
      <c r="BD109" s="582"/>
      <c r="BE109" s="1903"/>
      <c r="BF109" s="2043"/>
      <c r="BG109" s="2016"/>
      <c r="BH109" s="2016"/>
      <c r="BI109" s="2016"/>
      <c r="BJ109" s="2043"/>
      <c r="BK109" s="2016"/>
      <c r="BL109" s="2016"/>
      <c r="BM109" s="2016"/>
      <c r="BN109" s="2016"/>
      <c r="BO109" s="2515"/>
      <c r="BP109" s="2016"/>
      <c r="BQ109" s="2016"/>
      <c r="BR109" s="2043"/>
      <c r="BS109" s="2896"/>
      <c r="BT109" s="2897"/>
      <c r="BU109" s="2897"/>
      <c r="BV109" s="2898"/>
      <c r="BW109" s="2896"/>
      <c r="BX109" s="2897"/>
      <c r="BY109" s="2897"/>
      <c r="BZ109" s="2898"/>
      <c r="CA109" s="2896"/>
      <c r="CB109" s="2897"/>
      <c r="CC109" s="2897"/>
      <c r="CD109" s="2898"/>
      <c r="CE109" s="413">
        <f>+'Segments New'!I11*16.2%</f>
        <v>969.47604000000024</v>
      </c>
      <c r="CF109" s="413">
        <f>+'Segments New'!J11*16.2%</f>
        <v>966.56953919399996</v>
      </c>
      <c r="CG109" s="413">
        <f>+'Segments New'!K11*16.2%</f>
        <v>964.08083098222176</v>
      </c>
      <c r="CH109" s="414">
        <f>+'Segments New'!L11*16%</f>
        <v>950.12461303771966</v>
      </c>
      <c r="CI109" s="632"/>
    </row>
    <row r="110" spans="1:93" hidden="1" outlineLevel="1">
      <c r="A110" s="724" t="s">
        <v>779</v>
      </c>
      <c r="B110" s="275"/>
      <c r="C110" s="275"/>
      <c r="D110" s="413"/>
      <c r="E110" s="582"/>
      <c r="F110" s="582"/>
      <c r="G110" s="582"/>
      <c r="H110" s="582"/>
      <c r="I110" s="582"/>
      <c r="J110" s="582"/>
      <c r="K110" s="582"/>
      <c r="L110" s="582"/>
      <c r="M110" s="582"/>
      <c r="N110" s="582"/>
      <c r="O110" s="582"/>
      <c r="P110" s="582"/>
      <c r="Q110" s="582"/>
      <c r="R110" s="582"/>
      <c r="S110" s="582"/>
      <c r="T110" s="413">
        <f>+T109*98%</f>
        <v>3698.4617960419973</v>
      </c>
      <c r="U110" s="413">
        <f>+U109*98%</f>
        <v>3667.6141846632463</v>
      </c>
      <c r="V110" s="413">
        <f>+V109*98%</f>
        <v>3643.8807946421125</v>
      </c>
      <c r="W110" s="413">
        <f>+W109*98%</f>
        <v>3632.7013525089724</v>
      </c>
      <c r="X110" s="413">
        <f>+X109*98%</f>
        <v>3625.2247481151016</v>
      </c>
      <c r="Y110" s="820"/>
      <c r="Z110" s="682"/>
      <c r="AA110" s="582"/>
      <c r="AB110" s="582"/>
      <c r="AC110" s="582"/>
      <c r="AD110" s="593"/>
      <c r="AE110" s="582"/>
      <c r="AF110" s="582"/>
      <c r="AG110" s="582"/>
      <c r="AH110" s="593"/>
      <c r="AI110" s="582"/>
      <c r="AJ110" s="582"/>
      <c r="AK110" s="582"/>
      <c r="AL110" s="593"/>
      <c r="AM110" s="594"/>
      <c r="AN110" s="582"/>
      <c r="AO110" s="582"/>
      <c r="AP110" s="582"/>
      <c r="AQ110" s="594"/>
      <c r="AR110" s="582"/>
      <c r="AS110" s="582"/>
      <c r="AT110" s="582"/>
      <c r="AU110" s="594"/>
      <c r="AV110" s="582"/>
      <c r="AW110" s="582"/>
      <c r="AX110" s="582"/>
      <c r="AY110" s="594"/>
      <c r="AZ110" s="582"/>
      <c r="BA110" s="1903"/>
      <c r="BB110" s="582"/>
      <c r="BC110" s="594"/>
      <c r="BD110" s="582"/>
      <c r="BE110" s="1903"/>
      <c r="BF110" s="2043"/>
      <c r="BG110" s="2016"/>
      <c r="BH110" s="2016"/>
      <c r="BI110" s="2016"/>
      <c r="BJ110" s="2043"/>
      <c r="BK110" s="2016"/>
      <c r="BL110" s="2016"/>
      <c r="BM110" s="2016"/>
      <c r="BN110" s="2016"/>
      <c r="BO110" s="2515"/>
      <c r="BP110" s="2016"/>
      <c r="BQ110" s="2016"/>
      <c r="BR110" s="2043"/>
      <c r="BS110" s="2896"/>
      <c r="BT110" s="2897"/>
      <c r="BU110" s="2897"/>
      <c r="BV110" s="2898"/>
      <c r="BW110" s="2896"/>
      <c r="BX110" s="2897"/>
      <c r="BY110" s="2897"/>
      <c r="BZ110" s="2898"/>
      <c r="CA110" s="2896"/>
      <c r="CB110" s="2897"/>
      <c r="CC110" s="2897"/>
      <c r="CD110" s="2898"/>
      <c r="CE110" s="413">
        <f>+CE109*98%</f>
        <v>950.08651920000023</v>
      </c>
      <c r="CF110" s="413">
        <f>+CF109*98%</f>
        <v>947.23814841011995</v>
      </c>
      <c r="CG110" s="413">
        <f>+CG109*98%</f>
        <v>944.79921436257735</v>
      </c>
      <c r="CH110" s="414">
        <f>+CH109*98%</f>
        <v>931.12212077696529</v>
      </c>
      <c r="CI110" s="632"/>
    </row>
    <row r="111" spans="1:93" hidden="1" outlineLevel="1">
      <c r="A111" s="724" t="s">
        <v>780</v>
      </c>
      <c r="B111" s="275"/>
      <c r="C111" s="275"/>
      <c r="D111" s="413"/>
      <c r="E111" s="582"/>
      <c r="F111" s="582"/>
      <c r="G111" s="582"/>
      <c r="H111" s="582"/>
      <c r="I111" s="582"/>
      <c r="J111" s="582"/>
      <c r="K111" s="582"/>
      <c r="L111" s="582"/>
      <c r="M111" s="582"/>
      <c r="N111" s="582"/>
      <c r="O111" s="582"/>
      <c r="P111" s="582"/>
      <c r="Q111" s="582"/>
      <c r="R111" s="582"/>
      <c r="S111" s="582"/>
      <c r="T111" s="413">
        <f>+T110*110%</f>
        <v>4068.3079756461975</v>
      </c>
      <c r="U111" s="413">
        <f t="shared" ref="U111:X111" si="193">+U110*110%</f>
        <v>4034.3756031295711</v>
      </c>
      <c r="V111" s="413">
        <f t="shared" si="193"/>
        <v>4008.2688741063239</v>
      </c>
      <c r="W111" s="413">
        <f t="shared" si="193"/>
        <v>3995.9714877598699</v>
      </c>
      <c r="X111" s="413">
        <f t="shared" si="193"/>
        <v>3987.7472229266123</v>
      </c>
      <c r="Y111" s="820"/>
      <c r="Z111" s="682"/>
      <c r="AA111" s="582"/>
      <c r="AB111" s="582"/>
      <c r="AC111" s="582"/>
      <c r="AD111" s="593"/>
      <c r="AE111" s="582"/>
      <c r="AF111" s="582"/>
      <c r="AG111" s="582"/>
      <c r="AH111" s="593"/>
      <c r="AI111" s="582"/>
      <c r="AJ111" s="582"/>
      <c r="AK111" s="582"/>
      <c r="AL111" s="593"/>
      <c r="AM111" s="594"/>
      <c r="AN111" s="582"/>
      <c r="AO111" s="582"/>
      <c r="AP111" s="582"/>
      <c r="AQ111" s="594"/>
      <c r="AR111" s="582"/>
      <c r="AS111" s="582"/>
      <c r="AT111" s="582"/>
      <c r="AU111" s="594"/>
      <c r="AV111" s="582"/>
      <c r="AW111" s="582"/>
      <c r="AX111" s="582"/>
      <c r="AY111" s="594"/>
      <c r="AZ111" s="582"/>
      <c r="BA111" s="1903"/>
      <c r="BB111" s="582"/>
      <c r="BC111" s="594"/>
      <c r="BD111" s="582"/>
      <c r="BE111" s="1903"/>
      <c r="BF111" s="2043"/>
      <c r="BG111" s="2016"/>
      <c r="BH111" s="2016"/>
      <c r="BI111" s="2016"/>
      <c r="BJ111" s="2043"/>
      <c r="BK111" s="2016"/>
      <c r="BL111" s="2016"/>
      <c r="BM111" s="2016"/>
      <c r="BN111" s="2016"/>
      <c r="BO111" s="2515"/>
      <c r="BP111" s="2016"/>
      <c r="BQ111" s="2016"/>
      <c r="BR111" s="2043"/>
      <c r="BS111" s="2896"/>
      <c r="BT111" s="2897"/>
      <c r="BU111" s="2897"/>
      <c r="BV111" s="2898"/>
      <c r="BW111" s="2896"/>
      <c r="BX111" s="2897"/>
      <c r="BY111" s="2897"/>
      <c r="BZ111" s="2898"/>
      <c r="CA111" s="2896"/>
      <c r="CB111" s="2897"/>
      <c r="CC111" s="2897"/>
      <c r="CD111" s="2898"/>
      <c r="CE111" s="413">
        <f>+CE109*102%</f>
        <v>988.86556080000025</v>
      </c>
      <c r="CF111" s="413">
        <f>+CF109*102%</f>
        <v>985.90092997787997</v>
      </c>
      <c r="CG111" s="413">
        <f>+CG109*102%</f>
        <v>983.36244760186617</v>
      </c>
      <c r="CH111" s="414">
        <f>+CH109*102%</f>
        <v>969.12710529847402</v>
      </c>
      <c r="CI111" s="632"/>
    </row>
    <row r="112" spans="1:93" s="3617" customFormat="1" hidden="1" outlineLevel="1">
      <c r="A112" s="3660" t="s">
        <v>2011</v>
      </c>
      <c r="B112" s="275"/>
      <c r="C112" s="275"/>
      <c r="D112" s="413"/>
      <c r="E112" s="582"/>
      <c r="F112" s="582"/>
      <c r="G112" s="582"/>
      <c r="H112" s="582"/>
      <c r="I112" s="582"/>
      <c r="J112" s="582"/>
      <c r="K112" s="582"/>
      <c r="L112" s="582"/>
      <c r="M112" s="582"/>
      <c r="N112" s="582"/>
      <c r="O112" s="582"/>
      <c r="P112" s="1701">
        <f>SUM(BS112:BV112)</f>
        <v>11</v>
      </c>
      <c r="Q112" s="1701">
        <f>SUM(BW112:BZ112)</f>
        <v>23</v>
      </c>
      <c r="R112" s="1701">
        <f>SUM(CA112:CD112)</f>
        <v>5</v>
      </c>
      <c r="S112" s="1701">
        <f>SUM(CE112:CH112)</f>
        <v>0</v>
      </c>
      <c r="T112" s="413"/>
      <c r="U112" s="413"/>
      <c r="V112" s="413"/>
      <c r="W112" s="413"/>
      <c r="X112" s="413"/>
      <c r="Y112" s="820"/>
      <c r="Z112" s="682"/>
      <c r="AA112" s="582"/>
      <c r="AB112" s="582"/>
      <c r="AC112" s="582"/>
      <c r="AD112" s="593"/>
      <c r="AE112" s="582"/>
      <c r="AF112" s="582"/>
      <c r="AG112" s="582"/>
      <c r="AH112" s="593"/>
      <c r="AI112" s="582"/>
      <c r="AJ112" s="582"/>
      <c r="AK112" s="582"/>
      <c r="AL112" s="593"/>
      <c r="AM112" s="594"/>
      <c r="AN112" s="582"/>
      <c r="AO112" s="582"/>
      <c r="AP112" s="582"/>
      <c r="AQ112" s="594"/>
      <c r="AR112" s="582"/>
      <c r="AS112" s="582"/>
      <c r="AT112" s="582"/>
      <c r="AU112" s="594"/>
      <c r="AV112" s="582"/>
      <c r="AW112" s="582"/>
      <c r="AX112" s="582"/>
      <c r="AY112" s="594"/>
      <c r="AZ112" s="582"/>
      <c r="BA112" s="1903"/>
      <c r="BB112" s="582"/>
      <c r="BC112" s="594"/>
      <c r="BD112" s="582"/>
      <c r="BE112" s="1903"/>
      <c r="BF112" s="2043"/>
      <c r="BG112" s="2016"/>
      <c r="BH112" s="2016"/>
      <c r="BI112" s="2016"/>
      <c r="BJ112" s="2043"/>
      <c r="BK112" s="2016"/>
      <c r="BL112" s="2016"/>
      <c r="BM112" s="2016"/>
      <c r="BN112" s="2016"/>
      <c r="BO112" s="1724">
        <f>+BO113-BO108</f>
        <v>8</v>
      </c>
      <c r="BP112" s="1710">
        <f>+BP113-BP108</f>
        <v>8</v>
      </c>
      <c r="BQ112" s="1710">
        <f>+BQ113-BQ108</f>
        <v>1</v>
      </c>
      <c r="BR112" s="1742">
        <f>+BR113-BR108</f>
        <v>4</v>
      </c>
      <c r="BS112" s="1724">
        <f t="shared" ref="BS112:CB112" si="194">+BS113-BS108</f>
        <v>3</v>
      </c>
      <c r="BT112" s="1710">
        <f t="shared" si="194"/>
        <v>2</v>
      </c>
      <c r="BU112" s="1710">
        <f t="shared" si="194"/>
        <v>3</v>
      </c>
      <c r="BV112" s="1742">
        <f t="shared" si="194"/>
        <v>3</v>
      </c>
      <c r="BW112" s="1724">
        <f t="shared" si="194"/>
        <v>4</v>
      </c>
      <c r="BX112" s="1710">
        <f t="shared" si="194"/>
        <v>5</v>
      </c>
      <c r="BY112" s="1710">
        <f t="shared" si="194"/>
        <v>6</v>
      </c>
      <c r="BZ112" s="1742">
        <f t="shared" si="194"/>
        <v>8</v>
      </c>
      <c r="CA112" s="1724">
        <f t="shared" si="194"/>
        <v>0</v>
      </c>
      <c r="CB112" s="1710">
        <f t="shared" si="194"/>
        <v>1</v>
      </c>
      <c r="CC112" s="1710">
        <f>+CC113-CC108</f>
        <v>4</v>
      </c>
      <c r="CD112" s="1742">
        <f t="shared" ref="CD112" si="195">+CD113-CD108</f>
        <v>0</v>
      </c>
      <c r="CE112" s="413"/>
      <c r="CF112" s="413"/>
      <c r="CG112" s="413"/>
      <c r="CH112" s="414"/>
      <c r="CI112" s="632"/>
      <c r="CJ112"/>
      <c r="CK112"/>
      <c r="CL112"/>
      <c r="CM112"/>
      <c r="CN112"/>
      <c r="CO112"/>
    </row>
    <row r="113" spans="1:93" s="3617" customFormat="1" hidden="1" outlineLevel="1">
      <c r="A113" s="3660" t="s">
        <v>2010</v>
      </c>
      <c r="B113" s="275"/>
      <c r="C113" s="275"/>
      <c r="D113" s="413"/>
      <c r="E113" s="582"/>
      <c r="F113" s="582"/>
      <c r="G113" s="582"/>
      <c r="H113" s="582"/>
      <c r="I113" s="582"/>
      <c r="J113" s="582"/>
      <c r="K113" s="582"/>
      <c r="L113" s="582"/>
      <c r="M113" s="582"/>
      <c r="N113" s="582"/>
      <c r="O113" s="582"/>
      <c r="P113" s="1701">
        <f>SUM(BS113:BV113)</f>
        <v>2872</v>
      </c>
      <c r="Q113" s="1701">
        <f>SUM(BW113:BZ113)</f>
        <v>2981</v>
      </c>
      <c r="R113" s="1701">
        <f>SUM(CA113:CD113)</f>
        <v>3106</v>
      </c>
      <c r="S113" s="1701">
        <f>SUM(CB113:CE113)</f>
        <v>2326</v>
      </c>
      <c r="T113" s="413"/>
      <c r="U113" s="413"/>
      <c r="V113" s="413"/>
      <c r="W113" s="413"/>
      <c r="X113" s="413"/>
      <c r="Y113" s="820"/>
      <c r="Z113" s="682"/>
      <c r="AA113" s="582"/>
      <c r="AB113" s="582"/>
      <c r="AC113" s="582"/>
      <c r="AD113" s="593"/>
      <c r="AE113" s="582"/>
      <c r="AF113" s="582"/>
      <c r="AG113" s="582"/>
      <c r="AH113" s="593"/>
      <c r="AI113" s="582"/>
      <c r="AJ113" s="582"/>
      <c r="AK113" s="582"/>
      <c r="AL113" s="593"/>
      <c r="AM113" s="594"/>
      <c r="AN113" s="582"/>
      <c r="AO113" s="582"/>
      <c r="AP113" s="582"/>
      <c r="AQ113" s="594"/>
      <c r="AR113" s="582"/>
      <c r="AS113" s="582"/>
      <c r="AT113" s="582"/>
      <c r="AU113" s="594"/>
      <c r="AV113" s="582"/>
      <c r="AW113" s="582"/>
      <c r="AX113" s="582"/>
      <c r="AY113" s="594"/>
      <c r="AZ113" s="582"/>
      <c r="BA113" s="1903"/>
      <c r="BB113" s="582"/>
      <c r="BC113" s="594"/>
      <c r="BD113" s="582"/>
      <c r="BE113" s="1903"/>
      <c r="BF113" s="2043"/>
      <c r="BG113" s="2016"/>
      <c r="BH113" s="2016"/>
      <c r="BI113" s="2016"/>
      <c r="BJ113" s="2043"/>
      <c r="BK113" s="2016"/>
      <c r="BL113" s="2016"/>
      <c r="BM113" s="2016"/>
      <c r="BN113" s="2016"/>
      <c r="BO113" s="1724">
        <f t="shared" ref="BO113:BV113" si="196">-BO34</f>
        <v>670</v>
      </c>
      <c r="BP113" s="1710">
        <f t="shared" si="196"/>
        <v>731</v>
      </c>
      <c r="BQ113" s="1710">
        <f t="shared" si="196"/>
        <v>712</v>
      </c>
      <c r="BR113" s="1742">
        <f t="shared" si="196"/>
        <v>934</v>
      </c>
      <c r="BS113" s="1724">
        <f t="shared" si="196"/>
        <v>616</v>
      </c>
      <c r="BT113" s="1710">
        <f t="shared" si="196"/>
        <v>656</v>
      </c>
      <c r="BU113" s="1710">
        <f t="shared" si="196"/>
        <v>767</v>
      </c>
      <c r="BV113" s="1742">
        <f t="shared" si="196"/>
        <v>833</v>
      </c>
      <c r="BW113" s="1724">
        <f t="shared" ref="BW113:CB113" si="197">-BW34</f>
        <v>611</v>
      </c>
      <c r="BX113" s="1710">
        <f t="shared" si="197"/>
        <v>653</v>
      </c>
      <c r="BY113" s="1710">
        <f t="shared" si="197"/>
        <v>746</v>
      </c>
      <c r="BZ113" s="1742">
        <f t="shared" si="197"/>
        <v>971</v>
      </c>
      <c r="CA113" s="1724">
        <f t="shared" si="197"/>
        <v>780</v>
      </c>
      <c r="CB113" s="1710">
        <f t="shared" si="197"/>
        <v>830</v>
      </c>
      <c r="CC113" s="1710">
        <f>-CC34</f>
        <v>753</v>
      </c>
      <c r="CD113" s="1742">
        <f t="shared" ref="CD113" si="198">-CD34</f>
        <v>743</v>
      </c>
      <c r="CE113" s="413"/>
      <c r="CF113" s="413"/>
      <c r="CG113" s="413"/>
      <c r="CH113" s="414"/>
      <c r="CI113" s="632"/>
      <c r="CJ113"/>
      <c r="CK113"/>
      <c r="CL113"/>
      <c r="CM113"/>
      <c r="CN113"/>
      <c r="CO113"/>
    </row>
    <row r="114" spans="1:93" collapsed="1">
      <c r="A114" s="725" t="s">
        <v>775</v>
      </c>
      <c r="B114" s="274"/>
      <c r="C114" s="274"/>
      <c r="D114" s="413"/>
      <c r="E114" s="413"/>
      <c r="F114" s="16">
        <f t="shared" ref="F114:Q114" si="199">F108/E108-1</f>
        <v>7.6705872582503609E-2</v>
      </c>
      <c r="G114" s="16">
        <f t="shared" si="199"/>
        <v>2.1433092616517873</v>
      </c>
      <c r="H114" s="16">
        <f t="shared" si="199"/>
        <v>-0.11427752016569659</v>
      </c>
      <c r="I114" s="16">
        <f t="shared" si="199"/>
        <v>1.3711777463215715</v>
      </c>
      <c r="J114" s="16">
        <f t="shared" si="199"/>
        <v>-0.11949429260881617</v>
      </c>
      <c r="K114" s="16">
        <f t="shared" si="199"/>
        <v>5.667406441682199E-2</v>
      </c>
      <c r="L114" s="16">
        <f t="shared" si="199"/>
        <v>0.13396627287482676</v>
      </c>
      <c r="M114" s="16">
        <f t="shared" si="199"/>
        <v>-1.0932689089909187E-2</v>
      </c>
      <c r="N114" s="16">
        <f t="shared" si="199"/>
        <v>5.0034989503149108E-2</v>
      </c>
      <c r="O114" s="16">
        <f t="shared" si="199"/>
        <v>8.3305564811728683E-3</v>
      </c>
      <c r="P114" s="16">
        <f t="shared" si="199"/>
        <v>-5.4527428949107781E-2</v>
      </c>
      <c r="Q114" s="16">
        <f t="shared" si="199"/>
        <v>3.3904229290457888E-2</v>
      </c>
      <c r="R114" s="16">
        <f t="shared" ref="R114:X114" si="200">R108/Q108-1</f>
        <v>4.8343475321162899E-2</v>
      </c>
      <c r="S114" s="16">
        <f t="shared" si="200"/>
        <v>0.24161593783100366</v>
      </c>
      <c r="T114" s="16">
        <f t="shared" si="200"/>
        <v>-1.9819594760895232E-2</v>
      </c>
      <c r="U114" s="16">
        <f t="shared" si="200"/>
        <v>-8.3406597336663779E-3</v>
      </c>
      <c r="V114" s="16">
        <f t="shared" si="200"/>
        <v>-6.4710705178256944E-3</v>
      </c>
      <c r="W114" s="16">
        <f t="shared" si="200"/>
        <v>-3.0680043511791544E-3</v>
      </c>
      <c r="X114" s="16">
        <f t="shared" si="200"/>
        <v>-2.0581390178707748E-3</v>
      </c>
      <c r="Y114" s="813"/>
      <c r="Z114" s="679"/>
      <c r="AA114" s="490"/>
      <c r="AB114" s="413"/>
      <c r="AC114" s="16"/>
      <c r="AD114" s="284">
        <f t="shared" ref="AD114:BS114" si="201">AD108/Z108-1</f>
        <v>8.4285479091208426E-2</v>
      </c>
      <c r="AE114" s="7">
        <f t="shared" si="201"/>
        <v>0.21310227548789396</v>
      </c>
      <c r="AF114" s="16">
        <f t="shared" si="201"/>
        <v>8.2126680032672317E-2</v>
      </c>
      <c r="AG114" s="16">
        <f t="shared" si="201"/>
        <v>7.6457989608845756E-2</v>
      </c>
      <c r="AH114" s="284">
        <f t="shared" si="201"/>
        <v>9.0723433976873658E-3</v>
      </c>
      <c r="AI114" s="7">
        <f t="shared" si="201"/>
        <v>2.525733281711013</v>
      </c>
      <c r="AJ114" s="16">
        <f t="shared" si="201"/>
        <v>2.748291850878827</v>
      </c>
      <c r="AK114" s="16">
        <f t="shared" si="201"/>
        <v>2.2612905068352309</v>
      </c>
      <c r="AL114" s="284">
        <f t="shared" si="201"/>
        <v>1.3702318792602735</v>
      </c>
      <c r="AM114" s="7">
        <f t="shared" si="201"/>
        <v>-0.12195934688437193</v>
      </c>
      <c r="AN114" s="16">
        <f t="shared" si="201"/>
        <v>-0.35670180742585011</v>
      </c>
      <c r="AO114" s="16">
        <f t="shared" si="201"/>
        <v>-0.20472358200590235</v>
      </c>
      <c r="AP114" s="16">
        <f t="shared" si="201"/>
        <v>0.28475068007884796</v>
      </c>
      <c r="AQ114" s="7">
        <f t="shared" si="201"/>
        <v>1.7934233224081422</v>
      </c>
      <c r="AR114" s="16">
        <f t="shared" si="201"/>
        <v>2.1411967021172797</v>
      </c>
      <c r="AS114" s="16">
        <f t="shared" si="201"/>
        <v>1.5935730147369194</v>
      </c>
      <c r="AT114" s="332">
        <f t="shared" si="201"/>
        <v>0.51160486628584967</v>
      </c>
      <c r="AU114" s="265">
        <f t="shared" si="201"/>
        <v>-0.25634244657184457</v>
      </c>
      <c r="AV114" s="16">
        <f t="shared" si="201"/>
        <v>-0.25050377980454508</v>
      </c>
      <c r="AW114" s="16">
        <f t="shared" si="201"/>
        <v>-0.11219831136446612</v>
      </c>
      <c r="AX114" s="16">
        <f t="shared" si="201"/>
        <v>0.18241521510657677</v>
      </c>
      <c r="AY114" s="7">
        <f t="shared" si="201"/>
        <v>0.2563525543081111</v>
      </c>
      <c r="AZ114" s="16">
        <f t="shared" si="201"/>
        <v>-5.28228904948147E-3</v>
      </c>
      <c r="BA114" s="16">
        <f t="shared" si="201"/>
        <v>5.3678629612035733E-2</v>
      </c>
      <c r="BB114" s="16">
        <f t="shared" si="201"/>
        <v>-2.408984029957828E-2</v>
      </c>
      <c r="BC114" s="7">
        <f t="shared" si="201"/>
        <v>7.668957995968162E-2</v>
      </c>
      <c r="BD114" s="16">
        <f t="shared" si="201"/>
        <v>7.8038906615096604E-2</v>
      </c>
      <c r="BE114" s="16">
        <f t="shared" si="201"/>
        <v>9.0771558245083206E-2</v>
      </c>
      <c r="BF114" s="284">
        <f t="shared" si="201"/>
        <v>0.26913978951543216</v>
      </c>
      <c r="BG114" s="16">
        <f t="shared" si="201"/>
        <v>2.5182975209909308E-2</v>
      </c>
      <c r="BH114" s="16">
        <f t="shared" si="201"/>
        <v>-1.9323671497584516E-2</v>
      </c>
      <c r="BI114" s="16">
        <f t="shared" si="201"/>
        <v>-2.3578363384188616E-2</v>
      </c>
      <c r="BJ114" s="284">
        <f t="shared" si="201"/>
        <v>-2.1205357142857095E-2</v>
      </c>
      <c r="BK114" s="16">
        <f t="shared" si="201"/>
        <v>-1.7964071856287456E-2</v>
      </c>
      <c r="BL114" s="16">
        <f t="shared" si="201"/>
        <v>0.21346469622331687</v>
      </c>
      <c r="BM114" s="16">
        <f t="shared" si="201"/>
        <v>0.11647727272727271</v>
      </c>
      <c r="BN114" s="16">
        <f t="shared" si="201"/>
        <v>-6.4994298745724044E-2</v>
      </c>
      <c r="BO114" s="7">
        <f t="shared" si="201"/>
        <v>9.1463414634145312E-3</v>
      </c>
      <c r="BP114" s="16">
        <f t="shared" si="201"/>
        <v>-2.1650879566982417E-2</v>
      </c>
      <c r="BQ114" s="16">
        <f t="shared" si="201"/>
        <v>-9.5419847328244267E-2</v>
      </c>
      <c r="BR114" s="284">
        <f t="shared" si="201"/>
        <v>0.13414634146341453</v>
      </c>
      <c r="BS114" s="7">
        <f t="shared" si="201"/>
        <v>-7.4018126888217517E-2</v>
      </c>
      <c r="BT114" s="16">
        <f t="shared" ref="BT114:CC114" si="202">BT108/BP108-1</f>
        <v>-9.5435684647302899E-2</v>
      </c>
      <c r="BU114" s="16">
        <f t="shared" si="202"/>
        <v>7.4542897327707358E-2</v>
      </c>
      <c r="BV114" s="284">
        <f t="shared" si="202"/>
        <v>-0.10752688172043012</v>
      </c>
      <c r="BW114" s="7">
        <f t="shared" si="202"/>
        <v>-9.7879282218596986E-3</v>
      </c>
      <c r="BX114" s="16">
        <f t="shared" si="202"/>
        <v>-9.1743119266054496E-3</v>
      </c>
      <c r="BY114" s="16">
        <f t="shared" si="202"/>
        <v>-3.1413612565445059E-2</v>
      </c>
      <c r="BZ114" s="284">
        <f t="shared" si="202"/>
        <v>0.16024096385542164</v>
      </c>
      <c r="CA114" s="7">
        <f t="shared" si="202"/>
        <v>0.28500823723228996</v>
      </c>
      <c r="CB114" s="16">
        <f t="shared" si="202"/>
        <v>0.27932098765432101</v>
      </c>
      <c r="CC114" s="16">
        <f t="shared" si="202"/>
        <v>1.2162162162162149E-2</v>
      </c>
      <c r="CD114" s="284">
        <f t="shared" ref="CD114" si="203">CD108/BZ108-1</f>
        <v>-0.22845275181723779</v>
      </c>
      <c r="CE114" s="16">
        <f>CE108/CA108-1</f>
        <v>0.24291800000000041</v>
      </c>
      <c r="CF114" s="16">
        <f>CF108/CB108-1</f>
        <v>0.16594636814716512</v>
      </c>
      <c r="CG114" s="16">
        <f>CG108/CC108-1</f>
        <v>0.28715731773327335</v>
      </c>
      <c r="CH114" s="284">
        <f>CH108/CD108-1</f>
        <v>0.2787679852459215</v>
      </c>
      <c r="CI114" s="632"/>
    </row>
    <row r="115" spans="1:93">
      <c r="A115" s="726" t="s">
        <v>1150</v>
      </c>
      <c r="B115" s="727"/>
      <c r="C115" s="727"/>
      <c r="D115" s="413"/>
      <c r="E115" s="16">
        <f>E108/IS!E25</f>
        <v>0.32675386525376016</v>
      </c>
      <c r="F115" s="16">
        <f>F108/IS!F25</f>
        <v>0.34257441112694687</v>
      </c>
      <c r="G115" s="16">
        <f>G108/IS!G25</f>
        <v>0.19043037257484646</v>
      </c>
      <c r="H115" s="16">
        <f>H108/IS!H25</f>
        <v>0.16761738056312023</v>
      </c>
      <c r="I115" s="16">
        <f>I108/IS!I25</f>
        <v>0.12615036414706199</v>
      </c>
      <c r="J115" s="16">
        <f>J108/IS!J25</f>
        <v>0.12142254986327562</v>
      </c>
      <c r="K115" s="16">
        <f>K108/IS!K25</f>
        <v>0.13114178374761981</v>
      </c>
      <c r="L115" s="16">
        <f ca="1">L108/IS!L25</f>
        <v>0.15459137161750072</v>
      </c>
      <c r="M115" s="16">
        <f>M108/IS!M25</f>
        <v>0.15552048756597922</v>
      </c>
      <c r="N115" s="16">
        <f>N108/IS!N25</f>
        <v>0.1658469190384084</v>
      </c>
      <c r="O115" s="16">
        <f>O108/IS!O25</f>
        <v>0.16785932212791924</v>
      </c>
      <c r="P115" s="16">
        <f>+P108/Subscribers!Q118</f>
        <v>0.15983240223463688</v>
      </c>
      <c r="Q115" s="16">
        <f>+Q108/Subscribers!R118</f>
        <v>0.16931883228391528</v>
      </c>
      <c r="R115" s="16">
        <f>+R108/Subscribers!S118</f>
        <v>0.19028041970914891</v>
      </c>
      <c r="S115" s="16">
        <f>+S108/Subscribers!T118</f>
        <v>0.24416098679847006</v>
      </c>
      <c r="T115" s="16">
        <f>+T108/Subscribers!U118</f>
        <v>0.24487316031856596</v>
      </c>
      <c r="U115" s="16">
        <f>+U108/Subscribers!V118</f>
        <v>0.24841183303247916</v>
      </c>
      <c r="V115" s="16">
        <f>+V108/Subscribers!W118</f>
        <v>0.25159486244142265</v>
      </c>
      <c r="W115" s="16">
        <f>+W108/Subscribers!X118</f>
        <v>0.25483944574636297</v>
      </c>
      <c r="X115" s="16">
        <f>+X108/Subscribers!Y118</f>
        <v>0.25757021956377057</v>
      </c>
      <c r="Y115" s="2545"/>
      <c r="Z115" s="429">
        <f>Z108/IS!AD25</f>
        <v>0.20209514841882342</v>
      </c>
      <c r="AA115" s="7">
        <f>AA108/IS!AE25</f>
        <v>0.10399963618234002</v>
      </c>
      <c r="AB115" s="16">
        <f>AB108/IS!AF25</f>
        <v>0.15618957675771059</v>
      </c>
      <c r="AC115" s="16">
        <f>AC108/IS!AG25</f>
        <v>0.16065901427743531</v>
      </c>
      <c r="AD115" s="284">
        <f>AD108/IS!AH25</f>
        <v>0.21727418785485469</v>
      </c>
      <c r="AE115" s="7">
        <f>AE108/IS!AI25</f>
        <v>0.12582775894450027</v>
      </c>
      <c r="AF115" s="16">
        <f>AF108/IS!AJ25</f>
        <v>0.16822033828430458</v>
      </c>
      <c r="AG115" s="16">
        <f>AG108/IS!AK25</f>
        <v>0.15986364016831917</v>
      </c>
      <c r="AH115" s="284">
        <f>AH108/IS!AL25</f>
        <v>0.21421434005080003</v>
      </c>
      <c r="AI115" s="7">
        <f>AI108/IS!AM25</f>
        <v>0.1243740395424749</v>
      </c>
      <c r="AJ115" s="16">
        <f>AJ108/IS!AN25</f>
        <v>0.18198151376568145</v>
      </c>
      <c r="AK115" s="16">
        <f>AK108/IS!AO25</f>
        <v>0.1630993052857698</v>
      </c>
      <c r="AL115" s="284">
        <f>AL108/IS!AP25</f>
        <v>0.14932822042996735</v>
      </c>
      <c r="AM115" s="7">
        <f>AM108/IS!AQ25</f>
        <v>0.1114349630320229</v>
      </c>
      <c r="AN115" s="16">
        <f>AN108/IS!AR25</f>
        <v>0.11596504114331944</v>
      </c>
      <c r="AO115" s="16">
        <f>AO108/IS!AS25</f>
        <v>0.12489994526215029</v>
      </c>
      <c r="AP115" s="16">
        <f>AP108/IS!AT25</f>
        <v>0.1907508839001511</v>
      </c>
      <c r="AQ115" s="7">
        <f>AQ108/IS!AU25</f>
        <v>0.1176933920147743</v>
      </c>
      <c r="AR115" s="16">
        <f>AR108/IS!AV25</f>
        <v>0.14103289305445049</v>
      </c>
      <c r="AS115" s="16">
        <f>AS108/IS!AW25</f>
        <v>0.12996073438778546</v>
      </c>
      <c r="AT115" s="332">
        <f>AT108/IS!AX25</f>
        <v>0.11562241447279151</v>
      </c>
      <c r="AU115" s="265">
        <f>AU108/IS!AY25</f>
        <v>9.4402125035545639E-2</v>
      </c>
      <c r="AV115" s="16">
        <f>AV108/IS!AZ25</f>
        <v>0.11590414963694956</v>
      </c>
      <c r="AW115" s="16">
        <f>AW108/IS!BA25</f>
        <v>0.12728990072692042</v>
      </c>
      <c r="AX115" s="16">
        <f>AX108/IS!BB25</f>
        <v>0.14966967516195559</v>
      </c>
      <c r="AY115" s="7">
        <f>AY108/IS!BC25</f>
        <v>0.12317932017097495</v>
      </c>
      <c r="AZ115" s="16">
        <f>AZ108/IS!BD25</f>
        <v>0.1186744952616399</v>
      </c>
      <c r="BA115" s="16">
        <f>BA108/IS!BE25</f>
        <v>0.13609223800700021</v>
      </c>
      <c r="BB115" s="16">
        <f>BB108/IS!BF25</f>
        <v>0.14686706885791553</v>
      </c>
      <c r="BC115" s="7">
        <f ca="1">BC108/IS!BG25</f>
        <v>0.13755932274953556</v>
      </c>
      <c r="BD115" s="16">
        <f>BD108/IS!BH25</f>
        <v>0.13300492610837439</v>
      </c>
      <c r="BE115" s="16">
        <f>BE108/IS!BI25</f>
        <v>0.15562270666954456</v>
      </c>
      <c r="BF115" s="284">
        <f>BF108/IS!BJ25</f>
        <v>0.19256393724478832</v>
      </c>
      <c r="BG115" s="16">
        <f>BG108/IS!BK25</f>
        <v>0.14490238611713666</v>
      </c>
      <c r="BH115" s="16">
        <f>BH108/IS!BL25</f>
        <v>0.13204683434518646</v>
      </c>
      <c r="BI115" s="16">
        <f>BI108/IS!BM25</f>
        <v>0.15401443885364252</v>
      </c>
      <c r="BJ115" s="284">
        <f>BJ108/IS!BN25</f>
        <v>0.19131762652705062</v>
      </c>
      <c r="BK115" s="16">
        <f>BK108/IS!BO25</f>
        <v>0.1453578550853091</v>
      </c>
      <c r="BL115" s="16">
        <f>BL108/IS!BP25</f>
        <v>0.16331491712707183</v>
      </c>
      <c r="BM115" s="16">
        <f>BM108/IS!BQ25</f>
        <v>0.17408637873754154</v>
      </c>
      <c r="BN115" s="16">
        <f>BN108/IS!BR25</f>
        <v>0.18053720827829151</v>
      </c>
      <c r="BO115" s="7">
        <f>BO108/IS!BS25</f>
        <v>0.14587924195680918</v>
      </c>
      <c r="BP115" s="16">
        <f>BP108/IS!BT25</f>
        <v>0.1592511013215859</v>
      </c>
      <c r="BQ115" s="16">
        <f>BQ108/IS!BU25</f>
        <v>0.15754487037447373</v>
      </c>
      <c r="BR115" s="284">
        <f>BR108/IS!BV25</f>
        <v>0.2096483318304779</v>
      </c>
      <c r="BS115" s="7">
        <f>BS108/IS!BW25</f>
        <v>0.13772186025612221</v>
      </c>
      <c r="BT115" s="16">
        <f>BT108/IS!BX25</f>
        <v>0.14799728445349628</v>
      </c>
      <c r="BU115" s="16">
        <f>BU108/IS!BY25</f>
        <v>0.16776460254721123</v>
      </c>
      <c r="BV115" s="284">
        <f>BV108/IS!BZ25</f>
        <v>0.18543342269883825</v>
      </c>
      <c r="BW115" s="7">
        <f>BW108/IS!CA25</f>
        <v>0.13792319927289254</v>
      </c>
      <c r="BX115" s="16">
        <f>BX108/IS!CB25</f>
        <v>0.14733969986357434</v>
      </c>
      <c r="BY115" s="16">
        <f>BY108/IS!CC25</f>
        <v>0.16887266088544045</v>
      </c>
      <c r="BZ115" s="284">
        <f>BZ108/IS!CD25</f>
        <v>0.22452786197248775</v>
      </c>
      <c r="CA115" s="7">
        <f>CA108/IS!CE25</f>
        <v>0.18531717747683535</v>
      </c>
      <c r="CB115" s="16">
        <f>CB108/IS!CF25</f>
        <v>0.20268948655256724</v>
      </c>
      <c r="CC115" s="16">
        <f>CC108/IS!CG25</f>
        <v>0.18567178978681209</v>
      </c>
      <c r="CD115" s="284">
        <f>CD108/IS!CH25</f>
        <v>0.12373022481265612</v>
      </c>
      <c r="CE115" s="16">
        <f>CE108/Subscribers!CQ118</f>
        <v>0.24269239761982847</v>
      </c>
      <c r="CF115" s="16">
        <f>CF108/Subscribers!CR118</f>
        <v>0.24428536928008354</v>
      </c>
      <c r="CG115" s="16">
        <f>CG108/Subscribers!CS118</f>
        <v>0.24492056778757251</v>
      </c>
      <c r="CH115" s="284">
        <f>CH108/Subscribers!CT118</f>
        <v>0.24477527760000198</v>
      </c>
      <c r="CI115" s="632"/>
    </row>
    <row r="116" spans="1:93">
      <c r="A116" s="726" t="s">
        <v>1151</v>
      </c>
      <c r="B116" s="727"/>
      <c r="C116" s="727"/>
      <c r="D116" s="413"/>
      <c r="E116" s="16">
        <f>E108/IS!E60</f>
        <v>14.426448013778096</v>
      </c>
      <c r="F116" s="16">
        <f>F108/IS!F60</f>
        <v>69.411410406560066</v>
      </c>
      <c r="G116" s="16">
        <f>G108/IS!G60</f>
        <v>0.57160839047756751</v>
      </c>
      <c r="H116" s="16">
        <f>H108/IS!H60</f>
        <v>0.51601297889611453</v>
      </c>
      <c r="I116" s="16">
        <f>I108/IS!I60</f>
        <v>0.3263589067735615</v>
      </c>
      <c r="J116" s="16">
        <f>J108/IS!J60</f>
        <v>0.29283849004227669</v>
      </c>
      <c r="K116" s="16">
        <f>K108/IS!K60</f>
        <v>0.30835140367860603</v>
      </c>
      <c r="L116" s="16">
        <f ca="1">L108/IS!L60</f>
        <v>0.36625548985683598</v>
      </c>
      <c r="M116" s="16">
        <f>M108/IS!M60</f>
        <v>0.35417312101121506</v>
      </c>
      <c r="N116" s="16">
        <f>N108/IS!N60</f>
        <v>0.40379440258342303</v>
      </c>
      <c r="O116" s="16">
        <f>O108/IS!O60</f>
        <v>0.42909812819058424</v>
      </c>
      <c r="P116" s="16">
        <f>P108/IS!P60</f>
        <v>0.41260455725411016</v>
      </c>
      <c r="Q116" s="16">
        <f>Q108/IS!Q60</f>
        <v>0.45416858590511283</v>
      </c>
      <c r="R116" s="16">
        <f>R108/IS!R60</f>
        <v>0.47113339410513522</v>
      </c>
      <c r="S116" s="16">
        <f>S108/IS!S60</f>
        <v>0.43520570899052713</v>
      </c>
      <c r="T116" s="16">
        <f>T108/IS!T60</f>
        <v>0.41154517854175177</v>
      </c>
      <c r="U116" s="16">
        <f>U108/IS!U60</f>
        <v>0.40044998795479853</v>
      </c>
      <c r="V116" s="16">
        <f>V108/IS!V60</f>
        <v>0.39447127883196792</v>
      </c>
      <c r="W116" s="16">
        <f>W108/IS!W60</f>
        <v>0.38869604441854044</v>
      </c>
      <c r="X116" s="16">
        <f>X108/IS!X60</f>
        <v>0.38309543674983237</v>
      </c>
      <c r="Y116" s="813"/>
      <c r="Z116" s="728">
        <f>Z108/IS!AD60</f>
        <v>0.37967957893947263</v>
      </c>
      <c r="AA116" s="729">
        <f>AA108/IS!AE60</f>
        <v>0.19882530615136421</v>
      </c>
      <c r="AB116" s="730">
        <f>AB108/IS!AF60</f>
        <v>0.29398244880902641</v>
      </c>
      <c r="AC116" s="730">
        <f>AC108/IS!AG60</f>
        <v>0.31658226246516497</v>
      </c>
      <c r="AD116" s="284">
        <f>AD108/IS!AH60</f>
        <v>0.41301580333625992</v>
      </c>
      <c r="AE116" s="7">
        <f>AE108/IS!AI60</f>
        <v>0.24237707703010986</v>
      </c>
      <c r="AF116" s="16">
        <f>AF108/IS!AJ60</f>
        <v>0.32247877243672823</v>
      </c>
      <c r="AG116" s="16">
        <f>AG108/IS!AK60</f>
        <v>0.30838967650262311</v>
      </c>
      <c r="AH116" s="284">
        <f>AH108/IS!AL60</f>
        <v>0.43126312066632699</v>
      </c>
      <c r="AI116" s="7">
        <f>AI108/IS!AM60</f>
        <v>0.27275356361192654</v>
      </c>
      <c r="AJ116" s="16">
        <f>AJ108/IS!AN60</f>
        <v>0.38581269316263556</v>
      </c>
      <c r="AK116" s="16">
        <f>AK108/IS!AO60</f>
        <v>0.36653420981678597</v>
      </c>
      <c r="AL116" s="284">
        <f>AL108/IS!AP60</f>
        <v>0.3234336612805031</v>
      </c>
      <c r="AM116" s="7">
        <f>AM108/IS!AQ60</f>
        <v>0.24750578257105862</v>
      </c>
      <c r="AN116" s="16">
        <f>AN108/IS!AR60</f>
        <v>0.25222461255134715</v>
      </c>
      <c r="AO116" s="16">
        <f>AO108/IS!AS60</f>
        <v>0.27631198624753422</v>
      </c>
      <c r="AP116" s="16">
        <f>AP108/IS!AT60</f>
        <v>0.42405015547863112</v>
      </c>
      <c r="AQ116" s="7">
        <f>AQ108/IS!AU60</f>
        <v>0.30401518060052179</v>
      </c>
      <c r="AR116" s="16">
        <f>AR108/IS!AV60</f>
        <v>0.36608968275439885</v>
      </c>
      <c r="AS116" s="16">
        <f>AS108/IS!AW60</f>
        <v>0.35631870334576682</v>
      </c>
      <c r="AT116" s="332">
        <f>AT108/IS!AX60</f>
        <v>0.28223020786242137</v>
      </c>
      <c r="AU116" s="265">
        <f>AU108/IS!AY60</f>
        <v>0.22670170053572083</v>
      </c>
      <c r="AV116" s="16">
        <f>AV108/IS!AZ60</f>
        <v>0.28127445223354081</v>
      </c>
      <c r="AW116" s="16">
        <f>AW108/IS!BA60</f>
        <v>0.310125859509366</v>
      </c>
      <c r="AX116" s="284">
        <f>AX108/IS!BB60</f>
        <v>0.35661039775371289</v>
      </c>
      <c r="AY116" s="7">
        <f>AY108/IS!BC60</f>
        <v>0.2876330798479087</v>
      </c>
      <c r="AZ116" s="16">
        <f>AZ108/IS!BD60</f>
        <v>0.27936275460717752</v>
      </c>
      <c r="BA116" s="16">
        <f>BA108/IS!BE60</f>
        <v>0.31901544401544402</v>
      </c>
      <c r="BB116" s="16">
        <f>BB108/IS!BF60</f>
        <v>0.34846495557749257</v>
      </c>
      <c r="BC116" s="7">
        <f ca="1">BC108/IS!BG60</f>
        <v>0.3158769633507853</v>
      </c>
      <c r="BD116" s="16">
        <f>BD108/IS!BH60</f>
        <v>0.31379484588175849</v>
      </c>
      <c r="BE116" s="16">
        <f>BE108/IS!BI60</f>
        <v>0.38067581837381204</v>
      </c>
      <c r="BF116" s="284">
        <f>BF108/IS!BJ60</f>
        <v>0.48537378114842905</v>
      </c>
      <c r="BG116" s="16">
        <f>BG108/IS!BK60</f>
        <v>0.34362139917695472</v>
      </c>
      <c r="BH116" s="16">
        <f>BH108/IS!BL60</f>
        <v>0.32052631578947366</v>
      </c>
      <c r="BI116" s="16">
        <f>BI108/IS!BM60</f>
        <v>0.37072143233280674</v>
      </c>
      <c r="BJ116" s="284">
        <f>BJ108/IS!BN60</f>
        <v>0.45820271682340646</v>
      </c>
      <c r="BK116" s="16">
        <f>BK108/IS!BO60</f>
        <v>0.33936885669943095</v>
      </c>
      <c r="BL116" s="16">
        <f>BL108/IS!BP60</f>
        <v>0.39773950484391818</v>
      </c>
      <c r="BM116" s="16">
        <f>BM108/IS!BQ60</f>
        <v>0.43545706371191134</v>
      </c>
      <c r="BN116" s="16">
        <f>BN108/IS!BR60</f>
        <v>0.44662309368191722</v>
      </c>
      <c r="BO116" s="7">
        <f>BO108/IS!BS60</f>
        <v>0.37024608501118567</v>
      </c>
      <c r="BP116" s="16">
        <f>BP108/IS!BT60</f>
        <v>0.39900662251655628</v>
      </c>
      <c r="BQ116" s="16">
        <f>BQ108/IS!BU60</f>
        <v>0.40744985673352435</v>
      </c>
      <c r="BR116" s="284">
        <f>BR108/IS!BV60</f>
        <v>0.54481546572934969</v>
      </c>
      <c r="BS116" s="7">
        <f>BS108/IS!BW60</f>
        <v>0.35556844547563804</v>
      </c>
      <c r="BT116" s="16">
        <f>BT108/IS!BX60</f>
        <v>0.40320591861898891</v>
      </c>
      <c r="BU116" s="16">
        <f>BU108/IS!BY60</f>
        <v>0.43018018018018017</v>
      </c>
      <c r="BV116" s="284">
        <f>BV108/IS!BZ60</f>
        <v>0.45805739514348787</v>
      </c>
      <c r="BW116" s="7">
        <f>BW108/IS!CA60</f>
        <v>0.36045130641330164</v>
      </c>
      <c r="BX116" s="16">
        <f>BX108/IS!CB60</f>
        <v>0.39320388349514562</v>
      </c>
      <c r="BY116" s="16">
        <f>BY108/IS!CC60</f>
        <v>0.46365914786967416</v>
      </c>
      <c r="BZ116" s="284">
        <f>BZ108/IS!CD60</f>
        <v>0.60757097791798109</v>
      </c>
      <c r="CA116" s="7">
        <f>CA108/IS!CE60</f>
        <v>0.50913838120104438</v>
      </c>
      <c r="CB116" s="16">
        <f>CB108/IS!CF60</f>
        <v>0.57489597780859913</v>
      </c>
      <c r="CC116" s="16">
        <f>CC108/IS!CG60</f>
        <v>0.53614889047959913</v>
      </c>
      <c r="CD116" s="284">
        <f>CD108/IS!CH60</f>
        <v>0.33604703753957488</v>
      </c>
      <c r="CE116" s="16">
        <f>CE108/IS!CI60</f>
        <v>0.45531349040469915</v>
      </c>
      <c r="CF116" s="16">
        <f>CF108/IS!CJ60</f>
        <v>0.44159095180200819</v>
      </c>
      <c r="CG116" s="16">
        <f>CG108/IS!CK60</f>
        <v>0.43211060122481748</v>
      </c>
      <c r="CH116" s="284">
        <f>CH108/IS!CL60</f>
        <v>0.41349558262209402</v>
      </c>
      <c r="CI116" s="632"/>
    </row>
    <row r="117" spans="1:93">
      <c r="A117" s="731" t="s">
        <v>1152</v>
      </c>
      <c r="B117" s="732"/>
      <c r="C117" s="732"/>
      <c r="D117" s="413"/>
      <c r="E117" s="16">
        <f t="shared" ref="E117:X117" si="204">E108/E122</f>
        <v>0.74945976173109663</v>
      </c>
      <c r="F117" s="16">
        <f t="shared" si="204"/>
        <v>0.30506841891243008</v>
      </c>
      <c r="G117" s="16">
        <f t="shared" si="204"/>
        <v>0.82141806580435073</v>
      </c>
      <c r="H117" s="16">
        <f t="shared" si="204"/>
        <v>0.65767499594307199</v>
      </c>
      <c r="I117" s="16">
        <f t="shared" si="204"/>
        <v>0.72712914533120832</v>
      </c>
      <c r="J117" s="16">
        <f t="shared" si="204"/>
        <v>0.68243970218269179</v>
      </c>
      <c r="K117" s="16">
        <f t="shared" si="204"/>
        <v>0.66428988529718469</v>
      </c>
      <c r="L117" s="16">
        <f t="shared" si="204"/>
        <v>0.76041868421052627</v>
      </c>
      <c r="M117" s="16">
        <f t="shared" si="204"/>
        <v>0.78002183406113534</v>
      </c>
      <c r="N117" s="16">
        <f t="shared" si="204"/>
        <v>0.87289121582315299</v>
      </c>
      <c r="O117" s="16">
        <f t="shared" si="204"/>
        <v>0.68337850045167114</v>
      </c>
      <c r="P117" s="16">
        <f t="shared" si="204"/>
        <v>0.68297923132012417</v>
      </c>
      <c r="Q117" s="16">
        <f t="shared" si="204"/>
        <v>0.75536261491317669</v>
      </c>
      <c r="R117" s="16">
        <f t="shared" si="204"/>
        <v>0.76757425742574259</v>
      </c>
      <c r="S117" s="16">
        <f t="shared" si="204"/>
        <v>0.70588312673579001</v>
      </c>
      <c r="T117" s="16">
        <f t="shared" si="204"/>
        <v>0.70601307062789076</v>
      </c>
      <c r="U117" s="16">
        <f t="shared" si="204"/>
        <v>0.7144127100390435</v>
      </c>
      <c r="V117" s="16">
        <f t="shared" si="204"/>
        <v>0.72243225955577584</v>
      </c>
      <c r="W117" s="16">
        <f t="shared" si="204"/>
        <v>0.73304410609671911</v>
      </c>
      <c r="X117" s="16">
        <f t="shared" si="204"/>
        <v>0.74456529203067801</v>
      </c>
      <c r="Y117" s="813"/>
      <c r="Z117" s="679"/>
      <c r="AA117" s="490"/>
      <c r="AB117" s="413"/>
      <c r="AC117" s="413"/>
      <c r="AD117" s="414"/>
      <c r="AE117" s="490"/>
      <c r="AF117" s="413"/>
      <c r="AG117" s="413"/>
      <c r="AH117" s="414"/>
      <c r="AI117" s="490"/>
      <c r="AJ117" s="413"/>
      <c r="AK117" s="413"/>
      <c r="AL117" s="414"/>
      <c r="AM117" s="490"/>
      <c r="AN117" s="413"/>
      <c r="AO117" s="413"/>
      <c r="AP117" s="413"/>
      <c r="AQ117" s="490"/>
      <c r="AR117" s="413"/>
      <c r="AS117" s="413"/>
      <c r="AT117" s="680"/>
      <c r="AU117" s="570"/>
      <c r="AV117" s="680"/>
      <c r="AW117" s="680"/>
      <c r="AX117" s="568"/>
      <c r="AY117" s="570"/>
      <c r="AZ117" s="680"/>
      <c r="BA117" s="680"/>
      <c r="BB117" s="680"/>
      <c r="BC117" s="570"/>
      <c r="BD117" s="680"/>
      <c r="BE117" s="680"/>
      <c r="BF117" s="568"/>
      <c r="BG117" s="680"/>
      <c r="BH117" s="680"/>
      <c r="BI117" s="680"/>
      <c r="BJ117" s="568"/>
      <c r="BK117" s="680"/>
      <c r="BL117" s="680"/>
      <c r="BM117" s="680"/>
      <c r="BN117" s="680"/>
      <c r="BO117" s="570"/>
      <c r="BP117" s="680"/>
      <c r="BQ117" s="680"/>
      <c r="BR117" s="568"/>
      <c r="BS117" s="680"/>
      <c r="BT117" s="680"/>
      <c r="BU117" s="680"/>
      <c r="BV117" s="568"/>
      <c r="BW117" s="551">
        <f t="shared" ref="BW117:CH117" si="205">BW108/BW122</f>
        <v>0.62192622950819676</v>
      </c>
      <c r="BX117" s="551">
        <f t="shared" si="205"/>
        <v>0.65653495440729481</v>
      </c>
      <c r="BY117" s="551">
        <f t="shared" si="205"/>
        <v>0.74371859296482412</v>
      </c>
      <c r="BZ117" s="552">
        <f t="shared" si="205"/>
        <v>1.0052192066805845</v>
      </c>
      <c r="CA117" s="551">
        <f t="shared" si="205"/>
        <v>0.88636363636363635</v>
      </c>
      <c r="CB117" s="551">
        <f t="shared" si="205"/>
        <v>0.87355110642781875</v>
      </c>
      <c r="CC117" s="551">
        <f t="shared" si="205"/>
        <v>0.82307692307692304</v>
      </c>
      <c r="CD117" s="552">
        <f t="shared" si="205"/>
        <v>0.57109915449654114</v>
      </c>
      <c r="CE117" s="551">
        <f t="shared" si="205"/>
        <v>0.71308859949468417</v>
      </c>
      <c r="CF117" s="551">
        <f t="shared" si="205"/>
        <v>0.70953168793724863</v>
      </c>
      <c r="CG117" s="551">
        <f t="shared" si="205"/>
        <v>0.70629221236120898</v>
      </c>
      <c r="CH117" s="552">
        <f t="shared" si="205"/>
        <v>0.69467843474664714</v>
      </c>
      <c r="CI117" s="632"/>
    </row>
    <row r="118" spans="1:93" s="3617" customFormat="1">
      <c r="A118" s="731"/>
      <c r="B118" s="732"/>
      <c r="C118" s="732"/>
      <c r="D118" s="413"/>
      <c r="E118" s="16"/>
      <c r="F118" s="16"/>
      <c r="G118" s="16"/>
      <c r="H118" s="16"/>
      <c r="I118" s="16"/>
      <c r="J118" s="16"/>
      <c r="K118" s="16"/>
      <c r="L118" s="16"/>
      <c r="M118" s="16"/>
      <c r="N118" s="16"/>
      <c r="O118" s="16"/>
      <c r="P118" s="16"/>
      <c r="Q118" s="16"/>
      <c r="R118" s="16"/>
      <c r="S118" s="16"/>
      <c r="T118" s="16"/>
      <c r="U118" s="16"/>
      <c r="V118" s="16"/>
      <c r="W118" s="16"/>
      <c r="X118" s="16"/>
      <c r="Y118" s="813"/>
      <c r="Z118" s="679"/>
      <c r="AA118" s="490"/>
      <c r="AB118" s="413"/>
      <c r="AC118" s="413"/>
      <c r="AD118" s="414"/>
      <c r="AE118" s="490"/>
      <c r="AF118" s="413"/>
      <c r="AG118" s="413"/>
      <c r="AH118" s="414"/>
      <c r="AI118" s="490"/>
      <c r="AJ118" s="413"/>
      <c r="AK118" s="413"/>
      <c r="AL118" s="414"/>
      <c r="AM118" s="490"/>
      <c r="AN118" s="413"/>
      <c r="AO118" s="413"/>
      <c r="AP118" s="413"/>
      <c r="AQ118" s="490"/>
      <c r="AR118" s="413"/>
      <c r="AS118" s="413"/>
      <c r="AT118" s="680"/>
      <c r="AU118" s="570"/>
      <c r="AV118" s="680"/>
      <c r="AW118" s="680"/>
      <c r="AX118" s="568"/>
      <c r="AY118" s="570"/>
      <c r="AZ118" s="680"/>
      <c r="BA118" s="680"/>
      <c r="BB118" s="680"/>
      <c r="BC118" s="570"/>
      <c r="BD118" s="680"/>
      <c r="BE118" s="680"/>
      <c r="BF118" s="568"/>
      <c r="BG118" s="680"/>
      <c r="BH118" s="680"/>
      <c r="BI118" s="680"/>
      <c r="BJ118" s="568"/>
      <c r="BK118" s="680"/>
      <c r="BL118" s="680"/>
      <c r="BM118" s="680"/>
      <c r="BN118" s="680"/>
      <c r="BO118" s="570"/>
      <c r="BP118" s="680"/>
      <c r="BQ118" s="680"/>
      <c r="BR118" s="568"/>
      <c r="BS118" s="680"/>
      <c r="BT118" s="680"/>
      <c r="BU118" s="680"/>
      <c r="BV118" s="568"/>
      <c r="BW118" s="551"/>
      <c r="BX118" s="551"/>
      <c r="BY118" s="551"/>
      <c r="BZ118" s="552"/>
      <c r="CA118" s="551"/>
      <c r="CB118" s="551"/>
      <c r="CC118" s="551"/>
      <c r="CD118" s="552"/>
      <c r="CE118" s="551"/>
      <c r="CF118" s="551"/>
      <c r="CG118" s="551"/>
      <c r="CH118" s="552"/>
      <c r="CI118" s="632"/>
      <c r="CJ118"/>
      <c r="CK118"/>
      <c r="CL118"/>
      <c r="CM118"/>
      <c r="CN118"/>
      <c r="CO118"/>
    </row>
    <row r="119" spans="1:93">
      <c r="A119" s="725"/>
      <c r="B119" s="274"/>
      <c r="C119" s="274"/>
      <c r="D119" s="413"/>
      <c r="E119" s="413"/>
      <c r="F119" s="413"/>
      <c r="G119" s="413"/>
      <c r="H119" s="413"/>
      <c r="I119" s="413"/>
      <c r="J119" s="413"/>
      <c r="K119" s="413"/>
      <c r="L119" s="413"/>
      <c r="M119" s="413"/>
      <c r="N119" s="413"/>
      <c r="O119" s="413"/>
      <c r="P119" s="413"/>
      <c r="Q119" s="413"/>
      <c r="R119" s="413"/>
      <c r="S119" s="413"/>
      <c r="T119" s="413"/>
      <c r="U119" s="413"/>
      <c r="V119" s="413"/>
      <c r="W119" s="413"/>
      <c r="X119" s="413"/>
      <c r="Y119" s="823"/>
      <c r="Z119" s="679"/>
      <c r="AA119" s="490"/>
      <c r="AB119" s="413"/>
      <c r="AC119" s="413"/>
      <c r="AD119" s="414"/>
      <c r="AE119" s="490"/>
      <c r="AF119" s="413"/>
      <c r="AG119" s="413"/>
      <c r="AH119" s="414"/>
      <c r="AI119" s="490"/>
      <c r="AJ119" s="413"/>
      <c r="AK119" s="413"/>
      <c r="AL119" s="414"/>
      <c r="AM119" s="490"/>
      <c r="AN119" s="413"/>
      <c r="AO119" s="413"/>
      <c r="AP119" s="413"/>
      <c r="AQ119" s="490"/>
      <c r="AR119" s="413"/>
      <c r="AS119" s="413"/>
      <c r="AT119" s="680"/>
      <c r="AU119" s="570"/>
      <c r="AV119" s="680"/>
      <c r="AW119" s="680"/>
      <c r="AX119" s="568"/>
      <c r="AY119" s="570"/>
      <c r="AZ119" s="680"/>
      <c r="BA119" s="680"/>
      <c r="BB119" s="680"/>
      <c r="BC119" s="570"/>
      <c r="BD119" s="680"/>
      <c r="BE119" s="680"/>
      <c r="BF119" s="568"/>
      <c r="BG119" s="680"/>
      <c r="BH119" s="680"/>
      <c r="BI119" s="680"/>
      <c r="BJ119" s="568"/>
      <c r="BK119" s="680"/>
      <c r="BL119" s="680"/>
      <c r="BM119" s="680"/>
      <c r="BN119" s="680"/>
      <c r="BO119" s="570"/>
      <c r="BP119" s="680"/>
      <c r="BQ119" s="680"/>
      <c r="BR119" s="568"/>
      <c r="BS119" s="680"/>
      <c r="BT119" s="680"/>
      <c r="BU119" s="680"/>
      <c r="BV119" s="568"/>
      <c r="BW119" s="680"/>
      <c r="BX119" s="680"/>
      <c r="BY119" s="680"/>
      <c r="BZ119" s="568"/>
      <c r="CA119" s="680"/>
      <c r="CB119" s="680"/>
      <c r="CC119" s="680"/>
      <c r="CD119" s="568"/>
      <c r="CE119" s="680"/>
      <c r="CF119" s="680"/>
      <c r="CG119" s="680"/>
      <c r="CH119" s="568"/>
      <c r="CI119" s="632"/>
    </row>
    <row r="120" spans="1:93">
      <c r="A120" s="2903" t="s">
        <v>1214</v>
      </c>
      <c r="B120" s="2843"/>
      <c r="C120" s="2843"/>
      <c r="D120" s="2843"/>
      <c r="E120" s="2843"/>
      <c r="F120" s="2843"/>
      <c r="G120" s="2843"/>
      <c r="H120" s="2843"/>
      <c r="I120" s="2843"/>
      <c r="J120" s="2843"/>
      <c r="K120" s="2843"/>
      <c r="L120" s="2843"/>
      <c r="M120" s="2843"/>
      <c r="N120" s="2843"/>
      <c r="O120" s="2843"/>
      <c r="P120" s="2843"/>
      <c r="Q120" s="2843"/>
      <c r="R120" s="2843"/>
      <c r="S120" s="2843"/>
      <c r="T120" s="2843"/>
      <c r="U120" s="2843"/>
      <c r="V120" s="2843"/>
      <c r="W120" s="2843"/>
      <c r="X120" s="2843"/>
      <c r="Y120" s="2540"/>
      <c r="Z120" s="2904"/>
      <c r="AA120" s="2905"/>
      <c r="AB120" s="2843"/>
      <c r="AC120" s="2843"/>
      <c r="AD120" s="2906"/>
      <c r="AE120" s="2905"/>
      <c r="AF120" s="2843"/>
      <c r="AG120" s="2843"/>
      <c r="AH120" s="2906"/>
      <c r="AI120" s="2905"/>
      <c r="AJ120" s="2843"/>
      <c r="AK120" s="2843"/>
      <c r="AL120" s="2906"/>
      <c r="AM120" s="2905"/>
      <c r="AN120" s="2843"/>
      <c r="AO120" s="2843"/>
      <c r="AP120" s="2843"/>
      <c r="AQ120" s="2905"/>
      <c r="AR120" s="2843"/>
      <c r="AS120" s="2843"/>
      <c r="AT120" s="2906"/>
      <c r="AU120" s="2905"/>
      <c r="AV120" s="2843"/>
      <c r="AW120" s="2843"/>
      <c r="AX120" s="2906"/>
      <c r="AY120" s="2905"/>
      <c r="AZ120" s="2843"/>
      <c r="BA120" s="2843"/>
      <c r="BB120" s="2843"/>
      <c r="BC120" s="2905"/>
      <c r="BD120" s="2843"/>
      <c r="BE120" s="2843"/>
      <c r="BF120" s="2906"/>
      <c r="BG120" s="2843"/>
      <c r="BH120" s="2843"/>
      <c r="BI120" s="2843"/>
      <c r="BJ120" s="2906"/>
      <c r="BK120" s="2843"/>
      <c r="BL120" s="2843"/>
      <c r="BM120" s="2843"/>
      <c r="BN120" s="2843"/>
      <c r="BO120" s="2905"/>
      <c r="BP120" s="2843"/>
      <c r="BQ120" s="2843"/>
      <c r="BR120" s="2906"/>
      <c r="BS120" s="2843"/>
      <c r="BT120" s="2843"/>
      <c r="BU120" s="2843"/>
      <c r="BV120" s="2906"/>
      <c r="BW120" s="2843"/>
      <c r="BX120" s="2843"/>
      <c r="BY120" s="2843"/>
      <c r="BZ120" s="2906"/>
      <c r="CA120" s="2843"/>
      <c r="CB120" s="2843"/>
      <c r="CC120" s="2843"/>
      <c r="CD120" s="2906"/>
      <c r="CE120" s="2843"/>
      <c r="CF120" s="2843"/>
      <c r="CG120" s="2843"/>
      <c r="CH120" s="2906"/>
      <c r="CI120" s="632"/>
    </row>
    <row r="121" spans="1:93">
      <c r="A121" s="734" t="s">
        <v>0</v>
      </c>
      <c r="B121" s="735"/>
      <c r="C121" s="735"/>
      <c r="D121" s="451"/>
      <c r="E121" s="451"/>
      <c r="F121" s="451"/>
      <c r="G121" s="451"/>
      <c r="H121" s="451"/>
      <c r="I121" s="451"/>
      <c r="J121" s="451"/>
      <c r="K121" s="451"/>
      <c r="L121" s="451"/>
      <c r="M121" s="451"/>
      <c r="N121" s="451"/>
      <c r="O121" s="451"/>
      <c r="P121" s="451"/>
      <c r="Q121" s="451"/>
      <c r="R121" s="451"/>
      <c r="S121" s="451"/>
      <c r="T121" s="451"/>
      <c r="U121" s="451"/>
      <c r="V121" s="451"/>
      <c r="W121" s="451"/>
      <c r="X121" s="451"/>
      <c r="Y121" s="823"/>
      <c r="Z121" s="586"/>
      <c r="AA121" s="489"/>
      <c r="AB121" s="451"/>
      <c r="AC121" s="451"/>
      <c r="AD121" s="569"/>
      <c r="AE121" s="489"/>
      <c r="AF121" s="451"/>
      <c r="AG121" s="451"/>
      <c r="AH121" s="569"/>
      <c r="AI121" s="489"/>
      <c r="AJ121" s="451"/>
      <c r="AK121" s="451"/>
      <c r="AL121" s="569"/>
      <c r="AM121" s="489"/>
      <c r="AN121" s="451"/>
      <c r="AO121" s="451"/>
      <c r="AP121" s="451"/>
      <c r="AQ121" s="489"/>
      <c r="AR121" s="451"/>
      <c r="AS121" s="451"/>
      <c r="AT121" s="569"/>
      <c r="AU121" s="489"/>
      <c r="AV121" s="451"/>
      <c r="AW121" s="451"/>
      <c r="AX121" s="569"/>
      <c r="AY121" s="489"/>
      <c r="AZ121" s="451"/>
      <c r="BA121" s="451"/>
      <c r="BB121" s="451"/>
      <c r="BC121" s="489"/>
      <c r="BD121" s="451"/>
      <c r="BE121" s="451"/>
      <c r="BF121" s="569"/>
      <c r="BG121" s="451"/>
      <c r="BH121" s="451"/>
      <c r="BI121" s="451"/>
      <c r="BJ121" s="569"/>
      <c r="BK121" s="451"/>
      <c r="BL121" s="451"/>
      <c r="BM121" s="451"/>
      <c r="BN121" s="451"/>
      <c r="BO121" s="489"/>
      <c r="BP121" s="451"/>
      <c r="BQ121" s="451"/>
      <c r="BR121" s="569"/>
      <c r="BS121" s="451"/>
      <c r="BT121" s="451"/>
      <c r="BU121" s="451"/>
      <c r="BV121" s="569"/>
      <c r="BW121" s="451"/>
      <c r="BX121" s="451"/>
      <c r="BY121" s="451"/>
      <c r="BZ121" s="569"/>
      <c r="CA121" s="451"/>
      <c r="CB121" s="451"/>
      <c r="CC121" s="451"/>
      <c r="CD121" s="569"/>
      <c r="CE121" s="451"/>
      <c r="CF121" s="451"/>
      <c r="CG121" s="451"/>
      <c r="CH121" s="569"/>
      <c r="CI121" s="632"/>
    </row>
    <row r="122" spans="1:93">
      <c r="A122" s="724" t="s">
        <v>1</v>
      </c>
      <c r="B122" s="275"/>
      <c r="C122" s="275"/>
      <c r="D122" s="582"/>
      <c r="E122" s="582">
        <f>SUM(AA122:AD122)</f>
        <v>514.125</v>
      </c>
      <c r="F122" s="582">
        <f>SUM(AE122:AH122)+828</f>
        <v>1359.931</v>
      </c>
      <c r="G122" s="582">
        <f>SUM(AI122:AL122)</f>
        <v>1587.585</v>
      </c>
      <c r="H122" s="582">
        <f>SUM(AM122:AP122)</f>
        <v>1756.2550000000001</v>
      </c>
      <c r="I122" s="582">
        <f>SUM(AQ122:AT122)</f>
        <v>3766.6170000000002</v>
      </c>
      <c r="J122" s="582">
        <f>SUM(AU122:AX122)</f>
        <v>3533.71</v>
      </c>
      <c r="K122" s="1818">
        <f>+IS!K47</f>
        <v>3836</v>
      </c>
      <c r="L122" s="582">
        <f>SUM(BC122:BF122)</f>
        <v>3800</v>
      </c>
      <c r="M122" s="582">
        <f>SUM(BG122:BJ122)</f>
        <v>3664</v>
      </c>
      <c r="N122" s="582">
        <f>SUM(BK122:BN122)</f>
        <v>3438</v>
      </c>
      <c r="O122" s="582">
        <f>SUM(BO122:BR122)</f>
        <v>4428</v>
      </c>
      <c r="P122" s="582">
        <f>SUM(BS122:BV122)</f>
        <v>4189</v>
      </c>
      <c r="Q122" s="582">
        <f>SUM(BW122:BZ122)</f>
        <v>3916</v>
      </c>
      <c r="R122" s="582">
        <f>SUM(CA122:CD122)</f>
        <v>4040</v>
      </c>
      <c r="S122" s="582">
        <f>SUM(CE122:CH122)</f>
        <v>5454.5163035963596</v>
      </c>
      <c r="T122" s="582">
        <f>+S122*(1+T124)</f>
        <v>5345.4259775244327</v>
      </c>
      <c r="U122" s="582">
        <f>+T122*(1+U124)</f>
        <v>5238.5174579739441</v>
      </c>
      <c r="V122" s="582">
        <f>+U122*(1+V124)</f>
        <v>5146.8434024594007</v>
      </c>
      <c r="W122" s="582">
        <f>+V122*(1+W124)</f>
        <v>5056.7736429163615</v>
      </c>
      <c r="X122" s="582">
        <f>+W122*(1+X124)</f>
        <v>4968.2801041653256</v>
      </c>
      <c r="Y122" s="820"/>
      <c r="Z122" s="682">
        <f>INPUTS_1!B38/1000+INPUTS_1!B44/1000</f>
        <v>127.49299999999999</v>
      </c>
      <c r="AA122" s="594">
        <f>INPUTS_1!C38/1000+INPUTS_1!C44/1000</f>
        <v>126.992</v>
      </c>
      <c r="AB122" s="582">
        <f>INPUTS_1!D38/1000+INPUTS_1!D44/1000</f>
        <v>130.751</v>
      </c>
      <c r="AC122" s="582">
        <f>INPUTS_1!E38/1000+INPUTS_1!E44/1000</f>
        <v>127.078</v>
      </c>
      <c r="AD122" s="582">
        <f>INPUTS_1!F38/1000+INPUTS_1!F44/1000</f>
        <v>129.304</v>
      </c>
      <c r="AE122" s="594">
        <f>INPUTS_1!G38/1000+INPUTS_1!G44/1000</f>
        <v>132.17500000000001</v>
      </c>
      <c r="AF122" s="582">
        <f>INPUTS_1!H38/1000+INPUTS_1!H44/1000</f>
        <v>130.452</v>
      </c>
      <c r="AG122" s="582">
        <f>INPUTS_1!I38/1000+INPUTS_1!I44/1000</f>
        <v>133.52600000000001</v>
      </c>
      <c r="AH122" s="582">
        <f>INPUTS_1!J38/1000+INPUTS_1!J44/1000</f>
        <v>135.77799999999999</v>
      </c>
      <c r="AI122" s="594">
        <f>INPUTS_1!K38/1000+INPUTS_1!K44/1000</f>
        <v>397.565</v>
      </c>
      <c r="AJ122" s="582">
        <f>INPUTS_1!L38/1000+INPUTS_1!L44/1000</f>
        <v>398.82</v>
      </c>
      <c r="AK122" s="582">
        <f>INPUTS_1!M38/1000+INPUTS_1!M44/1000</f>
        <v>396.84</v>
      </c>
      <c r="AL122" s="582">
        <f>INPUTS_1!N38/1000+INPUTS_1!N44/1000</f>
        <v>394.36</v>
      </c>
      <c r="AM122" s="594">
        <f>INPUTS_1!O38/1000+INPUTS_1!O44/1000</f>
        <v>438.53399999999999</v>
      </c>
      <c r="AN122" s="582">
        <f>INPUTS_1!P38/1000+INPUTS_1!P44/1000</f>
        <v>439.06099999999998</v>
      </c>
      <c r="AO122" s="582">
        <f>INPUTS_1!Q38/1000+INPUTS_1!Q44/1000</f>
        <v>437.35599999999999</v>
      </c>
      <c r="AP122" s="582">
        <f>INPUTS_1!R38/1000+INPUTS_1!R44/1000</f>
        <v>441.30399999999997</v>
      </c>
      <c r="AQ122" s="594">
        <f>INPUTS_1!S38/1000+INPUTS_1!S44/1000</f>
        <v>949</v>
      </c>
      <c r="AR122" s="582">
        <f>INPUTS_1!T38/1000+INPUTS_1!T44/1000</f>
        <v>941</v>
      </c>
      <c r="AS122" s="582">
        <f>INPUTS_1!U38/1000+INPUTS_1!U44/1000</f>
        <v>957</v>
      </c>
      <c r="AT122" s="582">
        <f>INPUTS_1!V38/1000+INPUTS_1!V44/1000</f>
        <v>919.61699999999996</v>
      </c>
      <c r="AU122" s="594">
        <f>INPUTS_1!W38/1000+INPUTS_1!W44/1000</f>
        <v>885.72</v>
      </c>
      <c r="AV122" s="582">
        <f>INPUTS_1!X38/1000+INPUTS_1!X44/1000</f>
        <v>890.404</v>
      </c>
      <c r="AW122" s="582">
        <f>INPUTS_1!Y38/1000+INPUTS_1!Y44/1000</f>
        <v>882.202</v>
      </c>
      <c r="AX122" s="582">
        <f>INPUTS_1!Z38/1000+INPUTS_1!Z44/1000</f>
        <v>875.38400000000001</v>
      </c>
      <c r="AY122" s="1817">
        <f>+IS!BC47</f>
        <v>950</v>
      </c>
      <c r="AZ122" s="1818">
        <f>+IS!BD47</f>
        <v>957</v>
      </c>
      <c r="BA122" s="1818">
        <f>+IS!BE47</f>
        <v>968</v>
      </c>
      <c r="BB122" s="1818">
        <f>+IS!BF47</f>
        <v>961</v>
      </c>
      <c r="BC122" s="1817">
        <f>+IS!BG47</f>
        <v>930</v>
      </c>
      <c r="BD122" s="1818">
        <f>+IS!BH47</f>
        <v>963</v>
      </c>
      <c r="BE122" s="582">
        <f>+IS!BI47</f>
        <v>957</v>
      </c>
      <c r="BF122" s="593">
        <f>+IS!BJ47</f>
        <v>950</v>
      </c>
      <c r="BG122" s="582">
        <f>+IS!BK47</f>
        <v>917</v>
      </c>
      <c r="BH122" s="582">
        <f>+IS!BL47</f>
        <v>911</v>
      </c>
      <c r="BI122" s="582">
        <f>+IS!BM47</f>
        <v>901</v>
      </c>
      <c r="BJ122" s="593">
        <f>+IS!BN47</f>
        <v>935</v>
      </c>
      <c r="BK122" s="582">
        <f>+IS!BO47</f>
        <v>836</v>
      </c>
      <c r="BL122" s="582">
        <f>+IS!BP47</f>
        <v>847</v>
      </c>
      <c r="BM122" s="582">
        <f>+IS!BQ47</f>
        <v>867</v>
      </c>
      <c r="BN122" s="582">
        <f>+IS!BR47</f>
        <v>888</v>
      </c>
      <c r="BO122" s="594">
        <f>+IS!BS47</f>
        <v>1107</v>
      </c>
      <c r="BP122" s="582">
        <f>+IS!BT47</f>
        <v>1093</v>
      </c>
      <c r="BQ122" s="582">
        <f>+IS!BU47</f>
        <v>1097</v>
      </c>
      <c r="BR122" s="593">
        <f>+IS!BV47</f>
        <v>1131</v>
      </c>
      <c r="BS122" s="594">
        <f>+IS!BW47</f>
        <v>1040</v>
      </c>
      <c r="BT122" s="582">
        <f>+IS!BX47</f>
        <v>1048</v>
      </c>
      <c r="BU122" s="582">
        <f>+IS!BY47</f>
        <v>1048</v>
      </c>
      <c r="BV122" s="593">
        <f>+IS!BZ47</f>
        <v>1053</v>
      </c>
      <c r="BW122" s="594">
        <f>+IS!CA47</f>
        <v>976</v>
      </c>
      <c r="BX122" s="582">
        <f>+IS!CB47</f>
        <v>987</v>
      </c>
      <c r="BY122" s="582">
        <f>+IS!CC47</f>
        <v>995</v>
      </c>
      <c r="BZ122" s="593">
        <f>+IS!CD47</f>
        <v>958</v>
      </c>
      <c r="CA122" s="594">
        <f>+IS!CE47</f>
        <v>880</v>
      </c>
      <c r="CB122" s="582">
        <f>+IS!CF47</f>
        <v>949</v>
      </c>
      <c r="CC122" s="582">
        <f>+IS!CG47</f>
        <v>910</v>
      </c>
      <c r="CD122" s="593">
        <f>+IS!CH47</f>
        <v>1301</v>
      </c>
      <c r="CE122" s="582">
        <f>+CD122*(1+CE123)</f>
        <v>1359.5449999999998</v>
      </c>
      <c r="CF122" s="582">
        <f>+CE122*(1+CF123)</f>
        <v>1362.2640899999999</v>
      </c>
      <c r="CG122" s="582">
        <f>+CF122*(1+CG123)</f>
        <v>1364.98861818</v>
      </c>
      <c r="CH122" s="593">
        <f>+CG122*(1+CH123)</f>
        <v>1367.7185954163599</v>
      </c>
      <c r="CI122" s="3111"/>
    </row>
    <row r="123" spans="1:93">
      <c r="A123" s="726" t="s">
        <v>6</v>
      </c>
      <c r="B123" s="727"/>
      <c r="C123" s="727"/>
      <c r="D123" s="413"/>
      <c r="E123" s="413"/>
      <c r="F123" s="413"/>
      <c r="G123" s="413"/>
      <c r="H123" s="413"/>
      <c r="I123" s="413"/>
      <c r="J123" s="413"/>
      <c r="K123" s="413"/>
      <c r="L123" s="413"/>
      <c r="M123" s="413"/>
      <c r="N123" s="413"/>
      <c r="O123" s="413"/>
      <c r="P123" s="413"/>
      <c r="Q123" s="413"/>
      <c r="R123" s="413"/>
      <c r="S123" s="413"/>
      <c r="T123" s="413"/>
      <c r="U123" s="413"/>
      <c r="V123" s="413"/>
      <c r="W123" s="413"/>
      <c r="X123" s="413"/>
      <c r="Y123" s="823"/>
      <c r="Z123" s="679"/>
      <c r="AA123" s="7">
        <f t="shared" ref="AA123:BS123" si="206">AA122/Z122-1</f>
        <v>-3.9296275089611976E-3</v>
      </c>
      <c r="AB123" s="16">
        <f t="shared" si="206"/>
        <v>2.9600289782033551E-2</v>
      </c>
      <c r="AC123" s="16">
        <f t="shared" si="206"/>
        <v>-2.809156335324392E-2</v>
      </c>
      <c r="AD123" s="284">
        <f t="shared" si="206"/>
        <v>1.7516800705078772E-2</v>
      </c>
      <c r="AE123" s="7">
        <f t="shared" si="206"/>
        <v>2.2203489451215752E-2</v>
      </c>
      <c r="AF123" s="16">
        <f t="shared" si="206"/>
        <v>-1.3035748061282493E-2</v>
      </c>
      <c r="AG123" s="16">
        <f t="shared" si="206"/>
        <v>2.3564222855916528E-2</v>
      </c>
      <c r="AH123" s="284">
        <f t="shared" si="206"/>
        <v>1.6865629165855101E-2</v>
      </c>
      <c r="AI123" s="7">
        <f t="shared" si="206"/>
        <v>1.9280516725831873</v>
      </c>
      <c r="AJ123" s="16">
        <f t="shared" si="206"/>
        <v>3.1567165117654117E-3</v>
      </c>
      <c r="AK123" s="16">
        <f t="shared" si="206"/>
        <v>-4.9646457048292403E-3</v>
      </c>
      <c r="AL123" s="284">
        <f t="shared" si="206"/>
        <v>-6.2493700231830429E-3</v>
      </c>
      <c r="AM123" s="7">
        <f t="shared" si="206"/>
        <v>0.11201440308347688</v>
      </c>
      <c r="AN123" s="16">
        <f t="shared" si="206"/>
        <v>1.2017312226646482E-3</v>
      </c>
      <c r="AO123" s="16">
        <f t="shared" si="206"/>
        <v>-3.8832872880988356E-3</v>
      </c>
      <c r="AP123" s="16">
        <f t="shared" si="206"/>
        <v>9.0269711630799332E-3</v>
      </c>
      <c r="AQ123" s="7">
        <f t="shared" si="206"/>
        <v>1.1504450446857497</v>
      </c>
      <c r="AR123" s="16">
        <f t="shared" si="206"/>
        <v>-8.4299262381454243E-3</v>
      </c>
      <c r="AS123" s="16">
        <f t="shared" si="206"/>
        <v>1.7003188097768351E-2</v>
      </c>
      <c r="AT123" s="284">
        <f t="shared" si="206"/>
        <v>-3.9062695924764967E-2</v>
      </c>
      <c r="AU123" s="7">
        <f t="shared" si="206"/>
        <v>-3.6859910158250631E-2</v>
      </c>
      <c r="AV123" s="16">
        <f t="shared" si="206"/>
        <v>5.2883529783678274E-3</v>
      </c>
      <c r="AW123" s="16">
        <f t="shared" si="206"/>
        <v>-9.2115489148746343E-3</v>
      </c>
      <c r="AX123" s="284">
        <f t="shared" si="206"/>
        <v>-7.7283887363664983E-3</v>
      </c>
      <c r="AY123" s="7">
        <f t="shared" si="206"/>
        <v>8.5238021256957008E-2</v>
      </c>
      <c r="AZ123" s="16">
        <f t="shared" si="206"/>
        <v>7.3684210526314686E-3</v>
      </c>
      <c r="BA123" s="16">
        <f t="shared" si="206"/>
        <v>1.1494252873563315E-2</v>
      </c>
      <c r="BB123" s="16">
        <f t="shared" si="206"/>
        <v>-7.2314049586776896E-3</v>
      </c>
      <c r="BC123" s="7">
        <f t="shared" si="206"/>
        <v>-3.2258064516129004E-2</v>
      </c>
      <c r="BD123" s="16">
        <f t="shared" si="206"/>
        <v>3.548387096774186E-2</v>
      </c>
      <c r="BE123" s="16">
        <f t="shared" si="206"/>
        <v>-6.230529595015577E-3</v>
      </c>
      <c r="BF123" s="284">
        <f t="shared" si="206"/>
        <v>-7.3145245559038674E-3</v>
      </c>
      <c r="BG123" s="16">
        <f t="shared" si="206"/>
        <v>-3.4736842105263177E-2</v>
      </c>
      <c r="BH123" s="16">
        <f t="shared" si="206"/>
        <v>-6.5430752453653485E-3</v>
      </c>
      <c r="BI123" s="16">
        <f t="shared" si="206"/>
        <v>-1.0976948408342513E-2</v>
      </c>
      <c r="BJ123" s="284">
        <f t="shared" si="206"/>
        <v>3.7735849056603765E-2</v>
      </c>
      <c r="BK123" s="16">
        <f t="shared" si="206"/>
        <v>-0.10588235294117643</v>
      </c>
      <c r="BL123" s="16">
        <f t="shared" si="206"/>
        <v>1.3157894736842035E-2</v>
      </c>
      <c r="BM123" s="16">
        <f t="shared" si="206"/>
        <v>2.3612750885478206E-2</v>
      </c>
      <c r="BN123" s="16">
        <f t="shared" si="206"/>
        <v>2.4221453287197159E-2</v>
      </c>
      <c r="BO123" s="7">
        <f t="shared" si="206"/>
        <v>0.24662162162162171</v>
      </c>
      <c r="BP123" s="16">
        <f t="shared" si="206"/>
        <v>-1.2646793134598044E-2</v>
      </c>
      <c r="BQ123" s="16">
        <f t="shared" si="206"/>
        <v>3.6596523330283404E-3</v>
      </c>
      <c r="BR123" s="284">
        <f t="shared" si="206"/>
        <v>3.0993618960802216E-2</v>
      </c>
      <c r="BS123" s="7">
        <f t="shared" si="206"/>
        <v>-8.0459770114942541E-2</v>
      </c>
      <c r="BT123" s="16">
        <f t="shared" ref="BT123:CC123" si="207">BT122/BS122-1</f>
        <v>7.692307692307665E-3</v>
      </c>
      <c r="BU123" s="16">
        <f t="shared" si="207"/>
        <v>0</v>
      </c>
      <c r="BV123" s="284">
        <f t="shared" si="207"/>
        <v>4.7709923664123188E-3</v>
      </c>
      <c r="BW123" s="7">
        <f t="shared" si="207"/>
        <v>-7.3124406457739766E-2</v>
      </c>
      <c r="BX123" s="16">
        <f t="shared" si="207"/>
        <v>1.1270491803278659E-2</v>
      </c>
      <c r="BY123" s="16">
        <f t="shared" si="207"/>
        <v>8.1053698074975422E-3</v>
      </c>
      <c r="BZ123" s="284">
        <f>BZ122/BY122-1</f>
        <v>-3.7185929648241189E-2</v>
      </c>
      <c r="CA123" s="7">
        <f t="shared" si="207"/>
        <v>-8.1419624217119013E-2</v>
      </c>
      <c r="CB123" s="16">
        <f t="shared" si="207"/>
        <v>7.8409090909090873E-2</v>
      </c>
      <c r="CC123" s="16">
        <f t="shared" si="207"/>
        <v>-4.1095890410958957E-2</v>
      </c>
      <c r="CD123" s="284">
        <f t="shared" ref="CD123" si="208">CD122/CC122-1</f>
        <v>0.4296703296703297</v>
      </c>
      <c r="CE123" s="2895">
        <v>4.4999999999999998E-2</v>
      </c>
      <c r="CF123" s="2895">
        <v>2E-3</v>
      </c>
      <c r="CG123" s="2895">
        <v>2E-3</v>
      </c>
      <c r="CH123" s="2899">
        <v>2E-3</v>
      </c>
      <c r="CI123" s="632"/>
    </row>
    <row r="124" spans="1:93">
      <c r="A124" s="726" t="s">
        <v>7</v>
      </c>
      <c r="B124" s="727"/>
      <c r="C124" s="727"/>
      <c r="D124" s="413"/>
      <c r="E124" s="413"/>
      <c r="F124" s="16">
        <f t="shared" ref="F124:Q124" si="209">F122/E122-1</f>
        <v>1.6451368830537323</v>
      </c>
      <c r="G124" s="16">
        <f t="shared" si="209"/>
        <v>0.16740114020490737</v>
      </c>
      <c r="H124" s="16">
        <f t="shared" si="209"/>
        <v>0.10624313028908694</v>
      </c>
      <c r="I124" s="16">
        <f t="shared" si="209"/>
        <v>1.1446868478666254</v>
      </c>
      <c r="J124" s="16">
        <f t="shared" si="209"/>
        <v>-6.1834532154450561E-2</v>
      </c>
      <c r="K124" s="16">
        <f t="shared" si="209"/>
        <v>8.5544654201957782E-2</v>
      </c>
      <c r="L124" s="16">
        <f t="shared" si="209"/>
        <v>-9.3847758081334609E-3</v>
      </c>
      <c r="M124" s="16">
        <f t="shared" si="209"/>
        <v>-3.5789473684210482E-2</v>
      </c>
      <c r="N124" s="16">
        <f t="shared" si="209"/>
        <v>-6.16812227074236E-2</v>
      </c>
      <c r="O124" s="16">
        <f t="shared" si="209"/>
        <v>0.28795811518324599</v>
      </c>
      <c r="P124" s="16">
        <f t="shared" si="209"/>
        <v>-5.3974706413730811E-2</v>
      </c>
      <c r="Q124" s="16">
        <f t="shared" si="209"/>
        <v>-6.51706851277154E-2</v>
      </c>
      <c r="R124" s="16">
        <f>R122/Q122-1</f>
        <v>3.1664964249233929E-2</v>
      </c>
      <c r="S124" s="16">
        <f>S122/R122-1</f>
        <v>0.3501277979198909</v>
      </c>
      <c r="T124" s="2895">
        <v>-0.02</v>
      </c>
      <c r="U124" s="2895">
        <v>-0.02</v>
      </c>
      <c r="V124" s="2895">
        <v>-1.7500000000000002E-2</v>
      </c>
      <c r="W124" s="2895">
        <v>-1.7500000000000002E-2</v>
      </c>
      <c r="X124" s="2895">
        <v>-1.7500000000000002E-2</v>
      </c>
      <c r="Y124" s="2545"/>
      <c r="Z124" s="679"/>
      <c r="AA124" s="490"/>
      <c r="AB124" s="413"/>
      <c r="AC124" s="413"/>
      <c r="AD124" s="284">
        <f t="shared" ref="AD124:BS124" si="210">AD122/Z122-1</f>
        <v>1.4204701434588518E-2</v>
      </c>
      <c r="AE124" s="7">
        <f t="shared" si="210"/>
        <v>4.0813594557137511E-2</v>
      </c>
      <c r="AF124" s="16">
        <f t="shared" si="210"/>
        <v>-2.2867893935801797E-3</v>
      </c>
      <c r="AG124" s="16">
        <f t="shared" si="210"/>
        <v>5.0740490092699098E-2</v>
      </c>
      <c r="AH124" s="284">
        <f t="shared" si="210"/>
        <v>5.0068056672647243E-2</v>
      </c>
      <c r="AI124" s="7">
        <f t="shared" si="210"/>
        <v>2.0078683563457536</v>
      </c>
      <c r="AJ124" s="16">
        <f t="shared" si="210"/>
        <v>2.0572164474289392</v>
      </c>
      <c r="AK124" s="16">
        <f t="shared" si="210"/>
        <v>1.9720054521216839</v>
      </c>
      <c r="AL124" s="284">
        <f t="shared" si="210"/>
        <v>1.9044469648985847</v>
      </c>
      <c r="AM124" s="7">
        <f t="shared" si="210"/>
        <v>0.10304981575339878</v>
      </c>
      <c r="AN124" s="16">
        <f t="shared" si="210"/>
        <v>0.10090015545860287</v>
      </c>
      <c r="AO124" s="16">
        <f t="shared" si="210"/>
        <v>0.10209656284648738</v>
      </c>
      <c r="AP124" s="16">
        <f t="shared" si="210"/>
        <v>0.11903844203266045</v>
      </c>
      <c r="AQ124" s="7">
        <f t="shared" si="210"/>
        <v>1.1640283307565662</v>
      </c>
      <c r="AR124" s="16">
        <f t="shared" si="210"/>
        <v>1.1432101689742429</v>
      </c>
      <c r="AS124" s="16">
        <f t="shared" si="210"/>
        <v>1.1881487849715104</v>
      </c>
      <c r="AT124" s="358">
        <f t="shared" si="210"/>
        <v>1.0838628247194677</v>
      </c>
      <c r="AU124" s="265">
        <f t="shared" si="210"/>
        <v>-6.6680716543730201E-2</v>
      </c>
      <c r="AV124" s="332">
        <f t="shared" si="210"/>
        <v>-5.376833156216787E-2</v>
      </c>
      <c r="AW124" s="332">
        <f t="shared" si="210"/>
        <v>-7.8158829676071018E-2</v>
      </c>
      <c r="AX124" s="358">
        <f t="shared" si="210"/>
        <v>-4.80993718036965E-2</v>
      </c>
      <c r="AY124" s="265">
        <f t="shared" si="210"/>
        <v>7.2573725330804306E-2</v>
      </c>
      <c r="AZ124" s="332">
        <f t="shared" si="210"/>
        <v>7.4793015305411936E-2</v>
      </c>
      <c r="BA124" s="332">
        <f t="shared" si="210"/>
        <v>9.7254370314281857E-2</v>
      </c>
      <c r="BB124" s="332">
        <f t="shared" si="210"/>
        <v>9.7803935187300572E-2</v>
      </c>
      <c r="BC124" s="265">
        <f t="shared" si="210"/>
        <v>-2.1052631578947323E-2</v>
      </c>
      <c r="BD124" s="332">
        <f t="shared" si="210"/>
        <v>6.2695924764890609E-3</v>
      </c>
      <c r="BE124" s="332">
        <f t="shared" si="210"/>
        <v>-1.1363636363636354E-2</v>
      </c>
      <c r="BF124" s="358">
        <f t="shared" si="210"/>
        <v>-1.144640998959412E-2</v>
      </c>
      <c r="BG124" s="332">
        <f t="shared" si="210"/>
        <v>-1.3978494623655968E-2</v>
      </c>
      <c r="BH124" s="332">
        <f t="shared" si="210"/>
        <v>-5.399792315680163E-2</v>
      </c>
      <c r="BI124" s="332">
        <f t="shared" si="210"/>
        <v>-5.8516196447230939E-2</v>
      </c>
      <c r="BJ124" s="358">
        <f t="shared" si="210"/>
        <v>-1.5789473684210575E-2</v>
      </c>
      <c r="BK124" s="332">
        <f t="shared" si="210"/>
        <v>-8.8331515812431816E-2</v>
      </c>
      <c r="BL124" s="332">
        <f t="shared" si="210"/>
        <v>-7.0252469813391838E-2</v>
      </c>
      <c r="BM124" s="332">
        <f t="shared" si="210"/>
        <v>-3.7735849056603765E-2</v>
      </c>
      <c r="BN124" s="332">
        <f t="shared" si="210"/>
        <v>-5.0267379679144408E-2</v>
      </c>
      <c r="BO124" s="265">
        <f t="shared" si="210"/>
        <v>0.32416267942583743</v>
      </c>
      <c r="BP124" s="332">
        <f t="shared" si="210"/>
        <v>0.29043683589138136</v>
      </c>
      <c r="BQ124" s="332">
        <f t="shared" si="210"/>
        <v>0.26528258362168389</v>
      </c>
      <c r="BR124" s="358">
        <f t="shared" si="210"/>
        <v>0.27364864864864868</v>
      </c>
      <c r="BS124" s="265">
        <f t="shared" si="210"/>
        <v>-6.0523938572719094E-2</v>
      </c>
      <c r="BT124" s="332">
        <f t="shared" ref="BT124:CC124" si="211">BT122/BP122-1</f>
        <v>-4.1171088746569051E-2</v>
      </c>
      <c r="BU124" s="332">
        <f t="shared" si="211"/>
        <v>-4.466727438468554E-2</v>
      </c>
      <c r="BV124" s="358">
        <f t="shared" si="211"/>
        <v>-6.8965517241379337E-2</v>
      </c>
      <c r="BW124" s="265">
        <f t="shared" si="211"/>
        <v>-6.1538461538461542E-2</v>
      </c>
      <c r="BX124" s="332">
        <f t="shared" si="211"/>
        <v>-5.820610687022898E-2</v>
      </c>
      <c r="BY124" s="332">
        <f t="shared" si="211"/>
        <v>-5.0572519083969425E-2</v>
      </c>
      <c r="BZ124" s="358">
        <f t="shared" si="211"/>
        <v>-9.021842355175691E-2</v>
      </c>
      <c r="CA124" s="265">
        <f t="shared" si="211"/>
        <v>-9.8360655737704916E-2</v>
      </c>
      <c r="CB124" s="332">
        <f t="shared" si="211"/>
        <v>-3.8500506585612992E-2</v>
      </c>
      <c r="CC124" s="332">
        <f t="shared" si="211"/>
        <v>-8.5427135678391997E-2</v>
      </c>
      <c r="CD124" s="358">
        <f t="shared" ref="CD124" si="212">CD122/BZ122-1</f>
        <v>0.35803757828810023</v>
      </c>
      <c r="CE124" s="332">
        <f>CE122/CA122-1</f>
        <v>0.54493749999999985</v>
      </c>
      <c r="CF124" s="332">
        <f>CF122/CB122-1</f>
        <v>0.43547322444678604</v>
      </c>
      <c r="CG124" s="332">
        <f>CG122/CC122-1</f>
        <v>0.49998749250549457</v>
      </c>
      <c r="CH124" s="358">
        <f>CH122/CD122-1</f>
        <v>5.1282548359999902E-2</v>
      </c>
      <c r="CI124" s="632"/>
    </row>
    <row r="125" spans="1:93">
      <c r="A125" s="726" t="s">
        <v>1150</v>
      </c>
      <c r="B125" s="727"/>
      <c r="C125" s="727"/>
      <c r="D125" s="413"/>
      <c r="E125" s="413"/>
      <c r="F125" s="16">
        <f>F122/IS!F25</f>
        <v>1.1229428871996183</v>
      </c>
      <c r="G125" s="16">
        <f>G122/IS!G25</f>
        <v>0.23183124465173874</v>
      </c>
      <c r="H125" s="16">
        <f>H122/IS!H25</f>
        <v>0.25486354445141329</v>
      </c>
      <c r="I125" s="16">
        <f>I122/IS!I25</f>
        <v>0.17349100219274022</v>
      </c>
      <c r="J125" s="16">
        <f>J122/IS!J25</f>
        <v>0.17792421729703284</v>
      </c>
      <c r="K125" s="16">
        <f>K122/IS!K25</f>
        <v>0.19741649940816222</v>
      </c>
      <c r="L125" s="16">
        <f ca="1">L122/IS!L25</f>
        <v>0.2032977027359591</v>
      </c>
      <c r="M125" s="16">
        <f>M122/IS!M25</f>
        <v>0.19937965935680471</v>
      </c>
      <c r="N125" s="16">
        <f>N122/IS!N25</f>
        <v>0.18999723680574745</v>
      </c>
      <c r="O125" s="16">
        <f>O122/IS!O25</f>
        <v>0.24563155267099351</v>
      </c>
      <c r="P125" s="16">
        <f>P122/IS!P25</f>
        <v>0.23402234636871508</v>
      </c>
      <c r="Q125" s="16">
        <f>Q122/IS!Q25</f>
        <v>0.22415569547796221</v>
      </c>
      <c r="R125" s="16">
        <f>R122/IS!R25</f>
        <v>0.22030755807612606</v>
      </c>
      <c r="S125" s="16">
        <f>S122/IS!S25</f>
        <v>0.2287940060700889</v>
      </c>
      <c r="T125" s="16">
        <f>T122/IS!T25</f>
        <v>0.22662469953665934</v>
      </c>
      <c r="U125" s="16">
        <f>U122/IS!U25</f>
        <v>0.22396018121129985</v>
      </c>
      <c r="V125" s="16">
        <f>V122/IS!V25</f>
        <v>0.22147405225008104</v>
      </c>
      <c r="W125" s="16">
        <f>W122/IS!W25</f>
        <v>0.21826790321248329</v>
      </c>
      <c r="X125" s="16">
        <f>X122/IS!X25</f>
        <v>0.21489048940708291</v>
      </c>
      <c r="Y125" s="813"/>
      <c r="Z125" s="429">
        <f>Z122/IS!AD25</f>
        <v>0.2120984257273712</v>
      </c>
      <c r="AA125" s="7">
        <f>AA122/IS!AE25</f>
        <v>0.21389783461118675</v>
      </c>
      <c r="AB125" s="16">
        <f>AB122/IS!AF25</f>
        <v>0.21663477230741193</v>
      </c>
      <c r="AC125" s="16">
        <f>AC122/IS!AG25</f>
        <v>0.20921908750856119</v>
      </c>
      <c r="AD125" s="284">
        <f>AD122/IS!AH25</f>
        <v>0.21329057756575842</v>
      </c>
      <c r="AE125" s="7">
        <f>AE122/IS!AI25</f>
        <v>0.22203762250496403</v>
      </c>
      <c r="AF125" s="16">
        <f>AF122/IS!AJ25</f>
        <v>0.2151207180584849</v>
      </c>
      <c r="AG125" s="16">
        <f>AG122/IS!AK25</f>
        <v>0.20320963041311246</v>
      </c>
      <c r="AH125" s="284">
        <f>AH122/IS!AL25</f>
        <v>0.21883018089454478</v>
      </c>
      <c r="AI125" s="7">
        <f>AI122/IS!AM25</f>
        <v>0.1872359404088941</v>
      </c>
      <c r="AJ125" s="16">
        <f>AJ122/IS!AN25</f>
        <v>0.18981205836285317</v>
      </c>
      <c r="AK125" s="16">
        <f>AK122/IS!AO25</f>
        <v>0.18893256244429718</v>
      </c>
      <c r="AL125" s="284">
        <f>AL122/IS!AP25</f>
        <v>0.18692749425864874</v>
      </c>
      <c r="AM125" s="7">
        <f>AM122/IS!AQ25</f>
        <v>0.21074702466053616</v>
      </c>
      <c r="AN125" s="16">
        <f>AN122/IS!AR25</f>
        <v>0.20699469431744144</v>
      </c>
      <c r="AO125" s="16">
        <f>AO122/IS!AS25</f>
        <v>0.20050190115462938</v>
      </c>
      <c r="AP125" s="16">
        <f>AP122/IS!AT25</f>
        <v>0.20798116357172008</v>
      </c>
      <c r="AQ125" s="7">
        <f>AQ122/IS!AU25</f>
        <v>0.17243215094663253</v>
      </c>
      <c r="AR125" s="16">
        <f>AR122/IS!AV25</f>
        <v>0.17176005503622932</v>
      </c>
      <c r="AS125" s="16">
        <f>AS122/IS!AW25</f>
        <v>0.17601382214290667</v>
      </c>
      <c r="AT125" s="358">
        <f>AT122/IS!AX25</f>
        <v>0.1737922174426256</v>
      </c>
      <c r="AU125" s="265">
        <f>AU122/IS!AY25</f>
        <v>0.17358219745749079</v>
      </c>
      <c r="AV125" s="332">
        <f>AV122/IS!AZ25</f>
        <v>0.17820864688327406</v>
      </c>
      <c r="AW125" s="332">
        <f>AW122/IS!BA25</f>
        <v>0.17900645756925529</v>
      </c>
      <c r="AX125" s="358">
        <f>AX122/IS!BB25</f>
        <v>0.18111053365067911</v>
      </c>
      <c r="AY125" s="265">
        <f>AY122/IS!BC25</f>
        <v>0.19336454304905354</v>
      </c>
      <c r="AZ125" s="332">
        <f>AZ122/IS!BD25</f>
        <v>0.19715698393077874</v>
      </c>
      <c r="BA125" s="332">
        <f>BA122/IS!BE25</f>
        <v>0.19929997941115915</v>
      </c>
      <c r="BB125" s="332">
        <f>BB122/IS!BF25</f>
        <v>0.19991678801747451</v>
      </c>
      <c r="BC125" s="265">
        <f ca="1">BC122/IS!BG25</f>
        <v>0.1963350785340314</v>
      </c>
      <c r="BD125" s="332">
        <f>BD122/IS!BH25</f>
        <v>0.20625401584921824</v>
      </c>
      <c r="BE125" s="332">
        <f>BE122/IS!BI25</f>
        <v>0.20656162313835527</v>
      </c>
      <c r="BF125" s="358">
        <f>BF122/IS!BJ25</f>
        <v>0.20416935310552331</v>
      </c>
      <c r="BG125" s="332">
        <f>BG122/IS!BK25</f>
        <v>0.19891540130151844</v>
      </c>
      <c r="BH125" s="332">
        <f>BH122/IS!BL25</f>
        <v>0.19752818733738076</v>
      </c>
      <c r="BI125" s="332">
        <f>BI122/IS!BM25</f>
        <v>0.19711222927149422</v>
      </c>
      <c r="BJ125" s="358">
        <f>BJ122/IS!BN25</f>
        <v>0.20397033158813263</v>
      </c>
      <c r="BK125" s="332">
        <f>BK122/IS!BO25</f>
        <v>0.18524263239530245</v>
      </c>
      <c r="BL125" s="332">
        <f>BL122/IS!BP25</f>
        <v>0.18718232044198896</v>
      </c>
      <c r="BM125" s="332">
        <f>BM122/IS!BQ25</f>
        <v>0.1920265780730897</v>
      </c>
      <c r="BN125" s="332">
        <f>BN122/IS!BR25</f>
        <v>0.19550858652575959</v>
      </c>
      <c r="BO125" s="265">
        <f>BO122/IS!BS25</f>
        <v>0.24394006170118995</v>
      </c>
      <c r="BP125" s="332">
        <f>BP122/IS!BT25</f>
        <v>0.24074889867841409</v>
      </c>
      <c r="BQ125" s="332">
        <f>BQ122/IS!BU25</f>
        <v>0.24307555949479281</v>
      </c>
      <c r="BR125" s="358">
        <f>BR122/IS!BV25</f>
        <v>0.2549594229035167</v>
      </c>
      <c r="BS125" s="265">
        <f>BS122/IS!BW25</f>
        <v>0.233655358346439</v>
      </c>
      <c r="BT125" s="332">
        <f>BT122/IS!BX25</f>
        <v>0.23715772799275855</v>
      </c>
      <c r="BU125" s="332">
        <f>BU122/IS!BY25</f>
        <v>0.23012736056214317</v>
      </c>
      <c r="BV125" s="358">
        <f>BV122/IS!BZ25</f>
        <v>0.23525469168900803</v>
      </c>
      <c r="BW125" s="265">
        <f>BW122/IS!CA25</f>
        <v>0.22176778004998865</v>
      </c>
      <c r="BX125" s="332">
        <f>BX122/IS!CB25</f>
        <v>0.22442019099590724</v>
      </c>
      <c r="BY125" s="332">
        <f>BY122/IS!CC25</f>
        <v>0.22706526700136923</v>
      </c>
      <c r="BZ125" s="358">
        <f>BZ122/IS!CD25</f>
        <v>0.22336208906505012</v>
      </c>
      <c r="CA125" s="265">
        <f>CA122/IS!CE25</f>
        <v>0.20907578997386553</v>
      </c>
      <c r="CB125" s="332">
        <f>CB122/IS!CF25</f>
        <v>0.23202933985330074</v>
      </c>
      <c r="CC125" s="332">
        <f>CC122/IS!CG25</f>
        <v>0.22558254833911751</v>
      </c>
      <c r="CD125" s="358">
        <f>CD122/IS!CH25</f>
        <v>0.21665278934221482</v>
      </c>
      <c r="CE125" s="332">
        <f>CE122/IS!CI25</f>
        <v>0.22718074600378979</v>
      </c>
      <c r="CF125" s="332">
        <f>CF122/IS!CJ25</f>
        <v>0.22831961243474072</v>
      </c>
      <c r="CG125" s="332">
        <f>CG122/IS!CK25</f>
        <v>0.22936682178388601</v>
      </c>
      <c r="CH125" s="358">
        <f>CH122/IS!CL25</f>
        <v>0.23032239378260363</v>
      </c>
      <c r="CI125" s="632"/>
    </row>
    <row r="126" spans="1:93">
      <c r="A126" s="731" t="s">
        <v>8</v>
      </c>
      <c r="B126" s="732"/>
      <c r="C126" s="732"/>
      <c r="D126" s="413"/>
      <c r="E126" s="413"/>
      <c r="F126" s="640">
        <f t="shared" ref="F126:X126" si="213">F108/(F122-E122)</f>
        <v>0.49050491483862724</v>
      </c>
      <c r="G126" s="640">
        <f t="shared" si="213"/>
        <v>5.7283025995589805</v>
      </c>
      <c r="H126" s="640">
        <f t="shared" si="213"/>
        <v>6.8479575502460399</v>
      </c>
      <c r="I126" s="640">
        <f t="shared" si="213"/>
        <v>1.3623501638013451</v>
      </c>
      <c r="J126" s="640">
        <f t="shared" si="213"/>
        <v>-10.354107004083167</v>
      </c>
      <c r="K126" s="640">
        <f t="shared" si="213"/>
        <v>8.4297065731582279</v>
      </c>
      <c r="L126" s="640">
        <f t="shared" si="213"/>
        <v>-80.266416666666657</v>
      </c>
      <c r="M126" s="640">
        <f t="shared" si="213"/>
        <v>-21.014705882352942</v>
      </c>
      <c r="N126" s="640">
        <f t="shared" si="213"/>
        <v>-13.278761061946902</v>
      </c>
      <c r="O126" s="640">
        <f t="shared" si="213"/>
        <v>3.0565656565656565</v>
      </c>
      <c r="P126" s="640">
        <f t="shared" si="213"/>
        <v>-11.97071129707113</v>
      </c>
      <c r="Q126" s="640">
        <f t="shared" si="213"/>
        <v>-10.835164835164836</v>
      </c>
      <c r="R126" s="640">
        <f t="shared" si="213"/>
        <v>25.008064516129032</v>
      </c>
      <c r="S126" s="640">
        <f t="shared" si="213"/>
        <v>2.7219559176693897</v>
      </c>
      <c r="T126" s="640">
        <f t="shared" si="213"/>
        <v>-34.594640460766733</v>
      </c>
      <c r="U126" s="640">
        <f t="shared" si="213"/>
        <v>-35.00622279191316</v>
      </c>
      <c r="V126" s="640">
        <f t="shared" si="213"/>
        <v>-40.559411143631699</v>
      </c>
      <c r="W126" s="640">
        <f t="shared" si="213"/>
        <v>-41.155190528001633</v>
      </c>
      <c r="X126" s="640">
        <f t="shared" si="213"/>
        <v>-41.802022824008276</v>
      </c>
      <c r="Y126" s="2546"/>
      <c r="Z126" s="450"/>
      <c r="AA126" s="642">
        <f t="shared" ref="AA126:BT126" si="214">AA108/(AA122-Z122)/3</f>
        <v>-41.081170991351406</v>
      </c>
      <c r="AB126" s="640">
        <f t="shared" si="214"/>
        <v>8.3594040968342647</v>
      </c>
      <c r="AC126" s="640">
        <f t="shared" si="214"/>
        <v>-8.8558852890461885</v>
      </c>
      <c r="AD126" s="641">
        <f t="shared" si="214"/>
        <v>19.724318658280929</v>
      </c>
      <c r="AE126" s="642">
        <f t="shared" si="214"/>
        <v>8.6965052827121507</v>
      </c>
      <c r="AF126" s="640">
        <f t="shared" si="214"/>
        <v>-19.735151866898669</v>
      </c>
      <c r="AG126" s="640">
        <f t="shared" si="214"/>
        <v>11.390587725005375</v>
      </c>
      <c r="AH126" s="641">
        <f t="shared" si="214"/>
        <v>19.673475429248239</v>
      </c>
      <c r="AI126" s="642">
        <f t="shared" si="214"/>
        <v>0.33626319616074646</v>
      </c>
      <c r="AJ126" s="640">
        <f t="shared" si="214"/>
        <v>101.5583001328025</v>
      </c>
      <c r="AK126" s="640">
        <f t="shared" si="214"/>
        <v>-57.673232323231794</v>
      </c>
      <c r="AL126" s="641">
        <f t="shared" si="214"/>
        <v>-42.343682795699586</v>
      </c>
      <c r="AM126" s="642">
        <f t="shared" si="214"/>
        <v>1.7497472117837047</v>
      </c>
      <c r="AN126" s="640">
        <f t="shared" si="214"/>
        <v>155.58254269450103</v>
      </c>
      <c r="AO126" s="640">
        <f t="shared" si="214"/>
        <v>-53.263929618768827</v>
      </c>
      <c r="AP126" s="640">
        <f t="shared" si="214"/>
        <v>34.172914555893463</v>
      </c>
      <c r="AQ126" s="642">
        <f t="shared" si="214"/>
        <v>0.42528008887208091</v>
      </c>
      <c r="AR126" s="640">
        <f t="shared" si="214"/>
        <v>-32.194125</v>
      </c>
      <c r="AS126" s="640">
        <f t="shared" si="214"/>
        <v>14.720958333333334</v>
      </c>
      <c r="AT126" s="644">
        <f t="shared" si="214"/>
        <v>-5.455358496286185</v>
      </c>
      <c r="AU126" s="736">
        <f t="shared" si="214"/>
        <v>-4.7368597024318868</v>
      </c>
      <c r="AV126" s="643">
        <f t="shared" si="214"/>
        <v>41.211571306575848</v>
      </c>
      <c r="AW126" s="643">
        <f t="shared" si="214"/>
        <v>-25.494838657238077</v>
      </c>
      <c r="AX126" s="644">
        <f t="shared" si="214"/>
        <v>-35.367996479906218</v>
      </c>
      <c r="AY126" s="736">
        <f t="shared" si="214"/>
        <v>2.7035309674421932</v>
      </c>
      <c r="AZ126" s="643">
        <f t="shared" si="214"/>
        <v>27.430761904761908</v>
      </c>
      <c r="BA126" s="643">
        <f t="shared" si="214"/>
        <v>20.030303030303031</v>
      </c>
      <c r="BB126" s="643">
        <f t="shared" si="214"/>
        <v>-33.618571428571428</v>
      </c>
      <c r="BC126" s="736">
        <f t="shared" si="214"/>
        <v>-7.0063548387096768</v>
      </c>
      <c r="BD126" s="643">
        <f t="shared" si="214"/>
        <v>6.2727272727272725</v>
      </c>
      <c r="BE126" s="643">
        <f t="shared" si="214"/>
        <v>-40.055555555555557</v>
      </c>
      <c r="BF126" s="644">
        <f t="shared" si="214"/>
        <v>-42.666666666666664</v>
      </c>
      <c r="BG126" s="643">
        <f t="shared" si="214"/>
        <v>-6.7474747474747474</v>
      </c>
      <c r="BH126" s="643">
        <f t="shared" si="214"/>
        <v>-33.833333333333336</v>
      </c>
      <c r="BI126" s="643">
        <f t="shared" si="214"/>
        <v>-23.466666666666669</v>
      </c>
      <c r="BJ126" s="644">
        <f t="shared" si="214"/>
        <v>8.5980392156862742</v>
      </c>
      <c r="BK126" s="643">
        <f t="shared" si="214"/>
        <v>-2.2087542087542089</v>
      </c>
      <c r="BL126" s="643">
        <f t="shared" si="214"/>
        <v>22.393939393939394</v>
      </c>
      <c r="BM126" s="643">
        <f t="shared" si="214"/>
        <v>13.1</v>
      </c>
      <c r="BN126" s="643">
        <f t="shared" si="214"/>
        <v>13.015873015873018</v>
      </c>
      <c r="BO126" s="736">
        <f t="shared" si="214"/>
        <v>1.0076103500761036</v>
      </c>
      <c r="BP126" s="643">
        <f t="shared" si="214"/>
        <v>-17.214285714285715</v>
      </c>
      <c r="BQ126" s="643">
        <f t="shared" si="214"/>
        <v>59.25</v>
      </c>
      <c r="BR126" s="644">
        <f t="shared" si="214"/>
        <v>9.117647058823529</v>
      </c>
      <c r="BS126" s="736">
        <f t="shared" si="214"/>
        <v>-2.2454212454212454</v>
      </c>
      <c r="BT126" s="643">
        <f t="shared" si="214"/>
        <v>27.25</v>
      </c>
      <c r="BU126" s="2805" t="s">
        <v>441</v>
      </c>
      <c r="BV126" s="644">
        <f t="shared" ref="BV126:CH126" si="215">BV108/(BV122-BU122)/3</f>
        <v>55.333333333333336</v>
      </c>
      <c r="BW126" s="736">
        <f t="shared" si="215"/>
        <v>-2.6277056277056277</v>
      </c>
      <c r="BX126" s="643">
        <f t="shared" si="215"/>
        <v>19.636363636363637</v>
      </c>
      <c r="BY126" s="643">
        <f t="shared" si="215"/>
        <v>30.833333333333332</v>
      </c>
      <c r="BZ126" s="644">
        <f t="shared" si="215"/>
        <v>-8.6756756756756754</v>
      </c>
      <c r="CA126" s="736">
        <f t="shared" si="215"/>
        <v>-3.3333333333333335</v>
      </c>
      <c r="CB126" s="643">
        <f t="shared" si="215"/>
        <v>4.0048309178743962</v>
      </c>
      <c r="CC126" s="643">
        <f t="shared" si="215"/>
        <v>-6.4017094017094012</v>
      </c>
      <c r="CD126" s="644">
        <f t="shared" si="215"/>
        <v>0.63341858482523439</v>
      </c>
      <c r="CE126" s="643">
        <f t="shared" si="215"/>
        <v>5.5198339738662732</v>
      </c>
      <c r="CF126" s="643">
        <f t="shared" si="215"/>
        <v>118.4917918855183</v>
      </c>
      <c r="CG126" s="643">
        <f t="shared" si="215"/>
        <v>117.95079946431729</v>
      </c>
      <c r="CH126" s="644">
        <f t="shared" si="215"/>
        <v>116.0112986026943</v>
      </c>
      <c r="CI126" s="632"/>
    </row>
    <row r="127" spans="1:93">
      <c r="A127" s="732"/>
      <c r="B127" s="732"/>
      <c r="C127" s="732"/>
      <c r="D127" s="413"/>
      <c r="E127" s="413"/>
      <c r="F127" s="413"/>
      <c r="G127" s="413"/>
      <c r="H127" s="413"/>
      <c r="I127" s="413"/>
      <c r="J127" s="413"/>
      <c r="K127" s="413"/>
      <c r="L127" s="413"/>
      <c r="M127" s="413"/>
      <c r="N127" s="413"/>
      <c r="O127" s="413"/>
      <c r="P127" s="413"/>
      <c r="Q127" s="413"/>
      <c r="R127" s="413"/>
      <c r="S127" s="413"/>
      <c r="T127" s="413"/>
      <c r="U127" s="413"/>
      <c r="V127" s="413"/>
      <c r="W127" s="413"/>
      <c r="X127" s="413"/>
      <c r="Y127" s="823"/>
      <c r="Z127" s="679"/>
      <c r="AA127" s="490"/>
      <c r="AB127" s="413"/>
      <c r="AC127" s="413"/>
      <c r="AD127" s="414"/>
      <c r="AE127" s="490"/>
      <c r="AF127" s="413"/>
      <c r="AG127" s="413"/>
      <c r="AH127" s="414"/>
      <c r="AI127" s="490"/>
      <c r="AJ127" s="413"/>
      <c r="AK127" s="413"/>
      <c r="AL127" s="414"/>
      <c r="AM127" s="490"/>
      <c r="AN127" s="413"/>
      <c r="AO127" s="413"/>
      <c r="AP127" s="413"/>
      <c r="AQ127" s="490"/>
      <c r="AR127" s="413"/>
      <c r="AS127" s="413"/>
      <c r="AT127" s="568"/>
      <c r="AU127" s="570"/>
      <c r="AV127" s="680"/>
      <c r="AW127" s="680"/>
      <c r="AX127" s="568"/>
      <c r="AY127" s="570"/>
      <c r="AZ127" s="680"/>
      <c r="BA127" s="680"/>
      <c r="BB127" s="680"/>
      <c r="BC127" s="570"/>
      <c r="BD127" s="680"/>
      <c r="BE127" s="680"/>
      <c r="BF127" s="568"/>
      <c r="BG127" s="680"/>
      <c r="BH127" s="680"/>
      <c r="BI127" s="680"/>
      <c r="BJ127" s="568"/>
      <c r="BK127" s="680"/>
      <c r="BL127" s="680"/>
      <c r="BM127" s="680"/>
      <c r="BN127" s="680"/>
      <c r="BO127" s="570"/>
      <c r="BP127" s="680"/>
      <c r="BQ127" s="680"/>
      <c r="BR127" s="568"/>
      <c r="BS127" s="570"/>
      <c r="BT127" s="680"/>
      <c r="BU127" s="680"/>
      <c r="BV127" s="568"/>
      <c r="BW127" s="570"/>
      <c r="BX127" s="680"/>
      <c r="BY127" s="680"/>
      <c r="BZ127" s="568"/>
      <c r="CA127" s="570"/>
      <c r="CB127" s="680"/>
      <c r="CC127" s="680"/>
      <c r="CD127" s="568"/>
      <c r="CE127" s="680"/>
      <c r="CF127" s="680"/>
      <c r="CG127" s="680"/>
      <c r="CH127" s="568"/>
      <c r="CI127" s="632"/>
    </row>
    <row r="128" spans="1:93">
      <c r="A128" s="724" t="s">
        <v>1251</v>
      </c>
      <c r="B128" s="274"/>
      <c r="C128" s="274"/>
      <c r="D128" s="413"/>
      <c r="E128" s="413"/>
      <c r="F128" s="413">
        <f t="shared" ref="F128:P128" si="216">F13</f>
        <v>531.93100000000004</v>
      </c>
      <c r="G128" s="413">
        <f t="shared" si="216"/>
        <v>1588.5059999999999</v>
      </c>
      <c r="H128" s="413">
        <f t="shared" si="216"/>
        <v>1756.2550000000001</v>
      </c>
      <c r="I128" s="413">
        <f t="shared" si="216"/>
        <v>3880.7860000000001</v>
      </c>
      <c r="J128" s="413">
        <f t="shared" si="216"/>
        <v>3773.71</v>
      </c>
      <c r="K128" s="413">
        <f t="shared" si="216"/>
        <v>3836</v>
      </c>
      <c r="L128" s="413">
        <f t="shared" si="216"/>
        <v>3800</v>
      </c>
      <c r="M128" s="413">
        <f t="shared" si="216"/>
        <v>4780</v>
      </c>
      <c r="N128" s="413">
        <f t="shared" si="216"/>
        <v>4541</v>
      </c>
      <c r="O128" s="413">
        <f t="shared" si="216"/>
        <v>4428</v>
      </c>
      <c r="P128" s="413">
        <f t="shared" si="216"/>
        <v>4189</v>
      </c>
      <c r="Q128" s="413">
        <f t="shared" ref="Q128:R129" si="217">SUM(BW128:BZ128)</f>
        <v>3916</v>
      </c>
      <c r="R128" s="413">
        <f t="shared" si="217"/>
        <v>3820</v>
      </c>
      <c r="S128" s="413">
        <f>SUM(CE128:CH128)</f>
        <v>5454.5163035963596</v>
      </c>
      <c r="T128" s="413">
        <f>T122+T129</f>
        <v>5345.4259775244327</v>
      </c>
      <c r="U128" s="413">
        <f>U122+U129</f>
        <v>5238.5174579739441</v>
      </c>
      <c r="V128" s="413">
        <f>V122+V129</f>
        <v>5146.8434024594007</v>
      </c>
      <c r="W128" s="413">
        <f>W122+W129</f>
        <v>5056.7736429163615</v>
      </c>
      <c r="X128" s="413">
        <f>X122+X129</f>
        <v>4968.2801041653256</v>
      </c>
      <c r="Y128" s="823"/>
      <c r="Z128" s="679">
        <v>0</v>
      </c>
      <c r="AA128" s="490">
        <f t="shared" ref="AA128:BF128" si="218">AA13</f>
        <v>126.992</v>
      </c>
      <c r="AB128" s="413">
        <f t="shared" si="218"/>
        <v>130.751</v>
      </c>
      <c r="AC128" s="413">
        <f t="shared" si="218"/>
        <v>113.857</v>
      </c>
      <c r="AD128" s="414">
        <f t="shared" si="218"/>
        <v>129.304</v>
      </c>
      <c r="AE128" s="490">
        <f t="shared" si="218"/>
        <v>132.17500000000001</v>
      </c>
      <c r="AF128" s="413">
        <f t="shared" si="218"/>
        <v>130.452</v>
      </c>
      <c r="AG128" s="413">
        <f t="shared" si="218"/>
        <v>133.52600000000001</v>
      </c>
      <c r="AH128" s="414">
        <f t="shared" si="218"/>
        <v>135.77799999999999</v>
      </c>
      <c r="AI128" s="490">
        <f t="shared" si="218"/>
        <v>397.565</v>
      </c>
      <c r="AJ128" s="413">
        <f t="shared" si="218"/>
        <v>398.82</v>
      </c>
      <c r="AK128" s="413">
        <f t="shared" si="218"/>
        <v>396.84</v>
      </c>
      <c r="AL128" s="414">
        <f t="shared" si="218"/>
        <v>395.28100000000001</v>
      </c>
      <c r="AM128" s="490">
        <f t="shared" si="218"/>
        <v>397.78399999999999</v>
      </c>
      <c r="AN128" s="413">
        <f t="shared" si="218"/>
        <v>398.31099999999998</v>
      </c>
      <c r="AO128" s="413">
        <f t="shared" si="218"/>
        <v>396.60599999999999</v>
      </c>
      <c r="AP128" s="413">
        <f t="shared" si="218"/>
        <v>563.55399999999997</v>
      </c>
      <c r="AQ128" s="490">
        <f t="shared" si="218"/>
        <v>962.68399999999997</v>
      </c>
      <c r="AR128" s="413">
        <f t="shared" si="218"/>
        <v>955.95399999999995</v>
      </c>
      <c r="AS128" s="413">
        <f t="shared" si="218"/>
        <v>979.35199999999998</v>
      </c>
      <c r="AT128" s="568">
        <f t="shared" si="218"/>
        <v>982.79600000000005</v>
      </c>
      <c r="AU128" s="570">
        <f t="shared" si="218"/>
        <v>944.72</v>
      </c>
      <c r="AV128" s="680">
        <f t="shared" si="218"/>
        <v>950.404</v>
      </c>
      <c r="AW128" s="680">
        <f t="shared" si="218"/>
        <v>943.202</v>
      </c>
      <c r="AX128" s="568">
        <f t="shared" si="218"/>
        <v>935.38400000000001</v>
      </c>
      <c r="AY128" s="570">
        <f t="shared" si="218"/>
        <v>950</v>
      </c>
      <c r="AZ128" s="680">
        <f t="shared" si="218"/>
        <v>957</v>
      </c>
      <c r="BA128" s="680">
        <f t="shared" si="218"/>
        <v>968</v>
      </c>
      <c r="BB128" s="680">
        <f t="shared" si="218"/>
        <v>961</v>
      </c>
      <c r="BC128" s="570">
        <f t="shared" si="218"/>
        <v>930</v>
      </c>
      <c r="BD128" s="680">
        <f t="shared" si="218"/>
        <v>963</v>
      </c>
      <c r="BE128" s="680">
        <f t="shared" si="218"/>
        <v>957</v>
      </c>
      <c r="BF128" s="568">
        <f t="shared" si="218"/>
        <v>950</v>
      </c>
      <c r="BG128" s="680">
        <f t="shared" ref="BG128:CD128" si="219">BG13</f>
        <v>1208</v>
      </c>
      <c r="BH128" s="680">
        <f t="shared" si="219"/>
        <v>1208</v>
      </c>
      <c r="BI128" s="680">
        <f t="shared" si="219"/>
        <v>1144</v>
      </c>
      <c r="BJ128" s="568">
        <f t="shared" si="219"/>
        <v>1220</v>
      </c>
      <c r="BK128" s="680">
        <f t="shared" si="219"/>
        <v>1117</v>
      </c>
      <c r="BL128" s="680">
        <f t="shared" si="219"/>
        <v>1123</v>
      </c>
      <c r="BM128" s="680">
        <f t="shared" si="219"/>
        <v>1135</v>
      </c>
      <c r="BN128" s="680">
        <f t="shared" si="219"/>
        <v>1166</v>
      </c>
      <c r="BO128" s="570">
        <f t="shared" si="219"/>
        <v>1107</v>
      </c>
      <c r="BP128" s="680">
        <f t="shared" si="219"/>
        <v>1093</v>
      </c>
      <c r="BQ128" s="680">
        <f t="shared" si="219"/>
        <v>1097</v>
      </c>
      <c r="BR128" s="568">
        <f t="shared" si="219"/>
        <v>1131</v>
      </c>
      <c r="BS128" s="570">
        <f t="shared" si="219"/>
        <v>1040</v>
      </c>
      <c r="BT128" s="680">
        <f t="shared" si="219"/>
        <v>1048</v>
      </c>
      <c r="BU128" s="680">
        <f t="shared" si="219"/>
        <v>1048</v>
      </c>
      <c r="BV128" s="568">
        <f t="shared" si="219"/>
        <v>1053</v>
      </c>
      <c r="BW128" s="570">
        <f t="shared" si="219"/>
        <v>976</v>
      </c>
      <c r="BX128" s="680">
        <f t="shared" si="219"/>
        <v>987</v>
      </c>
      <c r="BY128" s="680">
        <f t="shared" si="219"/>
        <v>995</v>
      </c>
      <c r="BZ128" s="568">
        <f t="shared" si="219"/>
        <v>958</v>
      </c>
      <c r="CA128" s="570">
        <f t="shared" si="219"/>
        <v>880</v>
      </c>
      <c r="CB128" s="680">
        <f t="shared" si="219"/>
        <v>949</v>
      </c>
      <c r="CC128" s="680">
        <f t="shared" si="219"/>
        <v>910</v>
      </c>
      <c r="CD128" s="568">
        <f t="shared" si="219"/>
        <v>1197</v>
      </c>
      <c r="CE128" s="680">
        <f>CE122+CE129</f>
        <v>1359.5449999999998</v>
      </c>
      <c r="CF128" s="680">
        <f>CF122+CF129</f>
        <v>1362.2640899999999</v>
      </c>
      <c r="CG128" s="680">
        <f>CG122+CG129</f>
        <v>1364.98861818</v>
      </c>
      <c r="CH128" s="568">
        <f>CH122+CH129</f>
        <v>1367.7185954163599</v>
      </c>
      <c r="CI128" s="632"/>
    </row>
    <row r="129" spans="1:93">
      <c r="A129" s="2635" t="s">
        <v>1958</v>
      </c>
      <c r="B129" s="274"/>
      <c r="C129" s="274"/>
      <c r="D129" s="413"/>
      <c r="E129" s="413"/>
      <c r="F129" s="413"/>
      <c r="G129" s="413"/>
      <c r="H129" s="413"/>
      <c r="I129" s="413"/>
      <c r="J129" s="413"/>
      <c r="K129" s="413">
        <f>K128-K122</f>
        <v>0</v>
      </c>
      <c r="L129" s="413">
        <f>L128-L122</f>
        <v>0</v>
      </c>
      <c r="M129" s="413">
        <f>M128-M122</f>
        <v>1116</v>
      </c>
      <c r="N129" s="413">
        <f>N128-N122</f>
        <v>1103</v>
      </c>
      <c r="O129" s="413">
        <f>SUM(BO129:BR129)</f>
        <v>1011</v>
      </c>
      <c r="P129" s="413">
        <f>SUM(BS129:BV129)</f>
        <v>934</v>
      </c>
      <c r="Q129" s="413">
        <f t="shared" si="217"/>
        <v>854</v>
      </c>
      <c r="R129" s="413">
        <f t="shared" si="217"/>
        <v>825</v>
      </c>
      <c r="S129" s="413">
        <f>SUM(CE129:CH129)</f>
        <v>0</v>
      </c>
      <c r="T129" s="413">
        <f>+S129*75%</f>
        <v>0</v>
      </c>
      <c r="U129" s="413">
        <f>+T129*75%</f>
        <v>0</v>
      </c>
      <c r="V129" s="413">
        <f>+U129*75%</f>
        <v>0</v>
      </c>
      <c r="W129" s="413">
        <f>+V129*75%</f>
        <v>0</v>
      </c>
      <c r="X129" s="413">
        <f>+W129*75%</f>
        <v>0</v>
      </c>
      <c r="Y129" s="823"/>
      <c r="Z129" s="679"/>
      <c r="AA129" s="490"/>
      <c r="AB129" s="413"/>
      <c r="AC129" s="413"/>
      <c r="AD129" s="414"/>
      <c r="AE129" s="490"/>
      <c r="AF129" s="413"/>
      <c r="AG129" s="413"/>
      <c r="AH129" s="414"/>
      <c r="AI129" s="490"/>
      <c r="AJ129" s="413"/>
      <c r="AK129" s="413"/>
      <c r="AL129" s="414"/>
      <c r="AM129" s="490"/>
      <c r="AN129" s="413"/>
      <c r="AO129" s="413"/>
      <c r="AP129" s="413"/>
      <c r="AQ129" s="490"/>
      <c r="AR129" s="413"/>
      <c r="AS129" s="413"/>
      <c r="AT129" s="568"/>
      <c r="AU129" s="570"/>
      <c r="AV129" s="680"/>
      <c r="AW129" s="680"/>
      <c r="AX129" s="568"/>
      <c r="AY129" s="570"/>
      <c r="AZ129" s="680"/>
      <c r="BA129" s="680"/>
      <c r="BB129" s="680"/>
      <c r="BC129" s="570"/>
      <c r="BD129" s="680"/>
      <c r="BE129" s="680"/>
      <c r="BF129" s="568"/>
      <c r="BG129" s="3527">
        <v>291</v>
      </c>
      <c r="BH129" s="3527">
        <v>297</v>
      </c>
      <c r="BI129" s="3527">
        <v>243</v>
      </c>
      <c r="BJ129" s="3528">
        <v>285</v>
      </c>
      <c r="BK129" s="3527">
        <v>281</v>
      </c>
      <c r="BL129" s="3527">
        <v>276</v>
      </c>
      <c r="BM129" s="3527">
        <v>268</v>
      </c>
      <c r="BN129" s="3527">
        <v>278</v>
      </c>
      <c r="BO129" s="3529">
        <v>263</v>
      </c>
      <c r="BP129" s="3527">
        <v>257</v>
      </c>
      <c r="BQ129" s="3527">
        <v>244</v>
      </c>
      <c r="BR129" s="3528">
        <v>247</v>
      </c>
      <c r="BS129" s="3529">
        <v>241</v>
      </c>
      <c r="BT129" s="3527">
        <v>238</v>
      </c>
      <c r="BU129" s="3527">
        <v>228</v>
      </c>
      <c r="BV129" s="3528">
        <v>227</v>
      </c>
      <c r="BW129" s="3529">
        <v>223</v>
      </c>
      <c r="BX129" s="3527">
        <v>220</v>
      </c>
      <c r="BY129" s="3527">
        <v>210</v>
      </c>
      <c r="BZ129" s="3528">
        <v>201</v>
      </c>
      <c r="CA129" s="3529">
        <v>194</v>
      </c>
      <c r="CB129" s="3527">
        <v>193</v>
      </c>
      <c r="CC129" s="3527">
        <v>184</v>
      </c>
      <c r="CD129" s="3528"/>
      <c r="CE129" s="3530"/>
      <c r="CF129" s="3530"/>
      <c r="CG129" s="3530"/>
      <c r="CH129" s="3531"/>
      <c r="CI129" s="632"/>
    </row>
    <row r="130" spans="1:93" s="3513" customFormat="1">
      <c r="A130" s="2635" t="s">
        <v>1959</v>
      </c>
      <c r="B130" s="274"/>
      <c r="C130" s="274"/>
      <c r="D130" s="413"/>
      <c r="E130" s="413"/>
      <c r="F130" s="413"/>
      <c r="G130" s="413"/>
      <c r="H130" s="413"/>
      <c r="I130" s="413"/>
      <c r="J130" s="413"/>
      <c r="K130" s="413"/>
      <c r="L130" s="413"/>
      <c r="M130" s="413"/>
      <c r="N130" s="413"/>
      <c r="O130" s="413">
        <f t="shared" ref="O130:X130" si="220">+O128-O129</f>
        <v>3417</v>
      </c>
      <c r="P130" s="413">
        <f t="shared" si="220"/>
        <v>3255</v>
      </c>
      <c r="Q130" s="413">
        <f t="shared" si="220"/>
        <v>3062</v>
      </c>
      <c r="R130" s="413">
        <f t="shared" si="220"/>
        <v>2995</v>
      </c>
      <c r="S130" s="413">
        <f t="shared" si="220"/>
        <v>5454.5163035963596</v>
      </c>
      <c r="T130" s="413">
        <f t="shared" si="220"/>
        <v>5345.4259775244327</v>
      </c>
      <c r="U130" s="413">
        <f t="shared" si="220"/>
        <v>5238.5174579739441</v>
      </c>
      <c r="V130" s="413">
        <f t="shared" si="220"/>
        <v>5146.8434024594007</v>
      </c>
      <c r="W130" s="413">
        <f t="shared" si="220"/>
        <v>5056.7736429163615</v>
      </c>
      <c r="X130" s="413">
        <f t="shared" si="220"/>
        <v>4968.2801041653256</v>
      </c>
      <c r="Y130" s="823"/>
      <c r="Z130" s="679"/>
      <c r="AA130" s="490"/>
      <c r="AB130" s="413"/>
      <c r="AC130" s="413"/>
      <c r="AD130" s="414"/>
      <c r="AE130" s="490"/>
      <c r="AF130" s="413"/>
      <c r="AG130" s="413"/>
      <c r="AH130" s="414"/>
      <c r="AI130" s="490"/>
      <c r="AJ130" s="413"/>
      <c r="AK130" s="413"/>
      <c r="AL130" s="414"/>
      <c r="AM130" s="490"/>
      <c r="AN130" s="413"/>
      <c r="AO130" s="413"/>
      <c r="AP130" s="413"/>
      <c r="AQ130" s="490"/>
      <c r="AR130" s="413"/>
      <c r="AS130" s="413"/>
      <c r="AT130" s="568"/>
      <c r="AU130" s="570"/>
      <c r="AV130" s="680"/>
      <c r="AW130" s="680"/>
      <c r="AX130" s="568"/>
      <c r="AY130" s="570"/>
      <c r="AZ130" s="680"/>
      <c r="BA130" s="680"/>
      <c r="BB130" s="680"/>
      <c r="BC130" s="570"/>
      <c r="BD130" s="680"/>
      <c r="BE130" s="680"/>
      <c r="BF130" s="568"/>
      <c r="BG130" s="680">
        <f>+BG128-BG129</f>
        <v>917</v>
      </c>
      <c r="BH130" s="680">
        <f t="shared" ref="BH130:BZ130" si="221">+BH128-BH129</f>
        <v>911</v>
      </c>
      <c r="BI130" s="680">
        <f t="shared" si="221"/>
        <v>901</v>
      </c>
      <c r="BJ130" s="568">
        <f t="shared" si="221"/>
        <v>935</v>
      </c>
      <c r="BK130" s="680">
        <f t="shared" si="221"/>
        <v>836</v>
      </c>
      <c r="BL130" s="680">
        <f t="shared" si="221"/>
        <v>847</v>
      </c>
      <c r="BM130" s="680">
        <f t="shared" si="221"/>
        <v>867</v>
      </c>
      <c r="BN130" s="680">
        <f t="shared" si="221"/>
        <v>888</v>
      </c>
      <c r="BO130" s="570">
        <f t="shared" si="221"/>
        <v>844</v>
      </c>
      <c r="BP130" s="680">
        <f t="shared" si="221"/>
        <v>836</v>
      </c>
      <c r="BQ130" s="680">
        <f t="shared" si="221"/>
        <v>853</v>
      </c>
      <c r="BR130" s="568">
        <f t="shared" si="221"/>
        <v>884</v>
      </c>
      <c r="BS130" s="570">
        <f t="shared" si="221"/>
        <v>799</v>
      </c>
      <c r="BT130" s="680">
        <f t="shared" si="221"/>
        <v>810</v>
      </c>
      <c r="BU130" s="680">
        <f t="shared" si="221"/>
        <v>820</v>
      </c>
      <c r="BV130" s="568">
        <f t="shared" si="221"/>
        <v>826</v>
      </c>
      <c r="BW130" s="570">
        <f t="shared" si="221"/>
        <v>753</v>
      </c>
      <c r="BX130" s="680">
        <f t="shared" si="221"/>
        <v>767</v>
      </c>
      <c r="BY130" s="680">
        <f t="shared" si="221"/>
        <v>785</v>
      </c>
      <c r="BZ130" s="568">
        <f t="shared" si="221"/>
        <v>757</v>
      </c>
      <c r="CA130" s="570">
        <f t="shared" ref="CA130:CH130" si="222">+CA128-CA129</f>
        <v>686</v>
      </c>
      <c r="CB130" s="680">
        <f t="shared" si="222"/>
        <v>756</v>
      </c>
      <c r="CC130" s="680">
        <f t="shared" si="222"/>
        <v>726</v>
      </c>
      <c r="CD130" s="568">
        <f t="shared" ref="CD130" si="223">+CD128-CD129</f>
        <v>1197</v>
      </c>
      <c r="CE130" s="680">
        <f t="shared" si="222"/>
        <v>1359.5449999999998</v>
      </c>
      <c r="CF130" s="680">
        <f t="shared" si="222"/>
        <v>1362.2640899999999</v>
      </c>
      <c r="CG130" s="680">
        <f t="shared" si="222"/>
        <v>1364.98861818</v>
      </c>
      <c r="CH130" s="568">
        <f t="shared" si="222"/>
        <v>1367.7185954163599</v>
      </c>
      <c r="CI130" s="632"/>
      <c r="CJ130"/>
      <c r="CK130"/>
      <c r="CL130"/>
      <c r="CM130"/>
      <c r="CN130"/>
      <c r="CO130"/>
    </row>
    <row r="131" spans="1:93">
      <c r="A131" s="725"/>
      <c r="B131" s="274"/>
      <c r="C131" s="274"/>
      <c r="D131" s="413"/>
      <c r="E131" s="413"/>
      <c r="F131" s="413"/>
      <c r="G131" s="413"/>
      <c r="H131" s="413"/>
      <c r="I131" s="413"/>
      <c r="J131" s="413"/>
      <c r="K131" s="413"/>
      <c r="L131" s="413"/>
      <c r="M131" s="413"/>
      <c r="N131" s="409"/>
      <c r="O131" s="409"/>
      <c r="P131" s="409"/>
      <c r="Q131" s="410"/>
      <c r="R131" s="410"/>
      <c r="S131" s="410"/>
      <c r="T131" s="410"/>
      <c r="U131" s="410"/>
      <c r="V131" s="410"/>
      <c r="W131" s="410"/>
      <c r="X131" s="410"/>
      <c r="Y131" s="823"/>
      <c r="Z131" s="679"/>
      <c r="AA131" s="490"/>
      <c r="AB131" s="413"/>
      <c r="AC131" s="413"/>
      <c r="AD131" s="414"/>
      <c r="AE131" s="490"/>
      <c r="AF131" s="413"/>
      <c r="AG131" s="413"/>
      <c r="AH131" s="414"/>
      <c r="AI131" s="490"/>
      <c r="AJ131" s="413"/>
      <c r="AK131" s="413"/>
      <c r="AL131" s="414"/>
      <c r="AM131" s="490"/>
      <c r="AN131" s="413"/>
      <c r="AO131" s="413"/>
      <c r="AP131" s="413"/>
      <c r="AQ131" s="490"/>
      <c r="AR131" s="413"/>
      <c r="AS131" s="413"/>
      <c r="AT131" s="568"/>
      <c r="AU131" s="570"/>
      <c r="AV131" s="680"/>
      <c r="AW131" s="680"/>
      <c r="AX131" s="568"/>
      <c r="AY131" s="570"/>
      <c r="AZ131" s="680"/>
      <c r="BA131" s="680"/>
      <c r="BB131" s="680"/>
      <c r="BC131" s="570"/>
      <c r="BD131" s="680"/>
      <c r="BE131" s="680"/>
      <c r="BF131" s="568"/>
      <c r="BG131" s="680"/>
      <c r="BH131" s="680"/>
      <c r="BI131" s="680"/>
      <c r="BJ131" s="568"/>
      <c r="BK131" s="680"/>
      <c r="BL131" s="680"/>
      <c r="BM131" s="680"/>
      <c r="BN131" s="680"/>
      <c r="BO131" s="570"/>
      <c r="BP131" s="680"/>
      <c r="BQ131" s="680"/>
      <c r="BR131" s="568"/>
      <c r="BS131" s="570"/>
      <c r="BT131" s="680"/>
      <c r="BU131" s="680"/>
      <c r="BV131" s="568"/>
      <c r="BW131" s="570"/>
      <c r="BX131" s="680"/>
      <c r="BY131" s="680"/>
      <c r="BZ131" s="568"/>
      <c r="CA131" s="570"/>
      <c r="CB131" s="680"/>
      <c r="CC131" s="680"/>
      <c r="CD131" s="568"/>
      <c r="CE131" s="680"/>
      <c r="CF131" s="680"/>
      <c r="CG131" s="680"/>
      <c r="CH131" s="568"/>
      <c r="CI131" s="632"/>
    </row>
    <row r="132" spans="1:93">
      <c r="A132" s="737" t="s">
        <v>9</v>
      </c>
      <c r="B132" s="275"/>
      <c r="C132" s="275"/>
      <c r="D132" s="413"/>
      <c r="E132" s="413">
        <f t="shared" ref="E132:O132" si="224">E122</f>
        <v>514.125</v>
      </c>
      <c r="F132" s="413">
        <f t="shared" si="224"/>
        <v>1359.931</v>
      </c>
      <c r="G132" s="413">
        <f t="shared" si="224"/>
        <v>1587.585</v>
      </c>
      <c r="H132" s="413">
        <f t="shared" si="224"/>
        <v>1756.2550000000001</v>
      </c>
      <c r="I132" s="413">
        <f t="shared" si="224"/>
        <v>3766.6170000000002</v>
      </c>
      <c r="J132" s="413">
        <f t="shared" si="224"/>
        <v>3533.71</v>
      </c>
      <c r="K132" s="413">
        <f t="shared" si="224"/>
        <v>3836</v>
      </c>
      <c r="L132" s="413">
        <f t="shared" si="224"/>
        <v>3800</v>
      </c>
      <c r="M132" s="413">
        <f t="shared" si="224"/>
        <v>3664</v>
      </c>
      <c r="N132" s="413">
        <f>N122</f>
        <v>3438</v>
      </c>
      <c r="O132" s="413">
        <f t="shared" si="224"/>
        <v>4428</v>
      </c>
      <c r="P132" s="413">
        <f t="shared" ref="P132:U132" si="225">P122</f>
        <v>4189</v>
      </c>
      <c r="Q132" s="413">
        <f t="shared" si="225"/>
        <v>3916</v>
      </c>
      <c r="R132" s="413">
        <f>R122</f>
        <v>4040</v>
      </c>
      <c r="S132" s="413">
        <f>S122</f>
        <v>5454.5163035963596</v>
      </c>
      <c r="T132" s="413">
        <f t="shared" si="225"/>
        <v>5345.4259775244327</v>
      </c>
      <c r="U132" s="413">
        <f t="shared" si="225"/>
        <v>5238.5174579739441</v>
      </c>
      <c r="V132" s="413">
        <f>V122</f>
        <v>5146.8434024594007</v>
      </c>
      <c r="W132" s="413">
        <f>W122</f>
        <v>5056.7736429163615</v>
      </c>
      <c r="X132" s="413">
        <f>X122</f>
        <v>4968.2801041653256</v>
      </c>
      <c r="Y132" s="823"/>
      <c r="Z132" s="679">
        <f t="shared" ref="Z132:BB132" si="226">Z122</f>
        <v>127.49299999999999</v>
      </c>
      <c r="AA132" s="490">
        <f t="shared" si="226"/>
        <v>126.992</v>
      </c>
      <c r="AB132" s="413">
        <f t="shared" si="226"/>
        <v>130.751</v>
      </c>
      <c r="AC132" s="413">
        <f t="shared" si="226"/>
        <v>127.078</v>
      </c>
      <c r="AD132" s="414">
        <f t="shared" si="226"/>
        <v>129.304</v>
      </c>
      <c r="AE132" s="490">
        <f t="shared" si="226"/>
        <v>132.17500000000001</v>
      </c>
      <c r="AF132" s="413">
        <f t="shared" si="226"/>
        <v>130.452</v>
      </c>
      <c r="AG132" s="413">
        <f t="shared" si="226"/>
        <v>133.52600000000001</v>
      </c>
      <c r="AH132" s="414">
        <f t="shared" si="226"/>
        <v>135.77799999999999</v>
      </c>
      <c r="AI132" s="490">
        <f t="shared" si="226"/>
        <v>397.565</v>
      </c>
      <c r="AJ132" s="413">
        <f t="shared" si="226"/>
        <v>398.82</v>
      </c>
      <c r="AK132" s="413">
        <f t="shared" si="226"/>
        <v>396.84</v>
      </c>
      <c r="AL132" s="414">
        <f t="shared" si="226"/>
        <v>394.36</v>
      </c>
      <c r="AM132" s="490">
        <f t="shared" si="226"/>
        <v>438.53399999999999</v>
      </c>
      <c r="AN132" s="413">
        <f t="shared" si="226"/>
        <v>439.06099999999998</v>
      </c>
      <c r="AO132" s="413">
        <f t="shared" si="226"/>
        <v>437.35599999999999</v>
      </c>
      <c r="AP132" s="413">
        <f t="shared" si="226"/>
        <v>441.30399999999997</v>
      </c>
      <c r="AQ132" s="490">
        <f t="shared" si="226"/>
        <v>949</v>
      </c>
      <c r="AR132" s="413">
        <f t="shared" si="226"/>
        <v>941</v>
      </c>
      <c r="AS132" s="413">
        <f t="shared" si="226"/>
        <v>957</v>
      </c>
      <c r="AT132" s="568">
        <f t="shared" si="226"/>
        <v>919.61699999999996</v>
      </c>
      <c r="AU132" s="570">
        <f t="shared" si="226"/>
        <v>885.72</v>
      </c>
      <c r="AV132" s="680">
        <f t="shared" si="226"/>
        <v>890.404</v>
      </c>
      <c r="AW132" s="680">
        <f t="shared" si="226"/>
        <v>882.202</v>
      </c>
      <c r="AX132" s="568">
        <f t="shared" si="226"/>
        <v>875.38400000000001</v>
      </c>
      <c r="AY132" s="570">
        <f t="shared" si="226"/>
        <v>950</v>
      </c>
      <c r="AZ132" s="680">
        <f t="shared" si="226"/>
        <v>957</v>
      </c>
      <c r="BA132" s="680">
        <f t="shared" si="226"/>
        <v>968</v>
      </c>
      <c r="BB132" s="680">
        <f t="shared" si="226"/>
        <v>961</v>
      </c>
      <c r="BC132" s="570">
        <f t="shared" ref="BC132:BJ132" si="227">BC122</f>
        <v>930</v>
      </c>
      <c r="BD132" s="680">
        <f t="shared" si="227"/>
        <v>963</v>
      </c>
      <c r="BE132" s="680">
        <f t="shared" si="227"/>
        <v>957</v>
      </c>
      <c r="BF132" s="568">
        <f t="shared" si="227"/>
        <v>950</v>
      </c>
      <c r="BG132" s="680">
        <f t="shared" si="227"/>
        <v>917</v>
      </c>
      <c r="BH132" s="680">
        <f t="shared" si="227"/>
        <v>911</v>
      </c>
      <c r="BI132" s="680">
        <f t="shared" si="227"/>
        <v>901</v>
      </c>
      <c r="BJ132" s="568">
        <f t="shared" si="227"/>
        <v>935</v>
      </c>
      <c r="BK132" s="680">
        <f t="shared" ref="BK132:BR132" si="228">BK122</f>
        <v>836</v>
      </c>
      <c r="BL132" s="680">
        <f t="shared" si="228"/>
        <v>847</v>
      </c>
      <c r="BM132" s="680">
        <f t="shared" si="228"/>
        <v>867</v>
      </c>
      <c r="BN132" s="680">
        <f t="shared" si="228"/>
        <v>888</v>
      </c>
      <c r="BO132" s="570">
        <f>BO122</f>
        <v>1107</v>
      </c>
      <c r="BP132" s="680">
        <f>BP122</f>
        <v>1093</v>
      </c>
      <c r="BQ132" s="680">
        <f>BQ122</f>
        <v>1097</v>
      </c>
      <c r="BR132" s="568">
        <f t="shared" si="228"/>
        <v>1131</v>
      </c>
      <c r="BS132" s="570">
        <f t="shared" ref="BS132:BZ132" si="229">BS122</f>
        <v>1040</v>
      </c>
      <c r="BT132" s="680">
        <f t="shared" si="229"/>
        <v>1048</v>
      </c>
      <c r="BU132" s="680">
        <f t="shared" si="229"/>
        <v>1048</v>
      </c>
      <c r="BV132" s="568">
        <f t="shared" si="229"/>
        <v>1053</v>
      </c>
      <c r="BW132" s="570">
        <f t="shared" si="229"/>
        <v>976</v>
      </c>
      <c r="BX132" s="680">
        <f t="shared" si="229"/>
        <v>987</v>
      </c>
      <c r="BY132" s="680">
        <f t="shared" si="229"/>
        <v>995</v>
      </c>
      <c r="BZ132" s="568">
        <f t="shared" si="229"/>
        <v>958</v>
      </c>
      <c r="CA132" s="570">
        <f>CA122</f>
        <v>880</v>
      </c>
      <c r="CB132" s="680">
        <f>CB122</f>
        <v>949</v>
      </c>
      <c r="CC132" s="680">
        <f>CC122</f>
        <v>910</v>
      </c>
      <c r="CD132" s="568">
        <f t="shared" ref="CD132" si="230">CD122</f>
        <v>1301</v>
      </c>
      <c r="CE132" s="680">
        <f>CE122</f>
        <v>1359.5449999999998</v>
      </c>
      <c r="CF132" s="680">
        <f>CF122</f>
        <v>1362.2640899999999</v>
      </c>
      <c r="CG132" s="680">
        <f>CG122</f>
        <v>1364.98861818</v>
      </c>
      <c r="CH132" s="568">
        <f>CH122</f>
        <v>1367.7185954163599</v>
      </c>
      <c r="CI132" s="632"/>
    </row>
    <row r="133" spans="1:93">
      <c r="A133" s="724"/>
      <c r="B133" s="275"/>
      <c r="C133" s="275"/>
      <c r="D133" s="413"/>
      <c r="E133" s="413"/>
      <c r="F133" s="413"/>
      <c r="G133" s="413"/>
      <c r="H133" s="413"/>
      <c r="I133" s="413"/>
      <c r="J133" s="413"/>
      <c r="K133" s="413"/>
      <c r="L133" s="413"/>
      <c r="M133" s="413"/>
      <c r="N133" s="413"/>
      <c r="O133" s="413"/>
      <c r="P133" s="413"/>
      <c r="Q133" s="413"/>
      <c r="R133" s="413"/>
      <c r="S133" s="413"/>
      <c r="T133" s="413"/>
      <c r="U133" s="413"/>
      <c r="V133" s="413"/>
      <c r="W133" s="413"/>
      <c r="X133" s="413"/>
      <c r="Y133" s="823"/>
      <c r="Z133" s="679"/>
      <c r="AA133" s="490"/>
      <c r="AB133" s="413"/>
      <c r="AC133" s="413"/>
      <c r="AD133" s="414"/>
      <c r="AE133" s="490"/>
      <c r="AF133" s="413"/>
      <c r="AG133" s="413"/>
      <c r="AH133" s="414"/>
      <c r="AI133" s="490"/>
      <c r="AJ133" s="413"/>
      <c r="AK133" s="413"/>
      <c r="AL133" s="414"/>
      <c r="AM133" s="490"/>
      <c r="AN133" s="413"/>
      <c r="AO133" s="413"/>
      <c r="AP133" s="413"/>
      <c r="AQ133" s="490"/>
      <c r="AR133" s="413"/>
      <c r="AS133" s="413"/>
      <c r="AT133" s="568"/>
      <c r="AU133" s="570"/>
      <c r="AV133" s="680"/>
      <c r="AW133" s="680"/>
      <c r="AX133" s="568"/>
      <c r="AY133" s="570"/>
      <c r="AZ133" s="680"/>
      <c r="BA133" s="680"/>
      <c r="BB133" s="680"/>
      <c r="BC133" s="570"/>
      <c r="BD133" s="680"/>
      <c r="BE133" s="680"/>
      <c r="BF133" s="568"/>
      <c r="BG133" s="680"/>
      <c r="BH133" s="680"/>
      <c r="BI133" s="680"/>
      <c r="BJ133" s="568"/>
      <c r="BK133" s="680"/>
      <c r="BL133" s="680"/>
      <c r="BM133" s="680"/>
      <c r="BN133" s="680"/>
      <c r="BO133" s="570"/>
      <c r="BP133" s="680"/>
      <c r="BQ133" s="680"/>
      <c r="BR133" s="568"/>
      <c r="BS133" s="570"/>
      <c r="BT133" s="680"/>
      <c r="BU133" s="680"/>
      <c r="BV133" s="568"/>
      <c r="BW133" s="570"/>
      <c r="BX133" s="680"/>
      <c r="BY133" s="680"/>
      <c r="BZ133" s="568"/>
      <c r="CA133" s="570"/>
      <c r="CB133" s="680"/>
      <c r="CC133" s="680"/>
      <c r="CD133" s="568"/>
      <c r="CE133" s="680"/>
      <c r="CF133" s="680"/>
      <c r="CG133" s="680"/>
      <c r="CH133" s="568"/>
      <c r="CI133" s="632"/>
    </row>
    <row r="134" spans="1:93" hidden="1" outlineLevel="1">
      <c r="A134" s="724" t="s">
        <v>645</v>
      </c>
      <c r="B134" s="275"/>
      <c r="C134" s="275"/>
      <c r="D134" s="413"/>
      <c r="E134" s="413"/>
      <c r="F134" s="413"/>
      <c r="G134" s="413"/>
      <c r="H134" s="413"/>
      <c r="I134" s="413"/>
      <c r="J134" s="413"/>
      <c r="K134" s="413"/>
      <c r="L134" s="413"/>
      <c r="M134" s="413"/>
      <c r="N134" s="413"/>
      <c r="O134" s="413"/>
      <c r="P134" s="413"/>
      <c r="Q134" s="413"/>
      <c r="R134" s="413"/>
      <c r="S134" s="413"/>
      <c r="T134" s="413"/>
      <c r="U134" s="413"/>
      <c r="V134" s="413"/>
      <c r="W134" s="413"/>
      <c r="X134" s="413"/>
      <c r="Y134" s="823"/>
      <c r="Z134" s="679"/>
      <c r="AA134" s="490"/>
      <c r="AB134" s="413"/>
      <c r="AC134" s="413"/>
      <c r="AD134" s="414"/>
      <c r="AE134" s="490"/>
      <c r="AF134" s="413"/>
      <c r="AG134" s="413"/>
      <c r="AH134" s="414"/>
      <c r="AI134" s="490"/>
      <c r="AJ134" s="413"/>
      <c r="AK134" s="413"/>
      <c r="AL134" s="414"/>
      <c r="AM134" s="490"/>
      <c r="AN134" s="413"/>
      <c r="AO134" s="413"/>
      <c r="AP134" s="413"/>
      <c r="AQ134" s="490"/>
      <c r="AR134" s="413"/>
      <c r="AS134" s="413"/>
      <c r="AT134" s="568"/>
      <c r="AU134" s="570"/>
      <c r="AV134" s="680"/>
      <c r="AW134" s="680"/>
      <c r="AX134" s="568"/>
      <c r="AY134" s="570"/>
      <c r="AZ134" s="680"/>
      <c r="BA134" s="680"/>
      <c r="BB134" s="680"/>
      <c r="BC134" s="570"/>
      <c r="BD134" s="680"/>
      <c r="BE134" s="680"/>
      <c r="BF134" s="568"/>
      <c r="BG134" s="680"/>
      <c r="BH134" s="680"/>
      <c r="BI134" s="680"/>
      <c r="BJ134" s="568"/>
      <c r="BK134" s="680"/>
      <c r="BL134" s="680"/>
      <c r="BM134" s="680"/>
      <c r="BN134" s="680"/>
      <c r="BO134" s="570"/>
      <c r="BP134" s="680"/>
      <c r="BQ134" s="680"/>
      <c r="BR134" s="568"/>
      <c r="BS134" s="570"/>
      <c r="BT134" s="680"/>
      <c r="BU134" s="680"/>
      <c r="BV134" s="568"/>
      <c r="BW134" s="570"/>
      <c r="BX134" s="680"/>
      <c r="BY134" s="680"/>
      <c r="BZ134" s="568"/>
      <c r="CA134" s="570"/>
      <c r="CB134" s="680"/>
      <c r="CC134" s="680"/>
      <c r="CD134" s="568"/>
      <c r="CE134" s="680"/>
      <c r="CF134" s="680"/>
      <c r="CG134" s="680"/>
      <c r="CH134" s="568"/>
      <c r="CI134" s="632"/>
    </row>
    <row r="135" spans="1:93" hidden="1" outlineLevel="1">
      <c r="A135" s="365" t="s">
        <v>646</v>
      </c>
      <c r="B135" s="275"/>
      <c r="C135" s="275"/>
      <c r="D135" s="413"/>
      <c r="E135" s="413"/>
      <c r="F135" s="413"/>
      <c r="G135" s="413"/>
      <c r="H135" s="413"/>
      <c r="I135" s="413">
        <f>Q_Capex!P16</f>
        <v>853</v>
      </c>
      <c r="J135" s="413">
        <f>I138</f>
        <v>875</v>
      </c>
      <c r="K135" s="413">
        <f>J138</f>
        <v>911</v>
      </c>
      <c r="L135" s="413">
        <f>K138</f>
        <v>888</v>
      </c>
      <c r="M135" s="413"/>
      <c r="N135" s="413"/>
      <c r="O135" s="413"/>
      <c r="P135" s="413"/>
      <c r="Q135" s="413"/>
      <c r="R135" s="413"/>
      <c r="S135" s="413"/>
      <c r="T135" s="413"/>
      <c r="U135" s="413"/>
      <c r="V135" s="413"/>
      <c r="W135" s="413"/>
      <c r="X135" s="413"/>
      <c r="Y135" s="823"/>
      <c r="Z135" s="679"/>
      <c r="AA135" s="490"/>
      <c r="AB135" s="413"/>
      <c r="AC135" s="413"/>
      <c r="AD135" s="414"/>
      <c r="AE135" s="490"/>
      <c r="AF135" s="413"/>
      <c r="AG135" s="413"/>
      <c r="AH135" s="414"/>
      <c r="AI135" s="490"/>
      <c r="AJ135" s="413"/>
      <c r="AK135" s="413"/>
      <c r="AL135" s="414"/>
      <c r="AM135" s="490"/>
      <c r="AN135" s="413"/>
      <c r="AO135" s="413"/>
      <c r="AP135" s="413"/>
      <c r="AQ135" s="490">
        <f>Q_Capex!BZ16</f>
        <v>853</v>
      </c>
      <c r="AR135" s="413">
        <f t="shared" ref="AR135:BC135" si="231">AQ138</f>
        <v>868</v>
      </c>
      <c r="AS135" s="413">
        <f t="shared" si="231"/>
        <v>862</v>
      </c>
      <c r="AT135" s="414">
        <f t="shared" si="231"/>
        <v>864</v>
      </c>
      <c r="AU135" s="490">
        <f t="shared" si="231"/>
        <v>875</v>
      </c>
      <c r="AV135" s="413">
        <f t="shared" si="231"/>
        <v>880</v>
      </c>
      <c r="AW135" s="413">
        <f t="shared" si="231"/>
        <v>885</v>
      </c>
      <c r="AX135" s="414">
        <f t="shared" si="231"/>
        <v>888</v>
      </c>
      <c r="AY135" s="490">
        <f t="shared" si="231"/>
        <v>911</v>
      </c>
      <c r="AZ135" s="413">
        <f t="shared" si="231"/>
        <v>912</v>
      </c>
      <c r="BA135" s="413">
        <f t="shared" si="231"/>
        <v>917</v>
      </c>
      <c r="BB135" s="413">
        <f t="shared" si="231"/>
        <v>923</v>
      </c>
      <c r="BC135" s="490">
        <f t="shared" si="231"/>
        <v>888</v>
      </c>
      <c r="BD135" s="413"/>
      <c r="BE135" s="680"/>
      <c r="BF135" s="568"/>
      <c r="BG135" s="680"/>
      <c r="BH135" s="680"/>
      <c r="BI135" s="680"/>
      <c r="BJ135" s="568"/>
      <c r="BK135" s="680"/>
      <c r="BL135" s="680"/>
      <c r="BM135" s="680"/>
      <c r="BN135" s="680"/>
      <c r="BO135" s="570"/>
      <c r="BP135" s="680"/>
      <c r="BQ135" s="680"/>
      <c r="BR135" s="568"/>
      <c r="BS135" s="570"/>
      <c r="BT135" s="680"/>
      <c r="BU135" s="680"/>
      <c r="BV135" s="568"/>
      <c r="BW135" s="570"/>
      <c r="BX135" s="680"/>
      <c r="BY135" s="680"/>
      <c r="BZ135" s="568"/>
      <c r="CA135" s="570"/>
      <c r="CB135" s="680"/>
      <c r="CC135" s="680"/>
      <c r="CD135" s="568"/>
      <c r="CE135" s="680"/>
      <c r="CF135" s="680"/>
      <c r="CG135" s="680"/>
      <c r="CH135" s="568"/>
      <c r="CI135" s="632"/>
    </row>
    <row r="136" spans="1:93" hidden="1" outlineLevel="1">
      <c r="A136" s="365" t="s">
        <v>647</v>
      </c>
      <c r="B136" s="275"/>
      <c r="C136" s="275"/>
      <c r="D136" s="413"/>
      <c r="E136" s="413"/>
      <c r="F136" s="413"/>
      <c r="G136" s="413"/>
      <c r="H136" s="413"/>
      <c r="I136" s="413">
        <f>Q_Capex!P17</f>
        <v>-234</v>
      </c>
      <c r="J136" s="413">
        <f>Q_Capex!Q17</f>
        <v>-240</v>
      </c>
      <c r="K136" s="413">
        <f>Q_Capex!R17</f>
        <v>-251</v>
      </c>
      <c r="L136" s="413">
        <f>Q_Capex!S17</f>
        <v>-58</v>
      </c>
      <c r="M136" s="413"/>
      <c r="N136" s="413"/>
      <c r="O136" s="413"/>
      <c r="P136" s="413"/>
      <c r="Q136" s="413"/>
      <c r="R136" s="413"/>
      <c r="S136" s="413"/>
      <c r="T136" s="413"/>
      <c r="U136" s="413"/>
      <c r="V136" s="413"/>
      <c r="W136" s="413"/>
      <c r="X136" s="413"/>
      <c r="Y136" s="823"/>
      <c r="Z136" s="679"/>
      <c r="AA136" s="490"/>
      <c r="AB136" s="413"/>
      <c r="AC136" s="413"/>
      <c r="AD136" s="414"/>
      <c r="AE136" s="490"/>
      <c r="AF136" s="413"/>
      <c r="AG136" s="413"/>
      <c r="AH136" s="414"/>
      <c r="AI136" s="490"/>
      <c r="AJ136" s="413"/>
      <c r="AK136" s="413"/>
      <c r="AL136" s="414"/>
      <c r="AM136" s="490"/>
      <c r="AN136" s="413"/>
      <c r="AO136" s="413"/>
      <c r="AP136" s="413"/>
      <c r="AQ136" s="490">
        <f>Q_Capex!BZ17</f>
        <v>-54</v>
      </c>
      <c r="AR136" s="413">
        <f>Q_Capex!CA17</f>
        <v>-55</v>
      </c>
      <c r="AS136" s="413">
        <f>Q_Capex!CB17</f>
        <v>-62</v>
      </c>
      <c r="AT136" s="413">
        <f>Q_Capex!CC17</f>
        <v>-63</v>
      </c>
      <c r="AU136" s="490">
        <f>Q_Capex!CD17</f>
        <v>-59</v>
      </c>
      <c r="AV136" s="413">
        <f>Q_Capex!CE17</f>
        <v>-60</v>
      </c>
      <c r="AW136" s="413">
        <f>Q_Capex!CF17</f>
        <v>-61</v>
      </c>
      <c r="AX136" s="413">
        <f>Q_Capex!CG17</f>
        <v>-60</v>
      </c>
      <c r="AY136" s="490">
        <f>Q_Capex!CH17</f>
        <v>-54</v>
      </c>
      <c r="AZ136" s="413">
        <f>Q_Capex!CI17</f>
        <v>-63</v>
      </c>
      <c r="BA136" s="413">
        <f>Q_Capex!CJ17</f>
        <v>-62</v>
      </c>
      <c r="BB136" s="413">
        <f>Q_Capex!CK17</f>
        <v>-72</v>
      </c>
      <c r="BC136" s="490">
        <f>Q_Capex!CL17</f>
        <v>-58</v>
      </c>
      <c r="BD136" s="413"/>
      <c r="BE136" s="680"/>
      <c r="BF136" s="568"/>
      <c r="BG136" s="680"/>
      <c r="BH136" s="680"/>
      <c r="BI136" s="680"/>
      <c r="BJ136" s="568"/>
      <c r="BK136" s="680"/>
      <c r="BL136" s="680"/>
      <c r="BM136" s="680"/>
      <c r="BN136" s="680"/>
      <c r="BO136" s="570"/>
      <c r="BP136" s="680"/>
      <c r="BQ136" s="680"/>
      <c r="BR136" s="568"/>
      <c r="BS136" s="570"/>
      <c r="BT136" s="680"/>
      <c r="BU136" s="680"/>
      <c r="BV136" s="568"/>
      <c r="BW136" s="570"/>
      <c r="BX136" s="680"/>
      <c r="BY136" s="680"/>
      <c r="BZ136" s="568"/>
      <c r="CA136" s="570"/>
      <c r="CB136" s="680"/>
      <c r="CC136" s="680"/>
      <c r="CD136" s="568"/>
      <c r="CE136" s="680"/>
      <c r="CF136" s="680"/>
      <c r="CG136" s="680"/>
      <c r="CH136" s="568"/>
      <c r="CI136" s="632"/>
    </row>
    <row r="137" spans="1:93" hidden="1" outlineLevel="1">
      <c r="A137" s="365" t="s">
        <v>648</v>
      </c>
      <c r="B137" s="275"/>
      <c r="C137" s="275"/>
      <c r="D137" s="413"/>
      <c r="E137" s="413"/>
      <c r="F137" s="413"/>
      <c r="G137" s="413"/>
      <c r="H137" s="413"/>
      <c r="I137" s="413">
        <f>Q_Capex!P18</f>
        <v>256</v>
      </c>
      <c r="J137" s="413">
        <f>Q_Capex!Q18</f>
        <v>276</v>
      </c>
      <c r="K137" s="413">
        <f>Q_Capex!R18</f>
        <v>228</v>
      </c>
      <c r="L137" s="413">
        <f>K137</f>
        <v>228</v>
      </c>
      <c r="M137" s="413"/>
      <c r="N137" s="413"/>
      <c r="O137" s="413"/>
      <c r="P137" s="413"/>
      <c r="Q137" s="413"/>
      <c r="R137" s="413"/>
      <c r="S137" s="413"/>
      <c r="T137" s="413"/>
      <c r="U137" s="413"/>
      <c r="V137" s="413"/>
      <c r="W137" s="413"/>
      <c r="X137" s="413"/>
      <c r="Y137" s="823"/>
      <c r="Z137" s="679"/>
      <c r="AA137" s="490"/>
      <c r="AB137" s="413"/>
      <c r="AC137" s="413"/>
      <c r="AD137" s="414"/>
      <c r="AE137" s="490"/>
      <c r="AF137" s="413"/>
      <c r="AG137" s="413"/>
      <c r="AH137" s="414"/>
      <c r="AI137" s="490"/>
      <c r="AJ137" s="413"/>
      <c r="AK137" s="413"/>
      <c r="AL137" s="414"/>
      <c r="AM137" s="490"/>
      <c r="AN137" s="413"/>
      <c r="AO137" s="413"/>
      <c r="AP137" s="413"/>
      <c r="AQ137" s="490">
        <f>Q_Capex!BZ18</f>
        <v>69</v>
      </c>
      <c r="AR137" s="413">
        <f>Q_Capex!CA18</f>
        <v>49</v>
      </c>
      <c r="AS137" s="413">
        <f>Q_Capex!CB18</f>
        <v>64</v>
      </c>
      <c r="AT137" s="413">
        <f>Q_Capex!CC18</f>
        <v>74</v>
      </c>
      <c r="AU137" s="490">
        <f>Q_Capex!CD18</f>
        <v>64</v>
      </c>
      <c r="AV137" s="413">
        <f>Q_Capex!CE18</f>
        <v>65</v>
      </c>
      <c r="AW137" s="413">
        <f>Q_Capex!CF18</f>
        <v>64</v>
      </c>
      <c r="AX137" s="413">
        <f>Q_Capex!CG18</f>
        <v>83</v>
      </c>
      <c r="AY137" s="490">
        <f>Q_Capex!CH18</f>
        <v>55</v>
      </c>
      <c r="AZ137" s="413">
        <f>Q_Capex!CI18</f>
        <v>68</v>
      </c>
      <c r="BA137" s="413">
        <f>Q_Capex!CJ18</f>
        <v>68</v>
      </c>
      <c r="BB137" s="413">
        <f>Q_Capex!CK18</f>
        <v>37</v>
      </c>
      <c r="BC137" s="490">
        <f>Q_Capex!CL18</f>
        <v>57</v>
      </c>
      <c r="BD137" s="413"/>
      <c r="BE137" s="680"/>
      <c r="BF137" s="568"/>
      <c r="BG137" s="680"/>
      <c r="BH137" s="680"/>
      <c r="BI137" s="680"/>
      <c r="BJ137" s="568"/>
      <c r="BK137" s="680"/>
      <c r="BL137" s="680"/>
      <c r="BM137" s="680"/>
      <c r="BN137" s="680"/>
      <c r="BO137" s="570"/>
      <c r="BP137" s="680"/>
      <c r="BQ137" s="680"/>
      <c r="BR137" s="568"/>
      <c r="BS137" s="570"/>
      <c r="BT137" s="680"/>
      <c r="BU137" s="680"/>
      <c r="BV137" s="568"/>
      <c r="BW137" s="570"/>
      <c r="BX137" s="680"/>
      <c r="BY137" s="680"/>
      <c r="BZ137" s="568"/>
      <c r="CA137" s="570"/>
      <c r="CB137" s="680"/>
      <c r="CC137" s="680"/>
      <c r="CD137" s="568"/>
      <c r="CE137" s="680"/>
      <c r="CF137" s="680"/>
      <c r="CG137" s="680"/>
      <c r="CH137" s="568"/>
      <c r="CI137" s="632"/>
    </row>
    <row r="138" spans="1:93" hidden="1" outlineLevel="1">
      <c r="A138" s="365" t="s">
        <v>649</v>
      </c>
      <c r="B138" s="275"/>
      <c r="C138" s="275"/>
      <c r="D138" s="413"/>
      <c r="E138" s="413"/>
      <c r="F138" s="413"/>
      <c r="G138" s="413"/>
      <c r="H138" s="413"/>
      <c r="I138" s="413">
        <f>SUM(I135:I137)</f>
        <v>875</v>
      </c>
      <c r="J138" s="413">
        <f>SUM(J135:J137)</f>
        <v>911</v>
      </c>
      <c r="K138" s="413">
        <f>SUM(K135:K137)</f>
        <v>888</v>
      </c>
      <c r="L138" s="413">
        <f>SUM(L135:L137)</f>
        <v>1058</v>
      </c>
      <c r="M138" s="413"/>
      <c r="N138" s="413"/>
      <c r="O138" s="413"/>
      <c r="P138" s="413"/>
      <c r="Q138" s="413"/>
      <c r="R138" s="413"/>
      <c r="S138" s="413"/>
      <c r="T138" s="413"/>
      <c r="U138" s="413"/>
      <c r="V138" s="413"/>
      <c r="W138" s="413"/>
      <c r="X138" s="413"/>
      <c r="Y138" s="823"/>
      <c r="Z138" s="679"/>
      <c r="AA138" s="490"/>
      <c r="AB138" s="413"/>
      <c r="AC138" s="413"/>
      <c r="AD138" s="414"/>
      <c r="AE138" s="490"/>
      <c r="AF138" s="413"/>
      <c r="AG138" s="413"/>
      <c r="AH138" s="414"/>
      <c r="AI138" s="490"/>
      <c r="AJ138" s="413"/>
      <c r="AK138" s="413"/>
      <c r="AL138" s="414"/>
      <c r="AM138" s="490"/>
      <c r="AN138" s="413"/>
      <c r="AO138" s="413"/>
      <c r="AP138" s="413"/>
      <c r="AQ138" s="490">
        <f t="shared" ref="AQ138:BC138" si="232">SUM(AQ135:AQ137)</f>
        <v>868</v>
      </c>
      <c r="AR138" s="413">
        <f t="shared" si="232"/>
        <v>862</v>
      </c>
      <c r="AS138" s="413">
        <f t="shared" si="232"/>
        <v>864</v>
      </c>
      <c r="AT138" s="413">
        <f t="shared" si="232"/>
        <v>875</v>
      </c>
      <c r="AU138" s="490">
        <f t="shared" si="232"/>
        <v>880</v>
      </c>
      <c r="AV138" s="413">
        <f t="shared" si="232"/>
        <v>885</v>
      </c>
      <c r="AW138" s="413">
        <f t="shared" si="232"/>
        <v>888</v>
      </c>
      <c r="AX138" s="413">
        <f t="shared" si="232"/>
        <v>911</v>
      </c>
      <c r="AY138" s="490">
        <f t="shared" si="232"/>
        <v>912</v>
      </c>
      <c r="AZ138" s="413">
        <f t="shared" si="232"/>
        <v>917</v>
      </c>
      <c r="BA138" s="413">
        <f t="shared" si="232"/>
        <v>923</v>
      </c>
      <c r="BB138" s="413">
        <f t="shared" si="232"/>
        <v>888</v>
      </c>
      <c r="BC138" s="490">
        <f t="shared" si="232"/>
        <v>887</v>
      </c>
      <c r="BD138" s="413"/>
      <c r="BE138" s="680"/>
      <c r="BF138" s="568"/>
      <c r="BG138" s="680"/>
      <c r="BH138" s="680"/>
      <c r="BI138" s="680"/>
      <c r="BJ138" s="568"/>
      <c r="BK138" s="680"/>
      <c r="BL138" s="680"/>
      <c r="BM138" s="680"/>
      <c r="BN138" s="680"/>
      <c r="BO138" s="570"/>
      <c r="BP138" s="680"/>
      <c r="BQ138" s="680"/>
      <c r="BR138" s="568"/>
      <c r="BS138" s="570"/>
      <c r="BT138" s="680"/>
      <c r="BU138" s="680"/>
      <c r="BV138" s="568"/>
      <c r="BW138" s="570"/>
      <c r="BX138" s="680"/>
      <c r="BY138" s="680"/>
      <c r="BZ138" s="568"/>
      <c r="CA138" s="570"/>
      <c r="CB138" s="680"/>
      <c r="CC138" s="680"/>
      <c r="CD138" s="568"/>
      <c r="CE138" s="680"/>
      <c r="CF138" s="680"/>
      <c r="CG138" s="680"/>
      <c r="CH138" s="568"/>
      <c r="CI138" s="632"/>
    </row>
    <row r="139" spans="1:93" hidden="1" outlineLevel="1">
      <c r="A139" s="725"/>
      <c r="B139" s="274"/>
      <c r="C139" s="274"/>
      <c r="D139" s="413"/>
      <c r="E139" s="413"/>
      <c r="F139" s="413"/>
      <c r="G139" s="413"/>
      <c r="H139" s="413"/>
      <c r="I139" s="640">
        <f>I135/I136</f>
        <v>-3.6452991452991452</v>
      </c>
      <c r="J139" s="640">
        <f>J135/J136</f>
        <v>-3.6458333333333335</v>
      </c>
      <c r="K139" s="640">
        <f>K135/K136</f>
        <v>-3.6294820717131473</v>
      </c>
      <c r="L139" s="637">
        <f>L135/L136</f>
        <v>-15.310344827586206</v>
      </c>
      <c r="M139" s="413"/>
      <c r="N139" s="413"/>
      <c r="O139" s="413"/>
      <c r="P139" s="413"/>
      <c r="Q139" s="413"/>
      <c r="R139" s="413"/>
      <c r="S139" s="413"/>
      <c r="T139" s="413"/>
      <c r="U139" s="413"/>
      <c r="V139" s="413"/>
      <c r="W139" s="413"/>
      <c r="X139" s="413"/>
      <c r="Y139" s="823"/>
      <c r="Z139" s="679"/>
      <c r="AA139" s="490"/>
      <c r="AB139" s="413"/>
      <c r="AC139" s="413"/>
      <c r="AD139" s="414"/>
      <c r="AE139" s="490"/>
      <c r="AF139" s="413"/>
      <c r="AG139" s="413"/>
      <c r="AH139" s="414"/>
      <c r="AI139" s="490"/>
      <c r="AJ139" s="413"/>
      <c r="AK139" s="413"/>
      <c r="AL139" s="414"/>
      <c r="AM139" s="490"/>
      <c r="AN139" s="413"/>
      <c r="AO139" s="413"/>
      <c r="AP139" s="413"/>
      <c r="AQ139" s="642">
        <f t="shared" ref="AQ139:BB139" si="233">AQ135/(AQ136*4)</f>
        <v>-3.949074074074074</v>
      </c>
      <c r="AR139" s="640">
        <f t="shared" si="233"/>
        <v>-3.9454545454545453</v>
      </c>
      <c r="AS139" s="640">
        <f t="shared" si="233"/>
        <v>-3.475806451612903</v>
      </c>
      <c r="AT139" s="640">
        <f t="shared" si="233"/>
        <v>-3.4285714285714284</v>
      </c>
      <c r="AU139" s="642">
        <f t="shared" si="233"/>
        <v>-3.7076271186440679</v>
      </c>
      <c r="AV139" s="640">
        <f t="shared" si="233"/>
        <v>-3.6666666666666665</v>
      </c>
      <c r="AW139" s="640">
        <f t="shared" si="233"/>
        <v>-3.627049180327869</v>
      </c>
      <c r="AX139" s="640">
        <f t="shared" si="233"/>
        <v>-3.7</v>
      </c>
      <c r="AY139" s="642">
        <f t="shared" si="233"/>
        <v>-4.2175925925925926</v>
      </c>
      <c r="AZ139" s="640">
        <f t="shared" si="233"/>
        <v>-3.6190476190476191</v>
      </c>
      <c r="BA139" s="640">
        <f t="shared" si="233"/>
        <v>-3.6975806451612905</v>
      </c>
      <c r="BB139" s="640">
        <f t="shared" si="233"/>
        <v>-3.2048611111111112</v>
      </c>
      <c r="BC139" s="642">
        <f>BC135/(BC136*4)</f>
        <v>-3.8275862068965516</v>
      </c>
      <c r="BD139" s="640"/>
      <c r="BE139" s="680"/>
      <c r="BF139" s="568"/>
      <c r="BG139" s="680"/>
      <c r="BH139" s="680"/>
      <c r="BI139" s="680"/>
      <c r="BJ139" s="568"/>
      <c r="BK139" s="680"/>
      <c r="BL139" s="680"/>
      <c r="BM139" s="680"/>
      <c r="BN139" s="680"/>
      <c r="BO139" s="570"/>
      <c r="BP139" s="680"/>
      <c r="BQ139" s="680"/>
      <c r="BR139" s="568"/>
      <c r="BS139" s="570"/>
      <c r="BT139" s="680"/>
      <c r="BU139" s="680"/>
      <c r="BV139" s="568"/>
      <c r="BW139" s="570"/>
      <c r="BX139" s="680"/>
      <c r="BY139" s="680"/>
      <c r="BZ139" s="568"/>
      <c r="CA139" s="570"/>
      <c r="CB139" s="680"/>
      <c r="CC139" s="680"/>
      <c r="CD139" s="568"/>
      <c r="CE139" s="680"/>
      <c r="CF139" s="680"/>
      <c r="CG139" s="680"/>
      <c r="CH139" s="568"/>
      <c r="CI139" s="632"/>
    </row>
    <row r="140" spans="1:93" hidden="1" outlineLevel="1">
      <c r="A140" s="738"/>
      <c r="B140" s="739"/>
      <c r="C140" s="739"/>
      <c r="D140" s="451"/>
      <c r="E140" s="451"/>
      <c r="F140" s="451"/>
      <c r="G140" s="451"/>
      <c r="H140" s="451"/>
      <c r="I140" s="451"/>
      <c r="J140" s="451"/>
      <c r="K140" s="451"/>
      <c r="L140" s="451"/>
      <c r="M140" s="413"/>
      <c r="N140" s="413"/>
      <c r="O140" s="413"/>
      <c r="P140" s="413"/>
      <c r="Q140" s="413"/>
      <c r="R140" s="413"/>
      <c r="S140" s="413"/>
      <c r="T140" s="413"/>
      <c r="U140" s="413"/>
      <c r="V140" s="413"/>
      <c r="W140" s="413"/>
      <c r="X140" s="413"/>
      <c r="Y140" s="823"/>
      <c r="Z140" s="586"/>
      <c r="AA140" s="489"/>
      <c r="AB140" s="451"/>
      <c r="AC140" s="451"/>
      <c r="AD140" s="569"/>
      <c r="AE140" s="489"/>
      <c r="AF140" s="451"/>
      <c r="AG140" s="451"/>
      <c r="AH140" s="569"/>
      <c r="AI140" s="489"/>
      <c r="AJ140" s="451"/>
      <c r="AK140" s="451"/>
      <c r="AL140" s="569"/>
      <c r="AM140" s="489"/>
      <c r="AN140" s="451"/>
      <c r="AO140" s="451"/>
      <c r="AP140" s="451"/>
      <c r="AQ140" s="740"/>
      <c r="AR140" s="741"/>
      <c r="AS140" s="741"/>
      <c r="AT140" s="741"/>
      <c r="AU140" s="740"/>
      <c r="AV140" s="741"/>
      <c r="AW140" s="741"/>
      <c r="AX140" s="741"/>
      <c r="AY140" s="740"/>
      <c r="AZ140" s="741"/>
      <c r="BA140" s="741"/>
      <c r="BB140" s="741"/>
      <c r="BC140" s="740"/>
      <c r="BD140" s="741"/>
      <c r="BE140" s="680"/>
      <c r="BF140" s="568"/>
      <c r="BG140" s="680"/>
      <c r="BH140" s="680"/>
      <c r="BI140" s="680"/>
      <c r="BJ140" s="568"/>
      <c r="BK140" s="680"/>
      <c r="BL140" s="680"/>
      <c r="BM140" s="680"/>
      <c r="BN140" s="680"/>
      <c r="BO140" s="570"/>
      <c r="BP140" s="680"/>
      <c r="BQ140" s="680"/>
      <c r="BR140" s="568"/>
      <c r="BS140" s="570"/>
      <c r="BT140" s="680"/>
      <c r="BU140" s="680"/>
      <c r="BV140" s="568"/>
      <c r="BW140" s="570"/>
      <c r="BX140" s="680"/>
      <c r="BY140" s="680"/>
      <c r="BZ140" s="568"/>
      <c r="CA140" s="570"/>
      <c r="CB140" s="680"/>
      <c r="CC140" s="680"/>
      <c r="CD140" s="568"/>
      <c r="CE140" s="680"/>
      <c r="CF140" s="680"/>
      <c r="CG140" s="680"/>
      <c r="CH140" s="568"/>
      <c r="CI140" s="632"/>
    </row>
    <row r="141" spans="1:93" collapsed="1">
      <c r="A141" s="411" t="s">
        <v>10</v>
      </c>
      <c r="B141" s="368"/>
      <c r="C141" s="368"/>
      <c r="D141" s="622"/>
      <c r="E141" s="742">
        <f>BS!E18-BS!D18-CFS!E108</f>
        <v>-138.45399999999995</v>
      </c>
      <c r="F141" s="742">
        <f>BS!F18-BS!E18-CFS!F108</f>
        <v>20395.488000000001</v>
      </c>
      <c r="G141" s="742">
        <f>BS!G18-BS!F18-CFS!G108</f>
        <v>-846.68800000000215</v>
      </c>
      <c r="H141" s="742">
        <f>BS!H18-BS!G18-CFS!H108</f>
        <v>-385.6989999999987</v>
      </c>
      <c r="I141" s="742">
        <f>BS!I18-BS!H18-CFS!I108</f>
        <v>44688.084831775363</v>
      </c>
      <c r="J141" s="742">
        <f>BS!J18-BS!I18-CFS!J108</f>
        <v>-17149.788831775368</v>
      </c>
      <c r="K141" s="451">
        <f>BS!K18-BS!J18-CFS!K108</f>
        <v>-1017.9789999999994</v>
      </c>
      <c r="L141" s="451">
        <f>BS!L18-BS!K18-CFS!L108</f>
        <v>-36991.591</v>
      </c>
      <c r="M141" s="413"/>
      <c r="N141" s="413"/>
      <c r="O141" s="413"/>
      <c r="P141" s="413"/>
      <c r="Q141" s="413"/>
      <c r="R141" s="413"/>
      <c r="S141" s="413"/>
      <c r="T141" s="413"/>
      <c r="U141" s="413"/>
      <c r="V141" s="413"/>
      <c r="W141" s="413"/>
      <c r="X141" s="413"/>
      <c r="Y141" s="823"/>
      <c r="Z141" s="586"/>
      <c r="AA141" s="489">
        <f>BS!AD18-BS!AC18-CFS!AA108</f>
        <v>-18.760999999999619</v>
      </c>
      <c r="AB141" s="451">
        <f>BS!AE18-BS!AD18-CFS!AB108</f>
        <v>-66.824000000000296</v>
      </c>
      <c r="AC141" s="451">
        <f>BS!AF18-BS!AE18-CFS!AC108</f>
        <v>-18.295999999999736</v>
      </c>
      <c r="AD141" s="451">
        <f>BS!AG18-BS!AF18-CFS!AD108</f>
        <v>-34.573000000000263</v>
      </c>
      <c r="AE141" s="489">
        <f>BS!AH18-BS!AG18-CFS!AE108</f>
        <v>-9.5569999999995474</v>
      </c>
      <c r="AF141" s="451">
        <f>BS!AI18-BS!AH18-CFS!AF108</f>
        <v>35.469999999999771</v>
      </c>
      <c r="AG141" s="451">
        <f>BS!AJ18-BS!AI18-CFS!AG108</f>
        <v>-39.470000000000383</v>
      </c>
      <c r="AH141" s="451">
        <f>BS!AK18-BS!AJ18-CFS!AH108</f>
        <v>20409.045000000002</v>
      </c>
      <c r="AI141" s="489">
        <f>BS!AL18-BS!AK18-CFS!AI108</f>
        <v>-149.57789986825111</v>
      </c>
      <c r="AJ141" s="451">
        <f>BS!AM18-BS!AL18-CFS!AJ108</f>
        <v>-285.72510013175071</v>
      </c>
      <c r="AK141" s="451">
        <f>BS!AN18-BS!AM18-CFS!AK108</f>
        <v>-207.25599999999969</v>
      </c>
      <c r="AL141" s="451">
        <f>BS!AO18-BS!AN18-CFS!AL108</f>
        <v>-204.12900000000053</v>
      </c>
      <c r="AM141" s="489">
        <f>BS!AP18-BS!AO18-CFS!AM108</f>
        <v>-190.64399999999921</v>
      </c>
      <c r="AN141" s="451">
        <f>BS!AQ18-BS!AP18-CFS!AN108</f>
        <v>454.29400000000044</v>
      </c>
      <c r="AO141" s="451">
        <f>BS!AR18-BS!AQ18-CFS!AO108</f>
        <v>-280.93400000000139</v>
      </c>
      <c r="AP141" s="451">
        <f>BS!AS18-BS!AR18-CFS!AP108</f>
        <v>-368.41499999999849</v>
      </c>
      <c r="AQ141" s="489">
        <f>BS!AT18-BS!AS18-CFS!AQ108</f>
        <v>46045.866999999998</v>
      </c>
      <c r="AR141" s="451">
        <f>BS!AU18-BS!AT18-CFS!AR108</f>
        <v>-418.63365464858396</v>
      </c>
      <c r="AS141" s="451">
        <f>BS!AV18-BS!AU18-CFS!AS108</f>
        <v>-214.02334535140858</v>
      </c>
      <c r="AT141" s="451">
        <f>BS!AW18-BS!AV18-CFS!AT108</f>
        <v>-725.12516822464193</v>
      </c>
      <c r="AU141" s="489">
        <f>BS!AX18-BS!AW18-CFS!AU108</f>
        <v>-649.88817623831358</v>
      </c>
      <c r="AV141" s="451">
        <f>BS!AY18-BS!AX18-CFS!AV108</f>
        <v>-347.74900000000025</v>
      </c>
      <c r="AW141" s="451">
        <f>BS!AZ18-BS!AY18-CFS!AW108</f>
        <v>-15416.944655537052</v>
      </c>
      <c r="AX141" s="451">
        <f>BS!BA18-BS!AZ18-CFS!AX108</f>
        <v>-735.2070000000009</v>
      </c>
      <c r="AY141" s="489">
        <f>BS!BB18-BS!BA18-CFS!AY108</f>
        <v>-380.03100000000234</v>
      </c>
      <c r="AZ141" s="451">
        <f>BS!BC18-BS!BB18-CFS!AZ108</f>
        <v>-299.47099999999568</v>
      </c>
      <c r="BA141" s="451">
        <f>BS!BD18-BS!BC18-CFS!BA108</f>
        <v>-158.2019999999975</v>
      </c>
      <c r="BB141" s="451">
        <f>BS!BE18-BS!BD18-CFS!BB108</f>
        <v>-180.2750000000035</v>
      </c>
      <c r="BC141" s="489">
        <f>BS!BF18-BS!BE18-CFS!BC108</f>
        <v>-270.60599999999943</v>
      </c>
      <c r="BD141" s="451">
        <f>BS!BG18-BS!BF18-CFS!BD108</f>
        <v>-38093.985000000001</v>
      </c>
      <c r="BE141" s="680">
        <f>BS!BH18-BS!BG18-CFS!BE108</f>
        <v>1290</v>
      </c>
      <c r="BF141" s="568">
        <f>BS!BI18-BS!BH18-CFS!BF108</f>
        <v>83</v>
      </c>
      <c r="BG141" s="680">
        <f>BS!BJ18-BS!BI18-CFS!BG108</f>
        <v>-65</v>
      </c>
      <c r="BH141" s="680">
        <f>BS!BK18-BS!BJ18-CFS!BH108</f>
        <v>-174</v>
      </c>
      <c r="BI141" s="680">
        <f>BS!BL18-BS!BK18-CFS!BI108</f>
        <v>-39</v>
      </c>
      <c r="BJ141" s="568">
        <f>BS!BM18-BS!BL18-CFS!BJ108</f>
        <v>-79</v>
      </c>
      <c r="BK141" s="680">
        <f>BS!BN18-BS!BM18-CFS!BK108</f>
        <v>-171</v>
      </c>
      <c r="BL141" s="680">
        <f>BS!BO18-BS!BN18-CFS!BL108</f>
        <v>-106</v>
      </c>
      <c r="BM141" s="680">
        <f>BS!BP18-BS!BO18-CFS!BM108</f>
        <v>-266</v>
      </c>
      <c r="BN141" s="680">
        <f>BS!BQ18-BS!BP18-CFS!BN108</f>
        <v>-237</v>
      </c>
      <c r="BO141" s="570">
        <f>BS!BR18-BS!BQ18-CFS!BO108</f>
        <v>-122</v>
      </c>
      <c r="BP141" s="680">
        <f>BS!BS18-BS!BR18-CFS!BP108</f>
        <v>-166</v>
      </c>
      <c r="BQ141" s="680">
        <f>BS!BT18-BS!BS18-CFS!BQ108</f>
        <v>-145</v>
      </c>
      <c r="BR141" s="568">
        <f>BS!BU18-BS!BT18-CFS!BR108</f>
        <v>-182</v>
      </c>
      <c r="BS141" s="570">
        <f>BS!BV18-BS!BU18-CFS!BS108</f>
        <v>-231</v>
      </c>
      <c r="BT141" s="680">
        <f>BS!BW18-BS!BV18-CFS!BT108</f>
        <v>-112</v>
      </c>
      <c r="BU141" s="680">
        <f>BS!BX18-BS!BW18-CFS!BU108</f>
        <v>-156</v>
      </c>
      <c r="BV141" s="568">
        <f>BS!BY18-BS!BX18-CFS!BV108</f>
        <v>-295</v>
      </c>
      <c r="BW141" s="570">
        <f>BS!BZ18-BS!BY18-CFS!BW108</f>
        <v>-163</v>
      </c>
      <c r="BX141" s="680">
        <f>BS!CA18-BS!BZ18-CFS!BX108</f>
        <v>-114</v>
      </c>
      <c r="BY141" s="680">
        <f>BS!CB18-BS!CA18-CFS!BY108</f>
        <v>-199</v>
      </c>
      <c r="BZ141" s="568">
        <f>BS!CC18-BS!CB18-CFS!BZ108</f>
        <v>-2073</v>
      </c>
      <c r="CA141" s="570">
        <f>BS!CD18-BS!CC18-CFS!CA108</f>
        <v>-332</v>
      </c>
      <c r="CB141" s="680">
        <f>BS!CE18-BS!CD18-CFS!CB108</f>
        <v>273</v>
      </c>
      <c r="CC141" s="680">
        <f>BS!CF18-BS!CE18-CFS!CC108</f>
        <v>-141</v>
      </c>
      <c r="CD141" s="568">
        <f>BS!CG18-BS!CF18-CFS!CD108</f>
        <v>9109</v>
      </c>
      <c r="CE141" s="680">
        <f>BS!CH18-BS!CG18-CFS!CE108</f>
        <v>31.000000000001137</v>
      </c>
      <c r="CF141" s="680">
        <f>BS!CI18-BS!CH18-CFS!CF108</f>
        <v>2.6147972675971687E-12</v>
      </c>
      <c r="CG141" s="680">
        <f>BS!CJ18-BS!CI18-CFS!CG108</f>
        <v>2.3874235921539366E-12</v>
      </c>
      <c r="CH141" s="568">
        <f>BS!CK18-BS!CJ18-CFS!CH108</f>
        <v>-1.1368683772161603E-12</v>
      </c>
      <c r="CI141" s="632"/>
    </row>
    <row r="142" spans="1:93">
      <c r="A142" s="371" t="s">
        <v>11</v>
      </c>
      <c r="B142" s="371"/>
      <c r="C142" s="371"/>
      <c r="D142" s="268"/>
      <c r="E142" s="268"/>
      <c r="F142" s="268"/>
      <c r="G142" s="268"/>
      <c r="H142" s="268"/>
      <c r="I142" s="268"/>
      <c r="J142" s="268"/>
      <c r="K142" s="268"/>
      <c r="L142" s="268"/>
      <c r="M142" s="413"/>
      <c r="N142" s="413"/>
      <c r="O142" s="413"/>
      <c r="P142" s="413"/>
      <c r="Q142" s="413"/>
      <c r="R142" s="413"/>
      <c r="S142" s="413"/>
      <c r="T142" s="413"/>
      <c r="U142" s="413"/>
      <c r="V142" s="413"/>
      <c r="W142" s="413"/>
      <c r="X142" s="413"/>
      <c r="Y142" s="823"/>
      <c r="Z142" s="586"/>
      <c r="AA142" s="489"/>
      <c r="AB142" s="451"/>
      <c r="AC142" s="451"/>
      <c r="AD142" s="569"/>
      <c r="AE142" s="489"/>
      <c r="AF142" s="451"/>
      <c r="AG142" s="451"/>
      <c r="AH142" s="569"/>
      <c r="AI142" s="489"/>
      <c r="AJ142" s="451"/>
      <c r="AK142" s="451"/>
      <c r="AL142" s="569"/>
      <c r="AM142" s="489"/>
      <c r="AN142" s="451"/>
      <c r="AO142" s="451"/>
      <c r="AP142" s="451"/>
      <c r="AQ142" s="489"/>
      <c r="AR142" s="451"/>
      <c r="AS142" s="451"/>
      <c r="AT142" s="569"/>
      <c r="AU142" s="489"/>
      <c r="AV142" s="451"/>
      <c r="AW142" s="451"/>
      <c r="AX142" s="569"/>
      <c r="AY142" s="489"/>
      <c r="AZ142" s="451"/>
      <c r="BA142" s="451"/>
      <c r="BB142" s="451"/>
      <c r="BC142" s="489"/>
      <c r="BD142" s="680"/>
      <c r="BE142" s="680"/>
      <c r="BF142" s="568"/>
      <c r="BG142" s="680"/>
      <c r="BH142" s="680"/>
      <c r="BI142" s="680"/>
      <c r="BJ142" s="568"/>
      <c r="BK142" s="680"/>
      <c r="BL142" s="680"/>
      <c r="BM142" s="680"/>
      <c r="BN142" s="680"/>
      <c r="BO142" s="570"/>
      <c r="BP142" s="680"/>
      <c r="BQ142" s="680"/>
      <c r="BR142" s="568"/>
      <c r="BS142" s="680"/>
      <c r="BT142" s="680"/>
      <c r="BU142" s="680"/>
      <c r="BV142" s="568"/>
      <c r="BW142" s="680"/>
      <c r="BX142" s="680"/>
      <c r="BY142" s="680"/>
      <c r="BZ142" s="568"/>
      <c r="CA142" s="680"/>
      <c r="CB142" s="680"/>
      <c r="CC142" s="680"/>
      <c r="CD142" s="568"/>
      <c r="CE142" s="680"/>
      <c r="CF142" s="680"/>
      <c r="CG142" s="680"/>
      <c r="CH142" s="568"/>
      <c r="CI142" s="632"/>
    </row>
    <row r="143" spans="1:93">
      <c r="A143" s="407"/>
      <c r="B143" s="399"/>
      <c r="C143" s="399"/>
      <c r="D143" s="413"/>
      <c r="E143" s="413"/>
      <c r="F143" s="413"/>
      <c r="G143" s="413"/>
      <c r="H143" s="413"/>
      <c r="I143" s="413"/>
      <c r="J143" s="413"/>
      <c r="K143" s="413"/>
      <c r="L143" s="413"/>
      <c r="M143" s="413"/>
      <c r="N143" s="413"/>
      <c r="O143" s="413"/>
      <c r="P143" s="413"/>
      <c r="Q143" s="413"/>
      <c r="R143" s="413"/>
      <c r="S143" s="413"/>
      <c r="T143" s="413"/>
      <c r="U143" s="413"/>
      <c r="V143" s="413"/>
      <c r="W143" s="413"/>
      <c r="X143" s="413"/>
      <c r="Y143" s="823"/>
      <c r="Z143" s="679"/>
      <c r="AA143" s="490"/>
      <c r="AB143" s="413"/>
      <c r="AC143" s="413"/>
      <c r="AD143" s="414"/>
      <c r="AE143" s="490"/>
      <c r="AF143" s="413"/>
      <c r="AG143" s="413"/>
      <c r="AH143" s="414"/>
      <c r="AI143" s="490"/>
      <c r="AJ143" s="413"/>
      <c r="AK143" s="413"/>
      <c r="AL143" s="414"/>
      <c r="AM143" s="490"/>
      <c r="AN143" s="413"/>
      <c r="AO143" s="413"/>
      <c r="AP143" s="413"/>
      <c r="AQ143" s="490"/>
      <c r="AR143" s="413"/>
      <c r="AS143" s="413"/>
      <c r="AT143" s="414"/>
      <c r="AU143" s="490"/>
      <c r="AV143" s="413"/>
      <c r="AW143" s="413"/>
      <c r="AX143" s="414"/>
      <c r="AY143" s="490"/>
      <c r="AZ143" s="413"/>
      <c r="BA143" s="413"/>
      <c r="BB143" s="413"/>
      <c r="BC143" s="490"/>
      <c r="BD143" s="413"/>
      <c r="BE143" s="413"/>
      <c r="BF143" s="414"/>
      <c r="BG143" s="413"/>
      <c r="BH143" s="413"/>
      <c r="BI143" s="413"/>
      <c r="BJ143" s="414"/>
      <c r="BK143" s="413"/>
      <c r="BL143" s="413"/>
      <c r="BM143" s="413"/>
      <c r="BN143" s="413"/>
      <c r="BO143" s="490"/>
      <c r="BP143" s="413"/>
      <c r="BQ143" s="413"/>
      <c r="BR143" s="414"/>
      <c r="BS143" s="413"/>
      <c r="BT143" s="413"/>
      <c r="BU143" s="413"/>
      <c r="BV143" s="414"/>
      <c r="BW143" s="413"/>
      <c r="BX143" s="413"/>
      <c r="BY143" s="413"/>
      <c r="BZ143" s="414"/>
      <c r="CA143" s="413"/>
      <c r="CB143" s="413"/>
      <c r="CC143" s="413"/>
      <c r="CD143" s="414"/>
      <c r="CE143" s="413"/>
      <c r="CF143" s="413"/>
      <c r="CG143" s="413"/>
      <c r="CH143" s="414"/>
      <c r="CI143" s="632"/>
    </row>
    <row r="144" spans="1:93">
      <c r="A144" s="2903" t="s">
        <v>499</v>
      </c>
      <c r="B144" s="2843"/>
      <c r="C144" s="2843"/>
      <c r="D144" s="2843"/>
      <c r="E144" s="2907">
        <f t="shared" ref="E144:X144" si="234">E8</f>
        <v>2004</v>
      </c>
      <c r="F144" s="2907">
        <f t="shared" si="234"/>
        <v>2005</v>
      </c>
      <c r="G144" s="2907">
        <f t="shared" si="234"/>
        <v>2006</v>
      </c>
      <c r="H144" s="2907">
        <f t="shared" si="234"/>
        <v>2007</v>
      </c>
      <c r="I144" s="2907">
        <f t="shared" si="234"/>
        <v>2008</v>
      </c>
      <c r="J144" s="2907">
        <f t="shared" si="234"/>
        <v>2009</v>
      </c>
      <c r="K144" s="2907" t="str">
        <f t="shared" si="234"/>
        <v>2010</v>
      </c>
      <c r="L144" s="2907" t="str">
        <f t="shared" si="234"/>
        <v>2011</v>
      </c>
      <c r="M144" s="2907" t="str">
        <f t="shared" si="234"/>
        <v>2012</v>
      </c>
      <c r="N144" s="2907" t="str">
        <f t="shared" si="234"/>
        <v>2013</v>
      </c>
      <c r="O144" s="2907" t="str">
        <f t="shared" si="234"/>
        <v>2014</v>
      </c>
      <c r="P144" s="2907" t="str">
        <f t="shared" si="234"/>
        <v>2015</v>
      </c>
      <c r="Q144" s="2907" t="str">
        <f t="shared" si="234"/>
        <v>2016</v>
      </c>
      <c r="R144" s="2907" t="str">
        <f t="shared" si="234"/>
        <v>2017</v>
      </c>
      <c r="S144" s="2907" t="str">
        <f t="shared" si="234"/>
        <v>2018E</v>
      </c>
      <c r="T144" s="2907" t="str">
        <f t="shared" si="234"/>
        <v>2019E</v>
      </c>
      <c r="U144" s="2907" t="str">
        <f t="shared" si="234"/>
        <v>2020E</v>
      </c>
      <c r="V144" s="2907" t="str">
        <f t="shared" si="234"/>
        <v>2021E</v>
      </c>
      <c r="W144" s="2907" t="str">
        <f t="shared" si="234"/>
        <v>2022E</v>
      </c>
      <c r="X144" s="2907" t="str">
        <f t="shared" si="234"/>
        <v>2023E</v>
      </c>
      <c r="Y144" s="2540"/>
      <c r="Z144" s="2908" t="str">
        <f t="shared" ref="Z144:BE144" si="235">Z8</f>
        <v>4Q03</v>
      </c>
      <c r="AA144" s="2822" t="str">
        <f t="shared" si="235"/>
        <v>1Q04</v>
      </c>
      <c r="AB144" s="2823" t="str">
        <f t="shared" si="235"/>
        <v>2Q04</v>
      </c>
      <c r="AC144" s="2823" t="str">
        <f t="shared" si="235"/>
        <v>3Q04</v>
      </c>
      <c r="AD144" s="2824" t="str">
        <f t="shared" si="235"/>
        <v>4Q04</v>
      </c>
      <c r="AE144" s="2822" t="str">
        <f t="shared" si="235"/>
        <v>1Q05</v>
      </c>
      <c r="AF144" s="2823" t="str">
        <f t="shared" si="235"/>
        <v>2Q05</v>
      </c>
      <c r="AG144" s="2823" t="str">
        <f t="shared" si="235"/>
        <v>3Q05</v>
      </c>
      <c r="AH144" s="2824" t="str">
        <f t="shared" si="235"/>
        <v>4Q05</v>
      </c>
      <c r="AI144" s="2822" t="str">
        <f t="shared" si="235"/>
        <v>1Q06</v>
      </c>
      <c r="AJ144" s="2823" t="str">
        <f t="shared" si="235"/>
        <v>2Q06</v>
      </c>
      <c r="AK144" s="2823" t="str">
        <f t="shared" si="235"/>
        <v>3Q06</v>
      </c>
      <c r="AL144" s="2824" t="str">
        <f t="shared" si="235"/>
        <v>4Q06</v>
      </c>
      <c r="AM144" s="2822" t="str">
        <f t="shared" si="235"/>
        <v>1Q07</v>
      </c>
      <c r="AN144" s="2823" t="str">
        <f t="shared" si="235"/>
        <v>2Q07</v>
      </c>
      <c r="AO144" s="2823" t="str">
        <f t="shared" si="235"/>
        <v>3Q07</v>
      </c>
      <c r="AP144" s="2823" t="str">
        <f t="shared" si="235"/>
        <v>4Q07</v>
      </c>
      <c r="AQ144" s="2822" t="str">
        <f t="shared" si="235"/>
        <v>1Q08</v>
      </c>
      <c r="AR144" s="2823" t="str">
        <f t="shared" si="235"/>
        <v>2Q08</v>
      </c>
      <c r="AS144" s="2823" t="str">
        <f t="shared" si="235"/>
        <v>3Q08</v>
      </c>
      <c r="AT144" s="2824" t="str">
        <f t="shared" si="235"/>
        <v>4Q08</v>
      </c>
      <c r="AU144" s="2822" t="str">
        <f t="shared" si="235"/>
        <v>1Q09</v>
      </c>
      <c r="AV144" s="2823" t="str">
        <f t="shared" si="235"/>
        <v>2Q09</v>
      </c>
      <c r="AW144" s="2823" t="str">
        <f t="shared" si="235"/>
        <v>3Q09</v>
      </c>
      <c r="AX144" s="2824" t="str">
        <f t="shared" si="235"/>
        <v>4Q09</v>
      </c>
      <c r="AY144" s="2822" t="str">
        <f t="shared" si="235"/>
        <v>1Q10</v>
      </c>
      <c r="AZ144" s="2823" t="str">
        <f t="shared" si="235"/>
        <v>2Q10</v>
      </c>
      <c r="BA144" s="2823" t="str">
        <f t="shared" si="235"/>
        <v>3Q10</v>
      </c>
      <c r="BB144" s="2823" t="str">
        <f t="shared" si="235"/>
        <v>4Q10</v>
      </c>
      <c r="BC144" s="2822" t="str">
        <f t="shared" si="235"/>
        <v>1Q11</v>
      </c>
      <c r="BD144" s="2823" t="str">
        <f t="shared" si="235"/>
        <v>2Q11</v>
      </c>
      <c r="BE144" s="2823" t="str">
        <f t="shared" si="235"/>
        <v>3Q11</v>
      </c>
      <c r="BF144" s="2824" t="str">
        <f t="shared" ref="BF144:CH144" si="236">BF8</f>
        <v>4Q11</v>
      </c>
      <c r="BG144" s="2823" t="str">
        <f t="shared" si="236"/>
        <v>1Q12</v>
      </c>
      <c r="BH144" s="2823" t="str">
        <f t="shared" si="236"/>
        <v>2Q12</v>
      </c>
      <c r="BI144" s="2823" t="str">
        <f t="shared" si="236"/>
        <v>3Q12</v>
      </c>
      <c r="BJ144" s="2824" t="str">
        <f t="shared" si="236"/>
        <v>4Q12</v>
      </c>
      <c r="BK144" s="2823" t="str">
        <f t="shared" si="236"/>
        <v>1Q13</v>
      </c>
      <c r="BL144" s="2823" t="str">
        <f t="shared" si="236"/>
        <v>2Q13</v>
      </c>
      <c r="BM144" s="2823" t="str">
        <f t="shared" si="236"/>
        <v>3Q13</v>
      </c>
      <c r="BN144" s="2823" t="str">
        <f t="shared" si="236"/>
        <v>4Q13</v>
      </c>
      <c r="BO144" s="2822" t="str">
        <f t="shared" si="236"/>
        <v>1Q14</v>
      </c>
      <c r="BP144" s="2823" t="str">
        <f t="shared" si="236"/>
        <v>2Q14</v>
      </c>
      <c r="BQ144" s="2823" t="str">
        <f t="shared" si="236"/>
        <v>3Q14</v>
      </c>
      <c r="BR144" s="2824" t="str">
        <f t="shared" si="236"/>
        <v>4Q14</v>
      </c>
      <c r="BS144" s="2823" t="str">
        <f t="shared" si="236"/>
        <v>1Q15</v>
      </c>
      <c r="BT144" s="2823" t="str">
        <f t="shared" si="236"/>
        <v>2Q15</v>
      </c>
      <c r="BU144" s="2823" t="str">
        <f t="shared" si="236"/>
        <v>3Q15</v>
      </c>
      <c r="BV144" s="2824" t="str">
        <f t="shared" si="236"/>
        <v>4Q15</v>
      </c>
      <c r="BW144" s="2823" t="str">
        <f t="shared" si="236"/>
        <v>1Q16</v>
      </c>
      <c r="BX144" s="2823" t="str">
        <f t="shared" si="236"/>
        <v>2Q16</v>
      </c>
      <c r="BY144" s="2823" t="str">
        <f t="shared" si="236"/>
        <v>3Q16</v>
      </c>
      <c r="BZ144" s="2824" t="str">
        <f t="shared" si="236"/>
        <v>4Q16</v>
      </c>
      <c r="CA144" s="2823" t="str">
        <f t="shared" si="236"/>
        <v>1Q17</v>
      </c>
      <c r="CB144" s="2823" t="str">
        <f t="shared" si="236"/>
        <v>2Q17</v>
      </c>
      <c r="CC144" s="2823" t="str">
        <f t="shared" si="236"/>
        <v>3Q17</v>
      </c>
      <c r="CD144" s="2824" t="str">
        <f t="shared" si="236"/>
        <v>4Q17</v>
      </c>
      <c r="CE144" s="2823" t="str">
        <f t="shared" si="236"/>
        <v>1Q18E</v>
      </c>
      <c r="CF144" s="2823" t="str">
        <f t="shared" si="236"/>
        <v>2Q18E</v>
      </c>
      <c r="CG144" s="2823" t="str">
        <f t="shared" si="236"/>
        <v>3Q18E</v>
      </c>
      <c r="CH144" s="2824" t="str">
        <f t="shared" si="236"/>
        <v>4Q18E</v>
      </c>
      <c r="CI144" s="632"/>
    </row>
    <row r="145" spans="1:87">
      <c r="A145" s="407"/>
      <c r="B145" s="399"/>
      <c r="C145" s="399"/>
      <c r="D145" s="413"/>
      <c r="E145" s="413"/>
      <c r="F145" s="413"/>
      <c r="G145" s="413"/>
      <c r="H145" s="413"/>
      <c r="I145" s="413"/>
      <c r="J145" s="413"/>
      <c r="K145" s="413"/>
      <c r="L145" s="413"/>
      <c r="M145" s="413"/>
      <c r="N145" s="413"/>
      <c r="O145" s="413"/>
      <c r="P145" s="413"/>
      <c r="Q145" s="413"/>
      <c r="R145" s="413"/>
      <c r="S145" s="413"/>
      <c r="T145" s="413"/>
      <c r="U145" s="413"/>
      <c r="V145" s="413"/>
      <c r="W145" s="413"/>
      <c r="X145" s="413"/>
      <c r="Y145" s="823"/>
      <c r="Z145" s="679"/>
      <c r="AA145" s="490"/>
      <c r="AB145" s="413"/>
      <c r="AC145" s="413"/>
      <c r="AD145" s="414"/>
      <c r="AE145" s="490"/>
      <c r="AF145" s="413"/>
      <c r="AG145" s="413"/>
      <c r="AH145" s="414"/>
      <c r="AI145" s="490"/>
      <c r="AJ145" s="413"/>
      <c r="AK145" s="413"/>
      <c r="AL145" s="414"/>
      <c r="AM145" s="490"/>
      <c r="AN145" s="413"/>
      <c r="AO145" s="413"/>
      <c r="AP145" s="413"/>
      <c r="AQ145" s="490"/>
      <c r="AR145" s="413"/>
      <c r="AS145" s="413"/>
      <c r="AT145" s="414"/>
      <c r="AU145" s="490"/>
      <c r="AV145" s="413"/>
      <c r="AW145" s="413"/>
      <c r="AX145" s="414"/>
      <c r="AY145" s="490"/>
      <c r="AZ145" s="413"/>
      <c r="BA145" s="413"/>
      <c r="BB145" s="413"/>
      <c r="BC145" s="490"/>
      <c r="BD145" s="413"/>
      <c r="BE145" s="413"/>
      <c r="BF145" s="414"/>
      <c r="BG145" s="413"/>
      <c r="BH145" s="413"/>
      <c r="BI145" s="413"/>
      <c r="BJ145" s="414"/>
      <c r="BK145" s="413"/>
      <c r="BL145" s="413"/>
      <c r="BM145" s="413"/>
      <c r="BN145" s="413"/>
      <c r="BO145" s="490"/>
      <c r="BP145" s="413"/>
      <c r="BQ145" s="413"/>
      <c r="BR145" s="414"/>
      <c r="BS145" s="413"/>
      <c r="BT145" s="413"/>
      <c r="BU145" s="413"/>
      <c r="BV145" s="414"/>
      <c r="BW145" s="413"/>
      <c r="BX145" s="413"/>
      <c r="BY145" s="413"/>
      <c r="BZ145" s="414"/>
      <c r="CA145" s="413"/>
      <c r="CB145" s="413"/>
      <c r="CC145" s="413"/>
      <c r="CD145" s="414"/>
      <c r="CE145" s="413"/>
      <c r="CF145" s="413"/>
      <c r="CG145" s="413"/>
      <c r="CH145" s="414"/>
      <c r="CI145" s="632"/>
    </row>
    <row r="146" spans="1:87">
      <c r="A146" s="743" t="s">
        <v>500</v>
      </c>
      <c r="B146" s="399"/>
      <c r="C146" s="399"/>
      <c r="D146" s="413"/>
      <c r="E146" s="413">
        <f>IS!E60</f>
        <v>26.70900000000006</v>
      </c>
      <c r="F146" s="413">
        <f>IS!F60</f>
        <v>5.9769999999998618</v>
      </c>
      <c r="G146" s="413">
        <f>IS!G60</f>
        <v>2281.4063294460648</v>
      </c>
      <c r="H146" s="413">
        <f>IS!H60</f>
        <v>2238.4030000000012</v>
      </c>
      <c r="I146" s="413">
        <f>IS!I60</f>
        <v>8392.0400000000027</v>
      </c>
      <c r="J146" s="413">
        <f>IS!J60</f>
        <v>8235.0649999999951</v>
      </c>
      <c r="K146" s="413">
        <f>IS!K60</f>
        <v>8264</v>
      </c>
      <c r="L146" s="413">
        <f ca="1">IS!L60</f>
        <v>7889.5499999999993</v>
      </c>
      <c r="M146" s="413">
        <f>IS!M60</f>
        <v>8069.5</v>
      </c>
      <c r="N146" s="413">
        <f>IS!N60</f>
        <v>7432</v>
      </c>
      <c r="O146" s="413">
        <f>IS!O60</f>
        <v>7052</v>
      </c>
      <c r="P146" s="413">
        <f>IS!P60</f>
        <v>6934</v>
      </c>
      <c r="Q146" s="413">
        <f>IS!Q60</f>
        <v>6513</v>
      </c>
      <c r="R146" s="413">
        <f>IS!R60</f>
        <v>6582</v>
      </c>
      <c r="S146" s="413">
        <f>IS!S60</f>
        <v>8846.9680973273917</v>
      </c>
      <c r="T146" s="413">
        <f>IS!T60</f>
        <v>9170.173300483093</v>
      </c>
      <c r="U146" s="413">
        <f>IS!U60</f>
        <v>9345.6450650722545</v>
      </c>
      <c r="V146" s="413">
        <f>IS!V60</f>
        <v>9425.8971650058593</v>
      </c>
      <c r="W146" s="413">
        <f>IS!W60</f>
        <v>9536.5985016652794</v>
      </c>
      <c r="X146" s="413">
        <f>IS!X60</f>
        <v>9656.1028187441116</v>
      </c>
      <c r="Y146" s="823"/>
      <c r="Z146" s="679">
        <f>IS!AD60</f>
        <v>319.95399999999995</v>
      </c>
      <c r="AA146" s="490">
        <f>IS!AE60</f>
        <v>310.54899999999998</v>
      </c>
      <c r="AB146" s="413">
        <f>IS!AF60</f>
        <v>320.66199999999992</v>
      </c>
      <c r="AC146" s="413">
        <f>IS!AG60</f>
        <v>308.23900000000003</v>
      </c>
      <c r="AD146" s="414">
        <f>IS!AH60</f>
        <v>318.91999999999996</v>
      </c>
      <c r="AE146" s="490">
        <f>IS!AI60</f>
        <v>309.03500000000003</v>
      </c>
      <c r="AF146" s="413">
        <f>IS!AJ60</f>
        <v>316.334</v>
      </c>
      <c r="AG146" s="413">
        <f>IS!AK60</f>
        <v>340.62100000000004</v>
      </c>
      <c r="AH146" s="414">
        <f>IS!AL60</f>
        <v>308.197</v>
      </c>
      <c r="AI146" s="490">
        <f>IS!AM60</f>
        <v>968.22932944606418</v>
      </c>
      <c r="AJ146" s="413">
        <f>IS!AN60</f>
        <v>991.06899999999996</v>
      </c>
      <c r="AK146" s="413">
        <f>IS!AO60</f>
        <v>934.64399999999978</v>
      </c>
      <c r="AL146" s="414">
        <f>IS!AP60</f>
        <v>974.0390000000001</v>
      </c>
      <c r="AM146" s="490">
        <f>IS!AQ60</f>
        <v>936.86700000000008</v>
      </c>
      <c r="AN146" s="413">
        <f>IS!AR60</f>
        <v>975.22599999999966</v>
      </c>
      <c r="AO146" s="413">
        <f>IS!AS60</f>
        <v>986.00500000000011</v>
      </c>
      <c r="AP146" s="413">
        <f>IS!AT60</f>
        <v>954.47200000000009</v>
      </c>
      <c r="AQ146" s="490">
        <f>IS!AU60</f>
        <v>2130.6139999999996</v>
      </c>
      <c r="AR146" s="413">
        <f>IS!AV60</f>
        <v>2110.5730000000003</v>
      </c>
      <c r="AS146" s="413">
        <f>IS!AW60</f>
        <v>1983.0730000000003</v>
      </c>
      <c r="AT146" s="414">
        <f>IS!AX60</f>
        <v>2167.7800000000007</v>
      </c>
      <c r="AU146" s="490">
        <f>IS!AY60</f>
        <v>2124.8009999999995</v>
      </c>
      <c r="AV146" s="413">
        <f>IS!AZ60</f>
        <v>2058.8609999999999</v>
      </c>
      <c r="AW146" s="413">
        <f>IS!BA60</f>
        <v>2022.8109999999995</v>
      </c>
      <c r="AX146" s="414">
        <f>IS!BB60</f>
        <v>2028.5920000000001</v>
      </c>
      <c r="AY146" s="490">
        <f>IS!BC60</f>
        <v>2104</v>
      </c>
      <c r="AZ146" s="413">
        <f>IS!BD60</f>
        <v>2062</v>
      </c>
      <c r="BA146" s="413">
        <f>IS!BE60</f>
        <v>2072</v>
      </c>
      <c r="BB146" s="413">
        <f>IS!BF60</f>
        <v>2026</v>
      </c>
      <c r="BC146" s="490">
        <f ca="1">IS!BG60</f>
        <v>2062.8000000000002</v>
      </c>
      <c r="BD146" s="413">
        <f>IS!BH60</f>
        <v>1979</v>
      </c>
      <c r="BE146" s="413">
        <f>IS!BI60</f>
        <v>1894</v>
      </c>
      <c r="BF146" s="414">
        <f>IS!BJ60</f>
        <v>1846</v>
      </c>
      <c r="BG146" s="413">
        <f>IS!BK60</f>
        <v>1944</v>
      </c>
      <c r="BH146" s="413">
        <f>IS!BL60</f>
        <v>1900</v>
      </c>
      <c r="BI146" s="413">
        <f>IS!BM60</f>
        <v>1899</v>
      </c>
      <c r="BJ146" s="414">
        <f>IS!BN60</f>
        <v>1914</v>
      </c>
      <c r="BK146" s="413">
        <f>IS!BO60</f>
        <v>1933</v>
      </c>
      <c r="BL146" s="413">
        <f>IS!BP60</f>
        <v>1858</v>
      </c>
      <c r="BM146" s="413">
        <f>IS!BQ60</f>
        <v>1805</v>
      </c>
      <c r="BN146" s="413">
        <f>IS!BR60</f>
        <v>1836</v>
      </c>
      <c r="BO146" s="490">
        <f>IS!BS60</f>
        <v>1788</v>
      </c>
      <c r="BP146" s="413">
        <f>IS!BT60</f>
        <v>1812</v>
      </c>
      <c r="BQ146" s="413">
        <f>IS!BU60</f>
        <v>1745</v>
      </c>
      <c r="BR146" s="414">
        <f>IS!BV60</f>
        <v>1707</v>
      </c>
      <c r="BS146" s="413">
        <f>IS!BW60</f>
        <v>1724</v>
      </c>
      <c r="BT146" s="413">
        <f>IS!BX60</f>
        <v>1622</v>
      </c>
      <c r="BU146" s="413">
        <f>IS!BY60</f>
        <v>1776</v>
      </c>
      <c r="BV146" s="414">
        <f>IS!BZ60</f>
        <v>1812</v>
      </c>
      <c r="BW146" s="413">
        <f>IS!CA60</f>
        <v>1684</v>
      </c>
      <c r="BX146" s="413">
        <f>IS!CB60</f>
        <v>1648</v>
      </c>
      <c r="BY146" s="413">
        <f>IS!CC60</f>
        <v>1596</v>
      </c>
      <c r="BZ146" s="414">
        <f>IS!CD60</f>
        <v>1585</v>
      </c>
      <c r="CA146" s="413">
        <f>IS!CE60</f>
        <v>1532</v>
      </c>
      <c r="CB146" s="413">
        <f>IS!CF60</f>
        <v>1442</v>
      </c>
      <c r="CC146" s="413">
        <f>IS!CG60</f>
        <v>1397</v>
      </c>
      <c r="CD146" s="414">
        <f>IS!CH60</f>
        <v>2211</v>
      </c>
      <c r="CE146" s="413">
        <f>IS!CI60</f>
        <v>2129.2495400000003</v>
      </c>
      <c r="CF146" s="413">
        <f>IS!CJ60</f>
        <v>2188.8345656759998</v>
      </c>
      <c r="CG146" s="413">
        <f>IS!CK60</f>
        <v>2231.0973816646356</v>
      </c>
      <c r="CH146" s="414">
        <f>IS!CL60</f>
        <v>2297.7866099867551</v>
      </c>
      <c r="CI146" s="632"/>
    </row>
    <row r="147" spans="1:87">
      <c r="A147" s="743" t="s">
        <v>501</v>
      </c>
      <c r="B147" s="399"/>
      <c r="C147" s="399"/>
      <c r="D147" s="413"/>
      <c r="E147" s="413"/>
      <c r="F147" s="413"/>
      <c r="G147" s="413"/>
      <c r="H147" s="413"/>
      <c r="I147" s="413"/>
      <c r="J147" s="413"/>
      <c r="K147" s="413"/>
      <c r="L147" s="413"/>
      <c r="M147" s="413"/>
      <c r="N147" s="413"/>
      <c r="O147" s="413"/>
      <c r="P147" s="413"/>
      <c r="Q147" s="413"/>
      <c r="R147" s="413"/>
      <c r="S147" s="413"/>
      <c r="T147" s="413"/>
      <c r="U147" s="413"/>
      <c r="V147" s="413"/>
      <c r="W147" s="413"/>
      <c r="X147" s="413"/>
      <c r="Y147" s="823"/>
      <c r="Z147" s="679"/>
      <c r="AA147" s="490"/>
      <c r="AB147" s="413"/>
      <c r="AC147" s="413"/>
      <c r="AD147" s="414"/>
      <c r="AE147" s="490"/>
      <c r="AF147" s="413"/>
      <c r="AG147" s="413"/>
      <c r="AH147" s="414"/>
      <c r="AI147" s="490"/>
      <c r="AJ147" s="413"/>
      <c r="AK147" s="413"/>
      <c r="AL147" s="414"/>
      <c r="AM147" s="490"/>
      <c r="AN147" s="413"/>
      <c r="AO147" s="413"/>
      <c r="AP147" s="413"/>
      <c r="AQ147" s="490"/>
      <c r="AR147" s="413"/>
      <c r="AS147" s="413"/>
      <c r="AT147" s="414"/>
      <c r="AU147" s="490"/>
      <c r="AV147" s="413"/>
      <c r="AW147" s="413"/>
      <c r="AX147" s="414"/>
      <c r="AY147" s="490"/>
      <c r="AZ147" s="413"/>
      <c r="BA147" s="413"/>
      <c r="BB147" s="413"/>
      <c r="BC147" s="490"/>
      <c r="BD147" s="413"/>
      <c r="BE147" s="413"/>
      <c r="BF147" s="414"/>
      <c r="BG147" s="413"/>
      <c r="BH147" s="413"/>
      <c r="BI147" s="413"/>
      <c r="BJ147" s="414"/>
      <c r="BK147" s="413"/>
      <c r="BL147" s="413"/>
      <c r="BM147" s="413"/>
      <c r="BN147" s="413"/>
      <c r="BO147" s="490"/>
      <c r="BP147" s="413"/>
      <c r="BQ147" s="413"/>
      <c r="BR147" s="414"/>
      <c r="BS147" s="413"/>
      <c r="BT147" s="413"/>
      <c r="BU147" s="413"/>
      <c r="BV147" s="414"/>
      <c r="BW147" s="413"/>
      <c r="BX147" s="413"/>
      <c r="BY147" s="413"/>
      <c r="BZ147" s="414"/>
      <c r="CA147" s="413"/>
      <c r="CB147" s="413"/>
      <c r="CC147" s="413"/>
      <c r="CD147" s="414"/>
      <c r="CE147" s="413"/>
      <c r="CF147" s="413"/>
      <c r="CG147" s="413"/>
      <c r="CH147" s="414"/>
      <c r="CI147" s="632"/>
    </row>
    <row r="148" spans="1:87">
      <c r="A148" s="743" t="s">
        <v>502</v>
      </c>
      <c r="B148" s="399"/>
      <c r="C148" s="399"/>
      <c r="D148" s="413"/>
      <c r="E148" s="413">
        <f t="shared" ref="E148:X148" si="237">SUM(E21:E25)</f>
        <v>58.322000000000003</v>
      </c>
      <c r="F148" s="413">
        <f t="shared" si="237"/>
        <v>27.000999999999994</v>
      </c>
      <c r="G148" s="413">
        <f t="shared" si="237"/>
        <v>39.349000000000004</v>
      </c>
      <c r="H148" s="413">
        <f t="shared" si="237"/>
        <v>-139.39199999999997</v>
      </c>
      <c r="I148" s="413">
        <f t="shared" si="237"/>
        <v>-814.32499999999993</v>
      </c>
      <c r="J148" s="413">
        <f t="shared" si="237"/>
        <v>-126.67999999999999</v>
      </c>
      <c r="K148" s="413">
        <f t="shared" si="237"/>
        <v>-211.63799999999998</v>
      </c>
      <c r="L148" s="413">
        <f t="shared" si="237"/>
        <v>-69.341000000000008</v>
      </c>
      <c r="M148" s="413">
        <f t="shared" si="237"/>
        <v>-224</v>
      </c>
      <c r="N148" s="413">
        <f t="shared" si="237"/>
        <v>3</v>
      </c>
      <c r="O148" s="413">
        <f t="shared" si="237"/>
        <v>-447</v>
      </c>
      <c r="P148" s="413">
        <f t="shared" si="237"/>
        <v>-321</v>
      </c>
      <c r="Q148" s="413">
        <f t="shared" si="237"/>
        <v>-108</v>
      </c>
      <c r="R148" s="413">
        <f t="shared" si="237"/>
        <v>-652</v>
      </c>
      <c r="S148" s="413">
        <f t="shared" ca="1" si="237"/>
        <v>487.68835060163553</v>
      </c>
      <c r="T148" s="413">
        <f t="shared" ca="1" si="237"/>
        <v>-32.92718369832437</v>
      </c>
      <c r="U148" s="413">
        <f t="shared" ca="1" si="237"/>
        <v>-3.0253107905933803</v>
      </c>
      <c r="V148" s="413">
        <f t="shared" ca="1" si="237"/>
        <v>-0.59089672396237347</v>
      </c>
      <c r="W148" s="413">
        <f t="shared" ca="1" si="237"/>
        <v>-5.3111298317485307</v>
      </c>
      <c r="X148" s="413">
        <f t="shared" ca="1" si="237"/>
        <v>-6.6910829530673936</v>
      </c>
      <c r="Y148" s="823"/>
      <c r="Z148" s="679">
        <f>Z21+Z22+Z23+Z25</f>
        <v>2.6550000000000002</v>
      </c>
      <c r="AA148" s="490">
        <f t="shared" ref="AA148:BF148" si="238">SUM(AA21:AA25)</f>
        <v>57.695</v>
      </c>
      <c r="AB148" s="413">
        <f t="shared" si="238"/>
        <v>-25.425000000000001</v>
      </c>
      <c r="AC148" s="413">
        <f t="shared" si="238"/>
        <v>13.621999999999996</v>
      </c>
      <c r="AD148" s="414">
        <f t="shared" si="238"/>
        <v>12.43</v>
      </c>
      <c r="AE148" s="490">
        <f t="shared" si="238"/>
        <v>27.622999999999998</v>
      </c>
      <c r="AF148" s="413">
        <f t="shared" si="238"/>
        <v>-8.6690000000000023</v>
      </c>
      <c r="AG148" s="413">
        <f t="shared" si="238"/>
        <v>10.412999999999995</v>
      </c>
      <c r="AH148" s="414">
        <f t="shared" si="238"/>
        <v>-2.3660000000000001</v>
      </c>
      <c r="AI148" s="490">
        <f t="shared" si="238"/>
        <v>-21.028788186101298</v>
      </c>
      <c r="AJ148" s="413">
        <f t="shared" si="238"/>
        <v>-47.277211813898688</v>
      </c>
      <c r="AK148" s="413">
        <f t="shared" si="238"/>
        <v>133.065</v>
      </c>
      <c r="AL148" s="414">
        <f t="shared" si="238"/>
        <v>-25.41</v>
      </c>
      <c r="AM148" s="490">
        <f t="shared" si="238"/>
        <v>94.891999999999996</v>
      </c>
      <c r="AN148" s="413">
        <f t="shared" si="238"/>
        <v>-226.05700000000002</v>
      </c>
      <c r="AO148" s="413">
        <f t="shared" si="238"/>
        <v>46.679000000000009</v>
      </c>
      <c r="AP148" s="413">
        <f t="shared" si="238"/>
        <v>-54.906000000000006</v>
      </c>
      <c r="AQ148" s="490">
        <f t="shared" si="238"/>
        <v>-293.27699999999999</v>
      </c>
      <c r="AR148" s="413">
        <f t="shared" si="238"/>
        <v>-269.74900000000002</v>
      </c>
      <c r="AS148" s="413">
        <f t="shared" si="238"/>
        <v>-40.662999999999997</v>
      </c>
      <c r="AT148" s="414">
        <f t="shared" si="238"/>
        <v>-210.63600000000002</v>
      </c>
      <c r="AU148" s="490">
        <f t="shared" si="238"/>
        <v>-114.96899999999999</v>
      </c>
      <c r="AV148" s="413">
        <f t="shared" si="238"/>
        <v>156.59100000000001</v>
      </c>
      <c r="AW148" s="413">
        <f t="shared" si="238"/>
        <v>-64.079000000000008</v>
      </c>
      <c r="AX148" s="414">
        <f t="shared" si="238"/>
        <v>-104.22300000000001</v>
      </c>
      <c r="AY148" s="490">
        <f t="shared" si="238"/>
        <v>78.186000000000007</v>
      </c>
      <c r="AZ148" s="413">
        <f t="shared" si="238"/>
        <v>-106.54299999999999</v>
      </c>
      <c r="BA148" s="413">
        <f t="shared" si="238"/>
        <v>-20.039000000000016</v>
      </c>
      <c r="BB148" s="413">
        <f t="shared" si="238"/>
        <v>-163.24199999999999</v>
      </c>
      <c r="BC148" s="490">
        <f t="shared" si="238"/>
        <v>-8.3410000000000082</v>
      </c>
      <c r="BD148" s="413">
        <f t="shared" si="238"/>
        <v>-346</v>
      </c>
      <c r="BE148" s="413">
        <f t="shared" si="238"/>
        <v>445</v>
      </c>
      <c r="BF148" s="414">
        <f t="shared" si="238"/>
        <v>-160</v>
      </c>
      <c r="BG148" s="413">
        <f t="shared" ref="BG148:CH148" si="239">SUM(BG21:BG25)</f>
        <v>56</v>
      </c>
      <c r="BH148" s="413">
        <f t="shared" si="239"/>
        <v>-244</v>
      </c>
      <c r="BI148" s="413">
        <f t="shared" si="239"/>
        <v>299</v>
      </c>
      <c r="BJ148" s="414">
        <f t="shared" si="239"/>
        <v>-335</v>
      </c>
      <c r="BK148" s="413">
        <f t="shared" si="239"/>
        <v>-29</v>
      </c>
      <c r="BL148" s="413">
        <f t="shared" si="239"/>
        <v>-70</v>
      </c>
      <c r="BM148" s="413">
        <f t="shared" si="239"/>
        <v>327</v>
      </c>
      <c r="BN148" s="413">
        <f t="shared" si="239"/>
        <v>-225</v>
      </c>
      <c r="BO148" s="490">
        <f t="shared" si="239"/>
        <v>-47</v>
      </c>
      <c r="BP148" s="413">
        <f t="shared" si="239"/>
        <v>-317</v>
      </c>
      <c r="BQ148" s="413">
        <f t="shared" si="239"/>
        <v>140</v>
      </c>
      <c r="BR148" s="414">
        <f t="shared" si="239"/>
        <v>-223</v>
      </c>
      <c r="BS148" s="413">
        <f t="shared" si="239"/>
        <v>13</v>
      </c>
      <c r="BT148" s="413">
        <f t="shared" si="239"/>
        <v>-107</v>
      </c>
      <c r="BU148" s="413">
        <f t="shared" si="239"/>
        <v>292</v>
      </c>
      <c r="BV148" s="414">
        <f t="shared" si="239"/>
        <v>-519</v>
      </c>
      <c r="BW148" s="413">
        <f t="shared" si="239"/>
        <v>192</v>
      </c>
      <c r="BX148" s="413">
        <f t="shared" si="239"/>
        <v>-99</v>
      </c>
      <c r="BY148" s="413">
        <f t="shared" si="239"/>
        <v>-222</v>
      </c>
      <c r="BZ148" s="414">
        <f t="shared" si="239"/>
        <v>21</v>
      </c>
      <c r="CA148" s="413">
        <f t="shared" si="239"/>
        <v>-25</v>
      </c>
      <c r="CB148" s="413">
        <f t="shared" si="239"/>
        <v>-293</v>
      </c>
      <c r="CC148" s="413">
        <f t="shared" si="239"/>
        <v>109</v>
      </c>
      <c r="CD148" s="414">
        <f t="shared" si="239"/>
        <v>-443</v>
      </c>
      <c r="CE148" s="413">
        <f t="shared" ca="1" si="239"/>
        <v>211.03465932923302</v>
      </c>
      <c r="CF148" s="413">
        <f t="shared" ca="1" si="239"/>
        <v>96.130916962016158</v>
      </c>
      <c r="CG148" s="413">
        <f t="shared" ca="1" si="239"/>
        <v>93.885047324770426</v>
      </c>
      <c r="CH148" s="414">
        <f t="shared" ca="1" si="239"/>
        <v>86.637726985615927</v>
      </c>
      <c r="CI148" s="632"/>
    </row>
    <row r="149" spans="1:87">
      <c r="A149" s="744" t="s">
        <v>503</v>
      </c>
      <c r="B149" s="399"/>
      <c r="C149" s="399"/>
      <c r="D149" s="413"/>
      <c r="E149" s="413">
        <f t="shared" ref="E149:X149" si="240">E34</f>
        <v>-385.31600000000003</v>
      </c>
      <c r="F149" s="413">
        <f t="shared" si="240"/>
        <v>-414.87199999999996</v>
      </c>
      <c r="G149" s="413">
        <f t="shared" si="240"/>
        <v>-1304.0710000000001</v>
      </c>
      <c r="H149" s="413">
        <f t="shared" si="240"/>
        <v>-1155.0450000000001</v>
      </c>
      <c r="I149" s="413">
        <f t="shared" si="240"/>
        <v>-2738.817</v>
      </c>
      <c r="J149" s="413">
        <f t="shared" si="240"/>
        <v>-2411.5439999999999</v>
      </c>
      <c r="K149" s="413">
        <f t="shared" si="240"/>
        <v>-2548.2160000000003</v>
      </c>
      <c r="L149" s="413">
        <f t="shared" si="240"/>
        <v>-2889.5909999999999</v>
      </c>
      <c r="M149" s="413">
        <f t="shared" si="240"/>
        <v>-2919</v>
      </c>
      <c r="N149" s="413">
        <f t="shared" si="240"/>
        <v>-3048</v>
      </c>
      <c r="O149" s="413">
        <f t="shared" si="240"/>
        <v>-3047</v>
      </c>
      <c r="P149" s="413">
        <f t="shared" si="240"/>
        <v>-2872</v>
      </c>
      <c r="Q149" s="413">
        <f t="shared" si="240"/>
        <v>-2981</v>
      </c>
      <c r="R149" s="413">
        <f t="shared" si="240"/>
        <v>-3106</v>
      </c>
      <c r="S149" s="413">
        <f t="shared" si="240"/>
        <v>-3850.2510232139421</v>
      </c>
      <c r="T149" s="413">
        <f t="shared" si="240"/>
        <v>-3773.9406082061196</v>
      </c>
      <c r="U149" s="413">
        <f t="shared" si="240"/>
        <v>-3742.4634537380066</v>
      </c>
      <c r="V149" s="413">
        <f t="shared" si="240"/>
        <v>-3718.2457088184824</v>
      </c>
      <c r="W149" s="413">
        <f t="shared" si="240"/>
        <v>-3706.8381148050739</v>
      </c>
      <c r="X149" s="413">
        <f t="shared" si="240"/>
        <v>-3699.208926648063</v>
      </c>
      <c r="Y149" s="823"/>
      <c r="Z149" s="679">
        <f t="shared" ref="Z149:BE149" si="241">Z34</f>
        <v>-121.48</v>
      </c>
      <c r="AA149" s="490">
        <f t="shared" si="241"/>
        <v>-61.744999999999997</v>
      </c>
      <c r="AB149" s="413">
        <f t="shared" si="241"/>
        <v>-94.269000000000005</v>
      </c>
      <c r="AC149" s="413">
        <f t="shared" si="241"/>
        <v>-97.582999999999998</v>
      </c>
      <c r="AD149" s="414">
        <f t="shared" si="241"/>
        <v>-131.71899999999999</v>
      </c>
      <c r="AE149" s="490">
        <f t="shared" si="241"/>
        <v>-74.903000000000006</v>
      </c>
      <c r="AF149" s="413">
        <f t="shared" si="241"/>
        <v>-102.011</v>
      </c>
      <c r="AG149" s="413">
        <f t="shared" si="241"/>
        <v>-105.044</v>
      </c>
      <c r="AH149" s="414">
        <f t="shared" si="241"/>
        <v>-132.91399999999999</v>
      </c>
      <c r="AI149" s="490">
        <f t="shared" si="241"/>
        <v>-264.08800000000002</v>
      </c>
      <c r="AJ149" s="413">
        <f t="shared" si="241"/>
        <v>-382.36700000000002</v>
      </c>
      <c r="AK149" s="413">
        <f t="shared" si="241"/>
        <v>-342.57900000000001</v>
      </c>
      <c r="AL149" s="414">
        <f t="shared" si="241"/>
        <v>-315.03699999999998</v>
      </c>
      <c r="AM149" s="490">
        <f t="shared" si="241"/>
        <v>-231.88</v>
      </c>
      <c r="AN149" s="413">
        <f t="shared" si="241"/>
        <v>-245.976</v>
      </c>
      <c r="AO149" s="413">
        <f t="shared" si="241"/>
        <v>-272.44499999999999</v>
      </c>
      <c r="AP149" s="413">
        <f t="shared" si="241"/>
        <v>-404.74400000000003</v>
      </c>
      <c r="AQ149" s="490">
        <f t="shared" si="241"/>
        <v>-647.73900000000003</v>
      </c>
      <c r="AR149" s="413">
        <f t="shared" si="241"/>
        <v>-772.65899999999999</v>
      </c>
      <c r="AS149" s="413">
        <f t="shared" si="241"/>
        <v>-706.60599999999999</v>
      </c>
      <c r="AT149" s="414">
        <f t="shared" si="241"/>
        <v>-611.81299999999999</v>
      </c>
      <c r="AU149" s="490">
        <f t="shared" si="241"/>
        <v>-481.69600000000003</v>
      </c>
      <c r="AV149" s="413">
        <f t="shared" si="241"/>
        <v>-579.10500000000002</v>
      </c>
      <c r="AW149" s="413">
        <f t="shared" si="241"/>
        <v>-627.32600000000002</v>
      </c>
      <c r="AX149" s="414">
        <f t="shared" si="241"/>
        <v>-723.41700000000003</v>
      </c>
      <c r="AY149" s="490">
        <f t="shared" si="241"/>
        <v>-605.17999999999995</v>
      </c>
      <c r="AZ149" s="413">
        <f t="shared" si="241"/>
        <v>-576.04600000000005</v>
      </c>
      <c r="BA149" s="413">
        <f t="shared" si="241"/>
        <v>-661</v>
      </c>
      <c r="BB149" s="413">
        <f t="shared" si="241"/>
        <v>-705.99</v>
      </c>
      <c r="BC149" s="490">
        <f t="shared" si="241"/>
        <v>-651.59100000000001</v>
      </c>
      <c r="BD149" s="413">
        <f t="shared" si="241"/>
        <v>-621</v>
      </c>
      <c r="BE149" s="413">
        <f t="shared" si="241"/>
        <v>-721</v>
      </c>
      <c r="BF149" s="414">
        <f t="shared" ref="BF149:CH149" si="242">BF34</f>
        <v>-896</v>
      </c>
      <c r="BG149" s="413">
        <f t="shared" si="242"/>
        <v>-678</v>
      </c>
      <c r="BH149" s="413">
        <f t="shared" si="242"/>
        <v>-627</v>
      </c>
      <c r="BI149" s="413">
        <f t="shared" si="242"/>
        <v>-719</v>
      </c>
      <c r="BJ149" s="414">
        <f t="shared" si="242"/>
        <v>-895</v>
      </c>
      <c r="BK149" s="413">
        <f t="shared" si="242"/>
        <v>-663</v>
      </c>
      <c r="BL149" s="413">
        <f t="shared" si="242"/>
        <v>-747</v>
      </c>
      <c r="BM149" s="413">
        <f t="shared" si="242"/>
        <v>-801</v>
      </c>
      <c r="BN149" s="413">
        <f t="shared" si="242"/>
        <v>-837</v>
      </c>
      <c r="BO149" s="490">
        <f t="shared" si="242"/>
        <v>-670</v>
      </c>
      <c r="BP149" s="413">
        <f t="shared" si="242"/>
        <v>-731</v>
      </c>
      <c r="BQ149" s="413">
        <f t="shared" si="242"/>
        <v>-712</v>
      </c>
      <c r="BR149" s="414">
        <f t="shared" si="242"/>
        <v>-934</v>
      </c>
      <c r="BS149" s="413">
        <f t="shared" si="242"/>
        <v>-616</v>
      </c>
      <c r="BT149" s="413">
        <f t="shared" si="242"/>
        <v>-656</v>
      </c>
      <c r="BU149" s="413">
        <f t="shared" si="242"/>
        <v>-767</v>
      </c>
      <c r="BV149" s="414">
        <f t="shared" si="242"/>
        <v>-833</v>
      </c>
      <c r="BW149" s="413">
        <f t="shared" si="242"/>
        <v>-611</v>
      </c>
      <c r="BX149" s="413">
        <f t="shared" si="242"/>
        <v>-653</v>
      </c>
      <c r="BY149" s="413">
        <f t="shared" si="242"/>
        <v>-746</v>
      </c>
      <c r="BZ149" s="414">
        <f t="shared" si="242"/>
        <v>-971</v>
      </c>
      <c r="CA149" s="413">
        <f t="shared" si="242"/>
        <v>-780</v>
      </c>
      <c r="CB149" s="413">
        <f t="shared" si="242"/>
        <v>-830</v>
      </c>
      <c r="CC149" s="413">
        <f t="shared" si="242"/>
        <v>-753</v>
      </c>
      <c r="CD149" s="414">
        <f t="shared" si="242"/>
        <v>-743</v>
      </c>
      <c r="CE149" s="413">
        <f t="shared" si="242"/>
        <v>-969.47604000000024</v>
      </c>
      <c r="CF149" s="413">
        <f t="shared" si="242"/>
        <v>-966.56953919399996</v>
      </c>
      <c r="CG149" s="413">
        <f t="shared" si="242"/>
        <v>-964.08083098222176</v>
      </c>
      <c r="CH149" s="414">
        <f t="shared" si="242"/>
        <v>-950.12461303771966</v>
      </c>
      <c r="CI149" s="632"/>
    </row>
    <row r="150" spans="1:87">
      <c r="A150" s="744" t="s">
        <v>504</v>
      </c>
      <c r="B150" s="399"/>
      <c r="C150" s="399"/>
      <c r="D150" s="413"/>
      <c r="E150" s="413">
        <f>-(IS!E78*IS!AH83)</f>
        <v>242.02394999999996</v>
      </c>
      <c r="F150" s="413">
        <f>-(IS!F78*IS!AI83)</f>
        <v>248.19830000000005</v>
      </c>
      <c r="G150" s="413">
        <f>-(IS!G78*IS!AJ83)</f>
        <v>-15.713088767048607</v>
      </c>
      <c r="H150" s="413">
        <f>-(IS!H78*IS!AK83)</f>
        <v>72.670849999999646</v>
      </c>
      <c r="I150" s="413">
        <f>-(IS!I78*IS!AL83)</f>
        <v>-971.6507500000007</v>
      </c>
      <c r="J150" s="413">
        <f>-(IS!J78*IS!AM83)</f>
        <v>-996.5952499999986</v>
      </c>
      <c r="K150" s="413">
        <f>-(IS!K78*IS!K83)</f>
        <v>-1051.75</v>
      </c>
      <c r="L150" s="413">
        <f ca="1">-(IS!L78*IS!L83)</f>
        <v>-973.19249999999965</v>
      </c>
      <c r="M150" s="413">
        <f>-(IS!M78*IS!M83)</f>
        <v>-1087.625</v>
      </c>
      <c r="N150" s="413">
        <f>-(IS!N78*IS!N83)</f>
        <v>-951.3</v>
      </c>
      <c r="O150" s="413">
        <f>-(IS!O78*IS!O83)</f>
        <v>-468.29999999999995</v>
      </c>
      <c r="P150" s="413">
        <f>-(IS!P78*IS!P83)</f>
        <v>-515.19999999999993</v>
      </c>
      <c r="Q150" s="413">
        <f>-(IS!Q78*IS!Q83)</f>
        <v>-357</v>
      </c>
      <c r="R150" s="413">
        <f>-(IS!R78*IS!R83)</f>
        <v>-229.24999999999997</v>
      </c>
      <c r="S150" s="413">
        <f>-(IS!S78*IS!S83)</f>
        <v>-193.04443283919721</v>
      </c>
      <c r="T150" s="413">
        <f>-(IS!T78*IS!T83)</f>
        <v>-340.14831797453553</v>
      </c>
      <c r="U150" s="413">
        <f>-(IS!U78*IS!U83)</f>
        <v>-448.23336430457613</v>
      </c>
      <c r="V150" s="413">
        <f>-(IS!V78*IS!V83)</f>
        <v>-500.87827537596058</v>
      </c>
      <c r="W150" s="413">
        <f>-(IS!W78*IS!W83)</f>
        <v>-560.31997222838072</v>
      </c>
      <c r="X150" s="413">
        <f>-(IS!X78*IS!X83)</f>
        <v>-621.37009139137865</v>
      </c>
      <c r="Y150" s="823"/>
      <c r="Z150" s="679">
        <f>-(IS!AD78*IS!AD83)</f>
        <v>-49.200199999999988</v>
      </c>
      <c r="AA150" s="490">
        <f>-(IS!AE78*IS!AE83)</f>
        <v>-47.381949999999982</v>
      </c>
      <c r="AB150" s="413">
        <f>-(IS!AF78*IS!AF83)</f>
        <v>-47.297949999999979</v>
      </c>
      <c r="AC150" s="413">
        <f>-(IS!AG78*IS!AG83)</f>
        <v>-46.057900000000018</v>
      </c>
      <c r="AD150" s="414">
        <f>-(IS!AH78*IS!AH83)</f>
        <v>-48.319599999999994</v>
      </c>
      <c r="AE150" s="490">
        <f>-(IS!AI78*IS!AI83)</f>
        <v>-45.448549999999997</v>
      </c>
      <c r="AF150" s="413">
        <f>-(IS!AJ78*IS!AJ83)</f>
        <v>-48.362649999999995</v>
      </c>
      <c r="AG150" s="413">
        <f>-(IS!AK78*IS!AK83)</f>
        <v>-56.23660000000001</v>
      </c>
      <c r="AH150" s="414">
        <f>-(IS!AL78*IS!AL83)</f>
        <v>-45.627399999999987</v>
      </c>
      <c r="AI150" s="490">
        <f>-(IS!AM78*IS!AM83)</f>
        <v>-141.55054385247945</v>
      </c>
      <c r="AJ150" s="413">
        <f>-(IS!AN78*IS!AN83)</f>
        <v>-150.69649491456892</v>
      </c>
      <c r="AK150" s="413">
        <f>-(IS!AO78*IS!AO83)</f>
        <v>-133.61774999999994</v>
      </c>
      <c r="AL150" s="414">
        <f>-(IS!AP78*IS!AP83)</f>
        <v>-145.14955</v>
      </c>
      <c r="AM150" s="490">
        <f>-(IS!AQ78*IS!AQ83)</f>
        <v>-115.20670000000003</v>
      </c>
      <c r="AN150" s="413">
        <f>-(IS!AR78*IS!AR83)</f>
        <v>-124.97729999999989</v>
      </c>
      <c r="AO150" s="413">
        <f>-(IS!AS78*IS!AS83)</f>
        <v>-130.65395000000004</v>
      </c>
      <c r="AP150" s="413">
        <f>-(IS!AT78*IS!AT83)</f>
        <v>-121.44965000000003</v>
      </c>
      <c r="AQ150" s="490">
        <f>-(IS!AU78*IS!AU83)</f>
        <v>-248.01489999999984</v>
      </c>
      <c r="AR150" s="413">
        <f>-(IS!AV78*IS!AV83)</f>
        <v>-249.40055000000009</v>
      </c>
      <c r="AS150" s="413">
        <f>-(IS!AW78*IS!AW83)</f>
        <v>-204.4255500000001</v>
      </c>
      <c r="AT150" s="414">
        <f>-(IS!AX78*IS!AX83)</f>
        <v>-269.80975000000012</v>
      </c>
      <c r="AU150" s="490">
        <f>-(IS!AY78*IS!AY83)</f>
        <v>-276.75304999999975</v>
      </c>
      <c r="AV150" s="413">
        <f>-(IS!AZ78*IS!AZ83)</f>
        <v>-245.12704999999997</v>
      </c>
      <c r="AW150" s="413">
        <f>-(IS!BA78*IS!BA83)</f>
        <v>-235.07714999999979</v>
      </c>
      <c r="AX150" s="414">
        <f>-(IS!BB78*IS!BB83)</f>
        <v>-239.63800000000001</v>
      </c>
      <c r="AY150" s="490">
        <f>-(IS!BC78*IS!BC83)</f>
        <v>-275.79999999999995</v>
      </c>
      <c r="AZ150" s="413">
        <f>-(IS!BD78*IS!BD83)</f>
        <v>-261.8</v>
      </c>
      <c r="BA150" s="413">
        <f>-(IS!BE78*IS!BE83)</f>
        <v>-262.14999999999998</v>
      </c>
      <c r="BB150" s="413">
        <f>-(IS!BF78*IS!BF83)</f>
        <v>-251.99999999999997</v>
      </c>
      <c r="BC150" s="490">
        <f ca="1">-(IS!BG78*IS!BG83)</f>
        <v>-277.83000000000004</v>
      </c>
      <c r="BD150" s="413">
        <f>-(IS!BH78*IS!BH83)</f>
        <v>-245.35</v>
      </c>
      <c r="BE150" s="413">
        <f>-(IS!BI78*IS!BI83)</f>
        <v>-215.95</v>
      </c>
      <c r="BF150" s="414">
        <f>-(IS!BJ78*IS!BJ83)</f>
        <v>-196.35</v>
      </c>
      <c r="BG150" s="413">
        <f>-(IS!BK78*IS!BK83)</f>
        <v>-241.85</v>
      </c>
      <c r="BH150" s="413">
        <f>-(IS!BL78*IS!BL83)</f>
        <v>-229.95</v>
      </c>
      <c r="BI150" s="413">
        <f>-(IS!BM78*IS!BM83)</f>
        <v>-237.29999999999998</v>
      </c>
      <c r="BJ150" s="414">
        <f>-(IS!BN78*IS!BN83)</f>
        <v>-234.14999999999998</v>
      </c>
      <c r="BK150" s="413">
        <f>-(IS!BO78*IS!BO83)</f>
        <v>-274.04999999999995</v>
      </c>
      <c r="BL150" s="413">
        <f>-(IS!BP78*IS!BP83)</f>
        <v>-241.49999999999997</v>
      </c>
      <c r="BM150" s="413">
        <f>-(IS!BQ78*IS!BQ83)</f>
        <v>-216.29999999999998</v>
      </c>
      <c r="BN150" s="413">
        <f>-(IS!BR78*IS!BR83)</f>
        <v>-219.45</v>
      </c>
      <c r="BO150" s="490">
        <f>-(IS!BS78*IS!BS83)</f>
        <v>-125.64999999999999</v>
      </c>
      <c r="BP150" s="413">
        <f>-(IS!BT78*IS!BT83)</f>
        <v>-140.35</v>
      </c>
      <c r="BQ150" s="413">
        <f>-(IS!BU78*IS!BU83)</f>
        <v>-114.8</v>
      </c>
      <c r="BR150" s="414">
        <f>-(IS!BV78*IS!BV83)</f>
        <v>-87.5</v>
      </c>
      <c r="BS150" s="413">
        <f>-(IS!BW78*IS!BW83)</f>
        <v>-129.15</v>
      </c>
      <c r="BT150" s="413">
        <f>-(IS!BX78*IS!BX83)</f>
        <v>-87.85</v>
      </c>
      <c r="BU150" s="413">
        <f>-(IS!BY78*IS!BY83)</f>
        <v>-142.44999999999999</v>
      </c>
      <c r="BV150" s="414">
        <f>-(IS!BZ78*IS!BZ83)</f>
        <v>-155.75</v>
      </c>
      <c r="BW150" s="413">
        <f>-(IS!CA78*IS!CA83)</f>
        <v>-133</v>
      </c>
      <c r="BX150" s="413">
        <f>-(IS!CB78*IS!CB83)</f>
        <v>-110.94999999999999</v>
      </c>
      <c r="BY150" s="413">
        <f>-(IS!CC78*IS!CC83)</f>
        <v>-87.149999999999991</v>
      </c>
      <c r="BZ150" s="414">
        <f>-(IS!CD78*IS!CD83)</f>
        <v>-25.9</v>
      </c>
      <c r="CA150" s="413">
        <f>-(IS!CE78*IS!CE83)</f>
        <v>-107.44999999999999</v>
      </c>
      <c r="CB150" s="413">
        <f>-(IS!CF78*IS!CF83)</f>
        <v>-14</v>
      </c>
      <c r="CC150" s="413">
        <f>-(IS!CG78*IS!CG83)</f>
        <v>-48.65</v>
      </c>
      <c r="CD150" s="414">
        <f>-(IS!CH78*IS!CH83)</f>
        <v>-59.15</v>
      </c>
      <c r="CE150" s="413">
        <f>-(IS!CI78*IS!CI83)</f>
        <v>-29.420060781250157</v>
      </c>
      <c r="CF150" s="413">
        <f>-(IS!CJ78*IS!CJ83)</f>
        <v>-44.653688254937407</v>
      </c>
      <c r="CG150" s="413">
        <f>-(IS!CK78*IS!CK83)</f>
        <v>-55.166352248111963</v>
      </c>
      <c r="CH150" s="414">
        <f>-(IS!CL78*IS!CL83)</f>
        <v>-71.847849589864495</v>
      </c>
      <c r="CI150" s="632"/>
    </row>
    <row r="151" spans="1:87">
      <c r="A151" s="744" t="s">
        <v>505</v>
      </c>
      <c r="B151" s="399"/>
      <c r="C151" s="399"/>
      <c r="D151" s="413"/>
      <c r="E151" s="413"/>
      <c r="F151" s="413"/>
      <c r="G151" s="413"/>
      <c r="H151" s="413"/>
      <c r="I151" s="413"/>
      <c r="J151" s="413"/>
      <c r="K151" s="413"/>
      <c r="L151" s="413"/>
      <c r="M151" s="413"/>
      <c r="N151" s="413"/>
      <c r="O151" s="413"/>
      <c r="P151" s="413"/>
      <c r="Q151" s="413"/>
      <c r="R151" s="413"/>
      <c r="S151" s="413"/>
      <c r="T151" s="413"/>
      <c r="U151" s="413"/>
      <c r="V151" s="413"/>
      <c r="W151" s="413"/>
      <c r="X151" s="413"/>
      <c r="Y151" s="823"/>
      <c r="Z151" s="679"/>
      <c r="AA151" s="490"/>
      <c r="AB151" s="413"/>
      <c r="AC151" s="413"/>
      <c r="AD151" s="414"/>
      <c r="AE151" s="490"/>
      <c r="AF151" s="413"/>
      <c r="AG151" s="413"/>
      <c r="AH151" s="414"/>
      <c r="AI151" s="490"/>
      <c r="AJ151" s="413"/>
      <c r="AK151" s="413"/>
      <c r="AL151" s="414"/>
      <c r="AM151" s="490"/>
      <c r="AN151" s="413"/>
      <c r="AO151" s="413"/>
      <c r="AP151" s="413"/>
      <c r="AQ151" s="490"/>
      <c r="AR151" s="413"/>
      <c r="AS151" s="413"/>
      <c r="AT151" s="414"/>
      <c r="AU151" s="490"/>
      <c r="AV151" s="413"/>
      <c r="AW151" s="413"/>
      <c r="AX151" s="414"/>
      <c r="AY151" s="490"/>
      <c r="AZ151" s="413"/>
      <c r="BA151" s="413"/>
      <c r="BB151" s="413"/>
      <c r="BC151" s="490"/>
      <c r="BD151" s="413"/>
      <c r="BE151" s="413"/>
      <c r="BF151" s="414"/>
      <c r="BG151" s="413"/>
      <c r="BH151" s="413"/>
      <c r="BI151" s="413"/>
      <c r="BJ151" s="414"/>
      <c r="BK151" s="413"/>
      <c r="BL151" s="413"/>
      <c r="BM151" s="413"/>
      <c r="BN151" s="413"/>
      <c r="BO151" s="490"/>
      <c r="BP151" s="413"/>
      <c r="BQ151" s="413"/>
      <c r="BR151" s="414"/>
      <c r="BS151" s="413"/>
      <c r="BT151" s="413"/>
      <c r="BU151" s="413"/>
      <c r="BV151" s="414"/>
      <c r="BW151" s="413"/>
      <c r="BX151" s="413"/>
      <c r="BY151" s="413"/>
      <c r="BZ151" s="414"/>
      <c r="CA151" s="413"/>
      <c r="CB151" s="413"/>
      <c r="CC151" s="413"/>
      <c r="CD151" s="414"/>
      <c r="CE151" s="413"/>
      <c r="CF151" s="413"/>
      <c r="CG151" s="413"/>
      <c r="CH151" s="414"/>
      <c r="CI151" s="632"/>
    </row>
    <row r="152" spans="1:87">
      <c r="A152" s="744" t="s">
        <v>506</v>
      </c>
      <c r="B152" s="399"/>
      <c r="C152" s="399"/>
      <c r="D152" s="413"/>
      <c r="E152" s="413">
        <f>IS!E76+IS!E77</f>
        <v>-204.08100000000002</v>
      </c>
      <c r="F152" s="413">
        <f>IS!F76+IS!F77</f>
        <v>-183.184</v>
      </c>
      <c r="G152" s="413">
        <f>IS!G76+IS!G77</f>
        <v>-648.92679011164012</v>
      </c>
      <c r="H152" s="413">
        <f>IS!H76+IS!H77</f>
        <v>-689.77900000000011</v>
      </c>
      <c r="I152" s="413">
        <f>IS!I76+IS!I77</f>
        <v>-1615.278</v>
      </c>
      <c r="J152" s="413">
        <f>IS!J76+IS!J77</f>
        <v>-1613.94</v>
      </c>
      <c r="K152" s="413">
        <f>IS!K76+IS!K77</f>
        <v>-1423</v>
      </c>
      <c r="L152" s="413">
        <f>IS!L76+IS!L77</f>
        <v>-1309</v>
      </c>
      <c r="M152" s="413">
        <f>IS!M76+IS!M77</f>
        <v>-1298</v>
      </c>
      <c r="N152" s="413">
        <f>IS!N76+IS!N77</f>
        <v>-1276</v>
      </c>
      <c r="O152" s="413">
        <f>IS!O76+IS!O77</f>
        <v>-1286</v>
      </c>
      <c r="P152" s="413">
        <f>IS!P76+IS!P77</f>
        <v>-1273</v>
      </c>
      <c r="Q152" s="413">
        <f>IS!Q76+IS!Q77</f>
        <v>-1313</v>
      </c>
      <c r="R152" s="413">
        <f>IS!R76+IS!R77</f>
        <v>-1469</v>
      </c>
      <c r="S152" s="413">
        <f>IS!S76+IS!S77</f>
        <v>-2138.0999902343751</v>
      </c>
      <c r="T152" s="413">
        <f>IS!T76+IS!T77</f>
        <v>-2082.4626647314299</v>
      </c>
      <c r="U152" s="413">
        <f>IS!U76+IS!U77</f>
        <v>-2039.4885891625775</v>
      </c>
      <c r="V152" s="413">
        <f>IS!V76+IS!V77</f>
        <v>-1992.0609484799545</v>
      </c>
      <c r="W152" s="413">
        <f>IS!W76+IS!W77</f>
        <v>-1945.1583077973314</v>
      </c>
      <c r="X152" s="413">
        <f>IS!X76+IS!X77</f>
        <v>-1898.7806671147084</v>
      </c>
      <c r="Y152" s="823"/>
      <c r="Z152" s="679">
        <f>IS!AD76+IS!AD77</f>
        <v>-51.888999999999996</v>
      </c>
      <c r="AA152" s="490">
        <f>IS!AE76+IS!AE77</f>
        <v>-48.18</v>
      </c>
      <c r="AB152" s="413">
        <f>IS!AF76+IS!AF77</f>
        <v>-54.774000000000001</v>
      </c>
      <c r="AC152" s="413">
        <f>IS!AG76+IS!AG77</f>
        <v>-49.567</v>
      </c>
      <c r="AD152" s="414">
        <f>IS!AH76+IS!AH77</f>
        <v>-51.559999999999995</v>
      </c>
      <c r="AE152" s="490">
        <f>IS!AI76+IS!AI77</f>
        <v>-47.007000000000005</v>
      </c>
      <c r="AF152" s="413">
        <f>IS!AJ76+IS!AJ77</f>
        <v>-47.702999999999996</v>
      </c>
      <c r="AG152" s="413">
        <f>IS!AK76+IS!AK77</f>
        <v>-46.419000000000004</v>
      </c>
      <c r="AH152" s="414">
        <f>IS!AL76+IS!AL77</f>
        <v>-42.055</v>
      </c>
      <c r="AI152" s="490">
        <f>IS!AM76+IS!AM77</f>
        <v>-166.23420415326569</v>
      </c>
      <c r="AJ152" s="413">
        <f>IS!AN76+IS!AN77</f>
        <v>-161.68758595837451</v>
      </c>
      <c r="AK152" s="413">
        <f>IS!AO76+IS!AO77</f>
        <v>-156.03899999999999</v>
      </c>
      <c r="AL152" s="414">
        <f>IS!AP76+IS!AP77</f>
        <v>-164.96600000000001</v>
      </c>
      <c r="AM152" s="490">
        <f>IS!AQ76+IS!AQ77</f>
        <v>-169.17100000000002</v>
      </c>
      <c r="AN152" s="413">
        <f>IS!AR76+IS!AR77</f>
        <v>-179.08699999999999</v>
      </c>
      <c r="AO152" s="413">
        <f>IS!AS76+IS!AS77</f>
        <v>-175.35199999999998</v>
      </c>
      <c r="AP152" s="413">
        <f>IS!AT76+IS!AT77</f>
        <v>-166.16900000000001</v>
      </c>
      <c r="AQ152" s="490">
        <f>IS!AU76+IS!AU77</f>
        <v>-419</v>
      </c>
      <c r="AR152" s="413">
        <f>IS!AV76+IS!AV77</f>
        <v>-402</v>
      </c>
      <c r="AS152" s="413">
        <f>IS!AW76+IS!AW77</f>
        <v>-380</v>
      </c>
      <c r="AT152" s="414">
        <f>IS!AX76+IS!AX77</f>
        <v>-414.27800000000002</v>
      </c>
      <c r="AU152" s="490">
        <f>IS!AY76+IS!AY77</f>
        <v>-389.358</v>
      </c>
      <c r="AV152" s="413">
        <f>IS!AZ76+IS!AZ77</f>
        <v>-408.09399999999999</v>
      </c>
      <c r="AW152" s="413">
        <f>IS!BA76+IS!BA77</f>
        <v>-407.96</v>
      </c>
      <c r="AX152" s="414">
        <f>IS!BB76+IS!BB77</f>
        <v>-408.52800000000002</v>
      </c>
      <c r="AY152" s="490">
        <f>IS!BC76+IS!BC77</f>
        <v>-366</v>
      </c>
      <c r="AZ152" s="413">
        <f>IS!BD76+IS!BD77</f>
        <v>-357</v>
      </c>
      <c r="BA152" s="413">
        <f>IS!BE76+IS!BE77</f>
        <v>-355</v>
      </c>
      <c r="BB152" s="413">
        <f>IS!BF76+IS!BF77</f>
        <v>-345</v>
      </c>
      <c r="BC152" s="490">
        <f>IS!BG76+IS!BG77</f>
        <v>-339</v>
      </c>
      <c r="BD152" s="413">
        <f>IS!BH76+IS!BH77</f>
        <v>-315</v>
      </c>
      <c r="BE152" s="413">
        <f>IS!BI76+IS!BI77</f>
        <v>-320</v>
      </c>
      <c r="BF152" s="414">
        <f>IS!BJ76+IS!BJ77</f>
        <v>-335</v>
      </c>
      <c r="BG152" s="413">
        <f>IS!BK76+IS!BK77</f>
        <v>-336</v>
      </c>
      <c r="BH152" s="413">
        <f>IS!BL76+IS!BL77</f>
        <v>-332</v>
      </c>
      <c r="BI152" s="413">
        <f>IS!BM76+IS!BM77</f>
        <v>-320</v>
      </c>
      <c r="BJ152" s="414">
        <f>IS!BN76+IS!BN77</f>
        <v>-310</v>
      </c>
      <c r="BK152" s="413">
        <f>IS!BO76+IS!BO77</f>
        <v>-314</v>
      </c>
      <c r="BL152" s="413">
        <f>IS!BP76+IS!BP77</f>
        <v>-321</v>
      </c>
      <c r="BM152" s="413">
        <f>IS!BQ76+IS!BQ77</f>
        <v>-320</v>
      </c>
      <c r="BN152" s="413">
        <f>IS!BR76+IS!BR77</f>
        <v>-321</v>
      </c>
      <c r="BO152" s="490">
        <f>IS!BS76+IS!BS77</f>
        <v>-322</v>
      </c>
      <c r="BP152" s="413">
        <f>IS!BT76+IS!BT77</f>
        <v>-318</v>
      </c>
      <c r="BQ152" s="413">
        <f>IS!BU76+IS!BU77</f>
        <v>-320</v>
      </c>
      <c r="BR152" s="414">
        <f>IS!BV76+IS!BV77</f>
        <v>-326</v>
      </c>
      <c r="BS152" s="413">
        <f>IS!BW76+IS!BW77</f>
        <v>-315</v>
      </c>
      <c r="BT152" s="413">
        <f>IS!BX76+IS!BX77</f>
        <v>-323</v>
      </c>
      <c r="BU152" s="413">
        <f>IS!BY76+IS!BY77</f>
        <v>-321</v>
      </c>
      <c r="BV152" s="414">
        <f>IS!BZ76+IS!BZ77</f>
        <v>-314</v>
      </c>
      <c r="BW152" s="413">
        <f>IS!CA76+IS!CA77</f>
        <v>-308</v>
      </c>
      <c r="BX152" s="413">
        <f>IS!CB76+IS!CB77</f>
        <v>-330</v>
      </c>
      <c r="BY152" s="413">
        <f>IS!CC76+IS!CC77</f>
        <v>-344</v>
      </c>
      <c r="BZ152" s="414">
        <f>IS!CD76+IS!CD77</f>
        <v>-331</v>
      </c>
      <c r="CA152" s="413">
        <f>IS!CE76+IS!CE77</f>
        <v>-324</v>
      </c>
      <c r="CB152" s="413">
        <f>IS!CF76+IS!CF77</f>
        <v>-327</v>
      </c>
      <c r="CC152" s="413">
        <f>IS!CG76+IS!CG77</f>
        <v>-348</v>
      </c>
      <c r="CD152" s="414">
        <f>IS!CH76+IS!CH77</f>
        <v>-470</v>
      </c>
      <c r="CE152" s="413">
        <f>IS!CI76+IS!CI77</f>
        <v>-539.524296875</v>
      </c>
      <c r="CF152" s="413">
        <f>IS!CJ76+IS!CJ77</f>
        <v>-535.45572265625003</v>
      </c>
      <c r="CG152" s="413">
        <f>IS!CK76+IS!CK77</f>
        <v>-532.9433544921875</v>
      </c>
      <c r="CH152" s="414">
        <f>IS!CL76+IS!CL77</f>
        <v>-530.17661621093748</v>
      </c>
      <c r="CI152" s="632"/>
    </row>
    <row r="153" spans="1:87">
      <c r="A153" s="744" t="s">
        <v>507</v>
      </c>
      <c r="B153" s="399"/>
      <c r="C153" s="399"/>
      <c r="D153" s="413"/>
      <c r="E153" s="413"/>
      <c r="F153" s="413"/>
      <c r="G153" s="413"/>
      <c r="H153" s="413"/>
      <c r="I153" s="413"/>
      <c r="J153" s="413"/>
      <c r="K153" s="413"/>
      <c r="L153" s="413"/>
      <c r="M153" s="413"/>
      <c r="N153" s="413"/>
      <c r="O153" s="413"/>
      <c r="P153" s="413"/>
      <c r="Q153" s="413"/>
      <c r="R153" s="413"/>
      <c r="S153" s="413"/>
      <c r="T153" s="413"/>
      <c r="U153" s="413"/>
      <c r="V153" s="413"/>
      <c r="W153" s="413"/>
      <c r="X153" s="413"/>
      <c r="Y153" s="823"/>
      <c r="Z153" s="679"/>
      <c r="AA153" s="490"/>
      <c r="AB153" s="413"/>
      <c r="AC153" s="413"/>
      <c r="AD153" s="414"/>
      <c r="AE153" s="490"/>
      <c r="AF153" s="413"/>
      <c r="AG153" s="413"/>
      <c r="AH153" s="414"/>
      <c r="AI153" s="490"/>
      <c r="AJ153" s="413"/>
      <c r="AK153" s="413"/>
      <c r="AL153" s="414"/>
      <c r="AM153" s="490"/>
      <c r="AN153" s="413"/>
      <c r="AO153" s="413"/>
      <c r="AP153" s="413"/>
      <c r="AQ153" s="490"/>
      <c r="AR153" s="413"/>
      <c r="AS153" s="413"/>
      <c r="AT153" s="414"/>
      <c r="AU153" s="490"/>
      <c r="AV153" s="413"/>
      <c r="AW153" s="413"/>
      <c r="AX153" s="414"/>
      <c r="AY153" s="490"/>
      <c r="AZ153" s="413"/>
      <c r="BA153" s="413"/>
      <c r="BB153" s="413"/>
      <c r="BC153" s="490"/>
      <c r="BD153" s="413"/>
      <c r="BE153" s="413"/>
      <c r="BF153" s="414"/>
      <c r="BG153" s="413"/>
      <c r="BH153" s="413"/>
      <c r="BI153" s="413"/>
      <c r="BJ153" s="414"/>
      <c r="BK153" s="413"/>
      <c r="BL153" s="413"/>
      <c r="BM153" s="413"/>
      <c r="BN153" s="413"/>
      <c r="BO153" s="490"/>
      <c r="BP153" s="413"/>
      <c r="BQ153" s="413"/>
      <c r="BR153" s="414"/>
      <c r="BS153" s="413"/>
      <c r="BT153" s="413"/>
      <c r="BU153" s="413"/>
      <c r="BV153" s="414"/>
      <c r="BW153" s="413"/>
      <c r="BX153" s="413"/>
      <c r="BY153" s="413"/>
      <c r="BZ153" s="414"/>
      <c r="CA153" s="413"/>
      <c r="CB153" s="413"/>
      <c r="CC153" s="413"/>
      <c r="CD153" s="414"/>
      <c r="CE153" s="413"/>
      <c r="CF153" s="413"/>
      <c r="CG153" s="413"/>
      <c r="CH153" s="414"/>
      <c r="CI153" s="632"/>
    </row>
    <row r="154" spans="1:87">
      <c r="A154" s="745" t="s">
        <v>508</v>
      </c>
      <c r="B154" s="431"/>
      <c r="C154" s="431"/>
      <c r="D154" s="746"/>
      <c r="E154" s="747">
        <f t="shared" ref="E154:O154" si="243">SUM(E146:E153)</f>
        <v>-262.34205000000003</v>
      </c>
      <c r="F154" s="747">
        <f t="shared" si="243"/>
        <v>-316.87970000000007</v>
      </c>
      <c r="G154" s="747">
        <f t="shared" si="243"/>
        <v>352.04445056737609</v>
      </c>
      <c r="H154" s="747">
        <f t="shared" si="243"/>
        <v>326.85785000000078</v>
      </c>
      <c r="I154" s="747">
        <f t="shared" si="243"/>
        <v>2251.9692500000019</v>
      </c>
      <c r="J154" s="747">
        <f t="shared" si="243"/>
        <v>3086.3057499999964</v>
      </c>
      <c r="K154" s="747">
        <f t="shared" si="243"/>
        <v>3029.3959999999997</v>
      </c>
      <c r="L154" s="747">
        <f t="shared" ca="1" si="243"/>
        <v>2648.4254999999989</v>
      </c>
      <c r="M154" s="747">
        <f t="shared" si="243"/>
        <v>2540.875</v>
      </c>
      <c r="N154" s="747">
        <f t="shared" si="243"/>
        <v>2159.6999999999998</v>
      </c>
      <c r="O154" s="747">
        <f t="shared" si="243"/>
        <v>1803.6999999999998</v>
      </c>
      <c r="P154" s="747">
        <f t="shared" ref="P154:U154" si="244">SUM(P146:P153)</f>
        <v>1952.8000000000002</v>
      </c>
      <c r="Q154" s="747">
        <f t="shared" si="244"/>
        <v>1754</v>
      </c>
      <c r="R154" s="747">
        <f>SUM(R146:R153)</f>
        <v>1125.75</v>
      </c>
      <c r="S154" s="747">
        <f ca="1">SUM(S146:S153)</f>
        <v>3153.2610016415124</v>
      </c>
      <c r="T154" s="747">
        <f t="shared" ca="1" si="244"/>
        <v>2940.6945258726837</v>
      </c>
      <c r="U154" s="747">
        <f t="shared" ca="1" si="244"/>
        <v>3112.4343470765016</v>
      </c>
      <c r="V154" s="747">
        <f ca="1">SUM(V146:V153)</f>
        <v>3214.1213356074995</v>
      </c>
      <c r="W154" s="747">
        <f ca="1">SUM(W146:W153)</f>
        <v>3318.9709770027443</v>
      </c>
      <c r="X154" s="747">
        <f ca="1">SUM(X146:X153)</f>
        <v>3430.052050636893</v>
      </c>
      <c r="Y154" s="2547"/>
      <c r="Z154" s="749">
        <f t="shared" ref="Z154:BG154" si="245">SUM(Z146:Z153)</f>
        <v>100.03979999999991</v>
      </c>
      <c r="AA154" s="750">
        <f t="shared" si="245"/>
        <v>210.93705</v>
      </c>
      <c r="AB154" s="747">
        <f t="shared" si="245"/>
        <v>98.896049999999917</v>
      </c>
      <c r="AC154" s="747">
        <f t="shared" si="245"/>
        <v>128.65310000000002</v>
      </c>
      <c r="AD154" s="748">
        <f t="shared" si="245"/>
        <v>99.75139999999999</v>
      </c>
      <c r="AE154" s="750">
        <f t="shared" si="245"/>
        <v>169.29944999999998</v>
      </c>
      <c r="AF154" s="747">
        <f t="shared" si="245"/>
        <v>109.58835000000002</v>
      </c>
      <c r="AG154" s="747">
        <f t="shared" si="245"/>
        <v>143.33440000000004</v>
      </c>
      <c r="AH154" s="748">
        <f t="shared" si="245"/>
        <v>85.234600000000029</v>
      </c>
      <c r="AI154" s="750">
        <f t="shared" si="245"/>
        <v>375.32779325421774</v>
      </c>
      <c r="AJ154" s="747">
        <f t="shared" si="245"/>
        <v>249.04070731315787</v>
      </c>
      <c r="AK154" s="747">
        <f t="shared" si="245"/>
        <v>435.47325000000001</v>
      </c>
      <c r="AL154" s="748">
        <f t="shared" si="245"/>
        <v>323.47645000000011</v>
      </c>
      <c r="AM154" s="750">
        <f t="shared" si="245"/>
        <v>515.5012999999999</v>
      </c>
      <c r="AN154" s="747">
        <f t="shared" si="245"/>
        <v>199.12869999999975</v>
      </c>
      <c r="AO154" s="747">
        <f t="shared" si="245"/>
        <v>454.23305000000028</v>
      </c>
      <c r="AP154" s="747">
        <f t="shared" si="245"/>
        <v>207.20334999999997</v>
      </c>
      <c r="AQ154" s="750">
        <f t="shared" si="245"/>
        <v>522.5830999999996</v>
      </c>
      <c r="AR154" s="747">
        <f t="shared" si="245"/>
        <v>416.76445000000035</v>
      </c>
      <c r="AS154" s="747">
        <f t="shared" si="245"/>
        <v>651.37845000000016</v>
      </c>
      <c r="AT154" s="748">
        <f t="shared" si="245"/>
        <v>661.24325000000044</v>
      </c>
      <c r="AU154" s="750">
        <f t="shared" si="245"/>
        <v>862.02494999999976</v>
      </c>
      <c r="AV154" s="747">
        <f t="shared" si="245"/>
        <v>983.12594999999965</v>
      </c>
      <c r="AW154" s="747">
        <f t="shared" si="245"/>
        <v>688.36884999999961</v>
      </c>
      <c r="AX154" s="748">
        <f t="shared" si="245"/>
        <v>552.78600000000017</v>
      </c>
      <c r="AY154" s="750">
        <f t="shared" si="245"/>
        <v>935.20600000000036</v>
      </c>
      <c r="AZ154" s="747">
        <f t="shared" si="245"/>
        <v>760.6110000000001</v>
      </c>
      <c r="BA154" s="747">
        <f t="shared" si="245"/>
        <v>773.81099999999969</v>
      </c>
      <c r="BB154" s="747">
        <f t="shared" si="245"/>
        <v>559.76800000000003</v>
      </c>
      <c r="BC154" s="750">
        <f t="shared" ca="1" si="245"/>
        <v>786.03800000000047</v>
      </c>
      <c r="BD154" s="747">
        <f t="shared" si="245"/>
        <v>451.65</v>
      </c>
      <c r="BE154" s="747">
        <f t="shared" si="245"/>
        <v>1082.05</v>
      </c>
      <c r="BF154" s="748">
        <f t="shared" si="245"/>
        <v>258.64999999999998</v>
      </c>
      <c r="BG154" s="747">
        <f t="shared" si="245"/>
        <v>744.15000000000009</v>
      </c>
      <c r="BH154" s="747">
        <f t="shared" ref="BH154:BO154" si="246">SUM(BH146:BH153)</f>
        <v>467.04999999999995</v>
      </c>
      <c r="BI154" s="747">
        <f t="shared" si="246"/>
        <v>921.7</v>
      </c>
      <c r="BJ154" s="748">
        <f t="shared" si="246"/>
        <v>139.85000000000002</v>
      </c>
      <c r="BK154" s="747">
        <f t="shared" si="246"/>
        <v>652.95000000000005</v>
      </c>
      <c r="BL154" s="747">
        <f t="shared" si="246"/>
        <v>478.5</v>
      </c>
      <c r="BM154" s="747">
        <f t="shared" si="246"/>
        <v>794.7</v>
      </c>
      <c r="BN154" s="747">
        <f t="shared" si="246"/>
        <v>233.54999999999995</v>
      </c>
      <c r="BO154" s="750">
        <f t="shared" si="246"/>
        <v>623.35</v>
      </c>
      <c r="BP154" s="747">
        <f t="shared" ref="BP154:BV154" si="247">SUM(BP146:BP153)</f>
        <v>305.64999999999998</v>
      </c>
      <c r="BQ154" s="747">
        <f t="shared" si="247"/>
        <v>738.2</v>
      </c>
      <c r="BR154" s="748">
        <f t="shared" si="247"/>
        <v>136.5</v>
      </c>
      <c r="BS154" s="747">
        <f t="shared" si="247"/>
        <v>676.85</v>
      </c>
      <c r="BT154" s="747">
        <f t="shared" si="247"/>
        <v>448.15</v>
      </c>
      <c r="BU154" s="747">
        <f t="shared" si="247"/>
        <v>837.55</v>
      </c>
      <c r="BV154" s="748">
        <f t="shared" si="247"/>
        <v>-9.75</v>
      </c>
      <c r="BW154" s="747">
        <f t="shared" ref="BW154:CB154" si="248">SUM(BW146:BW153)</f>
        <v>824</v>
      </c>
      <c r="BX154" s="747">
        <f t="shared" si="248"/>
        <v>455.04999999999995</v>
      </c>
      <c r="BY154" s="747">
        <f t="shared" si="248"/>
        <v>196.85000000000002</v>
      </c>
      <c r="BZ154" s="748">
        <f t="shared" si="248"/>
        <v>278.10000000000002</v>
      </c>
      <c r="CA154" s="747">
        <f>SUM(CA146:CA153)</f>
        <v>295.54999999999995</v>
      </c>
      <c r="CB154" s="747">
        <f t="shared" si="248"/>
        <v>-22</v>
      </c>
      <c r="CC154" s="747">
        <f>SUM(CC146:CC153)</f>
        <v>356.35</v>
      </c>
      <c r="CD154" s="748">
        <f t="shared" ref="CD154" si="249">SUM(CD146:CD153)</f>
        <v>495.85</v>
      </c>
      <c r="CE154" s="747">
        <f ca="1">SUM(CE146:CE153)</f>
        <v>801.86380167298273</v>
      </c>
      <c r="CF154" s="747">
        <f ca="1">SUM(CF146:CF153)</f>
        <v>738.2865325328288</v>
      </c>
      <c r="CG154" s="747">
        <f ca="1">SUM(CG146:CG153)</f>
        <v>772.79189126688459</v>
      </c>
      <c r="CH154" s="748">
        <f ca="1">SUM(CH146:CH153)</f>
        <v>832.27525813384909</v>
      </c>
      <c r="CI154" s="632"/>
    </row>
    <row r="155" spans="1:87">
      <c r="A155" s="365"/>
      <c r="B155" s="365"/>
      <c r="C155" s="365"/>
      <c r="D155" s="476"/>
      <c r="E155" s="476"/>
      <c r="F155" s="476"/>
      <c r="G155" s="476"/>
      <c r="H155" s="476"/>
      <c r="I155" s="476"/>
      <c r="J155" s="476"/>
      <c r="K155" s="413"/>
      <c r="L155" s="476"/>
      <c r="M155" s="476"/>
      <c r="N155" s="476"/>
      <c r="O155" s="413"/>
      <c r="P155" s="413"/>
      <c r="Q155" s="413"/>
      <c r="R155" s="413"/>
      <c r="S155" s="413"/>
      <c r="T155" s="413"/>
      <c r="U155" s="413"/>
      <c r="V155" s="413"/>
      <c r="W155" s="413"/>
      <c r="X155" s="413"/>
      <c r="Y155" s="589"/>
      <c r="Z155" s="476"/>
      <c r="AA155" s="476"/>
      <c r="AB155" s="476"/>
      <c r="AC155" s="476"/>
      <c r="AD155" s="476"/>
      <c r="AE155" s="476"/>
      <c r="AF155" s="476"/>
      <c r="AG155" s="476"/>
      <c r="AH155" s="476"/>
      <c r="AI155" s="476"/>
      <c r="AJ155" s="476"/>
      <c r="AK155" s="476"/>
      <c r="AL155" s="476"/>
      <c r="AM155" s="476"/>
      <c r="AN155" s="476"/>
      <c r="AO155" s="476"/>
      <c r="AP155" s="476"/>
      <c r="AQ155" s="476"/>
      <c r="AR155" s="476"/>
      <c r="AS155" s="476"/>
      <c r="AT155" s="476"/>
      <c r="AU155" s="476"/>
      <c r="AV155" s="476"/>
      <c r="AW155" s="476"/>
      <c r="AX155" s="476"/>
      <c r="AY155" s="476"/>
      <c r="AZ155" s="476"/>
      <c r="BA155" s="476"/>
      <c r="BB155" s="476"/>
      <c r="BC155" s="451"/>
      <c r="BD155" s="476"/>
      <c r="BE155" s="476"/>
      <c r="BF155" s="414"/>
      <c r="BG155" s="413"/>
      <c r="BH155" s="476"/>
      <c r="BI155" s="476"/>
      <c r="BJ155" s="414"/>
      <c r="BK155" s="476"/>
      <c r="BL155" s="476"/>
      <c r="BM155" s="476"/>
      <c r="BN155" s="476"/>
      <c r="BO155" s="476"/>
      <c r="BP155" s="476"/>
      <c r="BQ155" s="476"/>
      <c r="BR155" s="476"/>
      <c r="BS155" s="413"/>
      <c r="BT155" s="476"/>
      <c r="BU155" s="413"/>
      <c r="BV155" s="476"/>
      <c r="BW155" s="413"/>
      <c r="BX155" s="476"/>
      <c r="BY155" s="476"/>
      <c r="BZ155" s="476"/>
      <c r="CA155" s="413"/>
      <c r="CB155" s="476"/>
      <c r="CC155" s="476"/>
      <c r="CD155" s="476"/>
      <c r="CE155" s="413"/>
      <c r="CF155" s="413"/>
      <c r="CG155" s="413"/>
      <c r="CH155" s="413"/>
      <c r="CI155" s="589"/>
    </row>
    <row r="156" spans="1:87">
      <c r="S156"/>
      <c r="W156"/>
      <c r="X156"/>
      <c r="Y156"/>
      <c r="BS156"/>
      <c r="BU156"/>
      <c r="BW156"/>
      <c r="CA156"/>
      <c r="CB156"/>
      <c r="CC156"/>
      <c r="CD156"/>
      <c r="CE156"/>
      <c r="CF156"/>
      <c r="CG156"/>
      <c r="CH156"/>
    </row>
    <row r="157" spans="1:87">
      <c r="O157" s="292"/>
      <c r="P157" s="292"/>
    </row>
    <row r="158" spans="1:87">
      <c r="O158" s="292"/>
      <c r="P158" s="292"/>
    </row>
    <row r="159" spans="1:87">
      <c r="O159" s="292"/>
      <c r="P159" s="292"/>
    </row>
    <row r="160" spans="1:87">
      <c r="O160" s="292"/>
      <c r="P160" s="292"/>
    </row>
    <row r="161" spans="15:82">
      <c r="O161" s="292"/>
      <c r="P161" s="292"/>
      <c r="BH161" s="3513"/>
      <c r="BI161" s="3513"/>
      <c r="BJ161" s="3513"/>
      <c r="BK161" s="3513"/>
      <c r="BL161" s="3513"/>
      <c r="BM161" s="3513"/>
      <c r="BN161" s="3513"/>
      <c r="BO161" s="3513"/>
      <c r="BP161" s="3513"/>
      <c r="BQ161" s="3513"/>
      <c r="BR161" s="3513"/>
      <c r="BS161" s="3513"/>
      <c r="BT161" s="3513"/>
      <c r="BU161" s="3513"/>
      <c r="BV161" s="3513"/>
      <c r="BW161" s="3513"/>
      <c r="BX161" s="3513"/>
      <c r="BY161" s="3513"/>
      <c r="BZ161" s="3513"/>
      <c r="CA161" s="3513"/>
    </row>
    <row r="162" spans="15:82">
      <c r="O162" s="292"/>
      <c r="P162" s="292"/>
    </row>
    <row r="163" spans="15:82">
      <c r="O163" s="292"/>
      <c r="P163" s="292"/>
      <c r="Z163" s="287"/>
      <c r="AA163" s="287"/>
      <c r="AB163" s="287"/>
      <c r="AC163" s="287"/>
      <c r="AD163" s="287"/>
      <c r="AE163" s="287"/>
      <c r="AF163" s="287"/>
      <c r="AG163" s="287"/>
      <c r="AH163" s="287"/>
      <c r="AI163" s="287"/>
      <c r="AJ163" s="287"/>
      <c r="AK163" s="287"/>
      <c r="AL163" s="287"/>
      <c r="AM163" s="287"/>
      <c r="AN163" s="287"/>
      <c r="AO163" s="287"/>
      <c r="AP163" s="287"/>
      <c r="AQ163" s="287"/>
      <c r="AR163" s="287"/>
      <c r="AS163" s="287"/>
      <c r="AT163" s="287"/>
      <c r="AU163" s="287"/>
      <c r="AV163" s="287"/>
      <c r="AW163" s="287"/>
      <c r="AX163" s="287"/>
      <c r="AY163" s="287"/>
      <c r="AZ163" s="287"/>
      <c r="BA163" s="287"/>
      <c r="BB163" s="287"/>
      <c r="BC163" s="287"/>
      <c r="BD163" s="287"/>
      <c r="BE163" s="287"/>
      <c r="BF163" s="287"/>
      <c r="BG163" s="287">
        <v>291</v>
      </c>
      <c r="BH163" s="287">
        <v>297</v>
      </c>
      <c r="BI163" s="287">
        <v>243</v>
      </c>
      <c r="BJ163" s="287">
        <v>285</v>
      </c>
      <c r="BK163" s="287">
        <v>281</v>
      </c>
      <c r="BL163" s="287">
        <v>276</v>
      </c>
      <c r="BM163" s="287">
        <v>268</v>
      </c>
      <c r="BN163" s="287">
        <v>278</v>
      </c>
      <c r="BO163" s="287"/>
      <c r="BP163" s="287"/>
      <c r="BQ163" s="287"/>
      <c r="BR163" s="287"/>
      <c r="BS163" s="287"/>
      <c r="BT163" s="287"/>
      <c r="BU163" s="287"/>
      <c r="BV163" s="287"/>
      <c r="BW163" s="287"/>
      <c r="BX163" s="287"/>
      <c r="BY163" s="287"/>
      <c r="BZ163" s="287"/>
      <c r="CA163" s="287"/>
      <c r="CB163" s="287"/>
      <c r="CC163" s="287"/>
      <c r="CD163" s="287"/>
    </row>
    <row r="164" spans="15:82">
      <c r="O164" s="292"/>
      <c r="P164" s="292"/>
    </row>
    <row r="165" spans="15:82">
      <c r="O165" s="292"/>
      <c r="P165" s="292"/>
    </row>
    <row r="166" spans="15:82">
      <c r="O166" s="292"/>
      <c r="P166" s="292"/>
    </row>
    <row r="167" spans="15:82">
      <c r="O167" s="292"/>
      <c r="P167" s="292"/>
    </row>
    <row r="168" spans="15:82">
      <c r="O168" s="292"/>
      <c r="P168" s="292"/>
    </row>
    <row r="169" spans="15:82">
      <c r="O169" s="292"/>
      <c r="P169" s="292"/>
    </row>
    <row r="170" spans="15:82">
      <c r="O170" s="292"/>
      <c r="P170" s="292"/>
    </row>
    <row r="171" spans="15:82">
      <c r="O171" s="292"/>
      <c r="P171" s="292"/>
    </row>
    <row r="172" spans="15:82">
      <c r="O172" s="292"/>
      <c r="P172" s="292"/>
    </row>
    <row r="173" spans="15:82">
      <c r="O173" s="292"/>
      <c r="P173" s="292"/>
    </row>
    <row r="174" spans="15:82">
      <c r="O174" s="292"/>
      <c r="P174" s="292"/>
    </row>
    <row r="175" spans="15:82">
      <c r="O175" s="292"/>
      <c r="P175" s="292"/>
    </row>
    <row r="176" spans="15:82">
      <c r="O176" s="292"/>
      <c r="P176" s="292"/>
    </row>
    <row r="177" spans="15:16">
      <c r="O177" s="292"/>
      <c r="P177" s="292"/>
    </row>
    <row r="178" spans="15:16">
      <c r="O178" s="292"/>
      <c r="P178" s="292"/>
    </row>
    <row r="179" spans="15:16">
      <c r="O179" s="292"/>
      <c r="P179" s="292"/>
    </row>
    <row r="180" spans="15:16">
      <c r="O180" s="292"/>
      <c r="P180" s="292"/>
    </row>
    <row r="181" spans="15:16">
      <c r="O181" s="292"/>
      <c r="P181" s="292"/>
    </row>
    <row r="182" spans="15:16">
      <c r="O182" s="292"/>
      <c r="P182" s="292"/>
    </row>
    <row r="183" spans="15:16">
      <c r="O183" s="292"/>
      <c r="P183" s="292"/>
    </row>
    <row r="184" spans="15:16">
      <c r="O184" s="292"/>
      <c r="P184" s="292"/>
    </row>
    <row r="185" spans="15:16">
      <c r="O185" s="292"/>
      <c r="P185" s="292"/>
    </row>
    <row r="186" spans="15:16">
      <c r="O186" s="292"/>
      <c r="P186" s="292"/>
    </row>
    <row r="187" spans="15:16">
      <c r="O187" s="292"/>
      <c r="P187" s="292"/>
    </row>
    <row r="188" spans="15:16">
      <c r="O188" s="292"/>
      <c r="P188" s="292"/>
    </row>
    <row r="189" spans="15:16">
      <c r="O189" s="292"/>
      <c r="P189" s="292"/>
    </row>
    <row r="190" spans="15:16">
      <c r="O190" s="292"/>
      <c r="P190" s="292"/>
    </row>
    <row r="191" spans="15:16">
      <c r="O191" s="292"/>
      <c r="P191" s="292"/>
    </row>
    <row r="192" spans="15:16">
      <c r="O192" s="292"/>
      <c r="P192" s="292"/>
    </row>
    <row r="193" spans="15:16">
      <c r="O193" s="292"/>
      <c r="P193" s="292"/>
    </row>
    <row r="194" spans="15:16">
      <c r="O194" s="292"/>
      <c r="P194" s="292"/>
    </row>
    <row r="195" spans="15:16">
      <c r="O195" s="292"/>
      <c r="P195" s="292"/>
    </row>
  </sheetData>
  <mergeCells count="3">
    <mergeCell ref="AI4:AT4"/>
    <mergeCell ref="F4:I4"/>
    <mergeCell ref="K5:L5"/>
  </mergeCells>
  <phoneticPr fontId="21" type="noConversion"/>
  <pageMargins left="0" right="0" top="0" bottom="0" header="0" footer="0"/>
  <pageSetup scale="64" orientation="landscape" r:id="rId1"/>
  <headerFooter alignWithMargins="0"/>
  <rowBreaks count="1" manualBreakCount="1">
    <brk id="58" max="69" man="1"/>
  </rowBreaks>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4:V80"/>
  <sheetViews>
    <sheetView topLeftCell="A49" zoomScale="85" zoomScaleNormal="85" workbookViewId="0">
      <selection activeCell="H78" sqref="H78"/>
    </sheetView>
  </sheetViews>
  <sheetFormatPr defaultRowHeight="12.75"/>
  <cols>
    <col min="1" max="2" width="9.140625" style="3327"/>
    <col min="3" max="3" width="22.28515625" style="3327" bestFit="1" customWidth="1"/>
    <col min="4" max="12" width="9.140625" style="3327"/>
    <col min="13" max="13" width="4" style="3327" customWidth="1"/>
    <col min="14" max="16384" width="9.140625" style="3327"/>
  </cols>
  <sheetData>
    <row r="4" spans="1:22">
      <c r="A4" s="4099" t="s">
        <v>2071</v>
      </c>
      <c r="B4" s="4100"/>
      <c r="C4" s="4100"/>
      <c r="D4" s="4101" t="s">
        <v>1652</v>
      </c>
      <c r="E4" s="4102" t="s">
        <v>1687</v>
      </c>
      <c r="F4" s="4101" t="s">
        <v>1693</v>
      </c>
      <c r="G4" s="4101" t="s">
        <v>1978</v>
      </c>
      <c r="H4" s="4103" t="s">
        <v>2034</v>
      </c>
      <c r="I4" s="4102" t="str">
        <f>IS!CI8</f>
        <v>1Q18E</v>
      </c>
      <c r="J4" s="4101" t="str">
        <f>IS!CJ8</f>
        <v>2Q18E</v>
      </c>
      <c r="K4" s="4101" t="str">
        <f>IS!CK8</f>
        <v>3Q18E</v>
      </c>
      <c r="L4" s="4103" t="str">
        <f>IS!CL8</f>
        <v>4Q18E</v>
      </c>
      <c r="M4" s="4104"/>
      <c r="N4" s="4105" t="str">
        <f>IS!R8</f>
        <v>2017</v>
      </c>
      <c r="O4" s="4106" t="str">
        <f>IS!S8</f>
        <v>2018E</v>
      </c>
      <c r="P4" s="4106" t="str">
        <f>IS!T8</f>
        <v>2019E</v>
      </c>
      <c r="Q4" s="4106" t="str">
        <f>IS!U8</f>
        <v>2020E</v>
      </c>
      <c r="R4" s="4106" t="str">
        <f>IS!V8</f>
        <v>2021E</v>
      </c>
      <c r="S4" s="4106" t="str">
        <f>IS!W8</f>
        <v>2022E</v>
      </c>
      <c r="T4" s="4107" t="str">
        <f>IS!X8</f>
        <v>2023E</v>
      </c>
    </row>
    <row r="5" spans="1:22">
      <c r="A5" s="3726"/>
      <c r="B5" s="3696"/>
      <c r="C5" s="3696" t="s">
        <v>2058</v>
      </c>
      <c r="D5" s="3860">
        <v>918</v>
      </c>
      <c r="E5" s="3859">
        <v>901</v>
      </c>
      <c r="F5" s="3860">
        <v>893</v>
      </c>
      <c r="G5" s="3860">
        <v>896</v>
      </c>
      <c r="H5" s="3793">
        <v>874</v>
      </c>
      <c r="I5" s="3730">
        <f>+H5*(1+I14)</f>
        <v>865.26</v>
      </c>
      <c r="J5" s="3695">
        <f t="shared" ref="J5:L5" si="0">+I5*(1+J14)</f>
        <v>856.60739999999998</v>
      </c>
      <c r="K5" s="3695">
        <f t="shared" si="0"/>
        <v>848.04132600000003</v>
      </c>
      <c r="L5" s="3731">
        <f t="shared" si="0"/>
        <v>839.56091274000005</v>
      </c>
      <c r="M5" s="4108"/>
      <c r="N5" s="3698">
        <f>+SUM(E5:H5)</f>
        <v>3564</v>
      </c>
      <c r="O5" s="3695">
        <f>+SUM(I5:L5)</f>
        <v>3409.4696387399999</v>
      </c>
      <c r="P5" s="3695">
        <f t="shared" ref="P5:T10" si="1">+O5*(1+P14)</f>
        <v>3268.4584503576893</v>
      </c>
      <c r="Q5" s="3695">
        <f t="shared" si="1"/>
        <v>3139.8162165112317</v>
      </c>
      <c r="R5" s="3695">
        <f t="shared" si="1"/>
        <v>3022.5168045433275</v>
      </c>
      <c r="S5" s="3695">
        <f t="shared" si="1"/>
        <v>2915.6445782275691</v>
      </c>
      <c r="T5" s="3731">
        <f t="shared" si="1"/>
        <v>2818.3825026913078</v>
      </c>
    </row>
    <row r="6" spans="1:22">
      <c r="A6" s="3726"/>
      <c r="B6" s="3696"/>
      <c r="C6" s="3696" t="s">
        <v>1676</v>
      </c>
      <c r="D6" s="3860">
        <v>1263</v>
      </c>
      <c r="E6" s="3859">
        <v>1292</v>
      </c>
      <c r="F6" s="3860">
        <v>1296</v>
      </c>
      <c r="G6" s="3860">
        <v>1311</v>
      </c>
      <c r="H6" s="3793">
        <v>1324</v>
      </c>
      <c r="I6" s="3730">
        <f t="shared" ref="I6:L6" si="2">+H6*(1+I15)</f>
        <v>1339.8879999999999</v>
      </c>
      <c r="J6" s="3695">
        <f t="shared" si="2"/>
        <v>1355.9666559999998</v>
      </c>
      <c r="K6" s="3695">
        <f t="shared" si="2"/>
        <v>1372.2382558719999</v>
      </c>
      <c r="L6" s="3731">
        <f t="shared" si="2"/>
        <v>1388.705114942464</v>
      </c>
      <c r="M6" s="4108"/>
      <c r="N6" s="3698">
        <f t="shared" ref="N6:N10" si="3">+SUM(E6:H6)</f>
        <v>5223</v>
      </c>
      <c r="O6" s="3695">
        <f t="shared" ref="O6:O10" si="4">+SUM(I6:L6)</f>
        <v>5456.7980268144638</v>
      </c>
      <c r="P6" s="3695">
        <f t="shared" si="1"/>
        <v>5647.7859577529698</v>
      </c>
      <c r="Q6" s="3695">
        <f t="shared" si="1"/>
        <v>5831.3390013799408</v>
      </c>
      <c r="R6" s="3695">
        <f t="shared" si="1"/>
        <v>6006.279171421339</v>
      </c>
      <c r="S6" s="3695">
        <f t="shared" si="1"/>
        <v>6171.4518486354264</v>
      </c>
      <c r="T6" s="3731">
        <f t="shared" si="1"/>
        <v>6325.7381448513115</v>
      </c>
    </row>
    <row r="7" spans="1:22">
      <c r="A7" s="3726"/>
      <c r="B7" s="3696"/>
      <c r="C7" s="3696" t="s">
        <v>2059</v>
      </c>
      <c r="D7" s="3860">
        <v>905</v>
      </c>
      <c r="E7" s="3859">
        <v>891</v>
      </c>
      <c r="F7" s="3860">
        <v>911</v>
      </c>
      <c r="G7" s="3860">
        <v>918</v>
      </c>
      <c r="H7" s="3793">
        <v>941</v>
      </c>
      <c r="I7" s="3730">
        <f t="shared" ref="I7:L7" si="5">+H7*(1+I16)</f>
        <v>955.1149999999999</v>
      </c>
      <c r="J7" s="3695">
        <f t="shared" si="5"/>
        <v>969.44172499999979</v>
      </c>
      <c r="K7" s="3695">
        <f t="shared" si="5"/>
        <v>983.9833508749997</v>
      </c>
      <c r="L7" s="3731">
        <f t="shared" si="5"/>
        <v>998.74310113812464</v>
      </c>
      <c r="M7" s="4108"/>
      <c r="N7" s="3698">
        <f t="shared" si="3"/>
        <v>3661</v>
      </c>
      <c r="O7" s="3695">
        <f t="shared" si="4"/>
        <v>3907.2831770131238</v>
      </c>
      <c r="P7" s="3695">
        <f t="shared" si="1"/>
        <v>4063.574504093649</v>
      </c>
      <c r="Q7" s="3695">
        <f t="shared" si="1"/>
        <v>4185.4817392164587</v>
      </c>
      <c r="R7" s="3695">
        <f t="shared" si="1"/>
        <v>4269.1913740007876</v>
      </c>
      <c r="S7" s="3695">
        <f t="shared" si="1"/>
        <v>4354.5752014808031</v>
      </c>
      <c r="T7" s="3731">
        <f t="shared" si="1"/>
        <v>4441.666705510419</v>
      </c>
    </row>
    <row r="8" spans="1:22">
      <c r="A8" s="3726"/>
      <c r="B8" s="3696"/>
      <c r="C8" s="3696" t="s">
        <v>279</v>
      </c>
      <c r="D8" s="3860">
        <v>1365</v>
      </c>
      <c r="E8" s="3859">
        <v>1345</v>
      </c>
      <c r="F8" s="3860">
        <v>1319</v>
      </c>
      <c r="G8" s="3860">
        <v>1302</v>
      </c>
      <c r="H8" s="3793">
        <v>1276</v>
      </c>
      <c r="I8" s="3730">
        <f t="shared" ref="I8:L8" si="6">+H8*(1+I17)</f>
        <v>1250.48</v>
      </c>
      <c r="J8" s="3695">
        <f t="shared" si="6"/>
        <v>1225.4703999999999</v>
      </c>
      <c r="K8" s="3695">
        <f t="shared" si="6"/>
        <v>1200.9609919999998</v>
      </c>
      <c r="L8" s="3731">
        <f t="shared" si="6"/>
        <v>1176.9417721599998</v>
      </c>
      <c r="M8" s="4108"/>
      <c r="N8" s="3698">
        <f t="shared" si="3"/>
        <v>5242</v>
      </c>
      <c r="O8" s="3695">
        <f t="shared" si="4"/>
        <v>4853.8531641599993</v>
      </c>
      <c r="P8" s="3695">
        <f t="shared" si="1"/>
        <v>4499.30073207031</v>
      </c>
      <c r="Q8" s="3695">
        <f t="shared" si="1"/>
        <v>4175.1460823620564</v>
      </c>
      <c r="R8" s="3695">
        <f t="shared" si="1"/>
        <v>3878.5204826391678</v>
      </c>
      <c r="S8" s="3695">
        <f t="shared" si="1"/>
        <v>3606.8473358255378</v>
      </c>
      <c r="T8" s="3731">
        <f t="shared" si="1"/>
        <v>3357.8105345881031</v>
      </c>
    </row>
    <row r="9" spans="1:22">
      <c r="A9" s="3726"/>
      <c r="B9" s="3696"/>
      <c r="C9" s="3696" t="s">
        <v>277</v>
      </c>
      <c r="D9" s="3860">
        <v>1485</v>
      </c>
      <c r="E9" s="3859">
        <v>1447</v>
      </c>
      <c r="F9" s="3860">
        <v>1436</v>
      </c>
      <c r="G9" s="3860">
        <v>1420</v>
      </c>
      <c r="H9" s="3793">
        <v>1401</v>
      </c>
      <c r="I9" s="3730">
        <f t="shared" ref="I9:L9" si="7">+H9*(1+I18)</f>
        <v>1382.787</v>
      </c>
      <c r="J9" s="3695">
        <f t="shared" si="7"/>
        <v>1366.1935559999999</v>
      </c>
      <c r="K9" s="3695">
        <f t="shared" si="7"/>
        <v>1351.165426884</v>
      </c>
      <c r="L9" s="3731">
        <f t="shared" si="7"/>
        <v>1337.6537726151601</v>
      </c>
      <c r="M9" s="4108"/>
      <c r="N9" s="3698">
        <f t="shared" si="3"/>
        <v>5704</v>
      </c>
      <c r="O9" s="3695">
        <f t="shared" si="4"/>
        <v>5437.7997554991598</v>
      </c>
      <c r="P9" s="3695">
        <f t="shared" si="1"/>
        <v>5329.0437603891769</v>
      </c>
      <c r="Q9" s="3695">
        <f t="shared" si="1"/>
        <v>5275.7533227852855</v>
      </c>
      <c r="R9" s="3695">
        <f t="shared" si="1"/>
        <v>5275.7533227852855</v>
      </c>
      <c r="S9" s="3695">
        <f t="shared" si="1"/>
        <v>5328.5108560131384</v>
      </c>
      <c r="T9" s="3731">
        <f t="shared" si="1"/>
        <v>5381.7959645732699</v>
      </c>
    </row>
    <row r="10" spans="1:22">
      <c r="A10" s="3726"/>
      <c r="B10" s="3696"/>
      <c r="C10" s="3696" t="s">
        <v>2057</v>
      </c>
      <c r="D10" s="3860">
        <v>176</v>
      </c>
      <c r="E10" s="3859">
        <v>174</v>
      </c>
      <c r="F10" s="3860">
        <v>185</v>
      </c>
      <c r="G10" s="3860">
        <v>186</v>
      </c>
      <c r="H10" s="3793">
        <v>189</v>
      </c>
      <c r="I10" s="3730">
        <f t="shared" ref="I10:L10" si="8">+H10*(1+I19)</f>
        <v>190.89000000000001</v>
      </c>
      <c r="J10" s="3695">
        <f t="shared" si="8"/>
        <v>192.7989</v>
      </c>
      <c r="K10" s="3695">
        <f t="shared" si="8"/>
        <v>194.726889</v>
      </c>
      <c r="L10" s="3731">
        <f t="shared" si="8"/>
        <v>196.67415789</v>
      </c>
      <c r="M10" s="4108"/>
      <c r="N10" s="3698">
        <f t="shared" si="3"/>
        <v>734</v>
      </c>
      <c r="O10" s="3695">
        <f t="shared" si="4"/>
        <v>775.08994688999996</v>
      </c>
      <c r="P10" s="3695">
        <f t="shared" si="1"/>
        <v>778.96539662444991</v>
      </c>
      <c r="Q10" s="3695">
        <f t="shared" si="1"/>
        <v>782.86022360757204</v>
      </c>
      <c r="R10" s="3695">
        <f t="shared" si="1"/>
        <v>786.77452472560981</v>
      </c>
      <c r="S10" s="3695">
        <f t="shared" si="1"/>
        <v>790.70839734923777</v>
      </c>
      <c r="T10" s="3731">
        <f t="shared" si="1"/>
        <v>794.6619393359839</v>
      </c>
    </row>
    <row r="11" spans="1:22">
      <c r="A11" s="2581"/>
      <c r="B11" s="115"/>
      <c r="C11" s="289" t="s">
        <v>1143</v>
      </c>
      <c r="D11" s="3832">
        <f>SUM(D5:D10)</f>
        <v>6112</v>
      </c>
      <c r="E11" s="3855">
        <f>SUM(E5:E10)</f>
        <v>6050</v>
      </c>
      <c r="F11" s="3832">
        <f>SUM(F5:F10)</f>
        <v>6040</v>
      </c>
      <c r="G11" s="3832">
        <f>SUM(G5:G10)</f>
        <v>6033</v>
      </c>
      <c r="H11" s="3848">
        <f>SUM(H5:H10)</f>
        <v>6005</v>
      </c>
      <c r="I11" s="3855">
        <f t="shared" ref="I11" si="9">SUM(I5:I10)</f>
        <v>5984.420000000001</v>
      </c>
      <c r="J11" s="3832">
        <f t="shared" ref="J11:L11" si="10">SUM(J5:J10)</f>
        <v>5966.4786369999993</v>
      </c>
      <c r="K11" s="3832">
        <f t="shared" si="10"/>
        <v>5951.1162406309986</v>
      </c>
      <c r="L11" s="3848">
        <f t="shared" si="10"/>
        <v>5938.278831485748</v>
      </c>
      <c r="M11" s="4108"/>
      <c r="N11" s="3855">
        <f t="shared" ref="N11:O11" si="11">SUM(N5:N10)</f>
        <v>24128</v>
      </c>
      <c r="O11" s="3832">
        <f t="shared" si="11"/>
        <v>23840.293709116744</v>
      </c>
      <c r="P11" s="3832">
        <f t="shared" ref="P11:T11" si="12">SUM(P5:P10)</f>
        <v>23587.128801288247</v>
      </c>
      <c r="Q11" s="3832">
        <f t="shared" si="12"/>
        <v>23390.396585862542</v>
      </c>
      <c r="R11" s="3832">
        <f t="shared" si="12"/>
        <v>23239.035680115514</v>
      </c>
      <c r="S11" s="3832">
        <f t="shared" si="12"/>
        <v>23167.738217531711</v>
      </c>
      <c r="T11" s="3848">
        <f t="shared" si="12"/>
        <v>23120.055791550392</v>
      </c>
      <c r="V11" s="4098"/>
    </row>
    <row r="12" spans="1:22">
      <c r="A12" s="2581"/>
      <c r="B12" s="115"/>
      <c r="C12" s="115"/>
      <c r="D12" s="3734"/>
      <c r="E12" s="3732"/>
      <c r="F12" s="3734"/>
      <c r="G12" s="3734"/>
      <c r="H12" s="3735"/>
      <c r="I12" s="3732"/>
      <c r="J12" s="3734"/>
      <c r="K12" s="3734"/>
      <c r="L12" s="3735"/>
      <c r="M12" s="4108"/>
      <c r="N12" s="3732"/>
      <c r="O12" s="3734"/>
      <c r="P12" s="3734"/>
      <c r="Q12" s="3734"/>
      <c r="R12" s="3734"/>
      <c r="S12" s="3734"/>
      <c r="T12" s="3735"/>
    </row>
    <row r="13" spans="1:22">
      <c r="A13" s="4109" t="s">
        <v>2070</v>
      </c>
      <c r="B13" s="4110"/>
      <c r="C13" s="4110"/>
      <c r="D13" s="3862" t="str">
        <f>+D4</f>
        <v>4Q16</v>
      </c>
      <c r="E13" s="3861" t="str">
        <f t="shared" ref="E13:T13" si="13">+E4</f>
        <v>1Q17</v>
      </c>
      <c r="F13" s="3862" t="str">
        <f t="shared" si="13"/>
        <v>2Q17</v>
      </c>
      <c r="G13" s="3862" t="str">
        <f t="shared" si="13"/>
        <v>3Q17</v>
      </c>
      <c r="H13" s="3863" t="str">
        <f t="shared" si="13"/>
        <v>4Q17</v>
      </c>
      <c r="I13" s="3861" t="str">
        <f t="shared" si="13"/>
        <v>1Q18E</v>
      </c>
      <c r="J13" s="3862" t="str">
        <f t="shared" si="13"/>
        <v>2Q18E</v>
      </c>
      <c r="K13" s="3862" t="str">
        <f t="shared" si="13"/>
        <v>3Q18E</v>
      </c>
      <c r="L13" s="3863" t="str">
        <f t="shared" si="13"/>
        <v>4Q18E</v>
      </c>
      <c r="M13" s="4108"/>
      <c r="N13" s="3864" t="str">
        <f t="shared" si="13"/>
        <v>2017</v>
      </c>
      <c r="O13" s="4111" t="str">
        <f t="shared" si="13"/>
        <v>2018E</v>
      </c>
      <c r="P13" s="4111" t="str">
        <f t="shared" si="13"/>
        <v>2019E</v>
      </c>
      <c r="Q13" s="4111" t="str">
        <f t="shared" si="13"/>
        <v>2020E</v>
      </c>
      <c r="R13" s="4111" t="str">
        <f t="shared" si="13"/>
        <v>2021E</v>
      </c>
      <c r="S13" s="4111" t="str">
        <f t="shared" si="13"/>
        <v>2022E</v>
      </c>
      <c r="T13" s="4112" t="str">
        <f t="shared" si="13"/>
        <v>2023E</v>
      </c>
    </row>
    <row r="14" spans="1:22">
      <c r="A14" s="3726"/>
      <c r="B14" s="3696"/>
      <c r="C14" s="3696" t="str">
        <f t="shared" ref="C14:C20" si="14">+C5</f>
        <v>SMB</v>
      </c>
      <c r="D14" s="3722"/>
      <c r="E14" s="3721">
        <f t="shared" ref="E14:H19" si="15">+E5/D5-1</f>
        <v>-1.851851851851849E-2</v>
      </c>
      <c r="F14" s="3722">
        <f t="shared" si="15"/>
        <v>-8.8790233074361735E-3</v>
      </c>
      <c r="G14" s="3722">
        <f t="shared" si="15"/>
        <v>3.3594624860022737E-3</v>
      </c>
      <c r="H14" s="3723">
        <f t="shared" si="15"/>
        <v>-2.4553571428571397E-2</v>
      </c>
      <c r="I14" s="3795">
        <v>-0.01</v>
      </c>
      <c r="J14" s="3796">
        <v>-0.01</v>
      </c>
      <c r="K14" s="3796">
        <v>-0.01</v>
      </c>
      <c r="L14" s="3794">
        <v>-0.01</v>
      </c>
      <c r="M14" s="4108"/>
      <c r="N14" s="3721"/>
      <c r="O14" s="3722">
        <f t="shared" ref="O14:O19" si="16">+O5/N5-1</f>
        <v>-4.3358687222222247E-2</v>
      </c>
      <c r="P14" s="3796">
        <f>+O14+0.2%</f>
        <v>-4.1358687222222246E-2</v>
      </c>
      <c r="Q14" s="3796">
        <f t="shared" ref="Q14:T14" si="17">+P14+0.2%</f>
        <v>-3.9358687222222244E-2</v>
      </c>
      <c r="R14" s="3796">
        <f t="shared" si="17"/>
        <v>-3.7358687222222242E-2</v>
      </c>
      <c r="S14" s="3796">
        <f t="shared" si="17"/>
        <v>-3.535868722222224E-2</v>
      </c>
      <c r="T14" s="3794">
        <f t="shared" si="17"/>
        <v>-3.3358687222222239E-2</v>
      </c>
    </row>
    <row r="15" spans="1:22">
      <c r="A15" s="3726"/>
      <c r="B15" s="3696"/>
      <c r="C15" s="3696" t="str">
        <f t="shared" si="14"/>
        <v>Enterprise</v>
      </c>
      <c r="D15" s="3722"/>
      <c r="E15" s="3721">
        <f t="shared" si="15"/>
        <v>2.2961203483768733E-2</v>
      </c>
      <c r="F15" s="3722">
        <f t="shared" si="15"/>
        <v>3.0959752321981782E-3</v>
      </c>
      <c r="G15" s="3722">
        <f t="shared" si="15"/>
        <v>1.1574074074074181E-2</v>
      </c>
      <c r="H15" s="3723">
        <f t="shared" si="15"/>
        <v>9.9160945842868831E-3</v>
      </c>
      <c r="I15" s="3795">
        <v>1.2E-2</v>
      </c>
      <c r="J15" s="3796">
        <v>1.2E-2</v>
      </c>
      <c r="K15" s="3796">
        <v>1.2E-2</v>
      </c>
      <c r="L15" s="3794">
        <v>1.2E-2</v>
      </c>
      <c r="M15" s="4108"/>
      <c r="N15" s="3721"/>
      <c r="O15" s="3722">
        <f t="shared" si="16"/>
        <v>4.4763168067100123E-2</v>
      </c>
      <c r="P15" s="3796">
        <v>3.5000000000000003E-2</v>
      </c>
      <c r="Q15" s="3796">
        <f>+P15-0.25%</f>
        <v>3.2500000000000001E-2</v>
      </c>
      <c r="R15" s="3796">
        <f t="shared" ref="R15:T15" si="18">+Q15-0.25%</f>
        <v>3.0000000000000002E-2</v>
      </c>
      <c r="S15" s="3796">
        <f t="shared" si="18"/>
        <v>2.7500000000000004E-2</v>
      </c>
      <c r="T15" s="3794">
        <f t="shared" si="18"/>
        <v>2.5000000000000005E-2</v>
      </c>
    </row>
    <row r="16" spans="1:22">
      <c r="A16" s="3726"/>
      <c r="B16" s="3696"/>
      <c r="C16" s="3696" t="str">
        <f t="shared" si="14"/>
        <v>International</v>
      </c>
      <c r="D16" s="3722"/>
      <c r="E16" s="3721">
        <f t="shared" si="15"/>
        <v>-1.5469613259668558E-2</v>
      </c>
      <c r="F16" s="3722">
        <f t="shared" si="15"/>
        <v>2.2446689113355678E-2</v>
      </c>
      <c r="G16" s="3722">
        <f t="shared" si="15"/>
        <v>7.6838638858396369E-3</v>
      </c>
      <c r="H16" s="3723">
        <f t="shared" si="15"/>
        <v>2.5054466230936878E-2</v>
      </c>
      <c r="I16" s="3795">
        <v>1.4999999999999999E-2</v>
      </c>
      <c r="J16" s="3796">
        <v>1.4999999999999999E-2</v>
      </c>
      <c r="K16" s="3796">
        <v>1.4999999999999999E-2</v>
      </c>
      <c r="L16" s="3794">
        <v>1.4999999999999999E-2</v>
      </c>
      <c r="M16" s="4108"/>
      <c r="N16" s="3721"/>
      <c r="O16" s="3722">
        <f t="shared" si="16"/>
        <v>6.7272105166108709E-2</v>
      </c>
      <c r="P16" s="3796">
        <v>0.04</v>
      </c>
      <c r="Q16" s="3796">
        <v>0.03</v>
      </c>
      <c r="R16" s="3796">
        <v>0.02</v>
      </c>
      <c r="S16" s="3796">
        <v>0.02</v>
      </c>
      <c r="T16" s="3794">
        <v>0.02</v>
      </c>
    </row>
    <row r="17" spans="1:20">
      <c r="A17" s="3726"/>
      <c r="B17" s="3696"/>
      <c r="C17" s="3696" t="str">
        <f t="shared" si="14"/>
        <v>Wholesale</v>
      </c>
      <c r="D17" s="3722"/>
      <c r="E17" s="3721">
        <f t="shared" si="15"/>
        <v>-1.46520146520146E-2</v>
      </c>
      <c r="F17" s="3722">
        <f t="shared" si="15"/>
        <v>-1.9330855018587334E-2</v>
      </c>
      <c r="G17" s="3722">
        <f t="shared" si="15"/>
        <v>-1.2888551933282755E-2</v>
      </c>
      <c r="H17" s="3723">
        <f t="shared" si="15"/>
        <v>-1.9969278033794113E-2</v>
      </c>
      <c r="I17" s="3795">
        <v>-0.02</v>
      </c>
      <c r="J17" s="3796">
        <v>-0.02</v>
      </c>
      <c r="K17" s="3796">
        <v>-0.02</v>
      </c>
      <c r="L17" s="3794">
        <v>-0.02</v>
      </c>
      <c r="M17" s="4108"/>
      <c r="N17" s="3721"/>
      <c r="O17" s="3722">
        <f t="shared" si="16"/>
        <v>-7.4045561968714368E-2</v>
      </c>
      <c r="P17" s="3796">
        <f>+O17+0.1%</f>
        <v>-7.3045561968714368E-2</v>
      </c>
      <c r="Q17" s="3796">
        <f t="shared" ref="Q17:T17" si="19">+P17+0.1%</f>
        <v>-7.2045561968714367E-2</v>
      </c>
      <c r="R17" s="3796">
        <f t="shared" si="19"/>
        <v>-7.1045561968714366E-2</v>
      </c>
      <c r="S17" s="3796">
        <f t="shared" si="19"/>
        <v>-7.0045561968714365E-2</v>
      </c>
      <c r="T17" s="3794">
        <f t="shared" si="19"/>
        <v>-6.9045561968714364E-2</v>
      </c>
    </row>
    <row r="18" spans="1:20">
      <c r="A18" s="3726"/>
      <c r="B18" s="3696"/>
      <c r="C18" s="3696" t="str">
        <f t="shared" si="14"/>
        <v>Consumer</v>
      </c>
      <c r="D18" s="3722"/>
      <c r="E18" s="3721">
        <f t="shared" si="15"/>
        <v>-2.5589225589225606E-2</v>
      </c>
      <c r="F18" s="3722">
        <f t="shared" si="15"/>
        <v>-7.6019350380096551E-3</v>
      </c>
      <c r="G18" s="3722">
        <f t="shared" si="15"/>
        <v>-1.1142061281337101E-2</v>
      </c>
      <c r="H18" s="3723">
        <f t="shared" si="15"/>
        <v>-1.3380281690140827E-2</v>
      </c>
      <c r="I18" s="3795">
        <v>-1.2999999999999999E-2</v>
      </c>
      <c r="J18" s="3796">
        <f>+I18+0.1%</f>
        <v>-1.2E-2</v>
      </c>
      <c r="K18" s="3796">
        <f t="shared" ref="K18:L18" si="20">+J18+0.1%</f>
        <v>-1.0999999999999999E-2</v>
      </c>
      <c r="L18" s="3794">
        <f t="shared" si="20"/>
        <v>-9.9999999999999985E-3</v>
      </c>
      <c r="M18" s="4108"/>
      <c r="N18" s="3721"/>
      <c r="O18" s="3722">
        <f t="shared" si="16"/>
        <v>-4.666904707237729E-2</v>
      </c>
      <c r="P18" s="3796">
        <v>-0.02</v>
      </c>
      <c r="Q18" s="3796">
        <v>-0.01</v>
      </c>
      <c r="R18" s="3796">
        <v>0</v>
      </c>
      <c r="S18" s="3796">
        <v>0.01</v>
      </c>
      <c r="T18" s="3794">
        <v>0.01</v>
      </c>
    </row>
    <row r="19" spans="1:20">
      <c r="A19" s="3726"/>
      <c r="B19" s="3696"/>
      <c r="C19" s="3696" t="str">
        <f t="shared" si="14"/>
        <v>Regulatory</v>
      </c>
      <c r="D19" s="3722"/>
      <c r="E19" s="3721">
        <f t="shared" si="15"/>
        <v>-1.1363636363636354E-2</v>
      </c>
      <c r="F19" s="3722">
        <f t="shared" si="15"/>
        <v>6.321839080459779E-2</v>
      </c>
      <c r="G19" s="3722">
        <f t="shared" si="15"/>
        <v>5.4054054054053502E-3</v>
      </c>
      <c r="H19" s="3723">
        <f t="shared" si="15"/>
        <v>1.6129032258064502E-2</v>
      </c>
      <c r="I19" s="3795">
        <v>0.01</v>
      </c>
      <c r="J19" s="3796">
        <v>0.01</v>
      </c>
      <c r="K19" s="3796">
        <v>0.01</v>
      </c>
      <c r="L19" s="3794">
        <v>0.01</v>
      </c>
      <c r="M19" s="4108"/>
      <c r="N19" s="3721"/>
      <c r="O19" s="3722">
        <f t="shared" si="16"/>
        <v>5.5980854073569342E-2</v>
      </c>
      <c r="P19" s="3796">
        <v>5.0000000000000001E-3</v>
      </c>
      <c r="Q19" s="3796">
        <v>5.0000000000000001E-3</v>
      </c>
      <c r="R19" s="3796">
        <v>5.0000000000000001E-3</v>
      </c>
      <c r="S19" s="3796">
        <v>5.0000000000000001E-3</v>
      </c>
      <c r="T19" s="3794">
        <v>5.0000000000000001E-3</v>
      </c>
    </row>
    <row r="20" spans="1:20">
      <c r="A20" s="3726"/>
      <c r="B20" s="3696"/>
      <c r="C20" s="289" t="str">
        <f t="shared" si="14"/>
        <v>Total</v>
      </c>
      <c r="D20" s="3865"/>
      <c r="E20" s="3866">
        <f>+E11/D11-1</f>
        <v>-1.0143979057591568E-2</v>
      </c>
      <c r="F20" s="3865">
        <f>+F11/E11-1</f>
        <v>-1.6528925619834212E-3</v>
      </c>
      <c r="G20" s="3865">
        <f t="shared" ref="G20:L20" si="21">+G11/F11-1</f>
        <v>-1.1589403973509826E-3</v>
      </c>
      <c r="H20" s="3867">
        <f t="shared" si="21"/>
        <v>-4.6411403944969232E-3</v>
      </c>
      <c r="I20" s="3866">
        <f t="shared" si="21"/>
        <v>-3.4271440466276948E-3</v>
      </c>
      <c r="J20" s="3865">
        <f t="shared" si="21"/>
        <v>-2.9980120045053349E-3</v>
      </c>
      <c r="K20" s="3865">
        <f t="shared" si="21"/>
        <v>-2.574784442155531E-3</v>
      </c>
      <c r="L20" s="3867">
        <f t="shared" si="21"/>
        <v>-2.15714306798509E-3</v>
      </c>
      <c r="M20" s="4108"/>
      <c r="N20" s="3866"/>
      <c r="O20" s="3865">
        <f t="shared" ref="O20" si="22">+O11/N11-1</f>
        <v>-1.192416656512163E-2</v>
      </c>
      <c r="P20" s="3865">
        <f>+P11/O11-1</f>
        <v>-1.0619202553351248E-2</v>
      </c>
      <c r="Q20" s="3865">
        <f>+Q11/P11-1</f>
        <v>-8.3406597336662669E-3</v>
      </c>
      <c r="R20" s="3865">
        <f>+R11/Q11-1</f>
        <v>-6.4710705178258054E-3</v>
      </c>
      <c r="S20" s="3865">
        <f>+S11/R11-1</f>
        <v>-3.0680043511791544E-3</v>
      </c>
      <c r="T20" s="3867">
        <f>+T11/S11-1</f>
        <v>-2.0581390178707748E-3</v>
      </c>
    </row>
    <row r="21" spans="1:20">
      <c r="A21" s="3726"/>
      <c r="B21" s="3696"/>
      <c r="C21" s="115"/>
      <c r="D21" s="3849"/>
      <c r="E21" s="3856"/>
      <c r="F21" s="3849"/>
      <c r="G21" s="3849"/>
      <c r="H21" s="3850"/>
      <c r="I21" s="3856"/>
      <c r="J21" s="3849"/>
      <c r="K21" s="3849"/>
      <c r="L21" s="3850"/>
      <c r="M21" s="4108"/>
      <c r="N21" s="3856"/>
      <c r="O21" s="3849"/>
      <c r="P21" s="3849"/>
      <c r="Q21" s="3849"/>
      <c r="R21" s="3849"/>
      <c r="S21" s="3849"/>
      <c r="T21" s="3850"/>
    </row>
    <row r="22" spans="1:20">
      <c r="A22" s="4109" t="s">
        <v>2069</v>
      </c>
      <c r="B22" s="4110"/>
      <c r="C22" s="4110"/>
      <c r="D22" s="3862" t="str">
        <f>+D$4</f>
        <v>4Q16</v>
      </c>
      <c r="E22" s="3861" t="str">
        <f t="shared" ref="E22:T22" si="23">+E$4</f>
        <v>1Q17</v>
      </c>
      <c r="F22" s="3862" t="str">
        <f t="shared" si="23"/>
        <v>2Q17</v>
      </c>
      <c r="G22" s="3862" t="str">
        <f t="shared" si="23"/>
        <v>3Q17</v>
      </c>
      <c r="H22" s="3863" t="str">
        <f t="shared" si="23"/>
        <v>4Q17</v>
      </c>
      <c r="I22" s="3861" t="str">
        <f t="shared" si="23"/>
        <v>1Q18E</v>
      </c>
      <c r="J22" s="3862" t="str">
        <f t="shared" si="23"/>
        <v>2Q18E</v>
      </c>
      <c r="K22" s="3862" t="str">
        <f t="shared" si="23"/>
        <v>3Q18E</v>
      </c>
      <c r="L22" s="3863" t="str">
        <f t="shared" si="23"/>
        <v>4Q18E</v>
      </c>
      <c r="M22" s="4108"/>
      <c r="N22" s="3864" t="str">
        <f t="shared" si="23"/>
        <v>2017</v>
      </c>
      <c r="O22" s="4111" t="str">
        <f t="shared" si="23"/>
        <v>2018E</v>
      </c>
      <c r="P22" s="4111" t="str">
        <f t="shared" si="23"/>
        <v>2019E</v>
      </c>
      <c r="Q22" s="4111" t="str">
        <f t="shared" si="23"/>
        <v>2020E</v>
      </c>
      <c r="R22" s="4111" t="str">
        <f t="shared" si="23"/>
        <v>2021E</v>
      </c>
      <c r="S22" s="4111" t="str">
        <f t="shared" si="23"/>
        <v>2022E</v>
      </c>
      <c r="T22" s="4112" t="str">
        <f t="shared" si="23"/>
        <v>2023E</v>
      </c>
    </row>
    <row r="23" spans="1:20">
      <c r="A23" s="3726"/>
      <c r="B23" s="3696"/>
      <c r="C23" s="3696" t="str">
        <f t="shared" ref="C23:C29" si="24">+C14</f>
        <v>SMB</v>
      </c>
      <c r="D23" s="3722"/>
      <c r="E23" s="3857">
        <f>+E5/E$11</f>
        <v>0.14892561983471075</v>
      </c>
      <c r="F23" s="3851">
        <f t="shared" ref="F23:T23" si="25">+F5/F$11</f>
        <v>0.14784768211920529</v>
      </c>
      <c r="G23" s="3851">
        <f t="shared" si="25"/>
        <v>0.14851649262390187</v>
      </c>
      <c r="H23" s="3852">
        <f t="shared" si="25"/>
        <v>0.14554537885095753</v>
      </c>
      <c r="I23" s="3857">
        <f t="shared" si="25"/>
        <v>0.14458544019303454</v>
      </c>
      <c r="J23" s="3851">
        <f t="shared" si="25"/>
        <v>0.14357001040578771</v>
      </c>
      <c r="K23" s="3851">
        <f t="shared" si="25"/>
        <v>0.14250122022655737</v>
      </c>
      <c r="L23" s="3852">
        <f t="shared" si="25"/>
        <v>0.14138118747279221</v>
      </c>
      <c r="M23" s="4108"/>
      <c r="N23" s="3857">
        <f t="shared" si="25"/>
        <v>0.14771220159151194</v>
      </c>
      <c r="O23" s="3851">
        <f t="shared" si="25"/>
        <v>0.14301290413365117</v>
      </c>
      <c r="P23" s="3851">
        <f t="shared" si="25"/>
        <v>0.13856957656411226</v>
      </c>
      <c r="Q23" s="3851">
        <f t="shared" si="25"/>
        <v>0.13423527065842814</v>
      </c>
      <c r="R23" s="3851">
        <f t="shared" si="25"/>
        <v>0.1300620579161787</v>
      </c>
      <c r="S23" s="3851">
        <f t="shared" si="25"/>
        <v>0.1258493406154432</v>
      </c>
      <c r="T23" s="3852">
        <f t="shared" si="25"/>
        <v>0.1219020632173964</v>
      </c>
    </row>
    <row r="24" spans="1:20">
      <c r="A24" s="3726"/>
      <c r="B24" s="3696"/>
      <c r="C24" s="3696" t="str">
        <f t="shared" si="24"/>
        <v>Enterprise</v>
      </c>
      <c r="D24" s="3722"/>
      <c r="E24" s="3857">
        <f t="shared" ref="E24:T24" si="26">+E6/E$11</f>
        <v>0.21355371900826448</v>
      </c>
      <c r="F24" s="3851">
        <f t="shared" si="26"/>
        <v>0.21456953642384105</v>
      </c>
      <c r="G24" s="3851">
        <f t="shared" si="26"/>
        <v>0.21730482347090999</v>
      </c>
      <c r="H24" s="3852">
        <f t="shared" si="26"/>
        <v>0.22048293089092422</v>
      </c>
      <c r="I24" s="3857">
        <f t="shared" si="26"/>
        <v>0.2238960500766991</v>
      </c>
      <c r="J24" s="3851">
        <f t="shared" si="26"/>
        <v>0.22726414330744885</v>
      </c>
      <c r="K24" s="3851">
        <f t="shared" si="26"/>
        <v>0.23058501974858098</v>
      </c>
      <c r="L24" s="3852">
        <f t="shared" si="26"/>
        <v>0.23385650191757873</v>
      </c>
      <c r="M24" s="4108"/>
      <c r="N24" s="3857">
        <f t="shared" si="26"/>
        <v>0.21647049071618038</v>
      </c>
      <c r="O24" s="3851">
        <f t="shared" si="26"/>
        <v>0.22888971475748787</v>
      </c>
      <c r="P24" s="3851">
        <f t="shared" si="26"/>
        <v>0.23944355437803466</v>
      </c>
      <c r="Q24" s="3851">
        <f t="shared" si="26"/>
        <v>0.24930483670826162</v>
      </c>
      <c r="R24" s="3851">
        <f t="shared" si="26"/>
        <v>0.25845647186473458</v>
      </c>
      <c r="S24" s="3851">
        <f t="shared" si="26"/>
        <v>0.26638128377872067</v>
      </c>
      <c r="T24" s="3852">
        <f t="shared" si="26"/>
        <v>0.27360393079860806</v>
      </c>
    </row>
    <row r="25" spans="1:20">
      <c r="A25" s="3726"/>
      <c r="B25" s="3696"/>
      <c r="C25" s="3696" t="str">
        <f t="shared" si="24"/>
        <v>International</v>
      </c>
      <c r="D25" s="3722"/>
      <c r="E25" s="3857">
        <f t="shared" ref="E25:T25" si="27">+E7/E$11</f>
        <v>0.14727272727272728</v>
      </c>
      <c r="F25" s="3851">
        <f t="shared" si="27"/>
        <v>0.15082781456953642</v>
      </c>
      <c r="G25" s="3851">
        <f t="shared" si="27"/>
        <v>0.15216310293386376</v>
      </c>
      <c r="H25" s="3852">
        <f t="shared" si="27"/>
        <v>0.15670274771024145</v>
      </c>
      <c r="I25" s="3857">
        <f t="shared" si="27"/>
        <v>0.15960026201369551</v>
      </c>
      <c r="J25" s="3851">
        <f t="shared" si="27"/>
        <v>0.16248138709291415</v>
      </c>
      <c r="K25" s="3851">
        <f t="shared" si="27"/>
        <v>0.16534433391787817</v>
      </c>
      <c r="L25" s="3852">
        <f t="shared" si="27"/>
        <v>0.168187303001439</v>
      </c>
      <c r="M25" s="4108"/>
      <c r="N25" s="3857">
        <f t="shared" si="27"/>
        <v>0.15173242705570292</v>
      </c>
      <c r="O25" s="3851">
        <f t="shared" si="27"/>
        <v>0.16389408724100338</v>
      </c>
      <c r="P25" s="3851">
        <f t="shared" si="27"/>
        <v>0.17227931972253066</v>
      </c>
      <c r="Q25" s="3851">
        <f t="shared" si="27"/>
        <v>0.17894017845538446</v>
      </c>
      <c r="R25" s="3851">
        <f t="shared" si="27"/>
        <v>0.18370776794554011</v>
      </c>
      <c r="S25" s="3851">
        <f t="shared" si="27"/>
        <v>0.18795858104895055</v>
      </c>
      <c r="T25" s="3852">
        <f t="shared" si="27"/>
        <v>0.19211314823616038</v>
      </c>
    </row>
    <row r="26" spans="1:20">
      <c r="A26" s="3726"/>
      <c r="B26" s="3696"/>
      <c r="C26" s="3696" t="str">
        <f t="shared" si="24"/>
        <v>Wholesale</v>
      </c>
      <c r="D26" s="3722"/>
      <c r="E26" s="3857">
        <f t="shared" ref="E26:T26" si="28">+E8/E$11</f>
        <v>0.22231404958677686</v>
      </c>
      <c r="F26" s="3851">
        <f t="shared" si="28"/>
        <v>0.21837748344370861</v>
      </c>
      <c r="G26" s="3851">
        <f t="shared" si="28"/>
        <v>0.2158130283441074</v>
      </c>
      <c r="H26" s="3852">
        <f t="shared" si="28"/>
        <v>0.21248959200666112</v>
      </c>
      <c r="I26" s="3857">
        <f t="shared" si="28"/>
        <v>0.2089559222113421</v>
      </c>
      <c r="J26" s="3851">
        <f t="shared" si="28"/>
        <v>0.20539257316710646</v>
      </c>
      <c r="K26" s="3851">
        <f t="shared" si="28"/>
        <v>0.2018043243384306</v>
      </c>
      <c r="L26" s="3852">
        <f t="shared" si="28"/>
        <v>0.19819577449271286</v>
      </c>
      <c r="M26" s="4108"/>
      <c r="N26" s="3857">
        <f t="shared" si="28"/>
        <v>0.21725795755968169</v>
      </c>
      <c r="O26" s="3851">
        <f t="shared" si="28"/>
        <v>0.2035987149899853</v>
      </c>
      <c r="P26" s="3851">
        <f t="shared" si="28"/>
        <v>0.1907523704972762</v>
      </c>
      <c r="Q26" s="3851">
        <f t="shared" si="28"/>
        <v>0.17849830237104952</v>
      </c>
      <c r="R26" s="3851">
        <f t="shared" si="28"/>
        <v>0.16689679107286817</v>
      </c>
      <c r="S26" s="3851">
        <f t="shared" si="28"/>
        <v>0.15568405089695506</v>
      </c>
      <c r="T26" s="3852">
        <f t="shared" si="28"/>
        <v>0.14523366919448658</v>
      </c>
    </row>
    <row r="27" spans="1:20">
      <c r="A27" s="3726"/>
      <c r="B27" s="3696"/>
      <c r="C27" s="3696" t="str">
        <f t="shared" si="24"/>
        <v>Consumer</v>
      </c>
      <c r="D27" s="3722"/>
      <c r="E27" s="3857">
        <f t="shared" ref="E27:T27" si="29">+E9/E$11</f>
        <v>0.23917355371900825</v>
      </c>
      <c r="F27" s="3851">
        <f t="shared" si="29"/>
        <v>0.23774834437086093</v>
      </c>
      <c r="G27" s="3851">
        <f t="shared" si="29"/>
        <v>0.23537212000663021</v>
      </c>
      <c r="H27" s="3852">
        <f t="shared" si="29"/>
        <v>0.23330557868442964</v>
      </c>
      <c r="I27" s="3857">
        <f t="shared" si="29"/>
        <v>0.23106449747845234</v>
      </c>
      <c r="J27" s="3851">
        <f t="shared" si="29"/>
        <v>0.22897820290980456</v>
      </c>
      <c r="K27" s="3851">
        <f t="shared" si="29"/>
        <v>0.22704403211938196</v>
      </c>
      <c r="L27" s="3852">
        <f t="shared" si="29"/>
        <v>0.22525950878606371</v>
      </c>
      <c r="M27" s="4108"/>
      <c r="N27" s="3857">
        <f t="shared" si="29"/>
        <v>0.23640583554376657</v>
      </c>
      <c r="O27" s="3851">
        <f t="shared" si="29"/>
        <v>0.22809281722144623</v>
      </c>
      <c r="P27" s="3851">
        <f t="shared" si="29"/>
        <v>0.22593015899833147</v>
      </c>
      <c r="Q27" s="3851">
        <f t="shared" si="29"/>
        <v>0.22555211081688195</v>
      </c>
      <c r="R27" s="3851">
        <f t="shared" si="29"/>
        <v>0.22702118088744469</v>
      </c>
      <c r="S27" s="3851">
        <f t="shared" si="29"/>
        <v>0.22999702456845345</v>
      </c>
      <c r="T27" s="3852">
        <f t="shared" si="29"/>
        <v>0.23277608034752825</v>
      </c>
    </row>
    <row r="28" spans="1:20">
      <c r="A28" s="3726"/>
      <c r="B28" s="3696"/>
      <c r="C28" s="3696" t="str">
        <f t="shared" si="24"/>
        <v>Regulatory</v>
      </c>
      <c r="D28" s="3722"/>
      <c r="E28" s="3857">
        <f t="shared" ref="E28:T28" si="30">+E10/E$11</f>
        <v>2.8760330578512398E-2</v>
      </c>
      <c r="F28" s="3851">
        <f t="shared" si="30"/>
        <v>3.0629139072847682E-2</v>
      </c>
      <c r="G28" s="3851">
        <f t="shared" si="30"/>
        <v>3.0830432620586774E-2</v>
      </c>
      <c r="H28" s="3852">
        <f t="shared" si="30"/>
        <v>3.1473771856786015E-2</v>
      </c>
      <c r="I28" s="3857">
        <f t="shared" si="30"/>
        <v>3.1897828026776195E-2</v>
      </c>
      <c r="J28" s="3851">
        <f t="shared" si="30"/>
        <v>3.2313683116938316E-2</v>
      </c>
      <c r="K28" s="3851">
        <f t="shared" si="30"/>
        <v>3.272106964917107E-2</v>
      </c>
      <c r="L28" s="3852">
        <f t="shared" si="30"/>
        <v>3.3119724329413548E-2</v>
      </c>
      <c r="M28" s="4108"/>
      <c r="N28" s="3857">
        <f t="shared" si="30"/>
        <v>3.0421087533156498E-2</v>
      </c>
      <c r="O28" s="3851">
        <f t="shared" si="30"/>
        <v>3.2511761656426177E-2</v>
      </c>
      <c r="P28" s="3851">
        <f t="shared" si="30"/>
        <v>3.3025019839714682E-2</v>
      </c>
      <c r="Q28" s="3851">
        <f t="shared" si="30"/>
        <v>3.3469300989994455E-2</v>
      </c>
      <c r="R28" s="3851">
        <f t="shared" si="30"/>
        <v>3.3855730313233849E-2</v>
      </c>
      <c r="S28" s="3851">
        <f t="shared" si="30"/>
        <v>3.412971909147719E-2</v>
      </c>
      <c r="T28" s="3852">
        <f t="shared" si="30"/>
        <v>3.4371108205820435E-2</v>
      </c>
    </row>
    <row r="29" spans="1:20">
      <c r="A29" s="3726"/>
      <c r="B29" s="3696"/>
      <c r="C29" s="115" t="str">
        <f t="shared" si="24"/>
        <v>Total</v>
      </c>
      <c r="D29" s="3849"/>
      <c r="E29" s="3858">
        <f t="shared" ref="E29:T29" si="31">+E11/E$11</f>
        <v>1</v>
      </c>
      <c r="F29" s="3853">
        <f t="shared" si="31"/>
        <v>1</v>
      </c>
      <c r="G29" s="3853">
        <f t="shared" si="31"/>
        <v>1</v>
      </c>
      <c r="H29" s="3854">
        <f t="shared" si="31"/>
        <v>1</v>
      </c>
      <c r="I29" s="3858">
        <f t="shared" si="31"/>
        <v>1</v>
      </c>
      <c r="J29" s="3853">
        <f t="shared" si="31"/>
        <v>1</v>
      </c>
      <c r="K29" s="3853">
        <f t="shared" si="31"/>
        <v>1</v>
      </c>
      <c r="L29" s="3854">
        <f t="shared" si="31"/>
        <v>1</v>
      </c>
      <c r="M29" s="4108"/>
      <c r="N29" s="3858">
        <f t="shared" si="31"/>
        <v>1</v>
      </c>
      <c r="O29" s="3853">
        <f t="shared" si="31"/>
        <v>1</v>
      </c>
      <c r="P29" s="3853">
        <f t="shared" si="31"/>
        <v>1</v>
      </c>
      <c r="Q29" s="3853">
        <f t="shared" si="31"/>
        <v>1</v>
      </c>
      <c r="R29" s="3853">
        <f t="shared" si="31"/>
        <v>1</v>
      </c>
      <c r="S29" s="3853">
        <f t="shared" si="31"/>
        <v>1</v>
      </c>
      <c r="T29" s="3854">
        <f t="shared" si="31"/>
        <v>1</v>
      </c>
    </row>
    <row r="30" spans="1:20">
      <c r="A30" s="3726"/>
      <c r="B30" s="3696"/>
      <c r="C30" s="115"/>
      <c r="D30" s="3849"/>
      <c r="E30" s="3856"/>
      <c r="F30" s="3849"/>
      <c r="G30" s="3849"/>
      <c r="H30" s="3850"/>
      <c r="I30" s="3856"/>
      <c r="J30" s="3849"/>
      <c r="K30" s="3849"/>
      <c r="L30" s="3850"/>
      <c r="M30" s="4108"/>
      <c r="N30" s="3856"/>
      <c r="O30" s="3849"/>
      <c r="P30" s="3849"/>
      <c r="Q30" s="3849"/>
      <c r="R30" s="3849"/>
      <c r="S30" s="3849"/>
      <c r="T30" s="3850"/>
    </row>
    <row r="31" spans="1:20">
      <c r="A31" s="4109" t="s">
        <v>2072</v>
      </c>
      <c r="B31" s="4110"/>
      <c r="C31" s="4110"/>
      <c r="D31" s="3862" t="str">
        <f>+D$4</f>
        <v>4Q16</v>
      </c>
      <c r="E31" s="3861" t="str">
        <f t="shared" ref="E31:T31" si="32">+E$4</f>
        <v>1Q17</v>
      </c>
      <c r="F31" s="3862" t="str">
        <f t="shared" si="32"/>
        <v>2Q17</v>
      </c>
      <c r="G31" s="3862" t="str">
        <f t="shared" si="32"/>
        <v>3Q17</v>
      </c>
      <c r="H31" s="3863" t="str">
        <f t="shared" si="32"/>
        <v>4Q17</v>
      </c>
      <c r="I31" s="3861" t="str">
        <f t="shared" si="32"/>
        <v>1Q18E</v>
      </c>
      <c r="J31" s="3862" t="str">
        <f t="shared" si="32"/>
        <v>2Q18E</v>
      </c>
      <c r="K31" s="3862" t="str">
        <f t="shared" si="32"/>
        <v>3Q18E</v>
      </c>
      <c r="L31" s="3863" t="str">
        <f t="shared" si="32"/>
        <v>4Q18E</v>
      </c>
      <c r="M31" s="4108"/>
      <c r="N31" s="3864" t="str">
        <f t="shared" si="32"/>
        <v>2017</v>
      </c>
      <c r="O31" s="4111" t="str">
        <f t="shared" si="32"/>
        <v>2018E</v>
      </c>
      <c r="P31" s="4111" t="str">
        <f t="shared" si="32"/>
        <v>2019E</v>
      </c>
      <c r="Q31" s="4111" t="str">
        <f t="shared" si="32"/>
        <v>2020E</v>
      </c>
      <c r="R31" s="4111" t="str">
        <f t="shared" si="32"/>
        <v>2021E</v>
      </c>
      <c r="S31" s="4111" t="str">
        <f t="shared" si="32"/>
        <v>2022E</v>
      </c>
      <c r="T31" s="4112" t="str">
        <f t="shared" si="32"/>
        <v>2023E</v>
      </c>
    </row>
    <row r="32" spans="1:20">
      <c r="A32" s="3726"/>
      <c r="B32" s="3696"/>
      <c r="C32" s="3696" t="s">
        <v>2060</v>
      </c>
      <c r="D32" s="3860">
        <v>1802</v>
      </c>
      <c r="E32" s="3859">
        <v>1819</v>
      </c>
      <c r="F32" s="3860">
        <v>1807</v>
      </c>
      <c r="G32" s="3860">
        <v>1811</v>
      </c>
      <c r="H32" s="3793">
        <v>1839</v>
      </c>
      <c r="I32" s="3726"/>
      <c r="J32" s="3696"/>
      <c r="K32" s="3696"/>
      <c r="L32" s="3697"/>
      <c r="M32" s="4108"/>
      <c r="N32" s="3698">
        <f t="shared" ref="N32:N36" si="33">+SUM(E32:H32)</f>
        <v>7276</v>
      </c>
      <c r="O32" s="3696"/>
      <c r="P32" s="3696"/>
      <c r="Q32" s="3696"/>
      <c r="R32" s="3696"/>
      <c r="S32" s="3696"/>
      <c r="T32" s="3697"/>
    </row>
    <row r="33" spans="1:20">
      <c r="A33" s="3726"/>
      <c r="B33" s="3696"/>
      <c r="C33" s="3696" t="s">
        <v>2061</v>
      </c>
      <c r="D33" s="3860">
        <v>2128</v>
      </c>
      <c r="E33" s="3859">
        <v>2092</v>
      </c>
      <c r="F33" s="3860">
        <v>2119</v>
      </c>
      <c r="G33" s="3860">
        <v>2108</v>
      </c>
      <c r="H33" s="3793">
        <v>2092</v>
      </c>
      <c r="I33" s="3726"/>
      <c r="J33" s="3696"/>
      <c r="K33" s="3696"/>
      <c r="L33" s="3697"/>
      <c r="M33" s="4108"/>
      <c r="N33" s="3698">
        <f t="shared" si="33"/>
        <v>8411</v>
      </c>
      <c r="O33" s="3696"/>
      <c r="P33" s="3696"/>
      <c r="Q33" s="3696"/>
      <c r="R33" s="3696"/>
      <c r="S33" s="3696"/>
      <c r="T33" s="3697"/>
    </row>
    <row r="34" spans="1:20">
      <c r="A34" s="3726"/>
      <c r="B34" s="3696"/>
      <c r="C34" s="3696" t="s">
        <v>2062</v>
      </c>
      <c r="D34" s="3860">
        <v>1848</v>
      </c>
      <c r="E34" s="3859">
        <v>1812</v>
      </c>
      <c r="F34" s="3860">
        <v>1768</v>
      </c>
      <c r="G34" s="3860">
        <v>1759</v>
      </c>
      <c r="H34" s="3793">
        <v>1716</v>
      </c>
      <c r="I34" s="3726"/>
      <c r="J34" s="3696"/>
      <c r="K34" s="3696"/>
      <c r="L34" s="3697"/>
      <c r="M34" s="4108"/>
      <c r="N34" s="3698">
        <f t="shared" si="33"/>
        <v>7055</v>
      </c>
      <c r="O34" s="3696"/>
      <c r="P34" s="3696"/>
      <c r="Q34" s="3696"/>
      <c r="R34" s="3696"/>
      <c r="S34" s="3696"/>
      <c r="T34" s="3697"/>
    </row>
    <row r="35" spans="1:20">
      <c r="A35" s="3726"/>
      <c r="B35" s="3696"/>
      <c r="C35" s="3696" t="s">
        <v>2063</v>
      </c>
      <c r="D35" s="3860">
        <v>158</v>
      </c>
      <c r="E35" s="3859">
        <v>153</v>
      </c>
      <c r="F35" s="3860">
        <v>161</v>
      </c>
      <c r="G35" s="3860">
        <v>169</v>
      </c>
      <c r="H35" s="3793">
        <v>169</v>
      </c>
      <c r="I35" s="3726"/>
      <c r="J35" s="3696"/>
      <c r="K35" s="3696"/>
      <c r="L35" s="3697"/>
      <c r="M35" s="4108"/>
      <c r="N35" s="3698">
        <f t="shared" si="33"/>
        <v>652</v>
      </c>
      <c r="O35" s="3696"/>
      <c r="P35" s="3696"/>
      <c r="Q35" s="3696"/>
      <c r="R35" s="3696"/>
      <c r="S35" s="3696"/>
      <c r="T35" s="3697"/>
    </row>
    <row r="36" spans="1:20">
      <c r="A36" s="3726"/>
      <c r="B36" s="3696"/>
      <c r="C36" s="3696" t="s">
        <v>2057</v>
      </c>
      <c r="D36" s="3860">
        <v>176</v>
      </c>
      <c r="E36" s="3859">
        <v>174</v>
      </c>
      <c r="F36" s="3860">
        <v>185</v>
      </c>
      <c r="G36" s="3860">
        <v>186</v>
      </c>
      <c r="H36" s="3793">
        <v>189</v>
      </c>
      <c r="I36" s="3726"/>
      <c r="J36" s="3696"/>
      <c r="K36" s="3696"/>
      <c r="L36" s="3697"/>
      <c r="M36" s="4108"/>
      <c r="N36" s="3698">
        <f t="shared" si="33"/>
        <v>734</v>
      </c>
      <c r="O36" s="3696"/>
      <c r="P36" s="3696"/>
      <c r="Q36" s="3696"/>
      <c r="R36" s="3696"/>
      <c r="S36" s="3696"/>
      <c r="T36" s="3697"/>
    </row>
    <row r="37" spans="1:20">
      <c r="A37" s="3726"/>
      <c r="B37" s="3696"/>
      <c r="C37" s="115" t="s">
        <v>1143</v>
      </c>
      <c r="D37" s="3832">
        <f>SUM(D32:D36)</f>
        <v>6112</v>
      </c>
      <c r="E37" s="3855">
        <f>SUM(E32:E36)</f>
        <v>6050</v>
      </c>
      <c r="F37" s="3832">
        <f>SUM(F32:F36)</f>
        <v>6040</v>
      </c>
      <c r="G37" s="3832">
        <f>SUM(G32:G36)</f>
        <v>6033</v>
      </c>
      <c r="H37" s="3848">
        <f>SUM(H32:H36)</f>
        <v>6005</v>
      </c>
      <c r="I37" s="2581"/>
      <c r="J37" s="115"/>
      <c r="K37" s="115"/>
      <c r="L37" s="3624"/>
      <c r="M37" s="4108"/>
      <c r="N37" s="3855">
        <f t="shared" ref="N37" si="34">SUM(N32:N36)</f>
        <v>24128</v>
      </c>
      <c r="O37" s="115"/>
      <c r="P37" s="115"/>
      <c r="Q37" s="115"/>
      <c r="R37" s="115"/>
      <c r="S37" s="115"/>
      <c r="T37" s="3624"/>
    </row>
    <row r="38" spans="1:20">
      <c r="A38" s="3726"/>
      <c r="B38" s="3696"/>
      <c r="C38" s="115"/>
      <c r="D38" s="3734"/>
      <c r="E38" s="3732"/>
      <c r="F38" s="3734"/>
      <c r="G38" s="3734"/>
      <c r="H38" s="3735"/>
      <c r="I38" s="2581"/>
      <c r="J38" s="115"/>
      <c r="K38" s="115"/>
      <c r="L38" s="3624"/>
      <c r="M38" s="4108"/>
      <c r="N38" s="3732"/>
      <c r="O38" s="115"/>
      <c r="P38" s="115"/>
      <c r="Q38" s="115"/>
      <c r="R38" s="115"/>
      <c r="S38" s="115"/>
      <c r="T38" s="3624"/>
    </row>
    <row r="39" spans="1:20">
      <c r="A39" s="4109" t="s">
        <v>2073</v>
      </c>
      <c r="B39" s="4110"/>
      <c r="C39" s="4110"/>
      <c r="D39" s="3862" t="str">
        <f>+D$4</f>
        <v>4Q16</v>
      </c>
      <c r="E39" s="3861" t="str">
        <f t="shared" ref="E39:T39" si="35">+E$4</f>
        <v>1Q17</v>
      </c>
      <c r="F39" s="3862" t="str">
        <f t="shared" si="35"/>
        <v>2Q17</v>
      </c>
      <c r="G39" s="3862" t="str">
        <f t="shared" si="35"/>
        <v>3Q17</v>
      </c>
      <c r="H39" s="3863" t="str">
        <f t="shared" si="35"/>
        <v>4Q17</v>
      </c>
      <c r="I39" s="3861" t="str">
        <f t="shared" si="35"/>
        <v>1Q18E</v>
      </c>
      <c r="J39" s="3862" t="str">
        <f t="shared" si="35"/>
        <v>2Q18E</v>
      </c>
      <c r="K39" s="3862" t="str">
        <f t="shared" si="35"/>
        <v>3Q18E</v>
      </c>
      <c r="L39" s="3863" t="str">
        <f t="shared" si="35"/>
        <v>4Q18E</v>
      </c>
      <c r="M39" s="4108"/>
      <c r="N39" s="3864" t="str">
        <f t="shared" si="35"/>
        <v>2017</v>
      </c>
      <c r="O39" s="4111" t="str">
        <f t="shared" si="35"/>
        <v>2018E</v>
      </c>
      <c r="P39" s="4111" t="str">
        <f t="shared" si="35"/>
        <v>2019E</v>
      </c>
      <c r="Q39" s="4111" t="str">
        <f t="shared" si="35"/>
        <v>2020E</v>
      </c>
      <c r="R39" s="4111" t="str">
        <f t="shared" si="35"/>
        <v>2021E</v>
      </c>
      <c r="S39" s="4111" t="str">
        <f t="shared" si="35"/>
        <v>2022E</v>
      </c>
      <c r="T39" s="4112" t="str">
        <f t="shared" si="35"/>
        <v>2023E</v>
      </c>
    </row>
    <row r="40" spans="1:20">
      <c r="A40" s="3726"/>
      <c r="B40" s="3696"/>
      <c r="C40" s="3696" t="s">
        <v>278</v>
      </c>
      <c r="D40" s="3860">
        <v>4451</v>
      </c>
      <c r="E40" s="3859">
        <v>4429</v>
      </c>
      <c r="F40" s="3860">
        <v>4419</v>
      </c>
      <c r="G40" s="3860">
        <v>4427</v>
      </c>
      <c r="H40" s="3793">
        <v>4415</v>
      </c>
      <c r="I40" s="3726"/>
      <c r="J40" s="3696"/>
      <c r="K40" s="3696"/>
      <c r="L40" s="3697"/>
      <c r="M40" s="4108"/>
      <c r="N40" s="3698">
        <f t="shared" ref="N40:N42" si="36">+SUM(E40:H40)</f>
        <v>17690</v>
      </c>
      <c r="O40" s="3696"/>
      <c r="P40" s="3696"/>
      <c r="Q40" s="3696"/>
      <c r="R40" s="3696"/>
      <c r="S40" s="3696"/>
      <c r="T40" s="3697"/>
    </row>
    <row r="41" spans="1:20">
      <c r="A41" s="3726"/>
      <c r="B41" s="3696"/>
      <c r="C41" s="3696" t="s">
        <v>277</v>
      </c>
      <c r="D41" s="3860">
        <v>1485</v>
      </c>
      <c r="E41" s="3859">
        <v>1447</v>
      </c>
      <c r="F41" s="3860">
        <v>1436</v>
      </c>
      <c r="G41" s="3860">
        <v>1420</v>
      </c>
      <c r="H41" s="3793">
        <v>1401</v>
      </c>
      <c r="I41" s="3726"/>
      <c r="J41" s="3696"/>
      <c r="K41" s="3696"/>
      <c r="L41" s="3697"/>
      <c r="M41" s="4108"/>
      <c r="N41" s="3698">
        <f t="shared" si="36"/>
        <v>5704</v>
      </c>
      <c r="O41" s="3696"/>
      <c r="P41" s="3696"/>
      <c r="Q41" s="3696"/>
      <c r="R41" s="3696"/>
      <c r="S41" s="3696"/>
      <c r="T41" s="3697"/>
    </row>
    <row r="42" spans="1:20">
      <c r="A42" s="3726"/>
      <c r="B42" s="3696"/>
      <c r="C42" s="3696" t="s">
        <v>2057</v>
      </c>
      <c r="D42" s="3860">
        <v>176</v>
      </c>
      <c r="E42" s="3859">
        <v>174</v>
      </c>
      <c r="F42" s="3860">
        <v>185</v>
      </c>
      <c r="G42" s="3860">
        <v>186</v>
      </c>
      <c r="H42" s="3793">
        <v>189</v>
      </c>
      <c r="I42" s="3726"/>
      <c r="J42" s="3696"/>
      <c r="K42" s="3696"/>
      <c r="L42" s="3697"/>
      <c r="M42" s="4108"/>
      <c r="N42" s="3698">
        <f t="shared" si="36"/>
        <v>734</v>
      </c>
      <c r="O42" s="3695"/>
      <c r="P42" s="3696"/>
      <c r="Q42" s="3696"/>
      <c r="R42" s="3696"/>
      <c r="S42" s="3696"/>
      <c r="T42" s="3697"/>
    </row>
    <row r="43" spans="1:20">
      <c r="A43" s="3726"/>
      <c r="B43" s="3696"/>
      <c r="C43" s="115" t="s">
        <v>1143</v>
      </c>
      <c r="D43" s="3832">
        <f>SUM(D40:D42)</f>
        <v>6112</v>
      </c>
      <c r="E43" s="3855">
        <f>SUM(E40:E42)</f>
        <v>6050</v>
      </c>
      <c r="F43" s="3832">
        <f>SUM(F40:F42)</f>
        <v>6040</v>
      </c>
      <c r="G43" s="3832">
        <f>SUM(G40:G42)</f>
        <v>6033</v>
      </c>
      <c r="H43" s="3848">
        <f>SUM(H40:H42)</f>
        <v>6005</v>
      </c>
      <c r="I43" s="2581"/>
      <c r="J43" s="115"/>
      <c r="K43" s="115"/>
      <c r="L43" s="3624"/>
      <c r="M43" s="4108"/>
      <c r="N43" s="3855">
        <f t="shared" ref="N43" si="37">SUM(N40:N42)</f>
        <v>24128</v>
      </c>
      <c r="O43" s="115"/>
      <c r="P43" s="115"/>
      <c r="Q43" s="115"/>
      <c r="R43" s="115"/>
      <c r="S43" s="115"/>
      <c r="T43" s="3624"/>
    </row>
    <row r="44" spans="1:20">
      <c r="A44" s="3726"/>
      <c r="B44" s="3696"/>
      <c r="C44" s="3696"/>
      <c r="D44" s="3722"/>
      <c r="E44" s="3721"/>
      <c r="F44" s="3722"/>
      <c r="G44" s="3722"/>
      <c r="H44" s="3723"/>
      <c r="I44" s="3726"/>
      <c r="J44" s="3696"/>
      <c r="K44" s="3696"/>
      <c r="L44" s="3697"/>
      <c r="M44" s="4108"/>
      <c r="N44" s="3721"/>
      <c r="O44" s="3722"/>
      <c r="P44" s="3722"/>
      <c r="Q44" s="3722"/>
      <c r="R44" s="3722"/>
      <c r="S44" s="3722"/>
      <c r="T44" s="3723"/>
    </row>
    <row r="45" spans="1:20">
      <c r="A45" s="4109" t="s">
        <v>2075</v>
      </c>
      <c r="B45" s="4110"/>
      <c r="C45" s="4110"/>
      <c r="D45" s="3862" t="str">
        <f>+D$4</f>
        <v>4Q16</v>
      </c>
      <c r="E45" s="3861" t="str">
        <f t="shared" ref="E45:T45" si="38">+E$4</f>
        <v>1Q17</v>
      </c>
      <c r="F45" s="3862" t="str">
        <f t="shared" si="38"/>
        <v>2Q17</v>
      </c>
      <c r="G45" s="3862" t="str">
        <f t="shared" si="38"/>
        <v>3Q17</v>
      </c>
      <c r="H45" s="3863" t="str">
        <f t="shared" si="38"/>
        <v>4Q17</v>
      </c>
      <c r="I45" s="3861" t="str">
        <f t="shared" si="38"/>
        <v>1Q18E</v>
      </c>
      <c r="J45" s="3862" t="str">
        <f t="shared" si="38"/>
        <v>2Q18E</v>
      </c>
      <c r="K45" s="3862" t="str">
        <f t="shared" si="38"/>
        <v>3Q18E</v>
      </c>
      <c r="L45" s="3863" t="str">
        <f t="shared" si="38"/>
        <v>4Q18E</v>
      </c>
      <c r="M45" s="4108"/>
      <c r="N45" s="3864" t="str">
        <f t="shared" si="38"/>
        <v>2017</v>
      </c>
      <c r="O45" s="4111" t="str">
        <f t="shared" si="38"/>
        <v>2018E</v>
      </c>
      <c r="P45" s="4111" t="str">
        <f t="shared" si="38"/>
        <v>2019E</v>
      </c>
      <c r="Q45" s="4111" t="str">
        <f t="shared" si="38"/>
        <v>2020E</v>
      </c>
      <c r="R45" s="4111" t="str">
        <f t="shared" si="38"/>
        <v>2021E</v>
      </c>
      <c r="S45" s="4111" t="str">
        <f t="shared" si="38"/>
        <v>2022E</v>
      </c>
      <c r="T45" s="4112" t="str">
        <f t="shared" si="38"/>
        <v>2023E</v>
      </c>
    </row>
    <row r="46" spans="1:20">
      <c r="A46" s="3726"/>
      <c r="B46" s="3696"/>
      <c r="C46" s="3696" t="str">
        <f t="shared" ref="C46:C51" si="39">+C32</f>
        <v>IP &amp; Data Services</v>
      </c>
      <c r="D46" s="3722"/>
      <c r="E46" s="3721">
        <f t="shared" ref="E46:H51" si="40">+E32/D32-1</f>
        <v>9.4339622641510523E-3</v>
      </c>
      <c r="F46" s="3722">
        <f t="shared" si="40"/>
        <v>-6.5970313358988397E-3</v>
      </c>
      <c r="G46" s="3722">
        <f t="shared" si="40"/>
        <v>2.2136137244050946E-3</v>
      </c>
      <c r="H46" s="3723">
        <f t="shared" si="40"/>
        <v>1.5461071231363865E-2</v>
      </c>
      <c r="I46" s="3726"/>
      <c r="J46" s="3696"/>
      <c r="K46" s="3696"/>
      <c r="L46" s="3697"/>
      <c r="M46" s="4108"/>
      <c r="N46" s="3721"/>
      <c r="O46" s="3722"/>
      <c r="P46" s="3722"/>
      <c r="Q46" s="3722"/>
      <c r="R46" s="3722"/>
      <c r="S46" s="3722"/>
      <c r="T46" s="3723"/>
    </row>
    <row r="47" spans="1:20">
      <c r="A47" s="3726"/>
      <c r="B47" s="3696"/>
      <c r="C47" s="3696" t="str">
        <f t="shared" si="39"/>
        <v>Transport &amp; Infrastructure</v>
      </c>
      <c r="D47" s="3722"/>
      <c r="E47" s="3721">
        <f t="shared" si="40"/>
        <v>-1.6917293233082664E-2</v>
      </c>
      <c r="F47" s="3722">
        <f t="shared" si="40"/>
        <v>1.2906309751434142E-2</v>
      </c>
      <c r="G47" s="3722">
        <f t="shared" si="40"/>
        <v>-5.1911278905143465E-3</v>
      </c>
      <c r="H47" s="3723">
        <f t="shared" si="40"/>
        <v>-7.5901328273244584E-3</v>
      </c>
      <c r="I47" s="3726"/>
      <c r="J47" s="3696"/>
      <c r="K47" s="3696"/>
      <c r="L47" s="3697"/>
      <c r="M47" s="4108"/>
      <c r="N47" s="3721"/>
      <c r="O47" s="3722"/>
      <c r="P47" s="3722"/>
      <c r="Q47" s="3722"/>
      <c r="R47" s="3722"/>
      <c r="S47" s="3722"/>
      <c r="T47" s="3723"/>
    </row>
    <row r="48" spans="1:20">
      <c r="A48" s="3726"/>
      <c r="B48" s="3696"/>
      <c r="C48" s="3696" t="str">
        <f t="shared" si="39"/>
        <v>Voice &amp; Collaboration</v>
      </c>
      <c r="D48" s="3722"/>
      <c r="E48" s="3721">
        <f t="shared" si="40"/>
        <v>-1.9480519480519431E-2</v>
      </c>
      <c r="F48" s="3722">
        <f t="shared" si="40"/>
        <v>-2.4282560706401779E-2</v>
      </c>
      <c r="G48" s="3722">
        <f t="shared" si="40"/>
        <v>-5.090497737556543E-3</v>
      </c>
      <c r="H48" s="3723">
        <f t="shared" si="40"/>
        <v>-2.444570778851618E-2</v>
      </c>
      <c r="I48" s="3726"/>
      <c r="J48" s="3696"/>
      <c r="K48" s="3696"/>
      <c r="L48" s="3697"/>
      <c r="M48" s="4108"/>
      <c r="N48" s="3721"/>
      <c r="O48" s="3722"/>
      <c r="P48" s="3722"/>
      <c r="Q48" s="3722"/>
      <c r="R48" s="3722"/>
      <c r="S48" s="3722"/>
      <c r="T48" s="3723"/>
    </row>
    <row r="49" spans="1:20">
      <c r="A49" s="3726"/>
      <c r="B49" s="3696"/>
      <c r="C49" s="3696" t="str">
        <f t="shared" si="39"/>
        <v>IT &amp; Managed Services</v>
      </c>
      <c r="D49" s="3722"/>
      <c r="E49" s="3721">
        <f t="shared" si="40"/>
        <v>-3.1645569620253111E-2</v>
      </c>
      <c r="F49" s="3722">
        <f t="shared" si="40"/>
        <v>5.2287581699346442E-2</v>
      </c>
      <c r="G49" s="3722">
        <f t="shared" si="40"/>
        <v>4.9689440993788914E-2</v>
      </c>
      <c r="H49" s="3723">
        <f t="shared" si="40"/>
        <v>0</v>
      </c>
      <c r="I49" s="3726"/>
      <c r="J49" s="3696"/>
      <c r="K49" s="3696"/>
      <c r="L49" s="3697"/>
      <c r="M49" s="4108"/>
      <c r="N49" s="3721"/>
      <c r="O49" s="3722"/>
      <c r="P49" s="3722"/>
      <c r="Q49" s="3722"/>
      <c r="R49" s="3722"/>
      <c r="S49" s="3722"/>
      <c r="T49" s="3723"/>
    </row>
    <row r="50" spans="1:20">
      <c r="A50" s="3726"/>
      <c r="B50" s="3696"/>
      <c r="C50" s="3696" t="str">
        <f t="shared" si="39"/>
        <v>Regulatory</v>
      </c>
      <c r="D50" s="3722"/>
      <c r="E50" s="3721">
        <f t="shared" si="40"/>
        <v>-1.1363636363636354E-2</v>
      </c>
      <c r="F50" s="3722">
        <f t="shared" si="40"/>
        <v>6.321839080459779E-2</v>
      </c>
      <c r="G50" s="3722">
        <f t="shared" si="40"/>
        <v>5.4054054054053502E-3</v>
      </c>
      <c r="H50" s="3723">
        <f t="shared" si="40"/>
        <v>1.6129032258064502E-2</v>
      </c>
      <c r="I50" s="3726"/>
      <c r="J50" s="3696"/>
      <c r="K50" s="3696"/>
      <c r="L50" s="3697"/>
      <c r="M50" s="4108"/>
      <c r="N50" s="3721"/>
      <c r="O50" s="3722"/>
      <c r="P50" s="3722"/>
      <c r="Q50" s="3722"/>
      <c r="R50" s="3722"/>
      <c r="S50" s="3722"/>
      <c r="T50" s="3723"/>
    </row>
    <row r="51" spans="1:20">
      <c r="A51" s="3726"/>
      <c r="B51" s="3696"/>
      <c r="C51" s="3696" t="str">
        <f t="shared" si="39"/>
        <v>Total</v>
      </c>
      <c r="D51" s="3722"/>
      <c r="E51" s="3721">
        <f t="shared" si="40"/>
        <v>-1.0143979057591568E-2</v>
      </c>
      <c r="F51" s="3722">
        <f t="shared" si="40"/>
        <v>-1.6528925619834212E-3</v>
      </c>
      <c r="G51" s="3722">
        <f t="shared" si="40"/>
        <v>-1.1589403973509826E-3</v>
      </c>
      <c r="H51" s="3723">
        <f t="shared" si="40"/>
        <v>-4.6411403944969232E-3</v>
      </c>
      <c r="I51" s="3726"/>
      <c r="J51" s="3696"/>
      <c r="K51" s="3696"/>
      <c r="L51" s="3697"/>
      <c r="M51" s="4108"/>
      <c r="N51" s="3721"/>
      <c r="O51" s="3722"/>
      <c r="P51" s="3722"/>
      <c r="Q51" s="3722"/>
      <c r="R51" s="3722"/>
      <c r="S51" s="3722"/>
      <c r="T51" s="3723"/>
    </row>
    <row r="52" spans="1:20">
      <c r="A52" s="3726"/>
      <c r="B52" s="3696"/>
      <c r="C52" s="3696"/>
      <c r="D52" s="3722"/>
      <c r="E52" s="3721"/>
      <c r="F52" s="3722"/>
      <c r="G52" s="3722"/>
      <c r="H52" s="3723"/>
      <c r="I52" s="3726"/>
      <c r="J52" s="3696"/>
      <c r="K52" s="3696"/>
      <c r="L52" s="3697"/>
      <c r="M52" s="4108"/>
      <c r="N52" s="3721"/>
      <c r="O52" s="3722"/>
      <c r="P52" s="3696"/>
      <c r="Q52" s="3696"/>
      <c r="R52" s="3696"/>
      <c r="S52" s="3696"/>
      <c r="T52" s="3697"/>
    </row>
    <row r="53" spans="1:20">
      <c r="A53" s="3726"/>
      <c r="B53" s="3696"/>
      <c r="C53" s="3696" t="str">
        <f>+C40</f>
        <v>Business</v>
      </c>
      <c r="D53" s="3722"/>
      <c r="E53" s="3721">
        <f>+E40/D40-1</f>
        <v>-4.942709503482412E-3</v>
      </c>
      <c r="F53" s="3722">
        <f t="shared" ref="F53:H56" si="41">+F40/E40-1</f>
        <v>-2.2578460149017543E-3</v>
      </c>
      <c r="G53" s="3722">
        <f t="shared" si="41"/>
        <v>1.8103643358224897E-3</v>
      </c>
      <c r="H53" s="3723">
        <f t="shared" si="41"/>
        <v>-2.7106392590919848E-3</v>
      </c>
      <c r="I53" s="3726"/>
      <c r="J53" s="3696"/>
      <c r="K53" s="3696"/>
      <c r="L53" s="3697"/>
      <c r="M53" s="4108"/>
      <c r="N53" s="3721"/>
      <c r="O53" s="3722"/>
      <c r="P53" s="3722"/>
      <c r="Q53" s="3722"/>
      <c r="R53" s="3722"/>
      <c r="S53" s="3722"/>
      <c r="T53" s="3723"/>
    </row>
    <row r="54" spans="1:20">
      <c r="A54" s="3726"/>
      <c r="B54" s="3696"/>
      <c r="C54" s="3696" t="str">
        <f>+C41</f>
        <v>Consumer</v>
      </c>
      <c r="D54" s="3722"/>
      <c r="E54" s="3721">
        <f>+E41/D41-1</f>
        <v>-2.5589225589225606E-2</v>
      </c>
      <c r="F54" s="3722">
        <f t="shared" si="41"/>
        <v>-7.6019350380096551E-3</v>
      </c>
      <c r="G54" s="3722">
        <f t="shared" si="41"/>
        <v>-1.1142061281337101E-2</v>
      </c>
      <c r="H54" s="3723">
        <f t="shared" si="41"/>
        <v>-1.3380281690140827E-2</v>
      </c>
      <c r="I54" s="3726"/>
      <c r="J54" s="3696"/>
      <c r="K54" s="3696"/>
      <c r="L54" s="3697"/>
      <c r="M54" s="4108"/>
      <c r="N54" s="3721"/>
      <c r="O54" s="3722"/>
      <c r="P54" s="3722"/>
      <c r="Q54" s="3722"/>
      <c r="R54" s="3722"/>
      <c r="S54" s="3722"/>
      <c r="T54" s="3723"/>
    </row>
    <row r="55" spans="1:20">
      <c r="A55" s="3726"/>
      <c r="B55" s="3696"/>
      <c r="C55" s="3696" t="str">
        <f>+C42</f>
        <v>Regulatory</v>
      </c>
      <c r="D55" s="3722"/>
      <c r="E55" s="3721">
        <f>+E42/D42-1</f>
        <v>-1.1363636363636354E-2</v>
      </c>
      <c r="F55" s="3722">
        <f t="shared" si="41"/>
        <v>6.321839080459779E-2</v>
      </c>
      <c r="G55" s="3722">
        <f t="shared" si="41"/>
        <v>5.4054054054053502E-3</v>
      </c>
      <c r="H55" s="3723">
        <f t="shared" si="41"/>
        <v>1.6129032258064502E-2</v>
      </c>
      <c r="I55" s="3726"/>
      <c r="J55" s="3696"/>
      <c r="K55" s="3696"/>
      <c r="L55" s="3697"/>
      <c r="M55" s="4108"/>
      <c r="N55" s="3721"/>
      <c r="O55" s="3722"/>
      <c r="P55" s="3722"/>
      <c r="Q55" s="3722"/>
      <c r="R55" s="3722"/>
      <c r="S55" s="3722"/>
      <c r="T55" s="3723"/>
    </row>
    <row r="56" spans="1:20">
      <c r="A56" s="3726"/>
      <c r="B56" s="3696"/>
      <c r="C56" s="3696" t="str">
        <f>+C43</f>
        <v>Total</v>
      </c>
      <c r="D56" s="3722"/>
      <c r="E56" s="3721">
        <f>+E43/D43-1</f>
        <v>-1.0143979057591568E-2</v>
      </c>
      <c r="F56" s="3722">
        <f t="shared" si="41"/>
        <v>-1.6528925619834212E-3</v>
      </c>
      <c r="G56" s="3722">
        <f t="shared" si="41"/>
        <v>-1.1589403973509826E-3</v>
      </c>
      <c r="H56" s="3723">
        <f t="shared" si="41"/>
        <v>-4.6411403944969232E-3</v>
      </c>
      <c r="I56" s="3726"/>
      <c r="J56" s="3696"/>
      <c r="K56" s="3696"/>
      <c r="L56" s="3697"/>
      <c r="M56" s="4108"/>
      <c r="N56" s="3721"/>
      <c r="O56" s="3722"/>
      <c r="P56" s="3722"/>
      <c r="Q56" s="3722"/>
      <c r="R56" s="3722"/>
      <c r="S56" s="3722"/>
      <c r="T56" s="3723"/>
    </row>
    <row r="57" spans="1:20">
      <c r="A57" s="3726"/>
      <c r="B57" s="3696"/>
      <c r="C57" s="3696"/>
      <c r="D57" s="3722"/>
      <c r="E57" s="3721"/>
      <c r="F57" s="3722"/>
      <c r="G57" s="3722"/>
      <c r="H57" s="3723"/>
      <c r="I57" s="3726"/>
      <c r="J57" s="3696"/>
      <c r="K57" s="3696"/>
      <c r="L57" s="3697"/>
      <c r="M57" s="4108"/>
      <c r="N57" s="3721"/>
      <c r="O57" s="3722"/>
      <c r="P57" s="3722"/>
      <c r="Q57" s="3722"/>
      <c r="R57" s="3722"/>
      <c r="S57" s="3722"/>
      <c r="T57" s="3723"/>
    </row>
    <row r="58" spans="1:20">
      <c r="A58" s="4109" t="s">
        <v>2076</v>
      </c>
      <c r="B58" s="4110"/>
      <c r="C58" s="4110"/>
      <c r="D58" s="3862" t="str">
        <f>+D$4</f>
        <v>4Q16</v>
      </c>
      <c r="E58" s="3861" t="str">
        <f t="shared" ref="E58:T58" si="42">+E$4</f>
        <v>1Q17</v>
      </c>
      <c r="F58" s="3862" t="str">
        <f t="shared" si="42"/>
        <v>2Q17</v>
      </c>
      <c r="G58" s="3862" t="str">
        <f t="shared" si="42"/>
        <v>3Q17</v>
      </c>
      <c r="H58" s="3863" t="str">
        <f t="shared" si="42"/>
        <v>4Q17</v>
      </c>
      <c r="I58" s="3861" t="str">
        <f t="shared" si="42"/>
        <v>1Q18E</v>
      </c>
      <c r="J58" s="3862" t="str">
        <f t="shared" si="42"/>
        <v>2Q18E</v>
      </c>
      <c r="K58" s="3862" t="str">
        <f t="shared" si="42"/>
        <v>3Q18E</v>
      </c>
      <c r="L58" s="3863" t="str">
        <f t="shared" si="42"/>
        <v>4Q18E</v>
      </c>
      <c r="M58" s="4108"/>
      <c r="N58" s="3864" t="str">
        <f t="shared" si="42"/>
        <v>2017</v>
      </c>
      <c r="O58" s="4111" t="str">
        <f t="shared" si="42"/>
        <v>2018E</v>
      </c>
      <c r="P58" s="4111" t="str">
        <f t="shared" si="42"/>
        <v>2019E</v>
      </c>
      <c r="Q58" s="4111" t="str">
        <f t="shared" si="42"/>
        <v>2020E</v>
      </c>
      <c r="R58" s="4111" t="str">
        <f t="shared" si="42"/>
        <v>2021E</v>
      </c>
      <c r="S58" s="4111" t="str">
        <f t="shared" si="42"/>
        <v>2022E</v>
      </c>
      <c r="T58" s="4112" t="str">
        <f t="shared" si="42"/>
        <v>2023E</v>
      </c>
    </row>
    <row r="59" spans="1:20">
      <c r="A59" s="3726"/>
      <c r="B59" s="3696"/>
      <c r="C59" s="3696" t="str">
        <f>+C32</f>
        <v>IP &amp; Data Services</v>
      </c>
      <c r="D59" s="3719"/>
      <c r="E59" s="3694"/>
      <c r="F59" s="3719"/>
      <c r="G59" s="3719"/>
      <c r="H59" s="3723">
        <f t="shared" ref="H59:H64" si="43">+D32/H32-1</f>
        <v>-2.0119630233822683E-2</v>
      </c>
      <c r="I59" s="3726"/>
      <c r="J59" s="3696"/>
      <c r="K59" s="3696"/>
      <c r="L59" s="3697"/>
      <c r="M59" s="4108"/>
      <c r="N59" s="3694"/>
      <c r="O59" s="3696"/>
      <c r="P59" s="3696"/>
      <c r="Q59" s="3696"/>
      <c r="R59" s="3696"/>
      <c r="S59" s="3696"/>
      <c r="T59" s="3697"/>
    </row>
    <row r="60" spans="1:20">
      <c r="A60" s="3726"/>
      <c r="B60" s="3696"/>
      <c r="C60" s="3696" t="str">
        <f t="shared" ref="C60:C64" si="44">+C33</f>
        <v>Transport &amp; Infrastructure</v>
      </c>
      <c r="D60" s="3719"/>
      <c r="E60" s="3721"/>
      <c r="F60" s="3722"/>
      <c r="G60" s="3722"/>
      <c r="H60" s="3723">
        <f t="shared" si="43"/>
        <v>1.7208413001912115E-2</v>
      </c>
      <c r="I60" s="3726"/>
      <c r="J60" s="3696"/>
      <c r="K60" s="3696"/>
      <c r="L60" s="3697"/>
      <c r="M60" s="4108"/>
      <c r="N60" s="3694"/>
      <c r="O60" s="3696"/>
      <c r="P60" s="3696"/>
      <c r="Q60" s="3696"/>
      <c r="R60" s="3696"/>
      <c r="S60" s="3696"/>
      <c r="T60" s="3697"/>
    </row>
    <row r="61" spans="1:20">
      <c r="A61" s="3726"/>
      <c r="B61" s="3696"/>
      <c r="C61" s="3696" t="str">
        <f t="shared" si="44"/>
        <v>Voice &amp; Collaboration</v>
      </c>
      <c r="D61" s="3719"/>
      <c r="E61" s="3721"/>
      <c r="F61" s="3722"/>
      <c r="G61" s="3722"/>
      <c r="H61" s="3723">
        <f>+D34/H34-1</f>
        <v>7.6923076923076872E-2</v>
      </c>
      <c r="I61" s="3726"/>
      <c r="J61" s="3696"/>
      <c r="K61" s="3696"/>
      <c r="L61" s="3696"/>
      <c r="M61" s="3690"/>
      <c r="N61" s="3719"/>
      <c r="O61" s="3696"/>
      <c r="P61" s="3696"/>
      <c r="Q61" s="3696"/>
      <c r="R61" s="3696"/>
      <c r="S61" s="3696"/>
      <c r="T61" s="3697"/>
    </row>
    <row r="62" spans="1:20">
      <c r="A62" s="3726"/>
      <c r="B62" s="3696"/>
      <c r="C62" s="3696" t="str">
        <f t="shared" si="44"/>
        <v>IT &amp; Managed Services</v>
      </c>
      <c r="D62" s="3719"/>
      <c r="E62" s="3721"/>
      <c r="F62" s="3722"/>
      <c r="G62" s="3722"/>
      <c r="H62" s="3723">
        <f t="shared" si="43"/>
        <v>-6.5088757396449703E-2</v>
      </c>
      <c r="I62" s="3726"/>
      <c r="J62" s="3696"/>
      <c r="K62" s="3696"/>
      <c r="L62" s="3696"/>
      <c r="M62" s="3690"/>
      <c r="N62" s="3719"/>
      <c r="O62" s="3696"/>
      <c r="P62" s="3696"/>
      <c r="Q62" s="3696"/>
      <c r="R62" s="3696"/>
      <c r="S62" s="3696"/>
      <c r="T62" s="3697"/>
    </row>
    <row r="63" spans="1:20">
      <c r="A63" s="3726"/>
      <c r="B63" s="3696"/>
      <c r="C63" s="3696" t="str">
        <f t="shared" si="44"/>
        <v>Regulatory</v>
      </c>
      <c r="D63" s="3719"/>
      <c r="E63" s="3721"/>
      <c r="F63" s="3722"/>
      <c r="G63" s="3722"/>
      <c r="H63" s="3723">
        <f t="shared" si="43"/>
        <v>-6.8783068783068835E-2</v>
      </c>
      <c r="I63" s="3726"/>
      <c r="J63" s="3696"/>
      <c r="K63" s="3696"/>
      <c r="L63" s="3696"/>
      <c r="M63" s="3690"/>
      <c r="N63" s="3719"/>
      <c r="O63" s="3696"/>
      <c r="P63" s="3696"/>
      <c r="Q63" s="3696"/>
      <c r="R63" s="3696"/>
      <c r="S63" s="3696"/>
      <c r="T63" s="3697"/>
    </row>
    <row r="64" spans="1:20">
      <c r="A64" s="3726"/>
      <c r="B64" s="3696"/>
      <c r="C64" s="3696" t="str">
        <f t="shared" si="44"/>
        <v>Total</v>
      </c>
      <c r="D64" s="3719"/>
      <c r="E64" s="3721"/>
      <c r="F64" s="3722"/>
      <c r="G64" s="3722"/>
      <c r="H64" s="3723">
        <f t="shared" si="43"/>
        <v>1.7818484596169748E-2</v>
      </c>
      <c r="I64" s="3696"/>
      <c r="J64" s="3696"/>
      <c r="K64" s="3696"/>
      <c r="L64" s="3696"/>
      <c r="M64" s="3690"/>
      <c r="N64" s="3719"/>
      <c r="O64" s="3696"/>
      <c r="P64" s="3696"/>
      <c r="Q64" s="3696"/>
      <c r="R64" s="3696"/>
      <c r="S64" s="3696"/>
      <c r="T64" s="3697"/>
    </row>
    <row r="65" spans="1:20">
      <c r="A65" s="3726"/>
      <c r="B65" s="3696"/>
      <c r="C65" s="3696"/>
      <c r="D65" s="3719"/>
      <c r="E65" s="3721"/>
      <c r="F65" s="3722"/>
      <c r="G65" s="3722"/>
      <c r="H65" s="3723"/>
      <c r="I65" s="3696"/>
      <c r="J65" s="3696"/>
      <c r="K65" s="3696"/>
      <c r="L65" s="3696"/>
      <c r="M65" s="3690"/>
      <c r="N65" s="3719"/>
      <c r="O65" s="3696"/>
      <c r="P65" s="3696"/>
      <c r="Q65" s="3696"/>
      <c r="R65" s="3696"/>
      <c r="S65" s="3696"/>
      <c r="T65" s="3697"/>
    </row>
    <row r="66" spans="1:20">
      <c r="A66" s="3726"/>
      <c r="B66" s="3696"/>
      <c r="C66" s="4116" t="str">
        <f>+C40</f>
        <v>Business</v>
      </c>
      <c r="D66" s="3719"/>
      <c r="E66" s="3721"/>
      <c r="F66" s="3722"/>
      <c r="G66" s="3722"/>
      <c r="H66" s="3723">
        <f>+D40/H40-1</f>
        <v>8.1540203850509752E-3</v>
      </c>
      <c r="I66" s="3696"/>
      <c r="J66" s="3696"/>
      <c r="K66" s="3696"/>
      <c r="L66" s="3696"/>
      <c r="M66" s="3690"/>
      <c r="N66" s="3719"/>
      <c r="O66" s="3696"/>
      <c r="P66" s="3696"/>
      <c r="Q66" s="3696"/>
      <c r="R66" s="3696"/>
      <c r="S66" s="3696"/>
      <c r="T66" s="3697"/>
    </row>
    <row r="67" spans="1:20">
      <c r="A67" s="3726"/>
      <c r="B67" s="3696"/>
      <c r="C67" s="4116" t="str">
        <f t="shared" ref="C67:C69" si="45">+C41</f>
        <v>Consumer</v>
      </c>
      <c r="D67" s="3719"/>
      <c r="E67" s="3721"/>
      <c r="F67" s="3722"/>
      <c r="G67" s="3722"/>
      <c r="H67" s="3723">
        <f>+D41/H41-1</f>
        <v>5.9957173447537482E-2</v>
      </c>
      <c r="I67" s="3696"/>
      <c r="J67" s="3696"/>
      <c r="K67" s="3696"/>
      <c r="L67" s="3696"/>
      <c r="M67" s="3690"/>
      <c r="N67" s="3719"/>
      <c r="O67" s="3695"/>
      <c r="P67" s="3695"/>
      <c r="Q67" s="3695"/>
      <c r="R67" s="3695"/>
      <c r="S67" s="3695"/>
      <c r="T67" s="3731"/>
    </row>
    <row r="68" spans="1:20">
      <c r="A68" s="3726"/>
      <c r="B68" s="3696"/>
      <c r="C68" s="4116" t="str">
        <f t="shared" si="45"/>
        <v>Regulatory</v>
      </c>
      <c r="D68" s="3719"/>
      <c r="E68" s="3721"/>
      <c r="F68" s="3722"/>
      <c r="G68" s="3722"/>
      <c r="H68" s="3723">
        <f>+D42/H42-1</f>
        <v>-6.8783068783068835E-2</v>
      </c>
      <c r="I68" s="3696"/>
      <c r="J68" s="3696"/>
      <c r="K68" s="3696"/>
      <c r="L68" s="3696"/>
      <c r="M68" s="3690"/>
      <c r="N68" s="3719"/>
      <c r="O68" s="3695"/>
      <c r="P68" s="3695"/>
      <c r="Q68" s="3695"/>
      <c r="R68" s="3695"/>
      <c r="S68" s="3695"/>
      <c r="T68" s="3731"/>
    </row>
    <row r="69" spans="1:20" s="285" customFormat="1">
      <c r="A69" s="2581"/>
      <c r="B69" s="115"/>
      <c r="C69" s="114" t="str">
        <f t="shared" si="45"/>
        <v>Total</v>
      </c>
      <c r="D69" s="4117"/>
      <c r="E69" s="3856"/>
      <c r="F69" s="3849"/>
      <c r="G69" s="3849"/>
      <c r="H69" s="3850">
        <f>+D43/H43-1</f>
        <v>1.7818484596169748E-2</v>
      </c>
      <c r="I69" s="115"/>
      <c r="J69" s="115"/>
      <c r="K69" s="115"/>
      <c r="L69" s="115"/>
      <c r="M69" s="4118"/>
      <c r="N69" s="4117"/>
      <c r="O69" s="3626"/>
      <c r="P69" s="3626"/>
      <c r="Q69" s="3626"/>
      <c r="R69" s="3626"/>
      <c r="S69" s="3626"/>
      <c r="T69" s="3625"/>
    </row>
    <row r="70" spans="1:20">
      <c r="A70" s="3726"/>
      <c r="B70" s="3696"/>
      <c r="C70" s="3696"/>
      <c r="D70" s="3696"/>
      <c r="E70" s="3726"/>
      <c r="F70" s="3696"/>
      <c r="G70" s="3696"/>
      <c r="H70" s="3697"/>
      <c r="I70" s="3696"/>
      <c r="J70" s="3696"/>
      <c r="K70" s="3696"/>
      <c r="L70" s="3696"/>
      <c r="M70" s="3690"/>
      <c r="N70" s="3696"/>
      <c r="O70" s="3696"/>
      <c r="P70" s="3696"/>
      <c r="Q70" s="3696"/>
      <c r="R70" s="3696"/>
      <c r="S70" s="3696"/>
      <c r="T70" s="3697"/>
    </row>
    <row r="71" spans="1:20">
      <c r="A71" s="4109" t="s">
        <v>2077</v>
      </c>
      <c r="B71" s="4110"/>
      <c r="C71" s="4110"/>
      <c r="D71" s="3862" t="str">
        <f>+D$4</f>
        <v>4Q16</v>
      </c>
      <c r="E71" s="3861" t="str">
        <f t="shared" ref="E71:T71" si="46">+E$4</f>
        <v>1Q17</v>
      </c>
      <c r="F71" s="3862" t="str">
        <f t="shared" si="46"/>
        <v>2Q17</v>
      </c>
      <c r="G71" s="3862" t="str">
        <f t="shared" si="46"/>
        <v>3Q17</v>
      </c>
      <c r="H71" s="3863" t="str">
        <f t="shared" si="46"/>
        <v>4Q17</v>
      </c>
      <c r="I71" s="3862" t="str">
        <f t="shared" si="46"/>
        <v>1Q18E</v>
      </c>
      <c r="J71" s="3862" t="str">
        <f t="shared" si="46"/>
        <v>2Q18E</v>
      </c>
      <c r="K71" s="3862" t="str">
        <f t="shared" si="46"/>
        <v>3Q18E</v>
      </c>
      <c r="L71" s="3862" t="str">
        <f t="shared" si="46"/>
        <v>4Q18E</v>
      </c>
      <c r="M71" s="3690"/>
      <c r="N71" s="4111" t="str">
        <f t="shared" si="46"/>
        <v>2017</v>
      </c>
      <c r="O71" s="4111" t="str">
        <f t="shared" si="46"/>
        <v>2018E</v>
      </c>
      <c r="P71" s="4111" t="str">
        <f t="shared" si="46"/>
        <v>2019E</v>
      </c>
      <c r="Q71" s="4111" t="str">
        <f t="shared" si="46"/>
        <v>2020E</v>
      </c>
      <c r="R71" s="4111" t="str">
        <f t="shared" si="46"/>
        <v>2021E</v>
      </c>
      <c r="S71" s="4111" t="str">
        <f t="shared" si="46"/>
        <v>2022E</v>
      </c>
      <c r="T71" s="4112" t="str">
        <f t="shared" si="46"/>
        <v>2023E</v>
      </c>
    </row>
    <row r="72" spans="1:20">
      <c r="A72" s="3726"/>
      <c r="B72" s="3696"/>
      <c r="C72" s="3696"/>
      <c r="D72" s="3696"/>
      <c r="E72" s="3726"/>
      <c r="F72" s="3696"/>
      <c r="G72" s="3696"/>
      <c r="H72" s="3697"/>
      <c r="I72" s="3696"/>
      <c r="J72" s="3696"/>
      <c r="K72" s="3696"/>
      <c r="L72" s="3696"/>
      <c r="M72" s="3690"/>
      <c r="N72" s="3696"/>
      <c r="O72" s="3696"/>
      <c r="P72" s="3696"/>
      <c r="Q72" s="3696"/>
      <c r="R72" s="3696"/>
      <c r="S72" s="3696"/>
      <c r="T72" s="3697"/>
    </row>
    <row r="73" spans="1:20">
      <c r="A73" s="3726"/>
      <c r="B73" s="3696"/>
      <c r="C73" s="3696" t="str">
        <f t="shared" ref="C73:C79" si="47">C5</f>
        <v>SMB</v>
      </c>
      <c r="D73" s="3696"/>
      <c r="E73" s="3730">
        <f t="shared" ref="E73:E79" si="48">+E5-D5</f>
        <v>-17</v>
      </c>
      <c r="F73" s="3695">
        <f t="shared" ref="F73:F79" si="49">+F5-E5</f>
        <v>-8</v>
      </c>
      <c r="G73" s="3695">
        <f t="shared" ref="G73:G79" si="50">+G5-F5</f>
        <v>3</v>
      </c>
      <c r="H73" s="3731">
        <f t="shared" ref="H73:H79" si="51">+H5-G5</f>
        <v>-22</v>
      </c>
      <c r="I73" s="3695">
        <f t="shared" ref="I73:I79" si="52">+I5-H5</f>
        <v>-8.7400000000000091</v>
      </c>
      <c r="J73" s="3695">
        <f t="shared" ref="J73:J79" si="53">+J5-I5</f>
        <v>-8.6526000000000067</v>
      </c>
      <c r="K73" s="3695">
        <f t="shared" ref="K73:K79" si="54">+K5-J5</f>
        <v>-8.5660739999999578</v>
      </c>
      <c r="L73" s="3695">
        <f t="shared" ref="L73:L79" si="55">+L5-K5</f>
        <v>-8.4804132599999775</v>
      </c>
      <c r="M73" s="3690"/>
      <c r="N73" s="3696"/>
      <c r="O73" s="3695">
        <f t="shared" ref="O73:T79" si="56">+O5-N5</f>
        <v>-154.53036126000006</v>
      </c>
      <c r="P73" s="3695">
        <f t="shared" si="56"/>
        <v>-141.01118838231059</v>
      </c>
      <c r="Q73" s="3695">
        <f t="shared" si="56"/>
        <v>-128.64223384645766</v>
      </c>
      <c r="R73" s="3695">
        <f t="shared" si="56"/>
        <v>-117.29941196790423</v>
      </c>
      <c r="S73" s="3695">
        <f t="shared" si="56"/>
        <v>-106.87222631575833</v>
      </c>
      <c r="T73" s="3731">
        <f t="shared" si="56"/>
        <v>-97.262075536261364</v>
      </c>
    </row>
    <row r="74" spans="1:20">
      <c r="A74" s="3726"/>
      <c r="B74" s="3696"/>
      <c r="C74" s="3696" t="str">
        <f t="shared" si="47"/>
        <v>Enterprise</v>
      </c>
      <c r="D74" s="3696"/>
      <c r="E74" s="3730">
        <f t="shared" si="48"/>
        <v>29</v>
      </c>
      <c r="F74" s="3695">
        <f t="shared" si="49"/>
        <v>4</v>
      </c>
      <c r="G74" s="3695">
        <f t="shared" si="50"/>
        <v>15</v>
      </c>
      <c r="H74" s="3731">
        <f t="shared" si="51"/>
        <v>13</v>
      </c>
      <c r="I74" s="3695">
        <f t="shared" si="52"/>
        <v>15.88799999999992</v>
      </c>
      <c r="J74" s="3695">
        <f t="shared" si="53"/>
        <v>16.07865599999991</v>
      </c>
      <c r="K74" s="3695">
        <f t="shared" si="54"/>
        <v>16.271599872000024</v>
      </c>
      <c r="L74" s="3695">
        <f t="shared" si="55"/>
        <v>16.466859070464125</v>
      </c>
      <c r="M74" s="3690"/>
      <c r="N74" s="3696"/>
      <c r="O74" s="3695">
        <f t="shared" si="56"/>
        <v>233.79802681446381</v>
      </c>
      <c r="P74" s="3695">
        <f t="shared" si="56"/>
        <v>190.987930938506</v>
      </c>
      <c r="Q74" s="3695">
        <f t="shared" si="56"/>
        <v>183.55304362697098</v>
      </c>
      <c r="R74" s="3695">
        <f t="shared" si="56"/>
        <v>174.94017004139823</v>
      </c>
      <c r="S74" s="3695">
        <f t="shared" si="56"/>
        <v>165.17267721408734</v>
      </c>
      <c r="T74" s="3731">
        <f t="shared" si="56"/>
        <v>154.28629621588516</v>
      </c>
    </row>
    <row r="75" spans="1:20">
      <c r="A75" s="3726"/>
      <c r="B75" s="3696"/>
      <c r="C75" s="3696" t="str">
        <f t="shared" si="47"/>
        <v>International</v>
      </c>
      <c r="D75" s="3696"/>
      <c r="E75" s="3730">
        <f t="shared" si="48"/>
        <v>-14</v>
      </c>
      <c r="F75" s="3695">
        <f t="shared" si="49"/>
        <v>20</v>
      </c>
      <c r="G75" s="3695">
        <f t="shared" si="50"/>
        <v>7</v>
      </c>
      <c r="H75" s="3731">
        <f t="shared" si="51"/>
        <v>23</v>
      </c>
      <c r="I75" s="3695">
        <f t="shared" si="52"/>
        <v>14.114999999999895</v>
      </c>
      <c r="J75" s="3695">
        <f t="shared" si="53"/>
        <v>14.326724999999897</v>
      </c>
      <c r="K75" s="3695">
        <f t="shared" si="54"/>
        <v>14.541625874999909</v>
      </c>
      <c r="L75" s="3695">
        <f t="shared" si="55"/>
        <v>14.759750263124943</v>
      </c>
      <c r="M75" s="3690"/>
      <c r="N75" s="3696"/>
      <c r="O75" s="3695">
        <f t="shared" si="56"/>
        <v>246.2831770131238</v>
      </c>
      <c r="P75" s="3695">
        <f t="shared" si="56"/>
        <v>156.29132708052521</v>
      </c>
      <c r="Q75" s="3695">
        <f t="shared" si="56"/>
        <v>121.90723512280965</v>
      </c>
      <c r="R75" s="3695">
        <f t="shared" si="56"/>
        <v>83.709634784328955</v>
      </c>
      <c r="S75" s="3695">
        <f t="shared" si="56"/>
        <v>85.383827480015498</v>
      </c>
      <c r="T75" s="3731">
        <f t="shared" si="56"/>
        <v>87.091504029615862</v>
      </c>
    </row>
    <row r="76" spans="1:20">
      <c r="A76" s="3726"/>
      <c r="B76" s="3696"/>
      <c r="C76" s="3696" t="str">
        <f t="shared" si="47"/>
        <v>Wholesale</v>
      </c>
      <c r="D76" s="3696"/>
      <c r="E76" s="3730">
        <f t="shared" si="48"/>
        <v>-20</v>
      </c>
      <c r="F76" s="3695">
        <f t="shared" si="49"/>
        <v>-26</v>
      </c>
      <c r="G76" s="3695">
        <f t="shared" si="50"/>
        <v>-17</v>
      </c>
      <c r="H76" s="3731">
        <f t="shared" si="51"/>
        <v>-26</v>
      </c>
      <c r="I76" s="3695">
        <f t="shared" si="52"/>
        <v>-25.519999999999982</v>
      </c>
      <c r="J76" s="3695">
        <f t="shared" si="53"/>
        <v>-25.009600000000091</v>
      </c>
      <c r="K76" s="3695">
        <f t="shared" si="54"/>
        <v>-24.509408000000121</v>
      </c>
      <c r="L76" s="3695">
        <f t="shared" si="55"/>
        <v>-24.019219840000005</v>
      </c>
      <c r="M76" s="3690"/>
      <c r="N76" s="3696"/>
      <c r="O76" s="3695">
        <f t="shared" si="56"/>
        <v>-388.14683584000068</v>
      </c>
      <c r="P76" s="3695">
        <f t="shared" si="56"/>
        <v>-354.55243208968932</v>
      </c>
      <c r="Q76" s="3695">
        <f t="shared" si="56"/>
        <v>-324.1546497082536</v>
      </c>
      <c r="R76" s="3695">
        <f t="shared" si="56"/>
        <v>-296.62559972288864</v>
      </c>
      <c r="S76" s="3695">
        <f t="shared" si="56"/>
        <v>-271.67314681362996</v>
      </c>
      <c r="T76" s="3731">
        <f t="shared" si="56"/>
        <v>-249.0368012374347</v>
      </c>
    </row>
    <row r="77" spans="1:20">
      <c r="A77" s="3726"/>
      <c r="B77" s="3696"/>
      <c r="C77" s="3696" t="str">
        <f t="shared" si="47"/>
        <v>Consumer</v>
      </c>
      <c r="D77" s="3696"/>
      <c r="E77" s="3730">
        <f t="shared" si="48"/>
        <v>-38</v>
      </c>
      <c r="F77" s="3695">
        <f t="shared" si="49"/>
        <v>-11</v>
      </c>
      <c r="G77" s="3695">
        <f t="shared" si="50"/>
        <v>-16</v>
      </c>
      <c r="H77" s="3731">
        <f t="shared" si="51"/>
        <v>-19</v>
      </c>
      <c r="I77" s="3695">
        <f t="shared" si="52"/>
        <v>-18.212999999999965</v>
      </c>
      <c r="J77" s="3695">
        <f t="shared" si="53"/>
        <v>-16.59344400000009</v>
      </c>
      <c r="K77" s="3695">
        <f t="shared" si="54"/>
        <v>-15.028129115999945</v>
      </c>
      <c r="L77" s="3695">
        <f t="shared" si="55"/>
        <v>-13.511654268839948</v>
      </c>
      <c r="M77" s="3690"/>
      <c r="N77" s="3696"/>
      <c r="O77" s="3695">
        <f t="shared" si="56"/>
        <v>-266.2002445008402</v>
      </c>
      <c r="P77" s="3695">
        <f t="shared" si="56"/>
        <v>-108.7559951099829</v>
      </c>
      <c r="Q77" s="3695">
        <f t="shared" si="56"/>
        <v>-53.290437603891405</v>
      </c>
      <c r="R77" s="3695">
        <f t="shared" si="56"/>
        <v>0</v>
      </c>
      <c r="S77" s="3695">
        <f t="shared" si="56"/>
        <v>52.757533227852946</v>
      </c>
      <c r="T77" s="3731">
        <f t="shared" si="56"/>
        <v>53.285108560131448</v>
      </c>
    </row>
    <row r="78" spans="1:20">
      <c r="A78" s="3726"/>
      <c r="B78" s="3696"/>
      <c r="C78" s="3696" t="str">
        <f t="shared" si="47"/>
        <v>Regulatory</v>
      </c>
      <c r="D78" s="3696"/>
      <c r="E78" s="3730">
        <f t="shared" si="48"/>
        <v>-2</v>
      </c>
      <c r="F78" s="3695">
        <f t="shared" si="49"/>
        <v>11</v>
      </c>
      <c r="G78" s="3695">
        <f t="shared" si="50"/>
        <v>1</v>
      </c>
      <c r="H78" s="3731">
        <f t="shared" si="51"/>
        <v>3</v>
      </c>
      <c r="I78" s="3695">
        <f t="shared" si="52"/>
        <v>1.8900000000000148</v>
      </c>
      <c r="J78" s="3695">
        <f t="shared" si="53"/>
        <v>1.9088999999999885</v>
      </c>
      <c r="K78" s="3695">
        <f t="shared" si="54"/>
        <v>1.9279889999999966</v>
      </c>
      <c r="L78" s="3695">
        <f t="shared" si="55"/>
        <v>1.9472688900000037</v>
      </c>
      <c r="M78" s="3690"/>
      <c r="N78" s="3696"/>
      <c r="O78" s="3695">
        <f t="shared" si="56"/>
        <v>41.089946889999965</v>
      </c>
      <c r="P78" s="3695">
        <f t="shared" si="56"/>
        <v>3.8754497344499441</v>
      </c>
      <c r="Q78" s="3695">
        <f t="shared" si="56"/>
        <v>3.8948269831221296</v>
      </c>
      <c r="R78" s="3695">
        <f t="shared" si="56"/>
        <v>3.9143011180377698</v>
      </c>
      <c r="S78" s="3695">
        <f t="shared" si="56"/>
        <v>3.9338726236279626</v>
      </c>
      <c r="T78" s="3731">
        <f t="shared" si="56"/>
        <v>3.9535419867461314</v>
      </c>
    </row>
    <row r="79" spans="1:20" s="285" customFormat="1">
      <c r="A79" s="2581"/>
      <c r="B79" s="115"/>
      <c r="C79" s="115" t="str">
        <f t="shared" si="47"/>
        <v>Total</v>
      </c>
      <c r="D79" s="115"/>
      <c r="E79" s="3753">
        <f t="shared" si="48"/>
        <v>-62</v>
      </c>
      <c r="F79" s="3626">
        <f t="shared" si="49"/>
        <v>-10</v>
      </c>
      <c r="G79" s="3626">
        <f t="shared" si="50"/>
        <v>-7</v>
      </c>
      <c r="H79" s="3625">
        <f t="shared" si="51"/>
        <v>-28</v>
      </c>
      <c r="I79" s="3626">
        <f t="shared" si="52"/>
        <v>-20.579999999999018</v>
      </c>
      <c r="J79" s="3626">
        <f t="shared" si="53"/>
        <v>-17.941363000001729</v>
      </c>
      <c r="K79" s="3626">
        <f t="shared" si="54"/>
        <v>-15.362396369000635</v>
      </c>
      <c r="L79" s="3626">
        <f t="shared" si="55"/>
        <v>-12.837409145250604</v>
      </c>
      <c r="M79" s="3690"/>
      <c r="N79" s="115"/>
      <c r="O79" s="3626">
        <f t="shared" si="56"/>
        <v>-287.70629088325586</v>
      </c>
      <c r="P79" s="3626">
        <f t="shared" si="56"/>
        <v>-253.16490782849723</v>
      </c>
      <c r="Q79" s="3626">
        <f t="shared" si="56"/>
        <v>-196.73221542570536</v>
      </c>
      <c r="R79" s="3626">
        <f t="shared" si="56"/>
        <v>-151.36090574702757</v>
      </c>
      <c r="S79" s="3626">
        <f t="shared" si="56"/>
        <v>-71.297462583803281</v>
      </c>
      <c r="T79" s="3625">
        <f t="shared" si="56"/>
        <v>-47.682425981318374</v>
      </c>
    </row>
    <row r="80" spans="1:20">
      <c r="A80" s="4113"/>
      <c r="B80" s="4114"/>
      <c r="C80" s="4114"/>
      <c r="D80" s="4114"/>
      <c r="E80" s="4113"/>
      <c r="F80" s="4114"/>
      <c r="G80" s="4114"/>
      <c r="H80" s="4115"/>
      <c r="I80" s="4114"/>
      <c r="J80" s="4114"/>
      <c r="K80" s="4114"/>
      <c r="L80" s="4114"/>
      <c r="M80" s="3690"/>
      <c r="N80" s="4114"/>
      <c r="O80" s="4114"/>
      <c r="P80" s="4114"/>
      <c r="Q80" s="4114"/>
      <c r="R80" s="4114"/>
      <c r="S80" s="4114"/>
      <c r="T80" s="4115"/>
    </row>
  </sheetData>
  <pageMargins left="0.7" right="0.7" top="0.75" bottom="0.75" header="0.3" footer="0.3"/>
  <pageSetup scale="65" fitToHeight="0" orientation="landscape"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autoPageBreaks="0"/>
  </sheetPr>
  <dimension ref="A1:AI100"/>
  <sheetViews>
    <sheetView showGridLines="0" topLeftCell="A7" zoomScale="85" zoomScaleNormal="85" workbookViewId="0">
      <selection activeCell="S26" sqref="S26"/>
    </sheetView>
  </sheetViews>
  <sheetFormatPr defaultRowHeight="12.75" outlineLevelRow="1" outlineLevelCol="1"/>
  <cols>
    <col min="1" max="1" width="6" style="3327" customWidth="1"/>
    <col min="2" max="2" width="28.140625" style="3327" customWidth="1"/>
    <col min="3" max="4" width="10.140625" style="3327" customWidth="1" outlineLevel="1"/>
    <col min="5" max="9" width="10.140625" style="3327" customWidth="1"/>
    <col min="10" max="12" width="10.140625" style="3327" customWidth="1" outlineLevel="1"/>
    <col min="13" max="13" width="6.28515625" style="3327" customWidth="1"/>
    <col min="14" max="17" width="10.140625" style="3327" customWidth="1" outlineLevel="1"/>
    <col min="18" max="21" width="10.140625" style="3617" customWidth="1" outlineLevel="1"/>
    <col min="22" max="25" width="10.140625" customWidth="1" outlineLevel="1"/>
    <col min="26" max="30" width="10.140625" customWidth="1"/>
  </cols>
  <sheetData>
    <row r="1" spans="2:35" s="3327" customFormat="1">
      <c r="AD1" s="3673"/>
      <c r="AE1" s="3673"/>
      <c r="AF1" s="3673"/>
      <c r="AG1" s="3673"/>
      <c r="AH1" s="3673"/>
      <c r="AI1" s="3673"/>
    </row>
    <row r="2" spans="2:35" s="3327" customFormat="1">
      <c r="AD2" s="3673"/>
      <c r="AE2" s="3673"/>
      <c r="AF2" s="3673"/>
      <c r="AG2" s="3673"/>
      <c r="AH2" s="3673"/>
      <c r="AI2" s="3673"/>
    </row>
    <row r="3" spans="2:35" s="3327" customFormat="1">
      <c r="G3" s="3633"/>
      <c r="H3" s="3633"/>
      <c r="I3" s="3633"/>
      <c r="AB3" s="3681"/>
      <c r="AC3" s="3363"/>
      <c r="AD3" s="3673"/>
      <c r="AE3" s="3673"/>
      <c r="AF3" s="3673"/>
      <c r="AG3" s="3673"/>
      <c r="AH3" s="3673"/>
      <c r="AI3" s="3673"/>
    </row>
    <row r="4" spans="2:35" s="3327" customFormat="1">
      <c r="AD4" s="3673"/>
      <c r="AE4" s="3673"/>
      <c r="AF4" s="3673"/>
      <c r="AG4" s="3673"/>
      <c r="AH4" s="3673"/>
      <c r="AI4" s="3673"/>
    </row>
    <row r="5" spans="2:35" s="3327" customFormat="1">
      <c r="AD5" s="3673"/>
      <c r="AE5" s="3673"/>
      <c r="AF5" s="3673"/>
      <c r="AG5" s="3673"/>
      <c r="AH5" s="3673"/>
      <c r="AI5" s="3673"/>
    </row>
    <row r="6" spans="2:35" s="3327" customFormat="1">
      <c r="AD6" s="3673"/>
      <c r="AE6" s="3673"/>
      <c r="AF6" s="3673"/>
      <c r="AG6" s="3673"/>
      <c r="AH6" s="3673"/>
      <c r="AI6" s="3673"/>
    </row>
    <row r="7" spans="2:35" s="3327" customFormat="1">
      <c r="B7" s="3756" t="s">
        <v>1982</v>
      </c>
      <c r="C7" s="3685" t="str">
        <f>IS!O8</f>
        <v>2014</v>
      </c>
      <c r="D7" s="3685" t="str">
        <f>IS!P8</f>
        <v>2015</v>
      </c>
      <c r="E7" s="3750" t="str">
        <f>IS!Q8</f>
        <v>2016</v>
      </c>
      <c r="F7" s="3685" t="str">
        <f>IS!R8</f>
        <v>2017</v>
      </c>
      <c r="G7" s="3685" t="str">
        <f>IS!S8</f>
        <v>2018E</v>
      </c>
      <c r="H7" s="3685" t="str">
        <f>IS!T8</f>
        <v>2019E</v>
      </c>
      <c r="I7" s="3685" t="str">
        <f>IS!U8</f>
        <v>2020E</v>
      </c>
      <c r="J7" s="3685" t="str">
        <f>IS!V8</f>
        <v>2021E</v>
      </c>
      <c r="K7" s="3685" t="str">
        <f>IS!W8</f>
        <v>2022E</v>
      </c>
      <c r="L7" s="3685" t="str">
        <f>IS!X8</f>
        <v>2023E</v>
      </c>
      <c r="M7" s="3687"/>
      <c r="N7" s="3639" t="str">
        <f>IS!BS8</f>
        <v>1Q14</v>
      </c>
      <c r="O7" s="3639" t="str">
        <f>IS!BT8</f>
        <v>2Q14</v>
      </c>
      <c r="P7" s="3639" t="str">
        <f>IS!BU8</f>
        <v>3Q14</v>
      </c>
      <c r="Q7" s="3639" t="str">
        <f>IS!BV8</f>
        <v>4Q14</v>
      </c>
      <c r="R7" s="3700" t="str">
        <f>IS!BW8</f>
        <v>1Q15</v>
      </c>
      <c r="S7" s="3701" t="str">
        <f>IS!BX8</f>
        <v>2Q15</v>
      </c>
      <c r="T7" s="3701" t="str">
        <f>IS!BY8</f>
        <v>3Q15</v>
      </c>
      <c r="U7" s="3702" t="str">
        <f>IS!BZ8</f>
        <v>4Q15</v>
      </c>
      <c r="V7" s="3700" t="str">
        <f>IS!CA8</f>
        <v>1Q16</v>
      </c>
      <c r="W7" s="3701" t="str">
        <f>IS!CB8</f>
        <v>2Q16</v>
      </c>
      <c r="X7" s="3701" t="str">
        <f>IS!CC8</f>
        <v>3Q16</v>
      </c>
      <c r="Y7" s="3702" t="str">
        <f>IS!CD8</f>
        <v>4Q16</v>
      </c>
      <c r="Z7" s="3700" t="str">
        <f>IS!CE8</f>
        <v>1Q17</v>
      </c>
      <c r="AA7" s="3701" t="str">
        <f>IS!CF8</f>
        <v>2Q17</v>
      </c>
      <c r="AB7" s="3701" t="str">
        <f>IS!CG8</f>
        <v>3Q17</v>
      </c>
      <c r="AC7" s="3702" t="str">
        <f>IS!CH8</f>
        <v>4Q17</v>
      </c>
      <c r="AD7" s="3700" t="str">
        <f>IS!CI8</f>
        <v>1Q18E</v>
      </c>
      <c r="AE7" s="3701" t="str">
        <f>IS!CJ8</f>
        <v>2Q18E</v>
      </c>
      <c r="AF7" s="3701" t="str">
        <f>IS!CK8</f>
        <v>3Q18E</v>
      </c>
      <c r="AG7" s="3702" t="str">
        <f>IS!CL8</f>
        <v>4Q18E</v>
      </c>
    </row>
    <row r="8" spans="2:35" s="3327" customFormat="1">
      <c r="B8" s="3755" t="s">
        <v>1935</v>
      </c>
      <c r="C8" s="3682">
        <f>+SUM(N8:Q8)</f>
        <v>18027</v>
      </c>
      <c r="D8" s="3682">
        <f>+SUM(R8:U8)</f>
        <v>17900</v>
      </c>
      <c r="E8" s="3751">
        <f>+SUM(V8:Y8)</f>
        <v>17470</v>
      </c>
      <c r="F8" s="3682">
        <f>+SUM(Z8:AC8)</f>
        <v>16297</v>
      </c>
      <c r="G8" s="3682">
        <f>+SUM(AD8:AG8)</f>
        <v>15769.312999999998</v>
      </c>
      <c r="H8" s="3682">
        <f>Subscribers!U154</f>
        <v>15411.818115535565</v>
      </c>
      <c r="I8" s="3682">
        <f>Subscribers!V154</f>
        <v>15065.560315915747</v>
      </c>
      <c r="J8" s="3682">
        <f>Subscribers!W154</f>
        <v>14778.702842885672</v>
      </c>
      <c r="K8" s="3682">
        <f>Subscribers!X154</f>
        <v>14545.778436884619</v>
      </c>
      <c r="L8" s="3682">
        <f>Subscribers!Y154</f>
        <v>14361.943445609377</v>
      </c>
      <c r="M8" s="3688"/>
      <c r="N8" s="3671">
        <f>Subscribers!CA154</f>
        <v>4538</v>
      </c>
      <c r="O8" s="3671">
        <f>Subscribers!CB154</f>
        <v>4540</v>
      </c>
      <c r="P8" s="3671">
        <f>Subscribers!CC154</f>
        <v>4513</v>
      </c>
      <c r="Q8" s="3671">
        <f>Subscribers!CD154</f>
        <v>4436</v>
      </c>
      <c r="R8" s="3703">
        <f>Subscribers!CE154</f>
        <v>4451</v>
      </c>
      <c r="S8" s="3704">
        <f>Subscribers!CF154</f>
        <v>4419</v>
      </c>
      <c r="T8" s="3704">
        <f>Subscribers!CG154</f>
        <v>4554</v>
      </c>
      <c r="U8" s="3705">
        <f>Subscribers!CH154</f>
        <v>4476</v>
      </c>
      <c r="V8" s="3703">
        <f>Subscribers!CI154</f>
        <v>4401</v>
      </c>
      <c r="W8" s="3704">
        <f>Subscribers!CJ154</f>
        <v>4398</v>
      </c>
      <c r="X8" s="3704">
        <f>Subscribers!CK154</f>
        <v>4382</v>
      </c>
      <c r="Y8" s="3705">
        <f>Subscribers!CL154</f>
        <v>4289</v>
      </c>
      <c r="Z8" s="3703">
        <f>Subscribers!CM154</f>
        <v>4209</v>
      </c>
      <c r="AA8" s="3704">
        <f>Subscribers!CN154</f>
        <v>4090</v>
      </c>
      <c r="AB8" s="3704">
        <f>Subscribers!CO154</f>
        <v>4034</v>
      </c>
      <c r="AC8" s="3705">
        <f>Subscribers!CP154</f>
        <v>3964</v>
      </c>
      <c r="AD8" s="3703">
        <f>Subscribers!CQ154</f>
        <v>3994.67</v>
      </c>
      <c r="AE8" s="3704">
        <f>Subscribers!CR154</f>
        <v>3956.723</v>
      </c>
      <c r="AF8" s="3704">
        <f>Subscribers!CS154</f>
        <v>3936.3</v>
      </c>
      <c r="AG8" s="3705">
        <f>Subscribers!CT154</f>
        <v>3881.62</v>
      </c>
    </row>
    <row r="9" spans="2:35" s="3327" customFormat="1">
      <c r="B9" s="3726" t="s">
        <v>1979</v>
      </c>
      <c r="C9" s="3363">
        <f>+SUM(N9:Q9)</f>
        <v>7796</v>
      </c>
      <c r="D9" s="3363">
        <f>+SUM(R9:U9)</f>
        <v>7764</v>
      </c>
      <c r="E9" s="3730">
        <f>+SUM(V9:Y9)</f>
        <v>7774</v>
      </c>
      <c r="F9" s="3363">
        <f>+SUM(Z9:AC9)</f>
        <v>7532.4040000000005</v>
      </c>
      <c r="G9" s="3363">
        <f>+SUM(AD9:AG9)</f>
        <v>7389.2582692493625</v>
      </c>
      <c r="H9" s="3363">
        <f t="shared" ref="H9:L10" si="0">+H$8*H42</f>
        <v>7243.5545143017152</v>
      </c>
      <c r="I9" s="3363">
        <f t="shared" si="0"/>
        <v>7095.8789087963169</v>
      </c>
      <c r="J9" s="3363">
        <f t="shared" si="0"/>
        <v>6960.7690389991512</v>
      </c>
      <c r="K9" s="3363">
        <f t="shared" si="0"/>
        <v>6851.0616437726549</v>
      </c>
      <c r="L9" s="3363">
        <f t="shared" si="0"/>
        <v>6764.4753628820163</v>
      </c>
      <c r="M9" s="3686"/>
      <c r="N9" s="3641">
        <f>IS!BS32</f>
        <v>1931</v>
      </c>
      <c r="O9" s="3641">
        <f>IS!BT32</f>
        <v>1956</v>
      </c>
      <c r="P9" s="3641">
        <f>IS!BU32</f>
        <v>1973</v>
      </c>
      <c r="Q9" s="3641">
        <f>IS!BV32</f>
        <v>1936</v>
      </c>
      <c r="R9" s="3698">
        <f>IS!BW32</f>
        <v>1908</v>
      </c>
      <c r="S9" s="3362">
        <f>IS!BX32</f>
        <v>1956</v>
      </c>
      <c r="T9" s="3362">
        <f>IS!BY32</f>
        <v>1988</v>
      </c>
      <c r="U9" s="3699">
        <f>IS!BZ32</f>
        <v>1912</v>
      </c>
      <c r="V9" s="3698">
        <f>IS!CA32</f>
        <v>1900</v>
      </c>
      <c r="W9" s="3362">
        <f>IS!CB32</f>
        <v>1949</v>
      </c>
      <c r="X9" s="3362">
        <f>IS!CC32</f>
        <v>1996</v>
      </c>
      <c r="Y9" s="3699">
        <f>IS!CD32</f>
        <v>1929</v>
      </c>
      <c r="Z9" s="3698">
        <f>IS!CE32</f>
        <v>1888</v>
      </c>
      <c r="AA9" s="3362">
        <f>IS!CF32</f>
        <v>1890</v>
      </c>
      <c r="AB9" s="3362">
        <f>IS!CG32</f>
        <v>1927</v>
      </c>
      <c r="AC9" s="3699">
        <f>+AC$8*AC42</f>
        <v>1827.404</v>
      </c>
      <c r="AD9" s="3698">
        <f t="shared" ref="AD9:AG9" si="1">+AD$8*AD42</f>
        <v>1835.5138889237621</v>
      </c>
      <c r="AE9" s="3362">
        <f t="shared" si="1"/>
        <v>1849.9925710426514</v>
      </c>
      <c r="AF9" s="3362">
        <f t="shared" si="1"/>
        <v>1884.1331936404965</v>
      </c>
      <c r="AG9" s="3699">
        <f t="shared" si="1"/>
        <v>1819.6186156424519</v>
      </c>
    </row>
    <row r="10" spans="2:35" s="3327" customFormat="1">
      <c r="B10" s="3726" t="s">
        <v>159</v>
      </c>
      <c r="C10" s="3363">
        <f>+SUM(N10:Q10)</f>
        <v>3179</v>
      </c>
      <c r="D10" s="3363">
        <f>+SUM(R10:U10)</f>
        <v>3202</v>
      </c>
      <c r="E10" s="3730">
        <f>+SUM(V10:Y10)</f>
        <v>3447</v>
      </c>
      <c r="F10" s="3363">
        <f>+SUM(Z10:AC10)</f>
        <v>3085.808</v>
      </c>
      <c r="G10" s="3363">
        <f>+SUM(AD10:AG10)</f>
        <v>2739.8419514710031</v>
      </c>
      <c r="H10" s="3363">
        <f t="shared" si="0"/>
        <v>2670.0230333118284</v>
      </c>
      <c r="I10" s="3363">
        <f t="shared" si="0"/>
        <v>2602.5027621571498</v>
      </c>
      <c r="J10" s="3363">
        <f t="shared" si="0"/>
        <v>2545.5601680914547</v>
      </c>
      <c r="K10" s="3363">
        <f t="shared" si="0"/>
        <v>2498.1671752078878</v>
      </c>
      <c r="L10" s="3363">
        <f t="shared" si="0"/>
        <v>2459.4134318488886</v>
      </c>
      <c r="M10" s="3686"/>
      <c r="N10" s="3641">
        <f>IS!BS39</f>
        <v>819</v>
      </c>
      <c r="O10" s="3641">
        <f>IS!BT39</f>
        <v>772</v>
      </c>
      <c r="P10" s="3641">
        <f>IS!BU39</f>
        <v>795</v>
      </c>
      <c r="Q10" s="3641">
        <f>IS!BV39</f>
        <v>793</v>
      </c>
      <c r="R10" s="3698">
        <f>IS!BW39</f>
        <v>819</v>
      </c>
      <c r="S10" s="3362">
        <f>IS!BX39</f>
        <v>841</v>
      </c>
      <c r="T10" s="3362">
        <f>IS!BY39</f>
        <v>790</v>
      </c>
      <c r="U10" s="3699">
        <f>IS!BZ39</f>
        <v>752</v>
      </c>
      <c r="V10" s="3698">
        <f>IS!CA39</f>
        <v>837</v>
      </c>
      <c r="W10" s="3362">
        <f>IS!CB39</f>
        <v>815</v>
      </c>
      <c r="X10" s="3362">
        <f>IS!CC39</f>
        <v>798</v>
      </c>
      <c r="Y10" s="3699">
        <f>IS!CD39</f>
        <v>997</v>
      </c>
      <c r="Z10" s="3698">
        <f>IS!CE39</f>
        <v>810</v>
      </c>
      <c r="AA10" s="3362">
        <f>IS!CF39</f>
        <v>884</v>
      </c>
      <c r="AB10" s="3362">
        <f>IS!CG39</f>
        <v>710</v>
      </c>
      <c r="AC10" s="3699">
        <f t="shared" ref="AC10:AG10" si="2">+AC$8*AC43</f>
        <v>681.80799999999999</v>
      </c>
      <c r="AD10" s="3698">
        <f t="shared" si="2"/>
        <v>692.07900729912342</v>
      </c>
      <c r="AE10" s="3362">
        <f t="shared" si="2"/>
        <v>681.84008038428351</v>
      </c>
      <c r="AF10" s="3362">
        <f t="shared" si="2"/>
        <v>701.5389550789082</v>
      </c>
      <c r="AG10" s="3699">
        <f t="shared" si="2"/>
        <v>664.38390870868818</v>
      </c>
    </row>
    <row r="11" spans="2:35" s="3327" customFormat="1">
      <c r="B11" s="3726" t="s">
        <v>1988</v>
      </c>
      <c r="C11" s="3363">
        <f>+SUM(N11:Q11)</f>
        <v>0</v>
      </c>
      <c r="D11" s="3363">
        <f>+SUM(R11:U11)</f>
        <v>0</v>
      </c>
      <c r="E11" s="3730">
        <f>+SUM(V11:Y11)</f>
        <v>-264</v>
      </c>
      <c r="F11" s="3363">
        <f>+SUM(Z11:AC11)</f>
        <v>-147</v>
      </c>
      <c r="G11" s="3363">
        <f>+SUM(AD11:AG11)</f>
        <v>0</v>
      </c>
      <c r="H11" s="3363">
        <f>+G11</f>
        <v>0</v>
      </c>
      <c r="I11" s="3363">
        <f>+H11</f>
        <v>0</v>
      </c>
      <c r="J11" s="3363">
        <f>+I11</f>
        <v>0</v>
      </c>
      <c r="K11" s="3363">
        <f>+J11</f>
        <v>0</v>
      </c>
      <c r="L11" s="3363">
        <f>+K11</f>
        <v>0</v>
      </c>
      <c r="M11" s="3686"/>
      <c r="N11" s="3641">
        <f t="shared" ref="N11:U11" si="3">+N8-N13-N9-N10</f>
        <v>0</v>
      </c>
      <c r="O11" s="3641">
        <f t="shared" si="3"/>
        <v>0</v>
      </c>
      <c r="P11" s="3641">
        <f t="shared" si="3"/>
        <v>0</v>
      </c>
      <c r="Q11" s="3641">
        <f t="shared" si="3"/>
        <v>0</v>
      </c>
      <c r="R11" s="3698">
        <f t="shared" si="3"/>
        <v>0</v>
      </c>
      <c r="S11" s="3362">
        <f t="shared" si="3"/>
        <v>0</v>
      </c>
      <c r="T11" s="3362">
        <f t="shared" si="3"/>
        <v>0</v>
      </c>
      <c r="U11" s="3699">
        <f t="shared" si="3"/>
        <v>0</v>
      </c>
      <c r="V11" s="3698">
        <f t="shared" ref="V11:AB11" si="4">+V8-V13-V9-V10</f>
        <v>-20</v>
      </c>
      <c r="W11" s="3362">
        <f t="shared" si="4"/>
        <v>-14</v>
      </c>
      <c r="X11" s="3362">
        <f t="shared" si="4"/>
        <v>-8</v>
      </c>
      <c r="Y11" s="3699">
        <f t="shared" si="4"/>
        <v>-222</v>
      </c>
      <c r="Z11" s="3698">
        <f t="shared" si="4"/>
        <v>-21</v>
      </c>
      <c r="AA11" s="3362">
        <f t="shared" si="4"/>
        <v>-126</v>
      </c>
      <c r="AB11" s="3362">
        <f t="shared" si="4"/>
        <v>0</v>
      </c>
      <c r="AC11" s="3699">
        <f>+AB11</f>
        <v>0</v>
      </c>
      <c r="AD11" s="3698">
        <f>+AC11</f>
        <v>0</v>
      </c>
      <c r="AE11" s="3362">
        <f>+AD11</f>
        <v>0</v>
      </c>
      <c r="AF11" s="3362">
        <f>+AE11</f>
        <v>0</v>
      </c>
      <c r="AG11" s="3699">
        <f>+AF11</f>
        <v>0</v>
      </c>
    </row>
    <row r="12" spans="2:35" s="3327" customFormat="1">
      <c r="B12" s="3726" t="s">
        <v>1980</v>
      </c>
      <c r="C12" s="3363">
        <f t="shared" ref="C12:L12" si="5">+SUM(C9:C11)</f>
        <v>10975</v>
      </c>
      <c r="D12" s="3363">
        <f t="shared" si="5"/>
        <v>10966</v>
      </c>
      <c r="E12" s="3730">
        <f t="shared" si="5"/>
        <v>10957</v>
      </c>
      <c r="F12" s="3363">
        <f t="shared" si="5"/>
        <v>10471.212</v>
      </c>
      <c r="G12" s="3363">
        <f t="shared" si="5"/>
        <v>10129.100220720366</v>
      </c>
      <c r="H12" s="3363">
        <f t="shared" si="5"/>
        <v>9913.5775476135441</v>
      </c>
      <c r="I12" s="3363">
        <f t="shared" si="5"/>
        <v>9698.3816709534658</v>
      </c>
      <c r="J12" s="3363">
        <f t="shared" si="5"/>
        <v>9506.3292070906064</v>
      </c>
      <c r="K12" s="3363">
        <f t="shared" si="5"/>
        <v>9349.2288189805422</v>
      </c>
      <c r="L12" s="3363">
        <f t="shared" si="5"/>
        <v>9223.8887947309049</v>
      </c>
      <c r="M12" s="3686"/>
      <c r="N12" s="3641">
        <f>+SUM(N9:N11)</f>
        <v>2750</v>
      </c>
      <c r="O12" s="3641">
        <f>+SUM(O9:O11)</f>
        <v>2728</v>
      </c>
      <c r="P12" s="3641">
        <f>+SUM(P9:P11)</f>
        <v>2768</v>
      </c>
      <c r="Q12" s="3641">
        <f>+SUM(Q9:Q11)</f>
        <v>2729</v>
      </c>
      <c r="R12" s="3698">
        <f>+SUM(R9:R11)</f>
        <v>2727</v>
      </c>
      <c r="S12" s="3362">
        <f t="shared" ref="S12:AB12" si="6">+SUM(S9:S11)</f>
        <v>2797</v>
      </c>
      <c r="T12" s="3362">
        <f t="shared" si="6"/>
        <v>2778</v>
      </c>
      <c r="U12" s="3699">
        <f t="shared" si="6"/>
        <v>2664</v>
      </c>
      <c r="V12" s="3698">
        <f t="shared" si="6"/>
        <v>2717</v>
      </c>
      <c r="W12" s="3362">
        <f t="shared" si="6"/>
        <v>2750</v>
      </c>
      <c r="X12" s="3362">
        <f t="shared" si="6"/>
        <v>2786</v>
      </c>
      <c r="Y12" s="3699">
        <f t="shared" si="6"/>
        <v>2704</v>
      </c>
      <c r="Z12" s="3698">
        <f t="shared" si="6"/>
        <v>2677</v>
      </c>
      <c r="AA12" s="3362">
        <f t="shared" si="6"/>
        <v>2648</v>
      </c>
      <c r="AB12" s="3362">
        <f t="shared" si="6"/>
        <v>2637</v>
      </c>
      <c r="AC12" s="3699">
        <f>+SUM(AC9:AC11)</f>
        <v>2509.212</v>
      </c>
      <c r="AD12" s="3698">
        <f>+SUM(AD9:AD11)</f>
        <v>2527.5928962228854</v>
      </c>
      <c r="AE12" s="3362">
        <f>+SUM(AE9:AE11)</f>
        <v>2531.8326514269347</v>
      </c>
      <c r="AF12" s="3362">
        <f>+SUM(AF9:AF11)</f>
        <v>2585.6721487194045</v>
      </c>
      <c r="AG12" s="3699">
        <f>+SUM(AG9:AG11)</f>
        <v>2484.00252435114</v>
      </c>
    </row>
    <row r="13" spans="2:35" s="3327" customFormat="1">
      <c r="B13" s="3726" t="s">
        <v>1989</v>
      </c>
      <c r="C13" s="3363">
        <f>+SUM(N13:Q13)</f>
        <v>7052</v>
      </c>
      <c r="D13" s="3363">
        <f>+SUM(R13:U13)</f>
        <v>6934</v>
      </c>
      <c r="E13" s="3730">
        <f>+E8-E12</f>
        <v>6513</v>
      </c>
      <c r="F13" s="3363">
        <f t="shared" ref="F13:L13" si="7">+F8-F12</f>
        <v>5825.7880000000005</v>
      </c>
      <c r="G13" s="3363">
        <f t="shared" si="7"/>
        <v>5640.2127792796327</v>
      </c>
      <c r="H13" s="3363">
        <f t="shared" si="7"/>
        <v>5498.240567922021</v>
      </c>
      <c r="I13" s="3363">
        <f t="shared" si="7"/>
        <v>5367.1786449622814</v>
      </c>
      <c r="J13" s="3363">
        <f t="shared" si="7"/>
        <v>5272.3736357950656</v>
      </c>
      <c r="K13" s="3363">
        <f t="shared" si="7"/>
        <v>5196.5496179040765</v>
      </c>
      <c r="L13" s="3363">
        <f t="shared" si="7"/>
        <v>5138.0546508784719</v>
      </c>
      <c r="M13" s="3686"/>
      <c r="N13" s="3641">
        <f>IS!BS60</f>
        <v>1788</v>
      </c>
      <c r="O13" s="3641">
        <f>IS!BT60</f>
        <v>1812</v>
      </c>
      <c r="P13" s="3641">
        <f>IS!BU60</f>
        <v>1745</v>
      </c>
      <c r="Q13" s="3641">
        <f>IS!BV60</f>
        <v>1707</v>
      </c>
      <c r="R13" s="3698">
        <f>IS!BW60</f>
        <v>1724</v>
      </c>
      <c r="S13" s="3362">
        <f>IS!BX60</f>
        <v>1622</v>
      </c>
      <c r="T13" s="3362">
        <f>IS!BY60</f>
        <v>1776</v>
      </c>
      <c r="U13" s="3699">
        <f>IS!BZ60</f>
        <v>1812</v>
      </c>
      <c r="V13" s="3698">
        <f>IS!CA60</f>
        <v>1684</v>
      </c>
      <c r="W13" s="3362">
        <f>IS!CB60</f>
        <v>1648</v>
      </c>
      <c r="X13" s="3362">
        <f>IS!CC60</f>
        <v>1596</v>
      </c>
      <c r="Y13" s="3699">
        <f>IS!CD60</f>
        <v>1585</v>
      </c>
      <c r="Z13" s="3698">
        <f>IS!CE60</f>
        <v>1532</v>
      </c>
      <c r="AA13" s="3362">
        <f>IS!CF60</f>
        <v>1442</v>
      </c>
      <c r="AB13" s="3362">
        <f>IS!CG60</f>
        <v>1397</v>
      </c>
      <c r="AC13" s="3699">
        <f>+AC8-AC12</f>
        <v>1454.788</v>
      </c>
      <c r="AD13" s="3698">
        <f>+AD8-AD12</f>
        <v>1467.0771037771146</v>
      </c>
      <c r="AE13" s="3362">
        <f>+AE8-AE12</f>
        <v>1424.8903485730652</v>
      </c>
      <c r="AF13" s="3362">
        <f>+AF8-AF12</f>
        <v>1350.6278512805957</v>
      </c>
      <c r="AG13" s="3699">
        <f>+AG8-AG12</f>
        <v>1397.6174756488599</v>
      </c>
    </row>
    <row r="14" spans="2:35" s="3327" customFormat="1">
      <c r="B14" s="3790" t="s">
        <v>1990</v>
      </c>
      <c r="C14" s="3344">
        <f t="shared" ref="C14:L14" si="8">+C13/C8</f>
        <v>0.39119099129084151</v>
      </c>
      <c r="D14" s="3344">
        <f t="shared" si="8"/>
        <v>0.38737430167597764</v>
      </c>
      <c r="E14" s="3752">
        <f t="shared" si="8"/>
        <v>0.37281053234115624</v>
      </c>
      <c r="F14" s="3344">
        <f t="shared" si="8"/>
        <v>0.35747609989568635</v>
      </c>
      <c r="G14" s="3344">
        <f t="shared" si="8"/>
        <v>0.35767016478648328</v>
      </c>
      <c r="H14" s="3344">
        <f t="shared" si="8"/>
        <v>0.35675483104615885</v>
      </c>
      <c r="I14" s="3344">
        <f t="shared" si="8"/>
        <v>0.35625483104615896</v>
      </c>
      <c r="J14" s="3344">
        <f t="shared" si="8"/>
        <v>0.35675483104615885</v>
      </c>
      <c r="K14" s="3344">
        <f t="shared" si="8"/>
        <v>0.35725483104615896</v>
      </c>
      <c r="L14" s="3344">
        <f t="shared" si="8"/>
        <v>0.35775483104615891</v>
      </c>
      <c r="M14" s="3689"/>
      <c r="N14" s="3634">
        <f>+N13/N8</f>
        <v>0.39400617011899514</v>
      </c>
      <c r="O14" s="3634">
        <f t="shared" ref="O14:AC14" si="9">+O13/O8</f>
        <v>0.39911894273127752</v>
      </c>
      <c r="P14" s="3634">
        <f t="shared" si="9"/>
        <v>0.38666075781076886</v>
      </c>
      <c r="Q14" s="3634">
        <f t="shared" si="9"/>
        <v>0.38480613165013527</v>
      </c>
      <c r="R14" s="3706">
        <f t="shared" si="9"/>
        <v>0.38732869018198157</v>
      </c>
      <c r="S14" s="3707">
        <f t="shared" si="9"/>
        <v>0.36705136908802899</v>
      </c>
      <c r="T14" s="3707">
        <f t="shared" si="9"/>
        <v>0.38998682476943347</v>
      </c>
      <c r="U14" s="3708">
        <f t="shared" si="9"/>
        <v>0.40482573726541554</v>
      </c>
      <c r="V14" s="3706">
        <f t="shared" si="9"/>
        <v>0.38264030902067714</v>
      </c>
      <c r="W14" s="3707">
        <f t="shared" si="9"/>
        <v>0.37471577989995453</v>
      </c>
      <c r="X14" s="3707">
        <f t="shared" si="9"/>
        <v>0.36421725239616615</v>
      </c>
      <c r="Y14" s="3708">
        <f t="shared" si="9"/>
        <v>0.36955001165772905</v>
      </c>
      <c r="Z14" s="3706">
        <f t="shared" si="9"/>
        <v>0.36398194345450224</v>
      </c>
      <c r="AA14" s="3707">
        <f t="shared" si="9"/>
        <v>0.35256723716381416</v>
      </c>
      <c r="AB14" s="3707">
        <f t="shared" si="9"/>
        <v>0.34630639563708476</v>
      </c>
      <c r="AC14" s="3708">
        <f t="shared" si="9"/>
        <v>0.36699999999999999</v>
      </c>
      <c r="AD14" s="3706">
        <f>+AD13/AD8</f>
        <v>0.36725864809286241</v>
      </c>
      <c r="AE14" s="3707">
        <f>+AE13/AE8</f>
        <v>0.36011880249718398</v>
      </c>
      <c r="AF14" s="3707">
        <f>+AF13/AF8</f>
        <v>0.34312116741117182</v>
      </c>
      <c r="AG14" s="3708">
        <f>+AG13/AG8</f>
        <v>0.36006035512205214</v>
      </c>
    </row>
    <row r="15" spans="2:35" s="3327" customFormat="1">
      <c r="B15" s="3726" t="s">
        <v>1837</v>
      </c>
      <c r="C15" s="3363">
        <f>+SUM(N15:Q15)</f>
        <v>79</v>
      </c>
      <c r="D15" s="3363">
        <f>+SUM(R15:U15)</f>
        <v>73</v>
      </c>
      <c r="E15" s="3730">
        <f>+SUM(V15:Y15)</f>
        <v>80</v>
      </c>
      <c r="F15" s="3363">
        <f>+SUM(Z15:AC15)</f>
        <v>85</v>
      </c>
      <c r="G15" s="3363">
        <f>+SUM(AD15:AG15)</f>
        <v>84</v>
      </c>
      <c r="H15" s="3363">
        <f>+H$8*H46</f>
        <v>82.095695716420096</v>
      </c>
      <c r="I15" s="3363">
        <f>+I$8*I46</f>
        <v>80.251249153144656</v>
      </c>
      <c r="J15" s="3363">
        <f>+J$8*J46</f>
        <v>78.723216338111655</v>
      </c>
      <c r="K15" s="3363">
        <f>+K$8*K46</f>
        <v>77.482474264941544</v>
      </c>
      <c r="L15" s="3363">
        <f>+L$8*L46</f>
        <v>76.503221759323807</v>
      </c>
      <c r="M15" s="3686"/>
      <c r="N15" s="3636">
        <f>CFS!BO86</f>
        <v>19</v>
      </c>
      <c r="O15" s="3636">
        <f>CFS!BP86</f>
        <v>23</v>
      </c>
      <c r="P15" s="3636">
        <f>CFS!BQ86</f>
        <v>20</v>
      </c>
      <c r="Q15" s="3636">
        <f>CFS!BR86</f>
        <v>17</v>
      </c>
      <c r="R15" s="3709">
        <f>CFS!BS86</f>
        <v>18</v>
      </c>
      <c r="S15" s="3710">
        <f>CFS!BT86</f>
        <v>20</v>
      </c>
      <c r="T15" s="3710">
        <f>CFS!BU86</f>
        <v>19</v>
      </c>
      <c r="U15" s="3711">
        <f>CFS!BV86</f>
        <v>16</v>
      </c>
      <c r="V15" s="3709">
        <f>CFS!BW86</f>
        <v>18</v>
      </c>
      <c r="W15" s="3710">
        <f>CFS!BX86</f>
        <v>22</v>
      </c>
      <c r="X15" s="3710">
        <f>CFS!BY86</f>
        <v>20</v>
      </c>
      <c r="Y15" s="3711">
        <f>CFS!BZ86</f>
        <v>20</v>
      </c>
      <c r="Z15" s="3709">
        <f>CFS!CA86</f>
        <v>21</v>
      </c>
      <c r="AA15" s="3710">
        <f>CFS!CB86</f>
        <v>22</v>
      </c>
      <c r="AB15" s="3710">
        <f>CFS!CC86</f>
        <v>21</v>
      </c>
      <c r="AC15" s="3711">
        <f>+AB15</f>
        <v>21</v>
      </c>
      <c r="AD15" s="3709">
        <f>+AC15</f>
        <v>21</v>
      </c>
      <c r="AE15" s="3710">
        <f>+AD15</f>
        <v>21</v>
      </c>
      <c r="AF15" s="3710">
        <f>+AE15</f>
        <v>21</v>
      </c>
      <c r="AG15" s="3711">
        <f>+AF15</f>
        <v>21</v>
      </c>
    </row>
    <row r="16" spans="2:35" s="3327" customFormat="1">
      <c r="B16" s="3726" t="s">
        <v>1997</v>
      </c>
      <c r="C16" s="3636">
        <f t="shared" ref="C16:L16" si="10">+C13+C15</f>
        <v>7131</v>
      </c>
      <c r="D16" s="3636">
        <f t="shared" si="10"/>
        <v>7007</v>
      </c>
      <c r="E16" s="3709">
        <f t="shared" si="10"/>
        <v>6593</v>
      </c>
      <c r="F16" s="3636">
        <f t="shared" si="10"/>
        <v>5910.7880000000005</v>
      </c>
      <c r="G16" s="3641">
        <f t="shared" si="10"/>
        <v>5724.2127792796327</v>
      </c>
      <c r="H16" s="3641">
        <f t="shared" si="10"/>
        <v>5580.3362636384409</v>
      </c>
      <c r="I16" s="3363">
        <f t="shared" si="10"/>
        <v>5447.4298941154257</v>
      </c>
      <c r="J16" s="3363">
        <f t="shared" si="10"/>
        <v>5351.096852133177</v>
      </c>
      <c r="K16" s="3363">
        <f t="shared" si="10"/>
        <v>5274.0320921690181</v>
      </c>
      <c r="L16" s="3363">
        <f t="shared" si="10"/>
        <v>5214.5578726377953</v>
      </c>
      <c r="M16" s="3686"/>
      <c r="N16" s="3636">
        <f>+N13+N15</f>
        <v>1807</v>
      </c>
      <c r="O16" s="3636">
        <f>+O13+O15</f>
        <v>1835</v>
      </c>
      <c r="P16" s="3636">
        <f>+P13+P15</f>
        <v>1765</v>
      </c>
      <c r="Q16" s="3636">
        <f>+Q13+Q15</f>
        <v>1724</v>
      </c>
      <c r="R16" s="3709">
        <f>+R13+R15</f>
        <v>1742</v>
      </c>
      <c r="S16" s="3710">
        <f t="shared" ref="S16:AC16" si="11">+S13+S15</f>
        <v>1642</v>
      </c>
      <c r="T16" s="3710">
        <f t="shared" si="11"/>
        <v>1795</v>
      </c>
      <c r="U16" s="3711">
        <f t="shared" si="11"/>
        <v>1828</v>
      </c>
      <c r="V16" s="3709">
        <f t="shared" si="11"/>
        <v>1702</v>
      </c>
      <c r="W16" s="3710">
        <f t="shared" si="11"/>
        <v>1670</v>
      </c>
      <c r="X16" s="3710">
        <f t="shared" si="11"/>
        <v>1616</v>
      </c>
      <c r="Y16" s="3711">
        <f t="shared" si="11"/>
        <v>1605</v>
      </c>
      <c r="Z16" s="3709">
        <f t="shared" si="11"/>
        <v>1553</v>
      </c>
      <c r="AA16" s="3710">
        <f t="shared" si="11"/>
        <v>1464</v>
      </c>
      <c r="AB16" s="3710">
        <f t="shared" si="11"/>
        <v>1418</v>
      </c>
      <c r="AC16" s="3711">
        <f t="shared" si="11"/>
        <v>1475.788</v>
      </c>
      <c r="AD16" s="3709">
        <f>+AD13+AD15</f>
        <v>1488.0771037771146</v>
      </c>
      <c r="AE16" s="3710">
        <f>+AE13+AE15</f>
        <v>1445.8903485730652</v>
      </c>
      <c r="AF16" s="3710">
        <f>+AF13+AF15</f>
        <v>1371.6278512805957</v>
      </c>
      <c r="AG16" s="3711">
        <f>+AG13+AG15</f>
        <v>1418.6174756488599</v>
      </c>
    </row>
    <row r="17" spans="2:33" s="3327" customFormat="1">
      <c r="B17" s="3790" t="s">
        <v>1990</v>
      </c>
      <c r="C17" s="3634">
        <f t="shared" ref="C17:L17" si="12">+C16/C8</f>
        <v>0.39557330670660673</v>
      </c>
      <c r="D17" s="3634">
        <f t="shared" si="12"/>
        <v>0.39145251396648045</v>
      </c>
      <c r="E17" s="3706">
        <f t="shared" si="12"/>
        <v>0.37738981110475101</v>
      </c>
      <c r="F17" s="3634">
        <f t="shared" si="12"/>
        <v>0.36269178376388295</v>
      </c>
      <c r="G17" s="3634">
        <f t="shared" si="12"/>
        <v>0.36299696627745504</v>
      </c>
      <c r="H17" s="3634">
        <f t="shared" si="12"/>
        <v>0.3620816325371306</v>
      </c>
      <c r="I17" s="3634">
        <f t="shared" si="12"/>
        <v>0.36158163253713066</v>
      </c>
      <c r="J17" s="3634">
        <f t="shared" si="12"/>
        <v>0.3620816325371306</v>
      </c>
      <c r="K17" s="3634">
        <f t="shared" si="12"/>
        <v>0.36258163253713072</v>
      </c>
      <c r="L17" s="3634">
        <f t="shared" si="12"/>
        <v>0.36308163253713061</v>
      </c>
      <c r="M17" s="3689"/>
      <c r="N17" s="3634">
        <f>+N16/N8</f>
        <v>0.39819303657999117</v>
      </c>
      <c r="O17" s="3634">
        <f>+O16/O8</f>
        <v>0.4041850220264317</v>
      </c>
      <c r="P17" s="3634">
        <f t="shared" ref="P17:AC17" si="13">+P16/P8</f>
        <v>0.39109239973410148</v>
      </c>
      <c r="Q17" s="3634">
        <f t="shared" si="13"/>
        <v>0.38863841298467089</v>
      </c>
      <c r="R17" s="3706">
        <f t="shared" si="13"/>
        <v>0.39137272523028532</v>
      </c>
      <c r="S17" s="3707">
        <f t="shared" si="13"/>
        <v>0.37157727992758544</v>
      </c>
      <c r="T17" s="3707">
        <f t="shared" si="13"/>
        <v>0.39415898111550285</v>
      </c>
      <c r="U17" s="3708">
        <f t="shared" si="13"/>
        <v>0.40840035746201964</v>
      </c>
      <c r="V17" s="3706">
        <f t="shared" si="13"/>
        <v>0.38673028857077935</v>
      </c>
      <c r="W17" s="3707">
        <f t="shared" si="13"/>
        <v>0.3797180536607549</v>
      </c>
      <c r="X17" s="3707">
        <f t="shared" si="13"/>
        <v>0.36878137836604291</v>
      </c>
      <c r="Y17" s="3708">
        <f t="shared" si="13"/>
        <v>0.37421310328747959</v>
      </c>
      <c r="Z17" s="3706">
        <f t="shared" si="13"/>
        <v>0.3689712520788786</v>
      </c>
      <c r="AA17" s="3707">
        <f t="shared" si="13"/>
        <v>0.35794621026894863</v>
      </c>
      <c r="AB17" s="3707">
        <f t="shared" si="13"/>
        <v>0.35151214675260289</v>
      </c>
      <c r="AC17" s="3708">
        <f t="shared" si="13"/>
        <v>0.37229767911200806</v>
      </c>
      <c r="AD17" s="3706">
        <f>+AD16/AD8</f>
        <v>0.37251565305197043</v>
      </c>
      <c r="AE17" s="3707">
        <f>+AE16/AE8</f>
        <v>0.36542622482621734</v>
      </c>
      <c r="AF17" s="3707">
        <f>+AF16/AF8</f>
        <v>0.34845612663684061</v>
      </c>
      <c r="AG17" s="3708">
        <f>+AG16/AG8</f>
        <v>0.36547046739476302</v>
      </c>
    </row>
    <row r="18" spans="2:33" s="3327" customFormat="1">
      <c r="B18" s="3756" t="s">
        <v>1985</v>
      </c>
      <c r="C18" s="3639" t="str">
        <f t="shared" ref="C18:L18" si="14">+C7</f>
        <v>2014</v>
      </c>
      <c r="D18" s="3639" t="str">
        <f t="shared" si="14"/>
        <v>2015</v>
      </c>
      <c r="E18" s="3700" t="str">
        <f t="shared" si="14"/>
        <v>2016</v>
      </c>
      <c r="F18" s="3639" t="str">
        <f t="shared" si="14"/>
        <v>2017</v>
      </c>
      <c r="G18" s="3639" t="str">
        <f t="shared" si="14"/>
        <v>2018E</v>
      </c>
      <c r="H18" s="3639" t="str">
        <f t="shared" si="14"/>
        <v>2019E</v>
      </c>
      <c r="I18" s="3639" t="str">
        <f t="shared" si="14"/>
        <v>2020E</v>
      </c>
      <c r="J18" s="3639" t="str">
        <f t="shared" si="14"/>
        <v>2021E</v>
      </c>
      <c r="K18" s="3639" t="str">
        <f t="shared" si="14"/>
        <v>2022E</v>
      </c>
      <c r="L18" s="3639" t="str">
        <f t="shared" si="14"/>
        <v>2023E</v>
      </c>
      <c r="M18" s="3687"/>
      <c r="N18" s="3639" t="str">
        <f>+N7</f>
        <v>1Q14</v>
      </c>
      <c r="O18" s="3639" t="str">
        <f t="shared" ref="O18:AC18" si="15">+O7</f>
        <v>2Q14</v>
      </c>
      <c r="P18" s="3639" t="str">
        <f t="shared" si="15"/>
        <v>3Q14</v>
      </c>
      <c r="Q18" s="3639" t="str">
        <f t="shared" si="15"/>
        <v>4Q14</v>
      </c>
      <c r="R18" s="3700" t="str">
        <f t="shared" si="15"/>
        <v>1Q15</v>
      </c>
      <c r="S18" s="3701" t="str">
        <f t="shared" si="15"/>
        <v>2Q15</v>
      </c>
      <c r="T18" s="3701" t="str">
        <f t="shared" si="15"/>
        <v>3Q15</v>
      </c>
      <c r="U18" s="3702" t="str">
        <f t="shared" si="15"/>
        <v>4Q15</v>
      </c>
      <c r="V18" s="3700" t="str">
        <f t="shared" si="15"/>
        <v>1Q16</v>
      </c>
      <c r="W18" s="3701" t="str">
        <f t="shared" si="15"/>
        <v>2Q16</v>
      </c>
      <c r="X18" s="3701" t="str">
        <f t="shared" si="15"/>
        <v>3Q16</v>
      </c>
      <c r="Y18" s="3702" t="str">
        <f t="shared" si="15"/>
        <v>4Q16</v>
      </c>
      <c r="Z18" s="3700" t="str">
        <f t="shared" si="15"/>
        <v>1Q17</v>
      </c>
      <c r="AA18" s="3701" t="str">
        <f t="shared" si="15"/>
        <v>2Q17</v>
      </c>
      <c r="AB18" s="3701" t="str">
        <f t="shared" si="15"/>
        <v>3Q17</v>
      </c>
      <c r="AC18" s="3702" t="str">
        <f t="shared" si="15"/>
        <v>4Q17</v>
      </c>
      <c r="AD18" s="3700" t="str">
        <f>+AD7</f>
        <v>1Q18E</v>
      </c>
      <c r="AE18" s="3701" t="str">
        <f>+AE7</f>
        <v>2Q18E</v>
      </c>
      <c r="AF18" s="3701" t="str">
        <f>+AF7</f>
        <v>3Q18E</v>
      </c>
      <c r="AG18" s="3702" t="str">
        <f>+AG7</f>
        <v>4Q18E</v>
      </c>
    </row>
    <row r="19" spans="2:33" s="3327" customFormat="1">
      <c r="B19" s="3755" t="s">
        <v>1659</v>
      </c>
      <c r="C19" s="3682">
        <f t="shared" ref="C19:C24" si="16">+SUM(N19:Q19)</f>
        <v>8123</v>
      </c>
      <c r="D19" s="3682">
        <f t="shared" ref="D19:D24" si="17">+SUM(R19:U19)</f>
        <v>8229</v>
      </c>
      <c r="E19" s="3751">
        <f t="shared" ref="E19:E24" si="18">+SUM(V19:Y19)</f>
        <v>8172</v>
      </c>
      <c r="F19" s="3682">
        <f t="shared" ref="F19:F24" si="19">+SUM(Z19:AC19)</f>
        <v>8278</v>
      </c>
      <c r="G19" s="3682">
        <f t="shared" ref="G19:G24" ca="1" si="20">+SUM(AD19:AG19)</f>
        <v>8369.2365077361028</v>
      </c>
      <c r="H19" s="3682">
        <f ca="1">Subscribers!U134</f>
        <v>8484.5579014436789</v>
      </c>
      <c r="I19" s="3682">
        <f ca="1">Subscribers!V134</f>
        <v>8606.4404724277028</v>
      </c>
      <c r="J19" s="3682">
        <f ca="1">Subscribers!W134</f>
        <v>8735.2639265359267</v>
      </c>
      <c r="K19" s="3682">
        <f ca="1">Subscribers!X134</f>
        <v>8868.7907592845731</v>
      </c>
      <c r="L19" s="3682">
        <f ca="1">Subscribers!Y134</f>
        <v>8995.7295388168859</v>
      </c>
      <c r="M19" s="3690"/>
      <c r="N19" s="3672">
        <f>'LVLT Rev Build'!CG29</f>
        <v>2003</v>
      </c>
      <c r="O19" s="3672">
        <f>'LVLT Rev Build'!CH29</f>
        <v>2030</v>
      </c>
      <c r="P19" s="3672">
        <f>'LVLT Rev Build'!CI29</f>
        <v>2038</v>
      </c>
      <c r="Q19" s="3672">
        <f>'LVLT Rev Build'!CJ29</f>
        <v>2052</v>
      </c>
      <c r="R19" s="3712">
        <f>'LVLT Rev Build'!CK29</f>
        <v>2053</v>
      </c>
      <c r="S19" s="3713">
        <f>'LVLT Rev Build'!CL29</f>
        <v>2061</v>
      </c>
      <c r="T19" s="3713">
        <f>'LVLT Rev Build'!CM29</f>
        <v>2062</v>
      </c>
      <c r="U19" s="3714">
        <f>Subscribers!CH134</f>
        <v>2053</v>
      </c>
      <c r="V19" s="3712">
        <f>Subscribers!CI134</f>
        <v>2051</v>
      </c>
      <c r="W19" s="3713">
        <f>Subscribers!CJ134</f>
        <v>2056</v>
      </c>
      <c r="X19" s="3713">
        <f>Subscribers!CK134</f>
        <v>2033</v>
      </c>
      <c r="Y19" s="3714">
        <f>Subscribers!CL134</f>
        <v>2032</v>
      </c>
      <c r="Z19" s="3712">
        <f>'LVLT Rev Build'!CS29</f>
        <v>2048</v>
      </c>
      <c r="AA19" s="3713">
        <f>'LVLT Rev Build'!CT29</f>
        <v>2061</v>
      </c>
      <c r="AB19" s="3713">
        <f>'LVLT Rev Build'!CU29</f>
        <v>2059</v>
      </c>
      <c r="AC19" s="3714">
        <f>'LVLT Rev Build'!CV29</f>
        <v>2110</v>
      </c>
      <c r="AD19" s="3712">
        <f ca="1">'LVLT Rev Build'!CW29</f>
        <v>2057.038942585059</v>
      </c>
      <c r="AE19" s="3713">
        <f ca="1">'LVLT Rev Build'!CX29</f>
        <v>2067.7923001728745</v>
      </c>
      <c r="AF19" s="3713">
        <f ca="1">'LVLT Rev Build'!CY29</f>
        <v>2089.3115641815434</v>
      </c>
      <c r="AG19" s="3714">
        <f ca="1">'LVLT Rev Build'!CZ29</f>
        <v>2155.0937007966263</v>
      </c>
    </row>
    <row r="20" spans="2:33" s="3327" customFormat="1">
      <c r="B20" s="3726" t="s">
        <v>1992</v>
      </c>
      <c r="C20" s="3363">
        <f t="shared" si="16"/>
        <v>2894</v>
      </c>
      <c r="D20" s="3363">
        <f t="shared" si="17"/>
        <v>2833</v>
      </c>
      <c r="E20" s="3730">
        <f t="shared" si="18"/>
        <v>2725</v>
      </c>
      <c r="F20" s="3363">
        <f t="shared" si="19"/>
        <v>2762.7918087577791</v>
      </c>
      <c r="G20" s="3363">
        <f t="shared" ca="1" si="20"/>
        <v>2702.9477084601181</v>
      </c>
      <c r="H20" s="3363">
        <f t="shared" ref="H20:L23" ca="1" si="21">+H$19*H56</f>
        <v>2740.1921687606714</v>
      </c>
      <c r="I20" s="3363">
        <f t="shared" ca="1" si="21"/>
        <v>2779.5556418370957</v>
      </c>
      <c r="J20" s="3363">
        <f t="shared" ca="1" si="21"/>
        <v>2821.1607583558939</v>
      </c>
      <c r="K20" s="3363">
        <f t="shared" ca="1" si="21"/>
        <v>2864.2848887663895</v>
      </c>
      <c r="L20" s="3363">
        <f t="shared" ca="1" si="21"/>
        <v>2905.2813264861784</v>
      </c>
      <c r="M20" s="3686"/>
      <c r="N20" s="3779">
        <v>721</v>
      </c>
      <c r="O20" s="3779">
        <v>724</v>
      </c>
      <c r="P20" s="3779">
        <v>717</v>
      </c>
      <c r="Q20" s="3779">
        <v>732</v>
      </c>
      <c r="R20" s="3775">
        <v>723</v>
      </c>
      <c r="S20" s="3776">
        <v>696</v>
      </c>
      <c r="T20" s="3776">
        <v>706</v>
      </c>
      <c r="U20" s="3780">
        <v>708</v>
      </c>
      <c r="V20" s="3775">
        <v>694</v>
      </c>
      <c r="W20" s="3776">
        <v>676</v>
      </c>
      <c r="X20" s="3776">
        <v>675</v>
      </c>
      <c r="Y20" s="3780">
        <v>680</v>
      </c>
      <c r="Z20" s="3775">
        <v>691</v>
      </c>
      <c r="AA20" s="3776">
        <v>675</v>
      </c>
      <c r="AB20" s="3776">
        <v>672.79180875777911</v>
      </c>
      <c r="AC20" s="3799">
        <v>724</v>
      </c>
      <c r="AD20" s="3698">
        <f t="shared" ref="AD20:AG24" ca="1" si="22">+AD$19*AD56</f>
        <v>670.59469528272928</v>
      </c>
      <c r="AE20" s="3362">
        <f t="shared" ca="1" si="22"/>
        <v>669.96470525601137</v>
      </c>
      <c r="AF20" s="3362">
        <f t="shared" ca="1" si="22"/>
        <v>672.75832366645704</v>
      </c>
      <c r="AG20" s="3699">
        <f t="shared" ca="1" si="22"/>
        <v>689.62998425492049</v>
      </c>
    </row>
    <row r="21" spans="2:33" s="3327" customFormat="1">
      <c r="B21" s="3726" t="s">
        <v>1993</v>
      </c>
      <c r="C21" s="3363">
        <f t="shared" si="16"/>
        <v>1424</v>
      </c>
      <c r="D21" s="3363">
        <f t="shared" si="17"/>
        <v>1403</v>
      </c>
      <c r="E21" s="3730">
        <f t="shared" si="18"/>
        <v>1324</v>
      </c>
      <c r="F21" s="3363">
        <f t="shared" si="19"/>
        <v>1324.8670515172626</v>
      </c>
      <c r="G21" s="3363">
        <f t="shared" ca="1" si="20"/>
        <v>1322.2413134640926</v>
      </c>
      <c r="H21" s="3363">
        <f t="shared" ca="1" si="21"/>
        <v>1340.4607425536478</v>
      </c>
      <c r="I21" s="3363">
        <f t="shared" ca="1" si="21"/>
        <v>1359.7167607815149</v>
      </c>
      <c r="J21" s="3363">
        <f t="shared" ca="1" si="21"/>
        <v>1380.0693572229691</v>
      </c>
      <c r="K21" s="3363">
        <f t="shared" ca="1" si="21"/>
        <v>1401.165032384386</v>
      </c>
      <c r="L21" s="3363">
        <f t="shared" ca="1" si="21"/>
        <v>1421.21987232387</v>
      </c>
      <c r="M21" s="3686"/>
      <c r="N21" s="3779">
        <v>347</v>
      </c>
      <c r="O21" s="3779">
        <v>357</v>
      </c>
      <c r="P21" s="3779">
        <v>356</v>
      </c>
      <c r="Q21" s="3779">
        <v>364</v>
      </c>
      <c r="R21" s="3775">
        <v>351</v>
      </c>
      <c r="S21" s="3776">
        <v>359</v>
      </c>
      <c r="T21" s="3776">
        <v>356</v>
      </c>
      <c r="U21" s="3780">
        <v>337</v>
      </c>
      <c r="V21" s="3775">
        <v>331</v>
      </c>
      <c r="W21" s="3776">
        <v>335</v>
      </c>
      <c r="X21" s="3776">
        <v>331</v>
      </c>
      <c r="Y21" s="3780">
        <v>327</v>
      </c>
      <c r="Z21" s="3775">
        <v>330</v>
      </c>
      <c r="AA21" s="3776">
        <v>331</v>
      </c>
      <c r="AB21" s="3776">
        <v>328.8670515172625</v>
      </c>
      <c r="AC21" s="3799">
        <v>335</v>
      </c>
      <c r="AD21" s="3698">
        <f t="shared" ca="1" si="22"/>
        <v>327.06919187102437</v>
      </c>
      <c r="AE21" s="3362">
        <f t="shared" ca="1" si="22"/>
        <v>326.71118342731415</v>
      </c>
      <c r="AF21" s="3362">
        <f t="shared" ca="1" si="22"/>
        <v>330.11122714068387</v>
      </c>
      <c r="AG21" s="3699">
        <f t="shared" ca="1" si="22"/>
        <v>338.34971102507035</v>
      </c>
    </row>
    <row r="22" spans="2:33" s="3327" customFormat="1">
      <c r="B22" s="3726" t="s">
        <v>159</v>
      </c>
      <c r="C22" s="3363">
        <f t="shared" si="16"/>
        <v>1371.25</v>
      </c>
      <c r="D22" s="3363">
        <f t="shared" si="17"/>
        <v>1440</v>
      </c>
      <c r="E22" s="3730">
        <f t="shared" si="18"/>
        <v>1258</v>
      </c>
      <c r="F22" s="3363">
        <f t="shared" si="19"/>
        <v>1213.0218307448633</v>
      </c>
      <c r="G22" s="3363">
        <f t="shared" ca="1" si="20"/>
        <v>1221.8104753712594</v>
      </c>
      <c r="H22" s="3363">
        <f t="shared" ca="1" si="21"/>
        <v>1230.1614898348801</v>
      </c>
      <c r="I22" s="3363">
        <f t="shared" ca="1" si="21"/>
        <v>1239.2265941675269</v>
      </c>
      <c r="J22" s="3363">
        <f t="shared" ca="1" si="21"/>
        <v>1249.0403983249303</v>
      </c>
      <c r="K22" s="3363">
        <f t="shared" ca="1" si="21"/>
        <v>1259.2643802358325</v>
      </c>
      <c r="L22" s="3363">
        <f t="shared" ca="1" si="21"/>
        <v>1268.2924701639827</v>
      </c>
      <c r="M22" s="3686"/>
      <c r="N22" s="3779">
        <v>342</v>
      </c>
      <c r="O22" s="3779">
        <v>344</v>
      </c>
      <c r="P22" s="3779">
        <v>345</v>
      </c>
      <c r="Q22" s="3779">
        <v>340.25</v>
      </c>
      <c r="R22" s="3775">
        <v>359.25</v>
      </c>
      <c r="S22" s="3776">
        <v>358.5</v>
      </c>
      <c r="T22" s="3776">
        <v>358.75</v>
      </c>
      <c r="U22" s="3780">
        <v>363.5</v>
      </c>
      <c r="V22" s="3775">
        <v>316</v>
      </c>
      <c r="W22" s="3776">
        <v>330</v>
      </c>
      <c r="X22" s="3776">
        <v>311</v>
      </c>
      <c r="Y22" s="3780">
        <v>301</v>
      </c>
      <c r="Z22" s="3775">
        <v>302</v>
      </c>
      <c r="AA22" s="3776">
        <v>311</v>
      </c>
      <c r="AB22" s="3776">
        <v>307.02183074486339</v>
      </c>
      <c r="AC22" s="3799">
        <f>387-87-7</f>
        <v>293</v>
      </c>
      <c r="AD22" s="3698">
        <f t="shared" ca="1" si="22"/>
        <v>302.38472456000363</v>
      </c>
      <c r="AE22" s="3362">
        <f t="shared" ca="1" si="22"/>
        <v>301.89767582523967</v>
      </c>
      <c r="AF22" s="3362">
        <f t="shared" ca="1" si="22"/>
        <v>305.0394883705053</v>
      </c>
      <c r="AG22" s="3699">
        <f t="shared" ca="1" si="22"/>
        <v>312.48858661551077</v>
      </c>
    </row>
    <row r="23" spans="2:33" s="3327" customFormat="1">
      <c r="B23" s="3726" t="s">
        <v>1837</v>
      </c>
      <c r="C23" s="3363">
        <f t="shared" si="16"/>
        <v>168</v>
      </c>
      <c r="D23" s="3363">
        <f t="shared" si="17"/>
        <v>141</v>
      </c>
      <c r="E23" s="3730">
        <f t="shared" si="18"/>
        <v>156</v>
      </c>
      <c r="F23" s="3363">
        <f t="shared" si="19"/>
        <v>161.5</v>
      </c>
      <c r="G23" s="3363">
        <f t="shared" ca="1" si="20"/>
        <v>58.584655554152718</v>
      </c>
      <c r="H23" s="3363">
        <f t="shared" ca="1" si="21"/>
        <v>59.391905310105756</v>
      </c>
      <c r="I23" s="3363">
        <f t="shared" ca="1" si="21"/>
        <v>60.245083306993919</v>
      </c>
      <c r="J23" s="3363">
        <f t="shared" ca="1" si="21"/>
        <v>61.146847485751486</v>
      </c>
      <c r="K23" s="3363">
        <f t="shared" ca="1" si="21"/>
        <v>62.08153531499201</v>
      </c>
      <c r="L23" s="3363">
        <f t="shared" ca="1" si="21"/>
        <v>62.9701067717182</v>
      </c>
      <c r="M23" s="3686"/>
      <c r="N23" s="3779">
        <v>19</v>
      </c>
      <c r="O23" s="3779">
        <v>24</v>
      </c>
      <c r="P23" s="3779">
        <v>32</v>
      </c>
      <c r="Q23" s="3779">
        <v>93</v>
      </c>
      <c r="R23" s="3775">
        <v>31</v>
      </c>
      <c r="S23" s="3776">
        <v>27</v>
      </c>
      <c r="T23" s="3776">
        <v>34</v>
      </c>
      <c r="U23" s="3780">
        <v>49</v>
      </c>
      <c r="V23" s="3775">
        <v>47</v>
      </c>
      <c r="W23" s="3776">
        <v>31</v>
      </c>
      <c r="X23" s="3776">
        <v>43</v>
      </c>
      <c r="Y23" s="3780">
        <v>35</v>
      </c>
      <c r="Z23" s="3775">
        <v>48</v>
      </c>
      <c r="AA23" s="3776">
        <v>39</v>
      </c>
      <c r="AB23" s="3776">
        <v>42.5</v>
      </c>
      <c r="AC23" s="3799">
        <v>32</v>
      </c>
      <c r="AD23" s="3698">
        <f t="shared" ca="1" si="22"/>
        <v>14.399272598095413</v>
      </c>
      <c r="AE23" s="3362">
        <f t="shared" ca="1" si="22"/>
        <v>14.474546101210121</v>
      </c>
      <c r="AF23" s="3362">
        <f t="shared" ca="1" si="22"/>
        <v>14.625180949270804</v>
      </c>
      <c r="AG23" s="3699">
        <f t="shared" ca="1" si="22"/>
        <v>15.085655905576385</v>
      </c>
    </row>
    <row r="24" spans="2:33" s="3327" customFormat="1">
      <c r="B24" s="3726" t="s">
        <v>1991</v>
      </c>
      <c r="C24" s="3363">
        <f t="shared" si="16"/>
        <v>172</v>
      </c>
      <c r="D24" s="3363">
        <f t="shared" si="17"/>
        <v>32</v>
      </c>
      <c r="E24" s="3730">
        <f t="shared" si="18"/>
        <v>15</v>
      </c>
      <c r="F24" s="3363">
        <f t="shared" si="19"/>
        <v>275</v>
      </c>
      <c r="G24" s="3363">
        <f t="shared" ca="1" si="20"/>
        <v>884.52120437210942</v>
      </c>
      <c r="H24" s="3363">
        <f ca="1">+H$19*H60</f>
        <v>879.7400842075109</v>
      </c>
      <c r="I24" s="3363">
        <f ca="1">+I$19*I60</f>
        <v>875.16486623890421</v>
      </c>
      <c r="J24" s="3363">
        <f ca="1">+J$19*J60</f>
        <v>0</v>
      </c>
      <c r="K24" s="3363">
        <f ca="1">+K$19*K60</f>
        <v>0</v>
      </c>
      <c r="L24" s="3363">
        <f ca="1">+L$19*L60</f>
        <v>0</v>
      </c>
      <c r="M24" s="3686"/>
      <c r="N24" s="3781">
        <v>0</v>
      </c>
      <c r="O24" s="3781">
        <v>8</v>
      </c>
      <c r="P24" s="3781">
        <v>8</v>
      </c>
      <c r="Q24" s="3781">
        <v>156</v>
      </c>
      <c r="R24" s="3777">
        <v>5</v>
      </c>
      <c r="S24" s="3778">
        <v>5</v>
      </c>
      <c r="T24" s="3778">
        <v>18</v>
      </c>
      <c r="U24" s="3782">
        <v>4</v>
      </c>
      <c r="V24" s="3777">
        <v>0</v>
      </c>
      <c r="W24" s="3778">
        <v>0</v>
      </c>
      <c r="X24" s="3778">
        <v>0</v>
      </c>
      <c r="Y24" s="3782">
        <v>15</v>
      </c>
      <c r="Z24" s="3777">
        <v>20</v>
      </c>
      <c r="AA24" s="3778">
        <v>22</v>
      </c>
      <c r="AB24" s="3778">
        <v>10</v>
      </c>
      <c r="AC24" s="3799">
        <v>223</v>
      </c>
      <c r="AD24" s="3698">
        <f t="shared" ca="1" si="22"/>
        <v>217.40269393197542</v>
      </c>
      <c r="AE24" s="3362">
        <f t="shared" ca="1" si="22"/>
        <v>218.53918622680143</v>
      </c>
      <c r="AF24" s="3362">
        <f t="shared" ca="1" si="22"/>
        <v>220.81349706752803</v>
      </c>
      <c r="AG24" s="3699">
        <f t="shared" ca="1" si="22"/>
        <v>227.76582714580456</v>
      </c>
    </row>
    <row r="25" spans="2:33" s="3327" customFormat="1">
      <c r="B25" s="2581" t="s">
        <v>1994</v>
      </c>
      <c r="C25" s="113">
        <f t="shared" ref="C25:L25" si="23">+C19-C20-C21-C22</f>
        <v>2433.75</v>
      </c>
      <c r="D25" s="113">
        <f t="shared" si="23"/>
        <v>2553</v>
      </c>
      <c r="E25" s="3753">
        <f t="shared" si="23"/>
        <v>2865</v>
      </c>
      <c r="F25" s="113">
        <f t="shared" si="23"/>
        <v>2977.3193089800952</v>
      </c>
      <c r="G25" s="113">
        <f t="shared" ca="1" si="23"/>
        <v>3122.2370104406318</v>
      </c>
      <c r="H25" s="113">
        <f t="shared" ca="1" si="23"/>
        <v>3173.7435002944794</v>
      </c>
      <c r="I25" s="113">
        <f t="shared" ca="1" si="23"/>
        <v>3227.9414756415645</v>
      </c>
      <c r="J25" s="113">
        <f t="shared" ca="1" si="23"/>
        <v>3284.9934126321327</v>
      </c>
      <c r="K25" s="113">
        <f t="shared" ca="1" si="23"/>
        <v>3344.0764578979652</v>
      </c>
      <c r="L25" s="113">
        <f t="shared" ca="1" si="23"/>
        <v>3400.9358698428555</v>
      </c>
      <c r="M25" s="2568"/>
      <c r="N25" s="3635">
        <f t="shared" ref="N25:S25" si="24">+N19-N20-N21-N22</f>
        <v>593</v>
      </c>
      <c r="O25" s="3635">
        <f t="shared" si="24"/>
        <v>605</v>
      </c>
      <c r="P25" s="3635">
        <f t="shared" si="24"/>
        <v>620</v>
      </c>
      <c r="Q25" s="3635">
        <f t="shared" si="24"/>
        <v>615.75</v>
      </c>
      <c r="R25" s="3715">
        <f t="shared" si="24"/>
        <v>619.75</v>
      </c>
      <c r="S25" s="3640">
        <f t="shared" si="24"/>
        <v>647.5</v>
      </c>
      <c r="T25" s="3640">
        <f>+T19-T20-T21-T22</f>
        <v>641.25</v>
      </c>
      <c r="U25" s="3716">
        <f t="shared" ref="U25:AC25" si="25">+U19-U20-U21-U22</f>
        <v>644.5</v>
      </c>
      <c r="V25" s="3715">
        <f t="shared" si="25"/>
        <v>710</v>
      </c>
      <c r="W25" s="3640">
        <f t="shared" si="25"/>
        <v>715</v>
      </c>
      <c r="X25" s="3640">
        <f t="shared" si="25"/>
        <v>716</v>
      </c>
      <c r="Y25" s="3716">
        <f t="shared" si="25"/>
        <v>724</v>
      </c>
      <c r="Z25" s="3715">
        <f t="shared" si="25"/>
        <v>725</v>
      </c>
      <c r="AA25" s="3640">
        <f t="shared" si="25"/>
        <v>744</v>
      </c>
      <c r="AB25" s="3640">
        <f t="shared" si="25"/>
        <v>750.319308980095</v>
      </c>
      <c r="AC25" s="3716">
        <f t="shared" si="25"/>
        <v>758</v>
      </c>
      <c r="AD25" s="3715">
        <f ca="1">+AD19-AD20-AD21-AD22</f>
        <v>756.99033087130147</v>
      </c>
      <c r="AE25" s="3640">
        <f ca="1">+AE19-AE20-AE21-AE22</f>
        <v>769.21873566430941</v>
      </c>
      <c r="AF25" s="3640">
        <f ca="1">+AF19-AF20-AF21-AF22</f>
        <v>781.40252500389715</v>
      </c>
      <c r="AG25" s="3716">
        <f ca="1">+AG19-AG20-AG21-AG22</f>
        <v>814.6254189011247</v>
      </c>
    </row>
    <row r="26" spans="2:33" s="3327" customFormat="1">
      <c r="B26" s="3790" t="s">
        <v>1990</v>
      </c>
      <c r="C26" s="3344">
        <f>+C25/C19</f>
        <v>0.2996122122368583</v>
      </c>
      <c r="D26" s="3344">
        <f t="shared" ref="D26:AG26" si="26">+D25/D19</f>
        <v>0.3102442581115567</v>
      </c>
      <c r="E26" s="3752">
        <f t="shared" si="26"/>
        <v>0.35058737151248165</v>
      </c>
      <c r="F26" s="3344">
        <f t="shared" si="26"/>
        <v>0.35966650265524225</v>
      </c>
      <c r="G26" s="3344">
        <f t="shared" ca="1" si="26"/>
        <v>0.37306115170178217</v>
      </c>
      <c r="H26" s="3344">
        <f t="shared" ca="1" si="26"/>
        <v>0.37406115170178228</v>
      </c>
      <c r="I26" s="3344">
        <f t="shared" ca="1" si="26"/>
        <v>0.37506115170178217</v>
      </c>
      <c r="J26" s="3344">
        <f t="shared" ca="1" si="26"/>
        <v>0.37606115170178217</v>
      </c>
      <c r="K26" s="3344">
        <f t="shared" ca="1" si="26"/>
        <v>0.37706115170178228</v>
      </c>
      <c r="L26" s="3344">
        <f t="shared" ca="1" si="26"/>
        <v>0.37806115170178239</v>
      </c>
      <c r="M26" s="2568"/>
      <c r="N26" s="3634">
        <f t="shared" si="26"/>
        <v>0.29605591612581128</v>
      </c>
      <c r="O26" s="3634">
        <f t="shared" si="26"/>
        <v>0.29802955665024633</v>
      </c>
      <c r="P26" s="3634">
        <f t="shared" si="26"/>
        <v>0.3042198233562316</v>
      </c>
      <c r="Q26" s="3634">
        <f t="shared" si="26"/>
        <v>0.30007309941520466</v>
      </c>
      <c r="R26" s="3706">
        <f t="shared" si="26"/>
        <v>0.30187530443253774</v>
      </c>
      <c r="S26" s="3707">
        <f t="shared" si="26"/>
        <v>0.3141678796700631</v>
      </c>
      <c r="T26" s="3707">
        <f t="shared" si="26"/>
        <v>0.31098448108632398</v>
      </c>
      <c r="U26" s="3708">
        <f t="shared" si="26"/>
        <v>0.3139308329274233</v>
      </c>
      <c r="V26" s="3706">
        <f t="shared" si="26"/>
        <v>0.3461725987323257</v>
      </c>
      <c r="W26" s="3707">
        <f t="shared" si="26"/>
        <v>0.34776264591439687</v>
      </c>
      <c r="X26" s="3707">
        <f t="shared" si="26"/>
        <v>0.35218888342351207</v>
      </c>
      <c r="Y26" s="3708">
        <f t="shared" si="26"/>
        <v>0.35629921259842517</v>
      </c>
      <c r="Z26" s="3706">
        <f t="shared" si="26"/>
        <v>0.35400390625</v>
      </c>
      <c r="AA26" s="3707">
        <f t="shared" si="26"/>
        <v>0.36098981077147019</v>
      </c>
      <c r="AB26" s="3707">
        <f t="shared" si="26"/>
        <v>0.36440957211272218</v>
      </c>
      <c r="AC26" s="3708">
        <f t="shared" si="26"/>
        <v>0.35924170616113743</v>
      </c>
      <c r="AD26" s="3706">
        <f t="shared" ca="1" si="26"/>
        <v>0.36799999999999988</v>
      </c>
      <c r="AE26" s="3707">
        <f t="shared" ca="1" si="26"/>
        <v>0.37200000000000005</v>
      </c>
      <c r="AF26" s="3707">
        <f t="shared" ca="1" si="26"/>
        <v>0.37399999999999994</v>
      </c>
      <c r="AG26" s="3708">
        <f t="shared" ca="1" si="26"/>
        <v>0.378</v>
      </c>
    </row>
    <row r="27" spans="2:33" s="3327" customFormat="1">
      <c r="B27" s="3726" t="s">
        <v>1980</v>
      </c>
      <c r="C27" s="3363">
        <f t="shared" ref="C27:L27" si="27">+C19-C25</f>
        <v>5689.25</v>
      </c>
      <c r="D27" s="3363">
        <f t="shared" si="27"/>
        <v>5676</v>
      </c>
      <c r="E27" s="3730">
        <f t="shared" si="27"/>
        <v>5307</v>
      </c>
      <c r="F27" s="3363">
        <f t="shared" si="27"/>
        <v>5300.6806910199048</v>
      </c>
      <c r="G27" s="3363">
        <f t="shared" ca="1" si="27"/>
        <v>5246.999497295471</v>
      </c>
      <c r="H27" s="3363">
        <f t="shared" ca="1" si="27"/>
        <v>5310.8144011491995</v>
      </c>
      <c r="I27" s="3363">
        <f t="shared" ca="1" si="27"/>
        <v>5378.4989967861384</v>
      </c>
      <c r="J27" s="3363">
        <f t="shared" ca="1" si="27"/>
        <v>5450.2705139037935</v>
      </c>
      <c r="K27" s="3363">
        <f t="shared" ca="1" si="27"/>
        <v>5524.714301386608</v>
      </c>
      <c r="L27" s="3363">
        <f t="shared" ca="1" si="27"/>
        <v>5594.7936689740309</v>
      </c>
      <c r="M27" s="3686"/>
      <c r="N27" s="3636">
        <f>+N19-N25</f>
        <v>1410</v>
      </c>
      <c r="O27" s="3636">
        <f t="shared" ref="O27:AC27" si="28">+O19-O25</f>
        <v>1425</v>
      </c>
      <c r="P27" s="3636">
        <f t="shared" si="28"/>
        <v>1418</v>
      </c>
      <c r="Q27" s="3636">
        <f t="shared" si="28"/>
        <v>1436.25</v>
      </c>
      <c r="R27" s="3709">
        <f t="shared" si="28"/>
        <v>1433.25</v>
      </c>
      <c r="S27" s="3710">
        <f t="shared" si="28"/>
        <v>1413.5</v>
      </c>
      <c r="T27" s="3710">
        <f t="shared" si="28"/>
        <v>1420.75</v>
      </c>
      <c r="U27" s="3711">
        <f t="shared" si="28"/>
        <v>1408.5</v>
      </c>
      <c r="V27" s="3709">
        <f t="shared" si="28"/>
        <v>1341</v>
      </c>
      <c r="W27" s="3710">
        <f t="shared" si="28"/>
        <v>1341</v>
      </c>
      <c r="X27" s="3710">
        <f t="shared" si="28"/>
        <v>1317</v>
      </c>
      <c r="Y27" s="3711">
        <f t="shared" si="28"/>
        <v>1308</v>
      </c>
      <c r="Z27" s="3709">
        <f t="shared" si="28"/>
        <v>1323</v>
      </c>
      <c r="AA27" s="3710">
        <f t="shared" si="28"/>
        <v>1317</v>
      </c>
      <c r="AB27" s="3710">
        <f t="shared" si="28"/>
        <v>1308.680691019905</v>
      </c>
      <c r="AC27" s="3711">
        <f t="shared" si="28"/>
        <v>1352</v>
      </c>
      <c r="AD27" s="3709">
        <f ca="1">+AD19-AD25</f>
        <v>1300.0486117137575</v>
      </c>
      <c r="AE27" s="3710">
        <f ca="1">+AE19-AE25</f>
        <v>1298.5735645085651</v>
      </c>
      <c r="AF27" s="3710">
        <f ca="1">+AF19-AF25</f>
        <v>1307.9090391776463</v>
      </c>
      <c r="AG27" s="3711">
        <f ca="1">+AG19-AG25</f>
        <v>1340.4682818955016</v>
      </c>
    </row>
    <row r="28" spans="2:33" s="3327" customFormat="1">
      <c r="B28" s="3726" t="s">
        <v>1995</v>
      </c>
      <c r="C28" s="3363">
        <f t="shared" ref="C28:L28" si="29">+C25-C23</f>
        <v>2265.75</v>
      </c>
      <c r="D28" s="3363">
        <f t="shared" si="29"/>
        <v>2412</v>
      </c>
      <c r="E28" s="3730">
        <f t="shared" si="29"/>
        <v>2709</v>
      </c>
      <c r="F28" s="3363">
        <f t="shared" si="29"/>
        <v>2815.8193089800952</v>
      </c>
      <c r="G28" s="3363">
        <f t="shared" ca="1" si="29"/>
        <v>3063.6523548864793</v>
      </c>
      <c r="H28" s="3363">
        <f t="shared" ca="1" si="29"/>
        <v>3114.3515949843736</v>
      </c>
      <c r="I28" s="3363">
        <f t="shared" ca="1" si="29"/>
        <v>3167.6963923345706</v>
      </c>
      <c r="J28" s="3363">
        <f t="shared" ca="1" si="29"/>
        <v>3223.8465651463812</v>
      </c>
      <c r="K28" s="3363">
        <f t="shared" ca="1" si="29"/>
        <v>3281.9949225829732</v>
      </c>
      <c r="L28" s="3363">
        <f t="shared" ca="1" si="29"/>
        <v>3337.9657630711372</v>
      </c>
      <c r="M28" s="3686"/>
      <c r="N28" s="3636">
        <f t="shared" ref="N28:AB28" si="30">+N25-N23</f>
        <v>574</v>
      </c>
      <c r="O28" s="3636">
        <f t="shared" si="30"/>
        <v>581</v>
      </c>
      <c r="P28" s="3636">
        <f t="shared" si="30"/>
        <v>588</v>
      </c>
      <c r="Q28" s="3636">
        <f t="shared" si="30"/>
        <v>522.75</v>
      </c>
      <c r="R28" s="3709">
        <f t="shared" si="30"/>
        <v>588.75</v>
      </c>
      <c r="S28" s="3710">
        <f t="shared" si="30"/>
        <v>620.5</v>
      </c>
      <c r="T28" s="3710">
        <f t="shared" si="30"/>
        <v>607.25</v>
      </c>
      <c r="U28" s="3711">
        <f t="shared" si="30"/>
        <v>595.5</v>
      </c>
      <c r="V28" s="3709">
        <f t="shared" si="30"/>
        <v>663</v>
      </c>
      <c r="W28" s="3710">
        <f t="shared" si="30"/>
        <v>684</v>
      </c>
      <c r="X28" s="3710">
        <f t="shared" si="30"/>
        <v>673</v>
      </c>
      <c r="Y28" s="3711">
        <f t="shared" si="30"/>
        <v>689</v>
      </c>
      <c r="Z28" s="3709">
        <f t="shared" si="30"/>
        <v>677</v>
      </c>
      <c r="AA28" s="3710">
        <f t="shared" si="30"/>
        <v>705</v>
      </c>
      <c r="AB28" s="3710">
        <f t="shared" si="30"/>
        <v>707.819308980095</v>
      </c>
      <c r="AC28" s="3711">
        <f>+AC25-AC23</f>
        <v>726</v>
      </c>
      <c r="AD28" s="3709">
        <f ca="1">+AD25-AD23</f>
        <v>742.59105827320604</v>
      </c>
      <c r="AE28" s="3710">
        <f ca="1">+AE25-AE23</f>
        <v>754.74418956309933</v>
      </c>
      <c r="AF28" s="3710">
        <f ca="1">+AF25-AF23</f>
        <v>766.77734405462638</v>
      </c>
      <c r="AG28" s="3711">
        <f ca="1">+AG25-AG23</f>
        <v>799.53976299554836</v>
      </c>
    </row>
    <row r="29" spans="2:33" s="3327" customFormat="1">
      <c r="B29" s="3726" t="s">
        <v>1996</v>
      </c>
      <c r="C29" s="3363">
        <f t="shared" ref="C29:L29" si="31">+C19-C28</f>
        <v>5857.25</v>
      </c>
      <c r="D29" s="3363">
        <f t="shared" si="31"/>
        <v>5817</v>
      </c>
      <c r="E29" s="3730">
        <f t="shared" si="31"/>
        <v>5463</v>
      </c>
      <c r="F29" s="3363">
        <f t="shared" si="31"/>
        <v>5462.1806910199048</v>
      </c>
      <c r="G29" s="3363">
        <f t="shared" ca="1" si="31"/>
        <v>5305.5841528496239</v>
      </c>
      <c r="H29" s="3363">
        <f t="shared" ca="1" si="31"/>
        <v>5370.2063064593058</v>
      </c>
      <c r="I29" s="3363">
        <f t="shared" ca="1" si="31"/>
        <v>5438.7440800931327</v>
      </c>
      <c r="J29" s="3363">
        <f t="shared" ca="1" si="31"/>
        <v>5511.4173613895455</v>
      </c>
      <c r="K29" s="3363">
        <f t="shared" ca="1" si="31"/>
        <v>5586.7958367015999</v>
      </c>
      <c r="L29" s="3363">
        <f t="shared" ca="1" si="31"/>
        <v>5657.7637757457487</v>
      </c>
      <c r="M29" s="3686"/>
      <c r="N29" s="3641">
        <f t="shared" ref="N29:AG29" si="32">+N19-N28</f>
        <v>1429</v>
      </c>
      <c r="O29" s="3641">
        <f t="shared" si="32"/>
        <v>1449</v>
      </c>
      <c r="P29" s="3641">
        <f t="shared" si="32"/>
        <v>1450</v>
      </c>
      <c r="Q29" s="3641">
        <f t="shared" si="32"/>
        <v>1529.25</v>
      </c>
      <c r="R29" s="3698">
        <f t="shared" si="32"/>
        <v>1464.25</v>
      </c>
      <c r="S29" s="3362">
        <f t="shared" si="32"/>
        <v>1440.5</v>
      </c>
      <c r="T29" s="3362">
        <f t="shared" si="32"/>
        <v>1454.75</v>
      </c>
      <c r="U29" s="3699">
        <f t="shared" si="32"/>
        <v>1457.5</v>
      </c>
      <c r="V29" s="3698">
        <f t="shared" si="32"/>
        <v>1388</v>
      </c>
      <c r="W29" s="3362">
        <f t="shared" si="32"/>
        <v>1372</v>
      </c>
      <c r="X29" s="3362">
        <f t="shared" si="32"/>
        <v>1360</v>
      </c>
      <c r="Y29" s="3699">
        <f t="shared" si="32"/>
        <v>1343</v>
      </c>
      <c r="Z29" s="3698">
        <f t="shared" si="32"/>
        <v>1371</v>
      </c>
      <c r="AA29" s="3362">
        <f t="shared" si="32"/>
        <v>1356</v>
      </c>
      <c r="AB29" s="3362">
        <f t="shared" si="32"/>
        <v>1351.180691019905</v>
      </c>
      <c r="AC29" s="3699">
        <f t="shared" si="32"/>
        <v>1384</v>
      </c>
      <c r="AD29" s="3698">
        <f t="shared" ca="1" si="32"/>
        <v>1314.4478843118529</v>
      </c>
      <c r="AE29" s="3362">
        <f t="shared" ca="1" si="32"/>
        <v>1313.0481106097752</v>
      </c>
      <c r="AF29" s="3362">
        <f t="shared" ca="1" si="32"/>
        <v>1322.534220126917</v>
      </c>
      <c r="AG29" s="3699">
        <f t="shared" ca="1" si="32"/>
        <v>1355.5539378010781</v>
      </c>
    </row>
    <row r="30" spans="2:33" s="3327" customFormat="1">
      <c r="B30" s="3756" t="s">
        <v>443</v>
      </c>
      <c r="C30" s="3639" t="str">
        <f t="shared" ref="C30:L30" si="33">+C18</f>
        <v>2014</v>
      </c>
      <c r="D30" s="3639" t="str">
        <f t="shared" si="33"/>
        <v>2015</v>
      </c>
      <c r="E30" s="3700" t="str">
        <f t="shared" si="33"/>
        <v>2016</v>
      </c>
      <c r="F30" s="3639" t="str">
        <f t="shared" si="33"/>
        <v>2017</v>
      </c>
      <c r="G30" s="3639" t="str">
        <f t="shared" si="33"/>
        <v>2018E</v>
      </c>
      <c r="H30" s="3639" t="str">
        <f t="shared" si="33"/>
        <v>2019E</v>
      </c>
      <c r="I30" s="3639" t="str">
        <f t="shared" si="33"/>
        <v>2020E</v>
      </c>
      <c r="J30" s="3639" t="str">
        <f t="shared" si="33"/>
        <v>2021E</v>
      </c>
      <c r="K30" s="3639" t="str">
        <f t="shared" si="33"/>
        <v>2022E</v>
      </c>
      <c r="L30" s="3639" t="str">
        <f t="shared" si="33"/>
        <v>2023E</v>
      </c>
      <c r="M30" s="3687"/>
      <c r="N30" s="3639" t="str">
        <f>+N18</f>
        <v>1Q14</v>
      </c>
      <c r="O30" s="3639" t="str">
        <f t="shared" ref="O30:AC30" si="34">+O18</f>
        <v>2Q14</v>
      </c>
      <c r="P30" s="3639" t="str">
        <f t="shared" si="34"/>
        <v>3Q14</v>
      </c>
      <c r="Q30" s="3639" t="str">
        <f t="shared" si="34"/>
        <v>4Q14</v>
      </c>
      <c r="R30" s="3700" t="str">
        <f t="shared" si="34"/>
        <v>1Q15</v>
      </c>
      <c r="S30" s="3701" t="str">
        <f t="shared" si="34"/>
        <v>2Q15</v>
      </c>
      <c r="T30" s="3701" t="str">
        <f t="shared" si="34"/>
        <v>3Q15</v>
      </c>
      <c r="U30" s="3702" t="str">
        <f t="shared" si="34"/>
        <v>4Q15</v>
      </c>
      <c r="V30" s="3700" t="str">
        <f t="shared" si="34"/>
        <v>1Q16</v>
      </c>
      <c r="W30" s="3701" t="str">
        <f t="shared" si="34"/>
        <v>2Q16</v>
      </c>
      <c r="X30" s="3701" t="str">
        <f t="shared" si="34"/>
        <v>3Q16</v>
      </c>
      <c r="Y30" s="3702" t="str">
        <f t="shared" si="34"/>
        <v>4Q16</v>
      </c>
      <c r="Z30" s="3700" t="str">
        <f t="shared" si="34"/>
        <v>1Q17</v>
      </c>
      <c r="AA30" s="3701" t="str">
        <f t="shared" si="34"/>
        <v>2Q17</v>
      </c>
      <c r="AB30" s="3701" t="str">
        <f t="shared" si="34"/>
        <v>3Q17</v>
      </c>
      <c r="AC30" s="3702" t="str">
        <f t="shared" si="34"/>
        <v>4Q17</v>
      </c>
      <c r="AD30" s="3700" t="str">
        <f>+AD18</f>
        <v>1Q18E</v>
      </c>
      <c r="AE30" s="3701" t="str">
        <f>+AE18</f>
        <v>2Q18E</v>
      </c>
      <c r="AF30" s="3701" t="str">
        <f>+AF18</f>
        <v>3Q18E</v>
      </c>
      <c r="AG30" s="3702" t="str">
        <f>+AG18</f>
        <v>4Q18E</v>
      </c>
    </row>
    <row r="31" spans="2:33" s="3327" customFormat="1">
      <c r="B31" s="3791" t="s">
        <v>1981</v>
      </c>
      <c r="C31" s="3683">
        <f t="shared" ref="C31:L31" si="35">+C13+C28</f>
        <v>9317.75</v>
      </c>
      <c r="D31" s="3683">
        <f t="shared" si="35"/>
        <v>9346</v>
      </c>
      <c r="E31" s="3754">
        <f t="shared" si="35"/>
        <v>9222</v>
      </c>
      <c r="F31" s="3683">
        <f t="shared" si="35"/>
        <v>8641.6073089800957</v>
      </c>
      <c r="G31" s="3683">
        <f t="shared" ca="1" si="35"/>
        <v>8703.8651341661116</v>
      </c>
      <c r="H31" s="3683">
        <f t="shared" ca="1" si="35"/>
        <v>8612.5921629063942</v>
      </c>
      <c r="I31" s="3683">
        <f t="shared" ca="1" si="35"/>
        <v>8534.8750372968516</v>
      </c>
      <c r="J31" s="3683">
        <f t="shared" ca="1" si="35"/>
        <v>8496.2202009414468</v>
      </c>
      <c r="K31" s="3683">
        <f t="shared" ca="1" si="35"/>
        <v>8478.5445404870497</v>
      </c>
      <c r="L31" s="3683">
        <f t="shared" ca="1" si="35"/>
        <v>8476.0204139496091</v>
      </c>
      <c r="M31" s="3691"/>
      <c r="N31" s="3684">
        <f t="shared" ref="N31:AC31" si="36">+N13+N28</f>
        <v>2362</v>
      </c>
      <c r="O31" s="3684">
        <f t="shared" si="36"/>
        <v>2393</v>
      </c>
      <c r="P31" s="3684">
        <f t="shared" si="36"/>
        <v>2333</v>
      </c>
      <c r="Q31" s="3684">
        <f t="shared" si="36"/>
        <v>2229.75</v>
      </c>
      <c r="R31" s="3717">
        <f t="shared" si="36"/>
        <v>2312.75</v>
      </c>
      <c r="S31" s="3684">
        <f t="shared" si="36"/>
        <v>2242.5</v>
      </c>
      <c r="T31" s="3684">
        <f t="shared" si="36"/>
        <v>2383.25</v>
      </c>
      <c r="U31" s="3718">
        <f t="shared" si="36"/>
        <v>2407.5</v>
      </c>
      <c r="V31" s="3717">
        <f t="shared" si="36"/>
        <v>2347</v>
      </c>
      <c r="W31" s="3684">
        <f t="shared" si="36"/>
        <v>2332</v>
      </c>
      <c r="X31" s="3684">
        <f t="shared" si="36"/>
        <v>2269</v>
      </c>
      <c r="Y31" s="3718">
        <f t="shared" si="36"/>
        <v>2274</v>
      </c>
      <c r="Z31" s="3717">
        <f t="shared" si="36"/>
        <v>2209</v>
      </c>
      <c r="AA31" s="3684">
        <f t="shared" si="36"/>
        <v>2147</v>
      </c>
      <c r="AB31" s="3684">
        <f t="shared" si="36"/>
        <v>2104.8193089800952</v>
      </c>
      <c r="AC31" s="3718">
        <f t="shared" si="36"/>
        <v>2180.788</v>
      </c>
      <c r="AD31" s="3717">
        <f ca="1">+AD13+AD28</f>
        <v>2209.6681620503205</v>
      </c>
      <c r="AE31" s="3684">
        <f ca="1">+AE13+AE28</f>
        <v>2179.6345381361643</v>
      </c>
      <c r="AF31" s="3684">
        <f ca="1">+AF13+AF28</f>
        <v>2117.4051953352218</v>
      </c>
      <c r="AG31" s="3718">
        <f ca="1">+AG13+AG28</f>
        <v>2197.1572386444082</v>
      </c>
    </row>
    <row r="32" spans="2:33" s="3327" customFormat="1">
      <c r="B32" s="3790" t="s">
        <v>1990</v>
      </c>
      <c r="C32" s="3634">
        <f t="shared" ref="C32:L32" si="37">+C31/(C8+C19)</f>
        <v>0.35631931166347991</v>
      </c>
      <c r="D32" s="3634">
        <f t="shared" si="37"/>
        <v>0.35768686134180411</v>
      </c>
      <c r="E32" s="3706">
        <f t="shared" si="37"/>
        <v>0.35964433351532643</v>
      </c>
      <c r="F32" s="3634">
        <f t="shared" si="37"/>
        <v>0.35164220992797945</v>
      </c>
      <c r="G32" s="3634">
        <f t="shared" ca="1" si="37"/>
        <v>0.36057945948146686</v>
      </c>
      <c r="H32" s="3634">
        <f t="shared" ca="1" si="37"/>
        <v>0.36041415471479166</v>
      </c>
      <c r="I32" s="3634">
        <f t="shared" ca="1" si="37"/>
        <v>0.36054726060585418</v>
      </c>
      <c r="J32" s="3634">
        <f t="shared" ca="1" si="37"/>
        <v>0.36132653772353862</v>
      </c>
      <c r="K32" s="3634">
        <f t="shared" ca="1" si="37"/>
        <v>0.36210551086603832</v>
      </c>
      <c r="L32" s="3634">
        <f t="shared" ca="1" si="37"/>
        <v>0.36287948802095993</v>
      </c>
      <c r="M32" s="3689"/>
      <c r="N32" s="3634">
        <f>+N31/(N8+N19)</f>
        <v>0.36110686439382356</v>
      </c>
      <c r="O32" s="3634">
        <f t="shared" ref="O32:AC32" si="38">+O31/(O8+O19)</f>
        <v>0.36423135464231354</v>
      </c>
      <c r="P32" s="3634">
        <f t="shared" si="38"/>
        <v>0.35612883529232181</v>
      </c>
      <c r="Q32" s="3634">
        <f t="shared" si="38"/>
        <v>0.34367293464858201</v>
      </c>
      <c r="R32" s="3706">
        <f t="shared" si="38"/>
        <v>0.35558886838868387</v>
      </c>
      <c r="S32" s="3707">
        <f t="shared" si="38"/>
        <v>0.34606481481481483</v>
      </c>
      <c r="T32" s="3707">
        <f t="shared" si="38"/>
        <v>0.36022521160822252</v>
      </c>
      <c r="U32" s="3708">
        <f t="shared" si="38"/>
        <v>0.36873947005667024</v>
      </c>
      <c r="V32" s="3706">
        <f t="shared" si="38"/>
        <v>0.3637631742095474</v>
      </c>
      <c r="W32" s="3707">
        <f t="shared" si="38"/>
        <v>0.36132630926557174</v>
      </c>
      <c r="X32" s="3707">
        <f t="shared" si="38"/>
        <v>0.35370226032735774</v>
      </c>
      <c r="Y32" s="3708">
        <f t="shared" si="38"/>
        <v>0.35975320360702423</v>
      </c>
      <c r="Z32" s="3706">
        <f t="shared" si="38"/>
        <v>0.35304459005913374</v>
      </c>
      <c r="AA32" s="3707">
        <f t="shared" si="38"/>
        <v>0.34904893513249879</v>
      </c>
      <c r="AB32" s="3707">
        <f t="shared" si="38"/>
        <v>0.34544876234697114</v>
      </c>
      <c r="AC32" s="3708">
        <f t="shared" si="38"/>
        <v>0.35903654922621009</v>
      </c>
      <c r="AD32" s="3706">
        <f ca="1">+AD31/(AD8+AD19)</f>
        <v>0.36513126837630672</v>
      </c>
      <c r="AE32" s="3707">
        <f ca="1">+AE31/(AE8+AE19)</f>
        <v>0.36179417422570403</v>
      </c>
      <c r="AF32" s="3707">
        <f ca="1">+AF31/(AF8+AF19)</f>
        <v>0.35140087819829924</v>
      </c>
      <c r="AG32" s="3708">
        <f ca="1">+AG31/(AG8+AG19)</f>
        <v>0.36396578462126888</v>
      </c>
    </row>
    <row r="33" spans="2:33" s="3327" customFormat="1">
      <c r="B33" s="3726" t="s">
        <v>1780</v>
      </c>
      <c r="C33" s="3363">
        <f>+SUM(N33:Q33)</f>
        <v>0</v>
      </c>
      <c r="D33" s="3363">
        <f>+SUM(R33:U33)</f>
        <v>0</v>
      </c>
      <c r="E33" s="3730">
        <f>+SUM(V33:Y33)</f>
        <v>0</v>
      </c>
      <c r="F33" s="3363">
        <f>+SUM(Z33:AC33)</f>
        <v>-29</v>
      </c>
      <c r="G33" s="3363">
        <f>+SUM(AD33:AG33)</f>
        <v>-116</v>
      </c>
      <c r="H33" s="3363">
        <f>+G33</f>
        <v>-116</v>
      </c>
      <c r="I33" s="3363">
        <f>+H33</f>
        <v>-116</v>
      </c>
      <c r="J33" s="3363">
        <f>+I33</f>
        <v>-116</v>
      </c>
      <c r="K33" s="3363">
        <f>+J33</f>
        <v>-116</v>
      </c>
      <c r="L33" s="3363">
        <f>+K33</f>
        <v>-116</v>
      </c>
      <c r="M33" s="3686"/>
      <c r="N33" s="3636"/>
      <c r="O33" s="3636"/>
      <c r="P33" s="3636"/>
      <c r="Q33" s="3636"/>
      <c r="R33" s="3698"/>
      <c r="S33" s="3362"/>
      <c r="T33" s="3362"/>
      <c r="U33" s="3699"/>
      <c r="V33" s="3698"/>
      <c r="W33" s="3362"/>
      <c r="X33" s="3362"/>
      <c r="Y33" s="3699"/>
      <c r="Z33" s="3698"/>
      <c r="AA33" s="3362"/>
      <c r="AB33" s="3362"/>
      <c r="AC33" s="3793">
        <f>(-387+271)/4</f>
        <v>-29</v>
      </c>
      <c r="AD33" s="3698">
        <f>-'LVLT pro forma model (full)'!$C$35/4+Subscribers!CQ120</f>
        <v>-29</v>
      </c>
      <c r="AE33" s="3362">
        <f>-'LVLT pro forma model (full)'!$C$35/4+Subscribers!CR120</f>
        <v>-29</v>
      </c>
      <c r="AF33" s="3362">
        <f>-'LVLT pro forma model (full)'!$C$35/4+Subscribers!CS120</f>
        <v>-29</v>
      </c>
      <c r="AG33" s="3699">
        <f>-'LVLT pro forma model (full)'!$C$35/4+Subscribers!CT120</f>
        <v>-29</v>
      </c>
    </row>
    <row r="34" spans="2:33" s="3327" customFormat="1" ht="13.5" thickBot="1">
      <c r="B34" s="3792" t="s">
        <v>1999</v>
      </c>
      <c r="C34" s="3736">
        <f t="shared" ref="C34:L34" si="39">+C31+C33</f>
        <v>9317.75</v>
      </c>
      <c r="D34" s="3736">
        <f t="shared" si="39"/>
        <v>9346</v>
      </c>
      <c r="E34" s="3738">
        <f t="shared" si="39"/>
        <v>9222</v>
      </c>
      <c r="F34" s="3736">
        <f t="shared" si="39"/>
        <v>8612.6073089800957</v>
      </c>
      <c r="G34" s="3736">
        <f t="shared" ca="1" si="39"/>
        <v>8587.8651341661116</v>
      </c>
      <c r="H34" s="3736">
        <f t="shared" ca="1" si="39"/>
        <v>8496.5921629063942</v>
      </c>
      <c r="I34" s="3736">
        <f t="shared" ca="1" si="39"/>
        <v>8418.8750372968516</v>
      </c>
      <c r="J34" s="3736">
        <f t="shared" ca="1" si="39"/>
        <v>8380.2202009414468</v>
      </c>
      <c r="K34" s="3736">
        <f t="shared" ca="1" si="39"/>
        <v>8362.5445404870497</v>
      </c>
      <c r="L34" s="3736">
        <f t="shared" ca="1" si="39"/>
        <v>8360.0204139496091</v>
      </c>
      <c r="M34" s="3737"/>
      <c r="N34" s="3736">
        <f t="shared" ref="N34:AB34" si="40">+N31+N33</f>
        <v>2362</v>
      </c>
      <c r="O34" s="3736">
        <f t="shared" si="40"/>
        <v>2393</v>
      </c>
      <c r="P34" s="3736">
        <f t="shared" si="40"/>
        <v>2333</v>
      </c>
      <c r="Q34" s="3736">
        <f t="shared" si="40"/>
        <v>2229.75</v>
      </c>
      <c r="R34" s="3738">
        <f t="shared" si="40"/>
        <v>2312.75</v>
      </c>
      <c r="S34" s="3736">
        <f t="shared" si="40"/>
        <v>2242.5</v>
      </c>
      <c r="T34" s="3736">
        <f t="shared" si="40"/>
        <v>2383.25</v>
      </c>
      <c r="U34" s="3739">
        <f t="shared" si="40"/>
        <v>2407.5</v>
      </c>
      <c r="V34" s="3738">
        <f t="shared" si="40"/>
        <v>2347</v>
      </c>
      <c r="W34" s="3736">
        <f t="shared" si="40"/>
        <v>2332</v>
      </c>
      <c r="X34" s="3736">
        <f t="shared" si="40"/>
        <v>2269</v>
      </c>
      <c r="Y34" s="3739">
        <f t="shared" si="40"/>
        <v>2274</v>
      </c>
      <c r="Z34" s="3738">
        <f t="shared" si="40"/>
        <v>2209</v>
      </c>
      <c r="AA34" s="3736">
        <f t="shared" si="40"/>
        <v>2147</v>
      </c>
      <c r="AB34" s="3736">
        <f t="shared" si="40"/>
        <v>2104.8193089800952</v>
      </c>
      <c r="AC34" s="3739">
        <f>+AC31+AC33</f>
        <v>2151.788</v>
      </c>
      <c r="AD34" s="3738">
        <f ca="1">+AD31+AD33</f>
        <v>2180.6681620503205</v>
      </c>
      <c r="AE34" s="3736">
        <f ca="1">+AE31+AE33</f>
        <v>2150.6345381361643</v>
      </c>
      <c r="AF34" s="3736">
        <f ca="1">+AF31+AF33</f>
        <v>2088.4051953352218</v>
      </c>
      <c r="AG34" s="3739">
        <f ca="1">+AG31+AG33</f>
        <v>2168.1572386444082</v>
      </c>
    </row>
    <row r="35" spans="2:33" s="3327" customFormat="1" ht="13.5" thickTop="1">
      <c r="B35" s="3790" t="s">
        <v>1990</v>
      </c>
      <c r="C35" s="3634">
        <f>+C34/(C8+C19)</f>
        <v>0.35631931166347991</v>
      </c>
      <c r="D35" s="3634">
        <f>+D34/(D8+D19)</f>
        <v>0.35768686134180411</v>
      </c>
      <c r="E35" s="3706">
        <f>+E34/(E8+E19)</f>
        <v>0.35964433351532643</v>
      </c>
      <c r="F35" s="3634">
        <f>+F34/(F8+F19)</f>
        <v>0.35046214889033961</v>
      </c>
      <c r="G35" s="3634">
        <f t="shared" ref="G35:L35" ca="1" si="41">+G34/(G$8+G$19)</f>
        <v>0.35577386832683583</v>
      </c>
      <c r="H35" s="3634">
        <f t="shared" ca="1" si="41"/>
        <v>0.35555986216777208</v>
      </c>
      <c r="I35" s="3634">
        <f t="shared" ca="1" si="41"/>
        <v>0.35564695661223816</v>
      </c>
      <c r="J35" s="3634">
        <f t="shared" ca="1" si="41"/>
        <v>0.35639329948528231</v>
      </c>
      <c r="K35" s="3634">
        <f t="shared" ca="1" si="41"/>
        <v>0.35715133045690323</v>
      </c>
      <c r="L35" s="3634">
        <f t="shared" ca="1" si="41"/>
        <v>0.35791323988154367</v>
      </c>
      <c r="M35" s="3689"/>
      <c r="N35" s="3634">
        <f>+N34/(N8+N19)</f>
        <v>0.36110686439382356</v>
      </c>
      <c r="O35" s="3634">
        <f t="shared" ref="O35:AC35" si="42">+O34/(O8+O19)</f>
        <v>0.36423135464231354</v>
      </c>
      <c r="P35" s="3634">
        <f t="shared" si="42"/>
        <v>0.35612883529232181</v>
      </c>
      <c r="Q35" s="3634">
        <f t="shared" si="42"/>
        <v>0.34367293464858201</v>
      </c>
      <c r="R35" s="3706">
        <f t="shared" si="42"/>
        <v>0.35558886838868387</v>
      </c>
      <c r="S35" s="3707">
        <f t="shared" si="42"/>
        <v>0.34606481481481483</v>
      </c>
      <c r="T35" s="3707">
        <f t="shared" si="42"/>
        <v>0.36022521160822252</v>
      </c>
      <c r="U35" s="3708">
        <f t="shared" si="42"/>
        <v>0.36873947005667024</v>
      </c>
      <c r="V35" s="3706">
        <f t="shared" si="42"/>
        <v>0.3637631742095474</v>
      </c>
      <c r="W35" s="3707">
        <f t="shared" si="42"/>
        <v>0.36132630926557174</v>
      </c>
      <c r="X35" s="3707">
        <f t="shared" si="42"/>
        <v>0.35370226032735774</v>
      </c>
      <c r="Y35" s="3708">
        <f t="shared" si="42"/>
        <v>0.35975320360702423</v>
      </c>
      <c r="Z35" s="3706">
        <f t="shared" si="42"/>
        <v>0.35304459005913374</v>
      </c>
      <c r="AA35" s="3707">
        <f t="shared" si="42"/>
        <v>0.34904893513249879</v>
      </c>
      <c r="AB35" s="3707">
        <f t="shared" si="42"/>
        <v>0.34544876234697114</v>
      </c>
      <c r="AC35" s="3708">
        <f t="shared" si="42"/>
        <v>0.35426210075732634</v>
      </c>
      <c r="AD35" s="3706">
        <f ca="1">+AD34/(AD8+AD19)</f>
        <v>0.36033923355190678</v>
      </c>
      <c r="AE35" s="3707">
        <f ca="1">+AE34/(AE8+AE19)</f>
        <v>0.35698050896716149</v>
      </c>
      <c r="AF35" s="3707">
        <f ca="1">+AF34/(AF8+AF19)</f>
        <v>0.34658808870944691</v>
      </c>
      <c r="AG35" s="3708">
        <f ca="1">+AG34/(AG8+AG19)</f>
        <v>0.35916184634667869</v>
      </c>
    </row>
    <row r="36" spans="2:33" s="3327" customFormat="1">
      <c r="B36" s="3726" t="s">
        <v>1837</v>
      </c>
      <c r="C36" s="3363">
        <f>+SUM(N36:Q36)</f>
        <v>247</v>
      </c>
      <c r="D36" s="3363">
        <f>+SUM(R36:U36)</f>
        <v>214</v>
      </c>
      <c r="E36" s="3730">
        <f>+SUM(V36:Y36)</f>
        <v>236</v>
      </c>
      <c r="F36" s="3363">
        <f t="shared" ref="F36:L36" si="43">+F15+F23</f>
        <v>246.5</v>
      </c>
      <c r="G36" s="3363">
        <f t="shared" ca="1" si="43"/>
        <v>142.58465555415273</v>
      </c>
      <c r="H36" s="3363">
        <f t="shared" ca="1" si="43"/>
        <v>141.48760102652585</v>
      </c>
      <c r="I36" s="3363">
        <f t="shared" ca="1" si="43"/>
        <v>140.49633246013858</v>
      </c>
      <c r="J36" s="3363">
        <f t="shared" ca="1" si="43"/>
        <v>139.87006382386315</v>
      </c>
      <c r="K36" s="3363">
        <f t="shared" ca="1" si="43"/>
        <v>139.56400957993355</v>
      </c>
      <c r="L36" s="3363">
        <f t="shared" ca="1" si="43"/>
        <v>139.473328531042</v>
      </c>
      <c r="M36" s="3686"/>
      <c r="N36" s="3636">
        <f t="shared" ref="N36:AC36" si="44">+N15+N23</f>
        <v>38</v>
      </c>
      <c r="O36" s="3636">
        <f t="shared" si="44"/>
        <v>47</v>
      </c>
      <c r="P36" s="3636">
        <f t="shared" si="44"/>
        <v>52</v>
      </c>
      <c r="Q36" s="3636">
        <f t="shared" si="44"/>
        <v>110</v>
      </c>
      <c r="R36" s="3709">
        <f t="shared" si="44"/>
        <v>49</v>
      </c>
      <c r="S36" s="3710">
        <f t="shared" si="44"/>
        <v>47</v>
      </c>
      <c r="T36" s="3710">
        <f t="shared" si="44"/>
        <v>53</v>
      </c>
      <c r="U36" s="3711">
        <f t="shared" si="44"/>
        <v>65</v>
      </c>
      <c r="V36" s="3709">
        <f t="shared" si="44"/>
        <v>65</v>
      </c>
      <c r="W36" s="3710">
        <f t="shared" si="44"/>
        <v>53</v>
      </c>
      <c r="X36" s="3710">
        <f t="shared" si="44"/>
        <v>63</v>
      </c>
      <c r="Y36" s="3711">
        <f t="shared" si="44"/>
        <v>55</v>
      </c>
      <c r="Z36" s="3709">
        <f t="shared" si="44"/>
        <v>69</v>
      </c>
      <c r="AA36" s="3710">
        <f t="shared" si="44"/>
        <v>61</v>
      </c>
      <c r="AB36" s="3710">
        <f t="shared" si="44"/>
        <v>63.5</v>
      </c>
      <c r="AC36" s="3711">
        <f t="shared" si="44"/>
        <v>53</v>
      </c>
      <c r="AD36" s="3709">
        <f ca="1">+AD15+AD23</f>
        <v>35.399272598095415</v>
      </c>
      <c r="AE36" s="3710">
        <f ca="1">+AE15+AE23</f>
        <v>35.474546101210123</v>
      </c>
      <c r="AF36" s="3710">
        <f ca="1">+AF15+AF23</f>
        <v>35.625180949270806</v>
      </c>
      <c r="AG36" s="3711">
        <f ca="1">+AG15+AG23</f>
        <v>36.085655905576388</v>
      </c>
    </row>
    <row r="37" spans="2:33" s="3327" customFormat="1">
      <c r="B37" s="3726" t="s">
        <v>1998</v>
      </c>
      <c r="C37" s="3636">
        <f t="shared" ref="C37:L37" si="45">+C34+C36</f>
        <v>9564.75</v>
      </c>
      <c r="D37" s="3636">
        <f t="shared" si="45"/>
        <v>9560</v>
      </c>
      <c r="E37" s="3709">
        <f t="shared" si="45"/>
        <v>9458</v>
      </c>
      <c r="F37" s="3636">
        <f t="shared" si="45"/>
        <v>8859.1073089800957</v>
      </c>
      <c r="G37" s="3636">
        <f t="shared" ca="1" si="45"/>
        <v>8730.4497897202637</v>
      </c>
      <c r="H37" s="3636">
        <f t="shared" ca="1" si="45"/>
        <v>8638.0797639329194</v>
      </c>
      <c r="I37" s="3636">
        <f t="shared" ca="1" si="45"/>
        <v>8559.371369756991</v>
      </c>
      <c r="J37" s="3636">
        <f t="shared" ca="1" si="45"/>
        <v>8520.0902647653093</v>
      </c>
      <c r="K37" s="3636">
        <f t="shared" ca="1" si="45"/>
        <v>8502.1085500669833</v>
      </c>
      <c r="L37" s="3636">
        <f t="shared" ca="1" si="45"/>
        <v>8499.4937424806503</v>
      </c>
      <c r="M37" s="3686"/>
      <c r="N37" s="3636">
        <f t="shared" ref="N37:AB37" si="46">+N34+N36</f>
        <v>2400</v>
      </c>
      <c r="O37" s="3636">
        <f t="shared" si="46"/>
        <v>2440</v>
      </c>
      <c r="P37" s="3636">
        <f t="shared" si="46"/>
        <v>2385</v>
      </c>
      <c r="Q37" s="3636">
        <f t="shared" si="46"/>
        <v>2339.75</v>
      </c>
      <c r="R37" s="3709">
        <f t="shared" si="46"/>
        <v>2361.75</v>
      </c>
      <c r="S37" s="3710">
        <f t="shared" si="46"/>
        <v>2289.5</v>
      </c>
      <c r="T37" s="3710">
        <f t="shared" si="46"/>
        <v>2436.25</v>
      </c>
      <c r="U37" s="3711">
        <f t="shared" si="46"/>
        <v>2472.5</v>
      </c>
      <c r="V37" s="3709">
        <f t="shared" si="46"/>
        <v>2412</v>
      </c>
      <c r="W37" s="3710">
        <f t="shared" si="46"/>
        <v>2385</v>
      </c>
      <c r="X37" s="3710">
        <f t="shared" si="46"/>
        <v>2332</v>
      </c>
      <c r="Y37" s="3711">
        <f t="shared" si="46"/>
        <v>2329</v>
      </c>
      <c r="Z37" s="3709">
        <f t="shared" si="46"/>
        <v>2278</v>
      </c>
      <c r="AA37" s="3710">
        <f t="shared" si="46"/>
        <v>2208</v>
      </c>
      <c r="AB37" s="3710">
        <f t="shared" si="46"/>
        <v>2168.3193089800952</v>
      </c>
      <c r="AC37" s="3711">
        <f>+AC34+AC36</f>
        <v>2204.788</v>
      </c>
      <c r="AD37" s="3709">
        <f ca="1">+AD34+AD36</f>
        <v>2216.0674346484157</v>
      </c>
      <c r="AE37" s="3710">
        <f ca="1">+AE34+AE36</f>
        <v>2186.1090842373746</v>
      </c>
      <c r="AF37" s="3710">
        <f ca="1">+AF34+AF36</f>
        <v>2124.0303762844928</v>
      </c>
      <c r="AG37" s="3711">
        <f ca="1">+AG34+AG36</f>
        <v>2204.2428945499846</v>
      </c>
    </row>
    <row r="38" spans="2:33" s="3327" customFormat="1">
      <c r="B38" s="3790" t="s">
        <v>1990</v>
      </c>
      <c r="C38" s="3634">
        <f t="shared" ref="C38:L38" si="47">+C37/(C8+C19)</f>
        <v>0.36576481835564051</v>
      </c>
      <c r="D38" s="3634">
        <f t="shared" si="47"/>
        <v>0.36587699490987025</v>
      </c>
      <c r="E38" s="3706">
        <f t="shared" si="47"/>
        <v>0.36884798377661648</v>
      </c>
      <c r="F38" s="3634">
        <f t="shared" si="47"/>
        <v>0.36049266771027855</v>
      </c>
      <c r="G38" s="3634">
        <f t="shared" ca="1" si="47"/>
        <v>0.36168079556405264</v>
      </c>
      <c r="H38" s="3634">
        <f t="shared" ca="1" si="47"/>
        <v>0.36148074326396812</v>
      </c>
      <c r="I38" s="3634">
        <f t="shared" ca="1" si="47"/>
        <v>0.36158208367295214</v>
      </c>
      <c r="J38" s="3634">
        <f t="shared" ca="1" si="47"/>
        <v>0.36234168178910331</v>
      </c>
      <c r="K38" s="3634">
        <f t="shared" ca="1" si="47"/>
        <v>0.36311189323346577</v>
      </c>
      <c r="L38" s="3634">
        <f t="shared" ca="1" si="47"/>
        <v>0.36388443952219429</v>
      </c>
      <c r="M38" s="3689"/>
      <c r="N38" s="3634">
        <f>+N37/(N8+N19)</f>
        <v>0.36691637364317381</v>
      </c>
      <c r="O38" s="3634">
        <f t="shared" ref="O38:AC38" si="48">+O37/(O8+O19)</f>
        <v>0.37138508371385082</v>
      </c>
      <c r="P38" s="3634">
        <f t="shared" si="48"/>
        <v>0.36406655472446953</v>
      </c>
      <c r="Q38" s="3634">
        <f t="shared" si="48"/>
        <v>0.36062731196054254</v>
      </c>
      <c r="R38" s="3706">
        <f t="shared" si="48"/>
        <v>0.36312269372693728</v>
      </c>
      <c r="S38" s="3707">
        <f t="shared" si="48"/>
        <v>0.35331790123456791</v>
      </c>
      <c r="T38" s="3707">
        <f t="shared" si="48"/>
        <v>0.36823609431680776</v>
      </c>
      <c r="U38" s="3708">
        <f t="shared" si="48"/>
        <v>0.37869505284117017</v>
      </c>
      <c r="V38" s="3706">
        <f t="shared" si="48"/>
        <v>0.37383756974581522</v>
      </c>
      <c r="W38" s="3707">
        <f t="shared" si="48"/>
        <v>0.3695382708397893</v>
      </c>
      <c r="X38" s="3707">
        <f t="shared" si="48"/>
        <v>0.36352299298519097</v>
      </c>
      <c r="Y38" s="3708">
        <f t="shared" si="48"/>
        <v>0.36845435848758107</v>
      </c>
      <c r="Z38" s="3706">
        <f t="shared" si="48"/>
        <v>0.3640722390922167</v>
      </c>
      <c r="AA38" s="3707">
        <f t="shared" si="48"/>
        <v>0.35896602178507558</v>
      </c>
      <c r="AB38" s="3707">
        <f t="shared" si="48"/>
        <v>0.35587055785000743</v>
      </c>
      <c r="AC38" s="3708">
        <f t="shared" si="48"/>
        <v>0.36298781692459664</v>
      </c>
      <c r="AD38" s="3706">
        <f ca="1">+AD37/(AD8+AD19)</f>
        <v>0.36618870069151016</v>
      </c>
      <c r="AE38" s="3707">
        <f ca="1">+AE37/(AE8+AE19)</f>
        <v>0.36286887414405672</v>
      </c>
      <c r="AF38" s="3707">
        <f ca="1">+AF37/(AF8+AF19)</f>
        <v>0.3525003816891405</v>
      </c>
      <c r="AG38" s="3708">
        <f ca="1">+AG37/(AG8+AG19)</f>
        <v>0.36513954509041974</v>
      </c>
    </row>
    <row r="39" spans="2:33" s="3327" customFormat="1">
      <c r="B39" s="3726"/>
      <c r="E39" s="3726"/>
      <c r="M39" s="3686"/>
      <c r="N39" s="3673"/>
      <c r="O39" s="3673"/>
      <c r="P39" s="3673"/>
      <c r="Q39" s="3673"/>
      <c r="R39" s="3694"/>
      <c r="S39" s="3719"/>
      <c r="T39" s="3719"/>
      <c r="U39" s="3720"/>
      <c r="V39" s="3694"/>
      <c r="W39" s="3719"/>
      <c r="X39" s="3719"/>
      <c r="Y39" s="3720"/>
      <c r="Z39" s="3694"/>
      <c r="AA39" s="3719"/>
      <c r="AB39" s="3719"/>
      <c r="AC39" s="3720"/>
      <c r="AD39" s="3694"/>
      <c r="AE39" s="3719"/>
      <c r="AF39" s="3719"/>
      <c r="AG39" s="3720"/>
    </row>
    <row r="40" spans="2:33" s="3327" customFormat="1">
      <c r="B40" s="3756" t="s">
        <v>2001</v>
      </c>
      <c r="C40" s="3639" t="str">
        <f t="shared" ref="C40:L40" si="49">+C30</f>
        <v>2014</v>
      </c>
      <c r="D40" s="3639" t="str">
        <f t="shared" si="49"/>
        <v>2015</v>
      </c>
      <c r="E40" s="3700" t="str">
        <f t="shared" si="49"/>
        <v>2016</v>
      </c>
      <c r="F40" s="3639" t="str">
        <f t="shared" si="49"/>
        <v>2017</v>
      </c>
      <c r="G40" s="3639" t="str">
        <f t="shared" si="49"/>
        <v>2018E</v>
      </c>
      <c r="H40" s="3639" t="str">
        <f t="shared" si="49"/>
        <v>2019E</v>
      </c>
      <c r="I40" s="3639" t="str">
        <f t="shared" si="49"/>
        <v>2020E</v>
      </c>
      <c r="J40" s="3639" t="str">
        <f t="shared" si="49"/>
        <v>2021E</v>
      </c>
      <c r="K40" s="3639" t="str">
        <f t="shared" si="49"/>
        <v>2022E</v>
      </c>
      <c r="L40" s="3639" t="str">
        <f t="shared" si="49"/>
        <v>2023E</v>
      </c>
      <c r="M40" s="3692"/>
      <c r="N40" s="3639" t="str">
        <f t="shared" ref="N40:AC40" si="50">+N18</f>
        <v>1Q14</v>
      </c>
      <c r="O40" s="3639" t="str">
        <f t="shared" si="50"/>
        <v>2Q14</v>
      </c>
      <c r="P40" s="3639" t="str">
        <f t="shared" si="50"/>
        <v>3Q14</v>
      </c>
      <c r="Q40" s="3639" t="str">
        <f t="shared" si="50"/>
        <v>4Q14</v>
      </c>
      <c r="R40" s="3700" t="str">
        <f t="shared" si="50"/>
        <v>1Q15</v>
      </c>
      <c r="S40" s="3701" t="str">
        <f t="shared" si="50"/>
        <v>2Q15</v>
      </c>
      <c r="T40" s="3701" t="str">
        <f t="shared" si="50"/>
        <v>3Q15</v>
      </c>
      <c r="U40" s="3702" t="str">
        <f t="shared" si="50"/>
        <v>4Q15</v>
      </c>
      <c r="V40" s="3700" t="str">
        <f t="shared" si="50"/>
        <v>1Q16</v>
      </c>
      <c r="W40" s="3701" t="str">
        <f t="shared" si="50"/>
        <v>2Q16</v>
      </c>
      <c r="X40" s="3701" t="str">
        <f t="shared" si="50"/>
        <v>3Q16</v>
      </c>
      <c r="Y40" s="3702" t="str">
        <f t="shared" si="50"/>
        <v>4Q16</v>
      </c>
      <c r="Z40" s="3700" t="str">
        <f t="shared" si="50"/>
        <v>1Q17</v>
      </c>
      <c r="AA40" s="3701" t="str">
        <f t="shared" si="50"/>
        <v>2Q17</v>
      </c>
      <c r="AB40" s="3701" t="str">
        <f t="shared" si="50"/>
        <v>3Q17</v>
      </c>
      <c r="AC40" s="3702" t="str">
        <f t="shared" si="50"/>
        <v>4Q17</v>
      </c>
      <c r="AD40" s="3700" t="str">
        <f>+AD18</f>
        <v>1Q18E</v>
      </c>
      <c r="AE40" s="3701" t="str">
        <f>+AE18</f>
        <v>2Q18E</v>
      </c>
      <c r="AF40" s="3701" t="str">
        <f>+AF18</f>
        <v>3Q18E</v>
      </c>
      <c r="AG40" s="3702" t="str">
        <f>+AG18</f>
        <v>4Q18E</v>
      </c>
    </row>
    <row r="41" spans="2:33" s="3327" customFormat="1">
      <c r="B41" s="3755" t="s">
        <v>2003</v>
      </c>
      <c r="C41" s="3670"/>
      <c r="D41" s="3670"/>
      <c r="E41" s="3755"/>
      <c r="F41" s="3670"/>
      <c r="G41" s="3670"/>
      <c r="H41" s="3670"/>
      <c r="I41" s="3670"/>
      <c r="J41" s="3670"/>
      <c r="K41" s="3670"/>
      <c r="L41" s="3670"/>
      <c r="M41" s="3690"/>
      <c r="N41" s="3671"/>
      <c r="O41" s="3671"/>
      <c r="P41" s="3671"/>
      <c r="Q41" s="3671"/>
      <c r="R41" s="3703"/>
      <c r="S41" s="3704"/>
      <c r="T41" s="3704"/>
      <c r="U41" s="3705"/>
      <c r="V41" s="3703"/>
      <c r="W41" s="3704"/>
      <c r="X41" s="3704"/>
      <c r="Y41" s="3705"/>
      <c r="Z41" s="3703"/>
      <c r="AA41" s="3704"/>
      <c r="AB41" s="3704"/>
      <c r="AC41" s="3705"/>
      <c r="AD41" s="3703"/>
      <c r="AE41" s="3704"/>
      <c r="AF41" s="3704"/>
      <c r="AG41" s="3705"/>
    </row>
    <row r="42" spans="2:33" s="3327" customFormat="1">
      <c r="B42" s="3726" t="s">
        <v>1979</v>
      </c>
      <c r="C42" s="3674">
        <f t="shared" ref="C42:G45" si="51">+C9/C$8</f>
        <v>0.43246241748488379</v>
      </c>
      <c r="D42" s="3674">
        <f t="shared" si="51"/>
        <v>0.43374301675977656</v>
      </c>
      <c r="E42" s="3721">
        <f t="shared" si="51"/>
        <v>0.44499141385231827</v>
      </c>
      <c r="F42" s="3674">
        <f t="shared" si="51"/>
        <v>0.46219574154752413</v>
      </c>
      <c r="G42" s="3674">
        <f t="shared" si="51"/>
        <v>0.46858466625967554</v>
      </c>
      <c r="H42" s="3796">
        <v>0.47</v>
      </c>
      <c r="I42" s="3796">
        <v>0.47099999999999997</v>
      </c>
      <c r="J42" s="3796">
        <f>+I42</f>
        <v>0.47099999999999997</v>
      </c>
      <c r="K42" s="3796">
        <f>+J42</f>
        <v>0.47099999999999997</v>
      </c>
      <c r="L42" s="3796">
        <f>+K42</f>
        <v>0.47099999999999997</v>
      </c>
      <c r="M42" s="3686"/>
      <c r="N42" s="3674">
        <f t="shared" ref="N42:AB42" si="52">+N9/N$8</f>
        <v>0.42551784927280739</v>
      </c>
      <c r="O42" s="3674">
        <f t="shared" si="52"/>
        <v>0.43083700440528633</v>
      </c>
      <c r="P42" s="3674">
        <f t="shared" si="52"/>
        <v>0.43718147573676047</v>
      </c>
      <c r="Q42" s="3674">
        <f t="shared" si="52"/>
        <v>0.436429215509468</v>
      </c>
      <c r="R42" s="3721">
        <f t="shared" si="52"/>
        <v>0.42866771512019769</v>
      </c>
      <c r="S42" s="3722">
        <f t="shared" si="52"/>
        <v>0.44263408010862187</v>
      </c>
      <c r="T42" s="3722">
        <f t="shared" si="52"/>
        <v>0.43653930610452352</v>
      </c>
      <c r="U42" s="3723">
        <f t="shared" si="52"/>
        <v>0.42716711349419123</v>
      </c>
      <c r="V42" s="3721">
        <f t="shared" si="52"/>
        <v>0.43172006362190413</v>
      </c>
      <c r="W42" s="3722">
        <f t="shared" si="52"/>
        <v>0.44315597999090495</v>
      </c>
      <c r="X42" s="3722">
        <f t="shared" si="52"/>
        <v>0.45549977179370149</v>
      </c>
      <c r="Y42" s="3723">
        <f t="shared" si="52"/>
        <v>0.44975518768943812</v>
      </c>
      <c r="Z42" s="3721">
        <f t="shared" si="52"/>
        <v>0.44856260394392966</v>
      </c>
      <c r="AA42" s="3722">
        <f t="shared" si="52"/>
        <v>0.46210268948655259</v>
      </c>
      <c r="AB42" s="3722">
        <f t="shared" si="52"/>
        <v>0.47768963807635101</v>
      </c>
      <c r="AC42" s="3794">
        <v>0.46100000000000002</v>
      </c>
      <c r="AD42" s="3795">
        <v>0.45949074364684994</v>
      </c>
      <c r="AE42" s="3796">
        <v>0.46755675619512699</v>
      </c>
      <c r="AF42" s="3796">
        <v>0.47865589351433996</v>
      </c>
      <c r="AG42" s="3794">
        <v>0.46877814305430515</v>
      </c>
    </row>
    <row r="43" spans="2:33" s="3327" customFormat="1">
      <c r="B43" s="3726" t="s">
        <v>159</v>
      </c>
      <c r="C43" s="3674">
        <f t="shared" si="51"/>
        <v>0.17634659122427471</v>
      </c>
      <c r="D43" s="3674">
        <f t="shared" si="51"/>
        <v>0.1788826815642458</v>
      </c>
      <c r="E43" s="3721">
        <f t="shared" si="51"/>
        <v>0.19730967372638811</v>
      </c>
      <c r="F43" s="3674">
        <f t="shared" si="51"/>
        <v>0.18934822359943548</v>
      </c>
      <c r="G43" s="3674">
        <f t="shared" si="51"/>
        <v>0.17374516895384112</v>
      </c>
      <c r="H43" s="3796">
        <f>+G43-0.05%</f>
        <v>0.17324516895384112</v>
      </c>
      <c r="I43" s="3796">
        <f>+H43-0.05%</f>
        <v>0.17274516895384112</v>
      </c>
      <c r="J43" s="3796">
        <f>+I43-0.05%</f>
        <v>0.17224516895384112</v>
      </c>
      <c r="K43" s="3796">
        <f>+J43-0.05%</f>
        <v>0.17174516895384112</v>
      </c>
      <c r="L43" s="3796">
        <f>+K43-0.05%</f>
        <v>0.17124516895384112</v>
      </c>
      <c r="M43" s="3686"/>
      <c r="N43" s="3674">
        <f t="shared" ref="N43:AB43" si="53">+N10/N$8</f>
        <v>0.18047598060819744</v>
      </c>
      <c r="O43" s="3674">
        <f t="shared" si="53"/>
        <v>0.17004405286343613</v>
      </c>
      <c r="P43" s="3674">
        <f t="shared" si="53"/>
        <v>0.17615776645247064</v>
      </c>
      <c r="Q43" s="3674">
        <f t="shared" si="53"/>
        <v>0.17876465284039675</v>
      </c>
      <c r="R43" s="3721">
        <f t="shared" si="53"/>
        <v>0.18400359469782071</v>
      </c>
      <c r="S43" s="3722">
        <f t="shared" si="53"/>
        <v>0.19031455080334916</v>
      </c>
      <c r="T43" s="3722">
        <f t="shared" si="53"/>
        <v>0.17347386912604304</v>
      </c>
      <c r="U43" s="3723">
        <f t="shared" si="53"/>
        <v>0.1680071492403932</v>
      </c>
      <c r="V43" s="3721">
        <f t="shared" si="53"/>
        <v>0.19018404907975461</v>
      </c>
      <c r="W43" s="3722">
        <f t="shared" si="53"/>
        <v>0.18531150522964984</v>
      </c>
      <c r="X43" s="3722">
        <f t="shared" si="53"/>
        <v>0.18210862619808307</v>
      </c>
      <c r="Y43" s="3723">
        <f t="shared" si="53"/>
        <v>0.23245511774306366</v>
      </c>
      <c r="Z43" s="3721">
        <f t="shared" si="53"/>
        <v>0.19244476122594439</v>
      </c>
      <c r="AA43" s="3722">
        <f t="shared" si="53"/>
        <v>0.21613691931540344</v>
      </c>
      <c r="AB43" s="3722">
        <f t="shared" si="53"/>
        <v>0.1760039662865642</v>
      </c>
      <c r="AC43" s="3794">
        <v>0.17199999999999999</v>
      </c>
      <c r="AD43" s="3795">
        <v>0.17325060826028768</v>
      </c>
      <c r="AE43" s="3796">
        <v>0.17232444130768909</v>
      </c>
      <c r="AF43" s="3796">
        <v>0.17822293907448827</v>
      </c>
      <c r="AG43" s="3794">
        <v>0.17116150182364276</v>
      </c>
    </row>
    <row r="44" spans="2:33" s="3327" customFormat="1">
      <c r="B44" s="3726" t="s">
        <v>1988</v>
      </c>
      <c r="C44" s="3674">
        <f t="shared" si="51"/>
        <v>0</v>
      </c>
      <c r="D44" s="3674">
        <f t="shared" si="51"/>
        <v>0</v>
      </c>
      <c r="E44" s="3721">
        <f t="shared" si="51"/>
        <v>-1.5111619919862622E-2</v>
      </c>
      <c r="F44" s="3674">
        <f t="shared" si="51"/>
        <v>-9.0200650426458858E-3</v>
      </c>
      <c r="G44" s="3674">
        <f t="shared" si="51"/>
        <v>0</v>
      </c>
      <c r="H44" s="3674">
        <f t="shared" ref="H44:L45" si="54">+H11/H$8</f>
        <v>0</v>
      </c>
      <c r="I44" s="3674">
        <f t="shared" si="54"/>
        <v>0</v>
      </c>
      <c r="J44" s="3674">
        <f t="shared" si="54"/>
        <v>0</v>
      </c>
      <c r="K44" s="3674">
        <f t="shared" si="54"/>
        <v>0</v>
      </c>
      <c r="L44" s="3674">
        <f t="shared" si="54"/>
        <v>0</v>
      </c>
      <c r="M44" s="3686"/>
      <c r="N44" s="3674">
        <f t="shared" ref="N44:AC44" si="55">+N11/N$8</f>
        <v>0</v>
      </c>
      <c r="O44" s="3674">
        <f t="shared" si="55"/>
        <v>0</v>
      </c>
      <c r="P44" s="3674">
        <f t="shared" si="55"/>
        <v>0</v>
      </c>
      <c r="Q44" s="3674">
        <f t="shared" si="55"/>
        <v>0</v>
      </c>
      <c r="R44" s="3721">
        <f t="shared" si="55"/>
        <v>0</v>
      </c>
      <c r="S44" s="3722">
        <f t="shared" si="55"/>
        <v>0</v>
      </c>
      <c r="T44" s="3722">
        <f t="shared" si="55"/>
        <v>0</v>
      </c>
      <c r="U44" s="3723">
        <f t="shared" si="55"/>
        <v>0</v>
      </c>
      <c r="V44" s="3721">
        <f t="shared" si="55"/>
        <v>-4.5444217223358325E-3</v>
      </c>
      <c r="W44" s="3722">
        <f t="shared" si="55"/>
        <v>-3.1832651205093224E-3</v>
      </c>
      <c r="X44" s="3722">
        <f t="shared" si="55"/>
        <v>-1.8256503879507074E-3</v>
      </c>
      <c r="Y44" s="3723">
        <f t="shared" si="55"/>
        <v>-5.1760317090230823E-2</v>
      </c>
      <c r="Z44" s="3721">
        <f t="shared" si="55"/>
        <v>-4.9893086243763367E-3</v>
      </c>
      <c r="AA44" s="3722">
        <f t="shared" si="55"/>
        <v>-3.0806845965770172E-2</v>
      </c>
      <c r="AB44" s="3722">
        <f t="shared" si="55"/>
        <v>0</v>
      </c>
      <c r="AC44" s="3723">
        <f t="shared" si="55"/>
        <v>0</v>
      </c>
      <c r="AD44" s="3721">
        <f t="shared" ref="AD44:AG45" si="56">+AD11/AD$8</f>
        <v>0</v>
      </c>
      <c r="AE44" s="3722">
        <f t="shared" si="56"/>
        <v>0</v>
      </c>
      <c r="AF44" s="3722">
        <f t="shared" si="56"/>
        <v>0</v>
      </c>
      <c r="AG44" s="3723">
        <f t="shared" si="56"/>
        <v>0</v>
      </c>
    </row>
    <row r="45" spans="2:33" s="3327" customFormat="1">
      <c r="B45" s="3726" t="s">
        <v>1980</v>
      </c>
      <c r="C45" s="3674">
        <f t="shared" si="51"/>
        <v>0.60880900870915844</v>
      </c>
      <c r="D45" s="3674">
        <f t="shared" si="51"/>
        <v>0.61262569832402236</v>
      </c>
      <c r="E45" s="3721">
        <f t="shared" si="51"/>
        <v>0.62718946765884376</v>
      </c>
      <c r="F45" s="3674">
        <f t="shared" si="51"/>
        <v>0.64252390010431359</v>
      </c>
      <c r="G45" s="3674">
        <f t="shared" si="51"/>
        <v>0.64232983521351672</v>
      </c>
      <c r="H45" s="3674">
        <f t="shared" si="54"/>
        <v>0.6432451689538411</v>
      </c>
      <c r="I45" s="3674">
        <f t="shared" si="54"/>
        <v>0.64374516895384104</v>
      </c>
      <c r="J45" s="3674">
        <f t="shared" si="54"/>
        <v>0.6432451689538411</v>
      </c>
      <c r="K45" s="3674">
        <f t="shared" si="54"/>
        <v>0.64274516895384104</v>
      </c>
      <c r="L45" s="3674">
        <f t="shared" si="54"/>
        <v>0.64224516895384109</v>
      </c>
      <c r="M45" s="3686"/>
      <c r="N45" s="3674">
        <f t="shared" ref="N45:AC45" si="57">+N12/N$8</f>
        <v>0.60599382988100481</v>
      </c>
      <c r="O45" s="3674">
        <f t="shared" si="57"/>
        <v>0.60088105726872243</v>
      </c>
      <c r="P45" s="3674">
        <f t="shared" si="57"/>
        <v>0.61333924218923108</v>
      </c>
      <c r="Q45" s="3674">
        <f t="shared" si="57"/>
        <v>0.61519386834986478</v>
      </c>
      <c r="R45" s="3721">
        <f t="shared" si="57"/>
        <v>0.61267130981801843</v>
      </c>
      <c r="S45" s="3722">
        <f t="shared" si="57"/>
        <v>0.63294863091197107</v>
      </c>
      <c r="T45" s="3722">
        <f t="shared" si="57"/>
        <v>0.61001317523056653</v>
      </c>
      <c r="U45" s="3723">
        <f t="shared" si="57"/>
        <v>0.5951742627345844</v>
      </c>
      <c r="V45" s="3721">
        <f t="shared" si="57"/>
        <v>0.61735969097932286</v>
      </c>
      <c r="W45" s="3722">
        <f t="shared" si="57"/>
        <v>0.62528422010004547</v>
      </c>
      <c r="X45" s="3722">
        <f t="shared" si="57"/>
        <v>0.63578274760383391</v>
      </c>
      <c r="Y45" s="3723">
        <f t="shared" si="57"/>
        <v>0.63044998834227095</v>
      </c>
      <c r="Z45" s="3721">
        <f t="shared" si="57"/>
        <v>0.6360180565454977</v>
      </c>
      <c r="AA45" s="3722">
        <f t="shared" si="57"/>
        <v>0.64743276283618578</v>
      </c>
      <c r="AB45" s="3722">
        <f t="shared" si="57"/>
        <v>0.65369360436291524</v>
      </c>
      <c r="AC45" s="3723">
        <f t="shared" si="57"/>
        <v>0.63300000000000001</v>
      </c>
      <c r="AD45" s="3721">
        <f t="shared" si="56"/>
        <v>0.63274135190713765</v>
      </c>
      <c r="AE45" s="3722">
        <f t="shared" si="56"/>
        <v>0.63988119750281602</v>
      </c>
      <c r="AF45" s="3722">
        <f t="shared" si="56"/>
        <v>0.65687883258882818</v>
      </c>
      <c r="AG45" s="3723">
        <f t="shared" si="56"/>
        <v>0.63993964487794786</v>
      </c>
    </row>
    <row r="46" spans="2:33" s="3327" customFormat="1">
      <c r="B46" s="3726" t="s">
        <v>1837</v>
      </c>
      <c r="C46" s="3674">
        <f>+C15/C$8</f>
        <v>4.3823154157652412E-3</v>
      </c>
      <c r="D46" s="3674">
        <f>+D15/D$8</f>
        <v>4.0782122905027932E-3</v>
      </c>
      <c r="E46" s="3721">
        <f>+E15/E$8</f>
        <v>4.5792787635947334E-3</v>
      </c>
      <c r="F46" s="3674">
        <f>+F15/F$8</f>
        <v>5.215683868196601E-3</v>
      </c>
      <c r="G46" s="3674">
        <f>+G15/G$8</f>
        <v>5.326801490971738E-3</v>
      </c>
      <c r="H46" s="3796">
        <f>+G46</f>
        <v>5.326801490971738E-3</v>
      </c>
      <c r="I46" s="3796">
        <f>+H46</f>
        <v>5.326801490971738E-3</v>
      </c>
      <c r="J46" s="3796">
        <f>+I46</f>
        <v>5.326801490971738E-3</v>
      </c>
      <c r="K46" s="3796">
        <f>+J46</f>
        <v>5.326801490971738E-3</v>
      </c>
      <c r="L46" s="3796">
        <f>+K46</f>
        <v>5.326801490971738E-3</v>
      </c>
      <c r="M46" s="3686"/>
      <c r="N46" s="3674">
        <f t="shared" ref="N46:AC46" si="58">+N15/N$8</f>
        <v>4.1868664609960339E-3</v>
      </c>
      <c r="O46" s="3674">
        <f t="shared" si="58"/>
        <v>5.0660792951541852E-3</v>
      </c>
      <c r="P46" s="3674">
        <f t="shared" si="58"/>
        <v>4.4316419233325945E-3</v>
      </c>
      <c r="Q46" s="3674">
        <f t="shared" si="58"/>
        <v>3.8322813345356178E-3</v>
      </c>
      <c r="R46" s="3721">
        <f t="shared" si="58"/>
        <v>4.0440350483037521E-3</v>
      </c>
      <c r="S46" s="3722">
        <f t="shared" si="58"/>
        <v>4.525910839556461E-3</v>
      </c>
      <c r="T46" s="3722">
        <f t="shared" si="58"/>
        <v>4.1721563460693899E-3</v>
      </c>
      <c r="U46" s="3723">
        <f t="shared" si="58"/>
        <v>3.5746201966041107E-3</v>
      </c>
      <c r="V46" s="3721">
        <f t="shared" si="58"/>
        <v>4.0899795501022499E-3</v>
      </c>
      <c r="W46" s="3722">
        <f t="shared" si="58"/>
        <v>5.0022737608003635E-3</v>
      </c>
      <c r="X46" s="3722">
        <f t="shared" si="58"/>
        <v>4.5641259698767688E-3</v>
      </c>
      <c r="Y46" s="3723">
        <f t="shared" si="58"/>
        <v>4.6630916297505246E-3</v>
      </c>
      <c r="Z46" s="3721">
        <f t="shared" si="58"/>
        <v>4.9893086243763367E-3</v>
      </c>
      <c r="AA46" s="3722">
        <f t="shared" si="58"/>
        <v>5.3789731051344745E-3</v>
      </c>
      <c r="AB46" s="3722">
        <f t="shared" si="58"/>
        <v>5.2057511155180966E-3</v>
      </c>
      <c r="AC46" s="3723">
        <f t="shared" si="58"/>
        <v>5.2976791120080725E-3</v>
      </c>
      <c r="AD46" s="3721">
        <f>+AD15/AD$8</f>
        <v>5.2570049591080109E-3</v>
      </c>
      <c r="AE46" s="3722">
        <f>+AE15/AE$8</f>
        <v>5.3074223290333943E-3</v>
      </c>
      <c r="AF46" s="3722">
        <f>+AF15/AF$8</f>
        <v>5.3349592256687747E-3</v>
      </c>
      <c r="AG46" s="3723">
        <f>+AG15/AG$8</f>
        <v>5.410112272710879E-3</v>
      </c>
    </row>
    <row r="47" spans="2:33" s="3327" customFormat="1" hidden="1" outlineLevel="1">
      <c r="B47" s="3755" t="s">
        <v>2004</v>
      </c>
      <c r="C47" s="3670"/>
      <c r="D47" s="3670"/>
      <c r="E47" s="3755"/>
      <c r="F47" s="3670"/>
      <c r="G47" s="3670"/>
      <c r="H47" s="3670"/>
      <c r="I47" s="3670"/>
      <c r="J47" s="3670"/>
      <c r="K47" s="3670"/>
      <c r="L47" s="3670"/>
      <c r="M47" s="3690"/>
      <c r="N47" s="3671"/>
      <c r="O47" s="3671"/>
      <c r="P47" s="3671"/>
      <c r="Q47" s="3671"/>
      <c r="R47" s="3703"/>
      <c r="S47" s="3704"/>
      <c r="T47" s="3704"/>
      <c r="U47" s="3705"/>
      <c r="V47" s="3703"/>
      <c r="W47" s="3704"/>
      <c r="X47" s="3704"/>
      <c r="Y47" s="3705"/>
      <c r="Z47" s="3703"/>
      <c r="AA47" s="3704"/>
      <c r="AB47" s="3704"/>
      <c r="AC47" s="3705"/>
      <c r="AD47" s="3703"/>
      <c r="AE47" s="3704"/>
      <c r="AF47" s="3704"/>
      <c r="AG47" s="3705"/>
    </row>
    <row r="48" spans="2:33" s="3327" customFormat="1" hidden="1" outlineLevel="1">
      <c r="B48" s="3726" t="s">
        <v>1979</v>
      </c>
      <c r="E48" s="3726"/>
      <c r="M48" s="3686"/>
      <c r="N48" s="3674"/>
      <c r="O48" s="3641">
        <f t="shared" ref="O48:AC48" si="59">+O9-N9</f>
        <v>25</v>
      </c>
      <c r="P48" s="3641">
        <f t="shared" si="59"/>
        <v>17</v>
      </c>
      <c r="Q48" s="3641">
        <f t="shared" si="59"/>
        <v>-37</v>
      </c>
      <c r="R48" s="3698">
        <f t="shared" si="59"/>
        <v>-28</v>
      </c>
      <c r="S48" s="3362">
        <f t="shared" si="59"/>
        <v>48</v>
      </c>
      <c r="T48" s="3362">
        <f t="shared" si="59"/>
        <v>32</v>
      </c>
      <c r="U48" s="3699">
        <f t="shared" si="59"/>
        <v>-76</v>
      </c>
      <c r="V48" s="3698">
        <f t="shared" si="59"/>
        <v>-12</v>
      </c>
      <c r="W48" s="3362">
        <f t="shared" si="59"/>
        <v>49</v>
      </c>
      <c r="X48" s="3362">
        <f t="shared" si="59"/>
        <v>47</v>
      </c>
      <c r="Y48" s="3699">
        <f t="shared" si="59"/>
        <v>-67</v>
      </c>
      <c r="Z48" s="3698">
        <f t="shared" si="59"/>
        <v>-41</v>
      </c>
      <c r="AA48" s="3362">
        <f t="shared" si="59"/>
        <v>2</v>
      </c>
      <c r="AB48" s="3362">
        <f t="shared" si="59"/>
        <v>37</v>
      </c>
      <c r="AC48" s="3699">
        <f t="shared" si="59"/>
        <v>-99.596000000000004</v>
      </c>
      <c r="AD48" s="3698">
        <f t="shared" ref="AD48:AG51" si="60">+AD9-AC9</f>
        <v>8.1098889237621279</v>
      </c>
      <c r="AE48" s="3362">
        <f t="shared" si="60"/>
        <v>14.47868211888931</v>
      </c>
      <c r="AF48" s="3362">
        <f t="shared" si="60"/>
        <v>34.140622597845095</v>
      </c>
      <c r="AG48" s="3699">
        <f t="shared" si="60"/>
        <v>-64.514577998044615</v>
      </c>
    </row>
    <row r="49" spans="2:33" s="3327" customFormat="1" hidden="1" outlineLevel="1">
      <c r="B49" s="3726" t="s">
        <v>159</v>
      </c>
      <c r="E49" s="3726"/>
      <c r="M49" s="3686"/>
      <c r="N49" s="3674"/>
      <c r="O49" s="3641">
        <f t="shared" ref="O49:AC49" si="61">+O10-N10</f>
        <v>-47</v>
      </c>
      <c r="P49" s="3641">
        <f t="shared" si="61"/>
        <v>23</v>
      </c>
      <c r="Q49" s="3641">
        <f t="shared" si="61"/>
        <v>-2</v>
      </c>
      <c r="R49" s="3698">
        <f t="shared" si="61"/>
        <v>26</v>
      </c>
      <c r="S49" s="3362">
        <f t="shared" si="61"/>
        <v>22</v>
      </c>
      <c r="T49" s="3362">
        <f t="shared" si="61"/>
        <v>-51</v>
      </c>
      <c r="U49" s="3699">
        <f t="shared" si="61"/>
        <v>-38</v>
      </c>
      <c r="V49" s="3698">
        <f t="shared" si="61"/>
        <v>85</v>
      </c>
      <c r="W49" s="3362">
        <f t="shared" si="61"/>
        <v>-22</v>
      </c>
      <c r="X49" s="3362">
        <f t="shared" si="61"/>
        <v>-17</v>
      </c>
      <c r="Y49" s="3699">
        <f t="shared" si="61"/>
        <v>199</v>
      </c>
      <c r="Z49" s="3698">
        <f t="shared" si="61"/>
        <v>-187</v>
      </c>
      <c r="AA49" s="3362">
        <f t="shared" si="61"/>
        <v>74</v>
      </c>
      <c r="AB49" s="3362">
        <f t="shared" si="61"/>
        <v>-174</v>
      </c>
      <c r="AC49" s="3699">
        <f t="shared" si="61"/>
        <v>-28.192000000000007</v>
      </c>
      <c r="AD49" s="3698">
        <f t="shared" si="60"/>
        <v>10.271007299123426</v>
      </c>
      <c r="AE49" s="3362">
        <f t="shared" si="60"/>
        <v>-10.238926914839908</v>
      </c>
      <c r="AF49" s="3362">
        <f t="shared" si="60"/>
        <v>19.698874694624692</v>
      </c>
      <c r="AG49" s="3699">
        <f t="shared" si="60"/>
        <v>-37.15504637022002</v>
      </c>
    </row>
    <row r="50" spans="2:33" s="3327" customFormat="1" hidden="1" outlineLevel="1">
      <c r="B50" s="3726" t="s">
        <v>1988</v>
      </c>
      <c r="E50" s="3726"/>
      <c r="M50" s="3686"/>
      <c r="N50" s="3674"/>
      <c r="O50" s="3641">
        <f t="shared" ref="O50:AC50" si="62">+O11-N11</f>
        <v>0</v>
      </c>
      <c r="P50" s="3641">
        <f t="shared" si="62"/>
        <v>0</v>
      </c>
      <c r="Q50" s="3641">
        <f t="shared" si="62"/>
        <v>0</v>
      </c>
      <c r="R50" s="3698">
        <f t="shared" si="62"/>
        <v>0</v>
      </c>
      <c r="S50" s="3362">
        <f t="shared" si="62"/>
        <v>0</v>
      </c>
      <c r="T50" s="3362">
        <f t="shared" si="62"/>
        <v>0</v>
      </c>
      <c r="U50" s="3699">
        <f t="shared" si="62"/>
        <v>0</v>
      </c>
      <c r="V50" s="3698">
        <f t="shared" si="62"/>
        <v>-20</v>
      </c>
      <c r="W50" s="3362">
        <f t="shared" si="62"/>
        <v>6</v>
      </c>
      <c r="X50" s="3362">
        <f t="shared" si="62"/>
        <v>6</v>
      </c>
      <c r="Y50" s="3699">
        <f t="shared" si="62"/>
        <v>-214</v>
      </c>
      <c r="Z50" s="3698">
        <f t="shared" si="62"/>
        <v>201</v>
      </c>
      <c r="AA50" s="3362">
        <f t="shared" si="62"/>
        <v>-105</v>
      </c>
      <c r="AB50" s="3362">
        <f t="shared" si="62"/>
        <v>126</v>
      </c>
      <c r="AC50" s="3699">
        <f t="shared" si="62"/>
        <v>0</v>
      </c>
      <c r="AD50" s="3698">
        <f t="shared" si="60"/>
        <v>0</v>
      </c>
      <c r="AE50" s="3362">
        <f t="shared" si="60"/>
        <v>0</v>
      </c>
      <c r="AF50" s="3362">
        <f t="shared" si="60"/>
        <v>0</v>
      </c>
      <c r="AG50" s="3699">
        <f t="shared" si="60"/>
        <v>0</v>
      </c>
    </row>
    <row r="51" spans="2:33" s="3327" customFormat="1" hidden="1" outlineLevel="1">
      <c r="B51" s="3726" t="s">
        <v>1980</v>
      </c>
      <c r="E51" s="3726"/>
      <c r="M51" s="3686"/>
      <c r="N51" s="3674"/>
      <c r="O51" s="3641">
        <f t="shared" ref="O51:AC51" si="63">+O12-N12</f>
        <v>-22</v>
      </c>
      <c r="P51" s="3641">
        <f t="shared" si="63"/>
        <v>40</v>
      </c>
      <c r="Q51" s="3641">
        <f t="shared" si="63"/>
        <v>-39</v>
      </c>
      <c r="R51" s="3698">
        <f t="shared" si="63"/>
        <v>-2</v>
      </c>
      <c r="S51" s="3362">
        <f t="shared" si="63"/>
        <v>70</v>
      </c>
      <c r="T51" s="3362">
        <f t="shared" si="63"/>
        <v>-19</v>
      </c>
      <c r="U51" s="3699">
        <f t="shared" si="63"/>
        <v>-114</v>
      </c>
      <c r="V51" s="3698">
        <f t="shared" si="63"/>
        <v>53</v>
      </c>
      <c r="W51" s="3362">
        <f t="shared" si="63"/>
        <v>33</v>
      </c>
      <c r="X51" s="3362">
        <f t="shared" si="63"/>
        <v>36</v>
      </c>
      <c r="Y51" s="3699">
        <f t="shared" si="63"/>
        <v>-82</v>
      </c>
      <c r="Z51" s="3698">
        <f t="shared" si="63"/>
        <v>-27</v>
      </c>
      <c r="AA51" s="3362">
        <f t="shared" si="63"/>
        <v>-29</v>
      </c>
      <c r="AB51" s="3362">
        <f t="shared" si="63"/>
        <v>-11</v>
      </c>
      <c r="AC51" s="3699">
        <f t="shared" si="63"/>
        <v>-127.78800000000001</v>
      </c>
      <c r="AD51" s="3698">
        <f t="shared" si="60"/>
        <v>18.38089622288544</v>
      </c>
      <c r="AE51" s="3362">
        <f t="shared" si="60"/>
        <v>4.2397552040492883</v>
      </c>
      <c r="AF51" s="3362">
        <f t="shared" si="60"/>
        <v>53.839497292469787</v>
      </c>
      <c r="AG51" s="3699">
        <f t="shared" si="60"/>
        <v>-101.66962436826452</v>
      </c>
    </row>
    <row r="52" spans="2:33" s="3327" customFormat="1" hidden="1" outlineLevel="1">
      <c r="B52" s="3726" t="s">
        <v>1837</v>
      </c>
      <c r="E52" s="3726"/>
      <c r="M52" s="3686"/>
      <c r="N52" s="3674"/>
      <c r="O52" s="3641">
        <f t="shared" ref="O52:AC52" si="64">+O15-N15</f>
        <v>4</v>
      </c>
      <c r="P52" s="3641">
        <f t="shared" si="64"/>
        <v>-3</v>
      </c>
      <c r="Q52" s="3641">
        <f t="shared" si="64"/>
        <v>-3</v>
      </c>
      <c r="R52" s="3698">
        <f t="shared" si="64"/>
        <v>1</v>
      </c>
      <c r="S52" s="3362">
        <f t="shared" si="64"/>
        <v>2</v>
      </c>
      <c r="T52" s="3362">
        <f t="shared" si="64"/>
        <v>-1</v>
      </c>
      <c r="U52" s="3699">
        <f t="shared" si="64"/>
        <v>-3</v>
      </c>
      <c r="V52" s="3698">
        <f t="shared" si="64"/>
        <v>2</v>
      </c>
      <c r="W52" s="3362">
        <f t="shared" si="64"/>
        <v>4</v>
      </c>
      <c r="X52" s="3362">
        <f t="shared" si="64"/>
        <v>-2</v>
      </c>
      <c r="Y52" s="3699">
        <f t="shared" si="64"/>
        <v>0</v>
      </c>
      <c r="Z52" s="3698">
        <f t="shared" si="64"/>
        <v>1</v>
      </c>
      <c r="AA52" s="3362">
        <f t="shared" si="64"/>
        <v>1</v>
      </c>
      <c r="AB52" s="3362">
        <f t="shared" si="64"/>
        <v>-1</v>
      </c>
      <c r="AC52" s="3699">
        <f t="shared" si="64"/>
        <v>0</v>
      </c>
      <c r="AD52" s="3698">
        <f>+AD15-AC15</f>
        <v>0</v>
      </c>
      <c r="AE52" s="3362">
        <f>+AE15-AD15</f>
        <v>0</v>
      </c>
      <c r="AF52" s="3362">
        <f>+AF15-AE15</f>
        <v>0</v>
      </c>
      <c r="AG52" s="3699">
        <f>+AG15-AF15</f>
        <v>0</v>
      </c>
    </row>
    <row r="53" spans="2:33" s="3327" customFormat="1" ht="14.25" hidden="1" customHeight="1" outlineLevel="1">
      <c r="B53" s="3726" t="s">
        <v>1688</v>
      </c>
      <c r="E53" s="3726"/>
      <c r="M53" s="3686"/>
      <c r="N53" s="3674"/>
      <c r="O53" s="3641">
        <f t="shared" ref="O53:AC53" si="65">+O13-N13</f>
        <v>24</v>
      </c>
      <c r="P53" s="3641">
        <f t="shared" si="65"/>
        <v>-67</v>
      </c>
      <c r="Q53" s="3641">
        <f t="shared" si="65"/>
        <v>-38</v>
      </c>
      <c r="R53" s="3698">
        <f t="shared" si="65"/>
        <v>17</v>
      </c>
      <c r="S53" s="3362">
        <f t="shared" si="65"/>
        <v>-102</v>
      </c>
      <c r="T53" s="3362">
        <f t="shared" si="65"/>
        <v>154</v>
      </c>
      <c r="U53" s="3699">
        <f t="shared" si="65"/>
        <v>36</v>
      </c>
      <c r="V53" s="3698">
        <f t="shared" si="65"/>
        <v>-128</v>
      </c>
      <c r="W53" s="3362">
        <f t="shared" si="65"/>
        <v>-36</v>
      </c>
      <c r="X53" s="3362">
        <f t="shared" si="65"/>
        <v>-52</v>
      </c>
      <c r="Y53" s="3699">
        <f t="shared" si="65"/>
        <v>-11</v>
      </c>
      <c r="Z53" s="3698">
        <f t="shared" si="65"/>
        <v>-53</v>
      </c>
      <c r="AA53" s="3362">
        <f t="shared" si="65"/>
        <v>-90</v>
      </c>
      <c r="AB53" s="3362">
        <f t="shared" si="65"/>
        <v>-45</v>
      </c>
      <c r="AC53" s="3699">
        <f t="shared" si="65"/>
        <v>57.788000000000011</v>
      </c>
      <c r="AD53" s="3698">
        <f>+AD13-AC13</f>
        <v>12.289103777114633</v>
      </c>
      <c r="AE53" s="3362">
        <f>+AE13-AD13</f>
        <v>-42.186755204049405</v>
      </c>
      <c r="AF53" s="3362">
        <f>+AF13-AE13</f>
        <v>-74.262497292469561</v>
      </c>
      <c r="AG53" s="3699">
        <f>+AG13-AF13</f>
        <v>46.989624368264231</v>
      </c>
    </row>
    <row r="54" spans="2:33" s="3327" customFormat="1" collapsed="1">
      <c r="B54" s="3756" t="s">
        <v>2002</v>
      </c>
      <c r="C54" s="3639" t="str">
        <f t="shared" ref="C54:L54" si="66">+C40</f>
        <v>2014</v>
      </c>
      <c r="D54" s="3639" t="str">
        <f t="shared" si="66"/>
        <v>2015</v>
      </c>
      <c r="E54" s="3700" t="str">
        <f t="shared" si="66"/>
        <v>2016</v>
      </c>
      <c r="F54" s="3639" t="str">
        <f t="shared" si="66"/>
        <v>2017</v>
      </c>
      <c r="G54" s="3639" t="str">
        <f t="shared" si="66"/>
        <v>2018E</v>
      </c>
      <c r="H54" s="3639" t="str">
        <f t="shared" si="66"/>
        <v>2019E</v>
      </c>
      <c r="I54" s="3639" t="str">
        <f t="shared" si="66"/>
        <v>2020E</v>
      </c>
      <c r="J54" s="3639" t="str">
        <f t="shared" si="66"/>
        <v>2021E</v>
      </c>
      <c r="K54" s="3639" t="str">
        <f t="shared" si="66"/>
        <v>2022E</v>
      </c>
      <c r="L54" s="3639" t="str">
        <f t="shared" si="66"/>
        <v>2023E</v>
      </c>
      <c r="M54" s="3692"/>
      <c r="N54" s="3639" t="str">
        <f>+N40</f>
        <v>1Q14</v>
      </c>
      <c r="O54" s="3639" t="str">
        <f t="shared" ref="O54:AC54" si="67">+O40</f>
        <v>2Q14</v>
      </c>
      <c r="P54" s="3639" t="str">
        <f t="shared" si="67"/>
        <v>3Q14</v>
      </c>
      <c r="Q54" s="3639" t="str">
        <f t="shared" si="67"/>
        <v>4Q14</v>
      </c>
      <c r="R54" s="3700" t="str">
        <f t="shared" si="67"/>
        <v>1Q15</v>
      </c>
      <c r="S54" s="3701" t="str">
        <f t="shared" si="67"/>
        <v>2Q15</v>
      </c>
      <c r="T54" s="3701" t="str">
        <f t="shared" si="67"/>
        <v>3Q15</v>
      </c>
      <c r="U54" s="3702" t="str">
        <f t="shared" si="67"/>
        <v>4Q15</v>
      </c>
      <c r="V54" s="3700" t="str">
        <f t="shared" si="67"/>
        <v>1Q16</v>
      </c>
      <c r="W54" s="3701" t="str">
        <f t="shared" si="67"/>
        <v>2Q16</v>
      </c>
      <c r="X54" s="3701" t="str">
        <f t="shared" si="67"/>
        <v>3Q16</v>
      </c>
      <c r="Y54" s="3702" t="str">
        <f t="shared" si="67"/>
        <v>4Q16</v>
      </c>
      <c r="Z54" s="3700" t="str">
        <f t="shared" si="67"/>
        <v>1Q17</v>
      </c>
      <c r="AA54" s="3701" t="str">
        <f t="shared" si="67"/>
        <v>2Q17</v>
      </c>
      <c r="AB54" s="3701" t="str">
        <f t="shared" si="67"/>
        <v>3Q17</v>
      </c>
      <c r="AC54" s="3702" t="str">
        <f t="shared" si="67"/>
        <v>4Q17</v>
      </c>
      <c r="AD54" s="3700" t="str">
        <f>+AD40</f>
        <v>1Q18E</v>
      </c>
      <c r="AE54" s="3701" t="str">
        <f>+AE40</f>
        <v>2Q18E</v>
      </c>
      <c r="AF54" s="3701" t="str">
        <f>+AF40</f>
        <v>3Q18E</v>
      </c>
      <c r="AG54" s="3702" t="str">
        <f>+AG40</f>
        <v>4Q18E</v>
      </c>
    </row>
    <row r="55" spans="2:33" s="3327" customFormat="1">
      <c r="B55" s="3755" t="s">
        <v>2003</v>
      </c>
      <c r="C55" s="3670"/>
      <c r="D55" s="3670"/>
      <c r="E55" s="3755"/>
      <c r="F55" s="3670"/>
      <c r="G55" s="3670"/>
      <c r="H55" s="3670"/>
      <c r="I55" s="3670"/>
      <c r="J55" s="3670"/>
      <c r="K55" s="3670"/>
      <c r="L55" s="3670"/>
      <c r="M55" s="3690"/>
      <c r="N55" s="3671"/>
      <c r="O55" s="3671"/>
      <c r="P55" s="3671"/>
      <c r="Q55" s="3671"/>
      <c r="R55" s="3703"/>
      <c r="S55" s="3704"/>
      <c r="T55" s="3704"/>
      <c r="U55" s="3705"/>
      <c r="V55" s="3703"/>
      <c r="W55" s="3704"/>
      <c r="X55" s="3704"/>
      <c r="Y55" s="3705"/>
      <c r="Z55" s="3703"/>
      <c r="AA55" s="3704"/>
      <c r="AB55" s="3704"/>
      <c r="AC55" s="3705"/>
      <c r="AD55" s="3703"/>
      <c r="AE55" s="3704"/>
      <c r="AF55" s="3704"/>
      <c r="AG55" s="3705"/>
    </row>
    <row r="56" spans="2:33" s="3327" customFormat="1">
      <c r="B56" s="3726" t="str">
        <f>+B20</f>
        <v>Network Access Costs</v>
      </c>
      <c r="C56" s="3674">
        <f t="shared" ref="C56:G60" si="68">+C20/C$19</f>
        <v>0.35627231318478397</v>
      </c>
      <c r="D56" s="3674">
        <f t="shared" si="68"/>
        <v>0.34427026370154334</v>
      </c>
      <c r="E56" s="3721">
        <f t="shared" si="68"/>
        <v>0.3334557023984337</v>
      </c>
      <c r="F56" s="3674">
        <f t="shared" si="68"/>
        <v>0.3337511245177312</v>
      </c>
      <c r="G56" s="3674">
        <f t="shared" ca="1" si="68"/>
        <v>0.32296228048540015</v>
      </c>
      <c r="H56" s="3796">
        <f t="shared" ref="H56:L57" ca="1" si="69">+G56</f>
        <v>0.32296228048540015</v>
      </c>
      <c r="I56" s="3796">
        <f t="shared" ca="1" si="69"/>
        <v>0.32296228048540015</v>
      </c>
      <c r="J56" s="3796">
        <f t="shared" ca="1" si="69"/>
        <v>0.32296228048540015</v>
      </c>
      <c r="K56" s="3796">
        <f t="shared" ca="1" si="69"/>
        <v>0.32296228048540015</v>
      </c>
      <c r="L56" s="3796">
        <f t="shared" ca="1" si="69"/>
        <v>0.32296228048540015</v>
      </c>
      <c r="M56" s="3686"/>
      <c r="N56" s="3674">
        <f t="shared" ref="N56:AB56" si="70">+N20/N$19</f>
        <v>0.3599600599101348</v>
      </c>
      <c r="O56" s="3674">
        <f t="shared" si="70"/>
        <v>0.35665024630541869</v>
      </c>
      <c r="P56" s="3674">
        <f t="shared" si="70"/>
        <v>0.35181550539744849</v>
      </c>
      <c r="Q56" s="3674">
        <f t="shared" si="70"/>
        <v>0.35672514619883039</v>
      </c>
      <c r="R56" s="3721">
        <f t="shared" si="70"/>
        <v>0.35216755966877739</v>
      </c>
      <c r="S56" s="3722">
        <f t="shared" si="70"/>
        <v>0.33770014556040756</v>
      </c>
      <c r="T56" s="3722">
        <f t="shared" si="70"/>
        <v>0.34238603297769155</v>
      </c>
      <c r="U56" s="3723">
        <f t="shared" si="70"/>
        <v>0.34486117876278616</v>
      </c>
      <c r="V56" s="3721">
        <f t="shared" si="70"/>
        <v>0.33837152608483667</v>
      </c>
      <c r="W56" s="3722">
        <f t="shared" si="70"/>
        <v>0.32879377431906615</v>
      </c>
      <c r="X56" s="3722">
        <f t="shared" si="70"/>
        <v>0.33202164289227742</v>
      </c>
      <c r="Y56" s="3723">
        <f t="shared" si="70"/>
        <v>0.3346456692913386</v>
      </c>
      <c r="Z56" s="3721">
        <f t="shared" si="70"/>
        <v>0.33740234375</v>
      </c>
      <c r="AA56" s="3722">
        <f t="shared" si="70"/>
        <v>0.32751091703056767</v>
      </c>
      <c r="AB56" s="3722">
        <f t="shared" si="70"/>
        <v>0.32675658511791117</v>
      </c>
      <c r="AC56" s="3794">
        <v>0.32600000000000001</v>
      </c>
      <c r="AD56" s="3795">
        <f>+AC56</f>
        <v>0.32600000000000001</v>
      </c>
      <c r="AE56" s="3796">
        <f>+AD56-0.2%</f>
        <v>0.32400000000000001</v>
      </c>
      <c r="AF56" s="3796">
        <f>+AE56-0.2%</f>
        <v>0.32200000000000001</v>
      </c>
      <c r="AG56" s="3794">
        <f>+AF56-0.2%</f>
        <v>0.32</v>
      </c>
    </row>
    <row r="57" spans="2:33" s="3327" customFormat="1">
      <c r="B57" s="3726" t="str">
        <f>+B21</f>
        <v>Network Related Expenses</v>
      </c>
      <c r="C57" s="3674">
        <f t="shared" si="68"/>
        <v>0.17530469038532562</v>
      </c>
      <c r="D57" s="3674">
        <f t="shared" si="68"/>
        <v>0.17049459229554018</v>
      </c>
      <c r="E57" s="3721">
        <f t="shared" si="68"/>
        <v>0.16201664219285364</v>
      </c>
      <c r="F57" s="3674">
        <f t="shared" si="68"/>
        <v>0.1600467566462023</v>
      </c>
      <c r="G57" s="3674">
        <f t="shared" ca="1" si="68"/>
        <v>0.15798828390640879</v>
      </c>
      <c r="H57" s="3796">
        <f t="shared" ca="1" si="69"/>
        <v>0.15798828390640879</v>
      </c>
      <c r="I57" s="3796">
        <f t="shared" ca="1" si="69"/>
        <v>0.15798828390640879</v>
      </c>
      <c r="J57" s="3796">
        <f t="shared" ca="1" si="69"/>
        <v>0.15798828390640879</v>
      </c>
      <c r="K57" s="3796">
        <f t="shared" ca="1" si="69"/>
        <v>0.15798828390640879</v>
      </c>
      <c r="L57" s="3796">
        <f t="shared" ca="1" si="69"/>
        <v>0.15798828390640879</v>
      </c>
      <c r="M57" s="3686"/>
      <c r="N57" s="3674">
        <f t="shared" ref="N57:AB57" si="71">+N21/N$19</f>
        <v>0.17324013979031452</v>
      </c>
      <c r="O57" s="3674">
        <f t="shared" si="71"/>
        <v>0.17586206896551723</v>
      </c>
      <c r="P57" s="3674">
        <f t="shared" si="71"/>
        <v>0.1746810598626104</v>
      </c>
      <c r="Q57" s="3674">
        <f t="shared" si="71"/>
        <v>0.17738791423001948</v>
      </c>
      <c r="R57" s="3721">
        <f t="shared" si="71"/>
        <v>0.17096931320019484</v>
      </c>
      <c r="S57" s="3722">
        <f t="shared" si="71"/>
        <v>0.17418728772440562</v>
      </c>
      <c r="T57" s="3722">
        <f t="shared" si="71"/>
        <v>0.17264791464597479</v>
      </c>
      <c r="U57" s="3723">
        <f t="shared" si="71"/>
        <v>0.16415002435460302</v>
      </c>
      <c r="V57" s="3721">
        <f t="shared" si="71"/>
        <v>0.16138469039492931</v>
      </c>
      <c r="W57" s="3722">
        <f t="shared" si="71"/>
        <v>0.16293774319066148</v>
      </c>
      <c r="X57" s="3722">
        <f t="shared" si="71"/>
        <v>0.16281357599606494</v>
      </c>
      <c r="Y57" s="3723">
        <f t="shared" si="71"/>
        <v>0.16092519685039369</v>
      </c>
      <c r="Z57" s="3721">
        <f t="shared" si="71"/>
        <v>0.1611328125</v>
      </c>
      <c r="AA57" s="3722">
        <f t="shared" si="71"/>
        <v>0.16060164968461912</v>
      </c>
      <c r="AB57" s="3722">
        <f t="shared" si="71"/>
        <v>0.15972173458827707</v>
      </c>
      <c r="AC57" s="3794">
        <v>0.159</v>
      </c>
      <c r="AD57" s="3795">
        <f>+AC57</f>
        <v>0.159</v>
      </c>
      <c r="AE57" s="3796">
        <f>+AD57-0.1%</f>
        <v>0.158</v>
      </c>
      <c r="AF57" s="3796">
        <v>0.158</v>
      </c>
      <c r="AG57" s="3794">
        <f>+AF57-0.1%</f>
        <v>0.157</v>
      </c>
    </row>
    <row r="58" spans="2:33" s="3327" customFormat="1">
      <c r="B58" s="3726" t="str">
        <f>+B22</f>
        <v>SG&amp;A</v>
      </c>
      <c r="C58" s="3674">
        <f t="shared" si="68"/>
        <v>0.16881078419303214</v>
      </c>
      <c r="D58" s="3674">
        <f t="shared" si="68"/>
        <v>0.17499088589135983</v>
      </c>
      <c r="E58" s="3721">
        <f t="shared" si="68"/>
        <v>0.15394028389623104</v>
      </c>
      <c r="F58" s="3674">
        <f t="shared" si="68"/>
        <v>0.14653561618082428</v>
      </c>
      <c r="G58" s="3674">
        <f t="shared" ca="1" si="68"/>
        <v>0.14598828390640878</v>
      </c>
      <c r="H58" s="3796">
        <f ca="1">+G58-0.1%</f>
        <v>0.14498828390640878</v>
      </c>
      <c r="I58" s="3796">
        <f ca="1">+H58-0.1%</f>
        <v>0.14398828390640878</v>
      </c>
      <c r="J58" s="3796">
        <f ca="1">+I58-0.1%</f>
        <v>0.14298828390640878</v>
      </c>
      <c r="K58" s="3796">
        <f ca="1">+J58-0.1%</f>
        <v>0.14198828390640877</v>
      </c>
      <c r="L58" s="3796">
        <f ca="1">+K58-0.1%</f>
        <v>0.14098828390640877</v>
      </c>
      <c r="M58" s="3686"/>
      <c r="N58" s="3674">
        <f t="shared" ref="N58:AB58" si="72">+N22/N$19</f>
        <v>0.1707438841737394</v>
      </c>
      <c r="O58" s="3674">
        <f t="shared" si="72"/>
        <v>0.16945812807881774</v>
      </c>
      <c r="P58" s="3674">
        <f t="shared" si="72"/>
        <v>0.16928361138370951</v>
      </c>
      <c r="Q58" s="3674">
        <f t="shared" si="72"/>
        <v>0.16581384015594541</v>
      </c>
      <c r="R58" s="3721">
        <f t="shared" si="72"/>
        <v>0.17498782269849</v>
      </c>
      <c r="S58" s="3722">
        <f t="shared" si="72"/>
        <v>0.17394468704512372</v>
      </c>
      <c r="T58" s="3722">
        <f t="shared" si="72"/>
        <v>0.17398157129000971</v>
      </c>
      <c r="U58" s="3723">
        <f t="shared" si="72"/>
        <v>0.17705796395518753</v>
      </c>
      <c r="V58" s="3721">
        <f t="shared" si="72"/>
        <v>0.15407118478790835</v>
      </c>
      <c r="W58" s="3722">
        <f t="shared" si="72"/>
        <v>0.1605058365758755</v>
      </c>
      <c r="X58" s="3722">
        <f t="shared" si="72"/>
        <v>0.1529758976881456</v>
      </c>
      <c r="Y58" s="3723">
        <f t="shared" si="72"/>
        <v>0.14812992125984251</v>
      </c>
      <c r="Z58" s="3721">
        <f t="shared" si="72"/>
        <v>0.1474609375</v>
      </c>
      <c r="AA58" s="3722">
        <f t="shared" si="72"/>
        <v>0.15089762251334304</v>
      </c>
      <c r="AB58" s="3722">
        <f t="shared" si="72"/>
        <v>0.14911210818108955</v>
      </c>
      <c r="AC58" s="3794">
        <v>0.14799999999999999</v>
      </c>
      <c r="AD58" s="3795">
        <f>+AC58-0.1%</f>
        <v>0.14699999999999999</v>
      </c>
      <c r="AE58" s="3796">
        <f>+AD58-0.1%</f>
        <v>0.14599999999999999</v>
      </c>
      <c r="AF58" s="3796">
        <v>0.14599999999999999</v>
      </c>
      <c r="AG58" s="3794">
        <f>+AF58-0.1%</f>
        <v>0.14499999999999999</v>
      </c>
    </row>
    <row r="59" spans="2:33" s="3327" customFormat="1">
      <c r="B59" s="3726" t="str">
        <f>+B23</f>
        <v>SBC</v>
      </c>
      <c r="C59" s="3674">
        <f t="shared" si="68"/>
        <v>2.068201403422381E-2</v>
      </c>
      <c r="D59" s="3674">
        <f t="shared" si="68"/>
        <v>1.7134524243528983E-2</v>
      </c>
      <c r="E59" s="3721">
        <f t="shared" si="68"/>
        <v>1.908957415565345E-2</v>
      </c>
      <c r="F59" s="3674">
        <f t="shared" si="68"/>
        <v>1.9509543367963275E-2</v>
      </c>
      <c r="G59" s="3674">
        <f t="shared" ca="1" si="68"/>
        <v>7.0000000000000001E-3</v>
      </c>
      <c r="H59" s="3796">
        <f ca="1">+G59</f>
        <v>7.0000000000000001E-3</v>
      </c>
      <c r="I59" s="3796">
        <f ca="1">+H59</f>
        <v>7.0000000000000001E-3</v>
      </c>
      <c r="J59" s="3796">
        <f ca="1">+I59</f>
        <v>7.0000000000000001E-3</v>
      </c>
      <c r="K59" s="3796">
        <f ca="1">+J59</f>
        <v>7.0000000000000001E-3</v>
      </c>
      <c r="L59" s="3796">
        <f ca="1">+K59</f>
        <v>7.0000000000000001E-3</v>
      </c>
      <c r="M59" s="3686"/>
      <c r="N59" s="3674">
        <f t="shared" ref="N59:AB59" si="73">+N23/N$19</f>
        <v>9.4857713429855224E-3</v>
      </c>
      <c r="O59" s="3674">
        <f t="shared" si="73"/>
        <v>1.1822660098522168E-2</v>
      </c>
      <c r="P59" s="3674">
        <f t="shared" si="73"/>
        <v>1.5701668302257114E-2</v>
      </c>
      <c r="Q59" s="3674">
        <f t="shared" si="73"/>
        <v>4.5321637426900582E-2</v>
      </c>
      <c r="R59" s="3721">
        <f t="shared" si="73"/>
        <v>1.509985387238188E-2</v>
      </c>
      <c r="S59" s="3722">
        <f t="shared" si="73"/>
        <v>1.3100436681222707E-2</v>
      </c>
      <c r="T59" s="3722">
        <f t="shared" si="73"/>
        <v>1.6488845780795344E-2</v>
      </c>
      <c r="U59" s="3723">
        <f t="shared" si="73"/>
        <v>2.3867510959571358E-2</v>
      </c>
      <c r="V59" s="3721">
        <f t="shared" si="73"/>
        <v>2.2915650901999023E-2</v>
      </c>
      <c r="W59" s="3722">
        <f t="shared" si="73"/>
        <v>1.5077821011673152E-2</v>
      </c>
      <c r="X59" s="3722">
        <f t="shared" si="73"/>
        <v>2.115100836202656E-2</v>
      </c>
      <c r="Y59" s="3723">
        <f t="shared" si="73"/>
        <v>1.7224409448818898E-2</v>
      </c>
      <c r="Z59" s="3721">
        <f t="shared" si="73"/>
        <v>2.34375E-2</v>
      </c>
      <c r="AA59" s="3722">
        <f t="shared" si="73"/>
        <v>1.8922852983988356E-2</v>
      </c>
      <c r="AB59" s="3722">
        <f t="shared" si="73"/>
        <v>2.064108790675085E-2</v>
      </c>
      <c r="AC59" s="3794">
        <v>0.01</v>
      </c>
      <c r="AD59" s="3795">
        <v>7.0000000000000001E-3</v>
      </c>
      <c r="AE59" s="3796">
        <v>7.0000000000000001E-3</v>
      </c>
      <c r="AF59" s="3796">
        <v>7.0000000000000001E-3</v>
      </c>
      <c r="AG59" s="3794">
        <v>7.0000000000000001E-3</v>
      </c>
    </row>
    <row r="60" spans="2:33" s="3327" customFormat="1">
      <c r="B60" s="3726" t="str">
        <f>+B24</f>
        <v>Acquisition &amp; Integration</v>
      </c>
      <c r="C60" s="3674">
        <f t="shared" si="68"/>
        <v>2.1174442939800565E-2</v>
      </c>
      <c r="D60" s="3674">
        <f t="shared" si="68"/>
        <v>3.8886863531413293E-3</v>
      </c>
      <c r="E60" s="3721">
        <f t="shared" si="68"/>
        <v>1.8355359765051395E-3</v>
      </c>
      <c r="F60" s="3674">
        <f t="shared" si="68"/>
        <v>3.3220584682290409E-2</v>
      </c>
      <c r="G60" s="3674">
        <f t="shared" ca="1" si="68"/>
        <v>0.10568720379146919</v>
      </c>
      <c r="H60" s="3796">
        <f ca="1">+G60-0.2%</f>
        <v>0.10368720379146919</v>
      </c>
      <c r="I60" s="3796">
        <f ca="1">+H60-0.2%</f>
        <v>0.10168720379146919</v>
      </c>
      <c r="J60" s="3796">
        <v>0</v>
      </c>
      <c r="K60" s="3796">
        <v>0</v>
      </c>
      <c r="L60" s="3796">
        <v>0</v>
      </c>
      <c r="M60" s="3686"/>
      <c r="N60" s="3674">
        <f t="shared" ref="N60:AB60" si="74">+N24/N$19</f>
        <v>0</v>
      </c>
      <c r="O60" s="3674">
        <f t="shared" si="74"/>
        <v>3.9408866995073889E-3</v>
      </c>
      <c r="P60" s="3674">
        <f t="shared" si="74"/>
        <v>3.9254170755642784E-3</v>
      </c>
      <c r="Q60" s="3674">
        <f t="shared" si="74"/>
        <v>7.6023391812865493E-2</v>
      </c>
      <c r="R60" s="3721">
        <f t="shared" si="74"/>
        <v>2.4354603019970775E-3</v>
      </c>
      <c r="S60" s="3722">
        <f t="shared" si="74"/>
        <v>2.4260067928190197E-3</v>
      </c>
      <c r="T60" s="3722">
        <f t="shared" si="74"/>
        <v>8.7293889427740058E-3</v>
      </c>
      <c r="U60" s="3723">
        <f t="shared" si="74"/>
        <v>1.948368241597662E-3</v>
      </c>
      <c r="V60" s="3721">
        <f t="shared" si="74"/>
        <v>0</v>
      </c>
      <c r="W60" s="3722">
        <f t="shared" si="74"/>
        <v>0</v>
      </c>
      <c r="X60" s="3722">
        <f t="shared" si="74"/>
        <v>0</v>
      </c>
      <c r="Y60" s="3723">
        <f t="shared" si="74"/>
        <v>7.3818897637795275E-3</v>
      </c>
      <c r="Z60" s="3721">
        <f t="shared" si="74"/>
        <v>9.765625E-3</v>
      </c>
      <c r="AA60" s="3722">
        <f t="shared" si="74"/>
        <v>1.0674429888403688E-2</v>
      </c>
      <c r="AB60" s="3722">
        <f t="shared" si="74"/>
        <v>4.8567265662943174E-3</v>
      </c>
      <c r="AC60" s="3794">
        <f>+AC24/AC$19</f>
        <v>0.10568720379146919</v>
      </c>
      <c r="AD60" s="3795">
        <f>+AC60</f>
        <v>0.10568720379146919</v>
      </c>
      <c r="AE60" s="3796">
        <f>+AD60</f>
        <v>0.10568720379146919</v>
      </c>
      <c r="AF60" s="3796">
        <f>+AE60</f>
        <v>0.10568720379146919</v>
      </c>
      <c r="AG60" s="3794">
        <f>+AF60</f>
        <v>0.10568720379146919</v>
      </c>
    </row>
    <row r="61" spans="2:33" s="3327" customFormat="1" hidden="1" outlineLevel="1">
      <c r="B61" s="3755" t="s">
        <v>2004</v>
      </c>
      <c r="C61" s="3670"/>
      <c r="D61" s="3670"/>
      <c r="E61" s="3755"/>
      <c r="F61" s="3670"/>
      <c r="G61" s="3670"/>
      <c r="H61" s="3670"/>
      <c r="I61" s="3670"/>
      <c r="J61" s="3670"/>
      <c r="K61" s="3670"/>
      <c r="L61" s="3670"/>
      <c r="M61" s="3690"/>
      <c r="N61" s="3671"/>
      <c r="O61" s="3671"/>
      <c r="P61" s="3671"/>
      <c r="Q61" s="3671"/>
      <c r="R61" s="3703"/>
      <c r="S61" s="3704"/>
      <c r="T61" s="3704"/>
      <c r="U61" s="3705"/>
      <c r="V61" s="3703"/>
      <c r="W61" s="3704"/>
      <c r="X61" s="3704"/>
      <c r="Y61" s="3705"/>
      <c r="Z61" s="3703"/>
      <c r="AA61" s="3704"/>
      <c r="AB61" s="3704"/>
      <c r="AC61" s="3705"/>
      <c r="AD61" s="3703"/>
      <c r="AE61" s="3704"/>
      <c r="AF61" s="3704"/>
      <c r="AG61" s="3705"/>
    </row>
    <row r="62" spans="2:33" s="3327" customFormat="1" hidden="1" outlineLevel="1">
      <c r="B62" s="3726" t="s">
        <v>1992</v>
      </c>
      <c r="E62" s="3726"/>
      <c r="M62" s="3686"/>
      <c r="N62" s="3641"/>
      <c r="O62" s="3641">
        <f t="shared" ref="O62:AC62" si="75">+O20-N20</f>
        <v>3</v>
      </c>
      <c r="P62" s="3641">
        <f t="shared" si="75"/>
        <v>-7</v>
      </c>
      <c r="Q62" s="3641">
        <f t="shared" si="75"/>
        <v>15</v>
      </c>
      <c r="R62" s="3698">
        <f t="shared" si="75"/>
        <v>-9</v>
      </c>
      <c r="S62" s="3362">
        <f t="shared" si="75"/>
        <v>-27</v>
      </c>
      <c r="T62" s="3362">
        <f t="shared" si="75"/>
        <v>10</v>
      </c>
      <c r="U62" s="3699">
        <f t="shared" si="75"/>
        <v>2</v>
      </c>
      <c r="V62" s="3698">
        <f t="shared" si="75"/>
        <v>-14</v>
      </c>
      <c r="W62" s="3362">
        <f t="shared" si="75"/>
        <v>-18</v>
      </c>
      <c r="X62" s="3362">
        <f t="shared" si="75"/>
        <v>-1</v>
      </c>
      <c r="Y62" s="3699">
        <f t="shared" si="75"/>
        <v>5</v>
      </c>
      <c r="Z62" s="3698">
        <f t="shared" si="75"/>
        <v>11</v>
      </c>
      <c r="AA62" s="3362">
        <f t="shared" si="75"/>
        <v>-16</v>
      </c>
      <c r="AB62" s="3362">
        <f t="shared" si="75"/>
        <v>-2.2081912422208916</v>
      </c>
      <c r="AC62" s="3699">
        <f t="shared" si="75"/>
        <v>51.208191242220892</v>
      </c>
      <c r="AD62" s="3698">
        <f t="shared" ref="AD62:AG66" ca="1" si="76">+AD20-AC20</f>
        <v>-53.405304717270724</v>
      </c>
      <c r="AE62" s="3362">
        <f t="shared" ca="1" si="76"/>
        <v>-0.62999002671790549</v>
      </c>
      <c r="AF62" s="3362">
        <f t="shared" ca="1" si="76"/>
        <v>2.7936184104456743</v>
      </c>
      <c r="AG62" s="3699">
        <f t="shared" ca="1" si="76"/>
        <v>16.871660588463442</v>
      </c>
    </row>
    <row r="63" spans="2:33" s="3327" customFormat="1" hidden="1" outlineLevel="1">
      <c r="B63" s="3726" t="s">
        <v>1993</v>
      </c>
      <c r="E63" s="3726"/>
      <c r="M63" s="3686"/>
      <c r="N63" s="3641"/>
      <c r="O63" s="3641">
        <f t="shared" ref="O63:AC63" si="77">+O21-N21</f>
        <v>10</v>
      </c>
      <c r="P63" s="3641">
        <f t="shared" si="77"/>
        <v>-1</v>
      </c>
      <c r="Q63" s="3641">
        <f t="shared" si="77"/>
        <v>8</v>
      </c>
      <c r="R63" s="3698">
        <f t="shared" si="77"/>
        <v>-13</v>
      </c>
      <c r="S63" s="3362">
        <f t="shared" si="77"/>
        <v>8</v>
      </c>
      <c r="T63" s="3362">
        <f t="shared" si="77"/>
        <v>-3</v>
      </c>
      <c r="U63" s="3699">
        <f t="shared" si="77"/>
        <v>-19</v>
      </c>
      <c r="V63" s="3698">
        <f t="shared" si="77"/>
        <v>-6</v>
      </c>
      <c r="W63" s="3362">
        <f t="shared" si="77"/>
        <v>4</v>
      </c>
      <c r="X63" s="3362">
        <f t="shared" si="77"/>
        <v>-4</v>
      </c>
      <c r="Y63" s="3699">
        <f t="shared" si="77"/>
        <v>-4</v>
      </c>
      <c r="Z63" s="3698">
        <f t="shared" si="77"/>
        <v>3</v>
      </c>
      <c r="AA63" s="3362">
        <f t="shared" si="77"/>
        <v>1</v>
      </c>
      <c r="AB63" s="3362">
        <f t="shared" si="77"/>
        <v>-2.132948482737504</v>
      </c>
      <c r="AC63" s="3699">
        <f t="shared" si="77"/>
        <v>6.132948482737504</v>
      </c>
      <c r="AD63" s="3698">
        <f t="shared" ca="1" si="76"/>
        <v>-7.9308081289756274</v>
      </c>
      <c r="AE63" s="3362">
        <f t="shared" ca="1" si="76"/>
        <v>-0.35800844371021867</v>
      </c>
      <c r="AF63" s="3362">
        <f t="shared" ca="1" si="76"/>
        <v>3.4000437133697119</v>
      </c>
      <c r="AG63" s="3699">
        <f t="shared" ca="1" si="76"/>
        <v>8.2384838843864827</v>
      </c>
    </row>
    <row r="64" spans="2:33" s="3327" customFormat="1" hidden="1" outlineLevel="1">
      <c r="B64" s="3726" t="s">
        <v>159</v>
      </c>
      <c r="E64" s="3726"/>
      <c r="M64" s="3686"/>
      <c r="N64" s="3641"/>
      <c r="O64" s="3641">
        <f t="shared" ref="O64:AC64" si="78">+O22-N22</f>
        <v>2</v>
      </c>
      <c r="P64" s="3641">
        <f t="shared" si="78"/>
        <v>1</v>
      </c>
      <c r="Q64" s="3641">
        <f t="shared" si="78"/>
        <v>-4.75</v>
      </c>
      <c r="R64" s="3698">
        <f t="shared" si="78"/>
        <v>19</v>
      </c>
      <c r="S64" s="3362">
        <f t="shared" si="78"/>
        <v>-0.75</v>
      </c>
      <c r="T64" s="3362">
        <f t="shared" si="78"/>
        <v>0.25</v>
      </c>
      <c r="U64" s="3699">
        <f t="shared" si="78"/>
        <v>4.75</v>
      </c>
      <c r="V64" s="3698">
        <f t="shared" si="78"/>
        <v>-47.5</v>
      </c>
      <c r="W64" s="3362">
        <f t="shared" si="78"/>
        <v>14</v>
      </c>
      <c r="X64" s="3362">
        <f t="shared" si="78"/>
        <v>-19</v>
      </c>
      <c r="Y64" s="3699">
        <f t="shared" si="78"/>
        <v>-10</v>
      </c>
      <c r="Z64" s="3698">
        <f t="shared" si="78"/>
        <v>1</v>
      </c>
      <c r="AA64" s="3362">
        <f t="shared" si="78"/>
        <v>9</v>
      </c>
      <c r="AB64" s="3362">
        <f t="shared" si="78"/>
        <v>-3.9781692551366064</v>
      </c>
      <c r="AC64" s="3699">
        <f t="shared" si="78"/>
        <v>-14.021830744863394</v>
      </c>
      <c r="AD64" s="3698">
        <f t="shared" ca="1" si="76"/>
        <v>9.3847245600036331</v>
      </c>
      <c r="AE64" s="3362">
        <f t="shared" ca="1" si="76"/>
        <v>-0.4870487347639596</v>
      </c>
      <c r="AF64" s="3362">
        <f t="shared" ca="1" si="76"/>
        <v>3.1418125452656227</v>
      </c>
      <c r="AG64" s="3699">
        <f t="shared" ca="1" si="76"/>
        <v>7.449098245005473</v>
      </c>
    </row>
    <row r="65" spans="2:33" s="3327" customFormat="1" hidden="1" outlineLevel="1">
      <c r="B65" s="3726" t="s">
        <v>1837</v>
      </c>
      <c r="E65" s="3726"/>
      <c r="M65" s="3686"/>
      <c r="N65" s="3641"/>
      <c r="O65" s="3641">
        <f t="shared" ref="O65:AC65" si="79">+O23-N23</f>
        <v>5</v>
      </c>
      <c r="P65" s="3641">
        <f t="shared" si="79"/>
        <v>8</v>
      </c>
      <c r="Q65" s="3641">
        <f t="shared" si="79"/>
        <v>61</v>
      </c>
      <c r="R65" s="3698">
        <f t="shared" si="79"/>
        <v>-62</v>
      </c>
      <c r="S65" s="3362">
        <f t="shared" si="79"/>
        <v>-4</v>
      </c>
      <c r="T65" s="3362">
        <f t="shared" si="79"/>
        <v>7</v>
      </c>
      <c r="U65" s="3699">
        <f t="shared" si="79"/>
        <v>15</v>
      </c>
      <c r="V65" s="3698">
        <f t="shared" si="79"/>
        <v>-2</v>
      </c>
      <c r="W65" s="3362">
        <f t="shared" si="79"/>
        <v>-16</v>
      </c>
      <c r="X65" s="3362">
        <f t="shared" si="79"/>
        <v>12</v>
      </c>
      <c r="Y65" s="3699">
        <f t="shared" si="79"/>
        <v>-8</v>
      </c>
      <c r="Z65" s="3698">
        <f t="shared" si="79"/>
        <v>13</v>
      </c>
      <c r="AA65" s="3362">
        <f t="shared" si="79"/>
        <v>-9</v>
      </c>
      <c r="AB65" s="3362">
        <f t="shared" si="79"/>
        <v>3.5</v>
      </c>
      <c r="AC65" s="3699">
        <f t="shared" si="79"/>
        <v>-10.5</v>
      </c>
      <c r="AD65" s="3698">
        <f t="shared" ca="1" si="76"/>
        <v>-17.600727401904585</v>
      </c>
      <c r="AE65" s="3362">
        <f t="shared" ca="1" si="76"/>
        <v>7.5273503114708262E-2</v>
      </c>
      <c r="AF65" s="3362">
        <f t="shared" ca="1" si="76"/>
        <v>0.15063484806068317</v>
      </c>
      <c r="AG65" s="3699">
        <f t="shared" ca="1" si="76"/>
        <v>0.46047495630558011</v>
      </c>
    </row>
    <row r="66" spans="2:33" s="3327" customFormat="1" hidden="1" outlineLevel="1">
      <c r="B66" s="3726" t="s">
        <v>1991</v>
      </c>
      <c r="E66" s="3726"/>
      <c r="M66" s="3686"/>
      <c r="N66" s="3641"/>
      <c r="O66" s="3641">
        <f t="shared" ref="O66:AC66" si="80">+O24-N24</f>
        <v>8</v>
      </c>
      <c r="P66" s="3641">
        <f t="shared" si="80"/>
        <v>0</v>
      </c>
      <c r="Q66" s="3641">
        <f t="shared" si="80"/>
        <v>148</v>
      </c>
      <c r="R66" s="3698">
        <f t="shared" si="80"/>
        <v>-151</v>
      </c>
      <c r="S66" s="3362">
        <f t="shared" si="80"/>
        <v>0</v>
      </c>
      <c r="T66" s="3362">
        <f t="shared" si="80"/>
        <v>13</v>
      </c>
      <c r="U66" s="3699">
        <f t="shared" si="80"/>
        <v>-14</v>
      </c>
      <c r="V66" s="3698">
        <f t="shared" si="80"/>
        <v>-4</v>
      </c>
      <c r="W66" s="3362">
        <f t="shared" si="80"/>
        <v>0</v>
      </c>
      <c r="X66" s="3362">
        <f t="shared" si="80"/>
        <v>0</v>
      </c>
      <c r="Y66" s="3699">
        <f t="shared" si="80"/>
        <v>15</v>
      </c>
      <c r="Z66" s="3698">
        <f t="shared" si="80"/>
        <v>5</v>
      </c>
      <c r="AA66" s="3362">
        <f t="shared" si="80"/>
        <v>2</v>
      </c>
      <c r="AB66" s="3362">
        <f t="shared" si="80"/>
        <v>-12</v>
      </c>
      <c r="AC66" s="3699">
        <f t="shared" si="80"/>
        <v>213</v>
      </c>
      <c r="AD66" s="3698">
        <f t="shared" ca="1" si="76"/>
        <v>-5.5973060680245794</v>
      </c>
      <c r="AE66" s="3362">
        <f t="shared" ca="1" si="76"/>
        <v>1.136492294826013</v>
      </c>
      <c r="AF66" s="3362">
        <f t="shared" ca="1" si="76"/>
        <v>2.2743108407265993</v>
      </c>
      <c r="AG66" s="3699">
        <f t="shared" ca="1" si="76"/>
        <v>6.9523300782765318</v>
      </c>
    </row>
    <row r="67" spans="2:33" s="3327" customFormat="1" hidden="1" outlineLevel="1">
      <c r="B67" s="3726" t="s">
        <v>1994</v>
      </c>
      <c r="E67" s="3726"/>
      <c r="M67" s="3686"/>
      <c r="N67" s="3641"/>
      <c r="O67" s="3641"/>
      <c r="P67" s="3641"/>
      <c r="Q67" s="3641"/>
      <c r="R67" s="3698"/>
      <c r="S67" s="3362"/>
      <c r="T67" s="3362"/>
      <c r="U67" s="3699"/>
      <c r="V67" s="3698">
        <f t="shared" ref="V67:AG67" si="81">+V25-U25</f>
        <v>65.5</v>
      </c>
      <c r="W67" s="3362">
        <f t="shared" si="81"/>
        <v>5</v>
      </c>
      <c r="X67" s="3362">
        <f t="shared" si="81"/>
        <v>1</v>
      </c>
      <c r="Y67" s="3699">
        <f t="shared" si="81"/>
        <v>8</v>
      </c>
      <c r="Z67" s="3698">
        <f t="shared" si="81"/>
        <v>1</v>
      </c>
      <c r="AA67" s="3362">
        <f t="shared" si="81"/>
        <v>19</v>
      </c>
      <c r="AB67" s="3362">
        <f t="shared" si="81"/>
        <v>6.319308980095002</v>
      </c>
      <c r="AC67" s="3699">
        <f t="shared" si="81"/>
        <v>7.680691019904998</v>
      </c>
      <c r="AD67" s="3698">
        <f t="shared" ca="1" si="81"/>
        <v>-1.0096691286985333</v>
      </c>
      <c r="AE67" s="3362">
        <f t="shared" ca="1" si="81"/>
        <v>12.22840479300794</v>
      </c>
      <c r="AF67" s="3362">
        <f t="shared" ca="1" si="81"/>
        <v>12.183789339587747</v>
      </c>
      <c r="AG67" s="3699">
        <f t="shared" ca="1" si="81"/>
        <v>33.22289389722755</v>
      </c>
    </row>
    <row r="68" spans="2:33" s="3327" customFormat="1" collapsed="1">
      <c r="B68" s="3756" t="s">
        <v>562</v>
      </c>
      <c r="C68" s="3638"/>
      <c r="D68" s="3638"/>
      <c r="E68" s="3756"/>
      <c r="F68" s="3638"/>
      <c r="G68" s="3638"/>
      <c r="H68" s="3638"/>
      <c r="I68" s="3638"/>
      <c r="J68" s="3638"/>
      <c r="K68" s="3638"/>
      <c r="L68" s="3638"/>
      <c r="M68" s="3687"/>
      <c r="N68" s="3639" t="str">
        <f t="shared" ref="N68:AG68" si="82">+N54</f>
        <v>1Q14</v>
      </c>
      <c r="O68" s="3639" t="str">
        <f t="shared" si="82"/>
        <v>2Q14</v>
      </c>
      <c r="P68" s="3639" t="str">
        <f t="shared" si="82"/>
        <v>3Q14</v>
      </c>
      <c r="Q68" s="3639" t="str">
        <f t="shared" si="82"/>
        <v>4Q14</v>
      </c>
      <c r="R68" s="3700" t="str">
        <f t="shared" si="82"/>
        <v>1Q15</v>
      </c>
      <c r="S68" s="3701" t="str">
        <f t="shared" si="82"/>
        <v>2Q15</v>
      </c>
      <c r="T68" s="3701" t="str">
        <f t="shared" si="82"/>
        <v>3Q15</v>
      </c>
      <c r="U68" s="3702" t="str">
        <f t="shared" si="82"/>
        <v>4Q15</v>
      </c>
      <c r="V68" s="3700" t="str">
        <f t="shared" si="82"/>
        <v>1Q16</v>
      </c>
      <c r="W68" s="3701" t="str">
        <f t="shared" si="82"/>
        <v>2Q16</v>
      </c>
      <c r="X68" s="3701" t="str">
        <f t="shared" si="82"/>
        <v>3Q16</v>
      </c>
      <c r="Y68" s="3702" t="str">
        <f t="shared" si="82"/>
        <v>4Q16</v>
      </c>
      <c r="Z68" s="3700" t="str">
        <f t="shared" si="82"/>
        <v>1Q17</v>
      </c>
      <c r="AA68" s="3701" t="str">
        <f t="shared" si="82"/>
        <v>2Q17</v>
      </c>
      <c r="AB68" s="3701" t="str">
        <f t="shared" si="82"/>
        <v>3Q17</v>
      </c>
      <c r="AC68" s="3702" t="str">
        <f t="shared" si="82"/>
        <v>4Q17</v>
      </c>
      <c r="AD68" s="3700" t="str">
        <f t="shared" si="82"/>
        <v>1Q18E</v>
      </c>
      <c r="AE68" s="3701" t="str">
        <f t="shared" si="82"/>
        <v>2Q18E</v>
      </c>
      <c r="AF68" s="3701" t="str">
        <f t="shared" si="82"/>
        <v>3Q18E</v>
      </c>
      <c r="AG68" s="3702" t="str">
        <f t="shared" si="82"/>
        <v>4Q18E</v>
      </c>
    </row>
    <row r="69" spans="2:33" s="3327" customFormat="1">
      <c r="B69" s="3726" t="s">
        <v>2014</v>
      </c>
      <c r="E69" s="3726"/>
      <c r="F69" s="3363">
        <f>+SUM(Z69:AC69)</f>
        <v>56.25</v>
      </c>
      <c r="G69" s="3363">
        <f ca="1">+SUM(AD69:AG69)</f>
        <v>892.5</v>
      </c>
      <c r="H69" s="3363">
        <f>+H$71*75%</f>
        <v>478.125</v>
      </c>
      <c r="I69" s="3363">
        <f>+I$71*75%</f>
        <v>637.5</v>
      </c>
      <c r="J69" s="3363">
        <f>+J$71*75%</f>
        <v>701.25000000000011</v>
      </c>
      <c r="K69" s="3363">
        <f>+K$71*75%</f>
        <v>765</v>
      </c>
      <c r="L69" s="3363">
        <f>+L$71*75%</f>
        <v>765</v>
      </c>
      <c r="M69" s="3686"/>
      <c r="N69" s="3641"/>
      <c r="O69" s="3641"/>
      <c r="P69" s="3641"/>
      <c r="Q69" s="3641"/>
      <c r="R69" s="3698"/>
      <c r="S69" s="3362"/>
      <c r="T69" s="3362"/>
      <c r="U69" s="3699"/>
      <c r="V69" s="3698"/>
      <c r="W69" s="3362"/>
      <c r="X69" s="3362"/>
      <c r="Y69" s="3699"/>
      <c r="Z69" s="3698"/>
      <c r="AA69" s="3362"/>
      <c r="AB69" s="3362"/>
      <c r="AC69" s="3699">
        <f>+AC$71*75%</f>
        <v>56.25</v>
      </c>
      <c r="AD69" s="3698">
        <f ca="1">+AD$71*75%</f>
        <v>127.5</v>
      </c>
      <c r="AE69" s="3362">
        <f>+AE$71*75%</f>
        <v>191.25</v>
      </c>
      <c r="AF69" s="3362">
        <f>+AF$71*75%</f>
        <v>255</v>
      </c>
      <c r="AG69" s="3699">
        <f>+AG$71*75%</f>
        <v>318.75</v>
      </c>
    </row>
    <row r="70" spans="2:33" s="3327" customFormat="1">
      <c r="B70" s="3726" t="s">
        <v>159</v>
      </c>
      <c r="E70" s="3726"/>
      <c r="F70" s="3363">
        <f>+SUM(Z70:AC70)</f>
        <v>18.75</v>
      </c>
      <c r="G70" s="3363">
        <f ca="1">+SUM(AD70:AG70)</f>
        <v>297.5</v>
      </c>
      <c r="H70" s="3363">
        <f>+H$71*25%</f>
        <v>159.375</v>
      </c>
      <c r="I70" s="3363">
        <f>+I$71*25%</f>
        <v>212.5</v>
      </c>
      <c r="J70" s="3363">
        <f>+J$71*25%</f>
        <v>233.75000000000003</v>
      </c>
      <c r="K70" s="3363">
        <f>+K$71*25%</f>
        <v>255</v>
      </c>
      <c r="L70" s="3363">
        <f>+L$71*25%</f>
        <v>255</v>
      </c>
      <c r="M70" s="3686"/>
      <c r="N70" s="3641"/>
      <c r="O70" s="3641"/>
      <c r="P70" s="3641"/>
      <c r="Q70" s="3641"/>
      <c r="R70" s="3698"/>
      <c r="S70" s="3362"/>
      <c r="T70" s="3362"/>
      <c r="U70" s="3699"/>
      <c r="V70" s="3698"/>
      <c r="W70" s="3362"/>
      <c r="X70" s="3362"/>
      <c r="Y70" s="3699"/>
      <c r="Z70" s="3698"/>
      <c r="AA70" s="3362"/>
      <c r="AB70" s="3362"/>
      <c r="AC70" s="3699">
        <f>+AC$71*25%</f>
        <v>18.75</v>
      </c>
      <c r="AD70" s="3698">
        <f ca="1">+AD$71*25%</f>
        <v>42.5</v>
      </c>
      <c r="AE70" s="3362">
        <f>+AE$71*25%</f>
        <v>63.75</v>
      </c>
      <c r="AF70" s="3362">
        <f>+AF$71*25%</f>
        <v>85</v>
      </c>
      <c r="AG70" s="3699">
        <f>+AG$71*25%</f>
        <v>106.25</v>
      </c>
    </row>
    <row r="71" spans="2:33" s="3327" customFormat="1">
      <c r="B71" s="3726" t="s">
        <v>1143</v>
      </c>
      <c r="E71" s="3726"/>
      <c r="F71" s="3363">
        <f>+SUM(Z71:AC71)</f>
        <v>75</v>
      </c>
      <c r="G71" s="3363">
        <f ca="1">+SUM(AD71:AG71)</f>
        <v>1190</v>
      </c>
      <c r="H71" s="3363">
        <f>+H72</f>
        <v>637.5</v>
      </c>
      <c r="I71" s="3363">
        <f>+I72</f>
        <v>850</v>
      </c>
      <c r="J71" s="3363">
        <f>+J72</f>
        <v>935.00000000000011</v>
      </c>
      <c r="K71" s="3363">
        <f>+K72</f>
        <v>1020</v>
      </c>
      <c r="L71" s="3363">
        <f>+L72</f>
        <v>1020</v>
      </c>
      <c r="M71" s="3686"/>
      <c r="N71" s="3641"/>
      <c r="O71" s="3641"/>
      <c r="P71" s="3641"/>
      <c r="Q71" s="3641"/>
      <c r="R71" s="3698"/>
      <c r="S71" s="3362"/>
      <c r="T71" s="3362"/>
      <c r="U71" s="3699"/>
      <c r="V71" s="3698"/>
      <c r="W71" s="3362"/>
      <c r="X71" s="3362"/>
      <c r="Y71" s="3699"/>
      <c r="Z71" s="3698"/>
      <c r="AA71" s="3362"/>
      <c r="AB71" s="3362"/>
      <c r="AC71" s="3697">
        <f>+IS!CH64</f>
        <v>75</v>
      </c>
      <c r="AD71" s="3698">
        <f ca="1">+IS!CI64</f>
        <v>170</v>
      </c>
      <c r="AE71" s="3362">
        <f>+IS!CJ64</f>
        <v>255</v>
      </c>
      <c r="AF71" s="3362">
        <f>+IS!CK64</f>
        <v>340</v>
      </c>
      <c r="AG71" s="3699">
        <f>+IS!CL64</f>
        <v>425</v>
      </c>
    </row>
    <row r="72" spans="2:33" s="3327" customFormat="1">
      <c r="B72" s="3726" t="s">
        <v>2015</v>
      </c>
      <c r="E72" s="3726"/>
      <c r="G72" s="3327">
        <f>+AG72</f>
        <v>1700</v>
      </c>
      <c r="H72" s="3327">
        <f>850*H73</f>
        <v>637.5</v>
      </c>
      <c r="I72" s="3327">
        <f>850*I73</f>
        <v>850</v>
      </c>
      <c r="J72" s="3327">
        <f>850*J73</f>
        <v>935.00000000000011</v>
      </c>
      <c r="K72" s="3327">
        <f>850*K73</f>
        <v>1020</v>
      </c>
      <c r="L72" s="3327">
        <f>850*L73</f>
        <v>1020</v>
      </c>
      <c r="M72" s="3686"/>
      <c r="N72" s="3673"/>
      <c r="O72" s="3673"/>
      <c r="P72" s="3673"/>
      <c r="Q72" s="3673"/>
      <c r="R72" s="3694"/>
      <c r="S72" s="3719"/>
      <c r="T72" s="3719"/>
      <c r="U72" s="3720"/>
      <c r="V72" s="3694"/>
      <c r="W72" s="3719"/>
      <c r="X72" s="3719"/>
      <c r="Y72" s="3720"/>
      <c r="Z72" s="3694"/>
      <c r="AA72" s="3719"/>
      <c r="AB72" s="3719"/>
      <c r="AC72" s="3697">
        <f>+AC71*4</f>
        <v>300</v>
      </c>
      <c r="AD72" s="3726">
        <f ca="1">+AD71*4</f>
        <v>680</v>
      </c>
      <c r="AE72" s="3696">
        <f>+AE71*4</f>
        <v>1020</v>
      </c>
      <c r="AF72" s="3696">
        <f>+AF71*4</f>
        <v>1360</v>
      </c>
      <c r="AG72" s="3697">
        <f>+AG71*4</f>
        <v>1700</v>
      </c>
    </row>
    <row r="73" spans="2:33" s="3327" customFormat="1">
      <c r="B73" s="3726" t="s">
        <v>2016</v>
      </c>
      <c r="E73" s="3726"/>
      <c r="G73" s="3681">
        <f>+G72/850</f>
        <v>2</v>
      </c>
      <c r="H73" s="3797">
        <f>IS!T65</f>
        <v>0.75</v>
      </c>
      <c r="I73" s="3797">
        <f>IS!U65</f>
        <v>1</v>
      </c>
      <c r="J73" s="3797">
        <f>IS!V65</f>
        <v>1.1000000000000001</v>
      </c>
      <c r="K73" s="3797">
        <f>IS!W65</f>
        <v>1.2</v>
      </c>
      <c r="L73" s="3797">
        <f>IS!X65</f>
        <v>1.2</v>
      </c>
      <c r="M73" s="3686"/>
      <c r="N73" s="3673"/>
      <c r="O73" s="3673"/>
      <c r="P73" s="3673"/>
      <c r="Q73" s="3673"/>
      <c r="R73" s="3694"/>
      <c r="S73" s="3719"/>
      <c r="T73" s="3719"/>
      <c r="U73" s="3720"/>
      <c r="V73" s="3694"/>
      <c r="W73" s="3719"/>
      <c r="X73" s="3719"/>
      <c r="Y73" s="3720"/>
      <c r="Z73" s="3694"/>
      <c r="AA73" s="3719"/>
      <c r="AB73" s="3719"/>
      <c r="AC73" s="3729">
        <f>+AC72/850</f>
        <v>0.35294117647058826</v>
      </c>
      <c r="AD73" s="3727">
        <f ca="1">+AD72/850</f>
        <v>0.8</v>
      </c>
      <c r="AE73" s="3728">
        <f>+AE72/850</f>
        <v>1.2</v>
      </c>
      <c r="AF73" s="3728">
        <f>+AF72/850</f>
        <v>1.6</v>
      </c>
      <c r="AG73" s="3729">
        <f>+AG72/850</f>
        <v>2</v>
      </c>
    </row>
    <row r="74" spans="2:33" s="3327" customFormat="1">
      <c r="B74" s="3726" t="s">
        <v>2017</v>
      </c>
      <c r="D74" s="3363">
        <f t="shared" ref="D74:L74" si="83">+D34+D71</f>
        <v>9346</v>
      </c>
      <c r="E74" s="3730">
        <f t="shared" si="83"/>
        <v>9222</v>
      </c>
      <c r="F74" s="3363">
        <f t="shared" si="83"/>
        <v>8687.6073089800957</v>
      </c>
      <c r="G74" s="3363">
        <f t="shared" ca="1" si="83"/>
        <v>9777.8651341661116</v>
      </c>
      <c r="H74" s="3363">
        <f t="shared" ca="1" si="83"/>
        <v>9134.0921629063942</v>
      </c>
      <c r="I74" s="3363">
        <f t="shared" ca="1" si="83"/>
        <v>9268.8750372968516</v>
      </c>
      <c r="J74" s="3363">
        <f t="shared" ca="1" si="83"/>
        <v>9315.2202009414468</v>
      </c>
      <c r="K74" s="3363">
        <f t="shared" ca="1" si="83"/>
        <v>9382.5445404870497</v>
      </c>
      <c r="L74" s="3363">
        <f t="shared" ca="1" si="83"/>
        <v>9380.0204139496091</v>
      </c>
      <c r="M74" s="3686"/>
      <c r="N74" s="3673"/>
      <c r="O74" s="3673"/>
      <c r="P74" s="3673"/>
      <c r="Q74" s="3673"/>
      <c r="R74" s="3694"/>
      <c r="S74" s="3719"/>
      <c r="T74" s="3719"/>
      <c r="U74" s="3720"/>
      <c r="V74" s="3694"/>
      <c r="W74" s="3719"/>
      <c r="X74" s="3719"/>
      <c r="Y74" s="3720"/>
      <c r="Z74" s="3694"/>
      <c r="AA74" s="3719"/>
      <c r="AB74" s="3719"/>
      <c r="AC74" s="3731">
        <f>+AC34+AC71</f>
        <v>2226.788</v>
      </c>
      <c r="AD74" s="3730">
        <f ca="1">+AD34+AD71</f>
        <v>2350.6681620503205</v>
      </c>
      <c r="AE74" s="3695">
        <f ca="1">+AE34+AE71</f>
        <v>2405.6345381361643</v>
      </c>
      <c r="AF74" s="3695">
        <f ca="1">+AF34+AF71</f>
        <v>2428.4051953352218</v>
      </c>
      <c r="AG74" s="3731">
        <f ca="1">+AG34+AG71</f>
        <v>2593.1572386444082</v>
      </c>
    </row>
    <row r="75" spans="2:33" s="3327" customFormat="1">
      <c r="B75" s="3790" t="s">
        <v>1990</v>
      </c>
      <c r="D75" s="3344">
        <f t="shared" ref="D75:L75" si="84">+D74/(D$8+D$19)</f>
        <v>0.35768686134180411</v>
      </c>
      <c r="E75" s="3752">
        <f t="shared" si="84"/>
        <v>0.35964433351532643</v>
      </c>
      <c r="F75" s="3344">
        <f t="shared" si="84"/>
        <v>0.35351403088423583</v>
      </c>
      <c r="G75" s="3344">
        <f t="shared" ca="1" si="84"/>
        <v>0.40507260517175769</v>
      </c>
      <c r="H75" s="3344">
        <f t="shared" ca="1" si="84"/>
        <v>0.38223754750160815</v>
      </c>
      <c r="I75" s="3344">
        <f t="shared" ca="1" si="84"/>
        <v>0.39155435656545873</v>
      </c>
      <c r="J75" s="3344">
        <f t="shared" ca="1" si="84"/>
        <v>0.39615690080226246</v>
      </c>
      <c r="K75" s="3344">
        <f t="shared" ca="1" si="84"/>
        <v>0.40071395129584991</v>
      </c>
      <c r="L75" s="3344">
        <f t="shared" ca="1" si="84"/>
        <v>0.40158197352123826</v>
      </c>
      <c r="M75" s="3686"/>
      <c r="N75" s="3673"/>
      <c r="O75" s="3673"/>
      <c r="P75" s="3673"/>
      <c r="Q75" s="3673"/>
      <c r="R75" s="3694"/>
      <c r="S75" s="3719"/>
      <c r="T75" s="3719"/>
      <c r="U75" s="3720"/>
      <c r="V75" s="3694"/>
      <c r="W75" s="3719"/>
      <c r="X75" s="3719"/>
      <c r="Y75" s="3720"/>
      <c r="Z75" s="3694"/>
      <c r="AA75" s="3719"/>
      <c r="AB75" s="3719"/>
      <c r="AC75" s="3758">
        <f>+AC74/(AC$8+AC$19)</f>
        <v>0.36660981231478434</v>
      </c>
      <c r="AD75" s="3752">
        <f ca="1">+AD74/(AD$8+AD$19)</f>
        <v>0.38843047217769938</v>
      </c>
      <c r="AE75" s="3759">
        <f ca="1">+AE74/(AE$8+AE$19)</f>
        <v>0.39930756555089741</v>
      </c>
      <c r="AF75" s="3759">
        <f ca="1">+AF74/(AF$8+AF$19)</f>
        <v>0.40301389650978464</v>
      </c>
      <c r="AG75" s="3758">
        <f ca="1">+AG74/(AG$8+AG$19)</f>
        <v>0.42956439002601793</v>
      </c>
    </row>
    <row r="76" spans="2:33" s="3327" customFormat="1">
      <c r="B76" s="3790"/>
      <c r="D76" s="3344"/>
      <c r="E76" s="3752"/>
      <c r="F76" s="3344">
        <f t="shared" ref="F76:L76" si="85">+F74/E74-1</f>
        <v>-5.7947591739308635E-2</v>
      </c>
      <c r="G76" s="3344">
        <f t="shared" ca="1" si="85"/>
        <v>0.1254957534808292</v>
      </c>
      <c r="H76" s="3344">
        <f t="shared" ca="1" si="85"/>
        <v>-6.5839829290570417E-2</v>
      </c>
      <c r="I76" s="3344">
        <f t="shared" ca="1" si="85"/>
        <v>1.4756023038371646E-2</v>
      </c>
      <c r="J76" s="3344">
        <f t="shared" ca="1" si="85"/>
        <v>5.0000850651354956E-3</v>
      </c>
      <c r="K76" s="3344">
        <f t="shared" ca="1" si="85"/>
        <v>7.2273481563858155E-3</v>
      </c>
      <c r="L76" s="3344">
        <f t="shared" ca="1" si="85"/>
        <v>-2.690236669325996E-4</v>
      </c>
      <c r="M76" s="3686"/>
      <c r="N76" s="3673"/>
      <c r="O76" s="3673"/>
      <c r="P76" s="3673"/>
      <c r="Q76" s="3673"/>
      <c r="R76" s="3694"/>
      <c r="S76" s="3719"/>
      <c r="T76" s="3719"/>
      <c r="U76" s="3720"/>
      <c r="V76" s="3694"/>
      <c r="W76" s="3719"/>
      <c r="X76" s="3719"/>
      <c r="Y76" s="3720"/>
      <c r="Z76" s="3694"/>
      <c r="AA76" s="3719"/>
      <c r="AB76" s="3719"/>
      <c r="AC76" s="3731"/>
      <c r="AD76" s="3730"/>
      <c r="AE76" s="3695"/>
      <c r="AF76" s="3695"/>
      <c r="AG76" s="3731"/>
    </row>
    <row r="77" spans="2:33" s="3327" customFormat="1">
      <c r="B77" s="3756" t="s">
        <v>2027</v>
      </c>
      <c r="C77" s="3638"/>
      <c r="D77" s="3638"/>
      <c r="E77" s="3756"/>
      <c r="F77" s="3638"/>
      <c r="G77" s="3638"/>
      <c r="H77" s="3638"/>
      <c r="I77" s="3638"/>
      <c r="J77" s="3638"/>
      <c r="K77" s="3638"/>
      <c r="L77" s="3638"/>
      <c r="M77" s="3687"/>
      <c r="N77" s="3639"/>
      <c r="O77" s="3639"/>
      <c r="P77" s="3639"/>
      <c r="Q77" s="3639"/>
      <c r="R77" s="3700"/>
      <c r="S77" s="3701"/>
      <c r="T77" s="3701"/>
      <c r="U77" s="3702"/>
      <c r="V77" s="3700"/>
      <c r="W77" s="3701"/>
      <c r="X77" s="3701"/>
      <c r="Y77" s="3702"/>
      <c r="Z77" s="3700"/>
      <c r="AA77" s="3701"/>
      <c r="AB77" s="3701"/>
      <c r="AC77" s="3702" t="s">
        <v>2005</v>
      </c>
      <c r="AD77" s="3726"/>
      <c r="AE77" s="3696"/>
      <c r="AF77" s="3696"/>
      <c r="AG77" s="3697"/>
    </row>
    <row r="78" spans="2:33" s="3327" customFormat="1">
      <c r="B78" s="3757" t="s">
        <v>1659</v>
      </c>
      <c r="C78" s="3675"/>
      <c r="D78" s="3675"/>
      <c r="E78" s="3757"/>
      <c r="F78" s="3675"/>
      <c r="G78" s="3675"/>
      <c r="H78" s="3675"/>
      <c r="I78" s="3675"/>
      <c r="J78" s="3675"/>
      <c r="K78" s="3675"/>
      <c r="L78" s="3675"/>
      <c r="M78" s="3693"/>
      <c r="N78" s="3671">
        <f t="shared" ref="N78:AB78" si="86">+N19</f>
        <v>2003</v>
      </c>
      <c r="O78" s="3671">
        <f t="shared" si="86"/>
        <v>2030</v>
      </c>
      <c r="P78" s="3671">
        <f t="shared" si="86"/>
        <v>2038</v>
      </c>
      <c r="Q78" s="3671">
        <f t="shared" si="86"/>
        <v>2052</v>
      </c>
      <c r="R78" s="3703">
        <f t="shared" si="86"/>
        <v>2053</v>
      </c>
      <c r="S78" s="3704">
        <f t="shared" si="86"/>
        <v>2061</v>
      </c>
      <c r="T78" s="3704">
        <f t="shared" si="86"/>
        <v>2062</v>
      </c>
      <c r="U78" s="3705">
        <f t="shared" si="86"/>
        <v>2053</v>
      </c>
      <c r="V78" s="3703">
        <f t="shared" si="86"/>
        <v>2051</v>
      </c>
      <c r="W78" s="3704">
        <f t="shared" si="86"/>
        <v>2056</v>
      </c>
      <c r="X78" s="3704">
        <f t="shared" si="86"/>
        <v>2033</v>
      </c>
      <c r="Y78" s="3705">
        <f t="shared" si="86"/>
        <v>2032</v>
      </c>
      <c r="Z78" s="3703">
        <f t="shared" si="86"/>
        <v>2048</v>
      </c>
      <c r="AA78" s="3704">
        <f t="shared" si="86"/>
        <v>2061</v>
      </c>
      <c r="AB78" s="3704">
        <f t="shared" si="86"/>
        <v>2059</v>
      </c>
      <c r="AC78" s="3705">
        <f t="shared" ref="AC78:AC83" si="87">+AC19*0.666666666666667</f>
        <v>1406.6666666666672</v>
      </c>
      <c r="AD78" s="3726"/>
      <c r="AE78" s="3696"/>
      <c r="AF78" s="3696"/>
      <c r="AG78" s="3697"/>
    </row>
    <row r="79" spans="2:33" s="3327" customFormat="1">
      <c r="B79" s="3726" t="s">
        <v>1992</v>
      </c>
      <c r="E79" s="3726"/>
      <c r="M79" s="3686"/>
      <c r="N79" s="3641">
        <f t="shared" ref="N79:AB79" si="88">+N20</f>
        <v>721</v>
      </c>
      <c r="O79" s="3641">
        <f t="shared" si="88"/>
        <v>724</v>
      </c>
      <c r="P79" s="3641">
        <f t="shared" si="88"/>
        <v>717</v>
      </c>
      <c r="Q79" s="3641">
        <f t="shared" si="88"/>
        <v>732</v>
      </c>
      <c r="R79" s="3698">
        <f t="shared" si="88"/>
        <v>723</v>
      </c>
      <c r="S79" s="3362">
        <f t="shared" si="88"/>
        <v>696</v>
      </c>
      <c r="T79" s="3362">
        <f t="shared" si="88"/>
        <v>706</v>
      </c>
      <c r="U79" s="3699">
        <f t="shared" si="88"/>
        <v>708</v>
      </c>
      <c r="V79" s="3698">
        <f t="shared" si="88"/>
        <v>694</v>
      </c>
      <c r="W79" s="3362">
        <f t="shared" si="88"/>
        <v>676</v>
      </c>
      <c r="X79" s="3362">
        <f t="shared" si="88"/>
        <v>675</v>
      </c>
      <c r="Y79" s="3699">
        <f t="shared" si="88"/>
        <v>680</v>
      </c>
      <c r="Z79" s="3698">
        <f t="shared" si="88"/>
        <v>691</v>
      </c>
      <c r="AA79" s="3362">
        <f t="shared" si="88"/>
        <v>675</v>
      </c>
      <c r="AB79" s="3362">
        <f t="shared" si="88"/>
        <v>672.79180875777911</v>
      </c>
      <c r="AC79" s="3699">
        <f t="shared" si="87"/>
        <v>482.66666666666686</v>
      </c>
      <c r="AD79" s="3726"/>
      <c r="AE79" s="3696"/>
      <c r="AF79" s="3696"/>
      <c r="AG79" s="3697"/>
    </row>
    <row r="80" spans="2:33" s="3327" customFormat="1">
      <c r="B80" s="3726" t="s">
        <v>1993</v>
      </c>
      <c r="E80" s="3726"/>
      <c r="M80" s="3686"/>
      <c r="N80" s="3641">
        <f t="shared" ref="N80:AB80" si="89">+N21</f>
        <v>347</v>
      </c>
      <c r="O80" s="3641">
        <f t="shared" si="89"/>
        <v>357</v>
      </c>
      <c r="P80" s="3641">
        <f t="shared" si="89"/>
        <v>356</v>
      </c>
      <c r="Q80" s="3641">
        <f t="shared" si="89"/>
        <v>364</v>
      </c>
      <c r="R80" s="3698">
        <f t="shared" si="89"/>
        <v>351</v>
      </c>
      <c r="S80" s="3362">
        <f t="shared" si="89"/>
        <v>359</v>
      </c>
      <c r="T80" s="3362">
        <f t="shared" si="89"/>
        <v>356</v>
      </c>
      <c r="U80" s="3699">
        <f t="shared" si="89"/>
        <v>337</v>
      </c>
      <c r="V80" s="3698">
        <f t="shared" si="89"/>
        <v>331</v>
      </c>
      <c r="W80" s="3362">
        <f t="shared" si="89"/>
        <v>335</v>
      </c>
      <c r="X80" s="3362">
        <f t="shared" si="89"/>
        <v>331</v>
      </c>
      <c r="Y80" s="3699">
        <f t="shared" si="89"/>
        <v>327</v>
      </c>
      <c r="Z80" s="3698">
        <f t="shared" si="89"/>
        <v>330</v>
      </c>
      <c r="AA80" s="3362">
        <f t="shared" si="89"/>
        <v>331</v>
      </c>
      <c r="AB80" s="3362">
        <f t="shared" si="89"/>
        <v>328.8670515172625</v>
      </c>
      <c r="AC80" s="3699">
        <f t="shared" si="87"/>
        <v>223.33333333333343</v>
      </c>
      <c r="AD80" s="3726"/>
      <c r="AE80" s="3696"/>
      <c r="AF80" s="3696"/>
      <c r="AG80" s="3697"/>
    </row>
    <row r="81" spans="2:33" s="3327" customFormat="1">
      <c r="B81" s="3726" t="s">
        <v>159</v>
      </c>
      <c r="E81" s="3726"/>
      <c r="M81" s="3686"/>
      <c r="N81" s="3641">
        <f t="shared" ref="N81:AB81" si="90">+N22</f>
        <v>342</v>
      </c>
      <c r="O81" s="3641">
        <f t="shared" si="90"/>
        <v>344</v>
      </c>
      <c r="P81" s="3641">
        <f t="shared" si="90"/>
        <v>345</v>
      </c>
      <c r="Q81" s="3641">
        <f t="shared" si="90"/>
        <v>340.25</v>
      </c>
      <c r="R81" s="3698">
        <f t="shared" si="90"/>
        <v>359.25</v>
      </c>
      <c r="S81" s="3362">
        <f t="shared" si="90"/>
        <v>358.5</v>
      </c>
      <c r="T81" s="3362">
        <f t="shared" si="90"/>
        <v>358.75</v>
      </c>
      <c r="U81" s="3699">
        <f t="shared" si="90"/>
        <v>363.5</v>
      </c>
      <c r="V81" s="3698">
        <f t="shared" si="90"/>
        <v>316</v>
      </c>
      <c r="W81" s="3362">
        <f t="shared" si="90"/>
        <v>330</v>
      </c>
      <c r="X81" s="3362">
        <f t="shared" si="90"/>
        <v>311</v>
      </c>
      <c r="Y81" s="3699">
        <f t="shared" si="90"/>
        <v>301</v>
      </c>
      <c r="Z81" s="3698">
        <f t="shared" si="90"/>
        <v>302</v>
      </c>
      <c r="AA81" s="3362">
        <f t="shared" si="90"/>
        <v>311</v>
      </c>
      <c r="AB81" s="3362">
        <f t="shared" si="90"/>
        <v>307.02183074486339</v>
      </c>
      <c r="AC81" s="3699">
        <f t="shared" si="87"/>
        <v>195.33333333333343</v>
      </c>
      <c r="AD81" s="3726"/>
      <c r="AE81" s="3696"/>
      <c r="AF81" s="3696"/>
      <c r="AG81" s="3697"/>
    </row>
    <row r="82" spans="2:33" s="3327" customFormat="1">
      <c r="B82" s="3726" t="s">
        <v>1837</v>
      </c>
      <c r="E82" s="3726"/>
      <c r="M82" s="3686"/>
      <c r="N82" s="3641">
        <f t="shared" ref="N82:AB82" si="91">+N23</f>
        <v>19</v>
      </c>
      <c r="O82" s="3641">
        <f t="shared" si="91"/>
        <v>24</v>
      </c>
      <c r="P82" s="3641">
        <f t="shared" si="91"/>
        <v>32</v>
      </c>
      <c r="Q82" s="3641">
        <f t="shared" si="91"/>
        <v>93</v>
      </c>
      <c r="R82" s="3698">
        <f t="shared" si="91"/>
        <v>31</v>
      </c>
      <c r="S82" s="3362">
        <f t="shared" si="91"/>
        <v>27</v>
      </c>
      <c r="T82" s="3362">
        <f t="shared" si="91"/>
        <v>34</v>
      </c>
      <c r="U82" s="3699">
        <f t="shared" si="91"/>
        <v>49</v>
      </c>
      <c r="V82" s="3698">
        <f t="shared" si="91"/>
        <v>47</v>
      </c>
      <c r="W82" s="3362">
        <f t="shared" si="91"/>
        <v>31</v>
      </c>
      <c r="X82" s="3362">
        <f t="shared" si="91"/>
        <v>43</v>
      </c>
      <c r="Y82" s="3699">
        <f t="shared" si="91"/>
        <v>35</v>
      </c>
      <c r="Z82" s="3698">
        <f t="shared" si="91"/>
        <v>48</v>
      </c>
      <c r="AA82" s="3362">
        <f t="shared" si="91"/>
        <v>39</v>
      </c>
      <c r="AB82" s="3362">
        <f t="shared" si="91"/>
        <v>42.5</v>
      </c>
      <c r="AC82" s="3699">
        <f t="shared" si="87"/>
        <v>21.333333333333343</v>
      </c>
      <c r="AD82" s="3726"/>
      <c r="AE82" s="3696"/>
      <c r="AF82" s="3696"/>
      <c r="AG82" s="3697"/>
    </row>
    <row r="83" spans="2:33" s="3327" customFormat="1">
      <c r="B83" s="3726" t="s">
        <v>1991</v>
      </c>
      <c r="E83" s="3726"/>
      <c r="M83" s="3686"/>
      <c r="N83" s="3641">
        <f t="shared" ref="N83:AB83" si="92">+N24</f>
        <v>0</v>
      </c>
      <c r="O83" s="3641">
        <f t="shared" si="92"/>
        <v>8</v>
      </c>
      <c r="P83" s="3641">
        <f t="shared" si="92"/>
        <v>8</v>
      </c>
      <c r="Q83" s="3641">
        <f t="shared" si="92"/>
        <v>156</v>
      </c>
      <c r="R83" s="3698">
        <f t="shared" si="92"/>
        <v>5</v>
      </c>
      <c r="S83" s="3362">
        <f t="shared" si="92"/>
        <v>5</v>
      </c>
      <c r="T83" s="3362">
        <f t="shared" si="92"/>
        <v>18</v>
      </c>
      <c r="U83" s="3699">
        <f t="shared" si="92"/>
        <v>4</v>
      </c>
      <c r="V83" s="3698">
        <f t="shared" si="92"/>
        <v>0</v>
      </c>
      <c r="W83" s="3362">
        <f t="shared" si="92"/>
        <v>0</v>
      </c>
      <c r="X83" s="3362">
        <f t="shared" si="92"/>
        <v>0</v>
      </c>
      <c r="Y83" s="3699">
        <f t="shared" si="92"/>
        <v>15</v>
      </c>
      <c r="Z83" s="3698">
        <f t="shared" si="92"/>
        <v>20</v>
      </c>
      <c r="AA83" s="3362">
        <f t="shared" si="92"/>
        <v>22</v>
      </c>
      <c r="AB83" s="3362">
        <f t="shared" si="92"/>
        <v>10</v>
      </c>
      <c r="AC83" s="3699">
        <f t="shared" si="87"/>
        <v>148.66666666666674</v>
      </c>
      <c r="AD83" s="3726"/>
      <c r="AE83" s="3696"/>
      <c r="AF83" s="3696"/>
      <c r="AG83" s="3697"/>
    </row>
    <row r="84" spans="2:33" s="285" customFormat="1">
      <c r="B84" s="2581" t="s">
        <v>1994</v>
      </c>
      <c r="E84" s="2581"/>
      <c r="M84" s="2568"/>
      <c r="N84" s="1856">
        <f t="shared" ref="N84:AB84" si="93">+N25</f>
        <v>593</v>
      </c>
      <c r="O84" s="1856">
        <f t="shared" si="93"/>
        <v>605</v>
      </c>
      <c r="P84" s="1856">
        <f t="shared" si="93"/>
        <v>620</v>
      </c>
      <c r="Q84" s="1856">
        <f t="shared" si="93"/>
        <v>615.75</v>
      </c>
      <c r="R84" s="3732">
        <f t="shared" si="93"/>
        <v>619.75</v>
      </c>
      <c r="S84" s="3734">
        <f t="shared" si="93"/>
        <v>647.5</v>
      </c>
      <c r="T84" s="3734">
        <f t="shared" si="93"/>
        <v>641.25</v>
      </c>
      <c r="U84" s="3735">
        <f t="shared" si="93"/>
        <v>644.5</v>
      </c>
      <c r="V84" s="3732">
        <f t="shared" si="93"/>
        <v>710</v>
      </c>
      <c r="W84" s="3734">
        <f t="shared" si="93"/>
        <v>715</v>
      </c>
      <c r="X84" s="3734">
        <f t="shared" si="93"/>
        <v>716</v>
      </c>
      <c r="Y84" s="3735">
        <f t="shared" si="93"/>
        <v>724</v>
      </c>
      <c r="Z84" s="3732">
        <f t="shared" si="93"/>
        <v>725</v>
      </c>
      <c r="AA84" s="3734">
        <f t="shared" si="93"/>
        <v>744</v>
      </c>
      <c r="AB84" s="3734">
        <f t="shared" si="93"/>
        <v>750.319308980095</v>
      </c>
      <c r="AC84" s="3735">
        <f>+AC78-AC79-AC80-AC81</f>
        <v>505.33333333333354</v>
      </c>
      <c r="AD84" s="2581"/>
      <c r="AE84" s="115"/>
      <c r="AF84" s="115"/>
      <c r="AG84" s="3624"/>
    </row>
    <row r="85" spans="2:33" s="3327" customFormat="1">
      <c r="B85" s="3726" t="s">
        <v>1980</v>
      </c>
      <c r="E85" s="3726"/>
      <c r="M85" s="3686"/>
      <c r="N85" s="3641">
        <f t="shared" ref="N85:AB85" si="94">+N27</f>
        <v>1410</v>
      </c>
      <c r="O85" s="3641">
        <f t="shared" si="94"/>
        <v>1425</v>
      </c>
      <c r="P85" s="3641">
        <f t="shared" si="94"/>
        <v>1418</v>
      </c>
      <c r="Q85" s="3641">
        <f t="shared" si="94"/>
        <v>1436.25</v>
      </c>
      <c r="R85" s="3698">
        <f t="shared" si="94"/>
        <v>1433.25</v>
      </c>
      <c r="S85" s="3362">
        <f t="shared" si="94"/>
        <v>1413.5</v>
      </c>
      <c r="T85" s="3362">
        <f t="shared" si="94"/>
        <v>1420.75</v>
      </c>
      <c r="U85" s="3699">
        <f t="shared" si="94"/>
        <v>1408.5</v>
      </c>
      <c r="V85" s="3698">
        <f t="shared" si="94"/>
        <v>1341</v>
      </c>
      <c r="W85" s="3362">
        <f t="shared" si="94"/>
        <v>1341</v>
      </c>
      <c r="X85" s="3362">
        <f t="shared" si="94"/>
        <v>1317</v>
      </c>
      <c r="Y85" s="3699">
        <f t="shared" si="94"/>
        <v>1308</v>
      </c>
      <c r="Z85" s="3698">
        <f t="shared" si="94"/>
        <v>1323</v>
      </c>
      <c r="AA85" s="3362">
        <f t="shared" si="94"/>
        <v>1317</v>
      </c>
      <c r="AB85" s="3362">
        <f t="shared" si="94"/>
        <v>1308.680691019905</v>
      </c>
      <c r="AC85" s="3699">
        <f>+AC78-AC84</f>
        <v>901.33333333333371</v>
      </c>
      <c r="AD85" s="3726"/>
      <c r="AE85" s="3696"/>
      <c r="AF85" s="3696"/>
      <c r="AG85" s="3697"/>
    </row>
    <row r="86" spans="2:33" s="285" customFormat="1">
      <c r="B86" s="2581" t="s">
        <v>1995</v>
      </c>
      <c r="E86" s="2581"/>
      <c r="M86" s="2568"/>
      <c r="N86" s="1856">
        <f t="shared" ref="N86:AB86" si="95">+N28</f>
        <v>574</v>
      </c>
      <c r="O86" s="1856">
        <f t="shared" si="95"/>
        <v>581</v>
      </c>
      <c r="P86" s="1856">
        <f t="shared" si="95"/>
        <v>588</v>
      </c>
      <c r="Q86" s="1856">
        <f t="shared" si="95"/>
        <v>522.75</v>
      </c>
      <c r="R86" s="3732">
        <f t="shared" si="95"/>
        <v>588.75</v>
      </c>
      <c r="S86" s="3734">
        <f t="shared" si="95"/>
        <v>620.5</v>
      </c>
      <c r="T86" s="3734">
        <f t="shared" si="95"/>
        <v>607.25</v>
      </c>
      <c r="U86" s="3735">
        <f t="shared" si="95"/>
        <v>595.5</v>
      </c>
      <c r="V86" s="3732">
        <f t="shared" si="95"/>
        <v>663</v>
      </c>
      <c r="W86" s="3734">
        <f t="shared" si="95"/>
        <v>684</v>
      </c>
      <c r="X86" s="3734">
        <f t="shared" si="95"/>
        <v>673</v>
      </c>
      <c r="Y86" s="3735">
        <f t="shared" si="95"/>
        <v>689</v>
      </c>
      <c r="Z86" s="3732">
        <f t="shared" si="95"/>
        <v>677</v>
      </c>
      <c r="AA86" s="3734">
        <f t="shared" si="95"/>
        <v>705</v>
      </c>
      <c r="AB86" s="3734">
        <f t="shared" si="95"/>
        <v>707.819308980095</v>
      </c>
      <c r="AC86" s="3735">
        <f>+AC84-AC82</f>
        <v>484.00000000000023</v>
      </c>
      <c r="AD86" s="2581"/>
      <c r="AE86" s="115"/>
      <c r="AF86" s="115"/>
      <c r="AG86" s="3624"/>
    </row>
    <row r="87" spans="2:33" s="3327" customFormat="1">
      <c r="B87" s="3726" t="s">
        <v>1996</v>
      </c>
      <c r="E87" s="3726"/>
      <c r="M87" s="3686"/>
      <c r="N87" s="3641">
        <f t="shared" ref="N87:AB87" si="96">+N29</f>
        <v>1429</v>
      </c>
      <c r="O87" s="3641">
        <f t="shared" si="96"/>
        <v>1449</v>
      </c>
      <c r="P87" s="3641">
        <f t="shared" si="96"/>
        <v>1450</v>
      </c>
      <c r="Q87" s="3641">
        <f t="shared" si="96"/>
        <v>1529.25</v>
      </c>
      <c r="R87" s="3698">
        <f t="shared" si="96"/>
        <v>1464.25</v>
      </c>
      <c r="S87" s="3362">
        <f t="shared" si="96"/>
        <v>1440.5</v>
      </c>
      <c r="T87" s="3362">
        <f t="shared" si="96"/>
        <v>1454.75</v>
      </c>
      <c r="U87" s="3699">
        <f t="shared" si="96"/>
        <v>1457.5</v>
      </c>
      <c r="V87" s="3698">
        <f t="shared" si="96"/>
        <v>1388</v>
      </c>
      <c r="W87" s="3362">
        <f t="shared" si="96"/>
        <v>1372</v>
      </c>
      <c r="X87" s="3362">
        <f t="shared" si="96"/>
        <v>1360</v>
      </c>
      <c r="Y87" s="3699">
        <f t="shared" si="96"/>
        <v>1343</v>
      </c>
      <c r="Z87" s="3698">
        <f t="shared" si="96"/>
        <v>1371</v>
      </c>
      <c r="AA87" s="3362">
        <f t="shared" si="96"/>
        <v>1356</v>
      </c>
      <c r="AB87" s="3362">
        <f t="shared" si="96"/>
        <v>1351.180691019905</v>
      </c>
      <c r="AC87" s="3699">
        <f>+AC78-AC86</f>
        <v>922.66666666666697</v>
      </c>
      <c r="AD87" s="3726"/>
      <c r="AE87" s="3696"/>
      <c r="AF87" s="3696"/>
      <c r="AG87" s="3697"/>
    </row>
    <row r="88" spans="2:33" s="3327" customFormat="1">
      <c r="B88" s="3726" t="str">
        <f>+B13</f>
        <v>CTL Adj. EBITDA</v>
      </c>
      <c r="E88" s="3726"/>
      <c r="M88" s="3686"/>
      <c r="N88" s="3641">
        <f t="shared" ref="N88:AC88" si="97">+N13</f>
        <v>1788</v>
      </c>
      <c r="O88" s="3641">
        <f t="shared" si="97"/>
        <v>1812</v>
      </c>
      <c r="P88" s="3641">
        <f t="shared" si="97"/>
        <v>1745</v>
      </c>
      <c r="Q88" s="3641">
        <f t="shared" si="97"/>
        <v>1707</v>
      </c>
      <c r="R88" s="3698">
        <f t="shared" si="97"/>
        <v>1724</v>
      </c>
      <c r="S88" s="3362">
        <f t="shared" si="97"/>
        <v>1622</v>
      </c>
      <c r="T88" s="3362">
        <f t="shared" si="97"/>
        <v>1776</v>
      </c>
      <c r="U88" s="3699">
        <f t="shared" si="97"/>
        <v>1812</v>
      </c>
      <c r="V88" s="3698">
        <f t="shared" si="97"/>
        <v>1684</v>
      </c>
      <c r="W88" s="3362">
        <f t="shared" si="97"/>
        <v>1648</v>
      </c>
      <c r="X88" s="3362">
        <f t="shared" si="97"/>
        <v>1596</v>
      </c>
      <c r="Y88" s="3699">
        <f t="shared" si="97"/>
        <v>1585</v>
      </c>
      <c r="Z88" s="3698">
        <f t="shared" si="97"/>
        <v>1532</v>
      </c>
      <c r="AA88" s="3362">
        <f t="shared" si="97"/>
        <v>1442</v>
      </c>
      <c r="AB88" s="3362">
        <f t="shared" si="97"/>
        <v>1397</v>
      </c>
      <c r="AC88" s="3699">
        <f t="shared" si="97"/>
        <v>1454.788</v>
      </c>
      <c r="AD88" s="3726"/>
      <c r="AE88" s="3696"/>
      <c r="AF88" s="3696"/>
      <c r="AG88" s="3697"/>
    </row>
    <row r="89" spans="2:33" s="3327" customFormat="1">
      <c r="B89" s="3726" t="s">
        <v>1763</v>
      </c>
      <c r="E89" s="3726"/>
      <c r="M89" s="3686"/>
      <c r="N89" s="3641"/>
      <c r="O89" s="3641"/>
      <c r="P89" s="3641"/>
      <c r="Q89" s="3641"/>
      <c r="R89" s="3698"/>
      <c r="S89" s="3362"/>
      <c r="T89" s="3362"/>
      <c r="U89" s="3699"/>
      <c r="V89" s="3698"/>
      <c r="W89" s="3362"/>
      <c r="X89" s="3362"/>
      <c r="Y89" s="3699"/>
      <c r="Z89" s="3698"/>
      <c r="AA89" s="3362"/>
      <c r="AB89" s="3362"/>
      <c r="AC89" s="3699">
        <f>+AC71</f>
        <v>75</v>
      </c>
      <c r="AD89" s="3726"/>
      <c r="AE89" s="3696"/>
      <c r="AF89" s="3696"/>
      <c r="AG89" s="3697"/>
    </row>
    <row r="90" spans="2:33" s="3327" customFormat="1">
      <c r="B90" s="3726" t="s">
        <v>1780</v>
      </c>
      <c r="E90" s="3726"/>
      <c r="M90" s="3686"/>
      <c r="N90" s="3641">
        <f t="shared" ref="N90:Y90" si="98">+N33</f>
        <v>0</v>
      </c>
      <c r="O90" s="3641">
        <f t="shared" si="98"/>
        <v>0</v>
      </c>
      <c r="P90" s="3641">
        <f t="shared" si="98"/>
        <v>0</v>
      </c>
      <c r="Q90" s="3641">
        <f t="shared" si="98"/>
        <v>0</v>
      </c>
      <c r="R90" s="3698">
        <f t="shared" si="98"/>
        <v>0</v>
      </c>
      <c r="S90" s="3362">
        <f t="shared" si="98"/>
        <v>0</v>
      </c>
      <c r="T90" s="3362">
        <f t="shared" si="98"/>
        <v>0</v>
      </c>
      <c r="U90" s="3699">
        <f t="shared" si="98"/>
        <v>0</v>
      </c>
      <c r="V90" s="3698">
        <f t="shared" si="98"/>
        <v>0</v>
      </c>
      <c r="W90" s="3362">
        <f t="shared" si="98"/>
        <v>0</v>
      </c>
      <c r="X90" s="3362">
        <f t="shared" si="98"/>
        <v>0</v>
      </c>
      <c r="Y90" s="3699">
        <f t="shared" si="98"/>
        <v>0</v>
      </c>
      <c r="Z90" s="3698"/>
      <c r="AA90" s="3362"/>
      <c r="AB90" s="3362"/>
      <c r="AC90" s="3699">
        <f>+AC33*2/3</f>
        <v>-19.333333333333332</v>
      </c>
      <c r="AD90" s="3726"/>
      <c r="AE90" s="3696"/>
      <c r="AF90" s="3696"/>
      <c r="AG90" s="3697"/>
    </row>
    <row r="91" spans="2:33" s="3327" customFormat="1">
      <c r="B91" s="3726" t="s">
        <v>2028</v>
      </c>
      <c r="E91" s="3726"/>
      <c r="M91" s="3686"/>
      <c r="N91" s="3641"/>
      <c r="O91" s="3641"/>
      <c r="P91" s="3641"/>
      <c r="Q91" s="3641"/>
      <c r="R91" s="3698"/>
      <c r="S91" s="3362"/>
      <c r="T91" s="3362"/>
      <c r="U91" s="3699"/>
      <c r="V91" s="3698"/>
      <c r="W91" s="3362"/>
      <c r="X91" s="3362"/>
      <c r="Y91" s="3699"/>
      <c r="Z91" s="3698"/>
      <c r="AA91" s="3362"/>
      <c r="AB91" s="3362"/>
      <c r="AC91" s="3699">
        <f>+AC86+AC88+AC89+AC90</f>
        <v>1994.454666666667</v>
      </c>
      <c r="AD91" s="3726"/>
      <c r="AE91" s="3696"/>
      <c r="AF91" s="3696"/>
      <c r="AG91" s="3697"/>
    </row>
    <row r="92" spans="2:33" s="3327" customFormat="1">
      <c r="B92" s="3756" t="s">
        <v>2018</v>
      </c>
      <c r="C92" s="3639"/>
      <c r="D92" s="3639"/>
      <c r="E92" s="3700" t="str">
        <f>+E54</f>
        <v>2016</v>
      </c>
      <c r="F92" s="3639" t="str">
        <f t="shared" ref="F92:AG92" si="99">+F54</f>
        <v>2017</v>
      </c>
      <c r="G92" s="3639" t="str">
        <f t="shared" si="99"/>
        <v>2018E</v>
      </c>
      <c r="H92" s="3639" t="str">
        <f t="shared" si="99"/>
        <v>2019E</v>
      </c>
      <c r="I92" s="3639" t="str">
        <f t="shared" si="99"/>
        <v>2020E</v>
      </c>
      <c r="J92" s="3639" t="str">
        <f t="shared" si="99"/>
        <v>2021E</v>
      </c>
      <c r="K92" s="3639" t="str">
        <f t="shared" si="99"/>
        <v>2022E</v>
      </c>
      <c r="L92" s="3639" t="str">
        <f t="shared" si="99"/>
        <v>2023E</v>
      </c>
      <c r="M92" s="3692"/>
      <c r="N92" s="3639" t="str">
        <f t="shared" si="99"/>
        <v>1Q14</v>
      </c>
      <c r="O92" s="3639" t="str">
        <f t="shared" si="99"/>
        <v>2Q14</v>
      </c>
      <c r="P92" s="3639" t="str">
        <f t="shared" si="99"/>
        <v>3Q14</v>
      </c>
      <c r="Q92" s="3639" t="str">
        <f t="shared" si="99"/>
        <v>4Q14</v>
      </c>
      <c r="R92" s="3700" t="str">
        <f t="shared" si="99"/>
        <v>1Q15</v>
      </c>
      <c r="S92" s="3701" t="str">
        <f t="shared" si="99"/>
        <v>2Q15</v>
      </c>
      <c r="T92" s="3701" t="str">
        <f t="shared" si="99"/>
        <v>3Q15</v>
      </c>
      <c r="U92" s="3702" t="str">
        <f t="shared" si="99"/>
        <v>4Q15</v>
      </c>
      <c r="V92" s="3700" t="str">
        <f t="shared" si="99"/>
        <v>1Q16</v>
      </c>
      <c r="W92" s="3701" t="str">
        <f t="shared" si="99"/>
        <v>2Q16</v>
      </c>
      <c r="X92" s="3701" t="str">
        <f t="shared" si="99"/>
        <v>3Q16</v>
      </c>
      <c r="Y92" s="3702" t="str">
        <f t="shared" si="99"/>
        <v>4Q16</v>
      </c>
      <c r="Z92" s="3700" t="str">
        <f t="shared" si="99"/>
        <v>1Q17</v>
      </c>
      <c r="AA92" s="3701" t="str">
        <f t="shared" si="99"/>
        <v>2Q17</v>
      </c>
      <c r="AB92" s="3701" t="str">
        <f t="shared" si="99"/>
        <v>3Q17</v>
      </c>
      <c r="AC92" s="3702" t="str">
        <f t="shared" si="99"/>
        <v>4Q17</v>
      </c>
      <c r="AD92" s="3700" t="str">
        <f t="shared" si="99"/>
        <v>1Q18E</v>
      </c>
      <c r="AE92" s="3701" t="str">
        <f t="shared" si="99"/>
        <v>2Q18E</v>
      </c>
      <c r="AF92" s="3701" t="str">
        <f t="shared" si="99"/>
        <v>3Q18E</v>
      </c>
      <c r="AG92" s="3702" t="str">
        <f t="shared" si="99"/>
        <v>4Q18E</v>
      </c>
    </row>
    <row r="93" spans="2:33" s="3327" customFormat="1">
      <c r="B93" s="3726" t="str">
        <f>+B8</f>
        <v>CTL Revenue</v>
      </c>
      <c r="C93" s="3674"/>
      <c r="D93" s="3674">
        <f t="shared" ref="D93" si="100">+D8/C8-1</f>
        <v>-7.0449880734453352E-3</v>
      </c>
      <c r="E93" s="3721">
        <f t="shared" ref="E93" si="101">+E8/D8-1</f>
        <v>-2.4022346368715031E-2</v>
      </c>
      <c r="F93" s="3674">
        <f>+F8/E8-1</f>
        <v>-6.7143674871207759E-2</v>
      </c>
      <c r="G93" s="3674">
        <f t="shared" ref="G93:I93" si="102">+G8/F8-1</f>
        <v>-3.2379394980671439E-2</v>
      </c>
      <c r="H93" s="3674">
        <f t="shared" si="102"/>
        <v>-2.267028909023705E-2</v>
      </c>
      <c r="I93" s="3674">
        <f t="shared" si="102"/>
        <v>-2.2467031275873905E-2</v>
      </c>
      <c r="J93" s="3674">
        <f t="shared" ref="J93:K93" si="103">+J8/I8-1</f>
        <v>-1.9040610970640692E-2</v>
      </c>
      <c r="K93" s="3674">
        <f t="shared" si="103"/>
        <v>-1.5760815308170306E-2</v>
      </c>
      <c r="L93" s="3674"/>
      <c r="M93" s="3686"/>
      <c r="N93" s="3674"/>
      <c r="O93" s="3674"/>
      <c r="P93" s="3674"/>
      <c r="Q93" s="3674"/>
      <c r="R93" s="3721"/>
      <c r="S93" s="3722"/>
      <c r="T93" s="3722"/>
      <c r="U93" s="3723"/>
      <c r="V93" s="3721"/>
      <c r="W93" s="3722"/>
      <c r="X93" s="3722"/>
      <c r="Y93" s="3723"/>
      <c r="Z93" s="3721"/>
      <c r="AA93" s="3722"/>
      <c r="AB93" s="3722"/>
      <c r="AC93" s="3725"/>
      <c r="AD93" s="3733"/>
      <c r="AE93" s="3724"/>
      <c r="AF93" s="3724"/>
      <c r="AG93" s="3725"/>
    </row>
    <row r="94" spans="2:33" s="3327" customFormat="1">
      <c r="B94" s="3726" t="str">
        <f>+B19</f>
        <v>Level 3 Revenue</v>
      </c>
      <c r="C94" s="3674"/>
      <c r="D94" s="3674">
        <f t="shared" ref="D94" si="104">+D19/C19-1</f>
        <v>1.3049365997784168E-2</v>
      </c>
      <c r="E94" s="3721">
        <f t="shared" ref="E94" si="105">+E19/D19-1</f>
        <v>-6.926722566533039E-3</v>
      </c>
      <c r="F94" s="3674">
        <f>+F19/E19-1</f>
        <v>1.2971120900636235E-2</v>
      </c>
      <c r="G94" s="3674">
        <f t="shared" ref="G94:I94" ca="1" si="106">+G19/F19-1</f>
        <v>1.1021564114049642E-2</v>
      </c>
      <c r="H94" s="3674">
        <f t="shared" ca="1" si="106"/>
        <v>1.377920119726328E-2</v>
      </c>
      <c r="I94" s="3674">
        <f t="shared" ca="1" si="106"/>
        <v>1.4365223550809381E-2</v>
      </c>
      <c r="J94" s="3674">
        <f t="shared" ref="J94:K94" ca="1" si="107">+J19/I19-1</f>
        <v>1.4968261794284565E-2</v>
      </c>
      <c r="K94" s="3674">
        <f t="shared" ca="1" si="107"/>
        <v>1.5285952876938236E-2</v>
      </c>
      <c r="L94" s="3674"/>
      <c r="M94" s="3686"/>
      <c r="N94" s="3674"/>
      <c r="O94" s="3674"/>
      <c r="P94" s="3674"/>
      <c r="Q94" s="3674"/>
      <c r="R94" s="3721"/>
      <c r="S94" s="3722"/>
      <c r="T94" s="3722"/>
      <c r="U94" s="3723"/>
      <c r="V94" s="3721"/>
      <c r="W94" s="3722"/>
      <c r="X94" s="3722"/>
      <c r="Y94" s="3723"/>
      <c r="Z94" s="3721"/>
      <c r="AA94" s="3722"/>
      <c r="AB94" s="3722"/>
      <c r="AC94" s="3725"/>
      <c r="AD94" s="3733"/>
      <c r="AE94" s="3724"/>
      <c r="AF94" s="3724"/>
      <c r="AG94" s="3725"/>
    </row>
    <row r="95" spans="2:33" s="3327" customFormat="1">
      <c r="B95" s="3726" t="s">
        <v>876</v>
      </c>
      <c r="C95" s="3674"/>
      <c r="D95" s="3674">
        <f t="shared" ref="D95" si="108">+SUM(D8+D19)/SUM(C19+C8)-1</f>
        <v>-8.0305927342261274E-4</v>
      </c>
      <c r="E95" s="3721">
        <f t="shared" ref="E95" si="109">+SUM(E8+E19)/SUM(D19+D8)-1</f>
        <v>-1.8638294615178519E-2</v>
      </c>
      <c r="F95" s="3674">
        <f>+SUM(F8+F19)/SUM(E19+E8)-1</f>
        <v>-4.1611418766086872E-2</v>
      </c>
      <c r="G95" s="3674">
        <f t="shared" ref="G95:I95" ca="1" si="110">+SUM(G8+G19)/SUM(F19+F8)-1</f>
        <v>-1.7759938647564533E-2</v>
      </c>
      <c r="H95" s="3674">
        <f t="shared" ca="1" si="110"/>
        <v>-1.0032644698855786E-2</v>
      </c>
      <c r="I95" s="3674">
        <f t="shared" ca="1" si="110"/>
        <v>-9.3895086215736168E-3</v>
      </c>
      <c r="J95" s="3674">
        <f t="shared" ref="J95:K95" ca="1" si="111">+SUM(J8+J19)/SUM(I19+I8)-1</f>
        <v>-6.6759890866374683E-3</v>
      </c>
      <c r="K95" s="3674">
        <f t="shared" ca="1" si="111"/>
        <v>-4.2271716306779838E-3</v>
      </c>
      <c r="L95" s="3674"/>
      <c r="M95" s="3686"/>
      <c r="N95" s="3674"/>
      <c r="O95" s="3674"/>
      <c r="P95" s="3674"/>
      <c r="Q95" s="3674"/>
      <c r="R95" s="3721"/>
      <c r="S95" s="3722"/>
      <c r="T95" s="3722"/>
      <c r="U95" s="3723"/>
      <c r="V95" s="3721"/>
      <c r="W95" s="3722"/>
      <c r="X95" s="3722"/>
      <c r="Y95" s="3723"/>
      <c r="Z95" s="3721"/>
      <c r="AA95" s="3722"/>
      <c r="AB95" s="3722"/>
      <c r="AC95" s="3725"/>
      <c r="AD95" s="3733"/>
      <c r="AE95" s="3724"/>
      <c r="AF95" s="3724"/>
      <c r="AG95" s="3725"/>
    </row>
    <row r="96" spans="2:33" s="3327" customFormat="1">
      <c r="B96" s="3726" t="s">
        <v>1624</v>
      </c>
      <c r="C96" s="3674"/>
      <c r="D96" s="3674">
        <f t="shared" ref="D96" si="112">+D13/C13-1</f>
        <v>-1.6732841747022165E-2</v>
      </c>
      <c r="E96" s="3721">
        <f t="shared" ref="E96" si="113">+E13/D13-1</f>
        <v>-6.0715315835015882E-2</v>
      </c>
      <c r="F96" s="3674">
        <f>+F13/E13-1</f>
        <v>-0.10551389528635036</v>
      </c>
      <c r="G96" s="3674">
        <f t="shared" ref="G96:I96" si="114">+G13/F13-1</f>
        <v>-3.1854097801081616E-2</v>
      </c>
      <c r="H96" s="3674">
        <f t="shared" si="114"/>
        <v>-2.5171428262276363E-2</v>
      </c>
      <c r="I96" s="3674">
        <f t="shared" si="114"/>
        <v>-2.383706593785373E-2</v>
      </c>
      <c r="J96" s="3674">
        <f t="shared" ref="J96:K96" si="115">+J13/I13-1</f>
        <v>-1.7663844533328699E-2</v>
      </c>
      <c r="K96" s="3674">
        <f t="shared" si="115"/>
        <v>-1.4381381732168297E-2</v>
      </c>
      <c r="L96" s="3674"/>
      <c r="M96" s="3686"/>
      <c r="N96" s="3674"/>
      <c r="O96" s="3674"/>
      <c r="P96" s="3674"/>
      <c r="Q96" s="3674"/>
      <c r="R96" s="3721"/>
      <c r="S96" s="3722"/>
      <c r="T96" s="3722"/>
      <c r="U96" s="3723"/>
      <c r="V96" s="3721"/>
      <c r="W96" s="3722"/>
      <c r="X96" s="3722"/>
      <c r="Y96" s="3723"/>
      <c r="Z96" s="3721"/>
      <c r="AA96" s="3722"/>
      <c r="AB96" s="3722"/>
      <c r="AC96" s="3725"/>
      <c r="AD96" s="3733"/>
      <c r="AE96" s="3724"/>
      <c r="AF96" s="3724"/>
      <c r="AG96" s="3725"/>
    </row>
    <row r="97" spans="1:33" s="3327" customFormat="1">
      <c r="B97" s="3726" t="s">
        <v>1622</v>
      </c>
      <c r="C97" s="3674"/>
      <c r="D97" s="3674">
        <f t="shared" ref="D97" si="116">+D25/C25-1</f>
        <v>4.8998459167950648E-2</v>
      </c>
      <c r="E97" s="3721">
        <f>+E25/D25-1</f>
        <v>0.12220916568742646</v>
      </c>
      <c r="F97" s="3674">
        <f>+F25/E25-1</f>
        <v>3.9203947287991259E-2</v>
      </c>
      <c r="G97" s="3674">
        <f t="shared" ref="G97:I97" ca="1" si="117">+G25/F25-1</f>
        <v>4.8673886278653544E-2</v>
      </c>
      <c r="H97" s="3674">
        <f t="shared" ca="1" si="117"/>
        <v>1.6496662387132099E-2</v>
      </c>
      <c r="I97" s="3674">
        <f t="shared" ca="1" si="117"/>
        <v>1.7076986638036917E-2</v>
      </c>
      <c r="J97" s="3674">
        <f t="shared" ref="J97:K97" ca="1" si="118">+J25/I25-1</f>
        <v>1.7674402532105615E-2</v>
      </c>
      <c r="K97" s="3674">
        <f t="shared" ca="1" si="118"/>
        <v>1.7985742387985892E-2</v>
      </c>
      <c r="L97" s="3674"/>
      <c r="M97" s="3686"/>
      <c r="N97" s="3674"/>
      <c r="O97" s="3674"/>
      <c r="P97" s="3674"/>
      <c r="Q97" s="3674"/>
      <c r="R97" s="3721"/>
      <c r="S97" s="3722"/>
      <c r="T97" s="3722"/>
      <c r="U97" s="3723"/>
      <c r="V97" s="3721"/>
      <c r="W97" s="3722"/>
      <c r="X97" s="3722"/>
      <c r="Y97" s="3723"/>
      <c r="Z97" s="3721"/>
      <c r="AA97" s="3722"/>
      <c r="AB97" s="3722"/>
      <c r="AC97" s="3725"/>
      <c r="AD97" s="3733"/>
      <c r="AE97" s="3724"/>
      <c r="AF97" s="3724"/>
      <c r="AG97" s="3725"/>
    </row>
    <row r="98" spans="1:33" s="3327" customFormat="1">
      <c r="B98" s="3726" t="s">
        <v>2031</v>
      </c>
      <c r="C98" s="3674"/>
      <c r="D98" s="3674">
        <f t="shared" ref="D98" si="119">+D34/C34-1</f>
        <v>3.031847817337896E-3</v>
      </c>
      <c r="E98" s="3721">
        <f t="shared" ref="E98" si="120">+E34/D34-1</f>
        <v>-1.326770811042155E-2</v>
      </c>
      <c r="F98" s="3674">
        <f>+F34/E34-1</f>
        <v>-6.608031782909396E-2</v>
      </c>
      <c r="G98" s="3674">
        <f t="shared" ref="G98:I98" ca="1" si="121">+G34/F34-1</f>
        <v>-2.8727856648225192E-3</v>
      </c>
      <c r="H98" s="3674">
        <f t="shared" ca="1" si="121"/>
        <v>-1.0628132816920433E-2</v>
      </c>
      <c r="I98" s="3674">
        <f t="shared" ca="1" si="121"/>
        <v>-9.1468584250556928E-3</v>
      </c>
      <c r="J98" s="3674">
        <f t="shared" ref="J98:K98" ca="1" si="122">+J34/I34-1</f>
        <v>-4.5914491169138927E-3</v>
      </c>
      <c r="K98" s="3674">
        <f t="shared" ca="1" si="122"/>
        <v>-2.1092119336447723E-3</v>
      </c>
      <c r="L98" s="3724"/>
      <c r="M98" s="3686"/>
      <c r="N98" s="3674"/>
      <c r="O98" s="3674"/>
      <c r="P98" s="3674"/>
      <c r="Q98" s="3674"/>
      <c r="R98" s="3721"/>
      <c r="S98" s="3722"/>
      <c r="T98" s="3722"/>
      <c r="U98" s="3723"/>
      <c r="V98" s="3721"/>
      <c r="W98" s="3722"/>
      <c r="X98" s="3722"/>
      <c r="Y98" s="3723"/>
      <c r="Z98" s="3721"/>
      <c r="AA98" s="3722"/>
      <c r="AB98" s="3722"/>
      <c r="AC98" s="3725"/>
      <c r="AD98" s="3733"/>
      <c r="AE98" s="3724"/>
      <c r="AF98" s="3724"/>
      <c r="AG98" s="3725"/>
    </row>
    <row r="99" spans="1:33" s="3327" customFormat="1">
      <c r="B99" s="3726" t="s">
        <v>2032</v>
      </c>
      <c r="C99" s="3674"/>
      <c r="D99" s="3674"/>
      <c r="E99" s="3721">
        <f t="shared" ref="E99" si="123">+E74/D74-1</f>
        <v>-1.326770811042155E-2</v>
      </c>
      <c r="F99" s="3674">
        <f>+F74/E74-1</f>
        <v>-5.7947591739308635E-2</v>
      </c>
      <c r="G99" s="3674">
        <f t="shared" ref="G99:I99" ca="1" si="124">+G74/F74-1</f>
        <v>0.1254957534808292</v>
      </c>
      <c r="H99" s="3674">
        <f t="shared" ca="1" si="124"/>
        <v>-6.5839829290570417E-2</v>
      </c>
      <c r="I99" s="3674">
        <f t="shared" ca="1" si="124"/>
        <v>1.4756023038371646E-2</v>
      </c>
      <c r="J99" s="3674">
        <f t="shared" ref="J99:K99" ca="1" si="125">+J74/I74-1</f>
        <v>5.0000850651354956E-3</v>
      </c>
      <c r="K99" s="3674">
        <f t="shared" ca="1" si="125"/>
        <v>7.2273481563858155E-3</v>
      </c>
      <c r="L99" s="3724"/>
      <c r="M99" s="3686"/>
      <c r="N99" s="3674"/>
      <c r="O99" s="3674"/>
      <c r="P99" s="3674"/>
      <c r="Q99" s="3674"/>
      <c r="R99" s="3721"/>
      <c r="S99" s="3722"/>
      <c r="T99" s="3722"/>
      <c r="U99" s="3723"/>
      <c r="V99" s="3721"/>
      <c r="W99" s="3722"/>
      <c r="X99" s="3722"/>
      <c r="Y99" s="3723"/>
      <c r="Z99" s="3721"/>
      <c r="AA99" s="3722"/>
      <c r="AB99" s="3722"/>
      <c r="AC99" s="3725"/>
      <c r="AD99" s="3733"/>
      <c r="AE99" s="3724"/>
      <c r="AF99" s="3724"/>
      <c r="AG99" s="3725"/>
    </row>
    <row r="100" spans="1:33" s="3460" customFormat="1">
      <c r="A100" s="3783"/>
      <c r="B100" s="3785"/>
      <c r="C100" s="3784"/>
      <c r="D100" s="3784"/>
      <c r="E100" s="3785"/>
      <c r="F100" s="3784"/>
      <c r="G100" s="3784"/>
      <c r="H100" s="3784"/>
      <c r="I100" s="3784"/>
      <c r="J100" s="3784"/>
      <c r="K100" s="3784"/>
      <c r="L100" s="3784"/>
      <c r="M100" s="3786"/>
      <c r="N100" s="3787"/>
      <c r="O100" s="3787"/>
      <c r="P100" s="3787"/>
      <c r="Q100" s="3787"/>
      <c r="R100" s="3788"/>
      <c r="S100" s="3787"/>
      <c r="T100" s="3787"/>
      <c r="U100" s="3789"/>
      <c r="V100" s="3788"/>
      <c r="W100" s="3787"/>
      <c r="X100" s="3787"/>
      <c r="Y100" s="3789"/>
      <c r="Z100" s="3788"/>
      <c r="AA100" s="3787"/>
      <c r="AB100" s="3787"/>
      <c r="AC100" s="3789"/>
      <c r="AD100" s="3788"/>
      <c r="AE100" s="3787"/>
      <c r="AF100" s="3787"/>
      <c r="AG100" s="3789"/>
    </row>
  </sheetData>
  <pageMargins left="0.7" right="0.7" top="0.75" bottom="0.75" header="0.3" footer="0.3"/>
  <pageSetup orientation="landscape"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XFD150"/>
  <sheetViews>
    <sheetView showGridLines="0" zoomScale="70" zoomScaleNormal="70" workbookViewId="0">
      <pane xSplit="3" ySplit="3" topLeftCell="S4" activePane="bottomRight" state="frozen"/>
      <selection activeCell="U63" sqref="U63"/>
      <selection pane="topRight" activeCell="U63" sqref="U63"/>
      <selection pane="bottomLeft" activeCell="U63" sqref="U63"/>
      <selection pane="bottomRight" activeCell="CV28" sqref="CV28"/>
    </sheetView>
  </sheetViews>
  <sheetFormatPr defaultRowHeight="12.75" outlineLevelRow="1" outlineLevelCol="1"/>
  <cols>
    <col min="1" max="1" width="2.42578125" style="3400" customWidth="1"/>
    <col min="2" max="2" width="36.85546875" style="3615" customWidth="1"/>
    <col min="3" max="3" width="7.42578125" style="3615" customWidth="1"/>
    <col min="4" max="4" width="8.5703125" style="3615" hidden="1" customWidth="1" outlineLevel="1"/>
    <col min="5" max="5" width="9.140625" style="3615" hidden="1" customWidth="1" outlineLevel="1"/>
    <col min="6" max="10" width="9" style="3615" hidden="1" customWidth="1" outlineLevel="1"/>
    <col min="11" max="11" width="10" style="3615" hidden="1" customWidth="1" outlineLevel="1"/>
    <col min="12" max="14" width="8.28515625" style="3615" hidden="1" customWidth="1" outlineLevel="1"/>
    <col min="15" max="15" width="8.7109375" style="3615" hidden="1" customWidth="1" outlineLevel="1" collapsed="1"/>
    <col min="16" max="16" width="10" style="3615" hidden="1" customWidth="1" outlineLevel="1"/>
    <col min="17" max="17" width="9.5703125" style="3615" hidden="1" customWidth="1" outlineLevel="1" collapsed="1"/>
    <col min="18" max="18" width="9.5703125" style="3615" hidden="1" customWidth="1" outlineLevel="1"/>
    <col min="19" max="19" width="9.5703125" style="3615" customWidth="1" collapsed="1"/>
    <col min="20" max="23" width="9.5703125" style="3615" customWidth="1"/>
    <col min="24" max="31" width="9.5703125" style="3615" hidden="1" customWidth="1" outlineLevel="1"/>
    <col min="32" max="32" width="1" style="3615" customWidth="1" collapsed="1"/>
    <col min="33" max="33" width="9.140625" style="3615" hidden="1" customWidth="1" outlineLevel="1"/>
    <col min="34" max="37" width="9.28515625" style="3615" hidden="1" customWidth="1" outlineLevel="1"/>
    <col min="38" max="38" width="9.5703125" style="3615" hidden="1" customWidth="1" outlineLevel="1"/>
    <col min="39" max="40" width="9.7109375" style="3615" hidden="1" customWidth="1" outlineLevel="1"/>
    <col min="41" max="61" width="9" style="3615" hidden="1" customWidth="1" outlineLevel="1"/>
    <col min="62" max="62" width="8.42578125" style="3615" hidden="1" customWidth="1" outlineLevel="1"/>
    <col min="63" max="64" width="8.7109375" style="3615" hidden="1" customWidth="1" outlineLevel="1"/>
    <col min="65" max="65" width="8.5703125" style="3615" hidden="1" customWidth="1" outlineLevel="1"/>
    <col min="66" max="68" width="9.28515625" style="3615" hidden="1" customWidth="1" outlineLevel="1"/>
    <col min="69" max="71" width="9.7109375" style="3615" hidden="1" customWidth="1" outlineLevel="1"/>
    <col min="72" max="72" width="10.7109375" style="3615" hidden="1" customWidth="1" outlineLevel="1"/>
    <col min="73" max="73" width="9.140625" style="3615" hidden="1" customWidth="1" outlineLevel="1"/>
    <col min="74" max="77" width="10.28515625" style="3615" hidden="1" customWidth="1" outlineLevel="1"/>
    <col min="78" max="78" width="9.140625" style="3615" hidden="1" customWidth="1" outlineLevel="1"/>
    <col min="79" max="79" width="9.7109375" style="3615" hidden="1" customWidth="1" outlineLevel="1"/>
    <col min="80" max="81" width="9.140625" style="3615" hidden="1" customWidth="1" outlineLevel="1"/>
    <col min="82" max="82" width="10.140625" style="3615" hidden="1" customWidth="1" outlineLevel="1"/>
    <col min="83" max="84" width="9.140625" style="3615" hidden="1" customWidth="1" outlineLevel="1"/>
    <col min="85" max="85" width="9.140625" style="3615" hidden="1" customWidth="1" outlineLevel="1" collapsed="1"/>
    <col min="86" max="86" width="9.140625" style="3615" hidden="1" customWidth="1" outlineLevel="1"/>
    <col min="87" max="87" width="10" style="3615" hidden="1" customWidth="1" outlineLevel="1"/>
    <col min="88" max="88" width="9.140625" style="3615" hidden="1" customWidth="1" outlineLevel="1"/>
    <col min="89" max="89" width="9.140625" style="3615" hidden="1" customWidth="1" outlineLevel="1" collapsed="1"/>
    <col min="90" max="92" width="9.140625" style="3615" hidden="1" customWidth="1" outlineLevel="1"/>
    <col min="93" max="93" width="9.140625" style="3615" collapsed="1"/>
    <col min="94" max="94" width="10.28515625" style="3615" bestFit="1" customWidth="1"/>
    <col min="95" max="99" width="9.140625" style="3615"/>
    <col min="100" max="104" width="9.140625" style="3617"/>
    <col min="105" max="16384" width="9.140625" style="3533"/>
  </cols>
  <sheetData>
    <row r="1" spans="1:110">
      <c r="CS1" s="287"/>
      <c r="CT1" s="287"/>
      <c r="CU1" s="2932"/>
      <c r="CW1" s="2932"/>
      <c r="CX1" s="2932"/>
      <c r="CY1" s="2932"/>
      <c r="CZ1" s="2932"/>
      <c r="DA1" s="287"/>
      <c r="DB1" s="2932"/>
    </row>
    <row r="2" spans="1:110" s="3373" customFormat="1">
      <c r="B2" s="3374"/>
      <c r="C2" s="3375"/>
      <c r="D2" s="3376"/>
      <c r="E2" s="3376"/>
      <c r="F2" s="3376"/>
      <c r="G2" s="3376"/>
      <c r="H2" s="3376"/>
      <c r="I2" s="3376"/>
      <c r="J2" s="3377"/>
      <c r="K2" s="3378"/>
      <c r="L2" s="3378"/>
      <c r="M2" s="3378"/>
      <c r="N2" s="3378"/>
      <c r="O2" s="3379"/>
      <c r="P2" s="3378" t="s">
        <v>1868</v>
      </c>
      <c r="Q2" s="3378"/>
      <c r="R2" s="3380"/>
      <c r="S2" s="3378"/>
      <c r="T2" s="3378"/>
      <c r="U2" s="3378"/>
      <c r="V2" s="3378"/>
      <c r="W2" s="3381"/>
      <c r="X2" s="3378"/>
      <c r="Y2" s="3377"/>
      <c r="Z2" s="3377"/>
      <c r="AA2" s="3377"/>
      <c r="AB2" s="3377"/>
      <c r="AC2" s="3377"/>
      <c r="AD2" s="3382"/>
      <c r="AE2" s="3383"/>
      <c r="AF2" s="3384"/>
      <c r="AG2" s="3385" t="s">
        <v>1869</v>
      </c>
      <c r="AH2" s="3385"/>
      <c r="AI2" s="3385"/>
      <c r="AJ2" s="3386"/>
      <c r="AK2" s="3387" t="s">
        <v>1870</v>
      </c>
      <c r="AL2" s="3385"/>
      <c r="AM2" s="3385"/>
      <c r="AN2" s="3386"/>
      <c r="AO2" s="3387" t="s">
        <v>1871</v>
      </c>
      <c r="AP2" s="3385"/>
      <c r="AQ2" s="3385"/>
      <c r="AR2" s="3386"/>
      <c r="AS2" s="3387" t="s">
        <v>1872</v>
      </c>
      <c r="AT2" s="3385"/>
      <c r="AU2" s="3385"/>
      <c r="AV2" s="3386"/>
      <c r="AW2" s="3387" t="s">
        <v>1873</v>
      </c>
      <c r="AX2" s="3385"/>
      <c r="AY2" s="3385"/>
      <c r="AZ2" s="3386"/>
      <c r="BA2" s="3387" t="s">
        <v>1874</v>
      </c>
      <c r="BB2" s="3385"/>
      <c r="BC2" s="3385"/>
      <c r="BD2" s="3385"/>
      <c r="BE2" s="3387" t="s">
        <v>1875</v>
      </c>
      <c r="BF2" s="3385"/>
      <c r="BG2" s="3385"/>
      <c r="BH2" s="3386"/>
      <c r="BI2" s="3387" t="s">
        <v>1876</v>
      </c>
      <c r="BJ2" s="3385"/>
      <c r="BK2" s="3385"/>
      <c r="BL2" s="3385"/>
      <c r="BM2" s="3387" t="s">
        <v>1877</v>
      </c>
      <c r="BN2" s="3385"/>
      <c r="BO2" s="3385"/>
      <c r="BP2" s="3385"/>
      <c r="BQ2" s="3387" t="s">
        <v>1878</v>
      </c>
      <c r="BR2" s="3385"/>
      <c r="BS2" s="3385"/>
      <c r="BT2" s="3386"/>
      <c r="BU2" s="3388" t="s">
        <v>1879</v>
      </c>
      <c r="BV2" s="3385"/>
      <c r="BW2" s="3385"/>
      <c r="BX2" s="3386"/>
      <c r="BY2" s="3389" t="s">
        <v>1880</v>
      </c>
      <c r="BZ2" s="3386"/>
      <c r="CA2" s="3386"/>
      <c r="CB2" s="3390"/>
      <c r="CC2" s="3389">
        <v>2013</v>
      </c>
      <c r="CD2" s="3386"/>
      <c r="CE2" s="3386"/>
      <c r="CF2" s="3390"/>
      <c r="CG2" s="3391">
        <v>2014</v>
      </c>
      <c r="CH2" s="3386"/>
      <c r="CI2" s="3386"/>
      <c r="CJ2" s="3390"/>
      <c r="CK2" s="3389" t="s">
        <v>991</v>
      </c>
      <c r="CL2" s="3386"/>
      <c r="CM2" s="3386"/>
      <c r="CN2" s="3390"/>
      <c r="CO2" s="3389">
        <v>2016</v>
      </c>
      <c r="CP2" s="3386"/>
      <c r="CQ2" s="3386"/>
      <c r="CR2" s="3390"/>
      <c r="CS2" s="3389" t="s">
        <v>526</v>
      </c>
      <c r="CT2" s="3386"/>
      <c r="CU2" s="3386"/>
      <c r="CV2" s="3390"/>
      <c r="CW2" s="3389" t="s">
        <v>527</v>
      </c>
      <c r="CX2" s="3386"/>
      <c r="CY2" s="3386"/>
      <c r="CZ2" s="3390"/>
      <c r="DB2" s="3642"/>
    </row>
    <row r="3" spans="1:110" s="3373" customFormat="1">
      <c r="A3" s="3392"/>
      <c r="B3" s="3374" t="s">
        <v>1881</v>
      </c>
      <c r="C3" s="3375"/>
      <c r="D3" s="3393">
        <v>2000</v>
      </c>
      <c r="E3" s="3393">
        <v>2001</v>
      </c>
      <c r="F3" s="3393">
        <v>2002</v>
      </c>
      <c r="G3" s="3393">
        <v>2003</v>
      </c>
      <c r="H3" s="3393">
        <v>2004</v>
      </c>
      <c r="I3" s="3393">
        <v>2005</v>
      </c>
      <c r="J3" s="3393">
        <v>2006</v>
      </c>
      <c r="K3" s="3393">
        <v>2007</v>
      </c>
      <c r="L3" s="3393">
        <v>2008</v>
      </c>
      <c r="M3" s="3393">
        <v>2009</v>
      </c>
      <c r="N3" s="3393">
        <v>2010</v>
      </c>
      <c r="O3" s="3393">
        <v>2011</v>
      </c>
      <c r="P3" s="3393">
        <v>2012</v>
      </c>
      <c r="Q3" s="3393">
        <v>2013</v>
      </c>
      <c r="R3" s="3393">
        <v>2014</v>
      </c>
      <c r="S3" s="3393">
        <v>2015</v>
      </c>
      <c r="T3" s="3393">
        <v>2016</v>
      </c>
      <c r="U3" s="3393" t="s">
        <v>526</v>
      </c>
      <c r="V3" s="3393" t="s">
        <v>527</v>
      </c>
      <c r="W3" s="3394" t="s">
        <v>1233</v>
      </c>
      <c r="X3" s="3393" t="s">
        <v>1296</v>
      </c>
      <c r="Y3" s="3393" t="s">
        <v>1302</v>
      </c>
      <c r="Z3" s="3393" t="s">
        <v>1882</v>
      </c>
      <c r="AA3" s="3393" t="s">
        <v>1883</v>
      </c>
      <c r="AB3" s="3393" t="s">
        <v>1884</v>
      </c>
      <c r="AC3" s="3393" t="s">
        <v>1885</v>
      </c>
      <c r="AD3" s="3394" t="s">
        <v>1886</v>
      </c>
      <c r="AE3" s="3395"/>
      <c r="AF3" s="3396"/>
      <c r="AG3" s="3397" t="s">
        <v>1887</v>
      </c>
      <c r="AH3" s="3398" t="s">
        <v>1888</v>
      </c>
      <c r="AI3" s="3398" t="s">
        <v>1889</v>
      </c>
      <c r="AJ3" s="3399" t="s">
        <v>1890</v>
      </c>
      <c r="AK3" s="3397" t="s">
        <v>138</v>
      </c>
      <c r="AL3" s="3398" t="s">
        <v>139</v>
      </c>
      <c r="AM3" s="3398" t="s">
        <v>140</v>
      </c>
      <c r="AN3" s="3399" t="s">
        <v>145</v>
      </c>
      <c r="AO3" s="3397" t="s">
        <v>146</v>
      </c>
      <c r="AP3" s="3398" t="s">
        <v>147</v>
      </c>
      <c r="AQ3" s="3398" t="s">
        <v>148</v>
      </c>
      <c r="AR3" s="3399" t="s">
        <v>767</v>
      </c>
      <c r="AS3" s="3398" t="s">
        <v>768</v>
      </c>
      <c r="AT3" s="3398" t="s">
        <v>769</v>
      </c>
      <c r="AU3" s="3398" t="s">
        <v>770</v>
      </c>
      <c r="AV3" s="3399" t="s">
        <v>771</v>
      </c>
      <c r="AW3" s="3398" t="s">
        <v>800</v>
      </c>
      <c r="AX3" s="3398" t="s">
        <v>801</v>
      </c>
      <c r="AY3" s="3398" t="s">
        <v>802</v>
      </c>
      <c r="AZ3" s="3399" t="s">
        <v>803</v>
      </c>
      <c r="BA3" s="3398" t="s">
        <v>804</v>
      </c>
      <c r="BB3" s="3398" t="s">
        <v>805</v>
      </c>
      <c r="BC3" s="3398" t="s">
        <v>806</v>
      </c>
      <c r="BD3" s="3399" t="s">
        <v>807</v>
      </c>
      <c r="BE3" s="3398" t="s">
        <v>808</v>
      </c>
      <c r="BF3" s="3398" t="s">
        <v>809</v>
      </c>
      <c r="BG3" s="3398" t="s">
        <v>810</v>
      </c>
      <c r="BH3" s="3398" t="s">
        <v>811</v>
      </c>
      <c r="BI3" s="3397" t="s">
        <v>812</v>
      </c>
      <c r="BJ3" s="3398" t="s">
        <v>813</v>
      </c>
      <c r="BK3" s="3398" t="s">
        <v>814</v>
      </c>
      <c r="BL3" s="3399" t="s">
        <v>430</v>
      </c>
      <c r="BM3" s="3397" t="s">
        <v>431</v>
      </c>
      <c r="BN3" s="3398" t="s">
        <v>486</v>
      </c>
      <c r="BO3" s="3398" t="s">
        <v>493</v>
      </c>
      <c r="BP3" s="3398" t="s">
        <v>513</v>
      </c>
      <c r="BQ3" s="3397" t="s">
        <v>559</v>
      </c>
      <c r="BR3" s="3398" t="s">
        <v>730</v>
      </c>
      <c r="BS3" s="3398" t="s">
        <v>367</v>
      </c>
      <c r="BT3" s="3399" t="s">
        <v>582</v>
      </c>
      <c r="BU3" s="3397" t="s">
        <v>257</v>
      </c>
      <c r="BV3" s="3398" t="s">
        <v>950</v>
      </c>
      <c r="BW3" s="3398" t="s">
        <v>455</v>
      </c>
      <c r="BX3" s="3399" t="s">
        <v>70</v>
      </c>
      <c r="BY3" s="3397" t="s">
        <v>456</v>
      </c>
      <c r="BZ3" s="3398" t="s">
        <v>414</v>
      </c>
      <c r="CA3" s="3398" t="s">
        <v>733</v>
      </c>
      <c r="CB3" s="3399" t="s">
        <v>141</v>
      </c>
      <c r="CC3" s="3397" t="s">
        <v>276</v>
      </c>
      <c r="CD3" s="3398" t="s">
        <v>557</v>
      </c>
      <c r="CE3" s="3398" t="s">
        <v>964</v>
      </c>
      <c r="CF3" s="3399" t="s">
        <v>418</v>
      </c>
      <c r="CG3" s="3397" t="s">
        <v>539</v>
      </c>
      <c r="CH3" s="3398" t="s">
        <v>1215</v>
      </c>
      <c r="CI3" s="3398" t="s">
        <v>1222</v>
      </c>
      <c r="CJ3" s="3399" t="s">
        <v>1238</v>
      </c>
      <c r="CK3" s="3397" t="s">
        <v>1257</v>
      </c>
      <c r="CL3" s="3398" t="s">
        <v>1259</v>
      </c>
      <c r="CM3" s="3398" t="s">
        <v>1292</v>
      </c>
      <c r="CN3" s="3399" t="s">
        <v>1450</v>
      </c>
      <c r="CO3" s="3397" t="s">
        <v>1465</v>
      </c>
      <c r="CP3" s="3398" t="s">
        <v>1568</v>
      </c>
      <c r="CQ3" s="3398" t="s">
        <v>1580</v>
      </c>
      <c r="CR3" s="3399" t="s">
        <v>1652</v>
      </c>
      <c r="CS3" s="3397" t="s">
        <v>1687</v>
      </c>
      <c r="CT3" s="3398" t="s">
        <v>1693</v>
      </c>
      <c r="CU3" s="3398" t="s">
        <v>1978</v>
      </c>
      <c r="CV3" s="3399" t="s">
        <v>2034</v>
      </c>
      <c r="CW3" s="3397" t="s">
        <v>2006</v>
      </c>
      <c r="CX3" s="3398" t="s">
        <v>2007</v>
      </c>
      <c r="CY3" s="3398" t="s">
        <v>2008</v>
      </c>
      <c r="CZ3" s="3399" t="s">
        <v>2009</v>
      </c>
    </row>
    <row r="6" spans="1:110">
      <c r="B6" s="3401" t="s">
        <v>1891</v>
      </c>
      <c r="CG6" s="287"/>
      <c r="CH6" s="287"/>
      <c r="CI6" s="287"/>
      <c r="CJ6" s="287"/>
      <c r="CK6" s="287"/>
      <c r="CL6" s="287"/>
      <c r="CM6" s="3595"/>
      <c r="CN6" s="3595"/>
      <c r="CO6" s="3595"/>
      <c r="CP6" s="3595"/>
      <c r="CQ6" s="3595"/>
      <c r="CR6" s="3595"/>
      <c r="CS6" s="3595"/>
      <c r="CT6" s="3595"/>
      <c r="CU6" s="3595"/>
      <c r="CV6" s="3595"/>
      <c r="CW6" s="3595"/>
      <c r="CX6" s="3595"/>
      <c r="CY6" s="3595"/>
      <c r="CZ6" s="3595"/>
    </row>
    <row r="7" spans="1:110">
      <c r="B7" s="3403" t="s">
        <v>1892</v>
      </c>
      <c r="O7" s="3596">
        <f>+O8+O9</f>
        <v>5167.8909999999996</v>
      </c>
      <c r="P7" s="3596">
        <f t="shared" ref="P7:Y7" si="0">+P8+P9</f>
        <v>5283.2550000000001</v>
      </c>
      <c r="Q7" s="3596">
        <f t="shared" si="0"/>
        <v>5477.6319999999996</v>
      </c>
      <c r="R7" s="3596">
        <f t="shared" si="0"/>
        <v>5867</v>
      </c>
      <c r="S7" s="3596">
        <f>+S8+S9</f>
        <v>6208</v>
      </c>
      <c r="T7" s="3596">
        <f>+T8+T9</f>
        <v>6361</v>
      </c>
      <c r="U7" s="3596">
        <f>+U8+U9</f>
        <v>6442</v>
      </c>
      <c r="V7" s="3596">
        <f ca="1">+V8+V9</f>
        <v>6504.5789999999997</v>
      </c>
      <c r="W7" s="3596">
        <f t="shared" ca="1" si="0"/>
        <v>6583.2426517705117</v>
      </c>
      <c r="X7" s="3596">
        <f t="shared" ca="1" si="0"/>
        <v>6660.8085435350395</v>
      </c>
      <c r="Y7" s="3596">
        <f t="shared" ca="1" si="0"/>
        <v>6741.4406139899047</v>
      </c>
      <c r="Z7" s="3596">
        <f ca="1">+Z8+Z9</f>
        <v>6824.5069491326531</v>
      </c>
      <c r="AA7" s="3596">
        <f ca="1">+AA8+AA9</f>
        <v>6901.0986590421808</v>
      </c>
      <c r="AB7" s="3596">
        <f ca="1">+AB8+AB9</f>
        <v>6970.0368523619663</v>
      </c>
      <c r="AC7" s="3596">
        <f ca="1">+AC8+AC9</f>
        <v>7044.6770243085321</v>
      </c>
      <c r="AD7" s="3596">
        <f ca="1">+AD8+AD9</f>
        <v>7124.8487793247132</v>
      </c>
      <c r="AE7" s="3596"/>
      <c r="BU7" s="3596">
        <f t="shared" ref="BU7:CO7" si="1">+BU8+BU9</f>
        <v>1252.7919999999999</v>
      </c>
      <c r="BV7" s="3596">
        <f t="shared" si="1"/>
        <v>1288.636</v>
      </c>
      <c r="BW7" s="3596">
        <f t="shared" si="1"/>
        <v>1305.7060000000001</v>
      </c>
      <c r="BX7" s="3596">
        <f t="shared" si="1"/>
        <v>1320.7570000000001</v>
      </c>
      <c r="BY7" s="3596">
        <f t="shared" si="1"/>
        <v>1294.175</v>
      </c>
      <c r="BZ7" s="3596">
        <f t="shared" si="1"/>
        <v>1313.7529999999999</v>
      </c>
      <c r="CA7" s="3596">
        <f t="shared" si="1"/>
        <v>1325.1840000000002</v>
      </c>
      <c r="CB7" s="3596">
        <f t="shared" si="1"/>
        <v>1350.143</v>
      </c>
      <c r="CC7" s="3596">
        <f t="shared" si="1"/>
        <v>1341.4590000000001</v>
      </c>
      <c r="CD7" s="3596">
        <f t="shared" si="1"/>
        <v>1352.7329999999999</v>
      </c>
      <c r="CE7" s="3596">
        <f t="shared" si="1"/>
        <v>1373.44</v>
      </c>
      <c r="CF7" s="3596">
        <f t="shared" si="1"/>
        <v>1410</v>
      </c>
      <c r="CG7" s="3596">
        <f t="shared" si="1"/>
        <v>1436</v>
      </c>
      <c r="CH7" s="3596">
        <f t="shared" si="1"/>
        <v>1455</v>
      </c>
      <c r="CI7" s="3596">
        <f t="shared" si="1"/>
        <v>1471</v>
      </c>
      <c r="CJ7" s="3596">
        <f t="shared" si="1"/>
        <v>1505</v>
      </c>
      <c r="CK7" s="3596">
        <f t="shared" si="1"/>
        <v>1535</v>
      </c>
      <c r="CL7" s="3596">
        <f t="shared" si="1"/>
        <v>1551</v>
      </c>
      <c r="CM7" s="3596">
        <f t="shared" si="1"/>
        <v>1551</v>
      </c>
      <c r="CN7" s="3596">
        <f t="shared" si="1"/>
        <v>1571</v>
      </c>
      <c r="CO7" s="3596">
        <f t="shared" si="1"/>
        <v>1599</v>
      </c>
      <c r="CP7" s="3596">
        <f t="shared" ref="CP7:CU7" si="2">+CP8+CP9</f>
        <v>1605</v>
      </c>
      <c r="CQ7" s="3596">
        <f t="shared" si="2"/>
        <v>1573</v>
      </c>
      <c r="CR7" s="3596">
        <f t="shared" si="2"/>
        <v>1584</v>
      </c>
      <c r="CS7" s="3596">
        <f t="shared" si="2"/>
        <v>1594</v>
      </c>
      <c r="CT7" s="3596">
        <f t="shared" si="2"/>
        <v>1607</v>
      </c>
      <c r="CU7" s="3596">
        <f t="shared" si="2"/>
        <v>1597</v>
      </c>
      <c r="CV7" s="3596">
        <f t="shared" ref="CV7" si="3">+CV8+CV9</f>
        <v>1644</v>
      </c>
      <c r="CW7" s="3596">
        <f ca="1">+SUM(CW8:CW9)</f>
        <v>1607.7449999999999</v>
      </c>
      <c r="CX7" s="3596">
        <f ca="1">+SUM(CX8:CX9)</f>
        <v>1613.0919999999999</v>
      </c>
      <c r="CY7" s="3596">
        <f ca="1">+SUM(CY8:CY9)</f>
        <v>1617.3620000000001</v>
      </c>
      <c r="CZ7" s="3596">
        <f ca="1">+SUM(CZ8:CZ9)</f>
        <v>1666.3799999999999</v>
      </c>
    </row>
    <row r="8" spans="1:110">
      <c r="B8" s="3404" t="s">
        <v>279</v>
      </c>
      <c r="O8" s="3597">
        <v>1841.7259999999999</v>
      </c>
      <c r="P8" s="3597">
        <v>1895.665</v>
      </c>
      <c r="Q8" s="3598">
        <f>+SUM(CC8:CF8)</f>
        <v>1809.6010000000001</v>
      </c>
      <c r="R8" s="3599">
        <f>+SUM(CG8:CJ8)</f>
        <v>1706</v>
      </c>
      <c r="S8" s="3599">
        <f>+SUM(CK8:CN8)</f>
        <v>1734</v>
      </c>
      <c r="T8" s="3599">
        <f>+SUM(CO8:CR8)</f>
        <v>1692</v>
      </c>
      <c r="U8" s="3599">
        <f>+SUM(CS8:CV8)</f>
        <v>1621</v>
      </c>
      <c r="V8" s="3599">
        <f ca="1">+SUM(CW8:CZ8)</f>
        <v>1545.8749999999998</v>
      </c>
      <c r="W8" s="3599">
        <f t="shared" ref="W8:AD9" ca="1" si="4">+V8*(1+W70)</f>
        <v>1475.7775317705116</v>
      </c>
      <c r="X8" s="3599">
        <f t="shared" ca="1" si="4"/>
        <v>1410.3344001750395</v>
      </c>
      <c r="Y8" s="3599">
        <f t="shared" ca="1" si="4"/>
        <v>1349.2036687591856</v>
      </c>
      <c r="Z8" s="3599">
        <f t="shared" ca="1" si="4"/>
        <v>1292.0718433259347</v>
      </c>
      <c r="AA8" s="3599">
        <f t="shared" ca="1" si="4"/>
        <v>1238.6513282490041</v>
      </c>
      <c r="AB8" s="3599">
        <f t="shared" ca="1" si="4"/>
        <v>1188.6781276221336</v>
      </c>
      <c r="AC8" s="3599">
        <f t="shared" ca="1" si="4"/>
        <v>1141.9097663491634</v>
      </c>
      <c r="AD8" s="3599">
        <f t="shared" ca="1" si="4"/>
        <v>1098.1234089481977</v>
      </c>
      <c r="AE8" s="3599"/>
      <c r="BU8" s="3597">
        <v>453.29199999999997</v>
      </c>
      <c r="BV8" s="3597">
        <v>464.52100000000002</v>
      </c>
      <c r="BW8" s="3597">
        <v>464.85599999999999</v>
      </c>
      <c r="BX8" s="3597">
        <v>459.05700000000007</v>
      </c>
      <c r="BY8" s="3597">
        <v>470.28700000000003</v>
      </c>
      <c r="BZ8" s="3597">
        <v>471.12599999999998</v>
      </c>
      <c r="CA8" s="3597">
        <v>473.274</v>
      </c>
      <c r="CB8" s="3597">
        <v>480.97800000000001</v>
      </c>
      <c r="CC8" s="3597">
        <v>461.60599999999999</v>
      </c>
      <c r="CD8" s="3597">
        <v>457.08600000000001</v>
      </c>
      <c r="CE8" s="3597">
        <v>452.90899999999999</v>
      </c>
      <c r="CF8" s="3600">
        <v>438</v>
      </c>
      <c r="CG8" s="3600">
        <v>427</v>
      </c>
      <c r="CH8" s="3600">
        <v>426</v>
      </c>
      <c r="CI8" s="3600">
        <v>428</v>
      </c>
      <c r="CJ8" s="3600">
        <v>425</v>
      </c>
      <c r="CK8" s="3600">
        <v>438</v>
      </c>
      <c r="CL8" s="3600">
        <v>450</v>
      </c>
      <c r="CM8" s="3600">
        <v>421</v>
      </c>
      <c r="CN8" s="3600">
        <v>425</v>
      </c>
      <c r="CO8" s="3600">
        <v>433</v>
      </c>
      <c r="CP8" s="3600">
        <v>442</v>
      </c>
      <c r="CQ8" s="3600">
        <v>412</v>
      </c>
      <c r="CR8" s="3600">
        <v>405</v>
      </c>
      <c r="CS8" s="3600">
        <v>403</v>
      </c>
      <c r="CT8" s="3600">
        <v>415</v>
      </c>
      <c r="CU8" s="3600">
        <v>404</v>
      </c>
      <c r="CV8" s="3600">
        <v>399</v>
      </c>
      <c r="CW8" s="287">
        <f t="shared" ref="CW8:CZ9" ca="1" si="5">+CS8*(1+CW70)</f>
        <v>392.92500000000001</v>
      </c>
      <c r="CX8" s="287">
        <f t="shared" ca="1" si="5"/>
        <v>390.09999999999997</v>
      </c>
      <c r="CY8" s="287">
        <f t="shared" ca="1" si="5"/>
        <v>383.79999999999995</v>
      </c>
      <c r="CZ8" s="287">
        <f t="shared" ca="1" si="5"/>
        <v>379.04999999999995</v>
      </c>
    </row>
    <row r="9" spans="1:110">
      <c r="B9" s="3404" t="s">
        <v>1676</v>
      </c>
      <c r="O9" s="3601">
        <v>3326.165</v>
      </c>
      <c r="P9" s="3601">
        <v>3387.59</v>
      </c>
      <c r="Q9" s="3602">
        <f>+SUM(CC9:CF9)</f>
        <v>3668.0309999999999</v>
      </c>
      <c r="R9" s="3599">
        <f>+SUM(CG9:CJ9)</f>
        <v>4161</v>
      </c>
      <c r="S9" s="3599">
        <f>+SUM(CK9:CN9)</f>
        <v>4474</v>
      </c>
      <c r="T9" s="3599">
        <f>+SUM(CO9:CR9)</f>
        <v>4669</v>
      </c>
      <c r="U9" s="3599">
        <f>+SUM(CS9:CV9)</f>
        <v>4821</v>
      </c>
      <c r="V9" s="3599">
        <f ca="1">+SUM(CW9:CZ9)</f>
        <v>4958.7039999999997</v>
      </c>
      <c r="W9" s="3602">
        <f t="shared" ca="1" si="4"/>
        <v>5107.4651199999998</v>
      </c>
      <c r="X9" s="3602">
        <f t="shared" ca="1" si="4"/>
        <v>5250.4741433600002</v>
      </c>
      <c r="Y9" s="3602">
        <f t="shared" ca="1" si="4"/>
        <v>5392.2369452307194</v>
      </c>
      <c r="Z9" s="3602">
        <f t="shared" ca="1" si="4"/>
        <v>5532.4351058067186</v>
      </c>
      <c r="AA9" s="3602">
        <f t="shared" ca="1" si="4"/>
        <v>5662.4473307931767</v>
      </c>
      <c r="AB9" s="3602">
        <f t="shared" ca="1" si="4"/>
        <v>5781.3587247398327</v>
      </c>
      <c r="AC9" s="3602">
        <f t="shared" ca="1" si="4"/>
        <v>5902.7672579593691</v>
      </c>
      <c r="AD9" s="3602">
        <f t="shared" ca="1" si="4"/>
        <v>6026.7253703765155</v>
      </c>
      <c r="AE9" s="3602"/>
      <c r="BU9" s="3601">
        <v>799.5</v>
      </c>
      <c r="BV9" s="3601">
        <v>824.11500000000001</v>
      </c>
      <c r="BW9" s="3601">
        <v>840.85</v>
      </c>
      <c r="BX9" s="3601">
        <v>861.7</v>
      </c>
      <c r="BY9" s="3601">
        <v>823.88799999999992</v>
      </c>
      <c r="BZ9" s="3601">
        <v>842.62699999999995</v>
      </c>
      <c r="CA9" s="3601">
        <v>851.91000000000008</v>
      </c>
      <c r="CB9" s="3601">
        <v>869.16499999999996</v>
      </c>
      <c r="CC9" s="3601">
        <v>879.85300000000007</v>
      </c>
      <c r="CD9" s="3601">
        <v>895.64699999999993</v>
      </c>
      <c r="CE9" s="3601">
        <v>920.53099999999995</v>
      </c>
      <c r="CF9" s="3603">
        <v>972</v>
      </c>
      <c r="CG9" s="3603">
        <v>1009</v>
      </c>
      <c r="CH9" s="3603">
        <v>1029</v>
      </c>
      <c r="CI9" s="3603">
        <v>1043</v>
      </c>
      <c r="CJ9" s="3603">
        <v>1080</v>
      </c>
      <c r="CK9" s="3603">
        <v>1097</v>
      </c>
      <c r="CL9" s="3603">
        <v>1101</v>
      </c>
      <c r="CM9" s="3603">
        <v>1130</v>
      </c>
      <c r="CN9" s="3603">
        <v>1146</v>
      </c>
      <c r="CO9" s="3603">
        <v>1166</v>
      </c>
      <c r="CP9" s="3603">
        <v>1163</v>
      </c>
      <c r="CQ9" s="3603">
        <v>1161</v>
      </c>
      <c r="CR9" s="3603">
        <v>1179</v>
      </c>
      <c r="CS9" s="3603">
        <v>1191</v>
      </c>
      <c r="CT9" s="3603">
        <v>1192</v>
      </c>
      <c r="CU9" s="3603">
        <v>1193</v>
      </c>
      <c r="CV9" s="3603">
        <v>1245</v>
      </c>
      <c r="CW9" s="287">
        <f t="shared" ca="1" si="5"/>
        <v>1214.82</v>
      </c>
      <c r="CX9" s="287">
        <f t="shared" ca="1" si="5"/>
        <v>1222.992</v>
      </c>
      <c r="CY9" s="287">
        <f t="shared" ca="1" si="5"/>
        <v>1233.5620000000001</v>
      </c>
      <c r="CZ9" s="287">
        <f t="shared" ca="1" si="5"/>
        <v>1287.33</v>
      </c>
      <c r="DA9" s="287">
        <f>+SUM(CO9:CR9)</f>
        <v>4669</v>
      </c>
      <c r="DB9" s="287">
        <f>+SUM(CS9:CV9)</f>
        <v>4821</v>
      </c>
      <c r="DC9" s="287">
        <f ca="1">+SUM(CW9:CZ9)</f>
        <v>4958.7039999999997</v>
      </c>
      <c r="DE9" s="287">
        <f>+CU9-CT9</f>
        <v>1</v>
      </c>
      <c r="DF9" s="287">
        <f>+CV9-CU9</f>
        <v>52</v>
      </c>
    </row>
    <row r="10" spans="1:110">
      <c r="B10" s="3403" t="s">
        <v>1893</v>
      </c>
      <c r="O10" s="3596">
        <f t="shared" ref="O10:AD10" si="6">+O11+O12</f>
        <v>666</v>
      </c>
      <c r="P10" s="3596">
        <f t="shared" si="6"/>
        <v>712</v>
      </c>
      <c r="Q10" s="3596">
        <f t="shared" si="6"/>
        <v>754</v>
      </c>
      <c r="R10" s="3596">
        <f t="shared" si="6"/>
        <v>783</v>
      </c>
      <c r="S10" s="3596">
        <f t="shared" si="6"/>
        <v>714</v>
      </c>
      <c r="T10" s="3596">
        <f>+T11+T12</f>
        <v>662</v>
      </c>
      <c r="U10" s="3596">
        <f>+U11+U12</f>
        <v>726</v>
      </c>
      <c r="V10" s="3596">
        <f ca="1">+V11+V12</f>
        <v>763.45506836074037</v>
      </c>
      <c r="W10" s="3596">
        <f t="shared" ca="1" si="6"/>
        <v>820.59562917609617</v>
      </c>
      <c r="X10" s="3596">
        <f t="shared" ca="1" si="6"/>
        <v>878.42796891541161</v>
      </c>
      <c r="Y10" s="3596">
        <f t="shared" ca="1" si="6"/>
        <v>936.08915224991495</v>
      </c>
      <c r="Z10" s="3596">
        <f t="shared" ca="1" si="6"/>
        <v>992.64346161477943</v>
      </c>
      <c r="AA10" s="3596">
        <f t="shared" ca="1" si="6"/>
        <v>1047.1032213483436</v>
      </c>
      <c r="AB10" s="3596">
        <f t="shared" ca="1" si="6"/>
        <v>1105.3776856223144</v>
      </c>
      <c r="AC10" s="3596">
        <f t="shared" ca="1" si="6"/>
        <v>1160.324994069817</v>
      </c>
      <c r="AD10" s="3596">
        <f t="shared" ca="1" si="6"/>
        <v>1218.6642942818971</v>
      </c>
      <c r="AE10" s="3596"/>
      <c r="BU10" s="3596">
        <f t="shared" ref="BU10:CO10" si="7">+BU11+BU12</f>
        <v>155</v>
      </c>
      <c r="BV10" s="3596">
        <f t="shared" si="7"/>
        <v>170</v>
      </c>
      <c r="BW10" s="3596">
        <f t="shared" si="7"/>
        <v>173</v>
      </c>
      <c r="BX10" s="3596">
        <f t="shared" si="7"/>
        <v>168</v>
      </c>
      <c r="BY10" s="3596">
        <f t="shared" si="7"/>
        <v>176</v>
      </c>
      <c r="BZ10" s="3596">
        <f t="shared" si="7"/>
        <v>173</v>
      </c>
      <c r="CA10" s="3596">
        <f t="shared" si="7"/>
        <v>179</v>
      </c>
      <c r="CB10" s="3596">
        <f t="shared" si="7"/>
        <v>184</v>
      </c>
      <c r="CC10" s="3596">
        <f t="shared" si="7"/>
        <v>182</v>
      </c>
      <c r="CD10" s="3596">
        <f t="shared" si="7"/>
        <v>189</v>
      </c>
      <c r="CE10" s="3596">
        <f t="shared" si="7"/>
        <v>188</v>
      </c>
      <c r="CF10" s="3596">
        <f t="shared" si="7"/>
        <v>195</v>
      </c>
      <c r="CG10" s="3596">
        <f t="shared" si="7"/>
        <v>190</v>
      </c>
      <c r="CH10" s="3596">
        <f t="shared" si="7"/>
        <v>200</v>
      </c>
      <c r="CI10" s="3596">
        <f t="shared" si="7"/>
        <v>201</v>
      </c>
      <c r="CJ10" s="3596">
        <f t="shared" si="7"/>
        <v>192</v>
      </c>
      <c r="CK10" s="3596">
        <f t="shared" si="7"/>
        <v>185</v>
      </c>
      <c r="CL10" s="3596">
        <f t="shared" si="7"/>
        <v>186</v>
      </c>
      <c r="CM10" s="3596">
        <f t="shared" si="7"/>
        <v>183</v>
      </c>
      <c r="CN10" s="3596">
        <f t="shared" si="7"/>
        <v>160</v>
      </c>
      <c r="CO10" s="3596">
        <f t="shared" si="7"/>
        <v>156</v>
      </c>
      <c r="CP10" s="3596">
        <f t="shared" ref="CP10:CU10" si="8">+CP11+CP12</f>
        <v>160</v>
      </c>
      <c r="CQ10" s="3596">
        <f t="shared" si="8"/>
        <v>176</v>
      </c>
      <c r="CR10" s="3596">
        <f t="shared" si="8"/>
        <v>170</v>
      </c>
      <c r="CS10" s="3596">
        <f t="shared" si="8"/>
        <v>177</v>
      </c>
      <c r="CT10" s="3596">
        <f t="shared" si="8"/>
        <v>182</v>
      </c>
      <c r="CU10" s="3596">
        <f t="shared" si="8"/>
        <v>182</v>
      </c>
      <c r="CV10" s="3596">
        <f t="shared" ref="CV10" si="9">+CV11+CV12</f>
        <v>185</v>
      </c>
      <c r="CW10" s="3596">
        <f ca="1">+SUM(CW11:CW12)</f>
        <v>184.24006836074045</v>
      </c>
      <c r="CX10" s="3596">
        <f ca="1">+SUM(CX11:CX12)</f>
        <v>185.9</v>
      </c>
      <c r="CY10" s="3596">
        <f ca="1">+SUM(CY11:CY12)</f>
        <v>192.255</v>
      </c>
      <c r="CZ10" s="3596">
        <f ca="1">+SUM(CZ11:CZ12)</f>
        <v>201.06000000000003</v>
      </c>
      <c r="DB10" s="65">
        <f>+DB9/DA9-1</f>
        <v>3.2555150995930537E-2</v>
      </c>
      <c r="DC10" s="65">
        <f ca="1">+DC9/DB9-1</f>
        <v>2.8563368595726946E-2</v>
      </c>
    </row>
    <row r="11" spans="1:110">
      <c r="B11" s="3404" t="s">
        <v>279</v>
      </c>
      <c r="O11" s="3601">
        <v>151</v>
      </c>
      <c r="P11" s="3601">
        <v>156</v>
      </c>
      <c r="Q11" s="3602">
        <f>+SUM(CC11:CF11)</f>
        <v>160</v>
      </c>
      <c r="R11" s="3599">
        <f>+SUM(CG11:CJ11)</f>
        <v>164</v>
      </c>
      <c r="S11" s="3599">
        <f>+SUM(CK11:CN11)</f>
        <v>154</v>
      </c>
      <c r="T11" s="3599">
        <f>+SUM(CO11:CR11)</f>
        <v>147</v>
      </c>
      <c r="U11" s="3599">
        <f>+SUM(CS11:CV11)</f>
        <v>140</v>
      </c>
      <c r="V11" s="3599">
        <f ca="1">+SUM(CW11:CZ11)</f>
        <v>134.97956735889898</v>
      </c>
      <c r="W11" s="3602">
        <f t="shared" ref="W11:AD12" ca="1" si="10">+V11*(1+W74)</f>
        <v>132.4149555790799</v>
      </c>
      <c r="X11" s="3602">
        <f t="shared" ca="1" si="10"/>
        <v>130.03148637865647</v>
      </c>
      <c r="Y11" s="3602">
        <f t="shared" ca="1" si="10"/>
        <v>127.82095111021931</v>
      </c>
      <c r="Z11" s="3602">
        <f t="shared" ca="1" si="10"/>
        <v>125.7758158924558</v>
      </c>
      <c r="AA11" s="3602">
        <f t="shared" ca="1" si="10"/>
        <v>123.88917865406896</v>
      </c>
      <c r="AB11" s="3602">
        <f t="shared" ca="1" si="10"/>
        <v>122.15473015291199</v>
      </c>
      <c r="AC11" s="3602">
        <f t="shared" ca="1" si="10"/>
        <v>120.56671866092414</v>
      </c>
      <c r="AD11" s="3602">
        <f t="shared" ca="1" si="10"/>
        <v>119.11991803699304</v>
      </c>
      <c r="AE11" s="3602"/>
      <c r="BU11" s="3601">
        <v>36</v>
      </c>
      <c r="BV11" s="3601">
        <v>41</v>
      </c>
      <c r="BW11" s="3601">
        <v>39</v>
      </c>
      <c r="BX11" s="3601">
        <v>35</v>
      </c>
      <c r="BY11" s="3601">
        <v>38</v>
      </c>
      <c r="BZ11" s="3601">
        <v>37</v>
      </c>
      <c r="CA11" s="3601">
        <v>40</v>
      </c>
      <c r="CB11" s="3601">
        <v>41</v>
      </c>
      <c r="CC11" s="3601">
        <v>40</v>
      </c>
      <c r="CD11" s="3601">
        <v>40</v>
      </c>
      <c r="CE11" s="3601">
        <v>39</v>
      </c>
      <c r="CF11" s="3600">
        <v>41</v>
      </c>
      <c r="CG11" s="3600">
        <v>40</v>
      </c>
      <c r="CH11" s="3600">
        <v>42</v>
      </c>
      <c r="CI11" s="3600">
        <v>41</v>
      </c>
      <c r="CJ11" s="3600">
        <v>41</v>
      </c>
      <c r="CK11" s="3600">
        <v>40</v>
      </c>
      <c r="CL11" s="3600">
        <v>40</v>
      </c>
      <c r="CM11" s="3600">
        <v>39</v>
      </c>
      <c r="CN11" s="3600">
        <v>35</v>
      </c>
      <c r="CO11" s="3600">
        <v>39</v>
      </c>
      <c r="CP11" s="3600">
        <v>37</v>
      </c>
      <c r="CQ11" s="3600">
        <v>37</v>
      </c>
      <c r="CR11" s="3600">
        <v>34</v>
      </c>
      <c r="CS11" s="3600">
        <v>36</v>
      </c>
      <c r="CT11" s="3600">
        <v>36</v>
      </c>
      <c r="CU11" s="3600">
        <v>35</v>
      </c>
      <c r="CV11" s="3600">
        <v>33</v>
      </c>
      <c r="CW11" s="287">
        <f t="shared" ref="CW11:CZ12" ca="1" si="11">+CS11*(1+CW74)</f>
        <v>34.604759666591278</v>
      </c>
      <c r="CX11" s="287">
        <f t="shared" ca="1" si="11"/>
        <v>34.17230769230769</v>
      </c>
      <c r="CY11" s="287">
        <f t="shared" ca="1" si="11"/>
        <v>33.862500000000004</v>
      </c>
      <c r="CZ11" s="287">
        <f t="shared" ca="1" si="11"/>
        <v>32.339999999999996</v>
      </c>
    </row>
    <row r="12" spans="1:110">
      <c r="B12" s="3404" t="s">
        <v>1676</v>
      </c>
      <c r="O12" s="3601">
        <v>515</v>
      </c>
      <c r="P12" s="3601">
        <v>556</v>
      </c>
      <c r="Q12" s="3602">
        <f>+SUM(CC12:CF12)</f>
        <v>594</v>
      </c>
      <c r="R12" s="3599">
        <f>+SUM(CG12:CJ12)</f>
        <v>619</v>
      </c>
      <c r="S12" s="3599">
        <f>+SUM(CK12:CN12)</f>
        <v>560</v>
      </c>
      <c r="T12" s="3599">
        <f>+SUM(CO12:CR12)</f>
        <v>515</v>
      </c>
      <c r="U12" s="3599">
        <f>+SUM(CS12:CV12)</f>
        <v>586</v>
      </c>
      <c r="V12" s="3599">
        <f ca="1">+SUM(CW12:CZ12)</f>
        <v>628.47550100184139</v>
      </c>
      <c r="W12" s="3602">
        <f t="shared" ca="1" si="10"/>
        <v>688.18067359701627</v>
      </c>
      <c r="X12" s="3602">
        <f t="shared" ca="1" si="10"/>
        <v>748.39648253675512</v>
      </c>
      <c r="Y12" s="3602">
        <f t="shared" ca="1" si="10"/>
        <v>808.26820113969563</v>
      </c>
      <c r="Z12" s="3602">
        <f t="shared" ca="1" si="10"/>
        <v>866.86764572232357</v>
      </c>
      <c r="AA12" s="3602">
        <f t="shared" ca="1" si="10"/>
        <v>923.21404269427455</v>
      </c>
      <c r="AB12" s="3602">
        <f t="shared" ca="1" si="10"/>
        <v>983.22295546940234</v>
      </c>
      <c r="AC12" s="3602">
        <f t="shared" ca="1" si="10"/>
        <v>1039.7582754088928</v>
      </c>
      <c r="AD12" s="3602">
        <f t="shared" ca="1" si="10"/>
        <v>1099.544376244904</v>
      </c>
      <c r="AE12" s="3602"/>
      <c r="BU12" s="3601">
        <v>119</v>
      </c>
      <c r="BV12" s="3601">
        <v>129</v>
      </c>
      <c r="BW12" s="3601">
        <v>134</v>
      </c>
      <c r="BX12" s="3601">
        <v>133</v>
      </c>
      <c r="BY12" s="3601">
        <v>138</v>
      </c>
      <c r="BZ12" s="3601">
        <v>136</v>
      </c>
      <c r="CA12" s="3601">
        <v>139</v>
      </c>
      <c r="CB12" s="3601">
        <v>143</v>
      </c>
      <c r="CC12" s="3601">
        <v>142</v>
      </c>
      <c r="CD12" s="3601">
        <v>149</v>
      </c>
      <c r="CE12" s="3601">
        <v>149</v>
      </c>
      <c r="CF12" s="3603">
        <v>154</v>
      </c>
      <c r="CG12" s="3603">
        <v>150</v>
      </c>
      <c r="CH12" s="3603">
        <v>158</v>
      </c>
      <c r="CI12" s="3603">
        <v>160</v>
      </c>
      <c r="CJ12" s="3603">
        <v>151</v>
      </c>
      <c r="CK12" s="3603">
        <v>145</v>
      </c>
      <c r="CL12" s="3603">
        <v>146</v>
      </c>
      <c r="CM12" s="3603">
        <v>144</v>
      </c>
      <c r="CN12" s="3603">
        <v>125</v>
      </c>
      <c r="CO12" s="3603">
        <v>117</v>
      </c>
      <c r="CP12" s="3603">
        <v>123</v>
      </c>
      <c r="CQ12" s="3603">
        <v>139</v>
      </c>
      <c r="CR12" s="3603">
        <v>136</v>
      </c>
      <c r="CS12" s="3603">
        <v>141</v>
      </c>
      <c r="CT12" s="3603">
        <v>146</v>
      </c>
      <c r="CU12" s="3603">
        <v>147</v>
      </c>
      <c r="CV12" s="3603">
        <v>152</v>
      </c>
      <c r="CW12" s="287">
        <f t="shared" ca="1" si="11"/>
        <v>149.63530869414916</v>
      </c>
      <c r="CX12" s="287">
        <f t="shared" ca="1" si="11"/>
        <v>151.72769230769231</v>
      </c>
      <c r="CY12" s="287">
        <f t="shared" ca="1" si="11"/>
        <v>158.39249999999998</v>
      </c>
      <c r="CZ12" s="287">
        <f t="shared" ca="1" si="11"/>
        <v>168.72000000000003</v>
      </c>
    </row>
    <row r="13" spans="1:110">
      <c r="B13" s="3403" t="s">
        <v>1894</v>
      </c>
      <c r="O13" s="3596">
        <f>+O14+O15+O16</f>
        <v>924</v>
      </c>
      <c r="P13" s="3596">
        <f t="shared" ref="P13:Y13" si="12">+P14+P15+P16</f>
        <v>911</v>
      </c>
      <c r="Q13" s="3596">
        <f t="shared" si="12"/>
        <v>888</v>
      </c>
      <c r="R13" s="3596">
        <f t="shared" si="12"/>
        <v>902</v>
      </c>
      <c r="S13" s="3596">
        <f>+S14+S15+S16</f>
        <v>835</v>
      </c>
      <c r="T13" s="3596">
        <f>+T14+T15+T16</f>
        <v>739</v>
      </c>
      <c r="U13" s="3596">
        <f>+U14+U15+U16</f>
        <v>723</v>
      </c>
      <c r="V13" s="3596">
        <f ca="1">+V14+V15+V16</f>
        <v>749.15243937536229</v>
      </c>
      <c r="W13" s="3596">
        <f t="shared" ca="1" si="12"/>
        <v>758.70303328776924</v>
      </c>
      <c r="X13" s="3596">
        <f t="shared" ca="1" si="12"/>
        <v>771.04854984925282</v>
      </c>
      <c r="Y13" s="3596">
        <f t="shared" ca="1" si="12"/>
        <v>783.88223706263284</v>
      </c>
      <c r="Z13" s="3596">
        <f ca="1">+Z14+Z15+Z16</f>
        <v>797.04297525504353</v>
      </c>
      <c r="AA13" s="3596">
        <f ca="1">+AA14+AA15+AA16</f>
        <v>809.55805932954922</v>
      </c>
      <c r="AB13" s="3596">
        <f ca="1">+AB14+AB15+AB16</f>
        <v>821.32067935741668</v>
      </c>
      <c r="AC13" s="3596">
        <f ca="1">+AC14+AC15+AC16</f>
        <v>832.22908321212685</v>
      </c>
      <c r="AD13" s="3596">
        <f ca="1">+AD14+AD15+AD16</f>
        <v>842.18764197471035</v>
      </c>
      <c r="AE13" s="3596"/>
      <c r="BU13" s="3596">
        <f t="shared" ref="BU13:CO13" si="13">+BU14+BU15+BU16</f>
        <v>226</v>
      </c>
      <c r="BV13" s="3596">
        <f t="shared" si="13"/>
        <v>234</v>
      </c>
      <c r="BW13" s="3596">
        <f t="shared" si="13"/>
        <v>240</v>
      </c>
      <c r="BX13" s="3596">
        <f t="shared" si="13"/>
        <v>224</v>
      </c>
      <c r="BY13" s="3596">
        <f t="shared" si="13"/>
        <v>232</v>
      </c>
      <c r="BZ13" s="3596">
        <f t="shared" si="13"/>
        <v>228</v>
      </c>
      <c r="CA13" s="3596">
        <f t="shared" si="13"/>
        <v>223</v>
      </c>
      <c r="CB13" s="3596">
        <f t="shared" si="13"/>
        <v>228</v>
      </c>
      <c r="CC13" s="3596">
        <f t="shared" si="13"/>
        <v>223</v>
      </c>
      <c r="CD13" s="3596">
        <f t="shared" si="13"/>
        <v>220</v>
      </c>
      <c r="CE13" s="3596">
        <f t="shared" si="13"/>
        <v>222</v>
      </c>
      <c r="CF13" s="3596">
        <f t="shared" si="13"/>
        <v>223</v>
      </c>
      <c r="CG13" s="3596">
        <f t="shared" si="13"/>
        <v>228</v>
      </c>
      <c r="CH13" s="3596">
        <f t="shared" si="13"/>
        <v>231</v>
      </c>
      <c r="CI13" s="3596">
        <f t="shared" si="13"/>
        <v>222</v>
      </c>
      <c r="CJ13" s="3596">
        <f t="shared" si="13"/>
        <v>221</v>
      </c>
      <c r="CK13" s="3596">
        <f t="shared" si="13"/>
        <v>207</v>
      </c>
      <c r="CL13" s="3596">
        <f t="shared" si="13"/>
        <v>204</v>
      </c>
      <c r="CM13" s="3596">
        <f t="shared" si="13"/>
        <v>212</v>
      </c>
      <c r="CN13" s="3596">
        <f t="shared" si="13"/>
        <v>212</v>
      </c>
      <c r="CO13" s="3596">
        <f t="shared" si="13"/>
        <v>190</v>
      </c>
      <c r="CP13" s="3596">
        <f t="shared" ref="CP13:CU13" si="14">+CP14+CP15+CP16</f>
        <v>190</v>
      </c>
      <c r="CQ13" s="3596">
        <f t="shared" si="14"/>
        <v>180</v>
      </c>
      <c r="CR13" s="3596">
        <f t="shared" si="14"/>
        <v>179</v>
      </c>
      <c r="CS13" s="3596">
        <f t="shared" si="14"/>
        <v>175</v>
      </c>
      <c r="CT13" s="3596">
        <f t="shared" si="14"/>
        <v>176</v>
      </c>
      <c r="CU13" s="3596">
        <f t="shared" si="14"/>
        <v>184</v>
      </c>
      <c r="CV13" s="3596">
        <f t="shared" ref="CV13" si="15">+CV14+CV15+CV16</f>
        <v>188</v>
      </c>
      <c r="CW13" s="3596">
        <f ca="1">+SUM(CW14:CW16)</f>
        <v>174.27387422431846</v>
      </c>
      <c r="CX13" s="3596">
        <f ca="1">+SUM(CX14:CX16)</f>
        <v>179.52030017287444</v>
      </c>
      <c r="CY13" s="3596">
        <f ca="1">+SUM(CY14:CY16)</f>
        <v>192.33456418154344</v>
      </c>
      <c r="CZ13" s="3596">
        <f ca="1">+SUM(CZ14:CZ16)</f>
        <v>203.02370079662606</v>
      </c>
    </row>
    <row r="14" spans="1:110">
      <c r="B14" s="3404" t="s">
        <v>279</v>
      </c>
      <c r="O14" s="3601">
        <v>392</v>
      </c>
      <c r="P14" s="3601">
        <v>364</v>
      </c>
      <c r="Q14" s="3602">
        <f>+SUM(CC14:CF14)</f>
        <v>354</v>
      </c>
      <c r="R14" s="3599">
        <f>+SUM(CG14:CJ14)</f>
        <v>326</v>
      </c>
      <c r="S14" s="3599">
        <f>+SUM(CK14:CN14)</f>
        <v>275</v>
      </c>
      <c r="T14" s="3599">
        <f>+SUM(CO14:CR14)</f>
        <v>238</v>
      </c>
      <c r="U14" s="3599">
        <f>+SUM(CS14:CV14)</f>
        <v>224</v>
      </c>
      <c r="V14" s="3599">
        <f ca="1">+SUM(CW14:CZ14)</f>
        <v>223.03392455165138</v>
      </c>
      <c r="W14" s="3602">
        <f t="shared" ref="W14:AD15" ca="1" si="16">+V14*(1+W78)</f>
        <v>217.45807643786009</v>
      </c>
      <c r="X14" s="3602">
        <f t="shared" ca="1" si="16"/>
        <v>213.10891490910288</v>
      </c>
      <c r="Y14" s="3602">
        <f t="shared" ca="1" si="16"/>
        <v>209.91228118546633</v>
      </c>
      <c r="Z14" s="3602">
        <f t="shared" ca="1" si="16"/>
        <v>207.81315837361166</v>
      </c>
      <c r="AA14" s="3602">
        <f t="shared" ca="1" si="16"/>
        <v>205.94283994824914</v>
      </c>
      <c r="AB14" s="3602">
        <f t="shared" ca="1" si="16"/>
        <v>204.29529722866315</v>
      </c>
      <c r="AC14" s="3602">
        <f t="shared" ca="1" si="16"/>
        <v>202.86523014806249</v>
      </c>
      <c r="AD14" s="3602">
        <f t="shared" ca="1" si="16"/>
        <v>201.64803876717411</v>
      </c>
      <c r="AE14" s="3602"/>
      <c r="BU14" s="3601">
        <v>96</v>
      </c>
      <c r="BV14" s="3601">
        <v>100</v>
      </c>
      <c r="BW14" s="3601">
        <v>102</v>
      </c>
      <c r="BX14" s="3601">
        <v>94</v>
      </c>
      <c r="BY14" s="3601">
        <v>96</v>
      </c>
      <c r="BZ14" s="3601">
        <v>94</v>
      </c>
      <c r="CA14" s="3601">
        <v>87</v>
      </c>
      <c r="CB14" s="3601">
        <v>87</v>
      </c>
      <c r="CC14" s="3601">
        <v>89</v>
      </c>
      <c r="CD14" s="3601">
        <v>88</v>
      </c>
      <c r="CE14" s="3601">
        <v>88</v>
      </c>
      <c r="CF14" s="3601">
        <v>89</v>
      </c>
      <c r="CG14" s="3600">
        <v>86</v>
      </c>
      <c r="CH14" s="3600">
        <v>85</v>
      </c>
      <c r="CI14" s="3600">
        <v>80</v>
      </c>
      <c r="CJ14" s="3600">
        <v>75</v>
      </c>
      <c r="CK14" s="3600">
        <v>69</v>
      </c>
      <c r="CL14" s="3600">
        <v>68</v>
      </c>
      <c r="CM14" s="3600">
        <v>69</v>
      </c>
      <c r="CN14" s="3600">
        <v>69</v>
      </c>
      <c r="CO14" s="3600">
        <v>64</v>
      </c>
      <c r="CP14" s="3600">
        <v>61</v>
      </c>
      <c r="CQ14" s="3600">
        <v>58</v>
      </c>
      <c r="CR14" s="3600">
        <v>55</v>
      </c>
      <c r="CS14" s="3600">
        <v>55</v>
      </c>
      <c r="CT14" s="3600">
        <v>55</v>
      </c>
      <c r="CU14" s="3600">
        <v>57</v>
      </c>
      <c r="CV14" s="3600">
        <v>57</v>
      </c>
      <c r="CW14" s="287">
        <f ca="1">+CS14*(1+CW78)</f>
        <v>52.629544612589882</v>
      </c>
      <c r="CX14" s="287">
        <f ca="1">+CT14*(1+CX78)</f>
        <v>54.024210278170678</v>
      </c>
      <c r="CY14" s="287">
        <f ca="1">+CU14*(1+CY78)</f>
        <v>57.316073187132602</v>
      </c>
      <c r="CZ14" s="287">
        <f ca="1">+CV14*(1+CZ78)</f>
        <v>59.064096473758205</v>
      </c>
    </row>
    <row r="15" spans="1:110">
      <c r="B15" s="3404" t="s">
        <v>1676</v>
      </c>
      <c r="O15" s="3601">
        <v>310</v>
      </c>
      <c r="P15" s="3601">
        <v>372</v>
      </c>
      <c r="Q15" s="3602">
        <f>+SUM(CC15:CF15)</f>
        <v>403</v>
      </c>
      <c r="R15" s="3599">
        <f>+SUM(CG15:CJ15)</f>
        <v>461</v>
      </c>
      <c r="S15" s="3599">
        <f>+SUM(CK15:CN15)</f>
        <v>457</v>
      </c>
      <c r="T15" s="3599">
        <f>+SUM(CO15:CR15)</f>
        <v>431</v>
      </c>
      <c r="U15" s="3599">
        <f>+SUM(CS15:CV15)</f>
        <v>444</v>
      </c>
      <c r="V15" s="3599">
        <f ca="1">+SUM(CW15:CZ15)</f>
        <v>473.51277448438623</v>
      </c>
      <c r="W15" s="3602">
        <f t="shared" ca="1" si="16"/>
        <v>491.26950352755074</v>
      </c>
      <c r="X15" s="3602">
        <f t="shared" ca="1" si="16"/>
        <v>508.46393615101499</v>
      </c>
      <c r="Y15" s="3602">
        <f t="shared" ca="1" si="16"/>
        <v>524.98901407592291</v>
      </c>
      <c r="Z15" s="3602">
        <f t="shared" ca="1" si="16"/>
        <v>540.73868449820066</v>
      </c>
      <c r="AA15" s="3602">
        <f t="shared" ca="1" si="16"/>
        <v>555.60899832190125</v>
      </c>
      <c r="AB15" s="3602">
        <f t="shared" ca="1" si="16"/>
        <v>569.49922327994875</v>
      </c>
      <c r="AC15" s="3602">
        <f t="shared" ca="1" si="16"/>
        <v>582.31295580374763</v>
      </c>
      <c r="AD15" s="3602">
        <f t="shared" ca="1" si="16"/>
        <v>593.95921491982256</v>
      </c>
      <c r="AE15" s="3602"/>
      <c r="BU15" s="3601">
        <v>72</v>
      </c>
      <c r="BV15" s="3601">
        <v>77</v>
      </c>
      <c r="BW15" s="3601">
        <v>81</v>
      </c>
      <c r="BX15" s="3601">
        <v>80</v>
      </c>
      <c r="BY15" s="3601">
        <v>88</v>
      </c>
      <c r="BZ15" s="3601">
        <v>91</v>
      </c>
      <c r="CA15" s="3601">
        <v>94</v>
      </c>
      <c r="CB15" s="3601">
        <v>99</v>
      </c>
      <c r="CC15" s="3601">
        <v>97</v>
      </c>
      <c r="CD15" s="3601">
        <v>99</v>
      </c>
      <c r="CE15" s="3601">
        <v>102</v>
      </c>
      <c r="CF15" s="3601">
        <v>105</v>
      </c>
      <c r="CG15" s="3603">
        <v>114</v>
      </c>
      <c r="CH15" s="3603">
        <v>115</v>
      </c>
      <c r="CI15" s="3603">
        <v>114</v>
      </c>
      <c r="CJ15" s="3603">
        <v>118</v>
      </c>
      <c r="CK15" s="3603">
        <v>111</v>
      </c>
      <c r="CL15" s="3603">
        <v>111</v>
      </c>
      <c r="CM15" s="3603">
        <v>117</v>
      </c>
      <c r="CN15" s="3603">
        <v>118</v>
      </c>
      <c r="CO15" s="3603">
        <v>107</v>
      </c>
      <c r="CP15" s="3603">
        <v>111</v>
      </c>
      <c r="CQ15" s="3603">
        <v>105</v>
      </c>
      <c r="CR15" s="3603">
        <v>108</v>
      </c>
      <c r="CS15" s="3603">
        <v>106</v>
      </c>
      <c r="CT15" s="3603">
        <v>107</v>
      </c>
      <c r="CU15" s="3603">
        <v>113</v>
      </c>
      <c r="CV15" s="3603">
        <v>118</v>
      </c>
      <c r="CW15" s="287">
        <f ca="1">CS15*(1+CW79)</f>
        <v>108.85148598062777</v>
      </c>
      <c r="CX15" s="287">
        <f ca="1">CT15*(1+CX79)</f>
        <v>112.59164545025932</v>
      </c>
      <c r="CY15" s="287">
        <f ca="1">CU15*(1+CY79)</f>
        <v>121.53660123063131</v>
      </c>
      <c r="CZ15" s="287">
        <f ca="1">CV15*(1+CZ79)</f>
        <v>130.53304182286786</v>
      </c>
    </row>
    <row r="16" spans="1:110">
      <c r="B16" s="3404" t="s">
        <v>1895</v>
      </c>
      <c r="O16" s="3601">
        <v>222</v>
      </c>
      <c r="P16" s="3601">
        <v>175</v>
      </c>
      <c r="Q16" s="3602">
        <f>+SUM(CC16:CF16)</f>
        <v>131</v>
      </c>
      <c r="R16" s="3599">
        <f>+SUM(CG16:CJ16)</f>
        <v>115</v>
      </c>
      <c r="S16" s="3599">
        <f>+SUM(CK16:CN16)</f>
        <v>103</v>
      </c>
      <c r="T16" s="3599">
        <f>+SUM(CO16:CR16)</f>
        <v>70</v>
      </c>
      <c r="U16" s="3599">
        <f>+SUM(CS16:CV16)</f>
        <v>55</v>
      </c>
      <c r="V16" s="3599">
        <f ca="1">+SUM(CW16:CZ16)</f>
        <v>52.605740339324754</v>
      </c>
      <c r="W16" s="3597">
        <f ca="1">+V16*95%</f>
        <v>49.975453322358511</v>
      </c>
      <c r="X16" s="3597">
        <f ca="1">+W16*99%</f>
        <v>49.475698789134924</v>
      </c>
      <c r="Y16" s="3597">
        <f t="shared" ref="Y16:AD16" ca="1" si="17">+X16*99%</f>
        <v>48.980941801243574</v>
      </c>
      <c r="Z16" s="3597">
        <f t="shared" ca="1" si="17"/>
        <v>48.49113238323114</v>
      </c>
      <c r="AA16" s="3597">
        <f t="shared" ca="1" si="17"/>
        <v>48.006221059398825</v>
      </c>
      <c r="AB16" s="3597">
        <f t="shared" ca="1" si="17"/>
        <v>47.52615884880484</v>
      </c>
      <c r="AC16" s="3597">
        <f t="shared" ca="1" si="17"/>
        <v>47.050897260316795</v>
      </c>
      <c r="AD16" s="3597">
        <f t="shared" ca="1" si="17"/>
        <v>46.580388287713625</v>
      </c>
      <c r="AE16" s="3604"/>
      <c r="BU16" s="3601">
        <v>58</v>
      </c>
      <c r="BV16" s="3601">
        <v>57</v>
      </c>
      <c r="BW16" s="3601">
        <v>57</v>
      </c>
      <c r="BX16" s="3601">
        <v>50</v>
      </c>
      <c r="BY16" s="3601">
        <v>48</v>
      </c>
      <c r="BZ16" s="3601">
        <v>43</v>
      </c>
      <c r="CA16" s="3601">
        <v>42</v>
      </c>
      <c r="CB16" s="3601">
        <v>42</v>
      </c>
      <c r="CC16" s="3601">
        <v>37</v>
      </c>
      <c r="CD16" s="3601">
        <v>33</v>
      </c>
      <c r="CE16" s="3601">
        <v>32</v>
      </c>
      <c r="CF16" s="3601">
        <v>29</v>
      </c>
      <c r="CG16" s="3603">
        <v>28</v>
      </c>
      <c r="CH16" s="3603">
        <v>31</v>
      </c>
      <c r="CI16" s="3603">
        <v>28</v>
      </c>
      <c r="CJ16" s="3603">
        <v>28</v>
      </c>
      <c r="CK16" s="3603">
        <v>27</v>
      </c>
      <c r="CL16" s="3603">
        <v>25</v>
      </c>
      <c r="CM16" s="3603">
        <v>26</v>
      </c>
      <c r="CN16" s="3603">
        <v>25</v>
      </c>
      <c r="CO16" s="3603">
        <v>19</v>
      </c>
      <c r="CP16" s="3603">
        <v>18</v>
      </c>
      <c r="CQ16" s="3603">
        <v>17</v>
      </c>
      <c r="CR16" s="3603">
        <v>16</v>
      </c>
      <c r="CS16" s="3603">
        <v>14</v>
      </c>
      <c r="CT16" s="3603">
        <v>14</v>
      </c>
      <c r="CU16" s="3603">
        <v>14</v>
      </c>
      <c r="CV16" s="3603">
        <v>13</v>
      </c>
      <c r="CW16" s="340">
        <f ca="1">+CS16*(1+CW80)</f>
        <v>12.792843631100785</v>
      </c>
      <c r="CX16" s="340">
        <f ca="1">+CT16*(1+CX80)</f>
        <v>12.904444444444445</v>
      </c>
      <c r="CY16" s="340">
        <f ca="1">+CU16*(1+CY80)</f>
        <v>13.481889763779529</v>
      </c>
      <c r="CZ16" s="340">
        <f ca="1">+CV16*(1+CZ80)</f>
        <v>13.426562499999999</v>
      </c>
    </row>
    <row r="17" spans="2:104">
      <c r="B17" s="3374" t="s">
        <v>1896</v>
      </c>
      <c r="C17" s="3327"/>
      <c r="D17" s="3327"/>
      <c r="E17" s="3327"/>
      <c r="F17" s="3327"/>
      <c r="G17" s="3327"/>
      <c r="H17" s="3327"/>
      <c r="I17" s="3327"/>
      <c r="J17" s="3327"/>
      <c r="K17" s="3327"/>
      <c r="L17" s="3327"/>
      <c r="M17" s="3327"/>
      <c r="N17" s="3327"/>
      <c r="O17" s="3605">
        <f>+O13+O10+O7</f>
        <v>6757.8909999999996</v>
      </c>
      <c r="P17" s="3605">
        <f t="shared" ref="P17:Y17" si="18">+P13+P10+P7</f>
        <v>6906.2550000000001</v>
      </c>
      <c r="Q17" s="3605">
        <f t="shared" si="18"/>
        <v>7119.6319999999996</v>
      </c>
      <c r="R17" s="3605">
        <f t="shared" si="18"/>
        <v>7552</v>
      </c>
      <c r="S17" s="3605">
        <f>+S13+S10+S7</f>
        <v>7757</v>
      </c>
      <c r="T17" s="3605">
        <f>+T13+T10+T7</f>
        <v>7762</v>
      </c>
      <c r="U17" s="3605">
        <f>+U13+U10+U7</f>
        <v>7891</v>
      </c>
      <c r="V17" s="3605">
        <f ca="1">+V13+V10+V7</f>
        <v>8017.1865077361026</v>
      </c>
      <c r="W17" s="3605">
        <f t="shared" ca="1" si="18"/>
        <v>8162.5413142343768</v>
      </c>
      <c r="X17" s="3605">
        <f t="shared" ca="1" si="18"/>
        <v>8310.285062299703</v>
      </c>
      <c r="Y17" s="3605">
        <f t="shared" ca="1" si="18"/>
        <v>8461.4120033024519</v>
      </c>
      <c r="Z17" s="3605">
        <f ca="1">+Z13+Z10+Z7</f>
        <v>8614.1933860024765</v>
      </c>
      <c r="AA17" s="3605">
        <f ca="1">+AA13+AA10+AA7</f>
        <v>8757.7599397200738</v>
      </c>
      <c r="AB17" s="3605">
        <f ca="1">+AB13+AB10+AB7</f>
        <v>8896.7352173416984</v>
      </c>
      <c r="AC17" s="3605">
        <f ca="1">+AC13+AC10+AC7</f>
        <v>9037.2311015904761</v>
      </c>
      <c r="AD17" s="3605">
        <f ca="1">+AD13+AD10+AD7</f>
        <v>9185.7007155813208</v>
      </c>
      <c r="AE17" s="3605"/>
      <c r="AF17" s="3327"/>
      <c r="AG17" s="3327"/>
      <c r="AH17" s="3327"/>
      <c r="AI17" s="3327"/>
      <c r="AJ17" s="3327"/>
      <c r="AK17" s="3327"/>
      <c r="AL17" s="3327"/>
      <c r="AM17" s="3327"/>
      <c r="AN17" s="3327"/>
      <c r="AO17" s="3327"/>
      <c r="AP17" s="3327"/>
      <c r="AQ17" s="3327"/>
      <c r="AR17" s="3327"/>
      <c r="AS17" s="3327"/>
      <c r="AT17" s="3327"/>
      <c r="AU17" s="3327"/>
      <c r="AV17" s="3327"/>
      <c r="AW17" s="3327"/>
      <c r="AX17" s="3327"/>
      <c r="AY17" s="3327"/>
      <c r="AZ17" s="3327"/>
      <c r="BA17" s="3327"/>
      <c r="BB17" s="3327"/>
      <c r="BC17" s="3327"/>
      <c r="BD17" s="3327"/>
      <c r="BE17" s="3327"/>
      <c r="BF17" s="3327"/>
      <c r="BG17" s="3327"/>
      <c r="BH17" s="3327"/>
      <c r="BI17" s="3327"/>
      <c r="BJ17" s="3327"/>
      <c r="BK17" s="3327"/>
      <c r="BL17" s="3327"/>
      <c r="BM17" s="3327"/>
      <c r="BN17" s="3327"/>
      <c r="BO17" s="3327"/>
      <c r="BP17" s="3327"/>
      <c r="BQ17" s="3327"/>
      <c r="BR17" s="3327"/>
      <c r="BS17" s="3327"/>
      <c r="BT17" s="3327"/>
      <c r="BU17" s="3605">
        <f t="shared" ref="BU17:CO17" si="19">+BU13+BU10+BU7</f>
        <v>1633.7919999999999</v>
      </c>
      <c r="BV17" s="3605">
        <f t="shared" si="19"/>
        <v>1692.636</v>
      </c>
      <c r="BW17" s="3605">
        <f t="shared" si="19"/>
        <v>1718.7060000000001</v>
      </c>
      <c r="BX17" s="3605">
        <f t="shared" si="19"/>
        <v>1712.7570000000001</v>
      </c>
      <c r="BY17" s="3605">
        <f t="shared" si="19"/>
        <v>1702.175</v>
      </c>
      <c r="BZ17" s="3605">
        <f t="shared" si="19"/>
        <v>1714.7529999999999</v>
      </c>
      <c r="CA17" s="3605">
        <f t="shared" si="19"/>
        <v>1727.1840000000002</v>
      </c>
      <c r="CB17" s="3605">
        <f t="shared" si="19"/>
        <v>1762.143</v>
      </c>
      <c r="CC17" s="3605">
        <f t="shared" si="19"/>
        <v>1746.4590000000001</v>
      </c>
      <c r="CD17" s="3605">
        <f t="shared" si="19"/>
        <v>1761.7329999999999</v>
      </c>
      <c r="CE17" s="3605">
        <f t="shared" si="19"/>
        <v>1783.44</v>
      </c>
      <c r="CF17" s="3605">
        <f t="shared" si="19"/>
        <v>1828</v>
      </c>
      <c r="CG17" s="3605">
        <f t="shared" si="19"/>
        <v>1854</v>
      </c>
      <c r="CH17" s="3605">
        <f t="shared" si="19"/>
        <v>1886</v>
      </c>
      <c r="CI17" s="3605">
        <f t="shared" si="19"/>
        <v>1894</v>
      </c>
      <c r="CJ17" s="3605">
        <f t="shared" si="19"/>
        <v>1918</v>
      </c>
      <c r="CK17" s="3605">
        <f t="shared" si="19"/>
        <v>1927</v>
      </c>
      <c r="CL17" s="3605">
        <f t="shared" si="19"/>
        <v>1941</v>
      </c>
      <c r="CM17" s="3605">
        <f t="shared" si="19"/>
        <v>1946</v>
      </c>
      <c r="CN17" s="3605">
        <f t="shared" si="19"/>
        <v>1943</v>
      </c>
      <c r="CO17" s="3605">
        <f t="shared" si="19"/>
        <v>1945</v>
      </c>
      <c r="CP17" s="3605">
        <f t="shared" ref="CP17:CU17" si="20">+CP13+CP10+CP7</f>
        <v>1955</v>
      </c>
      <c r="CQ17" s="3605">
        <f t="shared" si="20"/>
        <v>1929</v>
      </c>
      <c r="CR17" s="3605">
        <f t="shared" si="20"/>
        <v>1933</v>
      </c>
      <c r="CS17" s="3605">
        <f t="shared" si="20"/>
        <v>1946</v>
      </c>
      <c r="CT17" s="3605">
        <f t="shared" si="20"/>
        <v>1965</v>
      </c>
      <c r="CU17" s="3605">
        <f t="shared" si="20"/>
        <v>1963</v>
      </c>
      <c r="CV17" s="3605">
        <f t="shared" ref="CV17" si="21">+CV13+CV10+CV7</f>
        <v>2017</v>
      </c>
      <c r="CW17" s="3605">
        <f t="shared" ref="CW17:CZ18" ca="1" si="22">+CW7+CW10+CW13</f>
        <v>1966.2589425850588</v>
      </c>
      <c r="CX17" s="3605">
        <f t="shared" ca="1" si="22"/>
        <v>1978.5123001728743</v>
      </c>
      <c r="CY17" s="3605">
        <f t="shared" ca="1" si="22"/>
        <v>2001.9515641815437</v>
      </c>
      <c r="CZ17" s="3605">
        <f t="shared" ca="1" si="22"/>
        <v>2070.4637007966257</v>
      </c>
    </row>
    <row r="18" spans="2:104">
      <c r="B18" s="3404" t="s">
        <v>279</v>
      </c>
      <c r="O18" s="287">
        <f>+O8+O11+O14</f>
        <v>2384.7259999999997</v>
      </c>
      <c r="P18" s="287">
        <f>+P8+P11+P14</f>
        <v>2415.665</v>
      </c>
      <c r="Q18" s="287">
        <f t="shared" ref="Q18:Y18" si="23">+Q8+Q11+Q14</f>
        <v>2323.6010000000001</v>
      </c>
      <c r="R18" s="287">
        <f t="shared" si="23"/>
        <v>2196</v>
      </c>
      <c r="S18" s="287">
        <f>+S8+S11+S14</f>
        <v>2163</v>
      </c>
      <c r="T18" s="287">
        <f>+T8+T11+T14</f>
        <v>2077</v>
      </c>
      <c r="U18" s="287">
        <f>+U8+U11+U14</f>
        <v>1985</v>
      </c>
      <c r="V18" s="287">
        <f ca="1">+V8+V11+V14</f>
        <v>1903.8884919105501</v>
      </c>
      <c r="W18" s="287">
        <f t="shared" ca="1" si="23"/>
        <v>1825.6505637874516</v>
      </c>
      <c r="X18" s="287">
        <f t="shared" ca="1" si="23"/>
        <v>1753.4748014627987</v>
      </c>
      <c r="Y18" s="287">
        <f t="shared" ca="1" si="23"/>
        <v>1686.9369010548712</v>
      </c>
      <c r="Z18" s="287">
        <f ca="1">+Z8+Z11+Z14</f>
        <v>1625.6608175920021</v>
      </c>
      <c r="AA18" s="287">
        <f ca="1">+AA8+AA11+AA14</f>
        <v>1568.4833468513223</v>
      </c>
      <c r="AB18" s="287">
        <f ca="1">+AB8+AB11+AB14</f>
        <v>1515.1281550037088</v>
      </c>
      <c r="AC18" s="287">
        <f ca="1">+AC8+AC11+AC14</f>
        <v>1465.34171515815</v>
      </c>
      <c r="AD18" s="287">
        <f ca="1">+AD8+AD11+AD14</f>
        <v>1418.8913657523649</v>
      </c>
      <c r="AE18" s="287"/>
      <c r="BU18" s="287">
        <f t="shared" ref="BU18:CO18" si="24">+BU8+BU11+BU14</f>
        <v>585.29199999999992</v>
      </c>
      <c r="BV18" s="287">
        <f t="shared" si="24"/>
        <v>605.52099999999996</v>
      </c>
      <c r="BW18" s="287">
        <f t="shared" si="24"/>
        <v>605.85599999999999</v>
      </c>
      <c r="BX18" s="287">
        <f t="shared" si="24"/>
        <v>588.05700000000002</v>
      </c>
      <c r="BY18" s="287">
        <f t="shared" si="24"/>
        <v>604.28700000000003</v>
      </c>
      <c r="BZ18" s="287">
        <f t="shared" si="24"/>
        <v>602.12599999999998</v>
      </c>
      <c r="CA18" s="287">
        <f t="shared" si="24"/>
        <v>600.274</v>
      </c>
      <c r="CB18" s="287">
        <f t="shared" si="24"/>
        <v>608.97800000000007</v>
      </c>
      <c r="CC18" s="287">
        <f t="shared" si="24"/>
        <v>590.60599999999999</v>
      </c>
      <c r="CD18" s="287">
        <f t="shared" si="24"/>
        <v>585.08600000000001</v>
      </c>
      <c r="CE18" s="287">
        <f t="shared" si="24"/>
        <v>579.90899999999999</v>
      </c>
      <c r="CF18" s="287">
        <f t="shared" si="24"/>
        <v>568</v>
      </c>
      <c r="CG18" s="287">
        <f t="shared" si="24"/>
        <v>553</v>
      </c>
      <c r="CH18" s="287">
        <f t="shared" si="24"/>
        <v>553</v>
      </c>
      <c r="CI18" s="287">
        <f t="shared" si="24"/>
        <v>549</v>
      </c>
      <c r="CJ18" s="287">
        <f t="shared" si="24"/>
        <v>541</v>
      </c>
      <c r="CK18" s="287">
        <f t="shared" si="24"/>
        <v>547</v>
      </c>
      <c r="CL18" s="287">
        <f t="shared" si="24"/>
        <v>558</v>
      </c>
      <c r="CM18" s="287">
        <f t="shared" si="24"/>
        <v>529</v>
      </c>
      <c r="CN18" s="287">
        <f t="shared" si="24"/>
        <v>529</v>
      </c>
      <c r="CO18" s="287">
        <f t="shared" si="24"/>
        <v>536</v>
      </c>
      <c r="CP18" s="287">
        <f t="shared" ref="CP18:CU18" si="25">+CP8+CP11+CP14</f>
        <v>540</v>
      </c>
      <c r="CQ18" s="287">
        <f t="shared" si="25"/>
        <v>507</v>
      </c>
      <c r="CR18" s="287">
        <f t="shared" si="25"/>
        <v>494</v>
      </c>
      <c r="CS18" s="287">
        <f t="shared" si="25"/>
        <v>494</v>
      </c>
      <c r="CT18" s="287">
        <f t="shared" si="25"/>
        <v>506</v>
      </c>
      <c r="CU18" s="287">
        <f t="shared" si="25"/>
        <v>496</v>
      </c>
      <c r="CV18" s="287">
        <f t="shared" ref="CV18" si="26">+CV8+CV11+CV14</f>
        <v>489</v>
      </c>
      <c r="CW18" s="287">
        <f t="shared" ca="1" si="22"/>
        <v>480.15930427918119</v>
      </c>
      <c r="CX18" s="287">
        <f t="shared" ca="1" si="22"/>
        <v>478.29651797047836</v>
      </c>
      <c r="CY18" s="287">
        <f t="shared" ca="1" si="22"/>
        <v>474.97857318713255</v>
      </c>
      <c r="CZ18" s="287">
        <f t="shared" ca="1" si="22"/>
        <v>470.45409647375811</v>
      </c>
    </row>
    <row r="19" spans="2:104">
      <c r="B19" s="3405" t="s">
        <v>1897</v>
      </c>
      <c r="P19" s="3595">
        <f>+P18/O18-1</f>
        <v>1.2973817537109245E-2</v>
      </c>
      <c r="Q19" s="3595">
        <f t="shared" ref="Q19:Y19" si="27">+Q18/P18-1</f>
        <v>-3.8111244729712057E-2</v>
      </c>
      <c r="R19" s="3595">
        <f t="shared" si="27"/>
        <v>-5.4915194131866962E-2</v>
      </c>
      <c r="S19" s="3595">
        <f t="shared" si="27"/>
        <v>-1.5027322404371546E-2</v>
      </c>
      <c r="T19" s="3595">
        <f t="shared" si="27"/>
        <v>-3.9759593157651429E-2</v>
      </c>
      <c r="U19" s="3595">
        <f t="shared" si="27"/>
        <v>-4.4294655753490564E-2</v>
      </c>
      <c r="V19" s="3595">
        <f ca="1">+V18/U18-1</f>
        <v>-4.0862220699974805E-2</v>
      </c>
      <c r="W19" s="3595">
        <f t="shared" ca="1" si="27"/>
        <v>-4.1093755467047743E-2</v>
      </c>
      <c r="X19" s="3595">
        <f t="shared" ca="1" si="27"/>
        <v>-3.9534270005602168E-2</v>
      </c>
      <c r="Y19" s="3595">
        <f t="shared" ca="1" si="27"/>
        <v>-3.7946311148822742E-2</v>
      </c>
      <c r="Z19" s="3595">
        <f ca="1">+Z18/Y18-1</f>
        <v>-3.6323874013635016E-2</v>
      </c>
      <c r="AA19" s="3595">
        <f ca="1">+AA18/Z18-1</f>
        <v>-3.5171832969052907E-2</v>
      </c>
      <c r="AB19" s="3595">
        <f ca="1">+AB18/AA18-1</f>
        <v>-3.4017059827075813E-2</v>
      </c>
      <c r="AC19" s="3595">
        <f ca="1">+AC18/AB18-1</f>
        <v>-3.2859556916778998E-2</v>
      </c>
      <c r="AD19" s="3595">
        <f ca="1">+AD18/AC18-1</f>
        <v>-3.1699329190783221E-2</v>
      </c>
      <c r="AE19" s="3595"/>
      <c r="BU19" s="3595"/>
      <c r="BV19" s="3595"/>
      <c r="BW19" s="3595"/>
      <c r="BX19" s="3595"/>
      <c r="BY19" s="3595">
        <f>+BY18/BU18-1</f>
        <v>3.2453886265317422E-2</v>
      </c>
      <c r="BZ19" s="3595">
        <f t="shared" ref="BZ19:CT19" si="28">+BZ18/BV18-1</f>
        <v>-5.6067419627064963E-3</v>
      </c>
      <c r="CA19" s="3595">
        <f t="shared" si="28"/>
        <v>-9.2134104473670098E-3</v>
      </c>
      <c r="CB19" s="3595">
        <f t="shared" si="28"/>
        <v>3.5576483232067746E-2</v>
      </c>
      <c r="CC19" s="3595">
        <f t="shared" si="28"/>
        <v>-2.263990454866649E-2</v>
      </c>
      <c r="CD19" s="3595">
        <f t="shared" si="28"/>
        <v>-2.8299724642350532E-2</v>
      </c>
      <c r="CE19" s="3595">
        <f t="shared" si="28"/>
        <v>-3.3926173714003971E-2</v>
      </c>
      <c r="CF19" s="3595">
        <f t="shared" si="28"/>
        <v>-6.7289787151588509E-2</v>
      </c>
      <c r="CG19" s="3595">
        <f t="shared" si="28"/>
        <v>-6.3673582726894051E-2</v>
      </c>
      <c r="CH19" s="3595">
        <f t="shared" si="28"/>
        <v>-5.4839801328351756E-2</v>
      </c>
      <c r="CI19" s="3595">
        <f t="shared" si="28"/>
        <v>-5.3299741856049798E-2</v>
      </c>
      <c r="CJ19" s="3595">
        <f t="shared" si="28"/>
        <v>-4.7535211267605626E-2</v>
      </c>
      <c r="CK19" s="3595">
        <f t="shared" si="28"/>
        <v>-1.0849909584086825E-2</v>
      </c>
      <c r="CL19" s="3595">
        <f t="shared" si="28"/>
        <v>9.0415913200723175E-3</v>
      </c>
      <c r="CM19" s="3595">
        <f t="shared" si="28"/>
        <v>-3.6429872495446269E-2</v>
      </c>
      <c r="CN19" s="3595">
        <f t="shared" si="28"/>
        <v>-2.2181146025877951E-2</v>
      </c>
      <c r="CO19" s="3595">
        <f t="shared" si="28"/>
        <v>-2.0109689213894E-2</v>
      </c>
      <c r="CP19" s="3595">
        <f t="shared" si="28"/>
        <v>-3.2258064516129004E-2</v>
      </c>
      <c r="CQ19" s="3595">
        <f t="shared" si="28"/>
        <v>-4.1587901701323204E-2</v>
      </c>
      <c r="CR19" s="3595">
        <f t="shared" si="28"/>
        <v>-6.6162570888468775E-2</v>
      </c>
      <c r="CS19" s="3595">
        <f t="shared" si="28"/>
        <v>-7.8358208955223829E-2</v>
      </c>
      <c r="CT19" s="3595">
        <f t="shared" si="28"/>
        <v>-6.2962962962962998E-2</v>
      </c>
      <c r="CU19" s="3595">
        <f>+CU18/CQ18-1</f>
        <v>-2.1696252465483234E-2</v>
      </c>
      <c r="CV19" s="3595">
        <f t="shared" ref="CV19" si="29">+CV18/CR18-1</f>
        <v>-1.0121457489878583E-2</v>
      </c>
      <c r="CW19" s="3595">
        <f ca="1">+CW18/CS18-1</f>
        <v>-2.801760267372233E-2</v>
      </c>
      <c r="CX19" s="3595">
        <f ca="1">+CX18/CT18-1</f>
        <v>-5.4749964485220626E-2</v>
      </c>
      <c r="CY19" s="3595">
        <f ca="1">+CY18/CU18-1</f>
        <v>-4.2381908896910181E-2</v>
      </c>
      <c r="CZ19" s="3595">
        <f ca="1">+CZ18/CV18-1</f>
        <v>-3.7926183080249309E-2</v>
      </c>
    </row>
    <row r="20" spans="2:104">
      <c r="B20" s="3405" t="s">
        <v>1898</v>
      </c>
      <c r="V20" s="3617"/>
      <c r="BV20" s="3595">
        <f>+BV18/BU18-1</f>
        <v>3.4562235602058511E-2</v>
      </c>
      <c r="BW20" s="3595">
        <f>+BW18/BV18-1</f>
        <v>5.5324257953071054E-4</v>
      </c>
      <c r="BX20" s="3595">
        <f>+BX18/BW18-1</f>
        <v>-2.9378268103311678E-2</v>
      </c>
      <c r="BY20" s="3595">
        <f>+BY18/BX18-1</f>
        <v>2.7599365367642958E-2</v>
      </c>
      <c r="BZ20" s="3595">
        <f t="shared" ref="BZ20:CT20" si="30">+BZ18/BY18-1</f>
        <v>-3.5761153226862019E-3</v>
      </c>
      <c r="CA20" s="3595">
        <f t="shared" si="30"/>
        <v>-3.075768194696793E-3</v>
      </c>
      <c r="CB20" s="3595">
        <f t="shared" si="30"/>
        <v>1.4500044979459448E-2</v>
      </c>
      <c r="CC20" s="3595">
        <f t="shared" si="30"/>
        <v>-3.0168577518399742E-2</v>
      </c>
      <c r="CD20" s="3595">
        <f t="shared" si="30"/>
        <v>-9.346332411116709E-3</v>
      </c>
      <c r="CE20" s="3595">
        <f t="shared" si="30"/>
        <v>-8.8482718779803182E-3</v>
      </c>
      <c r="CF20" s="3595">
        <f t="shared" si="30"/>
        <v>-2.0535980645239205E-2</v>
      </c>
      <c r="CG20" s="3595">
        <f t="shared" si="30"/>
        <v>-2.6408450704225372E-2</v>
      </c>
      <c r="CH20" s="3595">
        <f t="shared" si="30"/>
        <v>0</v>
      </c>
      <c r="CI20" s="3595">
        <f t="shared" si="30"/>
        <v>-7.2332730560579206E-3</v>
      </c>
      <c r="CJ20" s="3595">
        <f t="shared" si="30"/>
        <v>-1.4571948998178486E-2</v>
      </c>
      <c r="CK20" s="3595">
        <f t="shared" si="30"/>
        <v>1.109057301293892E-2</v>
      </c>
      <c r="CL20" s="3595">
        <f t="shared" si="30"/>
        <v>2.0109689213893889E-2</v>
      </c>
      <c r="CM20" s="3595">
        <f t="shared" si="30"/>
        <v>-5.1971326164874543E-2</v>
      </c>
      <c r="CN20" s="3595">
        <f t="shared" si="30"/>
        <v>0</v>
      </c>
      <c r="CO20" s="3595">
        <f t="shared" si="30"/>
        <v>1.3232514177693666E-2</v>
      </c>
      <c r="CP20" s="3595">
        <f t="shared" si="30"/>
        <v>7.4626865671640896E-3</v>
      </c>
      <c r="CQ20" s="3595">
        <f t="shared" si="30"/>
        <v>-6.1111111111111116E-2</v>
      </c>
      <c r="CR20" s="3595">
        <f t="shared" si="30"/>
        <v>-2.5641025641025661E-2</v>
      </c>
      <c r="CS20" s="3595">
        <f t="shared" si="30"/>
        <v>0</v>
      </c>
      <c r="CT20" s="3595">
        <f t="shared" si="30"/>
        <v>2.4291497975708509E-2</v>
      </c>
      <c r="CU20" s="3595">
        <f>+CU18/CT18-1</f>
        <v>-1.9762845849802368E-2</v>
      </c>
      <c r="CV20" s="3595">
        <f t="shared" ref="CV20" si="31">+CV18/CU18-1</f>
        <v>-1.4112903225806495E-2</v>
      </c>
      <c r="CW20" s="3595">
        <f ca="1">+CW18/CV18-1</f>
        <v>-1.8079132353412741E-2</v>
      </c>
      <c r="CX20" s="3595">
        <f ca="1">+CX18/CW18-1</f>
        <v>-3.8795172604210171E-3</v>
      </c>
      <c r="CY20" s="3595">
        <f ca="1">+CY18/CX18-1</f>
        <v>-6.9370038431904035E-3</v>
      </c>
      <c r="CZ20" s="3595">
        <f ca="1">+CZ18/CY18-1</f>
        <v>-9.5256438264466059E-3</v>
      </c>
    </row>
    <row r="21" spans="2:104">
      <c r="B21" s="3404" t="s">
        <v>1676</v>
      </c>
      <c r="O21" s="287">
        <f>+O9+O12+O15+O16</f>
        <v>4373.165</v>
      </c>
      <c r="P21" s="287">
        <f>+P9+P12+P15+P16</f>
        <v>4490.59</v>
      </c>
      <c r="Q21" s="287">
        <f t="shared" ref="Q21:Y21" si="32">+Q9+Q12+Q15+Q16</f>
        <v>4796.0309999999999</v>
      </c>
      <c r="R21" s="287">
        <f t="shared" si="32"/>
        <v>5356</v>
      </c>
      <c r="S21" s="287">
        <f>+S9+S12+S15+S16</f>
        <v>5594</v>
      </c>
      <c r="T21" s="287">
        <f>+T9+T12+T15+T16</f>
        <v>5685</v>
      </c>
      <c r="U21" s="287">
        <f>+U9+U12+U15+U16</f>
        <v>5906</v>
      </c>
      <c r="V21" s="287">
        <f ca="1">+V9+V12+V15+V16</f>
        <v>6113.2980158255532</v>
      </c>
      <c r="W21" s="287">
        <f t="shared" ca="1" si="32"/>
        <v>6336.8907504469253</v>
      </c>
      <c r="X21" s="287">
        <f t="shared" ca="1" si="32"/>
        <v>6556.8102608369054</v>
      </c>
      <c r="Y21" s="287">
        <f t="shared" ca="1" si="32"/>
        <v>6774.4751022475812</v>
      </c>
      <c r="Z21" s="287">
        <f ca="1">+Z9+Z12+Z15+Z16</f>
        <v>6988.5325684104737</v>
      </c>
      <c r="AA21" s="287">
        <f ca="1">+AA9+AA12+AA15+AA16</f>
        <v>7189.2765928687513</v>
      </c>
      <c r="AB21" s="287">
        <f ca="1">+AB9+AB12+AB15+AB16</f>
        <v>7381.6070623379883</v>
      </c>
      <c r="AC21" s="287">
        <f ca="1">+AC9+AC12+AC15+AC16</f>
        <v>7571.8893864323254</v>
      </c>
      <c r="AD21" s="287">
        <f ca="1">+AD9+AD12+AD15+AD16</f>
        <v>7766.8093498289554</v>
      </c>
      <c r="AE21" s="287"/>
      <c r="BU21" s="287">
        <f t="shared" ref="BU21:CT21" si="33">+BU9+BU12+BU15+BU16</f>
        <v>1048.5</v>
      </c>
      <c r="BV21" s="287">
        <f t="shared" si="33"/>
        <v>1087.115</v>
      </c>
      <c r="BW21" s="287">
        <f t="shared" si="33"/>
        <v>1112.8499999999999</v>
      </c>
      <c r="BX21" s="287">
        <f t="shared" si="33"/>
        <v>1124.7</v>
      </c>
      <c r="BY21" s="287">
        <f t="shared" si="33"/>
        <v>1097.8879999999999</v>
      </c>
      <c r="BZ21" s="287">
        <f t="shared" si="33"/>
        <v>1112.627</v>
      </c>
      <c r="CA21" s="287">
        <f t="shared" si="33"/>
        <v>1126.9100000000001</v>
      </c>
      <c r="CB21" s="287">
        <f t="shared" si="33"/>
        <v>1153.165</v>
      </c>
      <c r="CC21" s="287">
        <f t="shared" si="33"/>
        <v>1155.8530000000001</v>
      </c>
      <c r="CD21" s="287">
        <f t="shared" si="33"/>
        <v>1176.6469999999999</v>
      </c>
      <c r="CE21" s="287">
        <f t="shared" si="33"/>
        <v>1203.5309999999999</v>
      </c>
      <c r="CF21" s="287">
        <f t="shared" si="33"/>
        <v>1260</v>
      </c>
      <c r="CG21" s="287">
        <f t="shared" si="33"/>
        <v>1301</v>
      </c>
      <c r="CH21" s="287">
        <f t="shared" si="33"/>
        <v>1333</v>
      </c>
      <c r="CI21" s="287">
        <f t="shared" si="33"/>
        <v>1345</v>
      </c>
      <c r="CJ21" s="287">
        <f t="shared" si="33"/>
        <v>1377</v>
      </c>
      <c r="CK21" s="287">
        <f t="shared" si="33"/>
        <v>1380</v>
      </c>
      <c r="CL21" s="287">
        <f t="shared" si="33"/>
        <v>1383</v>
      </c>
      <c r="CM21" s="287">
        <f t="shared" si="33"/>
        <v>1417</v>
      </c>
      <c r="CN21" s="287">
        <f t="shared" si="33"/>
        <v>1414</v>
      </c>
      <c r="CO21" s="287">
        <f t="shared" si="33"/>
        <v>1409</v>
      </c>
      <c r="CP21" s="287">
        <f t="shared" si="33"/>
        <v>1415</v>
      </c>
      <c r="CQ21" s="287">
        <f t="shared" si="33"/>
        <v>1422</v>
      </c>
      <c r="CR21" s="287">
        <f t="shared" si="33"/>
        <v>1439</v>
      </c>
      <c r="CS21" s="287">
        <f t="shared" si="33"/>
        <v>1452</v>
      </c>
      <c r="CT21" s="287">
        <f t="shared" si="33"/>
        <v>1459</v>
      </c>
      <c r="CU21" s="287">
        <f>+CU9+CU12+CU15+CU16</f>
        <v>1467</v>
      </c>
      <c r="CV21" s="287">
        <f t="shared" ref="CV21" si="34">+CV9+CV12+CV15+CV16</f>
        <v>1528</v>
      </c>
      <c r="CW21" s="287">
        <f ca="1">+CW9+CW12+CW15+CW16</f>
        <v>1486.0996383058778</v>
      </c>
      <c r="CX21" s="287">
        <f ca="1">+CX9+CX12+CX15+CX16</f>
        <v>1500.215782202396</v>
      </c>
      <c r="CY21" s="287">
        <f ca="1">+CY9+CY12+CY15+CY16</f>
        <v>1526.9729909944108</v>
      </c>
      <c r="CZ21" s="287">
        <f ca="1">+CZ9+CZ12+CZ15+CZ16</f>
        <v>1600.009604322868</v>
      </c>
    </row>
    <row r="22" spans="2:104">
      <c r="B22" s="3405" t="s">
        <v>1897</v>
      </c>
      <c r="P22" s="3595">
        <f>+P21/O21-1</f>
        <v>2.6851262186539993E-2</v>
      </c>
      <c r="Q22" s="3595">
        <f t="shared" ref="Q22:Y22" si="35">+Q21/P21-1</f>
        <v>6.801801099632776E-2</v>
      </c>
      <c r="R22" s="3595">
        <f t="shared" si="35"/>
        <v>0.1167567515722896</v>
      </c>
      <c r="S22" s="3595">
        <f t="shared" si="35"/>
        <v>4.4436146377893948E-2</v>
      </c>
      <c r="T22" s="3595">
        <f t="shared" si="35"/>
        <v>1.6267429388630683E-2</v>
      </c>
      <c r="U22" s="3595">
        <f t="shared" si="35"/>
        <v>3.8874230430958612E-2</v>
      </c>
      <c r="V22" s="3595">
        <f ca="1">+V21/U21-1</f>
        <v>3.5099562449297794E-2</v>
      </c>
      <c r="W22" s="3595">
        <f t="shared" ca="1" si="35"/>
        <v>3.6574813470986678E-2</v>
      </c>
      <c r="X22" s="3595">
        <f t="shared" ca="1" si="35"/>
        <v>3.4704639712223262E-2</v>
      </c>
      <c r="Y22" s="3595">
        <f t="shared" ca="1" si="35"/>
        <v>3.3196757684260447E-2</v>
      </c>
      <c r="Z22" s="3595">
        <f ca="1">+Z21/Y21-1</f>
        <v>3.1597646006828572E-2</v>
      </c>
      <c r="AA22" s="3595">
        <f ca="1">+AA21/Z21-1</f>
        <v>2.8724774835518385E-2</v>
      </c>
      <c r="AB22" s="3595">
        <f ca="1">+AB21/AA21-1</f>
        <v>2.6752409228490981E-2</v>
      </c>
      <c r="AC22" s="3595">
        <f ca="1">+AC21/AB21-1</f>
        <v>2.5777899377113167E-2</v>
      </c>
      <c r="AD22" s="3595">
        <f ca="1">+AD21/AC21-1</f>
        <v>2.5742579354882889E-2</v>
      </c>
      <c r="AE22" s="3595"/>
      <c r="BU22" s="3595"/>
      <c r="BV22" s="3595"/>
      <c r="BW22" s="3595"/>
      <c r="BX22" s="3595"/>
      <c r="BY22" s="3595">
        <f t="shared" ref="BY22:CT22" si="36">+BY21/BU21-1</f>
        <v>4.7103481163566885E-2</v>
      </c>
      <c r="BZ22" s="3595">
        <f t="shared" si="36"/>
        <v>2.3467618421234127E-2</v>
      </c>
      <c r="CA22" s="3595">
        <f t="shared" si="36"/>
        <v>1.2634227434065837E-2</v>
      </c>
      <c r="CB22" s="3595">
        <f t="shared" si="36"/>
        <v>2.5308971281230441E-2</v>
      </c>
      <c r="CC22" s="3595">
        <f t="shared" si="36"/>
        <v>5.2796824448395618E-2</v>
      </c>
      <c r="CD22" s="3595">
        <f t="shared" si="36"/>
        <v>5.7539498861703064E-2</v>
      </c>
      <c r="CE22" s="3595">
        <f t="shared" si="36"/>
        <v>6.7992120045078819E-2</v>
      </c>
      <c r="CF22" s="3595">
        <f t="shared" si="36"/>
        <v>9.2645024779628216E-2</v>
      </c>
      <c r="CG22" s="3595">
        <f t="shared" si="36"/>
        <v>0.12557565711210672</v>
      </c>
      <c r="CH22" s="3595">
        <f t="shared" si="36"/>
        <v>0.1328801246253124</v>
      </c>
      <c r="CI22" s="3595">
        <f t="shared" si="36"/>
        <v>0.11754495729648839</v>
      </c>
      <c r="CJ22" s="3595">
        <f t="shared" si="36"/>
        <v>9.2857142857142749E-2</v>
      </c>
      <c r="CK22" s="3595">
        <f t="shared" si="36"/>
        <v>6.0722521137586583E-2</v>
      </c>
      <c r="CL22" s="3595">
        <f t="shared" si="36"/>
        <v>3.7509377344336015E-2</v>
      </c>
      <c r="CM22" s="3595">
        <f t="shared" si="36"/>
        <v>5.3531598513011147E-2</v>
      </c>
      <c r="CN22" s="3595">
        <f t="shared" si="36"/>
        <v>2.6870007262164153E-2</v>
      </c>
      <c r="CO22" s="3595">
        <f t="shared" si="36"/>
        <v>2.1014492753623104E-2</v>
      </c>
      <c r="CP22" s="3595">
        <f t="shared" si="36"/>
        <v>2.3138105567606759E-2</v>
      </c>
      <c r="CQ22" s="3595">
        <f t="shared" si="36"/>
        <v>3.5285815102328311E-3</v>
      </c>
      <c r="CR22" s="3595">
        <f t="shared" si="36"/>
        <v>1.7680339462517791E-2</v>
      </c>
      <c r="CS22" s="3595">
        <f t="shared" si="36"/>
        <v>3.0518097941802713E-2</v>
      </c>
      <c r="CT22" s="3595">
        <f t="shared" si="36"/>
        <v>3.1095406360424072E-2</v>
      </c>
      <c r="CU22" s="3595">
        <f>+CU21/CQ21-1</f>
        <v>3.1645569620253111E-2</v>
      </c>
      <c r="CV22" s="3595">
        <f t="shared" ref="CV22" si="37">+CV21/CR21-1</f>
        <v>6.1848505906879847E-2</v>
      </c>
      <c r="CW22" s="3595">
        <f ca="1">+CW21/CS21-1</f>
        <v>2.3484599384213434E-2</v>
      </c>
      <c r="CX22" s="3595">
        <f ca="1">+CX21/CT21-1</f>
        <v>2.8249336670593594E-2</v>
      </c>
      <c r="CY22" s="3595">
        <f ca="1">+CY21/CU21-1</f>
        <v>4.08813844542677E-2</v>
      </c>
      <c r="CZ22" s="3595">
        <f ca="1">+CZ21/CV21-1</f>
        <v>4.7126704399782726E-2</v>
      </c>
    </row>
    <row r="23" spans="2:104">
      <c r="B23" s="3405" t="s">
        <v>1898</v>
      </c>
      <c r="V23" s="3617"/>
      <c r="BV23" s="3595">
        <f>+BV21/BU21-1</f>
        <v>3.6828803051978998E-2</v>
      </c>
      <c r="BW23" s="3595">
        <f t="shared" ref="BW23:CT23" si="38">+BW21/BV21-1</f>
        <v>2.3672748513266617E-2</v>
      </c>
      <c r="BX23" s="3595">
        <f t="shared" si="38"/>
        <v>1.0648335355169181E-2</v>
      </c>
      <c r="BY23" s="3595">
        <f t="shared" si="38"/>
        <v>-2.3839246021161276E-2</v>
      </c>
      <c r="BZ23" s="3595">
        <f t="shared" si="38"/>
        <v>1.3424866653064749E-2</v>
      </c>
      <c r="CA23" s="3595">
        <f t="shared" si="38"/>
        <v>1.2837186226830832E-2</v>
      </c>
      <c r="CB23" s="3595">
        <f t="shared" si="38"/>
        <v>2.329822257323122E-2</v>
      </c>
      <c r="CC23" s="3595">
        <f t="shared" si="38"/>
        <v>2.330976052863365E-3</v>
      </c>
      <c r="CD23" s="3595">
        <f t="shared" si="38"/>
        <v>1.7990176951567349E-2</v>
      </c>
      <c r="CE23" s="3595">
        <f t="shared" si="38"/>
        <v>2.2847973946306777E-2</v>
      </c>
      <c r="CF23" s="3595">
        <f t="shared" si="38"/>
        <v>4.6919439549126807E-2</v>
      </c>
      <c r="CG23" s="3595">
        <f t="shared" si="38"/>
        <v>3.2539682539682646E-2</v>
      </c>
      <c r="CH23" s="3595">
        <f t="shared" si="38"/>
        <v>2.4596464258262785E-2</v>
      </c>
      <c r="CI23" s="3595">
        <f t="shared" si="38"/>
        <v>9.0022505626405902E-3</v>
      </c>
      <c r="CJ23" s="3595">
        <f t="shared" si="38"/>
        <v>2.3791821561338189E-2</v>
      </c>
      <c r="CK23" s="3595">
        <f t="shared" si="38"/>
        <v>2.1786492374726851E-3</v>
      </c>
      <c r="CL23" s="3595">
        <f t="shared" si="38"/>
        <v>2.1739130434783593E-3</v>
      </c>
      <c r="CM23" s="3595">
        <f t="shared" si="38"/>
        <v>2.4584237165582001E-2</v>
      </c>
      <c r="CN23" s="3595">
        <f t="shared" si="38"/>
        <v>-2.1171489061396764E-3</v>
      </c>
      <c r="CO23" s="3595">
        <f t="shared" si="38"/>
        <v>-3.5360678925034916E-3</v>
      </c>
      <c r="CP23" s="3595">
        <f t="shared" si="38"/>
        <v>4.2583392476933657E-3</v>
      </c>
      <c r="CQ23" s="3595">
        <f t="shared" si="38"/>
        <v>4.9469964664310417E-3</v>
      </c>
      <c r="CR23" s="3595">
        <f t="shared" si="38"/>
        <v>1.1954992967651235E-2</v>
      </c>
      <c r="CS23" s="3595">
        <f t="shared" si="38"/>
        <v>9.0340514246003423E-3</v>
      </c>
      <c r="CT23" s="3595">
        <f t="shared" si="38"/>
        <v>4.8209366391185338E-3</v>
      </c>
      <c r="CU23" s="3595">
        <f>+CU21/CT21-1</f>
        <v>5.4832076764907978E-3</v>
      </c>
      <c r="CV23" s="3595">
        <f t="shared" ref="CV23" si="39">+CV21/CU21-1</f>
        <v>4.1581458759372802E-2</v>
      </c>
      <c r="CW23" s="3595">
        <f ca="1">+CW21/CV21-1</f>
        <v>-2.7421702679399362E-2</v>
      </c>
      <c r="CX23" s="3595">
        <f ca="1">+CX21/CW21-1</f>
        <v>9.49878698080453E-3</v>
      </c>
      <c r="CY23" s="3595">
        <f ca="1">+CY21/CX21-1</f>
        <v>1.7835573461794763E-2</v>
      </c>
      <c r="CZ23" s="3595">
        <f ca="1">+CZ21/CY21-1</f>
        <v>4.7830979171997967E-2</v>
      </c>
    </row>
    <row r="24" spans="2:104">
      <c r="B24" s="3404"/>
      <c r="V24" s="3617"/>
      <c r="CU24" s="3617"/>
    </row>
    <row r="25" spans="2:104">
      <c r="B25" s="3403" t="s">
        <v>1899</v>
      </c>
      <c r="C25" s="3606"/>
      <c r="D25" s="3606"/>
      <c r="E25" s="3606"/>
      <c r="F25" s="3606"/>
      <c r="G25" s="3606"/>
      <c r="H25" s="3606"/>
      <c r="I25" s="3606"/>
      <c r="J25" s="3606"/>
      <c r="K25" s="3606"/>
      <c r="L25" s="3606"/>
      <c r="M25" s="3606"/>
      <c r="N25" s="3606"/>
      <c r="O25" s="3596">
        <f>+O18+O21</f>
        <v>6757.8909999999996</v>
      </c>
      <c r="P25" s="3596">
        <f>+P18+P21</f>
        <v>6906.2550000000001</v>
      </c>
      <c r="Q25" s="3596">
        <f t="shared" ref="Q25:Y25" si="40">+Q18+Q21</f>
        <v>7119.6319999999996</v>
      </c>
      <c r="R25" s="3596">
        <f t="shared" si="40"/>
        <v>7552</v>
      </c>
      <c r="S25" s="3596">
        <f>+S18+S21</f>
        <v>7757</v>
      </c>
      <c r="T25" s="3596">
        <f>+T18+T21</f>
        <v>7762</v>
      </c>
      <c r="U25" s="3596">
        <f>+U18+U21</f>
        <v>7891</v>
      </c>
      <c r="V25" s="3596">
        <f ca="1">+V18+V21</f>
        <v>8017.1865077361035</v>
      </c>
      <c r="W25" s="3596">
        <f t="shared" ca="1" si="40"/>
        <v>8162.5413142343768</v>
      </c>
      <c r="X25" s="3596">
        <f t="shared" ca="1" si="40"/>
        <v>8310.2850622997048</v>
      </c>
      <c r="Y25" s="3596">
        <f t="shared" ca="1" si="40"/>
        <v>8461.4120033024519</v>
      </c>
      <c r="Z25" s="3596">
        <f ca="1">+Z18+Z21</f>
        <v>8614.1933860024765</v>
      </c>
      <c r="AA25" s="3596">
        <f ca="1">+AA18+AA21</f>
        <v>8757.7599397200738</v>
      </c>
      <c r="AB25" s="3596">
        <f ca="1">+AB18+AB21</f>
        <v>8896.7352173416966</v>
      </c>
      <c r="AC25" s="3596">
        <f ca="1">+AC18+AC21</f>
        <v>9037.2311015904761</v>
      </c>
      <c r="AD25" s="3596">
        <f ca="1">+AD18+AD21</f>
        <v>9185.7007155813208</v>
      </c>
      <c r="AE25" s="3596"/>
      <c r="AF25" s="3606"/>
      <c r="AG25" s="3606"/>
      <c r="AH25" s="3606"/>
      <c r="AI25" s="3606"/>
      <c r="AJ25" s="3606"/>
      <c r="AK25" s="3606"/>
      <c r="AL25" s="3606"/>
      <c r="AM25" s="3606"/>
      <c r="AN25" s="3606"/>
      <c r="AO25" s="3606"/>
      <c r="AP25" s="3606"/>
      <c r="AQ25" s="3606"/>
      <c r="AR25" s="3606"/>
      <c r="AS25" s="3606"/>
      <c r="AT25" s="3606"/>
      <c r="AU25" s="3606"/>
      <c r="AV25" s="3606"/>
      <c r="AW25" s="3606"/>
      <c r="AX25" s="3606"/>
      <c r="AY25" s="3606"/>
      <c r="AZ25" s="3606"/>
      <c r="BA25" s="3606"/>
      <c r="BB25" s="3606"/>
      <c r="BC25" s="3606"/>
      <c r="BD25" s="3606"/>
      <c r="BE25" s="3606"/>
      <c r="BF25" s="3606"/>
      <c r="BG25" s="3606"/>
      <c r="BH25" s="3606"/>
      <c r="BI25" s="3606"/>
      <c r="BJ25" s="3606"/>
      <c r="BK25" s="3606"/>
      <c r="BL25" s="3606"/>
      <c r="BM25" s="3606"/>
      <c r="BN25" s="3606"/>
      <c r="BO25" s="3606"/>
      <c r="BP25" s="3606"/>
      <c r="BQ25" s="3606"/>
      <c r="BR25" s="3606"/>
      <c r="BS25" s="3606"/>
      <c r="BT25" s="3606"/>
      <c r="BU25" s="3596">
        <f t="shared" ref="BU25:CT25" si="41">+BU18+BU21</f>
        <v>1633.7919999999999</v>
      </c>
      <c r="BV25" s="3596">
        <f t="shared" si="41"/>
        <v>1692.636</v>
      </c>
      <c r="BW25" s="3596">
        <f t="shared" si="41"/>
        <v>1718.7059999999999</v>
      </c>
      <c r="BX25" s="3596">
        <f t="shared" si="41"/>
        <v>1712.7570000000001</v>
      </c>
      <c r="BY25" s="3596">
        <f t="shared" si="41"/>
        <v>1702.175</v>
      </c>
      <c r="BZ25" s="3596">
        <f t="shared" si="41"/>
        <v>1714.7529999999999</v>
      </c>
      <c r="CA25" s="3596">
        <f t="shared" si="41"/>
        <v>1727.1840000000002</v>
      </c>
      <c r="CB25" s="3596">
        <f t="shared" si="41"/>
        <v>1762.143</v>
      </c>
      <c r="CC25" s="3596">
        <f t="shared" si="41"/>
        <v>1746.4590000000001</v>
      </c>
      <c r="CD25" s="3596">
        <f t="shared" si="41"/>
        <v>1761.7329999999999</v>
      </c>
      <c r="CE25" s="3596">
        <f t="shared" si="41"/>
        <v>1783.44</v>
      </c>
      <c r="CF25" s="3596">
        <f t="shared" si="41"/>
        <v>1828</v>
      </c>
      <c r="CG25" s="3596">
        <f t="shared" si="41"/>
        <v>1854</v>
      </c>
      <c r="CH25" s="3596">
        <f t="shared" si="41"/>
        <v>1886</v>
      </c>
      <c r="CI25" s="3596">
        <f t="shared" si="41"/>
        <v>1894</v>
      </c>
      <c r="CJ25" s="3596">
        <f t="shared" si="41"/>
        <v>1918</v>
      </c>
      <c r="CK25" s="3596">
        <f t="shared" si="41"/>
        <v>1927</v>
      </c>
      <c r="CL25" s="3596">
        <f t="shared" si="41"/>
        <v>1941</v>
      </c>
      <c r="CM25" s="3596">
        <f t="shared" si="41"/>
        <v>1946</v>
      </c>
      <c r="CN25" s="3596">
        <f t="shared" si="41"/>
        <v>1943</v>
      </c>
      <c r="CO25" s="3596">
        <f t="shared" si="41"/>
        <v>1945</v>
      </c>
      <c r="CP25" s="3596">
        <f t="shared" si="41"/>
        <v>1955</v>
      </c>
      <c r="CQ25" s="3596">
        <f t="shared" si="41"/>
        <v>1929</v>
      </c>
      <c r="CR25" s="3596">
        <f t="shared" si="41"/>
        <v>1933</v>
      </c>
      <c r="CS25" s="3596">
        <f t="shared" si="41"/>
        <v>1946</v>
      </c>
      <c r="CT25" s="3596">
        <f t="shared" si="41"/>
        <v>1965</v>
      </c>
      <c r="CU25" s="3596">
        <f>+CU18+CU21</f>
        <v>1963</v>
      </c>
      <c r="CV25" s="3596">
        <f t="shared" ref="CV25" si="42">+CV18+CV21</f>
        <v>2017</v>
      </c>
      <c r="CW25" s="3596">
        <f ca="1">+CW18+CW21</f>
        <v>1966.258942585059</v>
      </c>
      <c r="CX25" s="3596">
        <f ca="1">+CX18+CX21</f>
        <v>1978.5123001728743</v>
      </c>
      <c r="CY25" s="3596">
        <f ca="1">+CY18+CY21</f>
        <v>2001.9515641815433</v>
      </c>
      <c r="CZ25" s="3596">
        <f ca="1">+CZ18+CZ21</f>
        <v>2070.4637007966262</v>
      </c>
    </row>
    <row r="26" spans="2:104">
      <c r="B26" s="3405" t="s">
        <v>1897</v>
      </c>
      <c r="P26" s="3595">
        <f>+P25/O25-1</f>
        <v>2.1954186594604908E-2</v>
      </c>
      <c r="Q26" s="3595">
        <f t="shared" ref="Q26:Y26" si="43">+Q25/P25-1</f>
        <v>3.0896194826284251E-2</v>
      </c>
      <c r="R26" s="3595">
        <f t="shared" si="43"/>
        <v>6.0728981497920165E-2</v>
      </c>
      <c r="S26" s="3595">
        <f t="shared" si="43"/>
        <v>2.714512711864403E-2</v>
      </c>
      <c r="T26" s="3595">
        <f t="shared" si="43"/>
        <v>6.4457908985438017E-4</v>
      </c>
      <c r="U26" s="3595">
        <f t="shared" si="43"/>
        <v>1.6619427982478729E-2</v>
      </c>
      <c r="V26" s="3595">
        <f ca="1">+V25/U25-1</f>
        <v>1.5991193478152699E-2</v>
      </c>
      <c r="W26" s="3595">
        <f t="shared" ca="1" si="43"/>
        <v>1.8130401027594223E-2</v>
      </c>
      <c r="X26" s="3595">
        <f t="shared" ca="1" si="43"/>
        <v>1.8100214428034E-2</v>
      </c>
      <c r="Y26" s="3595">
        <f t="shared" ca="1" si="43"/>
        <v>1.8185530324145827E-2</v>
      </c>
      <c r="Z26" s="3595">
        <f ca="1">+Z25/Y25-1</f>
        <v>1.8056251443659077E-2</v>
      </c>
      <c r="AA26" s="3595">
        <f ca="1">+AA25/Z25-1</f>
        <v>1.6666279393133143E-2</v>
      </c>
      <c r="AB26" s="3595">
        <f ca="1">+AB25/AA25-1</f>
        <v>1.5868815607894549E-2</v>
      </c>
      <c r="AC26" s="3595">
        <f ca="1">+AC25/AB25-1</f>
        <v>1.5791847325625996E-2</v>
      </c>
      <c r="AD26" s="3595">
        <f ca="1">+AD25/AC25-1</f>
        <v>1.642866186798253E-2</v>
      </c>
      <c r="AE26" s="3595"/>
      <c r="BU26" s="3595"/>
      <c r="BV26" s="3595"/>
      <c r="BW26" s="3595"/>
      <c r="BX26" s="3595"/>
      <c r="BY26" s="3595">
        <f t="shared" ref="BY26:CT26" si="44">+BY25/BU25-1</f>
        <v>4.1855389180507796E-2</v>
      </c>
      <c r="BZ26" s="3595">
        <f t="shared" si="44"/>
        <v>1.3066601442956349E-2</v>
      </c>
      <c r="CA26" s="3595">
        <f t="shared" si="44"/>
        <v>4.9327808246437677E-3</v>
      </c>
      <c r="CB26" s="3595">
        <f t="shared" si="44"/>
        <v>2.8834212909361945E-2</v>
      </c>
      <c r="CC26" s="3595">
        <f t="shared" si="44"/>
        <v>2.6016126426483765E-2</v>
      </c>
      <c r="CD26" s="3595">
        <f t="shared" si="44"/>
        <v>2.7397531889432392E-2</v>
      </c>
      <c r="CE26" s="3595">
        <f t="shared" si="44"/>
        <v>3.2570936275463369E-2</v>
      </c>
      <c r="CF26" s="3595">
        <f t="shared" si="44"/>
        <v>3.7373243828679126E-2</v>
      </c>
      <c r="CG26" s="3595">
        <f t="shared" si="44"/>
        <v>6.1576595843360726E-2</v>
      </c>
      <c r="CH26" s="3595">
        <f t="shared" si="44"/>
        <v>7.0536795303261179E-2</v>
      </c>
      <c r="CI26" s="3595">
        <f t="shared" si="44"/>
        <v>6.1992553716413212E-2</v>
      </c>
      <c r="CJ26" s="3595">
        <f t="shared" si="44"/>
        <v>4.9234135667395984E-2</v>
      </c>
      <c r="CK26" s="3595">
        <f t="shared" si="44"/>
        <v>3.9374325782092878E-2</v>
      </c>
      <c r="CL26" s="3595">
        <f t="shared" si="44"/>
        <v>2.9162248144220637E-2</v>
      </c>
      <c r="CM26" s="3595">
        <f t="shared" si="44"/>
        <v>2.7455121436114061E-2</v>
      </c>
      <c r="CN26" s="3595">
        <f t="shared" si="44"/>
        <v>1.3034410844629862E-2</v>
      </c>
      <c r="CO26" s="3595">
        <f t="shared" si="44"/>
        <v>9.3409444732746039E-3</v>
      </c>
      <c r="CP26" s="3595">
        <f t="shared" si="44"/>
        <v>7.2127769191139279E-3</v>
      </c>
      <c r="CQ26" s="3595">
        <f t="shared" si="44"/>
        <v>-8.7358684480987048E-3</v>
      </c>
      <c r="CR26" s="3595">
        <f t="shared" si="44"/>
        <v>-5.1466803911477399E-3</v>
      </c>
      <c r="CS26" s="3595">
        <f t="shared" si="44"/>
        <v>5.1413881748074708E-4</v>
      </c>
      <c r="CT26" s="3595">
        <f t="shared" si="44"/>
        <v>5.1150895140665842E-3</v>
      </c>
      <c r="CU26" s="3595">
        <f>+CU25/CQ25-1</f>
        <v>1.7625712804562044E-2</v>
      </c>
      <c r="CV26" s="3595">
        <f t="shared" ref="CV26" si="45">+CV25/CR25-1</f>
        <v>4.3455768235902692E-2</v>
      </c>
      <c r="CW26" s="3595">
        <f ca="1">+CW25/CS25-1</f>
        <v>1.0410556312979935E-2</v>
      </c>
      <c r="CX26" s="3595">
        <f ca="1">+CX25/CT25-1</f>
        <v>6.8764886375951573E-3</v>
      </c>
      <c r="CY26" s="3595">
        <f ca="1">+CY25/CU25-1</f>
        <v>1.9842875283516692E-2</v>
      </c>
      <c r="CZ26" s="3595">
        <f ca="1">+CZ25/CV25-1</f>
        <v>2.6506544767787021E-2</v>
      </c>
    </row>
    <row r="27" spans="2:104">
      <c r="B27" s="3405" t="s">
        <v>1898</v>
      </c>
      <c r="V27" s="3617"/>
      <c r="BV27" s="3595">
        <f>+BV25/BU25-1</f>
        <v>3.6016824663114955E-2</v>
      </c>
      <c r="BW27" s="3595">
        <f t="shared" ref="BW27:CT27" si="46">+BW25/BV25-1</f>
        <v>1.5402012009670063E-2</v>
      </c>
      <c r="BX27" s="3595">
        <f t="shared" si="46"/>
        <v>-3.4613249735555573E-3</v>
      </c>
      <c r="BY27" s="3595">
        <f t="shared" si="46"/>
        <v>-6.1783428705882715E-3</v>
      </c>
      <c r="BZ27" s="3595">
        <f t="shared" si="46"/>
        <v>7.3893694831612677E-3</v>
      </c>
      <c r="CA27" s="3595">
        <f t="shared" si="46"/>
        <v>7.2494405899861114E-3</v>
      </c>
      <c r="CB27" s="3595">
        <f t="shared" si="46"/>
        <v>2.0240460773142788E-2</v>
      </c>
      <c r="CC27" s="3595">
        <f t="shared" si="46"/>
        <v>-8.9005262342499725E-3</v>
      </c>
      <c r="CD27" s="3595">
        <f t="shared" si="46"/>
        <v>8.7456962917538128E-3</v>
      </c>
      <c r="CE27" s="3595">
        <f t="shared" si="46"/>
        <v>1.2321390358243978E-2</v>
      </c>
      <c r="CF27" s="3595">
        <f t="shared" si="46"/>
        <v>2.4985421432736743E-2</v>
      </c>
      <c r="CG27" s="3595">
        <f t="shared" si="46"/>
        <v>1.4223194748358869E-2</v>
      </c>
      <c r="CH27" s="3595">
        <f t="shared" si="46"/>
        <v>1.7259978425026912E-2</v>
      </c>
      <c r="CI27" s="3595">
        <f t="shared" si="46"/>
        <v>4.2417815482502785E-3</v>
      </c>
      <c r="CJ27" s="3595">
        <f t="shared" si="46"/>
        <v>1.2671594508975703E-2</v>
      </c>
      <c r="CK27" s="3595">
        <f t="shared" si="46"/>
        <v>4.692387904066786E-3</v>
      </c>
      <c r="CL27" s="3595">
        <f t="shared" si="46"/>
        <v>7.265179034769087E-3</v>
      </c>
      <c r="CM27" s="3595">
        <f t="shared" si="46"/>
        <v>2.5759917568264346E-3</v>
      </c>
      <c r="CN27" s="3595">
        <f t="shared" si="46"/>
        <v>-1.5416238437820917E-3</v>
      </c>
      <c r="CO27" s="3595">
        <f t="shared" si="46"/>
        <v>1.0293360782296368E-3</v>
      </c>
      <c r="CP27" s="3595">
        <f t="shared" si="46"/>
        <v>5.1413881748072487E-3</v>
      </c>
      <c r="CQ27" s="3595">
        <f t="shared" si="46"/>
        <v>-1.3299232736572852E-2</v>
      </c>
      <c r="CR27" s="3595">
        <f t="shared" si="46"/>
        <v>2.0736132711249855E-3</v>
      </c>
      <c r="CS27" s="3595">
        <f t="shared" si="46"/>
        <v>6.7252974650802155E-3</v>
      </c>
      <c r="CT27" s="3595">
        <f t="shared" si="46"/>
        <v>9.7636176772868399E-3</v>
      </c>
      <c r="CU27" s="3595">
        <f>+CU25/CT25-1</f>
        <v>-1.0178117048346147E-3</v>
      </c>
      <c r="CV27" s="3595">
        <f t="shared" ref="CV27" si="47">+CV25/CU25-1</f>
        <v>2.7508914926133388E-2</v>
      </c>
      <c r="CW27" s="3595">
        <f ca="1">+CW25/CV25-1</f>
        <v>-2.5156696784799704E-2</v>
      </c>
      <c r="CX27" s="3595">
        <f ca="1">+CX25/CW25-1</f>
        <v>6.2318127701459503E-3</v>
      </c>
      <c r="CY27" s="3595">
        <f ca="1">+CY25/CX25-1</f>
        <v>1.1846913464536479E-2</v>
      </c>
      <c r="CZ27" s="3595">
        <f ca="1">+CZ25/CY25-1</f>
        <v>3.4222674434729816E-2</v>
      </c>
    </row>
    <row r="28" spans="2:104">
      <c r="B28" s="3374" t="s">
        <v>1900</v>
      </c>
      <c r="O28" s="3601">
        <v>900</v>
      </c>
      <c r="P28" s="3601">
        <v>913</v>
      </c>
      <c r="Q28" s="3602">
        <f>+SUM(CC28:CF28)</f>
        <v>722</v>
      </c>
      <c r="R28" s="3599">
        <f>+SUM(CG28:CJ28)</f>
        <v>571</v>
      </c>
      <c r="S28" s="3599">
        <f>+SUM(CK28:CN28)</f>
        <v>472</v>
      </c>
      <c r="T28" s="3599">
        <f>+SUM(CO28:CR28)</f>
        <v>410</v>
      </c>
      <c r="U28" s="3599">
        <f>+SUM(CS28:CV28)</f>
        <v>387</v>
      </c>
      <c r="V28" s="3599">
        <f ca="1">+SUM(CW28:CZ28)</f>
        <v>352.05</v>
      </c>
      <c r="W28" s="3602">
        <f ca="1">+V28*(1+W82)</f>
        <v>322.01658720930237</v>
      </c>
      <c r="X28" s="3602">
        <f t="shared" ref="X28:AD28" ca="1" si="48">+W28*(1+X82)</f>
        <v>296.15541012799719</v>
      </c>
      <c r="Y28" s="3602">
        <f t="shared" ca="1" si="48"/>
        <v>273.851923233474</v>
      </c>
      <c r="Z28" s="3602">
        <f t="shared" ca="1" si="48"/>
        <v>254.59737328209721</v>
      </c>
      <c r="AA28" s="3602">
        <f t="shared" ca="1" si="48"/>
        <v>237.96959909681297</v>
      </c>
      <c r="AB28" s="3602">
        <f t="shared" ca="1" si="48"/>
        <v>223.61763412802844</v>
      </c>
      <c r="AC28" s="3602">
        <f t="shared" ca="1" si="48"/>
        <v>211.24932544970687</v>
      </c>
      <c r="AD28" s="3602">
        <f t="shared" ca="1" si="48"/>
        <v>200.62135551041544</v>
      </c>
      <c r="AE28" s="3602"/>
      <c r="BU28" s="3601">
        <v>240</v>
      </c>
      <c r="BV28" s="3601">
        <v>224</v>
      </c>
      <c r="BW28" s="3601">
        <v>225</v>
      </c>
      <c r="BX28" s="3601">
        <v>211</v>
      </c>
      <c r="BY28" s="3601">
        <v>236</v>
      </c>
      <c r="BZ28" s="3601">
        <v>229</v>
      </c>
      <c r="CA28" s="3601">
        <v>225</v>
      </c>
      <c r="CB28" s="3601">
        <v>223</v>
      </c>
      <c r="CC28" s="3601">
        <v>205</v>
      </c>
      <c r="CD28" s="3601">
        <v>186</v>
      </c>
      <c r="CE28" s="3601">
        <v>172</v>
      </c>
      <c r="CF28" s="3603">
        <v>159</v>
      </c>
      <c r="CG28" s="3603">
        <v>149</v>
      </c>
      <c r="CH28" s="3603">
        <v>144</v>
      </c>
      <c r="CI28" s="3603">
        <v>144</v>
      </c>
      <c r="CJ28" s="3603">
        <v>134</v>
      </c>
      <c r="CK28" s="3603">
        <v>126</v>
      </c>
      <c r="CL28" s="3603">
        <v>120</v>
      </c>
      <c r="CM28" s="3603">
        <v>116</v>
      </c>
      <c r="CN28" s="3603">
        <v>110</v>
      </c>
      <c r="CO28" s="3603">
        <v>106</v>
      </c>
      <c r="CP28" s="3603">
        <v>101</v>
      </c>
      <c r="CQ28" s="3603">
        <v>104</v>
      </c>
      <c r="CR28" s="3603">
        <v>99</v>
      </c>
      <c r="CS28" s="3627">
        <v>102</v>
      </c>
      <c r="CT28" s="3603">
        <v>96</v>
      </c>
      <c r="CU28" s="3603">
        <v>96</v>
      </c>
      <c r="CV28" s="3603">
        <v>93</v>
      </c>
      <c r="CW28" s="287">
        <f ca="1">+CS28*(1+CW82)</f>
        <v>90.78</v>
      </c>
      <c r="CX28" s="287">
        <f ca="1">+CT28*(1+CX82)</f>
        <v>89.28</v>
      </c>
      <c r="CY28" s="287">
        <f ca="1">+CU28*(1+CY82)</f>
        <v>87.36</v>
      </c>
      <c r="CZ28" s="287">
        <f ca="1">+CV28*(1+CZ82)</f>
        <v>84.63000000000001</v>
      </c>
    </row>
    <row r="29" spans="2:104">
      <c r="B29" s="3403" t="s">
        <v>876</v>
      </c>
      <c r="C29" s="3606"/>
      <c r="D29" s="3606"/>
      <c r="E29" s="3606"/>
      <c r="F29" s="3606"/>
      <c r="G29" s="3606"/>
      <c r="H29" s="3606"/>
      <c r="I29" s="3606"/>
      <c r="J29" s="3606"/>
      <c r="K29" s="3606"/>
      <c r="L29" s="3606"/>
      <c r="M29" s="3606"/>
      <c r="N29" s="3606"/>
      <c r="O29" s="3596">
        <f>+O25+O28</f>
        <v>7657.8909999999996</v>
      </c>
      <c r="P29" s="3596">
        <f>+P25+P28</f>
        <v>7819.2550000000001</v>
      </c>
      <c r="Q29" s="3596">
        <f t="shared" ref="Q29:Y29" si="49">+Q25+Q28</f>
        <v>7841.6319999999996</v>
      </c>
      <c r="R29" s="3596">
        <f t="shared" si="49"/>
        <v>8123</v>
      </c>
      <c r="S29" s="3596">
        <f>+S25+S28</f>
        <v>8229</v>
      </c>
      <c r="T29" s="3596">
        <f>+T25+T28</f>
        <v>8172</v>
      </c>
      <c r="U29" s="3596">
        <f>+U25+U28</f>
        <v>8278</v>
      </c>
      <c r="V29" s="3596">
        <f ca="1">+V25+V28</f>
        <v>8369.2365077361028</v>
      </c>
      <c r="W29" s="3596">
        <f t="shared" ca="1" si="49"/>
        <v>8484.5579014436789</v>
      </c>
      <c r="X29" s="3596">
        <f t="shared" ca="1" si="49"/>
        <v>8606.4404724277028</v>
      </c>
      <c r="Y29" s="3596">
        <f t="shared" ca="1" si="49"/>
        <v>8735.2639265359267</v>
      </c>
      <c r="Z29" s="3596">
        <f ca="1">+Z25+Z28</f>
        <v>8868.7907592845731</v>
      </c>
      <c r="AA29" s="3596">
        <f ca="1">+AA25+AA28</f>
        <v>8995.7295388168859</v>
      </c>
      <c r="AB29" s="3596">
        <f ca="1">+AB25+AB28</f>
        <v>9120.3528514697246</v>
      </c>
      <c r="AC29" s="3596">
        <f ca="1">+AC25+AC28</f>
        <v>9248.4804270401837</v>
      </c>
      <c r="AD29" s="3596">
        <f ca="1">+AD25+AD28</f>
        <v>9386.3220710917358</v>
      </c>
      <c r="AE29" s="3596"/>
      <c r="AF29" s="3606"/>
      <c r="AG29" s="3606"/>
      <c r="AH29" s="3606"/>
      <c r="AI29" s="3606"/>
      <c r="AJ29" s="3606"/>
      <c r="AK29" s="3606"/>
      <c r="AL29" s="3606"/>
      <c r="AM29" s="3606"/>
      <c r="AN29" s="3606"/>
      <c r="AO29" s="3606"/>
      <c r="AP29" s="3606"/>
      <c r="AQ29" s="3606"/>
      <c r="AR29" s="3606"/>
      <c r="AS29" s="3606"/>
      <c r="AT29" s="3606"/>
      <c r="AU29" s="3606"/>
      <c r="AV29" s="3606"/>
      <c r="AW29" s="3606"/>
      <c r="AX29" s="3606"/>
      <c r="AY29" s="3606"/>
      <c r="AZ29" s="3606"/>
      <c r="BA29" s="3606"/>
      <c r="BB29" s="3606"/>
      <c r="BC29" s="3606"/>
      <c r="BD29" s="3606"/>
      <c r="BE29" s="3606"/>
      <c r="BF29" s="3606"/>
      <c r="BG29" s="3606"/>
      <c r="BH29" s="3606"/>
      <c r="BI29" s="3606"/>
      <c r="BJ29" s="3606"/>
      <c r="BK29" s="3606"/>
      <c r="BL29" s="3606"/>
      <c r="BM29" s="3606"/>
      <c r="BN29" s="3606"/>
      <c r="BO29" s="3606"/>
      <c r="BP29" s="3606"/>
      <c r="BQ29" s="3606"/>
      <c r="BR29" s="3606"/>
      <c r="BS29" s="3606"/>
      <c r="BT29" s="3606"/>
      <c r="BU29" s="3596">
        <f t="shared" ref="BU29:CT29" si="50">+BU25+BU28</f>
        <v>1873.7919999999999</v>
      </c>
      <c r="BV29" s="3596">
        <f t="shared" si="50"/>
        <v>1916.636</v>
      </c>
      <c r="BW29" s="3596">
        <f t="shared" si="50"/>
        <v>1943.7059999999999</v>
      </c>
      <c r="BX29" s="3596">
        <f t="shared" si="50"/>
        <v>1923.7570000000001</v>
      </c>
      <c r="BY29" s="3596">
        <f t="shared" si="50"/>
        <v>1938.175</v>
      </c>
      <c r="BZ29" s="3596">
        <f t="shared" si="50"/>
        <v>1943.7529999999999</v>
      </c>
      <c r="CA29" s="3596">
        <f t="shared" si="50"/>
        <v>1952.1840000000002</v>
      </c>
      <c r="CB29" s="3596">
        <f t="shared" si="50"/>
        <v>1985.143</v>
      </c>
      <c r="CC29" s="3596">
        <f t="shared" si="50"/>
        <v>1951.4590000000001</v>
      </c>
      <c r="CD29" s="3596">
        <f t="shared" si="50"/>
        <v>1947.7329999999999</v>
      </c>
      <c r="CE29" s="3596">
        <f t="shared" si="50"/>
        <v>1955.44</v>
      </c>
      <c r="CF29" s="3596">
        <f t="shared" si="50"/>
        <v>1987</v>
      </c>
      <c r="CG29" s="3596">
        <f t="shared" si="50"/>
        <v>2003</v>
      </c>
      <c r="CH29" s="3596">
        <f t="shared" si="50"/>
        <v>2030</v>
      </c>
      <c r="CI29" s="3596">
        <f t="shared" si="50"/>
        <v>2038</v>
      </c>
      <c r="CJ29" s="3596">
        <f t="shared" si="50"/>
        <v>2052</v>
      </c>
      <c r="CK29" s="3596">
        <f t="shared" si="50"/>
        <v>2053</v>
      </c>
      <c r="CL29" s="3596">
        <f t="shared" si="50"/>
        <v>2061</v>
      </c>
      <c r="CM29" s="3596">
        <f t="shared" si="50"/>
        <v>2062</v>
      </c>
      <c r="CN29" s="3596">
        <f t="shared" si="50"/>
        <v>2053</v>
      </c>
      <c r="CO29" s="3596">
        <f t="shared" si="50"/>
        <v>2051</v>
      </c>
      <c r="CP29" s="3596">
        <f t="shared" si="50"/>
        <v>2056</v>
      </c>
      <c r="CQ29" s="3596">
        <f t="shared" si="50"/>
        <v>2033</v>
      </c>
      <c r="CR29" s="3596">
        <f t="shared" si="50"/>
        <v>2032</v>
      </c>
      <c r="CS29" s="3596">
        <f t="shared" si="50"/>
        <v>2048</v>
      </c>
      <c r="CT29" s="3596">
        <f t="shared" si="50"/>
        <v>2061</v>
      </c>
      <c r="CU29" s="3596">
        <f>+CU25+CU28</f>
        <v>2059</v>
      </c>
      <c r="CV29" s="3596">
        <f t="shared" ref="CV29" si="51">+CV25+CV28</f>
        <v>2110</v>
      </c>
      <c r="CW29" s="3596">
        <f ca="1">+CW25+CW28</f>
        <v>2057.038942585059</v>
      </c>
      <c r="CX29" s="3596">
        <f ca="1">+CX25+CX28</f>
        <v>2067.7923001728745</v>
      </c>
      <c r="CY29" s="3596">
        <f ca="1">+CY25+CY28</f>
        <v>2089.3115641815434</v>
      </c>
      <c r="CZ29" s="3596">
        <f ca="1">+CZ25+CZ28</f>
        <v>2155.0937007966263</v>
      </c>
    </row>
    <row r="30" spans="2:104">
      <c r="B30" s="3405" t="s">
        <v>1897</v>
      </c>
      <c r="P30" s="3595">
        <f>+P29/O29-1</f>
        <v>2.1071597911226592E-2</v>
      </c>
      <c r="Q30" s="3595">
        <f t="shared" ref="Q30:Y30" si="52">+Q29/P29-1</f>
        <v>2.8617815891667231E-3</v>
      </c>
      <c r="R30" s="3595">
        <f t="shared" si="52"/>
        <v>3.5881306340312946E-2</v>
      </c>
      <c r="S30" s="3595">
        <f t="shared" si="52"/>
        <v>1.3049365997784168E-2</v>
      </c>
      <c r="T30" s="3595">
        <f t="shared" si="52"/>
        <v>-6.926722566533039E-3</v>
      </c>
      <c r="U30" s="3595">
        <f t="shared" si="52"/>
        <v>1.2971120900636235E-2</v>
      </c>
      <c r="V30" s="3595">
        <f ca="1">+V29/U29-1</f>
        <v>1.1021564114049642E-2</v>
      </c>
      <c r="W30" s="3595">
        <f t="shared" ca="1" si="52"/>
        <v>1.377920119726328E-2</v>
      </c>
      <c r="X30" s="3595">
        <f t="shared" ca="1" si="52"/>
        <v>1.4365223550809381E-2</v>
      </c>
      <c r="Y30" s="3595">
        <f t="shared" ca="1" si="52"/>
        <v>1.4968261794284565E-2</v>
      </c>
      <c r="Z30" s="3595">
        <f ca="1">+Z29/Y29-1</f>
        <v>1.5285952876938236E-2</v>
      </c>
      <c r="AA30" s="3595">
        <f ca="1">+AA29/Z29-1</f>
        <v>1.4312974900148934E-2</v>
      </c>
      <c r="AB30" s="3595">
        <f ca="1">+AB29/AA29-1</f>
        <v>1.3853608216552571E-2</v>
      </c>
      <c r="AC30" s="3595">
        <f ca="1">+AC29/AB29-1</f>
        <v>1.4048532733008434E-2</v>
      </c>
      <c r="AD30" s="3595">
        <f ca="1">+AD29/AC29-1</f>
        <v>1.4904247799296666E-2</v>
      </c>
      <c r="AE30" s="3595"/>
      <c r="BU30" s="3595"/>
      <c r="BV30" s="3595"/>
      <c r="BW30" s="3595"/>
      <c r="BX30" s="3595"/>
      <c r="BY30" s="3595">
        <f t="shared" ref="BY30:CT30" si="53">+BY29/BU29-1</f>
        <v>3.4359736833116994E-2</v>
      </c>
      <c r="BZ30" s="3595">
        <f t="shared" si="53"/>
        <v>1.4148226371621941E-2</v>
      </c>
      <c r="CA30" s="3595">
        <f t="shared" si="53"/>
        <v>4.3617707616276924E-3</v>
      </c>
      <c r="CB30" s="3595">
        <f t="shared" si="53"/>
        <v>3.190943554721315E-2</v>
      </c>
      <c r="CC30" s="3595">
        <f t="shared" si="53"/>
        <v>6.8538702645530858E-3</v>
      </c>
      <c r="CD30" s="3595">
        <f t="shared" si="53"/>
        <v>2.047585264177032E-3</v>
      </c>
      <c r="CE30" s="3595">
        <f t="shared" si="53"/>
        <v>1.6678755691061919E-3</v>
      </c>
      <c r="CF30" s="3595">
        <f t="shared" si="53"/>
        <v>9.3544898276842758E-4</v>
      </c>
      <c r="CG30" s="3595">
        <f t="shared" si="53"/>
        <v>2.6411520815963874E-2</v>
      </c>
      <c r="CH30" s="3595">
        <f t="shared" si="53"/>
        <v>4.2237308707096854E-2</v>
      </c>
      <c r="CI30" s="3595">
        <f t="shared" si="53"/>
        <v>4.22206766763491E-2</v>
      </c>
      <c r="CJ30" s="3595">
        <f t="shared" si="53"/>
        <v>3.2712632108706563E-2</v>
      </c>
      <c r="CK30" s="3595">
        <f t="shared" si="53"/>
        <v>2.4962556165751382E-2</v>
      </c>
      <c r="CL30" s="3595">
        <f t="shared" si="53"/>
        <v>1.5270935960591148E-2</v>
      </c>
      <c r="CM30" s="3595">
        <f t="shared" si="53"/>
        <v>1.1776251226692791E-2</v>
      </c>
      <c r="CN30" s="3595">
        <f t="shared" si="53"/>
        <v>4.873294346978696E-4</v>
      </c>
      <c r="CO30" s="3595">
        <f t="shared" si="53"/>
        <v>-9.7418412079885996E-4</v>
      </c>
      <c r="CP30" s="3595">
        <f t="shared" si="53"/>
        <v>-2.4260067928190132E-3</v>
      </c>
      <c r="CQ30" s="3595">
        <f t="shared" si="53"/>
        <v>-1.4064015518913675E-2</v>
      </c>
      <c r="CR30" s="3595">
        <f t="shared" si="53"/>
        <v>-1.0228933268387697E-2</v>
      </c>
      <c r="CS30" s="3595">
        <f t="shared" si="53"/>
        <v>-1.4627011214042307E-3</v>
      </c>
      <c r="CT30" s="3595">
        <f t="shared" si="53"/>
        <v>2.4319066147859836E-3</v>
      </c>
      <c r="CU30" s="3595">
        <f>+CU29/CQ29-1</f>
        <v>1.2788981800295085E-2</v>
      </c>
      <c r="CV30" s="3595">
        <f t="shared" ref="CV30" si="54">+CV29/CR29-1</f>
        <v>3.8385826771653475E-2</v>
      </c>
      <c r="CW30" s="3595">
        <f ca="1">+CW29/CS29-1</f>
        <v>4.4135461841108281E-3</v>
      </c>
      <c r="CX30" s="3595">
        <f ca="1">+CX29/CT29-1</f>
        <v>3.2956332716518322E-3</v>
      </c>
      <c r="CY30" s="3595">
        <f ca="1">+CY29/CU29-1</f>
        <v>1.4721497902643765E-2</v>
      </c>
      <c r="CZ30" s="3595">
        <f ca="1">+CZ29/CV29-1</f>
        <v>2.1371422178495969E-2</v>
      </c>
    </row>
    <row r="31" spans="2:104">
      <c r="B31" s="3405" t="s">
        <v>1898</v>
      </c>
      <c r="V31" s="3617"/>
      <c r="BV31" s="3595">
        <f>+BV29/BU29-1</f>
        <v>2.2864864403306262E-2</v>
      </c>
      <c r="BW31" s="3595">
        <f t="shared" ref="BW31:CT31" si="55">+BW29/BV29-1</f>
        <v>1.4123704240137425E-2</v>
      </c>
      <c r="BX31" s="3595">
        <f t="shared" si="55"/>
        <v>-1.0263383454081954E-2</v>
      </c>
      <c r="BY31" s="3595">
        <f t="shared" si="55"/>
        <v>7.4947095709072542E-3</v>
      </c>
      <c r="BZ31" s="3595">
        <f t="shared" si="55"/>
        <v>2.8779650960311098E-3</v>
      </c>
      <c r="CA31" s="3595">
        <f t="shared" si="55"/>
        <v>4.3374852669038066E-3</v>
      </c>
      <c r="CB31" s="3595">
        <f t="shared" si="55"/>
        <v>1.6883142162828824E-2</v>
      </c>
      <c r="CC31" s="3595">
        <f t="shared" si="55"/>
        <v>-1.6968047138165798E-2</v>
      </c>
      <c r="CD31" s="3595">
        <f t="shared" si="55"/>
        <v>-1.9093406523017498E-3</v>
      </c>
      <c r="CE31" s="3595">
        <f t="shared" si="55"/>
        <v>3.9569078513328471E-3</v>
      </c>
      <c r="CF31" s="3595">
        <f t="shared" si="55"/>
        <v>1.6139590066685638E-2</v>
      </c>
      <c r="CG31" s="3595">
        <f t="shared" si="55"/>
        <v>8.0523402113739095E-3</v>
      </c>
      <c r="CH31" s="3595">
        <f t="shared" si="55"/>
        <v>1.3479780329505697E-2</v>
      </c>
      <c r="CI31" s="3595">
        <f t="shared" si="55"/>
        <v>3.9408866995074288E-3</v>
      </c>
      <c r="CJ31" s="3595">
        <f t="shared" si="55"/>
        <v>6.8694798822375169E-3</v>
      </c>
      <c r="CK31" s="3595">
        <f t="shared" si="55"/>
        <v>4.873294346978696E-4</v>
      </c>
      <c r="CL31" s="3595">
        <f t="shared" si="55"/>
        <v>3.8967364831952178E-3</v>
      </c>
      <c r="CM31" s="3595">
        <f t="shared" si="55"/>
        <v>4.8520135856389146E-4</v>
      </c>
      <c r="CN31" s="3595">
        <f t="shared" si="55"/>
        <v>-4.3646944713869873E-3</v>
      </c>
      <c r="CO31" s="3595">
        <f t="shared" si="55"/>
        <v>-9.7418412079885996E-4</v>
      </c>
      <c r="CP31" s="3595">
        <f t="shared" si="55"/>
        <v>2.4378352023404215E-3</v>
      </c>
      <c r="CQ31" s="3595">
        <f t="shared" si="55"/>
        <v>-1.1186770428015524E-2</v>
      </c>
      <c r="CR31" s="3595">
        <f t="shared" si="55"/>
        <v>-4.9188391539600751E-4</v>
      </c>
      <c r="CS31" s="3595">
        <f t="shared" si="55"/>
        <v>7.8740157480314821E-3</v>
      </c>
      <c r="CT31" s="3595">
        <f t="shared" si="55"/>
        <v>6.34765625E-3</v>
      </c>
      <c r="CU31" s="3595">
        <f>+CU29/CT29-1</f>
        <v>-9.7040271712756088E-4</v>
      </c>
      <c r="CV31" s="3595">
        <f t="shared" ref="CV31" si="56">+CV29/CU29-1</f>
        <v>2.4769305488101079E-2</v>
      </c>
      <c r="CW31" s="3595">
        <f ca="1">+CW29/CV29-1</f>
        <v>-2.5100027210872566E-2</v>
      </c>
      <c r="CX31" s="3595">
        <f ca="1">+CX29/CW29-1</f>
        <v>5.2275906718139975E-3</v>
      </c>
      <c r="CY31" s="3595">
        <f ca="1">+CY29/CX29-1</f>
        <v>1.040687887602143E-2</v>
      </c>
      <c r="CZ31" s="3595">
        <f ca="1">+CZ29/CY29-1</f>
        <v>3.1485077545555962E-2</v>
      </c>
    </row>
    <row r="32" spans="2:104">
      <c r="B32" s="3405"/>
      <c r="V32" s="3617"/>
      <c r="BV32" s="3595"/>
      <c r="BW32" s="3595"/>
      <c r="BX32" s="3595"/>
      <c r="BY32" s="3595"/>
      <c r="BZ32" s="3595"/>
      <c r="CA32" s="3595"/>
      <c r="CB32" s="3595"/>
      <c r="CC32" s="3595"/>
      <c r="CD32" s="3595"/>
      <c r="CE32" s="3595"/>
      <c r="CF32" s="3595"/>
      <c r="CG32" s="3595"/>
      <c r="CH32" s="3595"/>
      <c r="CI32" s="3595"/>
      <c r="CJ32" s="3595"/>
      <c r="CK32" s="3595"/>
      <c r="CL32" s="3595"/>
      <c r="CM32" s="3595"/>
      <c r="CN32" s="3595"/>
      <c r="CO32" s="3595"/>
      <c r="CP32" s="3595"/>
      <c r="CQ32" s="3595"/>
      <c r="CR32" s="3595"/>
      <c r="CS32" s="3595"/>
      <c r="CT32" s="3595"/>
      <c r="CU32" s="3595"/>
      <c r="CV32" s="3595"/>
      <c r="CW32" s="3595"/>
      <c r="CX32" s="3595"/>
      <c r="CY32" s="3595"/>
      <c r="CZ32" s="3595"/>
    </row>
    <row r="33" spans="2:16384" outlineLevel="1">
      <c r="B33" s="3374" t="s">
        <v>1901</v>
      </c>
      <c r="V33" s="3617"/>
      <c r="CN33" s="3607">
        <v>1.0999999999999999E-2</v>
      </c>
      <c r="CO33" s="3607">
        <v>1.0999999999999999E-2</v>
      </c>
      <c r="CP33" s="3607">
        <v>1.2E-2</v>
      </c>
      <c r="CQ33" s="3607">
        <v>1.2999999999999999E-2</v>
      </c>
      <c r="CR33" s="3607">
        <v>1.0999999999999999E-2</v>
      </c>
      <c r="CS33" s="3607">
        <v>1.0999999999999999E-2</v>
      </c>
      <c r="CT33" s="3607">
        <v>1.0999999999999999E-2</v>
      </c>
      <c r="CU33" s="3607">
        <v>1.0999999999999999E-2</v>
      </c>
      <c r="CV33" s="3607">
        <v>1.0999999999999999E-2</v>
      </c>
    </row>
    <row r="34" spans="2:16384" outlineLevel="1">
      <c r="B34" s="3374" t="s">
        <v>1902</v>
      </c>
      <c r="V34" s="3617"/>
      <c r="CI34" s="3603"/>
      <c r="CJ34" s="3603">
        <v>13500</v>
      </c>
      <c r="CK34" s="3603">
        <v>13200</v>
      </c>
      <c r="CL34" s="3603">
        <v>13200</v>
      </c>
      <c r="CM34" s="3603">
        <v>12800</v>
      </c>
      <c r="CN34" s="3603">
        <v>12500</v>
      </c>
      <c r="CO34" s="3603">
        <v>12700</v>
      </c>
      <c r="CP34" s="3603">
        <v>12900</v>
      </c>
      <c r="CQ34" s="3603">
        <v>12900</v>
      </c>
      <c r="CR34" s="3603">
        <v>12600</v>
      </c>
      <c r="CS34" s="3603">
        <v>12600</v>
      </c>
      <c r="CT34" s="3603">
        <v>12600</v>
      </c>
      <c r="CU34" s="3603">
        <v>12600</v>
      </c>
      <c r="CV34" s="3603">
        <v>12600</v>
      </c>
    </row>
    <row r="35" spans="2:16384" outlineLevel="1">
      <c r="B35" s="3374" t="s">
        <v>1903</v>
      </c>
      <c r="V35" s="3617"/>
      <c r="W35" s="3595"/>
      <c r="X35" s="3595"/>
      <c r="Y35" s="3595"/>
      <c r="Z35" s="3595"/>
      <c r="AA35" s="3595"/>
      <c r="AB35" s="3595"/>
      <c r="AC35" s="3595"/>
      <c r="AD35" s="3595"/>
      <c r="AE35" s="3595"/>
      <c r="CI35" s="3603"/>
      <c r="CJ35" s="3603">
        <v>1400</v>
      </c>
      <c r="CK35" s="3603">
        <v>1250</v>
      </c>
      <c r="CL35" s="3603">
        <v>1260</v>
      </c>
      <c r="CM35" s="3603">
        <v>1260</v>
      </c>
      <c r="CN35" s="3603">
        <v>1150</v>
      </c>
      <c r="CO35" s="3603">
        <v>1140</v>
      </c>
      <c r="CP35" s="3603">
        <v>1160</v>
      </c>
      <c r="CQ35" s="3603">
        <v>1180</v>
      </c>
      <c r="CR35" s="3603">
        <v>1140</v>
      </c>
      <c r="CS35" s="3603">
        <v>1140</v>
      </c>
      <c r="CT35" s="3603">
        <v>1140</v>
      </c>
      <c r="CU35" s="3603">
        <v>1140</v>
      </c>
      <c r="CV35" s="3603">
        <v>1140</v>
      </c>
    </row>
    <row r="36" spans="2:16384" outlineLevel="1">
      <c r="B36" s="3374" t="s">
        <v>1904</v>
      </c>
      <c r="V36" s="3617"/>
      <c r="CI36" s="3603"/>
      <c r="CJ36" s="3603">
        <v>52000</v>
      </c>
      <c r="CK36" s="3603">
        <v>52000</v>
      </c>
      <c r="CL36" s="3603">
        <v>52000</v>
      </c>
      <c r="CM36" s="3603">
        <v>52000</v>
      </c>
      <c r="CN36" s="3603">
        <v>52000</v>
      </c>
      <c r="CO36" s="3603">
        <v>51000</v>
      </c>
      <c r="CP36" s="3603">
        <v>51000</v>
      </c>
      <c r="CQ36" s="3603">
        <v>50000</v>
      </c>
      <c r="CR36" s="3603">
        <v>49000</v>
      </c>
      <c r="CS36" s="3603">
        <v>49000</v>
      </c>
      <c r="CT36" s="3603">
        <v>49000</v>
      </c>
      <c r="CU36" s="3603">
        <v>49000</v>
      </c>
      <c r="CV36" s="3603">
        <v>49000</v>
      </c>
    </row>
    <row r="37" spans="2:16384" outlineLevel="1">
      <c r="B37" s="3374" t="s">
        <v>1905</v>
      </c>
      <c r="V37" s="3617"/>
      <c r="CI37" s="3608"/>
      <c r="CJ37" s="3608">
        <v>0.96</v>
      </c>
      <c r="CK37" s="3608">
        <v>0.96</v>
      </c>
      <c r="CL37" s="3608">
        <v>0.96</v>
      </c>
      <c r="CM37" s="3608">
        <v>0.96</v>
      </c>
      <c r="CN37" s="3608">
        <v>0.96</v>
      </c>
      <c r="CO37" s="3608">
        <v>0.96</v>
      </c>
      <c r="CP37" s="3608">
        <v>0.96</v>
      </c>
      <c r="CQ37" s="3608">
        <v>0.96</v>
      </c>
      <c r="CR37" s="3608">
        <v>0.96</v>
      </c>
      <c r="CS37" s="3608">
        <v>0.96</v>
      </c>
      <c r="CT37" s="3608">
        <v>0.96</v>
      </c>
      <c r="CU37" s="3608">
        <v>0.96</v>
      </c>
      <c r="CV37" s="3608">
        <v>0.96</v>
      </c>
    </row>
    <row r="38" spans="2:16384" outlineLevel="1">
      <c r="B38" s="3374" t="s">
        <v>1906</v>
      </c>
      <c r="V38" s="3617"/>
      <c r="CI38" s="3608"/>
      <c r="CJ38" s="3608">
        <v>0.04</v>
      </c>
      <c r="CK38" s="3608">
        <v>0.04</v>
      </c>
      <c r="CL38" s="3608">
        <v>0.04</v>
      </c>
      <c r="CM38" s="3608">
        <v>0.04</v>
      </c>
      <c r="CN38" s="3608">
        <v>0.04</v>
      </c>
      <c r="CO38" s="3608">
        <v>0.04</v>
      </c>
      <c r="CP38" s="3608">
        <v>0.04</v>
      </c>
      <c r="CQ38" s="3608">
        <v>0.04</v>
      </c>
      <c r="CR38" s="3608">
        <v>0.04</v>
      </c>
      <c r="CS38" s="3608">
        <v>0.04</v>
      </c>
      <c r="CT38" s="3608">
        <v>0.04</v>
      </c>
      <c r="CU38" s="3608">
        <v>0.04</v>
      </c>
      <c r="CV38" s="3608">
        <v>0.04</v>
      </c>
    </row>
    <row r="39" spans="2:16384" outlineLevel="1">
      <c r="B39" s="3374" t="s">
        <v>1907</v>
      </c>
      <c r="V39" s="3617"/>
      <c r="CI39" s="3603"/>
      <c r="CJ39" s="3603">
        <v>40600</v>
      </c>
      <c r="CK39" s="3603">
        <v>41400</v>
      </c>
      <c r="CL39" s="3603">
        <v>42200</v>
      </c>
      <c r="CM39" s="3603">
        <v>42900</v>
      </c>
      <c r="CN39" s="3603">
        <v>43200</v>
      </c>
      <c r="CO39" s="3603">
        <v>43900</v>
      </c>
      <c r="CP39" s="3603">
        <v>44700</v>
      </c>
      <c r="CQ39" s="3603">
        <v>45350</v>
      </c>
      <c r="CR39" s="3603">
        <v>46300</v>
      </c>
      <c r="CS39" s="3603">
        <v>46300</v>
      </c>
      <c r="CT39" s="3603">
        <v>46300</v>
      </c>
      <c r="CU39" s="3603">
        <v>46300</v>
      </c>
      <c r="CV39" s="3603">
        <v>46300</v>
      </c>
    </row>
    <row r="40" spans="2:16384" outlineLevel="1">
      <c r="B40" s="3374" t="s">
        <v>1908</v>
      </c>
      <c r="V40" s="3617"/>
      <c r="CI40" s="3608"/>
      <c r="CJ40" s="3608">
        <v>0.79</v>
      </c>
      <c r="CK40" s="3608">
        <v>0.79</v>
      </c>
      <c r="CL40" s="3608">
        <v>0.79</v>
      </c>
      <c r="CM40" s="3608">
        <v>0.79</v>
      </c>
      <c r="CN40" s="3608">
        <v>0.78</v>
      </c>
      <c r="CO40" s="3608">
        <v>0.78</v>
      </c>
      <c r="CP40" s="3608">
        <v>0.78</v>
      </c>
      <c r="CQ40" s="3608">
        <v>0.78</v>
      </c>
      <c r="CR40" s="3608">
        <v>0.78</v>
      </c>
      <c r="CS40" s="3608">
        <v>0.78</v>
      </c>
      <c r="CT40" s="3608">
        <v>0.78</v>
      </c>
      <c r="CU40" s="3608">
        <v>0.78</v>
      </c>
      <c r="CV40" s="3608">
        <v>0.78</v>
      </c>
    </row>
    <row r="41" spans="2:16384" outlineLevel="1">
      <c r="B41" s="3374" t="s">
        <v>1909</v>
      </c>
      <c r="V41" s="3617"/>
      <c r="CI41" s="3608"/>
      <c r="CJ41" s="3608">
        <v>0.05</v>
      </c>
      <c r="CK41" s="3608">
        <v>0.05</v>
      </c>
      <c r="CL41" s="3608">
        <v>0.05</v>
      </c>
      <c r="CM41" s="3608">
        <v>0.05</v>
      </c>
      <c r="CN41" s="3608">
        <v>0.05</v>
      </c>
      <c r="CO41" s="3608">
        <v>0.05</v>
      </c>
      <c r="CP41" s="3608">
        <v>0.05</v>
      </c>
      <c r="CQ41" s="3608">
        <v>0.05</v>
      </c>
      <c r="CR41" s="3608">
        <v>0.05</v>
      </c>
      <c r="CS41" s="3608">
        <v>0.05</v>
      </c>
      <c r="CT41" s="3608">
        <v>0.05</v>
      </c>
      <c r="CU41" s="3608">
        <v>0.05</v>
      </c>
      <c r="CV41" s="3608">
        <v>0.05</v>
      </c>
    </row>
    <row r="42" spans="2:16384" outlineLevel="1">
      <c r="B42" s="3374" t="s">
        <v>1910</v>
      </c>
      <c r="V42" s="3617"/>
      <c r="CI42" s="3608"/>
      <c r="CJ42" s="3608">
        <v>0.16</v>
      </c>
      <c r="CK42" s="3608">
        <v>0.16</v>
      </c>
      <c r="CL42" s="3608">
        <v>0.16</v>
      </c>
      <c r="CM42" s="3608">
        <v>0.16</v>
      </c>
      <c r="CN42" s="3608">
        <v>0.17</v>
      </c>
      <c r="CO42" s="3608">
        <v>0.17</v>
      </c>
      <c r="CP42" s="3608">
        <v>0.17</v>
      </c>
      <c r="CQ42" s="3608">
        <v>0.17</v>
      </c>
      <c r="CR42" s="3608">
        <v>0.17</v>
      </c>
      <c r="CS42" s="3608">
        <v>0.17</v>
      </c>
      <c r="CT42" s="3608">
        <v>0.17</v>
      </c>
      <c r="CU42" s="3608">
        <v>0.17</v>
      </c>
      <c r="CV42" s="3608">
        <v>0.17</v>
      </c>
    </row>
    <row r="43" spans="2:16384" outlineLevel="1">
      <c r="V43" s="3617"/>
      <c r="CU43" s="3617"/>
    </row>
    <row r="44" spans="2:16384" outlineLevel="1">
      <c r="B44" s="3406" t="s">
        <v>1911</v>
      </c>
      <c r="V44" s="3617"/>
      <c r="CU44" s="3617"/>
    </row>
    <row r="45" spans="2:16384" outlineLevel="1">
      <c r="B45" s="3374" t="s">
        <v>1912</v>
      </c>
      <c r="K45" s="65">
        <f t="shared" ref="K45:P45" si="57">1-K46</f>
        <v>0.31003553635347736</v>
      </c>
      <c r="L45" s="65">
        <f t="shared" si="57"/>
        <v>0.27473147549781329</v>
      </c>
      <c r="M45" s="65">
        <f t="shared" si="57"/>
        <v>0.25267667720552422</v>
      </c>
      <c r="N45" s="65">
        <f t="shared" si="57"/>
        <v>0.24423741979671232</v>
      </c>
      <c r="O45" s="65">
        <f t="shared" si="57"/>
        <v>0.22951793522672981</v>
      </c>
      <c r="P45" s="65">
        <f t="shared" si="57"/>
        <v>0.25959102332588568</v>
      </c>
      <c r="Q45" s="65"/>
      <c r="R45" s="3407"/>
      <c r="S45" s="3407"/>
      <c r="T45" s="3407"/>
      <c r="U45" s="3407"/>
      <c r="V45" s="3407"/>
      <c r="W45" s="3407"/>
      <c r="X45" s="3407"/>
      <c r="Y45" s="3407"/>
      <c r="Z45" s="3407"/>
      <c r="AA45" s="3407"/>
      <c r="AB45" s="3407"/>
      <c r="AC45" s="3407"/>
      <c r="AD45" s="3407"/>
      <c r="AE45" s="3407"/>
      <c r="BU45" s="65">
        <f t="shared" ref="BU45:CE45" si="58">1-BU46</f>
        <v>0.23769027671692589</v>
      </c>
      <c r="BV45" s="65">
        <f t="shared" si="58"/>
        <v>0.23426205575880799</v>
      </c>
      <c r="BW45" s="65">
        <f t="shared" si="58"/>
        <v>0.22530018347771552</v>
      </c>
      <c r="BX45" s="65">
        <f t="shared" si="58"/>
        <v>0.2213526330912331</v>
      </c>
      <c r="BY45" s="65">
        <f t="shared" si="58"/>
        <v>0.26756843351675152</v>
      </c>
      <c r="BZ45" s="65">
        <f t="shared" si="58"/>
        <v>0.26303212867932491</v>
      </c>
      <c r="CA45" s="65">
        <f t="shared" si="58"/>
        <v>0.25485317156998266</v>
      </c>
      <c r="CB45" s="65">
        <f t="shared" si="58"/>
        <v>0.25332038434159931</v>
      </c>
      <c r="CC45" s="65">
        <f t="shared" si="58"/>
        <v>0.25276423169442486</v>
      </c>
      <c r="CD45" s="65">
        <f t="shared" si="58"/>
        <v>0.24862702608329501</v>
      </c>
      <c r="CE45" s="65">
        <f t="shared" si="58"/>
        <v>0.24074620412523207</v>
      </c>
      <c r="CF45" s="3609"/>
      <c r="CJ45" s="65"/>
      <c r="CK45" s="65"/>
      <c r="CL45" s="65"/>
      <c r="CM45" s="65"/>
      <c r="CN45" s="65"/>
      <c r="CO45" s="65"/>
      <c r="CP45" s="65"/>
      <c r="CQ45" s="65"/>
      <c r="CR45" s="65"/>
      <c r="CS45" s="65"/>
      <c r="CT45" s="65"/>
      <c r="CU45" s="65"/>
      <c r="CV45" s="65"/>
      <c r="CW45" s="65"/>
      <c r="CX45" s="65"/>
      <c r="CY45" s="65"/>
      <c r="CZ45" s="65"/>
    </row>
    <row r="46" spans="2:16384" outlineLevel="1">
      <c r="B46" s="3374" t="s">
        <v>1913</v>
      </c>
      <c r="K46" s="65">
        <v>0.68996446364652264</v>
      </c>
      <c r="L46" s="65">
        <v>0.72526852450218671</v>
      </c>
      <c r="M46" s="65">
        <v>0.74732332279447578</v>
      </c>
      <c r="N46" s="65">
        <v>0.75576258020328768</v>
      </c>
      <c r="O46" s="65">
        <v>0.77048206477327019</v>
      </c>
      <c r="P46" s="65">
        <v>0.74040897667411432</v>
      </c>
      <c r="Q46" s="65"/>
      <c r="R46" s="3407"/>
      <c r="S46" s="3407"/>
      <c r="T46" s="3407"/>
      <c r="U46" s="3407"/>
      <c r="V46" s="3407"/>
      <c r="W46" s="3407"/>
      <c r="X46" s="3407"/>
      <c r="Y46" s="3407"/>
      <c r="Z46" s="3407"/>
      <c r="AA46" s="3407"/>
      <c r="AB46" s="3407"/>
      <c r="AC46" s="3407"/>
      <c r="AD46" s="3407"/>
      <c r="AE46" s="3407"/>
      <c r="BU46" s="65">
        <v>0.76230972328307411</v>
      </c>
      <c r="BV46" s="65">
        <v>0.76573794424119201</v>
      </c>
      <c r="BW46" s="65">
        <v>0.77469981652228448</v>
      </c>
      <c r="BX46" s="65">
        <v>0.7786473669087669</v>
      </c>
      <c r="BY46" s="65">
        <v>0.73243156648324848</v>
      </c>
      <c r="BZ46" s="65">
        <v>0.73696787132067509</v>
      </c>
      <c r="CA46" s="65">
        <v>0.74514682843001734</v>
      </c>
      <c r="CB46" s="65">
        <v>0.74667961565840069</v>
      </c>
      <c r="CC46" s="65">
        <v>0.74723576830557514</v>
      </c>
      <c r="CD46" s="65">
        <v>0.75137297391670499</v>
      </c>
      <c r="CE46" s="65">
        <v>0.75925379587476793</v>
      </c>
      <c r="CF46" s="3609"/>
      <c r="CJ46" s="65"/>
      <c r="CK46" s="65"/>
      <c r="CL46" s="65"/>
      <c r="CM46" s="65"/>
      <c r="CN46" s="65"/>
      <c r="CO46" s="65"/>
      <c r="CP46" s="65"/>
      <c r="CQ46" s="65"/>
      <c r="CR46" s="65"/>
      <c r="CS46" s="65"/>
      <c r="CT46" s="65"/>
      <c r="CU46" s="65"/>
      <c r="CV46" s="65"/>
      <c r="CW46" s="65"/>
      <c r="CX46" s="65"/>
      <c r="CY46" s="65"/>
      <c r="CZ46" s="65"/>
    </row>
    <row r="47" spans="2:16384" outlineLevel="1">
      <c r="V47" s="3617"/>
      <c r="CU47" s="3617"/>
    </row>
    <row r="48" spans="2:16384" s="3402" customFormat="1" outlineLevel="1">
      <c r="B48" s="287" t="s">
        <v>1914</v>
      </c>
      <c r="C48" s="287"/>
      <c r="D48" s="287"/>
      <c r="E48" s="287"/>
      <c r="F48" s="287"/>
      <c r="G48" s="287"/>
      <c r="H48" s="287"/>
      <c r="I48" s="287"/>
      <c r="J48" s="287"/>
      <c r="K48" s="287"/>
      <c r="L48" s="287"/>
      <c r="M48" s="287"/>
      <c r="N48" s="287"/>
      <c r="O48" s="287">
        <f>+SUM(BU48:BX48)</f>
        <v>27</v>
      </c>
      <c r="P48" s="287">
        <f>+SUM(BY48:CB48)</f>
        <v>27</v>
      </c>
      <c r="Q48" s="3615"/>
      <c r="R48" s="3615"/>
      <c r="S48" s="3615"/>
      <c r="T48" s="3615"/>
      <c r="U48" s="3615"/>
      <c r="V48" s="3617"/>
      <c r="W48" s="3408"/>
      <c r="X48" s="3408"/>
      <c r="Y48" s="3408"/>
      <c r="Z48" s="3408"/>
      <c r="AA48" s="3408"/>
      <c r="AB48" s="3408"/>
      <c r="AC48" s="3408"/>
      <c r="AD48" s="3408"/>
      <c r="AE48" s="3408"/>
      <c r="AF48" s="287"/>
      <c r="AG48" s="3615"/>
      <c r="AH48" s="3615"/>
      <c r="AI48" s="3615"/>
      <c r="AJ48" s="3615"/>
      <c r="AK48" s="3615"/>
      <c r="AL48" s="3615"/>
      <c r="AM48" s="3615"/>
      <c r="AN48" s="3615"/>
      <c r="AO48" s="3615"/>
      <c r="AP48" s="3615"/>
      <c r="AQ48" s="3615"/>
      <c r="AR48" s="3615"/>
      <c r="AS48" s="3615"/>
      <c r="AT48" s="3615"/>
      <c r="AU48" s="3615"/>
      <c r="AV48" s="3615"/>
      <c r="AW48" s="3615"/>
      <c r="AX48" s="3615"/>
      <c r="AY48" s="3615"/>
      <c r="AZ48" s="3615"/>
      <c r="BA48" s="3615"/>
      <c r="BB48" s="3615"/>
      <c r="BC48" s="3615"/>
      <c r="BD48" s="3615"/>
      <c r="BE48" s="3615"/>
      <c r="BF48" s="3615"/>
      <c r="BG48" s="3615"/>
      <c r="BH48" s="3615"/>
      <c r="BI48" s="3615"/>
      <c r="BJ48" s="3615"/>
      <c r="BK48" s="3615"/>
      <c r="BL48" s="3615"/>
      <c r="BM48" s="3615"/>
      <c r="BN48" s="3615"/>
      <c r="BO48" s="3615"/>
      <c r="BP48" s="3615"/>
      <c r="BQ48" s="3615"/>
      <c r="BR48" s="3615"/>
      <c r="BS48" s="3615"/>
      <c r="BT48" s="3615"/>
      <c r="BU48" s="3610">
        <f>27/4</f>
        <v>6.75</v>
      </c>
      <c r="BV48" s="3610">
        <f t="shared" ref="BV48:CB48" si="59">27/4</f>
        <v>6.75</v>
      </c>
      <c r="BW48" s="3610">
        <f t="shared" si="59"/>
        <v>6.75</v>
      </c>
      <c r="BX48" s="3610">
        <f t="shared" si="59"/>
        <v>6.75</v>
      </c>
      <c r="BY48" s="3610">
        <f t="shared" si="59"/>
        <v>6.75</v>
      </c>
      <c r="BZ48" s="3610">
        <f t="shared" si="59"/>
        <v>6.75</v>
      </c>
      <c r="CA48" s="3610">
        <f t="shared" si="59"/>
        <v>6.75</v>
      </c>
      <c r="CB48" s="3610">
        <f t="shared" si="59"/>
        <v>6.75</v>
      </c>
      <c r="CC48" s="3603">
        <f>27/4</f>
        <v>6.75</v>
      </c>
      <c r="CD48" s="3603">
        <f>27/4</f>
        <v>6.75</v>
      </c>
      <c r="CE48" s="3603">
        <f>27/4</f>
        <v>6.75</v>
      </c>
      <c r="CF48" s="3615"/>
      <c r="CG48" s="3615"/>
      <c r="CH48" s="3615"/>
      <c r="CI48" s="3615"/>
      <c r="CJ48" s="3615"/>
      <c r="CK48" s="3615"/>
      <c r="CL48" s="3615"/>
      <c r="CM48" s="3615"/>
      <c r="CN48" s="3615"/>
      <c r="CO48" s="3615"/>
      <c r="CP48" s="3615"/>
      <c r="CQ48" s="3615"/>
      <c r="CR48" s="3615"/>
      <c r="CS48" s="3615"/>
      <c r="CT48" s="3615"/>
      <c r="CU48" s="3617"/>
      <c r="CV48" s="3617"/>
      <c r="CW48" s="3374"/>
      <c r="CX48" s="3374"/>
      <c r="CY48" s="3374"/>
      <c r="CZ48" s="3374"/>
      <c r="DA48" s="287"/>
      <c r="DB48" s="287"/>
      <c r="DC48" s="287"/>
      <c r="DD48" s="287"/>
      <c r="DE48" s="287"/>
      <c r="DF48" s="287"/>
      <c r="DG48" s="287"/>
      <c r="DH48" s="287"/>
      <c r="DI48" s="287"/>
      <c r="DJ48" s="287"/>
      <c r="DK48" s="287"/>
      <c r="DL48" s="287"/>
      <c r="DM48" s="287"/>
      <c r="DN48" s="287"/>
      <c r="DO48" s="287"/>
      <c r="DP48" s="287"/>
      <c r="DQ48" s="287"/>
      <c r="DR48" s="287"/>
      <c r="DS48" s="287"/>
      <c r="DT48" s="287"/>
      <c r="DU48" s="287"/>
      <c r="DV48" s="287"/>
      <c r="DW48" s="287"/>
      <c r="DX48" s="287"/>
      <c r="DY48" s="287"/>
      <c r="DZ48" s="287"/>
      <c r="EA48" s="287"/>
      <c r="EB48" s="287"/>
      <c r="EC48" s="287"/>
      <c r="ED48" s="287"/>
      <c r="EE48" s="287"/>
      <c r="EF48" s="287"/>
      <c r="EG48" s="287"/>
      <c r="EH48" s="287"/>
      <c r="EI48" s="287"/>
      <c r="EJ48" s="287"/>
      <c r="EK48" s="287"/>
      <c r="EL48" s="287"/>
      <c r="EM48" s="287"/>
      <c r="EN48" s="287"/>
      <c r="EO48" s="287"/>
      <c r="EP48" s="287"/>
      <c r="EQ48" s="287"/>
      <c r="ER48" s="287"/>
      <c r="ES48" s="287"/>
      <c r="ET48" s="287"/>
      <c r="EU48" s="287"/>
      <c r="EV48" s="287"/>
      <c r="EW48" s="287"/>
      <c r="EX48" s="287"/>
      <c r="EY48" s="287"/>
      <c r="EZ48" s="287"/>
      <c r="FA48" s="287"/>
      <c r="FB48" s="287"/>
      <c r="FC48" s="287"/>
      <c r="FD48" s="287"/>
      <c r="FE48" s="287"/>
      <c r="FF48" s="287"/>
      <c r="FG48" s="287"/>
      <c r="FH48" s="287"/>
      <c r="FI48" s="287"/>
      <c r="FJ48" s="287"/>
      <c r="FK48" s="287"/>
      <c r="FL48" s="287"/>
      <c r="FM48" s="287"/>
      <c r="FN48" s="287"/>
      <c r="FO48" s="287"/>
      <c r="FP48" s="287"/>
      <c r="FQ48" s="287"/>
      <c r="FR48" s="287"/>
      <c r="FS48" s="287"/>
      <c r="FT48" s="287"/>
      <c r="FU48" s="287"/>
      <c r="FV48" s="287"/>
      <c r="FW48" s="287"/>
      <c r="FX48" s="287"/>
      <c r="FY48" s="287"/>
      <c r="FZ48" s="287"/>
      <c r="GA48" s="287"/>
      <c r="GB48" s="287"/>
      <c r="GC48" s="287"/>
      <c r="GD48" s="287"/>
      <c r="GE48" s="287"/>
      <c r="GF48" s="287"/>
      <c r="GG48" s="287"/>
      <c r="GH48" s="287"/>
      <c r="GI48" s="287"/>
      <c r="GJ48" s="287"/>
      <c r="GK48" s="287"/>
      <c r="GL48" s="287"/>
      <c r="GM48" s="287"/>
      <c r="GN48" s="287"/>
      <c r="GO48" s="287"/>
      <c r="GP48" s="287"/>
      <c r="GQ48" s="287"/>
      <c r="GR48" s="287"/>
      <c r="GS48" s="287"/>
      <c r="GT48" s="287"/>
      <c r="GU48" s="287"/>
      <c r="GV48" s="287"/>
      <c r="GW48" s="287"/>
      <c r="GX48" s="287"/>
      <c r="GY48" s="287"/>
      <c r="GZ48" s="287"/>
      <c r="HA48" s="287"/>
      <c r="HB48" s="287"/>
      <c r="HC48" s="287"/>
      <c r="HD48" s="287"/>
      <c r="HE48" s="287"/>
      <c r="HF48" s="287"/>
      <c r="HG48" s="287"/>
      <c r="HH48" s="287"/>
      <c r="HI48" s="287"/>
      <c r="HJ48" s="287"/>
      <c r="HK48" s="287"/>
      <c r="HL48" s="287"/>
      <c r="HM48" s="287"/>
      <c r="HN48" s="287"/>
      <c r="HO48" s="287"/>
      <c r="HP48" s="287"/>
      <c r="HQ48" s="287"/>
      <c r="HR48" s="287"/>
      <c r="HS48" s="287"/>
      <c r="HT48" s="287"/>
      <c r="HU48" s="287"/>
      <c r="HV48" s="287"/>
      <c r="HW48" s="287"/>
      <c r="HX48" s="287"/>
      <c r="HY48" s="287"/>
      <c r="HZ48" s="287"/>
      <c r="IA48" s="287"/>
      <c r="IB48" s="287"/>
      <c r="IC48" s="287"/>
      <c r="ID48" s="287"/>
      <c r="IE48" s="287"/>
      <c r="IF48" s="287"/>
      <c r="IG48" s="287"/>
      <c r="IH48" s="287"/>
      <c r="II48" s="287"/>
      <c r="IJ48" s="287"/>
      <c r="IK48" s="287"/>
      <c r="IL48" s="287"/>
      <c r="IM48" s="287"/>
      <c r="IN48" s="287"/>
      <c r="IO48" s="287"/>
      <c r="IP48" s="287"/>
      <c r="IQ48" s="287"/>
      <c r="IR48" s="287"/>
      <c r="IS48" s="287"/>
      <c r="IT48" s="287"/>
      <c r="IU48" s="287"/>
      <c r="IV48" s="287"/>
      <c r="IW48" s="287"/>
      <c r="IX48" s="287"/>
      <c r="IY48" s="287"/>
      <c r="IZ48" s="287"/>
      <c r="JA48" s="287"/>
      <c r="JB48" s="287"/>
      <c r="JC48" s="287"/>
      <c r="JD48" s="287"/>
      <c r="JE48" s="287"/>
      <c r="JF48" s="287"/>
      <c r="JG48" s="287"/>
      <c r="JH48" s="287"/>
      <c r="JI48" s="287"/>
      <c r="JJ48" s="287"/>
      <c r="JK48" s="287"/>
      <c r="JL48" s="287"/>
      <c r="JM48" s="287"/>
      <c r="JN48" s="287"/>
      <c r="JO48" s="287"/>
      <c r="JP48" s="287"/>
      <c r="JQ48" s="287"/>
      <c r="JR48" s="287"/>
      <c r="JS48" s="287"/>
      <c r="JT48" s="287"/>
      <c r="JU48" s="287"/>
      <c r="JV48" s="287"/>
      <c r="JW48" s="287"/>
      <c r="JX48" s="287"/>
      <c r="JY48" s="287"/>
      <c r="JZ48" s="287"/>
      <c r="KA48" s="287"/>
      <c r="KB48" s="287"/>
      <c r="KC48" s="287"/>
      <c r="KD48" s="287"/>
      <c r="KE48" s="287"/>
      <c r="KF48" s="287"/>
      <c r="KG48" s="287"/>
      <c r="KH48" s="287"/>
      <c r="KI48" s="287"/>
      <c r="KJ48" s="287"/>
      <c r="KK48" s="287"/>
      <c r="KL48" s="287"/>
      <c r="KM48" s="287"/>
      <c r="KN48" s="287"/>
      <c r="KO48" s="287"/>
      <c r="KP48" s="287"/>
      <c r="KQ48" s="287"/>
      <c r="KR48" s="287"/>
      <c r="KS48" s="287"/>
      <c r="KT48" s="287"/>
      <c r="KU48" s="287"/>
      <c r="KV48" s="287"/>
      <c r="KW48" s="287"/>
      <c r="KX48" s="287"/>
      <c r="KY48" s="287"/>
      <c r="KZ48" s="287"/>
      <c r="LA48" s="287"/>
      <c r="LB48" s="287"/>
      <c r="LC48" s="287"/>
      <c r="LD48" s="287"/>
      <c r="LE48" s="287"/>
      <c r="LF48" s="287"/>
      <c r="LG48" s="287"/>
      <c r="LH48" s="287"/>
      <c r="LI48" s="287"/>
      <c r="LJ48" s="287"/>
      <c r="LK48" s="287"/>
      <c r="LL48" s="287"/>
      <c r="LM48" s="287"/>
      <c r="LN48" s="287"/>
      <c r="LO48" s="287"/>
      <c r="LP48" s="287"/>
      <c r="LQ48" s="287"/>
      <c r="LR48" s="287"/>
      <c r="LS48" s="287"/>
      <c r="LT48" s="287"/>
      <c r="LU48" s="287"/>
      <c r="LV48" s="287"/>
      <c r="LW48" s="287"/>
      <c r="LX48" s="287"/>
      <c r="LY48" s="287"/>
      <c r="LZ48" s="287"/>
      <c r="MA48" s="287"/>
      <c r="MB48" s="287"/>
      <c r="MC48" s="287"/>
      <c r="MD48" s="287"/>
      <c r="ME48" s="287"/>
      <c r="MF48" s="287"/>
      <c r="MG48" s="287"/>
      <c r="MH48" s="287"/>
      <c r="MI48" s="287"/>
      <c r="MJ48" s="287"/>
      <c r="MK48" s="287"/>
      <c r="ML48" s="287"/>
      <c r="MM48" s="287"/>
      <c r="MN48" s="287"/>
      <c r="MO48" s="287"/>
      <c r="MP48" s="287"/>
      <c r="MQ48" s="287"/>
      <c r="MR48" s="287"/>
      <c r="MS48" s="287"/>
      <c r="MT48" s="287"/>
      <c r="MU48" s="287"/>
      <c r="MV48" s="287"/>
      <c r="MW48" s="287"/>
      <c r="MX48" s="287"/>
      <c r="MY48" s="287"/>
      <c r="MZ48" s="287"/>
      <c r="NA48" s="287"/>
      <c r="NB48" s="287"/>
      <c r="NC48" s="287"/>
      <c r="ND48" s="287"/>
      <c r="NE48" s="287"/>
      <c r="NF48" s="287"/>
      <c r="NG48" s="287"/>
      <c r="NH48" s="287"/>
      <c r="NI48" s="287"/>
      <c r="NJ48" s="287"/>
      <c r="NK48" s="287"/>
      <c r="NL48" s="287"/>
      <c r="NM48" s="287"/>
      <c r="NN48" s="287"/>
      <c r="NO48" s="287"/>
      <c r="NP48" s="287"/>
      <c r="NQ48" s="287"/>
      <c r="NR48" s="287"/>
      <c r="NS48" s="287"/>
      <c r="NT48" s="287"/>
      <c r="NU48" s="287"/>
      <c r="NV48" s="287"/>
      <c r="NW48" s="287"/>
      <c r="NX48" s="287"/>
      <c r="NY48" s="287"/>
      <c r="NZ48" s="287"/>
      <c r="OA48" s="287"/>
      <c r="OB48" s="287"/>
      <c r="OC48" s="287"/>
      <c r="OD48" s="287"/>
      <c r="OE48" s="287"/>
      <c r="OF48" s="287"/>
      <c r="OG48" s="287"/>
      <c r="OH48" s="287"/>
      <c r="OI48" s="287"/>
      <c r="OJ48" s="287"/>
      <c r="OK48" s="287"/>
      <c r="OL48" s="287"/>
      <c r="OM48" s="287"/>
      <c r="ON48" s="287"/>
      <c r="OO48" s="287"/>
      <c r="OP48" s="287"/>
      <c r="OQ48" s="287"/>
      <c r="OR48" s="287"/>
      <c r="OS48" s="287"/>
      <c r="OT48" s="287"/>
      <c r="OU48" s="287"/>
      <c r="OV48" s="287"/>
      <c r="OW48" s="287"/>
      <c r="OX48" s="287"/>
      <c r="OY48" s="287"/>
      <c r="OZ48" s="287"/>
      <c r="PA48" s="287"/>
      <c r="PB48" s="287"/>
      <c r="PC48" s="287"/>
      <c r="PD48" s="287"/>
      <c r="PE48" s="287"/>
      <c r="PF48" s="287"/>
      <c r="PG48" s="287"/>
      <c r="PH48" s="287"/>
      <c r="PI48" s="287"/>
      <c r="PJ48" s="287"/>
      <c r="PK48" s="287"/>
      <c r="PL48" s="287"/>
      <c r="PM48" s="287"/>
      <c r="PN48" s="287"/>
      <c r="PO48" s="287"/>
      <c r="PP48" s="287"/>
      <c r="PQ48" s="287"/>
      <c r="PR48" s="287"/>
      <c r="PS48" s="287"/>
      <c r="PT48" s="287"/>
      <c r="PU48" s="287"/>
      <c r="PV48" s="287"/>
      <c r="PW48" s="287"/>
      <c r="PX48" s="287"/>
      <c r="PY48" s="287"/>
      <c r="PZ48" s="287"/>
      <c r="QA48" s="287"/>
      <c r="QB48" s="287"/>
      <c r="QC48" s="287"/>
      <c r="QD48" s="287"/>
      <c r="QE48" s="287"/>
      <c r="QF48" s="287"/>
      <c r="QG48" s="287"/>
      <c r="QH48" s="287"/>
      <c r="QI48" s="287"/>
      <c r="QJ48" s="287"/>
      <c r="QK48" s="287"/>
      <c r="QL48" s="287"/>
      <c r="QM48" s="287"/>
      <c r="QN48" s="287"/>
      <c r="QO48" s="287"/>
      <c r="QP48" s="287"/>
      <c r="QQ48" s="287"/>
      <c r="QR48" s="287"/>
      <c r="QS48" s="287"/>
      <c r="QT48" s="287"/>
      <c r="QU48" s="287"/>
      <c r="QV48" s="287"/>
      <c r="QW48" s="287"/>
      <c r="QX48" s="287"/>
      <c r="QY48" s="287"/>
      <c r="QZ48" s="287"/>
      <c r="RA48" s="287"/>
      <c r="RB48" s="287"/>
      <c r="RC48" s="287"/>
      <c r="RD48" s="287"/>
      <c r="RE48" s="287"/>
      <c r="RF48" s="287"/>
      <c r="RG48" s="287"/>
      <c r="RH48" s="287"/>
      <c r="RI48" s="287"/>
      <c r="RJ48" s="287"/>
      <c r="RK48" s="287"/>
      <c r="RL48" s="287"/>
      <c r="RM48" s="287"/>
      <c r="RN48" s="287"/>
      <c r="RO48" s="287"/>
      <c r="RP48" s="287"/>
      <c r="RQ48" s="287"/>
      <c r="RR48" s="287"/>
      <c r="RS48" s="287"/>
      <c r="RT48" s="287"/>
      <c r="RU48" s="287"/>
      <c r="RV48" s="287"/>
      <c r="RW48" s="287"/>
      <c r="RX48" s="287"/>
      <c r="RY48" s="287"/>
      <c r="RZ48" s="287"/>
      <c r="SA48" s="287"/>
      <c r="SB48" s="287"/>
      <c r="SC48" s="287"/>
      <c r="SD48" s="287"/>
      <c r="SE48" s="287"/>
      <c r="SF48" s="287"/>
      <c r="SG48" s="287"/>
      <c r="SH48" s="287"/>
      <c r="SI48" s="287"/>
      <c r="SJ48" s="287"/>
      <c r="SK48" s="287"/>
      <c r="SL48" s="287"/>
      <c r="SM48" s="287"/>
      <c r="SN48" s="287"/>
      <c r="SO48" s="287"/>
      <c r="SP48" s="287"/>
      <c r="SQ48" s="287"/>
      <c r="SR48" s="287"/>
      <c r="SS48" s="287"/>
      <c r="ST48" s="287"/>
      <c r="SU48" s="287"/>
      <c r="SV48" s="287"/>
      <c r="SW48" s="287"/>
      <c r="SX48" s="287"/>
      <c r="SY48" s="287"/>
      <c r="SZ48" s="287"/>
      <c r="TA48" s="287"/>
      <c r="TB48" s="287"/>
      <c r="TC48" s="287"/>
      <c r="TD48" s="287"/>
      <c r="TE48" s="287"/>
      <c r="TF48" s="287"/>
      <c r="TG48" s="287"/>
      <c r="TH48" s="287"/>
      <c r="TI48" s="287"/>
      <c r="TJ48" s="287"/>
      <c r="TK48" s="287"/>
      <c r="TL48" s="287"/>
      <c r="TM48" s="287"/>
      <c r="TN48" s="287"/>
      <c r="TO48" s="287"/>
      <c r="TP48" s="287"/>
      <c r="TQ48" s="287"/>
      <c r="TR48" s="287"/>
      <c r="TS48" s="287"/>
      <c r="TT48" s="287"/>
      <c r="TU48" s="287"/>
      <c r="TV48" s="287"/>
      <c r="TW48" s="287"/>
      <c r="TX48" s="287"/>
      <c r="TY48" s="287"/>
      <c r="TZ48" s="287"/>
      <c r="UA48" s="287"/>
      <c r="UB48" s="287"/>
      <c r="UC48" s="287"/>
      <c r="UD48" s="287"/>
      <c r="UE48" s="287"/>
      <c r="UF48" s="287"/>
      <c r="UG48" s="287"/>
      <c r="UH48" s="287"/>
      <c r="UI48" s="287"/>
      <c r="UJ48" s="287"/>
      <c r="UK48" s="287"/>
      <c r="UL48" s="287"/>
      <c r="UM48" s="287"/>
      <c r="UN48" s="287"/>
      <c r="UO48" s="287"/>
      <c r="UP48" s="287"/>
      <c r="UQ48" s="287"/>
      <c r="UR48" s="287"/>
      <c r="US48" s="287"/>
      <c r="UT48" s="287"/>
      <c r="UU48" s="287"/>
      <c r="UV48" s="287"/>
      <c r="UW48" s="287"/>
      <c r="UX48" s="287"/>
      <c r="UY48" s="287"/>
      <c r="UZ48" s="287"/>
      <c r="VA48" s="287"/>
      <c r="VB48" s="287"/>
      <c r="VC48" s="287"/>
      <c r="VD48" s="287"/>
      <c r="VE48" s="287"/>
      <c r="VF48" s="287"/>
      <c r="VG48" s="287"/>
      <c r="VH48" s="287"/>
      <c r="VI48" s="287"/>
      <c r="VJ48" s="287"/>
      <c r="VK48" s="287"/>
      <c r="VL48" s="287"/>
      <c r="VM48" s="287"/>
      <c r="VN48" s="287"/>
      <c r="VO48" s="287"/>
      <c r="VP48" s="287"/>
      <c r="VQ48" s="287"/>
      <c r="VR48" s="287"/>
      <c r="VS48" s="287"/>
      <c r="VT48" s="287"/>
      <c r="VU48" s="287"/>
      <c r="VV48" s="287"/>
      <c r="VW48" s="287"/>
      <c r="VX48" s="287"/>
      <c r="VY48" s="287"/>
      <c r="VZ48" s="287"/>
      <c r="WA48" s="287"/>
      <c r="WB48" s="287"/>
      <c r="WC48" s="287"/>
      <c r="WD48" s="287"/>
      <c r="WE48" s="287"/>
      <c r="WF48" s="287"/>
      <c r="WG48" s="287"/>
      <c r="WH48" s="287"/>
      <c r="WI48" s="287"/>
      <c r="WJ48" s="287"/>
      <c r="WK48" s="287"/>
      <c r="WL48" s="287"/>
      <c r="WM48" s="287"/>
      <c r="WN48" s="287"/>
      <c r="WO48" s="287"/>
      <c r="WP48" s="287"/>
      <c r="WQ48" s="287"/>
      <c r="WR48" s="287"/>
      <c r="WS48" s="287"/>
      <c r="WT48" s="287"/>
      <c r="WU48" s="287"/>
      <c r="WV48" s="287"/>
      <c r="WW48" s="287"/>
      <c r="WX48" s="287"/>
      <c r="WY48" s="287"/>
      <c r="WZ48" s="287"/>
      <c r="XA48" s="287"/>
      <c r="XB48" s="287"/>
      <c r="XC48" s="287"/>
      <c r="XD48" s="287"/>
      <c r="XE48" s="287"/>
      <c r="XF48" s="287"/>
      <c r="XG48" s="287"/>
      <c r="XH48" s="287"/>
      <c r="XI48" s="287"/>
      <c r="XJ48" s="287"/>
      <c r="XK48" s="287"/>
      <c r="XL48" s="287"/>
      <c r="XM48" s="287"/>
      <c r="XN48" s="287"/>
      <c r="XO48" s="287"/>
      <c r="XP48" s="287"/>
      <c r="XQ48" s="287"/>
      <c r="XR48" s="287"/>
      <c r="XS48" s="287"/>
      <c r="XT48" s="287"/>
      <c r="XU48" s="287"/>
      <c r="XV48" s="287"/>
      <c r="XW48" s="287"/>
      <c r="XX48" s="287"/>
      <c r="XY48" s="287"/>
      <c r="XZ48" s="287"/>
      <c r="YA48" s="287"/>
      <c r="YB48" s="287"/>
      <c r="YC48" s="287"/>
      <c r="YD48" s="287"/>
      <c r="YE48" s="287"/>
      <c r="YF48" s="287"/>
      <c r="YG48" s="287"/>
      <c r="YH48" s="287"/>
      <c r="YI48" s="287"/>
      <c r="YJ48" s="287"/>
      <c r="YK48" s="287"/>
      <c r="YL48" s="287"/>
      <c r="YM48" s="287"/>
      <c r="YN48" s="287"/>
      <c r="YO48" s="287"/>
      <c r="YP48" s="287"/>
      <c r="YQ48" s="287"/>
      <c r="YR48" s="287"/>
      <c r="YS48" s="287"/>
      <c r="YT48" s="287"/>
      <c r="YU48" s="287"/>
      <c r="YV48" s="287"/>
      <c r="YW48" s="287"/>
      <c r="YX48" s="287"/>
      <c r="YY48" s="287"/>
      <c r="YZ48" s="287"/>
      <c r="ZA48" s="287"/>
      <c r="ZB48" s="287"/>
      <c r="ZC48" s="287"/>
      <c r="ZD48" s="287"/>
      <c r="ZE48" s="287"/>
      <c r="ZF48" s="287"/>
      <c r="ZG48" s="287"/>
      <c r="ZH48" s="287"/>
      <c r="ZI48" s="287"/>
      <c r="ZJ48" s="287"/>
      <c r="ZK48" s="287"/>
      <c r="ZL48" s="287"/>
      <c r="ZM48" s="287"/>
      <c r="ZN48" s="287"/>
      <c r="ZO48" s="287"/>
      <c r="ZP48" s="287"/>
      <c r="ZQ48" s="287"/>
      <c r="ZR48" s="287"/>
      <c r="ZS48" s="287"/>
      <c r="ZT48" s="287"/>
      <c r="ZU48" s="287"/>
      <c r="ZV48" s="287"/>
      <c r="ZW48" s="287"/>
      <c r="ZX48" s="287"/>
      <c r="ZY48" s="287"/>
      <c r="ZZ48" s="287"/>
      <c r="AAA48" s="287"/>
      <c r="AAB48" s="287"/>
      <c r="AAC48" s="287"/>
      <c r="AAD48" s="287"/>
      <c r="AAE48" s="287"/>
      <c r="AAF48" s="287"/>
      <c r="AAG48" s="287"/>
      <c r="AAH48" s="287"/>
      <c r="AAI48" s="287"/>
      <c r="AAJ48" s="287"/>
      <c r="AAK48" s="287"/>
      <c r="AAL48" s="287"/>
      <c r="AAM48" s="287"/>
      <c r="AAN48" s="287"/>
      <c r="AAO48" s="287"/>
      <c r="AAP48" s="287"/>
      <c r="AAQ48" s="287"/>
      <c r="AAR48" s="287"/>
      <c r="AAS48" s="287"/>
      <c r="AAT48" s="287"/>
      <c r="AAU48" s="287"/>
      <c r="AAV48" s="287"/>
      <c r="AAW48" s="287"/>
      <c r="AAX48" s="287"/>
      <c r="AAY48" s="287"/>
      <c r="AAZ48" s="287"/>
      <c r="ABA48" s="287"/>
      <c r="ABB48" s="287"/>
      <c r="ABC48" s="287"/>
      <c r="ABD48" s="287"/>
      <c r="ABE48" s="287"/>
      <c r="ABF48" s="287"/>
      <c r="ABG48" s="287"/>
      <c r="ABH48" s="287"/>
      <c r="ABI48" s="287"/>
      <c r="ABJ48" s="287"/>
      <c r="ABK48" s="287"/>
      <c r="ABL48" s="287"/>
      <c r="ABM48" s="287"/>
      <c r="ABN48" s="287"/>
      <c r="ABO48" s="287"/>
      <c r="ABP48" s="287"/>
      <c r="ABQ48" s="287"/>
      <c r="ABR48" s="287"/>
      <c r="ABS48" s="287"/>
      <c r="ABT48" s="287"/>
      <c r="ABU48" s="287"/>
      <c r="ABV48" s="287"/>
      <c r="ABW48" s="287"/>
      <c r="ABX48" s="287"/>
      <c r="ABY48" s="287"/>
      <c r="ABZ48" s="287"/>
      <c r="ACA48" s="287"/>
      <c r="ACB48" s="287"/>
      <c r="ACC48" s="287"/>
      <c r="ACD48" s="287"/>
      <c r="ACE48" s="287"/>
      <c r="ACF48" s="287"/>
      <c r="ACG48" s="287"/>
      <c r="ACH48" s="287"/>
      <c r="ACI48" s="287"/>
      <c r="ACJ48" s="287"/>
      <c r="ACK48" s="287"/>
      <c r="ACL48" s="287"/>
      <c r="ACM48" s="287"/>
      <c r="ACN48" s="287"/>
      <c r="ACO48" s="287"/>
      <c r="ACP48" s="287"/>
      <c r="ACQ48" s="287"/>
      <c r="ACR48" s="287"/>
      <c r="ACS48" s="287"/>
      <c r="ACT48" s="287"/>
      <c r="ACU48" s="287"/>
      <c r="ACV48" s="287"/>
      <c r="ACW48" s="287"/>
      <c r="ACX48" s="287"/>
      <c r="ACY48" s="287"/>
      <c r="ACZ48" s="287"/>
      <c r="ADA48" s="287"/>
      <c r="ADB48" s="287"/>
      <c r="ADC48" s="287"/>
      <c r="ADD48" s="287"/>
      <c r="ADE48" s="287"/>
      <c r="ADF48" s="287"/>
      <c r="ADG48" s="287"/>
      <c r="ADH48" s="287"/>
      <c r="ADI48" s="287"/>
      <c r="ADJ48" s="287"/>
      <c r="ADK48" s="287"/>
      <c r="ADL48" s="287"/>
      <c r="ADM48" s="287"/>
      <c r="ADN48" s="287"/>
      <c r="ADO48" s="287"/>
      <c r="ADP48" s="287"/>
      <c r="ADQ48" s="287"/>
      <c r="ADR48" s="287"/>
      <c r="ADS48" s="287"/>
      <c r="ADT48" s="287"/>
      <c r="ADU48" s="287"/>
      <c r="ADV48" s="287"/>
      <c r="ADW48" s="287"/>
      <c r="ADX48" s="287"/>
      <c r="ADY48" s="287"/>
      <c r="ADZ48" s="287"/>
      <c r="AEA48" s="287"/>
      <c r="AEB48" s="287"/>
      <c r="AEC48" s="287"/>
      <c r="AED48" s="287"/>
      <c r="AEE48" s="287"/>
      <c r="AEF48" s="287"/>
      <c r="AEG48" s="287"/>
      <c r="AEH48" s="287"/>
      <c r="AEI48" s="287"/>
      <c r="AEJ48" s="287"/>
      <c r="AEK48" s="287"/>
      <c r="AEL48" s="287"/>
      <c r="AEM48" s="287"/>
      <c r="AEN48" s="287"/>
      <c r="AEO48" s="287"/>
      <c r="AEP48" s="287"/>
      <c r="AEQ48" s="287"/>
      <c r="AER48" s="287"/>
      <c r="AES48" s="287"/>
      <c r="AET48" s="287"/>
      <c r="AEU48" s="287"/>
      <c r="AEV48" s="287"/>
      <c r="AEW48" s="287"/>
      <c r="AEX48" s="287"/>
      <c r="AEY48" s="287"/>
      <c r="AEZ48" s="287"/>
      <c r="AFA48" s="287"/>
      <c r="AFB48" s="287"/>
      <c r="AFC48" s="287"/>
      <c r="AFD48" s="287"/>
      <c r="AFE48" s="287"/>
      <c r="AFF48" s="287"/>
      <c r="AFG48" s="287"/>
      <c r="AFH48" s="287"/>
      <c r="AFI48" s="287"/>
      <c r="AFJ48" s="287"/>
      <c r="AFK48" s="287"/>
      <c r="AFL48" s="287"/>
      <c r="AFM48" s="287"/>
      <c r="AFN48" s="287"/>
      <c r="AFO48" s="287"/>
      <c r="AFP48" s="287"/>
      <c r="AFQ48" s="287"/>
      <c r="AFR48" s="287"/>
      <c r="AFS48" s="287"/>
      <c r="AFT48" s="287"/>
      <c r="AFU48" s="287"/>
      <c r="AFV48" s="287"/>
      <c r="AFW48" s="287"/>
      <c r="AFX48" s="287"/>
      <c r="AFY48" s="287"/>
      <c r="AFZ48" s="287"/>
      <c r="AGA48" s="287"/>
      <c r="AGB48" s="287"/>
      <c r="AGC48" s="287"/>
      <c r="AGD48" s="287"/>
      <c r="AGE48" s="287"/>
      <c r="AGF48" s="287"/>
      <c r="AGG48" s="287"/>
      <c r="AGH48" s="287"/>
      <c r="AGI48" s="287"/>
      <c r="AGJ48" s="287"/>
      <c r="AGK48" s="287"/>
      <c r="AGL48" s="287"/>
      <c r="AGM48" s="287"/>
      <c r="AGN48" s="287"/>
      <c r="AGO48" s="287"/>
      <c r="AGP48" s="287"/>
      <c r="AGQ48" s="287"/>
      <c r="AGR48" s="287"/>
      <c r="AGS48" s="287"/>
      <c r="AGT48" s="287"/>
      <c r="AGU48" s="287"/>
      <c r="AGV48" s="287"/>
      <c r="AGW48" s="287"/>
      <c r="AGX48" s="287"/>
      <c r="AGY48" s="287"/>
      <c r="AGZ48" s="287"/>
      <c r="AHA48" s="287"/>
      <c r="AHB48" s="287"/>
      <c r="AHC48" s="287"/>
      <c r="AHD48" s="287"/>
      <c r="AHE48" s="287"/>
      <c r="AHF48" s="287"/>
      <c r="AHG48" s="287"/>
      <c r="AHH48" s="287"/>
      <c r="AHI48" s="287"/>
      <c r="AHJ48" s="287"/>
      <c r="AHK48" s="287"/>
      <c r="AHL48" s="287"/>
      <c r="AHM48" s="287"/>
      <c r="AHN48" s="287"/>
      <c r="AHO48" s="287"/>
      <c r="AHP48" s="287"/>
      <c r="AHQ48" s="287"/>
      <c r="AHR48" s="287"/>
      <c r="AHS48" s="287"/>
      <c r="AHT48" s="287"/>
      <c r="AHU48" s="287"/>
      <c r="AHV48" s="287"/>
      <c r="AHW48" s="287"/>
      <c r="AHX48" s="287"/>
      <c r="AHY48" s="287"/>
      <c r="AHZ48" s="287"/>
      <c r="AIA48" s="287"/>
      <c r="AIB48" s="287"/>
      <c r="AIC48" s="287"/>
      <c r="AID48" s="287"/>
      <c r="AIE48" s="287"/>
      <c r="AIF48" s="287"/>
      <c r="AIG48" s="287"/>
      <c r="AIH48" s="287"/>
      <c r="AII48" s="287"/>
      <c r="AIJ48" s="287"/>
      <c r="AIK48" s="287"/>
      <c r="AIL48" s="287"/>
      <c r="AIM48" s="287"/>
      <c r="AIN48" s="287"/>
      <c r="AIO48" s="287"/>
      <c r="AIP48" s="287"/>
      <c r="AIQ48" s="287"/>
      <c r="AIR48" s="287"/>
      <c r="AIS48" s="287"/>
      <c r="AIT48" s="287"/>
      <c r="AIU48" s="287"/>
      <c r="AIV48" s="287"/>
      <c r="AIW48" s="287"/>
      <c r="AIX48" s="287"/>
      <c r="AIY48" s="287"/>
      <c r="AIZ48" s="287"/>
      <c r="AJA48" s="287"/>
      <c r="AJB48" s="287"/>
      <c r="AJC48" s="287"/>
      <c r="AJD48" s="287"/>
      <c r="AJE48" s="287"/>
      <c r="AJF48" s="287"/>
      <c r="AJG48" s="287"/>
      <c r="AJH48" s="287"/>
      <c r="AJI48" s="287"/>
      <c r="AJJ48" s="287"/>
      <c r="AJK48" s="287"/>
      <c r="AJL48" s="287"/>
      <c r="AJM48" s="287"/>
      <c r="AJN48" s="287"/>
      <c r="AJO48" s="287"/>
      <c r="AJP48" s="287"/>
      <c r="AJQ48" s="287"/>
      <c r="AJR48" s="287"/>
      <c r="AJS48" s="287"/>
      <c r="AJT48" s="287"/>
      <c r="AJU48" s="287"/>
      <c r="AJV48" s="287"/>
      <c r="AJW48" s="287"/>
      <c r="AJX48" s="287"/>
      <c r="AJY48" s="287"/>
      <c r="AJZ48" s="287"/>
      <c r="AKA48" s="287"/>
      <c r="AKB48" s="287"/>
      <c r="AKC48" s="287"/>
      <c r="AKD48" s="287"/>
      <c r="AKE48" s="287"/>
      <c r="AKF48" s="287"/>
      <c r="AKG48" s="287"/>
      <c r="AKH48" s="287"/>
      <c r="AKI48" s="287"/>
      <c r="AKJ48" s="287"/>
      <c r="AKK48" s="287"/>
      <c r="AKL48" s="287"/>
      <c r="AKM48" s="287"/>
      <c r="AKN48" s="287"/>
      <c r="AKO48" s="287"/>
      <c r="AKP48" s="287"/>
      <c r="AKQ48" s="287"/>
      <c r="AKR48" s="287"/>
      <c r="AKS48" s="287"/>
      <c r="AKT48" s="287"/>
      <c r="AKU48" s="287"/>
      <c r="AKV48" s="287"/>
      <c r="AKW48" s="287"/>
      <c r="AKX48" s="287"/>
      <c r="AKY48" s="287"/>
      <c r="AKZ48" s="287"/>
      <c r="ALA48" s="287"/>
      <c r="ALB48" s="287"/>
      <c r="ALC48" s="287"/>
      <c r="ALD48" s="287"/>
      <c r="ALE48" s="287"/>
      <c r="ALF48" s="287"/>
      <c r="ALG48" s="287"/>
      <c r="ALH48" s="287"/>
      <c r="ALI48" s="287"/>
      <c r="ALJ48" s="287"/>
      <c r="ALK48" s="287"/>
      <c r="ALL48" s="287"/>
      <c r="ALM48" s="287"/>
      <c r="ALN48" s="287"/>
      <c r="ALO48" s="287"/>
      <c r="ALP48" s="287"/>
      <c r="ALQ48" s="287"/>
      <c r="ALR48" s="287"/>
      <c r="ALS48" s="287"/>
      <c r="ALT48" s="287"/>
      <c r="ALU48" s="287"/>
      <c r="ALV48" s="287"/>
      <c r="ALW48" s="287"/>
      <c r="ALX48" s="287"/>
      <c r="ALY48" s="287"/>
      <c r="ALZ48" s="287"/>
      <c r="AMA48" s="287"/>
      <c r="AMB48" s="287"/>
      <c r="AMC48" s="287"/>
      <c r="AMD48" s="287"/>
      <c r="AME48" s="287"/>
      <c r="AMF48" s="287"/>
      <c r="AMG48" s="287"/>
      <c r="AMH48" s="287"/>
      <c r="AMI48" s="287"/>
      <c r="AMJ48" s="287"/>
      <c r="AMK48" s="287"/>
      <c r="AML48" s="287"/>
      <c r="AMM48" s="287"/>
      <c r="AMN48" s="287"/>
      <c r="AMO48" s="287"/>
      <c r="AMP48" s="287"/>
      <c r="AMQ48" s="287"/>
      <c r="AMR48" s="287"/>
      <c r="AMS48" s="287"/>
      <c r="AMT48" s="287"/>
      <c r="AMU48" s="287"/>
      <c r="AMV48" s="287"/>
      <c r="AMW48" s="287"/>
      <c r="AMX48" s="287"/>
      <c r="AMY48" s="287"/>
      <c r="AMZ48" s="287"/>
      <c r="ANA48" s="287"/>
      <c r="ANB48" s="287"/>
      <c r="ANC48" s="287"/>
      <c r="AND48" s="287"/>
      <c r="ANE48" s="287"/>
      <c r="ANF48" s="287"/>
      <c r="ANG48" s="287"/>
      <c r="ANH48" s="287"/>
      <c r="ANI48" s="287"/>
      <c r="ANJ48" s="287"/>
      <c r="ANK48" s="287"/>
      <c r="ANL48" s="287"/>
      <c r="ANM48" s="287"/>
      <c r="ANN48" s="287"/>
      <c r="ANO48" s="287"/>
      <c r="ANP48" s="287"/>
      <c r="ANQ48" s="287"/>
      <c r="ANR48" s="287"/>
      <c r="ANS48" s="287"/>
      <c r="ANT48" s="287"/>
      <c r="ANU48" s="287"/>
      <c r="ANV48" s="287"/>
      <c r="ANW48" s="287"/>
      <c r="ANX48" s="287"/>
      <c r="ANY48" s="287"/>
      <c r="ANZ48" s="287"/>
      <c r="AOA48" s="287"/>
      <c r="AOB48" s="287"/>
      <c r="AOC48" s="287"/>
      <c r="AOD48" s="287"/>
      <c r="AOE48" s="287"/>
      <c r="AOF48" s="287"/>
      <c r="AOG48" s="287"/>
      <c r="AOH48" s="287"/>
      <c r="AOI48" s="287"/>
      <c r="AOJ48" s="287"/>
      <c r="AOK48" s="287"/>
      <c r="AOL48" s="287"/>
      <c r="AOM48" s="287"/>
      <c r="AON48" s="287"/>
      <c r="AOO48" s="287"/>
      <c r="AOP48" s="287"/>
      <c r="AOQ48" s="287"/>
      <c r="AOR48" s="287"/>
      <c r="AOS48" s="287"/>
      <c r="AOT48" s="287"/>
      <c r="AOU48" s="287"/>
      <c r="AOV48" s="287"/>
      <c r="AOW48" s="287"/>
      <c r="AOX48" s="287"/>
      <c r="AOY48" s="287"/>
      <c r="AOZ48" s="287"/>
      <c r="APA48" s="287"/>
      <c r="APB48" s="287"/>
      <c r="APC48" s="287"/>
      <c r="APD48" s="287"/>
      <c r="APE48" s="287"/>
      <c r="APF48" s="287"/>
      <c r="APG48" s="287"/>
      <c r="APH48" s="287"/>
      <c r="API48" s="287"/>
      <c r="APJ48" s="287"/>
      <c r="APK48" s="287"/>
      <c r="APL48" s="287"/>
      <c r="APM48" s="287"/>
      <c r="APN48" s="287"/>
      <c r="APO48" s="287"/>
      <c r="APP48" s="287"/>
      <c r="APQ48" s="287"/>
      <c r="APR48" s="287"/>
      <c r="APS48" s="287"/>
      <c r="APT48" s="287"/>
      <c r="APU48" s="287"/>
      <c r="APV48" s="287"/>
      <c r="APW48" s="287"/>
      <c r="APX48" s="287"/>
      <c r="APY48" s="287"/>
      <c r="APZ48" s="287"/>
      <c r="AQA48" s="287"/>
      <c r="AQB48" s="287"/>
      <c r="AQC48" s="287"/>
      <c r="AQD48" s="287"/>
      <c r="AQE48" s="287"/>
      <c r="AQF48" s="287"/>
      <c r="AQG48" s="287"/>
      <c r="AQH48" s="287"/>
      <c r="AQI48" s="287"/>
      <c r="AQJ48" s="287"/>
      <c r="AQK48" s="287"/>
      <c r="AQL48" s="287"/>
      <c r="AQM48" s="287"/>
      <c r="AQN48" s="287"/>
      <c r="AQO48" s="287"/>
      <c r="AQP48" s="287"/>
      <c r="AQQ48" s="287"/>
      <c r="AQR48" s="287"/>
      <c r="AQS48" s="287"/>
      <c r="AQT48" s="287"/>
      <c r="AQU48" s="287"/>
      <c r="AQV48" s="287"/>
      <c r="AQW48" s="287"/>
      <c r="AQX48" s="287"/>
      <c r="AQY48" s="287"/>
      <c r="AQZ48" s="287"/>
      <c r="ARA48" s="287"/>
      <c r="ARB48" s="287"/>
      <c r="ARC48" s="287"/>
      <c r="ARD48" s="287"/>
      <c r="ARE48" s="287"/>
      <c r="ARF48" s="287"/>
      <c r="ARG48" s="287"/>
      <c r="ARH48" s="287"/>
      <c r="ARI48" s="287"/>
      <c r="ARJ48" s="287"/>
      <c r="ARK48" s="287"/>
      <c r="ARL48" s="287"/>
      <c r="ARM48" s="287"/>
      <c r="ARN48" s="287"/>
      <c r="ARO48" s="287"/>
      <c r="ARP48" s="287"/>
      <c r="ARQ48" s="287"/>
      <c r="ARR48" s="287"/>
      <c r="ARS48" s="287"/>
      <c r="ART48" s="287"/>
      <c r="ARU48" s="287"/>
      <c r="ARV48" s="287"/>
      <c r="ARW48" s="287"/>
      <c r="ARX48" s="287"/>
      <c r="ARY48" s="287"/>
      <c r="ARZ48" s="287"/>
      <c r="ASA48" s="287"/>
      <c r="ASB48" s="287"/>
      <c r="ASC48" s="287"/>
      <c r="ASD48" s="287"/>
      <c r="ASE48" s="287"/>
      <c r="ASF48" s="287"/>
      <c r="ASG48" s="287"/>
      <c r="ASH48" s="287"/>
      <c r="ASI48" s="287"/>
      <c r="ASJ48" s="287"/>
      <c r="ASK48" s="287"/>
      <c r="ASL48" s="287"/>
      <c r="ASM48" s="287"/>
      <c r="ASN48" s="287"/>
      <c r="ASO48" s="287"/>
      <c r="ASP48" s="287"/>
      <c r="ASQ48" s="287"/>
      <c r="ASR48" s="287"/>
      <c r="ASS48" s="287"/>
      <c r="AST48" s="287"/>
      <c r="ASU48" s="287"/>
      <c r="ASV48" s="287"/>
      <c r="ASW48" s="287"/>
      <c r="ASX48" s="287"/>
      <c r="ASY48" s="287"/>
      <c r="ASZ48" s="287"/>
      <c r="ATA48" s="287"/>
      <c r="ATB48" s="287"/>
      <c r="ATC48" s="287"/>
      <c r="ATD48" s="287"/>
      <c r="ATE48" s="287"/>
      <c r="ATF48" s="287"/>
      <c r="ATG48" s="287"/>
      <c r="ATH48" s="287"/>
      <c r="ATI48" s="287"/>
      <c r="ATJ48" s="287"/>
      <c r="ATK48" s="287"/>
      <c r="ATL48" s="287"/>
      <c r="ATM48" s="287"/>
      <c r="ATN48" s="287"/>
      <c r="ATO48" s="287"/>
      <c r="ATP48" s="287"/>
      <c r="ATQ48" s="287"/>
      <c r="ATR48" s="287"/>
      <c r="ATS48" s="287"/>
      <c r="ATT48" s="287"/>
      <c r="ATU48" s="287"/>
      <c r="ATV48" s="287"/>
      <c r="ATW48" s="287"/>
      <c r="ATX48" s="287"/>
      <c r="ATY48" s="287"/>
      <c r="ATZ48" s="287"/>
      <c r="AUA48" s="287"/>
      <c r="AUB48" s="287"/>
      <c r="AUC48" s="287"/>
      <c r="AUD48" s="287"/>
      <c r="AUE48" s="287"/>
      <c r="AUF48" s="287"/>
      <c r="AUG48" s="287"/>
      <c r="AUH48" s="287"/>
      <c r="AUI48" s="287"/>
      <c r="AUJ48" s="287"/>
      <c r="AUK48" s="287"/>
      <c r="AUL48" s="287"/>
      <c r="AUM48" s="287"/>
      <c r="AUN48" s="287"/>
      <c r="AUO48" s="287"/>
      <c r="AUP48" s="287"/>
      <c r="AUQ48" s="287"/>
      <c r="AUR48" s="287"/>
      <c r="AUS48" s="287"/>
      <c r="AUT48" s="287"/>
      <c r="AUU48" s="287"/>
      <c r="AUV48" s="287"/>
      <c r="AUW48" s="287"/>
      <c r="AUX48" s="287"/>
      <c r="AUY48" s="287"/>
      <c r="AUZ48" s="287"/>
      <c r="AVA48" s="287"/>
      <c r="AVB48" s="287"/>
      <c r="AVC48" s="287"/>
      <c r="AVD48" s="287"/>
      <c r="AVE48" s="287"/>
      <c r="AVF48" s="287"/>
      <c r="AVG48" s="287"/>
      <c r="AVH48" s="287"/>
      <c r="AVI48" s="287"/>
      <c r="AVJ48" s="287"/>
      <c r="AVK48" s="287"/>
      <c r="AVL48" s="287"/>
      <c r="AVM48" s="287"/>
      <c r="AVN48" s="287"/>
      <c r="AVO48" s="287"/>
      <c r="AVP48" s="287"/>
      <c r="AVQ48" s="287"/>
      <c r="AVR48" s="287"/>
      <c r="AVS48" s="287"/>
      <c r="AVT48" s="287"/>
      <c r="AVU48" s="287"/>
      <c r="AVV48" s="287"/>
      <c r="AVW48" s="287"/>
      <c r="AVX48" s="287"/>
      <c r="AVY48" s="287"/>
      <c r="AVZ48" s="287"/>
      <c r="AWA48" s="287"/>
      <c r="AWB48" s="287"/>
      <c r="AWC48" s="287"/>
      <c r="AWD48" s="287"/>
      <c r="AWE48" s="287"/>
      <c r="AWF48" s="287"/>
      <c r="AWG48" s="287"/>
      <c r="AWH48" s="287"/>
      <c r="AWI48" s="287"/>
      <c r="AWJ48" s="287"/>
      <c r="AWK48" s="287"/>
      <c r="AWL48" s="287"/>
      <c r="AWM48" s="287"/>
      <c r="AWN48" s="287"/>
      <c r="AWO48" s="287"/>
      <c r="AWP48" s="287"/>
      <c r="AWQ48" s="287"/>
      <c r="AWR48" s="287"/>
      <c r="AWS48" s="287"/>
      <c r="AWT48" s="287"/>
      <c r="AWU48" s="287"/>
      <c r="AWV48" s="287"/>
      <c r="AWW48" s="287"/>
      <c r="AWX48" s="287"/>
      <c r="AWY48" s="287"/>
      <c r="AWZ48" s="287"/>
      <c r="AXA48" s="287"/>
      <c r="AXB48" s="287"/>
      <c r="AXC48" s="287"/>
      <c r="AXD48" s="287"/>
      <c r="AXE48" s="287"/>
      <c r="AXF48" s="287"/>
      <c r="AXG48" s="287"/>
      <c r="AXH48" s="287"/>
      <c r="AXI48" s="287"/>
      <c r="AXJ48" s="287"/>
      <c r="AXK48" s="287"/>
      <c r="AXL48" s="287"/>
      <c r="AXM48" s="287"/>
      <c r="AXN48" s="287"/>
      <c r="AXO48" s="287"/>
      <c r="AXP48" s="287"/>
      <c r="AXQ48" s="287"/>
      <c r="AXR48" s="287"/>
      <c r="AXS48" s="287"/>
      <c r="AXT48" s="287"/>
      <c r="AXU48" s="287"/>
      <c r="AXV48" s="287"/>
      <c r="AXW48" s="287"/>
      <c r="AXX48" s="287"/>
      <c r="AXY48" s="287"/>
      <c r="AXZ48" s="287"/>
      <c r="AYA48" s="287"/>
      <c r="AYB48" s="287"/>
      <c r="AYC48" s="287"/>
      <c r="AYD48" s="287"/>
      <c r="AYE48" s="287"/>
      <c r="AYF48" s="287"/>
      <c r="AYG48" s="287"/>
      <c r="AYH48" s="287"/>
      <c r="AYI48" s="287"/>
      <c r="AYJ48" s="287"/>
      <c r="AYK48" s="287"/>
      <c r="AYL48" s="287"/>
      <c r="AYM48" s="287"/>
      <c r="AYN48" s="287"/>
      <c r="AYO48" s="287"/>
      <c r="AYP48" s="287"/>
      <c r="AYQ48" s="287"/>
      <c r="AYR48" s="287"/>
      <c r="AYS48" s="287"/>
      <c r="AYT48" s="287"/>
      <c r="AYU48" s="287"/>
      <c r="AYV48" s="287"/>
      <c r="AYW48" s="287"/>
      <c r="AYX48" s="287"/>
      <c r="AYY48" s="287"/>
      <c r="AYZ48" s="287"/>
      <c r="AZA48" s="287"/>
      <c r="AZB48" s="287"/>
      <c r="AZC48" s="287"/>
      <c r="AZD48" s="287"/>
      <c r="AZE48" s="287"/>
      <c r="AZF48" s="287"/>
      <c r="AZG48" s="287"/>
      <c r="AZH48" s="287"/>
      <c r="AZI48" s="287"/>
      <c r="AZJ48" s="287"/>
      <c r="AZK48" s="287"/>
      <c r="AZL48" s="287"/>
      <c r="AZM48" s="287"/>
      <c r="AZN48" s="287"/>
      <c r="AZO48" s="287"/>
      <c r="AZP48" s="287"/>
      <c r="AZQ48" s="287"/>
      <c r="AZR48" s="287"/>
      <c r="AZS48" s="287"/>
      <c r="AZT48" s="287"/>
      <c r="AZU48" s="287"/>
      <c r="AZV48" s="287"/>
      <c r="AZW48" s="287"/>
      <c r="AZX48" s="287"/>
      <c r="AZY48" s="287"/>
      <c r="AZZ48" s="287"/>
      <c r="BAA48" s="287"/>
      <c r="BAB48" s="287"/>
      <c r="BAC48" s="287"/>
      <c r="BAD48" s="287"/>
      <c r="BAE48" s="287"/>
      <c r="BAF48" s="287"/>
      <c r="BAG48" s="287"/>
      <c r="BAH48" s="287"/>
      <c r="BAI48" s="287"/>
      <c r="BAJ48" s="287"/>
      <c r="BAK48" s="287"/>
      <c r="BAL48" s="287"/>
      <c r="BAM48" s="287"/>
      <c r="BAN48" s="287"/>
      <c r="BAO48" s="287"/>
      <c r="BAP48" s="287"/>
      <c r="BAQ48" s="287"/>
      <c r="BAR48" s="287"/>
      <c r="BAS48" s="287"/>
      <c r="BAT48" s="287"/>
      <c r="BAU48" s="287"/>
      <c r="BAV48" s="287"/>
      <c r="BAW48" s="287"/>
      <c r="BAX48" s="287"/>
      <c r="BAY48" s="287"/>
      <c r="BAZ48" s="287"/>
      <c r="BBA48" s="287"/>
      <c r="BBB48" s="287"/>
      <c r="BBC48" s="287"/>
      <c r="BBD48" s="287"/>
      <c r="BBE48" s="287"/>
      <c r="BBF48" s="287"/>
      <c r="BBG48" s="287"/>
      <c r="BBH48" s="287"/>
      <c r="BBI48" s="287"/>
      <c r="BBJ48" s="287"/>
      <c r="BBK48" s="287"/>
      <c r="BBL48" s="287"/>
      <c r="BBM48" s="287"/>
      <c r="BBN48" s="287"/>
      <c r="BBO48" s="287"/>
      <c r="BBP48" s="287"/>
      <c r="BBQ48" s="287"/>
      <c r="BBR48" s="287"/>
      <c r="BBS48" s="287"/>
      <c r="BBT48" s="287"/>
      <c r="BBU48" s="287"/>
      <c r="BBV48" s="287"/>
      <c r="BBW48" s="287"/>
      <c r="BBX48" s="287"/>
      <c r="BBY48" s="287"/>
      <c r="BBZ48" s="287"/>
      <c r="BCA48" s="287"/>
      <c r="BCB48" s="287"/>
      <c r="BCC48" s="287"/>
      <c r="BCD48" s="287"/>
      <c r="BCE48" s="287"/>
      <c r="BCF48" s="287"/>
      <c r="BCG48" s="287"/>
      <c r="BCH48" s="287"/>
      <c r="BCI48" s="287"/>
      <c r="BCJ48" s="287"/>
      <c r="BCK48" s="287"/>
      <c r="BCL48" s="287"/>
      <c r="BCM48" s="287"/>
      <c r="BCN48" s="287"/>
      <c r="BCO48" s="287"/>
      <c r="BCP48" s="287"/>
      <c r="BCQ48" s="287"/>
      <c r="BCR48" s="287"/>
      <c r="BCS48" s="287"/>
      <c r="BCT48" s="287"/>
      <c r="BCU48" s="287"/>
      <c r="BCV48" s="287"/>
      <c r="BCW48" s="287"/>
      <c r="BCX48" s="287"/>
      <c r="BCY48" s="287"/>
      <c r="BCZ48" s="287"/>
      <c r="BDA48" s="287"/>
      <c r="BDB48" s="287"/>
      <c r="BDC48" s="287"/>
      <c r="BDD48" s="287"/>
      <c r="BDE48" s="287"/>
      <c r="BDF48" s="287"/>
      <c r="BDG48" s="287"/>
      <c r="BDH48" s="287"/>
      <c r="BDI48" s="287"/>
      <c r="BDJ48" s="287"/>
      <c r="BDK48" s="287"/>
      <c r="BDL48" s="287"/>
      <c r="BDM48" s="287"/>
      <c r="BDN48" s="287"/>
      <c r="BDO48" s="287"/>
      <c r="BDP48" s="287"/>
      <c r="BDQ48" s="287"/>
      <c r="BDR48" s="287"/>
      <c r="BDS48" s="287"/>
      <c r="BDT48" s="287"/>
      <c r="BDU48" s="287"/>
      <c r="BDV48" s="287"/>
      <c r="BDW48" s="287"/>
      <c r="BDX48" s="287"/>
      <c r="BDY48" s="287"/>
      <c r="BDZ48" s="287"/>
      <c r="BEA48" s="287"/>
      <c r="BEB48" s="287"/>
      <c r="BEC48" s="287"/>
      <c r="BED48" s="287"/>
      <c r="BEE48" s="287"/>
      <c r="BEF48" s="287"/>
      <c r="BEG48" s="287"/>
      <c r="BEH48" s="287"/>
      <c r="BEI48" s="287"/>
      <c r="BEJ48" s="287"/>
      <c r="BEK48" s="287"/>
      <c r="BEL48" s="287"/>
      <c r="BEM48" s="287"/>
      <c r="BEN48" s="287"/>
      <c r="BEO48" s="287"/>
      <c r="BEP48" s="287"/>
      <c r="BEQ48" s="287"/>
      <c r="BER48" s="287"/>
      <c r="BES48" s="287"/>
      <c r="BET48" s="287"/>
      <c r="BEU48" s="287"/>
      <c r="BEV48" s="287"/>
      <c r="BEW48" s="287"/>
      <c r="BEX48" s="287"/>
      <c r="BEY48" s="287"/>
      <c r="BEZ48" s="287"/>
      <c r="BFA48" s="287"/>
      <c r="BFB48" s="287"/>
      <c r="BFC48" s="287"/>
      <c r="BFD48" s="287"/>
      <c r="BFE48" s="287"/>
      <c r="BFF48" s="287"/>
      <c r="BFG48" s="287"/>
      <c r="BFH48" s="287"/>
      <c r="BFI48" s="287"/>
      <c r="BFJ48" s="287"/>
      <c r="BFK48" s="287"/>
      <c r="BFL48" s="287"/>
      <c r="BFM48" s="287"/>
      <c r="BFN48" s="287"/>
      <c r="BFO48" s="287"/>
      <c r="BFP48" s="287"/>
      <c r="BFQ48" s="287"/>
      <c r="BFR48" s="287"/>
      <c r="BFS48" s="287"/>
      <c r="BFT48" s="287"/>
      <c r="BFU48" s="287"/>
      <c r="BFV48" s="287"/>
      <c r="BFW48" s="287"/>
      <c r="BFX48" s="287"/>
      <c r="BFY48" s="287"/>
      <c r="BFZ48" s="287"/>
      <c r="BGA48" s="287"/>
      <c r="BGB48" s="287"/>
      <c r="BGC48" s="287"/>
      <c r="BGD48" s="287"/>
      <c r="BGE48" s="287"/>
      <c r="BGF48" s="287"/>
      <c r="BGG48" s="287"/>
      <c r="BGH48" s="287"/>
      <c r="BGI48" s="287"/>
      <c r="BGJ48" s="287"/>
      <c r="BGK48" s="287"/>
      <c r="BGL48" s="287"/>
      <c r="BGM48" s="287"/>
      <c r="BGN48" s="287"/>
      <c r="BGO48" s="287"/>
      <c r="BGP48" s="287"/>
      <c r="BGQ48" s="287"/>
      <c r="BGR48" s="287"/>
      <c r="BGS48" s="287"/>
      <c r="BGT48" s="287"/>
      <c r="BGU48" s="287"/>
      <c r="BGV48" s="287"/>
      <c r="BGW48" s="287"/>
      <c r="BGX48" s="287"/>
      <c r="BGY48" s="287"/>
      <c r="BGZ48" s="287"/>
      <c r="BHA48" s="287"/>
      <c r="BHB48" s="287"/>
      <c r="BHC48" s="287"/>
      <c r="BHD48" s="287"/>
      <c r="BHE48" s="287"/>
      <c r="BHF48" s="287"/>
      <c r="BHG48" s="287"/>
      <c r="BHH48" s="287"/>
      <c r="BHI48" s="287"/>
      <c r="BHJ48" s="287"/>
      <c r="BHK48" s="287"/>
      <c r="BHL48" s="287"/>
      <c r="BHM48" s="287"/>
      <c r="BHN48" s="287"/>
      <c r="BHO48" s="287"/>
      <c r="BHP48" s="287"/>
      <c r="BHQ48" s="287"/>
      <c r="BHR48" s="287"/>
      <c r="BHS48" s="287"/>
      <c r="BHT48" s="287"/>
      <c r="BHU48" s="287"/>
      <c r="BHV48" s="287"/>
      <c r="BHW48" s="287"/>
      <c r="BHX48" s="287"/>
      <c r="BHY48" s="287"/>
      <c r="BHZ48" s="287"/>
      <c r="BIA48" s="287"/>
      <c r="BIB48" s="287"/>
      <c r="BIC48" s="287"/>
      <c r="BID48" s="287"/>
      <c r="BIE48" s="287"/>
      <c r="BIF48" s="287"/>
      <c r="BIG48" s="287"/>
      <c r="BIH48" s="287"/>
      <c r="BII48" s="287"/>
      <c r="BIJ48" s="287"/>
      <c r="BIK48" s="287"/>
      <c r="BIL48" s="287"/>
      <c r="BIM48" s="287"/>
      <c r="BIN48" s="287"/>
      <c r="BIO48" s="287"/>
      <c r="BIP48" s="287"/>
      <c r="BIQ48" s="287"/>
      <c r="BIR48" s="287"/>
      <c r="BIS48" s="287"/>
      <c r="BIT48" s="287"/>
      <c r="BIU48" s="287"/>
      <c r="BIV48" s="287"/>
      <c r="BIW48" s="287"/>
      <c r="BIX48" s="287"/>
      <c r="BIY48" s="287"/>
      <c r="BIZ48" s="287"/>
      <c r="BJA48" s="287"/>
      <c r="BJB48" s="287"/>
      <c r="BJC48" s="287"/>
      <c r="BJD48" s="287"/>
      <c r="BJE48" s="287"/>
      <c r="BJF48" s="287"/>
      <c r="BJG48" s="287"/>
      <c r="BJH48" s="287"/>
      <c r="BJI48" s="287"/>
      <c r="BJJ48" s="287"/>
      <c r="BJK48" s="287"/>
      <c r="BJL48" s="287"/>
      <c r="BJM48" s="287"/>
      <c r="BJN48" s="287"/>
      <c r="BJO48" s="287"/>
      <c r="BJP48" s="287"/>
      <c r="BJQ48" s="287"/>
      <c r="BJR48" s="287"/>
      <c r="BJS48" s="287"/>
      <c r="BJT48" s="287"/>
      <c r="BJU48" s="287"/>
      <c r="BJV48" s="287"/>
      <c r="BJW48" s="287"/>
      <c r="BJX48" s="287"/>
      <c r="BJY48" s="287"/>
      <c r="BJZ48" s="287"/>
      <c r="BKA48" s="287"/>
      <c r="BKB48" s="287"/>
      <c r="BKC48" s="287"/>
      <c r="BKD48" s="287"/>
      <c r="BKE48" s="287"/>
      <c r="BKF48" s="287"/>
      <c r="BKG48" s="287"/>
      <c r="BKH48" s="287"/>
      <c r="BKI48" s="287"/>
      <c r="BKJ48" s="287"/>
      <c r="BKK48" s="287"/>
      <c r="BKL48" s="287"/>
      <c r="BKM48" s="287"/>
      <c r="BKN48" s="287"/>
      <c r="BKO48" s="287"/>
      <c r="BKP48" s="287"/>
      <c r="BKQ48" s="287"/>
      <c r="BKR48" s="287"/>
      <c r="BKS48" s="287"/>
      <c r="BKT48" s="287"/>
      <c r="BKU48" s="287"/>
      <c r="BKV48" s="287"/>
      <c r="BKW48" s="287"/>
      <c r="BKX48" s="287"/>
      <c r="BKY48" s="287"/>
      <c r="BKZ48" s="287"/>
      <c r="BLA48" s="287"/>
      <c r="BLB48" s="287"/>
      <c r="BLC48" s="287"/>
      <c r="BLD48" s="287"/>
      <c r="BLE48" s="287"/>
      <c r="BLF48" s="287"/>
      <c r="BLG48" s="287"/>
      <c r="BLH48" s="287"/>
      <c r="BLI48" s="287"/>
      <c r="BLJ48" s="287"/>
      <c r="BLK48" s="287"/>
      <c r="BLL48" s="287"/>
      <c r="BLM48" s="287"/>
      <c r="BLN48" s="287"/>
      <c r="BLO48" s="287"/>
      <c r="BLP48" s="287"/>
      <c r="BLQ48" s="287"/>
      <c r="BLR48" s="287"/>
      <c r="BLS48" s="287"/>
      <c r="BLT48" s="287"/>
      <c r="BLU48" s="287"/>
      <c r="BLV48" s="287"/>
      <c r="BLW48" s="287"/>
      <c r="BLX48" s="287"/>
      <c r="BLY48" s="287"/>
      <c r="BLZ48" s="287"/>
      <c r="BMA48" s="287"/>
      <c r="BMB48" s="287"/>
      <c r="BMC48" s="287"/>
      <c r="BMD48" s="287"/>
      <c r="BME48" s="287"/>
      <c r="BMF48" s="287"/>
      <c r="BMG48" s="287"/>
      <c r="BMH48" s="287"/>
      <c r="BMI48" s="287"/>
      <c r="BMJ48" s="287"/>
      <c r="BMK48" s="287"/>
      <c r="BML48" s="287"/>
      <c r="BMM48" s="287"/>
      <c r="BMN48" s="287"/>
      <c r="BMO48" s="287"/>
      <c r="BMP48" s="287"/>
      <c r="BMQ48" s="287"/>
      <c r="BMR48" s="287"/>
      <c r="BMS48" s="287"/>
      <c r="BMT48" s="287"/>
      <c r="BMU48" s="287"/>
      <c r="BMV48" s="287"/>
      <c r="BMW48" s="287"/>
      <c r="BMX48" s="287"/>
      <c r="BMY48" s="287"/>
      <c r="BMZ48" s="287"/>
      <c r="BNA48" s="287"/>
      <c r="BNB48" s="287"/>
      <c r="BNC48" s="287"/>
      <c r="BND48" s="287"/>
      <c r="BNE48" s="287"/>
      <c r="BNF48" s="287"/>
      <c r="BNG48" s="287"/>
      <c r="BNH48" s="287"/>
      <c r="BNI48" s="287"/>
      <c r="BNJ48" s="287"/>
      <c r="BNK48" s="287"/>
      <c r="BNL48" s="287"/>
      <c r="BNM48" s="287"/>
      <c r="BNN48" s="287"/>
      <c r="BNO48" s="287"/>
      <c r="BNP48" s="287"/>
      <c r="BNQ48" s="287"/>
      <c r="BNR48" s="287"/>
      <c r="BNS48" s="287"/>
      <c r="BNT48" s="287"/>
      <c r="BNU48" s="287"/>
      <c r="BNV48" s="287"/>
      <c r="BNW48" s="287"/>
      <c r="BNX48" s="287"/>
      <c r="BNY48" s="287"/>
      <c r="BNZ48" s="287"/>
      <c r="BOA48" s="287"/>
      <c r="BOB48" s="287"/>
      <c r="BOC48" s="287"/>
      <c r="BOD48" s="287"/>
      <c r="BOE48" s="287"/>
      <c r="BOF48" s="287"/>
      <c r="BOG48" s="287"/>
      <c r="BOH48" s="287"/>
      <c r="BOI48" s="287"/>
      <c r="BOJ48" s="287"/>
      <c r="BOK48" s="287"/>
      <c r="BOL48" s="287"/>
      <c r="BOM48" s="287"/>
      <c r="BON48" s="287"/>
      <c r="BOO48" s="287"/>
      <c r="BOP48" s="287"/>
      <c r="BOQ48" s="287"/>
      <c r="BOR48" s="287"/>
      <c r="BOS48" s="287"/>
      <c r="BOT48" s="287"/>
      <c r="BOU48" s="287"/>
      <c r="BOV48" s="287"/>
      <c r="BOW48" s="287"/>
      <c r="BOX48" s="287"/>
      <c r="BOY48" s="287"/>
      <c r="BOZ48" s="287"/>
      <c r="BPA48" s="287"/>
      <c r="BPB48" s="287"/>
      <c r="BPC48" s="287"/>
      <c r="BPD48" s="287"/>
      <c r="BPE48" s="287"/>
      <c r="BPF48" s="287"/>
      <c r="BPG48" s="287"/>
      <c r="BPH48" s="287"/>
      <c r="BPI48" s="287"/>
      <c r="BPJ48" s="287"/>
      <c r="BPK48" s="287"/>
      <c r="BPL48" s="287"/>
      <c r="BPM48" s="287"/>
      <c r="BPN48" s="287"/>
      <c r="BPO48" s="287"/>
      <c r="BPP48" s="287"/>
      <c r="BPQ48" s="287"/>
      <c r="BPR48" s="287"/>
      <c r="BPS48" s="287"/>
      <c r="BPT48" s="287"/>
      <c r="BPU48" s="287"/>
      <c r="BPV48" s="287"/>
      <c r="BPW48" s="287"/>
      <c r="BPX48" s="287"/>
      <c r="BPY48" s="287"/>
      <c r="BPZ48" s="287"/>
      <c r="BQA48" s="287"/>
      <c r="BQB48" s="287"/>
      <c r="BQC48" s="287"/>
      <c r="BQD48" s="287"/>
      <c r="BQE48" s="287"/>
      <c r="BQF48" s="287"/>
      <c r="BQG48" s="287"/>
      <c r="BQH48" s="287"/>
      <c r="BQI48" s="287"/>
      <c r="BQJ48" s="287"/>
      <c r="BQK48" s="287"/>
      <c r="BQL48" s="287"/>
      <c r="BQM48" s="287"/>
      <c r="BQN48" s="287"/>
      <c r="BQO48" s="287"/>
      <c r="BQP48" s="287"/>
      <c r="BQQ48" s="287"/>
      <c r="BQR48" s="287"/>
      <c r="BQS48" s="287"/>
      <c r="BQT48" s="287"/>
      <c r="BQU48" s="287"/>
      <c r="BQV48" s="287"/>
      <c r="BQW48" s="287"/>
      <c r="BQX48" s="287"/>
      <c r="BQY48" s="287"/>
      <c r="BQZ48" s="287"/>
      <c r="BRA48" s="287"/>
      <c r="BRB48" s="287"/>
      <c r="BRC48" s="287"/>
      <c r="BRD48" s="287"/>
      <c r="BRE48" s="287"/>
      <c r="BRF48" s="287"/>
      <c r="BRG48" s="287"/>
      <c r="BRH48" s="287"/>
      <c r="BRI48" s="287"/>
      <c r="BRJ48" s="287"/>
      <c r="BRK48" s="287"/>
      <c r="BRL48" s="287"/>
      <c r="BRM48" s="287"/>
      <c r="BRN48" s="287"/>
      <c r="BRO48" s="287"/>
      <c r="BRP48" s="287"/>
      <c r="BRQ48" s="287"/>
      <c r="BRR48" s="287"/>
      <c r="BRS48" s="287"/>
      <c r="BRT48" s="287"/>
      <c r="BRU48" s="287"/>
      <c r="BRV48" s="287"/>
      <c r="BRW48" s="287"/>
      <c r="BRX48" s="287"/>
      <c r="BRY48" s="287"/>
      <c r="BRZ48" s="287"/>
      <c r="BSA48" s="287"/>
      <c r="BSB48" s="287"/>
      <c r="BSC48" s="287"/>
      <c r="BSD48" s="287"/>
      <c r="BSE48" s="287"/>
      <c r="BSF48" s="287"/>
      <c r="BSG48" s="287"/>
      <c r="BSH48" s="287"/>
      <c r="BSI48" s="287"/>
      <c r="BSJ48" s="287"/>
      <c r="BSK48" s="287"/>
      <c r="BSL48" s="287"/>
      <c r="BSM48" s="287"/>
      <c r="BSN48" s="287"/>
      <c r="BSO48" s="287"/>
      <c r="BSP48" s="287"/>
      <c r="BSQ48" s="287"/>
      <c r="BSR48" s="287"/>
      <c r="BSS48" s="287"/>
      <c r="BST48" s="287"/>
      <c r="BSU48" s="287"/>
      <c r="BSV48" s="287"/>
      <c r="BSW48" s="287"/>
      <c r="BSX48" s="287"/>
      <c r="BSY48" s="287"/>
      <c r="BSZ48" s="287"/>
      <c r="BTA48" s="287"/>
      <c r="BTB48" s="287"/>
      <c r="BTC48" s="287"/>
      <c r="BTD48" s="287"/>
      <c r="BTE48" s="287"/>
      <c r="BTF48" s="287"/>
      <c r="BTG48" s="287"/>
      <c r="BTH48" s="287"/>
      <c r="BTI48" s="287"/>
      <c r="BTJ48" s="287"/>
      <c r="BTK48" s="287"/>
      <c r="BTL48" s="287"/>
      <c r="BTM48" s="287"/>
      <c r="BTN48" s="287"/>
      <c r="BTO48" s="287"/>
      <c r="BTP48" s="287"/>
      <c r="BTQ48" s="287"/>
      <c r="BTR48" s="287"/>
      <c r="BTS48" s="287"/>
      <c r="BTT48" s="287"/>
      <c r="BTU48" s="287"/>
      <c r="BTV48" s="287"/>
      <c r="BTW48" s="287"/>
      <c r="BTX48" s="287"/>
      <c r="BTY48" s="287"/>
      <c r="BTZ48" s="287"/>
      <c r="BUA48" s="287"/>
      <c r="BUB48" s="287"/>
      <c r="BUC48" s="287"/>
      <c r="BUD48" s="287"/>
      <c r="BUE48" s="287"/>
      <c r="BUF48" s="287"/>
      <c r="BUG48" s="287"/>
      <c r="BUH48" s="287"/>
      <c r="BUI48" s="287"/>
      <c r="BUJ48" s="287"/>
      <c r="BUK48" s="287"/>
      <c r="BUL48" s="287"/>
      <c r="BUM48" s="287"/>
      <c r="BUN48" s="287"/>
      <c r="BUO48" s="287"/>
      <c r="BUP48" s="287"/>
      <c r="BUQ48" s="287"/>
      <c r="BUR48" s="287"/>
      <c r="BUS48" s="287"/>
      <c r="BUT48" s="287"/>
      <c r="BUU48" s="287"/>
      <c r="BUV48" s="287"/>
      <c r="BUW48" s="287"/>
      <c r="BUX48" s="287"/>
      <c r="BUY48" s="287"/>
      <c r="BUZ48" s="287"/>
      <c r="BVA48" s="287"/>
      <c r="BVB48" s="287"/>
      <c r="BVC48" s="287"/>
      <c r="BVD48" s="287"/>
      <c r="BVE48" s="287"/>
      <c r="BVF48" s="287"/>
      <c r="BVG48" s="287"/>
      <c r="BVH48" s="287"/>
      <c r="BVI48" s="287"/>
      <c r="BVJ48" s="287"/>
      <c r="BVK48" s="287"/>
      <c r="BVL48" s="287"/>
      <c r="BVM48" s="287"/>
      <c r="BVN48" s="287"/>
      <c r="BVO48" s="287"/>
      <c r="BVP48" s="287"/>
      <c r="BVQ48" s="287"/>
      <c r="BVR48" s="287"/>
      <c r="BVS48" s="287"/>
      <c r="BVT48" s="287"/>
      <c r="BVU48" s="287"/>
      <c r="BVV48" s="287"/>
      <c r="BVW48" s="287"/>
      <c r="BVX48" s="287"/>
      <c r="BVY48" s="287"/>
      <c r="BVZ48" s="287"/>
      <c r="BWA48" s="287"/>
      <c r="BWB48" s="287"/>
      <c r="BWC48" s="287"/>
      <c r="BWD48" s="287"/>
      <c r="BWE48" s="287"/>
      <c r="BWF48" s="287"/>
      <c r="BWG48" s="287"/>
      <c r="BWH48" s="287"/>
      <c r="BWI48" s="287"/>
      <c r="BWJ48" s="287"/>
      <c r="BWK48" s="287"/>
      <c r="BWL48" s="287"/>
      <c r="BWM48" s="287"/>
      <c r="BWN48" s="287"/>
      <c r="BWO48" s="287"/>
      <c r="BWP48" s="287"/>
      <c r="BWQ48" s="287"/>
      <c r="BWR48" s="287"/>
      <c r="BWS48" s="287"/>
      <c r="BWT48" s="287"/>
      <c r="BWU48" s="287"/>
      <c r="BWV48" s="287"/>
      <c r="BWW48" s="287"/>
      <c r="BWX48" s="287"/>
      <c r="BWY48" s="287"/>
      <c r="BWZ48" s="287"/>
      <c r="BXA48" s="287"/>
      <c r="BXB48" s="287"/>
      <c r="BXC48" s="287"/>
      <c r="BXD48" s="287"/>
      <c r="BXE48" s="287"/>
      <c r="BXF48" s="287"/>
      <c r="BXG48" s="287"/>
      <c r="BXH48" s="287"/>
      <c r="BXI48" s="287"/>
      <c r="BXJ48" s="287"/>
      <c r="BXK48" s="287"/>
      <c r="BXL48" s="287"/>
      <c r="BXM48" s="287"/>
      <c r="BXN48" s="287"/>
      <c r="BXO48" s="287"/>
      <c r="BXP48" s="287"/>
      <c r="BXQ48" s="287"/>
      <c r="BXR48" s="287"/>
      <c r="BXS48" s="287"/>
      <c r="BXT48" s="287"/>
      <c r="BXU48" s="287"/>
      <c r="BXV48" s="287"/>
      <c r="BXW48" s="287"/>
      <c r="BXX48" s="287"/>
      <c r="BXY48" s="287"/>
      <c r="BXZ48" s="287"/>
      <c r="BYA48" s="287"/>
      <c r="BYB48" s="287"/>
      <c r="BYC48" s="287"/>
      <c r="BYD48" s="287"/>
      <c r="BYE48" s="287"/>
      <c r="BYF48" s="287"/>
      <c r="BYG48" s="287"/>
      <c r="BYH48" s="287"/>
      <c r="BYI48" s="287"/>
      <c r="BYJ48" s="287"/>
      <c r="BYK48" s="287"/>
      <c r="BYL48" s="287"/>
      <c r="BYM48" s="287"/>
      <c r="BYN48" s="287"/>
      <c r="BYO48" s="287"/>
      <c r="BYP48" s="287"/>
      <c r="BYQ48" s="287"/>
      <c r="BYR48" s="287"/>
      <c r="BYS48" s="287"/>
      <c r="BYT48" s="287"/>
      <c r="BYU48" s="287"/>
      <c r="BYV48" s="287"/>
      <c r="BYW48" s="287"/>
      <c r="BYX48" s="287"/>
      <c r="BYY48" s="287"/>
      <c r="BYZ48" s="287"/>
      <c r="BZA48" s="287"/>
      <c r="BZB48" s="287"/>
      <c r="BZC48" s="287"/>
      <c r="BZD48" s="287"/>
      <c r="BZE48" s="287"/>
      <c r="BZF48" s="287"/>
      <c r="BZG48" s="287"/>
      <c r="BZH48" s="287"/>
      <c r="BZI48" s="287"/>
      <c r="BZJ48" s="287"/>
      <c r="BZK48" s="287"/>
      <c r="BZL48" s="287"/>
      <c r="BZM48" s="287"/>
      <c r="BZN48" s="287"/>
      <c r="BZO48" s="287"/>
      <c r="BZP48" s="287"/>
      <c r="BZQ48" s="287"/>
      <c r="BZR48" s="287"/>
      <c r="BZS48" s="287"/>
      <c r="BZT48" s="287"/>
      <c r="BZU48" s="287"/>
      <c r="BZV48" s="287"/>
      <c r="BZW48" s="287"/>
      <c r="BZX48" s="287"/>
      <c r="BZY48" s="287"/>
      <c r="BZZ48" s="287"/>
      <c r="CAA48" s="287"/>
      <c r="CAB48" s="287"/>
      <c r="CAC48" s="287"/>
      <c r="CAD48" s="287"/>
      <c r="CAE48" s="287"/>
      <c r="CAF48" s="287"/>
      <c r="CAG48" s="287"/>
      <c r="CAH48" s="287"/>
      <c r="CAI48" s="287"/>
      <c r="CAJ48" s="287"/>
      <c r="CAK48" s="287"/>
      <c r="CAL48" s="287"/>
      <c r="CAM48" s="287"/>
      <c r="CAN48" s="287"/>
      <c r="CAO48" s="287"/>
      <c r="CAP48" s="287"/>
      <c r="CAQ48" s="287"/>
      <c r="CAR48" s="287"/>
      <c r="CAS48" s="287"/>
      <c r="CAT48" s="287"/>
      <c r="CAU48" s="287"/>
      <c r="CAV48" s="287"/>
      <c r="CAW48" s="287"/>
      <c r="CAX48" s="287"/>
      <c r="CAY48" s="287"/>
      <c r="CAZ48" s="287"/>
      <c r="CBA48" s="287"/>
      <c r="CBB48" s="287"/>
      <c r="CBC48" s="287"/>
      <c r="CBD48" s="287"/>
      <c r="CBE48" s="287"/>
      <c r="CBF48" s="287"/>
      <c r="CBG48" s="287"/>
      <c r="CBH48" s="287"/>
      <c r="CBI48" s="287"/>
      <c r="CBJ48" s="287"/>
      <c r="CBK48" s="287"/>
      <c r="CBL48" s="287"/>
      <c r="CBM48" s="287"/>
      <c r="CBN48" s="287"/>
      <c r="CBO48" s="287"/>
      <c r="CBP48" s="287"/>
      <c r="CBQ48" s="287"/>
      <c r="CBR48" s="287"/>
      <c r="CBS48" s="287"/>
      <c r="CBT48" s="287"/>
      <c r="CBU48" s="287"/>
      <c r="CBV48" s="287"/>
      <c r="CBW48" s="287"/>
      <c r="CBX48" s="287"/>
      <c r="CBY48" s="287"/>
      <c r="CBZ48" s="287"/>
      <c r="CCA48" s="287"/>
      <c r="CCB48" s="287"/>
      <c r="CCC48" s="287"/>
      <c r="CCD48" s="287"/>
      <c r="CCE48" s="287"/>
      <c r="CCF48" s="287"/>
      <c r="CCG48" s="287"/>
      <c r="CCH48" s="287"/>
      <c r="CCI48" s="287"/>
      <c r="CCJ48" s="287"/>
      <c r="CCK48" s="287"/>
      <c r="CCL48" s="287"/>
      <c r="CCM48" s="287"/>
      <c r="CCN48" s="287"/>
      <c r="CCO48" s="287"/>
      <c r="CCP48" s="287"/>
      <c r="CCQ48" s="287"/>
      <c r="CCR48" s="287"/>
      <c r="CCS48" s="287"/>
      <c r="CCT48" s="287"/>
      <c r="CCU48" s="287"/>
      <c r="CCV48" s="287"/>
      <c r="CCW48" s="287"/>
      <c r="CCX48" s="287"/>
      <c r="CCY48" s="287"/>
      <c r="CCZ48" s="287"/>
      <c r="CDA48" s="287"/>
      <c r="CDB48" s="287"/>
      <c r="CDC48" s="287"/>
      <c r="CDD48" s="287"/>
      <c r="CDE48" s="287"/>
      <c r="CDF48" s="287"/>
      <c r="CDG48" s="287"/>
      <c r="CDH48" s="287"/>
      <c r="CDI48" s="287"/>
      <c r="CDJ48" s="287"/>
      <c r="CDK48" s="287"/>
      <c r="CDL48" s="287"/>
      <c r="CDM48" s="287"/>
      <c r="CDN48" s="287"/>
      <c r="CDO48" s="287"/>
      <c r="CDP48" s="287"/>
      <c r="CDQ48" s="287"/>
      <c r="CDR48" s="287"/>
      <c r="CDS48" s="287"/>
      <c r="CDT48" s="287"/>
      <c r="CDU48" s="287"/>
      <c r="CDV48" s="287"/>
      <c r="CDW48" s="287"/>
      <c r="CDX48" s="287"/>
      <c r="CDY48" s="287"/>
      <c r="CDZ48" s="287"/>
      <c r="CEA48" s="287"/>
      <c r="CEB48" s="287"/>
      <c r="CEC48" s="287"/>
      <c r="CED48" s="287"/>
      <c r="CEE48" s="287"/>
      <c r="CEF48" s="287"/>
      <c r="CEG48" s="287"/>
      <c r="CEH48" s="287"/>
      <c r="CEI48" s="287"/>
      <c r="CEJ48" s="287"/>
      <c r="CEK48" s="287"/>
      <c r="CEL48" s="287"/>
      <c r="CEM48" s="287"/>
      <c r="CEN48" s="287"/>
      <c r="CEO48" s="287"/>
      <c r="CEP48" s="287"/>
      <c r="CEQ48" s="287"/>
      <c r="CER48" s="287"/>
      <c r="CES48" s="287"/>
      <c r="CET48" s="287"/>
      <c r="CEU48" s="287"/>
      <c r="CEV48" s="287"/>
      <c r="CEW48" s="287"/>
      <c r="CEX48" s="287"/>
      <c r="CEY48" s="287"/>
      <c r="CEZ48" s="287"/>
      <c r="CFA48" s="287"/>
      <c r="CFB48" s="287"/>
      <c r="CFC48" s="287"/>
      <c r="CFD48" s="287"/>
      <c r="CFE48" s="287"/>
      <c r="CFF48" s="287"/>
      <c r="CFG48" s="287"/>
      <c r="CFH48" s="287"/>
      <c r="CFI48" s="287"/>
      <c r="CFJ48" s="287"/>
      <c r="CFK48" s="287"/>
      <c r="CFL48" s="287"/>
      <c r="CFM48" s="287"/>
      <c r="CFN48" s="287"/>
      <c r="CFO48" s="287"/>
      <c r="CFP48" s="287"/>
      <c r="CFQ48" s="287"/>
      <c r="CFR48" s="287"/>
      <c r="CFS48" s="287"/>
      <c r="CFT48" s="287"/>
      <c r="CFU48" s="287"/>
      <c r="CFV48" s="287"/>
      <c r="CFW48" s="287"/>
      <c r="CFX48" s="287"/>
      <c r="CFY48" s="287"/>
      <c r="CFZ48" s="287"/>
      <c r="CGA48" s="287"/>
      <c r="CGB48" s="287"/>
      <c r="CGC48" s="287"/>
      <c r="CGD48" s="287"/>
      <c r="CGE48" s="287"/>
      <c r="CGF48" s="287"/>
      <c r="CGG48" s="287"/>
      <c r="CGH48" s="287"/>
      <c r="CGI48" s="287"/>
      <c r="CGJ48" s="287"/>
      <c r="CGK48" s="287"/>
      <c r="CGL48" s="287"/>
      <c r="CGM48" s="287"/>
      <c r="CGN48" s="287"/>
      <c r="CGO48" s="287"/>
      <c r="CGP48" s="287"/>
      <c r="CGQ48" s="287"/>
      <c r="CGR48" s="287"/>
      <c r="CGS48" s="287"/>
      <c r="CGT48" s="287"/>
      <c r="CGU48" s="287"/>
      <c r="CGV48" s="287"/>
      <c r="CGW48" s="287"/>
      <c r="CGX48" s="287"/>
      <c r="CGY48" s="287"/>
      <c r="CGZ48" s="287"/>
      <c r="CHA48" s="287"/>
      <c r="CHB48" s="287"/>
      <c r="CHC48" s="287"/>
      <c r="CHD48" s="287"/>
      <c r="CHE48" s="287"/>
      <c r="CHF48" s="287"/>
      <c r="CHG48" s="287"/>
      <c r="CHH48" s="287"/>
      <c r="CHI48" s="287"/>
      <c r="CHJ48" s="287"/>
      <c r="CHK48" s="287"/>
      <c r="CHL48" s="287"/>
      <c r="CHM48" s="287"/>
      <c r="CHN48" s="287"/>
      <c r="CHO48" s="287"/>
      <c r="CHP48" s="287"/>
      <c r="CHQ48" s="287"/>
      <c r="CHR48" s="287"/>
      <c r="CHS48" s="287"/>
      <c r="CHT48" s="287"/>
      <c r="CHU48" s="287"/>
      <c r="CHV48" s="287"/>
      <c r="CHW48" s="287"/>
      <c r="CHX48" s="287"/>
      <c r="CHY48" s="287"/>
      <c r="CHZ48" s="287"/>
      <c r="CIA48" s="287"/>
      <c r="CIB48" s="287"/>
      <c r="CIC48" s="287"/>
      <c r="CID48" s="287"/>
      <c r="CIE48" s="287"/>
      <c r="CIF48" s="287"/>
      <c r="CIG48" s="287"/>
      <c r="CIH48" s="287"/>
      <c r="CII48" s="287"/>
      <c r="CIJ48" s="287"/>
      <c r="CIK48" s="287"/>
      <c r="CIL48" s="287"/>
      <c r="CIM48" s="287"/>
      <c r="CIN48" s="287"/>
      <c r="CIO48" s="287"/>
      <c r="CIP48" s="287"/>
      <c r="CIQ48" s="287"/>
      <c r="CIR48" s="287"/>
      <c r="CIS48" s="287"/>
      <c r="CIT48" s="287"/>
      <c r="CIU48" s="287"/>
      <c r="CIV48" s="287"/>
      <c r="CIW48" s="287"/>
      <c r="CIX48" s="287"/>
      <c r="CIY48" s="287"/>
      <c r="CIZ48" s="287"/>
      <c r="CJA48" s="287"/>
      <c r="CJB48" s="287"/>
      <c r="CJC48" s="287"/>
      <c r="CJD48" s="287"/>
      <c r="CJE48" s="287"/>
      <c r="CJF48" s="287"/>
      <c r="CJG48" s="287"/>
      <c r="CJH48" s="287"/>
      <c r="CJI48" s="287"/>
      <c r="CJJ48" s="287"/>
      <c r="CJK48" s="287"/>
      <c r="CJL48" s="287"/>
      <c r="CJM48" s="287"/>
      <c r="CJN48" s="287"/>
      <c r="CJO48" s="287"/>
      <c r="CJP48" s="287"/>
      <c r="CJQ48" s="287"/>
      <c r="CJR48" s="287"/>
      <c r="CJS48" s="287"/>
      <c r="CJT48" s="287"/>
      <c r="CJU48" s="287"/>
      <c r="CJV48" s="287"/>
      <c r="CJW48" s="287"/>
      <c r="CJX48" s="287"/>
      <c r="CJY48" s="287"/>
      <c r="CJZ48" s="287"/>
      <c r="CKA48" s="287"/>
      <c r="CKB48" s="287"/>
      <c r="CKC48" s="287"/>
      <c r="CKD48" s="287"/>
      <c r="CKE48" s="287"/>
      <c r="CKF48" s="287"/>
      <c r="CKG48" s="287"/>
      <c r="CKH48" s="287"/>
      <c r="CKI48" s="287"/>
      <c r="CKJ48" s="287"/>
      <c r="CKK48" s="287"/>
      <c r="CKL48" s="287"/>
      <c r="CKM48" s="287"/>
      <c r="CKN48" s="287"/>
      <c r="CKO48" s="287"/>
      <c r="CKP48" s="287"/>
      <c r="CKQ48" s="287"/>
      <c r="CKR48" s="287"/>
      <c r="CKS48" s="287"/>
      <c r="CKT48" s="287"/>
      <c r="CKU48" s="287"/>
      <c r="CKV48" s="287"/>
      <c r="CKW48" s="287"/>
      <c r="CKX48" s="287"/>
      <c r="CKY48" s="287"/>
      <c r="CKZ48" s="287"/>
      <c r="CLA48" s="287"/>
      <c r="CLB48" s="287"/>
      <c r="CLC48" s="287"/>
      <c r="CLD48" s="287"/>
      <c r="CLE48" s="287"/>
      <c r="CLF48" s="287"/>
      <c r="CLG48" s="287"/>
      <c r="CLH48" s="287"/>
      <c r="CLI48" s="287"/>
      <c r="CLJ48" s="287"/>
      <c r="CLK48" s="287"/>
      <c r="CLL48" s="287"/>
      <c r="CLM48" s="287"/>
      <c r="CLN48" s="287"/>
      <c r="CLO48" s="287"/>
      <c r="CLP48" s="287"/>
      <c r="CLQ48" s="287"/>
      <c r="CLR48" s="287"/>
      <c r="CLS48" s="287"/>
      <c r="CLT48" s="287"/>
      <c r="CLU48" s="287"/>
      <c r="CLV48" s="287"/>
      <c r="CLW48" s="287"/>
      <c r="CLX48" s="287"/>
      <c r="CLY48" s="287"/>
      <c r="CLZ48" s="287"/>
      <c r="CMA48" s="287"/>
      <c r="CMB48" s="287"/>
      <c r="CMC48" s="287"/>
      <c r="CMD48" s="287"/>
      <c r="CME48" s="287"/>
      <c r="CMF48" s="287"/>
      <c r="CMG48" s="287"/>
      <c r="CMH48" s="287"/>
      <c r="CMI48" s="287"/>
      <c r="CMJ48" s="287"/>
      <c r="CMK48" s="287"/>
      <c r="CML48" s="287"/>
      <c r="CMM48" s="287"/>
      <c r="CMN48" s="287"/>
      <c r="CMO48" s="287"/>
      <c r="CMP48" s="287"/>
      <c r="CMQ48" s="287"/>
      <c r="CMR48" s="287"/>
      <c r="CMS48" s="287"/>
      <c r="CMT48" s="287"/>
      <c r="CMU48" s="287"/>
      <c r="CMV48" s="287"/>
      <c r="CMW48" s="287"/>
      <c r="CMX48" s="287"/>
      <c r="CMY48" s="287"/>
      <c r="CMZ48" s="287"/>
      <c r="CNA48" s="287"/>
      <c r="CNB48" s="287"/>
      <c r="CNC48" s="287"/>
      <c r="CND48" s="287"/>
      <c r="CNE48" s="287"/>
      <c r="CNF48" s="287"/>
      <c r="CNG48" s="287"/>
      <c r="CNH48" s="287"/>
      <c r="CNI48" s="287"/>
      <c r="CNJ48" s="287"/>
      <c r="CNK48" s="287"/>
      <c r="CNL48" s="287"/>
      <c r="CNM48" s="287"/>
      <c r="CNN48" s="287"/>
      <c r="CNO48" s="287"/>
      <c r="CNP48" s="287"/>
      <c r="CNQ48" s="287"/>
      <c r="CNR48" s="287"/>
      <c r="CNS48" s="287"/>
      <c r="CNT48" s="287"/>
      <c r="CNU48" s="287"/>
      <c r="CNV48" s="287"/>
      <c r="CNW48" s="287"/>
      <c r="CNX48" s="287"/>
      <c r="CNY48" s="287"/>
      <c r="CNZ48" s="287"/>
      <c r="COA48" s="287"/>
      <c r="COB48" s="287"/>
      <c r="COC48" s="287"/>
      <c r="COD48" s="287"/>
      <c r="COE48" s="287"/>
      <c r="COF48" s="287"/>
      <c r="COG48" s="287"/>
      <c r="COH48" s="287"/>
      <c r="COI48" s="287"/>
      <c r="COJ48" s="287"/>
      <c r="COK48" s="287"/>
      <c r="COL48" s="287"/>
      <c r="COM48" s="287"/>
      <c r="CON48" s="287"/>
      <c r="COO48" s="287"/>
      <c r="COP48" s="287"/>
      <c r="COQ48" s="287"/>
      <c r="COR48" s="287"/>
      <c r="COS48" s="287"/>
      <c r="COT48" s="287"/>
      <c r="COU48" s="287"/>
      <c r="COV48" s="287"/>
      <c r="COW48" s="287"/>
      <c r="COX48" s="287"/>
      <c r="COY48" s="287"/>
      <c r="COZ48" s="287"/>
      <c r="CPA48" s="287"/>
      <c r="CPB48" s="287"/>
      <c r="CPC48" s="287"/>
      <c r="CPD48" s="287"/>
      <c r="CPE48" s="287"/>
      <c r="CPF48" s="287"/>
      <c r="CPG48" s="287"/>
      <c r="CPH48" s="287"/>
      <c r="CPI48" s="287"/>
      <c r="CPJ48" s="287"/>
      <c r="CPK48" s="287"/>
      <c r="CPL48" s="287"/>
      <c r="CPM48" s="287"/>
      <c r="CPN48" s="287"/>
      <c r="CPO48" s="287"/>
      <c r="CPP48" s="287"/>
      <c r="CPQ48" s="287"/>
      <c r="CPR48" s="287"/>
      <c r="CPS48" s="287"/>
      <c r="CPT48" s="287"/>
      <c r="CPU48" s="287"/>
      <c r="CPV48" s="287"/>
      <c r="CPW48" s="287"/>
      <c r="CPX48" s="287"/>
      <c r="CPY48" s="287"/>
      <c r="CPZ48" s="287"/>
      <c r="CQA48" s="287"/>
      <c r="CQB48" s="287"/>
      <c r="CQC48" s="287"/>
      <c r="CQD48" s="287"/>
      <c r="CQE48" s="287"/>
      <c r="CQF48" s="287"/>
      <c r="CQG48" s="287"/>
      <c r="CQH48" s="287"/>
      <c r="CQI48" s="287"/>
      <c r="CQJ48" s="287"/>
      <c r="CQK48" s="287"/>
      <c r="CQL48" s="287"/>
      <c r="CQM48" s="287"/>
      <c r="CQN48" s="287"/>
      <c r="CQO48" s="287"/>
      <c r="CQP48" s="287"/>
      <c r="CQQ48" s="287"/>
      <c r="CQR48" s="287"/>
      <c r="CQS48" s="287"/>
      <c r="CQT48" s="287"/>
      <c r="CQU48" s="287"/>
      <c r="CQV48" s="287"/>
      <c r="CQW48" s="287"/>
      <c r="CQX48" s="287"/>
      <c r="CQY48" s="287"/>
      <c r="CQZ48" s="287"/>
      <c r="CRA48" s="287"/>
      <c r="CRB48" s="287"/>
      <c r="CRC48" s="287"/>
      <c r="CRD48" s="287"/>
      <c r="CRE48" s="287"/>
      <c r="CRF48" s="287"/>
      <c r="CRG48" s="287"/>
      <c r="CRH48" s="287"/>
      <c r="CRI48" s="287"/>
      <c r="CRJ48" s="287"/>
      <c r="CRK48" s="287"/>
      <c r="CRL48" s="287"/>
      <c r="CRM48" s="287"/>
      <c r="CRN48" s="287"/>
      <c r="CRO48" s="287"/>
      <c r="CRP48" s="287"/>
      <c r="CRQ48" s="287"/>
      <c r="CRR48" s="287"/>
      <c r="CRS48" s="287"/>
      <c r="CRT48" s="287"/>
      <c r="CRU48" s="287"/>
      <c r="CRV48" s="287"/>
      <c r="CRW48" s="287"/>
      <c r="CRX48" s="287"/>
      <c r="CRY48" s="287"/>
      <c r="CRZ48" s="287"/>
      <c r="CSA48" s="287"/>
      <c r="CSB48" s="287"/>
      <c r="CSC48" s="287"/>
      <c r="CSD48" s="287"/>
      <c r="CSE48" s="287"/>
      <c r="CSF48" s="287"/>
      <c r="CSG48" s="287"/>
      <c r="CSH48" s="287"/>
      <c r="CSI48" s="287"/>
      <c r="CSJ48" s="287"/>
      <c r="CSK48" s="287"/>
      <c r="CSL48" s="287"/>
      <c r="CSM48" s="287"/>
      <c r="CSN48" s="287"/>
      <c r="CSO48" s="287"/>
      <c r="CSP48" s="287"/>
      <c r="CSQ48" s="287"/>
      <c r="CSR48" s="287"/>
      <c r="CSS48" s="287"/>
      <c r="CST48" s="287"/>
      <c r="CSU48" s="287"/>
      <c r="CSV48" s="287"/>
      <c r="CSW48" s="287"/>
      <c r="CSX48" s="287"/>
      <c r="CSY48" s="287"/>
      <c r="CSZ48" s="287"/>
      <c r="CTA48" s="287"/>
      <c r="CTB48" s="287"/>
      <c r="CTC48" s="287"/>
      <c r="CTD48" s="287"/>
      <c r="CTE48" s="287"/>
      <c r="CTF48" s="287"/>
      <c r="CTG48" s="287"/>
      <c r="CTH48" s="287"/>
      <c r="CTI48" s="287"/>
      <c r="CTJ48" s="287"/>
      <c r="CTK48" s="287"/>
      <c r="CTL48" s="287"/>
      <c r="CTM48" s="287"/>
      <c r="CTN48" s="287"/>
      <c r="CTO48" s="287"/>
      <c r="CTP48" s="287"/>
      <c r="CTQ48" s="287"/>
      <c r="CTR48" s="287"/>
      <c r="CTS48" s="287"/>
      <c r="CTT48" s="287"/>
      <c r="CTU48" s="287"/>
      <c r="CTV48" s="287"/>
      <c r="CTW48" s="287"/>
      <c r="CTX48" s="287"/>
      <c r="CTY48" s="287"/>
      <c r="CTZ48" s="287"/>
      <c r="CUA48" s="287"/>
      <c r="CUB48" s="287"/>
      <c r="CUC48" s="287"/>
      <c r="CUD48" s="287"/>
      <c r="CUE48" s="287"/>
      <c r="CUF48" s="287"/>
      <c r="CUG48" s="287"/>
      <c r="CUH48" s="287"/>
      <c r="CUI48" s="287"/>
      <c r="CUJ48" s="287"/>
      <c r="CUK48" s="287"/>
      <c r="CUL48" s="287"/>
      <c r="CUM48" s="287"/>
      <c r="CUN48" s="287"/>
      <c r="CUO48" s="287"/>
      <c r="CUP48" s="287"/>
      <c r="CUQ48" s="287"/>
      <c r="CUR48" s="287"/>
      <c r="CUS48" s="287"/>
      <c r="CUT48" s="287"/>
      <c r="CUU48" s="287"/>
      <c r="CUV48" s="287"/>
      <c r="CUW48" s="287"/>
      <c r="CUX48" s="287"/>
      <c r="CUY48" s="287"/>
      <c r="CUZ48" s="287"/>
      <c r="CVA48" s="287"/>
      <c r="CVB48" s="287"/>
      <c r="CVC48" s="287"/>
      <c r="CVD48" s="287"/>
      <c r="CVE48" s="287"/>
      <c r="CVF48" s="287"/>
      <c r="CVG48" s="287"/>
      <c r="CVH48" s="287"/>
      <c r="CVI48" s="287"/>
      <c r="CVJ48" s="287"/>
      <c r="CVK48" s="287"/>
      <c r="CVL48" s="287"/>
      <c r="CVM48" s="287"/>
      <c r="CVN48" s="287"/>
      <c r="CVO48" s="287"/>
      <c r="CVP48" s="287"/>
      <c r="CVQ48" s="287"/>
      <c r="CVR48" s="287"/>
      <c r="CVS48" s="287"/>
      <c r="CVT48" s="287"/>
      <c r="CVU48" s="287"/>
      <c r="CVV48" s="287"/>
      <c r="CVW48" s="287"/>
      <c r="CVX48" s="287"/>
      <c r="CVY48" s="287"/>
      <c r="CVZ48" s="287"/>
      <c r="CWA48" s="287"/>
      <c r="CWB48" s="287"/>
      <c r="CWC48" s="287"/>
      <c r="CWD48" s="287"/>
      <c r="CWE48" s="287"/>
      <c r="CWF48" s="287"/>
      <c r="CWG48" s="287"/>
      <c r="CWH48" s="287"/>
      <c r="CWI48" s="287"/>
      <c r="CWJ48" s="287"/>
      <c r="CWK48" s="287"/>
      <c r="CWL48" s="287"/>
      <c r="CWM48" s="287"/>
      <c r="CWN48" s="287"/>
      <c r="CWO48" s="287"/>
      <c r="CWP48" s="287"/>
      <c r="CWQ48" s="287"/>
      <c r="CWR48" s="287"/>
      <c r="CWS48" s="287"/>
      <c r="CWT48" s="287"/>
      <c r="CWU48" s="287"/>
      <c r="CWV48" s="287"/>
      <c r="CWW48" s="287"/>
      <c r="CWX48" s="287"/>
      <c r="CWY48" s="287"/>
      <c r="CWZ48" s="287"/>
      <c r="CXA48" s="287"/>
      <c r="CXB48" s="287"/>
      <c r="CXC48" s="287"/>
      <c r="CXD48" s="287"/>
      <c r="CXE48" s="287"/>
      <c r="CXF48" s="287"/>
      <c r="CXG48" s="287"/>
      <c r="CXH48" s="287"/>
      <c r="CXI48" s="287"/>
      <c r="CXJ48" s="287"/>
      <c r="CXK48" s="287"/>
      <c r="CXL48" s="287"/>
      <c r="CXM48" s="287"/>
      <c r="CXN48" s="287"/>
      <c r="CXO48" s="287"/>
      <c r="CXP48" s="287"/>
      <c r="CXQ48" s="287"/>
      <c r="CXR48" s="287"/>
      <c r="CXS48" s="287"/>
      <c r="CXT48" s="287"/>
      <c r="CXU48" s="287"/>
      <c r="CXV48" s="287"/>
      <c r="CXW48" s="287"/>
      <c r="CXX48" s="287"/>
      <c r="CXY48" s="287"/>
      <c r="CXZ48" s="287"/>
      <c r="CYA48" s="287"/>
      <c r="CYB48" s="287"/>
      <c r="CYC48" s="287"/>
      <c r="CYD48" s="287"/>
      <c r="CYE48" s="287"/>
      <c r="CYF48" s="287"/>
      <c r="CYG48" s="287"/>
      <c r="CYH48" s="287"/>
      <c r="CYI48" s="287"/>
      <c r="CYJ48" s="287"/>
      <c r="CYK48" s="287"/>
      <c r="CYL48" s="287"/>
      <c r="CYM48" s="287"/>
      <c r="CYN48" s="287"/>
      <c r="CYO48" s="287"/>
      <c r="CYP48" s="287"/>
      <c r="CYQ48" s="287"/>
      <c r="CYR48" s="287"/>
      <c r="CYS48" s="287"/>
      <c r="CYT48" s="287"/>
      <c r="CYU48" s="287"/>
      <c r="CYV48" s="287"/>
      <c r="CYW48" s="287"/>
      <c r="CYX48" s="287"/>
      <c r="CYY48" s="287"/>
      <c r="CYZ48" s="287"/>
      <c r="CZA48" s="287"/>
      <c r="CZB48" s="287"/>
      <c r="CZC48" s="287"/>
      <c r="CZD48" s="287"/>
      <c r="CZE48" s="287"/>
      <c r="CZF48" s="287"/>
      <c r="CZG48" s="287"/>
      <c r="CZH48" s="287"/>
      <c r="CZI48" s="287"/>
      <c r="CZJ48" s="287"/>
      <c r="CZK48" s="287"/>
      <c r="CZL48" s="287"/>
      <c r="CZM48" s="287"/>
      <c r="CZN48" s="287"/>
      <c r="CZO48" s="287"/>
      <c r="CZP48" s="287"/>
      <c r="CZQ48" s="287"/>
      <c r="CZR48" s="287"/>
      <c r="CZS48" s="287"/>
      <c r="CZT48" s="287"/>
      <c r="CZU48" s="287"/>
      <c r="CZV48" s="287"/>
      <c r="CZW48" s="287"/>
      <c r="CZX48" s="287"/>
      <c r="CZY48" s="287"/>
      <c r="CZZ48" s="287"/>
      <c r="DAA48" s="287"/>
      <c r="DAB48" s="287"/>
      <c r="DAC48" s="287"/>
      <c r="DAD48" s="287"/>
      <c r="DAE48" s="287"/>
      <c r="DAF48" s="287"/>
      <c r="DAG48" s="287"/>
      <c r="DAH48" s="287"/>
      <c r="DAI48" s="287"/>
      <c r="DAJ48" s="287"/>
      <c r="DAK48" s="287"/>
      <c r="DAL48" s="287"/>
      <c r="DAM48" s="287"/>
      <c r="DAN48" s="287"/>
      <c r="DAO48" s="287"/>
      <c r="DAP48" s="287"/>
      <c r="DAQ48" s="287"/>
      <c r="DAR48" s="287"/>
      <c r="DAS48" s="287"/>
      <c r="DAT48" s="287"/>
      <c r="DAU48" s="287"/>
      <c r="DAV48" s="287"/>
      <c r="DAW48" s="287"/>
      <c r="DAX48" s="287"/>
      <c r="DAY48" s="287"/>
      <c r="DAZ48" s="287"/>
      <c r="DBA48" s="287"/>
      <c r="DBB48" s="287"/>
      <c r="DBC48" s="287"/>
      <c r="DBD48" s="287"/>
      <c r="DBE48" s="287"/>
      <c r="DBF48" s="287"/>
      <c r="DBG48" s="287"/>
      <c r="DBH48" s="287"/>
      <c r="DBI48" s="287"/>
      <c r="DBJ48" s="287"/>
      <c r="DBK48" s="287"/>
      <c r="DBL48" s="287"/>
      <c r="DBM48" s="287"/>
      <c r="DBN48" s="287"/>
      <c r="DBO48" s="287"/>
      <c r="DBP48" s="287"/>
      <c r="DBQ48" s="287"/>
      <c r="DBR48" s="287"/>
      <c r="DBS48" s="287"/>
      <c r="DBT48" s="287"/>
      <c r="DBU48" s="287"/>
      <c r="DBV48" s="287"/>
      <c r="DBW48" s="287"/>
      <c r="DBX48" s="287"/>
      <c r="DBY48" s="287"/>
      <c r="DBZ48" s="287"/>
      <c r="DCA48" s="287"/>
      <c r="DCB48" s="287"/>
      <c r="DCC48" s="287"/>
      <c r="DCD48" s="287"/>
      <c r="DCE48" s="287"/>
      <c r="DCF48" s="287"/>
      <c r="DCG48" s="287"/>
      <c r="DCH48" s="287"/>
      <c r="DCI48" s="287"/>
      <c r="DCJ48" s="287"/>
      <c r="DCK48" s="287"/>
      <c r="DCL48" s="287"/>
      <c r="DCM48" s="287"/>
      <c r="DCN48" s="287"/>
      <c r="DCO48" s="287"/>
      <c r="DCP48" s="287"/>
      <c r="DCQ48" s="287"/>
      <c r="DCR48" s="287"/>
      <c r="DCS48" s="287"/>
      <c r="DCT48" s="287"/>
      <c r="DCU48" s="287"/>
      <c r="DCV48" s="287"/>
      <c r="DCW48" s="287"/>
      <c r="DCX48" s="287"/>
      <c r="DCY48" s="287"/>
      <c r="DCZ48" s="287"/>
      <c r="DDA48" s="287"/>
      <c r="DDB48" s="287"/>
      <c r="DDC48" s="287"/>
      <c r="DDD48" s="287"/>
      <c r="DDE48" s="287"/>
      <c r="DDF48" s="287"/>
      <c r="DDG48" s="287"/>
      <c r="DDH48" s="287"/>
      <c r="DDI48" s="287"/>
      <c r="DDJ48" s="287"/>
      <c r="DDK48" s="287"/>
      <c r="DDL48" s="287"/>
      <c r="DDM48" s="287"/>
      <c r="DDN48" s="287"/>
      <c r="DDO48" s="287"/>
      <c r="DDP48" s="287"/>
      <c r="DDQ48" s="287"/>
      <c r="DDR48" s="287"/>
      <c r="DDS48" s="287"/>
      <c r="DDT48" s="287"/>
      <c r="DDU48" s="287"/>
      <c r="DDV48" s="287"/>
      <c r="DDW48" s="287"/>
      <c r="DDX48" s="287"/>
      <c r="DDY48" s="287"/>
      <c r="DDZ48" s="287"/>
      <c r="DEA48" s="287"/>
      <c r="DEB48" s="287"/>
      <c r="DEC48" s="287"/>
      <c r="DED48" s="287"/>
      <c r="DEE48" s="287"/>
      <c r="DEF48" s="287"/>
      <c r="DEG48" s="287"/>
      <c r="DEH48" s="287"/>
      <c r="DEI48" s="287"/>
      <c r="DEJ48" s="287"/>
      <c r="DEK48" s="287"/>
      <c r="DEL48" s="287"/>
      <c r="DEM48" s="287"/>
      <c r="DEN48" s="287"/>
      <c r="DEO48" s="287"/>
      <c r="DEP48" s="287"/>
      <c r="DEQ48" s="287"/>
      <c r="DER48" s="287"/>
      <c r="DES48" s="287"/>
      <c r="DET48" s="287"/>
      <c r="DEU48" s="287"/>
      <c r="DEV48" s="287"/>
      <c r="DEW48" s="287"/>
      <c r="DEX48" s="287"/>
      <c r="DEY48" s="287"/>
      <c r="DEZ48" s="287"/>
      <c r="DFA48" s="287"/>
      <c r="DFB48" s="287"/>
      <c r="DFC48" s="287"/>
      <c r="DFD48" s="287"/>
      <c r="DFE48" s="287"/>
      <c r="DFF48" s="287"/>
      <c r="DFG48" s="287"/>
      <c r="DFH48" s="287"/>
      <c r="DFI48" s="287"/>
      <c r="DFJ48" s="287"/>
      <c r="DFK48" s="287"/>
      <c r="DFL48" s="287"/>
      <c r="DFM48" s="287"/>
      <c r="DFN48" s="287"/>
      <c r="DFO48" s="287"/>
      <c r="DFP48" s="287"/>
      <c r="DFQ48" s="287"/>
      <c r="DFR48" s="287"/>
      <c r="DFS48" s="287"/>
      <c r="DFT48" s="287"/>
      <c r="DFU48" s="287"/>
      <c r="DFV48" s="287"/>
      <c r="DFW48" s="287"/>
      <c r="DFX48" s="287"/>
      <c r="DFY48" s="287"/>
      <c r="DFZ48" s="287"/>
      <c r="DGA48" s="287"/>
      <c r="DGB48" s="287"/>
      <c r="DGC48" s="287"/>
      <c r="DGD48" s="287"/>
      <c r="DGE48" s="287"/>
      <c r="DGF48" s="287"/>
      <c r="DGG48" s="287"/>
      <c r="DGH48" s="287"/>
      <c r="DGI48" s="287"/>
      <c r="DGJ48" s="287"/>
      <c r="DGK48" s="287"/>
      <c r="DGL48" s="287"/>
      <c r="DGM48" s="287"/>
      <c r="DGN48" s="287"/>
      <c r="DGO48" s="287"/>
      <c r="DGP48" s="287"/>
      <c r="DGQ48" s="287"/>
      <c r="DGR48" s="287"/>
      <c r="DGS48" s="287"/>
      <c r="DGT48" s="287"/>
      <c r="DGU48" s="287"/>
      <c r="DGV48" s="287"/>
      <c r="DGW48" s="287"/>
      <c r="DGX48" s="287"/>
      <c r="DGY48" s="287"/>
      <c r="DGZ48" s="287"/>
      <c r="DHA48" s="287"/>
      <c r="DHB48" s="287"/>
      <c r="DHC48" s="287"/>
      <c r="DHD48" s="287"/>
      <c r="DHE48" s="287"/>
      <c r="DHF48" s="287"/>
      <c r="DHG48" s="287"/>
      <c r="DHH48" s="287"/>
      <c r="DHI48" s="287"/>
      <c r="DHJ48" s="287"/>
      <c r="DHK48" s="287"/>
      <c r="DHL48" s="287"/>
      <c r="DHM48" s="287"/>
      <c r="DHN48" s="287"/>
      <c r="DHO48" s="287"/>
      <c r="DHP48" s="287"/>
      <c r="DHQ48" s="287"/>
      <c r="DHR48" s="287"/>
      <c r="DHS48" s="287"/>
      <c r="DHT48" s="287"/>
      <c r="DHU48" s="287"/>
      <c r="DHV48" s="287"/>
      <c r="DHW48" s="287"/>
      <c r="DHX48" s="287"/>
      <c r="DHY48" s="287"/>
      <c r="DHZ48" s="287"/>
      <c r="DIA48" s="287"/>
      <c r="DIB48" s="287"/>
      <c r="DIC48" s="287"/>
      <c r="DID48" s="287"/>
      <c r="DIE48" s="287"/>
      <c r="DIF48" s="287"/>
      <c r="DIG48" s="287"/>
      <c r="DIH48" s="287"/>
      <c r="DII48" s="287"/>
      <c r="DIJ48" s="287"/>
      <c r="DIK48" s="287"/>
      <c r="DIL48" s="287"/>
      <c r="DIM48" s="287"/>
      <c r="DIN48" s="287"/>
      <c r="DIO48" s="287"/>
      <c r="DIP48" s="287"/>
      <c r="DIQ48" s="287"/>
      <c r="DIR48" s="287"/>
      <c r="DIS48" s="287"/>
      <c r="DIT48" s="287"/>
      <c r="DIU48" s="287"/>
      <c r="DIV48" s="287"/>
      <c r="DIW48" s="287"/>
      <c r="DIX48" s="287"/>
      <c r="DIY48" s="287"/>
      <c r="DIZ48" s="287"/>
      <c r="DJA48" s="287"/>
      <c r="DJB48" s="287"/>
      <c r="DJC48" s="287"/>
      <c r="DJD48" s="287"/>
      <c r="DJE48" s="287"/>
      <c r="DJF48" s="287"/>
      <c r="DJG48" s="287"/>
      <c r="DJH48" s="287"/>
      <c r="DJI48" s="287"/>
      <c r="DJJ48" s="287"/>
      <c r="DJK48" s="287"/>
      <c r="DJL48" s="287"/>
      <c r="DJM48" s="287"/>
      <c r="DJN48" s="287"/>
      <c r="DJO48" s="287"/>
      <c r="DJP48" s="287"/>
      <c r="DJQ48" s="287"/>
      <c r="DJR48" s="287"/>
      <c r="DJS48" s="287"/>
      <c r="DJT48" s="287"/>
      <c r="DJU48" s="287"/>
      <c r="DJV48" s="287"/>
      <c r="DJW48" s="287"/>
      <c r="DJX48" s="287"/>
      <c r="DJY48" s="287"/>
      <c r="DJZ48" s="287"/>
      <c r="DKA48" s="287"/>
      <c r="DKB48" s="287"/>
      <c r="DKC48" s="287"/>
      <c r="DKD48" s="287"/>
      <c r="DKE48" s="287"/>
      <c r="DKF48" s="287"/>
      <c r="DKG48" s="287"/>
      <c r="DKH48" s="287"/>
      <c r="DKI48" s="287"/>
      <c r="DKJ48" s="287"/>
      <c r="DKK48" s="287"/>
      <c r="DKL48" s="287"/>
      <c r="DKM48" s="287"/>
      <c r="DKN48" s="287"/>
      <c r="DKO48" s="287"/>
      <c r="DKP48" s="287"/>
      <c r="DKQ48" s="287"/>
      <c r="DKR48" s="287"/>
      <c r="DKS48" s="287"/>
      <c r="DKT48" s="287"/>
      <c r="DKU48" s="287"/>
      <c r="DKV48" s="287"/>
      <c r="DKW48" s="287"/>
      <c r="DKX48" s="287"/>
      <c r="DKY48" s="287"/>
      <c r="DKZ48" s="287"/>
      <c r="DLA48" s="287"/>
      <c r="DLB48" s="287"/>
      <c r="DLC48" s="287"/>
      <c r="DLD48" s="287"/>
      <c r="DLE48" s="287"/>
      <c r="DLF48" s="287"/>
      <c r="DLG48" s="287"/>
      <c r="DLH48" s="287"/>
      <c r="DLI48" s="287"/>
      <c r="DLJ48" s="287"/>
      <c r="DLK48" s="287"/>
      <c r="DLL48" s="287"/>
      <c r="DLM48" s="287"/>
      <c r="DLN48" s="287"/>
      <c r="DLO48" s="287"/>
      <c r="DLP48" s="287"/>
      <c r="DLQ48" s="287"/>
      <c r="DLR48" s="287"/>
      <c r="DLS48" s="287"/>
      <c r="DLT48" s="287"/>
      <c r="DLU48" s="287"/>
      <c r="DLV48" s="287"/>
      <c r="DLW48" s="287"/>
      <c r="DLX48" s="287"/>
      <c r="DLY48" s="287"/>
      <c r="DLZ48" s="287"/>
      <c r="DMA48" s="287"/>
      <c r="DMB48" s="287"/>
      <c r="DMC48" s="287"/>
      <c r="DMD48" s="287"/>
      <c r="DME48" s="287"/>
      <c r="DMF48" s="287"/>
      <c r="DMG48" s="287"/>
      <c r="DMH48" s="287"/>
      <c r="DMI48" s="287"/>
      <c r="DMJ48" s="287"/>
      <c r="DMK48" s="287"/>
      <c r="DML48" s="287"/>
      <c r="DMM48" s="287"/>
      <c r="DMN48" s="287"/>
      <c r="DMO48" s="287"/>
      <c r="DMP48" s="287"/>
      <c r="DMQ48" s="287"/>
      <c r="DMR48" s="287"/>
      <c r="DMS48" s="287"/>
      <c r="DMT48" s="287"/>
      <c r="DMU48" s="287"/>
      <c r="DMV48" s="287"/>
      <c r="DMW48" s="287"/>
      <c r="DMX48" s="287"/>
      <c r="DMY48" s="287"/>
      <c r="DMZ48" s="287"/>
      <c r="DNA48" s="287"/>
      <c r="DNB48" s="287"/>
      <c r="DNC48" s="287"/>
      <c r="DND48" s="287"/>
      <c r="DNE48" s="287"/>
      <c r="DNF48" s="287"/>
      <c r="DNG48" s="287"/>
      <c r="DNH48" s="287"/>
      <c r="DNI48" s="287"/>
      <c r="DNJ48" s="287"/>
      <c r="DNK48" s="287"/>
      <c r="DNL48" s="287"/>
      <c r="DNM48" s="287"/>
      <c r="DNN48" s="287"/>
      <c r="DNO48" s="287"/>
      <c r="DNP48" s="287"/>
      <c r="DNQ48" s="287"/>
      <c r="DNR48" s="287"/>
      <c r="DNS48" s="287"/>
      <c r="DNT48" s="287"/>
      <c r="DNU48" s="287"/>
      <c r="DNV48" s="287"/>
      <c r="DNW48" s="287"/>
      <c r="DNX48" s="287"/>
      <c r="DNY48" s="287"/>
      <c r="DNZ48" s="287"/>
      <c r="DOA48" s="287"/>
      <c r="DOB48" s="287"/>
      <c r="DOC48" s="287"/>
      <c r="DOD48" s="287"/>
      <c r="DOE48" s="287"/>
      <c r="DOF48" s="287"/>
      <c r="DOG48" s="287"/>
      <c r="DOH48" s="287"/>
      <c r="DOI48" s="287"/>
      <c r="DOJ48" s="287"/>
      <c r="DOK48" s="287"/>
      <c r="DOL48" s="287"/>
      <c r="DOM48" s="287"/>
      <c r="DON48" s="287"/>
      <c r="DOO48" s="287"/>
      <c r="DOP48" s="287"/>
      <c r="DOQ48" s="287"/>
      <c r="DOR48" s="287"/>
      <c r="DOS48" s="287"/>
      <c r="DOT48" s="287"/>
      <c r="DOU48" s="287"/>
      <c r="DOV48" s="287"/>
      <c r="DOW48" s="287"/>
      <c r="DOX48" s="287"/>
      <c r="DOY48" s="287"/>
      <c r="DOZ48" s="287"/>
      <c r="DPA48" s="287"/>
      <c r="DPB48" s="287"/>
      <c r="DPC48" s="287"/>
      <c r="DPD48" s="287"/>
      <c r="DPE48" s="287"/>
      <c r="DPF48" s="287"/>
      <c r="DPG48" s="287"/>
      <c r="DPH48" s="287"/>
      <c r="DPI48" s="287"/>
      <c r="DPJ48" s="287"/>
      <c r="DPK48" s="287"/>
      <c r="DPL48" s="287"/>
      <c r="DPM48" s="287"/>
      <c r="DPN48" s="287"/>
      <c r="DPO48" s="287"/>
      <c r="DPP48" s="287"/>
      <c r="DPQ48" s="287"/>
      <c r="DPR48" s="287"/>
      <c r="DPS48" s="287"/>
      <c r="DPT48" s="287"/>
      <c r="DPU48" s="287"/>
      <c r="DPV48" s="287"/>
      <c r="DPW48" s="287"/>
      <c r="DPX48" s="287"/>
      <c r="DPY48" s="287"/>
      <c r="DPZ48" s="287"/>
      <c r="DQA48" s="287"/>
      <c r="DQB48" s="287"/>
      <c r="DQC48" s="287"/>
      <c r="DQD48" s="287"/>
      <c r="DQE48" s="287"/>
      <c r="DQF48" s="287"/>
      <c r="DQG48" s="287"/>
      <c r="DQH48" s="287"/>
      <c r="DQI48" s="287"/>
      <c r="DQJ48" s="287"/>
      <c r="DQK48" s="287"/>
      <c r="DQL48" s="287"/>
      <c r="DQM48" s="287"/>
      <c r="DQN48" s="287"/>
      <c r="DQO48" s="287"/>
      <c r="DQP48" s="287"/>
      <c r="DQQ48" s="287"/>
      <c r="DQR48" s="287"/>
      <c r="DQS48" s="287"/>
      <c r="DQT48" s="287"/>
      <c r="DQU48" s="287"/>
      <c r="DQV48" s="287"/>
      <c r="DQW48" s="287"/>
      <c r="DQX48" s="287"/>
      <c r="DQY48" s="287"/>
      <c r="DQZ48" s="287"/>
      <c r="DRA48" s="287"/>
      <c r="DRB48" s="287"/>
      <c r="DRC48" s="287"/>
      <c r="DRD48" s="287"/>
      <c r="DRE48" s="287"/>
      <c r="DRF48" s="287"/>
      <c r="DRG48" s="287"/>
      <c r="DRH48" s="287"/>
      <c r="DRI48" s="287"/>
      <c r="DRJ48" s="287"/>
      <c r="DRK48" s="287"/>
      <c r="DRL48" s="287"/>
      <c r="DRM48" s="287"/>
      <c r="DRN48" s="287"/>
      <c r="DRO48" s="287"/>
      <c r="DRP48" s="287"/>
      <c r="DRQ48" s="287"/>
      <c r="DRR48" s="287"/>
      <c r="DRS48" s="287"/>
      <c r="DRT48" s="287"/>
      <c r="DRU48" s="287"/>
      <c r="DRV48" s="287"/>
      <c r="DRW48" s="287"/>
      <c r="DRX48" s="287"/>
      <c r="DRY48" s="287"/>
      <c r="DRZ48" s="287"/>
      <c r="DSA48" s="287"/>
      <c r="DSB48" s="287"/>
      <c r="DSC48" s="287"/>
      <c r="DSD48" s="287"/>
      <c r="DSE48" s="287"/>
      <c r="DSF48" s="287"/>
      <c r="DSG48" s="287"/>
      <c r="DSH48" s="287"/>
      <c r="DSI48" s="287"/>
      <c r="DSJ48" s="287"/>
      <c r="DSK48" s="287"/>
      <c r="DSL48" s="287"/>
      <c r="DSM48" s="287"/>
      <c r="DSN48" s="287"/>
      <c r="DSO48" s="287"/>
      <c r="DSP48" s="287"/>
      <c r="DSQ48" s="287"/>
      <c r="DSR48" s="287"/>
      <c r="DSS48" s="287"/>
      <c r="DST48" s="287"/>
      <c r="DSU48" s="287"/>
      <c r="DSV48" s="287"/>
      <c r="DSW48" s="287"/>
      <c r="DSX48" s="287"/>
      <c r="DSY48" s="287"/>
      <c r="DSZ48" s="287"/>
      <c r="DTA48" s="287"/>
      <c r="DTB48" s="287"/>
      <c r="DTC48" s="287"/>
      <c r="DTD48" s="287"/>
      <c r="DTE48" s="287"/>
      <c r="DTF48" s="287"/>
      <c r="DTG48" s="287"/>
      <c r="DTH48" s="287"/>
      <c r="DTI48" s="287"/>
      <c r="DTJ48" s="287"/>
      <c r="DTK48" s="287"/>
      <c r="DTL48" s="287"/>
      <c r="DTM48" s="287"/>
      <c r="DTN48" s="287"/>
      <c r="DTO48" s="287"/>
      <c r="DTP48" s="287"/>
      <c r="DTQ48" s="287"/>
      <c r="DTR48" s="287"/>
      <c r="DTS48" s="287"/>
      <c r="DTT48" s="287"/>
      <c r="DTU48" s="287"/>
      <c r="DTV48" s="287"/>
      <c r="DTW48" s="287"/>
      <c r="DTX48" s="287"/>
      <c r="DTY48" s="287"/>
      <c r="DTZ48" s="287"/>
      <c r="DUA48" s="287"/>
      <c r="DUB48" s="287"/>
      <c r="DUC48" s="287"/>
      <c r="DUD48" s="287"/>
      <c r="DUE48" s="287"/>
      <c r="DUF48" s="287"/>
      <c r="DUG48" s="287"/>
      <c r="DUH48" s="287"/>
      <c r="DUI48" s="287"/>
      <c r="DUJ48" s="287"/>
      <c r="DUK48" s="287"/>
      <c r="DUL48" s="287"/>
      <c r="DUM48" s="287"/>
      <c r="DUN48" s="287"/>
      <c r="DUO48" s="287"/>
      <c r="DUP48" s="287"/>
      <c r="DUQ48" s="287"/>
      <c r="DUR48" s="287"/>
      <c r="DUS48" s="287"/>
      <c r="DUT48" s="287"/>
      <c r="DUU48" s="287"/>
      <c r="DUV48" s="287"/>
      <c r="DUW48" s="287"/>
      <c r="DUX48" s="287"/>
      <c r="DUY48" s="287"/>
      <c r="DUZ48" s="287"/>
      <c r="DVA48" s="287"/>
      <c r="DVB48" s="287"/>
      <c r="DVC48" s="287"/>
      <c r="DVD48" s="287"/>
      <c r="DVE48" s="287"/>
      <c r="DVF48" s="287"/>
      <c r="DVG48" s="287"/>
      <c r="DVH48" s="287"/>
      <c r="DVI48" s="287"/>
      <c r="DVJ48" s="287"/>
      <c r="DVK48" s="287"/>
      <c r="DVL48" s="287"/>
      <c r="DVM48" s="287"/>
      <c r="DVN48" s="287"/>
      <c r="DVO48" s="287"/>
      <c r="DVP48" s="287"/>
      <c r="DVQ48" s="287"/>
      <c r="DVR48" s="287"/>
      <c r="DVS48" s="287"/>
      <c r="DVT48" s="287"/>
      <c r="DVU48" s="287"/>
      <c r="DVV48" s="287"/>
      <c r="DVW48" s="287"/>
      <c r="DVX48" s="287"/>
      <c r="DVY48" s="287"/>
      <c r="DVZ48" s="287"/>
      <c r="DWA48" s="287"/>
      <c r="DWB48" s="287"/>
      <c r="DWC48" s="287"/>
      <c r="DWD48" s="287"/>
      <c r="DWE48" s="287"/>
      <c r="DWF48" s="287"/>
      <c r="DWG48" s="287"/>
      <c r="DWH48" s="287"/>
      <c r="DWI48" s="287"/>
      <c r="DWJ48" s="287"/>
      <c r="DWK48" s="287"/>
      <c r="DWL48" s="287"/>
      <c r="DWM48" s="287"/>
      <c r="DWN48" s="287"/>
      <c r="DWO48" s="287"/>
      <c r="DWP48" s="287"/>
      <c r="DWQ48" s="287"/>
      <c r="DWR48" s="287"/>
      <c r="DWS48" s="287"/>
      <c r="DWT48" s="287"/>
      <c r="DWU48" s="287"/>
      <c r="DWV48" s="287"/>
      <c r="DWW48" s="287"/>
      <c r="DWX48" s="287"/>
      <c r="DWY48" s="287"/>
      <c r="DWZ48" s="287"/>
      <c r="DXA48" s="287"/>
      <c r="DXB48" s="287"/>
      <c r="DXC48" s="287"/>
      <c r="DXD48" s="287"/>
      <c r="DXE48" s="287"/>
      <c r="DXF48" s="287"/>
      <c r="DXG48" s="287"/>
      <c r="DXH48" s="287"/>
      <c r="DXI48" s="287"/>
      <c r="DXJ48" s="287"/>
      <c r="DXK48" s="287"/>
      <c r="DXL48" s="287"/>
      <c r="DXM48" s="287"/>
      <c r="DXN48" s="287"/>
      <c r="DXO48" s="287"/>
      <c r="DXP48" s="287"/>
      <c r="DXQ48" s="287"/>
      <c r="DXR48" s="287"/>
      <c r="DXS48" s="287"/>
      <c r="DXT48" s="287"/>
      <c r="DXU48" s="287"/>
      <c r="DXV48" s="287"/>
      <c r="DXW48" s="287"/>
      <c r="DXX48" s="287"/>
      <c r="DXY48" s="287"/>
      <c r="DXZ48" s="287"/>
      <c r="DYA48" s="287"/>
      <c r="DYB48" s="287"/>
      <c r="DYC48" s="287"/>
      <c r="DYD48" s="287"/>
      <c r="DYE48" s="287"/>
      <c r="DYF48" s="287"/>
      <c r="DYG48" s="287"/>
      <c r="DYH48" s="287"/>
      <c r="DYI48" s="287"/>
      <c r="DYJ48" s="287"/>
      <c r="DYK48" s="287"/>
      <c r="DYL48" s="287"/>
      <c r="DYM48" s="287"/>
      <c r="DYN48" s="287"/>
      <c r="DYO48" s="287"/>
      <c r="DYP48" s="287"/>
      <c r="DYQ48" s="287"/>
      <c r="DYR48" s="287"/>
      <c r="DYS48" s="287"/>
      <c r="DYT48" s="287"/>
      <c r="DYU48" s="287"/>
      <c r="DYV48" s="287"/>
      <c r="DYW48" s="287"/>
      <c r="DYX48" s="287"/>
      <c r="DYY48" s="287"/>
      <c r="DYZ48" s="287"/>
      <c r="DZA48" s="287"/>
      <c r="DZB48" s="287"/>
      <c r="DZC48" s="287"/>
      <c r="DZD48" s="287"/>
      <c r="DZE48" s="287"/>
      <c r="DZF48" s="287"/>
      <c r="DZG48" s="287"/>
      <c r="DZH48" s="287"/>
      <c r="DZI48" s="287"/>
      <c r="DZJ48" s="287"/>
      <c r="DZK48" s="287"/>
      <c r="DZL48" s="287"/>
      <c r="DZM48" s="287"/>
      <c r="DZN48" s="287"/>
      <c r="DZO48" s="287"/>
      <c r="DZP48" s="287"/>
      <c r="DZQ48" s="287"/>
      <c r="DZR48" s="287"/>
      <c r="DZS48" s="287"/>
      <c r="DZT48" s="287"/>
      <c r="DZU48" s="287"/>
      <c r="DZV48" s="287"/>
      <c r="DZW48" s="287"/>
      <c r="DZX48" s="287"/>
      <c r="DZY48" s="287"/>
      <c r="DZZ48" s="287"/>
      <c r="EAA48" s="287"/>
      <c r="EAB48" s="287"/>
      <c r="EAC48" s="287"/>
      <c r="EAD48" s="287"/>
      <c r="EAE48" s="287"/>
      <c r="EAF48" s="287"/>
      <c r="EAG48" s="287"/>
      <c r="EAH48" s="287"/>
      <c r="EAI48" s="287"/>
      <c r="EAJ48" s="287"/>
      <c r="EAK48" s="287"/>
      <c r="EAL48" s="287"/>
      <c r="EAM48" s="287"/>
      <c r="EAN48" s="287"/>
      <c r="EAO48" s="287"/>
      <c r="EAP48" s="287"/>
      <c r="EAQ48" s="287"/>
      <c r="EAR48" s="287"/>
      <c r="EAS48" s="287"/>
      <c r="EAT48" s="287"/>
      <c r="EAU48" s="287"/>
      <c r="EAV48" s="287"/>
      <c r="EAW48" s="287"/>
      <c r="EAX48" s="287"/>
      <c r="EAY48" s="287"/>
      <c r="EAZ48" s="287"/>
      <c r="EBA48" s="287"/>
      <c r="EBB48" s="287"/>
      <c r="EBC48" s="287"/>
      <c r="EBD48" s="287"/>
      <c r="EBE48" s="287"/>
      <c r="EBF48" s="287"/>
      <c r="EBG48" s="287"/>
      <c r="EBH48" s="287"/>
      <c r="EBI48" s="287"/>
      <c r="EBJ48" s="287"/>
      <c r="EBK48" s="287"/>
      <c r="EBL48" s="287"/>
      <c r="EBM48" s="287"/>
      <c r="EBN48" s="287"/>
      <c r="EBO48" s="287"/>
      <c r="EBP48" s="287"/>
      <c r="EBQ48" s="287"/>
      <c r="EBR48" s="287"/>
      <c r="EBS48" s="287"/>
      <c r="EBT48" s="287"/>
      <c r="EBU48" s="287"/>
      <c r="EBV48" s="287"/>
      <c r="EBW48" s="287"/>
      <c r="EBX48" s="287"/>
      <c r="EBY48" s="287"/>
      <c r="EBZ48" s="287"/>
      <c r="ECA48" s="287"/>
      <c r="ECB48" s="287"/>
      <c r="ECC48" s="287"/>
      <c r="ECD48" s="287"/>
      <c r="ECE48" s="287"/>
      <c r="ECF48" s="287"/>
      <c r="ECG48" s="287"/>
      <c r="ECH48" s="287"/>
      <c r="ECI48" s="287"/>
      <c r="ECJ48" s="287"/>
      <c r="ECK48" s="287"/>
      <c r="ECL48" s="287"/>
      <c r="ECM48" s="287"/>
      <c r="ECN48" s="287"/>
      <c r="ECO48" s="287"/>
      <c r="ECP48" s="287"/>
      <c r="ECQ48" s="287"/>
      <c r="ECR48" s="287"/>
      <c r="ECS48" s="287"/>
      <c r="ECT48" s="287"/>
      <c r="ECU48" s="287"/>
      <c r="ECV48" s="287"/>
      <c r="ECW48" s="287"/>
      <c r="ECX48" s="287"/>
      <c r="ECY48" s="287"/>
      <c r="ECZ48" s="287"/>
      <c r="EDA48" s="287"/>
      <c r="EDB48" s="287"/>
      <c r="EDC48" s="287"/>
      <c r="EDD48" s="287"/>
      <c r="EDE48" s="287"/>
      <c r="EDF48" s="287"/>
      <c r="EDG48" s="287"/>
      <c r="EDH48" s="287"/>
      <c r="EDI48" s="287"/>
      <c r="EDJ48" s="287"/>
      <c r="EDK48" s="287"/>
      <c r="EDL48" s="287"/>
      <c r="EDM48" s="287"/>
      <c r="EDN48" s="287"/>
      <c r="EDO48" s="287"/>
      <c r="EDP48" s="287"/>
      <c r="EDQ48" s="287"/>
      <c r="EDR48" s="287"/>
      <c r="EDS48" s="287"/>
      <c r="EDT48" s="287"/>
      <c r="EDU48" s="287"/>
      <c r="EDV48" s="287"/>
      <c r="EDW48" s="287"/>
      <c r="EDX48" s="287"/>
      <c r="EDY48" s="287"/>
      <c r="EDZ48" s="287"/>
      <c r="EEA48" s="287"/>
      <c r="EEB48" s="287"/>
      <c r="EEC48" s="287"/>
      <c r="EED48" s="287"/>
      <c r="EEE48" s="287"/>
      <c r="EEF48" s="287"/>
      <c r="EEG48" s="287"/>
      <c r="EEH48" s="287"/>
      <c r="EEI48" s="287"/>
      <c r="EEJ48" s="287"/>
      <c r="EEK48" s="287"/>
      <c r="EEL48" s="287"/>
      <c r="EEM48" s="287"/>
      <c r="EEN48" s="287"/>
      <c r="EEO48" s="287"/>
      <c r="EEP48" s="287"/>
      <c r="EEQ48" s="287"/>
      <c r="EER48" s="287"/>
      <c r="EES48" s="287"/>
      <c r="EET48" s="287"/>
      <c r="EEU48" s="287"/>
      <c r="EEV48" s="287"/>
      <c r="EEW48" s="287"/>
      <c r="EEX48" s="287"/>
      <c r="EEY48" s="287"/>
      <c r="EEZ48" s="287"/>
      <c r="EFA48" s="287"/>
      <c r="EFB48" s="287"/>
      <c r="EFC48" s="287"/>
      <c r="EFD48" s="287"/>
      <c r="EFE48" s="287"/>
      <c r="EFF48" s="287"/>
      <c r="EFG48" s="287"/>
      <c r="EFH48" s="287"/>
      <c r="EFI48" s="287"/>
      <c r="EFJ48" s="287"/>
      <c r="EFK48" s="287"/>
      <c r="EFL48" s="287"/>
      <c r="EFM48" s="287"/>
      <c r="EFN48" s="287"/>
      <c r="EFO48" s="287"/>
      <c r="EFP48" s="287"/>
      <c r="EFQ48" s="287"/>
      <c r="EFR48" s="287"/>
      <c r="EFS48" s="287"/>
      <c r="EFT48" s="287"/>
      <c r="EFU48" s="287"/>
      <c r="EFV48" s="287"/>
      <c r="EFW48" s="287"/>
      <c r="EFX48" s="287"/>
      <c r="EFY48" s="287"/>
      <c r="EFZ48" s="287"/>
      <c r="EGA48" s="287"/>
      <c r="EGB48" s="287"/>
      <c r="EGC48" s="287"/>
      <c r="EGD48" s="287"/>
      <c r="EGE48" s="287"/>
      <c r="EGF48" s="287"/>
      <c r="EGG48" s="287"/>
      <c r="EGH48" s="287"/>
      <c r="EGI48" s="287"/>
      <c r="EGJ48" s="287"/>
      <c r="EGK48" s="287"/>
      <c r="EGL48" s="287"/>
      <c r="EGM48" s="287"/>
      <c r="EGN48" s="287"/>
      <c r="EGO48" s="287"/>
      <c r="EGP48" s="287"/>
      <c r="EGQ48" s="287"/>
      <c r="EGR48" s="287"/>
      <c r="EGS48" s="287"/>
      <c r="EGT48" s="287"/>
      <c r="EGU48" s="287"/>
      <c r="EGV48" s="287"/>
      <c r="EGW48" s="287"/>
      <c r="EGX48" s="287"/>
      <c r="EGY48" s="287"/>
      <c r="EGZ48" s="287"/>
      <c r="EHA48" s="287"/>
      <c r="EHB48" s="287"/>
      <c r="EHC48" s="287"/>
      <c r="EHD48" s="287"/>
      <c r="EHE48" s="287"/>
      <c r="EHF48" s="287"/>
      <c r="EHG48" s="287"/>
      <c r="EHH48" s="287"/>
      <c r="EHI48" s="287"/>
      <c r="EHJ48" s="287"/>
      <c r="EHK48" s="287"/>
      <c r="EHL48" s="287"/>
      <c r="EHM48" s="287"/>
      <c r="EHN48" s="287"/>
      <c r="EHO48" s="287"/>
      <c r="EHP48" s="287"/>
      <c r="EHQ48" s="287"/>
      <c r="EHR48" s="287"/>
      <c r="EHS48" s="287"/>
      <c r="EHT48" s="287"/>
      <c r="EHU48" s="287"/>
      <c r="EHV48" s="287"/>
      <c r="EHW48" s="287"/>
      <c r="EHX48" s="287"/>
      <c r="EHY48" s="287"/>
      <c r="EHZ48" s="287"/>
      <c r="EIA48" s="287"/>
      <c r="EIB48" s="287"/>
      <c r="EIC48" s="287"/>
      <c r="EID48" s="287"/>
      <c r="EIE48" s="287"/>
      <c r="EIF48" s="287"/>
      <c r="EIG48" s="287"/>
      <c r="EIH48" s="287"/>
      <c r="EII48" s="287"/>
      <c r="EIJ48" s="287"/>
      <c r="EIK48" s="287"/>
      <c r="EIL48" s="287"/>
      <c r="EIM48" s="287"/>
      <c r="EIN48" s="287"/>
      <c r="EIO48" s="287"/>
      <c r="EIP48" s="287"/>
      <c r="EIQ48" s="287"/>
      <c r="EIR48" s="287"/>
      <c r="EIS48" s="287"/>
      <c r="EIT48" s="287"/>
      <c r="EIU48" s="287"/>
      <c r="EIV48" s="287"/>
      <c r="EIW48" s="287"/>
      <c r="EIX48" s="287"/>
      <c r="EIY48" s="287"/>
      <c r="EIZ48" s="287"/>
      <c r="EJA48" s="287"/>
      <c r="EJB48" s="287"/>
      <c r="EJC48" s="287"/>
      <c r="EJD48" s="287"/>
      <c r="EJE48" s="287"/>
      <c r="EJF48" s="287"/>
      <c r="EJG48" s="287"/>
      <c r="EJH48" s="287"/>
      <c r="EJI48" s="287"/>
      <c r="EJJ48" s="287"/>
      <c r="EJK48" s="287"/>
      <c r="EJL48" s="287"/>
      <c r="EJM48" s="287"/>
      <c r="EJN48" s="287"/>
      <c r="EJO48" s="287"/>
      <c r="EJP48" s="287"/>
      <c r="EJQ48" s="287"/>
      <c r="EJR48" s="287"/>
      <c r="EJS48" s="287"/>
      <c r="EJT48" s="287"/>
      <c r="EJU48" s="287"/>
      <c r="EJV48" s="287"/>
      <c r="EJW48" s="287"/>
      <c r="EJX48" s="287"/>
      <c r="EJY48" s="287"/>
      <c r="EJZ48" s="287"/>
      <c r="EKA48" s="287"/>
      <c r="EKB48" s="287"/>
      <c r="EKC48" s="287"/>
      <c r="EKD48" s="287"/>
      <c r="EKE48" s="287"/>
      <c r="EKF48" s="287"/>
      <c r="EKG48" s="287"/>
      <c r="EKH48" s="287"/>
      <c r="EKI48" s="287"/>
      <c r="EKJ48" s="287"/>
      <c r="EKK48" s="287"/>
      <c r="EKL48" s="287"/>
      <c r="EKM48" s="287"/>
      <c r="EKN48" s="287"/>
      <c r="EKO48" s="287"/>
      <c r="EKP48" s="287"/>
      <c r="EKQ48" s="287"/>
      <c r="EKR48" s="287"/>
      <c r="EKS48" s="287"/>
      <c r="EKT48" s="287"/>
      <c r="EKU48" s="287"/>
      <c r="EKV48" s="287"/>
      <c r="EKW48" s="287"/>
      <c r="EKX48" s="287"/>
      <c r="EKY48" s="287"/>
      <c r="EKZ48" s="287"/>
      <c r="ELA48" s="287"/>
      <c r="ELB48" s="287"/>
      <c r="ELC48" s="287"/>
      <c r="ELD48" s="287"/>
      <c r="ELE48" s="287"/>
      <c r="ELF48" s="287"/>
      <c r="ELG48" s="287"/>
      <c r="ELH48" s="287"/>
      <c r="ELI48" s="287"/>
      <c r="ELJ48" s="287"/>
      <c r="ELK48" s="287"/>
      <c r="ELL48" s="287"/>
      <c r="ELM48" s="287"/>
      <c r="ELN48" s="287"/>
      <c r="ELO48" s="287"/>
      <c r="ELP48" s="287"/>
      <c r="ELQ48" s="287"/>
      <c r="ELR48" s="287"/>
      <c r="ELS48" s="287"/>
      <c r="ELT48" s="287"/>
      <c r="ELU48" s="287"/>
      <c r="ELV48" s="287"/>
      <c r="ELW48" s="287"/>
      <c r="ELX48" s="287"/>
      <c r="ELY48" s="287"/>
      <c r="ELZ48" s="287"/>
      <c r="EMA48" s="287"/>
      <c r="EMB48" s="287"/>
      <c r="EMC48" s="287"/>
      <c r="EMD48" s="287"/>
      <c r="EME48" s="287"/>
      <c r="EMF48" s="287"/>
      <c r="EMG48" s="287"/>
      <c r="EMH48" s="287"/>
      <c r="EMI48" s="287"/>
      <c r="EMJ48" s="287"/>
      <c r="EMK48" s="287"/>
      <c r="EML48" s="287"/>
      <c r="EMM48" s="287"/>
      <c r="EMN48" s="287"/>
      <c r="EMO48" s="287"/>
      <c r="EMP48" s="287"/>
      <c r="EMQ48" s="287"/>
      <c r="EMR48" s="287"/>
      <c r="EMS48" s="287"/>
      <c r="EMT48" s="287"/>
      <c r="EMU48" s="287"/>
      <c r="EMV48" s="287"/>
      <c r="EMW48" s="287"/>
      <c r="EMX48" s="287"/>
      <c r="EMY48" s="287"/>
      <c r="EMZ48" s="287"/>
      <c r="ENA48" s="287"/>
      <c r="ENB48" s="287"/>
      <c r="ENC48" s="287"/>
      <c r="END48" s="287"/>
      <c r="ENE48" s="287"/>
      <c r="ENF48" s="287"/>
      <c r="ENG48" s="287"/>
      <c r="ENH48" s="287"/>
      <c r="ENI48" s="287"/>
      <c r="ENJ48" s="287"/>
      <c r="ENK48" s="287"/>
      <c r="ENL48" s="287"/>
      <c r="ENM48" s="287"/>
      <c r="ENN48" s="287"/>
      <c r="ENO48" s="287"/>
      <c r="ENP48" s="287"/>
      <c r="ENQ48" s="287"/>
      <c r="ENR48" s="287"/>
      <c r="ENS48" s="287"/>
      <c r="ENT48" s="287"/>
      <c r="ENU48" s="287"/>
      <c r="ENV48" s="287"/>
      <c r="ENW48" s="287"/>
      <c r="ENX48" s="287"/>
      <c r="ENY48" s="287"/>
      <c r="ENZ48" s="287"/>
      <c r="EOA48" s="287"/>
      <c r="EOB48" s="287"/>
      <c r="EOC48" s="287"/>
      <c r="EOD48" s="287"/>
      <c r="EOE48" s="287"/>
      <c r="EOF48" s="287"/>
      <c r="EOG48" s="287"/>
      <c r="EOH48" s="287"/>
      <c r="EOI48" s="287"/>
      <c r="EOJ48" s="287"/>
      <c r="EOK48" s="287"/>
      <c r="EOL48" s="287"/>
      <c r="EOM48" s="287"/>
      <c r="EON48" s="287"/>
      <c r="EOO48" s="287"/>
      <c r="EOP48" s="287"/>
      <c r="EOQ48" s="287"/>
      <c r="EOR48" s="287"/>
      <c r="EOS48" s="287"/>
      <c r="EOT48" s="287"/>
      <c r="EOU48" s="287"/>
      <c r="EOV48" s="287"/>
      <c r="EOW48" s="287"/>
      <c r="EOX48" s="287"/>
      <c r="EOY48" s="287"/>
      <c r="EOZ48" s="287"/>
      <c r="EPA48" s="287"/>
      <c r="EPB48" s="287"/>
      <c r="EPC48" s="287"/>
      <c r="EPD48" s="287"/>
      <c r="EPE48" s="287"/>
      <c r="EPF48" s="287"/>
      <c r="EPG48" s="287"/>
      <c r="EPH48" s="287"/>
      <c r="EPI48" s="287"/>
      <c r="EPJ48" s="287"/>
      <c r="EPK48" s="287"/>
      <c r="EPL48" s="287"/>
      <c r="EPM48" s="287"/>
      <c r="EPN48" s="287"/>
      <c r="EPO48" s="287"/>
      <c r="EPP48" s="287"/>
      <c r="EPQ48" s="287"/>
      <c r="EPR48" s="287"/>
      <c r="EPS48" s="287"/>
      <c r="EPT48" s="287"/>
      <c r="EPU48" s="287"/>
      <c r="EPV48" s="287"/>
      <c r="EPW48" s="287"/>
      <c r="EPX48" s="287"/>
      <c r="EPY48" s="287"/>
      <c r="EPZ48" s="287"/>
      <c r="EQA48" s="287"/>
      <c r="EQB48" s="287"/>
      <c r="EQC48" s="287"/>
      <c r="EQD48" s="287"/>
      <c r="EQE48" s="287"/>
      <c r="EQF48" s="287"/>
      <c r="EQG48" s="287"/>
      <c r="EQH48" s="287"/>
      <c r="EQI48" s="287"/>
      <c r="EQJ48" s="287"/>
      <c r="EQK48" s="287"/>
      <c r="EQL48" s="287"/>
      <c r="EQM48" s="287"/>
      <c r="EQN48" s="287"/>
      <c r="EQO48" s="287"/>
      <c r="EQP48" s="287"/>
      <c r="EQQ48" s="287"/>
      <c r="EQR48" s="287"/>
      <c r="EQS48" s="287"/>
      <c r="EQT48" s="287"/>
      <c r="EQU48" s="287"/>
      <c r="EQV48" s="287"/>
      <c r="EQW48" s="287"/>
      <c r="EQX48" s="287"/>
      <c r="EQY48" s="287"/>
      <c r="EQZ48" s="287"/>
      <c r="ERA48" s="287"/>
      <c r="ERB48" s="287"/>
      <c r="ERC48" s="287"/>
      <c r="ERD48" s="287"/>
      <c r="ERE48" s="287"/>
      <c r="ERF48" s="287"/>
      <c r="ERG48" s="287"/>
      <c r="ERH48" s="287"/>
      <c r="ERI48" s="287"/>
      <c r="ERJ48" s="287"/>
      <c r="ERK48" s="287"/>
      <c r="ERL48" s="287"/>
      <c r="ERM48" s="287"/>
      <c r="ERN48" s="287"/>
      <c r="ERO48" s="287"/>
      <c r="ERP48" s="287"/>
      <c r="ERQ48" s="287"/>
      <c r="ERR48" s="287"/>
      <c r="ERS48" s="287"/>
      <c r="ERT48" s="287"/>
      <c r="ERU48" s="287"/>
      <c r="ERV48" s="287"/>
      <c r="ERW48" s="287"/>
      <c r="ERX48" s="287"/>
      <c r="ERY48" s="287"/>
      <c r="ERZ48" s="287"/>
      <c r="ESA48" s="287"/>
      <c r="ESB48" s="287"/>
      <c r="ESC48" s="287"/>
      <c r="ESD48" s="287"/>
      <c r="ESE48" s="287"/>
      <c r="ESF48" s="287"/>
      <c r="ESG48" s="287"/>
      <c r="ESH48" s="287"/>
      <c r="ESI48" s="287"/>
      <c r="ESJ48" s="287"/>
      <c r="ESK48" s="287"/>
      <c r="ESL48" s="287"/>
      <c r="ESM48" s="287"/>
      <c r="ESN48" s="287"/>
      <c r="ESO48" s="287"/>
      <c r="ESP48" s="287"/>
      <c r="ESQ48" s="287"/>
      <c r="ESR48" s="287"/>
      <c r="ESS48" s="287"/>
      <c r="EST48" s="287"/>
      <c r="ESU48" s="287"/>
      <c r="ESV48" s="287"/>
      <c r="ESW48" s="287"/>
      <c r="ESX48" s="287"/>
      <c r="ESY48" s="287"/>
      <c r="ESZ48" s="287"/>
      <c r="ETA48" s="287"/>
      <c r="ETB48" s="287"/>
      <c r="ETC48" s="287"/>
      <c r="ETD48" s="287"/>
      <c r="ETE48" s="287"/>
      <c r="ETF48" s="287"/>
      <c r="ETG48" s="287"/>
      <c r="ETH48" s="287"/>
      <c r="ETI48" s="287"/>
      <c r="ETJ48" s="287"/>
      <c r="ETK48" s="287"/>
      <c r="ETL48" s="287"/>
      <c r="ETM48" s="287"/>
      <c r="ETN48" s="287"/>
      <c r="ETO48" s="287"/>
      <c r="ETP48" s="287"/>
      <c r="ETQ48" s="287"/>
      <c r="ETR48" s="287"/>
      <c r="ETS48" s="287"/>
      <c r="ETT48" s="287"/>
      <c r="ETU48" s="287"/>
      <c r="ETV48" s="287"/>
      <c r="ETW48" s="287"/>
      <c r="ETX48" s="287"/>
      <c r="ETY48" s="287"/>
      <c r="ETZ48" s="287"/>
      <c r="EUA48" s="287"/>
      <c r="EUB48" s="287"/>
      <c r="EUC48" s="287"/>
      <c r="EUD48" s="287"/>
      <c r="EUE48" s="287"/>
      <c r="EUF48" s="287"/>
      <c r="EUG48" s="287"/>
      <c r="EUH48" s="287"/>
      <c r="EUI48" s="287"/>
      <c r="EUJ48" s="287"/>
      <c r="EUK48" s="287"/>
      <c r="EUL48" s="287"/>
      <c r="EUM48" s="287"/>
      <c r="EUN48" s="287"/>
      <c r="EUO48" s="287"/>
      <c r="EUP48" s="287"/>
      <c r="EUQ48" s="287"/>
      <c r="EUR48" s="287"/>
      <c r="EUS48" s="287"/>
      <c r="EUT48" s="287"/>
      <c r="EUU48" s="287"/>
      <c r="EUV48" s="287"/>
      <c r="EUW48" s="287"/>
      <c r="EUX48" s="287"/>
      <c r="EUY48" s="287"/>
      <c r="EUZ48" s="287"/>
      <c r="EVA48" s="287"/>
      <c r="EVB48" s="287"/>
      <c r="EVC48" s="287"/>
      <c r="EVD48" s="287"/>
      <c r="EVE48" s="287"/>
      <c r="EVF48" s="287"/>
      <c r="EVG48" s="287"/>
      <c r="EVH48" s="287"/>
      <c r="EVI48" s="287"/>
      <c r="EVJ48" s="287"/>
      <c r="EVK48" s="287"/>
      <c r="EVL48" s="287"/>
      <c r="EVM48" s="287"/>
      <c r="EVN48" s="287"/>
      <c r="EVO48" s="287"/>
      <c r="EVP48" s="287"/>
      <c r="EVQ48" s="287"/>
      <c r="EVR48" s="287"/>
      <c r="EVS48" s="287"/>
      <c r="EVT48" s="287"/>
      <c r="EVU48" s="287"/>
      <c r="EVV48" s="287"/>
      <c r="EVW48" s="287"/>
      <c r="EVX48" s="287"/>
      <c r="EVY48" s="287"/>
      <c r="EVZ48" s="287"/>
      <c r="EWA48" s="287"/>
      <c r="EWB48" s="287"/>
      <c r="EWC48" s="287"/>
      <c r="EWD48" s="287"/>
      <c r="EWE48" s="287"/>
      <c r="EWF48" s="287"/>
      <c r="EWG48" s="287"/>
      <c r="EWH48" s="287"/>
      <c r="EWI48" s="287"/>
      <c r="EWJ48" s="287"/>
      <c r="EWK48" s="287"/>
      <c r="EWL48" s="287"/>
      <c r="EWM48" s="287"/>
      <c r="EWN48" s="287"/>
      <c r="EWO48" s="287"/>
      <c r="EWP48" s="287"/>
      <c r="EWQ48" s="287"/>
      <c r="EWR48" s="287"/>
      <c r="EWS48" s="287"/>
      <c r="EWT48" s="287"/>
      <c r="EWU48" s="287"/>
      <c r="EWV48" s="287"/>
      <c r="EWW48" s="287"/>
      <c r="EWX48" s="287"/>
      <c r="EWY48" s="287"/>
      <c r="EWZ48" s="287"/>
      <c r="EXA48" s="287"/>
      <c r="EXB48" s="287"/>
      <c r="EXC48" s="287"/>
      <c r="EXD48" s="287"/>
      <c r="EXE48" s="287"/>
      <c r="EXF48" s="287"/>
      <c r="EXG48" s="287"/>
      <c r="EXH48" s="287"/>
      <c r="EXI48" s="287"/>
      <c r="EXJ48" s="287"/>
      <c r="EXK48" s="287"/>
      <c r="EXL48" s="287"/>
      <c r="EXM48" s="287"/>
      <c r="EXN48" s="287"/>
      <c r="EXO48" s="287"/>
      <c r="EXP48" s="287"/>
      <c r="EXQ48" s="287"/>
      <c r="EXR48" s="287"/>
      <c r="EXS48" s="287"/>
      <c r="EXT48" s="287"/>
      <c r="EXU48" s="287"/>
      <c r="EXV48" s="287"/>
      <c r="EXW48" s="287"/>
      <c r="EXX48" s="287"/>
      <c r="EXY48" s="287"/>
      <c r="EXZ48" s="287"/>
      <c r="EYA48" s="287"/>
      <c r="EYB48" s="287"/>
      <c r="EYC48" s="287"/>
      <c r="EYD48" s="287"/>
      <c r="EYE48" s="287"/>
      <c r="EYF48" s="287"/>
      <c r="EYG48" s="287"/>
      <c r="EYH48" s="287"/>
      <c r="EYI48" s="287"/>
      <c r="EYJ48" s="287"/>
      <c r="EYK48" s="287"/>
      <c r="EYL48" s="287"/>
      <c r="EYM48" s="287"/>
      <c r="EYN48" s="287"/>
      <c r="EYO48" s="287"/>
      <c r="EYP48" s="287"/>
      <c r="EYQ48" s="287"/>
      <c r="EYR48" s="287"/>
      <c r="EYS48" s="287"/>
      <c r="EYT48" s="287"/>
      <c r="EYU48" s="287"/>
      <c r="EYV48" s="287"/>
      <c r="EYW48" s="287"/>
      <c r="EYX48" s="287"/>
      <c r="EYY48" s="287"/>
      <c r="EYZ48" s="287"/>
      <c r="EZA48" s="287"/>
      <c r="EZB48" s="287"/>
      <c r="EZC48" s="287"/>
      <c r="EZD48" s="287"/>
      <c r="EZE48" s="287"/>
      <c r="EZF48" s="287"/>
      <c r="EZG48" s="287"/>
      <c r="EZH48" s="287"/>
      <c r="EZI48" s="287"/>
      <c r="EZJ48" s="287"/>
      <c r="EZK48" s="287"/>
      <c r="EZL48" s="287"/>
      <c r="EZM48" s="287"/>
      <c r="EZN48" s="287"/>
      <c r="EZO48" s="287"/>
      <c r="EZP48" s="287"/>
      <c r="EZQ48" s="287"/>
      <c r="EZR48" s="287"/>
      <c r="EZS48" s="287"/>
      <c r="EZT48" s="287"/>
      <c r="EZU48" s="287"/>
      <c r="EZV48" s="287"/>
      <c r="EZW48" s="287"/>
      <c r="EZX48" s="287"/>
      <c r="EZY48" s="287"/>
      <c r="EZZ48" s="287"/>
      <c r="FAA48" s="287"/>
      <c r="FAB48" s="287"/>
      <c r="FAC48" s="287"/>
      <c r="FAD48" s="287"/>
      <c r="FAE48" s="287"/>
      <c r="FAF48" s="287"/>
      <c r="FAG48" s="287"/>
      <c r="FAH48" s="287"/>
      <c r="FAI48" s="287"/>
      <c r="FAJ48" s="287"/>
      <c r="FAK48" s="287"/>
      <c r="FAL48" s="287"/>
      <c r="FAM48" s="287"/>
      <c r="FAN48" s="287"/>
      <c r="FAO48" s="287"/>
      <c r="FAP48" s="287"/>
      <c r="FAQ48" s="287"/>
      <c r="FAR48" s="287"/>
      <c r="FAS48" s="287"/>
      <c r="FAT48" s="287"/>
      <c r="FAU48" s="287"/>
      <c r="FAV48" s="287"/>
      <c r="FAW48" s="287"/>
      <c r="FAX48" s="287"/>
      <c r="FAY48" s="287"/>
      <c r="FAZ48" s="287"/>
      <c r="FBA48" s="287"/>
      <c r="FBB48" s="287"/>
      <c r="FBC48" s="287"/>
      <c r="FBD48" s="287"/>
      <c r="FBE48" s="287"/>
      <c r="FBF48" s="287"/>
      <c r="FBG48" s="287"/>
      <c r="FBH48" s="287"/>
      <c r="FBI48" s="287"/>
      <c r="FBJ48" s="287"/>
      <c r="FBK48" s="287"/>
      <c r="FBL48" s="287"/>
      <c r="FBM48" s="287"/>
      <c r="FBN48" s="287"/>
      <c r="FBO48" s="287"/>
      <c r="FBP48" s="287"/>
      <c r="FBQ48" s="287"/>
      <c r="FBR48" s="287"/>
      <c r="FBS48" s="287"/>
      <c r="FBT48" s="287"/>
      <c r="FBU48" s="287"/>
      <c r="FBV48" s="287"/>
      <c r="FBW48" s="287"/>
      <c r="FBX48" s="287"/>
      <c r="FBY48" s="287"/>
      <c r="FBZ48" s="287"/>
      <c r="FCA48" s="287"/>
      <c r="FCB48" s="287"/>
      <c r="FCC48" s="287"/>
      <c r="FCD48" s="287"/>
      <c r="FCE48" s="287"/>
      <c r="FCF48" s="287"/>
      <c r="FCG48" s="287"/>
      <c r="FCH48" s="287"/>
      <c r="FCI48" s="287"/>
      <c r="FCJ48" s="287"/>
      <c r="FCK48" s="287"/>
      <c r="FCL48" s="287"/>
      <c r="FCM48" s="287"/>
      <c r="FCN48" s="287"/>
      <c r="FCO48" s="287"/>
      <c r="FCP48" s="287"/>
      <c r="FCQ48" s="287"/>
      <c r="FCR48" s="287"/>
      <c r="FCS48" s="287"/>
      <c r="FCT48" s="287"/>
      <c r="FCU48" s="287"/>
      <c r="FCV48" s="287"/>
      <c r="FCW48" s="287"/>
      <c r="FCX48" s="287"/>
      <c r="FCY48" s="287"/>
      <c r="FCZ48" s="287"/>
      <c r="FDA48" s="287"/>
      <c r="FDB48" s="287"/>
      <c r="FDC48" s="287"/>
      <c r="FDD48" s="287"/>
      <c r="FDE48" s="287"/>
      <c r="FDF48" s="287"/>
      <c r="FDG48" s="287"/>
      <c r="FDH48" s="287"/>
      <c r="FDI48" s="287"/>
      <c r="FDJ48" s="287"/>
      <c r="FDK48" s="287"/>
      <c r="FDL48" s="287"/>
      <c r="FDM48" s="287"/>
      <c r="FDN48" s="287"/>
      <c r="FDO48" s="287"/>
      <c r="FDP48" s="287"/>
      <c r="FDQ48" s="287"/>
      <c r="FDR48" s="287"/>
      <c r="FDS48" s="287"/>
      <c r="FDT48" s="287"/>
      <c r="FDU48" s="287"/>
      <c r="FDV48" s="287"/>
      <c r="FDW48" s="287"/>
      <c r="FDX48" s="287"/>
      <c r="FDY48" s="287"/>
      <c r="FDZ48" s="287"/>
      <c r="FEA48" s="287"/>
      <c r="FEB48" s="287"/>
      <c r="FEC48" s="287"/>
      <c r="FED48" s="287"/>
      <c r="FEE48" s="287"/>
      <c r="FEF48" s="287"/>
      <c r="FEG48" s="287"/>
      <c r="FEH48" s="287"/>
      <c r="FEI48" s="287"/>
      <c r="FEJ48" s="287"/>
      <c r="FEK48" s="287"/>
      <c r="FEL48" s="287"/>
      <c r="FEM48" s="287"/>
      <c r="FEN48" s="287"/>
      <c r="FEO48" s="287"/>
      <c r="FEP48" s="287"/>
      <c r="FEQ48" s="287"/>
      <c r="FER48" s="287"/>
      <c r="FES48" s="287"/>
      <c r="FET48" s="287"/>
      <c r="FEU48" s="287"/>
      <c r="FEV48" s="287"/>
      <c r="FEW48" s="287"/>
      <c r="FEX48" s="287"/>
      <c r="FEY48" s="287"/>
      <c r="FEZ48" s="287"/>
      <c r="FFA48" s="287"/>
      <c r="FFB48" s="287"/>
      <c r="FFC48" s="287"/>
      <c r="FFD48" s="287"/>
      <c r="FFE48" s="287"/>
      <c r="FFF48" s="287"/>
      <c r="FFG48" s="287"/>
      <c r="FFH48" s="287"/>
      <c r="FFI48" s="287"/>
      <c r="FFJ48" s="287"/>
      <c r="FFK48" s="287"/>
      <c r="FFL48" s="287"/>
      <c r="FFM48" s="287"/>
      <c r="FFN48" s="287"/>
      <c r="FFO48" s="287"/>
      <c r="FFP48" s="287"/>
      <c r="FFQ48" s="287"/>
      <c r="FFR48" s="287"/>
      <c r="FFS48" s="287"/>
      <c r="FFT48" s="287"/>
      <c r="FFU48" s="287"/>
      <c r="FFV48" s="287"/>
      <c r="FFW48" s="287"/>
      <c r="FFX48" s="287"/>
      <c r="FFY48" s="287"/>
      <c r="FFZ48" s="287"/>
      <c r="FGA48" s="287"/>
      <c r="FGB48" s="287"/>
      <c r="FGC48" s="287"/>
      <c r="FGD48" s="287"/>
      <c r="FGE48" s="287"/>
      <c r="FGF48" s="287"/>
      <c r="FGG48" s="287"/>
      <c r="FGH48" s="287"/>
      <c r="FGI48" s="287"/>
      <c r="FGJ48" s="287"/>
      <c r="FGK48" s="287"/>
      <c r="FGL48" s="287"/>
      <c r="FGM48" s="287"/>
      <c r="FGN48" s="287"/>
      <c r="FGO48" s="287"/>
      <c r="FGP48" s="287"/>
      <c r="FGQ48" s="287"/>
      <c r="FGR48" s="287"/>
      <c r="FGS48" s="287"/>
      <c r="FGT48" s="287"/>
      <c r="FGU48" s="287"/>
      <c r="FGV48" s="287"/>
      <c r="FGW48" s="287"/>
      <c r="FGX48" s="287"/>
      <c r="FGY48" s="287"/>
      <c r="FGZ48" s="287"/>
      <c r="FHA48" s="287"/>
      <c r="FHB48" s="287"/>
      <c r="FHC48" s="287"/>
      <c r="FHD48" s="287"/>
      <c r="FHE48" s="287"/>
      <c r="FHF48" s="287"/>
      <c r="FHG48" s="287"/>
      <c r="FHH48" s="287"/>
      <c r="FHI48" s="287"/>
      <c r="FHJ48" s="287"/>
      <c r="FHK48" s="287"/>
      <c r="FHL48" s="287"/>
      <c r="FHM48" s="287"/>
      <c r="FHN48" s="287"/>
      <c r="FHO48" s="287"/>
      <c r="FHP48" s="287"/>
      <c r="FHQ48" s="287"/>
      <c r="FHR48" s="287"/>
      <c r="FHS48" s="287"/>
      <c r="FHT48" s="287"/>
      <c r="FHU48" s="287"/>
      <c r="FHV48" s="287"/>
      <c r="FHW48" s="287"/>
      <c r="FHX48" s="287"/>
      <c r="FHY48" s="287"/>
      <c r="FHZ48" s="287"/>
      <c r="FIA48" s="287"/>
      <c r="FIB48" s="287"/>
      <c r="FIC48" s="287"/>
      <c r="FID48" s="287"/>
      <c r="FIE48" s="287"/>
      <c r="FIF48" s="287"/>
      <c r="FIG48" s="287"/>
      <c r="FIH48" s="287"/>
      <c r="FII48" s="287"/>
      <c r="FIJ48" s="287"/>
      <c r="FIK48" s="287"/>
      <c r="FIL48" s="287"/>
      <c r="FIM48" s="287"/>
      <c r="FIN48" s="287"/>
      <c r="FIO48" s="287"/>
      <c r="FIP48" s="287"/>
      <c r="FIQ48" s="287"/>
      <c r="FIR48" s="287"/>
      <c r="FIS48" s="287"/>
      <c r="FIT48" s="287"/>
      <c r="FIU48" s="287"/>
      <c r="FIV48" s="287"/>
      <c r="FIW48" s="287"/>
      <c r="FIX48" s="287"/>
      <c r="FIY48" s="287"/>
      <c r="FIZ48" s="287"/>
      <c r="FJA48" s="287"/>
      <c r="FJB48" s="287"/>
      <c r="FJC48" s="287"/>
      <c r="FJD48" s="287"/>
      <c r="FJE48" s="287"/>
      <c r="FJF48" s="287"/>
      <c r="FJG48" s="287"/>
      <c r="FJH48" s="287"/>
      <c r="FJI48" s="287"/>
      <c r="FJJ48" s="287"/>
      <c r="FJK48" s="287"/>
      <c r="FJL48" s="287"/>
      <c r="FJM48" s="287"/>
      <c r="FJN48" s="287"/>
      <c r="FJO48" s="287"/>
      <c r="FJP48" s="287"/>
      <c r="FJQ48" s="287"/>
      <c r="FJR48" s="287"/>
      <c r="FJS48" s="287"/>
      <c r="FJT48" s="287"/>
      <c r="FJU48" s="287"/>
      <c r="FJV48" s="287"/>
      <c r="FJW48" s="287"/>
      <c r="FJX48" s="287"/>
      <c r="FJY48" s="287"/>
      <c r="FJZ48" s="287"/>
      <c r="FKA48" s="287"/>
      <c r="FKB48" s="287"/>
      <c r="FKC48" s="287"/>
      <c r="FKD48" s="287"/>
      <c r="FKE48" s="287"/>
      <c r="FKF48" s="287"/>
      <c r="FKG48" s="287"/>
      <c r="FKH48" s="287"/>
      <c r="FKI48" s="287"/>
      <c r="FKJ48" s="287"/>
      <c r="FKK48" s="287"/>
      <c r="FKL48" s="287"/>
      <c r="FKM48" s="287"/>
      <c r="FKN48" s="287"/>
      <c r="FKO48" s="287"/>
      <c r="FKP48" s="287"/>
      <c r="FKQ48" s="287"/>
      <c r="FKR48" s="287"/>
      <c r="FKS48" s="287"/>
      <c r="FKT48" s="287"/>
      <c r="FKU48" s="287"/>
      <c r="FKV48" s="287"/>
      <c r="FKW48" s="287"/>
      <c r="FKX48" s="287"/>
      <c r="FKY48" s="287"/>
      <c r="FKZ48" s="287"/>
      <c r="FLA48" s="287"/>
      <c r="FLB48" s="287"/>
      <c r="FLC48" s="287"/>
      <c r="FLD48" s="287"/>
      <c r="FLE48" s="287"/>
      <c r="FLF48" s="287"/>
      <c r="FLG48" s="287"/>
      <c r="FLH48" s="287"/>
      <c r="FLI48" s="287"/>
      <c r="FLJ48" s="287"/>
      <c r="FLK48" s="287"/>
      <c r="FLL48" s="287"/>
      <c r="FLM48" s="287"/>
      <c r="FLN48" s="287"/>
      <c r="FLO48" s="287"/>
      <c r="FLP48" s="287"/>
      <c r="FLQ48" s="287"/>
      <c r="FLR48" s="287"/>
      <c r="FLS48" s="287"/>
      <c r="FLT48" s="287"/>
      <c r="FLU48" s="287"/>
      <c r="FLV48" s="287"/>
      <c r="FLW48" s="287"/>
      <c r="FLX48" s="287"/>
      <c r="FLY48" s="287"/>
      <c r="FLZ48" s="287"/>
      <c r="FMA48" s="287"/>
      <c r="FMB48" s="287"/>
      <c r="FMC48" s="287"/>
      <c r="FMD48" s="287"/>
      <c r="FME48" s="287"/>
      <c r="FMF48" s="287"/>
      <c r="FMG48" s="287"/>
      <c r="FMH48" s="287"/>
      <c r="FMI48" s="287"/>
      <c r="FMJ48" s="287"/>
      <c r="FMK48" s="287"/>
      <c r="FML48" s="287"/>
      <c r="FMM48" s="287"/>
      <c r="FMN48" s="287"/>
      <c r="FMO48" s="287"/>
      <c r="FMP48" s="287"/>
      <c r="FMQ48" s="287"/>
      <c r="FMR48" s="287"/>
      <c r="FMS48" s="287"/>
      <c r="FMT48" s="287"/>
      <c r="FMU48" s="287"/>
      <c r="FMV48" s="287"/>
      <c r="FMW48" s="287"/>
      <c r="FMX48" s="287"/>
      <c r="FMY48" s="287"/>
      <c r="FMZ48" s="287"/>
      <c r="FNA48" s="287"/>
      <c r="FNB48" s="287"/>
      <c r="FNC48" s="287"/>
      <c r="FND48" s="287"/>
      <c r="FNE48" s="287"/>
      <c r="FNF48" s="287"/>
      <c r="FNG48" s="287"/>
      <c r="FNH48" s="287"/>
      <c r="FNI48" s="287"/>
      <c r="FNJ48" s="287"/>
      <c r="FNK48" s="287"/>
      <c r="FNL48" s="287"/>
      <c r="FNM48" s="287"/>
      <c r="FNN48" s="287"/>
      <c r="FNO48" s="287"/>
      <c r="FNP48" s="287"/>
      <c r="FNQ48" s="287"/>
      <c r="FNR48" s="287"/>
      <c r="FNS48" s="287"/>
      <c r="FNT48" s="287"/>
      <c r="FNU48" s="287"/>
      <c r="FNV48" s="287"/>
      <c r="FNW48" s="287"/>
      <c r="FNX48" s="287"/>
      <c r="FNY48" s="287"/>
      <c r="FNZ48" s="287"/>
      <c r="FOA48" s="287"/>
      <c r="FOB48" s="287"/>
      <c r="FOC48" s="287"/>
      <c r="FOD48" s="287"/>
      <c r="FOE48" s="287"/>
      <c r="FOF48" s="287"/>
      <c r="FOG48" s="287"/>
      <c r="FOH48" s="287"/>
      <c r="FOI48" s="287"/>
      <c r="FOJ48" s="287"/>
      <c r="FOK48" s="287"/>
      <c r="FOL48" s="287"/>
      <c r="FOM48" s="287"/>
      <c r="FON48" s="287"/>
      <c r="FOO48" s="287"/>
      <c r="FOP48" s="287"/>
      <c r="FOQ48" s="287"/>
      <c r="FOR48" s="287"/>
      <c r="FOS48" s="287"/>
      <c r="FOT48" s="287"/>
      <c r="FOU48" s="287"/>
      <c r="FOV48" s="287"/>
      <c r="FOW48" s="287"/>
      <c r="FOX48" s="287"/>
      <c r="FOY48" s="287"/>
      <c r="FOZ48" s="287"/>
      <c r="FPA48" s="287"/>
      <c r="FPB48" s="287"/>
      <c r="FPC48" s="287"/>
      <c r="FPD48" s="287"/>
      <c r="FPE48" s="287"/>
      <c r="FPF48" s="287"/>
      <c r="FPG48" s="287"/>
      <c r="FPH48" s="287"/>
      <c r="FPI48" s="287"/>
      <c r="FPJ48" s="287"/>
      <c r="FPK48" s="287"/>
      <c r="FPL48" s="287"/>
      <c r="FPM48" s="287"/>
      <c r="FPN48" s="287"/>
      <c r="FPO48" s="287"/>
      <c r="FPP48" s="287"/>
      <c r="FPQ48" s="287"/>
      <c r="FPR48" s="287"/>
      <c r="FPS48" s="287"/>
      <c r="FPT48" s="287"/>
      <c r="FPU48" s="287"/>
      <c r="FPV48" s="287"/>
      <c r="FPW48" s="287"/>
      <c r="FPX48" s="287"/>
      <c r="FPY48" s="287"/>
      <c r="FPZ48" s="287"/>
      <c r="FQA48" s="287"/>
      <c r="FQB48" s="287"/>
      <c r="FQC48" s="287"/>
      <c r="FQD48" s="287"/>
      <c r="FQE48" s="287"/>
      <c r="FQF48" s="287"/>
      <c r="FQG48" s="287"/>
      <c r="FQH48" s="287"/>
      <c r="FQI48" s="287"/>
      <c r="FQJ48" s="287"/>
      <c r="FQK48" s="287"/>
      <c r="FQL48" s="287"/>
      <c r="FQM48" s="287"/>
      <c r="FQN48" s="287"/>
      <c r="FQO48" s="287"/>
      <c r="FQP48" s="287"/>
      <c r="FQQ48" s="287"/>
      <c r="FQR48" s="287"/>
      <c r="FQS48" s="287"/>
      <c r="FQT48" s="287"/>
      <c r="FQU48" s="287"/>
      <c r="FQV48" s="287"/>
      <c r="FQW48" s="287"/>
      <c r="FQX48" s="287"/>
      <c r="FQY48" s="287"/>
      <c r="FQZ48" s="287"/>
      <c r="FRA48" s="287"/>
      <c r="FRB48" s="287"/>
      <c r="FRC48" s="287"/>
      <c r="FRD48" s="287"/>
      <c r="FRE48" s="287"/>
      <c r="FRF48" s="287"/>
      <c r="FRG48" s="287"/>
      <c r="FRH48" s="287"/>
      <c r="FRI48" s="287"/>
      <c r="FRJ48" s="287"/>
      <c r="FRK48" s="287"/>
      <c r="FRL48" s="287"/>
      <c r="FRM48" s="287"/>
      <c r="FRN48" s="287"/>
      <c r="FRO48" s="287"/>
      <c r="FRP48" s="287"/>
      <c r="FRQ48" s="287"/>
      <c r="FRR48" s="287"/>
      <c r="FRS48" s="287"/>
      <c r="FRT48" s="287"/>
      <c r="FRU48" s="287"/>
      <c r="FRV48" s="287"/>
      <c r="FRW48" s="287"/>
      <c r="FRX48" s="287"/>
      <c r="FRY48" s="287"/>
      <c r="FRZ48" s="287"/>
      <c r="FSA48" s="287"/>
      <c r="FSB48" s="287"/>
      <c r="FSC48" s="287"/>
      <c r="FSD48" s="287"/>
      <c r="FSE48" s="287"/>
      <c r="FSF48" s="287"/>
      <c r="FSG48" s="287"/>
      <c r="FSH48" s="287"/>
      <c r="FSI48" s="287"/>
      <c r="FSJ48" s="287"/>
      <c r="FSK48" s="287"/>
      <c r="FSL48" s="287"/>
      <c r="FSM48" s="287"/>
      <c r="FSN48" s="287"/>
      <c r="FSO48" s="287"/>
      <c r="FSP48" s="287"/>
      <c r="FSQ48" s="287"/>
      <c r="FSR48" s="287"/>
      <c r="FSS48" s="287"/>
      <c r="FST48" s="287"/>
      <c r="FSU48" s="287"/>
      <c r="FSV48" s="287"/>
      <c r="FSW48" s="287"/>
      <c r="FSX48" s="287"/>
      <c r="FSY48" s="287"/>
      <c r="FSZ48" s="287"/>
      <c r="FTA48" s="287"/>
      <c r="FTB48" s="287"/>
      <c r="FTC48" s="287"/>
      <c r="FTD48" s="287"/>
      <c r="FTE48" s="287"/>
      <c r="FTF48" s="287"/>
      <c r="FTG48" s="287"/>
      <c r="FTH48" s="287"/>
      <c r="FTI48" s="287"/>
      <c r="FTJ48" s="287"/>
      <c r="FTK48" s="287"/>
      <c r="FTL48" s="287"/>
      <c r="FTM48" s="287"/>
      <c r="FTN48" s="287"/>
      <c r="FTO48" s="287"/>
      <c r="FTP48" s="287"/>
      <c r="FTQ48" s="287"/>
      <c r="FTR48" s="287"/>
      <c r="FTS48" s="287"/>
      <c r="FTT48" s="287"/>
      <c r="FTU48" s="287"/>
      <c r="FTV48" s="287"/>
      <c r="FTW48" s="287"/>
      <c r="FTX48" s="287"/>
      <c r="FTY48" s="287"/>
      <c r="FTZ48" s="287"/>
      <c r="FUA48" s="287"/>
      <c r="FUB48" s="287"/>
      <c r="FUC48" s="287"/>
      <c r="FUD48" s="287"/>
      <c r="FUE48" s="287"/>
      <c r="FUF48" s="287"/>
      <c r="FUG48" s="287"/>
      <c r="FUH48" s="287"/>
      <c r="FUI48" s="287"/>
      <c r="FUJ48" s="287"/>
      <c r="FUK48" s="287"/>
      <c r="FUL48" s="287"/>
      <c r="FUM48" s="287"/>
      <c r="FUN48" s="287"/>
      <c r="FUO48" s="287"/>
      <c r="FUP48" s="287"/>
      <c r="FUQ48" s="287"/>
      <c r="FUR48" s="287"/>
      <c r="FUS48" s="287"/>
      <c r="FUT48" s="287"/>
      <c r="FUU48" s="287"/>
      <c r="FUV48" s="287"/>
      <c r="FUW48" s="287"/>
      <c r="FUX48" s="287"/>
      <c r="FUY48" s="287"/>
      <c r="FUZ48" s="287"/>
      <c r="FVA48" s="287"/>
      <c r="FVB48" s="287"/>
      <c r="FVC48" s="287"/>
      <c r="FVD48" s="287"/>
      <c r="FVE48" s="287"/>
      <c r="FVF48" s="287"/>
      <c r="FVG48" s="287"/>
      <c r="FVH48" s="287"/>
      <c r="FVI48" s="287"/>
      <c r="FVJ48" s="287"/>
      <c r="FVK48" s="287"/>
      <c r="FVL48" s="287"/>
      <c r="FVM48" s="287"/>
      <c r="FVN48" s="287"/>
      <c r="FVO48" s="287"/>
      <c r="FVP48" s="287"/>
      <c r="FVQ48" s="287"/>
      <c r="FVR48" s="287"/>
      <c r="FVS48" s="287"/>
      <c r="FVT48" s="287"/>
      <c r="FVU48" s="287"/>
      <c r="FVV48" s="287"/>
      <c r="FVW48" s="287"/>
      <c r="FVX48" s="287"/>
      <c r="FVY48" s="287"/>
      <c r="FVZ48" s="287"/>
      <c r="FWA48" s="287"/>
      <c r="FWB48" s="287"/>
      <c r="FWC48" s="287"/>
      <c r="FWD48" s="287"/>
      <c r="FWE48" s="287"/>
      <c r="FWF48" s="287"/>
      <c r="FWG48" s="287"/>
      <c r="FWH48" s="287"/>
      <c r="FWI48" s="287"/>
      <c r="FWJ48" s="287"/>
      <c r="FWK48" s="287"/>
      <c r="FWL48" s="287"/>
      <c r="FWM48" s="287"/>
      <c r="FWN48" s="287"/>
      <c r="FWO48" s="287"/>
      <c r="FWP48" s="287"/>
      <c r="FWQ48" s="287"/>
      <c r="FWR48" s="287"/>
      <c r="FWS48" s="287"/>
      <c r="FWT48" s="287"/>
      <c r="FWU48" s="287"/>
      <c r="FWV48" s="287"/>
      <c r="FWW48" s="287"/>
      <c r="FWX48" s="287"/>
      <c r="FWY48" s="287"/>
      <c r="FWZ48" s="287"/>
      <c r="FXA48" s="287"/>
      <c r="FXB48" s="287"/>
      <c r="FXC48" s="287"/>
      <c r="FXD48" s="287"/>
      <c r="FXE48" s="287"/>
      <c r="FXF48" s="287"/>
      <c r="FXG48" s="287"/>
      <c r="FXH48" s="287"/>
      <c r="FXI48" s="287"/>
      <c r="FXJ48" s="287"/>
      <c r="FXK48" s="287"/>
      <c r="FXL48" s="287"/>
      <c r="FXM48" s="287"/>
      <c r="FXN48" s="287"/>
      <c r="FXO48" s="287"/>
      <c r="FXP48" s="287"/>
      <c r="FXQ48" s="287"/>
      <c r="FXR48" s="287"/>
      <c r="FXS48" s="287"/>
      <c r="FXT48" s="287"/>
      <c r="FXU48" s="287"/>
      <c r="FXV48" s="287"/>
      <c r="FXW48" s="287"/>
      <c r="FXX48" s="287"/>
      <c r="FXY48" s="287"/>
      <c r="FXZ48" s="287"/>
      <c r="FYA48" s="287"/>
      <c r="FYB48" s="287"/>
      <c r="FYC48" s="287"/>
      <c r="FYD48" s="287"/>
      <c r="FYE48" s="287"/>
      <c r="FYF48" s="287"/>
      <c r="FYG48" s="287"/>
      <c r="FYH48" s="287"/>
      <c r="FYI48" s="287"/>
      <c r="FYJ48" s="287"/>
      <c r="FYK48" s="287"/>
      <c r="FYL48" s="287"/>
      <c r="FYM48" s="287"/>
      <c r="FYN48" s="287"/>
      <c r="FYO48" s="287"/>
      <c r="FYP48" s="287"/>
      <c r="FYQ48" s="287"/>
      <c r="FYR48" s="287"/>
      <c r="FYS48" s="287"/>
      <c r="FYT48" s="287"/>
      <c r="FYU48" s="287"/>
      <c r="FYV48" s="287"/>
      <c r="FYW48" s="287"/>
      <c r="FYX48" s="287"/>
      <c r="FYY48" s="287"/>
      <c r="FYZ48" s="287"/>
      <c r="FZA48" s="287"/>
      <c r="FZB48" s="287"/>
      <c r="FZC48" s="287"/>
      <c r="FZD48" s="287"/>
      <c r="FZE48" s="287"/>
      <c r="FZF48" s="287"/>
      <c r="FZG48" s="287"/>
      <c r="FZH48" s="287"/>
      <c r="FZI48" s="287"/>
      <c r="FZJ48" s="287"/>
      <c r="FZK48" s="287"/>
      <c r="FZL48" s="287"/>
      <c r="FZM48" s="287"/>
      <c r="FZN48" s="287"/>
      <c r="FZO48" s="287"/>
      <c r="FZP48" s="287"/>
      <c r="FZQ48" s="287"/>
      <c r="FZR48" s="287"/>
      <c r="FZS48" s="287"/>
      <c r="FZT48" s="287"/>
      <c r="FZU48" s="287"/>
      <c r="FZV48" s="287"/>
      <c r="FZW48" s="287"/>
      <c r="FZX48" s="287"/>
      <c r="FZY48" s="287"/>
      <c r="FZZ48" s="287"/>
      <c r="GAA48" s="287"/>
      <c r="GAB48" s="287"/>
      <c r="GAC48" s="287"/>
      <c r="GAD48" s="287"/>
      <c r="GAE48" s="287"/>
      <c r="GAF48" s="287"/>
      <c r="GAG48" s="287"/>
      <c r="GAH48" s="287"/>
      <c r="GAI48" s="287"/>
      <c r="GAJ48" s="287"/>
      <c r="GAK48" s="287"/>
      <c r="GAL48" s="287"/>
      <c r="GAM48" s="287"/>
      <c r="GAN48" s="287"/>
      <c r="GAO48" s="287"/>
      <c r="GAP48" s="287"/>
      <c r="GAQ48" s="287"/>
      <c r="GAR48" s="287"/>
      <c r="GAS48" s="287"/>
      <c r="GAT48" s="287"/>
      <c r="GAU48" s="287"/>
      <c r="GAV48" s="287"/>
      <c r="GAW48" s="287"/>
      <c r="GAX48" s="287"/>
      <c r="GAY48" s="287"/>
      <c r="GAZ48" s="287"/>
      <c r="GBA48" s="287"/>
      <c r="GBB48" s="287"/>
      <c r="GBC48" s="287"/>
      <c r="GBD48" s="287"/>
      <c r="GBE48" s="287"/>
      <c r="GBF48" s="287"/>
      <c r="GBG48" s="287"/>
      <c r="GBH48" s="287"/>
      <c r="GBI48" s="287"/>
      <c r="GBJ48" s="287"/>
      <c r="GBK48" s="287"/>
      <c r="GBL48" s="287"/>
      <c r="GBM48" s="287"/>
      <c r="GBN48" s="287"/>
      <c r="GBO48" s="287"/>
      <c r="GBP48" s="287"/>
      <c r="GBQ48" s="287"/>
      <c r="GBR48" s="287"/>
      <c r="GBS48" s="287"/>
      <c r="GBT48" s="287"/>
      <c r="GBU48" s="287"/>
      <c r="GBV48" s="287"/>
      <c r="GBW48" s="287"/>
      <c r="GBX48" s="287"/>
      <c r="GBY48" s="287"/>
      <c r="GBZ48" s="287"/>
      <c r="GCA48" s="287"/>
      <c r="GCB48" s="287"/>
      <c r="GCC48" s="287"/>
      <c r="GCD48" s="287"/>
      <c r="GCE48" s="287"/>
      <c r="GCF48" s="287"/>
      <c r="GCG48" s="287"/>
      <c r="GCH48" s="287"/>
      <c r="GCI48" s="287"/>
      <c r="GCJ48" s="287"/>
      <c r="GCK48" s="287"/>
      <c r="GCL48" s="287"/>
      <c r="GCM48" s="287"/>
      <c r="GCN48" s="287"/>
      <c r="GCO48" s="287"/>
      <c r="GCP48" s="287"/>
      <c r="GCQ48" s="287"/>
      <c r="GCR48" s="287"/>
      <c r="GCS48" s="287"/>
      <c r="GCT48" s="287"/>
      <c r="GCU48" s="287"/>
      <c r="GCV48" s="287"/>
      <c r="GCW48" s="287"/>
      <c r="GCX48" s="287"/>
      <c r="GCY48" s="287"/>
      <c r="GCZ48" s="287"/>
      <c r="GDA48" s="287"/>
      <c r="GDB48" s="287"/>
      <c r="GDC48" s="287"/>
      <c r="GDD48" s="287"/>
      <c r="GDE48" s="287"/>
      <c r="GDF48" s="287"/>
      <c r="GDG48" s="287"/>
      <c r="GDH48" s="287"/>
      <c r="GDI48" s="287"/>
      <c r="GDJ48" s="287"/>
      <c r="GDK48" s="287"/>
      <c r="GDL48" s="287"/>
      <c r="GDM48" s="287"/>
      <c r="GDN48" s="287"/>
      <c r="GDO48" s="287"/>
      <c r="GDP48" s="287"/>
      <c r="GDQ48" s="287"/>
      <c r="GDR48" s="287"/>
      <c r="GDS48" s="287"/>
      <c r="GDT48" s="287"/>
      <c r="GDU48" s="287"/>
      <c r="GDV48" s="287"/>
      <c r="GDW48" s="287"/>
      <c r="GDX48" s="287"/>
      <c r="GDY48" s="287"/>
      <c r="GDZ48" s="287"/>
      <c r="GEA48" s="287"/>
      <c r="GEB48" s="287"/>
      <c r="GEC48" s="287"/>
      <c r="GED48" s="287"/>
      <c r="GEE48" s="287"/>
      <c r="GEF48" s="287"/>
      <c r="GEG48" s="287"/>
      <c r="GEH48" s="287"/>
      <c r="GEI48" s="287"/>
      <c r="GEJ48" s="287"/>
      <c r="GEK48" s="287"/>
      <c r="GEL48" s="287"/>
      <c r="GEM48" s="287"/>
      <c r="GEN48" s="287"/>
      <c r="GEO48" s="287"/>
      <c r="GEP48" s="287"/>
      <c r="GEQ48" s="287"/>
      <c r="GER48" s="287"/>
      <c r="GES48" s="287"/>
      <c r="GET48" s="287"/>
      <c r="GEU48" s="287"/>
      <c r="GEV48" s="287"/>
      <c r="GEW48" s="287"/>
      <c r="GEX48" s="287"/>
      <c r="GEY48" s="287"/>
      <c r="GEZ48" s="287"/>
      <c r="GFA48" s="287"/>
      <c r="GFB48" s="287"/>
      <c r="GFC48" s="287"/>
      <c r="GFD48" s="287"/>
      <c r="GFE48" s="287"/>
      <c r="GFF48" s="287"/>
      <c r="GFG48" s="287"/>
      <c r="GFH48" s="287"/>
      <c r="GFI48" s="287"/>
      <c r="GFJ48" s="287"/>
      <c r="GFK48" s="287"/>
      <c r="GFL48" s="287"/>
      <c r="GFM48" s="287"/>
      <c r="GFN48" s="287"/>
      <c r="GFO48" s="287"/>
      <c r="GFP48" s="287"/>
      <c r="GFQ48" s="287"/>
      <c r="GFR48" s="287"/>
      <c r="GFS48" s="287"/>
      <c r="GFT48" s="287"/>
      <c r="GFU48" s="287"/>
      <c r="GFV48" s="287"/>
      <c r="GFW48" s="287"/>
      <c r="GFX48" s="287"/>
      <c r="GFY48" s="287"/>
      <c r="GFZ48" s="287"/>
      <c r="GGA48" s="287"/>
      <c r="GGB48" s="287"/>
      <c r="GGC48" s="287"/>
      <c r="GGD48" s="287"/>
      <c r="GGE48" s="287"/>
      <c r="GGF48" s="287"/>
      <c r="GGG48" s="287"/>
      <c r="GGH48" s="287"/>
      <c r="GGI48" s="287"/>
      <c r="GGJ48" s="287"/>
      <c r="GGK48" s="287"/>
      <c r="GGL48" s="287"/>
      <c r="GGM48" s="287"/>
      <c r="GGN48" s="287"/>
      <c r="GGO48" s="287"/>
      <c r="GGP48" s="287"/>
      <c r="GGQ48" s="287"/>
      <c r="GGR48" s="287"/>
      <c r="GGS48" s="287"/>
      <c r="GGT48" s="287"/>
      <c r="GGU48" s="287"/>
      <c r="GGV48" s="287"/>
      <c r="GGW48" s="287"/>
      <c r="GGX48" s="287"/>
      <c r="GGY48" s="287"/>
      <c r="GGZ48" s="287"/>
      <c r="GHA48" s="287"/>
      <c r="GHB48" s="287"/>
      <c r="GHC48" s="287"/>
      <c r="GHD48" s="287"/>
      <c r="GHE48" s="287"/>
      <c r="GHF48" s="287"/>
      <c r="GHG48" s="287"/>
      <c r="GHH48" s="287"/>
      <c r="GHI48" s="287"/>
      <c r="GHJ48" s="287"/>
      <c r="GHK48" s="287"/>
      <c r="GHL48" s="287"/>
      <c r="GHM48" s="287"/>
      <c r="GHN48" s="287"/>
      <c r="GHO48" s="287"/>
      <c r="GHP48" s="287"/>
      <c r="GHQ48" s="287"/>
      <c r="GHR48" s="287"/>
      <c r="GHS48" s="287"/>
      <c r="GHT48" s="287"/>
      <c r="GHU48" s="287"/>
      <c r="GHV48" s="287"/>
      <c r="GHW48" s="287"/>
      <c r="GHX48" s="287"/>
      <c r="GHY48" s="287"/>
      <c r="GHZ48" s="287"/>
      <c r="GIA48" s="287"/>
      <c r="GIB48" s="287"/>
      <c r="GIC48" s="287"/>
      <c r="GID48" s="287"/>
      <c r="GIE48" s="287"/>
      <c r="GIF48" s="287"/>
      <c r="GIG48" s="287"/>
      <c r="GIH48" s="287"/>
      <c r="GII48" s="287"/>
      <c r="GIJ48" s="287"/>
      <c r="GIK48" s="287"/>
      <c r="GIL48" s="287"/>
      <c r="GIM48" s="287"/>
      <c r="GIN48" s="287"/>
      <c r="GIO48" s="287"/>
      <c r="GIP48" s="287"/>
      <c r="GIQ48" s="287"/>
      <c r="GIR48" s="287"/>
      <c r="GIS48" s="287"/>
      <c r="GIT48" s="287"/>
      <c r="GIU48" s="287"/>
      <c r="GIV48" s="287"/>
      <c r="GIW48" s="287"/>
      <c r="GIX48" s="287"/>
      <c r="GIY48" s="287"/>
      <c r="GIZ48" s="287"/>
      <c r="GJA48" s="287"/>
      <c r="GJB48" s="287"/>
      <c r="GJC48" s="287"/>
      <c r="GJD48" s="287"/>
      <c r="GJE48" s="287"/>
      <c r="GJF48" s="287"/>
      <c r="GJG48" s="287"/>
      <c r="GJH48" s="287"/>
      <c r="GJI48" s="287"/>
      <c r="GJJ48" s="287"/>
      <c r="GJK48" s="287"/>
      <c r="GJL48" s="287"/>
      <c r="GJM48" s="287"/>
      <c r="GJN48" s="287"/>
      <c r="GJO48" s="287"/>
      <c r="GJP48" s="287"/>
      <c r="GJQ48" s="287"/>
      <c r="GJR48" s="287"/>
      <c r="GJS48" s="287"/>
      <c r="GJT48" s="287"/>
      <c r="GJU48" s="287"/>
      <c r="GJV48" s="287"/>
      <c r="GJW48" s="287"/>
      <c r="GJX48" s="287"/>
      <c r="GJY48" s="287"/>
      <c r="GJZ48" s="287"/>
      <c r="GKA48" s="287"/>
      <c r="GKB48" s="287"/>
      <c r="GKC48" s="287"/>
      <c r="GKD48" s="287"/>
      <c r="GKE48" s="287"/>
      <c r="GKF48" s="287"/>
      <c r="GKG48" s="287"/>
      <c r="GKH48" s="287"/>
      <c r="GKI48" s="287"/>
      <c r="GKJ48" s="287"/>
      <c r="GKK48" s="287"/>
      <c r="GKL48" s="287"/>
      <c r="GKM48" s="287"/>
      <c r="GKN48" s="287"/>
      <c r="GKO48" s="287"/>
      <c r="GKP48" s="287"/>
      <c r="GKQ48" s="287"/>
      <c r="GKR48" s="287"/>
      <c r="GKS48" s="287"/>
      <c r="GKT48" s="287"/>
      <c r="GKU48" s="287"/>
      <c r="GKV48" s="287"/>
      <c r="GKW48" s="287"/>
      <c r="GKX48" s="287"/>
      <c r="GKY48" s="287"/>
      <c r="GKZ48" s="287"/>
      <c r="GLA48" s="287"/>
      <c r="GLB48" s="287"/>
      <c r="GLC48" s="287"/>
      <c r="GLD48" s="287"/>
      <c r="GLE48" s="287"/>
      <c r="GLF48" s="287"/>
      <c r="GLG48" s="287"/>
      <c r="GLH48" s="287"/>
      <c r="GLI48" s="287"/>
      <c r="GLJ48" s="287"/>
      <c r="GLK48" s="287"/>
      <c r="GLL48" s="287"/>
      <c r="GLM48" s="287"/>
      <c r="GLN48" s="287"/>
      <c r="GLO48" s="287"/>
      <c r="GLP48" s="287"/>
      <c r="GLQ48" s="287"/>
      <c r="GLR48" s="287"/>
      <c r="GLS48" s="287"/>
      <c r="GLT48" s="287"/>
      <c r="GLU48" s="287"/>
      <c r="GLV48" s="287"/>
      <c r="GLW48" s="287"/>
      <c r="GLX48" s="287"/>
      <c r="GLY48" s="287"/>
      <c r="GLZ48" s="287"/>
      <c r="GMA48" s="287"/>
      <c r="GMB48" s="287"/>
      <c r="GMC48" s="287"/>
      <c r="GMD48" s="287"/>
      <c r="GME48" s="287"/>
      <c r="GMF48" s="287"/>
      <c r="GMG48" s="287"/>
      <c r="GMH48" s="287"/>
      <c r="GMI48" s="287"/>
      <c r="GMJ48" s="287"/>
      <c r="GMK48" s="287"/>
      <c r="GML48" s="287"/>
      <c r="GMM48" s="287"/>
      <c r="GMN48" s="287"/>
      <c r="GMO48" s="287"/>
      <c r="GMP48" s="287"/>
      <c r="GMQ48" s="287"/>
      <c r="GMR48" s="287"/>
      <c r="GMS48" s="287"/>
      <c r="GMT48" s="287"/>
      <c r="GMU48" s="287"/>
      <c r="GMV48" s="287"/>
      <c r="GMW48" s="287"/>
      <c r="GMX48" s="287"/>
      <c r="GMY48" s="287"/>
      <c r="GMZ48" s="287"/>
      <c r="GNA48" s="287"/>
      <c r="GNB48" s="287"/>
      <c r="GNC48" s="287"/>
      <c r="GND48" s="287"/>
      <c r="GNE48" s="287"/>
      <c r="GNF48" s="287"/>
      <c r="GNG48" s="287"/>
      <c r="GNH48" s="287"/>
      <c r="GNI48" s="287"/>
      <c r="GNJ48" s="287"/>
      <c r="GNK48" s="287"/>
      <c r="GNL48" s="287"/>
      <c r="GNM48" s="287"/>
      <c r="GNN48" s="287"/>
      <c r="GNO48" s="287"/>
      <c r="GNP48" s="287"/>
      <c r="GNQ48" s="287"/>
      <c r="GNR48" s="287"/>
      <c r="GNS48" s="287"/>
      <c r="GNT48" s="287"/>
      <c r="GNU48" s="287"/>
      <c r="GNV48" s="287"/>
      <c r="GNW48" s="287"/>
      <c r="GNX48" s="287"/>
      <c r="GNY48" s="287"/>
      <c r="GNZ48" s="287"/>
      <c r="GOA48" s="287"/>
      <c r="GOB48" s="287"/>
      <c r="GOC48" s="287"/>
      <c r="GOD48" s="287"/>
      <c r="GOE48" s="287"/>
      <c r="GOF48" s="287"/>
      <c r="GOG48" s="287"/>
      <c r="GOH48" s="287"/>
      <c r="GOI48" s="287"/>
      <c r="GOJ48" s="287"/>
      <c r="GOK48" s="287"/>
      <c r="GOL48" s="287"/>
      <c r="GOM48" s="287"/>
      <c r="GON48" s="287"/>
      <c r="GOO48" s="287"/>
      <c r="GOP48" s="287"/>
      <c r="GOQ48" s="287"/>
      <c r="GOR48" s="287"/>
      <c r="GOS48" s="287"/>
      <c r="GOT48" s="287"/>
      <c r="GOU48" s="287"/>
      <c r="GOV48" s="287"/>
      <c r="GOW48" s="287"/>
      <c r="GOX48" s="287"/>
      <c r="GOY48" s="287"/>
      <c r="GOZ48" s="287"/>
      <c r="GPA48" s="287"/>
      <c r="GPB48" s="287"/>
      <c r="GPC48" s="287"/>
      <c r="GPD48" s="287"/>
      <c r="GPE48" s="287"/>
      <c r="GPF48" s="287"/>
      <c r="GPG48" s="287"/>
      <c r="GPH48" s="287"/>
      <c r="GPI48" s="287"/>
      <c r="GPJ48" s="287"/>
      <c r="GPK48" s="287"/>
      <c r="GPL48" s="287"/>
      <c r="GPM48" s="287"/>
      <c r="GPN48" s="287"/>
      <c r="GPO48" s="287"/>
      <c r="GPP48" s="287"/>
      <c r="GPQ48" s="287"/>
      <c r="GPR48" s="287"/>
      <c r="GPS48" s="287"/>
      <c r="GPT48" s="287"/>
      <c r="GPU48" s="287"/>
      <c r="GPV48" s="287"/>
      <c r="GPW48" s="287"/>
      <c r="GPX48" s="287"/>
      <c r="GPY48" s="287"/>
      <c r="GPZ48" s="287"/>
      <c r="GQA48" s="287"/>
      <c r="GQB48" s="287"/>
      <c r="GQC48" s="287"/>
      <c r="GQD48" s="287"/>
      <c r="GQE48" s="287"/>
      <c r="GQF48" s="287"/>
      <c r="GQG48" s="287"/>
      <c r="GQH48" s="287"/>
      <c r="GQI48" s="287"/>
      <c r="GQJ48" s="287"/>
      <c r="GQK48" s="287"/>
      <c r="GQL48" s="287"/>
      <c r="GQM48" s="287"/>
      <c r="GQN48" s="287"/>
      <c r="GQO48" s="287"/>
      <c r="GQP48" s="287"/>
      <c r="GQQ48" s="287"/>
      <c r="GQR48" s="287"/>
      <c r="GQS48" s="287"/>
      <c r="GQT48" s="287"/>
      <c r="GQU48" s="287"/>
      <c r="GQV48" s="287"/>
      <c r="GQW48" s="287"/>
      <c r="GQX48" s="287"/>
      <c r="GQY48" s="287"/>
      <c r="GQZ48" s="287"/>
      <c r="GRA48" s="287"/>
      <c r="GRB48" s="287"/>
      <c r="GRC48" s="287"/>
      <c r="GRD48" s="287"/>
      <c r="GRE48" s="287"/>
      <c r="GRF48" s="287"/>
      <c r="GRG48" s="287"/>
      <c r="GRH48" s="287"/>
      <c r="GRI48" s="287"/>
      <c r="GRJ48" s="287"/>
      <c r="GRK48" s="287"/>
      <c r="GRL48" s="287"/>
      <c r="GRM48" s="287"/>
      <c r="GRN48" s="287"/>
      <c r="GRO48" s="287"/>
      <c r="GRP48" s="287"/>
      <c r="GRQ48" s="287"/>
      <c r="GRR48" s="287"/>
      <c r="GRS48" s="287"/>
      <c r="GRT48" s="287"/>
      <c r="GRU48" s="287"/>
      <c r="GRV48" s="287"/>
      <c r="GRW48" s="287"/>
      <c r="GRX48" s="287"/>
      <c r="GRY48" s="287"/>
      <c r="GRZ48" s="287"/>
      <c r="GSA48" s="287"/>
      <c r="GSB48" s="287"/>
      <c r="GSC48" s="287"/>
      <c r="GSD48" s="287"/>
      <c r="GSE48" s="287"/>
      <c r="GSF48" s="287"/>
      <c r="GSG48" s="287"/>
      <c r="GSH48" s="287"/>
      <c r="GSI48" s="287"/>
      <c r="GSJ48" s="287"/>
      <c r="GSK48" s="287"/>
      <c r="GSL48" s="287"/>
      <c r="GSM48" s="287"/>
      <c r="GSN48" s="287"/>
      <c r="GSO48" s="287"/>
      <c r="GSP48" s="287"/>
      <c r="GSQ48" s="287"/>
      <c r="GSR48" s="287"/>
      <c r="GSS48" s="287"/>
      <c r="GST48" s="287"/>
      <c r="GSU48" s="287"/>
      <c r="GSV48" s="287"/>
      <c r="GSW48" s="287"/>
      <c r="GSX48" s="287"/>
      <c r="GSY48" s="287"/>
      <c r="GSZ48" s="287"/>
      <c r="GTA48" s="287"/>
      <c r="GTB48" s="287"/>
      <c r="GTC48" s="287"/>
      <c r="GTD48" s="287"/>
      <c r="GTE48" s="287"/>
      <c r="GTF48" s="287"/>
      <c r="GTG48" s="287"/>
      <c r="GTH48" s="287"/>
      <c r="GTI48" s="287"/>
      <c r="GTJ48" s="287"/>
      <c r="GTK48" s="287"/>
      <c r="GTL48" s="287"/>
      <c r="GTM48" s="287"/>
      <c r="GTN48" s="287"/>
      <c r="GTO48" s="287"/>
      <c r="GTP48" s="287"/>
      <c r="GTQ48" s="287"/>
      <c r="GTR48" s="287"/>
      <c r="GTS48" s="287"/>
      <c r="GTT48" s="287"/>
      <c r="GTU48" s="287"/>
      <c r="GTV48" s="287"/>
      <c r="GTW48" s="287"/>
      <c r="GTX48" s="287"/>
      <c r="GTY48" s="287"/>
      <c r="GTZ48" s="287"/>
      <c r="GUA48" s="287"/>
      <c r="GUB48" s="287"/>
      <c r="GUC48" s="287"/>
      <c r="GUD48" s="287"/>
      <c r="GUE48" s="287"/>
      <c r="GUF48" s="287"/>
      <c r="GUG48" s="287"/>
      <c r="GUH48" s="287"/>
      <c r="GUI48" s="287"/>
      <c r="GUJ48" s="287"/>
      <c r="GUK48" s="287"/>
      <c r="GUL48" s="287"/>
      <c r="GUM48" s="287"/>
      <c r="GUN48" s="287"/>
      <c r="GUO48" s="287"/>
      <c r="GUP48" s="287"/>
      <c r="GUQ48" s="287"/>
      <c r="GUR48" s="287"/>
      <c r="GUS48" s="287"/>
      <c r="GUT48" s="287"/>
      <c r="GUU48" s="287"/>
      <c r="GUV48" s="287"/>
      <c r="GUW48" s="287"/>
      <c r="GUX48" s="287"/>
      <c r="GUY48" s="287"/>
      <c r="GUZ48" s="287"/>
      <c r="GVA48" s="287"/>
      <c r="GVB48" s="287"/>
      <c r="GVC48" s="287"/>
      <c r="GVD48" s="287"/>
      <c r="GVE48" s="287"/>
      <c r="GVF48" s="287"/>
      <c r="GVG48" s="287"/>
      <c r="GVH48" s="287"/>
      <c r="GVI48" s="287"/>
      <c r="GVJ48" s="287"/>
      <c r="GVK48" s="287"/>
      <c r="GVL48" s="287"/>
      <c r="GVM48" s="287"/>
      <c r="GVN48" s="287"/>
      <c r="GVO48" s="287"/>
      <c r="GVP48" s="287"/>
      <c r="GVQ48" s="287"/>
      <c r="GVR48" s="287"/>
      <c r="GVS48" s="287"/>
      <c r="GVT48" s="287"/>
      <c r="GVU48" s="287"/>
      <c r="GVV48" s="287"/>
      <c r="GVW48" s="287"/>
      <c r="GVX48" s="287"/>
      <c r="GVY48" s="287"/>
      <c r="GVZ48" s="287"/>
      <c r="GWA48" s="287"/>
      <c r="GWB48" s="287"/>
      <c r="GWC48" s="287"/>
      <c r="GWD48" s="287"/>
      <c r="GWE48" s="287"/>
      <c r="GWF48" s="287"/>
      <c r="GWG48" s="287"/>
      <c r="GWH48" s="287"/>
      <c r="GWI48" s="287"/>
      <c r="GWJ48" s="287"/>
      <c r="GWK48" s="287"/>
      <c r="GWL48" s="287"/>
      <c r="GWM48" s="287"/>
      <c r="GWN48" s="287"/>
      <c r="GWO48" s="287"/>
      <c r="GWP48" s="287"/>
      <c r="GWQ48" s="287"/>
      <c r="GWR48" s="287"/>
      <c r="GWS48" s="287"/>
      <c r="GWT48" s="287"/>
      <c r="GWU48" s="287"/>
      <c r="GWV48" s="287"/>
      <c r="GWW48" s="287"/>
      <c r="GWX48" s="287"/>
      <c r="GWY48" s="287"/>
      <c r="GWZ48" s="287"/>
      <c r="GXA48" s="287"/>
      <c r="GXB48" s="287"/>
      <c r="GXC48" s="287"/>
      <c r="GXD48" s="287"/>
      <c r="GXE48" s="287"/>
      <c r="GXF48" s="287"/>
      <c r="GXG48" s="287"/>
      <c r="GXH48" s="287"/>
      <c r="GXI48" s="287"/>
      <c r="GXJ48" s="287"/>
      <c r="GXK48" s="287"/>
      <c r="GXL48" s="287"/>
      <c r="GXM48" s="287"/>
      <c r="GXN48" s="287"/>
      <c r="GXO48" s="287"/>
      <c r="GXP48" s="287"/>
      <c r="GXQ48" s="287"/>
      <c r="GXR48" s="287"/>
      <c r="GXS48" s="287"/>
      <c r="GXT48" s="287"/>
      <c r="GXU48" s="287"/>
      <c r="GXV48" s="287"/>
      <c r="GXW48" s="287"/>
      <c r="GXX48" s="287"/>
      <c r="GXY48" s="287"/>
      <c r="GXZ48" s="287"/>
      <c r="GYA48" s="287"/>
      <c r="GYB48" s="287"/>
      <c r="GYC48" s="287"/>
      <c r="GYD48" s="287"/>
      <c r="GYE48" s="287"/>
      <c r="GYF48" s="287"/>
      <c r="GYG48" s="287"/>
      <c r="GYH48" s="287"/>
      <c r="GYI48" s="287"/>
      <c r="GYJ48" s="287"/>
      <c r="GYK48" s="287"/>
      <c r="GYL48" s="287"/>
      <c r="GYM48" s="287"/>
      <c r="GYN48" s="287"/>
      <c r="GYO48" s="287"/>
      <c r="GYP48" s="287"/>
      <c r="GYQ48" s="287"/>
      <c r="GYR48" s="287"/>
      <c r="GYS48" s="287"/>
      <c r="GYT48" s="287"/>
      <c r="GYU48" s="287"/>
      <c r="GYV48" s="287"/>
      <c r="GYW48" s="287"/>
      <c r="GYX48" s="287"/>
      <c r="GYY48" s="287"/>
      <c r="GYZ48" s="287"/>
      <c r="GZA48" s="287"/>
      <c r="GZB48" s="287"/>
      <c r="GZC48" s="287"/>
      <c r="GZD48" s="287"/>
      <c r="GZE48" s="287"/>
      <c r="GZF48" s="287"/>
      <c r="GZG48" s="287"/>
      <c r="GZH48" s="287"/>
      <c r="GZI48" s="287"/>
      <c r="GZJ48" s="287"/>
      <c r="GZK48" s="287"/>
      <c r="GZL48" s="287"/>
      <c r="GZM48" s="287"/>
      <c r="GZN48" s="287"/>
      <c r="GZO48" s="287"/>
      <c r="GZP48" s="287"/>
      <c r="GZQ48" s="287"/>
      <c r="GZR48" s="287"/>
      <c r="GZS48" s="287"/>
      <c r="GZT48" s="287"/>
      <c r="GZU48" s="287"/>
      <c r="GZV48" s="287"/>
      <c r="GZW48" s="287"/>
      <c r="GZX48" s="287"/>
      <c r="GZY48" s="287"/>
      <c r="GZZ48" s="287"/>
      <c r="HAA48" s="287"/>
      <c r="HAB48" s="287"/>
      <c r="HAC48" s="287"/>
      <c r="HAD48" s="287"/>
      <c r="HAE48" s="287"/>
      <c r="HAF48" s="287"/>
      <c r="HAG48" s="287"/>
      <c r="HAH48" s="287"/>
      <c r="HAI48" s="287"/>
      <c r="HAJ48" s="287"/>
      <c r="HAK48" s="287"/>
      <c r="HAL48" s="287"/>
      <c r="HAM48" s="287"/>
      <c r="HAN48" s="287"/>
      <c r="HAO48" s="287"/>
      <c r="HAP48" s="287"/>
      <c r="HAQ48" s="287"/>
      <c r="HAR48" s="287"/>
      <c r="HAS48" s="287"/>
      <c r="HAT48" s="287"/>
      <c r="HAU48" s="287"/>
      <c r="HAV48" s="287"/>
      <c r="HAW48" s="287"/>
      <c r="HAX48" s="287"/>
      <c r="HAY48" s="287"/>
      <c r="HAZ48" s="287"/>
      <c r="HBA48" s="287"/>
      <c r="HBB48" s="287"/>
      <c r="HBC48" s="287"/>
      <c r="HBD48" s="287"/>
      <c r="HBE48" s="287"/>
      <c r="HBF48" s="287"/>
      <c r="HBG48" s="287"/>
      <c r="HBH48" s="287"/>
      <c r="HBI48" s="287"/>
      <c r="HBJ48" s="287"/>
      <c r="HBK48" s="287"/>
      <c r="HBL48" s="287"/>
      <c r="HBM48" s="287"/>
      <c r="HBN48" s="287"/>
      <c r="HBO48" s="287"/>
      <c r="HBP48" s="287"/>
      <c r="HBQ48" s="287"/>
      <c r="HBR48" s="287"/>
      <c r="HBS48" s="287"/>
      <c r="HBT48" s="287"/>
      <c r="HBU48" s="287"/>
      <c r="HBV48" s="287"/>
      <c r="HBW48" s="287"/>
      <c r="HBX48" s="287"/>
      <c r="HBY48" s="287"/>
      <c r="HBZ48" s="287"/>
      <c r="HCA48" s="287"/>
      <c r="HCB48" s="287"/>
      <c r="HCC48" s="287"/>
      <c r="HCD48" s="287"/>
      <c r="HCE48" s="287"/>
      <c r="HCF48" s="287"/>
      <c r="HCG48" s="287"/>
      <c r="HCH48" s="287"/>
      <c r="HCI48" s="287"/>
      <c r="HCJ48" s="287"/>
      <c r="HCK48" s="287"/>
      <c r="HCL48" s="287"/>
      <c r="HCM48" s="287"/>
      <c r="HCN48" s="287"/>
      <c r="HCO48" s="287"/>
      <c r="HCP48" s="287"/>
      <c r="HCQ48" s="287"/>
      <c r="HCR48" s="287"/>
      <c r="HCS48" s="287"/>
      <c r="HCT48" s="287"/>
      <c r="HCU48" s="287"/>
      <c r="HCV48" s="287"/>
      <c r="HCW48" s="287"/>
      <c r="HCX48" s="287"/>
      <c r="HCY48" s="287"/>
      <c r="HCZ48" s="287"/>
      <c r="HDA48" s="287"/>
      <c r="HDB48" s="287"/>
      <c r="HDC48" s="287"/>
      <c r="HDD48" s="287"/>
      <c r="HDE48" s="287"/>
      <c r="HDF48" s="287"/>
      <c r="HDG48" s="287"/>
      <c r="HDH48" s="287"/>
      <c r="HDI48" s="287"/>
      <c r="HDJ48" s="287"/>
      <c r="HDK48" s="287"/>
      <c r="HDL48" s="287"/>
      <c r="HDM48" s="287"/>
      <c r="HDN48" s="287"/>
      <c r="HDO48" s="287"/>
      <c r="HDP48" s="287"/>
      <c r="HDQ48" s="287"/>
      <c r="HDR48" s="287"/>
      <c r="HDS48" s="287"/>
      <c r="HDT48" s="287"/>
      <c r="HDU48" s="287"/>
      <c r="HDV48" s="287"/>
      <c r="HDW48" s="287"/>
      <c r="HDX48" s="287"/>
      <c r="HDY48" s="287"/>
      <c r="HDZ48" s="287"/>
      <c r="HEA48" s="287"/>
      <c r="HEB48" s="287"/>
      <c r="HEC48" s="287"/>
      <c r="HED48" s="287"/>
      <c r="HEE48" s="287"/>
      <c r="HEF48" s="287"/>
      <c r="HEG48" s="287"/>
      <c r="HEH48" s="287"/>
      <c r="HEI48" s="287"/>
      <c r="HEJ48" s="287"/>
      <c r="HEK48" s="287"/>
      <c r="HEL48" s="287"/>
      <c r="HEM48" s="287"/>
      <c r="HEN48" s="287"/>
      <c r="HEO48" s="287"/>
      <c r="HEP48" s="287"/>
      <c r="HEQ48" s="287"/>
      <c r="HER48" s="287"/>
      <c r="HES48" s="287"/>
      <c r="HET48" s="287"/>
      <c r="HEU48" s="287"/>
      <c r="HEV48" s="287"/>
      <c r="HEW48" s="287"/>
      <c r="HEX48" s="287"/>
      <c r="HEY48" s="287"/>
      <c r="HEZ48" s="287"/>
      <c r="HFA48" s="287"/>
      <c r="HFB48" s="287"/>
      <c r="HFC48" s="287"/>
      <c r="HFD48" s="287"/>
      <c r="HFE48" s="287"/>
      <c r="HFF48" s="287"/>
      <c r="HFG48" s="287"/>
      <c r="HFH48" s="287"/>
      <c r="HFI48" s="287"/>
      <c r="HFJ48" s="287"/>
      <c r="HFK48" s="287"/>
      <c r="HFL48" s="287"/>
      <c r="HFM48" s="287"/>
      <c r="HFN48" s="287"/>
      <c r="HFO48" s="287"/>
      <c r="HFP48" s="287"/>
      <c r="HFQ48" s="287"/>
      <c r="HFR48" s="287"/>
      <c r="HFS48" s="287"/>
      <c r="HFT48" s="287"/>
      <c r="HFU48" s="287"/>
      <c r="HFV48" s="287"/>
      <c r="HFW48" s="287"/>
      <c r="HFX48" s="287"/>
      <c r="HFY48" s="287"/>
      <c r="HFZ48" s="287"/>
      <c r="HGA48" s="287"/>
      <c r="HGB48" s="287"/>
      <c r="HGC48" s="287"/>
      <c r="HGD48" s="287"/>
      <c r="HGE48" s="287"/>
      <c r="HGF48" s="287"/>
      <c r="HGG48" s="287"/>
      <c r="HGH48" s="287"/>
      <c r="HGI48" s="287"/>
      <c r="HGJ48" s="287"/>
      <c r="HGK48" s="287"/>
      <c r="HGL48" s="287"/>
      <c r="HGM48" s="287"/>
      <c r="HGN48" s="287"/>
      <c r="HGO48" s="287"/>
      <c r="HGP48" s="287"/>
      <c r="HGQ48" s="287"/>
      <c r="HGR48" s="287"/>
      <c r="HGS48" s="287"/>
      <c r="HGT48" s="287"/>
      <c r="HGU48" s="287"/>
      <c r="HGV48" s="287"/>
      <c r="HGW48" s="287"/>
      <c r="HGX48" s="287"/>
      <c r="HGY48" s="287"/>
      <c r="HGZ48" s="287"/>
      <c r="HHA48" s="287"/>
      <c r="HHB48" s="287"/>
      <c r="HHC48" s="287"/>
      <c r="HHD48" s="287"/>
      <c r="HHE48" s="287"/>
      <c r="HHF48" s="287"/>
      <c r="HHG48" s="287"/>
      <c r="HHH48" s="287"/>
      <c r="HHI48" s="287"/>
      <c r="HHJ48" s="287"/>
      <c r="HHK48" s="287"/>
      <c r="HHL48" s="287"/>
      <c r="HHM48" s="287"/>
      <c r="HHN48" s="287"/>
      <c r="HHO48" s="287"/>
      <c r="HHP48" s="287"/>
      <c r="HHQ48" s="287"/>
      <c r="HHR48" s="287"/>
      <c r="HHS48" s="287"/>
      <c r="HHT48" s="287"/>
      <c r="HHU48" s="287"/>
      <c r="HHV48" s="287"/>
      <c r="HHW48" s="287"/>
      <c r="HHX48" s="287"/>
      <c r="HHY48" s="287"/>
      <c r="HHZ48" s="287"/>
      <c r="HIA48" s="287"/>
      <c r="HIB48" s="287"/>
      <c r="HIC48" s="287"/>
      <c r="HID48" s="287"/>
      <c r="HIE48" s="287"/>
      <c r="HIF48" s="287"/>
      <c r="HIG48" s="287"/>
      <c r="HIH48" s="287"/>
      <c r="HII48" s="287"/>
      <c r="HIJ48" s="287"/>
      <c r="HIK48" s="287"/>
      <c r="HIL48" s="287"/>
      <c r="HIM48" s="287"/>
      <c r="HIN48" s="287"/>
      <c r="HIO48" s="287"/>
      <c r="HIP48" s="287"/>
      <c r="HIQ48" s="287"/>
      <c r="HIR48" s="287"/>
      <c r="HIS48" s="287"/>
      <c r="HIT48" s="287"/>
      <c r="HIU48" s="287"/>
      <c r="HIV48" s="287"/>
      <c r="HIW48" s="287"/>
      <c r="HIX48" s="287"/>
      <c r="HIY48" s="287"/>
      <c r="HIZ48" s="287"/>
      <c r="HJA48" s="287"/>
      <c r="HJB48" s="287"/>
      <c r="HJC48" s="287"/>
      <c r="HJD48" s="287"/>
      <c r="HJE48" s="287"/>
      <c r="HJF48" s="287"/>
      <c r="HJG48" s="287"/>
      <c r="HJH48" s="287"/>
      <c r="HJI48" s="287"/>
      <c r="HJJ48" s="287"/>
      <c r="HJK48" s="287"/>
      <c r="HJL48" s="287"/>
      <c r="HJM48" s="287"/>
      <c r="HJN48" s="287"/>
      <c r="HJO48" s="287"/>
      <c r="HJP48" s="287"/>
      <c r="HJQ48" s="287"/>
      <c r="HJR48" s="287"/>
      <c r="HJS48" s="287"/>
      <c r="HJT48" s="287"/>
      <c r="HJU48" s="287"/>
      <c r="HJV48" s="287"/>
      <c r="HJW48" s="287"/>
      <c r="HJX48" s="287"/>
      <c r="HJY48" s="287"/>
      <c r="HJZ48" s="287"/>
      <c r="HKA48" s="287"/>
      <c r="HKB48" s="287"/>
      <c r="HKC48" s="287"/>
      <c r="HKD48" s="287"/>
      <c r="HKE48" s="287"/>
      <c r="HKF48" s="287"/>
      <c r="HKG48" s="287"/>
      <c r="HKH48" s="287"/>
      <c r="HKI48" s="287"/>
      <c r="HKJ48" s="287"/>
      <c r="HKK48" s="287"/>
      <c r="HKL48" s="287"/>
      <c r="HKM48" s="287"/>
      <c r="HKN48" s="287"/>
      <c r="HKO48" s="287"/>
      <c r="HKP48" s="287"/>
      <c r="HKQ48" s="287"/>
      <c r="HKR48" s="287"/>
      <c r="HKS48" s="287"/>
      <c r="HKT48" s="287"/>
      <c r="HKU48" s="287"/>
      <c r="HKV48" s="287"/>
      <c r="HKW48" s="287"/>
      <c r="HKX48" s="287"/>
      <c r="HKY48" s="287"/>
      <c r="HKZ48" s="287"/>
      <c r="HLA48" s="287"/>
      <c r="HLB48" s="287"/>
      <c r="HLC48" s="287"/>
      <c r="HLD48" s="287"/>
      <c r="HLE48" s="287"/>
      <c r="HLF48" s="287"/>
      <c r="HLG48" s="287"/>
      <c r="HLH48" s="287"/>
      <c r="HLI48" s="287"/>
      <c r="HLJ48" s="287"/>
      <c r="HLK48" s="287"/>
      <c r="HLL48" s="287"/>
      <c r="HLM48" s="287"/>
      <c r="HLN48" s="287"/>
      <c r="HLO48" s="287"/>
      <c r="HLP48" s="287"/>
      <c r="HLQ48" s="287"/>
      <c r="HLR48" s="287"/>
      <c r="HLS48" s="287"/>
      <c r="HLT48" s="287"/>
      <c r="HLU48" s="287"/>
      <c r="HLV48" s="287"/>
      <c r="HLW48" s="287"/>
      <c r="HLX48" s="287"/>
      <c r="HLY48" s="287"/>
      <c r="HLZ48" s="287"/>
      <c r="HMA48" s="287"/>
      <c r="HMB48" s="287"/>
      <c r="HMC48" s="287"/>
      <c r="HMD48" s="287"/>
      <c r="HME48" s="287"/>
      <c r="HMF48" s="287"/>
      <c r="HMG48" s="287"/>
      <c r="HMH48" s="287"/>
      <c r="HMI48" s="287"/>
      <c r="HMJ48" s="287"/>
      <c r="HMK48" s="287"/>
      <c r="HML48" s="287"/>
      <c r="HMM48" s="287"/>
      <c r="HMN48" s="287"/>
      <c r="HMO48" s="287"/>
      <c r="HMP48" s="287"/>
      <c r="HMQ48" s="287"/>
      <c r="HMR48" s="287"/>
      <c r="HMS48" s="287"/>
      <c r="HMT48" s="287"/>
      <c r="HMU48" s="287"/>
      <c r="HMV48" s="287"/>
      <c r="HMW48" s="287"/>
      <c r="HMX48" s="287"/>
      <c r="HMY48" s="287"/>
      <c r="HMZ48" s="287"/>
      <c r="HNA48" s="287"/>
      <c r="HNB48" s="287"/>
      <c r="HNC48" s="287"/>
      <c r="HND48" s="287"/>
      <c r="HNE48" s="287"/>
      <c r="HNF48" s="287"/>
      <c r="HNG48" s="287"/>
      <c r="HNH48" s="287"/>
      <c r="HNI48" s="287"/>
      <c r="HNJ48" s="287"/>
      <c r="HNK48" s="287"/>
      <c r="HNL48" s="287"/>
      <c r="HNM48" s="287"/>
      <c r="HNN48" s="287"/>
      <c r="HNO48" s="287"/>
      <c r="HNP48" s="287"/>
      <c r="HNQ48" s="287"/>
      <c r="HNR48" s="287"/>
      <c r="HNS48" s="287"/>
      <c r="HNT48" s="287"/>
      <c r="HNU48" s="287"/>
      <c r="HNV48" s="287"/>
      <c r="HNW48" s="287"/>
      <c r="HNX48" s="287"/>
      <c r="HNY48" s="287"/>
      <c r="HNZ48" s="287"/>
      <c r="HOA48" s="287"/>
      <c r="HOB48" s="287"/>
      <c r="HOC48" s="287"/>
      <c r="HOD48" s="287"/>
      <c r="HOE48" s="287"/>
      <c r="HOF48" s="287"/>
      <c r="HOG48" s="287"/>
      <c r="HOH48" s="287"/>
      <c r="HOI48" s="287"/>
      <c r="HOJ48" s="287"/>
      <c r="HOK48" s="287"/>
      <c r="HOL48" s="287"/>
      <c r="HOM48" s="287"/>
      <c r="HON48" s="287"/>
      <c r="HOO48" s="287"/>
      <c r="HOP48" s="287"/>
      <c r="HOQ48" s="287"/>
      <c r="HOR48" s="287"/>
      <c r="HOS48" s="287"/>
      <c r="HOT48" s="287"/>
      <c r="HOU48" s="287"/>
      <c r="HOV48" s="287"/>
      <c r="HOW48" s="287"/>
      <c r="HOX48" s="287"/>
      <c r="HOY48" s="287"/>
      <c r="HOZ48" s="287"/>
      <c r="HPA48" s="287"/>
      <c r="HPB48" s="287"/>
      <c r="HPC48" s="287"/>
      <c r="HPD48" s="287"/>
      <c r="HPE48" s="287"/>
      <c r="HPF48" s="287"/>
      <c r="HPG48" s="287"/>
      <c r="HPH48" s="287"/>
      <c r="HPI48" s="287"/>
      <c r="HPJ48" s="287"/>
      <c r="HPK48" s="287"/>
      <c r="HPL48" s="287"/>
      <c r="HPM48" s="287"/>
      <c r="HPN48" s="287"/>
      <c r="HPO48" s="287"/>
      <c r="HPP48" s="287"/>
      <c r="HPQ48" s="287"/>
      <c r="HPR48" s="287"/>
      <c r="HPS48" s="287"/>
      <c r="HPT48" s="287"/>
      <c r="HPU48" s="287"/>
      <c r="HPV48" s="287"/>
      <c r="HPW48" s="287"/>
      <c r="HPX48" s="287"/>
      <c r="HPY48" s="287"/>
      <c r="HPZ48" s="287"/>
      <c r="HQA48" s="287"/>
      <c r="HQB48" s="287"/>
      <c r="HQC48" s="287"/>
      <c r="HQD48" s="287"/>
      <c r="HQE48" s="287"/>
      <c r="HQF48" s="287"/>
      <c r="HQG48" s="287"/>
      <c r="HQH48" s="287"/>
      <c r="HQI48" s="287"/>
      <c r="HQJ48" s="287"/>
      <c r="HQK48" s="287"/>
      <c r="HQL48" s="287"/>
      <c r="HQM48" s="287"/>
      <c r="HQN48" s="287"/>
      <c r="HQO48" s="287"/>
      <c r="HQP48" s="287"/>
      <c r="HQQ48" s="287"/>
      <c r="HQR48" s="287"/>
      <c r="HQS48" s="287"/>
      <c r="HQT48" s="287"/>
      <c r="HQU48" s="287"/>
      <c r="HQV48" s="287"/>
      <c r="HQW48" s="287"/>
      <c r="HQX48" s="287"/>
      <c r="HQY48" s="287"/>
      <c r="HQZ48" s="287"/>
      <c r="HRA48" s="287"/>
      <c r="HRB48" s="287"/>
      <c r="HRC48" s="287"/>
      <c r="HRD48" s="287"/>
      <c r="HRE48" s="287"/>
      <c r="HRF48" s="287"/>
      <c r="HRG48" s="287"/>
      <c r="HRH48" s="287"/>
      <c r="HRI48" s="287"/>
      <c r="HRJ48" s="287"/>
      <c r="HRK48" s="287"/>
      <c r="HRL48" s="287"/>
      <c r="HRM48" s="287"/>
      <c r="HRN48" s="287"/>
      <c r="HRO48" s="287"/>
      <c r="HRP48" s="287"/>
      <c r="HRQ48" s="287"/>
      <c r="HRR48" s="287"/>
      <c r="HRS48" s="287"/>
      <c r="HRT48" s="287"/>
      <c r="HRU48" s="287"/>
      <c r="HRV48" s="287"/>
      <c r="HRW48" s="287"/>
      <c r="HRX48" s="287"/>
      <c r="HRY48" s="287"/>
      <c r="HRZ48" s="287"/>
      <c r="HSA48" s="287"/>
      <c r="HSB48" s="287"/>
      <c r="HSC48" s="287"/>
      <c r="HSD48" s="287"/>
      <c r="HSE48" s="287"/>
      <c r="HSF48" s="287"/>
      <c r="HSG48" s="287"/>
      <c r="HSH48" s="287"/>
      <c r="HSI48" s="287"/>
      <c r="HSJ48" s="287"/>
      <c r="HSK48" s="287"/>
      <c r="HSL48" s="287"/>
      <c r="HSM48" s="287"/>
      <c r="HSN48" s="287"/>
      <c r="HSO48" s="287"/>
      <c r="HSP48" s="287"/>
      <c r="HSQ48" s="287"/>
      <c r="HSR48" s="287"/>
      <c r="HSS48" s="287"/>
      <c r="HST48" s="287"/>
      <c r="HSU48" s="287"/>
      <c r="HSV48" s="287"/>
      <c r="HSW48" s="287"/>
      <c r="HSX48" s="287"/>
      <c r="HSY48" s="287"/>
      <c r="HSZ48" s="287"/>
      <c r="HTA48" s="287"/>
      <c r="HTB48" s="287"/>
      <c r="HTC48" s="287"/>
      <c r="HTD48" s="287"/>
      <c r="HTE48" s="287"/>
      <c r="HTF48" s="287"/>
      <c r="HTG48" s="287"/>
      <c r="HTH48" s="287"/>
      <c r="HTI48" s="287"/>
      <c r="HTJ48" s="287"/>
      <c r="HTK48" s="287"/>
      <c r="HTL48" s="287"/>
      <c r="HTM48" s="287"/>
      <c r="HTN48" s="287"/>
      <c r="HTO48" s="287"/>
      <c r="HTP48" s="287"/>
      <c r="HTQ48" s="287"/>
      <c r="HTR48" s="287"/>
      <c r="HTS48" s="287"/>
      <c r="HTT48" s="287"/>
      <c r="HTU48" s="287"/>
      <c r="HTV48" s="287"/>
      <c r="HTW48" s="287"/>
      <c r="HTX48" s="287"/>
      <c r="HTY48" s="287"/>
      <c r="HTZ48" s="287"/>
      <c r="HUA48" s="287"/>
      <c r="HUB48" s="287"/>
      <c r="HUC48" s="287"/>
      <c r="HUD48" s="287"/>
      <c r="HUE48" s="287"/>
      <c r="HUF48" s="287"/>
      <c r="HUG48" s="287"/>
      <c r="HUH48" s="287"/>
      <c r="HUI48" s="287"/>
      <c r="HUJ48" s="287"/>
      <c r="HUK48" s="287"/>
      <c r="HUL48" s="287"/>
      <c r="HUM48" s="287"/>
      <c r="HUN48" s="287"/>
      <c r="HUO48" s="287"/>
      <c r="HUP48" s="287"/>
      <c r="HUQ48" s="287"/>
      <c r="HUR48" s="287"/>
      <c r="HUS48" s="287"/>
      <c r="HUT48" s="287"/>
      <c r="HUU48" s="287"/>
      <c r="HUV48" s="287"/>
      <c r="HUW48" s="287"/>
      <c r="HUX48" s="287"/>
      <c r="HUY48" s="287"/>
      <c r="HUZ48" s="287"/>
      <c r="HVA48" s="287"/>
      <c r="HVB48" s="287"/>
      <c r="HVC48" s="287"/>
      <c r="HVD48" s="287"/>
      <c r="HVE48" s="287"/>
      <c r="HVF48" s="287"/>
      <c r="HVG48" s="287"/>
      <c r="HVH48" s="287"/>
      <c r="HVI48" s="287"/>
      <c r="HVJ48" s="287"/>
      <c r="HVK48" s="287"/>
      <c r="HVL48" s="287"/>
      <c r="HVM48" s="287"/>
      <c r="HVN48" s="287"/>
      <c r="HVO48" s="287"/>
      <c r="HVP48" s="287"/>
      <c r="HVQ48" s="287"/>
      <c r="HVR48" s="287"/>
      <c r="HVS48" s="287"/>
      <c r="HVT48" s="287"/>
      <c r="HVU48" s="287"/>
      <c r="HVV48" s="287"/>
      <c r="HVW48" s="287"/>
      <c r="HVX48" s="287"/>
      <c r="HVY48" s="287"/>
      <c r="HVZ48" s="287"/>
      <c r="HWA48" s="287"/>
      <c r="HWB48" s="287"/>
      <c r="HWC48" s="287"/>
      <c r="HWD48" s="287"/>
      <c r="HWE48" s="287"/>
      <c r="HWF48" s="287"/>
      <c r="HWG48" s="287"/>
      <c r="HWH48" s="287"/>
      <c r="HWI48" s="287"/>
      <c r="HWJ48" s="287"/>
      <c r="HWK48" s="287"/>
      <c r="HWL48" s="287"/>
      <c r="HWM48" s="287"/>
      <c r="HWN48" s="287"/>
      <c r="HWO48" s="287"/>
      <c r="HWP48" s="287"/>
      <c r="HWQ48" s="287"/>
      <c r="HWR48" s="287"/>
      <c r="HWS48" s="287"/>
      <c r="HWT48" s="287"/>
      <c r="HWU48" s="287"/>
      <c r="HWV48" s="287"/>
      <c r="HWW48" s="287"/>
      <c r="HWX48" s="287"/>
      <c r="HWY48" s="287"/>
      <c r="HWZ48" s="287"/>
      <c r="HXA48" s="287"/>
      <c r="HXB48" s="287"/>
      <c r="HXC48" s="287"/>
      <c r="HXD48" s="287"/>
      <c r="HXE48" s="287"/>
      <c r="HXF48" s="287"/>
      <c r="HXG48" s="287"/>
      <c r="HXH48" s="287"/>
      <c r="HXI48" s="287"/>
      <c r="HXJ48" s="287"/>
      <c r="HXK48" s="287"/>
      <c r="HXL48" s="287"/>
      <c r="HXM48" s="287"/>
      <c r="HXN48" s="287"/>
      <c r="HXO48" s="287"/>
      <c r="HXP48" s="287"/>
      <c r="HXQ48" s="287"/>
      <c r="HXR48" s="287"/>
      <c r="HXS48" s="287"/>
      <c r="HXT48" s="287"/>
      <c r="HXU48" s="287"/>
      <c r="HXV48" s="287"/>
      <c r="HXW48" s="287"/>
      <c r="HXX48" s="287"/>
      <c r="HXY48" s="287"/>
      <c r="HXZ48" s="287"/>
      <c r="HYA48" s="287"/>
      <c r="HYB48" s="287"/>
      <c r="HYC48" s="287"/>
      <c r="HYD48" s="287"/>
      <c r="HYE48" s="287"/>
      <c r="HYF48" s="287"/>
      <c r="HYG48" s="287"/>
      <c r="HYH48" s="287"/>
      <c r="HYI48" s="287"/>
      <c r="HYJ48" s="287"/>
      <c r="HYK48" s="287"/>
      <c r="HYL48" s="287"/>
      <c r="HYM48" s="287"/>
      <c r="HYN48" s="287"/>
      <c r="HYO48" s="287"/>
      <c r="HYP48" s="287"/>
      <c r="HYQ48" s="287"/>
      <c r="HYR48" s="287"/>
      <c r="HYS48" s="287"/>
      <c r="HYT48" s="287"/>
      <c r="HYU48" s="287"/>
      <c r="HYV48" s="287"/>
      <c r="HYW48" s="287"/>
      <c r="HYX48" s="287"/>
      <c r="HYY48" s="287"/>
      <c r="HYZ48" s="287"/>
      <c r="HZA48" s="287"/>
      <c r="HZB48" s="287"/>
      <c r="HZC48" s="287"/>
      <c r="HZD48" s="287"/>
      <c r="HZE48" s="287"/>
      <c r="HZF48" s="287"/>
      <c r="HZG48" s="287"/>
      <c r="HZH48" s="287"/>
      <c r="HZI48" s="287"/>
      <c r="HZJ48" s="287"/>
      <c r="HZK48" s="287"/>
      <c r="HZL48" s="287"/>
      <c r="HZM48" s="287"/>
      <c r="HZN48" s="287"/>
      <c r="HZO48" s="287"/>
      <c r="HZP48" s="287"/>
      <c r="HZQ48" s="287"/>
      <c r="HZR48" s="287"/>
      <c r="HZS48" s="287"/>
      <c r="HZT48" s="287"/>
      <c r="HZU48" s="287"/>
      <c r="HZV48" s="287"/>
      <c r="HZW48" s="287"/>
      <c r="HZX48" s="287"/>
      <c r="HZY48" s="287"/>
      <c r="HZZ48" s="287"/>
      <c r="IAA48" s="287"/>
      <c r="IAB48" s="287"/>
      <c r="IAC48" s="287"/>
      <c r="IAD48" s="287"/>
      <c r="IAE48" s="287"/>
      <c r="IAF48" s="287"/>
      <c r="IAG48" s="287"/>
      <c r="IAH48" s="287"/>
      <c r="IAI48" s="287"/>
      <c r="IAJ48" s="287"/>
      <c r="IAK48" s="287"/>
      <c r="IAL48" s="287"/>
      <c r="IAM48" s="287"/>
      <c r="IAN48" s="287"/>
      <c r="IAO48" s="287"/>
      <c r="IAP48" s="287"/>
      <c r="IAQ48" s="287"/>
      <c r="IAR48" s="287"/>
      <c r="IAS48" s="287"/>
      <c r="IAT48" s="287"/>
      <c r="IAU48" s="287"/>
      <c r="IAV48" s="287"/>
      <c r="IAW48" s="287"/>
      <c r="IAX48" s="287"/>
      <c r="IAY48" s="287"/>
      <c r="IAZ48" s="287"/>
      <c r="IBA48" s="287"/>
      <c r="IBB48" s="287"/>
      <c r="IBC48" s="287"/>
      <c r="IBD48" s="287"/>
      <c r="IBE48" s="287"/>
      <c r="IBF48" s="287"/>
      <c r="IBG48" s="287"/>
      <c r="IBH48" s="287"/>
      <c r="IBI48" s="287"/>
      <c r="IBJ48" s="287"/>
      <c r="IBK48" s="287"/>
      <c r="IBL48" s="287"/>
      <c r="IBM48" s="287"/>
      <c r="IBN48" s="287"/>
      <c r="IBO48" s="287"/>
      <c r="IBP48" s="287"/>
      <c r="IBQ48" s="287"/>
      <c r="IBR48" s="287"/>
      <c r="IBS48" s="287"/>
      <c r="IBT48" s="287"/>
      <c r="IBU48" s="287"/>
      <c r="IBV48" s="287"/>
      <c r="IBW48" s="287"/>
      <c r="IBX48" s="287"/>
      <c r="IBY48" s="287"/>
      <c r="IBZ48" s="287"/>
      <c r="ICA48" s="287"/>
      <c r="ICB48" s="287"/>
      <c r="ICC48" s="287"/>
      <c r="ICD48" s="287"/>
      <c r="ICE48" s="287"/>
      <c r="ICF48" s="287"/>
      <c r="ICG48" s="287"/>
      <c r="ICH48" s="287"/>
      <c r="ICI48" s="287"/>
      <c r="ICJ48" s="287"/>
      <c r="ICK48" s="287"/>
      <c r="ICL48" s="287"/>
      <c r="ICM48" s="287"/>
      <c r="ICN48" s="287"/>
      <c r="ICO48" s="287"/>
      <c r="ICP48" s="287"/>
      <c r="ICQ48" s="287"/>
      <c r="ICR48" s="287"/>
      <c r="ICS48" s="287"/>
      <c r="ICT48" s="287"/>
      <c r="ICU48" s="287"/>
      <c r="ICV48" s="287"/>
      <c r="ICW48" s="287"/>
      <c r="ICX48" s="287"/>
      <c r="ICY48" s="287"/>
      <c r="ICZ48" s="287"/>
      <c r="IDA48" s="287"/>
      <c r="IDB48" s="287"/>
      <c r="IDC48" s="287"/>
      <c r="IDD48" s="287"/>
      <c r="IDE48" s="287"/>
      <c r="IDF48" s="287"/>
      <c r="IDG48" s="287"/>
      <c r="IDH48" s="287"/>
      <c r="IDI48" s="287"/>
      <c r="IDJ48" s="287"/>
      <c r="IDK48" s="287"/>
      <c r="IDL48" s="287"/>
      <c r="IDM48" s="287"/>
      <c r="IDN48" s="287"/>
      <c r="IDO48" s="287"/>
      <c r="IDP48" s="287"/>
      <c r="IDQ48" s="287"/>
      <c r="IDR48" s="287"/>
      <c r="IDS48" s="287"/>
      <c r="IDT48" s="287"/>
      <c r="IDU48" s="287"/>
      <c r="IDV48" s="287"/>
      <c r="IDW48" s="287"/>
      <c r="IDX48" s="287"/>
      <c r="IDY48" s="287"/>
      <c r="IDZ48" s="287"/>
      <c r="IEA48" s="287"/>
      <c r="IEB48" s="287"/>
      <c r="IEC48" s="287"/>
      <c r="IED48" s="287"/>
      <c r="IEE48" s="287"/>
      <c r="IEF48" s="287"/>
      <c r="IEG48" s="287"/>
      <c r="IEH48" s="287"/>
      <c r="IEI48" s="287"/>
      <c r="IEJ48" s="287"/>
      <c r="IEK48" s="287"/>
      <c r="IEL48" s="287"/>
      <c r="IEM48" s="287"/>
      <c r="IEN48" s="287"/>
      <c r="IEO48" s="287"/>
      <c r="IEP48" s="287"/>
      <c r="IEQ48" s="287"/>
      <c r="IER48" s="287"/>
      <c r="IES48" s="287"/>
      <c r="IET48" s="287"/>
      <c r="IEU48" s="287"/>
      <c r="IEV48" s="287"/>
      <c r="IEW48" s="287"/>
      <c r="IEX48" s="287"/>
      <c r="IEY48" s="287"/>
      <c r="IEZ48" s="287"/>
      <c r="IFA48" s="287"/>
      <c r="IFB48" s="287"/>
      <c r="IFC48" s="287"/>
      <c r="IFD48" s="287"/>
      <c r="IFE48" s="287"/>
      <c r="IFF48" s="287"/>
      <c r="IFG48" s="287"/>
      <c r="IFH48" s="287"/>
      <c r="IFI48" s="287"/>
      <c r="IFJ48" s="287"/>
      <c r="IFK48" s="287"/>
      <c r="IFL48" s="287"/>
      <c r="IFM48" s="287"/>
      <c r="IFN48" s="287"/>
      <c r="IFO48" s="287"/>
      <c r="IFP48" s="287"/>
      <c r="IFQ48" s="287"/>
      <c r="IFR48" s="287"/>
      <c r="IFS48" s="287"/>
      <c r="IFT48" s="287"/>
      <c r="IFU48" s="287"/>
      <c r="IFV48" s="287"/>
      <c r="IFW48" s="287"/>
      <c r="IFX48" s="287"/>
      <c r="IFY48" s="287"/>
      <c r="IFZ48" s="287"/>
      <c r="IGA48" s="287"/>
      <c r="IGB48" s="287"/>
      <c r="IGC48" s="287"/>
      <c r="IGD48" s="287"/>
      <c r="IGE48" s="287"/>
      <c r="IGF48" s="287"/>
      <c r="IGG48" s="287"/>
      <c r="IGH48" s="287"/>
      <c r="IGI48" s="287"/>
      <c r="IGJ48" s="287"/>
      <c r="IGK48" s="287"/>
      <c r="IGL48" s="287"/>
      <c r="IGM48" s="287"/>
      <c r="IGN48" s="287"/>
      <c r="IGO48" s="287"/>
      <c r="IGP48" s="287"/>
      <c r="IGQ48" s="287"/>
      <c r="IGR48" s="287"/>
      <c r="IGS48" s="287"/>
      <c r="IGT48" s="287"/>
      <c r="IGU48" s="287"/>
      <c r="IGV48" s="287"/>
      <c r="IGW48" s="287"/>
      <c r="IGX48" s="287"/>
      <c r="IGY48" s="287"/>
      <c r="IGZ48" s="287"/>
      <c r="IHA48" s="287"/>
      <c r="IHB48" s="287"/>
      <c r="IHC48" s="287"/>
      <c r="IHD48" s="287"/>
      <c r="IHE48" s="287"/>
      <c r="IHF48" s="287"/>
      <c r="IHG48" s="287"/>
      <c r="IHH48" s="287"/>
      <c r="IHI48" s="287"/>
      <c r="IHJ48" s="287"/>
      <c r="IHK48" s="287"/>
      <c r="IHL48" s="287"/>
      <c r="IHM48" s="287"/>
      <c r="IHN48" s="287"/>
      <c r="IHO48" s="287"/>
      <c r="IHP48" s="287"/>
      <c r="IHQ48" s="287"/>
      <c r="IHR48" s="287"/>
      <c r="IHS48" s="287"/>
      <c r="IHT48" s="287"/>
      <c r="IHU48" s="287"/>
      <c r="IHV48" s="287"/>
      <c r="IHW48" s="287"/>
      <c r="IHX48" s="287"/>
      <c r="IHY48" s="287"/>
      <c r="IHZ48" s="287"/>
      <c r="IIA48" s="287"/>
      <c r="IIB48" s="287"/>
      <c r="IIC48" s="287"/>
      <c r="IID48" s="287"/>
      <c r="IIE48" s="287"/>
      <c r="IIF48" s="287"/>
      <c r="IIG48" s="287"/>
      <c r="IIH48" s="287"/>
      <c r="III48" s="287"/>
      <c r="IIJ48" s="287"/>
      <c r="IIK48" s="287"/>
      <c r="IIL48" s="287"/>
      <c r="IIM48" s="287"/>
      <c r="IIN48" s="287"/>
      <c r="IIO48" s="287"/>
      <c r="IIP48" s="287"/>
      <c r="IIQ48" s="287"/>
      <c r="IIR48" s="287"/>
      <c r="IIS48" s="287"/>
      <c r="IIT48" s="287"/>
      <c r="IIU48" s="287"/>
      <c r="IIV48" s="287"/>
      <c r="IIW48" s="287"/>
      <c r="IIX48" s="287"/>
      <c r="IIY48" s="287"/>
      <c r="IIZ48" s="287"/>
      <c r="IJA48" s="287"/>
      <c r="IJB48" s="287"/>
      <c r="IJC48" s="287"/>
      <c r="IJD48" s="287"/>
      <c r="IJE48" s="287"/>
      <c r="IJF48" s="287"/>
      <c r="IJG48" s="287"/>
      <c r="IJH48" s="287"/>
      <c r="IJI48" s="287"/>
      <c r="IJJ48" s="287"/>
      <c r="IJK48" s="287"/>
      <c r="IJL48" s="287"/>
      <c r="IJM48" s="287"/>
      <c r="IJN48" s="287"/>
      <c r="IJO48" s="287"/>
      <c r="IJP48" s="287"/>
      <c r="IJQ48" s="287"/>
      <c r="IJR48" s="287"/>
      <c r="IJS48" s="287"/>
      <c r="IJT48" s="287"/>
      <c r="IJU48" s="287"/>
      <c r="IJV48" s="287"/>
      <c r="IJW48" s="287"/>
      <c r="IJX48" s="287"/>
      <c r="IJY48" s="287"/>
      <c r="IJZ48" s="287"/>
      <c r="IKA48" s="287"/>
      <c r="IKB48" s="287"/>
      <c r="IKC48" s="287"/>
      <c r="IKD48" s="287"/>
      <c r="IKE48" s="287"/>
      <c r="IKF48" s="287"/>
      <c r="IKG48" s="287"/>
      <c r="IKH48" s="287"/>
      <c r="IKI48" s="287"/>
      <c r="IKJ48" s="287"/>
      <c r="IKK48" s="287"/>
      <c r="IKL48" s="287"/>
      <c r="IKM48" s="287"/>
      <c r="IKN48" s="287"/>
      <c r="IKO48" s="287"/>
      <c r="IKP48" s="287"/>
      <c r="IKQ48" s="287"/>
      <c r="IKR48" s="287"/>
      <c r="IKS48" s="287"/>
      <c r="IKT48" s="287"/>
      <c r="IKU48" s="287"/>
      <c r="IKV48" s="287"/>
      <c r="IKW48" s="287"/>
      <c r="IKX48" s="287"/>
      <c r="IKY48" s="287"/>
      <c r="IKZ48" s="287"/>
      <c r="ILA48" s="287"/>
      <c r="ILB48" s="287"/>
      <c r="ILC48" s="287"/>
      <c r="ILD48" s="287"/>
      <c r="ILE48" s="287"/>
      <c r="ILF48" s="287"/>
      <c r="ILG48" s="287"/>
      <c r="ILH48" s="287"/>
      <c r="ILI48" s="287"/>
      <c r="ILJ48" s="287"/>
      <c r="ILK48" s="287"/>
      <c r="ILL48" s="287"/>
      <c r="ILM48" s="287"/>
      <c r="ILN48" s="287"/>
      <c r="ILO48" s="287"/>
      <c r="ILP48" s="287"/>
      <c r="ILQ48" s="287"/>
      <c r="ILR48" s="287"/>
      <c r="ILS48" s="287"/>
      <c r="ILT48" s="287"/>
      <c r="ILU48" s="287"/>
      <c r="ILV48" s="287"/>
      <c r="ILW48" s="287"/>
      <c r="ILX48" s="287"/>
      <c r="ILY48" s="287"/>
      <c r="ILZ48" s="287"/>
      <c r="IMA48" s="287"/>
      <c r="IMB48" s="287"/>
      <c r="IMC48" s="287"/>
      <c r="IMD48" s="287"/>
      <c r="IME48" s="287"/>
      <c r="IMF48" s="287"/>
      <c r="IMG48" s="287"/>
      <c r="IMH48" s="287"/>
      <c r="IMI48" s="287"/>
      <c r="IMJ48" s="287"/>
      <c r="IMK48" s="287"/>
      <c r="IML48" s="287"/>
      <c r="IMM48" s="287"/>
      <c r="IMN48" s="287"/>
      <c r="IMO48" s="287"/>
      <c r="IMP48" s="287"/>
      <c r="IMQ48" s="287"/>
      <c r="IMR48" s="287"/>
      <c r="IMS48" s="287"/>
      <c r="IMT48" s="287"/>
      <c r="IMU48" s="287"/>
      <c r="IMV48" s="287"/>
      <c r="IMW48" s="287"/>
      <c r="IMX48" s="287"/>
      <c r="IMY48" s="287"/>
      <c r="IMZ48" s="287"/>
      <c r="INA48" s="287"/>
      <c r="INB48" s="287"/>
      <c r="INC48" s="287"/>
      <c r="IND48" s="287"/>
      <c r="INE48" s="287"/>
      <c r="INF48" s="287"/>
      <c r="ING48" s="287"/>
      <c r="INH48" s="287"/>
      <c r="INI48" s="287"/>
      <c r="INJ48" s="287"/>
      <c r="INK48" s="287"/>
      <c r="INL48" s="287"/>
      <c r="INM48" s="287"/>
      <c r="INN48" s="287"/>
      <c r="INO48" s="287"/>
      <c r="INP48" s="287"/>
      <c r="INQ48" s="287"/>
      <c r="INR48" s="287"/>
      <c r="INS48" s="287"/>
      <c r="INT48" s="287"/>
      <c r="INU48" s="287"/>
      <c r="INV48" s="287"/>
      <c r="INW48" s="287"/>
      <c r="INX48" s="287"/>
      <c r="INY48" s="287"/>
      <c r="INZ48" s="287"/>
      <c r="IOA48" s="287"/>
      <c r="IOB48" s="287"/>
      <c r="IOC48" s="287"/>
      <c r="IOD48" s="287"/>
      <c r="IOE48" s="287"/>
      <c r="IOF48" s="287"/>
      <c r="IOG48" s="287"/>
      <c r="IOH48" s="287"/>
      <c r="IOI48" s="287"/>
      <c r="IOJ48" s="287"/>
      <c r="IOK48" s="287"/>
      <c r="IOL48" s="287"/>
      <c r="IOM48" s="287"/>
      <c r="ION48" s="287"/>
      <c r="IOO48" s="287"/>
      <c r="IOP48" s="287"/>
      <c r="IOQ48" s="287"/>
      <c r="IOR48" s="287"/>
      <c r="IOS48" s="287"/>
      <c r="IOT48" s="287"/>
      <c r="IOU48" s="287"/>
      <c r="IOV48" s="287"/>
      <c r="IOW48" s="287"/>
      <c r="IOX48" s="287"/>
      <c r="IOY48" s="287"/>
      <c r="IOZ48" s="287"/>
      <c r="IPA48" s="287"/>
      <c r="IPB48" s="287"/>
      <c r="IPC48" s="287"/>
      <c r="IPD48" s="287"/>
      <c r="IPE48" s="287"/>
      <c r="IPF48" s="287"/>
      <c r="IPG48" s="287"/>
      <c r="IPH48" s="287"/>
      <c r="IPI48" s="287"/>
      <c r="IPJ48" s="287"/>
      <c r="IPK48" s="287"/>
      <c r="IPL48" s="287"/>
      <c r="IPM48" s="287"/>
      <c r="IPN48" s="287"/>
      <c r="IPO48" s="287"/>
      <c r="IPP48" s="287"/>
      <c r="IPQ48" s="287"/>
      <c r="IPR48" s="287"/>
      <c r="IPS48" s="287"/>
      <c r="IPT48" s="287"/>
      <c r="IPU48" s="287"/>
      <c r="IPV48" s="287"/>
      <c r="IPW48" s="287"/>
      <c r="IPX48" s="287"/>
      <c r="IPY48" s="287"/>
      <c r="IPZ48" s="287"/>
      <c r="IQA48" s="287"/>
      <c r="IQB48" s="287"/>
      <c r="IQC48" s="287"/>
      <c r="IQD48" s="287"/>
      <c r="IQE48" s="287"/>
      <c r="IQF48" s="287"/>
      <c r="IQG48" s="287"/>
      <c r="IQH48" s="287"/>
      <c r="IQI48" s="287"/>
      <c r="IQJ48" s="287"/>
      <c r="IQK48" s="287"/>
      <c r="IQL48" s="287"/>
      <c r="IQM48" s="287"/>
      <c r="IQN48" s="287"/>
      <c r="IQO48" s="287"/>
      <c r="IQP48" s="287"/>
      <c r="IQQ48" s="287"/>
      <c r="IQR48" s="287"/>
      <c r="IQS48" s="287"/>
      <c r="IQT48" s="287"/>
      <c r="IQU48" s="287"/>
      <c r="IQV48" s="287"/>
      <c r="IQW48" s="287"/>
      <c r="IQX48" s="287"/>
      <c r="IQY48" s="287"/>
      <c r="IQZ48" s="287"/>
      <c r="IRA48" s="287"/>
      <c r="IRB48" s="287"/>
      <c r="IRC48" s="287"/>
      <c r="IRD48" s="287"/>
      <c r="IRE48" s="287"/>
      <c r="IRF48" s="287"/>
      <c r="IRG48" s="287"/>
      <c r="IRH48" s="287"/>
      <c r="IRI48" s="287"/>
      <c r="IRJ48" s="287"/>
      <c r="IRK48" s="287"/>
      <c r="IRL48" s="287"/>
      <c r="IRM48" s="287"/>
      <c r="IRN48" s="287"/>
      <c r="IRO48" s="287"/>
      <c r="IRP48" s="287"/>
      <c r="IRQ48" s="287"/>
      <c r="IRR48" s="287"/>
      <c r="IRS48" s="287"/>
      <c r="IRT48" s="287"/>
      <c r="IRU48" s="287"/>
      <c r="IRV48" s="287"/>
      <c r="IRW48" s="287"/>
      <c r="IRX48" s="287"/>
      <c r="IRY48" s="287"/>
      <c r="IRZ48" s="287"/>
      <c r="ISA48" s="287"/>
      <c r="ISB48" s="287"/>
      <c r="ISC48" s="287"/>
      <c r="ISD48" s="287"/>
      <c r="ISE48" s="287"/>
      <c r="ISF48" s="287"/>
      <c r="ISG48" s="287"/>
      <c r="ISH48" s="287"/>
      <c r="ISI48" s="287"/>
      <c r="ISJ48" s="287"/>
      <c r="ISK48" s="287"/>
      <c r="ISL48" s="287"/>
      <c r="ISM48" s="287"/>
      <c r="ISN48" s="287"/>
      <c r="ISO48" s="287"/>
      <c r="ISP48" s="287"/>
      <c r="ISQ48" s="287"/>
      <c r="ISR48" s="287"/>
      <c r="ISS48" s="287"/>
      <c r="IST48" s="287"/>
      <c r="ISU48" s="287"/>
      <c r="ISV48" s="287"/>
      <c r="ISW48" s="287"/>
      <c r="ISX48" s="287"/>
      <c r="ISY48" s="287"/>
      <c r="ISZ48" s="287"/>
      <c r="ITA48" s="287"/>
      <c r="ITB48" s="287"/>
      <c r="ITC48" s="287"/>
      <c r="ITD48" s="287"/>
      <c r="ITE48" s="287"/>
      <c r="ITF48" s="287"/>
      <c r="ITG48" s="287"/>
      <c r="ITH48" s="287"/>
      <c r="ITI48" s="287"/>
      <c r="ITJ48" s="287"/>
      <c r="ITK48" s="287"/>
      <c r="ITL48" s="287"/>
      <c r="ITM48" s="287"/>
      <c r="ITN48" s="287"/>
      <c r="ITO48" s="287"/>
      <c r="ITP48" s="287"/>
      <c r="ITQ48" s="287"/>
      <c r="ITR48" s="287"/>
      <c r="ITS48" s="287"/>
      <c r="ITT48" s="287"/>
      <c r="ITU48" s="287"/>
      <c r="ITV48" s="287"/>
      <c r="ITW48" s="287"/>
      <c r="ITX48" s="287"/>
      <c r="ITY48" s="287"/>
      <c r="ITZ48" s="287"/>
      <c r="IUA48" s="287"/>
      <c r="IUB48" s="287"/>
      <c r="IUC48" s="287"/>
      <c r="IUD48" s="287"/>
      <c r="IUE48" s="287"/>
      <c r="IUF48" s="287"/>
      <c r="IUG48" s="287"/>
      <c r="IUH48" s="287"/>
      <c r="IUI48" s="287"/>
      <c r="IUJ48" s="287"/>
      <c r="IUK48" s="287"/>
      <c r="IUL48" s="287"/>
      <c r="IUM48" s="287"/>
      <c r="IUN48" s="287"/>
      <c r="IUO48" s="287"/>
      <c r="IUP48" s="287"/>
      <c r="IUQ48" s="287"/>
      <c r="IUR48" s="287"/>
      <c r="IUS48" s="287"/>
      <c r="IUT48" s="287"/>
      <c r="IUU48" s="287"/>
      <c r="IUV48" s="287"/>
      <c r="IUW48" s="287"/>
      <c r="IUX48" s="287"/>
      <c r="IUY48" s="287"/>
      <c r="IUZ48" s="287"/>
      <c r="IVA48" s="287"/>
      <c r="IVB48" s="287"/>
      <c r="IVC48" s="287"/>
      <c r="IVD48" s="287"/>
      <c r="IVE48" s="287"/>
      <c r="IVF48" s="287"/>
      <c r="IVG48" s="287"/>
      <c r="IVH48" s="287"/>
      <c r="IVI48" s="287"/>
      <c r="IVJ48" s="287"/>
      <c r="IVK48" s="287"/>
      <c r="IVL48" s="287"/>
      <c r="IVM48" s="287"/>
      <c r="IVN48" s="287"/>
      <c r="IVO48" s="287"/>
      <c r="IVP48" s="287"/>
      <c r="IVQ48" s="287"/>
      <c r="IVR48" s="287"/>
      <c r="IVS48" s="287"/>
      <c r="IVT48" s="287"/>
      <c r="IVU48" s="287"/>
      <c r="IVV48" s="287"/>
      <c r="IVW48" s="287"/>
      <c r="IVX48" s="287"/>
      <c r="IVY48" s="287"/>
      <c r="IVZ48" s="287"/>
      <c r="IWA48" s="287"/>
      <c r="IWB48" s="287"/>
      <c r="IWC48" s="287"/>
      <c r="IWD48" s="287"/>
      <c r="IWE48" s="287"/>
      <c r="IWF48" s="287"/>
      <c r="IWG48" s="287"/>
      <c r="IWH48" s="287"/>
      <c r="IWI48" s="287"/>
      <c r="IWJ48" s="287"/>
      <c r="IWK48" s="287"/>
      <c r="IWL48" s="287"/>
      <c r="IWM48" s="287"/>
      <c r="IWN48" s="287"/>
      <c r="IWO48" s="287"/>
      <c r="IWP48" s="287"/>
      <c r="IWQ48" s="287"/>
      <c r="IWR48" s="287"/>
      <c r="IWS48" s="287"/>
      <c r="IWT48" s="287"/>
      <c r="IWU48" s="287"/>
      <c r="IWV48" s="287"/>
      <c r="IWW48" s="287"/>
      <c r="IWX48" s="287"/>
      <c r="IWY48" s="287"/>
      <c r="IWZ48" s="287"/>
      <c r="IXA48" s="287"/>
      <c r="IXB48" s="287"/>
      <c r="IXC48" s="287"/>
      <c r="IXD48" s="287"/>
      <c r="IXE48" s="287"/>
      <c r="IXF48" s="287"/>
      <c r="IXG48" s="287"/>
      <c r="IXH48" s="287"/>
      <c r="IXI48" s="287"/>
      <c r="IXJ48" s="287"/>
      <c r="IXK48" s="287"/>
      <c r="IXL48" s="287"/>
      <c r="IXM48" s="287"/>
      <c r="IXN48" s="287"/>
      <c r="IXO48" s="287"/>
      <c r="IXP48" s="287"/>
      <c r="IXQ48" s="287"/>
      <c r="IXR48" s="287"/>
      <c r="IXS48" s="287"/>
      <c r="IXT48" s="287"/>
      <c r="IXU48" s="287"/>
      <c r="IXV48" s="287"/>
      <c r="IXW48" s="287"/>
      <c r="IXX48" s="287"/>
      <c r="IXY48" s="287"/>
      <c r="IXZ48" s="287"/>
      <c r="IYA48" s="287"/>
      <c r="IYB48" s="287"/>
      <c r="IYC48" s="287"/>
      <c r="IYD48" s="287"/>
      <c r="IYE48" s="287"/>
      <c r="IYF48" s="287"/>
      <c r="IYG48" s="287"/>
      <c r="IYH48" s="287"/>
      <c r="IYI48" s="287"/>
      <c r="IYJ48" s="287"/>
      <c r="IYK48" s="287"/>
      <c r="IYL48" s="287"/>
      <c r="IYM48" s="287"/>
      <c r="IYN48" s="287"/>
      <c r="IYO48" s="287"/>
      <c r="IYP48" s="287"/>
      <c r="IYQ48" s="287"/>
      <c r="IYR48" s="287"/>
      <c r="IYS48" s="287"/>
      <c r="IYT48" s="287"/>
      <c r="IYU48" s="287"/>
      <c r="IYV48" s="287"/>
      <c r="IYW48" s="287"/>
      <c r="IYX48" s="287"/>
      <c r="IYY48" s="287"/>
      <c r="IYZ48" s="287"/>
      <c r="IZA48" s="287"/>
      <c r="IZB48" s="287"/>
      <c r="IZC48" s="287"/>
      <c r="IZD48" s="287"/>
      <c r="IZE48" s="287"/>
      <c r="IZF48" s="287"/>
      <c r="IZG48" s="287"/>
      <c r="IZH48" s="287"/>
      <c r="IZI48" s="287"/>
      <c r="IZJ48" s="287"/>
      <c r="IZK48" s="287"/>
      <c r="IZL48" s="287"/>
      <c r="IZM48" s="287"/>
      <c r="IZN48" s="287"/>
      <c r="IZO48" s="287"/>
      <c r="IZP48" s="287"/>
      <c r="IZQ48" s="287"/>
      <c r="IZR48" s="287"/>
      <c r="IZS48" s="287"/>
      <c r="IZT48" s="287"/>
      <c r="IZU48" s="287"/>
      <c r="IZV48" s="287"/>
      <c r="IZW48" s="287"/>
      <c r="IZX48" s="287"/>
      <c r="IZY48" s="287"/>
      <c r="IZZ48" s="287"/>
      <c r="JAA48" s="287"/>
      <c r="JAB48" s="287"/>
      <c r="JAC48" s="287"/>
      <c r="JAD48" s="287"/>
      <c r="JAE48" s="287"/>
      <c r="JAF48" s="287"/>
      <c r="JAG48" s="287"/>
      <c r="JAH48" s="287"/>
      <c r="JAI48" s="287"/>
      <c r="JAJ48" s="287"/>
      <c r="JAK48" s="287"/>
      <c r="JAL48" s="287"/>
      <c r="JAM48" s="287"/>
      <c r="JAN48" s="287"/>
      <c r="JAO48" s="287"/>
      <c r="JAP48" s="287"/>
      <c r="JAQ48" s="287"/>
      <c r="JAR48" s="287"/>
      <c r="JAS48" s="287"/>
      <c r="JAT48" s="287"/>
      <c r="JAU48" s="287"/>
      <c r="JAV48" s="287"/>
      <c r="JAW48" s="287"/>
      <c r="JAX48" s="287"/>
      <c r="JAY48" s="287"/>
      <c r="JAZ48" s="287"/>
      <c r="JBA48" s="287"/>
      <c r="JBB48" s="287"/>
      <c r="JBC48" s="287"/>
      <c r="JBD48" s="287"/>
      <c r="JBE48" s="287"/>
      <c r="JBF48" s="287"/>
      <c r="JBG48" s="287"/>
      <c r="JBH48" s="287"/>
      <c r="JBI48" s="287"/>
      <c r="JBJ48" s="287"/>
      <c r="JBK48" s="287"/>
      <c r="JBL48" s="287"/>
      <c r="JBM48" s="287"/>
      <c r="JBN48" s="287"/>
      <c r="JBO48" s="287"/>
      <c r="JBP48" s="287"/>
      <c r="JBQ48" s="287"/>
      <c r="JBR48" s="287"/>
      <c r="JBS48" s="287"/>
      <c r="JBT48" s="287"/>
      <c r="JBU48" s="287"/>
      <c r="JBV48" s="287"/>
      <c r="JBW48" s="287"/>
      <c r="JBX48" s="287"/>
      <c r="JBY48" s="287"/>
      <c r="JBZ48" s="287"/>
      <c r="JCA48" s="287"/>
      <c r="JCB48" s="287"/>
      <c r="JCC48" s="287"/>
      <c r="JCD48" s="287"/>
      <c r="JCE48" s="287"/>
      <c r="JCF48" s="287"/>
      <c r="JCG48" s="287"/>
      <c r="JCH48" s="287"/>
      <c r="JCI48" s="287"/>
      <c r="JCJ48" s="287"/>
      <c r="JCK48" s="287"/>
      <c r="JCL48" s="287"/>
      <c r="JCM48" s="287"/>
      <c r="JCN48" s="287"/>
      <c r="JCO48" s="287"/>
      <c r="JCP48" s="287"/>
      <c r="JCQ48" s="287"/>
      <c r="JCR48" s="287"/>
      <c r="JCS48" s="287"/>
      <c r="JCT48" s="287"/>
      <c r="JCU48" s="287"/>
      <c r="JCV48" s="287"/>
      <c r="JCW48" s="287"/>
      <c r="JCX48" s="287"/>
      <c r="JCY48" s="287"/>
      <c r="JCZ48" s="287"/>
      <c r="JDA48" s="287"/>
      <c r="JDB48" s="287"/>
      <c r="JDC48" s="287"/>
      <c r="JDD48" s="287"/>
      <c r="JDE48" s="287"/>
      <c r="JDF48" s="287"/>
      <c r="JDG48" s="287"/>
      <c r="JDH48" s="287"/>
      <c r="JDI48" s="287"/>
      <c r="JDJ48" s="287"/>
      <c r="JDK48" s="287"/>
      <c r="JDL48" s="287"/>
      <c r="JDM48" s="287"/>
      <c r="JDN48" s="287"/>
      <c r="JDO48" s="287"/>
      <c r="JDP48" s="287"/>
      <c r="JDQ48" s="287"/>
      <c r="JDR48" s="287"/>
      <c r="JDS48" s="287"/>
      <c r="JDT48" s="287"/>
      <c r="JDU48" s="287"/>
      <c r="JDV48" s="287"/>
      <c r="JDW48" s="287"/>
      <c r="JDX48" s="287"/>
      <c r="JDY48" s="287"/>
      <c r="JDZ48" s="287"/>
      <c r="JEA48" s="287"/>
      <c r="JEB48" s="287"/>
      <c r="JEC48" s="287"/>
      <c r="JED48" s="287"/>
      <c r="JEE48" s="287"/>
      <c r="JEF48" s="287"/>
      <c r="JEG48" s="287"/>
      <c r="JEH48" s="287"/>
      <c r="JEI48" s="287"/>
      <c r="JEJ48" s="287"/>
      <c r="JEK48" s="287"/>
      <c r="JEL48" s="287"/>
      <c r="JEM48" s="287"/>
      <c r="JEN48" s="287"/>
      <c r="JEO48" s="287"/>
      <c r="JEP48" s="287"/>
      <c r="JEQ48" s="287"/>
      <c r="JER48" s="287"/>
      <c r="JES48" s="287"/>
      <c r="JET48" s="287"/>
      <c r="JEU48" s="287"/>
      <c r="JEV48" s="287"/>
      <c r="JEW48" s="287"/>
      <c r="JEX48" s="287"/>
      <c r="JEY48" s="287"/>
      <c r="JEZ48" s="287"/>
      <c r="JFA48" s="287"/>
      <c r="JFB48" s="287"/>
      <c r="JFC48" s="287"/>
      <c r="JFD48" s="287"/>
      <c r="JFE48" s="287"/>
      <c r="JFF48" s="287"/>
      <c r="JFG48" s="287"/>
      <c r="JFH48" s="287"/>
      <c r="JFI48" s="287"/>
      <c r="JFJ48" s="287"/>
      <c r="JFK48" s="287"/>
      <c r="JFL48" s="287"/>
      <c r="JFM48" s="287"/>
      <c r="JFN48" s="287"/>
      <c r="JFO48" s="287"/>
      <c r="JFP48" s="287"/>
      <c r="JFQ48" s="287"/>
      <c r="JFR48" s="287"/>
      <c r="JFS48" s="287"/>
      <c r="JFT48" s="287"/>
      <c r="JFU48" s="287"/>
      <c r="JFV48" s="287"/>
      <c r="JFW48" s="287"/>
      <c r="JFX48" s="287"/>
      <c r="JFY48" s="287"/>
      <c r="JFZ48" s="287"/>
      <c r="JGA48" s="287"/>
      <c r="JGB48" s="287"/>
      <c r="JGC48" s="287"/>
      <c r="JGD48" s="287"/>
      <c r="JGE48" s="287"/>
      <c r="JGF48" s="287"/>
      <c r="JGG48" s="287"/>
      <c r="JGH48" s="287"/>
      <c r="JGI48" s="287"/>
      <c r="JGJ48" s="287"/>
      <c r="JGK48" s="287"/>
      <c r="JGL48" s="287"/>
      <c r="JGM48" s="287"/>
      <c r="JGN48" s="287"/>
      <c r="JGO48" s="287"/>
      <c r="JGP48" s="287"/>
      <c r="JGQ48" s="287"/>
      <c r="JGR48" s="287"/>
      <c r="JGS48" s="287"/>
      <c r="JGT48" s="287"/>
      <c r="JGU48" s="287"/>
      <c r="JGV48" s="287"/>
      <c r="JGW48" s="287"/>
      <c r="JGX48" s="287"/>
      <c r="JGY48" s="287"/>
      <c r="JGZ48" s="287"/>
      <c r="JHA48" s="287"/>
      <c r="JHB48" s="287"/>
      <c r="JHC48" s="287"/>
      <c r="JHD48" s="287"/>
      <c r="JHE48" s="287"/>
      <c r="JHF48" s="287"/>
      <c r="JHG48" s="287"/>
      <c r="JHH48" s="287"/>
      <c r="JHI48" s="287"/>
      <c r="JHJ48" s="287"/>
      <c r="JHK48" s="287"/>
      <c r="JHL48" s="287"/>
      <c r="JHM48" s="287"/>
      <c r="JHN48" s="287"/>
      <c r="JHO48" s="287"/>
      <c r="JHP48" s="287"/>
      <c r="JHQ48" s="287"/>
      <c r="JHR48" s="287"/>
      <c r="JHS48" s="287"/>
      <c r="JHT48" s="287"/>
      <c r="JHU48" s="287"/>
      <c r="JHV48" s="287"/>
      <c r="JHW48" s="287"/>
      <c r="JHX48" s="287"/>
      <c r="JHY48" s="287"/>
      <c r="JHZ48" s="287"/>
      <c r="JIA48" s="287"/>
      <c r="JIB48" s="287"/>
      <c r="JIC48" s="287"/>
      <c r="JID48" s="287"/>
      <c r="JIE48" s="287"/>
      <c r="JIF48" s="287"/>
      <c r="JIG48" s="287"/>
      <c r="JIH48" s="287"/>
      <c r="JII48" s="287"/>
      <c r="JIJ48" s="287"/>
      <c r="JIK48" s="287"/>
      <c r="JIL48" s="287"/>
      <c r="JIM48" s="287"/>
      <c r="JIN48" s="287"/>
      <c r="JIO48" s="287"/>
      <c r="JIP48" s="287"/>
      <c r="JIQ48" s="287"/>
      <c r="JIR48" s="287"/>
      <c r="JIS48" s="287"/>
      <c r="JIT48" s="287"/>
      <c r="JIU48" s="287"/>
      <c r="JIV48" s="287"/>
      <c r="JIW48" s="287"/>
      <c r="JIX48" s="287"/>
      <c r="JIY48" s="287"/>
      <c r="JIZ48" s="287"/>
      <c r="JJA48" s="287"/>
      <c r="JJB48" s="287"/>
      <c r="JJC48" s="287"/>
      <c r="JJD48" s="287"/>
      <c r="JJE48" s="287"/>
      <c r="JJF48" s="287"/>
      <c r="JJG48" s="287"/>
      <c r="JJH48" s="287"/>
      <c r="JJI48" s="287"/>
      <c r="JJJ48" s="287"/>
      <c r="JJK48" s="287"/>
      <c r="JJL48" s="287"/>
      <c r="JJM48" s="287"/>
      <c r="JJN48" s="287"/>
      <c r="JJO48" s="287"/>
      <c r="JJP48" s="287"/>
      <c r="JJQ48" s="287"/>
      <c r="JJR48" s="287"/>
      <c r="JJS48" s="287"/>
      <c r="JJT48" s="287"/>
      <c r="JJU48" s="287"/>
      <c r="JJV48" s="287"/>
      <c r="JJW48" s="287"/>
      <c r="JJX48" s="287"/>
      <c r="JJY48" s="287"/>
      <c r="JJZ48" s="287"/>
      <c r="JKA48" s="287"/>
      <c r="JKB48" s="287"/>
      <c r="JKC48" s="287"/>
      <c r="JKD48" s="287"/>
      <c r="JKE48" s="287"/>
      <c r="JKF48" s="287"/>
      <c r="JKG48" s="287"/>
      <c r="JKH48" s="287"/>
      <c r="JKI48" s="287"/>
      <c r="JKJ48" s="287"/>
      <c r="JKK48" s="287"/>
      <c r="JKL48" s="287"/>
      <c r="JKM48" s="287"/>
      <c r="JKN48" s="287"/>
      <c r="JKO48" s="287"/>
      <c r="JKP48" s="287"/>
      <c r="JKQ48" s="287"/>
      <c r="JKR48" s="287"/>
      <c r="JKS48" s="287"/>
      <c r="JKT48" s="287"/>
      <c r="JKU48" s="287"/>
      <c r="JKV48" s="287"/>
      <c r="JKW48" s="287"/>
      <c r="JKX48" s="287"/>
      <c r="JKY48" s="287"/>
      <c r="JKZ48" s="287"/>
      <c r="JLA48" s="287"/>
      <c r="JLB48" s="287"/>
      <c r="JLC48" s="287"/>
      <c r="JLD48" s="287"/>
      <c r="JLE48" s="287"/>
      <c r="JLF48" s="287"/>
      <c r="JLG48" s="287"/>
      <c r="JLH48" s="287"/>
      <c r="JLI48" s="287"/>
      <c r="JLJ48" s="287"/>
      <c r="JLK48" s="287"/>
      <c r="JLL48" s="287"/>
      <c r="JLM48" s="287"/>
      <c r="JLN48" s="287"/>
      <c r="JLO48" s="287"/>
      <c r="JLP48" s="287"/>
      <c r="JLQ48" s="287"/>
      <c r="JLR48" s="287"/>
      <c r="JLS48" s="287"/>
      <c r="JLT48" s="287"/>
      <c r="JLU48" s="287"/>
      <c r="JLV48" s="287"/>
      <c r="JLW48" s="287"/>
      <c r="JLX48" s="287"/>
      <c r="JLY48" s="287"/>
      <c r="JLZ48" s="287"/>
      <c r="JMA48" s="287"/>
      <c r="JMB48" s="287"/>
      <c r="JMC48" s="287"/>
      <c r="JMD48" s="287"/>
      <c r="JME48" s="287"/>
      <c r="JMF48" s="287"/>
      <c r="JMG48" s="287"/>
      <c r="JMH48" s="287"/>
      <c r="JMI48" s="287"/>
      <c r="JMJ48" s="287"/>
      <c r="JMK48" s="287"/>
      <c r="JML48" s="287"/>
      <c r="JMM48" s="287"/>
      <c r="JMN48" s="287"/>
      <c r="JMO48" s="287"/>
      <c r="JMP48" s="287"/>
      <c r="JMQ48" s="287"/>
      <c r="JMR48" s="287"/>
      <c r="JMS48" s="287"/>
      <c r="JMT48" s="287"/>
      <c r="JMU48" s="287"/>
      <c r="JMV48" s="287"/>
      <c r="JMW48" s="287"/>
      <c r="JMX48" s="287"/>
      <c r="JMY48" s="287"/>
      <c r="JMZ48" s="287"/>
      <c r="JNA48" s="287"/>
      <c r="JNB48" s="287"/>
      <c r="JNC48" s="287"/>
      <c r="JND48" s="287"/>
      <c r="JNE48" s="287"/>
      <c r="JNF48" s="287"/>
      <c r="JNG48" s="287"/>
      <c r="JNH48" s="287"/>
      <c r="JNI48" s="287"/>
      <c r="JNJ48" s="287"/>
      <c r="JNK48" s="287"/>
      <c r="JNL48" s="287"/>
      <c r="JNM48" s="287"/>
      <c r="JNN48" s="287"/>
      <c r="JNO48" s="287"/>
      <c r="JNP48" s="287"/>
      <c r="JNQ48" s="287"/>
      <c r="JNR48" s="287"/>
      <c r="JNS48" s="287"/>
      <c r="JNT48" s="287"/>
      <c r="JNU48" s="287"/>
      <c r="JNV48" s="287"/>
      <c r="JNW48" s="287"/>
      <c r="JNX48" s="287"/>
      <c r="JNY48" s="287"/>
      <c r="JNZ48" s="287"/>
      <c r="JOA48" s="287"/>
      <c r="JOB48" s="287"/>
      <c r="JOC48" s="287"/>
      <c r="JOD48" s="287"/>
      <c r="JOE48" s="287"/>
      <c r="JOF48" s="287"/>
      <c r="JOG48" s="287"/>
      <c r="JOH48" s="287"/>
      <c r="JOI48" s="287"/>
      <c r="JOJ48" s="287"/>
      <c r="JOK48" s="287"/>
      <c r="JOL48" s="287"/>
      <c r="JOM48" s="287"/>
      <c r="JON48" s="287"/>
      <c r="JOO48" s="287"/>
      <c r="JOP48" s="287"/>
      <c r="JOQ48" s="287"/>
      <c r="JOR48" s="287"/>
      <c r="JOS48" s="287"/>
      <c r="JOT48" s="287"/>
      <c r="JOU48" s="287"/>
      <c r="JOV48" s="287"/>
      <c r="JOW48" s="287"/>
      <c r="JOX48" s="287"/>
      <c r="JOY48" s="287"/>
      <c r="JOZ48" s="287"/>
      <c r="JPA48" s="287"/>
      <c r="JPB48" s="287"/>
      <c r="JPC48" s="287"/>
      <c r="JPD48" s="287"/>
      <c r="JPE48" s="287"/>
      <c r="JPF48" s="287"/>
      <c r="JPG48" s="287"/>
      <c r="JPH48" s="287"/>
      <c r="JPI48" s="287"/>
      <c r="JPJ48" s="287"/>
      <c r="JPK48" s="287"/>
      <c r="JPL48" s="287"/>
      <c r="JPM48" s="287"/>
      <c r="JPN48" s="287"/>
      <c r="JPO48" s="287"/>
      <c r="JPP48" s="287"/>
      <c r="JPQ48" s="287"/>
      <c r="JPR48" s="287"/>
      <c r="JPS48" s="287"/>
      <c r="JPT48" s="287"/>
      <c r="JPU48" s="287"/>
      <c r="JPV48" s="287"/>
      <c r="JPW48" s="287"/>
      <c r="JPX48" s="287"/>
      <c r="JPY48" s="287"/>
      <c r="JPZ48" s="287"/>
      <c r="JQA48" s="287"/>
      <c r="JQB48" s="287"/>
      <c r="JQC48" s="287"/>
      <c r="JQD48" s="287"/>
      <c r="JQE48" s="287"/>
      <c r="JQF48" s="287"/>
      <c r="JQG48" s="287"/>
      <c r="JQH48" s="287"/>
      <c r="JQI48" s="287"/>
      <c r="JQJ48" s="287"/>
      <c r="JQK48" s="287"/>
      <c r="JQL48" s="287"/>
      <c r="JQM48" s="287"/>
      <c r="JQN48" s="287"/>
      <c r="JQO48" s="287"/>
      <c r="JQP48" s="287"/>
      <c r="JQQ48" s="287"/>
      <c r="JQR48" s="287"/>
      <c r="JQS48" s="287"/>
      <c r="JQT48" s="287"/>
      <c r="JQU48" s="287"/>
      <c r="JQV48" s="287"/>
      <c r="JQW48" s="287"/>
      <c r="JQX48" s="287"/>
      <c r="JQY48" s="287"/>
      <c r="JQZ48" s="287"/>
      <c r="JRA48" s="287"/>
      <c r="JRB48" s="287"/>
      <c r="JRC48" s="287"/>
      <c r="JRD48" s="287"/>
      <c r="JRE48" s="287"/>
      <c r="JRF48" s="287"/>
      <c r="JRG48" s="287"/>
      <c r="JRH48" s="287"/>
      <c r="JRI48" s="287"/>
      <c r="JRJ48" s="287"/>
      <c r="JRK48" s="287"/>
      <c r="JRL48" s="287"/>
      <c r="JRM48" s="287"/>
      <c r="JRN48" s="287"/>
      <c r="JRO48" s="287"/>
      <c r="JRP48" s="287"/>
      <c r="JRQ48" s="287"/>
      <c r="JRR48" s="287"/>
      <c r="JRS48" s="287"/>
      <c r="JRT48" s="287"/>
      <c r="JRU48" s="287"/>
      <c r="JRV48" s="287"/>
      <c r="JRW48" s="287"/>
      <c r="JRX48" s="287"/>
      <c r="JRY48" s="287"/>
      <c r="JRZ48" s="287"/>
      <c r="JSA48" s="287"/>
      <c r="JSB48" s="287"/>
      <c r="JSC48" s="287"/>
      <c r="JSD48" s="287"/>
      <c r="JSE48" s="287"/>
      <c r="JSF48" s="287"/>
      <c r="JSG48" s="287"/>
      <c r="JSH48" s="287"/>
      <c r="JSI48" s="287"/>
      <c r="JSJ48" s="287"/>
      <c r="JSK48" s="287"/>
      <c r="JSL48" s="287"/>
      <c r="JSM48" s="287"/>
      <c r="JSN48" s="287"/>
      <c r="JSO48" s="287"/>
      <c r="JSP48" s="287"/>
      <c r="JSQ48" s="287"/>
      <c r="JSR48" s="287"/>
      <c r="JSS48" s="287"/>
      <c r="JST48" s="287"/>
      <c r="JSU48" s="287"/>
      <c r="JSV48" s="287"/>
      <c r="JSW48" s="287"/>
      <c r="JSX48" s="287"/>
      <c r="JSY48" s="287"/>
      <c r="JSZ48" s="287"/>
      <c r="JTA48" s="287"/>
      <c r="JTB48" s="287"/>
      <c r="JTC48" s="287"/>
      <c r="JTD48" s="287"/>
      <c r="JTE48" s="287"/>
      <c r="JTF48" s="287"/>
      <c r="JTG48" s="287"/>
      <c r="JTH48" s="287"/>
      <c r="JTI48" s="287"/>
      <c r="JTJ48" s="287"/>
      <c r="JTK48" s="287"/>
      <c r="JTL48" s="287"/>
      <c r="JTM48" s="287"/>
      <c r="JTN48" s="287"/>
      <c r="JTO48" s="287"/>
      <c r="JTP48" s="287"/>
      <c r="JTQ48" s="287"/>
      <c r="JTR48" s="287"/>
      <c r="JTS48" s="287"/>
      <c r="JTT48" s="287"/>
      <c r="JTU48" s="287"/>
      <c r="JTV48" s="287"/>
      <c r="JTW48" s="287"/>
      <c r="JTX48" s="287"/>
      <c r="JTY48" s="287"/>
      <c r="JTZ48" s="287"/>
      <c r="JUA48" s="287"/>
      <c r="JUB48" s="287"/>
      <c r="JUC48" s="287"/>
      <c r="JUD48" s="287"/>
      <c r="JUE48" s="287"/>
      <c r="JUF48" s="287"/>
      <c r="JUG48" s="287"/>
      <c r="JUH48" s="287"/>
      <c r="JUI48" s="287"/>
      <c r="JUJ48" s="287"/>
      <c r="JUK48" s="287"/>
      <c r="JUL48" s="287"/>
      <c r="JUM48" s="287"/>
      <c r="JUN48" s="287"/>
      <c r="JUO48" s="287"/>
      <c r="JUP48" s="287"/>
      <c r="JUQ48" s="287"/>
      <c r="JUR48" s="287"/>
      <c r="JUS48" s="287"/>
      <c r="JUT48" s="287"/>
      <c r="JUU48" s="287"/>
      <c r="JUV48" s="287"/>
      <c r="JUW48" s="287"/>
      <c r="JUX48" s="287"/>
      <c r="JUY48" s="287"/>
      <c r="JUZ48" s="287"/>
      <c r="JVA48" s="287"/>
      <c r="JVB48" s="287"/>
      <c r="JVC48" s="287"/>
      <c r="JVD48" s="287"/>
      <c r="JVE48" s="287"/>
      <c r="JVF48" s="287"/>
      <c r="JVG48" s="287"/>
      <c r="JVH48" s="287"/>
      <c r="JVI48" s="287"/>
      <c r="JVJ48" s="287"/>
      <c r="JVK48" s="287"/>
      <c r="JVL48" s="287"/>
      <c r="JVM48" s="287"/>
      <c r="JVN48" s="287"/>
      <c r="JVO48" s="287"/>
      <c r="JVP48" s="287"/>
      <c r="JVQ48" s="287"/>
      <c r="JVR48" s="287"/>
      <c r="JVS48" s="287"/>
      <c r="JVT48" s="287"/>
      <c r="JVU48" s="287"/>
      <c r="JVV48" s="287"/>
      <c r="JVW48" s="287"/>
      <c r="JVX48" s="287"/>
      <c r="JVY48" s="287"/>
      <c r="JVZ48" s="287"/>
      <c r="JWA48" s="287"/>
      <c r="JWB48" s="287"/>
      <c r="JWC48" s="287"/>
      <c r="JWD48" s="287"/>
      <c r="JWE48" s="287"/>
      <c r="JWF48" s="287"/>
      <c r="JWG48" s="287"/>
      <c r="JWH48" s="287"/>
      <c r="JWI48" s="287"/>
      <c r="JWJ48" s="287"/>
      <c r="JWK48" s="287"/>
      <c r="JWL48" s="287"/>
      <c r="JWM48" s="287"/>
      <c r="JWN48" s="287"/>
      <c r="JWO48" s="287"/>
      <c r="JWP48" s="287"/>
      <c r="JWQ48" s="287"/>
      <c r="JWR48" s="287"/>
      <c r="JWS48" s="287"/>
      <c r="JWT48" s="287"/>
      <c r="JWU48" s="287"/>
      <c r="JWV48" s="287"/>
      <c r="JWW48" s="287"/>
      <c r="JWX48" s="287"/>
      <c r="JWY48" s="287"/>
      <c r="JWZ48" s="287"/>
      <c r="JXA48" s="287"/>
      <c r="JXB48" s="287"/>
      <c r="JXC48" s="287"/>
      <c r="JXD48" s="287"/>
      <c r="JXE48" s="287"/>
      <c r="JXF48" s="287"/>
      <c r="JXG48" s="287"/>
      <c r="JXH48" s="287"/>
      <c r="JXI48" s="287"/>
      <c r="JXJ48" s="287"/>
      <c r="JXK48" s="287"/>
      <c r="JXL48" s="287"/>
      <c r="JXM48" s="287"/>
      <c r="JXN48" s="287"/>
      <c r="JXO48" s="287"/>
      <c r="JXP48" s="287"/>
      <c r="JXQ48" s="287"/>
      <c r="JXR48" s="287"/>
      <c r="JXS48" s="287"/>
      <c r="JXT48" s="287"/>
      <c r="JXU48" s="287"/>
      <c r="JXV48" s="287"/>
      <c r="JXW48" s="287"/>
      <c r="JXX48" s="287"/>
      <c r="JXY48" s="287"/>
      <c r="JXZ48" s="287"/>
      <c r="JYA48" s="287"/>
      <c r="JYB48" s="287"/>
      <c r="JYC48" s="287"/>
      <c r="JYD48" s="287"/>
      <c r="JYE48" s="287"/>
      <c r="JYF48" s="287"/>
      <c r="JYG48" s="287"/>
      <c r="JYH48" s="287"/>
      <c r="JYI48" s="287"/>
      <c r="JYJ48" s="287"/>
      <c r="JYK48" s="287"/>
      <c r="JYL48" s="287"/>
      <c r="JYM48" s="287"/>
      <c r="JYN48" s="287"/>
      <c r="JYO48" s="287"/>
      <c r="JYP48" s="287"/>
      <c r="JYQ48" s="287"/>
      <c r="JYR48" s="287"/>
      <c r="JYS48" s="287"/>
      <c r="JYT48" s="287"/>
      <c r="JYU48" s="287"/>
      <c r="JYV48" s="287"/>
      <c r="JYW48" s="287"/>
      <c r="JYX48" s="287"/>
      <c r="JYY48" s="287"/>
      <c r="JYZ48" s="287"/>
      <c r="JZA48" s="287"/>
      <c r="JZB48" s="287"/>
      <c r="JZC48" s="287"/>
      <c r="JZD48" s="287"/>
      <c r="JZE48" s="287"/>
      <c r="JZF48" s="287"/>
      <c r="JZG48" s="287"/>
      <c r="JZH48" s="287"/>
      <c r="JZI48" s="287"/>
      <c r="JZJ48" s="287"/>
      <c r="JZK48" s="287"/>
      <c r="JZL48" s="287"/>
      <c r="JZM48" s="287"/>
      <c r="JZN48" s="287"/>
      <c r="JZO48" s="287"/>
      <c r="JZP48" s="287"/>
      <c r="JZQ48" s="287"/>
      <c r="JZR48" s="287"/>
      <c r="JZS48" s="287"/>
      <c r="JZT48" s="287"/>
      <c r="JZU48" s="287"/>
      <c r="JZV48" s="287"/>
      <c r="JZW48" s="287"/>
      <c r="JZX48" s="287"/>
      <c r="JZY48" s="287"/>
      <c r="JZZ48" s="287"/>
      <c r="KAA48" s="287"/>
      <c r="KAB48" s="287"/>
      <c r="KAC48" s="287"/>
      <c r="KAD48" s="287"/>
      <c r="KAE48" s="287"/>
      <c r="KAF48" s="287"/>
      <c r="KAG48" s="287"/>
      <c r="KAH48" s="287"/>
      <c r="KAI48" s="287"/>
      <c r="KAJ48" s="287"/>
      <c r="KAK48" s="287"/>
      <c r="KAL48" s="287"/>
      <c r="KAM48" s="287"/>
      <c r="KAN48" s="287"/>
      <c r="KAO48" s="287"/>
      <c r="KAP48" s="287"/>
      <c r="KAQ48" s="287"/>
      <c r="KAR48" s="287"/>
      <c r="KAS48" s="287"/>
      <c r="KAT48" s="287"/>
      <c r="KAU48" s="287"/>
      <c r="KAV48" s="287"/>
      <c r="KAW48" s="287"/>
      <c r="KAX48" s="287"/>
      <c r="KAY48" s="287"/>
      <c r="KAZ48" s="287"/>
      <c r="KBA48" s="287"/>
      <c r="KBB48" s="287"/>
      <c r="KBC48" s="287"/>
      <c r="KBD48" s="287"/>
      <c r="KBE48" s="287"/>
      <c r="KBF48" s="287"/>
      <c r="KBG48" s="287"/>
      <c r="KBH48" s="287"/>
      <c r="KBI48" s="287"/>
      <c r="KBJ48" s="287"/>
      <c r="KBK48" s="287"/>
      <c r="KBL48" s="287"/>
      <c r="KBM48" s="287"/>
      <c r="KBN48" s="287"/>
      <c r="KBO48" s="287"/>
      <c r="KBP48" s="287"/>
      <c r="KBQ48" s="287"/>
      <c r="KBR48" s="287"/>
      <c r="KBS48" s="287"/>
      <c r="KBT48" s="287"/>
      <c r="KBU48" s="287"/>
      <c r="KBV48" s="287"/>
      <c r="KBW48" s="287"/>
      <c r="KBX48" s="287"/>
      <c r="KBY48" s="287"/>
      <c r="KBZ48" s="287"/>
      <c r="KCA48" s="287"/>
      <c r="KCB48" s="287"/>
      <c r="KCC48" s="287"/>
      <c r="KCD48" s="287"/>
      <c r="KCE48" s="287"/>
      <c r="KCF48" s="287"/>
      <c r="KCG48" s="287"/>
      <c r="KCH48" s="287"/>
      <c r="KCI48" s="287"/>
      <c r="KCJ48" s="287"/>
      <c r="KCK48" s="287"/>
      <c r="KCL48" s="287"/>
      <c r="KCM48" s="287"/>
      <c r="KCN48" s="287"/>
      <c r="KCO48" s="287"/>
      <c r="KCP48" s="287"/>
      <c r="KCQ48" s="287"/>
      <c r="KCR48" s="287"/>
      <c r="KCS48" s="287"/>
      <c r="KCT48" s="287"/>
      <c r="KCU48" s="287"/>
      <c r="KCV48" s="287"/>
      <c r="KCW48" s="287"/>
      <c r="KCX48" s="287"/>
      <c r="KCY48" s="287"/>
      <c r="KCZ48" s="287"/>
      <c r="KDA48" s="287"/>
      <c r="KDB48" s="287"/>
      <c r="KDC48" s="287"/>
      <c r="KDD48" s="287"/>
      <c r="KDE48" s="287"/>
      <c r="KDF48" s="287"/>
      <c r="KDG48" s="287"/>
      <c r="KDH48" s="287"/>
      <c r="KDI48" s="287"/>
      <c r="KDJ48" s="287"/>
      <c r="KDK48" s="287"/>
      <c r="KDL48" s="287"/>
      <c r="KDM48" s="287"/>
      <c r="KDN48" s="287"/>
      <c r="KDO48" s="287"/>
      <c r="KDP48" s="287"/>
      <c r="KDQ48" s="287"/>
      <c r="KDR48" s="287"/>
      <c r="KDS48" s="287"/>
      <c r="KDT48" s="287"/>
      <c r="KDU48" s="287"/>
      <c r="KDV48" s="287"/>
      <c r="KDW48" s="287"/>
      <c r="KDX48" s="287"/>
      <c r="KDY48" s="287"/>
      <c r="KDZ48" s="287"/>
      <c r="KEA48" s="287"/>
      <c r="KEB48" s="287"/>
      <c r="KEC48" s="287"/>
      <c r="KED48" s="287"/>
      <c r="KEE48" s="287"/>
      <c r="KEF48" s="287"/>
      <c r="KEG48" s="287"/>
      <c r="KEH48" s="287"/>
      <c r="KEI48" s="287"/>
      <c r="KEJ48" s="287"/>
      <c r="KEK48" s="287"/>
      <c r="KEL48" s="287"/>
      <c r="KEM48" s="287"/>
      <c r="KEN48" s="287"/>
      <c r="KEO48" s="287"/>
      <c r="KEP48" s="287"/>
      <c r="KEQ48" s="287"/>
      <c r="KER48" s="287"/>
      <c r="KES48" s="287"/>
      <c r="KET48" s="287"/>
      <c r="KEU48" s="287"/>
      <c r="KEV48" s="287"/>
      <c r="KEW48" s="287"/>
      <c r="KEX48" s="287"/>
      <c r="KEY48" s="287"/>
      <c r="KEZ48" s="287"/>
      <c r="KFA48" s="287"/>
      <c r="KFB48" s="287"/>
      <c r="KFC48" s="287"/>
      <c r="KFD48" s="287"/>
      <c r="KFE48" s="287"/>
      <c r="KFF48" s="287"/>
      <c r="KFG48" s="287"/>
      <c r="KFH48" s="287"/>
      <c r="KFI48" s="287"/>
      <c r="KFJ48" s="287"/>
      <c r="KFK48" s="287"/>
      <c r="KFL48" s="287"/>
      <c r="KFM48" s="287"/>
      <c r="KFN48" s="287"/>
      <c r="KFO48" s="287"/>
      <c r="KFP48" s="287"/>
      <c r="KFQ48" s="287"/>
      <c r="KFR48" s="287"/>
      <c r="KFS48" s="287"/>
      <c r="KFT48" s="287"/>
      <c r="KFU48" s="287"/>
      <c r="KFV48" s="287"/>
      <c r="KFW48" s="287"/>
      <c r="KFX48" s="287"/>
      <c r="KFY48" s="287"/>
      <c r="KFZ48" s="287"/>
      <c r="KGA48" s="287"/>
      <c r="KGB48" s="287"/>
      <c r="KGC48" s="287"/>
      <c r="KGD48" s="287"/>
      <c r="KGE48" s="287"/>
      <c r="KGF48" s="287"/>
      <c r="KGG48" s="287"/>
      <c r="KGH48" s="287"/>
      <c r="KGI48" s="287"/>
      <c r="KGJ48" s="287"/>
      <c r="KGK48" s="287"/>
      <c r="KGL48" s="287"/>
      <c r="KGM48" s="287"/>
      <c r="KGN48" s="287"/>
      <c r="KGO48" s="287"/>
      <c r="KGP48" s="287"/>
      <c r="KGQ48" s="287"/>
      <c r="KGR48" s="287"/>
      <c r="KGS48" s="287"/>
      <c r="KGT48" s="287"/>
      <c r="KGU48" s="287"/>
      <c r="KGV48" s="287"/>
      <c r="KGW48" s="287"/>
      <c r="KGX48" s="287"/>
      <c r="KGY48" s="287"/>
      <c r="KGZ48" s="287"/>
      <c r="KHA48" s="287"/>
      <c r="KHB48" s="287"/>
      <c r="KHC48" s="287"/>
      <c r="KHD48" s="287"/>
      <c r="KHE48" s="287"/>
      <c r="KHF48" s="287"/>
      <c r="KHG48" s="287"/>
      <c r="KHH48" s="287"/>
      <c r="KHI48" s="287"/>
      <c r="KHJ48" s="287"/>
      <c r="KHK48" s="287"/>
      <c r="KHL48" s="287"/>
      <c r="KHM48" s="287"/>
      <c r="KHN48" s="287"/>
      <c r="KHO48" s="287"/>
      <c r="KHP48" s="287"/>
      <c r="KHQ48" s="287"/>
      <c r="KHR48" s="287"/>
      <c r="KHS48" s="287"/>
      <c r="KHT48" s="287"/>
      <c r="KHU48" s="287"/>
      <c r="KHV48" s="287"/>
      <c r="KHW48" s="287"/>
      <c r="KHX48" s="287"/>
      <c r="KHY48" s="287"/>
      <c r="KHZ48" s="287"/>
      <c r="KIA48" s="287"/>
      <c r="KIB48" s="287"/>
      <c r="KIC48" s="287"/>
      <c r="KID48" s="287"/>
      <c r="KIE48" s="287"/>
      <c r="KIF48" s="287"/>
      <c r="KIG48" s="287"/>
      <c r="KIH48" s="287"/>
      <c r="KII48" s="287"/>
      <c r="KIJ48" s="287"/>
      <c r="KIK48" s="287"/>
      <c r="KIL48" s="287"/>
      <c r="KIM48" s="287"/>
      <c r="KIN48" s="287"/>
      <c r="KIO48" s="287"/>
      <c r="KIP48" s="287"/>
      <c r="KIQ48" s="287"/>
      <c r="KIR48" s="287"/>
      <c r="KIS48" s="287"/>
      <c r="KIT48" s="287"/>
      <c r="KIU48" s="287"/>
      <c r="KIV48" s="287"/>
      <c r="KIW48" s="287"/>
      <c r="KIX48" s="287"/>
      <c r="KIY48" s="287"/>
      <c r="KIZ48" s="287"/>
      <c r="KJA48" s="287"/>
      <c r="KJB48" s="287"/>
      <c r="KJC48" s="287"/>
      <c r="KJD48" s="287"/>
      <c r="KJE48" s="287"/>
      <c r="KJF48" s="287"/>
      <c r="KJG48" s="287"/>
      <c r="KJH48" s="287"/>
      <c r="KJI48" s="287"/>
      <c r="KJJ48" s="287"/>
      <c r="KJK48" s="287"/>
      <c r="KJL48" s="287"/>
      <c r="KJM48" s="287"/>
      <c r="KJN48" s="287"/>
      <c r="KJO48" s="287"/>
      <c r="KJP48" s="287"/>
      <c r="KJQ48" s="287"/>
      <c r="KJR48" s="287"/>
      <c r="KJS48" s="287"/>
      <c r="KJT48" s="287"/>
      <c r="KJU48" s="287"/>
      <c r="KJV48" s="287"/>
      <c r="KJW48" s="287"/>
      <c r="KJX48" s="287"/>
      <c r="KJY48" s="287"/>
      <c r="KJZ48" s="287"/>
      <c r="KKA48" s="287"/>
      <c r="KKB48" s="287"/>
      <c r="KKC48" s="287"/>
      <c r="KKD48" s="287"/>
      <c r="KKE48" s="287"/>
      <c r="KKF48" s="287"/>
      <c r="KKG48" s="287"/>
      <c r="KKH48" s="287"/>
      <c r="KKI48" s="287"/>
      <c r="KKJ48" s="287"/>
      <c r="KKK48" s="287"/>
      <c r="KKL48" s="287"/>
      <c r="KKM48" s="287"/>
      <c r="KKN48" s="287"/>
      <c r="KKO48" s="287"/>
      <c r="KKP48" s="287"/>
      <c r="KKQ48" s="287"/>
      <c r="KKR48" s="287"/>
      <c r="KKS48" s="287"/>
      <c r="KKT48" s="287"/>
      <c r="KKU48" s="287"/>
      <c r="KKV48" s="287"/>
      <c r="KKW48" s="287"/>
      <c r="KKX48" s="287"/>
      <c r="KKY48" s="287"/>
      <c r="KKZ48" s="287"/>
      <c r="KLA48" s="287"/>
      <c r="KLB48" s="287"/>
      <c r="KLC48" s="287"/>
      <c r="KLD48" s="287"/>
      <c r="KLE48" s="287"/>
      <c r="KLF48" s="287"/>
      <c r="KLG48" s="287"/>
      <c r="KLH48" s="287"/>
      <c r="KLI48" s="287"/>
      <c r="KLJ48" s="287"/>
      <c r="KLK48" s="287"/>
      <c r="KLL48" s="287"/>
      <c r="KLM48" s="287"/>
      <c r="KLN48" s="287"/>
      <c r="KLO48" s="287"/>
      <c r="KLP48" s="287"/>
      <c r="KLQ48" s="287"/>
      <c r="KLR48" s="287"/>
      <c r="KLS48" s="287"/>
      <c r="KLT48" s="287"/>
      <c r="KLU48" s="287"/>
      <c r="KLV48" s="287"/>
      <c r="KLW48" s="287"/>
      <c r="KLX48" s="287"/>
      <c r="KLY48" s="287"/>
      <c r="KLZ48" s="287"/>
      <c r="KMA48" s="287"/>
      <c r="KMB48" s="287"/>
      <c r="KMC48" s="287"/>
      <c r="KMD48" s="287"/>
      <c r="KME48" s="287"/>
      <c r="KMF48" s="287"/>
      <c r="KMG48" s="287"/>
      <c r="KMH48" s="287"/>
      <c r="KMI48" s="287"/>
      <c r="KMJ48" s="287"/>
      <c r="KMK48" s="287"/>
      <c r="KML48" s="287"/>
      <c r="KMM48" s="287"/>
      <c r="KMN48" s="287"/>
      <c r="KMO48" s="287"/>
      <c r="KMP48" s="287"/>
      <c r="KMQ48" s="287"/>
      <c r="KMR48" s="287"/>
      <c r="KMS48" s="287"/>
      <c r="KMT48" s="287"/>
      <c r="KMU48" s="287"/>
      <c r="KMV48" s="287"/>
      <c r="KMW48" s="287"/>
      <c r="KMX48" s="287"/>
      <c r="KMY48" s="287"/>
      <c r="KMZ48" s="287"/>
      <c r="KNA48" s="287"/>
      <c r="KNB48" s="287"/>
      <c r="KNC48" s="287"/>
      <c r="KND48" s="287"/>
      <c r="KNE48" s="287"/>
      <c r="KNF48" s="287"/>
      <c r="KNG48" s="287"/>
      <c r="KNH48" s="287"/>
      <c r="KNI48" s="287"/>
      <c r="KNJ48" s="287"/>
      <c r="KNK48" s="287"/>
      <c r="KNL48" s="287"/>
      <c r="KNM48" s="287"/>
      <c r="KNN48" s="287"/>
      <c r="KNO48" s="287"/>
      <c r="KNP48" s="287"/>
      <c r="KNQ48" s="287"/>
      <c r="KNR48" s="287"/>
      <c r="KNS48" s="287"/>
      <c r="KNT48" s="287"/>
      <c r="KNU48" s="287"/>
      <c r="KNV48" s="287"/>
      <c r="KNW48" s="287"/>
      <c r="KNX48" s="287"/>
      <c r="KNY48" s="287"/>
      <c r="KNZ48" s="287"/>
      <c r="KOA48" s="287"/>
      <c r="KOB48" s="287"/>
      <c r="KOC48" s="287"/>
      <c r="KOD48" s="287"/>
      <c r="KOE48" s="287"/>
      <c r="KOF48" s="287"/>
      <c r="KOG48" s="287"/>
      <c r="KOH48" s="287"/>
      <c r="KOI48" s="287"/>
      <c r="KOJ48" s="287"/>
      <c r="KOK48" s="287"/>
      <c r="KOL48" s="287"/>
      <c r="KOM48" s="287"/>
      <c r="KON48" s="287"/>
      <c r="KOO48" s="287"/>
      <c r="KOP48" s="287"/>
      <c r="KOQ48" s="287"/>
      <c r="KOR48" s="287"/>
      <c r="KOS48" s="287"/>
      <c r="KOT48" s="287"/>
      <c r="KOU48" s="287"/>
      <c r="KOV48" s="287"/>
      <c r="KOW48" s="287"/>
      <c r="KOX48" s="287"/>
      <c r="KOY48" s="287"/>
      <c r="KOZ48" s="287"/>
      <c r="KPA48" s="287"/>
      <c r="KPB48" s="287"/>
      <c r="KPC48" s="287"/>
      <c r="KPD48" s="287"/>
      <c r="KPE48" s="287"/>
      <c r="KPF48" s="287"/>
      <c r="KPG48" s="287"/>
      <c r="KPH48" s="287"/>
      <c r="KPI48" s="287"/>
      <c r="KPJ48" s="287"/>
      <c r="KPK48" s="287"/>
      <c r="KPL48" s="287"/>
      <c r="KPM48" s="287"/>
      <c r="KPN48" s="287"/>
      <c r="KPO48" s="287"/>
      <c r="KPP48" s="287"/>
      <c r="KPQ48" s="287"/>
      <c r="KPR48" s="287"/>
      <c r="KPS48" s="287"/>
      <c r="KPT48" s="287"/>
      <c r="KPU48" s="287"/>
      <c r="KPV48" s="287"/>
      <c r="KPW48" s="287"/>
      <c r="KPX48" s="287"/>
      <c r="KPY48" s="287"/>
      <c r="KPZ48" s="287"/>
      <c r="KQA48" s="287"/>
      <c r="KQB48" s="287"/>
      <c r="KQC48" s="287"/>
      <c r="KQD48" s="287"/>
      <c r="KQE48" s="287"/>
      <c r="KQF48" s="287"/>
      <c r="KQG48" s="287"/>
      <c r="KQH48" s="287"/>
      <c r="KQI48" s="287"/>
      <c r="KQJ48" s="287"/>
      <c r="KQK48" s="287"/>
      <c r="KQL48" s="287"/>
      <c r="KQM48" s="287"/>
      <c r="KQN48" s="287"/>
      <c r="KQO48" s="287"/>
      <c r="KQP48" s="287"/>
      <c r="KQQ48" s="287"/>
      <c r="KQR48" s="287"/>
      <c r="KQS48" s="287"/>
      <c r="KQT48" s="287"/>
      <c r="KQU48" s="287"/>
      <c r="KQV48" s="287"/>
      <c r="KQW48" s="287"/>
      <c r="KQX48" s="287"/>
      <c r="KQY48" s="287"/>
      <c r="KQZ48" s="287"/>
      <c r="KRA48" s="287"/>
      <c r="KRB48" s="287"/>
      <c r="KRC48" s="287"/>
      <c r="KRD48" s="287"/>
      <c r="KRE48" s="287"/>
      <c r="KRF48" s="287"/>
      <c r="KRG48" s="287"/>
      <c r="KRH48" s="287"/>
      <c r="KRI48" s="287"/>
      <c r="KRJ48" s="287"/>
      <c r="KRK48" s="287"/>
      <c r="KRL48" s="287"/>
      <c r="KRM48" s="287"/>
      <c r="KRN48" s="287"/>
      <c r="KRO48" s="287"/>
      <c r="KRP48" s="287"/>
      <c r="KRQ48" s="287"/>
      <c r="KRR48" s="287"/>
      <c r="KRS48" s="287"/>
      <c r="KRT48" s="287"/>
      <c r="KRU48" s="287"/>
      <c r="KRV48" s="287"/>
      <c r="KRW48" s="287"/>
      <c r="KRX48" s="287"/>
      <c r="KRY48" s="287"/>
      <c r="KRZ48" s="287"/>
      <c r="KSA48" s="287"/>
      <c r="KSB48" s="287"/>
      <c r="KSC48" s="287"/>
      <c r="KSD48" s="287"/>
      <c r="KSE48" s="287"/>
      <c r="KSF48" s="287"/>
      <c r="KSG48" s="287"/>
      <c r="KSH48" s="287"/>
      <c r="KSI48" s="287"/>
      <c r="KSJ48" s="287"/>
      <c r="KSK48" s="287"/>
      <c r="KSL48" s="287"/>
      <c r="KSM48" s="287"/>
      <c r="KSN48" s="287"/>
      <c r="KSO48" s="287"/>
      <c r="KSP48" s="287"/>
      <c r="KSQ48" s="287"/>
      <c r="KSR48" s="287"/>
      <c r="KSS48" s="287"/>
      <c r="KST48" s="287"/>
      <c r="KSU48" s="287"/>
      <c r="KSV48" s="287"/>
      <c r="KSW48" s="287"/>
      <c r="KSX48" s="287"/>
      <c r="KSY48" s="287"/>
      <c r="KSZ48" s="287"/>
      <c r="KTA48" s="287"/>
      <c r="KTB48" s="287"/>
      <c r="KTC48" s="287"/>
      <c r="KTD48" s="287"/>
      <c r="KTE48" s="287"/>
      <c r="KTF48" s="287"/>
      <c r="KTG48" s="287"/>
      <c r="KTH48" s="287"/>
      <c r="KTI48" s="287"/>
      <c r="KTJ48" s="287"/>
      <c r="KTK48" s="287"/>
      <c r="KTL48" s="287"/>
      <c r="KTM48" s="287"/>
      <c r="KTN48" s="287"/>
      <c r="KTO48" s="287"/>
      <c r="KTP48" s="287"/>
      <c r="KTQ48" s="287"/>
      <c r="KTR48" s="287"/>
      <c r="KTS48" s="287"/>
      <c r="KTT48" s="287"/>
      <c r="KTU48" s="287"/>
      <c r="KTV48" s="287"/>
      <c r="KTW48" s="287"/>
      <c r="KTX48" s="287"/>
      <c r="KTY48" s="287"/>
      <c r="KTZ48" s="287"/>
      <c r="KUA48" s="287"/>
      <c r="KUB48" s="287"/>
      <c r="KUC48" s="287"/>
      <c r="KUD48" s="287"/>
      <c r="KUE48" s="287"/>
      <c r="KUF48" s="287"/>
      <c r="KUG48" s="287"/>
      <c r="KUH48" s="287"/>
      <c r="KUI48" s="287"/>
      <c r="KUJ48" s="287"/>
      <c r="KUK48" s="287"/>
      <c r="KUL48" s="287"/>
      <c r="KUM48" s="287"/>
      <c r="KUN48" s="287"/>
      <c r="KUO48" s="287"/>
      <c r="KUP48" s="287"/>
      <c r="KUQ48" s="287"/>
      <c r="KUR48" s="287"/>
      <c r="KUS48" s="287"/>
      <c r="KUT48" s="287"/>
      <c r="KUU48" s="287"/>
      <c r="KUV48" s="287"/>
      <c r="KUW48" s="287"/>
      <c r="KUX48" s="287"/>
      <c r="KUY48" s="287"/>
      <c r="KUZ48" s="287"/>
      <c r="KVA48" s="287"/>
      <c r="KVB48" s="287"/>
      <c r="KVC48" s="287"/>
      <c r="KVD48" s="287"/>
      <c r="KVE48" s="287"/>
      <c r="KVF48" s="287"/>
      <c r="KVG48" s="287"/>
      <c r="KVH48" s="287"/>
      <c r="KVI48" s="287"/>
      <c r="KVJ48" s="287"/>
      <c r="KVK48" s="287"/>
      <c r="KVL48" s="287"/>
      <c r="KVM48" s="287"/>
      <c r="KVN48" s="287"/>
      <c r="KVO48" s="287"/>
      <c r="KVP48" s="287"/>
      <c r="KVQ48" s="287"/>
      <c r="KVR48" s="287"/>
      <c r="KVS48" s="287"/>
      <c r="KVT48" s="287"/>
      <c r="KVU48" s="287"/>
      <c r="KVV48" s="287"/>
      <c r="KVW48" s="287"/>
      <c r="KVX48" s="287"/>
      <c r="KVY48" s="287"/>
      <c r="KVZ48" s="287"/>
      <c r="KWA48" s="287"/>
      <c r="KWB48" s="287"/>
      <c r="KWC48" s="287"/>
      <c r="KWD48" s="287"/>
      <c r="KWE48" s="287"/>
      <c r="KWF48" s="287"/>
      <c r="KWG48" s="287"/>
      <c r="KWH48" s="287"/>
      <c r="KWI48" s="287"/>
      <c r="KWJ48" s="287"/>
      <c r="KWK48" s="287"/>
      <c r="KWL48" s="287"/>
      <c r="KWM48" s="287"/>
      <c r="KWN48" s="287"/>
      <c r="KWO48" s="287"/>
      <c r="KWP48" s="287"/>
      <c r="KWQ48" s="287"/>
      <c r="KWR48" s="287"/>
      <c r="KWS48" s="287"/>
      <c r="KWT48" s="287"/>
      <c r="KWU48" s="287"/>
      <c r="KWV48" s="287"/>
      <c r="KWW48" s="287"/>
      <c r="KWX48" s="287"/>
      <c r="KWY48" s="287"/>
      <c r="KWZ48" s="287"/>
      <c r="KXA48" s="287"/>
      <c r="KXB48" s="287"/>
      <c r="KXC48" s="287"/>
      <c r="KXD48" s="287"/>
      <c r="KXE48" s="287"/>
      <c r="KXF48" s="287"/>
      <c r="KXG48" s="287"/>
      <c r="KXH48" s="287"/>
      <c r="KXI48" s="287"/>
      <c r="KXJ48" s="287"/>
      <c r="KXK48" s="287"/>
      <c r="KXL48" s="287"/>
      <c r="KXM48" s="287"/>
      <c r="KXN48" s="287"/>
      <c r="KXO48" s="287"/>
      <c r="KXP48" s="287"/>
      <c r="KXQ48" s="287"/>
      <c r="KXR48" s="287"/>
      <c r="KXS48" s="287"/>
      <c r="KXT48" s="287"/>
      <c r="KXU48" s="287"/>
      <c r="KXV48" s="287"/>
      <c r="KXW48" s="287"/>
      <c r="KXX48" s="287"/>
      <c r="KXY48" s="287"/>
      <c r="KXZ48" s="287"/>
      <c r="KYA48" s="287"/>
      <c r="KYB48" s="287"/>
      <c r="KYC48" s="287"/>
      <c r="KYD48" s="287"/>
      <c r="KYE48" s="287"/>
      <c r="KYF48" s="287"/>
      <c r="KYG48" s="287"/>
      <c r="KYH48" s="287"/>
      <c r="KYI48" s="287"/>
      <c r="KYJ48" s="287"/>
      <c r="KYK48" s="287"/>
      <c r="KYL48" s="287"/>
      <c r="KYM48" s="287"/>
      <c r="KYN48" s="287"/>
      <c r="KYO48" s="287"/>
      <c r="KYP48" s="287"/>
      <c r="KYQ48" s="287"/>
      <c r="KYR48" s="287"/>
      <c r="KYS48" s="287"/>
      <c r="KYT48" s="287"/>
      <c r="KYU48" s="287"/>
      <c r="KYV48" s="287"/>
      <c r="KYW48" s="287"/>
      <c r="KYX48" s="287"/>
      <c r="KYY48" s="287"/>
      <c r="KYZ48" s="287"/>
      <c r="KZA48" s="287"/>
      <c r="KZB48" s="287"/>
      <c r="KZC48" s="287"/>
      <c r="KZD48" s="287"/>
      <c r="KZE48" s="287"/>
      <c r="KZF48" s="287"/>
      <c r="KZG48" s="287"/>
      <c r="KZH48" s="287"/>
      <c r="KZI48" s="287"/>
      <c r="KZJ48" s="287"/>
      <c r="KZK48" s="287"/>
      <c r="KZL48" s="287"/>
      <c r="KZM48" s="287"/>
      <c r="KZN48" s="287"/>
      <c r="KZO48" s="287"/>
      <c r="KZP48" s="287"/>
      <c r="KZQ48" s="287"/>
      <c r="KZR48" s="287"/>
      <c r="KZS48" s="287"/>
      <c r="KZT48" s="287"/>
      <c r="KZU48" s="287"/>
      <c r="KZV48" s="287"/>
      <c r="KZW48" s="287"/>
      <c r="KZX48" s="287"/>
      <c r="KZY48" s="287"/>
      <c r="KZZ48" s="287"/>
      <c r="LAA48" s="287"/>
      <c r="LAB48" s="287"/>
      <c r="LAC48" s="287"/>
      <c r="LAD48" s="287"/>
      <c r="LAE48" s="287"/>
      <c r="LAF48" s="287"/>
      <c r="LAG48" s="287"/>
      <c r="LAH48" s="287"/>
      <c r="LAI48" s="287"/>
      <c r="LAJ48" s="287"/>
      <c r="LAK48" s="287"/>
      <c r="LAL48" s="287"/>
      <c r="LAM48" s="287"/>
      <c r="LAN48" s="287"/>
      <c r="LAO48" s="287"/>
      <c r="LAP48" s="287"/>
      <c r="LAQ48" s="287"/>
      <c r="LAR48" s="287"/>
      <c r="LAS48" s="287"/>
      <c r="LAT48" s="287"/>
      <c r="LAU48" s="287"/>
      <c r="LAV48" s="287"/>
      <c r="LAW48" s="287"/>
      <c r="LAX48" s="287"/>
      <c r="LAY48" s="287"/>
      <c r="LAZ48" s="287"/>
      <c r="LBA48" s="287"/>
      <c r="LBB48" s="287"/>
      <c r="LBC48" s="287"/>
      <c r="LBD48" s="287"/>
      <c r="LBE48" s="287"/>
      <c r="LBF48" s="287"/>
      <c r="LBG48" s="287"/>
      <c r="LBH48" s="287"/>
      <c r="LBI48" s="287"/>
      <c r="LBJ48" s="287"/>
      <c r="LBK48" s="287"/>
      <c r="LBL48" s="287"/>
      <c r="LBM48" s="287"/>
      <c r="LBN48" s="287"/>
      <c r="LBO48" s="287"/>
      <c r="LBP48" s="287"/>
      <c r="LBQ48" s="287"/>
      <c r="LBR48" s="287"/>
      <c r="LBS48" s="287"/>
      <c r="LBT48" s="287"/>
      <c r="LBU48" s="287"/>
      <c r="LBV48" s="287"/>
      <c r="LBW48" s="287"/>
      <c r="LBX48" s="287"/>
      <c r="LBY48" s="287"/>
      <c r="LBZ48" s="287"/>
      <c r="LCA48" s="287"/>
      <c r="LCB48" s="287"/>
      <c r="LCC48" s="287"/>
      <c r="LCD48" s="287"/>
      <c r="LCE48" s="287"/>
      <c r="LCF48" s="287"/>
      <c r="LCG48" s="287"/>
      <c r="LCH48" s="287"/>
      <c r="LCI48" s="287"/>
      <c r="LCJ48" s="287"/>
      <c r="LCK48" s="287"/>
      <c r="LCL48" s="287"/>
      <c r="LCM48" s="287"/>
      <c r="LCN48" s="287"/>
      <c r="LCO48" s="287"/>
      <c r="LCP48" s="287"/>
      <c r="LCQ48" s="287"/>
      <c r="LCR48" s="287"/>
      <c r="LCS48" s="287"/>
      <c r="LCT48" s="287"/>
      <c r="LCU48" s="287"/>
      <c r="LCV48" s="287"/>
      <c r="LCW48" s="287"/>
      <c r="LCX48" s="287"/>
      <c r="LCY48" s="287"/>
      <c r="LCZ48" s="287"/>
      <c r="LDA48" s="287"/>
      <c r="LDB48" s="287"/>
      <c r="LDC48" s="287"/>
      <c r="LDD48" s="287"/>
      <c r="LDE48" s="287"/>
      <c r="LDF48" s="287"/>
      <c r="LDG48" s="287"/>
      <c r="LDH48" s="287"/>
      <c r="LDI48" s="287"/>
      <c r="LDJ48" s="287"/>
      <c r="LDK48" s="287"/>
      <c r="LDL48" s="287"/>
      <c r="LDM48" s="287"/>
      <c r="LDN48" s="287"/>
      <c r="LDO48" s="287"/>
      <c r="LDP48" s="287"/>
      <c r="LDQ48" s="287"/>
      <c r="LDR48" s="287"/>
      <c r="LDS48" s="287"/>
      <c r="LDT48" s="287"/>
      <c r="LDU48" s="287"/>
      <c r="LDV48" s="287"/>
      <c r="LDW48" s="287"/>
      <c r="LDX48" s="287"/>
      <c r="LDY48" s="287"/>
      <c r="LDZ48" s="287"/>
      <c r="LEA48" s="287"/>
      <c r="LEB48" s="287"/>
      <c r="LEC48" s="287"/>
      <c r="LED48" s="287"/>
      <c r="LEE48" s="287"/>
      <c r="LEF48" s="287"/>
      <c r="LEG48" s="287"/>
      <c r="LEH48" s="287"/>
      <c r="LEI48" s="287"/>
      <c r="LEJ48" s="287"/>
      <c r="LEK48" s="287"/>
      <c r="LEL48" s="287"/>
      <c r="LEM48" s="287"/>
      <c r="LEN48" s="287"/>
      <c r="LEO48" s="287"/>
      <c r="LEP48" s="287"/>
      <c r="LEQ48" s="287"/>
      <c r="LER48" s="287"/>
      <c r="LES48" s="287"/>
      <c r="LET48" s="287"/>
      <c r="LEU48" s="287"/>
      <c r="LEV48" s="287"/>
      <c r="LEW48" s="287"/>
      <c r="LEX48" s="287"/>
      <c r="LEY48" s="287"/>
      <c r="LEZ48" s="287"/>
      <c r="LFA48" s="287"/>
      <c r="LFB48" s="287"/>
      <c r="LFC48" s="287"/>
      <c r="LFD48" s="287"/>
      <c r="LFE48" s="287"/>
      <c r="LFF48" s="287"/>
      <c r="LFG48" s="287"/>
      <c r="LFH48" s="287"/>
      <c r="LFI48" s="287"/>
      <c r="LFJ48" s="287"/>
      <c r="LFK48" s="287"/>
      <c r="LFL48" s="287"/>
      <c r="LFM48" s="287"/>
      <c r="LFN48" s="287"/>
      <c r="LFO48" s="287"/>
      <c r="LFP48" s="287"/>
      <c r="LFQ48" s="287"/>
      <c r="LFR48" s="287"/>
      <c r="LFS48" s="287"/>
      <c r="LFT48" s="287"/>
      <c r="LFU48" s="287"/>
      <c r="LFV48" s="287"/>
      <c r="LFW48" s="287"/>
      <c r="LFX48" s="287"/>
      <c r="LFY48" s="287"/>
      <c r="LFZ48" s="287"/>
      <c r="LGA48" s="287"/>
      <c r="LGB48" s="287"/>
      <c r="LGC48" s="287"/>
      <c r="LGD48" s="287"/>
      <c r="LGE48" s="287"/>
      <c r="LGF48" s="287"/>
      <c r="LGG48" s="287"/>
      <c r="LGH48" s="287"/>
      <c r="LGI48" s="287"/>
      <c r="LGJ48" s="287"/>
      <c r="LGK48" s="287"/>
      <c r="LGL48" s="287"/>
      <c r="LGM48" s="287"/>
      <c r="LGN48" s="287"/>
      <c r="LGO48" s="287"/>
      <c r="LGP48" s="287"/>
      <c r="LGQ48" s="287"/>
      <c r="LGR48" s="287"/>
      <c r="LGS48" s="287"/>
      <c r="LGT48" s="287"/>
      <c r="LGU48" s="287"/>
      <c r="LGV48" s="287"/>
      <c r="LGW48" s="287"/>
      <c r="LGX48" s="287"/>
      <c r="LGY48" s="287"/>
      <c r="LGZ48" s="287"/>
      <c r="LHA48" s="287"/>
      <c r="LHB48" s="287"/>
      <c r="LHC48" s="287"/>
      <c r="LHD48" s="287"/>
      <c r="LHE48" s="287"/>
      <c r="LHF48" s="287"/>
      <c r="LHG48" s="287"/>
      <c r="LHH48" s="287"/>
      <c r="LHI48" s="287"/>
      <c r="LHJ48" s="287"/>
      <c r="LHK48" s="287"/>
      <c r="LHL48" s="287"/>
      <c r="LHM48" s="287"/>
      <c r="LHN48" s="287"/>
      <c r="LHO48" s="287"/>
      <c r="LHP48" s="287"/>
      <c r="LHQ48" s="287"/>
      <c r="LHR48" s="287"/>
      <c r="LHS48" s="287"/>
      <c r="LHT48" s="287"/>
      <c r="LHU48" s="287"/>
      <c r="LHV48" s="287"/>
      <c r="LHW48" s="287"/>
      <c r="LHX48" s="287"/>
      <c r="LHY48" s="287"/>
      <c r="LHZ48" s="287"/>
      <c r="LIA48" s="287"/>
      <c r="LIB48" s="287"/>
      <c r="LIC48" s="287"/>
      <c r="LID48" s="287"/>
      <c r="LIE48" s="287"/>
      <c r="LIF48" s="287"/>
      <c r="LIG48" s="287"/>
      <c r="LIH48" s="287"/>
      <c r="LII48" s="287"/>
      <c r="LIJ48" s="287"/>
      <c r="LIK48" s="287"/>
      <c r="LIL48" s="287"/>
      <c r="LIM48" s="287"/>
      <c r="LIN48" s="287"/>
      <c r="LIO48" s="287"/>
      <c r="LIP48" s="287"/>
      <c r="LIQ48" s="287"/>
      <c r="LIR48" s="287"/>
      <c r="LIS48" s="287"/>
      <c r="LIT48" s="287"/>
      <c r="LIU48" s="287"/>
      <c r="LIV48" s="287"/>
      <c r="LIW48" s="287"/>
      <c r="LIX48" s="287"/>
      <c r="LIY48" s="287"/>
      <c r="LIZ48" s="287"/>
      <c r="LJA48" s="287"/>
      <c r="LJB48" s="287"/>
      <c r="LJC48" s="287"/>
      <c r="LJD48" s="287"/>
      <c r="LJE48" s="287"/>
      <c r="LJF48" s="287"/>
      <c r="LJG48" s="287"/>
      <c r="LJH48" s="287"/>
      <c r="LJI48" s="287"/>
      <c r="LJJ48" s="287"/>
      <c r="LJK48" s="287"/>
      <c r="LJL48" s="287"/>
      <c r="LJM48" s="287"/>
      <c r="LJN48" s="287"/>
      <c r="LJO48" s="287"/>
      <c r="LJP48" s="287"/>
      <c r="LJQ48" s="287"/>
      <c r="LJR48" s="287"/>
      <c r="LJS48" s="287"/>
      <c r="LJT48" s="287"/>
      <c r="LJU48" s="287"/>
      <c r="LJV48" s="287"/>
      <c r="LJW48" s="287"/>
      <c r="LJX48" s="287"/>
      <c r="LJY48" s="287"/>
      <c r="LJZ48" s="287"/>
      <c r="LKA48" s="287"/>
      <c r="LKB48" s="287"/>
      <c r="LKC48" s="287"/>
      <c r="LKD48" s="287"/>
      <c r="LKE48" s="287"/>
      <c r="LKF48" s="287"/>
      <c r="LKG48" s="287"/>
      <c r="LKH48" s="287"/>
      <c r="LKI48" s="287"/>
      <c r="LKJ48" s="287"/>
      <c r="LKK48" s="287"/>
      <c r="LKL48" s="287"/>
      <c r="LKM48" s="287"/>
      <c r="LKN48" s="287"/>
      <c r="LKO48" s="287"/>
      <c r="LKP48" s="287"/>
      <c r="LKQ48" s="287"/>
      <c r="LKR48" s="287"/>
      <c r="LKS48" s="287"/>
      <c r="LKT48" s="287"/>
      <c r="LKU48" s="287"/>
      <c r="LKV48" s="287"/>
      <c r="LKW48" s="287"/>
      <c r="LKX48" s="287"/>
      <c r="LKY48" s="287"/>
      <c r="LKZ48" s="287"/>
      <c r="LLA48" s="287"/>
      <c r="LLB48" s="287"/>
      <c r="LLC48" s="287"/>
      <c r="LLD48" s="287"/>
      <c r="LLE48" s="287"/>
      <c r="LLF48" s="287"/>
      <c r="LLG48" s="287"/>
      <c r="LLH48" s="287"/>
      <c r="LLI48" s="287"/>
      <c r="LLJ48" s="287"/>
      <c r="LLK48" s="287"/>
      <c r="LLL48" s="287"/>
      <c r="LLM48" s="287"/>
      <c r="LLN48" s="287"/>
      <c r="LLO48" s="287"/>
      <c r="LLP48" s="287"/>
      <c r="LLQ48" s="287"/>
      <c r="LLR48" s="287"/>
      <c r="LLS48" s="287"/>
      <c r="LLT48" s="287"/>
      <c r="LLU48" s="287"/>
      <c r="LLV48" s="287"/>
      <c r="LLW48" s="287"/>
      <c r="LLX48" s="287"/>
      <c r="LLY48" s="287"/>
      <c r="LLZ48" s="287"/>
      <c r="LMA48" s="287"/>
      <c r="LMB48" s="287"/>
      <c r="LMC48" s="287"/>
      <c r="LMD48" s="287"/>
      <c r="LME48" s="287"/>
      <c r="LMF48" s="287"/>
      <c r="LMG48" s="287"/>
      <c r="LMH48" s="287"/>
      <c r="LMI48" s="287"/>
      <c r="LMJ48" s="287"/>
      <c r="LMK48" s="287"/>
      <c r="LML48" s="287"/>
      <c r="LMM48" s="287"/>
      <c r="LMN48" s="287"/>
      <c r="LMO48" s="287"/>
      <c r="LMP48" s="287"/>
      <c r="LMQ48" s="287"/>
      <c r="LMR48" s="287"/>
      <c r="LMS48" s="287"/>
      <c r="LMT48" s="287"/>
      <c r="LMU48" s="287"/>
      <c r="LMV48" s="287"/>
      <c r="LMW48" s="287"/>
      <c r="LMX48" s="287"/>
      <c r="LMY48" s="287"/>
      <c r="LMZ48" s="287"/>
      <c r="LNA48" s="287"/>
      <c r="LNB48" s="287"/>
      <c r="LNC48" s="287"/>
      <c r="LND48" s="287"/>
      <c r="LNE48" s="287"/>
      <c r="LNF48" s="287"/>
      <c r="LNG48" s="287"/>
      <c r="LNH48" s="287"/>
      <c r="LNI48" s="287"/>
      <c r="LNJ48" s="287"/>
      <c r="LNK48" s="287"/>
      <c r="LNL48" s="287"/>
      <c r="LNM48" s="287"/>
      <c r="LNN48" s="287"/>
      <c r="LNO48" s="287"/>
      <c r="LNP48" s="287"/>
      <c r="LNQ48" s="287"/>
      <c r="LNR48" s="287"/>
      <c r="LNS48" s="287"/>
      <c r="LNT48" s="287"/>
      <c r="LNU48" s="287"/>
      <c r="LNV48" s="287"/>
      <c r="LNW48" s="287"/>
      <c r="LNX48" s="287"/>
      <c r="LNY48" s="287"/>
      <c r="LNZ48" s="287"/>
      <c r="LOA48" s="287"/>
      <c r="LOB48" s="287"/>
      <c r="LOC48" s="287"/>
      <c r="LOD48" s="287"/>
      <c r="LOE48" s="287"/>
      <c r="LOF48" s="287"/>
      <c r="LOG48" s="287"/>
      <c r="LOH48" s="287"/>
      <c r="LOI48" s="287"/>
      <c r="LOJ48" s="287"/>
      <c r="LOK48" s="287"/>
      <c r="LOL48" s="287"/>
      <c r="LOM48" s="287"/>
      <c r="LON48" s="287"/>
      <c r="LOO48" s="287"/>
      <c r="LOP48" s="287"/>
      <c r="LOQ48" s="287"/>
      <c r="LOR48" s="287"/>
      <c r="LOS48" s="287"/>
      <c r="LOT48" s="287"/>
      <c r="LOU48" s="287"/>
      <c r="LOV48" s="287"/>
      <c r="LOW48" s="287"/>
      <c r="LOX48" s="287"/>
      <c r="LOY48" s="287"/>
      <c r="LOZ48" s="287"/>
      <c r="LPA48" s="287"/>
      <c r="LPB48" s="287"/>
      <c r="LPC48" s="287"/>
      <c r="LPD48" s="287"/>
      <c r="LPE48" s="287"/>
      <c r="LPF48" s="287"/>
      <c r="LPG48" s="287"/>
      <c r="LPH48" s="287"/>
      <c r="LPI48" s="287"/>
      <c r="LPJ48" s="287"/>
      <c r="LPK48" s="287"/>
      <c r="LPL48" s="287"/>
      <c r="LPM48" s="287"/>
      <c r="LPN48" s="287"/>
      <c r="LPO48" s="287"/>
      <c r="LPP48" s="287"/>
      <c r="LPQ48" s="287"/>
      <c r="LPR48" s="287"/>
      <c r="LPS48" s="287"/>
      <c r="LPT48" s="287"/>
      <c r="LPU48" s="287"/>
      <c r="LPV48" s="287"/>
      <c r="LPW48" s="287"/>
      <c r="LPX48" s="287"/>
      <c r="LPY48" s="287"/>
      <c r="LPZ48" s="287"/>
      <c r="LQA48" s="287"/>
      <c r="LQB48" s="287"/>
      <c r="LQC48" s="287"/>
      <c r="LQD48" s="287"/>
      <c r="LQE48" s="287"/>
      <c r="LQF48" s="287"/>
      <c r="LQG48" s="287"/>
      <c r="LQH48" s="287"/>
      <c r="LQI48" s="287"/>
      <c r="LQJ48" s="287"/>
      <c r="LQK48" s="287"/>
      <c r="LQL48" s="287"/>
      <c r="LQM48" s="287"/>
      <c r="LQN48" s="287"/>
      <c r="LQO48" s="287"/>
      <c r="LQP48" s="287"/>
      <c r="LQQ48" s="287"/>
      <c r="LQR48" s="287"/>
      <c r="LQS48" s="287"/>
      <c r="LQT48" s="287"/>
      <c r="LQU48" s="287"/>
      <c r="LQV48" s="287"/>
      <c r="LQW48" s="287"/>
      <c r="LQX48" s="287"/>
      <c r="LQY48" s="287"/>
      <c r="LQZ48" s="287"/>
      <c r="LRA48" s="287"/>
      <c r="LRB48" s="287"/>
      <c r="LRC48" s="287"/>
      <c r="LRD48" s="287"/>
      <c r="LRE48" s="287"/>
      <c r="LRF48" s="287"/>
      <c r="LRG48" s="287"/>
      <c r="LRH48" s="287"/>
      <c r="LRI48" s="287"/>
      <c r="LRJ48" s="287"/>
      <c r="LRK48" s="287"/>
      <c r="LRL48" s="287"/>
      <c r="LRM48" s="287"/>
      <c r="LRN48" s="287"/>
      <c r="LRO48" s="287"/>
      <c r="LRP48" s="287"/>
      <c r="LRQ48" s="287"/>
      <c r="LRR48" s="287"/>
      <c r="LRS48" s="287"/>
      <c r="LRT48" s="287"/>
      <c r="LRU48" s="287"/>
      <c r="LRV48" s="287"/>
      <c r="LRW48" s="287"/>
      <c r="LRX48" s="287"/>
      <c r="LRY48" s="287"/>
      <c r="LRZ48" s="287"/>
      <c r="LSA48" s="287"/>
      <c r="LSB48" s="287"/>
      <c r="LSC48" s="287"/>
      <c r="LSD48" s="287"/>
      <c r="LSE48" s="287"/>
      <c r="LSF48" s="287"/>
      <c r="LSG48" s="287"/>
      <c r="LSH48" s="287"/>
      <c r="LSI48" s="287"/>
      <c r="LSJ48" s="287"/>
      <c r="LSK48" s="287"/>
      <c r="LSL48" s="287"/>
      <c r="LSM48" s="287"/>
      <c r="LSN48" s="287"/>
      <c r="LSO48" s="287"/>
      <c r="LSP48" s="287"/>
      <c r="LSQ48" s="287"/>
      <c r="LSR48" s="287"/>
      <c r="LSS48" s="287"/>
      <c r="LST48" s="287"/>
      <c r="LSU48" s="287"/>
      <c r="LSV48" s="287"/>
      <c r="LSW48" s="287"/>
      <c r="LSX48" s="287"/>
      <c r="LSY48" s="287"/>
      <c r="LSZ48" s="287"/>
      <c r="LTA48" s="287"/>
      <c r="LTB48" s="287"/>
      <c r="LTC48" s="287"/>
      <c r="LTD48" s="287"/>
      <c r="LTE48" s="287"/>
      <c r="LTF48" s="287"/>
      <c r="LTG48" s="287"/>
      <c r="LTH48" s="287"/>
      <c r="LTI48" s="287"/>
      <c r="LTJ48" s="287"/>
      <c r="LTK48" s="287"/>
      <c r="LTL48" s="287"/>
      <c r="LTM48" s="287"/>
      <c r="LTN48" s="287"/>
      <c r="LTO48" s="287"/>
      <c r="LTP48" s="287"/>
      <c r="LTQ48" s="287"/>
      <c r="LTR48" s="287"/>
      <c r="LTS48" s="287"/>
      <c r="LTT48" s="287"/>
      <c r="LTU48" s="287"/>
      <c r="LTV48" s="287"/>
      <c r="LTW48" s="287"/>
      <c r="LTX48" s="287"/>
      <c r="LTY48" s="287"/>
      <c r="LTZ48" s="287"/>
      <c r="LUA48" s="287"/>
      <c r="LUB48" s="287"/>
      <c r="LUC48" s="287"/>
      <c r="LUD48" s="287"/>
      <c r="LUE48" s="287"/>
      <c r="LUF48" s="287"/>
      <c r="LUG48" s="287"/>
      <c r="LUH48" s="287"/>
      <c r="LUI48" s="287"/>
      <c r="LUJ48" s="287"/>
      <c r="LUK48" s="287"/>
      <c r="LUL48" s="287"/>
      <c r="LUM48" s="287"/>
      <c r="LUN48" s="287"/>
      <c r="LUO48" s="287"/>
      <c r="LUP48" s="287"/>
      <c r="LUQ48" s="287"/>
      <c r="LUR48" s="287"/>
      <c r="LUS48" s="287"/>
      <c r="LUT48" s="287"/>
      <c r="LUU48" s="287"/>
      <c r="LUV48" s="287"/>
      <c r="LUW48" s="287"/>
      <c r="LUX48" s="287"/>
      <c r="LUY48" s="287"/>
      <c r="LUZ48" s="287"/>
      <c r="LVA48" s="287"/>
      <c r="LVB48" s="287"/>
      <c r="LVC48" s="287"/>
      <c r="LVD48" s="287"/>
      <c r="LVE48" s="287"/>
      <c r="LVF48" s="287"/>
      <c r="LVG48" s="287"/>
      <c r="LVH48" s="287"/>
      <c r="LVI48" s="287"/>
      <c r="LVJ48" s="287"/>
      <c r="LVK48" s="287"/>
      <c r="LVL48" s="287"/>
      <c r="LVM48" s="287"/>
      <c r="LVN48" s="287"/>
      <c r="LVO48" s="287"/>
      <c r="LVP48" s="287"/>
      <c r="LVQ48" s="287"/>
      <c r="LVR48" s="287"/>
      <c r="LVS48" s="287"/>
      <c r="LVT48" s="287"/>
      <c r="LVU48" s="287"/>
      <c r="LVV48" s="287"/>
      <c r="LVW48" s="287"/>
      <c r="LVX48" s="287"/>
      <c r="LVY48" s="287"/>
      <c r="LVZ48" s="287"/>
      <c r="LWA48" s="287"/>
      <c r="LWB48" s="287"/>
      <c r="LWC48" s="287"/>
      <c r="LWD48" s="287"/>
      <c r="LWE48" s="287"/>
      <c r="LWF48" s="287"/>
      <c r="LWG48" s="287"/>
      <c r="LWH48" s="287"/>
      <c r="LWI48" s="287"/>
      <c r="LWJ48" s="287"/>
      <c r="LWK48" s="287"/>
      <c r="LWL48" s="287"/>
      <c r="LWM48" s="287"/>
      <c r="LWN48" s="287"/>
      <c r="LWO48" s="287"/>
      <c r="LWP48" s="287"/>
      <c r="LWQ48" s="287"/>
      <c r="LWR48" s="287"/>
      <c r="LWS48" s="287"/>
      <c r="LWT48" s="287"/>
      <c r="LWU48" s="287"/>
      <c r="LWV48" s="287"/>
      <c r="LWW48" s="287"/>
      <c r="LWX48" s="287"/>
      <c r="LWY48" s="287"/>
      <c r="LWZ48" s="287"/>
      <c r="LXA48" s="287"/>
      <c r="LXB48" s="287"/>
      <c r="LXC48" s="287"/>
      <c r="LXD48" s="287"/>
      <c r="LXE48" s="287"/>
      <c r="LXF48" s="287"/>
      <c r="LXG48" s="287"/>
      <c r="LXH48" s="287"/>
      <c r="LXI48" s="287"/>
      <c r="LXJ48" s="287"/>
      <c r="LXK48" s="287"/>
      <c r="LXL48" s="287"/>
      <c r="LXM48" s="287"/>
      <c r="LXN48" s="287"/>
      <c r="LXO48" s="287"/>
      <c r="LXP48" s="287"/>
      <c r="LXQ48" s="287"/>
      <c r="LXR48" s="287"/>
      <c r="LXS48" s="287"/>
      <c r="LXT48" s="287"/>
      <c r="LXU48" s="287"/>
      <c r="LXV48" s="287"/>
      <c r="LXW48" s="287"/>
      <c r="LXX48" s="287"/>
      <c r="LXY48" s="287"/>
      <c r="LXZ48" s="287"/>
      <c r="LYA48" s="287"/>
      <c r="LYB48" s="287"/>
      <c r="LYC48" s="287"/>
      <c r="LYD48" s="287"/>
      <c r="LYE48" s="287"/>
      <c r="LYF48" s="287"/>
      <c r="LYG48" s="287"/>
      <c r="LYH48" s="287"/>
      <c r="LYI48" s="287"/>
      <c r="LYJ48" s="287"/>
      <c r="LYK48" s="287"/>
      <c r="LYL48" s="287"/>
      <c r="LYM48" s="287"/>
      <c r="LYN48" s="287"/>
      <c r="LYO48" s="287"/>
      <c r="LYP48" s="287"/>
      <c r="LYQ48" s="287"/>
      <c r="LYR48" s="287"/>
      <c r="LYS48" s="287"/>
      <c r="LYT48" s="287"/>
      <c r="LYU48" s="287"/>
      <c r="LYV48" s="287"/>
      <c r="LYW48" s="287"/>
      <c r="LYX48" s="287"/>
      <c r="LYY48" s="287"/>
      <c r="LYZ48" s="287"/>
      <c r="LZA48" s="287"/>
      <c r="LZB48" s="287"/>
      <c r="LZC48" s="287"/>
      <c r="LZD48" s="287"/>
      <c r="LZE48" s="287"/>
      <c r="LZF48" s="287"/>
      <c r="LZG48" s="287"/>
      <c r="LZH48" s="287"/>
      <c r="LZI48" s="287"/>
      <c r="LZJ48" s="287"/>
      <c r="LZK48" s="287"/>
      <c r="LZL48" s="287"/>
      <c r="LZM48" s="287"/>
      <c r="LZN48" s="287"/>
      <c r="LZO48" s="287"/>
      <c r="LZP48" s="287"/>
      <c r="LZQ48" s="287"/>
      <c r="LZR48" s="287"/>
      <c r="LZS48" s="287"/>
      <c r="LZT48" s="287"/>
      <c r="LZU48" s="287"/>
      <c r="LZV48" s="287"/>
      <c r="LZW48" s="287"/>
      <c r="LZX48" s="287"/>
      <c r="LZY48" s="287"/>
      <c r="LZZ48" s="287"/>
      <c r="MAA48" s="287"/>
      <c r="MAB48" s="287"/>
      <c r="MAC48" s="287"/>
      <c r="MAD48" s="287"/>
      <c r="MAE48" s="287"/>
      <c r="MAF48" s="287"/>
      <c r="MAG48" s="287"/>
      <c r="MAH48" s="287"/>
      <c r="MAI48" s="287"/>
      <c r="MAJ48" s="287"/>
      <c r="MAK48" s="287"/>
      <c r="MAL48" s="287"/>
      <c r="MAM48" s="287"/>
      <c r="MAN48" s="287"/>
      <c r="MAO48" s="287"/>
      <c r="MAP48" s="287"/>
      <c r="MAQ48" s="287"/>
      <c r="MAR48" s="287"/>
      <c r="MAS48" s="287"/>
      <c r="MAT48" s="287"/>
      <c r="MAU48" s="287"/>
      <c r="MAV48" s="287"/>
      <c r="MAW48" s="287"/>
      <c r="MAX48" s="287"/>
      <c r="MAY48" s="287"/>
      <c r="MAZ48" s="287"/>
      <c r="MBA48" s="287"/>
      <c r="MBB48" s="287"/>
      <c r="MBC48" s="287"/>
      <c r="MBD48" s="287"/>
      <c r="MBE48" s="287"/>
      <c r="MBF48" s="287"/>
      <c r="MBG48" s="287"/>
      <c r="MBH48" s="287"/>
      <c r="MBI48" s="287"/>
      <c r="MBJ48" s="287"/>
      <c r="MBK48" s="287"/>
      <c r="MBL48" s="287"/>
      <c r="MBM48" s="287"/>
      <c r="MBN48" s="287"/>
      <c r="MBO48" s="287"/>
      <c r="MBP48" s="287"/>
      <c r="MBQ48" s="287"/>
      <c r="MBR48" s="287"/>
      <c r="MBS48" s="287"/>
      <c r="MBT48" s="287"/>
      <c r="MBU48" s="287"/>
      <c r="MBV48" s="287"/>
      <c r="MBW48" s="287"/>
      <c r="MBX48" s="287"/>
      <c r="MBY48" s="287"/>
      <c r="MBZ48" s="287"/>
      <c r="MCA48" s="287"/>
      <c r="MCB48" s="287"/>
      <c r="MCC48" s="287"/>
      <c r="MCD48" s="287"/>
      <c r="MCE48" s="287"/>
      <c r="MCF48" s="287"/>
      <c r="MCG48" s="287"/>
      <c r="MCH48" s="287"/>
      <c r="MCI48" s="287"/>
      <c r="MCJ48" s="287"/>
      <c r="MCK48" s="287"/>
      <c r="MCL48" s="287"/>
      <c r="MCM48" s="287"/>
      <c r="MCN48" s="287"/>
      <c r="MCO48" s="287"/>
      <c r="MCP48" s="287"/>
      <c r="MCQ48" s="287"/>
      <c r="MCR48" s="287"/>
      <c r="MCS48" s="287"/>
      <c r="MCT48" s="287"/>
      <c r="MCU48" s="287"/>
      <c r="MCV48" s="287"/>
      <c r="MCW48" s="287"/>
      <c r="MCX48" s="287"/>
      <c r="MCY48" s="287"/>
      <c r="MCZ48" s="287"/>
      <c r="MDA48" s="287"/>
      <c r="MDB48" s="287"/>
      <c r="MDC48" s="287"/>
      <c r="MDD48" s="287"/>
      <c r="MDE48" s="287"/>
      <c r="MDF48" s="287"/>
      <c r="MDG48" s="287"/>
      <c r="MDH48" s="287"/>
      <c r="MDI48" s="287"/>
      <c r="MDJ48" s="287"/>
      <c r="MDK48" s="287"/>
      <c r="MDL48" s="287"/>
      <c r="MDM48" s="287"/>
      <c r="MDN48" s="287"/>
      <c r="MDO48" s="287"/>
      <c r="MDP48" s="287"/>
      <c r="MDQ48" s="287"/>
      <c r="MDR48" s="287"/>
      <c r="MDS48" s="287"/>
      <c r="MDT48" s="287"/>
      <c r="MDU48" s="287"/>
      <c r="MDV48" s="287"/>
      <c r="MDW48" s="287"/>
      <c r="MDX48" s="287"/>
      <c r="MDY48" s="287"/>
      <c r="MDZ48" s="287"/>
      <c r="MEA48" s="287"/>
      <c r="MEB48" s="287"/>
      <c r="MEC48" s="287"/>
      <c r="MED48" s="287"/>
      <c r="MEE48" s="287"/>
      <c r="MEF48" s="287"/>
      <c r="MEG48" s="287"/>
      <c r="MEH48" s="287"/>
      <c r="MEI48" s="287"/>
      <c r="MEJ48" s="287"/>
      <c r="MEK48" s="287"/>
      <c r="MEL48" s="287"/>
      <c r="MEM48" s="287"/>
      <c r="MEN48" s="287"/>
      <c r="MEO48" s="287"/>
      <c r="MEP48" s="287"/>
      <c r="MEQ48" s="287"/>
      <c r="MER48" s="287"/>
      <c r="MES48" s="287"/>
      <c r="MET48" s="287"/>
      <c r="MEU48" s="287"/>
      <c r="MEV48" s="287"/>
      <c r="MEW48" s="287"/>
      <c r="MEX48" s="287"/>
      <c r="MEY48" s="287"/>
      <c r="MEZ48" s="287"/>
      <c r="MFA48" s="287"/>
      <c r="MFB48" s="287"/>
      <c r="MFC48" s="287"/>
      <c r="MFD48" s="287"/>
      <c r="MFE48" s="287"/>
      <c r="MFF48" s="287"/>
      <c r="MFG48" s="287"/>
      <c r="MFH48" s="287"/>
      <c r="MFI48" s="287"/>
      <c r="MFJ48" s="287"/>
      <c r="MFK48" s="287"/>
      <c r="MFL48" s="287"/>
      <c r="MFM48" s="287"/>
      <c r="MFN48" s="287"/>
      <c r="MFO48" s="287"/>
      <c r="MFP48" s="287"/>
      <c r="MFQ48" s="287"/>
      <c r="MFR48" s="287"/>
      <c r="MFS48" s="287"/>
      <c r="MFT48" s="287"/>
      <c r="MFU48" s="287"/>
      <c r="MFV48" s="287"/>
      <c r="MFW48" s="287"/>
      <c r="MFX48" s="287"/>
      <c r="MFY48" s="287"/>
      <c r="MFZ48" s="287"/>
      <c r="MGA48" s="287"/>
      <c r="MGB48" s="287"/>
      <c r="MGC48" s="287"/>
      <c r="MGD48" s="287"/>
      <c r="MGE48" s="287"/>
      <c r="MGF48" s="287"/>
      <c r="MGG48" s="287"/>
      <c r="MGH48" s="287"/>
      <c r="MGI48" s="287"/>
      <c r="MGJ48" s="287"/>
      <c r="MGK48" s="287"/>
      <c r="MGL48" s="287"/>
      <c r="MGM48" s="287"/>
      <c r="MGN48" s="287"/>
      <c r="MGO48" s="287"/>
      <c r="MGP48" s="287"/>
      <c r="MGQ48" s="287"/>
      <c r="MGR48" s="287"/>
      <c r="MGS48" s="287"/>
      <c r="MGT48" s="287"/>
      <c r="MGU48" s="287"/>
      <c r="MGV48" s="287"/>
      <c r="MGW48" s="287"/>
      <c r="MGX48" s="287"/>
      <c r="MGY48" s="287"/>
      <c r="MGZ48" s="287"/>
      <c r="MHA48" s="287"/>
      <c r="MHB48" s="287"/>
      <c r="MHC48" s="287"/>
      <c r="MHD48" s="287"/>
      <c r="MHE48" s="287"/>
      <c r="MHF48" s="287"/>
      <c r="MHG48" s="287"/>
      <c r="MHH48" s="287"/>
      <c r="MHI48" s="287"/>
      <c r="MHJ48" s="287"/>
      <c r="MHK48" s="287"/>
      <c r="MHL48" s="287"/>
      <c r="MHM48" s="287"/>
      <c r="MHN48" s="287"/>
      <c r="MHO48" s="287"/>
      <c r="MHP48" s="287"/>
      <c r="MHQ48" s="287"/>
      <c r="MHR48" s="287"/>
      <c r="MHS48" s="287"/>
      <c r="MHT48" s="287"/>
      <c r="MHU48" s="287"/>
      <c r="MHV48" s="287"/>
      <c r="MHW48" s="287"/>
      <c r="MHX48" s="287"/>
      <c r="MHY48" s="287"/>
      <c r="MHZ48" s="287"/>
      <c r="MIA48" s="287"/>
      <c r="MIB48" s="287"/>
      <c r="MIC48" s="287"/>
      <c r="MID48" s="287"/>
      <c r="MIE48" s="287"/>
      <c r="MIF48" s="287"/>
      <c r="MIG48" s="287"/>
      <c r="MIH48" s="287"/>
      <c r="MII48" s="287"/>
      <c r="MIJ48" s="287"/>
      <c r="MIK48" s="287"/>
      <c r="MIL48" s="287"/>
      <c r="MIM48" s="287"/>
      <c r="MIN48" s="287"/>
      <c r="MIO48" s="287"/>
      <c r="MIP48" s="287"/>
      <c r="MIQ48" s="287"/>
      <c r="MIR48" s="287"/>
      <c r="MIS48" s="287"/>
      <c r="MIT48" s="287"/>
      <c r="MIU48" s="287"/>
      <c r="MIV48" s="287"/>
      <c r="MIW48" s="287"/>
      <c r="MIX48" s="287"/>
      <c r="MIY48" s="287"/>
      <c r="MIZ48" s="287"/>
      <c r="MJA48" s="287"/>
      <c r="MJB48" s="287"/>
      <c r="MJC48" s="287"/>
      <c r="MJD48" s="287"/>
      <c r="MJE48" s="287"/>
      <c r="MJF48" s="287"/>
      <c r="MJG48" s="287"/>
      <c r="MJH48" s="287"/>
      <c r="MJI48" s="287"/>
      <c r="MJJ48" s="287"/>
      <c r="MJK48" s="287"/>
      <c r="MJL48" s="287"/>
      <c r="MJM48" s="287"/>
      <c r="MJN48" s="287"/>
      <c r="MJO48" s="287"/>
      <c r="MJP48" s="287"/>
      <c r="MJQ48" s="287"/>
      <c r="MJR48" s="287"/>
      <c r="MJS48" s="287"/>
      <c r="MJT48" s="287"/>
      <c r="MJU48" s="287"/>
      <c r="MJV48" s="287"/>
      <c r="MJW48" s="287"/>
      <c r="MJX48" s="287"/>
      <c r="MJY48" s="287"/>
      <c r="MJZ48" s="287"/>
      <c r="MKA48" s="287"/>
      <c r="MKB48" s="287"/>
      <c r="MKC48" s="287"/>
      <c r="MKD48" s="287"/>
      <c r="MKE48" s="287"/>
      <c r="MKF48" s="287"/>
      <c r="MKG48" s="287"/>
      <c r="MKH48" s="287"/>
      <c r="MKI48" s="287"/>
      <c r="MKJ48" s="287"/>
      <c r="MKK48" s="287"/>
      <c r="MKL48" s="287"/>
      <c r="MKM48" s="287"/>
      <c r="MKN48" s="287"/>
      <c r="MKO48" s="287"/>
      <c r="MKP48" s="287"/>
      <c r="MKQ48" s="287"/>
      <c r="MKR48" s="287"/>
      <c r="MKS48" s="287"/>
      <c r="MKT48" s="287"/>
      <c r="MKU48" s="287"/>
      <c r="MKV48" s="287"/>
      <c r="MKW48" s="287"/>
      <c r="MKX48" s="287"/>
      <c r="MKY48" s="287"/>
      <c r="MKZ48" s="287"/>
      <c r="MLA48" s="287"/>
      <c r="MLB48" s="287"/>
      <c r="MLC48" s="287"/>
      <c r="MLD48" s="287"/>
      <c r="MLE48" s="287"/>
      <c r="MLF48" s="287"/>
      <c r="MLG48" s="287"/>
      <c r="MLH48" s="287"/>
      <c r="MLI48" s="287"/>
      <c r="MLJ48" s="287"/>
      <c r="MLK48" s="287"/>
      <c r="MLL48" s="287"/>
      <c r="MLM48" s="287"/>
      <c r="MLN48" s="287"/>
      <c r="MLO48" s="287"/>
      <c r="MLP48" s="287"/>
      <c r="MLQ48" s="287"/>
      <c r="MLR48" s="287"/>
      <c r="MLS48" s="287"/>
      <c r="MLT48" s="287"/>
      <c r="MLU48" s="287"/>
      <c r="MLV48" s="287"/>
      <c r="MLW48" s="287"/>
      <c r="MLX48" s="287"/>
      <c r="MLY48" s="287"/>
      <c r="MLZ48" s="287"/>
      <c r="MMA48" s="287"/>
      <c r="MMB48" s="287"/>
      <c r="MMC48" s="287"/>
      <c r="MMD48" s="287"/>
      <c r="MME48" s="287"/>
      <c r="MMF48" s="287"/>
      <c r="MMG48" s="287"/>
      <c r="MMH48" s="287"/>
      <c r="MMI48" s="287"/>
      <c r="MMJ48" s="287"/>
      <c r="MMK48" s="287"/>
      <c r="MML48" s="287"/>
      <c r="MMM48" s="287"/>
      <c r="MMN48" s="287"/>
      <c r="MMO48" s="287"/>
      <c r="MMP48" s="287"/>
      <c r="MMQ48" s="287"/>
      <c r="MMR48" s="287"/>
      <c r="MMS48" s="287"/>
      <c r="MMT48" s="287"/>
      <c r="MMU48" s="287"/>
      <c r="MMV48" s="287"/>
      <c r="MMW48" s="287"/>
      <c r="MMX48" s="287"/>
      <c r="MMY48" s="287"/>
      <c r="MMZ48" s="287"/>
      <c r="MNA48" s="287"/>
      <c r="MNB48" s="287"/>
      <c r="MNC48" s="287"/>
      <c r="MND48" s="287"/>
      <c r="MNE48" s="287"/>
      <c r="MNF48" s="287"/>
      <c r="MNG48" s="287"/>
      <c r="MNH48" s="287"/>
      <c r="MNI48" s="287"/>
      <c r="MNJ48" s="287"/>
      <c r="MNK48" s="287"/>
      <c r="MNL48" s="287"/>
      <c r="MNM48" s="287"/>
      <c r="MNN48" s="287"/>
      <c r="MNO48" s="287"/>
      <c r="MNP48" s="287"/>
      <c r="MNQ48" s="287"/>
      <c r="MNR48" s="287"/>
      <c r="MNS48" s="287"/>
      <c r="MNT48" s="287"/>
      <c r="MNU48" s="287"/>
      <c r="MNV48" s="287"/>
      <c r="MNW48" s="287"/>
      <c r="MNX48" s="287"/>
      <c r="MNY48" s="287"/>
      <c r="MNZ48" s="287"/>
      <c r="MOA48" s="287"/>
      <c r="MOB48" s="287"/>
      <c r="MOC48" s="287"/>
      <c r="MOD48" s="287"/>
      <c r="MOE48" s="287"/>
      <c r="MOF48" s="287"/>
      <c r="MOG48" s="287"/>
      <c r="MOH48" s="287"/>
      <c r="MOI48" s="287"/>
      <c r="MOJ48" s="287"/>
      <c r="MOK48" s="287"/>
      <c r="MOL48" s="287"/>
      <c r="MOM48" s="287"/>
      <c r="MON48" s="287"/>
      <c r="MOO48" s="287"/>
      <c r="MOP48" s="287"/>
      <c r="MOQ48" s="287"/>
      <c r="MOR48" s="287"/>
      <c r="MOS48" s="287"/>
      <c r="MOT48" s="287"/>
      <c r="MOU48" s="287"/>
      <c r="MOV48" s="287"/>
      <c r="MOW48" s="287"/>
      <c r="MOX48" s="287"/>
      <c r="MOY48" s="287"/>
      <c r="MOZ48" s="287"/>
      <c r="MPA48" s="287"/>
      <c r="MPB48" s="287"/>
      <c r="MPC48" s="287"/>
      <c r="MPD48" s="287"/>
      <c r="MPE48" s="287"/>
      <c r="MPF48" s="287"/>
      <c r="MPG48" s="287"/>
      <c r="MPH48" s="287"/>
      <c r="MPI48" s="287"/>
      <c r="MPJ48" s="287"/>
      <c r="MPK48" s="287"/>
      <c r="MPL48" s="287"/>
      <c r="MPM48" s="287"/>
      <c r="MPN48" s="287"/>
      <c r="MPO48" s="287"/>
      <c r="MPP48" s="287"/>
      <c r="MPQ48" s="287"/>
      <c r="MPR48" s="287"/>
      <c r="MPS48" s="287"/>
      <c r="MPT48" s="287"/>
      <c r="MPU48" s="287"/>
      <c r="MPV48" s="287"/>
      <c r="MPW48" s="287"/>
      <c r="MPX48" s="287"/>
      <c r="MPY48" s="287"/>
      <c r="MPZ48" s="287"/>
      <c r="MQA48" s="287"/>
      <c r="MQB48" s="287"/>
      <c r="MQC48" s="287"/>
      <c r="MQD48" s="287"/>
      <c r="MQE48" s="287"/>
      <c r="MQF48" s="287"/>
      <c r="MQG48" s="287"/>
      <c r="MQH48" s="287"/>
      <c r="MQI48" s="287"/>
      <c r="MQJ48" s="287"/>
      <c r="MQK48" s="287"/>
      <c r="MQL48" s="287"/>
      <c r="MQM48" s="287"/>
      <c r="MQN48" s="287"/>
      <c r="MQO48" s="287"/>
      <c r="MQP48" s="287"/>
      <c r="MQQ48" s="287"/>
      <c r="MQR48" s="287"/>
      <c r="MQS48" s="287"/>
      <c r="MQT48" s="287"/>
      <c r="MQU48" s="287"/>
      <c r="MQV48" s="287"/>
      <c r="MQW48" s="287"/>
      <c r="MQX48" s="287"/>
      <c r="MQY48" s="287"/>
      <c r="MQZ48" s="287"/>
      <c r="MRA48" s="287"/>
      <c r="MRB48" s="287"/>
      <c r="MRC48" s="287"/>
      <c r="MRD48" s="287"/>
      <c r="MRE48" s="287"/>
      <c r="MRF48" s="287"/>
      <c r="MRG48" s="287"/>
      <c r="MRH48" s="287"/>
      <c r="MRI48" s="287"/>
      <c r="MRJ48" s="287"/>
      <c r="MRK48" s="287"/>
      <c r="MRL48" s="287"/>
      <c r="MRM48" s="287"/>
      <c r="MRN48" s="287"/>
      <c r="MRO48" s="287"/>
      <c r="MRP48" s="287"/>
      <c r="MRQ48" s="287"/>
      <c r="MRR48" s="287"/>
      <c r="MRS48" s="287"/>
      <c r="MRT48" s="287"/>
      <c r="MRU48" s="287"/>
      <c r="MRV48" s="287"/>
      <c r="MRW48" s="287"/>
      <c r="MRX48" s="287"/>
      <c r="MRY48" s="287"/>
      <c r="MRZ48" s="287"/>
      <c r="MSA48" s="287"/>
      <c r="MSB48" s="287"/>
      <c r="MSC48" s="287"/>
      <c r="MSD48" s="287"/>
      <c r="MSE48" s="287"/>
      <c r="MSF48" s="287"/>
      <c r="MSG48" s="287"/>
      <c r="MSH48" s="287"/>
      <c r="MSI48" s="287"/>
      <c r="MSJ48" s="287"/>
      <c r="MSK48" s="287"/>
      <c r="MSL48" s="287"/>
      <c r="MSM48" s="287"/>
      <c r="MSN48" s="287"/>
      <c r="MSO48" s="287"/>
      <c r="MSP48" s="287"/>
      <c r="MSQ48" s="287"/>
      <c r="MSR48" s="287"/>
      <c r="MSS48" s="287"/>
      <c r="MST48" s="287"/>
      <c r="MSU48" s="287"/>
      <c r="MSV48" s="287"/>
      <c r="MSW48" s="287"/>
      <c r="MSX48" s="287"/>
      <c r="MSY48" s="287"/>
      <c r="MSZ48" s="287"/>
      <c r="MTA48" s="287"/>
      <c r="MTB48" s="287"/>
      <c r="MTC48" s="287"/>
      <c r="MTD48" s="287"/>
      <c r="MTE48" s="287"/>
      <c r="MTF48" s="287"/>
      <c r="MTG48" s="287"/>
      <c r="MTH48" s="287"/>
      <c r="MTI48" s="287"/>
      <c r="MTJ48" s="287"/>
      <c r="MTK48" s="287"/>
      <c r="MTL48" s="287"/>
      <c r="MTM48" s="287"/>
      <c r="MTN48" s="287"/>
      <c r="MTO48" s="287"/>
      <c r="MTP48" s="287"/>
      <c r="MTQ48" s="287"/>
      <c r="MTR48" s="287"/>
      <c r="MTS48" s="287"/>
      <c r="MTT48" s="287"/>
      <c r="MTU48" s="287"/>
      <c r="MTV48" s="287"/>
      <c r="MTW48" s="287"/>
      <c r="MTX48" s="287"/>
      <c r="MTY48" s="287"/>
      <c r="MTZ48" s="287"/>
      <c r="MUA48" s="287"/>
      <c r="MUB48" s="287"/>
      <c r="MUC48" s="287"/>
      <c r="MUD48" s="287"/>
      <c r="MUE48" s="287"/>
      <c r="MUF48" s="287"/>
      <c r="MUG48" s="287"/>
      <c r="MUH48" s="287"/>
      <c r="MUI48" s="287"/>
      <c r="MUJ48" s="287"/>
      <c r="MUK48" s="287"/>
      <c r="MUL48" s="287"/>
      <c r="MUM48" s="287"/>
      <c r="MUN48" s="287"/>
      <c r="MUO48" s="287"/>
      <c r="MUP48" s="287"/>
      <c r="MUQ48" s="287"/>
      <c r="MUR48" s="287"/>
      <c r="MUS48" s="287"/>
      <c r="MUT48" s="287"/>
      <c r="MUU48" s="287"/>
      <c r="MUV48" s="287"/>
      <c r="MUW48" s="287"/>
      <c r="MUX48" s="287"/>
      <c r="MUY48" s="287"/>
      <c r="MUZ48" s="287"/>
      <c r="MVA48" s="287"/>
      <c r="MVB48" s="287"/>
      <c r="MVC48" s="287"/>
      <c r="MVD48" s="287"/>
      <c r="MVE48" s="287"/>
      <c r="MVF48" s="287"/>
      <c r="MVG48" s="287"/>
      <c r="MVH48" s="287"/>
      <c r="MVI48" s="287"/>
      <c r="MVJ48" s="287"/>
      <c r="MVK48" s="287"/>
      <c r="MVL48" s="287"/>
      <c r="MVM48" s="287"/>
      <c r="MVN48" s="287"/>
      <c r="MVO48" s="287"/>
      <c r="MVP48" s="287"/>
      <c r="MVQ48" s="287"/>
      <c r="MVR48" s="287"/>
      <c r="MVS48" s="287"/>
      <c r="MVT48" s="287"/>
      <c r="MVU48" s="287"/>
      <c r="MVV48" s="287"/>
      <c r="MVW48" s="287"/>
      <c r="MVX48" s="287"/>
      <c r="MVY48" s="287"/>
      <c r="MVZ48" s="287"/>
      <c r="MWA48" s="287"/>
      <c r="MWB48" s="287"/>
      <c r="MWC48" s="287"/>
      <c r="MWD48" s="287"/>
      <c r="MWE48" s="287"/>
      <c r="MWF48" s="287"/>
      <c r="MWG48" s="287"/>
      <c r="MWH48" s="287"/>
      <c r="MWI48" s="287"/>
      <c r="MWJ48" s="287"/>
      <c r="MWK48" s="287"/>
      <c r="MWL48" s="287"/>
      <c r="MWM48" s="287"/>
      <c r="MWN48" s="287"/>
      <c r="MWO48" s="287"/>
      <c r="MWP48" s="287"/>
      <c r="MWQ48" s="287"/>
      <c r="MWR48" s="287"/>
      <c r="MWS48" s="287"/>
      <c r="MWT48" s="287"/>
      <c r="MWU48" s="287"/>
      <c r="MWV48" s="287"/>
      <c r="MWW48" s="287"/>
      <c r="MWX48" s="287"/>
      <c r="MWY48" s="287"/>
      <c r="MWZ48" s="287"/>
      <c r="MXA48" s="287"/>
      <c r="MXB48" s="287"/>
      <c r="MXC48" s="287"/>
      <c r="MXD48" s="287"/>
      <c r="MXE48" s="287"/>
      <c r="MXF48" s="287"/>
      <c r="MXG48" s="287"/>
      <c r="MXH48" s="287"/>
      <c r="MXI48" s="287"/>
      <c r="MXJ48" s="287"/>
      <c r="MXK48" s="287"/>
      <c r="MXL48" s="287"/>
      <c r="MXM48" s="287"/>
      <c r="MXN48" s="287"/>
      <c r="MXO48" s="287"/>
      <c r="MXP48" s="287"/>
      <c r="MXQ48" s="287"/>
      <c r="MXR48" s="287"/>
      <c r="MXS48" s="287"/>
      <c r="MXT48" s="287"/>
      <c r="MXU48" s="287"/>
      <c r="MXV48" s="287"/>
      <c r="MXW48" s="287"/>
      <c r="MXX48" s="287"/>
      <c r="MXY48" s="287"/>
      <c r="MXZ48" s="287"/>
      <c r="MYA48" s="287"/>
      <c r="MYB48" s="287"/>
      <c r="MYC48" s="287"/>
      <c r="MYD48" s="287"/>
      <c r="MYE48" s="287"/>
      <c r="MYF48" s="287"/>
      <c r="MYG48" s="287"/>
      <c r="MYH48" s="287"/>
      <c r="MYI48" s="287"/>
      <c r="MYJ48" s="287"/>
      <c r="MYK48" s="287"/>
      <c r="MYL48" s="287"/>
      <c r="MYM48" s="287"/>
      <c r="MYN48" s="287"/>
      <c r="MYO48" s="287"/>
      <c r="MYP48" s="287"/>
      <c r="MYQ48" s="287"/>
      <c r="MYR48" s="287"/>
      <c r="MYS48" s="287"/>
      <c r="MYT48" s="287"/>
      <c r="MYU48" s="287"/>
      <c r="MYV48" s="287"/>
      <c r="MYW48" s="287"/>
      <c r="MYX48" s="287"/>
      <c r="MYY48" s="287"/>
      <c r="MYZ48" s="287"/>
      <c r="MZA48" s="287"/>
      <c r="MZB48" s="287"/>
      <c r="MZC48" s="287"/>
      <c r="MZD48" s="287"/>
      <c r="MZE48" s="287"/>
      <c r="MZF48" s="287"/>
      <c r="MZG48" s="287"/>
      <c r="MZH48" s="287"/>
      <c r="MZI48" s="287"/>
      <c r="MZJ48" s="287"/>
      <c r="MZK48" s="287"/>
      <c r="MZL48" s="287"/>
      <c r="MZM48" s="287"/>
      <c r="MZN48" s="287"/>
      <c r="MZO48" s="287"/>
      <c r="MZP48" s="287"/>
      <c r="MZQ48" s="287"/>
      <c r="MZR48" s="287"/>
      <c r="MZS48" s="287"/>
      <c r="MZT48" s="287"/>
      <c r="MZU48" s="287"/>
      <c r="MZV48" s="287"/>
      <c r="MZW48" s="287"/>
      <c r="MZX48" s="287"/>
      <c r="MZY48" s="287"/>
      <c r="MZZ48" s="287"/>
      <c r="NAA48" s="287"/>
      <c r="NAB48" s="287"/>
      <c r="NAC48" s="287"/>
      <c r="NAD48" s="287"/>
      <c r="NAE48" s="287"/>
      <c r="NAF48" s="287"/>
      <c r="NAG48" s="287"/>
      <c r="NAH48" s="287"/>
      <c r="NAI48" s="287"/>
      <c r="NAJ48" s="287"/>
      <c r="NAK48" s="287"/>
      <c r="NAL48" s="287"/>
      <c r="NAM48" s="287"/>
      <c r="NAN48" s="287"/>
      <c r="NAO48" s="287"/>
      <c r="NAP48" s="287"/>
      <c r="NAQ48" s="287"/>
      <c r="NAR48" s="287"/>
      <c r="NAS48" s="287"/>
      <c r="NAT48" s="287"/>
      <c r="NAU48" s="287"/>
      <c r="NAV48" s="287"/>
      <c r="NAW48" s="287"/>
      <c r="NAX48" s="287"/>
      <c r="NAY48" s="287"/>
      <c r="NAZ48" s="287"/>
      <c r="NBA48" s="287"/>
      <c r="NBB48" s="287"/>
      <c r="NBC48" s="287"/>
      <c r="NBD48" s="287"/>
      <c r="NBE48" s="287"/>
      <c r="NBF48" s="287"/>
      <c r="NBG48" s="287"/>
      <c r="NBH48" s="287"/>
      <c r="NBI48" s="287"/>
      <c r="NBJ48" s="287"/>
      <c r="NBK48" s="287"/>
      <c r="NBL48" s="287"/>
      <c r="NBM48" s="287"/>
      <c r="NBN48" s="287"/>
      <c r="NBO48" s="287"/>
      <c r="NBP48" s="287"/>
      <c r="NBQ48" s="287"/>
      <c r="NBR48" s="287"/>
      <c r="NBS48" s="287"/>
      <c r="NBT48" s="287"/>
      <c r="NBU48" s="287"/>
      <c r="NBV48" s="287"/>
      <c r="NBW48" s="287"/>
      <c r="NBX48" s="287"/>
      <c r="NBY48" s="287"/>
      <c r="NBZ48" s="287"/>
      <c r="NCA48" s="287"/>
      <c r="NCB48" s="287"/>
      <c r="NCC48" s="287"/>
      <c r="NCD48" s="287"/>
      <c r="NCE48" s="287"/>
      <c r="NCF48" s="287"/>
      <c r="NCG48" s="287"/>
      <c r="NCH48" s="287"/>
      <c r="NCI48" s="287"/>
      <c r="NCJ48" s="287"/>
      <c r="NCK48" s="287"/>
      <c r="NCL48" s="287"/>
      <c r="NCM48" s="287"/>
      <c r="NCN48" s="287"/>
      <c r="NCO48" s="287"/>
      <c r="NCP48" s="287"/>
      <c r="NCQ48" s="287"/>
      <c r="NCR48" s="287"/>
      <c r="NCS48" s="287"/>
      <c r="NCT48" s="287"/>
      <c r="NCU48" s="287"/>
      <c r="NCV48" s="287"/>
      <c r="NCW48" s="287"/>
      <c r="NCX48" s="287"/>
      <c r="NCY48" s="287"/>
      <c r="NCZ48" s="287"/>
      <c r="NDA48" s="287"/>
      <c r="NDB48" s="287"/>
      <c r="NDC48" s="287"/>
      <c r="NDD48" s="287"/>
      <c r="NDE48" s="287"/>
      <c r="NDF48" s="287"/>
      <c r="NDG48" s="287"/>
      <c r="NDH48" s="287"/>
      <c r="NDI48" s="287"/>
      <c r="NDJ48" s="287"/>
      <c r="NDK48" s="287"/>
      <c r="NDL48" s="287"/>
      <c r="NDM48" s="287"/>
      <c r="NDN48" s="287"/>
      <c r="NDO48" s="287"/>
      <c r="NDP48" s="287"/>
      <c r="NDQ48" s="287"/>
      <c r="NDR48" s="287"/>
      <c r="NDS48" s="287"/>
      <c r="NDT48" s="287"/>
      <c r="NDU48" s="287"/>
      <c r="NDV48" s="287"/>
      <c r="NDW48" s="287"/>
      <c r="NDX48" s="287"/>
      <c r="NDY48" s="287"/>
      <c r="NDZ48" s="287"/>
      <c r="NEA48" s="287"/>
      <c r="NEB48" s="287"/>
      <c r="NEC48" s="287"/>
      <c r="NED48" s="287"/>
      <c r="NEE48" s="287"/>
      <c r="NEF48" s="287"/>
      <c r="NEG48" s="287"/>
      <c r="NEH48" s="287"/>
      <c r="NEI48" s="287"/>
      <c r="NEJ48" s="287"/>
      <c r="NEK48" s="287"/>
      <c r="NEL48" s="287"/>
      <c r="NEM48" s="287"/>
      <c r="NEN48" s="287"/>
      <c r="NEO48" s="287"/>
      <c r="NEP48" s="287"/>
      <c r="NEQ48" s="287"/>
      <c r="NER48" s="287"/>
      <c r="NES48" s="287"/>
      <c r="NET48" s="287"/>
      <c r="NEU48" s="287"/>
      <c r="NEV48" s="287"/>
      <c r="NEW48" s="287"/>
      <c r="NEX48" s="287"/>
      <c r="NEY48" s="287"/>
      <c r="NEZ48" s="287"/>
      <c r="NFA48" s="287"/>
      <c r="NFB48" s="287"/>
      <c r="NFC48" s="287"/>
      <c r="NFD48" s="287"/>
      <c r="NFE48" s="287"/>
      <c r="NFF48" s="287"/>
      <c r="NFG48" s="287"/>
      <c r="NFH48" s="287"/>
      <c r="NFI48" s="287"/>
      <c r="NFJ48" s="287"/>
      <c r="NFK48" s="287"/>
      <c r="NFL48" s="287"/>
      <c r="NFM48" s="287"/>
      <c r="NFN48" s="287"/>
      <c r="NFO48" s="287"/>
      <c r="NFP48" s="287"/>
      <c r="NFQ48" s="287"/>
      <c r="NFR48" s="287"/>
      <c r="NFS48" s="287"/>
      <c r="NFT48" s="287"/>
      <c r="NFU48" s="287"/>
      <c r="NFV48" s="287"/>
      <c r="NFW48" s="287"/>
      <c r="NFX48" s="287"/>
      <c r="NFY48" s="287"/>
      <c r="NFZ48" s="287"/>
      <c r="NGA48" s="287"/>
      <c r="NGB48" s="287"/>
      <c r="NGC48" s="287"/>
      <c r="NGD48" s="287"/>
      <c r="NGE48" s="287"/>
      <c r="NGF48" s="287"/>
      <c r="NGG48" s="287"/>
      <c r="NGH48" s="287"/>
      <c r="NGI48" s="287"/>
      <c r="NGJ48" s="287"/>
      <c r="NGK48" s="287"/>
      <c r="NGL48" s="287"/>
      <c r="NGM48" s="287"/>
      <c r="NGN48" s="287"/>
      <c r="NGO48" s="287"/>
      <c r="NGP48" s="287"/>
      <c r="NGQ48" s="287"/>
      <c r="NGR48" s="287"/>
      <c r="NGS48" s="287"/>
      <c r="NGT48" s="287"/>
      <c r="NGU48" s="287"/>
      <c r="NGV48" s="287"/>
      <c r="NGW48" s="287"/>
      <c r="NGX48" s="287"/>
      <c r="NGY48" s="287"/>
      <c r="NGZ48" s="287"/>
      <c r="NHA48" s="287"/>
      <c r="NHB48" s="287"/>
      <c r="NHC48" s="287"/>
      <c r="NHD48" s="287"/>
      <c r="NHE48" s="287"/>
      <c r="NHF48" s="287"/>
      <c r="NHG48" s="287"/>
      <c r="NHH48" s="287"/>
      <c r="NHI48" s="287"/>
      <c r="NHJ48" s="287"/>
      <c r="NHK48" s="287"/>
      <c r="NHL48" s="287"/>
      <c r="NHM48" s="287"/>
      <c r="NHN48" s="287"/>
      <c r="NHO48" s="287"/>
      <c r="NHP48" s="287"/>
      <c r="NHQ48" s="287"/>
      <c r="NHR48" s="287"/>
      <c r="NHS48" s="287"/>
      <c r="NHT48" s="287"/>
      <c r="NHU48" s="287"/>
      <c r="NHV48" s="287"/>
      <c r="NHW48" s="287"/>
      <c r="NHX48" s="287"/>
      <c r="NHY48" s="287"/>
      <c r="NHZ48" s="287"/>
      <c r="NIA48" s="287"/>
      <c r="NIB48" s="287"/>
      <c r="NIC48" s="287"/>
      <c r="NID48" s="287"/>
      <c r="NIE48" s="287"/>
      <c r="NIF48" s="287"/>
      <c r="NIG48" s="287"/>
      <c r="NIH48" s="287"/>
      <c r="NII48" s="287"/>
      <c r="NIJ48" s="287"/>
      <c r="NIK48" s="287"/>
      <c r="NIL48" s="287"/>
      <c r="NIM48" s="287"/>
      <c r="NIN48" s="287"/>
      <c r="NIO48" s="287"/>
      <c r="NIP48" s="287"/>
      <c r="NIQ48" s="287"/>
      <c r="NIR48" s="287"/>
      <c r="NIS48" s="287"/>
      <c r="NIT48" s="287"/>
      <c r="NIU48" s="287"/>
      <c r="NIV48" s="287"/>
      <c r="NIW48" s="287"/>
      <c r="NIX48" s="287"/>
      <c r="NIY48" s="287"/>
      <c r="NIZ48" s="287"/>
      <c r="NJA48" s="287"/>
      <c r="NJB48" s="287"/>
      <c r="NJC48" s="287"/>
      <c r="NJD48" s="287"/>
      <c r="NJE48" s="287"/>
      <c r="NJF48" s="287"/>
      <c r="NJG48" s="287"/>
      <c r="NJH48" s="287"/>
      <c r="NJI48" s="287"/>
      <c r="NJJ48" s="287"/>
      <c r="NJK48" s="287"/>
      <c r="NJL48" s="287"/>
      <c r="NJM48" s="287"/>
      <c r="NJN48" s="287"/>
      <c r="NJO48" s="287"/>
      <c r="NJP48" s="287"/>
      <c r="NJQ48" s="287"/>
      <c r="NJR48" s="287"/>
      <c r="NJS48" s="287"/>
      <c r="NJT48" s="287"/>
      <c r="NJU48" s="287"/>
      <c r="NJV48" s="287"/>
      <c r="NJW48" s="287"/>
      <c r="NJX48" s="287"/>
      <c r="NJY48" s="287"/>
      <c r="NJZ48" s="287"/>
      <c r="NKA48" s="287"/>
      <c r="NKB48" s="287"/>
      <c r="NKC48" s="287"/>
      <c r="NKD48" s="287"/>
      <c r="NKE48" s="287"/>
      <c r="NKF48" s="287"/>
      <c r="NKG48" s="287"/>
      <c r="NKH48" s="287"/>
      <c r="NKI48" s="287"/>
      <c r="NKJ48" s="287"/>
      <c r="NKK48" s="287"/>
      <c r="NKL48" s="287"/>
      <c r="NKM48" s="287"/>
      <c r="NKN48" s="287"/>
      <c r="NKO48" s="287"/>
      <c r="NKP48" s="287"/>
      <c r="NKQ48" s="287"/>
      <c r="NKR48" s="287"/>
      <c r="NKS48" s="287"/>
      <c r="NKT48" s="287"/>
      <c r="NKU48" s="287"/>
      <c r="NKV48" s="287"/>
      <c r="NKW48" s="287"/>
      <c r="NKX48" s="287"/>
      <c r="NKY48" s="287"/>
      <c r="NKZ48" s="287"/>
      <c r="NLA48" s="287"/>
      <c r="NLB48" s="287"/>
      <c r="NLC48" s="287"/>
      <c r="NLD48" s="287"/>
      <c r="NLE48" s="287"/>
      <c r="NLF48" s="287"/>
      <c r="NLG48" s="287"/>
      <c r="NLH48" s="287"/>
      <c r="NLI48" s="287"/>
      <c r="NLJ48" s="287"/>
      <c r="NLK48" s="287"/>
      <c r="NLL48" s="287"/>
      <c r="NLM48" s="287"/>
      <c r="NLN48" s="287"/>
      <c r="NLO48" s="287"/>
      <c r="NLP48" s="287"/>
      <c r="NLQ48" s="287"/>
      <c r="NLR48" s="287"/>
      <c r="NLS48" s="287"/>
      <c r="NLT48" s="287"/>
      <c r="NLU48" s="287"/>
      <c r="NLV48" s="287"/>
      <c r="NLW48" s="287"/>
      <c r="NLX48" s="287"/>
      <c r="NLY48" s="287"/>
      <c r="NLZ48" s="287"/>
      <c r="NMA48" s="287"/>
      <c r="NMB48" s="287"/>
      <c r="NMC48" s="287"/>
      <c r="NMD48" s="287"/>
      <c r="NME48" s="287"/>
      <c r="NMF48" s="287"/>
      <c r="NMG48" s="287"/>
      <c r="NMH48" s="287"/>
      <c r="NMI48" s="287"/>
      <c r="NMJ48" s="287"/>
      <c r="NMK48" s="287"/>
      <c r="NML48" s="287"/>
      <c r="NMM48" s="287"/>
      <c r="NMN48" s="287"/>
      <c r="NMO48" s="287"/>
      <c r="NMP48" s="287"/>
      <c r="NMQ48" s="287"/>
      <c r="NMR48" s="287"/>
      <c r="NMS48" s="287"/>
      <c r="NMT48" s="287"/>
      <c r="NMU48" s="287"/>
      <c r="NMV48" s="287"/>
      <c r="NMW48" s="287"/>
      <c r="NMX48" s="287"/>
      <c r="NMY48" s="287"/>
      <c r="NMZ48" s="287"/>
      <c r="NNA48" s="287"/>
      <c r="NNB48" s="287"/>
      <c r="NNC48" s="287"/>
      <c r="NND48" s="287"/>
      <c r="NNE48" s="287"/>
      <c r="NNF48" s="287"/>
      <c r="NNG48" s="287"/>
      <c r="NNH48" s="287"/>
      <c r="NNI48" s="287"/>
      <c r="NNJ48" s="287"/>
      <c r="NNK48" s="287"/>
      <c r="NNL48" s="287"/>
      <c r="NNM48" s="287"/>
      <c r="NNN48" s="287"/>
      <c r="NNO48" s="287"/>
      <c r="NNP48" s="287"/>
      <c r="NNQ48" s="287"/>
      <c r="NNR48" s="287"/>
      <c r="NNS48" s="287"/>
      <c r="NNT48" s="287"/>
      <c r="NNU48" s="287"/>
      <c r="NNV48" s="287"/>
      <c r="NNW48" s="287"/>
      <c r="NNX48" s="287"/>
      <c r="NNY48" s="287"/>
      <c r="NNZ48" s="287"/>
      <c r="NOA48" s="287"/>
      <c r="NOB48" s="287"/>
      <c r="NOC48" s="287"/>
      <c r="NOD48" s="287"/>
      <c r="NOE48" s="287"/>
      <c r="NOF48" s="287"/>
      <c r="NOG48" s="287"/>
      <c r="NOH48" s="287"/>
      <c r="NOI48" s="287"/>
      <c r="NOJ48" s="287"/>
      <c r="NOK48" s="287"/>
      <c r="NOL48" s="287"/>
      <c r="NOM48" s="287"/>
      <c r="NON48" s="287"/>
      <c r="NOO48" s="287"/>
      <c r="NOP48" s="287"/>
      <c r="NOQ48" s="287"/>
      <c r="NOR48" s="287"/>
      <c r="NOS48" s="287"/>
      <c r="NOT48" s="287"/>
      <c r="NOU48" s="287"/>
      <c r="NOV48" s="287"/>
      <c r="NOW48" s="287"/>
      <c r="NOX48" s="287"/>
      <c r="NOY48" s="287"/>
      <c r="NOZ48" s="287"/>
      <c r="NPA48" s="287"/>
      <c r="NPB48" s="287"/>
      <c r="NPC48" s="287"/>
      <c r="NPD48" s="287"/>
      <c r="NPE48" s="287"/>
      <c r="NPF48" s="287"/>
      <c r="NPG48" s="287"/>
      <c r="NPH48" s="287"/>
      <c r="NPI48" s="287"/>
      <c r="NPJ48" s="287"/>
      <c r="NPK48" s="287"/>
      <c r="NPL48" s="287"/>
      <c r="NPM48" s="287"/>
      <c r="NPN48" s="287"/>
      <c r="NPO48" s="287"/>
      <c r="NPP48" s="287"/>
      <c r="NPQ48" s="287"/>
      <c r="NPR48" s="287"/>
      <c r="NPS48" s="287"/>
      <c r="NPT48" s="287"/>
      <c r="NPU48" s="287"/>
      <c r="NPV48" s="287"/>
      <c r="NPW48" s="287"/>
      <c r="NPX48" s="287"/>
      <c r="NPY48" s="287"/>
      <c r="NPZ48" s="287"/>
      <c r="NQA48" s="287"/>
      <c r="NQB48" s="287"/>
      <c r="NQC48" s="287"/>
      <c r="NQD48" s="287"/>
      <c r="NQE48" s="287"/>
      <c r="NQF48" s="287"/>
      <c r="NQG48" s="287"/>
      <c r="NQH48" s="287"/>
      <c r="NQI48" s="287"/>
      <c r="NQJ48" s="287"/>
      <c r="NQK48" s="287"/>
      <c r="NQL48" s="287"/>
      <c r="NQM48" s="287"/>
      <c r="NQN48" s="287"/>
      <c r="NQO48" s="287"/>
      <c r="NQP48" s="287"/>
      <c r="NQQ48" s="287"/>
      <c r="NQR48" s="287"/>
      <c r="NQS48" s="287"/>
      <c r="NQT48" s="287"/>
      <c r="NQU48" s="287"/>
      <c r="NQV48" s="287"/>
      <c r="NQW48" s="287"/>
      <c r="NQX48" s="287"/>
      <c r="NQY48" s="287"/>
      <c r="NQZ48" s="287"/>
      <c r="NRA48" s="287"/>
      <c r="NRB48" s="287"/>
      <c r="NRC48" s="287"/>
      <c r="NRD48" s="287"/>
      <c r="NRE48" s="287"/>
      <c r="NRF48" s="287"/>
      <c r="NRG48" s="287"/>
      <c r="NRH48" s="287"/>
      <c r="NRI48" s="287"/>
      <c r="NRJ48" s="287"/>
      <c r="NRK48" s="287"/>
      <c r="NRL48" s="287"/>
      <c r="NRM48" s="287"/>
      <c r="NRN48" s="287"/>
      <c r="NRO48" s="287"/>
      <c r="NRP48" s="287"/>
      <c r="NRQ48" s="287"/>
      <c r="NRR48" s="287"/>
      <c r="NRS48" s="287"/>
      <c r="NRT48" s="287"/>
      <c r="NRU48" s="287"/>
      <c r="NRV48" s="287"/>
      <c r="NRW48" s="287"/>
      <c r="NRX48" s="287"/>
      <c r="NRY48" s="287"/>
      <c r="NRZ48" s="287"/>
      <c r="NSA48" s="287"/>
      <c r="NSB48" s="287"/>
      <c r="NSC48" s="287"/>
      <c r="NSD48" s="287"/>
      <c r="NSE48" s="287"/>
      <c r="NSF48" s="287"/>
      <c r="NSG48" s="287"/>
      <c r="NSH48" s="287"/>
      <c r="NSI48" s="287"/>
      <c r="NSJ48" s="287"/>
      <c r="NSK48" s="287"/>
      <c r="NSL48" s="287"/>
      <c r="NSM48" s="287"/>
      <c r="NSN48" s="287"/>
      <c r="NSO48" s="287"/>
      <c r="NSP48" s="287"/>
      <c r="NSQ48" s="287"/>
      <c r="NSR48" s="287"/>
      <c r="NSS48" s="287"/>
      <c r="NST48" s="287"/>
      <c r="NSU48" s="287"/>
      <c r="NSV48" s="287"/>
      <c r="NSW48" s="287"/>
      <c r="NSX48" s="287"/>
      <c r="NSY48" s="287"/>
      <c r="NSZ48" s="287"/>
      <c r="NTA48" s="287"/>
      <c r="NTB48" s="287"/>
      <c r="NTC48" s="287"/>
      <c r="NTD48" s="287"/>
      <c r="NTE48" s="287"/>
      <c r="NTF48" s="287"/>
      <c r="NTG48" s="287"/>
      <c r="NTH48" s="287"/>
      <c r="NTI48" s="287"/>
      <c r="NTJ48" s="287"/>
      <c r="NTK48" s="287"/>
      <c r="NTL48" s="287"/>
      <c r="NTM48" s="287"/>
      <c r="NTN48" s="287"/>
      <c r="NTO48" s="287"/>
      <c r="NTP48" s="287"/>
      <c r="NTQ48" s="287"/>
      <c r="NTR48" s="287"/>
      <c r="NTS48" s="287"/>
      <c r="NTT48" s="287"/>
      <c r="NTU48" s="287"/>
      <c r="NTV48" s="287"/>
      <c r="NTW48" s="287"/>
      <c r="NTX48" s="287"/>
      <c r="NTY48" s="287"/>
      <c r="NTZ48" s="287"/>
      <c r="NUA48" s="287"/>
      <c r="NUB48" s="287"/>
      <c r="NUC48" s="287"/>
      <c r="NUD48" s="287"/>
      <c r="NUE48" s="287"/>
      <c r="NUF48" s="287"/>
      <c r="NUG48" s="287"/>
      <c r="NUH48" s="287"/>
      <c r="NUI48" s="287"/>
      <c r="NUJ48" s="287"/>
      <c r="NUK48" s="287"/>
      <c r="NUL48" s="287"/>
      <c r="NUM48" s="287"/>
      <c r="NUN48" s="287"/>
      <c r="NUO48" s="287"/>
      <c r="NUP48" s="287"/>
      <c r="NUQ48" s="287"/>
      <c r="NUR48" s="287"/>
      <c r="NUS48" s="287"/>
      <c r="NUT48" s="287"/>
      <c r="NUU48" s="287"/>
      <c r="NUV48" s="287"/>
      <c r="NUW48" s="287"/>
      <c r="NUX48" s="287"/>
      <c r="NUY48" s="287"/>
      <c r="NUZ48" s="287"/>
      <c r="NVA48" s="287"/>
      <c r="NVB48" s="287"/>
      <c r="NVC48" s="287"/>
      <c r="NVD48" s="287"/>
      <c r="NVE48" s="287"/>
      <c r="NVF48" s="287"/>
      <c r="NVG48" s="287"/>
      <c r="NVH48" s="287"/>
      <c r="NVI48" s="287"/>
      <c r="NVJ48" s="287"/>
      <c r="NVK48" s="287"/>
      <c r="NVL48" s="287"/>
      <c r="NVM48" s="287"/>
      <c r="NVN48" s="287"/>
      <c r="NVO48" s="287"/>
      <c r="NVP48" s="287"/>
      <c r="NVQ48" s="287"/>
      <c r="NVR48" s="287"/>
      <c r="NVS48" s="287"/>
      <c r="NVT48" s="287"/>
      <c r="NVU48" s="287"/>
      <c r="NVV48" s="287"/>
      <c r="NVW48" s="287"/>
      <c r="NVX48" s="287"/>
      <c r="NVY48" s="287"/>
      <c r="NVZ48" s="287"/>
      <c r="NWA48" s="287"/>
      <c r="NWB48" s="287"/>
      <c r="NWC48" s="287"/>
      <c r="NWD48" s="287"/>
      <c r="NWE48" s="287"/>
      <c r="NWF48" s="287"/>
      <c r="NWG48" s="287"/>
      <c r="NWH48" s="287"/>
      <c r="NWI48" s="287"/>
      <c r="NWJ48" s="287"/>
      <c r="NWK48" s="287"/>
      <c r="NWL48" s="287"/>
      <c r="NWM48" s="287"/>
      <c r="NWN48" s="287"/>
      <c r="NWO48" s="287"/>
      <c r="NWP48" s="287"/>
      <c r="NWQ48" s="287"/>
      <c r="NWR48" s="287"/>
      <c r="NWS48" s="287"/>
      <c r="NWT48" s="287"/>
      <c r="NWU48" s="287"/>
      <c r="NWV48" s="287"/>
      <c r="NWW48" s="287"/>
      <c r="NWX48" s="287"/>
      <c r="NWY48" s="287"/>
      <c r="NWZ48" s="287"/>
      <c r="NXA48" s="287"/>
      <c r="NXB48" s="287"/>
      <c r="NXC48" s="287"/>
      <c r="NXD48" s="287"/>
      <c r="NXE48" s="287"/>
      <c r="NXF48" s="287"/>
      <c r="NXG48" s="287"/>
      <c r="NXH48" s="287"/>
      <c r="NXI48" s="287"/>
      <c r="NXJ48" s="287"/>
      <c r="NXK48" s="287"/>
      <c r="NXL48" s="287"/>
      <c r="NXM48" s="287"/>
      <c r="NXN48" s="287"/>
      <c r="NXO48" s="287"/>
      <c r="NXP48" s="287"/>
      <c r="NXQ48" s="287"/>
      <c r="NXR48" s="287"/>
      <c r="NXS48" s="287"/>
      <c r="NXT48" s="287"/>
      <c r="NXU48" s="287"/>
      <c r="NXV48" s="287"/>
      <c r="NXW48" s="287"/>
      <c r="NXX48" s="287"/>
      <c r="NXY48" s="287"/>
      <c r="NXZ48" s="287"/>
      <c r="NYA48" s="287"/>
      <c r="NYB48" s="287"/>
      <c r="NYC48" s="287"/>
      <c r="NYD48" s="287"/>
      <c r="NYE48" s="287"/>
      <c r="NYF48" s="287"/>
      <c r="NYG48" s="287"/>
      <c r="NYH48" s="287"/>
      <c r="NYI48" s="287"/>
      <c r="NYJ48" s="287"/>
      <c r="NYK48" s="287"/>
      <c r="NYL48" s="287"/>
      <c r="NYM48" s="287"/>
      <c r="NYN48" s="287"/>
      <c r="NYO48" s="287"/>
      <c r="NYP48" s="287"/>
      <c r="NYQ48" s="287"/>
      <c r="NYR48" s="287"/>
      <c r="NYS48" s="287"/>
      <c r="NYT48" s="287"/>
      <c r="NYU48" s="287"/>
      <c r="NYV48" s="287"/>
      <c r="NYW48" s="287"/>
      <c r="NYX48" s="287"/>
      <c r="NYY48" s="287"/>
      <c r="NYZ48" s="287"/>
      <c r="NZA48" s="287"/>
      <c r="NZB48" s="287"/>
      <c r="NZC48" s="287"/>
      <c r="NZD48" s="287"/>
      <c r="NZE48" s="287"/>
      <c r="NZF48" s="287"/>
      <c r="NZG48" s="287"/>
      <c r="NZH48" s="287"/>
      <c r="NZI48" s="287"/>
      <c r="NZJ48" s="287"/>
      <c r="NZK48" s="287"/>
      <c r="NZL48" s="287"/>
      <c r="NZM48" s="287"/>
      <c r="NZN48" s="287"/>
      <c r="NZO48" s="287"/>
      <c r="NZP48" s="287"/>
      <c r="NZQ48" s="287"/>
      <c r="NZR48" s="287"/>
      <c r="NZS48" s="287"/>
      <c r="NZT48" s="287"/>
      <c r="NZU48" s="287"/>
      <c r="NZV48" s="287"/>
      <c r="NZW48" s="287"/>
      <c r="NZX48" s="287"/>
      <c r="NZY48" s="287"/>
      <c r="NZZ48" s="287"/>
      <c r="OAA48" s="287"/>
      <c r="OAB48" s="287"/>
      <c r="OAC48" s="287"/>
      <c r="OAD48" s="287"/>
      <c r="OAE48" s="287"/>
      <c r="OAF48" s="287"/>
      <c r="OAG48" s="287"/>
      <c r="OAH48" s="287"/>
      <c r="OAI48" s="287"/>
      <c r="OAJ48" s="287"/>
      <c r="OAK48" s="287"/>
      <c r="OAL48" s="287"/>
      <c r="OAM48" s="287"/>
      <c r="OAN48" s="287"/>
      <c r="OAO48" s="287"/>
      <c r="OAP48" s="287"/>
      <c r="OAQ48" s="287"/>
      <c r="OAR48" s="287"/>
      <c r="OAS48" s="287"/>
      <c r="OAT48" s="287"/>
      <c r="OAU48" s="287"/>
      <c r="OAV48" s="287"/>
      <c r="OAW48" s="287"/>
      <c r="OAX48" s="287"/>
      <c r="OAY48" s="287"/>
      <c r="OAZ48" s="287"/>
      <c r="OBA48" s="287"/>
      <c r="OBB48" s="287"/>
      <c r="OBC48" s="287"/>
      <c r="OBD48" s="287"/>
      <c r="OBE48" s="287"/>
      <c r="OBF48" s="287"/>
      <c r="OBG48" s="287"/>
      <c r="OBH48" s="287"/>
      <c r="OBI48" s="287"/>
      <c r="OBJ48" s="287"/>
      <c r="OBK48" s="287"/>
      <c r="OBL48" s="287"/>
      <c r="OBM48" s="287"/>
      <c r="OBN48" s="287"/>
      <c r="OBO48" s="287"/>
      <c r="OBP48" s="287"/>
      <c r="OBQ48" s="287"/>
      <c r="OBR48" s="287"/>
      <c r="OBS48" s="287"/>
      <c r="OBT48" s="287"/>
      <c r="OBU48" s="287"/>
      <c r="OBV48" s="287"/>
      <c r="OBW48" s="287"/>
      <c r="OBX48" s="287"/>
      <c r="OBY48" s="287"/>
      <c r="OBZ48" s="287"/>
      <c r="OCA48" s="287"/>
      <c r="OCB48" s="287"/>
      <c r="OCC48" s="287"/>
      <c r="OCD48" s="287"/>
      <c r="OCE48" s="287"/>
      <c r="OCF48" s="287"/>
      <c r="OCG48" s="287"/>
      <c r="OCH48" s="287"/>
      <c r="OCI48" s="287"/>
      <c r="OCJ48" s="287"/>
      <c r="OCK48" s="287"/>
      <c r="OCL48" s="287"/>
      <c r="OCM48" s="287"/>
      <c r="OCN48" s="287"/>
      <c r="OCO48" s="287"/>
      <c r="OCP48" s="287"/>
      <c r="OCQ48" s="287"/>
      <c r="OCR48" s="287"/>
      <c r="OCS48" s="287"/>
      <c r="OCT48" s="287"/>
      <c r="OCU48" s="287"/>
      <c r="OCV48" s="287"/>
      <c r="OCW48" s="287"/>
      <c r="OCX48" s="287"/>
      <c r="OCY48" s="287"/>
      <c r="OCZ48" s="287"/>
      <c r="ODA48" s="287"/>
      <c r="ODB48" s="287"/>
      <c r="ODC48" s="287"/>
      <c r="ODD48" s="287"/>
      <c r="ODE48" s="287"/>
      <c r="ODF48" s="287"/>
      <c r="ODG48" s="287"/>
      <c r="ODH48" s="287"/>
      <c r="ODI48" s="287"/>
      <c r="ODJ48" s="287"/>
      <c r="ODK48" s="287"/>
      <c r="ODL48" s="287"/>
      <c r="ODM48" s="287"/>
      <c r="ODN48" s="287"/>
      <c r="ODO48" s="287"/>
      <c r="ODP48" s="287"/>
      <c r="ODQ48" s="287"/>
      <c r="ODR48" s="287"/>
      <c r="ODS48" s="287"/>
      <c r="ODT48" s="287"/>
      <c r="ODU48" s="287"/>
      <c r="ODV48" s="287"/>
      <c r="ODW48" s="287"/>
      <c r="ODX48" s="287"/>
      <c r="ODY48" s="287"/>
      <c r="ODZ48" s="287"/>
      <c r="OEA48" s="287"/>
      <c r="OEB48" s="287"/>
      <c r="OEC48" s="287"/>
      <c r="OED48" s="287"/>
      <c r="OEE48" s="287"/>
      <c r="OEF48" s="287"/>
      <c r="OEG48" s="287"/>
      <c r="OEH48" s="287"/>
      <c r="OEI48" s="287"/>
      <c r="OEJ48" s="287"/>
      <c r="OEK48" s="287"/>
      <c r="OEL48" s="287"/>
      <c r="OEM48" s="287"/>
      <c r="OEN48" s="287"/>
      <c r="OEO48" s="287"/>
      <c r="OEP48" s="287"/>
      <c r="OEQ48" s="287"/>
      <c r="OER48" s="287"/>
      <c r="OES48" s="287"/>
      <c r="OET48" s="287"/>
      <c r="OEU48" s="287"/>
      <c r="OEV48" s="287"/>
      <c r="OEW48" s="287"/>
      <c r="OEX48" s="287"/>
      <c r="OEY48" s="287"/>
      <c r="OEZ48" s="287"/>
      <c r="OFA48" s="287"/>
      <c r="OFB48" s="287"/>
      <c r="OFC48" s="287"/>
      <c r="OFD48" s="287"/>
      <c r="OFE48" s="287"/>
      <c r="OFF48" s="287"/>
      <c r="OFG48" s="287"/>
      <c r="OFH48" s="287"/>
      <c r="OFI48" s="287"/>
      <c r="OFJ48" s="287"/>
      <c r="OFK48" s="287"/>
      <c r="OFL48" s="287"/>
      <c r="OFM48" s="287"/>
      <c r="OFN48" s="287"/>
      <c r="OFO48" s="287"/>
      <c r="OFP48" s="287"/>
      <c r="OFQ48" s="287"/>
      <c r="OFR48" s="287"/>
      <c r="OFS48" s="287"/>
      <c r="OFT48" s="287"/>
      <c r="OFU48" s="287"/>
      <c r="OFV48" s="287"/>
      <c r="OFW48" s="287"/>
      <c r="OFX48" s="287"/>
      <c r="OFY48" s="287"/>
      <c r="OFZ48" s="287"/>
      <c r="OGA48" s="287"/>
      <c r="OGB48" s="287"/>
      <c r="OGC48" s="287"/>
      <c r="OGD48" s="287"/>
      <c r="OGE48" s="287"/>
      <c r="OGF48" s="287"/>
      <c r="OGG48" s="287"/>
      <c r="OGH48" s="287"/>
      <c r="OGI48" s="287"/>
      <c r="OGJ48" s="287"/>
      <c r="OGK48" s="287"/>
      <c r="OGL48" s="287"/>
      <c r="OGM48" s="287"/>
      <c r="OGN48" s="287"/>
      <c r="OGO48" s="287"/>
      <c r="OGP48" s="287"/>
      <c r="OGQ48" s="287"/>
      <c r="OGR48" s="287"/>
      <c r="OGS48" s="287"/>
      <c r="OGT48" s="287"/>
      <c r="OGU48" s="287"/>
      <c r="OGV48" s="287"/>
      <c r="OGW48" s="287"/>
      <c r="OGX48" s="287"/>
      <c r="OGY48" s="287"/>
      <c r="OGZ48" s="287"/>
      <c r="OHA48" s="287"/>
      <c r="OHB48" s="287"/>
      <c r="OHC48" s="287"/>
      <c r="OHD48" s="287"/>
      <c r="OHE48" s="287"/>
      <c r="OHF48" s="287"/>
      <c r="OHG48" s="287"/>
      <c r="OHH48" s="287"/>
      <c r="OHI48" s="287"/>
      <c r="OHJ48" s="287"/>
      <c r="OHK48" s="287"/>
      <c r="OHL48" s="287"/>
      <c r="OHM48" s="287"/>
      <c r="OHN48" s="287"/>
      <c r="OHO48" s="287"/>
      <c r="OHP48" s="287"/>
      <c r="OHQ48" s="287"/>
      <c r="OHR48" s="287"/>
      <c r="OHS48" s="287"/>
      <c r="OHT48" s="287"/>
      <c r="OHU48" s="287"/>
      <c r="OHV48" s="287"/>
      <c r="OHW48" s="287"/>
      <c r="OHX48" s="287"/>
      <c r="OHY48" s="287"/>
      <c r="OHZ48" s="287"/>
      <c r="OIA48" s="287"/>
      <c r="OIB48" s="287"/>
      <c r="OIC48" s="287"/>
      <c r="OID48" s="287"/>
      <c r="OIE48" s="287"/>
      <c r="OIF48" s="287"/>
      <c r="OIG48" s="287"/>
      <c r="OIH48" s="287"/>
      <c r="OII48" s="287"/>
      <c r="OIJ48" s="287"/>
      <c r="OIK48" s="287"/>
      <c r="OIL48" s="287"/>
      <c r="OIM48" s="287"/>
      <c r="OIN48" s="287"/>
      <c r="OIO48" s="287"/>
      <c r="OIP48" s="287"/>
      <c r="OIQ48" s="287"/>
      <c r="OIR48" s="287"/>
      <c r="OIS48" s="287"/>
      <c r="OIT48" s="287"/>
      <c r="OIU48" s="287"/>
      <c r="OIV48" s="287"/>
      <c r="OIW48" s="287"/>
      <c r="OIX48" s="287"/>
      <c r="OIY48" s="287"/>
      <c r="OIZ48" s="287"/>
      <c r="OJA48" s="287"/>
      <c r="OJB48" s="287"/>
      <c r="OJC48" s="287"/>
      <c r="OJD48" s="287"/>
      <c r="OJE48" s="287"/>
      <c r="OJF48" s="287"/>
      <c r="OJG48" s="287"/>
      <c r="OJH48" s="287"/>
      <c r="OJI48" s="287"/>
      <c r="OJJ48" s="287"/>
      <c r="OJK48" s="287"/>
      <c r="OJL48" s="287"/>
      <c r="OJM48" s="287"/>
      <c r="OJN48" s="287"/>
      <c r="OJO48" s="287"/>
      <c r="OJP48" s="287"/>
      <c r="OJQ48" s="287"/>
      <c r="OJR48" s="287"/>
      <c r="OJS48" s="287"/>
      <c r="OJT48" s="287"/>
      <c r="OJU48" s="287"/>
      <c r="OJV48" s="287"/>
      <c r="OJW48" s="287"/>
      <c r="OJX48" s="287"/>
      <c r="OJY48" s="287"/>
      <c r="OJZ48" s="287"/>
      <c r="OKA48" s="287"/>
      <c r="OKB48" s="287"/>
      <c r="OKC48" s="287"/>
      <c r="OKD48" s="287"/>
      <c r="OKE48" s="287"/>
      <c r="OKF48" s="287"/>
      <c r="OKG48" s="287"/>
      <c r="OKH48" s="287"/>
      <c r="OKI48" s="287"/>
      <c r="OKJ48" s="287"/>
      <c r="OKK48" s="287"/>
      <c r="OKL48" s="287"/>
      <c r="OKM48" s="287"/>
      <c r="OKN48" s="287"/>
      <c r="OKO48" s="287"/>
      <c r="OKP48" s="287"/>
      <c r="OKQ48" s="287"/>
      <c r="OKR48" s="287"/>
      <c r="OKS48" s="287"/>
      <c r="OKT48" s="287"/>
      <c r="OKU48" s="287"/>
      <c r="OKV48" s="287"/>
      <c r="OKW48" s="287"/>
      <c r="OKX48" s="287"/>
      <c r="OKY48" s="287"/>
      <c r="OKZ48" s="287"/>
      <c r="OLA48" s="287"/>
      <c r="OLB48" s="287"/>
      <c r="OLC48" s="287"/>
      <c r="OLD48" s="287"/>
      <c r="OLE48" s="287"/>
      <c r="OLF48" s="287"/>
      <c r="OLG48" s="287"/>
      <c r="OLH48" s="287"/>
      <c r="OLI48" s="287"/>
      <c r="OLJ48" s="287"/>
      <c r="OLK48" s="287"/>
      <c r="OLL48" s="287"/>
      <c r="OLM48" s="287"/>
      <c r="OLN48" s="287"/>
      <c r="OLO48" s="287"/>
      <c r="OLP48" s="287"/>
      <c r="OLQ48" s="287"/>
      <c r="OLR48" s="287"/>
      <c r="OLS48" s="287"/>
      <c r="OLT48" s="287"/>
      <c r="OLU48" s="287"/>
      <c r="OLV48" s="287"/>
      <c r="OLW48" s="287"/>
      <c r="OLX48" s="287"/>
      <c r="OLY48" s="287"/>
      <c r="OLZ48" s="287"/>
      <c r="OMA48" s="287"/>
      <c r="OMB48" s="287"/>
      <c r="OMC48" s="287"/>
      <c r="OMD48" s="287"/>
      <c r="OME48" s="287"/>
      <c r="OMF48" s="287"/>
      <c r="OMG48" s="287"/>
      <c r="OMH48" s="287"/>
      <c r="OMI48" s="287"/>
      <c r="OMJ48" s="287"/>
      <c r="OMK48" s="287"/>
      <c r="OML48" s="287"/>
      <c r="OMM48" s="287"/>
      <c r="OMN48" s="287"/>
      <c r="OMO48" s="287"/>
      <c r="OMP48" s="287"/>
      <c r="OMQ48" s="287"/>
      <c r="OMR48" s="287"/>
      <c r="OMS48" s="287"/>
      <c r="OMT48" s="287"/>
      <c r="OMU48" s="287"/>
      <c r="OMV48" s="287"/>
      <c r="OMW48" s="287"/>
      <c r="OMX48" s="287"/>
      <c r="OMY48" s="287"/>
      <c r="OMZ48" s="287"/>
      <c r="ONA48" s="287"/>
      <c r="ONB48" s="287"/>
      <c r="ONC48" s="287"/>
      <c r="OND48" s="287"/>
      <c r="ONE48" s="287"/>
      <c r="ONF48" s="287"/>
      <c r="ONG48" s="287"/>
      <c r="ONH48" s="287"/>
      <c r="ONI48" s="287"/>
      <c r="ONJ48" s="287"/>
      <c r="ONK48" s="287"/>
      <c r="ONL48" s="287"/>
      <c r="ONM48" s="287"/>
      <c r="ONN48" s="287"/>
      <c r="ONO48" s="287"/>
      <c r="ONP48" s="287"/>
      <c r="ONQ48" s="287"/>
      <c r="ONR48" s="287"/>
      <c r="ONS48" s="287"/>
      <c r="ONT48" s="287"/>
      <c r="ONU48" s="287"/>
      <c r="ONV48" s="287"/>
      <c r="ONW48" s="287"/>
      <c r="ONX48" s="287"/>
      <c r="ONY48" s="287"/>
      <c r="ONZ48" s="287"/>
      <c r="OOA48" s="287"/>
      <c r="OOB48" s="287"/>
      <c r="OOC48" s="287"/>
      <c r="OOD48" s="287"/>
      <c r="OOE48" s="287"/>
      <c r="OOF48" s="287"/>
      <c r="OOG48" s="287"/>
      <c r="OOH48" s="287"/>
      <c r="OOI48" s="287"/>
      <c r="OOJ48" s="287"/>
      <c r="OOK48" s="287"/>
      <c r="OOL48" s="287"/>
      <c r="OOM48" s="287"/>
      <c r="OON48" s="287"/>
      <c r="OOO48" s="287"/>
      <c r="OOP48" s="287"/>
      <c r="OOQ48" s="287"/>
      <c r="OOR48" s="287"/>
      <c r="OOS48" s="287"/>
      <c r="OOT48" s="287"/>
      <c r="OOU48" s="287"/>
      <c r="OOV48" s="287"/>
      <c r="OOW48" s="287"/>
      <c r="OOX48" s="287"/>
      <c r="OOY48" s="287"/>
      <c r="OOZ48" s="287"/>
      <c r="OPA48" s="287"/>
      <c r="OPB48" s="287"/>
      <c r="OPC48" s="287"/>
      <c r="OPD48" s="287"/>
      <c r="OPE48" s="287"/>
      <c r="OPF48" s="287"/>
      <c r="OPG48" s="287"/>
      <c r="OPH48" s="287"/>
      <c r="OPI48" s="287"/>
      <c r="OPJ48" s="287"/>
      <c r="OPK48" s="287"/>
      <c r="OPL48" s="287"/>
      <c r="OPM48" s="287"/>
      <c r="OPN48" s="287"/>
      <c r="OPO48" s="287"/>
      <c r="OPP48" s="287"/>
      <c r="OPQ48" s="287"/>
      <c r="OPR48" s="287"/>
      <c r="OPS48" s="287"/>
      <c r="OPT48" s="287"/>
      <c r="OPU48" s="287"/>
      <c r="OPV48" s="287"/>
      <c r="OPW48" s="287"/>
      <c r="OPX48" s="287"/>
      <c r="OPY48" s="287"/>
      <c r="OPZ48" s="287"/>
      <c r="OQA48" s="287"/>
      <c r="OQB48" s="287"/>
      <c r="OQC48" s="287"/>
      <c r="OQD48" s="287"/>
      <c r="OQE48" s="287"/>
      <c r="OQF48" s="287"/>
      <c r="OQG48" s="287"/>
      <c r="OQH48" s="287"/>
      <c r="OQI48" s="287"/>
      <c r="OQJ48" s="287"/>
      <c r="OQK48" s="287"/>
      <c r="OQL48" s="287"/>
      <c r="OQM48" s="287"/>
      <c r="OQN48" s="287"/>
      <c r="OQO48" s="287"/>
      <c r="OQP48" s="287"/>
      <c r="OQQ48" s="287"/>
      <c r="OQR48" s="287"/>
      <c r="OQS48" s="287"/>
      <c r="OQT48" s="287"/>
      <c r="OQU48" s="287"/>
      <c r="OQV48" s="287"/>
      <c r="OQW48" s="287"/>
      <c r="OQX48" s="287"/>
      <c r="OQY48" s="287"/>
      <c r="OQZ48" s="287"/>
      <c r="ORA48" s="287"/>
      <c r="ORB48" s="287"/>
      <c r="ORC48" s="287"/>
      <c r="ORD48" s="287"/>
      <c r="ORE48" s="287"/>
      <c r="ORF48" s="287"/>
      <c r="ORG48" s="287"/>
      <c r="ORH48" s="287"/>
      <c r="ORI48" s="287"/>
      <c r="ORJ48" s="287"/>
      <c r="ORK48" s="287"/>
      <c r="ORL48" s="287"/>
      <c r="ORM48" s="287"/>
      <c r="ORN48" s="287"/>
      <c r="ORO48" s="287"/>
      <c r="ORP48" s="287"/>
      <c r="ORQ48" s="287"/>
      <c r="ORR48" s="287"/>
      <c r="ORS48" s="287"/>
      <c r="ORT48" s="287"/>
      <c r="ORU48" s="287"/>
      <c r="ORV48" s="287"/>
      <c r="ORW48" s="287"/>
      <c r="ORX48" s="287"/>
      <c r="ORY48" s="287"/>
      <c r="ORZ48" s="287"/>
      <c r="OSA48" s="287"/>
      <c r="OSB48" s="287"/>
      <c r="OSC48" s="287"/>
      <c r="OSD48" s="287"/>
      <c r="OSE48" s="287"/>
      <c r="OSF48" s="287"/>
      <c r="OSG48" s="287"/>
      <c r="OSH48" s="287"/>
      <c r="OSI48" s="287"/>
      <c r="OSJ48" s="287"/>
      <c r="OSK48" s="287"/>
      <c r="OSL48" s="287"/>
      <c r="OSM48" s="287"/>
      <c r="OSN48" s="287"/>
      <c r="OSO48" s="287"/>
      <c r="OSP48" s="287"/>
      <c r="OSQ48" s="287"/>
      <c r="OSR48" s="287"/>
      <c r="OSS48" s="287"/>
      <c r="OST48" s="287"/>
      <c r="OSU48" s="287"/>
      <c r="OSV48" s="287"/>
      <c r="OSW48" s="287"/>
      <c r="OSX48" s="287"/>
      <c r="OSY48" s="287"/>
      <c r="OSZ48" s="287"/>
      <c r="OTA48" s="287"/>
      <c r="OTB48" s="287"/>
      <c r="OTC48" s="287"/>
      <c r="OTD48" s="287"/>
      <c r="OTE48" s="287"/>
      <c r="OTF48" s="287"/>
      <c r="OTG48" s="287"/>
      <c r="OTH48" s="287"/>
      <c r="OTI48" s="287"/>
      <c r="OTJ48" s="287"/>
      <c r="OTK48" s="287"/>
      <c r="OTL48" s="287"/>
      <c r="OTM48" s="287"/>
      <c r="OTN48" s="287"/>
      <c r="OTO48" s="287"/>
      <c r="OTP48" s="287"/>
      <c r="OTQ48" s="287"/>
      <c r="OTR48" s="287"/>
      <c r="OTS48" s="287"/>
      <c r="OTT48" s="287"/>
      <c r="OTU48" s="287"/>
      <c r="OTV48" s="287"/>
      <c r="OTW48" s="287"/>
      <c r="OTX48" s="287"/>
      <c r="OTY48" s="287"/>
      <c r="OTZ48" s="287"/>
      <c r="OUA48" s="287"/>
      <c r="OUB48" s="287"/>
      <c r="OUC48" s="287"/>
      <c r="OUD48" s="287"/>
      <c r="OUE48" s="287"/>
      <c r="OUF48" s="287"/>
      <c r="OUG48" s="287"/>
      <c r="OUH48" s="287"/>
      <c r="OUI48" s="287"/>
      <c r="OUJ48" s="287"/>
      <c r="OUK48" s="287"/>
      <c r="OUL48" s="287"/>
      <c r="OUM48" s="287"/>
      <c r="OUN48" s="287"/>
      <c r="OUO48" s="287"/>
      <c r="OUP48" s="287"/>
      <c r="OUQ48" s="287"/>
      <c r="OUR48" s="287"/>
      <c r="OUS48" s="287"/>
      <c r="OUT48" s="287"/>
      <c r="OUU48" s="287"/>
      <c r="OUV48" s="287"/>
      <c r="OUW48" s="287"/>
      <c r="OUX48" s="287"/>
      <c r="OUY48" s="287"/>
      <c r="OUZ48" s="287"/>
      <c r="OVA48" s="287"/>
      <c r="OVB48" s="287"/>
      <c r="OVC48" s="287"/>
      <c r="OVD48" s="287"/>
      <c r="OVE48" s="287"/>
      <c r="OVF48" s="287"/>
      <c r="OVG48" s="287"/>
      <c r="OVH48" s="287"/>
      <c r="OVI48" s="287"/>
      <c r="OVJ48" s="287"/>
      <c r="OVK48" s="287"/>
      <c r="OVL48" s="287"/>
      <c r="OVM48" s="287"/>
      <c r="OVN48" s="287"/>
      <c r="OVO48" s="287"/>
      <c r="OVP48" s="287"/>
      <c r="OVQ48" s="287"/>
      <c r="OVR48" s="287"/>
      <c r="OVS48" s="287"/>
      <c r="OVT48" s="287"/>
      <c r="OVU48" s="287"/>
      <c r="OVV48" s="287"/>
      <c r="OVW48" s="287"/>
      <c r="OVX48" s="287"/>
      <c r="OVY48" s="287"/>
      <c r="OVZ48" s="287"/>
      <c r="OWA48" s="287"/>
      <c r="OWB48" s="287"/>
      <c r="OWC48" s="287"/>
      <c r="OWD48" s="287"/>
      <c r="OWE48" s="287"/>
      <c r="OWF48" s="287"/>
      <c r="OWG48" s="287"/>
      <c r="OWH48" s="287"/>
      <c r="OWI48" s="287"/>
      <c r="OWJ48" s="287"/>
      <c r="OWK48" s="287"/>
      <c r="OWL48" s="287"/>
      <c r="OWM48" s="287"/>
      <c r="OWN48" s="287"/>
      <c r="OWO48" s="287"/>
      <c r="OWP48" s="287"/>
      <c r="OWQ48" s="287"/>
      <c r="OWR48" s="287"/>
      <c r="OWS48" s="287"/>
      <c r="OWT48" s="287"/>
      <c r="OWU48" s="287"/>
      <c r="OWV48" s="287"/>
      <c r="OWW48" s="287"/>
      <c r="OWX48" s="287"/>
      <c r="OWY48" s="287"/>
      <c r="OWZ48" s="287"/>
      <c r="OXA48" s="287"/>
      <c r="OXB48" s="287"/>
      <c r="OXC48" s="287"/>
      <c r="OXD48" s="287"/>
      <c r="OXE48" s="287"/>
      <c r="OXF48" s="287"/>
      <c r="OXG48" s="287"/>
      <c r="OXH48" s="287"/>
      <c r="OXI48" s="287"/>
      <c r="OXJ48" s="287"/>
      <c r="OXK48" s="287"/>
      <c r="OXL48" s="287"/>
      <c r="OXM48" s="287"/>
      <c r="OXN48" s="287"/>
      <c r="OXO48" s="287"/>
      <c r="OXP48" s="287"/>
      <c r="OXQ48" s="287"/>
      <c r="OXR48" s="287"/>
      <c r="OXS48" s="287"/>
      <c r="OXT48" s="287"/>
      <c r="OXU48" s="287"/>
      <c r="OXV48" s="287"/>
      <c r="OXW48" s="287"/>
      <c r="OXX48" s="287"/>
      <c r="OXY48" s="287"/>
      <c r="OXZ48" s="287"/>
      <c r="OYA48" s="287"/>
      <c r="OYB48" s="287"/>
      <c r="OYC48" s="287"/>
      <c r="OYD48" s="287"/>
      <c r="OYE48" s="287"/>
      <c r="OYF48" s="287"/>
      <c r="OYG48" s="287"/>
      <c r="OYH48" s="287"/>
      <c r="OYI48" s="287"/>
      <c r="OYJ48" s="287"/>
      <c r="OYK48" s="287"/>
      <c r="OYL48" s="287"/>
      <c r="OYM48" s="287"/>
      <c r="OYN48" s="287"/>
      <c r="OYO48" s="287"/>
      <c r="OYP48" s="287"/>
      <c r="OYQ48" s="287"/>
      <c r="OYR48" s="287"/>
      <c r="OYS48" s="287"/>
      <c r="OYT48" s="287"/>
      <c r="OYU48" s="287"/>
      <c r="OYV48" s="287"/>
      <c r="OYW48" s="287"/>
      <c r="OYX48" s="287"/>
      <c r="OYY48" s="287"/>
      <c r="OYZ48" s="287"/>
      <c r="OZA48" s="287"/>
      <c r="OZB48" s="287"/>
      <c r="OZC48" s="287"/>
      <c r="OZD48" s="287"/>
      <c r="OZE48" s="287"/>
      <c r="OZF48" s="287"/>
      <c r="OZG48" s="287"/>
      <c r="OZH48" s="287"/>
      <c r="OZI48" s="287"/>
      <c r="OZJ48" s="287"/>
      <c r="OZK48" s="287"/>
      <c r="OZL48" s="287"/>
      <c r="OZM48" s="287"/>
      <c r="OZN48" s="287"/>
      <c r="OZO48" s="287"/>
      <c r="OZP48" s="287"/>
      <c r="OZQ48" s="287"/>
      <c r="OZR48" s="287"/>
      <c r="OZS48" s="287"/>
      <c r="OZT48" s="287"/>
      <c r="OZU48" s="287"/>
      <c r="OZV48" s="287"/>
      <c r="OZW48" s="287"/>
      <c r="OZX48" s="287"/>
      <c r="OZY48" s="287"/>
      <c r="OZZ48" s="287"/>
      <c r="PAA48" s="287"/>
      <c r="PAB48" s="287"/>
      <c r="PAC48" s="287"/>
      <c r="PAD48" s="287"/>
      <c r="PAE48" s="287"/>
      <c r="PAF48" s="287"/>
      <c r="PAG48" s="287"/>
      <c r="PAH48" s="287"/>
      <c r="PAI48" s="287"/>
      <c r="PAJ48" s="287"/>
      <c r="PAK48" s="287"/>
      <c r="PAL48" s="287"/>
      <c r="PAM48" s="287"/>
      <c r="PAN48" s="287"/>
      <c r="PAO48" s="287"/>
      <c r="PAP48" s="287"/>
      <c r="PAQ48" s="287"/>
      <c r="PAR48" s="287"/>
      <c r="PAS48" s="287"/>
      <c r="PAT48" s="287"/>
      <c r="PAU48" s="287"/>
      <c r="PAV48" s="287"/>
      <c r="PAW48" s="287"/>
      <c r="PAX48" s="287"/>
      <c r="PAY48" s="287"/>
      <c r="PAZ48" s="287"/>
      <c r="PBA48" s="287"/>
      <c r="PBB48" s="287"/>
      <c r="PBC48" s="287"/>
      <c r="PBD48" s="287"/>
      <c r="PBE48" s="287"/>
      <c r="PBF48" s="287"/>
      <c r="PBG48" s="287"/>
      <c r="PBH48" s="287"/>
      <c r="PBI48" s="287"/>
      <c r="PBJ48" s="287"/>
      <c r="PBK48" s="287"/>
      <c r="PBL48" s="287"/>
      <c r="PBM48" s="287"/>
      <c r="PBN48" s="287"/>
      <c r="PBO48" s="287"/>
      <c r="PBP48" s="287"/>
      <c r="PBQ48" s="287"/>
      <c r="PBR48" s="287"/>
      <c r="PBS48" s="287"/>
      <c r="PBT48" s="287"/>
      <c r="PBU48" s="287"/>
      <c r="PBV48" s="287"/>
      <c r="PBW48" s="287"/>
      <c r="PBX48" s="287"/>
      <c r="PBY48" s="287"/>
      <c r="PBZ48" s="287"/>
      <c r="PCA48" s="287"/>
      <c r="PCB48" s="287"/>
      <c r="PCC48" s="287"/>
      <c r="PCD48" s="287"/>
      <c r="PCE48" s="287"/>
      <c r="PCF48" s="287"/>
      <c r="PCG48" s="287"/>
      <c r="PCH48" s="287"/>
      <c r="PCI48" s="287"/>
      <c r="PCJ48" s="287"/>
      <c r="PCK48" s="287"/>
      <c r="PCL48" s="287"/>
      <c r="PCM48" s="287"/>
      <c r="PCN48" s="287"/>
      <c r="PCO48" s="287"/>
      <c r="PCP48" s="287"/>
      <c r="PCQ48" s="287"/>
      <c r="PCR48" s="287"/>
      <c r="PCS48" s="287"/>
      <c r="PCT48" s="287"/>
      <c r="PCU48" s="287"/>
      <c r="PCV48" s="287"/>
      <c r="PCW48" s="287"/>
      <c r="PCX48" s="287"/>
      <c r="PCY48" s="287"/>
      <c r="PCZ48" s="287"/>
      <c r="PDA48" s="287"/>
      <c r="PDB48" s="287"/>
      <c r="PDC48" s="287"/>
      <c r="PDD48" s="287"/>
      <c r="PDE48" s="287"/>
      <c r="PDF48" s="287"/>
      <c r="PDG48" s="287"/>
      <c r="PDH48" s="287"/>
      <c r="PDI48" s="287"/>
      <c r="PDJ48" s="287"/>
      <c r="PDK48" s="287"/>
      <c r="PDL48" s="287"/>
      <c r="PDM48" s="287"/>
      <c r="PDN48" s="287"/>
      <c r="PDO48" s="287"/>
      <c r="PDP48" s="287"/>
      <c r="PDQ48" s="287"/>
      <c r="PDR48" s="287"/>
      <c r="PDS48" s="287"/>
      <c r="PDT48" s="287"/>
      <c r="PDU48" s="287"/>
      <c r="PDV48" s="287"/>
      <c r="PDW48" s="287"/>
      <c r="PDX48" s="287"/>
      <c r="PDY48" s="287"/>
      <c r="PDZ48" s="287"/>
      <c r="PEA48" s="287"/>
      <c r="PEB48" s="287"/>
      <c r="PEC48" s="287"/>
      <c r="PED48" s="287"/>
      <c r="PEE48" s="287"/>
      <c r="PEF48" s="287"/>
      <c r="PEG48" s="287"/>
      <c r="PEH48" s="287"/>
      <c r="PEI48" s="287"/>
      <c r="PEJ48" s="287"/>
      <c r="PEK48" s="287"/>
      <c r="PEL48" s="287"/>
      <c r="PEM48" s="287"/>
      <c r="PEN48" s="287"/>
      <c r="PEO48" s="287"/>
      <c r="PEP48" s="287"/>
      <c r="PEQ48" s="287"/>
      <c r="PER48" s="287"/>
      <c r="PES48" s="287"/>
      <c r="PET48" s="287"/>
      <c r="PEU48" s="287"/>
      <c r="PEV48" s="287"/>
      <c r="PEW48" s="287"/>
      <c r="PEX48" s="287"/>
      <c r="PEY48" s="287"/>
      <c r="PEZ48" s="287"/>
      <c r="PFA48" s="287"/>
      <c r="PFB48" s="287"/>
      <c r="PFC48" s="287"/>
      <c r="PFD48" s="287"/>
      <c r="PFE48" s="287"/>
      <c r="PFF48" s="287"/>
      <c r="PFG48" s="287"/>
      <c r="PFH48" s="287"/>
      <c r="PFI48" s="287"/>
      <c r="PFJ48" s="287"/>
      <c r="PFK48" s="287"/>
      <c r="PFL48" s="287"/>
      <c r="PFM48" s="287"/>
      <c r="PFN48" s="287"/>
      <c r="PFO48" s="287"/>
      <c r="PFP48" s="287"/>
      <c r="PFQ48" s="287"/>
      <c r="PFR48" s="287"/>
      <c r="PFS48" s="287"/>
      <c r="PFT48" s="287"/>
      <c r="PFU48" s="287"/>
      <c r="PFV48" s="287"/>
      <c r="PFW48" s="287"/>
      <c r="PFX48" s="287"/>
      <c r="PFY48" s="287"/>
      <c r="PFZ48" s="287"/>
      <c r="PGA48" s="287"/>
      <c r="PGB48" s="287"/>
      <c r="PGC48" s="287"/>
      <c r="PGD48" s="287"/>
      <c r="PGE48" s="287"/>
      <c r="PGF48" s="287"/>
      <c r="PGG48" s="287"/>
      <c r="PGH48" s="287"/>
      <c r="PGI48" s="287"/>
      <c r="PGJ48" s="287"/>
      <c r="PGK48" s="287"/>
      <c r="PGL48" s="287"/>
      <c r="PGM48" s="287"/>
      <c r="PGN48" s="287"/>
      <c r="PGO48" s="287"/>
      <c r="PGP48" s="287"/>
      <c r="PGQ48" s="287"/>
      <c r="PGR48" s="287"/>
      <c r="PGS48" s="287"/>
      <c r="PGT48" s="287"/>
      <c r="PGU48" s="287"/>
      <c r="PGV48" s="287"/>
      <c r="PGW48" s="287"/>
      <c r="PGX48" s="287"/>
      <c r="PGY48" s="287"/>
      <c r="PGZ48" s="287"/>
      <c r="PHA48" s="287"/>
      <c r="PHB48" s="287"/>
      <c r="PHC48" s="287"/>
      <c r="PHD48" s="287"/>
      <c r="PHE48" s="287"/>
      <c r="PHF48" s="287"/>
      <c r="PHG48" s="287"/>
      <c r="PHH48" s="287"/>
      <c r="PHI48" s="287"/>
      <c r="PHJ48" s="287"/>
      <c r="PHK48" s="287"/>
      <c r="PHL48" s="287"/>
      <c r="PHM48" s="287"/>
      <c r="PHN48" s="287"/>
      <c r="PHO48" s="287"/>
      <c r="PHP48" s="287"/>
      <c r="PHQ48" s="287"/>
      <c r="PHR48" s="287"/>
      <c r="PHS48" s="287"/>
      <c r="PHT48" s="287"/>
      <c r="PHU48" s="287"/>
      <c r="PHV48" s="287"/>
      <c r="PHW48" s="287"/>
      <c r="PHX48" s="287"/>
      <c r="PHY48" s="287"/>
      <c r="PHZ48" s="287"/>
      <c r="PIA48" s="287"/>
      <c r="PIB48" s="287"/>
      <c r="PIC48" s="287"/>
      <c r="PID48" s="287"/>
      <c r="PIE48" s="287"/>
      <c r="PIF48" s="287"/>
      <c r="PIG48" s="287"/>
      <c r="PIH48" s="287"/>
      <c r="PII48" s="287"/>
      <c r="PIJ48" s="287"/>
      <c r="PIK48" s="287"/>
      <c r="PIL48" s="287"/>
      <c r="PIM48" s="287"/>
      <c r="PIN48" s="287"/>
      <c r="PIO48" s="287"/>
      <c r="PIP48" s="287"/>
      <c r="PIQ48" s="287"/>
      <c r="PIR48" s="287"/>
      <c r="PIS48" s="287"/>
      <c r="PIT48" s="287"/>
      <c r="PIU48" s="287"/>
      <c r="PIV48" s="287"/>
      <c r="PIW48" s="287"/>
      <c r="PIX48" s="287"/>
      <c r="PIY48" s="287"/>
      <c r="PIZ48" s="287"/>
      <c r="PJA48" s="287"/>
      <c r="PJB48" s="287"/>
      <c r="PJC48" s="287"/>
      <c r="PJD48" s="287"/>
      <c r="PJE48" s="287"/>
      <c r="PJF48" s="287"/>
      <c r="PJG48" s="287"/>
      <c r="PJH48" s="287"/>
      <c r="PJI48" s="287"/>
      <c r="PJJ48" s="287"/>
      <c r="PJK48" s="287"/>
      <c r="PJL48" s="287"/>
      <c r="PJM48" s="287"/>
      <c r="PJN48" s="287"/>
      <c r="PJO48" s="287"/>
      <c r="PJP48" s="287"/>
      <c r="PJQ48" s="287"/>
      <c r="PJR48" s="287"/>
      <c r="PJS48" s="287"/>
      <c r="PJT48" s="287"/>
      <c r="PJU48" s="287"/>
      <c r="PJV48" s="287"/>
      <c r="PJW48" s="287"/>
      <c r="PJX48" s="287"/>
      <c r="PJY48" s="287"/>
      <c r="PJZ48" s="287"/>
      <c r="PKA48" s="287"/>
      <c r="PKB48" s="287"/>
      <c r="PKC48" s="287"/>
      <c r="PKD48" s="287"/>
      <c r="PKE48" s="287"/>
      <c r="PKF48" s="287"/>
      <c r="PKG48" s="287"/>
      <c r="PKH48" s="287"/>
      <c r="PKI48" s="287"/>
      <c r="PKJ48" s="287"/>
      <c r="PKK48" s="287"/>
      <c r="PKL48" s="287"/>
      <c r="PKM48" s="287"/>
      <c r="PKN48" s="287"/>
      <c r="PKO48" s="287"/>
      <c r="PKP48" s="287"/>
      <c r="PKQ48" s="287"/>
      <c r="PKR48" s="287"/>
      <c r="PKS48" s="287"/>
      <c r="PKT48" s="287"/>
      <c r="PKU48" s="287"/>
      <c r="PKV48" s="287"/>
      <c r="PKW48" s="287"/>
      <c r="PKX48" s="287"/>
      <c r="PKY48" s="287"/>
      <c r="PKZ48" s="287"/>
      <c r="PLA48" s="287"/>
      <c r="PLB48" s="287"/>
      <c r="PLC48" s="287"/>
      <c r="PLD48" s="287"/>
      <c r="PLE48" s="287"/>
      <c r="PLF48" s="287"/>
      <c r="PLG48" s="287"/>
      <c r="PLH48" s="287"/>
      <c r="PLI48" s="287"/>
      <c r="PLJ48" s="287"/>
      <c r="PLK48" s="287"/>
      <c r="PLL48" s="287"/>
      <c r="PLM48" s="287"/>
      <c r="PLN48" s="287"/>
      <c r="PLO48" s="287"/>
      <c r="PLP48" s="287"/>
      <c r="PLQ48" s="287"/>
      <c r="PLR48" s="287"/>
      <c r="PLS48" s="287"/>
      <c r="PLT48" s="287"/>
      <c r="PLU48" s="287"/>
      <c r="PLV48" s="287"/>
      <c r="PLW48" s="287"/>
      <c r="PLX48" s="287"/>
      <c r="PLY48" s="287"/>
      <c r="PLZ48" s="287"/>
      <c r="PMA48" s="287"/>
      <c r="PMB48" s="287"/>
      <c r="PMC48" s="287"/>
      <c r="PMD48" s="287"/>
      <c r="PME48" s="287"/>
      <c r="PMF48" s="287"/>
      <c r="PMG48" s="287"/>
      <c r="PMH48" s="287"/>
      <c r="PMI48" s="287"/>
      <c r="PMJ48" s="287"/>
      <c r="PMK48" s="287"/>
      <c r="PML48" s="287"/>
      <c r="PMM48" s="287"/>
      <c r="PMN48" s="287"/>
      <c r="PMO48" s="287"/>
      <c r="PMP48" s="287"/>
      <c r="PMQ48" s="287"/>
      <c r="PMR48" s="287"/>
      <c r="PMS48" s="287"/>
      <c r="PMT48" s="287"/>
      <c r="PMU48" s="287"/>
      <c r="PMV48" s="287"/>
      <c r="PMW48" s="287"/>
      <c r="PMX48" s="287"/>
      <c r="PMY48" s="287"/>
      <c r="PMZ48" s="287"/>
      <c r="PNA48" s="287"/>
      <c r="PNB48" s="287"/>
      <c r="PNC48" s="287"/>
      <c r="PND48" s="287"/>
      <c r="PNE48" s="287"/>
      <c r="PNF48" s="287"/>
      <c r="PNG48" s="287"/>
      <c r="PNH48" s="287"/>
      <c r="PNI48" s="287"/>
      <c r="PNJ48" s="287"/>
      <c r="PNK48" s="287"/>
      <c r="PNL48" s="287"/>
      <c r="PNM48" s="287"/>
      <c r="PNN48" s="287"/>
      <c r="PNO48" s="287"/>
      <c r="PNP48" s="287"/>
      <c r="PNQ48" s="287"/>
      <c r="PNR48" s="287"/>
      <c r="PNS48" s="287"/>
      <c r="PNT48" s="287"/>
      <c r="PNU48" s="287"/>
      <c r="PNV48" s="287"/>
      <c r="PNW48" s="287"/>
      <c r="PNX48" s="287"/>
      <c r="PNY48" s="287"/>
      <c r="PNZ48" s="287"/>
      <c r="POA48" s="287"/>
      <c r="POB48" s="287"/>
      <c r="POC48" s="287"/>
      <c r="POD48" s="287"/>
      <c r="POE48" s="287"/>
      <c r="POF48" s="287"/>
      <c r="POG48" s="287"/>
      <c r="POH48" s="287"/>
      <c r="POI48" s="287"/>
      <c r="POJ48" s="287"/>
      <c r="POK48" s="287"/>
      <c r="POL48" s="287"/>
      <c r="POM48" s="287"/>
      <c r="PON48" s="287"/>
      <c r="POO48" s="287"/>
      <c r="POP48" s="287"/>
      <c r="POQ48" s="287"/>
      <c r="POR48" s="287"/>
      <c r="POS48" s="287"/>
      <c r="POT48" s="287"/>
      <c r="POU48" s="287"/>
      <c r="POV48" s="287"/>
      <c r="POW48" s="287"/>
      <c r="POX48" s="287"/>
      <c r="POY48" s="287"/>
      <c r="POZ48" s="287"/>
      <c r="PPA48" s="287"/>
      <c r="PPB48" s="287"/>
      <c r="PPC48" s="287"/>
      <c r="PPD48" s="287"/>
      <c r="PPE48" s="287"/>
      <c r="PPF48" s="287"/>
      <c r="PPG48" s="287"/>
      <c r="PPH48" s="287"/>
      <c r="PPI48" s="287"/>
      <c r="PPJ48" s="287"/>
      <c r="PPK48" s="287"/>
      <c r="PPL48" s="287"/>
      <c r="PPM48" s="287"/>
      <c r="PPN48" s="287"/>
      <c r="PPO48" s="287"/>
      <c r="PPP48" s="287"/>
      <c r="PPQ48" s="287"/>
      <c r="PPR48" s="287"/>
      <c r="PPS48" s="287"/>
      <c r="PPT48" s="287"/>
      <c r="PPU48" s="287"/>
      <c r="PPV48" s="287"/>
      <c r="PPW48" s="287"/>
      <c r="PPX48" s="287"/>
      <c r="PPY48" s="287"/>
      <c r="PPZ48" s="287"/>
      <c r="PQA48" s="287"/>
      <c r="PQB48" s="287"/>
      <c r="PQC48" s="287"/>
      <c r="PQD48" s="287"/>
      <c r="PQE48" s="287"/>
      <c r="PQF48" s="287"/>
      <c r="PQG48" s="287"/>
      <c r="PQH48" s="287"/>
      <c r="PQI48" s="287"/>
      <c r="PQJ48" s="287"/>
      <c r="PQK48" s="287"/>
      <c r="PQL48" s="287"/>
      <c r="PQM48" s="287"/>
      <c r="PQN48" s="287"/>
      <c r="PQO48" s="287"/>
      <c r="PQP48" s="287"/>
      <c r="PQQ48" s="287"/>
      <c r="PQR48" s="287"/>
      <c r="PQS48" s="287"/>
      <c r="PQT48" s="287"/>
      <c r="PQU48" s="287"/>
      <c r="PQV48" s="287"/>
      <c r="PQW48" s="287"/>
      <c r="PQX48" s="287"/>
      <c r="PQY48" s="287"/>
      <c r="PQZ48" s="287"/>
      <c r="PRA48" s="287"/>
      <c r="PRB48" s="287"/>
      <c r="PRC48" s="287"/>
      <c r="PRD48" s="287"/>
      <c r="PRE48" s="287"/>
      <c r="PRF48" s="287"/>
      <c r="PRG48" s="287"/>
      <c r="PRH48" s="287"/>
      <c r="PRI48" s="287"/>
      <c r="PRJ48" s="287"/>
      <c r="PRK48" s="287"/>
      <c r="PRL48" s="287"/>
      <c r="PRM48" s="287"/>
      <c r="PRN48" s="287"/>
      <c r="PRO48" s="287"/>
      <c r="PRP48" s="287"/>
      <c r="PRQ48" s="287"/>
      <c r="PRR48" s="287"/>
      <c r="PRS48" s="287"/>
      <c r="PRT48" s="287"/>
      <c r="PRU48" s="287"/>
      <c r="PRV48" s="287"/>
      <c r="PRW48" s="287"/>
      <c r="PRX48" s="287"/>
      <c r="PRY48" s="287"/>
      <c r="PRZ48" s="287"/>
      <c r="PSA48" s="287"/>
      <c r="PSB48" s="287"/>
      <c r="PSC48" s="287"/>
      <c r="PSD48" s="287"/>
      <c r="PSE48" s="287"/>
      <c r="PSF48" s="287"/>
      <c r="PSG48" s="287"/>
      <c r="PSH48" s="287"/>
      <c r="PSI48" s="287"/>
      <c r="PSJ48" s="287"/>
      <c r="PSK48" s="287"/>
      <c r="PSL48" s="287"/>
      <c r="PSM48" s="287"/>
      <c r="PSN48" s="287"/>
      <c r="PSO48" s="287"/>
      <c r="PSP48" s="287"/>
      <c r="PSQ48" s="287"/>
      <c r="PSR48" s="287"/>
      <c r="PSS48" s="287"/>
      <c r="PST48" s="287"/>
      <c r="PSU48" s="287"/>
      <c r="PSV48" s="287"/>
      <c r="PSW48" s="287"/>
      <c r="PSX48" s="287"/>
      <c r="PSY48" s="287"/>
      <c r="PSZ48" s="287"/>
      <c r="PTA48" s="287"/>
      <c r="PTB48" s="287"/>
      <c r="PTC48" s="287"/>
      <c r="PTD48" s="287"/>
      <c r="PTE48" s="287"/>
      <c r="PTF48" s="287"/>
      <c r="PTG48" s="287"/>
      <c r="PTH48" s="287"/>
      <c r="PTI48" s="287"/>
      <c r="PTJ48" s="287"/>
      <c r="PTK48" s="287"/>
      <c r="PTL48" s="287"/>
      <c r="PTM48" s="287"/>
      <c r="PTN48" s="287"/>
      <c r="PTO48" s="287"/>
      <c r="PTP48" s="287"/>
      <c r="PTQ48" s="287"/>
      <c r="PTR48" s="287"/>
      <c r="PTS48" s="287"/>
      <c r="PTT48" s="287"/>
      <c r="PTU48" s="287"/>
      <c r="PTV48" s="287"/>
      <c r="PTW48" s="287"/>
      <c r="PTX48" s="287"/>
      <c r="PTY48" s="287"/>
      <c r="PTZ48" s="287"/>
      <c r="PUA48" s="287"/>
      <c r="PUB48" s="287"/>
      <c r="PUC48" s="287"/>
      <c r="PUD48" s="287"/>
      <c r="PUE48" s="287"/>
      <c r="PUF48" s="287"/>
      <c r="PUG48" s="287"/>
      <c r="PUH48" s="287"/>
      <c r="PUI48" s="287"/>
      <c r="PUJ48" s="287"/>
      <c r="PUK48" s="287"/>
      <c r="PUL48" s="287"/>
      <c r="PUM48" s="287"/>
      <c r="PUN48" s="287"/>
      <c r="PUO48" s="287"/>
      <c r="PUP48" s="287"/>
      <c r="PUQ48" s="287"/>
      <c r="PUR48" s="287"/>
      <c r="PUS48" s="287"/>
      <c r="PUT48" s="287"/>
      <c r="PUU48" s="287"/>
      <c r="PUV48" s="287"/>
      <c r="PUW48" s="287"/>
      <c r="PUX48" s="287"/>
      <c r="PUY48" s="287"/>
      <c r="PUZ48" s="287"/>
      <c r="PVA48" s="287"/>
      <c r="PVB48" s="287"/>
      <c r="PVC48" s="287"/>
      <c r="PVD48" s="287"/>
      <c r="PVE48" s="287"/>
      <c r="PVF48" s="287"/>
      <c r="PVG48" s="287"/>
      <c r="PVH48" s="287"/>
      <c r="PVI48" s="287"/>
      <c r="PVJ48" s="287"/>
      <c r="PVK48" s="287"/>
      <c r="PVL48" s="287"/>
      <c r="PVM48" s="287"/>
      <c r="PVN48" s="287"/>
      <c r="PVO48" s="287"/>
      <c r="PVP48" s="287"/>
      <c r="PVQ48" s="287"/>
      <c r="PVR48" s="287"/>
      <c r="PVS48" s="287"/>
      <c r="PVT48" s="287"/>
      <c r="PVU48" s="287"/>
      <c r="PVV48" s="287"/>
      <c r="PVW48" s="287"/>
      <c r="PVX48" s="287"/>
      <c r="PVY48" s="287"/>
      <c r="PVZ48" s="287"/>
      <c r="PWA48" s="287"/>
      <c r="PWB48" s="287"/>
      <c r="PWC48" s="287"/>
      <c r="PWD48" s="287"/>
      <c r="PWE48" s="287"/>
      <c r="PWF48" s="287"/>
      <c r="PWG48" s="287"/>
      <c r="PWH48" s="287"/>
      <c r="PWI48" s="287"/>
      <c r="PWJ48" s="287"/>
      <c r="PWK48" s="287"/>
      <c r="PWL48" s="287"/>
      <c r="PWM48" s="287"/>
      <c r="PWN48" s="287"/>
      <c r="PWO48" s="287"/>
      <c r="PWP48" s="287"/>
      <c r="PWQ48" s="287"/>
      <c r="PWR48" s="287"/>
      <c r="PWS48" s="287"/>
      <c r="PWT48" s="287"/>
      <c r="PWU48" s="287"/>
      <c r="PWV48" s="287"/>
      <c r="PWW48" s="287"/>
      <c r="PWX48" s="287"/>
      <c r="PWY48" s="287"/>
      <c r="PWZ48" s="287"/>
      <c r="PXA48" s="287"/>
      <c r="PXB48" s="287"/>
      <c r="PXC48" s="287"/>
      <c r="PXD48" s="287"/>
      <c r="PXE48" s="287"/>
      <c r="PXF48" s="287"/>
      <c r="PXG48" s="287"/>
      <c r="PXH48" s="287"/>
      <c r="PXI48" s="287"/>
      <c r="PXJ48" s="287"/>
      <c r="PXK48" s="287"/>
      <c r="PXL48" s="287"/>
      <c r="PXM48" s="287"/>
      <c r="PXN48" s="287"/>
      <c r="PXO48" s="287"/>
      <c r="PXP48" s="287"/>
      <c r="PXQ48" s="287"/>
      <c r="PXR48" s="287"/>
      <c r="PXS48" s="287"/>
      <c r="PXT48" s="287"/>
      <c r="PXU48" s="287"/>
      <c r="PXV48" s="287"/>
      <c r="PXW48" s="287"/>
      <c r="PXX48" s="287"/>
      <c r="PXY48" s="287"/>
      <c r="PXZ48" s="287"/>
      <c r="PYA48" s="287"/>
      <c r="PYB48" s="287"/>
      <c r="PYC48" s="287"/>
      <c r="PYD48" s="287"/>
      <c r="PYE48" s="287"/>
      <c r="PYF48" s="287"/>
      <c r="PYG48" s="287"/>
      <c r="PYH48" s="287"/>
      <c r="PYI48" s="287"/>
      <c r="PYJ48" s="287"/>
      <c r="PYK48" s="287"/>
      <c r="PYL48" s="287"/>
      <c r="PYM48" s="287"/>
      <c r="PYN48" s="287"/>
      <c r="PYO48" s="287"/>
      <c r="PYP48" s="287"/>
      <c r="PYQ48" s="287"/>
      <c r="PYR48" s="287"/>
      <c r="PYS48" s="287"/>
      <c r="PYT48" s="287"/>
      <c r="PYU48" s="287"/>
      <c r="PYV48" s="287"/>
      <c r="PYW48" s="287"/>
      <c r="PYX48" s="287"/>
      <c r="PYY48" s="287"/>
      <c r="PYZ48" s="287"/>
      <c r="PZA48" s="287"/>
      <c r="PZB48" s="287"/>
      <c r="PZC48" s="287"/>
      <c r="PZD48" s="287"/>
      <c r="PZE48" s="287"/>
      <c r="PZF48" s="287"/>
      <c r="PZG48" s="287"/>
      <c r="PZH48" s="287"/>
      <c r="PZI48" s="287"/>
      <c r="PZJ48" s="287"/>
      <c r="PZK48" s="287"/>
      <c r="PZL48" s="287"/>
      <c r="PZM48" s="287"/>
      <c r="PZN48" s="287"/>
      <c r="PZO48" s="287"/>
      <c r="PZP48" s="287"/>
      <c r="PZQ48" s="287"/>
      <c r="PZR48" s="287"/>
      <c r="PZS48" s="287"/>
      <c r="PZT48" s="287"/>
      <c r="PZU48" s="287"/>
      <c r="PZV48" s="287"/>
      <c r="PZW48" s="287"/>
      <c r="PZX48" s="287"/>
      <c r="PZY48" s="287"/>
      <c r="PZZ48" s="287"/>
      <c r="QAA48" s="287"/>
      <c r="QAB48" s="287"/>
      <c r="QAC48" s="287"/>
      <c r="QAD48" s="287"/>
      <c r="QAE48" s="287"/>
      <c r="QAF48" s="287"/>
      <c r="QAG48" s="287"/>
      <c r="QAH48" s="287"/>
      <c r="QAI48" s="287"/>
      <c r="QAJ48" s="287"/>
      <c r="QAK48" s="287"/>
      <c r="QAL48" s="287"/>
      <c r="QAM48" s="287"/>
      <c r="QAN48" s="287"/>
      <c r="QAO48" s="287"/>
      <c r="QAP48" s="287"/>
      <c r="QAQ48" s="287"/>
      <c r="QAR48" s="287"/>
      <c r="QAS48" s="287"/>
      <c r="QAT48" s="287"/>
      <c r="QAU48" s="287"/>
      <c r="QAV48" s="287"/>
      <c r="QAW48" s="287"/>
      <c r="QAX48" s="287"/>
      <c r="QAY48" s="287"/>
      <c r="QAZ48" s="287"/>
      <c r="QBA48" s="287"/>
      <c r="QBB48" s="287"/>
      <c r="QBC48" s="287"/>
      <c r="QBD48" s="287"/>
      <c r="QBE48" s="287"/>
      <c r="QBF48" s="287"/>
      <c r="QBG48" s="287"/>
      <c r="QBH48" s="287"/>
      <c r="QBI48" s="287"/>
      <c r="QBJ48" s="287"/>
      <c r="QBK48" s="287"/>
      <c r="QBL48" s="287"/>
      <c r="QBM48" s="287"/>
      <c r="QBN48" s="287"/>
      <c r="QBO48" s="287"/>
      <c r="QBP48" s="287"/>
      <c r="QBQ48" s="287"/>
      <c r="QBR48" s="287"/>
      <c r="QBS48" s="287"/>
      <c r="QBT48" s="287"/>
      <c r="QBU48" s="287"/>
      <c r="QBV48" s="287"/>
      <c r="QBW48" s="287"/>
      <c r="QBX48" s="287"/>
      <c r="QBY48" s="287"/>
      <c r="QBZ48" s="287"/>
      <c r="QCA48" s="287"/>
      <c r="QCB48" s="287"/>
      <c r="QCC48" s="287"/>
      <c r="QCD48" s="287"/>
      <c r="QCE48" s="287"/>
      <c r="QCF48" s="287"/>
      <c r="QCG48" s="287"/>
      <c r="QCH48" s="287"/>
      <c r="QCI48" s="287"/>
      <c r="QCJ48" s="287"/>
      <c r="QCK48" s="287"/>
      <c r="QCL48" s="287"/>
      <c r="QCM48" s="287"/>
      <c r="QCN48" s="287"/>
      <c r="QCO48" s="287"/>
      <c r="QCP48" s="287"/>
      <c r="QCQ48" s="287"/>
      <c r="QCR48" s="287"/>
      <c r="QCS48" s="287"/>
      <c r="QCT48" s="287"/>
      <c r="QCU48" s="287"/>
      <c r="QCV48" s="287"/>
      <c r="QCW48" s="287"/>
      <c r="QCX48" s="287"/>
      <c r="QCY48" s="287"/>
      <c r="QCZ48" s="287"/>
      <c r="QDA48" s="287"/>
      <c r="QDB48" s="287"/>
      <c r="QDC48" s="287"/>
      <c r="QDD48" s="287"/>
      <c r="QDE48" s="287"/>
      <c r="QDF48" s="287"/>
      <c r="QDG48" s="287"/>
      <c r="QDH48" s="287"/>
      <c r="QDI48" s="287"/>
      <c r="QDJ48" s="287"/>
      <c r="QDK48" s="287"/>
      <c r="QDL48" s="287"/>
      <c r="QDM48" s="287"/>
      <c r="QDN48" s="287"/>
      <c r="QDO48" s="287"/>
      <c r="QDP48" s="287"/>
      <c r="QDQ48" s="287"/>
      <c r="QDR48" s="287"/>
      <c r="QDS48" s="287"/>
      <c r="QDT48" s="287"/>
      <c r="QDU48" s="287"/>
      <c r="QDV48" s="287"/>
      <c r="QDW48" s="287"/>
      <c r="QDX48" s="287"/>
      <c r="QDY48" s="287"/>
      <c r="QDZ48" s="287"/>
      <c r="QEA48" s="287"/>
      <c r="QEB48" s="287"/>
      <c r="QEC48" s="287"/>
      <c r="QED48" s="287"/>
      <c r="QEE48" s="287"/>
      <c r="QEF48" s="287"/>
      <c r="QEG48" s="287"/>
      <c r="QEH48" s="287"/>
      <c r="QEI48" s="287"/>
      <c r="QEJ48" s="287"/>
      <c r="QEK48" s="287"/>
      <c r="QEL48" s="287"/>
      <c r="QEM48" s="287"/>
      <c r="QEN48" s="287"/>
      <c r="QEO48" s="287"/>
      <c r="QEP48" s="287"/>
      <c r="QEQ48" s="287"/>
      <c r="QER48" s="287"/>
      <c r="QES48" s="287"/>
      <c r="QET48" s="287"/>
      <c r="QEU48" s="287"/>
      <c r="QEV48" s="287"/>
      <c r="QEW48" s="287"/>
      <c r="QEX48" s="287"/>
      <c r="QEY48" s="287"/>
      <c r="QEZ48" s="287"/>
      <c r="QFA48" s="287"/>
      <c r="QFB48" s="287"/>
      <c r="QFC48" s="287"/>
      <c r="QFD48" s="287"/>
      <c r="QFE48" s="287"/>
      <c r="QFF48" s="287"/>
      <c r="QFG48" s="287"/>
      <c r="QFH48" s="287"/>
      <c r="QFI48" s="287"/>
      <c r="QFJ48" s="287"/>
      <c r="QFK48" s="287"/>
      <c r="QFL48" s="287"/>
      <c r="QFM48" s="287"/>
      <c r="QFN48" s="287"/>
      <c r="QFO48" s="287"/>
      <c r="QFP48" s="287"/>
      <c r="QFQ48" s="287"/>
      <c r="QFR48" s="287"/>
      <c r="QFS48" s="287"/>
      <c r="QFT48" s="287"/>
      <c r="QFU48" s="287"/>
      <c r="QFV48" s="287"/>
      <c r="QFW48" s="287"/>
      <c r="QFX48" s="287"/>
      <c r="QFY48" s="287"/>
      <c r="QFZ48" s="287"/>
      <c r="QGA48" s="287"/>
      <c r="QGB48" s="287"/>
      <c r="QGC48" s="287"/>
      <c r="QGD48" s="287"/>
      <c r="QGE48" s="287"/>
      <c r="QGF48" s="287"/>
      <c r="QGG48" s="287"/>
      <c r="QGH48" s="287"/>
      <c r="QGI48" s="287"/>
      <c r="QGJ48" s="287"/>
      <c r="QGK48" s="287"/>
      <c r="QGL48" s="287"/>
      <c r="QGM48" s="287"/>
      <c r="QGN48" s="287"/>
      <c r="QGO48" s="287"/>
      <c r="QGP48" s="287"/>
      <c r="QGQ48" s="287"/>
      <c r="QGR48" s="287"/>
      <c r="QGS48" s="287"/>
      <c r="QGT48" s="287"/>
      <c r="QGU48" s="287"/>
      <c r="QGV48" s="287"/>
      <c r="QGW48" s="287"/>
      <c r="QGX48" s="287"/>
      <c r="QGY48" s="287"/>
      <c r="QGZ48" s="287"/>
      <c r="QHA48" s="287"/>
      <c r="QHB48" s="287"/>
      <c r="QHC48" s="287"/>
      <c r="QHD48" s="287"/>
      <c r="QHE48" s="287"/>
      <c r="QHF48" s="287"/>
      <c r="QHG48" s="287"/>
      <c r="QHH48" s="287"/>
      <c r="QHI48" s="287"/>
      <c r="QHJ48" s="287"/>
      <c r="QHK48" s="287"/>
      <c r="QHL48" s="287"/>
      <c r="QHM48" s="287"/>
      <c r="QHN48" s="287"/>
      <c r="QHO48" s="287"/>
      <c r="QHP48" s="287"/>
      <c r="QHQ48" s="287"/>
      <c r="QHR48" s="287"/>
      <c r="QHS48" s="287"/>
      <c r="QHT48" s="287"/>
      <c r="QHU48" s="287"/>
      <c r="QHV48" s="287"/>
      <c r="QHW48" s="287"/>
      <c r="QHX48" s="287"/>
      <c r="QHY48" s="287"/>
      <c r="QHZ48" s="287"/>
      <c r="QIA48" s="287"/>
      <c r="QIB48" s="287"/>
      <c r="QIC48" s="287"/>
      <c r="QID48" s="287"/>
      <c r="QIE48" s="287"/>
      <c r="QIF48" s="287"/>
      <c r="QIG48" s="287"/>
      <c r="QIH48" s="287"/>
      <c r="QII48" s="287"/>
      <c r="QIJ48" s="287"/>
      <c r="QIK48" s="287"/>
      <c r="QIL48" s="287"/>
      <c r="QIM48" s="287"/>
      <c r="QIN48" s="287"/>
      <c r="QIO48" s="287"/>
      <c r="QIP48" s="287"/>
      <c r="QIQ48" s="287"/>
      <c r="QIR48" s="287"/>
      <c r="QIS48" s="287"/>
      <c r="QIT48" s="287"/>
      <c r="QIU48" s="287"/>
      <c r="QIV48" s="287"/>
      <c r="QIW48" s="287"/>
      <c r="QIX48" s="287"/>
      <c r="QIY48" s="287"/>
      <c r="QIZ48" s="287"/>
      <c r="QJA48" s="287"/>
      <c r="QJB48" s="287"/>
      <c r="QJC48" s="287"/>
      <c r="QJD48" s="287"/>
      <c r="QJE48" s="287"/>
      <c r="QJF48" s="287"/>
      <c r="QJG48" s="287"/>
      <c r="QJH48" s="287"/>
      <c r="QJI48" s="287"/>
      <c r="QJJ48" s="287"/>
      <c r="QJK48" s="287"/>
      <c r="QJL48" s="287"/>
      <c r="QJM48" s="287"/>
      <c r="QJN48" s="287"/>
      <c r="QJO48" s="287"/>
      <c r="QJP48" s="287"/>
      <c r="QJQ48" s="287"/>
      <c r="QJR48" s="287"/>
      <c r="QJS48" s="287"/>
      <c r="QJT48" s="287"/>
      <c r="QJU48" s="287"/>
      <c r="QJV48" s="287"/>
      <c r="QJW48" s="287"/>
      <c r="QJX48" s="287"/>
      <c r="QJY48" s="287"/>
      <c r="QJZ48" s="287"/>
      <c r="QKA48" s="287"/>
      <c r="QKB48" s="287"/>
      <c r="QKC48" s="287"/>
      <c r="QKD48" s="287"/>
      <c r="QKE48" s="287"/>
      <c r="QKF48" s="287"/>
      <c r="QKG48" s="287"/>
      <c r="QKH48" s="287"/>
      <c r="QKI48" s="287"/>
      <c r="QKJ48" s="287"/>
      <c r="QKK48" s="287"/>
      <c r="QKL48" s="287"/>
      <c r="QKM48" s="287"/>
      <c r="QKN48" s="287"/>
      <c r="QKO48" s="287"/>
      <c r="QKP48" s="287"/>
      <c r="QKQ48" s="287"/>
      <c r="QKR48" s="287"/>
      <c r="QKS48" s="287"/>
      <c r="QKT48" s="287"/>
      <c r="QKU48" s="287"/>
      <c r="QKV48" s="287"/>
      <c r="QKW48" s="287"/>
      <c r="QKX48" s="287"/>
      <c r="QKY48" s="287"/>
      <c r="QKZ48" s="287"/>
      <c r="QLA48" s="287"/>
      <c r="QLB48" s="287"/>
      <c r="QLC48" s="287"/>
      <c r="QLD48" s="287"/>
      <c r="QLE48" s="287"/>
      <c r="QLF48" s="287"/>
      <c r="QLG48" s="287"/>
      <c r="QLH48" s="287"/>
      <c r="QLI48" s="287"/>
      <c r="QLJ48" s="287"/>
      <c r="QLK48" s="287"/>
      <c r="QLL48" s="287"/>
      <c r="QLM48" s="287"/>
      <c r="QLN48" s="287"/>
      <c r="QLO48" s="287"/>
      <c r="QLP48" s="287"/>
      <c r="QLQ48" s="287"/>
      <c r="QLR48" s="287"/>
      <c r="QLS48" s="287"/>
      <c r="QLT48" s="287"/>
      <c r="QLU48" s="287"/>
      <c r="QLV48" s="287"/>
      <c r="QLW48" s="287"/>
      <c r="QLX48" s="287"/>
      <c r="QLY48" s="287"/>
      <c r="QLZ48" s="287"/>
      <c r="QMA48" s="287"/>
      <c r="QMB48" s="287"/>
      <c r="QMC48" s="287"/>
      <c r="QMD48" s="287"/>
      <c r="QME48" s="287"/>
      <c r="QMF48" s="287"/>
      <c r="QMG48" s="287"/>
      <c r="QMH48" s="287"/>
      <c r="QMI48" s="287"/>
      <c r="QMJ48" s="287"/>
      <c r="QMK48" s="287"/>
      <c r="QML48" s="287"/>
      <c r="QMM48" s="287"/>
      <c r="QMN48" s="287"/>
      <c r="QMO48" s="287"/>
      <c r="QMP48" s="287"/>
      <c r="QMQ48" s="287"/>
      <c r="QMR48" s="287"/>
      <c r="QMS48" s="287"/>
      <c r="QMT48" s="287"/>
      <c r="QMU48" s="287"/>
      <c r="QMV48" s="287"/>
      <c r="QMW48" s="287"/>
      <c r="QMX48" s="287"/>
      <c r="QMY48" s="287"/>
      <c r="QMZ48" s="287"/>
      <c r="QNA48" s="287"/>
      <c r="QNB48" s="287"/>
      <c r="QNC48" s="287"/>
      <c r="QND48" s="287"/>
      <c r="QNE48" s="287"/>
      <c r="QNF48" s="287"/>
      <c r="QNG48" s="287"/>
      <c r="QNH48" s="287"/>
      <c r="QNI48" s="287"/>
      <c r="QNJ48" s="287"/>
      <c r="QNK48" s="287"/>
      <c r="QNL48" s="287"/>
      <c r="QNM48" s="287"/>
      <c r="QNN48" s="287"/>
      <c r="QNO48" s="287"/>
      <c r="QNP48" s="287"/>
      <c r="QNQ48" s="287"/>
      <c r="QNR48" s="287"/>
      <c r="QNS48" s="287"/>
      <c r="QNT48" s="287"/>
      <c r="QNU48" s="287"/>
      <c r="QNV48" s="287"/>
      <c r="QNW48" s="287"/>
      <c r="QNX48" s="287"/>
      <c r="QNY48" s="287"/>
      <c r="QNZ48" s="287"/>
      <c r="QOA48" s="287"/>
      <c r="QOB48" s="287"/>
      <c r="QOC48" s="287"/>
      <c r="QOD48" s="287"/>
      <c r="QOE48" s="287"/>
      <c r="QOF48" s="287"/>
      <c r="QOG48" s="287"/>
      <c r="QOH48" s="287"/>
      <c r="QOI48" s="287"/>
      <c r="QOJ48" s="287"/>
      <c r="QOK48" s="287"/>
      <c r="QOL48" s="287"/>
      <c r="QOM48" s="287"/>
      <c r="QON48" s="287"/>
      <c r="QOO48" s="287"/>
      <c r="QOP48" s="287"/>
      <c r="QOQ48" s="287"/>
      <c r="QOR48" s="287"/>
      <c r="QOS48" s="287"/>
      <c r="QOT48" s="287"/>
      <c r="QOU48" s="287"/>
      <c r="QOV48" s="287"/>
      <c r="QOW48" s="287"/>
      <c r="QOX48" s="287"/>
      <c r="QOY48" s="287"/>
      <c r="QOZ48" s="287"/>
      <c r="QPA48" s="287"/>
      <c r="QPB48" s="287"/>
      <c r="QPC48" s="287"/>
      <c r="QPD48" s="287"/>
      <c r="QPE48" s="287"/>
      <c r="QPF48" s="287"/>
      <c r="QPG48" s="287"/>
      <c r="QPH48" s="287"/>
      <c r="QPI48" s="287"/>
      <c r="QPJ48" s="287"/>
      <c r="QPK48" s="287"/>
      <c r="QPL48" s="287"/>
      <c r="QPM48" s="287"/>
      <c r="QPN48" s="287"/>
      <c r="QPO48" s="287"/>
      <c r="QPP48" s="287"/>
      <c r="QPQ48" s="287"/>
      <c r="QPR48" s="287"/>
      <c r="QPS48" s="287"/>
      <c r="QPT48" s="287"/>
      <c r="QPU48" s="287"/>
      <c r="QPV48" s="287"/>
      <c r="QPW48" s="287"/>
      <c r="QPX48" s="287"/>
      <c r="QPY48" s="287"/>
      <c r="QPZ48" s="287"/>
      <c r="QQA48" s="287"/>
      <c r="QQB48" s="287"/>
      <c r="QQC48" s="287"/>
      <c r="QQD48" s="287"/>
      <c r="QQE48" s="287"/>
      <c r="QQF48" s="287"/>
      <c r="QQG48" s="287"/>
      <c r="QQH48" s="287"/>
      <c r="QQI48" s="287"/>
      <c r="QQJ48" s="287"/>
      <c r="QQK48" s="287"/>
      <c r="QQL48" s="287"/>
      <c r="QQM48" s="287"/>
      <c r="QQN48" s="287"/>
      <c r="QQO48" s="287"/>
      <c r="QQP48" s="287"/>
      <c r="QQQ48" s="287"/>
      <c r="QQR48" s="287"/>
      <c r="QQS48" s="287"/>
      <c r="QQT48" s="287"/>
      <c r="QQU48" s="287"/>
      <c r="QQV48" s="287"/>
      <c r="QQW48" s="287"/>
      <c r="QQX48" s="287"/>
      <c r="QQY48" s="287"/>
      <c r="QQZ48" s="287"/>
      <c r="QRA48" s="287"/>
      <c r="QRB48" s="287"/>
      <c r="QRC48" s="287"/>
      <c r="QRD48" s="287"/>
      <c r="QRE48" s="287"/>
      <c r="QRF48" s="287"/>
      <c r="QRG48" s="287"/>
      <c r="QRH48" s="287"/>
      <c r="QRI48" s="287"/>
      <c r="QRJ48" s="287"/>
      <c r="QRK48" s="287"/>
      <c r="QRL48" s="287"/>
      <c r="QRM48" s="287"/>
      <c r="QRN48" s="287"/>
      <c r="QRO48" s="287"/>
      <c r="QRP48" s="287"/>
      <c r="QRQ48" s="287"/>
      <c r="QRR48" s="287"/>
      <c r="QRS48" s="287"/>
      <c r="QRT48" s="287"/>
      <c r="QRU48" s="287"/>
      <c r="QRV48" s="287"/>
      <c r="QRW48" s="287"/>
      <c r="QRX48" s="287"/>
      <c r="QRY48" s="287"/>
      <c r="QRZ48" s="287"/>
      <c r="QSA48" s="287"/>
      <c r="QSB48" s="287"/>
      <c r="QSC48" s="287"/>
      <c r="QSD48" s="287"/>
      <c r="QSE48" s="287"/>
      <c r="QSF48" s="287"/>
      <c r="QSG48" s="287"/>
      <c r="QSH48" s="287"/>
      <c r="QSI48" s="287"/>
      <c r="QSJ48" s="287"/>
      <c r="QSK48" s="287"/>
      <c r="QSL48" s="287"/>
      <c r="QSM48" s="287"/>
      <c r="QSN48" s="287"/>
      <c r="QSO48" s="287"/>
      <c r="QSP48" s="287"/>
      <c r="QSQ48" s="287"/>
      <c r="QSR48" s="287"/>
      <c r="QSS48" s="287"/>
      <c r="QST48" s="287"/>
      <c r="QSU48" s="287"/>
      <c r="QSV48" s="287"/>
      <c r="QSW48" s="287"/>
      <c r="QSX48" s="287"/>
      <c r="QSY48" s="287"/>
      <c r="QSZ48" s="287"/>
      <c r="QTA48" s="287"/>
      <c r="QTB48" s="287"/>
      <c r="QTC48" s="287"/>
      <c r="QTD48" s="287"/>
      <c r="QTE48" s="287"/>
      <c r="QTF48" s="287"/>
      <c r="QTG48" s="287"/>
      <c r="QTH48" s="287"/>
      <c r="QTI48" s="287"/>
      <c r="QTJ48" s="287"/>
      <c r="QTK48" s="287"/>
      <c r="QTL48" s="287"/>
      <c r="QTM48" s="287"/>
      <c r="QTN48" s="287"/>
      <c r="QTO48" s="287"/>
      <c r="QTP48" s="287"/>
      <c r="QTQ48" s="287"/>
      <c r="QTR48" s="287"/>
      <c r="QTS48" s="287"/>
      <c r="QTT48" s="287"/>
      <c r="QTU48" s="287"/>
      <c r="QTV48" s="287"/>
      <c r="QTW48" s="287"/>
      <c r="QTX48" s="287"/>
      <c r="QTY48" s="287"/>
      <c r="QTZ48" s="287"/>
      <c r="QUA48" s="287"/>
      <c r="QUB48" s="287"/>
      <c r="QUC48" s="287"/>
      <c r="QUD48" s="287"/>
      <c r="QUE48" s="287"/>
      <c r="QUF48" s="287"/>
      <c r="QUG48" s="287"/>
      <c r="QUH48" s="287"/>
      <c r="QUI48" s="287"/>
      <c r="QUJ48" s="287"/>
      <c r="QUK48" s="287"/>
      <c r="QUL48" s="287"/>
      <c r="QUM48" s="287"/>
      <c r="QUN48" s="287"/>
      <c r="QUO48" s="287"/>
      <c r="QUP48" s="287"/>
      <c r="QUQ48" s="287"/>
      <c r="QUR48" s="287"/>
      <c r="QUS48" s="287"/>
      <c r="QUT48" s="287"/>
      <c r="QUU48" s="287"/>
      <c r="QUV48" s="287"/>
      <c r="QUW48" s="287"/>
      <c r="QUX48" s="287"/>
      <c r="QUY48" s="287"/>
      <c r="QUZ48" s="287"/>
      <c r="QVA48" s="287"/>
      <c r="QVB48" s="287"/>
      <c r="QVC48" s="287"/>
      <c r="QVD48" s="287"/>
      <c r="QVE48" s="287"/>
      <c r="QVF48" s="287"/>
      <c r="QVG48" s="287"/>
      <c r="QVH48" s="287"/>
      <c r="QVI48" s="287"/>
      <c r="QVJ48" s="287"/>
      <c r="QVK48" s="287"/>
      <c r="QVL48" s="287"/>
      <c r="QVM48" s="287"/>
      <c r="QVN48" s="287"/>
      <c r="QVO48" s="287"/>
      <c r="QVP48" s="287"/>
      <c r="QVQ48" s="287"/>
      <c r="QVR48" s="287"/>
      <c r="QVS48" s="287"/>
      <c r="QVT48" s="287"/>
      <c r="QVU48" s="287"/>
      <c r="QVV48" s="287"/>
      <c r="QVW48" s="287"/>
      <c r="QVX48" s="287"/>
      <c r="QVY48" s="287"/>
      <c r="QVZ48" s="287"/>
      <c r="QWA48" s="287"/>
      <c r="QWB48" s="287"/>
      <c r="QWC48" s="287"/>
      <c r="QWD48" s="287"/>
      <c r="QWE48" s="287"/>
      <c r="QWF48" s="287"/>
      <c r="QWG48" s="287"/>
      <c r="QWH48" s="287"/>
      <c r="QWI48" s="287"/>
      <c r="QWJ48" s="287"/>
      <c r="QWK48" s="287"/>
      <c r="QWL48" s="287"/>
      <c r="QWM48" s="287"/>
      <c r="QWN48" s="287"/>
      <c r="QWO48" s="287"/>
      <c r="QWP48" s="287"/>
      <c r="QWQ48" s="287"/>
      <c r="QWR48" s="287"/>
      <c r="QWS48" s="287"/>
      <c r="QWT48" s="287"/>
      <c r="QWU48" s="287"/>
      <c r="QWV48" s="287"/>
      <c r="QWW48" s="287"/>
      <c r="QWX48" s="287"/>
      <c r="QWY48" s="287"/>
      <c r="QWZ48" s="287"/>
      <c r="QXA48" s="287"/>
      <c r="QXB48" s="287"/>
      <c r="QXC48" s="287"/>
      <c r="QXD48" s="287"/>
      <c r="QXE48" s="287"/>
      <c r="QXF48" s="287"/>
      <c r="QXG48" s="287"/>
      <c r="QXH48" s="287"/>
      <c r="QXI48" s="287"/>
      <c r="QXJ48" s="287"/>
      <c r="QXK48" s="287"/>
      <c r="QXL48" s="287"/>
      <c r="QXM48" s="287"/>
      <c r="QXN48" s="287"/>
      <c r="QXO48" s="287"/>
      <c r="QXP48" s="287"/>
      <c r="QXQ48" s="287"/>
      <c r="QXR48" s="287"/>
      <c r="QXS48" s="287"/>
      <c r="QXT48" s="287"/>
      <c r="QXU48" s="287"/>
      <c r="QXV48" s="287"/>
      <c r="QXW48" s="287"/>
      <c r="QXX48" s="287"/>
      <c r="QXY48" s="287"/>
      <c r="QXZ48" s="287"/>
      <c r="QYA48" s="287"/>
      <c r="QYB48" s="287"/>
      <c r="QYC48" s="287"/>
      <c r="QYD48" s="287"/>
      <c r="QYE48" s="287"/>
      <c r="QYF48" s="287"/>
      <c r="QYG48" s="287"/>
      <c r="QYH48" s="287"/>
      <c r="QYI48" s="287"/>
      <c r="QYJ48" s="287"/>
      <c r="QYK48" s="287"/>
      <c r="QYL48" s="287"/>
      <c r="QYM48" s="287"/>
      <c r="QYN48" s="287"/>
      <c r="QYO48" s="287"/>
      <c r="QYP48" s="287"/>
      <c r="QYQ48" s="287"/>
      <c r="QYR48" s="287"/>
      <c r="QYS48" s="287"/>
      <c r="QYT48" s="287"/>
      <c r="QYU48" s="287"/>
      <c r="QYV48" s="287"/>
      <c r="QYW48" s="287"/>
      <c r="QYX48" s="287"/>
      <c r="QYY48" s="287"/>
      <c r="QYZ48" s="287"/>
      <c r="QZA48" s="287"/>
      <c r="QZB48" s="287"/>
      <c r="QZC48" s="287"/>
      <c r="QZD48" s="287"/>
      <c r="QZE48" s="287"/>
      <c r="QZF48" s="287"/>
      <c r="QZG48" s="287"/>
      <c r="QZH48" s="287"/>
      <c r="QZI48" s="287"/>
      <c r="QZJ48" s="287"/>
      <c r="QZK48" s="287"/>
      <c r="QZL48" s="287"/>
      <c r="QZM48" s="287"/>
      <c r="QZN48" s="287"/>
      <c r="QZO48" s="287"/>
      <c r="QZP48" s="287"/>
      <c r="QZQ48" s="287"/>
      <c r="QZR48" s="287"/>
      <c r="QZS48" s="287"/>
      <c r="QZT48" s="287"/>
      <c r="QZU48" s="287"/>
      <c r="QZV48" s="287"/>
      <c r="QZW48" s="287"/>
      <c r="QZX48" s="287"/>
      <c r="QZY48" s="287"/>
      <c r="QZZ48" s="287"/>
      <c r="RAA48" s="287"/>
      <c r="RAB48" s="287"/>
      <c r="RAC48" s="287"/>
      <c r="RAD48" s="287"/>
      <c r="RAE48" s="287"/>
      <c r="RAF48" s="287"/>
      <c r="RAG48" s="287"/>
      <c r="RAH48" s="287"/>
      <c r="RAI48" s="287"/>
      <c r="RAJ48" s="287"/>
      <c r="RAK48" s="287"/>
      <c r="RAL48" s="287"/>
      <c r="RAM48" s="287"/>
      <c r="RAN48" s="287"/>
      <c r="RAO48" s="287"/>
      <c r="RAP48" s="287"/>
      <c r="RAQ48" s="287"/>
      <c r="RAR48" s="287"/>
      <c r="RAS48" s="287"/>
      <c r="RAT48" s="287"/>
      <c r="RAU48" s="287"/>
      <c r="RAV48" s="287"/>
      <c r="RAW48" s="287"/>
      <c r="RAX48" s="287"/>
      <c r="RAY48" s="287"/>
      <c r="RAZ48" s="287"/>
      <c r="RBA48" s="287"/>
      <c r="RBB48" s="287"/>
      <c r="RBC48" s="287"/>
      <c r="RBD48" s="287"/>
      <c r="RBE48" s="287"/>
      <c r="RBF48" s="287"/>
      <c r="RBG48" s="287"/>
      <c r="RBH48" s="287"/>
      <c r="RBI48" s="287"/>
      <c r="RBJ48" s="287"/>
      <c r="RBK48" s="287"/>
      <c r="RBL48" s="287"/>
      <c r="RBM48" s="287"/>
      <c r="RBN48" s="287"/>
      <c r="RBO48" s="287"/>
      <c r="RBP48" s="287"/>
      <c r="RBQ48" s="287"/>
      <c r="RBR48" s="287"/>
      <c r="RBS48" s="287"/>
      <c r="RBT48" s="287"/>
      <c r="RBU48" s="287"/>
      <c r="RBV48" s="287"/>
      <c r="RBW48" s="287"/>
      <c r="RBX48" s="287"/>
      <c r="RBY48" s="287"/>
      <c r="RBZ48" s="287"/>
      <c r="RCA48" s="287"/>
      <c r="RCB48" s="287"/>
      <c r="RCC48" s="287"/>
      <c r="RCD48" s="287"/>
      <c r="RCE48" s="287"/>
      <c r="RCF48" s="287"/>
      <c r="RCG48" s="287"/>
      <c r="RCH48" s="287"/>
      <c r="RCI48" s="287"/>
      <c r="RCJ48" s="287"/>
      <c r="RCK48" s="287"/>
      <c r="RCL48" s="287"/>
      <c r="RCM48" s="287"/>
      <c r="RCN48" s="287"/>
      <c r="RCO48" s="287"/>
      <c r="RCP48" s="287"/>
      <c r="RCQ48" s="287"/>
      <c r="RCR48" s="287"/>
      <c r="RCS48" s="287"/>
      <c r="RCT48" s="287"/>
      <c r="RCU48" s="287"/>
      <c r="RCV48" s="287"/>
      <c r="RCW48" s="287"/>
      <c r="RCX48" s="287"/>
      <c r="RCY48" s="287"/>
      <c r="RCZ48" s="287"/>
      <c r="RDA48" s="287"/>
      <c r="RDB48" s="287"/>
      <c r="RDC48" s="287"/>
      <c r="RDD48" s="287"/>
      <c r="RDE48" s="287"/>
      <c r="RDF48" s="287"/>
      <c r="RDG48" s="287"/>
      <c r="RDH48" s="287"/>
      <c r="RDI48" s="287"/>
      <c r="RDJ48" s="287"/>
      <c r="RDK48" s="287"/>
      <c r="RDL48" s="287"/>
      <c r="RDM48" s="287"/>
      <c r="RDN48" s="287"/>
      <c r="RDO48" s="287"/>
      <c r="RDP48" s="287"/>
      <c r="RDQ48" s="287"/>
      <c r="RDR48" s="287"/>
      <c r="RDS48" s="287"/>
      <c r="RDT48" s="287"/>
      <c r="RDU48" s="287"/>
      <c r="RDV48" s="287"/>
      <c r="RDW48" s="287"/>
      <c r="RDX48" s="287"/>
      <c r="RDY48" s="287"/>
      <c r="RDZ48" s="287"/>
      <c r="REA48" s="287"/>
      <c r="REB48" s="287"/>
      <c r="REC48" s="287"/>
      <c r="RED48" s="287"/>
      <c r="REE48" s="287"/>
      <c r="REF48" s="287"/>
      <c r="REG48" s="287"/>
      <c r="REH48" s="287"/>
      <c r="REI48" s="287"/>
      <c r="REJ48" s="287"/>
      <c r="REK48" s="287"/>
      <c r="REL48" s="287"/>
      <c r="REM48" s="287"/>
      <c r="REN48" s="287"/>
      <c r="REO48" s="287"/>
      <c r="REP48" s="287"/>
      <c r="REQ48" s="287"/>
      <c r="RER48" s="287"/>
      <c r="RES48" s="287"/>
      <c r="RET48" s="287"/>
      <c r="REU48" s="287"/>
      <c r="REV48" s="287"/>
      <c r="REW48" s="287"/>
      <c r="REX48" s="287"/>
      <c r="REY48" s="287"/>
      <c r="REZ48" s="287"/>
      <c r="RFA48" s="287"/>
      <c r="RFB48" s="287"/>
      <c r="RFC48" s="287"/>
      <c r="RFD48" s="287"/>
      <c r="RFE48" s="287"/>
      <c r="RFF48" s="287"/>
      <c r="RFG48" s="287"/>
      <c r="RFH48" s="287"/>
      <c r="RFI48" s="287"/>
      <c r="RFJ48" s="287"/>
      <c r="RFK48" s="287"/>
      <c r="RFL48" s="287"/>
      <c r="RFM48" s="287"/>
      <c r="RFN48" s="287"/>
      <c r="RFO48" s="287"/>
      <c r="RFP48" s="287"/>
      <c r="RFQ48" s="287"/>
      <c r="RFR48" s="287"/>
      <c r="RFS48" s="287"/>
      <c r="RFT48" s="287"/>
      <c r="RFU48" s="287"/>
      <c r="RFV48" s="287"/>
      <c r="RFW48" s="287"/>
      <c r="RFX48" s="287"/>
      <c r="RFY48" s="287"/>
      <c r="RFZ48" s="287"/>
      <c r="RGA48" s="287"/>
      <c r="RGB48" s="287"/>
      <c r="RGC48" s="287"/>
      <c r="RGD48" s="287"/>
      <c r="RGE48" s="287"/>
      <c r="RGF48" s="287"/>
      <c r="RGG48" s="287"/>
      <c r="RGH48" s="287"/>
      <c r="RGI48" s="287"/>
      <c r="RGJ48" s="287"/>
      <c r="RGK48" s="287"/>
      <c r="RGL48" s="287"/>
      <c r="RGM48" s="287"/>
      <c r="RGN48" s="287"/>
      <c r="RGO48" s="287"/>
      <c r="RGP48" s="287"/>
      <c r="RGQ48" s="287"/>
      <c r="RGR48" s="287"/>
      <c r="RGS48" s="287"/>
      <c r="RGT48" s="287"/>
      <c r="RGU48" s="287"/>
      <c r="RGV48" s="287"/>
      <c r="RGW48" s="287"/>
      <c r="RGX48" s="287"/>
      <c r="RGY48" s="287"/>
      <c r="RGZ48" s="287"/>
      <c r="RHA48" s="287"/>
      <c r="RHB48" s="287"/>
      <c r="RHC48" s="287"/>
      <c r="RHD48" s="287"/>
      <c r="RHE48" s="287"/>
      <c r="RHF48" s="287"/>
      <c r="RHG48" s="287"/>
      <c r="RHH48" s="287"/>
      <c r="RHI48" s="287"/>
      <c r="RHJ48" s="287"/>
      <c r="RHK48" s="287"/>
      <c r="RHL48" s="287"/>
      <c r="RHM48" s="287"/>
      <c r="RHN48" s="287"/>
      <c r="RHO48" s="287"/>
      <c r="RHP48" s="287"/>
      <c r="RHQ48" s="287"/>
      <c r="RHR48" s="287"/>
      <c r="RHS48" s="287"/>
      <c r="RHT48" s="287"/>
      <c r="RHU48" s="287"/>
      <c r="RHV48" s="287"/>
      <c r="RHW48" s="287"/>
      <c r="RHX48" s="287"/>
      <c r="RHY48" s="287"/>
      <c r="RHZ48" s="287"/>
      <c r="RIA48" s="287"/>
      <c r="RIB48" s="287"/>
      <c r="RIC48" s="287"/>
      <c r="RID48" s="287"/>
      <c r="RIE48" s="287"/>
      <c r="RIF48" s="287"/>
      <c r="RIG48" s="287"/>
      <c r="RIH48" s="287"/>
      <c r="RII48" s="287"/>
      <c r="RIJ48" s="287"/>
      <c r="RIK48" s="287"/>
      <c r="RIL48" s="287"/>
      <c r="RIM48" s="287"/>
      <c r="RIN48" s="287"/>
      <c r="RIO48" s="287"/>
      <c r="RIP48" s="287"/>
      <c r="RIQ48" s="287"/>
      <c r="RIR48" s="287"/>
      <c r="RIS48" s="287"/>
      <c r="RIT48" s="287"/>
      <c r="RIU48" s="287"/>
      <c r="RIV48" s="287"/>
      <c r="RIW48" s="287"/>
      <c r="RIX48" s="287"/>
      <c r="RIY48" s="287"/>
      <c r="RIZ48" s="287"/>
      <c r="RJA48" s="287"/>
      <c r="RJB48" s="287"/>
      <c r="RJC48" s="287"/>
      <c r="RJD48" s="287"/>
      <c r="RJE48" s="287"/>
      <c r="RJF48" s="287"/>
      <c r="RJG48" s="287"/>
      <c r="RJH48" s="287"/>
      <c r="RJI48" s="287"/>
      <c r="RJJ48" s="287"/>
      <c r="RJK48" s="287"/>
      <c r="RJL48" s="287"/>
      <c r="RJM48" s="287"/>
      <c r="RJN48" s="287"/>
      <c r="RJO48" s="287"/>
      <c r="RJP48" s="287"/>
      <c r="RJQ48" s="287"/>
      <c r="RJR48" s="287"/>
      <c r="RJS48" s="287"/>
      <c r="RJT48" s="287"/>
      <c r="RJU48" s="287"/>
      <c r="RJV48" s="287"/>
      <c r="RJW48" s="287"/>
      <c r="RJX48" s="287"/>
      <c r="RJY48" s="287"/>
      <c r="RJZ48" s="287"/>
      <c r="RKA48" s="287"/>
      <c r="RKB48" s="287"/>
      <c r="RKC48" s="287"/>
      <c r="RKD48" s="287"/>
      <c r="RKE48" s="287"/>
      <c r="RKF48" s="287"/>
      <c r="RKG48" s="287"/>
      <c r="RKH48" s="287"/>
      <c r="RKI48" s="287"/>
      <c r="RKJ48" s="287"/>
      <c r="RKK48" s="287"/>
      <c r="RKL48" s="287"/>
      <c r="RKM48" s="287"/>
      <c r="RKN48" s="287"/>
      <c r="RKO48" s="287"/>
      <c r="RKP48" s="287"/>
      <c r="RKQ48" s="287"/>
      <c r="RKR48" s="287"/>
      <c r="RKS48" s="287"/>
      <c r="RKT48" s="287"/>
      <c r="RKU48" s="287"/>
      <c r="RKV48" s="287"/>
      <c r="RKW48" s="287"/>
      <c r="RKX48" s="287"/>
      <c r="RKY48" s="287"/>
      <c r="RKZ48" s="287"/>
      <c r="RLA48" s="287"/>
      <c r="RLB48" s="287"/>
      <c r="RLC48" s="287"/>
      <c r="RLD48" s="287"/>
      <c r="RLE48" s="287"/>
      <c r="RLF48" s="287"/>
      <c r="RLG48" s="287"/>
      <c r="RLH48" s="287"/>
      <c r="RLI48" s="287"/>
      <c r="RLJ48" s="287"/>
      <c r="RLK48" s="287"/>
      <c r="RLL48" s="287"/>
      <c r="RLM48" s="287"/>
      <c r="RLN48" s="287"/>
      <c r="RLO48" s="287"/>
      <c r="RLP48" s="287"/>
      <c r="RLQ48" s="287"/>
      <c r="RLR48" s="287"/>
      <c r="RLS48" s="287"/>
      <c r="RLT48" s="287"/>
      <c r="RLU48" s="287"/>
      <c r="RLV48" s="287"/>
      <c r="RLW48" s="287"/>
      <c r="RLX48" s="287"/>
      <c r="RLY48" s="287"/>
      <c r="RLZ48" s="287"/>
      <c r="RMA48" s="287"/>
      <c r="RMB48" s="287"/>
      <c r="RMC48" s="287"/>
      <c r="RMD48" s="287"/>
      <c r="RME48" s="287"/>
      <c r="RMF48" s="287"/>
      <c r="RMG48" s="287"/>
      <c r="RMH48" s="287"/>
      <c r="RMI48" s="287"/>
      <c r="RMJ48" s="287"/>
      <c r="RMK48" s="287"/>
      <c r="RML48" s="287"/>
      <c r="RMM48" s="287"/>
      <c r="RMN48" s="287"/>
      <c r="RMO48" s="287"/>
      <c r="RMP48" s="287"/>
      <c r="RMQ48" s="287"/>
      <c r="RMR48" s="287"/>
      <c r="RMS48" s="287"/>
      <c r="RMT48" s="287"/>
      <c r="RMU48" s="287"/>
      <c r="RMV48" s="287"/>
      <c r="RMW48" s="287"/>
      <c r="RMX48" s="287"/>
      <c r="RMY48" s="287"/>
      <c r="RMZ48" s="287"/>
      <c r="RNA48" s="287"/>
      <c r="RNB48" s="287"/>
      <c r="RNC48" s="287"/>
      <c r="RND48" s="287"/>
      <c r="RNE48" s="287"/>
      <c r="RNF48" s="287"/>
      <c r="RNG48" s="287"/>
      <c r="RNH48" s="287"/>
      <c r="RNI48" s="287"/>
      <c r="RNJ48" s="287"/>
      <c r="RNK48" s="287"/>
      <c r="RNL48" s="287"/>
      <c r="RNM48" s="287"/>
      <c r="RNN48" s="287"/>
      <c r="RNO48" s="287"/>
      <c r="RNP48" s="287"/>
      <c r="RNQ48" s="287"/>
      <c r="RNR48" s="287"/>
      <c r="RNS48" s="287"/>
      <c r="RNT48" s="287"/>
      <c r="RNU48" s="287"/>
      <c r="RNV48" s="287"/>
      <c r="RNW48" s="287"/>
      <c r="RNX48" s="287"/>
      <c r="RNY48" s="287"/>
      <c r="RNZ48" s="287"/>
      <c r="ROA48" s="287"/>
      <c r="ROB48" s="287"/>
      <c r="ROC48" s="287"/>
      <c r="ROD48" s="287"/>
      <c r="ROE48" s="287"/>
      <c r="ROF48" s="287"/>
      <c r="ROG48" s="287"/>
      <c r="ROH48" s="287"/>
      <c r="ROI48" s="287"/>
      <c r="ROJ48" s="287"/>
      <c r="ROK48" s="287"/>
      <c r="ROL48" s="287"/>
      <c r="ROM48" s="287"/>
      <c r="RON48" s="287"/>
      <c r="ROO48" s="287"/>
      <c r="ROP48" s="287"/>
      <c r="ROQ48" s="287"/>
      <c r="ROR48" s="287"/>
      <c r="ROS48" s="287"/>
      <c r="ROT48" s="287"/>
      <c r="ROU48" s="287"/>
      <c r="ROV48" s="287"/>
      <c r="ROW48" s="287"/>
      <c r="ROX48" s="287"/>
      <c r="ROY48" s="287"/>
      <c r="ROZ48" s="287"/>
      <c r="RPA48" s="287"/>
      <c r="RPB48" s="287"/>
      <c r="RPC48" s="287"/>
      <c r="RPD48" s="287"/>
      <c r="RPE48" s="287"/>
      <c r="RPF48" s="287"/>
      <c r="RPG48" s="287"/>
      <c r="RPH48" s="287"/>
      <c r="RPI48" s="287"/>
      <c r="RPJ48" s="287"/>
      <c r="RPK48" s="287"/>
      <c r="RPL48" s="287"/>
      <c r="RPM48" s="287"/>
      <c r="RPN48" s="287"/>
      <c r="RPO48" s="287"/>
      <c r="RPP48" s="287"/>
      <c r="RPQ48" s="287"/>
      <c r="RPR48" s="287"/>
      <c r="RPS48" s="287"/>
      <c r="RPT48" s="287"/>
      <c r="RPU48" s="287"/>
      <c r="RPV48" s="287"/>
      <c r="RPW48" s="287"/>
      <c r="RPX48" s="287"/>
      <c r="RPY48" s="287"/>
      <c r="RPZ48" s="287"/>
      <c r="RQA48" s="287"/>
      <c r="RQB48" s="287"/>
      <c r="RQC48" s="287"/>
      <c r="RQD48" s="287"/>
      <c r="RQE48" s="287"/>
      <c r="RQF48" s="287"/>
      <c r="RQG48" s="287"/>
      <c r="RQH48" s="287"/>
      <c r="RQI48" s="287"/>
      <c r="RQJ48" s="287"/>
      <c r="RQK48" s="287"/>
      <c r="RQL48" s="287"/>
      <c r="RQM48" s="287"/>
      <c r="RQN48" s="287"/>
      <c r="RQO48" s="287"/>
      <c r="RQP48" s="287"/>
      <c r="RQQ48" s="287"/>
      <c r="RQR48" s="287"/>
      <c r="RQS48" s="287"/>
      <c r="RQT48" s="287"/>
      <c r="RQU48" s="287"/>
      <c r="RQV48" s="287"/>
      <c r="RQW48" s="287"/>
      <c r="RQX48" s="287"/>
      <c r="RQY48" s="287"/>
      <c r="RQZ48" s="287"/>
      <c r="RRA48" s="287"/>
      <c r="RRB48" s="287"/>
      <c r="RRC48" s="287"/>
      <c r="RRD48" s="287"/>
      <c r="RRE48" s="287"/>
      <c r="RRF48" s="287"/>
      <c r="RRG48" s="287"/>
      <c r="RRH48" s="287"/>
      <c r="RRI48" s="287"/>
      <c r="RRJ48" s="287"/>
      <c r="RRK48" s="287"/>
      <c r="RRL48" s="287"/>
      <c r="RRM48" s="287"/>
      <c r="RRN48" s="287"/>
      <c r="RRO48" s="287"/>
      <c r="RRP48" s="287"/>
      <c r="RRQ48" s="287"/>
      <c r="RRR48" s="287"/>
      <c r="RRS48" s="287"/>
      <c r="RRT48" s="287"/>
      <c r="RRU48" s="287"/>
      <c r="RRV48" s="287"/>
      <c r="RRW48" s="287"/>
      <c r="RRX48" s="287"/>
      <c r="RRY48" s="287"/>
      <c r="RRZ48" s="287"/>
      <c r="RSA48" s="287"/>
      <c r="RSB48" s="287"/>
      <c r="RSC48" s="287"/>
      <c r="RSD48" s="287"/>
      <c r="RSE48" s="287"/>
      <c r="RSF48" s="287"/>
      <c r="RSG48" s="287"/>
      <c r="RSH48" s="287"/>
      <c r="RSI48" s="287"/>
      <c r="RSJ48" s="287"/>
      <c r="RSK48" s="287"/>
      <c r="RSL48" s="287"/>
      <c r="RSM48" s="287"/>
      <c r="RSN48" s="287"/>
      <c r="RSO48" s="287"/>
      <c r="RSP48" s="287"/>
      <c r="RSQ48" s="287"/>
      <c r="RSR48" s="287"/>
      <c r="RSS48" s="287"/>
      <c r="RST48" s="287"/>
      <c r="RSU48" s="287"/>
      <c r="RSV48" s="287"/>
      <c r="RSW48" s="287"/>
      <c r="RSX48" s="287"/>
      <c r="RSY48" s="287"/>
      <c r="RSZ48" s="287"/>
      <c r="RTA48" s="287"/>
      <c r="RTB48" s="287"/>
      <c r="RTC48" s="287"/>
      <c r="RTD48" s="287"/>
      <c r="RTE48" s="287"/>
      <c r="RTF48" s="287"/>
      <c r="RTG48" s="287"/>
      <c r="RTH48" s="287"/>
      <c r="RTI48" s="287"/>
      <c r="RTJ48" s="287"/>
      <c r="RTK48" s="287"/>
      <c r="RTL48" s="287"/>
      <c r="RTM48" s="287"/>
      <c r="RTN48" s="287"/>
      <c r="RTO48" s="287"/>
      <c r="RTP48" s="287"/>
      <c r="RTQ48" s="287"/>
      <c r="RTR48" s="287"/>
      <c r="RTS48" s="287"/>
      <c r="RTT48" s="287"/>
      <c r="RTU48" s="287"/>
      <c r="RTV48" s="287"/>
      <c r="RTW48" s="287"/>
      <c r="RTX48" s="287"/>
      <c r="RTY48" s="287"/>
      <c r="RTZ48" s="287"/>
      <c r="RUA48" s="287"/>
      <c r="RUB48" s="287"/>
      <c r="RUC48" s="287"/>
      <c r="RUD48" s="287"/>
      <c r="RUE48" s="287"/>
      <c r="RUF48" s="287"/>
      <c r="RUG48" s="287"/>
      <c r="RUH48" s="287"/>
      <c r="RUI48" s="287"/>
      <c r="RUJ48" s="287"/>
      <c r="RUK48" s="287"/>
      <c r="RUL48" s="287"/>
      <c r="RUM48" s="287"/>
      <c r="RUN48" s="287"/>
      <c r="RUO48" s="287"/>
      <c r="RUP48" s="287"/>
      <c r="RUQ48" s="287"/>
      <c r="RUR48" s="287"/>
      <c r="RUS48" s="287"/>
      <c r="RUT48" s="287"/>
      <c r="RUU48" s="287"/>
      <c r="RUV48" s="287"/>
      <c r="RUW48" s="287"/>
      <c r="RUX48" s="287"/>
      <c r="RUY48" s="287"/>
      <c r="RUZ48" s="287"/>
      <c r="RVA48" s="287"/>
      <c r="RVB48" s="287"/>
      <c r="RVC48" s="287"/>
      <c r="RVD48" s="287"/>
      <c r="RVE48" s="287"/>
      <c r="RVF48" s="287"/>
      <c r="RVG48" s="287"/>
      <c r="RVH48" s="287"/>
      <c r="RVI48" s="287"/>
      <c r="RVJ48" s="287"/>
      <c r="RVK48" s="287"/>
      <c r="RVL48" s="287"/>
      <c r="RVM48" s="287"/>
      <c r="RVN48" s="287"/>
      <c r="RVO48" s="287"/>
      <c r="RVP48" s="287"/>
      <c r="RVQ48" s="287"/>
      <c r="RVR48" s="287"/>
      <c r="RVS48" s="287"/>
      <c r="RVT48" s="287"/>
      <c r="RVU48" s="287"/>
      <c r="RVV48" s="287"/>
      <c r="RVW48" s="287"/>
      <c r="RVX48" s="287"/>
      <c r="RVY48" s="287"/>
      <c r="RVZ48" s="287"/>
      <c r="RWA48" s="287"/>
      <c r="RWB48" s="287"/>
      <c r="RWC48" s="287"/>
      <c r="RWD48" s="287"/>
      <c r="RWE48" s="287"/>
      <c r="RWF48" s="287"/>
      <c r="RWG48" s="287"/>
      <c r="RWH48" s="287"/>
      <c r="RWI48" s="287"/>
      <c r="RWJ48" s="287"/>
      <c r="RWK48" s="287"/>
      <c r="RWL48" s="287"/>
      <c r="RWM48" s="287"/>
      <c r="RWN48" s="287"/>
      <c r="RWO48" s="287"/>
      <c r="RWP48" s="287"/>
      <c r="RWQ48" s="287"/>
      <c r="RWR48" s="287"/>
      <c r="RWS48" s="287"/>
      <c r="RWT48" s="287"/>
      <c r="RWU48" s="287"/>
      <c r="RWV48" s="287"/>
      <c r="RWW48" s="287"/>
      <c r="RWX48" s="287"/>
      <c r="RWY48" s="287"/>
      <c r="RWZ48" s="287"/>
      <c r="RXA48" s="287"/>
      <c r="RXB48" s="287"/>
      <c r="RXC48" s="287"/>
      <c r="RXD48" s="287"/>
      <c r="RXE48" s="287"/>
      <c r="RXF48" s="287"/>
      <c r="RXG48" s="287"/>
      <c r="RXH48" s="287"/>
      <c r="RXI48" s="287"/>
      <c r="RXJ48" s="287"/>
      <c r="RXK48" s="287"/>
      <c r="RXL48" s="287"/>
      <c r="RXM48" s="287"/>
      <c r="RXN48" s="287"/>
      <c r="RXO48" s="287"/>
      <c r="RXP48" s="287"/>
      <c r="RXQ48" s="287"/>
      <c r="RXR48" s="287"/>
      <c r="RXS48" s="287"/>
      <c r="RXT48" s="287"/>
      <c r="RXU48" s="287"/>
      <c r="RXV48" s="287"/>
      <c r="RXW48" s="287"/>
      <c r="RXX48" s="287"/>
      <c r="RXY48" s="287"/>
      <c r="RXZ48" s="287"/>
      <c r="RYA48" s="287"/>
      <c r="RYB48" s="287"/>
      <c r="RYC48" s="287"/>
      <c r="RYD48" s="287"/>
      <c r="RYE48" s="287"/>
      <c r="RYF48" s="287"/>
      <c r="RYG48" s="287"/>
      <c r="RYH48" s="287"/>
      <c r="RYI48" s="287"/>
      <c r="RYJ48" s="287"/>
      <c r="RYK48" s="287"/>
      <c r="RYL48" s="287"/>
      <c r="RYM48" s="287"/>
      <c r="RYN48" s="287"/>
      <c r="RYO48" s="287"/>
      <c r="RYP48" s="287"/>
      <c r="RYQ48" s="287"/>
      <c r="RYR48" s="287"/>
      <c r="RYS48" s="287"/>
      <c r="RYT48" s="287"/>
      <c r="RYU48" s="287"/>
      <c r="RYV48" s="287"/>
      <c r="RYW48" s="287"/>
      <c r="RYX48" s="287"/>
      <c r="RYY48" s="287"/>
      <c r="RYZ48" s="287"/>
      <c r="RZA48" s="287"/>
      <c r="RZB48" s="287"/>
      <c r="RZC48" s="287"/>
      <c r="RZD48" s="287"/>
      <c r="RZE48" s="287"/>
      <c r="RZF48" s="287"/>
      <c r="RZG48" s="287"/>
      <c r="RZH48" s="287"/>
      <c r="RZI48" s="287"/>
      <c r="RZJ48" s="287"/>
      <c r="RZK48" s="287"/>
      <c r="RZL48" s="287"/>
      <c r="RZM48" s="287"/>
      <c r="RZN48" s="287"/>
      <c r="RZO48" s="287"/>
      <c r="RZP48" s="287"/>
      <c r="RZQ48" s="287"/>
      <c r="RZR48" s="287"/>
      <c r="RZS48" s="287"/>
      <c r="RZT48" s="287"/>
      <c r="RZU48" s="287"/>
      <c r="RZV48" s="287"/>
      <c r="RZW48" s="287"/>
      <c r="RZX48" s="287"/>
      <c r="RZY48" s="287"/>
      <c r="RZZ48" s="287"/>
      <c r="SAA48" s="287"/>
      <c r="SAB48" s="287"/>
      <c r="SAC48" s="287"/>
      <c r="SAD48" s="287"/>
      <c r="SAE48" s="287"/>
      <c r="SAF48" s="287"/>
      <c r="SAG48" s="287"/>
      <c r="SAH48" s="287"/>
      <c r="SAI48" s="287"/>
      <c r="SAJ48" s="287"/>
      <c r="SAK48" s="287"/>
      <c r="SAL48" s="287"/>
      <c r="SAM48" s="287"/>
      <c r="SAN48" s="287"/>
      <c r="SAO48" s="287"/>
      <c r="SAP48" s="287"/>
      <c r="SAQ48" s="287"/>
      <c r="SAR48" s="287"/>
      <c r="SAS48" s="287"/>
      <c r="SAT48" s="287"/>
      <c r="SAU48" s="287"/>
      <c r="SAV48" s="287"/>
      <c r="SAW48" s="287"/>
      <c r="SAX48" s="287"/>
      <c r="SAY48" s="287"/>
      <c r="SAZ48" s="287"/>
      <c r="SBA48" s="287"/>
      <c r="SBB48" s="287"/>
      <c r="SBC48" s="287"/>
      <c r="SBD48" s="287"/>
      <c r="SBE48" s="287"/>
      <c r="SBF48" s="287"/>
      <c r="SBG48" s="287"/>
      <c r="SBH48" s="287"/>
      <c r="SBI48" s="287"/>
      <c r="SBJ48" s="287"/>
      <c r="SBK48" s="287"/>
      <c r="SBL48" s="287"/>
      <c r="SBM48" s="287"/>
      <c r="SBN48" s="287"/>
      <c r="SBO48" s="287"/>
      <c r="SBP48" s="287"/>
      <c r="SBQ48" s="287"/>
      <c r="SBR48" s="287"/>
      <c r="SBS48" s="287"/>
      <c r="SBT48" s="287"/>
      <c r="SBU48" s="287"/>
      <c r="SBV48" s="287"/>
      <c r="SBW48" s="287"/>
      <c r="SBX48" s="287"/>
      <c r="SBY48" s="287"/>
      <c r="SBZ48" s="287"/>
      <c r="SCA48" s="287"/>
      <c r="SCB48" s="287"/>
      <c r="SCC48" s="287"/>
      <c r="SCD48" s="287"/>
      <c r="SCE48" s="287"/>
      <c r="SCF48" s="287"/>
      <c r="SCG48" s="287"/>
      <c r="SCH48" s="287"/>
      <c r="SCI48" s="287"/>
      <c r="SCJ48" s="287"/>
      <c r="SCK48" s="287"/>
      <c r="SCL48" s="287"/>
      <c r="SCM48" s="287"/>
      <c r="SCN48" s="287"/>
      <c r="SCO48" s="287"/>
      <c r="SCP48" s="287"/>
      <c r="SCQ48" s="287"/>
      <c r="SCR48" s="287"/>
      <c r="SCS48" s="287"/>
      <c r="SCT48" s="287"/>
      <c r="SCU48" s="287"/>
      <c r="SCV48" s="287"/>
      <c r="SCW48" s="287"/>
      <c r="SCX48" s="287"/>
      <c r="SCY48" s="287"/>
      <c r="SCZ48" s="287"/>
      <c r="SDA48" s="287"/>
      <c r="SDB48" s="287"/>
      <c r="SDC48" s="287"/>
      <c r="SDD48" s="287"/>
      <c r="SDE48" s="287"/>
      <c r="SDF48" s="287"/>
      <c r="SDG48" s="287"/>
      <c r="SDH48" s="287"/>
      <c r="SDI48" s="287"/>
      <c r="SDJ48" s="287"/>
      <c r="SDK48" s="287"/>
      <c r="SDL48" s="287"/>
      <c r="SDM48" s="287"/>
      <c r="SDN48" s="287"/>
      <c r="SDO48" s="287"/>
      <c r="SDP48" s="287"/>
      <c r="SDQ48" s="287"/>
      <c r="SDR48" s="287"/>
      <c r="SDS48" s="287"/>
      <c r="SDT48" s="287"/>
      <c r="SDU48" s="287"/>
      <c r="SDV48" s="287"/>
      <c r="SDW48" s="287"/>
      <c r="SDX48" s="287"/>
      <c r="SDY48" s="287"/>
      <c r="SDZ48" s="287"/>
      <c r="SEA48" s="287"/>
      <c r="SEB48" s="287"/>
      <c r="SEC48" s="287"/>
      <c r="SED48" s="287"/>
      <c r="SEE48" s="287"/>
      <c r="SEF48" s="287"/>
      <c r="SEG48" s="287"/>
      <c r="SEH48" s="287"/>
      <c r="SEI48" s="287"/>
      <c r="SEJ48" s="287"/>
      <c r="SEK48" s="287"/>
      <c r="SEL48" s="287"/>
      <c r="SEM48" s="287"/>
      <c r="SEN48" s="287"/>
      <c r="SEO48" s="287"/>
      <c r="SEP48" s="287"/>
      <c r="SEQ48" s="287"/>
      <c r="SER48" s="287"/>
      <c r="SES48" s="287"/>
      <c r="SET48" s="287"/>
      <c r="SEU48" s="287"/>
      <c r="SEV48" s="287"/>
      <c r="SEW48" s="287"/>
      <c r="SEX48" s="287"/>
      <c r="SEY48" s="287"/>
      <c r="SEZ48" s="287"/>
      <c r="SFA48" s="287"/>
      <c r="SFB48" s="287"/>
      <c r="SFC48" s="287"/>
      <c r="SFD48" s="287"/>
      <c r="SFE48" s="287"/>
      <c r="SFF48" s="287"/>
      <c r="SFG48" s="287"/>
      <c r="SFH48" s="287"/>
      <c r="SFI48" s="287"/>
      <c r="SFJ48" s="287"/>
      <c r="SFK48" s="287"/>
      <c r="SFL48" s="287"/>
      <c r="SFM48" s="287"/>
      <c r="SFN48" s="287"/>
      <c r="SFO48" s="287"/>
      <c r="SFP48" s="287"/>
      <c r="SFQ48" s="287"/>
      <c r="SFR48" s="287"/>
      <c r="SFS48" s="287"/>
      <c r="SFT48" s="287"/>
      <c r="SFU48" s="287"/>
      <c r="SFV48" s="287"/>
      <c r="SFW48" s="287"/>
      <c r="SFX48" s="287"/>
      <c r="SFY48" s="287"/>
      <c r="SFZ48" s="287"/>
      <c r="SGA48" s="287"/>
      <c r="SGB48" s="287"/>
      <c r="SGC48" s="287"/>
      <c r="SGD48" s="287"/>
      <c r="SGE48" s="287"/>
      <c r="SGF48" s="287"/>
      <c r="SGG48" s="287"/>
      <c r="SGH48" s="287"/>
      <c r="SGI48" s="287"/>
      <c r="SGJ48" s="287"/>
      <c r="SGK48" s="287"/>
      <c r="SGL48" s="287"/>
      <c r="SGM48" s="287"/>
      <c r="SGN48" s="287"/>
      <c r="SGO48" s="287"/>
      <c r="SGP48" s="287"/>
      <c r="SGQ48" s="287"/>
      <c r="SGR48" s="287"/>
      <c r="SGS48" s="287"/>
      <c r="SGT48" s="287"/>
      <c r="SGU48" s="287"/>
      <c r="SGV48" s="287"/>
      <c r="SGW48" s="287"/>
      <c r="SGX48" s="287"/>
      <c r="SGY48" s="287"/>
      <c r="SGZ48" s="287"/>
      <c r="SHA48" s="287"/>
      <c r="SHB48" s="287"/>
      <c r="SHC48" s="287"/>
      <c r="SHD48" s="287"/>
      <c r="SHE48" s="287"/>
      <c r="SHF48" s="287"/>
      <c r="SHG48" s="287"/>
      <c r="SHH48" s="287"/>
      <c r="SHI48" s="287"/>
      <c r="SHJ48" s="287"/>
      <c r="SHK48" s="287"/>
      <c r="SHL48" s="287"/>
      <c r="SHM48" s="287"/>
      <c r="SHN48" s="287"/>
      <c r="SHO48" s="287"/>
      <c r="SHP48" s="287"/>
      <c r="SHQ48" s="287"/>
      <c r="SHR48" s="287"/>
      <c r="SHS48" s="287"/>
      <c r="SHT48" s="287"/>
      <c r="SHU48" s="287"/>
      <c r="SHV48" s="287"/>
      <c r="SHW48" s="287"/>
      <c r="SHX48" s="287"/>
      <c r="SHY48" s="287"/>
      <c r="SHZ48" s="287"/>
      <c r="SIA48" s="287"/>
      <c r="SIB48" s="287"/>
      <c r="SIC48" s="287"/>
      <c r="SID48" s="287"/>
      <c r="SIE48" s="287"/>
      <c r="SIF48" s="287"/>
      <c r="SIG48" s="287"/>
      <c r="SIH48" s="287"/>
      <c r="SII48" s="287"/>
      <c r="SIJ48" s="287"/>
      <c r="SIK48" s="287"/>
      <c r="SIL48" s="287"/>
      <c r="SIM48" s="287"/>
      <c r="SIN48" s="287"/>
      <c r="SIO48" s="287"/>
      <c r="SIP48" s="287"/>
      <c r="SIQ48" s="287"/>
      <c r="SIR48" s="287"/>
      <c r="SIS48" s="287"/>
      <c r="SIT48" s="287"/>
      <c r="SIU48" s="287"/>
      <c r="SIV48" s="287"/>
      <c r="SIW48" s="287"/>
      <c r="SIX48" s="287"/>
      <c r="SIY48" s="287"/>
      <c r="SIZ48" s="287"/>
      <c r="SJA48" s="287"/>
      <c r="SJB48" s="287"/>
      <c r="SJC48" s="287"/>
      <c r="SJD48" s="287"/>
      <c r="SJE48" s="287"/>
      <c r="SJF48" s="287"/>
      <c r="SJG48" s="287"/>
      <c r="SJH48" s="287"/>
      <c r="SJI48" s="287"/>
      <c r="SJJ48" s="287"/>
      <c r="SJK48" s="287"/>
      <c r="SJL48" s="287"/>
      <c r="SJM48" s="287"/>
      <c r="SJN48" s="287"/>
      <c r="SJO48" s="287"/>
      <c r="SJP48" s="287"/>
      <c r="SJQ48" s="287"/>
      <c r="SJR48" s="287"/>
      <c r="SJS48" s="287"/>
      <c r="SJT48" s="287"/>
      <c r="SJU48" s="287"/>
      <c r="SJV48" s="287"/>
      <c r="SJW48" s="287"/>
      <c r="SJX48" s="287"/>
      <c r="SJY48" s="287"/>
      <c r="SJZ48" s="287"/>
      <c r="SKA48" s="287"/>
      <c r="SKB48" s="287"/>
      <c r="SKC48" s="287"/>
      <c r="SKD48" s="287"/>
      <c r="SKE48" s="287"/>
      <c r="SKF48" s="287"/>
      <c r="SKG48" s="287"/>
      <c r="SKH48" s="287"/>
      <c r="SKI48" s="287"/>
      <c r="SKJ48" s="287"/>
      <c r="SKK48" s="287"/>
      <c r="SKL48" s="287"/>
      <c r="SKM48" s="287"/>
      <c r="SKN48" s="287"/>
      <c r="SKO48" s="287"/>
      <c r="SKP48" s="287"/>
      <c r="SKQ48" s="287"/>
      <c r="SKR48" s="287"/>
      <c r="SKS48" s="287"/>
      <c r="SKT48" s="287"/>
      <c r="SKU48" s="287"/>
      <c r="SKV48" s="287"/>
      <c r="SKW48" s="287"/>
      <c r="SKX48" s="287"/>
      <c r="SKY48" s="287"/>
      <c r="SKZ48" s="287"/>
      <c r="SLA48" s="287"/>
      <c r="SLB48" s="287"/>
      <c r="SLC48" s="287"/>
      <c r="SLD48" s="287"/>
      <c r="SLE48" s="287"/>
      <c r="SLF48" s="287"/>
      <c r="SLG48" s="287"/>
      <c r="SLH48" s="287"/>
      <c r="SLI48" s="287"/>
      <c r="SLJ48" s="287"/>
      <c r="SLK48" s="287"/>
      <c r="SLL48" s="287"/>
      <c r="SLM48" s="287"/>
      <c r="SLN48" s="287"/>
      <c r="SLO48" s="287"/>
      <c r="SLP48" s="287"/>
      <c r="SLQ48" s="287"/>
      <c r="SLR48" s="287"/>
      <c r="SLS48" s="287"/>
      <c r="SLT48" s="287"/>
      <c r="SLU48" s="287"/>
      <c r="SLV48" s="287"/>
      <c r="SLW48" s="287"/>
      <c r="SLX48" s="287"/>
      <c r="SLY48" s="287"/>
      <c r="SLZ48" s="287"/>
      <c r="SMA48" s="287"/>
      <c r="SMB48" s="287"/>
      <c r="SMC48" s="287"/>
      <c r="SMD48" s="287"/>
      <c r="SME48" s="287"/>
      <c r="SMF48" s="287"/>
      <c r="SMG48" s="287"/>
      <c r="SMH48" s="287"/>
      <c r="SMI48" s="287"/>
      <c r="SMJ48" s="287"/>
      <c r="SMK48" s="287"/>
      <c r="SML48" s="287"/>
      <c r="SMM48" s="287"/>
      <c r="SMN48" s="287"/>
      <c r="SMO48" s="287"/>
      <c r="SMP48" s="287"/>
      <c r="SMQ48" s="287"/>
      <c r="SMR48" s="287"/>
      <c r="SMS48" s="287"/>
      <c r="SMT48" s="287"/>
      <c r="SMU48" s="287"/>
      <c r="SMV48" s="287"/>
      <c r="SMW48" s="287"/>
      <c r="SMX48" s="287"/>
      <c r="SMY48" s="287"/>
      <c r="SMZ48" s="287"/>
      <c r="SNA48" s="287"/>
      <c r="SNB48" s="287"/>
      <c r="SNC48" s="287"/>
      <c r="SND48" s="287"/>
      <c r="SNE48" s="287"/>
      <c r="SNF48" s="287"/>
      <c r="SNG48" s="287"/>
      <c r="SNH48" s="287"/>
      <c r="SNI48" s="287"/>
      <c r="SNJ48" s="287"/>
      <c r="SNK48" s="287"/>
      <c r="SNL48" s="287"/>
      <c r="SNM48" s="287"/>
      <c r="SNN48" s="287"/>
      <c r="SNO48" s="287"/>
      <c r="SNP48" s="287"/>
      <c r="SNQ48" s="287"/>
      <c r="SNR48" s="287"/>
      <c r="SNS48" s="287"/>
      <c r="SNT48" s="287"/>
      <c r="SNU48" s="287"/>
      <c r="SNV48" s="287"/>
      <c r="SNW48" s="287"/>
      <c r="SNX48" s="287"/>
      <c r="SNY48" s="287"/>
      <c r="SNZ48" s="287"/>
      <c r="SOA48" s="287"/>
      <c r="SOB48" s="287"/>
      <c r="SOC48" s="287"/>
      <c r="SOD48" s="287"/>
      <c r="SOE48" s="287"/>
      <c r="SOF48" s="287"/>
      <c r="SOG48" s="287"/>
      <c r="SOH48" s="287"/>
      <c r="SOI48" s="287"/>
      <c r="SOJ48" s="287"/>
      <c r="SOK48" s="287"/>
      <c r="SOL48" s="287"/>
      <c r="SOM48" s="287"/>
      <c r="SON48" s="287"/>
      <c r="SOO48" s="287"/>
      <c r="SOP48" s="287"/>
      <c r="SOQ48" s="287"/>
      <c r="SOR48" s="287"/>
      <c r="SOS48" s="287"/>
      <c r="SOT48" s="287"/>
      <c r="SOU48" s="287"/>
      <c r="SOV48" s="287"/>
      <c r="SOW48" s="287"/>
      <c r="SOX48" s="287"/>
      <c r="SOY48" s="287"/>
      <c r="SOZ48" s="287"/>
      <c r="SPA48" s="287"/>
      <c r="SPB48" s="287"/>
      <c r="SPC48" s="287"/>
      <c r="SPD48" s="287"/>
      <c r="SPE48" s="287"/>
      <c r="SPF48" s="287"/>
      <c r="SPG48" s="287"/>
      <c r="SPH48" s="287"/>
      <c r="SPI48" s="287"/>
      <c r="SPJ48" s="287"/>
      <c r="SPK48" s="287"/>
      <c r="SPL48" s="287"/>
      <c r="SPM48" s="287"/>
      <c r="SPN48" s="287"/>
      <c r="SPO48" s="287"/>
      <c r="SPP48" s="287"/>
      <c r="SPQ48" s="287"/>
      <c r="SPR48" s="287"/>
      <c r="SPS48" s="287"/>
      <c r="SPT48" s="287"/>
      <c r="SPU48" s="287"/>
      <c r="SPV48" s="287"/>
      <c r="SPW48" s="287"/>
      <c r="SPX48" s="287"/>
      <c r="SPY48" s="287"/>
      <c r="SPZ48" s="287"/>
      <c r="SQA48" s="287"/>
      <c r="SQB48" s="287"/>
      <c r="SQC48" s="287"/>
      <c r="SQD48" s="287"/>
      <c r="SQE48" s="287"/>
      <c r="SQF48" s="287"/>
      <c r="SQG48" s="287"/>
      <c r="SQH48" s="287"/>
      <c r="SQI48" s="287"/>
      <c r="SQJ48" s="287"/>
      <c r="SQK48" s="287"/>
      <c r="SQL48" s="287"/>
      <c r="SQM48" s="287"/>
      <c r="SQN48" s="287"/>
      <c r="SQO48" s="287"/>
      <c r="SQP48" s="287"/>
      <c r="SQQ48" s="287"/>
      <c r="SQR48" s="287"/>
      <c r="SQS48" s="287"/>
      <c r="SQT48" s="287"/>
      <c r="SQU48" s="287"/>
      <c r="SQV48" s="287"/>
      <c r="SQW48" s="287"/>
      <c r="SQX48" s="287"/>
      <c r="SQY48" s="287"/>
      <c r="SQZ48" s="287"/>
      <c r="SRA48" s="287"/>
      <c r="SRB48" s="287"/>
      <c r="SRC48" s="287"/>
      <c r="SRD48" s="287"/>
      <c r="SRE48" s="287"/>
      <c r="SRF48" s="287"/>
      <c r="SRG48" s="287"/>
      <c r="SRH48" s="287"/>
      <c r="SRI48" s="287"/>
      <c r="SRJ48" s="287"/>
      <c r="SRK48" s="287"/>
      <c r="SRL48" s="287"/>
      <c r="SRM48" s="287"/>
      <c r="SRN48" s="287"/>
      <c r="SRO48" s="287"/>
      <c r="SRP48" s="287"/>
      <c r="SRQ48" s="287"/>
      <c r="SRR48" s="287"/>
      <c r="SRS48" s="287"/>
      <c r="SRT48" s="287"/>
      <c r="SRU48" s="287"/>
      <c r="SRV48" s="287"/>
      <c r="SRW48" s="287"/>
      <c r="SRX48" s="287"/>
      <c r="SRY48" s="287"/>
      <c r="SRZ48" s="287"/>
      <c r="SSA48" s="287"/>
      <c r="SSB48" s="287"/>
      <c r="SSC48" s="287"/>
      <c r="SSD48" s="287"/>
      <c r="SSE48" s="287"/>
      <c r="SSF48" s="287"/>
      <c r="SSG48" s="287"/>
      <c r="SSH48" s="287"/>
      <c r="SSI48" s="287"/>
      <c r="SSJ48" s="287"/>
      <c r="SSK48" s="287"/>
      <c r="SSL48" s="287"/>
      <c r="SSM48" s="287"/>
      <c r="SSN48" s="287"/>
      <c r="SSO48" s="287"/>
      <c r="SSP48" s="287"/>
      <c r="SSQ48" s="287"/>
      <c r="SSR48" s="287"/>
      <c r="SSS48" s="287"/>
      <c r="SST48" s="287"/>
      <c r="SSU48" s="287"/>
      <c r="SSV48" s="287"/>
      <c r="SSW48" s="287"/>
      <c r="SSX48" s="287"/>
      <c r="SSY48" s="287"/>
      <c r="SSZ48" s="287"/>
      <c r="STA48" s="287"/>
      <c r="STB48" s="287"/>
      <c r="STC48" s="287"/>
      <c r="STD48" s="287"/>
      <c r="STE48" s="287"/>
      <c r="STF48" s="287"/>
      <c r="STG48" s="287"/>
      <c r="STH48" s="287"/>
      <c r="STI48" s="287"/>
      <c r="STJ48" s="287"/>
      <c r="STK48" s="287"/>
      <c r="STL48" s="287"/>
      <c r="STM48" s="287"/>
      <c r="STN48" s="287"/>
      <c r="STO48" s="287"/>
      <c r="STP48" s="287"/>
      <c r="STQ48" s="287"/>
      <c r="STR48" s="287"/>
      <c r="STS48" s="287"/>
      <c r="STT48" s="287"/>
      <c r="STU48" s="287"/>
      <c r="STV48" s="287"/>
      <c r="STW48" s="287"/>
      <c r="STX48" s="287"/>
      <c r="STY48" s="287"/>
      <c r="STZ48" s="287"/>
      <c r="SUA48" s="287"/>
      <c r="SUB48" s="287"/>
      <c r="SUC48" s="287"/>
      <c r="SUD48" s="287"/>
      <c r="SUE48" s="287"/>
      <c r="SUF48" s="287"/>
      <c r="SUG48" s="287"/>
      <c r="SUH48" s="287"/>
      <c r="SUI48" s="287"/>
      <c r="SUJ48" s="287"/>
      <c r="SUK48" s="287"/>
      <c r="SUL48" s="287"/>
      <c r="SUM48" s="287"/>
      <c r="SUN48" s="287"/>
      <c r="SUO48" s="287"/>
      <c r="SUP48" s="287"/>
      <c r="SUQ48" s="287"/>
      <c r="SUR48" s="287"/>
      <c r="SUS48" s="287"/>
      <c r="SUT48" s="287"/>
      <c r="SUU48" s="287"/>
      <c r="SUV48" s="287"/>
      <c r="SUW48" s="287"/>
      <c r="SUX48" s="287"/>
      <c r="SUY48" s="287"/>
      <c r="SUZ48" s="287"/>
      <c r="SVA48" s="287"/>
      <c r="SVB48" s="287"/>
      <c r="SVC48" s="287"/>
      <c r="SVD48" s="287"/>
      <c r="SVE48" s="287"/>
      <c r="SVF48" s="287"/>
      <c r="SVG48" s="287"/>
      <c r="SVH48" s="287"/>
      <c r="SVI48" s="287"/>
      <c r="SVJ48" s="287"/>
      <c r="SVK48" s="287"/>
      <c r="SVL48" s="287"/>
      <c r="SVM48" s="287"/>
      <c r="SVN48" s="287"/>
      <c r="SVO48" s="287"/>
      <c r="SVP48" s="287"/>
      <c r="SVQ48" s="287"/>
      <c r="SVR48" s="287"/>
      <c r="SVS48" s="287"/>
      <c r="SVT48" s="287"/>
      <c r="SVU48" s="287"/>
      <c r="SVV48" s="287"/>
      <c r="SVW48" s="287"/>
      <c r="SVX48" s="287"/>
      <c r="SVY48" s="287"/>
      <c r="SVZ48" s="287"/>
      <c r="SWA48" s="287"/>
      <c r="SWB48" s="287"/>
      <c r="SWC48" s="287"/>
      <c r="SWD48" s="287"/>
      <c r="SWE48" s="287"/>
      <c r="SWF48" s="287"/>
      <c r="SWG48" s="287"/>
      <c r="SWH48" s="287"/>
      <c r="SWI48" s="287"/>
      <c r="SWJ48" s="287"/>
      <c r="SWK48" s="287"/>
      <c r="SWL48" s="287"/>
      <c r="SWM48" s="287"/>
      <c r="SWN48" s="287"/>
      <c r="SWO48" s="287"/>
      <c r="SWP48" s="287"/>
      <c r="SWQ48" s="287"/>
      <c r="SWR48" s="287"/>
      <c r="SWS48" s="287"/>
      <c r="SWT48" s="287"/>
      <c r="SWU48" s="287"/>
      <c r="SWV48" s="287"/>
      <c r="SWW48" s="287"/>
      <c r="SWX48" s="287"/>
      <c r="SWY48" s="287"/>
      <c r="SWZ48" s="287"/>
      <c r="SXA48" s="287"/>
      <c r="SXB48" s="287"/>
      <c r="SXC48" s="287"/>
      <c r="SXD48" s="287"/>
      <c r="SXE48" s="287"/>
      <c r="SXF48" s="287"/>
      <c r="SXG48" s="287"/>
      <c r="SXH48" s="287"/>
      <c r="SXI48" s="287"/>
      <c r="SXJ48" s="287"/>
      <c r="SXK48" s="287"/>
      <c r="SXL48" s="287"/>
      <c r="SXM48" s="287"/>
      <c r="SXN48" s="287"/>
      <c r="SXO48" s="287"/>
      <c r="SXP48" s="287"/>
      <c r="SXQ48" s="287"/>
      <c r="SXR48" s="287"/>
      <c r="SXS48" s="287"/>
      <c r="SXT48" s="287"/>
      <c r="SXU48" s="287"/>
      <c r="SXV48" s="287"/>
      <c r="SXW48" s="287"/>
      <c r="SXX48" s="287"/>
      <c r="SXY48" s="287"/>
      <c r="SXZ48" s="287"/>
      <c r="SYA48" s="287"/>
      <c r="SYB48" s="287"/>
      <c r="SYC48" s="287"/>
      <c r="SYD48" s="287"/>
      <c r="SYE48" s="287"/>
      <c r="SYF48" s="287"/>
      <c r="SYG48" s="287"/>
      <c r="SYH48" s="287"/>
      <c r="SYI48" s="287"/>
      <c r="SYJ48" s="287"/>
      <c r="SYK48" s="287"/>
      <c r="SYL48" s="287"/>
      <c r="SYM48" s="287"/>
      <c r="SYN48" s="287"/>
      <c r="SYO48" s="287"/>
      <c r="SYP48" s="287"/>
      <c r="SYQ48" s="287"/>
      <c r="SYR48" s="287"/>
      <c r="SYS48" s="287"/>
      <c r="SYT48" s="287"/>
      <c r="SYU48" s="287"/>
      <c r="SYV48" s="287"/>
      <c r="SYW48" s="287"/>
      <c r="SYX48" s="287"/>
      <c r="SYY48" s="287"/>
      <c r="SYZ48" s="287"/>
      <c r="SZA48" s="287"/>
      <c r="SZB48" s="287"/>
      <c r="SZC48" s="287"/>
      <c r="SZD48" s="287"/>
      <c r="SZE48" s="287"/>
      <c r="SZF48" s="287"/>
      <c r="SZG48" s="287"/>
      <c r="SZH48" s="287"/>
      <c r="SZI48" s="287"/>
      <c r="SZJ48" s="287"/>
      <c r="SZK48" s="287"/>
      <c r="SZL48" s="287"/>
      <c r="SZM48" s="287"/>
      <c r="SZN48" s="287"/>
      <c r="SZO48" s="287"/>
      <c r="SZP48" s="287"/>
      <c r="SZQ48" s="287"/>
      <c r="SZR48" s="287"/>
      <c r="SZS48" s="287"/>
      <c r="SZT48" s="287"/>
      <c r="SZU48" s="287"/>
      <c r="SZV48" s="287"/>
      <c r="SZW48" s="287"/>
      <c r="SZX48" s="287"/>
      <c r="SZY48" s="287"/>
      <c r="SZZ48" s="287"/>
      <c r="TAA48" s="287"/>
      <c r="TAB48" s="287"/>
      <c r="TAC48" s="287"/>
      <c r="TAD48" s="287"/>
      <c r="TAE48" s="287"/>
      <c r="TAF48" s="287"/>
      <c r="TAG48" s="287"/>
      <c r="TAH48" s="287"/>
      <c r="TAI48" s="287"/>
      <c r="TAJ48" s="287"/>
      <c r="TAK48" s="287"/>
      <c r="TAL48" s="287"/>
      <c r="TAM48" s="287"/>
      <c r="TAN48" s="287"/>
      <c r="TAO48" s="287"/>
      <c r="TAP48" s="287"/>
      <c r="TAQ48" s="287"/>
      <c r="TAR48" s="287"/>
      <c r="TAS48" s="287"/>
      <c r="TAT48" s="287"/>
      <c r="TAU48" s="287"/>
      <c r="TAV48" s="287"/>
      <c r="TAW48" s="287"/>
      <c r="TAX48" s="287"/>
      <c r="TAY48" s="287"/>
      <c r="TAZ48" s="287"/>
      <c r="TBA48" s="287"/>
      <c r="TBB48" s="287"/>
      <c r="TBC48" s="287"/>
      <c r="TBD48" s="287"/>
      <c r="TBE48" s="287"/>
      <c r="TBF48" s="287"/>
      <c r="TBG48" s="287"/>
      <c r="TBH48" s="287"/>
      <c r="TBI48" s="287"/>
      <c r="TBJ48" s="287"/>
      <c r="TBK48" s="287"/>
      <c r="TBL48" s="287"/>
      <c r="TBM48" s="287"/>
      <c r="TBN48" s="287"/>
      <c r="TBO48" s="287"/>
      <c r="TBP48" s="287"/>
      <c r="TBQ48" s="287"/>
      <c r="TBR48" s="287"/>
      <c r="TBS48" s="287"/>
      <c r="TBT48" s="287"/>
      <c r="TBU48" s="287"/>
      <c r="TBV48" s="287"/>
      <c r="TBW48" s="287"/>
      <c r="TBX48" s="287"/>
      <c r="TBY48" s="287"/>
      <c r="TBZ48" s="287"/>
      <c r="TCA48" s="287"/>
      <c r="TCB48" s="287"/>
      <c r="TCC48" s="287"/>
      <c r="TCD48" s="287"/>
      <c r="TCE48" s="287"/>
      <c r="TCF48" s="287"/>
      <c r="TCG48" s="287"/>
      <c r="TCH48" s="287"/>
      <c r="TCI48" s="287"/>
      <c r="TCJ48" s="287"/>
      <c r="TCK48" s="287"/>
      <c r="TCL48" s="287"/>
      <c r="TCM48" s="287"/>
      <c r="TCN48" s="287"/>
      <c r="TCO48" s="287"/>
      <c r="TCP48" s="287"/>
      <c r="TCQ48" s="287"/>
      <c r="TCR48" s="287"/>
      <c r="TCS48" s="287"/>
      <c r="TCT48" s="287"/>
      <c r="TCU48" s="287"/>
      <c r="TCV48" s="287"/>
      <c r="TCW48" s="287"/>
      <c r="TCX48" s="287"/>
      <c r="TCY48" s="287"/>
      <c r="TCZ48" s="287"/>
      <c r="TDA48" s="287"/>
      <c r="TDB48" s="287"/>
      <c r="TDC48" s="287"/>
      <c r="TDD48" s="287"/>
      <c r="TDE48" s="287"/>
      <c r="TDF48" s="287"/>
      <c r="TDG48" s="287"/>
      <c r="TDH48" s="287"/>
      <c r="TDI48" s="287"/>
      <c r="TDJ48" s="287"/>
      <c r="TDK48" s="287"/>
      <c r="TDL48" s="287"/>
      <c r="TDM48" s="287"/>
      <c r="TDN48" s="287"/>
      <c r="TDO48" s="287"/>
      <c r="TDP48" s="287"/>
      <c r="TDQ48" s="287"/>
      <c r="TDR48" s="287"/>
      <c r="TDS48" s="287"/>
      <c r="TDT48" s="287"/>
      <c r="TDU48" s="287"/>
      <c r="TDV48" s="287"/>
      <c r="TDW48" s="287"/>
      <c r="TDX48" s="287"/>
      <c r="TDY48" s="287"/>
      <c r="TDZ48" s="287"/>
      <c r="TEA48" s="287"/>
      <c r="TEB48" s="287"/>
      <c r="TEC48" s="287"/>
      <c r="TED48" s="287"/>
      <c r="TEE48" s="287"/>
      <c r="TEF48" s="287"/>
      <c r="TEG48" s="287"/>
      <c r="TEH48" s="287"/>
      <c r="TEI48" s="287"/>
      <c r="TEJ48" s="287"/>
      <c r="TEK48" s="287"/>
      <c r="TEL48" s="287"/>
      <c r="TEM48" s="287"/>
      <c r="TEN48" s="287"/>
      <c r="TEO48" s="287"/>
      <c r="TEP48" s="287"/>
      <c r="TEQ48" s="287"/>
      <c r="TER48" s="287"/>
      <c r="TES48" s="287"/>
      <c r="TET48" s="287"/>
      <c r="TEU48" s="287"/>
      <c r="TEV48" s="287"/>
      <c r="TEW48" s="287"/>
      <c r="TEX48" s="287"/>
      <c r="TEY48" s="287"/>
      <c r="TEZ48" s="287"/>
      <c r="TFA48" s="287"/>
      <c r="TFB48" s="287"/>
      <c r="TFC48" s="287"/>
      <c r="TFD48" s="287"/>
      <c r="TFE48" s="287"/>
      <c r="TFF48" s="287"/>
      <c r="TFG48" s="287"/>
      <c r="TFH48" s="287"/>
      <c r="TFI48" s="287"/>
      <c r="TFJ48" s="287"/>
      <c r="TFK48" s="287"/>
      <c r="TFL48" s="287"/>
      <c r="TFM48" s="287"/>
      <c r="TFN48" s="287"/>
      <c r="TFO48" s="287"/>
      <c r="TFP48" s="287"/>
      <c r="TFQ48" s="287"/>
      <c r="TFR48" s="287"/>
      <c r="TFS48" s="287"/>
      <c r="TFT48" s="287"/>
      <c r="TFU48" s="287"/>
      <c r="TFV48" s="287"/>
      <c r="TFW48" s="287"/>
      <c r="TFX48" s="287"/>
      <c r="TFY48" s="287"/>
      <c r="TFZ48" s="287"/>
      <c r="TGA48" s="287"/>
      <c r="TGB48" s="287"/>
      <c r="TGC48" s="287"/>
      <c r="TGD48" s="287"/>
      <c r="TGE48" s="287"/>
      <c r="TGF48" s="287"/>
      <c r="TGG48" s="287"/>
      <c r="TGH48" s="287"/>
      <c r="TGI48" s="287"/>
      <c r="TGJ48" s="287"/>
      <c r="TGK48" s="287"/>
      <c r="TGL48" s="287"/>
      <c r="TGM48" s="287"/>
      <c r="TGN48" s="287"/>
      <c r="TGO48" s="287"/>
      <c r="TGP48" s="287"/>
      <c r="TGQ48" s="287"/>
      <c r="TGR48" s="287"/>
      <c r="TGS48" s="287"/>
      <c r="TGT48" s="287"/>
      <c r="TGU48" s="287"/>
      <c r="TGV48" s="287"/>
      <c r="TGW48" s="287"/>
      <c r="TGX48" s="287"/>
      <c r="TGY48" s="287"/>
      <c r="TGZ48" s="287"/>
      <c r="THA48" s="287"/>
      <c r="THB48" s="287"/>
      <c r="THC48" s="287"/>
      <c r="THD48" s="287"/>
      <c r="THE48" s="287"/>
      <c r="THF48" s="287"/>
      <c r="THG48" s="287"/>
      <c r="THH48" s="287"/>
      <c r="THI48" s="287"/>
      <c r="THJ48" s="287"/>
      <c r="THK48" s="287"/>
      <c r="THL48" s="287"/>
      <c r="THM48" s="287"/>
      <c r="THN48" s="287"/>
      <c r="THO48" s="287"/>
      <c r="THP48" s="287"/>
      <c r="THQ48" s="287"/>
      <c r="THR48" s="287"/>
      <c r="THS48" s="287"/>
      <c r="THT48" s="287"/>
      <c r="THU48" s="287"/>
      <c r="THV48" s="287"/>
      <c r="THW48" s="287"/>
      <c r="THX48" s="287"/>
      <c r="THY48" s="287"/>
      <c r="THZ48" s="287"/>
      <c r="TIA48" s="287"/>
      <c r="TIB48" s="287"/>
      <c r="TIC48" s="287"/>
      <c r="TID48" s="287"/>
      <c r="TIE48" s="287"/>
      <c r="TIF48" s="287"/>
      <c r="TIG48" s="287"/>
      <c r="TIH48" s="287"/>
      <c r="TII48" s="287"/>
      <c r="TIJ48" s="287"/>
      <c r="TIK48" s="287"/>
      <c r="TIL48" s="287"/>
      <c r="TIM48" s="287"/>
      <c r="TIN48" s="287"/>
      <c r="TIO48" s="287"/>
      <c r="TIP48" s="287"/>
      <c r="TIQ48" s="287"/>
      <c r="TIR48" s="287"/>
      <c r="TIS48" s="287"/>
      <c r="TIT48" s="287"/>
      <c r="TIU48" s="287"/>
      <c r="TIV48" s="287"/>
      <c r="TIW48" s="287"/>
      <c r="TIX48" s="287"/>
      <c r="TIY48" s="287"/>
      <c r="TIZ48" s="287"/>
      <c r="TJA48" s="287"/>
      <c r="TJB48" s="287"/>
      <c r="TJC48" s="287"/>
      <c r="TJD48" s="287"/>
      <c r="TJE48" s="287"/>
      <c r="TJF48" s="287"/>
      <c r="TJG48" s="287"/>
      <c r="TJH48" s="287"/>
      <c r="TJI48" s="287"/>
      <c r="TJJ48" s="287"/>
      <c r="TJK48" s="287"/>
      <c r="TJL48" s="287"/>
      <c r="TJM48" s="287"/>
      <c r="TJN48" s="287"/>
      <c r="TJO48" s="287"/>
      <c r="TJP48" s="287"/>
      <c r="TJQ48" s="287"/>
      <c r="TJR48" s="287"/>
      <c r="TJS48" s="287"/>
      <c r="TJT48" s="287"/>
      <c r="TJU48" s="287"/>
      <c r="TJV48" s="287"/>
      <c r="TJW48" s="287"/>
      <c r="TJX48" s="287"/>
      <c r="TJY48" s="287"/>
      <c r="TJZ48" s="287"/>
      <c r="TKA48" s="287"/>
      <c r="TKB48" s="287"/>
      <c r="TKC48" s="287"/>
      <c r="TKD48" s="287"/>
      <c r="TKE48" s="287"/>
      <c r="TKF48" s="287"/>
      <c r="TKG48" s="287"/>
      <c r="TKH48" s="287"/>
      <c r="TKI48" s="287"/>
      <c r="TKJ48" s="287"/>
      <c r="TKK48" s="287"/>
      <c r="TKL48" s="287"/>
      <c r="TKM48" s="287"/>
      <c r="TKN48" s="287"/>
      <c r="TKO48" s="287"/>
      <c r="TKP48" s="287"/>
      <c r="TKQ48" s="287"/>
      <c r="TKR48" s="287"/>
      <c r="TKS48" s="287"/>
      <c r="TKT48" s="287"/>
      <c r="TKU48" s="287"/>
      <c r="TKV48" s="287"/>
      <c r="TKW48" s="287"/>
      <c r="TKX48" s="287"/>
      <c r="TKY48" s="287"/>
      <c r="TKZ48" s="287"/>
      <c r="TLA48" s="287"/>
      <c r="TLB48" s="287"/>
      <c r="TLC48" s="287"/>
      <c r="TLD48" s="287"/>
      <c r="TLE48" s="287"/>
      <c r="TLF48" s="287"/>
      <c r="TLG48" s="287"/>
      <c r="TLH48" s="287"/>
      <c r="TLI48" s="287"/>
      <c r="TLJ48" s="287"/>
      <c r="TLK48" s="287"/>
      <c r="TLL48" s="287"/>
      <c r="TLM48" s="287"/>
      <c r="TLN48" s="287"/>
      <c r="TLO48" s="287"/>
      <c r="TLP48" s="287"/>
      <c r="TLQ48" s="287"/>
      <c r="TLR48" s="287"/>
      <c r="TLS48" s="287"/>
      <c r="TLT48" s="287"/>
      <c r="TLU48" s="287"/>
      <c r="TLV48" s="287"/>
      <c r="TLW48" s="287"/>
      <c r="TLX48" s="287"/>
      <c r="TLY48" s="287"/>
      <c r="TLZ48" s="287"/>
      <c r="TMA48" s="287"/>
      <c r="TMB48" s="287"/>
      <c r="TMC48" s="287"/>
      <c r="TMD48" s="287"/>
      <c r="TME48" s="287"/>
      <c r="TMF48" s="287"/>
      <c r="TMG48" s="287"/>
      <c r="TMH48" s="287"/>
      <c r="TMI48" s="287"/>
      <c r="TMJ48" s="287"/>
      <c r="TMK48" s="287"/>
      <c r="TML48" s="287"/>
      <c r="TMM48" s="287"/>
      <c r="TMN48" s="287"/>
      <c r="TMO48" s="287"/>
      <c r="TMP48" s="287"/>
      <c r="TMQ48" s="287"/>
      <c r="TMR48" s="287"/>
      <c r="TMS48" s="287"/>
      <c r="TMT48" s="287"/>
      <c r="TMU48" s="287"/>
      <c r="TMV48" s="287"/>
      <c r="TMW48" s="287"/>
      <c r="TMX48" s="287"/>
      <c r="TMY48" s="287"/>
      <c r="TMZ48" s="287"/>
      <c r="TNA48" s="287"/>
      <c r="TNB48" s="287"/>
      <c r="TNC48" s="287"/>
      <c r="TND48" s="287"/>
      <c r="TNE48" s="287"/>
      <c r="TNF48" s="287"/>
      <c r="TNG48" s="287"/>
      <c r="TNH48" s="287"/>
      <c r="TNI48" s="287"/>
      <c r="TNJ48" s="287"/>
      <c r="TNK48" s="287"/>
      <c r="TNL48" s="287"/>
      <c r="TNM48" s="287"/>
      <c r="TNN48" s="287"/>
      <c r="TNO48" s="287"/>
      <c r="TNP48" s="287"/>
      <c r="TNQ48" s="287"/>
      <c r="TNR48" s="287"/>
      <c r="TNS48" s="287"/>
      <c r="TNT48" s="287"/>
      <c r="TNU48" s="287"/>
      <c r="TNV48" s="287"/>
      <c r="TNW48" s="287"/>
      <c r="TNX48" s="287"/>
      <c r="TNY48" s="287"/>
      <c r="TNZ48" s="287"/>
      <c r="TOA48" s="287"/>
      <c r="TOB48" s="287"/>
      <c r="TOC48" s="287"/>
      <c r="TOD48" s="287"/>
      <c r="TOE48" s="287"/>
      <c r="TOF48" s="287"/>
      <c r="TOG48" s="287"/>
      <c r="TOH48" s="287"/>
      <c r="TOI48" s="287"/>
      <c r="TOJ48" s="287"/>
      <c r="TOK48" s="287"/>
      <c r="TOL48" s="287"/>
      <c r="TOM48" s="287"/>
      <c r="TON48" s="287"/>
      <c r="TOO48" s="287"/>
      <c r="TOP48" s="287"/>
      <c r="TOQ48" s="287"/>
      <c r="TOR48" s="287"/>
      <c r="TOS48" s="287"/>
      <c r="TOT48" s="287"/>
      <c r="TOU48" s="287"/>
      <c r="TOV48" s="287"/>
      <c r="TOW48" s="287"/>
      <c r="TOX48" s="287"/>
      <c r="TOY48" s="287"/>
      <c r="TOZ48" s="287"/>
      <c r="TPA48" s="287"/>
      <c r="TPB48" s="287"/>
      <c r="TPC48" s="287"/>
      <c r="TPD48" s="287"/>
      <c r="TPE48" s="287"/>
      <c r="TPF48" s="287"/>
      <c r="TPG48" s="287"/>
      <c r="TPH48" s="287"/>
      <c r="TPI48" s="287"/>
      <c r="TPJ48" s="287"/>
      <c r="TPK48" s="287"/>
      <c r="TPL48" s="287"/>
      <c r="TPM48" s="287"/>
      <c r="TPN48" s="287"/>
      <c r="TPO48" s="287"/>
      <c r="TPP48" s="287"/>
      <c r="TPQ48" s="287"/>
      <c r="TPR48" s="287"/>
      <c r="TPS48" s="287"/>
      <c r="TPT48" s="287"/>
      <c r="TPU48" s="287"/>
      <c r="TPV48" s="287"/>
      <c r="TPW48" s="287"/>
      <c r="TPX48" s="287"/>
      <c r="TPY48" s="287"/>
      <c r="TPZ48" s="287"/>
      <c r="TQA48" s="287"/>
      <c r="TQB48" s="287"/>
      <c r="TQC48" s="287"/>
      <c r="TQD48" s="287"/>
      <c r="TQE48" s="287"/>
      <c r="TQF48" s="287"/>
      <c r="TQG48" s="287"/>
      <c r="TQH48" s="287"/>
      <c r="TQI48" s="287"/>
      <c r="TQJ48" s="287"/>
      <c r="TQK48" s="287"/>
      <c r="TQL48" s="287"/>
      <c r="TQM48" s="287"/>
      <c r="TQN48" s="287"/>
      <c r="TQO48" s="287"/>
      <c r="TQP48" s="287"/>
      <c r="TQQ48" s="287"/>
      <c r="TQR48" s="287"/>
      <c r="TQS48" s="287"/>
      <c r="TQT48" s="287"/>
      <c r="TQU48" s="287"/>
      <c r="TQV48" s="287"/>
      <c r="TQW48" s="287"/>
      <c r="TQX48" s="287"/>
      <c r="TQY48" s="287"/>
      <c r="TQZ48" s="287"/>
      <c r="TRA48" s="287"/>
      <c r="TRB48" s="287"/>
      <c r="TRC48" s="287"/>
      <c r="TRD48" s="287"/>
      <c r="TRE48" s="287"/>
      <c r="TRF48" s="287"/>
      <c r="TRG48" s="287"/>
      <c r="TRH48" s="287"/>
      <c r="TRI48" s="287"/>
      <c r="TRJ48" s="287"/>
      <c r="TRK48" s="287"/>
      <c r="TRL48" s="287"/>
      <c r="TRM48" s="287"/>
      <c r="TRN48" s="287"/>
      <c r="TRO48" s="287"/>
      <c r="TRP48" s="287"/>
      <c r="TRQ48" s="287"/>
      <c r="TRR48" s="287"/>
      <c r="TRS48" s="287"/>
      <c r="TRT48" s="287"/>
      <c r="TRU48" s="287"/>
      <c r="TRV48" s="287"/>
      <c r="TRW48" s="287"/>
      <c r="TRX48" s="287"/>
      <c r="TRY48" s="287"/>
      <c r="TRZ48" s="287"/>
      <c r="TSA48" s="287"/>
      <c r="TSB48" s="287"/>
      <c r="TSC48" s="287"/>
      <c r="TSD48" s="287"/>
      <c r="TSE48" s="287"/>
      <c r="TSF48" s="287"/>
      <c r="TSG48" s="287"/>
      <c r="TSH48" s="287"/>
      <c r="TSI48" s="287"/>
      <c r="TSJ48" s="287"/>
      <c r="TSK48" s="287"/>
      <c r="TSL48" s="287"/>
      <c r="TSM48" s="287"/>
      <c r="TSN48" s="287"/>
      <c r="TSO48" s="287"/>
      <c r="TSP48" s="287"/>
      <c r="TSQ48" s="287"/>
      <c r="TSR48" s="287"/>
      <c r="TSS48" s="287"/>
      <c r="TST48" s="287"/>
      <c r="TSU48" s="287"/>
      <c r="TSV48" s="287"/>
      <c r="TSW48" s="287"/>
      <c r="TSX48" s="287"/>
      <c r="TSY48" s="287"/>
      <c r="TSZ48" s="287"/>
      <c r="TTA48" s="287"/>
      <c r="TTB48" s="287"/>
      <c r="TTC48" s="287"/>
      <c r="TTD48" s="287"/>
      <c r="TTE48" s="287"/>
      <c r="TTF48" s="287"/>
      <c r="TTG48" s="287"/>
      <c r="TTH48" s="287"/>
      <c r="TTI48" s="287"/>
      <c r="TTJ48" s="287"/>
      <c r="TTK48" s="287"/>
      <c r="TTL48" s="287"/>
      <c r="TTM48" s="287"/>
      <c r="TTN48" s="287"/>
      <c r="TTO48" s="287"/>
      <c r="TTP48" s="287"/>
      <c r="TTQ48" s="287"/>
      <c r="TTR48" s="287"/>
      <c r="TTS48" s="287"/>
      <c r="TTT48" s="287"/>
      <c r="TTU48" s="287"/>
      <c r="TTV48" s="287"/>
      <c r="TTW48" s="287"/>
      <c r="TTX48" s="287"/>
      <c r="TTY48" s="287"/>
      <c r="TTZ48" s="287"/>
      <c r="TUA48" s="287"/>
      <c r="TUB48" s="287"/>
      <c r="TUC48" s="287"/>
      <c r="TUD48" s="287"/>
      <c r="TUE48" s="287"/>
      <c r="TUF48" s="287"/>
      <c r="TUG48" s="287"/>
      <c r="TUH48" s="287"/>
      <c r="TUI48" s="287"/>
      <c r="TUJ48" s="287"/>
      <c r="TUK48" s="287"/>
      <c r="TUL48" s="287"/>
      <c r="TUM48" s="287"/>
      <c r="TUN48" s="287"/>
      <c r="TUO48" s="287"/>
      <c r="TUP48" s="287"/>
      <c r="TUQ48" s="287"/>
      <c r="TUR48" s="287"/>
      <c r="TUS48" s="287"/>
      <c r="TUT48" s="287"/>
      <c r="TUU48" s="287"/>
      <c r="TUV48" s="287"/>
      <c r="TUW48" s="287"/>
      <c r="TUX48" s="287"/>
      <c r="TUY48" s="287"/>
      <c r="TUZ48" s="287"/>
      <c r="TVA48" s="287"/>
      <c r="TVB48" s="287"/>
      <c r="TVC48" s="287"/>
      <c r="TVD48" s="287"/>
      <c r="TVE48" s="287"/>
      <c r="TVF48" s="287"/>
      <c r="TVG48" s="287"/>
      <c r="TVH48" s="287"/>
      <c r="TVI48" s="287"/>
      <c r="TVJ48" s="287"/>
      <c r="TVK48" s="287"/>
      <c r="TVL48" s="287"/>
      <c r="TVM48" s="287"/>
      <c r="TVN48" s="287"/>
      <c r="TVO48" s="287"/>
      <c r="TVP48" s="287"/>
      <c r="TVQ48" s="287"/>
      <c r="TVR48" s="287"/>
      <c r="TVS48" s="287"/>
      <c r="TVT48" s="287"/>
      <c r="TVU48" s="287"/>
      <c r="TVV48" s="287"/>
      <c r="TVW48" s="287"/>
      <c r="TVX48" s="287"/>
      <c r="TVY48" s="287"/>
      <c r="TVZ48" s="287"/>
      <c r="TWA48" s="287"/>
      <c r="TWB48" s="287"/>
      <c r="TWC48" s="287"/>
      <c r="TWD48" s="287"/>
      <c r="TWE48" s="287"/>
      <c r="TWF48" s="287"/>
      <c r="TWG48" s="287"/>
      <c r="TWH48" s="287"/>
      <c r="TWI48" s="287"/>
      <c r="TWJ48" s="287"/>
      <c r="TWK48" s="287"/>
      <c r="TWL48" s="287"/>
      <c r="TWM48" s="287"/>
      <c r="TWN48" s="287"/>
      <c r="TWO48" s="287"/>
      <c r="TWP48" s="287"/>
      <c r="TWQ48" s="287"/>
      <c r="TWR48" s="287"/>
      <c r="TWS48" s="287"/>
      <c r="TWT48" s="287"/>
      <c r="TWU48" s="287"/>
      <c r="TWV48" s="287"/>
      <c r="TWW48" s="287"/>
      <c r="TWX48" s="287"/>
      <c r="TWY48" s="287"/>
      <c r="TWZ48" s="287"/>
      <c r="TXA48" s="287"/>
      <c r="TXB48" s="287"/>
      <c r="TXC48" s="287"/>
      <c r="TXD48" s="287"/>
      <c r="TXE48" s="287"/>
      <c r="TXF48" s="287"/>
      <c r="TXG48" s="287"/>
      <c r="TXH48" s="287"/>
      <c r="TXI48" s="287"/>
      <c r="TXJ48" s="287"/>
      <c r="TXK48" s="287"/>
      <c r="TXL48" s="287"/>
      <c r="TXM48" s="287"/>
      <c r="TXN48" s="287"/>
      <c r="TXO48" s="287"/>
      <c r="TXP48" s="287"/>
      <c r="TXQ48" s="287"/>
      <c r="TXR48" s="287"/>
      <c r="TXS48" s="287"/>
      <c r="TXT48" s="287"/>
      <c r="TXU48" s="287"/>
      <c r="TXV48" s="287"/>
      <c r="TXW48" s="287"/>
      <c r="TXX48" s="287"/>
      <c r="TXY48" s="287"/>
      <c r="TXZ48" s="287"/>
      <c r="TYA48" s="287"/>
      <c r="TYB48" s="287"/>
      <c r="TYC48" s="287"/>
      <c r="TYD48" s="287"/>
      <c r="TYE48" s="287"/>
      <c r="TYF48" s="287"/>
      <c r="TYG48" s="287"/>
      <c r="TYH48" s="287"/>
      <c r="TYI48" s="287"/>
      <c r="TYJ48" s="287"/>
      <c r="TYK48" s="287"/>
      <c r="TYL48" s="287"/>
      <c r="TYM48" s="287"/>
      <c r="TYN48" s="287"/>
      <c r="TYO48" s="287"/>
      <c r="TYP48" s="287"/>
      <c r="TYQ48" s="287"/>
      <c r="TYR48" s="287"/>
      <c r="TYS48" s="287"/>
      <c r="TYT48" s="287"/>
      <c r="TYU48" s="287"/>
      <c r="TYV48" s="287"/>
      <c r="TYW48" s="287"/>
      <c r="TYX48" s="287"/>
      <c r="TYY48" s="287"/>
      <c r="TYZ48" s="287"/>
      <c r="TZA48" s="287"/>
      <c r="TZB48" s="287"/>
      <c r="TZC48" s="287"/>
      <c r="TZD48" s="287"/>
      <c r="TZE48" s="287"/>
      <c r="TZF48" s="287"/>
      <c r="TZG48" s="287"/>
      <c r="TZH48" s="287"/>
      <c r="TZI48" s="287"/>
      <c r="TZJ48" s="287"/>
      <c r="TZK48" s="287"/>
      <c r="TZL48" s="287"/>
      <c r="TZM48" s="287"/>
      <c r="TZN48" s="287"/>
      <c r="TZO48" s="287"/>
      <c r="TZP48" s="287"/>
      <c r="TZQ48" s="287"/>
      <c r="TZR48" s="287"/>
      <c r="TZS48" s="287"/>
      <c r="TZT48" s="287"/>
      <c r="TZU48" s="287"/>
      <c r="TZV48" s="287"/>
      <c r="TZW48" s="287"/>
      <c r="TZX48" s="287"/>
      <c r="TZY48" s="287"/>
      <c r="TZZ48" s="287"/>
      <c r="UAA48" s="287"/>
      <c r="UAB48" s="287"/>
      <c r="UAC48" s="287"/>
      <c r="UAD48" s="287"/>
      <c r="UAE48" s="287"/>
      <c r="UAF48" s="287"/>
      <c r="UAG48" s="287"/>
      <c r="UAH48" s="287"/>
      <c r="UAI48" s="287"/>
      <c r="UAJ48" s="287"/>
      <c r="UAK48" s="287"/>
      <c r="UAL48" s="287"/>
      <c r="UAM48" s="287"/>
      <c r="UAN48" s="287"/>
      <c r="UAO48" s="287"/>
      <c r="UAP48" s="287"/>
      <c r="UAQ48" s="287"/>
      <c r="UAR48" s="287"/>
      <c r="UAS48" s="287"/>
      <c r="UAT48" s="287"/>
      <c r="UAU48" s="287"/>
      <c r="UAV48" s="287"/>
      <c r="UAW48" s="287"/>
      <c r="UAX48" s="287"/>
      <c r="UAY48" s="287"/>
      <c r="UAZ48" s="287"/>
      <c r="UBA48" s="287"/>
      <c r="UBB48" s="287"/>
      <c r="UBC48" s="287"/>
      <c r="UBD48" s="287"/>
      <c r="UBE48" s="287"/>
      <c r="UBF48" s="287"/>
      <c r="UBG48" s="287"/>
      <c r="UBH48" s="287"/>
      <c r="UBI48" s="287"/>
      <c r="UBJ48" s="287"/>
      <c r="UBK48" s="287"/>
      <c r="UBL48" s="287"/>
      <c r="UBM48" s="287"/>
      <c r="UBN48" s="287"/>
      <c r="UBO48" s="287"/>
      <c r="UBP48" s="287"/>
      <c r="UBQ48" s="287"/>
      <c r="UBR48" s="287"/>
      <c r="UBS48" s="287"/>
      <c r="UBT48" s="287"/>
      <c r="UBU48" s="287"/>
      <c r="UBV48" s="287"/>
      <c r="UBW48" s="287"/>
      <c r="UBX48" s="287"/>
      <c r="UBY48" s="287"/>
      <c r="UBZ48" s="287"/>
      <c r="UCA48" s="287"/>
      <c r="UCB48" s="287"/>
      <c r="UCC48" s="287"/>
      <c r="UCD48" s="287"/>
      <c r="UCE48" s="287"/>
      <c r="UCF48" s="287"/>
      <c r="UCG48" s="287"/>
      <c r="UCH48" s="287"/>
      <c r="UCI48" s="287"/>
      <c r="UCJ48" s="287"/>
      <c r="UCK48" s="287"/>
      <c r="UCL48" s="287"/>
      <c r="UCM48" s="287"/>
      <c r="UCN48" s="287"/>
      <c r="UCO48" s="287"/>
      <c r="UCP48" s="287"/>
      <c r="UCQ48" s="287"/>
      <c r="UCR48" s="287"/>
      <c r="UCS48" s="287"/>
      <c r="UCT48" s="287"/>
      <c r="UCU48" s="287"/>
      <c r="UCV48" s="287"/>
      <c r="UCW48" s="287"/>
      <c r="UCX48" s="287"/>
      <c r="UCY48" s="287"/>
      <c r="UCZ48" s="287"/>
      <c r="UDA48" s="287"/>
      <c r="UDB48" s="287"/>
      <c r="UDC48" s="287"/>
      <c r="UDD48" s="287"/>
      <c r="UDE48" s="287"/>
      <c r="UDF48" s="287"/>
      <c r="UDG48" s="287"/>
      <c r="UDH48" s="287"/>
      <c r="UDI48" s="287"/>
      <c r="UDJ48" s="287"/>
      <c r="UDK48" s="287"/>
      <c r="UDL48" s="287"/>
      <c r="UDM48" s="287"/>
      <c r="UDN48" s="287"/>
      <c r="UDO48" s="287"/>
      <c r="UDP48" s="287"/>
      <c r="UDQ48" s="287"/>
      <c r="UDR48" s="287"/>
      <c r="UDS48" s="287"/>
      <c r="UDT48" s="287"/>
      <c r="UDU48" s="287"/>
      <c r="UDV48" s="287"/>
      <c r="UDW48" s="287"/>
      <c r="UDX48" s="287"/>
      <c r="UDY48" s="287"/>
      <c r="UDZ48" s="287"/>
      <c r="UEA48" s="287"/>
      <c r="UEB48" s="287"/>
      <c r="UEC48" s="287"/>
      <c r="UED48" s="287"/>
      <c r="UEE48" s="287"/>
      <c r="UEF48" s="287"/>
      <c r="UEG48" s="287"/>
      <c r="UEH48" s="287"/>
      <c r="UEI48" s="287"/>
      <c r="UEJ48" s="287"/>
      <c r="UEK48" s="287"/>
      <c r="UEL48" s="287"/>
      <c r="UEM48" s="287"/>
      <c r="UEN48" s="287"/>
      <c r="UEO48" s="287"/>
      <c r="UEP48" s="287"/>
      <c r="UEQ48" s="287"/>
      <c r="UER48" s="287"/>
      <c r="UES48" s="287"/>
      <c r="UET48" s="287"/>
      <c r="UEU48" s="287"/>
      <c r="UEV48" s="287"/>
      <c r="UEW48" s="287"/>
      <c r="UEX48" s="287"/>
      <c r="UEY48" s="287"/>
      <c r="UEZ48" s="287"/>
      <c r="UFA48" s="287"/>
      <c r="UFB48" s="287"/>
      <c r="UFC48" s="287"/>
      <c r="UFD48" s="287"/>
      <c r="UFE48" s="287"/>
      <c r="UFF48" s="287"/>
      <c r="UFG48" s="287"/>
      <c r="UFH48" s="287"/>
      <c r="UFI48" s="287"/>
      <c r="UFJ48" s="287"/>
      <c r="UFK48" s="287"/>
      <c r="UFL48" s="287"/>
      <c r="UFM48" s="287"/>
      <c r="UFN48" s="287"/>
      <c r="UFO48" s="287"/>
      <c r="UFP48" s="287"/>
      <c r="UFQ48" s="287"/>
      <c r="UFR48" s="287"/>
      <c r="UFS48" s="287"/>
      <c r="UFT48" s="287"/>
      <c r="UFU48" s="287"/>
      <c r="UFV48" s="287"/>
      <c r="UFW48" s="287"/>
      <c r="UFX48" s="287"/>
      <c r="UFY48" s="287"/>
      <c r="UFZ48" s="287"/>
      <c r="UGA48" s="287"/>
      <c r="UGB48" s="287"/>
      <c r="UGC48" s="287"/>
      <c r="UGD48" s="287"/>
      <c r="UGE48" s="287"/>
      <c r="UGF48" s="287"/>
      <c r="UGG48" s="287"/>
      <c r="UGH48" s="287"/>
      <c r="UGI48" s="287"/>
      <c r="UGJ48" s="287"/>
      <c r="UGK48" s="287"/>
      <c r="UGL48" s="287"/>
      <c r="UGM48" s="287"/>
      <c r="UGN48" s="287"/>
      <c r="UGO48" s="287"/>
      <c r="UGP48" s="287"/>
      <c r="UGQ48" s="287"/>
      <c r="UGR48" s="287"/>
      <c r="UGS48" s="287"/>
      <c r="UGT48" s="287"/>
      <c r="UGU48" s="287"/>
      <c r="UGV48" s="287"/>
      <c r="UGW48" s="287"/>
      <c r="UGX48" s="287"/>
      <c r="UGY48" s="287"/>
      <c r="UGZ48" s="287"/>
      <c r="UHA48" s="287"/>
      <c r="UHB48" s="287"/>
      <c r="UHC48" s="287"/>
      <c r="UHD48" s="287"/>
      <c r="UHE48" s="287"/>
      <c r="UHF48" s="287"/>
      <c r="UHG48" s="287"/>
      <c r="UHH48" s="287"/>
      <c r="UHI48" s="287"/>
      <c r="UHJ48" s="287"/>
      <c r="UHK48" s="287"/>
      <c r="UHL48" s="287"/>
      <c r="UHM48" s="287"/>
      <c r="UHN48" s="287"/>
      <c r="UHO48" s="287"/>
      <c r="UHP48" s="287"/>
      <c r="UHQ48" s="287"/>
      <c r="UHR48" s="287"/>
      <c r="UHS48" s="287"/>
      <c r="UHT48" s="287"/>
      <c r="UHU48" s="287"/>
      <c r="UHV48" s="287"/>
      <c r="UHW48" s="287"/>
      <c r="UHX48" s="287"/>
      <c r="UHY48" s="287"/>
      <c r="UHZ48" s="287"/>
      <c r="UIA48" s="287"/>
      <c r="UIB48" s="287"/>
      <c r="UIC48" s="287"/>
      <c r="UID48" s="287"/>
      <c r="UIE48" s="287"/>
      <c r="UIF48" s="287"/>
      <c r="UIG48" s="287"/>
      <c r="UIH48" s="287"/>
      <c r="UII48" s="287"/>
      <c r="UIJ48" s="287"/>
      <c r="UIK48" s="287"/>
      <c r="UIL48" s="287"/>
      <c r="UIM48" s="287"/>
      <c r="UIN48" s="287"/>
      <c r="UIO48" s="287"/>
      <c r="UIP48" s="287"/>
      <c r="UIQ48" s="287"/>
      <c r="UIR48" s="287"/>
      <c r="UIS48" s="287"/>
      <c r="UIT48" s="287"/>
      <c r="UIU48" s="287"/>
      <c r="UIV48" s="287"/>
      <c r="UIW48" s="287"/>
      <c r="UIX48" s="287"/>
      <c r="UIY48" s="287"/>
      <c r="UIZ48" s="287"/>
      <c r="UJA48" s="287"/>
      <c r="UJB48" s="287"/>
      <c r="UJC48" s="287"/>
      <c r="UJD48" s="287"/>
      <c r="UJE48" s="287"/>
      <c r="UJF48" s="287"/>
      <c r="UJG48" s="287"/>
      <c r="UJH48" s="287"/>
      <c r="UJI48" s="287"/>
      <c r="UJJ48" s="287"/>
      <c r="UJK48" s="287"/>
      <c r="UJL48" s="287"/>
      <c r="UJM48" s="287"/>
      <c r="UJN48" s="287"/>
      <c r="UJO48" s="287"/>
      <c r="UJP48" s="287"/>
      <c r="UJQ48" s="287"/>
      <c r="UJR48" s="287"/>
      <c r="UJS48" s="287"/>
      <c r="UJT48" s="287"/>
      <c r="UJU48" s="287"/>
      <c r="UJV48" s="287"/>
      <c r="UJW48" s="287"/>
      <c r="UJX48" s="287"/>
      <c r="UJY48" s="287"/>
      <c r="UJZ48" s="287"/>
      <c r="UKA48" s="287"/>
      <c r="UKB48" s="287"/>
      <c r="UKC48" s="287"/>
      <c r="UKD48" s="287"/>
      <c r="UKE48" s="287"/>
      <c r="UKF48" s="287"/>
      <c r="UKG48" s="287"/>
      <c r="UKH48" s="287"/>
      <c r="UKI48" s="287"/>
      <c r="UKJ48" s="287"/>
      <c r="UKK48" s="287"/>
      <c r="UKL48" s="287"/>
      <c r="UKM48" s="287"/>
      <c r="UKN48" s="287"/>
      <c r="UKO48" s="287"/>
      <c r="UKP48" s="287"/>
      <c r="UKQ48" s="287"/>
      <c r="UKR48" s="287"/>
      <c r="UKS48" s="287"/>
      <c r="UKT48" s="287"/>
      <c r="UKU48" s="287"/>
      <c r="UKV48" s="287"/>
      <c r="UKW48" s="287"/>
      <c r="UKX48" s="287"/>
      <c r="UKY48" s="287"/>
      <c r="UKZ48" s="287"/>
      <c r="ULA48" s="287"/>
      <c r="ULB48" s="287"/>
      <c r="ULC48" s="287"/>
      <c r="ULD48" s="287"/>
      <c r="ULE48" s="287"/>
      <c r="ULF48" s="287"/>
      <c r="ULG48" s="287"/>
      <c r="ULH48" s="287"/>
      <c r="ULI48" s="287"/>
      <c r="ULJ48" s="287"/>
      <c r="ULK48" s="287"/>
      <c r="ULL48" s="287"/>
      <c r="ULM48" s="287"/>
      <c r="ULN48" s="287"/>
      <c r="ULO48" s="287"/>
      <c r="ULP48" s="287"/>
      <c r="ULQ48" s="287"/>
      <c r="ULR48" s="287"/>
      <c r="ULS48" s="287"/>
      <c r="ULT48" s="287"/>
      <c r="ULU48" s="287"/>
      <c r="ULV48" s="287"/>
      <c r="ULW48" s="287"/>
      <c r="ULX48" s="287"/>
      <c r="ULY48" s="287"/>
      <c r="ULZ48" s="287"/>
      <c r="UMA48" s="287"/>
      <c r="UMB48" s="287"/>
      <c r="UMC48" s="287"/>
      <c r="UMD48" s="287"/>
      <c r="UME48" s="287"/>
      <c r="UMF48" s="287"/>
      <c r="UMG48" s="287"/>
      <c r="UMH48" s="287"/>
      <c r="UMI48" s="287"/>
      <c r="UMJ48" s="287"/>
      <c r="UMK48" s="287"/>
      <c r="UML48" s="287"/>
      <c r="UMM48" s="287"/>
      <c r="UMN48" s="287"/>
      <c r="UMO48" s="287"/>
      <c r="UMP48" s="287"/>
      <c r="UMQ48" s="287"/>
      <c r="UMR48" s="287"/>
      <c r="UMS48" s="287"/>
      <c r="UMT48" s="287"/>
      <c r="UMU48" s="287"/>
      <c r="UMV48" s="287"/>
      <c r="UMW48" s="287"/>
      <c r="UMX48" s="287"/>
      <c r="UMY48" s="287"/>
      <c r="UMZ48" s="287"/>
      <c r="UNA48" s="287"/>
      <c r="UNB48" s="287"/>
      <c r="UNC48" s="287"/>
      <c r="UND48" s="287"/>
      <c r="UNE48" s="287"/>
      <c r="UNF48" s="287"/>
      <c r="UNG48" s="287"/>
      <c r="UNH48" s="287"/>
      <c r="UNI48" s="287"/>
      <c r="UNJ48" s="287"/>
      <c r="UNK48" s="287"/>
      <c r="UNL48" s="287"/>
      <c r="UNM48" s="287"/>
      <c r="UNN48" s="287"/>
      <c r="UNO48" s="287"/>
      <c r="UNP48" s="287"/>
      <c r="UNQ48" s="287"/>
      <c r="UNR48" s="287"/>
      <c r="UNS48" s="287"/>
      <c r="UNT48" s="287"/>
      <c r="UNU48" s="287"/>
      <c r="UNV48" s="287"/>
      <c r="UNW48" s="287"/>
      <c r="UNX48" s="287"/>
      <c r="UNY48" s="287"/>
      <c r="UNZ48" s="287"/>
      <c r="UOA48" s="287"/>
      <c r="UOB48" s="287"/>
      <c r="UOC48" s="287"/>
      <c r="UOD48" s="287"/>
      <c r="UOE48" s="287"/>
      <c r="UOF48" s="287"/>
      <c r="UOG48" s="287"/>
      <c r="UOH48" s="287"/>
      <c r="UOI48" s="287"/>
      <c r="UOJ48" s="287"/>
      <c r="UOK48" s="287"/>
      <c r="UOL48" s="287"/>
      <c r="UOM48" s="287"/>
      <c r="UON48" s="287"/>
      <c r="UOO48" s="287"/>
      <c r="UOP48" s="287"/>
      <c r="UOQ48" s="287"/>
      <c r="UOR48" s="287"/>
      <c r="UOS48" s="287"/>
      <c r="UOT48" s="287"/>
      <c r="UOU48" s="287"/>
      <c r="UOV48" s="287"/>
      <c r="UOW48" s="287"/>
      <c r="UOX48" s="287"/>
      <c r="UOY48" s="287"/>
      <c r="UOZ48" s="287"/>
      <c r="UPA48" s="287"/>
      <c r="UPB48" s="287"/>
      <c r="UPC48" s="287"/>
      <c r="UPD48" s="287"/>
      <c r="UPE48" s="287"/>
      <c r="UPF48" s="287"/>
      <c r="UPG48" s="287"/>
      <c r="UPH48" s="287"/>
      <c r="UPI48" s="287"/>
      <c r="UPJ48" s="287"/>
      <c r="UPK48" s="287"/>
      <c r="UPL48" s="287"/>
      <c r="UPM48" s="287"/>
      <c r="UPN48" s="287"/>
      <c r="UPO48" s="287"/>
      <c r="UPP48" s="287"/>
      <c r="UPQ48" s="287"/>
      <c r="UPR48" s="287"/>
      <c r="UPS48" s="287"/>
      <c r="UPT48" s="287"/>
      <c r="UPU48" s="287"/>
      <c r="UPV48" s="287"/>
      <c r="UPW48" s="287"/>
      <c r="UPX48" s="287"/>
      <c r="UPY48" s="287"/>
      <c r="UPZ48" s="287"/>
      <c r="UQA48" s="287"/>
      <c r="UQB48" s="287"/>
      <c r="UQC48" s="287"/>
      <c r="UQD48" s="287"/>
      <c r="UQE48" s="287"/>
      <c r="UQF48" s="287"/>
      <c r="UQG48" s="287"/>
      <c r="UQH48" s="287"/>
      <c r="UQI48" s="287"/>
      <c r="UQJ48" s="287"/>
      <c r="UQK48" s="287"/>
      <c r="UQL48" s="287"/>
      <c r="UQM48" s="287"/>
      <c r="UQN48" s="287"/>
      <c r="UQO48" s="287"/>
      <c r="UQP48" s="287"/>
      <c r="UQQ48" s="287"/>
      <c r="UQR48" s="287"/>
      <c r="UQS48" s="287"/>
      <c r="UQT48" s="287"/>
      <c r="UQU48" s="287"/>
      <c r="UQV48" s="287"/>
      <c r="UQW48" s="287"/>
      <c r="UQX48" s="287"/>
      <c r="UQY48" s="287"/>
      <c r="UQZ48" s="287"/>
      <c r="URA48" s="287"/>
      <c r="URB48" s="287"/>
      <c r="URC48" s="287"/>
      <c r="URD48" s="287"/>
      <c r="URE48" s="287"/>
      <c r="URF48" s="287"/>
      <c r="URG48" s="287"/>
      <c r="URH48" s="287"/>
      <c r="URI48" s="287"/>
      <c r="URJ48" s="287"/>
      <c r="URK48" s="287"/>
      <c r="URL48" s="287"/>
      <c r="URM48" s="287"/>
      <c r="URN48" s="287"/>
      <c r="URO48" s="287"/>
      <c r="URP48" s="287"/>
      <c r="URQ48" s="287"/>
      <c r="URR48" s="287"/>
      <c r="URS48" s="287"/>
      <c r="URT48" s="287"/>
      <c r="URU48" s="287"/>
      <c r="URV48" s="287"/>
      <c r="URW48" s="287"/>
      <c r="URX48" s="287"/>
      <c r="URY48" s="287"/>
      <c r="URZ48" s="287"/>
      <c r="USA48" s="287"/>
      <c r="USB48" s="287"/>
      <c r="USC48" s="287"/>
      <c r="USD48" s="287"/>
      <c r="USE48" s="287"/>
      <c r="USF48" s="287"/>
      <c r="USG48" s="287"/>
      <c r="USH48" s="287"/>
      <c r="USI48" s="287"/>
      <c r="USJ48" s="287"/>
      <c r="USK48" s="287"/>
      <c r="USL48" s="287"/>
      <c r="USM48" s="287"/>
      <c r="USN48" s="287"/>
      <c r="USO48" s="287"/>
      <c r="USP48" s="287"/>
      <c r="USQ48" s="287"/>
      <c r="USR48" s="287"/>
      <c r="USS48" s="287"/>
      <c r="UST48" s="287"/>
      <c r="USU48" s="287"/>
      <c r="USV48" s="287"/>
      <c r="USW48" s="287"/>
      <c r="USX48" s="287"/>
      <c r="USY48" s="287"/>
      <c r="USZ48" s="287"/>
      <c r="UTA48" s="287"/>
      <c r="UTB48" s="287"/>
      <c r="UTC48" s="287"/>
      <c r="UTD48" s="287"/>
      <c r="UTE48" s="287"/>
      <c r="UTF48" s="287"/>
      <c r="UTG48" s="287"/>
      <c r="UTH48" s="287"/>
      <c r="UTI48" s="287"/>
      <c r="UTJ48" s="287"/>
      <c r="UTK48" s="287"/>
      <c r="UTL48" s="287"/>
      <c r="UTM48" s="287"/>
      <c r="UTN48" s="287"/>
      <c r="UTO48" s="287"/>
      <c r="UTP48" s="287"/>
      <c r="UTQ48" s="287"/>
      <c r="UTR48" s="287"/>
      <c r="UTS48" s="287"/>
      <c r="UTT48" s="287"/>
      <c r="UTU48" s="287"/>
      <c r="UTV48" s="287"/>
      <c r="UTW48" s="287"/>
      <c r="UTX48" s="287"/>
      <c r="UTY48" s="287"/>
      <c r="UTZ48" s="287"/>
      <c r="UUA48" s="287"/>
      <c r="UUB48" s="287"/>
      <c r="UUC48" s="287"/>
      <c r="UUD48" s="287"/>
      <c r="UUE48" s="287"/>
      <c r="UUF48" s="287"/>
      <c r="UUG48" s="287"/>
      <c r="UUH48" s="287"/>
      <c r="UUI48" s="287"/>
      <c r="UUJ48" s="287"/>
      <c r="UUK48" s="287"/>
      <c r="UUL48" s="287"/>
      <c r="UUM48" s="287"/>
      <c r="UUN48" s="287"/>
      <c r="UUO48" s="287"/>
      <c r="UUP48" s="287"/>
      <c r="UUQ48" s="287"/>
      <c r="UUR48" s="287"/>
      <c r="UUS48" s="287"/>
      <c r="UUT48" s="287"/>
      <c r="UUU48" s="287"/>
      <c r="UUV48" s="287"/>
      <c r="UUW48" s="287"/>
      <c r="UUX48" s="287"/>
      <c r="UUY48" s="287"/>
      <c r="UUZ48" s="287"/>
      <c r="UVA48" s="287"/>
      <c r="UVB48" s="287"/>
      <c r="UVC48" s="287"/>
      <c r="UVD48" s="287"/>
      <c r="UVE48" s="287"/>
      <c r="UVF48" s="287"/>
      <c r="UVG48" s="287"/>
      <c r="UVH48" s="287"/>
      <c r="UVI48" s="287"/>
      <c r="UVJ48" s="287"/>
      <c r="UVK48" s="287"/>
      <c r="UVL48" s="287"/>
      <c r="UVM48" s="287"/>
      <c r="UVN48" s="287"/>
      <c r="UVO48" s="287"/>
      <c r="UVP48" s="287"/>
      <c r="UVQ48" s="287"/>
      <c r="UVR48" s="287"/>
      <c r="UVS48" s="287"/>
      <c r="UVT48" s="287"/>
      <c r="UVU48" s="287"/>
      <c r="UVV48" s="287"/>
      <c r="UVW48" s="287"/>
      <c r="UVX48" s="287"/>
      <c r="UVY48" s="287"/>
      <c r="UVZ48" s="287"/>
      <c r="UWA48" s="287"/>
      <c r="UWB48" s="287"/>
      <c r="UWC48" s="287"/>
      <c r="UWD48" s="287"/>
      <c r="UWE48" s="287"/>
      <c r="UWF48" s="287"/>
      <c r="UWG48" s="287"/>
      <c r="UWH48" s="287"/>
      <c r="UWI48" s="287"/>
      <c r="UWJ48" s="287"/>
      <c r="UWK48" s="287"/>
      <c r="UWL48" s="287"/>
      <c r="UWM48" s="287"/>
      <c r="UWN48" s="287"/>
      <c r="UWO48" s="287"/>
      <c r="UWP48" s="287"/>
      <c r="UWQ48" s="287"/>
      <c r="UWR48" s="287"/>
      <c r="UWS48" s="287"/>
      <c r="UWT48" s="287"/>
      <c r="UWU48" s="287"/>
      <c r="UWV48" s="287"/>
      <c r="UWW48" s="287"/>
      <c r="UWX48" s="287"/>
      <c r="UWY48" s="287"/>
      <c r="UWZ48" s="287"/>
      <c r="UXA48" s="287"/>
      <c r="UXB48" s="287"/>
      <c r="UXC48" s="287"/>
      <c r="UXD48" s="287"/>
      <c r="UXE48" s="287"/>
      <c r="UXF48" s="287"/>
      <c r="UXG48" s="287"/>
      <c r="UXH48" s="287"/>
      <c r="UXI48" s="287"/>
      <c r="UXJ48" s="287"/>
      <c r="UXK48" s="287"/>
      <c r="UXL48" s="287"/>
      <c r="UXM48" s="287"/>
      <c r="UXN48" s="287"/>
      <c r="UXO48" s="287"/>
      <c r="UXP48" s="287"/>
      <c r="UXQ48" s="287"/>
      <c r="UXR48" s="287"/>
      <c r="UXS48" s="287"/>
      <c r="UXT48" s="287"/>
      <c r="UXU48" s="287"/>
      <c r="UXV48" s="287"/>
      <c r="UXW48" s="287"/>
      <c r="UXX48" s="287"/>
      <c r="UXY48" s="287"/>
      <c r="UXZ48" s="287"/>
      <c r="UYA48" s="287"/>
      <c r="UYB48" s="287"/>
      <c r="UYC48" s="287"/>
      <c r="UYD48" s="287"/>
      <c r="UYE48" s="287"/>
      <c r="UYF48" s="287"/>
      <c r="UYG48" s="287"/>
      <c r="UYH48" s="287"/>
      <c r="UYI48" s="287"/>
      <c r="UYJ48" s="287"/>
      <c r="UYK48" s="287"/>
      <c r="UYL48" s="287"/>
      <c r="UYM48" s="287"/>
      <c r="UYN48" s="287"/>
      <c r="UYO48" s="287"/>
      <c r="UYP48" s="287"/>
      <c r="UYQ48" s="287"/>
      <c r="UYR48" s="287"/>
      <c r="UYS48" s="287"/>
      <c r="UYT48" s="287"/>
      <c r="UYU48" s="287"/>
      <c r="UYV48" s="287"/>
      <c r="UYW48" s="287"/>
      <c r="UYX48" s="287"/>
      <c r="UYY48" s="287"/>
      <c r="UYZ48" s="287"/>
      <c r="UZA48" s="287"/>
      <c r="UZB48" s="287"/>
      <c r="UZC48" s="287"/>
      <c r="UZD48" s="287"/>
      <c r="UZE48" s="287"/>
      <c r="UZF48" s="287"/>
      <c r="UZG48" s="287"/>
      <c r="UZH48" s="287"/>
      <c r="UZI48" s="287"/>
      <c r="UZJ48" s="287"/>
      <c r="UZK48" s="287"/>
      <c r="UZL48" s="287"/>
      <c r="UZM48" s="287"/>
      <c r="UZN48" s="287"/>
      <c r="UZO48" s="287"/>
      <c r="UZP48" s="287"/>
      <c r="UZQ48" s="287"/>
      <c r="UZR48" s="287"/>
      <c r="UZS48" s="287"/>
      <c r="UZT48" s="287"/>
      <c r="UZU48" s="287"/>
      <c r="UZV48" s="287"/>
      <c r="UZW48" s="287"/>
      <c r="UZX48" s="287"/>
      <c r="UZY48" s="287"/>
      <c r="UZZ48" s="287"/>
      <c r="VAA48" s="287"/>
      <c r="VAB48" s="287"/>
      <c r="VAC48" s="287"/>
      <c r="VAD48" s="287"/>
      <c r="VAE48" s="287"/>
      <c r="VAF48" s="287"/>
      <c r="VAG48" s="287"/>
      <c r="VAH48" s="287"/>
      <c r="VAI48" s="287"/>
      <c r="VAJ48" s="287"/>
      <c r="VAK48" s="287"/>
      <c r="VAL48" s="287"/>
      <c r="VAM48" s="287"/>
      <c r="VAN48" s="287"/>
      <c r="VAO48" s="287"/>
      <c r="VAP48" s="287"/>
      <c r="VAQ48" s="287"/>
      <c r="VAR48" s="287"/>
      <c r="VAS48" s="287"/>
      <c r="VAT48" s="287"/>
      <c r="VAU48" s="287"/>
      <c r="VAV48" s="287"/>
      <c r="VAW48" s="287"/>
      <c r="VAX48" s="287"/>
      <c r="VAY48" s="287"/>
      <c r="VAZ48" s="287"/>
      <c r="VBA48" s="287"/>
      <c r="VBB48" s="287"/>
      <c r="VBC48" s="287"/>
      <c r="VBD48" s="287"/>
      <c r="VBE48" s="287"/>
      <c r="VBF48" s="287"/>
      <c r="VBG48" s="287"/>
      <c r="VBH48" s="287"/>
      <c r="VBI48" s="287"/>
      <c r="VBJ48" s="287"/>
      <c r="VBK48" s="287"/>
      <c r="VBL48" s="287"/>
      <c r="VBM48" s="287"/>
      <c r="VBN48" s="287"/>
      <c r="VBO48" s="287"/>
      <c r="VBP48" s="287"/>
      <c r="VBQ48" s="287"/>
      <c r="VBR48" s="287"/>
      <c r="VBS48" s="287"/>
      <c r="VBT48" s="287"/>
      <c r="VBU48" s="287"/>
      <c r="VBV48" s="287"/>
      <c r="VBW48" s="287"/>
      <c r="VBX48" s="287"/>
      <c r="VBY48" s="287"/>
      <c r="VBZ48" s="287"/>
      <c r="VCA48" s="287"/>
      <c r="VCB48" s="287"/>
      <c r="VCC48" s="287"/>
      <c r="VCD48" s="287"/>
      <c r="VCE48" s="287"/>
      <c r="VCF48" s="287"/>
      <c r="VCG48" s="287"/>
      <c r="VCH48" s="287"/>
      <c r="VCI48" s="287"/>
      <c r="VCJ48" s="287"/>
      <c r="VCK48" s="287"/>
      <c r="VCL48" s="287"/>
      <c r="VCM48" s="287"/>
      <c r="VCN48" s="287"/>
      <c r="VCO48" s="287"/>
      <c r="VCP48" s="287"/>
      <c r="VCQ48" s="287"/>
      <c r="VCR48" s="287"/>
      <c r="VCS48" s="287"/>
      <c r="VCT48" s="287"/>
      <c r="VCU48" s="287"/>
      <c r="VCV48" s="287"/>
      <c r="VCW48" s="287"/>
      <c r="VCX48" s="287"/>
      <c r="VCY48" s="287"/>
      <c r="VCZ48" s="287"/>
      <c r="VDA48" s="287"/>
      <c r="VDB48" s="287"/>
      <c r="VDC48" s="287"/>
      <c r="VDD48" s="287"/>
      <c r="VDE48" s="287"/>
      <c r="VDF48" s="287"/>
      <c r="VDG48" s="287"/>
      <c r="VDH48" s="287"/>
      <c r="VDI48" s="287"/>
      <c r="VDJ48" s="287"/>
      <c r="VDK48" s="287"/>
      <c r="VDL48" s="287"/>
      <c r="VDM48" s="287"/>
      <c r="VDN48" s="287"/>
      <c r="VDO48" s="287"/>
      <c r="VDP48" s="287"/>
      <c r="VDQ48" s="287"/>
      <c r="VDR48" s="287"/>
      <c r="VDS48" s="287"/>
      <c r="VDT48" s="287"/>
      <c r="VDU48" s="287"/>
      <c r="VDV48" s="287"/>
      <c r="VDW48" s="287"/>
      <c r="VDX48" s="287"/>
      <c r="VDY48" s="287"/>
      <c r="VDZ48" s="287"/>
      <c r="VEA48" s="287"/>
      <c r="VEB48" s="287"/>
      <c r="VEC48" s="287"/>
      <c r="VED48" s="287"/>
      <c r="VEE48" s="287"/>
      <c r="VEF48" s="287"/>
      <c r="VEG48" s="287"/>
      <c r="VEH48" s="287"/>
      <c r="VEI48" s="287"/>
      <c r="VEJ48" s="287"/>
      <c r="VEK48" s="287"/>
      <c r="VEL48" s="287"/>
      <c r="VEM48" s="287"/>
      <c r="VEN48" s="287"/>
      <c r="VEO48" s="287"/>
      <c r="VEP48" s="287"/>
      <c r="VEQ48" s="287"/>
      <c r="VER48" s="287"/>
      <c r="VES48" s="287"/>
      <c r="VET48" s="287"/>
      <c r="VEU48" s="287"/>
      <c r="VEV48" s="287"/>
      <c r="VEW48" s="287"/>
      <c r="VEX48" s="287"/>
      <c r="VEY48" s="287"/>
      <c r="VEZ48" s="287"/>
      <c r="VFA48" s="287"/>
      <c r="VFB48" s="287"/>
      <c r="VFC48" s="287"/>
      <c r="VFD48" s="287"/>
      <c r="VFE48" s="287"/>
      <c r="VFF48" s="287"/>
      <c r="VFG48" s="287"/>
      <c r="VFH48" s="287"/>
      <c r="VFI48" s="287"/>
      <c r="VFJ48" s="287"/>
      <c r="VFK48" s="287"/>
      <c r="VFL48" s="287"/>
      <c r="VFM48" s="287"/>
      <c r="VFN48" s="287"/>
      <c r="VFO48" s="287"/>
      <c r="VFP48" s="287"/>
      <c r="VFQ48" s="287"/>
      <c r="VFR48" s="287"/>
      <c r="VFS48" s="287"/>
      <c r="VFT48" s="287"/>
      <c r="VFU48" s="287"/>
      <c r="VFV48" s="287"/>
      <c r="VFW48" s="287"/>
      <c r="VFX48" s="287"/>
      <c r="VFY48" s="287"/>
      <c r="VFZ48" s="287"/>
      <c r="VGA48" s="287"/>
      <c r="VGB48" s="287"/>
      <c r="VGC48" s="287"/>
      <c r="VGD48" s="287"/>
      <c r="VGE48" s="287"/>
      <c r="VGF48" s="287"/>
      <c r="VGG48" s="287"/>
      <c r="VGH48" s="287"/>
      <c r="VGI48" s="287"/>
      <c r="VGJ48" s="287"/>
      <c r="VGK48" s="287"/>
      <c r="VGL48" s="287"/>
      <c r="VGM48" s="287"/>
      <c r="VGN48" s="287"/>
      <c r="VGO48" s="287"/>
      <c r="VGP48" s="287"/>
      <c r="VGQ48" s="287"/>
      <c r="VGR48" s="287"/>
      <c r="VGS48" s="287"/>
      <c r="VGT48" s="287"/>
      <c r="VGU48" s="287"/>
      <c r="VGV48" s="287"/>
      <c r="VGW48" s="287"/>
      <c r="VGX48" s="287"/>
      <c r="VGY48" s="287"/>
      <c r="VGZ48" s="287"/>
      <c r="VHA48" s="287"/>
      <c r="VHB48" s="287"/>
      <c r="VHC48" s="287"/>
      <c r="VHD48" s="287"/>
      <c r="VHE48" s="287"/>
      <c r="VHF48" s="287"/>
      <c r="VHG48" s="287"/>
      <c r="VHH48" s="287"/>
      <c r="VHI48" s="287"/>
      <c r="VHJ48" s="287"/>
      <c r="VHK48" s="287"/>
      <c r="VHL48" s="287"/>
      <c r="VHM48" s="287"/>
      <c r="VHN48" s="287"/>
      <c r="VHO48" s="287"/>
      <c r="VHP48" s="287"/>
      <c r="VHQ48" s="287"/>
      <c r="VHR48" s="287"/>
      <c r="VHS48" s="287"/>
      <c r="VHT48" s="287"/>
      <c r="VHU48" s="287"/>
      <c r="VHV48" s="287"/>
      <c r="VHW48" s="287"/>
      <c r="VHX48" s="287"/>
      <c r="VHY48" s="287"/>
      <c r="VHZ48" s="287"/>
      <c r="VIA48" s="287"/>
      <c r="VIB48" s="287"/>
      <c r="VIC48" s="287"/>
      <c r="VID48" s="287"/>
      <c r="VIE48" s="287"/>
      <c r="VIF48" s="287"/>
      <c r="VIG48" s="287"/>
      <c r="VIH48" s="287"/>
      <c r="VII48" s="287"/>
      <c r="VIJ48" s="287"/>
      <c r="VIK48" s="287"/>
      <c r="VIL48" s="287"/>
      <c r="VIM48" s="287"/>
      <c r="VIN48" s="287"/>
      <c r="VIO48" s="287"/>
      <c r="VIP48" s="287"/>
      <c r="VIQ48" s="287"/>
      <c r="VIR48" s="287"/>
      <c r="VIS48" s="287"/>
      <c r="VIT48" s="287"/>
      <c r="VIU48" s="287"/>
      <c r="VIV48" s="287"/>
      <c r="VIW48" s="287"/>
      <c r="VIX48" s="287"/>
      <c r="VIY48" s="287"/>
      <c r="VIZ48" s="287"/>
      <c r="VJA48" s="287"/>
      <c r="VJB48" s="287"/>
      <c r="VJC48" s="287"/>
      <c r="VJD48" s="287"/>
      <c r="VJE48" s="287"/>
      <c r="VJF48" s="287"/>
      <c r="VJG48" s="287"/>
      <c r="VJH48" s="287"/>
      <c r="VJI48" s="287"/>
      <c r="VJJ48" s="287"/>
      <c r="VJK48" s="287"/>
      <c r="VJL48" s="287"/>
      <c r="VJM48" s="287"/>
      <c r="VJN48" s="287"/>
      <c r="VJO48" s="287"/>
      <c r="VJP48" s="287"/>
      <c r="VJQ48" s="287"/>
      <c r="VJR48" s="287"/>
      <c r="VJS48" s="287"/>
      <c r="VJT48" s="287"/>
      <c r="VJU48" s="287"/>
      <c r="VJV48" s="287"/>
      <c r="VJW48" s="287"/>
      <c r="VJX48" s="287"/>
      <c r="VJY48" s="287"/>
      <c r="VJZ48" s="287"/>
      <c r="VKA48" s="287"/>
      <c r="VKB48" s="287"/>
      <c r="VKC48" s="287"/>
      <c r="VKD48" s="287"/>
      <c r="VKE48" s="287"/>
      <c r="VKF48" s="287"/>
      <c r="VKG48" s="287"/>
      <c r="VKH48" s="287"/>
      <c r="VKI48" s="287"/>
      <c r="VKJ48" s="287"/>
      <c r="VKK48" s="287"/>
      <c r="VKL48" s="287"/>
      <c r="VKM48" s="287"/>
      <c r="VKN48" s="287"/>
      <c r="VKO48" s="287"/>
      <c r="VKP48" s="287"/>
      <c r="VKQ48" s="287"/>
      <c r="VKR48" s="287"/>
      <c r="VKS48" s="287"/>
      <c r="VKT48" s="287"/>
      <c r="VKU48" s="287"/>
      <c r="VKV48" s="287"/>
      <c r="VKW48" s="287"/>
      <c r="VKX48" s="287"/>
      <c r="VKY48" s="287"/>
      <c r="VKZ48" s="287"/>
      <c r="VLA48" s="287"/>
      <c r="VLB48" s="287"/>
      <c r="VLC48" s="287"/>
      <c r="VLD48" s="287"/>
      <c r="VLE48" s="287"/>
      <c r="VLF48" s="287"/>
      <c r="VLG48" s="287"/>
      <c r="VLH48" s="287"/>
      <c r="VLI48" s="287"/>
      <c r="VLJ48" s="287"/>
      <c r="VLK48" s="287"/>
      <c r="VLL48" s="287"/>
      <c r="VLM48" s="287"/>
      <c r="VLN48" s="287"/>
      <c r="VLO48" s="287"/>
      <c r="VLP48" s="287"/>
      <c r="VLQ48" s="287"/>
      <c r="VLR48" s="287"/>
      <c r="VLS48" s="287"/>
      <c r="VLT48" s="287"/>
      <c r="VLU48" s="287"/>
      <c r="VLV48" s="287"/>
      <c r="VLW48" s="287"/>
      <c r="VLX48" s="287"/>
      <c r="VLY48" s="287"/>
      <c r="VLZ48" s="287"/>
      <c r="VMA48" s="287"/>
      <c r="VMB48" s="287"/>
      <c r="VMC48" s="287"/>
      <c r="VMD48" s="287"/>
      <c r="VME48" s="287"/>
      <c r="VMF48" s="287"/>
      <c r="VMG48" s="287"/>
      <c r="VMH48" s="287"/>
      <c r="VMI48" s="287"/>
      <c r="VMJ48" s="287"/>
      <c r="VMK48" s="287"/>
      <c r="VML48" s="287"/>
      <c r="VMM48" s="287"/>
      <c r="VMN48" s="287"/>
      <c r="VMO48" s="287"/>
      <c r="VMP48" s="287"/>
      <c r="VMQ48" s="287"/>
      <c r="VMR48" s="287"/>
      <c r="VMS48" s="287"/>
      <c r="VMT48" s="287"/>
      <c r="VMU48" s="287"/>
      <c r="VMV48" s="287"/>
      <c r="VMW48" s="287"/>
      <c r="VMX48" s="287"/>
      <c r="VMY48" s="287"/>
      <c r="VMZ48" s="287"/>
      <c r="VNA48" s="287"/>
      <c r="VNB48" s="287"/>
      <c r="VNC48" s="287"/>
      <c r="VND48" s="287"/>
      <c r="VNE48" s="287"/>
      <c r="VNF48" s="287"/>
      <c r="VNG48" s="287"/>
      <c r="VNH48" s="287"/>
      <c r="VNI48" s="287"/>
      <c r="VNJ48" s="287"/>
      <c r="VNK48" s="287"/>
      <c r="VNL48" s="287"/>
      <c r="VNM48" s="287"/>
      <c r="VNN48" s="287"/>
      <c r="VNO48" s="287"/>
      <c r="VNP48" s="287"/>
      <c r="VNQ48" s="287"/>
      <c r="VNR48" s="287"/>
      <c r="VNS48" s="287"/>
      <c r="VNT48" s="287"/>
      <c r="VNU48" s="287"/>
      <c r="VNV48" s="287"/>
      <c r="VNW48" s="287"/>
      <c r="VNX48" s="287"/>
      <c r="VNY48" s="287"/>
      <c r="VNZ48" s="287"/>
      <c r="VOA48" s="287"/>
      <c r="VOB48" s="287"/>
      <c r="VOC48" s="287"/>
      <c r="VOD48" s="287"/>
      <c r="VOE48" s="287"/>
      <c r="VOF48" s="287"/>
      <c r="VOG48" s="287"/>
      <c r="VOH48" s="287"/>
      <c r="VOI48" s="287"/>
      <c r="VOJ48" s="287"/>
      <c r="VOK48" s="287"/>
      <c r="VOL48" s="287"/>
      <c r="VOM48" s="287"/>
      <c r="VON48" s="287"/>
      <c r="VOO48" s="287"/>
      <c r="VOP48" s="287"/>
      <c r="VOQ48" s="287"/>
      <c r="VOR48" s="287"/>
      <c r="VOS48" s="287"/>
      <c r="VOT48" s="287"/>
      <c r="VOU48" s="287"/>
      <c r="VOV48" s="287"/>
      <c r="VOW48" s="287"/>
      <c r="VOX48" s="287"/>
      <c r="VOY48" s="287"/>
      <c r="VOZ48" s="287"/>
      <c r="VPA48" s="287"/>
      <c r="VPB48" s="287"/>
      <c r="VPC48" s="287"/>
      <c r="VPD48" s="287"/>
      <c r="VPE48" s="287"/>
      <c r="VPF48" s="287"/>
      <c r="VPG48" s="287"/>
      <c r="VPH48" s="287"/>
      <c r="VPI48" s="287"/>
      <c r="VPJ48" s="287"/>
      <c r="VPK48" s="287"/>
      <c r="VPL48" s="287"/>
      <c r="VPM48" s="287"/>
      <c r="VPN48" s="287"/>
      <c r="VPO48" s="287"/>
      <c r="VPP48" s="287"/>
      <c r="VPQ48" s="287"/>
      <c r="VPR48" s="287"/>
      <c r="VPS48" s="287"/>
      <c r="VPT48" s="287"/>
      <c r="VPU48" s="287"/>
      <c r="VPV48" s="287"/>
      <c r="VPW48" s="287"/>
      <c r="VPX48" s="287"/>
      <c r="VPY48" s="287"/>
      <c r="VPZ48" s="287"/>
      <c r="VQA48" s="287"/>
      <c r="VQB48" s="287"/>
      <c r="VQC48" s="287"/>
      <c r="VQD48" s="287"/>
      <c r="VQE48" s="287"/>
      <c r="VQF48" s="287"/>
      <c r="VQG48" s="287"/>
      <c r="VQH48" s="287"/>
      <c r="VQI48" s="287"/>
      <c r="VQJ48" s="287"/>
      <c r="VQK48" s="287"/>
      <c r="VQL48" s="287"/>
      <c r="VQM48" s="287"/>
      <c r="VQN48" s="287"/>
      <c r="VQO48" s="287"/>
      <c r="VQP48" s="287"/>
      <c r="VQQ48" s="287"/>
      <c r="VQR48" s="287"/>
      <c r="VQS48" s="287"/>
      <c r="VQT48" s="287"/>
      <c r="VQU48" s="287"/>
      <c r="VQV48" s="287"/>
      <c r="VQW48" s="287"/>
      <c r="VQX48" s="287"/>
      <c r="VQY48" s="287"/>
      <c r="VQZ48" s="287"/>
      <c r="VRA48" s="287"/>
      <c r="VRB48" s="287"/>
      <c r="VRC48" s="287"/>
      <c r="VRD48" s="287"/>
      <c r="VRE48" s="287"/>
      <c r="VRF48" s="287"/>
      <c r="VRG48" s="287"/>
      <c r="VRH48" s="287"/>
      <c r="VRI48" s="287"/>
      <c r="VRJ48" s="287"/>
      <c r="VRK48" s="287"/>
      <c r="VRL48" s="287"/>
      <c r="VRM48" s="287"/>
      <c r="VRN48" s="287"/>
      <c r="VRO48" s="287"/>
      <c r="VRP48" s="287"/>
      <c r="VRQ48" s="287"/>
      <c r="VRR48" s="287"/>
      <c r="VRS48" s="287"/>
      <c r="VRT48" s="287"/>
      <c r="VRU48" s="287"/>
      <c r="VRV48" s="287"/>
      <c r="VRW48" s="287"/>
      <c r="VRX48" s="287"/>
      <c r="VRY48" s="287"/>
      <c r="VRZ48" s="287"/>
      <c r="VSA48" s="287"/>
      <c r="VSB48" s="287"/>
      <c r="VSC48" s="287"/>
      <c r="VSD48" s="287"/>
      <c r="VSE48" s="287"/>
      <c r="VSF48" s="287"/>
      <c r="VSG48" s="287"/>
      <c r="VSH48" s="287"/>
      <c r="VSI48" s="287"/>
      <c r="VSJ48" s="287"/>
      <c r="VSK48" s="287"/>
      <c r="VSL48" s="287"/>
      <c r="VSM48" s="287"/>
      <c r="VSN48" s="287"/>
      <c r="VSO48" s="287"/>
      <c r="VSP48" s="287"/>
      <c r="VSQ48" s="287"/>
      <c r="VSR48" s="287"/>
      <c r="VSS48" s="287"/>
      <c r="VST48" s="287"/>
      <c r="VSU48" s="287"/>
      <c r="VSV48" s="287"/>
      <c r="VSW48" s="287"/>
      <c r="VSX48" s="287"/>
      <c r="VSY48" s="287"/>
      <c r="VSZ48" s="287"/>
      <c r="VTA48" s="287"/>
      <c r="VTB48" s="287"/>
      <c r="VTC48" s="287"/>
      <c r="VTD48" s="287"/>
      <c r="VTE48" s="287"/>
      <c r="VTF48" s="287"/>
      <c r="VTG48" s="287"/>
      <c r="VTH48" s="287"/>
      <c r="VTI48" s="287"/>
      <c r="VTJ48" s="287"/>
      <c r="VTK48" s="287"/>
      <c r="VTL48" s="287"/>
      <c r="VTM48" s="287"/>
      <c r="VTN48" s="287"/>
      <c r="VTO48" s="287"/>
      <c r="VTP48" s="287"/>
      <c r="VTQ48" s="287"/>
      <c r="VTR48" s="287"/>
      <c r="VTS48" s="287"/>
      <c r="VTT48" s="287"/>
      <c r="VTU48" s="287"/>
      <c r="VTV48" s="287"/>
      <c r="VTW48" s="287"/>
      <c r="VTX48" s="287"/>
      <c r="VTY48" s="287"/>
      <c r="VTZ48" s="287"/>
      <c r="VUA48" s="287"/>
      <c r="VUB48" s="287"/>
      <c r="VUC48" s="287"/>
      <c r="VUD48" s="287"/>
      <c r="VUE48" s="287"/>
      <c r="VUF48" s="287"/>
      <c r="VUG48" s="287"/>
      <c r="VUH48" s="287"/>
      <c r="VUI48" s="287"/>
      <c r="VUJ48" s="287"/>
      <c r="VUK48" s="287"/>
      <c r="VUL48" s="287"/>
      <c r="VUM48" s="287"/>
      <c r="VUN48" s="287"/>
      <c r="VUO48" s="287"/>
      <c r="VUP48" s="287"/>
      <c r="VUQ48" s="287"/>
      <c r="VUR48" s="287"/>
      <c r="VUS48" s="287"/>
      <c r="VUT48" s="287"/>
      <c r="VUU48" s="287"/>
      <c r="VUV48" s="287"/>
      <c r="VUW48" s="287"/>
      <c r="VUX48" s="287"/>
      <c r="VUY48" s="287"/>
      <c r="VUZ48" s="287"/>
      <c r="VVA48" s="287"/>
      <c r="VVB48" s="287"/>
      <c r="VVC48" s="287"/>
      <c r="VVD48" s="287"/>
      <c r="VVE48" s="287"/>
      <c r="VVF48" s="287"/>
      <c r="VVG48" s="287"/>
      <c r="VVH48" s="287"/>
      <c r="VVI48" s="287"/>
      <c r="VVJ48" s="287"/>
      <c r="VVK48" s="287"/>
      <c r="VVL48" s="287"/>
      <c r="VVM48" s="287"/>
      <c r="VVN48" s="287"/>
      <c r="VVO48" s="287"/>
      <c r="VVP48" s="287"/>
      <c r="VVQ48" s="287"/>
      <c r="VVR48" s="287"/>
      <c r="VVS48" s="287"/>
      <c r="VVT48" s="287"/>
      <c r="VVU48" s="287"/>
      <c r="VVV48" s="287"/>
      <c r="VVW48" s="287"/>
      <c r="VVX48" s="287"/>
      <c r="VVY48" s="287"/>
      <c r="VVZ48" s="287"/>
      <c r="VWA48" s="287"/>
      <c r="VWB48" s="287"/>
      <c r="VWC48" s="287"/>
      <c r="VWD48" s="287"/>
      <c r="VWE48" s="287"/>
      <c r="VWF48" s="287"/>
      <c r="VWG48" s="287"/>
      <c r="VWH48" s="287"/>
      <c r="VWI48" s="287"/>
      <c r="VWJ48" s="287"/>
      <c r="VWK48" s="287"/>
      <c r="VWL48" s="287"/>
      <c r="VWM48" s="287"/>
      <c r="VWN48" s="287"/>
      <c r="VWO48" s="287"/>
      <c r="VWP48" s="287"/>
      <c r="VWQ48" s="287"/>
      <c r="VWR48" s="287"/>
      <c r="VWS48" s="287"/>
      <c r="VWT48" s="287"/>
      <c r="VWU48" s="287"/>
      <c r="VWV48" s="287"/>
      <c r="VWW48" s="287"/>
      <c r="VWX48" s="287"/>
      <c r="VWY48" s="287"/>
      <c r="VWZ48" s="287"/>
      <c r="VXA48" s="287"/>
      <c r="VXB48" s="287"/>
      <c r="VXC48" s="287"/>
      <c r="VXD48" s="287"/>
      <c r="VXE48" s="287"/>
      <c r="VXF48" s="287"/>
      <c r="VXG48" s="287"/>
      <c r="VXH48" s="287"/>
      <c r="VXI48" s="287"/>
      <c r="VXJ48" s="287"/>
      <c r="VXK48" s="287"/>
      <c r="VXL48" s="287"/>
      <c r="VXM48" s="287"/>
      <c r="VXN48" s="287"/>
      <c r="VXO48" s="287"/>
      <c r="VXP48" s="287"/>
      <c r="VXQ48" s="287"/>
      <c r="VXR48" s="287"/>
      <c r="VXS48" s="287"/>
      <c r="VXT48" s="287"/>
      <c r="VXU48" s="287"/>
      <c r="VXV48" s="287"/>
      <c r="VXW48" s="287"/>
      <c r="VXX48" s="287"/>
      <c r="VXY48" s="287"/>
      <c r="VXZ48" s="287"/>
      <c r="VYA48" s="287"/>
      <c r="VYB48" s="287"/>
      <c r="VYC48" s="287"/>
      <c r="VYD48" s="287"/>
      <c r="VYE48" s="287"/>
      <c r="VYF48" s="287"/>
      <c r="VYG48" s="287"/>
      <c r="VYH48" s="287"/>
      <c r="VYI48" s="287"/>
      <c r="VYJ48" s="287"/>
      <c r="VYK48" s="287"/>
      <c r="VYL48" s="287"/>
      <c r="VYM48" s="287"/>
      <c r="VYN48" s="287"/>
      <c r="VYO48" s="287"/>
      <c r="VYP48" s="287"/>
      <c r="VYQ48" s="287"/>
      <c r="VYR48" s="287"/>
      <c r="VYS48" s="287"/>
      <c r="VYT48" s="287"/>
      <c r="VYU48" s="287"/>
      <c r="VYV48" s="287"/>
      <c r="VYW48" s="287"/>
      <c r="VYX48" s="287"/>
      <c r="VYY48" s="287"/>
      <c r="VYZ48" s="287"/>
      <c r="VZA48" s="287"/>
      <c r="VZB48" s="287"/>
      <c r="VZC48" s="287"/>
      <c r="VZD48" s="287"/>
      <c r="VZE48" s="287"/>
      <c r="VZF48" s="287"/>
      <c r="VZG48" s="287"/>
      <c r="VZH48" s="287"/>
      <c r="VZI48" s="287"/>
      <c r="VZJ48" s="287"/>
      <c r="VZK48" s="287"/>
      <c r="VZL48" s="287"/>
      <c r="VZM48" s="287"/>
      <c r="VZN48" s="287"/>
      <c r="VZO48" s="287"/>
      <c r="VZP48" s="287"/>
      <c r="VZQ48" s="287"/>
      <c r="VZR48" s="287"/>
      <c r="VZS48" s="287"/>
      <c r="VZT48" s="287"/>
      <c r="VZU48" s="287"/>
      <c r="VZV48" s="287"/>
      <c r="VZW48" s="287"/>
      <c r="VZX48" s="287"/>
      <c r="VZY48" s="287"/>
      <c r="VZZ48" s="287"/>
      <c r="WAA48" s="287"/>
      <c r="WAB48" s="287"/>
      <c r="WAC48" s="287"/>
      <c r="WAD48" s="287"/>
      <c r="WAE48" s="287"/>
      <c r="WAF48" s="287"/>
      <c r="WAG48" s="287"/>
      <c r="WAH48" s="287"/>
      <c r="WAI48" s="287"/>
      <c r="WAJ48" s="287"/>
      <c r="WAK48" s="287"/>
      <c r="WAL48" s="287"/>
      <c r="WAM48" s="287"/>
      <c r="WAN48" s="287"/>
      <c r="WAO48" s="287"/>
      <c r="WAP48" s="287"/>
      <c r="WAQ48" s="287"/>
      <c r="WAR48" s="287"/>
      <c r="WAS48" s="287"/>
      <c r="WAT48" s="287"/>
      <c r="WAU48" s="287"/>
      <c r="WAV48" s="287"/>
      <c r="WAW48" s="287"/>
      <c r="WAX48" s="287"/>
      <c r="WAY48" s="287"/>
      <c r="WAZ48" s="287"/>
      <c r="WBA48" s="287"/>
      <c r="WBB48" s="287"/>
      <c r="WBC48" s="287"/>
      <c r="WBD48" s="287"/>
      <c r="WBE48" s="287"/>
      <c r="WBF48" s="287"/>
      <c r="WBG48" s="287"/>
      <c r="WBH48" s="287"/>
      <c r="WBI48" s="287"/>
      <c r="WBJ48" s="287"/>
      <c r="WBK48" s="287"/>
      <c r="WBL48" s="287"/>
      <c r="WBM48" s="287"/>
      <c r="WBN48" s="287"/>
      <c r="WBO48" s="287"/>
      <c r="WBP48" s="287"/>
      <c r="WBQ48" s="287"/>
      <c r="WBR48" s="287"/>
      <c r="WBS48" s="287"/>
      <c r="WBT48" s="287"/>
      <c r="WBU48" s="287"/>
      <c r="WBV48" s="287"/>
      <c r="WBW48" s="287"/>
      <c r="WBX48" s="287"/>
      <c r="WBY48" s="287"/>
      <c r="WBZ48" s="287"/>
      <c r="WCA48" s="287"/>
      <c r="WCB48" s="287"/>
      <c r="WCC48" s="287"/>
      <c r="WCD48" s="287"/>
      <c r="WCE48" s="287"/>
      <c r="WCF48" s="287"/>
      <c r="WCG48" s="287"/>
      <c r="WCH48" s="287"/>
      <c r="WCI48" s="287"/>
      <c r="WCJ48" s="287"/>
      <c r="WCK48" s="287"/>
      <c r="WCL48" s="287"/>
      <c r="WCM48" s="287"/>
      <c r="WCN48" s="287"/>
      <c r="WCO48" s="287"/>
      <c r="WCP48" s="287"/>
      <c r="WCQ48" s="287"/>
      <c r="WCR48" s="287"/>
      <c r="WCS48" s="287"/>
      <c r="WCT48" s="287"/>
      <c r="WCU48" s="287"/>
      <c r="WCV48" s="287"/>
      <c r="WCW48" s="287"/>
      <c r="WCX48" s="287"/>
      <c r="WCY48" s="287"/>
      <c r="WCZ48" s="287"/>
      <c r="WDA48" s="287"/>
      <c r="WDB48" s="287"/>
      <c r="WDC48" s="287"/>
      <c r="WDD48" s="287"/>
      <c r="WDE48" s="287"/>
      <c r="WDF48" s="287"/>
      <c r="WDG48" s="287"/>
      <c r="WDH48" s="287"/>
      <c r="WDI48" s="287"/>
      <c r="WDJ48" s="287"/>
      <c r="WDK48" s="287"/>
      <c r="WDL48" s="287"/>
      <c r="WDM48" s="287"/>
      <c r="WDN48" s="287"/>
      <c r="WDO48" s="287"/>
      <c r="WDP48" s="287"/>
      <c r="WDQ48" s="287"/>
      <c r="WDR48" s="287"/>
      <c r="WDS48" s="287"/>
      <c r="WDT48" s="287"/>
      <c r="WDU48" s="287"/>
      <c r="WDV48" s="287"/>
      <c r="WDW48" s="287"/>
      <c r="WDX48" s="287"/>
      <c r="WDY48" s="287"/>
      <c r="WDZ48" s="287"/>
      <c r="WEA48" s="287"/>
      <c r="WEB48" s="287"/>
      <c r="WEC48" s="287"/>
      <c r="WED48" s="287"/>
      <c r="WEE48" s="287"/>
      <c r="WEF48" s="287"/>
      <c r="WEG48" s="287"/>
      <c r="WEH48" s="287"/>
      <c r="WEI48" s="287"/>
      <c r="WEJ48" s="287"/>
      <c r="WEK48" s="287"/>
      <c r="WEL48" s="287"/>
      <c r="WEM48" s="287"/>
      <c r="WEN48" s="287"/>
      <c r="WEO48" s="287"/>
      <c r="WEP48" s="287"/>
      <c r="WEQ48" s="287"/>
      <c r="WER48" s="287"/>
      <c r="WES48" s="287"/>
      <c r="WET48" s="287"/>
      <c r="WEU48" s="287"/>
      <c r="WEV48" s="287"/>
      <c r="WEW48" s="287"/>
      <c r="WEX48" s="287"/>
      <c r="WEY48" s="287"/>
      <c r="WEZ48" s="287"/>
      <c r="WFA48" s="287"/>
      <c r="WFB48" s="287"/>
      <c r="WFC48" s="287"/>
      <c r="WFD48" s="287"/>
      <c r="WFE48" s="287"/>
      <c r="WFF48" s="287"/>
      <c r="WFG48" s="287"/>
      <c r="WFH48" s="287"/>
      <c r="WFI48" s="287"/>
      <c r="WFJ48" s="287"/>
      <c r="WFK48" s="287"/>
      <c r="WFL48" s="287"/>
      <c r="WFM48" s="287"/>
      <c r="WFN48" s="287"/>
      <c r="WFO48" s="287"/>
      <c r="WFP48" s="287"/>
      <c r="WFQ48" s="287"/>
      <c r="WFR48" s="287"/>
      <c r="WFS48" s="287"/>
      <c r="WFT48" s="287"/>
      <c r="WFU48" s="287"/>
      <c r="WFV48" s="287"/>
      <c r="WFW48" s="287"/>
      <c r="WFX48" s="287"/>
      <c r="WFY48" s="287"/>
      <c r="WFZ48" s="287"/>
      <c r="WGA48" s="287"/>
      <c r="WGB48" s="287"/>
      <c r="WGC48" s="287"/>
      <c r="WGD48" s="287"/>
      <c r="WGE48" s="287"/>
      <c r="WGF48" s="287"/>
      <c r="WGG48" s="287"/>
      <c r="WGH48" s="287"/>
      <c r="WGI48" s="287"/>
      <c r="WGJ48" s="287"/>
      <c r="WGK48" s="287"/>
      <c r="WGL48" s="287"/>
      <c r="WGM48" s="287"/>
      <c r="WGN48" s="287"/>
      <c r="WGO48" s="287"/>
      <c r="WGP48" s="287"/>
      <c r="WGQ48" s="287"/>
      <c r="WGR48" s="287"/>
      <c r="WGS48" s="287"/>
      <c r="WGT48" s="287"/>
      <c r="WGU48" s="287"/>
      <c r="WGV48" s="287"/>
      <c r="WGW48" s="287"/>
      <c r="WGX48" s="287"/>
      <c r="WGY48" s="287"/>
      <c r="WGZ48" s="287"/>
      <c r="WHA48" s="287"/>
      <c r="WHB48" s="287"/>
      <c r="WHC48" s="287"/>
      <c r="WHD48" s="287"/>
      <c r="WHE48" s="287"/>
      <c r="WHF48" s="287"/>
      <c r="WHG48" s="287"/>
      <c r="WHH48" s="287"/>
      <c r="WHI48" s="287"/>
      <c r="WHJ48" s="287"/>
      <c r="WHK48" s="287"/>
      <c r="WHL48" s="287"/>
      <c r="WHM48" s="287"/>
      <c r="WHN48" s="287"/>
      <c r="WHO48" s="287"/>
      <c r="WHP48" s="287"/>
      <c r="WHQ48" s="287"/>
      <c r="WHR48" s="287"/>
      <c r="WHS48" s="287"/>
      <c r="WHT48" s="287"/>
      <c r="WHU48" s="287"/>
      <c r="WHV48" s="287"/>
      <c r="WHW48" s="287"/>
      <c r="WHX48" s="287"/>
      <c r="WHY48" s="287"/>
      <c r="WHZ48" s="287"/>
      <c r="WIA48" s="287"/>
      <c r="WIB48" s="287"/>
      <c r="WIC48" s="287"/>
      <c r="WID48" s="287"/>
      <c r="WIE48" s="287"/>
      <c r="WIF48" s="287"/>
      <c r="WIG48" s="287"/>
      <c r="WIH48" s="287"/>
      <c r="WII48" s="287"/>
      <c r="WIJ48" s="287"/>
      <c r="WIK48" s="287"/>
      <c r="WIL48" s="287"/>
      <c r="WIM48" s="287"/>
      <c r="WIN48" s="287"/>
      <c r="WIO48" s="287"/>
      <c r="WIP48" s="287"/>
      <c r="WIQ48" s="287"/>
      <c r="WIR48" s="287"/>
      <c r="WIS48" s="287"/>
      <c r="WIT48" s="287"/>
      <c r="WIU48" s="287"/>
      <c r="WIV48" s="287"/>
      <c r="WIW48" s="287"/>
      <c r="WIX48" s="287"/>
      <c r="WIY48" s="287"/>
      <c r="WIZ48" s="287"/>
      <c r="WJA48" s="287"/>
      <c r="WJB48" s="287"/>
      <c r="WJC48" s="287"/>
      <c r="WJD48" s="287"/>
      <c r="WJE48" s="287"/>
      <c r="WJF48" s="287"/>
      <c r="WJG48" s="287"/>
      <c r="WJH48" s="287"/>
      <c r="WJI48" s="287"/>
      <c r="WJJ48" s="287"/>
      <c r="WJK48" s="287"/>
      <c r="WJL48" s="287"/>
      <c r="WJM48" s="287"/>
      <c r="WJN48" s="287"/>
      <c r="WJO48" s="287"/>
      <c r="WJP48" s="287"/>
      <c r="WJQ48" s="287"/>
      <c r="WJR48" s="287"/>
      <c r="WJS48" s="287"/>
      <c r="WJT48" s="287"/>
      <c r="WJU48" s="287"/>
      <c r="WJV48" s="287"/>
      <c r="WJW48" s="287"/>
      <c r="WJX48" s="287"/>
      <c r="WJY48" s="287"/>
      <c r="WJZ48" s="287"/>
      <c r="WKA48" s="287"/>
      <c r="WKB48" s="287"/>
      <c r="WKC48" s="287"/>
      <c r="WKD48" s="287"/>
      <c r="WKE48" s="287"/>
      <c r="WKF48" s="287"/>
      <c r="WKG48" s="287"/>
      <c r="WKH48" s="287"/>
      <c r="WKI48" s="287"/>
      <c r="WKJ48" s="287"/>
      <c r="WKK48" s="287"/>
      <c r="WKL48" s="287"/>
      <c r="WKM48" s="287"/>
      <c r="WKN48" s="287"/>
      <c r="WKO48" s="287"/>
      <c r="WKP48" s="287"/>
      <c r="WKQ48" s="287"/>
      <c r="WKR48" s="287"/>
      <c r="WKS48" s="287"/>
      <c r="WKT48" s="287"/>
      <c r="WKU48" s="287"/>
      <c r="WKV48" s="287"/>
      <c r="WKW48" s="287"/>
      <c r="WKX48" s="287"/>
      <c r="WKY48" s="287"/>
      <c r="WKZ48" s="287"/>
      <c r="WLA48" s="287"/>
      <c r="WLB48" s="287"/>
      <c r="WLC48" s="287"/>
      <c r="WLD48" s="287"/>
      <c r="WLE48" s="287"/>
      <c r="WLF48" s="287"/>
      <c r="WLG48" s="287"/>
      <c r="WLH48" s="287"/>
      <c r="WLI48" s="287"/>
      <c r="WLJ48" s="287"/>
      <c r="WLK48" s="287"/>
      <c r="WLL48" s="287"/>
      <c r="WLM48" s="287"/>
      <c r="WLN48" s="287"/>
      <c r="WLO48" s="287"/>
      <c r="WLP48" s="287"/>
      <c r="WLQ48" s="287"/>
      <c r="WLR48" s="287"/>
      <c r="WLS48" s="287"/>
      <c r="WLT48" s="287"/>
      <c r="WLU48" s="287"/>
      <c r="WLV48" s="287"/>
      <c r="WLW48" s="287"/>
      <c r="WLX48" s="287"/>
      <c r="WLY48" s="287"/>
      <c r="WLZ48" s="287"/>
      <c r="WMA48" s="287"/>
      <c r="WMB48" s="287"/>
      <c r="WMC48" s="287"/>
      <c r="WMD48" s="287"/>
      <c r="WME48" s="287"/>
      <c r="WMF48" s="287"/>
      <c r="WMG48" s="287"/>
      <c r="WMH48" s="287"/>
      <c r="WMI48" s="287"/>
      <c r="WMJ48" s="287"/>
      <c r="WMK48" s="287"/>
      <c r="WML48" s="287"/>
      <c r="WMM48" s="287"/>
      <c r="WMN48" s="287"/>
      <c r="WMO48" s="287"/>
      <c r="WMP48" s="287"/>
      <c r="WMQ48" s="287"/>
      <c r="WMR48" s="287"/>
      <c r="WMS48" s="287"/>
      <c r="WMT48" s="287"/>
      <c r="WMU48" s="287"/>
      <c r="WMV48" s="287"/>
      <c r="WMW48" s="287"/>
      <c r="WMX48" s="287"/>
      <c r="WMY48" s="287"/>
      <c r="WMZ48" s="287"/>
      <c r="WNA48" s="287"/>
      <c r="WNB48" s="287"/>
      <c r="WNC48" s="287"/>
      <c r="WND48" s="287"/>
      <c r="WNE48" s="287"/>
      <c r="WNF48" s="287"/>
      <c r="WNG48" s="287"/>
      <c r="WNH48" s="287"/>
      <c r="WNI48" s="287"/>
      <c r="WNJ48" s="287"/>
      <c r="WNK48" s="287"/>
      <c r="WNL48" s="287"/>
      <c r="WNM48" s="287"/>
      <c r="WNN48" s="287"/>
      <c r="WNO48" s="287"/>
      <c r="WNP48" s="287"/>
      <c r="WNQ48" s="287"/>
      <c r="WNR48" s="287"/>
      <c r="WNS48" s="287"/>
      <c r="WNT48" s="287"/>
      <c r="WNU48" s="287"/>
      <c r="WNV48" s="287"/>
      <c r="WNW48" s="287"/>
      <c r="WNX48" s="287"/>
      <c r="WNY48" s="287"/>
      <c r="WNZ48" s="287"/>
      <c r="WOA48" s="287"/>
      <c r="WOB48" s="287"/>
      <c r="WOC48" s="287"/>
      <c r="WOD48" s="287"/>
      <c r="WOE48" s="287"/>
      <c r="WOF48" s="287"/>
      <c r="WOG48" s="287"/>
      <c r="WOH48" s="287"/>
      <c r="WOI48" s="287"/>
      <c r="WOJ48" s="287"/>
      <c r="WOK48" s="287"/>
      <c r="WOL48" s="287"/>
      <c r="WOM48" s="287"/>
      <c r="WON48" s="287"/>
      <c r="WOO48" s="287"/>
      <c r="WOP48" s="287"/>
      <c r="WOQ48" s="287"/>
      <c r="WOR48" s="287"/>
      <c r="WOS48" s="287"/>
      <c r="WOT48" s="287"/>
      <c r="WOU48" s="287"/>
      <c r="WOV48" s="287"/>
      <c r="WOW48" s="287"/>
      <c r="WOX48" s="287"/>
      <c r="WOY48" s="287"/>
      <c r="WOZ48" s="287"/>
      <c r="WPA48" s="287"/>
      <c r="WPB48" s="287"/>
      <c r="WPC48" s="287"/>
      <c r="WPD48" s="287"/>
      <c r="WPE48" s="287"/>
      <c r="WPF48" s="287"/>
      <c r="WPG48" s="287"/>
      <c r="WPH48" s="287"/>
      <c r="WPI48" s="287"/>
      <c r="WPJ48" s="287"/>
      <c r="WPK48" s="287"/>
      <c r="WPL48" s="287"/>
      <c r="WPM48" s="287"/>
      <c r="WPN48" s="287"/>
      <c r="WPO48" s="287"/>
      <c r="WPP48" s="287"/>
      <c r="WPQ48" s="287"/>
      <c r="WPR48" s="287"/>
      <c r="WPS48" s="287"/>
      <c r="WPT48" s="287"/>
      <c r="WPU48" s="287"/>
      <c r="WPV48" s="287"/>
      <c r="WPW48" s="287"/>
      <c r="WPX48" s="287"/>
      <c r="WPY48" s="287"/>
      <c r="WPZ48" s="287"/>
      <c r="WQA48" s="287"/>
      <c r="WQB48" s="287"/>
      <c r="WQC48" s="287"/>
      <c r="WQD48" s="287"/>
      <c r="WQE48" s="287"/>
      <c r="WQF48" s="287"/>
      <c r="WQG48" s="287"/>
      <c r="WQH48" s="287"/>
      <c r="WQI48" s="287"/>
      <c r="WQJ48" s="287"/>
      <c r="WQK48" s="287"/>
      <c r="WQL48" s="287"/>
      <c r="WQM48" s="287"/>
      <c r="WQN48" s="287"/>
      <c r="WQO48" s="287"/>
      <c r="WQP48" s="287"/>
      <c r="WQQ48" s="287"/>
      <c r="WQR48" s="287"/>
      <c r="WQS48" s="287"/>
      <c r="WQT48" s="287"/>
      <c r="WQU48" s="287"/>
      <c r="WQV48" s="287"/>
      <c r="WQW48" s="287"/>
      <c r="WQX48" s="287"/>
      <c r="WQY48" s="287"/>
      <c r="WQZ48" s="287"/>
      <c r="WRA48" s="287"/>
      <c r="WRB48" s="287"/>
      <c r="WRC48" s="287"/>
      <c r="WRD48" s="287"/>
      <c r="WRE48" s="287"/>
      <c r="WRF48" s="287"/>
      <c r="WRG48" s="287"/>
      <c r="WRH48" s="287"/>
      <c r="WRI48" s="287"/>
      <c r="WRJ48" s="287"/>
      <c r="WRK48" s="287"/>
      <c r="WRL48" s="287"/>
      <c r="WRM48" s="287"/>
      <c r="WRN48" s="287"/>
      <c r="WRO48" s="287"/>
      <c r="WRP48" s="287"/>
      <c r="WRQ48" s="287"/>
      <c r="WRR48" s="287"/>
      <c r="WRS48" s="287"/>
      <c r="WRT48" s="287"/>
      <c r="WRU48" s="287"/>
      <c r="WRV48" s="287"/>
      <c r="WRW48" s="287"/>
      <c r="WRX48" s="287"/>
      <c r="WRY48" s="287"/>
      <c r="WRZ48" s="287"/>
      <c r="WSA48" s="287"/>
      <c r="WSB48" s="287"/>
      <c r="WSC48" s="287"/>
      <c r="WSD48" s="287"/>
      <c r="WSE48" s="287"/>
      <c r="WSF48" s="287"/>
      <c r="WSG48" s="287"/>
      <c r="WSH48" s="287"/>
      <c r="WSI48" s="287"/>
      <c r="WSJ48" s="287"/>
      <c r="WSK48" s="287"/>
      <c r="WSL48" s="287"/>
      <c r="WSM48" s="287"/>
      <c r="WSN48" s="287"/>
      <c r="WSO48" s="287"/>
      <c r="WSP48" s="287"/>
      <c r="WSQ48" s="287"/>
      <c r="WSR48" s="287"/>
      <c r="WSS48" s="287"/>
      <c r="WST48" s="287"/>
      <c r="WSU48" s="287"/>
      <c r="WSV48" s="287"/>
      <c r="WSW48" s="287"/>
      <c r="WSX48" s="287"/>
      <c r="WSY48" s="287"/>
      <c r="WSZ48" s="287"/>
      <c r="WTA48" s="287"/>
      <c r="WTB48" s="287"/>
      <c r="WTC48" s="287"/>
      <c r="WTD48" s="287"/>
      <c r="WTE48" s="287"/>
      <c r="WTF48" s="287"/>
      <c r="WTG48" s="287"/>
      <c r="WTH48" s="287"/>
      <c r="WTI48" s="287"/>
      <c r="WTJ48" s="287"/>
      <c r="WTK48" s="287"/>
      <c r="WTL48" s="287"/>
      <c r="WTM48" s="287"/>
      <c r="WTN48" s="287"/>
      <c r="WTO48" s="287"/>
      <c r="WTP48" s="287"/>
      <c r="WTQ48" s="287"/>
      <c r="WTR48" s="287"/>
      <c r="WTS48" s="287"/>
      <c r="WTT48" s="287"/>
      <c r="WTU48" s="287"/>
      <c r="WTV48" s="287"/>
      <c r="WTW48" s="287"/>
      <c r="WTX48" s="287"/>
      <c r="WTY48" s="287"/>
      <c r="WTZ48" s="287"/>
      <c r="WUA48" s="287"/>
      <c r="WUB48" s="287"/>
      <c r="WUC48" s="287"/>
      <c r="WUD48" s="287"/>
      <c r="WUE48" s="287"/>
      <c r="WUF48" s="287"/>
      <c r="WUG48" s="287"/>
      <c r="WUH48" s="287"/>
      <c r="WUI48" s="287"/>
      <c r="WUJ48" s="287"/>
      <c r="WUK48" s="287"/>
      <c r="WUL48" s="287"/>
      <c r="WUM48" s="287"/>
      <c r="WUN48" s="287"/>
      <c r="WUO48" s="287"/>
      <c r="WUP48" s="287"/>
      <c r="WUQ48" s="287"/>
      <c r="WUR48" s="287"/>
      <c r="WUS48" s="287"/>
      <c r="WUT48" s="287"/>
      <c r="WUU48" s="287"/>
      <c r="WUV48" s="287"/>
      <c r="WUW48" s="287"/>
      <c r="WUX48" s="287"/>
      <c r="WUY48" s="287"/>
      <c r="WUZ48" s="287"/>
      <c r="WVA48" s="287"/>
      <c r="WVB48" s="287"/>
      <c r="WVC48" s="287"/>
      <c r="WVD48" s="287"/>
      <c r="WVE48" s="287"/>
      <c r="WVF48" s="287"/>
      <c r="WVG48" s="287"/>
      <c r="WVH48" s="287"/>
      <c r="WVI48" s="287"/>
      <c r="WVJ48" s="287"/>
      <c r="WVK48" s="287"/>
      <c r="WVL48" s="287"/>
      <c r="WVM48" s="287"/>
      <c r="WVN48" s="287"/>
      <c r="WVO48" s="287"/>
      <c r="WVP48" s="287"/>
      <c r="WVQ48" s="287"/>
      <c r="WVR48" s="287"/>
      <c r="WVS48" s="287"/>
      <c r="WVT48" s="287"/>
      <c r="WVU48" s="287"/>
      <c r="WVV48" s="287"/>
      <c r="WVW48" s="287"/>
      <c r="WVX48" s="287"/>
      <c r="WVY48" s="287"/>
      <c r="WVZ48" s="287"/>
      <c r="WWA48" s="287"/>
      <c r="WWB48" s="287"/>
      <c r="WWC48" s="287"/>
      <c r="WWD48" s="287"/>
      <c r="WWE48" s="287"/>
      <c r="WWF48" s="287"/>
      <c r="WWG48" s="287"/>
      <c r="WWH48" s="287"/>
      <c r="WWI48" s="287"/>
      <c r="WWJ48" s="287"/>
      <c r="WWK48" s="287"/>
      <c r="WWL48" s="287"/>
      <c r="WWM48" s="287"/>
      <c r="WWN48" s="287"/>
      <c r="WWO48" s="287"/>
      <c r="WWP48" s="287"/>
      <c r="WWQ48" s="287"/>
      <c r="WWR48" s="287"/>
      <c r="WWS48" s="287"/>
      <c r="WWT48" s="287"/>
      <c r="WWU48" s="287"/>
      <c r="WWV48" s="287"/>
      <c r="WWW48" s="287"/>
      <c r="WWX48" s="287"/>
      <c r="WWY48" s="287"/>
      <c r="WWZ48" s="287"/>
      <c r="WXA48" s="287"/>
      <c r="WXB48" s="287"/>
      <c r="WXC48" s="287"/>
      <c r="WXD48" s="287"/>
      <c r="WXE48" s="287"/>
      <c r="WXF48" s="287"/>
      <c r="WXG48" s="287"/>
      <c r="WXH48" s="287"/>
      <c r="WXI48" s="287"/>
      <c r="WXJ48" s="287"/>
      <c r="WXK48" s="287"/>
      <c r="WXL48" s="287"/>
      <c r="WXM48" s="287"/>
      <c r="WXN48" s="287"/>
      <c r="WXO48" s="287"/>
      <c r="WXP48" s="287"/>
      <c r="WXQ48" s="287"/>
      <c r="WXR48" s="287"/>
      <c r="WXS48" s="287"/>
      <c r="WXT48" s="287"/>
      <c r="WXU48" s="287"/>
      <c r="WXV48" s="287"/>
      <c r="WXW48" s="287"/>
      <c r="WXX48" s="287"/>
      <c r="WXY48" s="287"/>
      <c r="WXZ48" s="287"/>
      <c r="WYA48" s="287"/>
      <c r="WYB48" s="287"/>
      <c r="WYC48" s="287"/>
      <c r="WYD48" s="287"/>
      <c r="WYE48" s="287"/>
      <c r="WYF48" s="287"/>
      <c r="WYG48" s="287"/>
      <c r="WYH48" s="287"/>
      <c r="WYI48" s="287"/>
      <c r="WYJ48" s="287"/>
      <c r="WYK48" s="287"/>
      <c r="WYL48" s="287"/>
      <c r="WYM48" s="287"/>
      <c r="WYN48" s="287"/>
      <c r="WYO48" s="287"/>
      <c r="WYP48" s="287"/>
      <c r="WYQ48" s="287"/>
      <c r="WYR48" s="287"/>
      <c r="WYS48" s="287"/>
      <c r="WYT48" s="287"/>
      <c r="WYU48" s="287"/>
      <c r="WYV48" s="287"/>
      <c r="WYW48" s="287"/>
      <c r="WYX48" s="287"/>
      <c r="WYY48" s="287"/>
      <c r="WYZ48" s="287"/>
      <c r="WZA48" s="287"/>
      <c r="WZB48" s="287"/>
      <c r="WZC48" s="287"/>
      <c r="WZD48" s="287"/>
      <c r="WZE48" s="287"/>
      <c r="WZF48" s="287"/>
      <c r="WZG48" s="287"/>
      <c r="WZH48" s="287"/>
      <c r="WZI48" s="287"/>
      <c r="WZJ48" s="287"/>
      <c r="WZK48" s="287"/>
      <c r="WZL48" s="287"/>
      <c r="WZM48" s="287"/>
      <c r="WZN48" s="287"/>
      <c r="WZO48" s="287"/>
      <c r="WZP48" s="287"/>
      <c r="WZQ48" s="287"/>
      <c r="WZR48" s="287"/>
      <c r="WZS48" s="287"/>
      <c r="WZT48" s="287"/>
      <c r="WZU48" s="287"/>
      <c r="WZV48" s="287"/>
      <c r="WZW48" s="287"/>
      <c r="WZX48" s="287"/>
      <c r="WZY48" s="287"/>
      <c r="WZZ48" s="287"/>
      <c r="XAA48" s="287"/>
      <c r="XAB48" s="287"/>
      <c r="XAC48" s="287"/>
      <c r="XAD48" s="287"/>
      <c r="XAE48" s="287"/>
      <c r="XAF48" s="287"/>
      <c r="XAG48" s="287"/>
      <c r="XAH48" s="287"/>
      <c r="XAI48" s="287"/>
      <c r="XAJ48" s="287"/>
      <c r="XAK48" s="287"/>
      <c r="XAL48" s="287"/>
      <c r="XAM48" s="287"/>
      <c r="XAN48" s="287"/>
      <c r="XAO48" s="287"/>
      <c r="XAP48" s="287"/>
      <c r="XAQ48" s="287"/>
      <c r="XAR48" s="287"/>
      <c r="XAS48" s="287"/>
      <c r="XAT48" s="287"/>
      <c r="XAU48" s="287"/>
      <c r="XAV48" s="287"/>
      <c r="XAW48" s="287"/>
      <c r="XAX48" s="287"/>
      <c r="XAY48" s="287"/>
      <c r="XAZ48" s="287"/>
      <c r="XBA48" s="287"/>
      <c r="XBB48" s="287"/>
      <c r="XBC48" s="287"/>
      <c r="XBD48" s="287"/>
      <c r="XBE48" s="287"/>
      <c r="XBF48" s="287"/>
      <c r="XBG48" s="287"/>
      <c r="XBH48" s="287"/>
      <c r="XBI48" s="287"/>
      <c r="XBJ48" s="287"/>
      <c r="XBK48" s="287"/>
      <c r="XBL48" s="287"/>
      <c r="XBM48" s="287"/>
      <c r="XBN48" s="287"/>
      <c r="XBO48" s="287"/>
      <c r="XBP48" s="287"/>
      <c r="XBQ48" s="287"/>
      <c r="XBR48" s="287"/>
      <c r="XBS48" s="287"/>
      <c r="XBT48" s="287"/>
      <c r="XBU48" s="287"/>
      <c r="XBV48" s="287"/>
      <c r="XBW48" s="287"/>
      <c r="XBX48" s="287"/>
      <c r="XBY48" s="287"/>
      <c r="XBZ48" s="287"/>
      <c r="XCA48" s="287"/>
      <c r="XCB48" s="287"/>
      <c r="XCC48" s="287"/>
      <c r="XCD48" s="287"/>
      <c r="XCE48" s="287"/>
      <c r="XCF48" s="287"/>
      <c r="XCG48" s="287"/>
      <c r="XCH48" s="287"/>
      <c r="XCI48" s="287"/>
      <c r="XCJ48" s="287"/>
      <c r="XCK48" s="287"/>
      <c r="XCL48" s="287"/>
      <c r="XCM48" s="287"/>
      <c r="XCN48" s="287"/>
      <c r="XCO48" s="287"/>
      <c r="XCP48" s="287"/>
      <c r="XCQ48" s="287"/>
      <c r="XCR48" s="287"/>
      <c r="XCS48" s="287"/>
      <c r="XCT48" s="287"/>
      <c r="XCU48" s="287"/>
      <c r="XCV48" s="287"/>
      <c r="XCW48" s="287"/>
      <c r="XCX48" s="287"/>
      <c r="XCY48" s="287"/>
      <c r="XCZ48" s="287"/>
      <c r="XDA48" s="287"/>
      <c r="XDB48" s="287"/>
      <c r="XDC48" s="287"/>
      <c r="XDD48" s="287"/>
      <c r="XDE48" s="287"/>
      <c r="XDF48" s="287"/>
      <c r="XDG48" s="287"/>
      <c r="XDH48" s="287"/>
      <c r="XDI48" s="287"/>
      <c r="XDJ48" s="287"/>
      <c r="XDK48" s="287"/>
      <c r="XDL48" s="287"/>
      <c r="XDM48" s="287"/>
      <c r="XDN48" s="287"/>
      <c r="XDO48" s="287"/>
      <c r="XDP48" s="287"/>
      <c r="XDQ48" s="287"/>
      <c r="XDR48" s="287"/>
      <c r="XDS48" s="287"/>
      <c r="XDT48" s="287"/>
      <c r="XDU48" s="287"/>
      <c r="XDV48" s="287"/>
      <c r="XDW48" s="287"/>
      <c r="XDX48" s="287"/>
      <c r="XDY48" s="287"/>
      <c r="XDZ48" s="287"/>
      <c r="XEA48" s="287"/>
      <c r="XEB48" s="287"/>
      <c r="XEC48" s="287"/>
      <c r="XED48" s="287"/>
      <c r="XEE48" s="287"/>
      <c r="XEF48" s="287"/>
      <c r="XEG48" s="287"/>
      <c r="XEH48" s="287"/>
      <c r="XEI48" s="287"/>
      <c r="XEJ48" s="287"/>
      <c r="XEK48" s="287"/>
      <c r="XEL48" s="287"/>
      <c r="XEM48" s="287"/>
      <c r="XEN48" s="287"/>
      <c r="XEO48" s="287"/>
      <c r="XEP48" s="287"/>
      <c r="XEQ48" s="287"/>
      <c r="XER48" s="287"/>
      <c r="XES48" s="287"/>
      <c r="XET48" s="287"/>
      <c r="XEU48" s="287"/>
      <c r="XEV48" s="287"/>
      <c r="XEW48" s="287"/>
      <c r="XEX48" s="287"/>
      <c r="XEY48" s="287"/>
      <c r="XEZ48" s="287"/>
      <c r="XFA48" s="287"/>
      <c r="XFB48" s="287"/>
      <c r="XFC48" s="287"/>
      <c r="XFD48" s="287"/>
    </row>
    <row r="49" spans="2:100" outlineLevel="1">
      <c r="V49" s="3617"/>
      <c r="CU49" s="3617"/>
    </row>
    <row r="50" spans="2:100" outlineLevel="1">
      <c r="B50" s="3406" t="s">
        <v>1915</v>
      </c>
      <c r="V50" s="3617"/>
      <c r="CU50" s="3617"/>
    </row>
    <row r="51" spans="2:100" outlineLevel="1">
      <c r="B51" s="3374" t="s">
        <v>1916</v>
      </c>
      <c r="V51" s="3617"/>
      <c r="BU51" s="3597">
        <v>127</v>
      </c>
      <c r="BV51" s="3597">
        <v>132</v>
      </c>
      <c r="BW51" s="3597">
        <v>136</v>
      </c>
      <c r="BX51" s="3597">
        <v>133</v>
      </c>
      <c r="BY51" s="3597">
        <v>136</v>
      </c>
      <c r="BZ51" s="3597">
        <v>137</v>
      </c>
      <c r="CA51" s="3597">
        <v>136</v>
      </c>
      <c r="CB51" s="3597">
        <v>145</v>
      </c>
      <c r="CC51" s="3597">
        <v>142</v>
      </c>
      <c r="CD51" s="3597">
        <v>145</v>
      </c>
      <c r="CE51" s="3597">
        <v>144</v>
      </c>
      <c r="CF51" s="3603">
        <v>164</v>
      </c>
      <c r="CG51" s="3603">
        <v>156</v>
      </c>
      <c r="CH51" s="3603">
        <v>157</v>
      </c>
      <c r="CI51" s="3603">
        <v>158</v>
      </c>
      <c r="CJ51" s="3603">
        <v>154</v>
      </c>
      <c r="CK51" s="3603">
        <v>154</v>
      </c>
      <c r="CL51" s="3603">
        <v>150</v>
      </c>
      <c r="CM51" s="3603">
        <v>152</v>
      </c>
      <c r="CN51" s="3603">
        <v>149</v>
      </c>
      <c r="CO51" s="3603">
        <v>149</v>
      </c>
      <c r="CP51" s="3603">
        <v>149</v>
      </c>
      <c r="CQ51" s="3603">
        <v>147</v>
      </c>
      <c r="CR51" s="3603">
        <v>145</v>
      </c>
      <c r="CS51" s="3603">
        <v>146</v>
      </c>
      <c r="CT51" s="3603">
        <v>146</v>
      </c>
      <c r="CU51" s="3603">
        <v>147</v>
      </c>
      <c r="CV51" s="3603">
        <v>147</v>
      </c>
    </row>
    <row r="52" spans="2:100" outlineLevel="1">
      <c r="B52" s="3405" t="s">
        <v>1898</v>
      </c>
      <c r="V52" s="3617"/>
      <c r="CU52" s="3617"/>
    </row>
    <row r="53" spans="2:100" outlineLevel="1">
      <c r="B53" s="3409" t="s">
        <v>1897</v>
      </c>
      <c r="V53" s="3617"/>
      <c r="CU53" s="3617"/>
    </row>
    <row r="54" spans="2:100" outlineLevel="1">
      <c r="B54" s="3374" t="s">
        <v>1917</v>
      </c>
      <c r="V54" s="3617"/>
      <c r="BU54" s="3597">
        <v>710.76800000000003</v>
      </c>
      <c r="BV54" s="3597">
        <v>729</v>
      </c>
      <c r="BW54" s="3597">
        <v>735.48599999999999</v>
      </c>
      <c r="BX54" s="3597">
        <v>743.98200000000008</v>
      </c>
      <c r="BY54" s="3597">
        <v>757.351</v>
      </c>
      <c r="BZ54" s="3597">
        <v>767.02599999999995</v>
      </c>
      <c r="CA54" s="3597">
        <v>777.13400000000001</v>
      </c>
      <c r="CB54" s="3597">
        <v>789.64800000000002</v>
      </c>
      <c r="CC54" s="3597">
        <v>782.42900000000009</v>
      </c>
      <c r="CD54" s="3597">
        <v>794.29599999999994</v>
      </c>
      <c r="CE54" s="3597">
        <v>800.173</v>
      </c>
      <c r="CF54" s="3603">
        <v>560</v>
      </c>
      <c r="CG54" s="3603">
        <v>568</v>
      </c>
      <c r="CH54" s="3603">
        <v>574</v>
      </c>
      <c r="CI54" s="3603">
        <v>575</v>
      </c>
      <c r="CJ54" s="3603">
        <v>588</v>
      </c>
      <c r="CK54" s="3603">
        <v>588</v>
      </c>
      <c r="CL54" s="3603">
        <v>577</v>
      </c>
      <c r="CM54" s="3603">
        <v>590</v>
      </c>
      <c r="CN54" s="3603">
        <v>590</v>
      </c>
      <c r="CO54" s="3603">
        <v>590</v>
      </c>
      <c r="CP54" s="3603">
        <v>590</v>
      </c>
      <c r="CQ54" s="3603">
        <v>576</v>
      </c>
      <c r="CR54" s="3603">
        <v>577</v>
      </c>
      <c r="CS54" s="3603">
        <v>581</v>
      </c>
      <c r="CT54" s="3603">
        <v>590</v>
      </c>
      <c r="CU54" s="3603">
        <v>577</v>
      </c>
      <c r="CV54" s="3603">
        <v>577</v>
      </c>
    </row>
    <row r="55" spans="2:100" outlineLevel="1">
      <c r="B55" s="3405" t="s">
        <v>1898</v>
      </c>
      <c r="V55" s="3617"/>
      <c r="CU55" s="3617"/>
    </row>
    <row r="56" spans="2:100" outlineLevel="1">
      <c r="B56" s="3409" t="s">
        <v>1897</v>
      </c>
      <c r="V56" s="3617"/>
      <c r="CU56" s="3617"/>
    </row>
    <row r="57" spans="2:100" outlineLevel="1">
      <c r="B57" s="3374" t="s">
        <v>1918</v>
      </c>
      <c r="V57" s="3617"/>
      <c r="BU57" s="3597">
        <v>443</v>
      </c>
      <c r="BV57" s="3597">
        <v>466</v>
      </c>
      <c r="BW57" s="3597">
        <v>480</v>
      </c>
      <c r="BX57" s="3597">
        <v>479</v>
      </c>
      <c r="BY57" s="3597">
        <v>493</v>
      </c>
      <c r="BZ57" s="3597">
        <v>499</v>
      </c>
      <c r="CA57" s="3597">
        <v>505</v>
      </c>
      <c r="CB57" s="3597">
        <v>512</v>
      </c>
      <c r="CC57" s="3597">
        <v>510</v>
      </c>
      <c r="CD57" s="3597">
        <v>514</v>
      </c>
      <c r="CE57" s="3597">
        <v>528</v>
      </c>
      <c r="CF57" s="3603">
        <v>802</v>
      </c>
      <c r="CG57" s="3603">
        <v>825</v>
      </c>
      <c r="CH57" s="3603">
        <v>849</v>
      </c>
      <c r="CI57" s="3603">
        <v>859</v>
      </c>
      <c r="CJ57" s="3603">
        <v>872</v>
      </c>
      <c r="CK57" s="3603">
        <v>881</v>
      </c>
      <c r="CL57" s="3603">
        <v>893</v>
      </c>
      <c r="CM57" s="3603">
        <v>906</v>
      </c>
      <c r="CN57" s="3603">
        <v>906</v>
      </c>
      <c r="CO57" s="3603">
        <v>906</v>
      </c>
      <c r="CP57" s="3603">
        <v>906</v>
      </c>
      <c r="CQ57" s="3603">
        <v>910</v>
      </c>
      <c r="CR57" s="3603">
        <v>916</v>
      </c>
      <c r="CS57" s="3603">
        <v>924</v>
      </c>
      <c r="CT57" s="3603">
        <v>940</v>
      </c>
      <c r="CU57" s="3603">
        <v>943</v>
      </c>
      <c r="CV57" s="3603">
        <v>943</v>
      </c>
    </row>
    <row r="58" spans="2:100" outlineLevel="1">
      <c r="B58" s="3405" t="s">
        <v>1898</v>
      </c>
      <c r="V58" s="3617"/>
      <c r="CU58" s="3617"/>
    </row>
    <row r="59" spans="2:100" outlineLevel="1">
      <c r="B59" s="3409" t="s">
        <v>1897</v>
      </c>
      <c r="V59" s="3617"/>
      <c r="CU59" s="3617"/>
    </row>
    <row r="60" spans="2:100" outlineLevel="1">
      <c r="B60" s="3374" t="s">
        <v>1919</v>
      </c>
      <c r="V60" s="3617"/>
      <c r="BU60" s="3597">
        <v>353.024</v>
      </c>
      <c r="BV60" s="3597">
        <v>360.63599999999997</v>
      </c>
      <c r="BW60" s="3597">
        <v>360.22</v>
      </c>
      <c r="BX60" s="3597">
        <v>356.77499999999998</v>
      </c>
      <c r="BY60" s="3597">
        <v>347.82400000000001</v>
      </c>
      <c r="BZ60" s="3597">
        <v>340.72699999999998</v>
      </c>
      <c r="CA60" s="3597">
        <v>339.05</v>
      </c>
      <c r="CB60" s="3597">
        <v>315.495</v>
      </c>
      <c r="CC60" s="3597">
        <v>312.02999999999997</v>
      </c>
      <c r="CD60" s="3597">
        <v>308.43700000000001</v>
      </c>
      <c r="CE60" s="3597">
        <v>311.267</v>
      </c>
      <c r="CF60" s="3603">
        <v>302</v>
      </c>
      <c r="CG60" s="3603">
        <v>305</v>
      </c>
      <c r="CH60" s="3603">
        <v>306</v>
      </c>
      <c r="CI60" s="3603">
        <v>302</v>
      </c>
      <c r="CJ60" s="3603">
        <v>304</v>
      </c>
      <c r="CK60" s="3603">
        <v>304</v>
      </c>
      <c r="CL60" s="3603">
        <v>321</v>
      </c>
      <c r="CM60" s="3603">
        <v>298</v>
      </c>
      <c r="CN60" s="3603">
        <v>298</v>
      </c>
      <c r="CO60" s="3603">
        <v>298</v>
      </c>
      <c r="CP60" s="3603">
        <v>298</v>
      </c>
      <c r="CQ60" s="3603">
        <v>296</v>
      </c>
      <c r="CR60" s="3603">
        <v>295</v>
      </c>
      <c r="CS60" s="3603">
        <v>295</v>
      </c>
      <c r="CT60" s="3603">
        <v>289</v>
      </c>
      <c r="CU60" s="3603">
        <v>296</v>
      </c>
      <c r="CV60" s="3603">
        <v>296</v>
      </c>
    </row>
    <row r="61" spans="2:100" outlineLevel="1">
      <c r="B61" s="3405" t="s">
        <v>1898</v>
      </c>
      <c r="V61" s="3617"/>
      <c r="CU61" s="3617"/>
    </row>
    <row r="62" spans="2:100" outlineLevel="1">
      <c r="B62" s="3409" t="s">
        <v>1897</v>
      </c>
      <c r="V62" s="3617"/>
      <c r="CU62" s="3617"/>
    </row>
    <row r="63" spans="2:100" outlineLevel="1">
      <c r="B63" s="3374" t="s">
        <v>1899</v>
      </c>
      <c r="V63" s="3617"/>
      <c r="BU63" s="287">
        <f>+BU51+BU54+BU57+BU60</f>
        <v>1633.7919999999999</v>
      </c>
      <c r="BV63" s="287">
        <f t="shared" ref="BV63:CO63" si="60">+BV51+BV54+BV57+BV60</f>
        <v>1687.636</v>
      </c>
      <c r="BW63" s="287">
        <f t="shared" si="60"/>
        <v>1711.7059999999999</v>
      </c>
      <c r="BX63" s="287">
        <f t="shared" si="60"/>
        <v>1712.7570000000001</v>
      </c>
      <c r="BY63" s="287">
        <f t="shared" si="60"/>
        <v>1734.1750000000002</v>
      </c>
      <c r="BZ63" s="287">
        <f t="shared" si="60"/>
        <v>1743.7529999999997</v>
      </c>
      <c r="CA63" s="287">
        <f t="shared" si="60"/>
        <v>1757.184</v>
      </c>
      <c r="CB63" s="287">
        <f t="shared" si="60"/>
        <v>1762.143</v>
      </c>
      <c r="CC63" s="287">
        <f t="shared" si="60"/>
        <v>1746.4590000000001</v>
      </c>
      <c r="CD63" s="287">
        <f t="shared" si="60"/>
        <v>1761.7329999999997</v>
      </c>
      <c r="CE63" s="287">
        <f t="shared" si="60"/>
        <v>1783.44</v>
      </c>
      <c r="CF63" s="287">
        <f t="shared" si="60"/>
        <v>1828</v>
      </c>
      <c r="CG63" s="287">
        <f t="shared" si="60"/>
        <v>1854</v>
      </c>
      <c r="CH63" s="287">
        <f t="shared" si="60"/>
        <v>1886</v>
      </c>
      <c r="CI63" s="287">
        <f t="shared" si="60"/>
        <v>1894</v>
      </c>
      <c r="CJ63" s="287">
        <f t="shared" si="60"/>
        <v>1918</v>
      </c>
      <c r="CK63" s="287">
        <f t="shared" si="60"/>
        <v>1927</v>
      </c>
      <c r="CL63" s="287">
        <f t="shared" si="60"/>
        <v>1941</v>
      </c>
      <c r="CM63" s="287">
        <f t="shared" si="60"/>
        <v>1946</v>
      </c>
      <c r="CN63" s="287">
        <f t="shared" si="60"/>
        <v>1943</v>
      </c>
      <c r="CO63" s="287">
        <f t="shared" si="60"/>
        <v>1943</v>
      </c>
      <c r="CP63" s="287">
        <f t="shared" ref="CP63:CU63" si="61">+CP51+CP54+CP57+CP60</f>
        <v>1943</v>
      </c>
      <c r="CQ63" s="287">
        <f t="shared" si="61"/>
        <v>1929</v>
      </c>
      <c r="CR63" s="287">
        <f t="shared" si="61"/>
        <v>1933</v>
      </c>
      <c r="CS63" s="287">
        <f t="shared" si="61"/>
        <v>1946</v>
      </c>
      <c r="CT63" s="287">
        <f t="shared" si="61"/>
        <v>1965</v>
      </c>
      <c r="CU63" s="287">
        <f t="shared" si="61"/>
        <v>1963</v>
      </c>
      <c r="CV63" s="287">
        <f t="shared" ref="CV63" si="62">+CV51+CV54+CV57+CV60</f>
        <v>1963</v>
      </c>
    </row>
    <row r="64" spans="2:100" outlineLevel="1">
      <c r="B64" s="3374" t="s">
        <v>1900</v>
      </c>
      <c r="V64" s="3617"/>
      <c r="BU64" s="3601">
        <v>240</v>
      </c>
      <c r="BV64" s="3601">
        <v>224</v>
      </c>
      <c r="BW64" s="3601">
        <v>225</v>
      </c>
      <c r="BX64" s="3601">
        <v>211</v>
      </c>
      <c r="BY64" s="3601">
        <v>236</v>
      </c>
      <c r="BZ64" s="3601">
        <v>229</v>
      </c>
      <c r="CA64" s="3601">
        <v>225</v>
      </c>
      <c r="CB64" s="3601">
        <v>223</v>
      </c>
      <c r="CC64" s="3601">
        <v>205</v>
      </c>
      <c r="CD64" s="3601">
        <v>186</v>
      </c>
      <c r="CE64" s="3601">
        <v>172</v>
      </c>
      <c r="CF64" s="3602">
        <f t="shared" ref="CF64:CT64" si="63">CF28</f>
        <v>159</v>
      </c>
      <c r="CG64" s="3602">
        <f t="shared" si="63"/>
        <v>149</v>
      </c>
      <c r="CH64" s="3602">
        <f t="shared" si="63"/>
        <v>144</v>
      </c>
      <c r="CI64" s="3602">
        <f t="shared" si="63"/>
        <v>144</v>
      </c>
      <c r="CJ64" s="3602">
        <f t="shared" si="63"/>
        <v>134</v>
      </c>
      <c r="CK64" s="3602">
        <f t="shared" si="63"/>
        <v>126</v>
      </c>
      <c r="CL64" s="3602">
        <f t="shared" si="63"/>
        <v>120</v>
      </c>
      <c r="CM64" s="3602">
        <f t="shared" si="63"/>
        <v>116</v>
      </c>
      <c r="CN64" s="3602">
        <f t="shared" si="63"/>
        <v>110</v>
      </c>
      <c r="CO64" s="3602">
        <f t="shared" si="63"/>
        <v>106</v>
      </c>
      <c r="CP64" s="3602">
        <f t="shared" si="63"/>
        <v>101</v>
      </c>
      <c r="CQ64" s="3602">
        <f t="shared" si="63"/>
        <v>104</v>
      </c>
      <c r="CR64" s="3602">
        <f t="shared" si="63"/>
        <v>99</v>
      </c>
      <c r="CS64" s="3602">
        <f t="shared" si="63"/>
        <v>102</v>
      </c>
      <c r="CT64" s="3602">
        <f t="shared" si="63"/>
        <v>96</v>
      </c>
      <c r="CU64" s="3602">
        <f>CU28</f>
        <v>96</v>
      </c>
      <c r="CV64" s="3602">
        <f t="shared" ref="CV64" si="64">CV28</f>
        <v>93</v>
      </c>
    </row>
    <row r="65" spans="2:104" outlineLevel="1">
      <c r="B65" s="3374" t="s">
        <v>876</v>
      </c>
      <c r="V65" s="3617"/>
      <c r="BU65" s="287">
        <f>+BU63+BU64</f>
        <v>1873.7919999999999</v>
      </c>
      <c r="BV65" s="287">
        <f t="shared" ref="BV65:CO65" si="65">+BV63+BV64</f>
        <v>1911.636</v>
      </c>
      <c r="BW65" s="287">
        <f t="shared" si="65"/>
        <v>1936.7059999999999</v>
      </c>
      <c r="BX65" s="287">
        <f t="shared" si="65"/>
        <v>1923.7570000000001</v>
      </c>
      <c r="BY65" s="287">
        <f t="shared" si="65"/>
        <v>1970.1750000000002</v>
      </c>
      <c r="BZ65" s="287">
        <f t="shared" si="65"/>
        <v>1972.7529999999997</v>
      </c>
      <c r="CA65" s="287">
        <f t="shared" si="65"/>
        <v>1982.184</v>
      </c>
      <c r="CB65" s="287">
        <f t="shared" si="65"/>
        <v>1985.143</v>
      </c>
      <c r="CC65" s="287">
        <f t="shared" si="65"/>
        <v>1951.4590000000001</v>
      </c>
      <c r="CD65" s="287">
        <f t="shared" si="65"/>
        <v>1947.7329999999997</v>
      </c>
      <c r="CE65" s="287">
        <f t="shared" si="65"/>
        <v>1955.44</v>
      </c>
      <c r="CF65" s="287">
        <f t="shared" si="65"/>
        <v>1987</v>
      </c>
      <c r="CG65" s="287">
        <f t="shared" si="65"/>
        <v>2003</v>
      </c>
      <c r="CH65" s="287">
        <f t="shared" si="65"/>
        <v>2030</v>
      </c>
      <c r="CI65" s="287">
        <f t="shared" si="65"/>
        <v>2038</v>
      </c>
      <c r="CJ65" s="287">
        <f t="shared" si="65"/>
        <v>2052</v>
      </c>
      <c r="CK65" s="287">
        <f t="shared" si="65"/>
        <v>2053</v>
      </c>
      <c r="CL65" s="287">
        <f t="shared" si="65"/>
        <v>2061</v>
      </c>
      <c r="CM65" s="287">
        <f t="shared" si="65"/>
        <v>2062</v>
      </c>
      <c r="CN65" s="287">
        <f t="shared" si="65"/>
        <v>2053</v>
      </c>
      <c r="CO65" s="287">
        <f t="shared" si="65"/>
        <v>2049</v>
      </c>
      <c r="CP65" s="287">
        <f t="shared" ref="CP65:CU65" si="66">+CP63+CP64</f>
        <v>2044</v>
      </c>
      <c r="CQ65" s="287">
        <f t="shared" si="66"/>
        <v>2033</v>
      </c>
      <c r="CR65" s="287">
        <f t="shared" si="66"/>
        <v>2032</v>
      </c>
      <c r="CS65" s="287">
        <f t="shared" si="66"/>
        <v>2048</v>
      </c>
      <c r="CT65" s="287">
        <f t="shared" si="66"/>
        <v>2061</v>
      </c>
      <c r="CU65" s="287">
        <f t="shared" si="66"/>
        <v>2059</v>
      </c>
      <c r="CV65" s="287">
        <f t="shared" ref="CV65" si="67">+CV63+CV64</f>
        <v>2056</v>
      </c>
    </row>
    <row r="66" spans="2:104" outlineLevel="1">
      <c r="B66" s="3405" t="s">
        <v>1897</v>
      </c>
      <c r="V66" s="3617"/>
      <c r="BU66" s="287"/>
      <c r="BV66" s="287"/>
      <c r="BW66" s="287"/>
      <c r="BX66" s="287"/>
      <c r="BY66" s="3595">
        <f>+BY65/BU65-1</f>
        <v>5.1437406072819325E-2</v>
      </c>
      <c r="BZ66" s="3595">
        <f t="shared" ref="BZ66:CT66" si="68">+BZ65/BV65-1</f>
        <v>3.1971044696793571E-2</v>
      </c>
      <c r="CA66" s="3595">
        <f t="shared" si="68"/>
        <v>2.3482139261199242E-2</v>
      </c>
      <c r="CB66" s="3595">
        <f t="shared" si="68"/>
        <v>3.190943554721315E-2</v>
      </c>
      <c r="CC66" s="3595">
        <f t="shared" si="68"/>
        <v>-9.4996637354550773E-3</v>
      </c>
      <c r="CD66" s="3595">
        <f t="shared" si="68"/>
        <v>-1.2682783906550865E-2</v>
      </c>
      <c r="CE66" s="3595">
        <f t="shared" si="68"/>
        <v>-1.3492188414395367E-2</v>
      </c>
      <c r="CF66" s="3595">
        <f t="shared" si="68"/>
        <v>9.3544898276842758E-4</v>
      </c>
      <c r="CG66" s="3595">
        <f t="shared" si="68"/>
        <v>2.6411520815963874E-2</v>
      </c>
      <c r="CH66" s="3595">
        <f t="shared" si="68"/>
        <v>4.2237308707097077E-2</v>
      </c>
      <c r="CI66" s="3595">
        <f t="shared" si="68"/>
        <v>4.22206766763491E-2</v>
      </c>
      <c r="CJ66" s="3595">
        <f t="shared" si="68"/>
        <v>3.2712632108706563E-2</v>
      </c>
      <c r="CK66" s="3595">
        <f t="shared" si="68"/>
        <v>2.4962556165751382E-2</v>
      </c>
      <c r="CL66" s="3595">
        <f t="shared" si="68"/>
        <v>1.5270935960591148E-2</v>
      </c>
      <c r="CM66" s="3595">
        <f t="shared" si="68"/>
        <v>1.1776251226692791E-2</v>
      </c>
      <c r="CN66" s="3595">
        <f t="shared" si="68"/>
        <v>4.873294346978696E-4</v>
      </c>
      <c r="CO66" s="3595">
        <f t="shared" si="68"/>
        <v>-1.9483682415976089E-3</v>
      </c>
      <c r="CP66" s="3595">
        <f t="shared" si="68"/>
        <v>-8.2484230955847115E-3</v>
      </c>
      <c r="CQ66" s="3595">
        <f t="shared" si="68"/>
        <v>-1.4064015518913675E-2</v>
      </c>
      <c r="CR66" s="3595">
        <f t="shared" si="68"/>
        <v>-1.0228933268387697E-2</v>
      </c>
      <c r="CS66" s="3595">
        <f t="shared" si="68"/>
        <v>-4.8804294777937685E-4</v>
      </c>
      <c r="CT66" s="3595">
        <f t="shared" si="68"/>
        <v>8.3170254403130972E-3</v>
      </c>
      <c r="CU66" s="3595">
        <f>+CU65/CQ65-1</f>
        <v>1.2788981800295085E-2</v>
      </c>
      <c r="CV66" s="3595">
        <f t="shared" ref="CV66" si="69">+CV65/CR65-1</f>
        <v>1.1811023622047223E-2</v>
      </c>
    </row>
    <row r="67" spans="2:104" outlineLevel="1">
      <c r="V67" s="3617"/>
      <c r="BU67" s="287"/>
      <c r="BV67" s="287"/>
      <c r="BW67" s="287"/>
      <c r="BX67" s="287"/>
      <c r="BY67" s="287"/>
      <c r="BZ67" s="287"/>
      <c r="CA67" s="287"/>
      <c r="CB67" s="287"/>
      <c r="CC67" s="287"/>
      <c r="CD67" s="287"/>
      <c r="CE67" s="287"/>
      <c r="CF67" s="287"/>
      <c r="CG67" s="287"/>
      <c r="CH67" s="287"/>
      <c r="CI67" s="287"/>
      <c r="CJ67" s="287"/>
      <c r="CK67" s="287"/>
      <c r="CL67" s="287"/>
      <c r="CM67" s="287"/>
      <c r="CN67" s="287"/>
      <c r="CO67" s="287"/>
      <c r="CP67" s="287"/>
      <c r="CQ67" s="287"/>
      <c r="CR67" s="287"/>
      <c r="CS67" s="287"/>
      <c r="CT67" s="287"/>
      <c r="CU67" s="287"/>
      <c r="CV67" s="287"/>
    </row>
    <row r="68" spans="2:104">
      <c r="B68" s="3406" t="s">
        <v>1920</v>
      </c>
      <c r="C68" s="3410"/>
      <c r="D68" s="3410"/>
      <c r="E68" s="3411"/>
      <c r="F68" s="3411"/>
      <c r="G68" s="3411"/>
      <c r="H68" s="3411"/>
      <c r="I68" s="3411"/>
      <c r="J68" s="3411"/>
      <c r="K68" s="3412"/>
      <c r="L68" s="3413"/>
      <c r="M68" s="3413"/>
      <c r="N68" s="3413"/>
      <c r="O68" s="3413"/>
      <c r="P68" s="3413"/>
      <c r="Q68" s="3414">
        <f t="shared" ref="Q68:CB68" si="70">Q3</f>
        <v>2013</v>
      </c>
      <c r="R68" s="3414">
        <f t="shared" si="70"/>
        <v>2014</v>
      </c>
      <c r="S68" s="3414">
        <f t="shared" si="70"/>
        <v>2015</v>
      </c>
      <c r="T68" s="3414">
        <f>T3</f>
        <v>2016</v>
      </c>
      <c r="U68" s="3414" t="str">
        <f>U3</f>
        <v>2017E</v>
      </c>
      <c r="V68" s="3414" t="str">
        <f>V3</f>
        <v>2018E</v>
      </c>
      <c r="W68" s="3414" t="str">
        <f t="shared" si="70"/>
        <v>2019E</v>
      </c>
      <c r="X68" s="3414" t="str">
        <f t="shared" si="70"/>
        <v>2020E</v>
      </c>
      <c r="Y68" s="3414" t="str">
        <f t="shared" si="70"/>
        <v>2021E</v>
      </c>
      <c r="Z68" s="3414" t="str">
        <f t="shared" si="70"/>
        <v>2022E</v>
      </c>
      <c r="AA68" s="3414" t="str">
        <f t="shared" si="70"/>
        <v>2023E</v>
      </c>
      <c r="AB68" s="3414" t="str">
        <f t="shared" si="70"/>
        <v>2024E</v>
      </c>
      <c r="AC68" s="3414" t="str">
        <f t="shared" si="70"/>
        <v>2025E</v>
      </c>
      <c r="AD68" s="3414" t="str">
        <f t="shared" si="70"/>
        <v>2026E</v>
      </c>
      <c r="AE68" s="3414"/>
      <c r="AF68" s="3415">
        <f t="shared" si="70"/>
        <v>0</v>
      </c>
      <c r="AG68" s="3416" t="str">
        <f t="shared" si="70"/>
        <v>1Q01</v>
      </c>
      <c r="AH68" s="3416" t="str">
        <f t="shared" si="70"/>
        <v>2Q01</v>
      </c>
      <c r="AI68" s="3416" t="str">
        <f t="shared" si="70"/>
        <v>3Q01</v>
      </c>
      <c r="AJ68" s="3416" t="str">
        <f t="shared" si="70"/>
        <v>4Q01</v>
      </c>
      <c r="AK68" s="3416" t="str">
        <f t="shared" si="70"/>
        <v>1Q02</v>
      </c>
      <c r="AL68" s="3416" t="str">
        <f t="shared" si="70"/>
        <v>2Q02</v>
      </c>
      <c r="AM68" s="3416" t="str">
        <f t="shared" si="70"/>
        <v>3Q02</v>
      </c>
      <c r="AN68" s="3416" t="str">
        <f t="shared" si="70"/>
        <v>4Q02</v>
      </c>
      <c r="AO68" s="3416" t="str">
        <f t="shared" si="70"/>
        <v>1Q03</v>
      </c>
      <c r="AP68" s="3416" t="str">
        <f t="shared" si="70"/>
        <v>2Q03</v>
      </c>
      <c r="AQ68" s="3416" t="str">
        <f t="shared" si="70"/>
        <v>3Q03</v>
      </c>
      <c r="AR68" s="3416" t="str">
        <f t="shared" si="70"/>
        <v>4Q03</v>
      </c>
      <c r="AS68" s="3416" t="str">
        <f t="shared" si="70"/>
        <v>1Q04</v>
      </c>
      <c r="AT68" s="3416" t="str">
        <f t="shared" si="70"/>
        <v>2Q04</v>
      </c>
      <c r="AU68" s="3416" t="str">
        <f t="shared" si="70"/>
        <v>3Q04</v>
      </c>
      <c r="AV68" s="3416" t="str">
        <f t="shared" si="70"/>
        <v>4Q04</v>
      </c>
      <c r="AW68" s="3416" t="str">
        <f t="shared" si="70"/>
        <v>1Q05</v>
      </c>
      <c r="AX68" s="3416" t="str">
        <f t="shared" si="70"/>
        <v>2Q05</v>
      </c>
      <c r="AY68" s="3416" t="str">
        <f t="shared" si="70"/>
        <v>3Q05</v>
      </c>
      <c r="AZ68" s="3416" t="str">
        <f t="shared" si="70"/>
        <v>4Q05</v>
      </c>
      <c r="BA68" s="3416" t="str">
        <f t="shared" si="70"/>
        <v>1Q06</v>
      </c>
      <c r="BB68" s="3416" t="str">
        <f t="shared" si="70"/>
        <v>2Q06</v>
      </c>
      <c r="BC68" s="3416" t="str">
        <f t="shared" si="70"/>
        <v>3Q06</v>
      </c>
      <c r="BD68" s="3416" t="str">
        <f t="shared" si="70"/>
        <v>4Q06</v>
      </c>
      <c r="BE68" s="3416" t="str">
        <f t="shared" si="70"/>
        <v>1Q07</v>
      </c>
      <c r="BF68" s="3416" t="str">
        <f t="shared" si="70"/>
        <v>2Q07</v>
      </c>
      <c r="BG68" s="3416" t="str">
        <f t="shared" si="70"/>
        <v>3Q07</v>
      </c>
      <c r="BH68" s="3416" t="str">
        <f t="shared" si="70"/>
        <v>4Q07</v>
      </c>
      <c r="BI68" s="3416" t="str">
        <f t="shared" si="70"/>
        <v>1Q08</v>
      </c>
      <c r="BJ68" s="3416" t="str">
        <f t="shared" si="70"/>
        <v>2Q08</v>
      </c>
      <c r="BK68" s="3416" t="str">
        <f t="shared" si="70"/>
        <v>3Q08</v>
      </c>
      <c r="BL68" s="3416" t="str">
        <f t="shared" si="70"/>
        <v>4Q08</v>
      </c>
      <c r="BM68" s="3416" t="str">
        <f t="shared" si="70"/>
        <v>1Q09</v>
      </c>
      <c r="BN68" s="3416" t="str">
        <f t="shared" si="70"/>
        <v>2Q09</v>
      </c>
      <c r="BO68" s="3416" t="str">
        <f t="shared" si="70"/>
        <v>3Q09</v>
      </c>
      <c r="BP68" s="3416" t="str">
        <f t="shared" si="70"/>
        <v>4Q09</v>
      </c>
      <c r="BQ68" s="3416" t="str">
        <f t="shared" si="70"/>
        <v>1Q10</v>
      </c>
      <c r="BR68" s="3416" t="str">
        <f t="shared" si="70"/>
        <v>2Q10</v>
      </c>
      <c r="BS68" s="3416" t="str">
        <f t="shared" si="70"/>
        <v>3Q10</v>
      </c>
      <c r="BT68" s="3416" t="str">
        <f t="shared" si="70"/>
        <v>4Q10</v>
      </c>
      <c r="BU68" s="3416" t="str">
        <f t="shared" si="70"/>
        <v>1Q11</v>
      </c>
      <c r="BV68" s="3416" t="str">
        <f t="shared" si="70"/>
        <v>2Q11</v>
      </c>
      <c r="BW68" s="3416" t="str">
        <f t="shared" si="70"/>
        <v>3Q11</v>
      </c>
      <c r="BX68" s="3416" t="str">
        <f t="shared" si="70"/>
        <v>4Q11</v>
      </c>
      <c r="BY68" s="3416" t="str">
        <f t="shared" si="70"/>
        <v>1Q12</v>
      </c>
      <c r="BZ68" s="3416" t="str">
        <f t="shared" si="70"/>
        <v>2Q12</v>
      </c>
      <c r="CA68" s="3416" t="str">
        <f t="shared" si="70"/>
        <v>3Q12</v>
      </c>
      <c r="CB68" s="3416" t="str">
        <f t="shared" si="70"/>
        <v>4Q12</v>
      </c>
      <c r="CC68" s="3416" t="str">
        <f t="shared" ref="CC68:CT68" si="71">CC3</f>
        <v>1Q13</v>
      </c>
      <c r="CD68" s="3416" t="str">
        <f t="shared" si="71"/>
        <v>2Q13</v>
      </c>
      <c r="CE68" s="3416" t="str">
        <f t="shared" si="71"/>
        <v>3Q13</v>
      </c>
      <c r="CF68" s="3416" t="str">
        <f t="shared" si="71"/>
        <v>4Q13</v>
      </c>
      <c r="CG68" s="3416" t="str">
        <f t="shared" si="71"/>
        <v>1Q14</v>
      </c>
      <c r="CH68" s="3416" t="str">
        <f t="shared" si="71"/>
        <v>2Q14</v>
      </c>
      <c r="CI68" s="3416" t="str">
        <f t="shared" si="71"/>
        <v>3Q14</v>
      </c>
      <c r="CJ68" s="3416" t="str">
        <f t="shared" si="71"/>
        <v>4Q14</v>
      </c>
      <c r="CK68" s="3416" t="str">
        <f t="shared" si="71"/>
        <v>1Q15</v>
      </c>
      <c r="CL68" s="3416" t="str">
        <f t="shared" si="71"/>
        <v>2Q15</v>
      </c>
      <c r="CM68" s="3416" t="str">
        <f t="shared" si="71"/>
        <v>3Q15</v>
      </c>
      <c r="CN68" s="3416" t="str">
        <f t="shared" si="71"/>
        <v>4Q15</v>
      </c>
      <c r="CO68" s="3416" t="str">
        <f t="shared" si="71"/>
        <v>1Q16</v>
      </c>
      <c r="CP68" s="3416" t="str">
        <f t="shared" si="71"/>
        <v>2Q16</v>
      </c>
      <c r="CQ68" s="3416" t="str">
        <f t="shared" si="71"/>
        <v>3Q16</v>
      </c>
      <c r="CR68" s="3416" t="str">
        <f t="shared" si="71"/>
        <v>4Q16</v>
      </c>
      <c r="CS68" s="3416" t="str">
        <f t="shared" si="71"/>
        <v>1Q17</v>
      </c>
      <c r="CT68" s="3416" t="str">
        <f t="shared" si="71"/>
        <v>2Q17</v>
      </c>
      <c r="CU68" s="3416" t="str">
        <f>CU3</f>
        <v>3Q17</v>
      </c>
      <c r="CV68" s="3416" t="str">
        <f t="shared" ref="CV68" si="72">CV3</f>
        <v>4Q17</v>
      </c>
      <c r="CW68" s="3416" t="str">
        <f>CW3</f>
        <v>1Q18E</v>
      </c>
      <c r="CX68" s="3416" t="str">
        <f>CX3</f>
        <v>2Q18E</v>
      </c>
      <c r="CY68" s="3416" t="str">
        <f>CY3</f>
        <v>3Q18E</v>
      </c>
      <c r="CZ68" s="3416" t="str">
        <f>CZ3</f>
        <v>4Q18E</v>
      </c>
    </row>
    <row r="69" spans="2:104">
      <c r="B69" s="3417" t="s">
        <v>1892</v>
      </c>
      <c r="C69" s="3417"/>
      <c r="D69" s="3417"/>
      <c r="E69" s="3418"/>
      <c r="F69" s="3418"/>
      <c r="G69" s="3418"/>
      <c r="H69" s="3418"/>
      <c r="I69" s="3418"/>
      <c r="J69" s="3418"/>
      <c r="K69" s="3419"/>
      <c r="L69" s="3420"/>
      <c r="M69" s="3420"/>
      <c r="N69" s="3420"/>
      <c r="O69" s="3420"/>
      <c r="P69" s="3421">
        <f t="shared" ref="P69:Y71" si="73">+P7/O7-1</f>
        <v>2.2323226244516547E-2</v>
      </c>
      <c r="Q69" s="3421">
        <f t="shared" si="73"/>
        <v>3.6791144852936108E-2</v>
      </c>
      <c r="R69" s="3421">
        <f t="shared" si="73"/>
        <v>7.1083271019301897E-2</v>
      </c>
      <c r="S69" s="3421">
        <f t="shared" si="73"/>
        <v>5.8121697630816538E-2</v>
      </c>
      <c r="T69" s="3421">
        <f t="shared" si="73"/>
        <v>2.4645618556700999E-2</v>
      </c>
      <c r="U69" s="3421">
        <f t="shared" si="73"/>
        <v>1.2733846879421584E-2</v>
      </c>
      <c r="V69" s="3421">
        <f ca="1">+V7/U7-1</f>
        <v>9.7142191865879912E-3</v>
      </c>
      <c r="W69" s="3421">
        <f t="shared" ca="1" si="73"/>
        <v>1.2093580809843685E-2</v>
      </c>
      <c r="X69" s="3421">
        <f t="shared" ca="1" si="73"/>
        <v>1.1782323068961542E-2</v>
      </c>
      <c r="Y69" s="3421">
        <f t="shared" ca="1" si="73"/>
        <v>1.2105447848839157E-2</v>
      </c>
      <c r="Z69" s="3421">
        <f ca="1">+Z7/Y7-1</f>
        <v>1.2321748406470823E-2</v>
      </c>
      <c r="AA69" s="3421">
        <f ca="1">+AA7/Z7-1</f>
        <v>1.1223039331692997E-2</v>
      </c>
      <c r="AB69" s="3421">
        <f ca="1">+AB7/AA7-1</f>
        <v>9.9894519301588769E-3</v>
      </c>
      <c r="AC69" s="3421">
        <f ca="1">+AC7/AB7-1</f>
        <v>1.0708719842890346E-2</v>
      </c>
      <c r="AD69" s="3421">
        <f ca="1">+AD7/AC7-1</f>
        <v>1.1380472765399885E-2</v>
      </c>
      <c r="AE69" s="3421"/>
      <c r="AF69" s="3420"/>
      <c r="AG69" s="3419"/>
      <c r="AH69" s="3419"/>
      <c r="AI69" s="3419"/>
      <c r="AJ69" s="3419"/>
      <c r="AK69" s="3419"/>
      <c r="AL69" s="3419"/>
      <c r="AM69" s="3419"/>
      <c r="AN69" s="3419"/>
      <c r="AO69" s="3422"/>
      <c r="AP69" s="3422"/>
      <c r="AQ69" s="3422"/>
      <c r="AR69" s="3422"/>
      <c r="AS69" s="3422"/>
      <c r="AT69" s="3422"/>
      <c r="AU69" s="3422"/>
      <c r="AV69" s="3422"/>
      <c r="AW69" s="3422"/>
      <c r="AX69" s="3422"/>
      <c r="AY69" s="3422"/>
      <c r="AZ69" s="3422"/>
      <c r="BA69" s="3422"/>
      <c r="BB69" s="3422"/>
      <c r="BC69" s="3422"/>
      <c r="BD69" s="3422"/>
      <c r="BE69" s="3423"/>
      <c r="BF69" s="3423"/>
      <c r="BG69" s="3423"/>
      <c r="BH69" s="3423"/>
      <c r="BI69" s="3423"/>
      <c r="BJ69" s="3423"/>
      <c r="BK69" s="3423"/>
      <c r="BL69" s="3423"/>
      <c r="BM69" s="3423"/>
      <c r="BN69" s="3423"/>
      <c r="BO69" s="3423"/>
      <c r="BP69" s="3424"/>
      <c r="BQ69" s="3421"/>
      <c r="BR69" s="3425"/>
      <c r="BS69" s="3417"/>
      <c r="BT69" s="3417"/>
      <c r="BU69" s="3417"/>
      <c r="BV69" s="3421"/>
      <c r="BW69" s="3421"/>
      <c r="BX69" s="3421"/>
      <c r="BY69" s="3421">
        <f t="shared" ref="BY69:CT71" si="74">+BY7/BU7-1</f>
        <v>3.3032618343667552E-2</v>
      </c>
      <c r="BZ69" s="3421">
        <f t="shared" si="74"/>
        <v>1.9491151884628355E-2</v>
      </c>
      <c r="CA69" s="3421">
        <f t="shared" si="74"/>
        <v>1.4917600133567577E-2</v>
      </c>
      <c r="CB69" s="3421">
        <f t="shared" si="74"/>
        <v>2.2249361540389367E-2</v>
      </c>
      <c r="CC69" s="3421">
        <f t="shared" si="74"/>
        <v>3.6536017153785405E-2</v>
      </c>
      <c r="CD69" s="3421">
        <f t="shared" si="74"/>
        <v>2.9670721969807134E-2</v>
      </c>
      <c r="CE69" s="3421">
        <f t="shared" si="74"/>
        <v>3.6414565826330403E-2</v>
      </c>
      <c r="CF69" s="3421">
        <f t="shared" si="74"/>
        <v>4.4333822417329083E-2</v>
      </c>
      <c r="CG69" s="3421">
        <f t="shared" si="74"/>
        <v>7.0476250112750272E-2</v>
      </c>
      <c r="CH69" s="3421">
        <f t="shared" si="74"/>
        <v>7.5600284756858871E-2</v>
      </c>
      <c r="CI69" s="3421">
        <f t="shared" si="74"/>
        <v>7.1033317800559104E-2</v>
      </c>
      <c r="CJ69" s="3421">
        <f t="shared" si="74"/>
        <v>6.7375886524822626E-2</v>
      </c>
      <c r="CK69" s="3421">
        <f t="shared" si="74"/>
        <v>6.894150417827305E-2</v>
      </c>
      <c r="CL69" s="3421">
        <f t="shared" si="74"/>
        <v>6.5979381443298957E-2</v>
      </c>
      <c r="CM69" s="3421">
        <f t="shared" si="74"/>
        <v>5.4384772263766035E-2</v>
      </c>
      <c r="CN69" s="3421">
        <f t="shared" si="74"/>
        <v>4.3853820598006577E-2</v>
      </c>
      <c r="CO69" s="3421">
        <f t="shared" si="74"/>
        <v>4.1693811074918541E-2</v>
      </c>
      <c r="CP69" s="3421">
        <f t="shared" si="74"/>
        <v>3.481624758220514E-2</v>
      </c>
      <c r="CQ69" s="3421">
        <f t="shared" si="74"/>
        <v>1.4184397163120588E-2</v>
      </c>
      <c r="CR69" s="3421">
        <f t="shared" si="74"/>
        <v>8.274984086569015E-3</v>
      </c>
      <c r="CS69" s="3421">
        <f t="shared" si="74"/>
        <v>-3.1269543464665928E-3</v>
      </c>
      <c r="CT69" s="3421">
        <f t="shared" si="74"/>
        <v>1.2461059190032042E-3</v>
      </c>
      <c r="CU69" s="3421">
        <f>+CU7/CQ7-1</f>
        <v>1.5257469802924417E-2</v>
      </c>
      <c r="CV69" s="3421">
        <f t="shared" ref="CV69:CV71" si="75">+CV7/CR7-1</f>
        <v>3.7878787878787845E-2</v>
      </c>
      <c r="CW69" s="3421">
        <f ca="1">+CW7/CS7-1</f>
        <v>8.6229611041404031E-3</v>
      </c>
      <c r="CX69" s="3421">
        <f ca="1">+CX7/CT7-1</f>
        <v>3.7909147479775473E-3</v>
      </c>
      <c r="CY69" s="3421">
        <f ca="1">+CY7/CU7-1</f>
        <v>1.2750156543519076E-2</v>
      </c>
      <c r="CZ69" s="3421">
        <f ca="1">+CZ7/CV7-1</f>
        <v>1.3613138686131343E-2</v>
      </c>
    </row>
    <row r="70" spans="2:104">
      <c r="B70" s="3404" t="s">
        <v>279</v>
      </c>
      <c r="C70" s="3410"/>
      <c r="D70" s="3410"/>
      <c r="E70" s="3411"/>
      <c r="F70" s="3411"/>
      <c r="G70" s="3411"/>
      <c r="H70" s="3411"/>
      <c r="I70" s="3411"/>
      <c r="J70" s="3411"/>
      <c r="K70" s="3412"/>
      <c r="L70" s="3413"/>
      <c r="M70" s="3413"/>
      <c r="N70" s="3413"/>
      <c r="O70" s="3413"/>
      <c r="P70" s="3426">
        <f t="shared" si="73"/>
        <v>2.9287201244919236E-2</v>
      </c>
      <c r="Q70" s="3426">
        <f t="shared" si="73"/>
        <v>-4.5400426763167467E-2</v>
      </c>
      <c r="R70" s="3426">
        <f t="shared" si="73"/>
        <v>-5.7250742014399947E-2</v>
      </c>
      <c r="S70" s="3426">
        <f t="shared" si="73"/>
        <v>1.6412661195779554E-2</v>
      </c>
      <c r="T70" s="3426">
        <f t="shared" si="73"/>
        <v>-2.422145328719727E-2</v>
      </c>
      <c r="U70" s="3426">
        <f t="shared" si="73"/>
        <v>-4.1962174940898378E-2</v>
      </c>
      <c r="V70" s="3426">
        <f ca="1">+V8/U8-1</f>
        <v>-4.6344848858729359E-2</v>
      </c>
      <c r="W70" s="3426">
        <f t="shared" ref="W70:AD70" ca="1" si="76">+W89</f>
        <v>-4.5344848858729359E-2</v>
      </c>
      <c r="X70" s="3426">
        <f t="shared" ca="1" si="76"/>
        <v>-4.4344848858729358E-2</v>
      </c>
      <c r="Y70" s="3426">
        <f t="shared" ca="1" si="76"/>
        <v>-4.3344848858729357E-2</v>
      </c>
      <c r="Z70" s="3426">
        <f t="shared" ca="1" si="76"/>
        <v>-4.2344848858729356E-2</v>
      </c>
      <c r="AA70" s="3426">
        <f t="shared" ca="1" si="76"/>
        <v>-4.1344848858729355E-2</v>
      </c>
      <c r="AB70" s="3426">
        <f t="shared" ca="1" si="76"/>
        <v>-4.0344848858729354E-2</v>
      </c>
      <c r="AC70" s="3426">
        <f t="shared" ca="1" si="76"/>
        <v>-3.9344848858729353E-2</v>
      </c>
      <c r="AD70" s="3426">
        <f t="shared" ca="1" si="76"/>
        <v>-3.8344848858729352E-2</v>
      </c>
      <c r="AE70" s="3426"/>
      <c r="AF70" s="3413"/>
      <c r="AG70" s="3412"/>
      <c r="AH70" s="3412"/>
      <c r="AI70" s="3412"/>
      <c r="AJ70" s="3412"/>
      <c r="AK70" s="3412"/>
      <c r="AL70" s="3412"/>
      <c r="AM70" s="3412"/>
      <c r="AN70" s="3412"/>
      <c r="AO70" s="3427"/>
      <c r="AP70" s="3427"/>
      <c r="AQ70" s="3427"/>
      <c r="AR70" s="3427"/>
      <c r="AS70" s="3427"/>
      <c r="AT70" s="3427"/>
      <c r="AU70" s="3427"/>
      <c r="AV70" s="3427"/>
      <c r="AW70" s="3427"/>
      <c r="AX70" s="3427"/>
      <c r="AY70" s="3427"/>
      <c r="AZ70" s="3427"/>
      <c r="BA70" s="3427"/>
      <c r="BB70" s="3427"/>
      <c r="BC70" s="3427"/>
      <c r="BD70" s="3427"/>
      <c r="BE70" s="3428"/>
      <c r="BF70" s="3428"/>
      <c r="BG70" s="3428"/>
      <c r="BH70" s="3428"/>
      <c r="BI70" s="3428"/>
      <c r="BJ70" s="3428"/>
      <c r="BK70" s="3428"/>
      <c r="BL70" s="3428"/>
      <c r="BM70" s="3428"/>
      <c r="BN70" s="3428"/>
      <c r="BO70" s="3428"/>
      <c r="BP70" s="3429"/>
      <c r="BQ70" s="3426"/>
      <c r="BR70" s="3430"/>
      <c r="BS70" s="3410"/>
      <c r="BT70" s="3410"/>
      <c r="BU70" s="3410"/>
      <c r="BV70" s="3426"/>
      <c r="BW70" s="3426"/>
      <c r="BX70" s="3426"/>
      <c r="BY70" s="3426">
        <f t="shared" si="74"/>
        <v>3.7492389011939409E-2</v>
      </c>
      <c r="BZ70" s="3426">
        <f t="shared" si="74"/>
        <v>1.4218948120752195E-2</v>
      </c>
      <c r="CA70" s="3426">
        <f t="shared" si="74"/>
        <v>1.8108833703340377E-2</v>
      </c>
      <c r="CB70" s="3426">
        <f t="shared" si="74"/>
        <v>4.7752239917918438E-2</v>
      </c>
      <c r="CC70" s="3426">
        <f t="shared" si="74"/>
        <v>-1.8458941029626641E-2</v>
      </c>
      <c r="CD70" s="3426">
        <f t="shared" si="74"/>
        <v>-2.9800944970135301E-2</v>
      </c>
      <c r="CE70" s="3426">
        <f t="shared" si="74"/>
        <v>-4.3030041793971407E-2</v>
      </c>
      <c r="CF70" s="3426">
        <f t="shared" si="74"/>
        <v>-8.9355438294475009E-2</v>
      </c>
      <c r="CG70" s="3426">
        <f t="shared" si="74"/>
        <v>-7.4968696247449063E-2</v>
      </c>
      <c r="CH70" s="3426">
        <f t="shared" si="74"/>
        <v>-6.8009083629776534E-2</v>
      </c>
      <c r="CI70" s="3426">
        <f t="shared" si="74"/>
        <v>-5.4997803090687025E-2</v>
      </c>
      <c r="CJ70" s="3426">
        <f t="shared" si="74"/>
        <v>-2.9680365296803624E-2</v>
      </c>
      <c r="CK70" s="3426">
        <f t="shared" si="74"/>
        <v>2.5761124121779888E-2</v>
      </c>
      <c r="CL70" s="3426">
        <f t="shared" si="74"/>
        <v>5.6338028169014009E-2</v>
      </c>
      <c r="CM70" s="3426">
        <f t="shared" si="74"/>
        <v>-1.6355140186915862E-2</v>
      </c>
      <c r="CN70" s="3426">
        <f t="shared" si="74"/>
        <v>0</v>
      </c>
      <c r="CO70" s="3426">
        <f t="shared" si="74"/>
        <v>-1.1415525114155223E-2</v>
      </c>
      <c r="CP70" s="3426">
        <f t="shared" si="74"/>
        <v>-1.7777777777777781E-2</v>
      </c>
      <c r="CQ70" s="3426">
        <f t="shared" si="74"/>
        <v>-2.1377672209026088E-2</v>
      </c>
      <c r="CR70" s="3426">
        <f t="shared" si="74"/>
        <v>-4.705882352941182E-2</v>
      </c>
      <c r="CS70" s="3426">
        <f t="shared" si="74"/>
        <v>-6.9284064665127043E-2</v>
      </c>
      <c r="CT70" s="3426">
        <f t="shared" si="74"/>
        <v>-6.1085972850678738E-2</v>
      </c>
      <c r="CU70" s="3426">
        <f>+CU8/CQ8-1</f>
        <v>-1.9417475728155331E-2</v>
      </c>
      <c r="CV70" s="3426">
        <f t="shared" si="75"/>
        <v>-1.4814814814814836E-2</v>
      </c>
      <c r="CW70" s="3426">
        <f ca="1">+CW89</f>
        <v>-2.5000000000000001E-2</v>
      </c>
      <c r="CX70" s="3426">
        <f ca="1">+CX89</f>
        <v>-0.06</v>
      </c>
      <c r="CY70" s="3426">
        <f ca="1">+CY89</f>
        <v>-0.05</v>
      </c>
      <c r="CZ70" s="3426">
        <f ca="1">+CZ89</f>
        <v>-0.05</v>
      </c>
    </row>
    <row r="71" spans="2:104">
      <c r="B71" s="3404" t="s">
        <v>1676</v>
      </c>
      <c r="C71" s="3410"/>
      <c r="D71" s="3410"/>
      <c r="E71" s="3411"/>
      <c r="F71" s="3411"/>
      <c r="G71" s="3411"/>
      <c r="H71" s="3411"/>
      <c r="I71" s="3411"/>
      <c r="J71" s="3411"/>
      <c r="K71" s="3412"/>
      <c r="L71" s="3413"/>
      <c r="M71" s="3413"/>
      <c r="N71" s="3413"/>
      <c r="O71" s="3413"/>
      <c r="P71" s="3426">
        <f t="shared" si="73"/>
        <v>1.8467213743154742E-2</v>
      </c>
      <c r="Q71" s="3426">
        <f t="shared" si="73"/>
        <v>8.2784811621241072E-2</v>
      </c>
      <c r="R71" s="3426">
        <f t="shared" si="73"/>
        <v>0.13439608334825959</v>
      </c>
      <c r="S71" s="3426">
        <f t="shared" si="73"/>
        <v>7.5222302331170443E-2</v>
      </c>
      <c r="T71" s="3426">
        <f t="shared" si="73"/>
        <v>4.358515869468027E-2</v>
      </c>
      <c r="U71" s="3426">
        <f t="shared" si="73"/>
        <v>3.2555150995930537E-2</v>
      </c>
      <c r="V71" s="3426">
        <f ca="1">+V9/U9-1</f>
        <v>2.8563368595726946E-2</v>
      </c>
      <c r="W71" s="3426">
        <f t="shared" ref="W71:AD71" ca="1" si="77">+W93</f>
        <v>0.03</v>
      </c>
      <c r="X71" s="3426">
        <f t="shared" ca="1" si="77"/>
        <v>2.8000000000000001E-2</v>
      </c>
      <c r="Y71" s="3426">
        <f t="shared" ca="1" si="77"/>
        <v>2.7E-2</v>
      </c>
      <c r="Z71" s="3426">
        <f t="shared" ca="1" si="77"/>
        <v>2.5999999999999999E-2</v>
      </c>
      <c r="AA71" s="3426">
        <f t="shared" ca="1" si="77"/>
        <v>2.35E-2</v>
      </c>
      <c r="AB71" s="3426">
        <f t="shared" ca="1" si="77"/>
        <v>2.1000000000000001E-2</v>
      </c>
      <c r="AC71" s="3426">
        <f t="shared" ca="1" si="77"/>
        <v>2.1000000000000001E-2</v>
      </c>
      <c r="AD71" s="3426">
        <f t="shared" ca="1" si="77"/>
        <v>2.1000000000000001E-2</v>
      </c>
      <c r="AE71" s="3426"/>
      <c r="AF71" s="3413"/>
      <c r="AG71" s="3412"/>
      <c r="AH71" s="3412"/>
      <c r="AI71" s="3412"/>
      <c r="AJ71" s="3412"/>
      <c r="AK71" s="3412"/>
      <c r="AL71" s="3412"/>
      <c r="AM71" s="3412"/>
      <c r="AN71" s="3412"/>
      <c r="AO71" s="3427"/>
      <c r="AP71" s="3427"/>
      <c r="AQ71" s="3427"/>
      <c r="AR71" s="3427"/>
      <c r="AS71" s="3427"/>
      <c r="AT71" s="3427"/>
      <c r="AU71" s="3427"/>
      <c r="AV71" s="3427"/>
      <c r="AW71" s="3427"/>
      <c r="AX71" s="3427"/>
      <c r="AY71" s="3427"/>
      <c r="AZ71" s="3427"/>
      <c r="BA71" s="3427"/>
      <c r="BB71" s="3427"/>
      <c r="BC71" s="3427"/>
      <c r="BD71" s="3427"/>
      <c r="BE71" s="3428"/>
      <c r="BF71" s="3428"/>
      <c r="BG71" s="3428"/>
      <c r="BH71" s="3428"/>
      <c r="BI71" s="3428"/>
      <c r="BJ71" s="3428"/>
      <c r="BK71" s="3428"/>
      <c r="BL71" s="3428"/>
      <c r="BM71" s="3428"/>
      <c r="BN71" s="3428"/>
      <c r="BO71" s="3428"/>
      <c r="BP71" s="3429"/>
      <c r="BQ71" s="3426"/>
      <c r="BR71" s="3430"/>
      <c r="BS71" s="3410"/>
      <c r="BT71" s="3410"/>
      <c r="BU71" s="3410"/>
      <c r="BV71" s="3426"/>
      <c r="BW71" s="3426"/>
      <c r="BX71" s="3426"/>
      <c r="BY71" s="3426">
        <f t="shared" si="74"/>
        <v>3.0504065040650286E-2</v>
      </c>
      <c r="BZ71" s="3426">
        <f t="shared" si="74"/>
        <v>2.2462884427537411E-2</v>
      </c>
      <c r="CA71" s="3426">
        <f t="shared" si="74"/>
        <v>1.3153356722364284E-2</v>
      </c>
      <c r="CB71" s="3426">
        <f t="shared" si="74"/>
        <v>8.6631078101426784E-3</v>
      </c>
      <c r="CC71" s="3426">
        <f t="shared" si="74"/>
        <v>6.7927922241858285E-2</v>
      </c>
      <c r="CD71" s="3426">
        <f t="shared" si="74"/>
        <v>6.2922265723742488E-2</v>
      </c>
      <c r="CE71" s="3426">
        <f t="shared" si="74"/>
        <v>8.054958857156258E-2</v>
      </c>
      <c r="CF71" s="3426">
        <f t="shared" si="74"/>
        <v>0.11831470434267377</v>
      </c>
      <c r="CG71" s="3426">
        <f t="shared" si="74"/>
        <v>0.14678247389052479</v>
      </c>
      <c r="CH71" s="3426">
        <f t="shared" si="74"/>
        <v>0.14889013193814082</v>
      </c>
      <c r="CI71" s="3426">
        <f t="shared" si="74"/>
        <v>0.13304169006801514</v>
      </c>
      <c r="CJ71" s="3426">
        <f t="shared" si="74"/>
        <v>0.11111111111111116</v>
      </c>
      <c r="CK71" s="3426">
        <f t="shared" si="74"/>
        <v>8.7215064420218091E-2</v>
      </c>
      <c r="CL71" s="3426">
        <f t="shared" si="74"/>
        <v>6.9970845481049482E-2</v>
      </c>
      <c r="CM71" s="3426">
        <f t="shared" si="74"/>
        <v>8.3413231064237703E-2</v>
      </c>
      <c r="CN71" s="3426">
        <f t="shared" si="74"/>
        <v>6.1111111111111116E-2</v>
      </c>
      <c r="CO71" s="3426">
        <f t="shared" si="74"/>
        <v>6.2898814949863269E-2</v>
      </c>
      <c r="CP71" s="3426">
        <f t="shared" si="74"/>
        <v>5.6312443233424103E-2</v>
      </c>
      <c r="CQ71" s="3426">
        <f t="shared" si="74"/>
        <v>2.7433628318584091E-2</v>
      </c>
      <c r="CR71" s="3426">
        <f t="shared" si="74"/>
        <v>2.8795811518324665E-2</v>
      </c>
      <c r="CS71" s="3426">
        <f t="shared" si="74"/>
        <v>2.1440823327615766E-2</v>
      </c>
      <c r="CT71" s="3426">
        <f t="shared" si="74"/>
        <v>2.4935511607910632E-2</v>
      </c>
      <c r="CU71" s="3426">
        <f>+CU9/CQ9-1</f>
        <v>2.7562446167097354E-2</v>
      </c>
      <c r="CV71" s="3426">
        <f t="shared" si="75"/>
        <v>5.5979643765903253E-2</v>
      </c>
      <c r="CW71" s="3426">
        <f ca="1">+CW93</f>
        <v>0.02</v>
      </c>
      <c r="CX71" s="3426">
        <f ca="1">+CX93</f>
        <v>2.5999999999999999E-2</v>
      </c>
      <c r="CY71" s="3426">
        <f ca="1">+CY93</f>
        <v>3.4000000000000002E-2</v>
      </c>
      <c r="CZ71" s="3426">
        <f ca="1">+CZ93</f>
        <v>3.4000000000000002E-2</v>
      </c>
    </row>
    <row r="72" spans="2:104">
      <c r="B72" s="3404"/>
      <c r="C72" s="3410"/>
      <c r="D72" s="3410"/>
      <c r="E72" s="3411"/>
      <c r="F72" s="3411"/>
      <c r="G72" s="3411"/>
      <c r="H72" s="3411"/>
      <c r="I72" s="3411"/>
      <c r="J72" s="3411"/>
      <c r="K72" s="3412"/>
      <c r="L72" s="3413"/>
      <c r="M72" s="3407"/>
      <c r="N72" s="3407"/>
      <c r="O72" s="3407"/>
      <c r="P72" s="3431"/>
      <c r="Q72" s="3431"/>
      <c r="R72" s="3431"/>
      <c r="S72" s="3431"/>
      <c r="T72" s="3431"/>
      <c r="U72" s="3431"/>
      <c r="V72" s="3431"/>
      <c r="W72" s="3407"/>
      <c r="X72" s="3407"/>
      <c r="Y72" s="3407"/>
      <c r="Z72" s="3407"/>
      <c r="AA72" s="3407"/>
      <c r="AB72" s="3407"/>
      <c r="AC72" s="3407"/>
      <c r="AD72" s="3407"/>
      <c r="AE72" s="3407"/>
      <c r="AF72" s="3407"/>
      <c r="AG72" s="3431"/>
      <c r="AH72" s="3431"/>
      <c r="AI72" s="3431"/>
      <c r="AJ72" s="3431"/>
      <c r="AK72" s="3431"/>
      <c r="AL72" s="3431"/>
      <c r="AM72" s="3431"/>
      <c r="AN72" s="3431"/>
      <c r="AO72" s="3432"/>
      <c r="AP72" s="3432"/>
      <c r="AQ72" s="3432"/>
      <c r="AR72" s="3432"/>
      <c r="AS72" s="3432"/>
      <c r="AT72" s="3432"/>
      <c r="AU72" s="3432"/>
      <c r="AV72" s="3432"/>
      <c r="AW72" s="3432"/>
      <c r="AX72" s="3432"/>
      <c r="AY72" s="3432"/>
      <c r="AZ72" s="3432"/>
      <c r="BA72" s="3432"/>
      <c r="BB72" s="3432"/>
      <c r="BC72" s="3432"/>
      <c r="BD72" s="3432"/>
      <c r="BE72" s="3432"/>
      <c r="BF72" s="3432"/>
      <c r="BG72" s="3432"/>
      <c r="BH72" s="3432"/>
      <c r="BI72" s="3432"/>
      <c r="BJ72" s="3432"/>
      <c r="BK72" s="3432"/>
      <c r="BL72" s="3432"/>
      <c r="BM72" s="3432"/>
      <c r="BN72" s="3432"/>
      <c r="BO72" s="3432"/>
      <c r="BP72" s="3407"/>
      <c r="BQ72" s="3431"/>
      <c r="BR72" s="3431"/>
      <c r="BS72" s="3431"/>
      <c r="BT72" s="3431"/>
      <c r="BU72" s="3431"/>
      <c r="BV72" s="3431"/>
      <c r="BW72" s="3431"/>
      <c r="BX72" s="3431"/>
      <c r="BY72" s="3431"/>
      <c r="BZ72" s="3431"/>
      <c r="CA72" s="3431"/>
      <c r="CB72" s="3431"/>
      <c r="CC72" s="3431"/>
      <c r="CD72" s="3431"/>
      <c r="CE72" s="3431"/>
      <c r="CF72" s="3431"/>
      <c r="CG72" s="3431"/>
      <c r="CH72" s="3431"/>
      <c r="CI72" s="3431"/>
      <c r="CJ72" s="3431"/>
      <c r="CK72" s="3431"/>
      <c r="CL72" s="3431"/>
      <c r="CM72" s="3431"/>
      <c r="CN72" s="3431"/>
      <c r="CO72" s="3431"/>
      <c r="CP72" s="3431"/>
      <c r="CQ72" s="3431"/>
      <c r="CR72" s="3431"/>
      <c r="CS72" s="3431"/>
      <c r="CT72" s="3431"/>
      <c r="CU72" s="3431"/>
      <c r="CV72" s="3431"/>
      <c r="CW72" s="3431"/>
      <c r="CX72" s="3431"/>
      <c r="CY72" s="3431"/>
      <c r="CZ72" s="3431"/>
    </row>
    <row r="73" spans="2:104">
      <c r="B73" s="3417" t="s">
        <v>1893</v>
      </c>
      <c r="C73" s="3417"/>
      <c r="D73" s="3417"/>
      <c r="E73" s="3418"/>
      <c r="F73" s="3418"/>
      <c r="G73" s="3418"/>
      <c r="H73" s="3418"/>
      <c r="I73" s="3418"/>
      <c r="J73" s="3418"/>
      <c r="K73" s="3419"/>
      <c r="L73" s="3420"/>
      <c r="M73" s="3420"/>
      <c r="N73" s="3420"/>
      <c r="O73" s="3420"/>
      <c r="P73" s="3421">
        <f t="shared" ref="P73:AD75" si="78">+P10/O10-1</f>
        <v>6.9069069069069178E-2</v>
      </c>
      <c r="Q73" s="3421">
        <f t="shared" si="78"/>
        <v>5.8988764044943798E-2</v>
      </c>
      <c r="R73" s="3421">
        <f t="shared" si="78"/>
        <v>3.8461538461538547E-2</v>
      </c>
      <c r="S73" s="3421">
        <f t="shared" si="78"/>
        <v>-8.8122605363984641E-2</v>
      </c>
      <c r="T73" s="3421">
        <f t="shared" si="78"/>
        <v>-7.2829131652661028E-2</v>
      </c>
      <c r="U73" s="3421">
        <f t="shared" si="78"/>
        <v>9.6676737160120929E-2</v>
      </c>
      <c r="V73" s="3421">
        <f ca="1">+V10/U10-1</f>
        <v>5.1591003251708401E-2</v>
      </c>
      <c r="W73" s="3421">
        <f t="shared" ca="1" si="78"/>
        <v>7.4844693791928929E-2</v>
      </c>
      <c r="X73" s="3421">
        <f t="shared" ca="1" si="78"/>
        <v>7.0476051398641992E-2</v>
      </c>
      <c r="Y73" s="3421">
        <f t="shared" ca="1" si="78"/>
        <v>6.5641333581052841E-2</v>
      </c>
      <c r="Z73" s="3421">
        <f t="shared" ca="1" si="78"/>
        <v>6.0415516223999211E-2</v>
      </c>
      <c r="AA73" s="3421">
        <f t="shared" ca="1" si="78"/>
        <v>5.4863364178082463E-2</v>
      </c>
      <c r="AB73" s="3421">
        <f t="shared" ca="1" si="78"/>
        <v>5.5653027405389244E-2</v>
      </c>
      <c r="AC73" s="3421">
        <f t="shared" ca="1" si="78"/>
        <v>4.970908058141954E-2</v>
      </c>
      <c r="AD73" s="3421">
        <f t="shared" ca="1" si="78"/>
        <v>5.027841381530207E-2</v>
      </c>
      <c r="AE73" s="3421"/>
      <c r="AF73" s="3420"/>
      <c r="AG73" s="3419"/>
      <c r="AH73" s="3419"/>
      <c r="AI73" s="3419"/>
      <c r="AJ73" s="3419"/>
      <c r="AK73" s="3419"/>
      <c r="AL73" s="3419"/>
      <c r="AM73" s="3419"/>
      <c r="AN73" s="3419"/>
      <c r="AO73" s="3422"/>
      <c r="AP73" s="3422"/>
      <c r="AQ73" s="3422"/>
      <c r="AR73" s="3422"/>
      <c r="AS73" s="3422"/>
      <c r="AT73" s="3422"/>
      <c r="AU73" s="3422"/>
      <c r="AV73" s="3422"/>
      <c r="AW73" s="3422"/>
      <c r="AX73" s="3422"/>
      <c r="AY73" s="3422"/>
      <c r="AZ73" s="3422"/>
      <c r="BA73" s="3422"/>
      <c r="BB73" s="3422"/>
      <c r="BC73" s="3422"/>
      <c r="BD73" s="3422"/>
      <c r="BE73" s="3423"/>
      <c r="BF73" s="3423"/>
      <c r="BG73" s="3423"/>
      <c r="BH73" s="3423"/>
      <c r="BI73" s="3423"/>
      <c r="BJ73" s="3423"/>
      <c r="BK73" s="3423"/>
      <c r="BL73" s="3423"/>
      <c r="BM73" s="3423"/>
      <c r="BN73" s="3423"/>
      <c r="BO73" s="3423"/>
      <c r="BP73" s="3424"/>
      <c r="BQ73" s="3421"/>
      <c r="BR73" s="3425"/>
      <c r="BS73" s="3417"/>
      <c r="BT73" s="3417"/>
      <c r="BU73" s="3417"/>
      <c r="BV73" s="3421"/>
      <c r="BW73" s="3421"/>
      <c r="BX73" s="3421"/>
      <c r="BY73" s="3421">
        <f t="shared" ref="BY73:CT75" si="79">+BY10/BU10-1</f>
        <v>0.13548387096774195</v>
      </c>
      <c r="BZ73" s="3421">
        <f t="shared" si="79"/>
        <v>1.7647058823529349E-2</v>
      </c>
      <c r="CA73" s="3421">
        <f t="shared" si="79"/>
        <v>3.4682080924855585E-2</v>
      </c>
      <c r="CB73" s="3421">
        <f t="shared" si="79"/>
        <v>9.5238095238095344E-2</v>
      </c>
      <c r="CC73" s="3421">
        <f t="shared" si="79"/>
        <v>3.4090909090909172E-2</v>
      </c>
      <c r="CD73" s="3421">
        <f t="shared" si="79"/>
        <v>9.2485549132947931E-2</v>
      </c>
      <c r="CE73" s="3421">
        <f t="shared" si="79"/>
        <v>5.027932960893855E-2</v>
      </c>
      <c r="CF73" s="3421">
        <f t="shared" si="79"/>
        <v>5.9782608695652106E-2</v>
      </c>
      <c r="CG73" s="3421">
        <f t="shared" si="79"/>
        <v>4.3956043956044022E-2</v>
      </c>
      <c r="CH73" s="3421">
        <f t="shared" si="79"/>
        <v>5.8201058201058142E-2</v>
      </c>
      <c r="CI73" s="3421">
        <f t="shared" si="79"/>
        <v>6.9148936170212671E-2</v>
      </c>
      <c r="CJ73" s="3421">
        <f t="shared" si="79"/>
        <v>-1.538461538461533E-2</v>
      </c>
      <c r="CK73" s="3421">
        <f t="shared" si="79"/>
        <v>-2.6315789473684181E-2</v>
      </c>
      <c r="CL73" s="3421">
        <f t="shared" si="79"/>
        <v>-6.9999999999999951E-2</v>
      </c>
      <c r="CM73" s="3421">
        <f t="shared" si="79"/>
        <v>-8.9552238805970186E-2</v>
      </c>
      <c r="CN73" s="3421">
        <f t="shared" si="79"/>
        <v>-0.16666666666666663</v>
      </c>
      <c r="CO73" s="3421">
        <f t="shared" si="79"/>
        <v>-0.15675675675675671</v>
      </c>
      <c r="CP73" s="3421">
        <f t="shared" si="79"/>
        <v>-0.13978494623655913</v>
      </c>
      <c r="CQ73" s="3421">
        <f t="shared" si="79"/>
        <v>-3.8251366120218622E-2</v>
      </c>
      <c r="CR73" s="3421">
        <f t="shared" si="79"/>
        <v>6.25E-2</v>
      </c>
      <c r="CS73" s="3421">
        <f t="shared" si="79"/>
        <v>0.13461538461538458</v>
      </c>
      <c r="CT73" s="3421">
        <f t="shared" si="79"/>
        <v>0.13749999999999996</v>
      </c>
      <c r="CU73" s="3421">
        <f>+CU10/CQ10-1</f>
        <v>3.4090909090909172E-2</v>
      </c>
      <c r="CV73" s="3421">
        <f t="shared" ref="CV73:CV75" si="80">+CV10/CR10-1</f>
        <v>8.8235294117646967E-2</v>
      </c>
      <c r="CW73" s="3421">
        <f ca="1">+CW10/CS10-1</f>
        <v>4.0904341021132495E-2</v>
      </c>
      <c r="CX73" s="3421">
        <f ca="1">+CX10/CT10-1</f>
        <v>2.1428571428571352E-2</v>
      </c>
      <c r="CY73" s="3421">
        <f ca="1">+CY10/CU10-1</f>
        <v>5.6346153846153824E-2</v>
      </c>
      <c r="CZ73" s="3421">
        <f ca="1">+CZ10/CV10-1</f>
        <v>8.681081081081099E-2</v>
      </c>
    </row>
    <row r="74" spans="2:104">
      <c r="B74" s="3404" t="s">
        <v>279</v>
      </c>
      <c r="C74" s="3410"/>
      <c r="D74" s="3410"/>
      <c r="E74" s="3411"/>
      <c r="F74" s="3411"/>
      <c r="G74" s="3411"/>
      <c r="H74" s="3411"/>
      <c r="I74" s="3411"/>
      <c r="J74" s="3411"/>
      <c r="K74" s="3412"/>
      <c r="L74" s="3413"/>
      <c r="M74" s="3413"/>
      <c r="N74" s="3413"/>
      <c r="O74" s="3413"/>
      <c r="P74" s="3426">
        <f t="shared" si="78"/>
        <v>3.3112582781456901E-2</v>
      </c>
      <c r="Q74" s="3426">
        <f t="shared" si="78"/>
        <v>2.564102564102555E-2</v>
      </c>
      <c r="R74" s="3426">
        <f t="shared" si="78"/>
        <v>2.4999999999999911E-2</v>
      </c>
      <c r="S74" s="3426">
        <f t="shared" si="78"/>
        <v>-6.0975609756097615E-2</v>
      </c>
      <c r="T74" s="3426">
        <f t="shared" si="78"/>
        <v>-4.5454545454545414E-2</v>
      </c>
      <c r="U74" s="3426">
        <f t="shared" si="78"/>
        <v>-4.7619047619047672E-2</v>
      </c>
      <c r="V74" s="3426">
        <f ca="1">+V11/U11-1</f>
        <v>-3.5860233150721621E-2</v>
      </c>
      <c r="W74" s="3426">
        <f t="shared" ref="W74:AD74" ca="1" si="81">+W98+W141*W150</f>
        <v>-1.9E-2</v>
      </c>
      <c r="X74" s="3426">
        <f t="shared" ca="1" si="81"/>
        <v>-1.7999999999999999E-2</v>
      </c>
      <c r="Y74" s="3426">
        <f t="shared" ca="1" si="81"/>
        <v>-1.6999999999999998E-2</v>
      </c>
      <c r="Z74" s="3426">
        <f t="shared" ca="1" si="81"/>
        <v>-1.5999999999999997E-2</v>
      </c>
      <c r="AA74" s="3426">
        <f t="shared" ca="1" si="81"/>
        <v>-1.4999999999999996E-2</v>
      </c>
      <c r="AB74" s="3426">
        <f t="shared" ca="1" si="81"/>
        <v>-1.3999999999999995E-2</v>
      </c>
      <c r="AC74" s="3426">
        <f t="shared" ca="1" si="81"/>
        <v>-1.2999999999999994E-2</v>
      </c>
      <c r="AD74" s="3426">
        <f t="shared" ca="1" si="81"/>
        <v>-1.1999999999999993E-2</v>
      </c>
      <c r="AE74" s="3426"/>
      <c r="AF74" s="3413"/>
      <c r="AG74" s="3412"/>
      <c r="AH74" s="3412"/>
      <c r="AI74" s="3412"/>
      <c r="AJ74" s="3412"/>
      <c r="AK74" s="3412"/>
      <c r="AL74" s="3412"/>
      <c r="AM74" s="3412"/>
      <c r="AN74" s="3412"/>
      <c r="AO74" s="3427"/>
      <c r="AP74" s="3427"/>
      <c r="AQ74" s="3427"/>
      <c r="AR74" s="3427"/>
      <c r="AS74" s="3427"/>
      <c r="AT74" s="3427"/>
      <c r="AU74" s="3427"/>
      <c r="AV74" s="3427"/>
      <c r="AW74" s="3427"/>
      <c r="AX74" s="3427"/>
      <c r="AY74" s="3427"/>
      <c r="AZ74" s="3427"/>
      <c r="BA74" s="3427"/>
      <c r="BB74" s="3427"/>
      <c r="BC74" s="3427"/>
      <c r="BD74" s="3427"/>
      <c r="BE74" s="3428"/>
      <c r="BF74" s="3428"/>
      <c r="BG74" s="3428"/>
      <c r="BH74" s="3428"/>
      <c r="BI74" s="3428"/>
      <c r="BJ74" s="3428"/>
      <c r="BK74" s="3428"/>
      <c r="BL74" s="3428"/>
      <c r="BM74" s="3428"/>
      <c r="BN74" s="3428"/>
      <c r="BO74" s="3428"/>
      <c r="BP74" s="3429"/>
      <c r="BQ74" s="3426"/>
      <c r="BR74" s="3430"/>
      <c r="BS74" s="3410"/>
      <c r="BT74" s="3410"/>
      <c r="BU74" s="3410"/>
      <c r="BV74" s="3426"/>
      <c r="BW74" s="3426"/>
      <c r="BX74" s="3426"/>
      <c r="BY74" s="3426">
        <f t="shared" si="79"/>
        <v>5.555555555555558E-2</v>
      </c>
      <c r="BZ74" s="3426">
        <f t="shared" si="79"/>
        <v>-9.7560975609756073E-2</v>
      </c>
      <c r="CA74" s="3426">
        <f t="shared" si="79"/>
        <v>2.564102564102555E-2</v>
      </c>
      <c r="CB74" s="3426">
        <f t="shared" si="79"/>
        <v>0.17142857142857149</v>
      </c>
      <c r="CC74" s="3426">
        <f t="shared" si="79"/>
        <v>5.2631578947368363E-2</v>
      </c>
      <c r="CD74" s="3426">
        <f t="shared" si="79"/>
        <v>8.1081081081081141E-2</v>
      </c>
      <c r="CE74" s="3426">
        <f t="shared" si="79"/>
        <v>-2.5000000000000022E-2</v>
      </c>
      <c r="CF74" s="3426">
        <f t="shared" si="79"/>
        <v>0</v>
      </c>
      <c r="CG74" s="3426">
        <f t="shared" si="79"/>
        <v>0</v>
      </c>
      <c r="CH74" s="3426">
        <f t="shared" si="79"/>
        <v>5.0000000000000044E-2</v>
      </c>
      <c r="CI74" s="3426">
        <f t="shared" si="79"/>
        <v>5.1282051282051322E-2</v>
      </c>
      <c r="CJ74" s="3426">
        <f t="shared" si="79"/>
        <v>0</v>
      </c>
      <c r="CK74" s="3426">
        <f t="shared" si="79"/>
        <v>0</v>
      </c>
      <c r="CL74" s="3426">
        <f t="shared" si="79"/>
        <v>-4.7619047619047672E-2</v>
      </c>
      <c r="CM74" s="3426">
        <f t="shared" si="79"/>
        <v>-4.8780487804878092E-2</v>
      </c>
      <c r="CN74" s="3426">
        <f t="shared" si="79"/>
        <v>-0.14634146341463417</v>
      </c>
      <c r="CO74" s="3426">
        <f t="shared" si="79"/>
        <v>-2.5000000000000022E-2</v>
      </c>
      <c r="CP74" s="3426">
        <f t="shared" si="79"/>
        <v>-7.4999999999999956E-2</v>
      </c>
      <c r="CQ74" s="3426">
        <f t="shared" si="79"/>
        <v>-5.1282051282051322E-2</v>
      </c>
      <c r="CR74" s="3426">
        <f t="shared" si="79"/>
        <v>-2.8571428571428581E-2</v>
      </c>
      <c r="CS74" s="3426">
        <f t="shared" si="79"/>
        <v>-7.6923076923076872E-2</v>
      </c>
      <c r="CT74" s="3426">
        <f t="shared" si="79"/>
        <v>-2.7027027027026973E-2</v>
      </c>
      <c r="CU74" s="3426">
        <f>+CU11/CQ11-1</f>
        <v>-5.4054054054054057E-2</v>
      </c>
      <c r="CV74" s="3426">
        <f t="shared" si="80"/>
        <v>-2.9411764705882359E-2</v>
      </c>
      <c r="CW74" s="3426">
        <f ca="1">+CW98+CW141*CW150</f>
        <v>-3.875667592802013E-2</v>
      </c>
      <c r="CX74" s="3426">
        <f ca="1">+CX98+CX141*CX150</f>
        <v>-5.0769230769230747E-2</v>
      </c>
      <c r="CY74" s="3426">
        <f ca="1">+CY98+CY141*CY150</f>
        <v>-3.2500000000000001E-2</v>
      </c>
      <c r="CZ74" s="3426">
        <f ca="1">+CZ98+CZ141*CZ150</f>
        <v>-0.02</v>
      </c>
    </row>
    <row r="75" spans="2:104">
      <c r="B75" s="3404" t="s">
        <v>1676</v>
      </c>
      <c r="C75" s="3410"/>
      <c r="D75" s="3410"/>
      <c r="E75" s="3411"/>
      <c r="F75" s="3411"/>
      <c r="G75" s="3411"/>
      <c r="H75" s="3411"/>
      <c r="I75" s="3411"/>
      <c r="J75" s="3411"/>
      <c r="K75" s="3412"/>
      <c r="L75" s="3413"/>
      <c r="M75" s="3413"/>
      <c r="N75" s="3413"/>
      <c r="O75" s="3413"/>
      <c r="P75" s="3426">
        <f t="shared" si="78"/>
        <v>7.9611650485436947E-2</v>
      </c>
      <c r="Q75" s="3426">
        <f t="shared" si="78"/>
        <v>6.8345323741007213E-2</v>
      </c>
      <c r="R75" s="3426">
        <f t="shared" si="78"/>
        <v>4.2087542087542174E-2</v>
      </c>
      <c r="S75" s="3426">
        <f t="shared" si="78"/>
        <v>-9.5315024232633272E-2</v>
      </c>
      <c r="T75" s="3426">
        <f t="shared" si="78"/>
        <v>-8.0357142857142905E-2</v>
      </c>
      <c r="U75" s="3426">
        <f t="shared" si="78"/>
        <v>0.13786407766990294</v>
      </c>
      <c r="V75" s="3426">
        <f ca="1">+V12/U12-1</f>
        <v>7.2483790105531298E-2</v>
      </c>
      <c r="W75" s="3426">
        <f t="shared" ref="W75:AD75" ca="1" si="82">+W102+W141*W150</f>
        <v>9.5000000000000001E-2</v>
      </c>
      <c r="X75" s="3426">
        <f t="shared" ca="1" si="82"/>
        <v>8.7499999999999994E-2</v>
      </c>
      <c r="Y75" s="3426">
        <f t="shared" ca="1" si="82"/>
        <v>7.9999999999999988E-2</v>
      </c>
      <c r="Z75" s="3426">
        <f t="shared" ca="1" si="82"/>
        <v>7.2499999999999981E-2</v>
      </c>
      <c r="AA75" s="3426">
        <f t="shared" ca="1" si="82"/>
        <v>6.4999999999999974E-2</v>
      </c>
      <c r="AB75" s="3426">
        <f t="shared" ca="1" si="82"/>
        <v>6.4999999999999974E-2</v>
      </c>
      <c r="AC75" s="3426">
        <f t="shared" ca="1" si="82"/>
        <v>5.7499999999999975E-2</v>
      </c>
      <c r="AD75" s="3426">
        <f t="shared" ca="1" si="82"/>
        <v>5.7499999999999975E-2</v>
      </c>
      <c r="AE75" s="3426"/>
      <c r="AF75" s="3413"/>
      <c r="AG75" s="3412"/>
      <c r="AH75" s="3412"/>
      <c r="AI75" s="3412"/>
      <c r="AJ75" s="3412"/>
      <c r="AK75" s="3412"/>
      <c r="AL75" s="3412"/>
      <c r="AM75" s="3412"/>
      <c r="AN75" s="3412"/>
      <c r="AO75" s="3427"/>
      <c r="AP75" s="3427"/>
      <c r="AQ75" s="3427"/>
      <c r="AR75" s="3427"/>
      <c r="AS75" s="3427"/>
      <c r="AT75" s="3427"/>
      <c r="AU75" s="3427"/>
      <c r="AV75" s="3427"/>
      <c r="AW75" s="3427"/>
      <c r="AX75" s="3427"/>
      <c r="AY75" s="3427"/>
      <c r="AZ75" s="3427"/>
      <c r="BA75" s="3427"/>
      <c r="BB75" s="3427"/>
      <c r="BC75" s="3427"/>
      <c r="BD75" s="3427"/>
      <c r="BE75" s="3428"/>
      <c r="BF75" s="3428"/>
      <c r="BG75" s="3428"/>
      <c r="BH75" s="3428"/>
      <c r="BI75" s="3428"/>
      <c r="BJ75" s="3428"/>
      <c r="BK75" s="3428"/>
      <c r="BL75" s="3428"/>
      <c r="BM75" s="3428"/>
      <c r="BN75" s="3428"/>
      <c r="BO75" s="3428"/>
      <c r="BP75" s="3429"/>
      <c r="BQ75" s="3426"/>
      <c r="BR75" s="3430"/>
      <c r="BS75" s="3410"/>
      <c r="BT75" s="3410"/>
      <c r="BU75" s="3410"/>
      <c r="BV75" s="3426"/>
      <c r="BW75" s="3426"/>
      <c r="BX75" s="3426"/>
      <c r="BY75" s="3426">
        <f t="shared" si="79"/>
        <v>0.15966386554621859</v>
      </c>
      <c r="BZ75" s="3426">
        <f t="shared" si="79"/>
        <v>5.4263565891472965E-2</v>
      </c>
      <c r="CA75" s="3426">
        <f t="shared" si="79"/>
        <v>3.7313432835820892E-2</v>
      </c>
      <c r="CB75" s="3426">
        <f t="shared" si="79"/>
        <v>7.5187969924812137E-2</v>
      </c>
      <c r="CC75" s="3426">
        <f t="shared" si="79"/>
        <v>2.8985507246376718E-2</v>
      </c>
      <c r="CD75" s="3426">
        <f t="shared" si="79"/>
        <v>9.5588235294117752E-2</v>
      </c>
      <c r="CE75" s="3426">
        <f t="shared" si="79"/>
        <v>7.1942446043165464E-2</v>
      </c>
      <c r="CF75" s="3426">
        <f t="shared" si="79"/>
        <v>7.6923076923076872E-2</v>
      </c>
      <c r="CG75" s="3426">
        <f t="shared" si="79"/>
        <v>5.6338028169014009E-2</v>
      </c>
      <c r="CH75" s="3426">
        <f t="shared" si="79"/>
        <v>6.0402684563758413E-2</v>
      </c>
      <c r="CI75" s="3426">
        <f t="shared" si="79"/>
        <v>7.3825503355704702E-2</v>
      </c>
      <c r="CJ75" s="3426">
        <f t="shared" si="79"/>
        <v>-1.9480519480519431E-2</v>
      </c>
      <c r="CK75" s="3426">
        <f t="shared" si="79"/>
        <v>-3.3333333333333326E-2</v>
      </c>
      <c r="CL75" s="3426">
        <f t="shared" si="79"/>
        <v>-7.5949367088607556E-2</v>
      </c>
      <c r="CM75" s="3426">
        <f t="shared" si="79"/>
        <v>-9.9999999999999978E-2</v>
      </c>
      <c r="CN75" s="3426">
        <f t="shared" si="79"/>
        <v>-0.17218543046357615</v>
      </c>
      <c r="CO75" s="3426">
        <f t="shared" si="79"/>
        <v>-0.19310344827586212</v>
      </c>
      <c r="CP75" s="3426">
        <f t="shared" si="79"/>
        <v>-0.15753424657534243</v>
      </c>
      <c r="CQ75" s="3426">
        <f t="shared" si="79"/>
        <v>-3.472222222222221E-2</v>
      </c>
      <c r="CR75" s="3426">
        <f t="shared" si="79"/>
        <v>8.8000000000000078E-2</v>
      </c>
      <c r="CS75" s="3426">
        <f t="shared" si="79"/>
        <v>0.20512820512820507</v>
      </c>
      <c r="CT75" s="3426">
        <f t="shared" si="79"/>
        <v>0.18699186991869921</v>
      </c>
      <c r="CU75" s="3426">
        <f>+CU12/CQ12-1</f>
        <v>5.755395683453246E-2</v>
      </c>
      <c r="CV75" s="3426">
        <f t="shared" si="80"/>
        <v>0.11764705882352944</v>
      </c>
      <c r="CW75" s="3426">
        <f ca="1">+CW102+CW141*CW150</f>
        <v>6.1243324071979868E-2</v>
      </c>
      <c r="CX75" s="3426">
        <f ca="1">+CX102+CX141*CX150</f>
        <v>3.9230769230769257E-2</v>
      </c>
      <c r="CY75" s="3426">
        <f ca="1">+CY102+CY141*CY150</f>
        <v>7.7499999999999999E-2</v>
      </c>
      <c r="CZ75" s="3426">
        <f ca="1">+CZ102+CZ141*CZ150</f>
        <v>0.11</v>
      </c>
    </row>
    <row r="76" spans="2:104">
      <c r="B76" s="3404"/>
      <c r="C76" s="3410"/>
      <c r="D76" s="3410"/>
      <c r="E76" s="3411"/>
      <c r="F76" s="3411"/>
      <c r="G76" s="3411"/>
      <c r="H76" s="3411"/>
      <c r="I76" s="3411"/>
      <c r="J76" s="3411"/>
      <c r="K76" s="3412"/>
      <c r="L76" s="3413"/>
      <c r="M76" s="3407"/>
      <c r="N76" s="3407"/>
      <c r="O76" s="3407"/>
      <c r="P76" s="3431"/>
      <c r="Q76" s="3431"/>
      <c r="R76" s="3431"/>
      <c r="S76" s="3431"/>
      <c r="T76" s="3431"/>
      <c r="U76" s="3431"/>
      <c r="V76" s="3431"/>
      <c r="W76" s="3407"/>
      <c r="X76" s="3407"/>
      <c r="Y76" s="3407"/>
      <c r="Z76" s="3407"/>
      <c r="AA76" s="3407"/>
      <c r="AB76" s="3407"/>
      <c r="AC76" s="3407"/>
      <c r="AD76" s="3407"/>
      <c r="AE76" s="3407"/>
      <c r="AF76" s="3407"/>
      <c r="AG76" s="3431"/>
      <c r="AH76" s="3431"/>
      <c r="AI76" s="3431"/>
      <c r="AJ76" s="3431"/>
      <c r="AK76" s="3431"/>
      <c r="AL76" s="3431"/>
      <c r="AM76" s="3431"/>
      <c r="AN76" s="3431"/>
      <c r="AO76" s="3432"/>
      <c r="AP76" s="3432"/>
      <c r="AQ76" s="3432"/>
      <c r="AR76" s="3432"/>
      <c r="AS76" s="3432"/>
      <c r="AT76" s="3432"/>
      <c r="AU76" s="3432"/>
      <c r="AV76" s="3432"/>
      <c r="AW76" s="3432"/>
      <c r="AX76" s="3432"/>
      <c r="AY76" s="3432"/>
      <c r="AZ76" s="3432"/>
      <c r="BA76" s="3432"/>
      <c r="BB76" s="3432"/>
      <c r="BC76" s="3432"/>
      <c r="BD76" s="3432"/>
      <c r="BE76" s="3432"/>
      <c r="BF76" s="3432"/>
      <c r="BG76" s="3432"/>
      <c r="BH76" s="3432"/>
      <c r="BI76" s="3432"/>
      <c r="BJ76" s="3432"/>
      <c r="BK76" s="3432"/>
      <c r="BL76" s="3432"/>
      <c r="BM76" s="3432"/>
      <c r="BN76" s="3432"/>
      <c r="BO76" s="3432"/>
      <c r="BP76" s="3407"/>
      <c r="BQ76" s="3431"/>
      <c r="BR76" s="3431"/>
      <c r="BS76" s="3431"/>
      <c r="BT76" s="3431"/>
      <c r="BU76" s="3431"/>
      <c r="BV76" s="3431"/>
      <c r="BW76" s="3431"/>
      <c r="BX76" s="3431"/>
      <c r="BY76" s="3431"/>
      <c r="BZ76" s="3431"/>
      <c r="CA76" s="3431"/>
      <c r="CB76" s="3431"/>
      <c r="CC76" s="3431"/>
      <c r="CD76" s="3431"/>
      <c r="CE76" s="3431"/>
      <c r="CF76" s="3431"/>
      <c r="CG76" s="3431"/>
      <c r="CH76" s="3431"/>
      <c r="CI76" s="3431"/>
      <c r="CJ76" s="3431"/>
      <c r="CK76" s="3431"/>
      <c r="CL76" s="3431"/>
      <c r="CM76" s="3431"/>
      <c r="CN76" s="3431"/>
      <c r="CO76" s="3431"/>
      <c r="CP76" s="3431"/>
      <c r="CQ76" s="3431"/>
      <c r="CR76" s="3431"/>
      <c r="CS76" s="3431"/>
      <c r="CT76" s="3431"/>
      <c r="CU76" s="3431"/>
      <c r="CV76" s="3431"/>
      <c r="CW76" s="3431"/>
      <c r="CX76" s="3431"/>
      <c r="CY76" s="3431"/>
      <c r="CZ76" s="3431"/>
    </row>
    <row r="77" spans="2:104">
      <c r="B77" s="3417" t="s">
        <v>1894</v>
      </c>
      <c r="C77" s="3417"/>
      <c r="D77" s="3417"/>
      <c r="E77" s="3418"/>
      <c r="F77" s="3418"/>
      <c r="G77" s="3418"/>
      <c r="H77" s="3418"/>
      <c r="I77" s="3418"/>
      <c r="J77" s="3418"/>
      <c r="K77" s="3419"/>
      <c r="L77" s="3420"/>
      <c r="M77" s="3420"/>
      <c r="N77" s="3420"/>
      <c r="O77" s="3420"/>
      <c r="P77" s="3421">
        <f t="shared" ref="P77:AD78" si="83">+P13/O13-1</f>
        <v>-1.406926406926412E-2</v>
      </c>
      <c r="Q77" s="3421">
        <f t="shared" si="83"/>
        <v>-2.524698133918768E-2</v>
      </c>
      <c r="R77" s="3421">
        <f t="shared" si="83"/>
        <v>1.5765765765765716E-2</v>
      </c>
      <c r="S77" s="3421">
        <f t="shared" si="83"/>
        <v>-7.4279379157427883E-2</v>
      </c>
      <c r="T77" s="3421">
        <f t="shared" si="83"/>
        <v>-0.11497005988023956</v>
      </c>
      <c r="U77" s="3421">
        <f t="shared" si="83"/>
        <v>-2.1650879566982417E-2</v>
      </c>
      <c r="V77" s="3421">
        <f ca="1">+V13/U13-1</f>
        <v>3.6172115318620079E-2</v>
      </c>
      <c r="W77" s="3421">
        <f t="shared" ca="1" si="83"/>
        <v>1.2748532088302511E-2</v>
      </c>
      <c r="X77" s="3421">
        <f t="shared" ca="1" si="83"/>
        <v>1.6271869255597204E-2</v>
      </c>
      <c r="Y77" s="3421">
        <f t="shared" ca="1" si="83"/>
        <v>1.6644460606130673E-2</v>
      </c>
      <c r="Z77" s="3421">
        <f t="shared" ca="1" si="83"/>
        <v>1.678917772359112E-2</v>
      </c>
      <c r="AA77" s="3421">
        <f t="shared" ca="1" si="83"/>
        <v>1.5701893703411685E-2</v>
      </c>
      <c r="AB77" s="3421">
        <f t="shared" ca="1" si="83"/>
        <v>1.452968059833637E-2</v>
      </c>
      <c r="AC77" s="3421">
        <f t="shared" ca="1" si="83"/>
        <v>1.328154048579977E-2</v>
      </c>
      <c r="AD77" s="3421">
        <f t="shared" ca="1" si="83"/>
        <v>1.1966126831504997E-2</v>
      </c>
      <c r="AE77" s="3421"/>
      <c r="AF77" s="3420"/>
      <c r="AG77" s="3419"/>
      <c r="AH77" s="3419"/>
      <c r="AI77" s="3419"/>
      <c r="AJ77" s="3419"/>
      <c r="AK77" s="3419"/>
      <c r="AL77" s="3419"/>
      <c r="AM77" s="3419"/>
      <c r="AN77" s="3419"/>
      <c r="AO77" s="3422"/>
      <c r="AP77" s="3422"/>
      <c r="AQ77" s="3422"/>
      <c r="AR77" s="3422"/>
      <c r="AS77" s="3422"/>
      <c r="AT77" s="3422"/>
      <c r="AU77" s="3422"/>
      <c r="AV77" s="3422"/>
      <c r="AW77" s="3422"/>
      <c r="AX77" s="3422"/>
      <c r="AY77" s="3422"/>
      <c r="AZ77" s="3422"/>
      <c r="BA77" s="3422"/>
      <c r="BB77" s="3422"/>
      <c r="BC77" s="3422"/>
      <c r="BD77" s="3422"/>
      <c r="BE77" s="3423"/>
      <c r="BF77" s="3423"/>
      <c r="BG77" s="3423"/>
      <c r="BH77" s="3423"/>
      <c r="BI77" s="3423"/>
      <c r="BJ77" s="3423"/>
      <c r="BK77" s="3423"/>
      <c r="BL77" s="3423"/>
      <c r="BM77" s="3423"/>
      <c r="BN77" s="3423"/>
      <c r="BO77" s="3423"/>
      <c r="BP77" s="3424"/>
      <c r="BQ77" s="3421"/>
      <c r="BR77" s="3425"/>
      <c r="BS77" s="3417"/>
      <c r="BT77" s="3417"/>
      <c r="BU77" s="3417"/>
      <c r="BV77" s="3421"/>
      <c r="BW77" s="3421"/>
      <c r="BX77" s="3421"/>
      <c r="BY77" s="3421">
        <f t="shared" ref="BY77:CT80" si="84">+BY13/BU13-1</f>
        <v>2.6548672566371723E-2</v>
      </c>
      <c r="BZ77" s="3421">
        <f t="shared" si="84"/>
        <v>-2.5641025641025661E-2</v>
      </c>
      <c r="CA77" s="3421">
        <f t="shared" si="84"/>
        <v>-7.0833333333333304E-2</v>
      </c>
      <c r="CB77" s="3421">
        <f t="shared" si="84"/>
        <v>1.7857142857142794E-2</v>
      </c>
      <c r="CC77" s="3421">
        <f t="shared" si="84"/>
        <v>-3.8793103448275912E-2</v>
      </c>
      <c r="CD77" s="3421">
        <f t="shared" si="84"/>
        <v>-3.5087719298245612E-2</v>
      </c>
      <c r="CE77" s="3421">
        <f t="shared" si="84"/>
        <v>-4.484304932735439E-3</v>
      </c>
      <c r="CF77" s="3421">
        <f t="shared" si="84"/>
        <v>-2.1929824561403466E-2</v>
      </c>
      <c r="CG77" s="3421">
        <f t="shared" si="84"/>
        <v>2.2421524663677195E-2</v>
      </c>
      <c r="CH77" s="3421">
        <f t="shared" si="84"/>
        <v>5.0000000000000044E-2</v>
      </c>
      <c r="CI77" s="3421">
        <f t="shared" si="84"/>
        <v>0</v>
      </c>
      <c r="CJ77" s="3421">
        <f t="shared" si="84"/>
        <v>-8.9686098654708779E-3</v>
      </c>
      <c r="CK77" s="3421">
        <f t="shared" si="84"/>
        <v>-9.210526315789469E-2</v>
      </c>
      <c r="CL77" s="3421">
        <f t="shared" si="84"/>
        <v>-0.11688311688311692</v>
      </c>
      <c r="CM77" s="3421">
        <f t="shared" si="84"/>
        <v>-4.5045045045045029E-2</v>
      </c>
      <c r="CN77" s="3421">
        <f t="shared" si="84"/>
        <v>-4.0723981900452455E-2</v>
      </c>
      <c r="CO77" s="3421">
        <f t="shared" si="84"/>
        <v>-8.2125603864734331E-2</v>
      </c>
      <c r="CP77" s="3421">
        <f t="shared" si="84"/>
        <v>-6.8627450980392135E-2</v>
      </c>
      <c r="CQ77" s="3421">
        <f t="shared" si="84"/>
        <v>-0.15094339622641506</v>
      </c>
      <c r="CR77" s="3421">
        <f t="shared" si="84"/>
        <v>-0.15566037735849059</v>
      </c>
      <c r="CS77" s="3421">
        <f t="shared" si="84"/>
        <v>-7.8947368421052655E-2</v>
      </c>
      <c r="CT77" s="3421">
        <f t="shared" si="84"/>
        <v>-7.3684210526315796E-2</v>
      </c>
      <c r="CU77" s="3421">
        <f>+CU13/CQ13-1</f>
        <v>2.2222222222222143E-2</v>
      </c>
      <c r="CV77" s="3421">
        <f t="shared" ref="CV77:CV78" si="85">+CV13/CR13-1</f>
        <v>5.027932960893855E-2</v>
      </c>
      <c r="CW77" s="3421">
        <f ca="1">+CW13/CS13-1</f>
        <v>-4.1492901467516941E-3</v>
      </c>
      <c r="CX77" s="3421">
        <f ca="1">+CX13/CT13-1</f>
        <v>2.0001705527695757E-2</v>
      </c>
      <c r="CY77" s="3421">
        <f ca="1">+CY13/CU13-1</f>
        <v>4.5296544464910049E-2</v>
      </c>
      <c r="CZ77" s="3421">
        <f ca="1">+CZ13/CV13-1</f>
        <v>7.9913302109713147E-2</v>
      </c>
    </row>
    <row r="78" spans="2:104">
      <c r="B78" s="3404" t="s">
        <v>279</v>
      </c>
      <c r="C78" s="3410"/>
      <c r="D78" s="3410"/>
      <c r="E78" s="3411"/>
      <c r="F78" s="3411"/>
      <c r="G78" s="3411"/>
      <c r="H78" s="3411"/>
      <c r="I78" s="3411"/>
      <c r="J78" s="3411"/>
      <c r="K78" s="3412"/>
      <c r="L78" s="3413"/>
      <c r="M78" s="3413"/>
      <c r="N78" s="3413"/>
      <c r="O78" s="3413"/>
      <c r="P78" s="3426">
        <f t="shared" si="83"/>
        <v>-7.1428571428571397E-2</v>
      </c>
      <c r="Q78" s="3426">
        <f t="shared" si="83"/>
        <v>-2.7472527472527486E-2</v>
      </c>
      <c r="R78" s="3426">
        <f t="shared" si="83"/>
        <v>-7.9096045197740161E-2</v>
      </c>
      <c r="S78" s="3426">
        <f t="shared" si="83"/>
        <v>-0.15644171779141103</v>
      </c>
      <c r="T78" s="3426">
        <f t="shared" si="83"/>
        <v>-0.13454545454545452</v>
      </c>
      <c r="U78" s="3426">
        <f t="shared" si="83"/>
        <v>-5.8823529411764719E-2</v>
      </c>
      <c r="V78" s="3426">
        <f ca="1">+V14/U14-1</f>
        <v>-4.312836822984889E-3</v>
      </c>
      <c r="W78" s="3426">
        <f t="shared" ref="W78:AD78" ca="1" si="86">+W107+W139*W148+W140*W149</f>
        <v>-2.5000000000000001E-2</v>
      </c>
      <c r="X78" s="3426">
        <f t="shared" ca="1" si="86"/>
        <v>-0.02</v>
      </c>
      <c r="Y78" s="3426">
        <f t="shared" ca="1" si="86"/>
        <v>-1.4999999999999999E-2</v>
      </c>
      <c r="Z78" s="3426">
        <f t="shared" ca="1" si="86"/>
        <v>-9.9999999999999985E-3</v>
      </c>
      <c r="AA78" s="3426">
        <f t="shared" ca="1" si="86"/>
        <v>-8.9999999999999976E-3</v>
      </c>
      <c r="AB78" s="3426">
        <f t="shared" ca="1" si="86"/>
        <v>-7.9999999999999967E-3</v>
      </c>
      <c r="AC78" s="3426">
        <f t="shared" ca="1" si="86"/>
        <v>-6.9999999999999967E-3</v>
      </c>
      <c r="AD78" s="3426">
        <f t="shared" ca="1" si="86"/>
        <v>-5.9999999999999967E-3</v>
      </c>
      <c r="AE78" s="3426"/>
      <c r="AF78" s="3413"/>
      <c r="AG78" s="3412"/>
      <c r="AH78" s="3412"/>
      <c r="AI78" s="3412"/>
      <c r="AJ78" s="3412"/>
      <c r="AK78" s="3412"/>
      <c r="AL78" s="3412"/>
      <c r="AM78" s="3412"/>
      <c r="AN78" s="3412"/>
      <c r="AO78" s="3427"/>
      <c r="AP78" s="3427"/>
      <c r="AQ78" s="3427"/>
      <c r="AR78" s="3427"/>
      <c r="AS78" s="3427"/>
      <c r="AT78" s="3427"/>
      <c r="AU78" s="3427"/>
      <c r="AV78" s="3427"/>
      <c r="AW78" s="3427"/>
      <c r="AX78" s="3427"/>
      <c r="AY78" s="3427"/>
      <c r="AZ78" s="3427"/>
      <c r="BA78" s="3427"/>
      <c r="BB78" s="3427"/>
      <c r="BC78" s="3427"/>
      <c r="BD78" s="3427"/>
      <c r="BE78" s="3428"/>
      <c r="BF78" s="3428"/>
      <c r="BG78" s="3428"/>
      <c r="BH78" s="3428"/>
      <c r="BI78" s="3428"/>
      <c r="BJ78" s="3428"/>
      <c r="BK78" s="3428"/>
      <c r="BL78" s="3428"/>
      <c r="BM78" s="3428"/>
      <c r="BN78" s="3428"/>
      <c r="BO78" s="3428"/>
      <c r="BP78" s="3429"/>
      <c r="BQ78" s="3426"/>
      <c r="BR78" s="3430"/>
      <c r="BS78" s="3410"/>
      <c r="BT78" s="3410"/>
      <c r="BU78" s="3410"/>
      <c r="BV78" s="3426"/>
      <c r="BW78" s="3426"/>
      <c r="BX78" s="3426"/>
      <c r="BY78" s="3426">
        <f t="shared" si="84"/>
        <v>0</v>
      </c>
      <c r="BZ78" s="3426">
        <f t="shared" si="84"/>
        <v>-6.0000000000000053E-2</v>
      </c>
      <c r="CA78" s="3426">
        <f t="shared" si="84"/>
        <v>-0.1470588235294118</v>
      </c>
      <c r="CB78" s="3426">
        <f t="shared" si="84"/>
        <v>-7.4468085106383031E-2</v>
      </c>
      <c r="CC78" s="3426">
        <f t="shared" si="84"/>
        <v>-7.291666666666663E-2</v>
      </c>
      <c r="CD78" s="3426">
        <f t="shared" si="84"/>
        <v>-6.3829787234042534E-2</v>
      </c>
      <c r="CE78" s="3426">
        <f t="shared" si="84"/>
        <v>1.1494252873563315E-2</v>
      </c>
      <c r="CF78" s="3426">
        <f t="shared" si="84"/>
        <v>2.2988505747126409E-2</v>
      </c>
      <c r="CG78" s="3426">
        <f t="shared" si="84"/>
        <v>-3.3707865168539297E-2</v>
      </c>
      <c r="CH78" s="3426">
        <f t="shared" si="84"/>
        <v>-3.4090909090909061E-2</v>
      </c>
      <c r="CI78" s="3426">
        <f t="shared" si="84"/>
        <v>-9.0909090909090939E-2</v>
      </c>
      <c r="CJ78" s="3426">
        <f t="shared" si="84"/>
        <v>-0.15730337078651691</v>
      </c>
      <c r="CK78" s="3426">
        <f t="shared" si="84"/>
        <v>-0.19767441860465118</v>
      </c>
      <c r="CL78" s="3426">
        <f t="shared" si="84"/>
        <v>-0.19999999999999996</v>
      </c>
      <c r="CM78" s="3426">
        <f t="shared" si="84"/>
        <v>-0.13749999999999996</v>
      </c>
      <c r="CN78" s="3426">
        <f t="shared" si="84"/>
        <v>-7.999999999999996E-2</v>
      </c>
      <c r="CO78" s="3426">
        <f t="shared" si="84"/>
        <v>-7.2463768115942018E-2</v>
      </c>
      <c r="CP78" s="3426">
        <f t="shared" si="84"/>
        <v>-0.1029411764705882</v>
      </c>
      <c r="CQ78" s="3426">
        <f t="shared" si="84"/>
        <v>-0.15942028985507251</v>
      </c>
      <c r="CR78" s="3426">
        <f t="shared" si="84"/>
        <v>-0.20289855072463769</v>
      </c>
      <c r="CS78" s="3426">
        <f t="shared" si="84"/>
        <v>-0.140625</v>
      </c>
      <c r="CT78" s="3426">
        <f t="shared" si="84"/>
        <v>-9.8360655737704916E-2</v>
      </c>
      <c r="CU78" s="3426">
        <f>+CU14/CQ14-1</f>
        <v>-1.7241379310344862E-2</v>
      </c>
      <c r="CV78" s="3426">
        <f t="shared" si="85"/>
        <v>3.6363636363636376E-2</v>
      </c>
      <c r="CW78" s="3426">
        <f ca="1">+CW107+CW139*CW148+CW140*CW149</f>
        <v>-4.3099188862002188E-2</v>
      </c>
      <c r="CX78" s="3426">
        <f ca="1">+CX107+CX139*CX148+CX140*CX149</f>
        <v>-1.7741631305987708E-2</v>
      </c>
      <c r="CY78" s="3426">
        <f ca="1">+CY107+CY139*CY148+CY140*CY149</f>
        <v>5.5451436339053334E-3</v>
      </c>
      <c r="CZ78" s="3426">
        <f ca="1">+CZ107+CZ139*CZ148+CZ140*CZ149</f>
        <v>3.6212218837863221E-2</v>
      </c>
    </row>
    <row r="79" spans="2:104">
      <c r="B79" s="3404" t="s">
        <v>1676</v>
      </c>
      <c r="C79" s="3410"/>
      <c r="D79" s="3410"/>
      <c r="E79" s="3411"/>
      <c r="F79" s="3411"/>
      <c r="G79" s="3411"/>
      <c r="H79" s="3411"/>
      <c r="I79" s="3411"/>
      <c r="J79" s="3411"/>
      <c r="K79" s="3412"/>
      <c r="L79" s="3413"/>
      <c r="M79" s="3413"/>
      <c r="N79" s="3413"/>
      <c r="O79" s="3413"/>
      <c r="P79" s="3426">
        <f>+P15/O15-1</f>
        <v>0.19999999999999996</v>
      </c>
      <c r="Q79" s="3426">
        <f>+Q15/P15-1</f>
        <v>8.3333333333333259E-2</v>
      </c>
      <c r="R79" s="3433">
        <f>+R15/SUM(Q15:Q16)-1</f>
        <v>-0.13670411985018727</v>
      </c>
      <c r="S79" s="3426">
        <f>+S15/R15-1</f>
        <v>-8.6767895878524515E-3</v>
      </c>
      <c r="T79" s="3426">
        <f>+T15/S15-1</f>
        <v>-5.6892778993435478E-2</v>
      </c>
      <c r="U79" s="3426">
        <f>+U15/T15-1</f>
        <v>3.0162412993039345E-2</v>
      </c>
      <c r="V79" s="3426">
        <f ca="1">+V15/U15-1</f>
        <v>6.6470212802671735E-2</v>
      </c>
      <c r="W79" s="3426">
        <f t="shared" ref="W79:AD79" ca="1" si="87">+W111+W139*W148+W140*W149</f>
        <v>3.7499999999999999E-2</v>
      </c>
      <c r="X79" s="3426">
        <f t="shared" ca="1" si="87"/>
        <v>3.4999999999999996E-2</v>
      </c>
      <c r="Y79" s="3426">
        <f t="shared" ca="1" si="87"/>
        <v>3.2499999999999994E-2</v>
      </c>
      <c r="Z79" s="3426">
        <f t="shared" ca="1" si="87"/>
        <v>2.9999999999999995E-2</v>
      </c>
      <c r="AA79" s="3426">
        <f t="shared" ca="1" si="87"/>
        <v>2.7499999999999997E-2</v>
      </c>
      <c r="AB79" s="3426">
        <f t="shared" ca="1" si="87"/>
        <v>2.4999999999999998E-2</v>
      </c>
      <c r="AC79" s="3426">
        <f t="shared" ca="1" si="87"/>
        <v>2.2499999999999999E-2</v>
      </c>
      <c r="AD79" s="3426">
        <f t="shared" ca="1" si="87"/>
        <v>0.02</v>
      </c>
      <c r="AE79" s="3426"/>
      <c r="AF79" s="3413"/>
      <c r="AG79" s="3412"/>
      <c r="AH79" s="3412"/>
      <c r="AI79" s="3412"/>
      <c r="AJ79" s="3412"/>
      <c r="AK79" s="3412"/>
      <c r="AL79" s="3412"/>
      <c r="AM79" s="3412"/>
      <c r="AN79" s="3412"/>
      <c r="AO79" s="3427"/>
      <c r="AP79" s="3427"/>
      <c r="AQ79" s="3427"/>
      <c r="AR79" s="3427"/>
      <c r="AS79" s="3427"/>
      <c r="AT79" s="3427"/>
      <c r="AU79" s="3427"/>
      <c r="AV79" s="3427"/>
      <c r="AW79" s="3427"/>
      <c r="AX79" s="3427"/>
      <c r="AY79" s="3427"/>
      <c r="AZ79" s="3427"/>
      <c r="BA79" s="3427"/>
      <c r="BB79" s="3427"/>
      <c r="BC79" s="3427"/>
      <c r="BD79" s="3427"/>
      <c r="BE79" s="3428"/>
      <c r="BF79" s="3428"/>
      <c r="BG79" s="3428"/>
      <c r="BH79" s="3428"/>
      <c r="BI79" s="3428"/>
      <c r="BJ79" s="3428"/>
      <c r="BK79" s="3428"/>
      <c r="BL79" s="3428"/>
      <c r="BM79" s="3428"/>
      <c r="BN79" s="3428"/>
      <c r="BO79" s="3428"/>
      <c r="BP79" s="3429"/>
      <c r="BQ79" s="3426"/>
      <c r="BR79" s="3430"/>
      <c r="BS79" s="3410"/>
      <c r="BT79" s="3410"/>
      <c r="BU79" s="3410"/>
      <c r="BV79" s="3426"/>
      <c r="BW79" s="3426"/>
      <c r="BX79" s="3426"/>
      <c r="BY79" s="3426">
        <f t="shared" si="84"/>
        <v>0.22222222222222232</v>
      </c>
      <c r="BZ79" s="3426">
        <f t="shared" si="84"/>
        <v>0.18181818181818188</v>
      </c>
      <c r="CA79" s="3426">
        <f t="shared" si="84"/>
        <v>0.16049382716049387</v>
      </c>
      <c r="CB79" s="3426">
        <f t="shared" si="84"/>
        <v>0.23750000000000004</v>
      </c>
      <c r="CC79" s="3426">
        <f t="shared" si="84"/>
        <v>0.10227272727272729</v>
      </c>
      <c r="CD79" s="3426">
        <f t="shared" si="84"/>
        <v>8.7912087912087822E-2</v>
      </c>
      <c r="CE79" s="3426">
        <f t="shared" si="84"/>
        <v>8.5106382978723305E-2</v>
      </c>
      <c r="CF79" s="3426">
        <f t="shared" si="84"/>
        <v>6.0606060606060552E-2</v>
      </c>
      <c r="CG79" s="3433">
        <f>+CG15/(SUM(CC15:CC16))-1</f>
        <v>-0.14925373134328357</v>
      </c>
      <c r="CH79" s="3434">
        <f>+CH15/(SUM(CD15:CD16))-1</f>
        <v>-0.12878787878787878</v>
      </c>
      <c r="CI79" s="3434">
        <f>+CI15/(SUM(CE15:CE16))-1</f>
        <v>-0.14925373134328357</v>
      </c>
      <c r="CJ79" s="3434">
        <f>+CJ15/(SUM(CF15:CF16))-1</f>
        <v>-0.11940298507462688</v>
      </c>
      <c r="CK79" s="3434">
        <f t="shared" ref="CK79:CT79" si="88">+CK15/(SUM(CG15))-1</f>
        <v>-2.6315789473684181E-2</v>
      </c>
      <c r="CL79" s="3434">
        <f t="shared" si="88"/>
        <v>-3.4782608695652195E-2</v>
      </c>
      <c r="CM79" s="3434">
        <f t="shared" si="88"/>
        <v>2.6315789473684292E-2</v>
      </c>
      <c r="CN79" s="3434">
        <f t="shared" si="88"/>
        <v>0</v>
      </c>
      <c r="CO79" s="3434">
        <f t="shared" si="88"/>
        <v>-3.6036036036036001E-2</v>
      </c>
      <c r="CP79" s="3434">
        <f t="shared" si="88"/>
        <v>0</v>
      </c>
      <c r="CQ79" s="3434">
        <f t="shared" si="88"/>
        <v>-0.10256410256410253</v>
      </c>
      <c r="CR79" s="3434">
        <f t="shared" si="88"/>
        <v>-8.4745762711864403E-2</v>
      </c>
      <c r="CS79" s="3434">
        <f t="shared" si="88"/>
        <v>-9.3457943925233655E-3</v>
      </c>
      <c r="CT79" s="3434">
        <f t="shared" si="88"/>
        <v>-3.6036036036036001E-2</v>
      </c>
      <c r="CU79" s="3434">
        <f>+CU15/(SUM(CQ15))-1</f>
        <v>7.6190476190476142E-2</v>
      </c>
      <c r="CV79" s="3434">
        <f t="shared" ref="CV79" si="89">+CV15/(SUM(CR15))-1</f>
        <v>9.259259259259256E-2</v>
      </c>
      <c r="CW79" s="3426">
        <f ca="1">+CW111+CW139*CW148+CW140*CW149</f>
        <v>2.6900811137997811E-2</v>
      </c>
      <c r="CX79" s="3426">
        <f ca="1">+CX111+CX139*CX148+CX140*CX149</f>
        <v>5.2258368694012292E-2</v>
      </c>
      <c r="CY79" s="3426">
        <f ca="1">+CY111+CY139*CY148+CY140*CY149</f>
        <v>7.5545143633905326E-2</v>
      </c>
      <c r="CZ79" s="3426">
        <f ca="1">+CZ111+CZ139*CZ148+CZ140*CZ149</f>
        <v>0.10621221883786322</v>
      </c>
    </row>
    <row r="80" spans="2:104">
      <c r="B80" s="3404" t="s">
        <v>1895</v>
      </c>
      <c r="C80" s="3410"/>
      <c r="D80" s="3410"/>
      <c r="E80" s="3411"/>
      <c r="F80" s="3411"/>
      <c r="G80" s="3411"/>
      <c r="H80" s="3411"/>
      <c r="I80" s="3411"/>
      <c r="J80" s="3411"/>
      <c r="K80" s="3412"/>
      <c r="L80" s="3413"/>
      <c r="M80" s="3413"/>
      <c r="N80" s="3413"/>
      <c r="O80" s="3413"/>
      <c r="P80" s="3426">
        <f>+P16/O16-1</f>
        <v>-0.21171171171171166</v>
      </c>
      <c r="Q80" s="3426">
        <f>+Q16/P16-1</f>
        <v>-0.25142857142857145</v>
      </c>
      <c r="R80" s="3426"/>
      <c r="S80" s="3426"/>
      <c r="T80" s="3426"/>
      <c r="U80" s="3426"/>
      <c r="V80" s="3426"/>
      <c r="W80" s="3426"/>
      <c r="X80" s="3426"/>
      <c r="Y80" s="3426"/>
      <c r="Z80" s="3426"/>
      <c r="AA80" s="3426"/>
      <c r="AB80" s="3426"/>
      <c r="AC80" s="3426"/>
      <c r="AD80" s="3426"/>
      <c r="AE80" s="3426"/>
      <c r="AF80" s="3413"/>
      <c r="AG80" s="3412"/>
      <c r="AH80" s="3412"/>
      <c r="AI80" s="3412"/>
      <c r="AJ80" s="3412"/>
      <c r="AK80" s="3412"/>
      <c r="AL80" s="3412"/>
      <c r="AM80" s="3412"/>
      <c r="AN80" s="3412"/>
      <c r="AO80" s="3427"/>
      <c r="AP80" s="3427"/>
      <c r="AQ80" s="3427"/>
      <c r="AR80" s="3427"/>
      <c r="AS80" s="3427"/>
      <c r="AT80" s="3427"/>
      <c r="AU80" s="3427"/>
      <c r="AV80" s="3427"/>
      <c r="AW80" s="3427"/>
      <c r="AX80" s="3427"/>
      <c r="AY80" s="3427"/>
      <c r="AZ80" s="3427"/>
      <c r="BA80" s="3427"/>
      <c r="BB80" s="3427"/>
      <c r="BC80" s="3427"/>
      <c r="BD80" s="3427"/>
      <c r="BE80" s="3428"/>
      <c r="BF80" s="3428"/>
      <c r="BG80" s="3428"/>
      <c r="BH80" s="3428"/>
      <c r="BI80" s="3428"/>
      <c r="BJ80" s="3428"/>
      <c r="BK80" s="3428"/>
      <c r="BL80" s="3428"/>
      <c r="BM80" s="3428"/>
      <c r="BN80" s="3428"/>
      <c r="BO80" s="3428"/>
      <c r="BP80" s="3429"/>
      <c r="BQ80" s="3426"/>
      <c r="BR80" s="3430"/>
      <c r="BS80" s="3410"/>
      <c r="BT80" s="3410"/>
      <c r="BU80" s="3410"/>
      <c r="BV80" s="3426"/>
      <c r="BW80" s="3426"/>
      <c r="BX80" s="3426"/>
      <c r="BY80" s="3426">
        <f t="shared" si="84"/>
        <v>-0.17241379310344829</v>
      </c>
      <c r="BZ80" s="3426">
        <f t="shared" si="84"/>
        <v>-0.24561403508771928</v>
      </c>
      <c r="CA80" s="3426">
        <f t="shared" si="84"/>
        <v>-0.26315789473684215</v>
      </c>
      <c r="CB80" s="3426">
        <f t="shared" si="84"/>
        <v>-0.16000000000000003</v>
      </c>
      <c r="CC80" s="3426">
        <f t="shared" si="84"/>
        <v>-0.22916666666666663</v>
      </c>
      <c r="CD80" s="3426">
        <f t="shared" si="84"/>
        <v>-0.23255813953488369</v>
      </c>
      <c r="CE80" s="3426">
        <f t="shared" si="84"/>
        <v>-0.23809523809523814</v>
      </c>
      <c r="CF80" s="3426">
        <f t="shared" si="84"/>
        <v>-0.30952380952380953</v>
      </c>
      <c r="CG80" s="3426"/>
      <c r="CH80" s="3426"/>
      <c r="CI80" s="3426"/>
      <c r="CJ80" s="3426"/>
      <c r="CK80" s="3426">
        <f t="shared" ref="CK80:CT80" si="90">+CK16/CG16-1</f>
        <v>-3.5714285714285698E-2</v>
      </c>
      <c r="CL80" s="3426">
        <f t="shared" si="90"/>
        <v>-0.19354838709677424</v>
      </c>
      <c r="CM80" s="3426">
        <f t="shared" si="90"/>
        <v>-7.1428571428571397E-2</v>
      </c>
      <c r="CN80" s="3426">
        <f t="shared" si="90"/>
        <v>-0.1071428571428571</v>
      </c>
      <c r="CO80" s="3426">
        <f t="shared" si="90"/>
        <v>-0.29629629629629628</v>
      </c>
      <c r="CP80" s="3426">
        <f t="shared" si="90"/>
        <v>-0.28000000000000003</v>
      </c>
      <c r="CQ80" s="3426">
        <f t="shared" si="90"/>
        <v>-0.34615384615384615</v>
      </c>
      <c r="CR80" s="3426">
        <f t="shared" si="90"/>
        <v>-0.36</v>
      </c>
      <c r="CS80" s="3426">
        <f t="shared" si="90"/>
        <v>-0.26315789473684215</v>
      </c>
      <c r="CT80" s="3426">
        <f t="shared" si="90"/>
        <v>-0.22222222222222221</v>
      </c>
      <c r="CU80" s="3426">
        <f>+CU16/CQ16-1</f>
        <v>-0.17647058823529416</v>
      </c>
      <c r="CV80" s="3426">
        <f t="shared" ref="CV80" si="91">+CV16/CR16-1</f>
        <v>-0.1875</v>
      </c>
      <c r="CW80" s="3426">
        <f ca="1">+CW115+CW140</f>
        <v>-8.6225454921372457E-2</v>
      </c>
      <c r="CX80" s="3426">
        <f ca="1">+CX115+CX140</f>
        <v>-7.8253968253968145E-2</v>
      </c>
      <c r="CY80" s="3426">
        <f ca="1">+CY115+CY140</f>
        <v>-3.7007874015747927E-2</v>
      </c>
      <c r="CZ80" s="3426">
        <f ca="1">+CZ115+CZ140</f>
        <v>3.2812499999999994E-2</v>
      </c>
    </row>
    <row r="81" spans="2:104">
      <c r="B81" s="3374"/>
      <c r="C81" s="3410"/>
      <c r="D81" s="3410"/>
      <c r="E81" s="3411"/>
      <c r="F81" s="3411"/>
      <c r="G81" s="3411"/>
      <c r="H81" s="3411"/>
      <c r="I81" s="3411"/>
      <c r="J81" s="3411"/>
      <c r="K81" s="3412"/>
      <c r="L81" s="3413"/>
      <c r="M81" s="3407"/>
      <c r="N81" s="3407"/>
      <c r="O81" s="3407"/>
      <c r="P81" s="3431"/>
      <c r="Q81" s="3431"/>
      <c r="R81" s="3407"/>
      <c r="S81" s="3407"/>
      <c r="T81" s="3407"/>
      <c r="U81" s="3407"/>
      <c r="V81" s="3407"/>
      <c r="W81" s="3407"/>
      <c r="X81" s="3407"/>
      <c r="Y81" s="3407"/>
      <c r="Z81" s="3407"/>
      <c r="AA81" s="3407"/>
      <c r="AB81" s="3407"/>
      <c r="AC81" s="3407"/>
      <c r="AD81" s="3407"/>
      <c r="AE81" s="3407"/>
      <c r="AF81" s="3407"/>
      <c r="AG81" s="3431"/>
      <c r="AH81" s="3431"/>
      <c r="AI81" s="3431"/>
      <c r="AJ81" s="3431"/>
      <c r="AK81" s="3431"/>
      <c r="AL81" s="3431"/>
      <c r="AM81" s="3431"/>
      <c r="AN81" s="3431"/>
      <c r="AO81" s="3432"/>
      <c r="AP81" s="3432"/>
      <c r="AQ81" s="3432"/>
      <c r="AR81" s="3432"/>
      <c r="AS81" s="3432"/>
      <c r="AT81" s="3432"/>
      <c r="AU81" s="3432"/>
      <c r="AV81" s="3432"/>
      <c r="AW81" s="3432"/>
      <c r="AX81" s="3432"/>
      <c r="AY81" s="3432"/>
      <c r="AZ81" s="3432"/>
      <c r="BA81" s="3432"/>
      <c r="BB81" s="3432"/>
      <c r="BC81" s="3432"/>
      <c r="BD81" s="3432"/>
      <c r="BE81" s="3432"/>
      <c r="BF81" s="3432"/>
      <c r="BG81" s="3432"/>
      <c r="BH81" s="3432"/>
      <c r="BI81" s="3432"/>
      <c r="BJ81" s="3432"/>
      <c r="BK81" s="3432"/>
      <c r="BL81" s="3432"/>
      <c r="BM81" s="3432"/>
      <c r="BN81" s="3432"/>
      <c r="BO81" s="3432"/>
      <c r="BP81" s="3407"/>
      <c r="BQ81" s="3431"/>
      <c r="BR81" s="3431"/>
      <c r="BS81" s="3431"/>
      <c r="BT81" s="3431"/>
      <c r="BU81" s="3431"/>
      <c r="BV81" s="3431"/>
      <c r="BW81" s="3431"/>
      <c r="BX81" s="3431"/>
      <c r="BY81" s="3431"/>
      <c r="BZ81" s="3431"/>
      <c r="CA81" s="3431"/>
      <c r="CB81" s="3431"/>
      <c r="CC81" s="3431"/>
      <c r="CD81" s="3431"/>
      <c r="CE81" s="3431"/>
      <c r="CF81" s="3431"/>
      <c r="CG81" s="3431"/>
      <c r="CH81" s="3431"/>
      <c r="CI81" s="3431"/>
      <c r="CJ81" s="3431"/>
      <c r="CK81" s="3431"/>
      <c r="CL81" s="3431"/>
      <c r="CM81" s="3431"/>
      <c r="CN81" s="3431"/>
      <c r="CO81" s="3431"/>
      <c r="CP81" s="3431"/>
      <c r="CQ81" s="3431"/>
      <c r="CR81" s="3431"/>
      <c r="CS81" s="3431"/>
      <c r="CT81" s="3431"/>
      <c r="CU81" s="3431"/>
      <c r="CV81" s="3431"/>
      <c r="CW81" s="3431"/>
      <c r="CX81" s="3431"/>
      <c r="CY81" s="3431"/>
      <c r="CZ81" s="3431"/>
    </row>
    <row r="82" spans="2:104">
      <c r="B82" s="3374" t="s">
        <v>1900</v>
      </c>
      <c r="C82" s="3410"/>
      <c r="D82" s="3410"/>
      <c r="E82" s="3411"/>
      <c r="F82" s="3411"/>
      <c r="G82" s="3411"/>
      <c r="H82" s="3411"/>
      <c r="I82" s="3411"/>
      <c r="J82" s="3411"/>
      <c r="K82" s="3412"/>
      <c r="L82" s="3413"/>
      <c r="M82" s="3413"/>
      <c r="N82" s="3413"/>
      <c r="O82" s="3413"/>
      <c r="P82" s="3426">
        <f t="shared" ref="P82:U82" si="92">+P28/O28-1</f>
        <v>1.4444444444444482E-2</v>
      </c>
      <c r="Q82" s="3426">
        <f t="shared" si="92"/>
        <v>-0.20920043811610078</v>
      </c>
      <c r="R82" s="3426">
        <f t="shared" si="92"/>
        <v>-0.20914127423822715</v>
      </c>
      <c r="S82" s="3426">
        <f t="shared" si="92"/>
        <v>-0.17338003502626975</v>
      </c>
      <c r="T82" s="3426">
        <f t="shared" si="92"/>
        <v>-0.13135593220338981</v>
      </c>
      <c r="U82" s="3426">
        <f t="shared" si="92"/>
        <v>-5.6097560975609806E-2</v>
      </c>
      <c r="V82" s="3426">
        <f ca="1">+V28/U28-1</f>
        <v>-9.0310077519379806E-2</v>
      </c>
      <c r="W82" s="3426">
        <f t="shared" ref="W82:AD82" ca="1" si="93">+OFFSET(W82,Mode,0)</f>
        <v>-8.5310077519379801E-2</v>
      </c>
      <c r="X82" s="3426">
        <f t="shared" ca="1" si="93"/>
        <v>-8.0310077519379797E-2</v>
      </c>
      <c r="Y82" s="3426">
        <f t="shared" ca="1" si="93"/>
        <v>-7.5310077519379792E-2</v>
      </c>
      <c r="Z82" s="3426">
        <f t="shared" ca="1" si="93"/>
        <v>-7.0310077519379788E-2</v>
      </c>
      <c r="AA82" s="3426">
        <f t="shared" ca="1" si="93"/>
        <v>-6.5310077519379783E-2</v>
      </c>
      <c r="AB82" s="3426">
        <f t="shared" ca="1" si="93"/>
        <v>-6.0310077519379786E-2</v>
      </c>
      <c r="AC82" s="3426">
        <f t="shared" ca="1" si="93"/>
        <v>-5.5310077519379788E-2</v>
      </c>
      <c r="AD82" s="3426">
        <f t="shared" ca="1" si="93"/>
        <v>-5.0310077519379791E-2</v>
      </c>
      <c r="AE82" s="3426"/>
      <c r="AF82" s="3413"/>
      <c r="AG82" s="3412"/>
      <c r="AH82" s="3412"/>
      <c r="AI82" s="3412"/>
      <c r="AJ82" s="3412"/>
      <c r="AK82" s="3412"/>
      <c r="AL82" s="3412"/>
      <c r="AM82" s="3412"/>
      <c r="AN82" s="3412"/>
      <c r="AO82" s="3427"/>
      <c r="AP82" s="3427"/>
      <c r="AQ82" s="3427"/>
      <c r="AR82" s="3427"/>
      <c r="AS82" s="3427"/>
      <c r="AT82" s="3427"/>
      <c r="AU82" s="3427"/>
      <c r="AV82" s="3427"/>
      <c r="AW82" s="3427"/>
      <c r="AX82" s="3427"/>
      <c r="AY82" s="3427"/>
      <c r="AZ82" s="3427"/>
      <c r="BA82" s="3427"/>
      <c r="BB82" s="3427"/>
      <c r="BC82" s="3427"/>
      <c r="BD82" s="3427"/>
      <c r="BE82" s="3428"/>
      <c r="BF82" s="3428"/>
      <c r="BG82" s="3428"/>
      <c r="BH82" s="3428"/>
      <c r="BI82" s="3428"/>
      <c r="BJ82" s="3428"/>
      <c r="BK82" s="3428"/>
      <c r="BL82" s="3428"/>
      <c r="BM82" s="3428"/>
      <c r="BN82" s="3428"/>
      <c r="BO82" s="3428"/>
      <c r="BP82" s="3429"/>
      <c r="BQ82" s="3426"/>
      <c r="BR82" s="3430"/>
      <c r="BS82" s="3410"/>
      <c r="BT82" s="3410"/>
      <c r="BU82" s="3410"/>
      <c r="BV82" s="3426"/>
      <c r="BW82" s="3426"/>
      <c r="BX82" s="3426"/>
      <c r="BY82" s="3426">
        <f t="shared" ref="BY82:CT82" si="94">+BY28/BU28-1</f>
        <v>-1.6666666666666718E-2</v>
      </c>
      <c r="BZ82" s="3426">
        <f t="shared" si="94"/>
        <v>2.2321428571428603E-2</v>
      </c>
      <c r="CA82" s="3426">
        <f t="shared" si="94"/>
        <v>0</v>
      </c>
      <c r="CB82" s="3426">
        <f t="shared" si="94"/>
        <v>5.6872037914691864E-2</v>
      </c>
      <c r="CC82" s="3426">
        <f t="shared" si="94"/>
        <v>-0.13135593220338981</v>
      </c>
      <c r="CD82" s="3426">
        <f t="shared" si="94"/>
        <v>-0.18777292576419213</v>
      </c>
      <c r="CE82" s="3426">
        <f t="shared" si="94"/>
        <v>-0.23555555555555552</v>
      </c>
      <c r="CF82" s="3426">
        <f t="shared" si="94"/>
        <v>-0.28699551569506732</v>
      </c>
      <c r="CG82" s="3426">
        <f t="shared" si="94"/>
        <v>-0.27317073170731709</v>
      </c>
      <c r="CH82" s="3426">
        <f t="shared" si="94"/>
        <v>-0.22580645161290325</v>
      </c>
      <c r="CI82" s="3426">
        <f t="shared" si="94"/>
        <v>-0.16279069767441856</v>
      </c>
      <c r="CJ82" s="3426">
        <f t="shared" si="94"/>
        <v>-0.15723270440251569</v>
      </c>
      <c r="CK82" s="3426">
        <f t="shared" si="94"/>
        <v>-0.15436241610738255</v>
      </c>
      <c r="CL82" s="3426">
        <f t="shared" si="94"/>
        <v>-0.16666666666666663</v>
      </c>
      <c r="CM82" s="3426">
        <f t="shared" si="94"/>
        <v>-0.19444444444444442</v>
      </c>
      <c r="CN82" s="3426">
        <f t="shared" si="94"/>
        <v>-0.17910447761194026</v>
      </c>
      <c r="CO82" s="3426">
        <f t="shared" si="94"/>
        <v>-0.15873015873015872</v>
      </c>
      <c r="CP82" s="3426">
        <f t="shared" si="94"/>
        <v>-0.15833333333333333</v>
      </c>
      <c r="CQ82" s="3426">
        <f t="shared" si="94"/>
        <v>-0.10344827586206895</v>
      </c>
      <c r="CR82" s="3426">
        <f t="shared" si="94"/>
        <v>-9.9999999999999978E-2</v>
      </c>
      <c r="CS82" s="3426">
        <f t="shared" si="94"/>
        <v>-3.7735849056603765E-2</v>
      </c>
      <c r="CT82" s="3426">
        <f t="shared" si="94"/>
        <v>-4.9504950495049549E-2</v>
      </c>
      <c r="CU82" s="3426">
        <f>+CU28/CQ28-1</f>
        <v>-7.6923076923076872E-2</v>
      </c>
      <c r="CV82" s="3426">
        <f t="shared" ref="CV82" si="95">+CV28/CR28-1</f>
        <v>-6.0606060606060552E-2</v>
      </c>
      <c r="CW82" s="3426">
        <f ca="1">+OFFSET(CW82,Mode,0)</f>
        <v>-0.11</v>
      </c>
      <c r="CX82" s="3426">
        <f ca="1">+OFFSET(CX82,Mode,0)</f>
        <v>-7.0000000000000007E-2</v>
      </c>
      <c r="CY82" s="3426">
        <f ca="1">+OFFSET(CY82,Mode,0)</f>
        <v>-0.09</v>
      </c>
      <c r="CZ82" s="3426">
        <f ca="1">+OFFSET(CZ82,Mode,0)</f>
        <v>-0.09</v>
      </c>
    </row>
    <row r="83" spans="2:104">
      <c r="B83" s="3374"/>
      <c r="C83" s="3410"/>
      <c r="D83" s="3410"/>
      <c r="E83" s="3411"/>
      <c r="F83" s="3411"/>
      <c r="G83" s="3411"/>
      <c r="H83" s="3411"/>
      <c r="I83" s="3411"/>
      <c r="J83" s="3411"/>
      <c r="K83" s="3412"/>
      <c r="L83" s="3413"/>
      <c r="M83" s="3435"/>
      <c r="N83" s="3435"/>
      <c r="O83" s="3435"/>
      <c r="P83" s="3435"/>
      <c r="Q83" s="3435"/>
      <c r="R83" s="3435"/>
      <c r="S83" s="3435"/>
      <c r="T83" s="3435"/>
      <c r="U83" s="3435"/>
      <c r="V83" s="3435"/>
      <c r="W83" s="3435">
        <f t="shared" ref="W83:AD83" ca="1" si="96">+W84+0.03</f>
        <v>-5.5310077519379802E-2</v>
      </c>
      <c r="X83" s="3435">
        <f t="shared" ca="1" si="96"/>
        <v>-5.0310077519379798E-2</v>
      </c>
      <c r="Y83" s="3435">
        <f t="shared" ca="1" si="96"/>
        <v>-4.5310077519379793E-2</v>
      </c>
      <c r="Z83" s="3435">
        <f t="shared" ca="1" si="96"/>
        <v>-4.0310077519379789E-2</v>
      </c>
      <c r="AA83" s="3435">
        <f t="shared" ca="1" si="96"/>
        <v>-3.5310077519379784E-2</v>
      </c>
      <c r="AB83" s="3435">
        <f t="shared" ca="1" si="96"/>
        <v>-3.0310077519379787E-2</v>
      </c>
      <c r="AC83" s="3435">
        <f t="shared" ca="1" si="96"/>
        <v>-2.5310077519379789E-2</v>
      </c>
      <c r="AD83" s="3435">
        <f t="shared" ca="1" si="96"/>
        <v>-2.0310077519379792E-2</v>
      </c>
      <c r="AE83" s="3435"/>
      <c r="AF83" s="3435"/>
      <c r="AG83" s="3436"/>
      <c r="AH83" s="3436"/>
      <c r="AI83" s="3436"/>
      <c r="AJ83" s="3436"/>
      <c r="AK83" s="3436"/>
      <c r="AL83" s="3436"/>
      <c r="AM83" s="3436"/>
      <c r="AN83" s="3436"/>
      <c r="AO83" s="3437"/>
      <c r="AP83" s="3437"/>
      <c r="AQ83" s="3437"/>
      <c r="AR83" s="3437"/>
      <c r="AS83" s="3437"/>
      <c r="AT83" s="3437"/>
      <c r="AU83" s="3437"/>
      <c r="AV83" s="3437"/>
      <c r="AW83" s="3437"/>
      <c r="AX83" s="3437"/>
      <c r="AY83" s="3437"/>
      <c r="AZ83" s="3437"/>
      <c r="BA83" s="3437"/>
      <c r="BB83" s="3437"/>
      <c r="BC83" s="3437"/>
      <c r="BD83" s="3437"/>
      <c r="BE83" s="3437"/>
      <c r="BF83" s="3437"/>
      <c r="BG83" s="3437"/>
      <c r="BH83" s="3437"/>
      <c r="BI83" s="3437"/>
      <c r="BJ83" s="3437"/>
      <c r="BK83" s="3437"/>
      <c r="BL83" s="3437"/>
      <c r="BM83" s="3437"/>
      <c r="BN83" s="3437"/>
      <c r="BO83" s="3437"/>
      <c r="BP83" s="3435"/>
      <c r="BQ83" s="3436"/>
      <c r="BR83" s="3436"/>
      <c r="BS83" s="3436"/>
      <c r="BT83" s="3436"/>
      <c r="BU83" s="3436"/>
      <c r="BV83" s="3436"/>
      <c r="BW83" s="3436"/>
      <c r="BX83" s="3436"/>
      <c r="BY83" s="3436"/>
      <c r="BZ83" s="3436"/>
      <c r="CA83" s="3436"/>
      <c r="CB83" s="3436"/>
      <c r="CC83" s="3436"/>
      <c r="CD83" s="3436"/>
      <c r="CE83" s="3436"/>
      <c r="CF83" s="3436"/>
      <c r="CG83" s="3436"/>
      <c r="CH83" s="3436"/>
      <c r="CI83" s="3436"/>
      <c r="CJ83" s="3436"/>
      <c r="CK83" s="3436"/>
      <c r="CL83" s="3436"/>
      <c r="CM83" s="3436"/>
      <c r="CN83" s="3436"/>
      <c r="CO83" s="3436"/>
      <c r="CP83" s="3436"/>
      <c r="CQ83" s="3436"/>
      <c r="CR83" s="3436"/>
      <c r="CS83" s="3436"/>
      <c r="CT83" s="3436"/>
      <c r="CU83" s="3436"/>
      <c r="CV83" s="3436"/>
      <c r="CW83" s="3436">
        <f>+CW84+0.0025</f>
        <v>-0.1075</v>
      </c>
      <c r="CX83" s="3436">
        <f>+CX84+0.0025</f>
        <v>-6.7500000000000004E-2</v>
      </c>
      <c r="CY83" s="3436">
        <f>+CY84+0.0025</f>
        <v>-8.7499999999999994E-2</v>
      </c>
      <c r="CZ83" s="3436">
        <f>+CZ84+0.0025</f>
        <v>-8.7499999999999994E-2</v>
      </c>
    </row>
    <row r="84" spans="2:104">
      <c r="B84" s="3374"/>
      <c r="C84" s="3410"/>
      <c r="D84" s="3410"/>
      <c r="E84" s="3411"/>
      <c r="F84" s="3411"/>
      <c r="G84" s="3411"/>
      <c r="H84" s="3411"/>
      <c r="I84" s="3411"/>
      <c r="J84" s="3411"/>
      <c r="K84" s="3412"/>
      <c r="L84" s="3413"/>
      <c r="M84" s="3435"/>
      <c r="N84" s="3435"/>
      <c r="O84" s="3435"/>
      <c r="P84" s="3436"/>
      <c r="Q84" s="3435"/>
      <c r="R84" s="3435"/>
      <c r="S84" s="3435"/>
      <c r="T84" s="3435"/>
      <c r="U84" s="3435"/>
      <c r="V84" s="3435"/>
      <c r="W84" s="3435">
        <f ca="1">+V82+0.005</f>
        <v>-8.5310077519379801E-2</v>
      </c>
      <c r="X84" s="3435">
        <f t="shared" ref="X84:AD84" ca="1" si="97">+W82+0.005</f>
        <v>-8.0310077519379797E-2</v>
      </c>
      <c r="Y84" s="3435">
        <f t="shared" ca="1" si="97"/>
        <v>-7.5310077519379792E-2</v>
      </c>
      <c r="Z84" s="3435">
        <f t="shared" ca="1" si="97"/>
        <v>-7.0310077519379788E-2</v>
      </c>
      <c r="AA84" s="3435">
        <f t="shared" ca="1" si="97"/>
        <v>-6.5310077519379783E-2</v>
      </c>
      <c r="AB84" s="3435">
        <f t="shared" ca="1" si="97"/>
        <v>-6.0310077519379786E-2</v>
      </c>
      <c r="AC84" s="3435">
        <f t="shared" ca="1" si="97"/>
        <v>-5.5310077519379788E-2</v>
      </c>
      <c r="AD84" s="3435">
        <f t="shared" ca="1" si="97"/>
        <v>-5.0310077519379791E-2</v>
      </c>
      <c r="AE84" s="3435"/>
      <c r="AF84" s="3435"/>
      <c r="AG84" s="3436"/>
      <c r="AH84" s="3436"/>
      <c r="AI84" s="3436"/>
      <c r="AJ84" s="3436"/>
      <c r="AK84" s="3436"/>
      <c r="AL84" s="3436"/>
      <c r="AM84" s="3436"/>
      <c r="AN84" s="3436"/>
      <c r="AO84" s="3437"/>
      <c r="AP84" s="3437"/>
      <c r="AQ84" s="3437"/>
      <c r="AR84" s="3437"/>
      <c r="AS84" s="3437"/>
      <c r="AT84" s="3437"/>
      <c r="AU84" s="3437"/>
      <c r="AV84" s="3437"/>
      <c r="AW84" s="3437"/>
      <c r="AX84" s="3437"/>
      <c r="AY84" s="3437"/>
      <c r="AZ84" s="3437"/>
      <c r="BA84" s="3437"/>
      <c r="BB84" s="3437"/>
      <c r="BC84" s="3437"/>
      <c r="BD84" s="3437"/>
      <c r="BE84" s="3437"/>
      <c r="BF84" s="3437"/>
      <c r="BG84" s="3437"/>
      <c r="BH84" s="3437"/>
      <c r="BI84" s="3437"/>
      <c r="BJ84" s="3437"/>
      <c r="BK84" s="3437"/>
      <c r="BL84" s="3437"/>
      <c r="BM84" s="3437"/>
      <c r="BN84" s="3437"/>
      <c r="BO84" s="3437"/>
      <c r="BP84" s="3435"/>
      <c r="BQ84" s="3436"/>
      <c r="BR84" s="3436"/>
      <c r="BS84" s="3436"/>
      <c r="BT84" s="3436"/>
      <c r="BU84" s="3436"/>
      <c r="BV84" s="3436"/>
      <c r="BW84" s="3436"/>
      <c r="BX84" s="3436"/>
      <c r="BY84" s="3436"/>
      <c r="BZ84" s="3436"/>
      <c r="CA84" s="3436"/>
      <c r="CB84" s="3436"/>
      <c r="CC84" s="3436"/>
      <c r="CD84" s="3436"/>
      <c r="CE84" s="3436"/>
      <c r="CF84" s="3436"/>
      <c r="CG84" s="3436"/>
      <c r="CH84" s="3436"/>
      <c r="CI84" s="3436"/>
      <c r="CJ84" s="3436"/>
      <c r="CK84" s="3436"/>
      <c r="CL84" s="3436"/>
      <c r="CM84" s="3436"/>
      <c r="CN84" s="3436"/>
      <c r="CO84" s="3436"/>
      <c r="CP84" s="3436"/>
      <c r="CQ84" s="3436"/>
      <c r="CR84" s="3436"/>
      <c r="CS84" s="3436"/>
      <c r="CT84" s="3436"/>
      <c r="CU84" s="3436"/>
      <c r="CV84" s="3436"/>
      <c r="CW84" s="3436">
        <v>-0.11</v>
      </c>
      <c r="CX84" s="3436">
        <v>-7.0000000000000007E-2</v>
      </c>
      <c r="CY84" s="3436">
        <v>-0.09</v>
      </c>
      <c r="CZ84" s="3436">
        <v>-0.09</v>
      </c>
    </row>
    <row r="85" spans="2:104">
      <c r="B85" s="3374"/>
      <c r="C85" s="3410"/>
      <c r="D85" s="3410"/>
      <c r="E85" s="3411"/>
      <c r="F85" s="3411"/>
      <c r="G85" s="3411"/>
      <c r="H85" s="3411"/>
      <c r="I85" s="3411"/>
      <c r="J85" s="3411"/>
      <c r="K85" s="3412"/>
      <c r="L85" s="3413"/>
      <c r="M85" s="3435"/>
      <c r="N85" s="3435"/>
      <c r="O85" s="3435"/>
      <c r="P85" s="3435"/>
      <c r="Q85" s="3435"/>
      <c r="R85" s="3435"/>
      <c r="S85" s="3435"/>
      <c r="T85" s="3435"/>
      <c r="U85" s="3435"/>
      <c r="V85" s="3435"/>
      <c r="W85" s="3435">
        <f t="shared" ref="W85:AD85" ca="1" si="98">+W84-0.03</f>
        <v>-0.1153100775193798</v>
      </c>
      <c r="X85" s="3435">
        <f t="shared" ca="1" si="98"/>
        <v>-0.1103100775193798</v>
      </c>
      <c r="Y85" s="3435">
        <f t="shared" ca="1" si="98"/>
        <v>-0.10531007751937979</v>
      </c>
      <c r="Z85" s="3435">
        <f t="shared" ca="1" si="98"/>
        <v>-0.10031007751937979</v>
      </c>
      <c r="AA85" s="3435">
        <f t="shared" ca="1" si="98"/>
        <v>-9.5310077519379782E-2</v>
      </c>
      <c r="AB85" s="3435">
        <f t="shared" ca="1" si="98"/>
        <v>-9.0310077519379778E-2</v>
      </c>
      <c r="AC85" s="3435">
        <f t="shared" ca="1" si="98"/>
        <v>-8.5310077519379787E-2</v>
      </c>
      <c r="AD85" s="3435">
        <f t="shared" ca="1" si="98"/>
        <v>-8.0310077519379797E-2</v>
      </c>
      <c r="AE85" s="3435"/>
      <c r="AF85" s="3435"/>
      <c r="AG85" s="3436"/>
      <c r="AH85" s="3436"/>
      <c r="AI85" s="3436"/>
      <c r="AJ85" s="3436"/>
      <c r="AK85" s="3436"/>
      <c r="AL85" s="3436"/>
      <c r="AM85" s="3436"/>
      <c r="AN85" s="3436"/>
      <c r="AO85" s="3437"/>
      <c r="AP85" s="3437"/>
      <c r="AQ85" s="3437"/>
      <c r="AR85" s="3437"/>
      <c r="AS85" s="3437"/>
      <c r="AT85" s="3437"/>
      <c r="AU85" s="3437"/>
      <c r="AV85" s="3437"/>
      <c r="AW85" s="3437"/>
      <c r="AX85" s="3437"/>
      <c r="AY85" s="3437"/>
      <c r="AZ85" s="3437"/>
      <c r="BA85" s="3437"/>
      <c r="BB85" s="3437"/>
      <c r="BC85" s="3437"/>
      <c r="BD85" s="3437"/>
      <c r="BE85" s="3437"/>
      <c r="BF85" s="3437"/>
      <c r="BG85" s="3437"/>
      <c r="BH85" s="3437"/>
      <c r="BI85" s="3437"/>
      <c r="BJ85" s="3437"/>
      <c r="BK85" s="3437"/>
      <c r="BL85" s="3437"/>
      <c r="BM85" s="3437"/>
      <c r="BN85" s="3437"/>
      <c r="BO85" s="3437"/>
      <c r="BP85" s="3435"/>
      <c r="BQ85" s="3436"/>
      <c r="BR85" s="3436"/>
      <c r="BS85" s="3436"/>
      <c r="BT85" s="3436"/>
      <c r="BU85" s="3436"/>
      <c r="BV85" s="3436"/>
      <c r="BW85" s="3436"/>
      <c r="BX85" s="3436"/>
      <c r="BY85" s="3436"/>
      <c r="BZ85" s="3436"/>
      <c r="CA85" s="3436"/>
      <c r="CB85" s="3436"/>
      <c r="CC85" s="3436"/>
      <c r="CD85" s="3436"/>
      <c r="CE85" s="3436"/>
      <c r="CF85" s="3436"/>
      <c r="CG85" s="3436"/>
      <c r="CH85" s="3436"/>
      <c r="CI85" s="3436"/>
      <c r="CJ85" s="3436"/>
      <c r="CK85" s="3436"/>
      <c r="CL85" s="3436"/>
      <c r="CM85" s="3436"/>
      <c r="CN85" s="3436"/>
      <c r="CO85" s="3436"/>
      <c r="CP85" s="3436"/>
      <c r="CQ85" s="3436"/>
      <c r="CR85" s="3436"/>
      <c r="CS85" s="3436"/>
      <c r="CT85" s="3436"/>
      <c r="CU85" s="3436"/>
      <c r="CV85" s="3436"/>
      <c r="CW85" s="3436">
        <f>+CW84-0.005</f>
        <v>-0.115</v>
      </c>
      <c r="CX85" s="3436">
        <f>+CX84-0.005</f>
        <v>-7.5000000000000011E-2</v>
      </c>
      <c r="CY85" s="3436">
        <f>+CY84-0.005</f>
        <v>-9.5000000000000001E-2</v>
      </c>
      <c r="CZ85" s="3436">
        <f>+CZ84-0.005</f>
        <v>-9.5000000000000001E-2</v>
      </c>
    </row>
    <row r="86" spans="2:104">
      <c r="V86" s="3617"/>
      <c r="CU86" s="3617"/>
    </row>
    <row r="87" spans="2:104">
      <c r="B87" s="3406" t="s">
        <v>1921</v>
      </c>
      <c r="C87" s="3410"/>
      <c r="D87" s="3410"/>
      <c r="E87" s="3411"/>
      <c r="F87" s="3411"/>
      <c r="G87" s="3411"/>
      <c r="H87" s="3411"/>
      <c r="I87" s="3411"/>
      <c r="J87" s="3411"/>
      <c r="K87" s="3412"/>
      <c r="L87" s="3413"/>
      <c r="M87" s="3413"/>
      <c r="N87" s="3413"/>
      <c r="O87" s="3413"/>
      <c r="P87" s="3413"/>
      <c r="Q87" s="3413"/>
      <c r="R87" s="3438">
        <v>2014</v>
      </c>
      <c r="S87" s="3438">
        <f>+S3</f>
        <v>2015</v>
      </c>
      <c r="T87" s="3438">
        <f t="shared" ref="T87:AD87" si="99">+T3</f>
        <v>2016</v>
      </c>
      <c r="U87" s="3438" t="str">
        <f t="shared" si="99"/>
        <v>2017E</v>
      </c>
      <c r="V87" s="3438" t="str">
        <f>+V3</f>
        <v>2018E</v>
      </c>
      <c r="W87" s="3438" t="str">
        <f t="shared" si="99"/>
        <v>2019E</v>
      </c>
      <c r="X87" s="3438" t="str">
        <f t="shared" si="99"/>
        <v>2020E</v>
      </c>
      <c r="Y87" s="3438" t="str">
        <f t="shared" si="99"/>
        <v>2021E</v>
      </c>
      <c r="Z87" s="3438" t="str">
        <f t="shared" si="99"/>
        <v>2022E</v>
      </c>
      <c r="AA87" s="3438" t="str">
        <f t="shared" si="99"/>
        <v>2023E</v>
      </c>
      <c r="AB87" s="3438" t="str">
        <f t="shared" si="99"/>
        <v>2024E</v>
      </c>
      <c r="AC87" s="3438" t="str">
        <f t="shared" si="99"/>
        <v>2025E</v>
      </c>
      <c r="AD87" s="3438" t="str">
        <f t="shared" si="99"/>
        <v>2026E</v>
      </c>
      <c r="AE87" s="3438"/>
      <c r="AF87" s="3439"/>
      <c r="AG87" s="3440" t="s">
        <v>1887</v>
      </c>
      <c r="AH87" s="3440" t="s">
        <v>1888</v>
      </c>
      <c r="AI87" s="3440" t="s">
        <v>1889</v>
      </c>
      <c r="AJ87" s="3440" t="s">
        <v>1890</v>
      </c>
      <c r="AK87" s="3440" t="s">
        <v>138</v>
      </c>
      <c r="AL87" s="3440" t="s">
        <v>139</v>
      </c>
      <c r="AM87" s="3440" t="s">
        <v>140</v>
      </c>
      <c r="AN87" s="3440" t="s">
        <v>145</v>
      </c>
      <c r="AO87" s="3440" t="s">
        <v>146</v>
      </c>
      <c r="AP87" s="3440" t="s">
        <v>147</v>
      </c>
      <c r="AQ87" s="3440" t="s">
        <v>148</v>
      </c>
      <c r="AR87" s="3440" t="s">
        <v>767</v>
      </c>
      <c r="AS87" s="3440" t="s">
        <v>768</v>
      </c>
      <c r="AT87" s="3440" t="s">
        <v>769</v>
      </c>
      <c r="AU87" s="3440" t="s">
        <v>770</v>
      </c>
      <c r="AV87" s="3440" t="s">
        <v>771</v>
      </c>
      <c r="AW87" s="3440" t="s">
        <v>800</v>
      </c>
      <c r="AX87" s="3440" t="s">
        <v>801</v>
      </c>
      <c r="AY87" s="3440" t="s">
        <v>802</v>
      </c>
      <c r="AZ87" s="3440" t="s">
        <v>803</v>
      </c>
      <c r="BA87" s="3440" t="s">
        <v>804</v>
      </c>
      <c r="BB87" s="3440" t="s">
        <v>805</v>
      </c>
      <c r="BC87" s="3440" t="s">
        <v>806</v>
      </c>
      <c r="BD87" s="3440" t="s">
        <v>807</v>
      </c>
      <c r="BE87" s="3440" t="s">
        <v>808</v>
      </c>
      <c r="BF87" s="3440" t="s">
        <v>809</v>
      </c>
      <c r="BG87" s="3440" t="s">
        <v>810</v>
      </c>
      <c r="BH87" s="3440" t="s">
        <v>811</v>
      </c>
      <c r="BI87" s="3440" t="s">
        <v>812</v>
      </c>
      <c r="BJ87" s="3440" t="s">
        <v>813</v>
      </c>
      <c r="BK87" s="3440" t="s">
        <v>814</v>
      </c>
      <c r="BL87" s="3440" t="s">
        <v>430</v>
      </c>
      <c r="BM87" s="3440" t="s">
        <v>431</v>
      </c>
      <c r="BN87" s="3440" t="s">
        <v>486</v>
      </c>
      <c r="BO87" s="3440" t="s">
        <v>493</v>
      </c>
      <c r="BP87" s="3440" t="s">
        <v>513</v>
      </c>
      <c r="BQ87" s="3440" t="s">
        <v>559</v>
      </c>
      <c r="BR87" s="3440" t="s">
        <v>730</v>
      </c>
      <c r="BS87" s="3440" t="s">
        <v>367</v>
      </c>
      <c r="BT87" s="3440" t="s">
        <v>582</v>
      </c>
      <c r="BU87" s="3440" t="s">
        <v>257</v>
      </c>
      <c r="BV87" s="3440" t="s">
        <v>950</v>
      </c>
      <c r="BW87" s="3440" t="s">
        <v>455</v>
      </c>
      <c r="BX87" s="3440" t="s">
        <v>70</v>
      </c>
      <c r="BY87" s="3440" t="s">
        <v>456</v>
      </c>
      <c r="BZ87" s="3440" t="s">
        <v>414</v>
      </c>
      <c r="CA87" s="3440" t="s">
        <v>733</v>
      </c>
      <c r="CB87" s="3440" t="s">
        <v>141</v>
      </c>
      <c r="CC87" s="3440" t="s">
        <v>276</v>
      </c>
      <c r="CD87" s="3440" t="s">
        <v>557</v>
      </c>
      <c r="CE87" s="3440" t="s">
        <v>964</v>
      </c>
      <c r="CF87" s="3440" t="s">
        <v>418</v>
      </c>
      <c r="CG87" s="3440" t="s">
        <v>539</v>
      </c>
      <c r="CH87" s="3440" t="s">
        <v>1215</v>
      </c>
      <c r="CI87" s="3440" t="s">
        <v>1222</v>
      </c>
      <c r="CJ87" s="3440" t="s">
        <v>1238</v>
      </c>
      <c r="CK87" s="3440" t="str">
        <f>+CK3</f>
        <v>1Q15</v>
      </c>
      <c r="CL87" s="3440" t="str">
        <f t="shared" ref="CL87:CT87" si="100">+CL3</f>
        <v>2Q15</v>
      </c>
      <c r="CM87" s="3440" t="str">
        <f t="shared" si="100"/>
        <v>3Q15</v>
      </c>
      <c r="CN87" s="3440" t="str">
        <f t="shared" si="100"/>
        <v>4Q15</v>
      </c>
      <c r="CO87" s="3440" t="str">
        <f t="shared" si="100"/>
        <v>1Q16</v>
      </c>
      <c r="CP87" s="3440" t="str">
        <f t="shared" si="100"/>
        <v>2Q16</v>
      </c>
      <c r="CQ87" s="3440" t="str">
        <f t="shared" si="100"/>
        <v>3Q16</v>
      </c>
      <c r="CR87" s="3440" t="str">
        <f t="shared" si="100"/>
        <v>4Q16</v>
      </c>
      <c r="CS87" s="3440" t="str">
        <f t="shared" si="100"/>
        <v>1Q17</v>
      </c>
      <c r="CT87" s="3440" t="str">
        <f t="shared" si="100"/>
        <v>2Q17</v>
      </c>
      <c r="CU87" s="3440" t="str">
        <f>+CU3</f>
        <v>3Q17</v>
      </c>
      <c r="CV87" s="3440" t="str">
        <f t="shared" ref="CV87" si="101">+CV3</f>
        <v>4Q17</v>
      </c>
      <c r="CW87" s="3440" t="str">
        <f>+CW3</f>
        <v>1Q18E</v>
      </c>
      <c r="CX87" s="3440" t="str">
        <f>+CX3</f>
        <v>2Q18E</v>
      </c>
      <c r="CY87" s="3440" t="str">
        <f>+CY3</f>
        <v>3Q18E</v>
      </c>
      <c r="CZ87" s="3440" t="str">
        <f>+CZ3</f>
        <v>4Q18E</v>
      </c>
    </row>
    <row r="88" spans="2:104">
      <c r="B88" s="3441" t="s">
        <v>1892</v>
      </c>
      <c r="C88" s="3442"/>
      <c r="D88" s="3442"/>
      <c r="E88" s="3442"/>
      <c r="F88" s="3442"/>
      <c r="G88" s="3442"/>
      <c r="H88" s="3442"/>
      <c r="I88" s="3442"/>
      <c r="J88" s="3442"/>
      <c r="K88" s="3442"/>
      <c r="L88" s="3443"/>
      <c r="M88" s="3443"/>
      <c r="N88" s="3443"/>
      <c r="O88" s="3443"/>
      <c r="P88" s="3442"/>
      <c r="Q88" s="3442"/>
      <c r="R88" s="3442"/>
      <c r="S88" s="3441">
        <f t="shared" ref="S88:U89" si="102">+S69</f>
        <v>5.8121697630816538E-2</v>
      </c>
      <c r="T88" s="3441">
        <f t="shared" si="102"/>
        <v>2.4645618556700999E-2</v>
      </c>
      <c r="U88" s="3441">
        <f t="shared" si="102"/>
        <v>1.2733846879421584E-2</v>
      </c>
      <c r="V88" s="3441">
        <f ca="1">+V69</f>
        <v>9.7142191865879912E-3</v>
      </c>
      <c r="W88" s="3442"/>
      <c r="X88" s="3442"/>
      <c r="Y88" s="3442"/>
      <c r="Z88" s="3442"/>
      <c r="AA88" s="3442"/>
      <c r="AB88" s="3442"/>
      <c r="AC88" s="3442"/>
      <c r="AD88" s="3442"/>
      <c r="AE88" s="3442"/>
      <c r="AF88" s="3443"/>
      <c r="AG88" s="3442"/>
      <c r="AH88" s="3442"/>
      <c r="AI88" s="3442"/>
      <c r="AJ88" s="3442"/>
      <c r="AK88" s="3442"/>
      <c r="AL88" s="3442"/>
      <c r="AM88" s="3442"/>
      <c r="AN88" s="3442"/>
      <c r="AO88" s="3444"/>
      <c r="AP88" s="3444"/>
      <c r="AQ88" s="3444"/>
      <c r="AR88" s="3444"/>
      <c r="AS88" s="3444"/>
      <c r="AT88" s="3444"/>
      <c r="AU88" s="3444"/>
      <c r="AV88" s="3444"/>
      <c r="AW88" s="3444"/>
      <c r="AX88" s="3444"/>
      <c r="AY88" s="3444"/>
      <c r="AZ88" s="3444"/>
      <c r="BA88" s="3444"/>
      <c r="BB88" s="3444"/>
      <c r="BC88" s="3444"/>
      <c r="BD88" s="3444"/>
      <c r="BE88" s="3444"/>
      <c r="BF88" s="3444"/>
      <c r="BG88" s="3444"/>
      <c r="BH88" s="3444"/>
      <c r="BI88" s="3444"/>
      <c r="BJ88" s="3444"/>
      <c r="BK88" s="3444"/>
      <c r="BL88" s="3444"/>
      <c r="BM88" s="3444"/>
      <c r="BN88" s="3444"/>
      <c r="BO88" s="3444"/>
      <c r="BP88" s="3443"/>
      <c r="BQ88" s="3442"/>
      <c r="BR88" s="3442"/>
      <c r="BS88" s="3442"/>
      <c r="BT88" s="3442"/>
      <c r="BU88" s="3442"/>
      <c r="BV88" s="3442"/>
      <c r="BW88" s="3442"/>
      <c r="BX88" s="3442"/>
      <c r="BY88" s="3442"/>
      <c r="BZ88" s="3442"/>
      <c r="CA88" s="3442"/>
      <c r="CB88" s="3442"/>
      <c r="CC88" s="3442"/>
      <c r="CD88" s="3442"/>
      <c r="CE88" s="3445"/>
      <c r="CF88" s="3445"/>
      <c r="CG88" s="3445"/>
      <c r="CH88" s="3445"/>
      <c r="CI88" s="3445"/>
      <c r="CJ88" s="3445"/>
      <c r="CK88" s="3445">
        <v>7.0000000000000007E-2</v>
      </c>
      <c r="CL88" s="3445">
        <v>6.7000000000000004E-2</v>
      </c>
      <c r="CM88" s="3445">
        <v>5.6000000000000001E-2</v>
      </c>
      <c r="CN88" s="3445">
        <v>4.3999999999999997E-2</v>
      </c>
      <c r="CO88" s="3445">
        <v>4.3999999999999997E-2</v>
      </c>
      <c r="CP88" s="3445">
        <v>3.5000000000000003E-2</v>
      </c>
      <c r="CQ88" s="3445">
        <v>1.4E-2</v>
      </c>
      <c r="CR88" s="3445">
        <v>8.0000000000000002E-3</v>
      </c>
      <c r="CS88" s="3445">
        <v>-4.0000000000000001E-3</v>
      </c>
      <c r="CT88" s="3445">
        <v>1E-3</v>
      </c>
      <c r="CU88" s="3441">
        <v>1.4999999999999999E-2</v>
      </c>
      <c r="CV88" s="3441">
        <f>+CV69</f>
        <v>3.7878787878787845E-2</v>
      </c>
      <c r="CW88" s="3442"/>
      <c r="CX88" s="3442"/>
      <c r="CY88" s="3442"/>
      <c r="CZ88" s="3442"/>
    </row>
    <row r="89" spans="2:104">
      <c r="B89" s="3446" t="s">
        <v>279</v>
      </c>
      <c r="C89" s="3431"/>
      <c r="D89" s="3431"/>
      <c r="E89" s="3431"/>
      <c r="F89" s="3431"/>
      <c r="G89" s="3431"/>
      <c r="H89" s="3431"/>
      <c r="I89" s="3431"/>
      <c r="J89" s="3431"/>
      <c r="K89" s="3431"/>
      <c r="L89" s="3407"/>
      <c r="M89" s="3407"/>
      <c r="N89" s="3407"/>
      <c r="O89" s="3407"/>
      <c r="P89" s="3407"/>
      <c r="Q89" s="3407"/>
      <c r="R89" s="3407"/>
      <c r="S89" s="3447">
        <f t="shared" si="102"/>
        <v>1.6412661195779554E-2</v>
      </c>
      <c r="T89" s="3447">
        <f t="shared" si="102"/>
        <v>-2.422145328719727E-2</v>
      </c>
      <c r="U89" s="3447">
        <f t="shared" si="102"/>
        <v>-4.1962174940898378E-2</v>
      </c>
      <c r="V89" s="3447">
        <f ca="1">+V70</f>
        <v>-4.6344848858729359E-2</v>
      </c>
      <c r="W89" s="3426">
        <f t="shared" ref="W89:AD89" ca="1" si="103">+OFFSET(W89,Mode,0)</f>
        <v>-4.5344848858729359E-2</v>
      </c>
      <c r="X89" s="3426">
        <f t="shared" ca="1" si="103"/>
        <v>-4.4344848858729358E-2</v>
      </c>
      <c r="Y89" s="3426">
        <f t="shared" ca="1" si="103"/>
        <v>-4.3344848858729357E-2</v>
      </c>
      <c r="Z89" s="3426">
        <f t="shared" ca="1" si="103"/>
        <v>-4.2344848858729356E-2</v>
      </c>
      <c r="AA89" s="3426">
        <f t="shared" ca="1" si="103"/>
        <v>-4.1344848858729355E-2</v>
      </c>
      <c r="AB89" s="3426">
        <f t="shared" ca="1" si="103"/>
        <v>-4.0344848858729354E-2</v>
      </c>
      <c r="AC89" s="3426">
        <f t="shared" ca="1" si="103"/>
        <v>-3.9344848858729353E-2</v>
      </c>
      <c r="AD89" s="3426">
        <f t="shared" ca="1" si="103"/>
        <v>-3.8344848858729352E-2</v>
      </c>
      <c r="AE89" s="3407"/>
      <c r="AF89" s="3407"/>
      <c r="AG89" s="3431"/>
      <c r="AH89" s="3431"/>
      <c r="AI89" s="3431"/>
      <c r="AJ89" s="3431"/>
      <c r="AK89" s="3431"/>
      <c r="AL89" s="3431"/>
      <c r="AM89" s="3431"/>
      <c r="AN89" s="3431"/>
      <c r="AO89" s="3432"/>
      <c r="AP89" s="3432"/>
      <c r="AQ89" s="3432"/>
      <c r="AR89" s="3432"/>
      <c r="AS89" s="3432"/>
      <c r="AT89" s="3432"/>
      <c r="AU89" s="3432"/>
      <c r="AV89" s="3432"/>
      <c r="AW89" s="3432"/>
      <c r="AX89" s="3432"/>
      <c r="AY89" s="3432"/>
      <c r="AZ89" s="3432"/>
      <c r="BA89" s="3432"/>
      <c r="BB89" s="3432"/>
      <c r="BC89" s="3432"/>
      <c r="BD89" s="3432"/>
      <c r="BE89" s="3432"/>
      <c r="BF89" s="3432"/>
      <c r="BG89" s="3432"/>
      <c r="BH89" s="3432"/>
      <c r="BI89" s="3432"/>
      <c r="BJ89" s="3432"/>
      <c r="BK89" s="3432"/>
      <c r="BL89" s="3432"/>
      <c r="BM89" s="3432"/>
      <c r="BN89" s="3432"/>
      <c r="BO89" s="3432"/>
      <c r="BP89" s="3407"/>
      <c r="BQ89" s="3431"/>
      <c r="BR89" s="3431"/>
      <c r="BS89" s="3431"/>
      <c r="BT89" s="3431"/>
      <c r="BU89" s="3431"/>
      <c r="BV89" s="3431"/>
      <c r="BW89" s="3431"/>
      <c r="BX89" s="3431"/>
      <c r="BY89" s="3431"/>
      <c r="BZ89" s="3431"/>
      <c r="CA89" s="3431"/>
      <c r="CB89" s="3431"/>
      <c r="CC89" s="3431"/>
      <c r="CD89" s="3431"/>
      <c r="CE89" s="3448"/>
      <c r="CF89" s="3448"/>
      <c r="CG89" s="3448"/>
      <c r="CH89" s="3448"/>
      <c r="CI89" s="3448"/>
      <c r="CJ89" s="3448"/>
      <c r="CK89" s="3448">
        <v>2.7E-2</v>
      </c>
      <c r="CL89" s="3448">
        <v>5.8000000000000003E-2</v>
      </c>
      <c r="CM89" s="3448">
        <v>-1.4999999999999999E-2</v>
      </c>
      <c r="CN89" s="3448">
        <v>0</v>
      </c>
      <c r="CO89" s="3448">
        <v>-8.9999999999999993E-3</v>
      </c>
      <c r="CP89" s="3448">
        <v>-2.1999999999999999E-2</v>
      </c>
      <c r="CQ89" s="3448">
        <v>-3.3000000000000002E-2</v>
      </c>
      <c r="CR89" s="3448">
        <v>-5.8000000000000003E-2</v>
      </c>
      <c r="CS89" s="3448">
        <v>-7.0999999999999994E-2</v>
      </c>
      <c r="CT89" s="3448">
        <v>-6.3E-2</v>
      </c>
      <c r="CU89" s="3434">
        <v>-1.9E-2</v>
      </c>
      <c r="CV89" s="3434">
        <f>+CV70</f>
        <v>-1.4814814814814836E-2</v>
      </c>
      <c r="CW89" s="3426">
        <f ca="1">+OFFSET(CW89,Mode,0)</f>
        <v>-2.5000000000000001E-2</v>
      </c>
      <c r="CX89" s="3426">
        <f ca="1">+OFFSET(CX89,Mode,0)</f>
        <v>-0.06</v>
      </c>
      <c r="CY89" s="3426">
        <f ca="1">+OFFSET(CY89,Mode,0)</f>
        <v>-0.05</v>
      </c>
      <c r="CZ89" s="3426">
        <f ca="1">+OFFSET(CZ89,Mode,0)</f>
        <v>-0.05</v>
      </c>
    </row>
    <row r="90" spans="2:104">
      <c r="B90" s="3374"/>
      <c r="C90" s="3410"/>
      <c r="D90" s="3410"/>
      <c r="E90" s="3411"/>
      <c r="F90" s="3411"/>
      <c r="G90" s="3411"/>
      <c r="H90" s="3411"/>
      <c r="I90" s="3411"/>
      <c r="J90" s="3411"/>
      <c r="K90" s="3412"/>
      <c r="L90" s="3413"/>
      <c r="M90" s="3435"/>
      <c r="N90" s="3435"/>
      <c r="O90" s="3435"/>
      <c r="P90" s="3436"/>
      <c r="Q90" s="3436"/>
      <c r="R90" s="3435"/>
      <c r="S90" s="3449"/>
      <c r="T90" s="3449"/>
      <c r="U90" s="3449"/>
      <c r="V90" s="3449"/>
      <c r="W90" s="3435">
        <f t="shared" ref="W90:AD90" ca="1" si="104">+W91+0.0025</f>
        <v>-4.2844848858729356E-2</v>
      </c>
      <c r="X90" s="3435">
        <f t="shared" ca="1" si="104"/>
        <v>-4.1844848858729355E-2</v>
      </c>
      <c r="Y90" s="3435">
        <f t="shared" ca="1" si="104"/>
        <v>-4.0844848858729355E-2</v>
      </c>
      <c r="Z90" s="3435">
        <f t="shared" ca="1" si="104"/>
        <v>-3.9844848858729354E-2</v>
      </c>
      <c r="AA90" s="3435">
        <f t="shared" ca="1" si="104"/>
        <v>-3.8844848858729353E-2</v>
      </c>
      <c r="AB90" s="3435">
        <f t="shared" ca="1" si="104"/>
        <v>-3.7844848858729352E-2</v>
      </c>
      <c r="AC90" s="3435">
        <f t="shared" ca="1" si="104"/>
        <v>-3.6844848858729351E-2</v>
      </c>
      <c r="AD90" s="3435">
        <f t="shared" ca="1" si="104"/>
        <v>-3.584484885872935E-2</v>
      </c>
      <c r="AE90" s="3435"/>
      <c r="AF90" s="3435"/>
      <c r="AG90" s="3436"/>
      <c r="AH90" s="3436"/>
      <c r="AI90" s="3436"/>
      <c r="AJ90" s="3436"/>
      <c r="AK90" s="3436"/>
      <c r="AL90" s="3436"/>
      <c r="AM90" s="3436"/>
      <c r="AN90" s="3436"/>
      <c r="AO90" s="3437"/>
      <c r="AP90" s="3437"/>
      <c r="AQ90" s="3437"/>
      <c r="AR90" s="3437"/>
      <c r="AS90" s="3437"/>
      <c r="AT90" s="3437"/>
      <c r="AU90" s="3437"/>
      <c r="AV90" s="3437"/>
      <c r="AW90" s="3437"/>
      <c r="AX90" s="3437"/>
      <c r="AY90" s="3437"/>
      <c r="AZ90" s="3437"/>
      <c r="BA90" s="3437"/>
      <c r="BB90" s="3437"/>
      <c r="BC90" s="3437"/>
      <c r="BD90" s="3437"/>
      <c r="BE90" s="3437"/>
      <c r="BF90" s="3437"/>
      <c r="BG90" s="3437"/>
      <c r="BH90" s="3437"/>
      <c r="BI90" s="3437"/>
      <c r="BJ90" s="3437"/>
      <c r="BK90" s="3437"/>
      <c r="BL90" s="3437"/>
      <c r="BM90" s="3437"/>
      <c r="BN90" s="3437"/>
      <c r="BO90" s="3437"/>
      <c r="BP90" s="3435"/>
      <c r="BQ90" s="3436"/>
      <c r="BR90" s="3436"/>
      <c r="BS90" s="3436"/>
      <c r="BT90" s="3436"/>
      <c r="BU90" s="3436"/>
      <c r="BV90" s="3436"/>
      <c r="BW90" s="3436"/>
      <c r="BX90" s="3436"/>
      <c r="BY90" s="3436"/>
      <c r="BZ90" s="3436"/>
      <c r="CA90" s="3436"/>
      <c r="CB90" s="3436"/>
      <c r="CC90" s="3436"/>
      <c r="CD90" s="3436"/>
      <c r="CE90" s="3436"/>
      <c r="CF90" s="3436"/>
      <c r="CG90" s="3436"/>
      <c r="CH90" s="3436"/>
      <c r="CI90" s="3436"/>
      <c r="CJ90" s="3436"/>
      <c r="CK90" s="3436"/>
      <c r="CL90" s="3436"/>
      <c r="CM90" s="3436"/>
      <c r="CN90" s="3436"/>
      <c r="CO90" s="3436"/>
      <c r="CP90" s="3436"/>
      <c r="CQ90" s="3436"/>
      <c r="CR90" s="3436"/>
      <c r="CS90" s="3436"/>
      <c r="CT90" s="3436"/>
      <c r="CU90" s="3436"/>
      <c r="CV90" s="3436"/>
      <c r="CW90" s="3436">
        <f>+CW91+0.005</f>
        <v>-0.02</v>
      </c>
      <c r="CX90" s="3436">
        <f>+CX91+0.005</f>
        <v>-5.5E-2</v>
      </c>
      <c r="CY90" s="3436">
        <f>+CY91+0.005</f>
        <v>-4.5000000000000005E-2</v>
      </c>
      <c r="CZ90" s="3436">
        <f>+CZ91+0.005</f>
        <v>-4.5000000000000005E-2</v>
      </c>
    </row>
    <row r="91" spans="2:104">
      <c r="B91" s="3374"/>
      <c r="C91" s="3410"/>
      <c r="D91" s="3410"/>
      <c r="E91" s="3411"/>
      <c r="F91" s="3411"/>
      <c r="G91" s="3411"/>
      <c r="H91" s="3411"/>
      <c r="I91" s="3411"/>
      <c r="J91" s="3411"/>
      <c r="K91" s="3412"/>
      <c r="L91" s="3413"/>
      <c r="M91" s="3435"/>
      <c r="N91" s="3435"/>
      <c r="O91" s="3435"/>
      <c r="P91" s="3436"/>
      <c r="Q91" s="3436"/>
      <c r="R91" s="3435"/>
      <c r="S91" s="3449"/>
      <c r="T91" s="3449"/>
      <c r="U91" s="3449"/>
      <c r="V91" s="3449"/>
      <c r="W91" s="3435">
        <f ca="1">+V89+0.001</f>
        <v>-4.5344848858729359E-2</v>
      </c>
      <c r="X91" s="3435">
        <f t="shared" ref="X91:AD91" ca="1" si="105">+W91+0.001</f>
        <v>-4.4344848858729358E-2</v>
      </c>
      <c r="Y91" s="3435">
        <f t="shared" ca="1" si="105"/>
        <v>-4.3344848858729357E-2</v>
      </c>
      <c r="Z91" s="3435">
        <f t="shared" ca="1" si="105"/>
        <v>-4.2344848858729356E-2</v>
      </c>
      <c r="AA91" s="3435">
        <f t="shared" ca="1" si="105"/>
        <v>-4.1344848858729355E-2</v>
      </c>
      <c r="AB91" s="3435">
        <f t="shared" ca="1" si="105"/>
        <v>-4.0344848858729354E-2</v>
      </c>
      <c r="AC91" s="3435">
        <f t="shared" ca="1" si="105"/>
        <v>-3.9344848858729353E-2</v>
      </c>
      <c r="AD91" s="3435">
        <f t="shared" ca="1" si="105"/>
        <v>-3.8344848858729352E-2</v>
      </c>
      <c r="AE91" s="3435"/>
      <c r="AF91" s="3435"/>
      <c r="AG91" s="3436"/>
      <c r="AH91" s="3436"/>
      <c r="AI91" s="3436"/>
      <c r="AJ91" s="3436"/>
      <c r="AK91" s="3436"/>
      <c r="AL91" s="3436"/>
      <c r="AM91" s="3436"/>
      <c r="AN91" s="3436"/>
      <c r="AO91" s="3437"/>
      <c r="AP91" s="3437"/>
      <c r="AQ91" s="3437"/>
      <c r="AR91" s="3437"/>
      <c r="AS91" s="3437"/>
      <c r="AT91" s="3437"/>
      <c r="AU91" s="3437"/>
      <c r="AV91" s="3437"/>
      <c r="AW91" s="3437"/>
      <c r="AX91" s="3437"/>
      <c r="AY91" s="3437"/>
      <c r="AZ91" s="3437"/>
      <c r="BA91" s="3437"/>
      <c r="BB91" s="3437"/>
      <c r="BC91" s="3437"/>
      <c r="BD91" s="3437"/>
      <c r="BE91" s="3437"/>
      <c r="BF91" s="3437"/>
      <c r="BG91" s="3437"/>
      <c r="BH91" s="3437"/>
      <c r="BI91" s="3437"/>
      <c r="BJ91" s="3437"/>
      <c r="BK91" s="3437"/>
      <c r="BL91" s="3437"/>
      <c r="BM91" s="3437"/>
      <c r="BN91" s="3437"/>
      <c r="BO91" s="3437"/>
      <c r="BP91" s="3435"/>
      <c r="BQ91" s="3436"/>
      <c r="BR91" s="3436"/>
      <c r="BS91" s="3436"/>
      <c r="BT91" s="3436"/>
      <c r="BU91" s="3436"/>
      <c r="BV91" s="3436"/>
      <c r="BW91" s="3436"/>
      <c r="BX91" s="3436"/>
      <c r="BY91" s="3436"/>
      <c r="BZ91" s="3436"/>
      <c r="CA91" s="3436"/>
      <c r="CB91" s="3436"/>
      <c r="CC91" s="3436"/>
      <c r="CD91" s="3436"/>
      <c r="CE91" s="3436"/>
      <c r="CF91" s="3436"/>
      <c r="CG91" s="3436"/>
      <c r="CH91" s="3436"/>
      <c r="CI91" s="3436"/>
      <c r="CJ91" s="3436"/>
      <c r="CK91" s="3436"/>
      <c r="CL91" s="3436"/>
      <c r="CM91" s="3436"/>
      <c r="CN91" s="3436"/>
      <c r="CO91" s="3436"/>
      <c r="CP91" s="3436"/>
      <c r="CQ91" s="3436"/>
      <c r="CR91" s="3436"/>
      <c r="CS91" s="3436"/>
      <c r="CT91" s="3436"/>
      <c r="CU91" s="3436"/>
      <c r="CV91" s="3436"/>
      <c r="CW91" s="3436">
        <v>-2.5000000000000001E-2</v>
      </c>
      <c r="CX91" s="3436">
        <v>-0.06</v>
      </c>
      <c r="CY91" s="3436">
        <v>-0.05</v>
      </c>
      <c r="CZ91" s="3436">
        <v>-0.05</v>
      </c>
    </row>
    <row r="92" spans="2:104">
      <c r="B92" s="3374"/>
      <c r="C92" s="3410"/>
      <c r="D92" s="3410"/>
      <c r="E92" s="3411"/>
      <c r="F92" s="3411"/>
      <c r="G92" s="3411"/>
      <c r="H92" s="3411"/>
      <c r="I92" s="3411"/>
      <c r="J92" s="3411"/>
      <c r="K92" s="3412"/>
      <c r="L92" s="3413"/>
      <c r="M92" s="3435"/>
      <c r="N92" s="3435"/>
      <c r="O92" s="3435"/>
      <c r="P92" s="3436"/>
      <c r="Q92" s="3436"/>
      <c r="R92" s="3435"/>
      <c r="S92" s="3449"/>
      <c r="T92" s="3449"/>
      <c r="U92" s="3449"/>
      <c r="V92" s="3449"/>
      <c r="W92" s="3435">
        <f t="shared" ref="W92:AD92" ca="1" si="106">+W91-0.015</f>
        <v>-6.0344848858729358E-2</v>
      </c>
      <c r="X92" s="3435">
        <f t="shared" ca="1" si="106"/>
        <v>-5.9344848858729357E-2</v>
      </c>
      <c r="Y92" s="3435">
        <f t="shared" ca="1" si="106"/>
        <v>-5.8344848858729356E-2</v>
      </c>
      <c r="Z92" s="3435">
        <f t="shared" ca="1" si="106"/>
        <v>-5.7344848858729355E-2</v>
      </c>
      <c r="AA92" s="3435">
        <f t="shared" ca="1" si="106"/>
        <v>-5.6344848858729354E-2</v>
      </c>
      <c r="AB92" s="3435">
        <f t="shared" ca="1" si="106"/>
        <v>-5.5344848858729354E-2</v>
      </c>
      <c r="AC92" s="3435">
        <f t="shared" ca="1" si="106"/>
        <v>-5.4344848858729353E-2</v>
      </c>
      <c r="AD92" s="3435">
        <f t="shared" ca="1" si="106"/>
        <v>-5.3344848858729352E-2</v>
      </c>
      <c r="AE92" s="3435"/>
      <c r="AF92" s="3435"/>
      <c r="AG92" s="3436"/>
      <c r="AH92" s="3436"/>
      <c r="AI92" s="3436"/>
      <c r="AJ92" s="3436"/>
      <c r="AK92" s="3436"/>
      <c r="AL92" s="3436"/>
      <c r="AM92" s="3436"/>
      <c r="AN92" s="3436"/>
      <c r="AO92" s="3437"/>
      <c r="AP92" s="3437"/>
      <c r="AQ92" s="3437"/>
      <c r="AR92" s="3437"/>
      <c r="AS92" s="3437"/>
      <c r="AT92" s="3437"/>
      <c r="AU92" s="3437"/>
      <c r="AV92" s="3437"/>
      <c r="AW92" s="3437"/>
      <c r="AX92" s="3437"/>
      <c r="AY92" s="3437"/>
      <c r="AZ92" s="3437"/>
      <c r="BA92" s="3437"/>
      <c r="BB92" s="3437"/>
      <c r="BC92" s="3437"/>
      <c r="BD92" s="3437"/>
      <c r="BE92" s="3437"/>
      <c r="BF92" s="3437"/>
      <c r="BG92" s="3437"/>
      <c r="BH92" s="3437"/>
      <c r="BI92" s="3437"/>
      <c r="BJ92" s="3437"/>
      <c r="BK92" s="3437"/>
      <c r="BL92" s="3437"/>
      <c r="BM92" s="3437"/>
      <c r="BN92" s="3437"/>
      <c r="BO92" s="3437"/>
      <c r="BP92" s="3435"/>
      <c r="BQ92" s="3436"/>
      <c r="BR92" s="3436"/>
      <c r="BS92" s="3436"/>
      <c r="BT92" s="3436"/>
      <c r="BU92" s="3436"/>
      <c r="BV92" s="3436"/>
      <c r="BW92" s="3436"/>
      <c r="BX92" s="3436"/>
      <c r="BY92" s="3436"/>
      <c r="BZ92" s="3436"/>
      <c r="CA92" s="3436"/>
      <c r="CB92" s="3436"/>
      <c r="CC92" s="3436"/>
      <c r="CD92" s="3436"/>
      <c r="CE92" s="3436"/>
      <c r="CF92" s="3436"/>
      <c r="CG92" s="3436"/>
      <c r="CH92" s="3436"/>
      <c r="CI92" s="3436"/>
      <c r="CJ92" s="3436"/>
      <c r="CK92" s="3436"/>
      <c r="CL92" s="3436"/>
      <c r="CM92" s="3436"/>
      <c r="CN92" s="3436"/>
      <c r="CO92" s="3436"/>
      <c r="CP92" s="3436"/>
      <c r="CQ92" s="3436"/>
      <c r="CR92" s="3436"/>
      <c r="CS92" s="3436"/>
      <c r="CT92" s="3436"/>
      <c r="CU92" s="3436"/>
      <c r="CV92" s="3436"/>
      <c r="CW92" s="3436">
        <f>+CW91-0.02</f>
        <v>-4.4999999999999998E-2</v>
      </c>
      <c r="CX92" s="3436">
        <f>+CX91-0.02</f>
        <v>-0.08</v>
      </c>
      <c r="CY92" s="3436">
        <f>+CY91-0.02</f>
        <v>-7.0000000000000007E-2</v>
      </c>
      <c r="CZ92" s="3436">
        <f>+CZ91-0.02</f>
        <v>-7.0000000000000007E-2</v>
      </c>
    </row>
    <row r="93" spans="2:104">
      <c r="B93" s="3446" t="s">
        <v>1676</v>
      </c>
      <c r="C93" s="3431"/>
      <c r="D93" s="3431"/>
      <c r="E93" s="3431"/>
      <c r="F93" s="3431"/>
      <c r="G93" s="3431"/>
      <c r="H93" s="3431"/>
      <c r="I93" s="3431"/>
      <c r="J93" s="3431"/>
      <c r="K93" s="3431"/>
      <c r="L93" s="3407"/>
      <c r="M93" s="3407"/>
      <c r="N93" s="3407"/>
      <c r="O93" s="3407"/>
      <c r="P93" s="3407"/>
      <c r="Q93" s="3407"/>
      <c r="R93" s="3407"/>
      <c r="S93" s="3447">
        <f>+S71</f>
        <v>7.5222302331170443E-2</v>
      </c>
      <c r="T93" s="3447">
        <f>+T71</f>
        <v>4.358515869468027E-2</v>
      </c>
      <c r="U93" s="3447">
        <f>+U71</f>
        <v>3.2555150995930537E-2</v>
      </c>
      <c r="V93" s="3447">
        <f ca="1">+V71</f>
        <v>2.8563368595726946E-2</v>
      </c>
      <c r="W93" s="3426">
        <f t="shared" ref="W93:AD93" ca="1" si="107">+OFFSET(W93,Mode,0)</f>
        <v>0.03</v>
      </c>
      <c r="X93" s="3426">
        <f t="shared" ca="1" si="107"/>
        <v>2.8000000000000001E-2</v>
      </c>
      <c r="Y93" s="3426">
        <f t="shared" ca="1" si="107"/>
        <v>2.7E-2</v>
      </c>
      <c r="Z93" s="3426">
        <f t="shared" ca="1" si="107"/>
        <v>2.5999999999999999E-2</v>
      </c>
      <c r="AA93" s="3426">
        <f t="shared" ca="1" si="107"/>
        <v>2.35E-2</v>
      </c>
      <c r="AB93" s="3426">
        <f t="shared" ca="1" si="107"/>
        <v>2.1000000000000001E-2</v>
      </c>
      <c r="AC93" s="3426">
        <f t="shared" ca="1" si="107"/>
        <v>2.1000000000000001E-2</v>
      </c>
      <c r="AD93" s="3426">
        <f t="shared" ca="1" si="107"/>
        <v>2.1000000000000001E-2</v>
      </c>
      <c r="AE93" s="3407"/>
      <c r="AF93" s="3407"/>
      <c r="AG93" s="3431"/>
      <c r="AH93" s="3431"/>
      <c r="AI93" s="3431"/>
      <c r="AJ93" s="3431"/>
      <c r="AK93" s="3431"/>
      <c r="AL93" s="3431"/>
      <c r="AM93" s="3431"/>
      <c r="AN93" s="3431"/>
      <c r="AO93" s="3432"/>
      <c r="AP93" s="3432"/>
      <c r="AQ93" s="3432"/>
      <c r="AR93" s="3432"/>
      <c r="AS93" s="3432"/>
      <c r="AT93" s="3432"/>
      <c r="AU93" s="3432"/>
      <c r="AV93" s="3432"/>
      <c r="AW93" s="3432"/>
      <c r="AX93" s="3432"/>
      <c r="AY93" s="3432"/>
      <c r="AZ93" s="3432"/>
      <c r="BA93" s="3432"/>
      <c r="BB93" s="3432"/>
      <c r="BC93" s="3432"/>
      <c r="BD93" s="3432"/>
      <c r="BE93" s="3432"/>
      <c r="BF93" s="3432"/>
      <c r="BG93" s="3432"/>
      <c r="BH93" s="3432"/>
      <c r="BI93" s="3432"/>
      <c r="BJ93" s="3432"/>
      <c r="BK93" s="3432"/>
      <c r="BL93" s="3432"/>
      <c r="BM93" s="3432"/>
      <c r="BN93" s="3432"/>
      <c r="BO93" s="3432"/>
      <c r="BP93" s="3407"/>
      <c r="BQ93" s="3431"/>
      <c r="BR93" s="3431"/>
      <c r="BS93" s="3431"/>
      <c r="BT93" s="3431"/>
      <c r="BU93" s="3431"/>
      <c r="BV93" s="3431"/>
      <c r="BW93" s="3431"/>
      <c r="BX93" s="3431"/>
      <c r="BY93" s="3431"/>
      <c r="BZ93" s="3431"/>
      <c r="CA93" s="3431"/>
      <c r="CB93" s="3431"/>
      <c r="CC93" s="3431"/>
      <c r="CD93" s="3431"/>
      <c r="CE93" s="3448"/>
      <c r="CF93" s="3448"/>
      <c r="CG93" s="3448"/>
      <c r="CH93" s="3448"/>
      <c r="CI93" s="3448"/>
      <c r="CJ93" s="3448"/>
      <c r="CK93" s="3448">
        <v>8.7999999999999995E-2</v>
      </c>
      <c r="CL93" s="3448">
        <v>7.0999999999999994E-2</v>
      </c>
      <c r="CM93" s="3448">
        <v>8.3000000000000004E-2</v>
      </c>
      <c r="CN93" s="3448">
        <v>6.0999999999999999E-2</v>
      </c>
      <c r="CO93" s="3448">
        <v>6.4000000000000001E-2</v>
      </c>
      <c r="CP93" s="3448">
        <v>5.8999999999999997E-2</v>
      </c>
      <c r="CQ93" s="3448">
        <v>3.1E-2</v>
      </c>
      <c r="CR93" s="3448">
        <v>3.2000000000000001E-2</v>
      </c>
      <c r="CS93" s="3434">
        <v>2.1000000000000001E-2</v>
      </c>
      <c r="CT93" s="3434">
        <v>2.5999999999999999E-2</v>
      </c>
      <c r="CU93" s="3434">
        <v>2.8000000000000001E-2</v>
      </c>
      <c r="CV93" s="3434">
        <f>+CV71</f>
        <v>5.5979643765903253E-2</v>
      </c>
      <c r="CW93" s="3426">
        <f ca="1">+OFFSET(CW93,Mode,0)</f>
        <v>0.02</v>
      </c>
      <c r="CX93" s="3426">
        <f ca="1">+OFFSET(CX93,Mode,0)</f>
        <v>2.5999999999999999E-2</v>
      </c>
      <c r="CY93" s="3426">
        <f ca="1">+OFFSET(CY93,Mode,0)</f>
        <v>3.4000000000000002E-2</v>
      </c>
      <c r="CZ93" s="3426">
        <f ca="1">+OFFSET(CZ93,Mode,0)</f>
        <v>3.4000000000000002E-2</v>
      </c>
    </row>
    <row r="94" spans="2:104">
      <c r="B94" s="3374"/>
      <c r="C94" s="3410"/>
      <c r="D94" s="3410"/>
      <c r="E94" s="3411"/>
      <c r="F94" s="3411"/>
      <c r="G94" s="3411"/>
      <c r="H94" s="3411"/>
      <c r="I94" s="3411"/>
      <c r="J94" s="3411"/>
      <c r="K94" s="3412"/>
      <c r="L94" s="3413"/>
      <c r="M94" s="3435"/>
      <c r="N94" s="3435"/>
      <c r="O94" s="3435"/>
      <c r="P94" s="3436"/>
      <c r="Q94" s="3436"/>
      <c r="R94" s="3435"/>
      <c r="S94" s="3449"/>
      <c r="T94" s="3449"/>
      <c r="U94" s="3449"/>
      <c r="V94" s="3449"/>
      <c r="W94" s="3435">
        <f t="shared" ref="W94:AD94" si="108">+W95+0.01</f>
        <v>0.04</v>
      </c>
      <c r="X94" s="3435">
        <f t="shared" si="108"/>
        <v>3.7999999999999999E-2</v>
      </c>
      <c r="Y94" s="3435">
        <f t="shared" si="108"/>
        <v>3.6999999999999998E-2</v>
      </c>
      <c r="Z94" s="3435">
        <f t="shared" si="108"/>
        <v>3.5999999999999997E-2</v>
      </c>
      <c r="AA94" s="3435">
        <f t="shared" si="108"/>
        <v>3.3500000000000002E-2</v>
      </c>
      <c r="AB94" s="3435">
        <f t="shared" si="108"/>
        <v>3.1E-2</v>
      </c>
      <c r="AC94" s="3435">
        <f t="shared" si="108"/>
        <v>3.1E-2</v>
      </c>
      <c r="AD94" s="3435">
        <f t="shared" si="108"/>
        <v>3.1E-2</v>
      </c>
      <c r="AE94" s="3435"/>
      <c r="AF94" s="3435"/>
      <c r="AG94" s="3436"/>
      <c r="AH94" s="3436"/>
      <c r="AI94" s="3436"/>
      <c r="AJ94" s="3436"/>
      <c r="AK94" s="3436"/>
      <c r="AL94" s="3436"/>
      <c r="AM94" s="3436"/>
      <c r="AN94" s="3436"/>
      <c r="AO94" s="3437"/>
      <c r="AP94" s="3437"/>
      <c r="AQ94" s="3437"/>
      <c r="AR94" s="3437"/>
      <c r="AS94" s="3437"/>
      <c r="AT94" s="3437"/>
      <c r="AU94" s="3437"/>
      <c r="AV94" s="3437"/>
      <c r="AW94" s="3437"/>
      <c r="AX94" s="3437"/>
      <c r="AY94" s="3437"/>
      <c r="AZ94" s="3437"/>
      <c r="BA94" s="3437"/>
      <c r="BB94" s="3437"/>
      <c r="BC94" s="3437"/>
      <c r="BD94" s="3437"/>
      <c r="BE94" s="3437"/>
      <c r="BF94" s="3437"/>
      <c r="BG94" s="3437"/>
      <c r="BH94" s="3437"/>
      <c r="BI94" s="3437"/>
      <c r="BJ94" s="3437"/>
      <c r="BK94" s="3437"/>
      <c r="BL94" s="3437"/>
      <c r="BM94" s="3437"/>
      <c r="BN94" s="3437"/>
      <c r="BO94" s="3437"/>
      <c r="BP94" s="3435"/>
      <c r="BQ94" s="3436"/>
      <c r="BR94" s="3436"/>
      <c r="BS94" s="3436"/>
      <c r="BT94" s="3436"/>
      <c r="BU94" s="3436"/>
      <c r="BV94" s="3436"/>
      <c r="BW94" s="3436"/>
      <c r="BX94" s="3436"/>
      <c r="BY94" s="3436"/>
      <c r="BZ94" s="3436"/>
      <c r="CA94" s="3436"/>
      <c r="CB94" s="3436"/>
      <c r="CC94" s="3436"/>
      <c r="CD94" s="3436"/>
      <c r="CE94" s="3436"/>
      <c r="CF94" s="3436"/>
      <c r="CG94" s="3436"/>
      <c r="CH94" s="3436"/>
      <c r="CI94" s="3436"/>
      <c r="CJ94" s="3436"/>
      <c r="CK94" s="3436"/>
      <c r="CL94" s="3436"/>
      <c r="CM94" s="3436"/>
      <c r="CN94" s="3436"/>
      <c r="CO94" s="3436"/>
      <c r="CP94" s="3436"/>
      <c r="CQ94" s="3436"/>
      <c r="CR94" s="3436"/>
      <c r="CS94" s="3436"/>
      <c r="CT94" s="3436"/>
      <c r="CU94" s="3436"/>
      <c r="CV94" s="3436"/>
      <c r="CW94" s="3436">
        <f>+CW95+0.02</f>
        <v>0.04</v>
      </c>
      <c r="CX94" s="3436">
        <f>+CX95+0.02</f>
        <v>4.5999999999999999E-2</v>
      </c>
      <c r="CY94" s="3436">
        <f>+CY95+0.02</f>
        <v>5.4000000000000006E-2</v>
      </c>
      <c r="CZ94" s="3436">
        <f>+CZ95+0.02</f>
        <v>5.4000000000000006E-2</v>
      </c>
    </row>
    <row r="95" spans="2:104">
      <c r="B95" s="3374"/>
      <c r="C95" s="3410"/>
      <c r="D95" s="3410"/>
      <c r="E95" s="3411"/>
      <c r="F95" s="3411"/>
      <c r="G95" s="3411"/>
      <c r="H95" s="3411"/>
      <c r="I95" s="3411"/>
      <c r="J95" s="3411"/>
      <c r="K95" s="3412"/>
      <c r="L95" s="3413"/>
      <c r="M95" s="3435"/>
      <c r="N95" s="3435"/>
      <c r="O95" s="3435"/>
      <c r="P95" s="3436"/>
      <c r="Q95" s="3436"/>
      <c r="R95" s="3435"/>
      <c r="S95" s="3449"/>
      <c r="T95" s="3449"/>
      <c r="U95" s="3449"/>
      <c r="V95" s="3449"/>
      <c r="W95" s="3435">
        <v>0.03</v>
      </c>
      <c r="X95" s="3435">
        <v>2.8000000000000001E-2</v>
      </c>
      <c r="Y95" s="3435">
        <f>+X95-0.001</f>
        <v>2.7E-2</v>
      </c>
      <c r="Z95" s="3435">
        <f>+Y95-0.001</f>
        <v>2.5999999999999999E-2</v>
      </c>
      <c r="AA95" s="3435">
        <f>+Z95-0.0025</f>
        <v>2.35E-2</v>
      </c>
      <c r="AB95" s="3435">
        <f>+AA95-0.0025</f>
        <v>2.1000000000000001E-2</v>
      </c>
      <c r="AC95" s="3435">
        <f>+AB95</f>
        <v>2.1000000000000001E-2</v>
      </c>
      <c r="AD95" s="3435">
        <f>+AC95</f>
        <v>2.1000000000000001E-2</v>
      </c>
      <c r="AE95" s="3435"/>
      <c r="AF95" s="3435"/>
      <c r="AG95" s="3436"/>
      <c r="AH95" s="3436"/>
      <c r="AI95" s="3436"/>
      <c r="AJ95" s="3436"/>
      <c r="AK95" s="3436"/>
      <c r="AL95" s="3436"/>
      <c r="AM95" s="3436"/>
      <c r="AN95" s="3436"/>
      <c r="AO95" s="3437"/>
      <c r="AP95" s="3437"/>
      <c r="AQ95" s="3437"/>
      <c r="AR95" s="3437"/>
      <c r="AS95" s="3437"/>
      <c r="AT95" s="3437"/>
      <c r="AU95" s="3437"/>
      <c r="AV95" s="3437"/>
      <c r="AW95" s="3437"/>
      <c r="AX95" s="3437"/>
      <c r="AY95" s="3437"/>
      <c r="AZ95" s="3437"/>
      <c r="BA95" s="3437"/>
      <c r="BB95" s="3437"/>
      <c r="BC95" s="3437"/>
      <c r="BD95" s="3437"/>
      <c r="BE95" s="3437"/>
      <c r="BF95" s="3437"/>
      <c r="BG95" s="3437"/>
      <c r="BH95" s="3437"/>
      <c r="BI95" s="3437"/>
      <c r="BJ95" s="3437"/>
      <c r="BK95" s="3437"/>
      <c r="BL95" s="3437"/>
      <c r="BM95" s="3437"/>
      <c r="BN95" s="3437"/>
      <c r="BO95" s="3437"/>
      <c r="BP95" s="3435"/>
      <c r="BQ95" s="3436"/>
      <c r="BR95" s="3436"/>
      <c r="BS95" s="3436"/>
      <c r="BT95" s="3436"/>
      <c r="BU95" s="3436"/>
      <c r="BV95" s="3436"/>
      <c r="BW95" s="3436"/>
      <c r="BX95" s="3436"/>
      <c r="BY95" s="3436"/>
      <c r="BZ95" s="3436"/>
      <c r="CA95" s="3436"/>
      <c r="CB95" s="3436"/>
      <c r="CC95" s="3436"/>
      <c r="CD95" s="3436"/>
      <c r="CE95" s="3436"/>
      <c r="CF95" s="3436"/>
      <c r="CG95" s="3436"/>
      <c r="CH95" s="3436"/>
      <c r="CI95" s="3436"/>
      <c r="CJ95" s="3436"/>
      <c r="CK95" s="3436"/>
      <c r="CL95" s="3436"/>
      <c r="CM95" s="3436"/>
      <c r="CN95" s="3436"/>
      <c r="CO95" s="3436"/>
      <c r="CP95" s="3436"/>
      <c r="CQ95" s="3436"/>
      <c r="CR95" s="3436"/>
      <c r="CS95" s="3436"/>
      <c r="CT95" s="3436"/>
      <c r="CU95" s="3436"/>
      <c r="CV95" s="3436"/>
      <c r="CW95" s="3436">
        <v>0.02</v>
      </c>
      <c r="CX95" s="3436">
        <v>2.5999999999999999E-2</v>
      </c>
      <c r="CY95" s="3436">
        <v>3.4000000000000002E-2</v>
      </c>
      <c r="CZ95" s="3436">
        <v>3.4000000000000002E-2</v>
      </c>
    </row>
    <row r="96" spans="2:104">
      <c r="B96" s="3374"/>
      <c r="C96" s="3410"/>
      <c r="D96" s="3410"/>
      <c r="E96" s="3411"/>
      <c r="F96" s="3411"/>
      <c r="G96" s="3411"/>
      <c r="H96" s="3411"/>
      <c r="I96" s="3411"/>
      <c r="J96" s="3411"/>
      <c r="K96" s="3412"/>
      <c r="L96" s="3413"/>
      <c r="M96" s="3435"/>
      <c r="N96" s="3435"/>
      <c r="O96" s="3435"/>
      <c r="P96" s="3436"/>
      <c r="Q96" s="3436"/>
      <c r="R96" s="3435"/>
      <c r="S96" s="3449"/>
      <c r="T96" s="3449"/>
      <c r="U96" s="3449"/>
      <c r="V96" s="3449"/>
      <c r="W96" s="3435">
        <f t="shared" ref="W96:AD96" si="109">+W95-0.03</f>
        <v>0</v>
      </c>
      <c r="X96" s="3435">
        <f t="shared" si="109"/>
        <v>-1.9999999999999983E-3</v>
      </c>
      <c r="Y96" s="3435">
        <f t="shared" si="109"/>
        <v>-2.9999999999999992E-3</v>
      </c>
      <c r="Z96" s="3435">
        <f t="shared" si="109"/>
        <v>-4.0000000000000001E-3</v>
      </c>
      <c r="AA96" s="3435">
        <f t="shared" si="109"/>
        <v>-6.4999999999999988E-3</v>
      </c>
      <c r="AB96" s="3435">
        <f t="shared" si="109"/>
        <v>-8.9999999999999976E-3</v>
      </c>
      <c r="AC96" s="3435">
        <f t="shared" si="109"/>
        <v>-8.9999999999999976E-3</v>
      </c>
      <c r="AD96" s="3435">
        <f t="shared" si="109"/>
        <v>-8.9999999999999976E-3</v>
      </c>
      <c r="AE96" s="3435"/>
      <c r="AF96" s="3435"/>
      <c r="AG96" s="3436"/>
      <c r="AH96" s="3436"/>
      <c r="AI96" s="3436"/>
      <c r="AJ96" s="3436"/>
      <c r="AK96" s="3436"/>
      <c r="AL96" s="3436"/>
      <c r="AM96" s="3436"/>
      <c r="AN96" s="3436"/>
      <c r="AO96" s="3437"/>
      <c r="AP96" s="3437"/>
      <c r="AQ96" s="3437"/>
      <c r="AR96" s="3437"/>
      <c r="AS96" s="3437"/>
      <c r="AT96" s="3437"/>
      <c r="AU96" s="3437"/>
      <c r="AV96" s="3437"/>
      <c r="AW96" s="3437"/>
      <c r="AX96" s="3437"/>
      <c r="AY96" s="3437"/>
      <c r="AZ96" s="3437"/>
      <c r="BA96" s="3437"/>
      <c r="BB96" s="3437"/>
      <c r="BC96" s="3437"/>
      <c r="BD96" s="3437"/>
      <c r="BE96" s="3437"/>
      <c r="BF96" s="3437"/>
      <c r="BG96" s="3437"/>
      <c r="BH96" s="3437"/>
      <c r="BI96" s="3437"/>
      <c r="BJ96" s="3437"/>
      <c r="BK96" s="3437"/>
      <c r="BL96" s="3437"/>
      <c r="BM96" s="3437"/>
      <c r="BN96" s="3437"/>
      <c r="BO96" s="3437"/>
      <c r="BP96" s="3435"/>
      <c r="BQ96" s="3436"/>
      <c r="BR96" s="3436"/>
      <c r="BS96" s="3436"/>
      <c r="BT96" s="3436"/>
      <c r="BU96" s="3436"/>
      <c r="BV96" s="3436"/>
      <c r="BW96" s="3436"/>
      <c r="BX96" s="3436"/>
      <c r="BY96" s="3436"/>
      <c r="BZ96" s="3436"/>
      <c r="CA96" s="3436"/>
      <c r="CB96" s="3436"/>
      <c r="CC96" s="3436"/>
      <c r="CD96" s="3436"/>
      <c r="CE96" s="3436"/>
      <c r="CF96" s="3436"/>
      <c r="CG96" s="3436"/>
      <c r="CH96" s="3436"/>
      <c r="CI96" s="3436"/>
      <c r="CJ96" s="3436"/>
      <c r="CK96" s="3436"/>
      <c r="CL96" s="3436"/>
      <c r="CM96" s="3436"/>
      <c r="CN96" s="3436"/>
      <c r="CO96" s="3436"/>
      <c r="CP96" s="3436"/>
      <c r="CQ96" s="3436"/>
      <c r="CR96" s="3436"/>
      <c r="CS96" s="3436"/>
      <c r="CT96" s="3436"/>
      <c r="CU96" s="3436"/>
      <c r="CV96" s="3436"/>
      <c r="CW96" s="3436">
        <f>+CW95-0.03</f>
        <v>-9.9999999999999985E-3</v>
      </c>
      <c r="CX96" s="3436">
        <f>+CX95-0.03</f>
        <v>-4.0000000000000001E-3</v>
      </c>
      <c r="CY96" s="3436">
        <f>+CY95-0.03</f>
        <v>4.0000000000000036E-3</v>
      </c>
      <c r="CZ96" s="3436">
        <f>+CZ95-0.03</f>
        <v>4.0000000000000036E-3</v>
      </c>
    </row>
    <row r="97" spans="2:104">
      <c r="B97" s="3441" t="s">
        <v>1893</v>
      </c>
      <c r="C97" s="3442"/>
      <c r="D97" s="3442"/>
      <c r="E97" s="3442"/>
      <c r="F97" s="3442"/>
      <c r="G97" s="3442"/>
      <c r="H97" s="3442"/>
      <c r="I97" s="3442"/>
      <c r="J97" s="3442"/>
      <c r="K97" s="3442"/>
      <c r="L97" s="3443"/>
      <c r="M97" s="3443"/>
      <c r="N97" s="3443"/>
      <c r="O97" s="3443"/>
      <c r="P97" s="3442"/>
      <c r="Q97" s="3442"/>
      <c r="R97" s="3445">
        <v>8.5000000000000006E-2</v>
      </c>
      <c r="S97" s="3441">
        <f>+SUMPRODUCT(CK97:CN97,CK10:CN10)/S10</f>
        <v>7.3060224089635861E-2</v>
      </c>
      <c r="T97" s="3441">
        <f>+SUMPRODUCT(CO97:CR97,CO10:CR10)/T10</f>
        <v>6.643504531722054E-2</v>
      </c>
      <c r="U97" s="3441">
        <f>+SUMPRODUCT(CS97:CV97,CS10:CV10)/U10</f>
        <v>7.2561983471074384E-2</v>
      </c>
      <c r="V97" s="3441">
        <f ca="1">+SUMPRODUCT(CW97:CZ97,CW7:CZ7)/V7</f>
        <v>6.7049460208510714E-2</v>
      </c>
      <c r="W97" s="3442"/>
      <c r="X97" s="3442"/>
      <c r="Y97" s="3442"/>
      <c r="Z97" s="3442"/>
      <c r="AA97" s="3442"/>
      <c r="AB97" s="3442"/>
      <c r="AC97" s="3442"/>
      <c r="AD97" s="3442"/>
      <c r="AE97" s="3442"/>
      <c r="AF97" s="3443"/>
      <c r="AG97" s="3442"/>
      <c r="AH97" s="3442"/>
      <c r="AI97" s="3442"/>
      <c r="AJ97" s="3442"/>
      <c r="AK97" s="3442"/>
      <c r="AL97" s="3442"/>
      <c r="AM97" s="3442"/>
      <c r="AN97" s="3442"/>
      <c r="AO97" s="3444"/>
      <c r="AP97" s="3444"/>
      <c r="AQ97" s="3444"/>
      <c r="AR97" s="3444"/>
      <c r="AS97" s="3444"/>
      <c r="AT97" s="3444"/>
      <c r="AU97" s="3444"/>
      <c r="AV97" s="3444"/>
      <c r="AW97" s="3444"/>
      <c r="AX97" s="3444"/>
      <c r="AY97" s="3444"/>
      <c r="AZ97" s="3444"/>
      <c r="BA97" s="3444"/>
      <c r="BB97" s="3444"/>
      <c r="BC97" s="3444"/>
      <c r="BD97" s="3444"/>
      <c r="BE97" s="3444"/>
      <c r="BF97" s="3444"/>
      <c r="BG97" s="3444"/>
      <c r="BH97" s="3444"/>
      <c r="BI97" s="3444"/>
      <c r="BJ97" s="3444"/>
      <c r="BK97" s="3444"/>
      <c r="BL97" s="3444"/>
      <c r="BM97" s="3444"/>
      <c r="BN97" s="3444"/>
      <c r="BO97" s="3444"/>
      <c r="BP97" s="3443"/>
      <c r="BQ97" s="3442"/>
      <c r="BR97" s="3442"/>
      <c r="BS97" s="3442"/>
      <c r="BT97" s="3442"/>
      <c r="BU97" s="3442"/>
      <c r="BV97" s="3442"/>
      <c r="BW97" s="3442"/>
      <c r="BX97" s="3442"/>
      <c r="BY97" s="3442"/>
      <c r="BZ97" s="3442"/>
      <c r="CA97" s="3442"/>
      <c r="CB97" s="3442"/>
      <c r="CC97" s="3442"/>
      <c r="CD97" s="3442"/>
      <c r="CE97" s="3445">
        <v>0.1</v>
      </c>
      <c r="CF97" s="3445">
        <v>0.113</v>
      </c>
      <c r="CG97" s="3445">
        <v>0.11899999999999999</v>
      </c>
      <c r="CH97" s="3445">
        <v>9.7000000000000003E-2</v>
      </c>
      <c r="CI97" s="3445">
        <v>8.5999999999999993E-2</v>
      </c>
      <c r="CJ97" s="3445">
        <v>3.2000000000000001E-2</v>
      </c>
      <c r="CK97" s="3445">
        <v>6.2E-2</v>
      </c>
      <c r="CL97" s="3445">
        <v>5.7000000000000002E-2</v>
      </c>
      <c r="CM97" s="3445">
        <v>9.0999999999999998E-2</v>
      </c>
      <c r="CN97" s="3445">
        <v>8.4000000000000005E-2</v>
      </c>
      <c r="CO97" s="3445">
        <v>7.5999999999999998E-2</v>
      </c>
      <c r="CP97" s="3445">
        <v>4.5999999999999999E-2</v>
      </c>
      <c r="CQ97" s="3445">
        <v>0.104</v>
      </c>
      <c r="CR97" s="3445">
        <v>3.7999999999999999E-2</v>
      </c>
      <c r="CS97" s="3445">
        <v>6.8000000000000005E-2</v>
      </c>
      <c r="CT97" s="3445">
        <v>0.113</v>
      </c>
      <c r="CU97" s="3445">
        <v>2.9000000000000001E-2</v>
      </c>
      <c r="CV97" s="3445">
        <v>0.08</v>
      </c>
      <c r="CW97" s="3441">
        <f ca="1">+((CS11*CW98)+(CS12*CW102))/CS10</f>
        <v>5.9661016949152539E-2</v>
      </c>
      <c r="CX97" s="3441">
        <f ca="1">+((CT11*CX98)+(CT12*CX102))/CT10</f>
        <v>5.21978021978022E-2</v>
      </c>
      <c r="CY97" s="3441">
        <f ca="1">+((CU11*CY98)+(CU12*CY102))/CU10</f>
        <v>6.8846153846153849E-2</v>
      </c>
      <c r="CZ97" s="3441">
        <f ca="1">+((CV11*CZ98)+(CV12*CZ102))/CV10</f>
        <v>8.681081081081081E-2</v>
      </c>
    </row>
    <row r="98" spans="2:104">
      <c r="B98" s="3446" t="s">
        <v>279</v>
      </c>
      <c r="C98" s="3431"/>
      <c r="D98" s="3431"/>
      <c r="E98" s="3431"/>
      <c r="F98" s="3431"/>
      <c r="G98" s="3431"/>
      <c r="H98" s="3431"/>
      <c r="I98" s="3431"/>
      <c r="J98" s="3431"/>
      <c r="K98" s="3431"/>
      <c r="L98" s="3407"/>
      <c r="M98" s="3407"/>
      <c r="N98" s="3407"/>
      <c r="O98" s="3407"/>
      <c r="P98" s="3407"/>
      <c r="Q98" s="3407"/>
      <c r="R98" s="3450"/>
      <c r="S98" s="3447">
        <f>+SUMPRODUCT(CK98:CN98,CK11:CN11)/S11</f>
        <v>6.9694805194805198E-2</v>
      </c>
      <c r="T98" s="3447">
        <f>+SUMPRODUCT(CO98:CR98,CO11:CR11)/T11</f>
        <v>-7.8136054421768714E-2</v>
      </c>
      <c r="U98" s="3447">
        <f>+SUMPRODUCT(CS98:CV98,CS11:CV11)/U11</f>
        <v>-6.8878571428571428E-2</v>
      </c>
      <c r="V98" s="3447">
        <f ca="1">+SUMPRODUCT(CW98:CZ98,CW8:CZ8)/V8</f>
        <v>-0.02</v>
      </c>
      <c r="W98" s="3426">
        <f t="shared" ref="W98:AD98" ca="1" si="110">+OFFSET(W98,Mode,0)</f>
        <v>-1.9E-2</v>
      </c>
      <c r="X98" s="3426">
        <f t="shared" ca="1" si="110"/>
        <v>-1.7999999999999999E-2</v>
      </c>
      <c r="Y98" s="3426">
        <f t="shared" ca="1" si="110"/>
        <v>-1.6999999999999998E-2</v>
      </c>
      <c r="Z98" s="3426">
        <f t="shared" ca="1" si="110"/>
        <v>-1.5999999999999997E-2</v>
      </c>
      <c r="AA98" s="3426">
        <f t="shared" ca="1" si="110"/>
        <v>-1.4999999999999996E-2</v>
      </c>
      <c r="AB98" s="3426">
        <f t="shared" ca="1" si="110"/>
        <v>-1.3999999999999995E-2</v>
      </c>
      <c r="AC98" s="3426">
        <f t="shared" ca="1" si="110"/>
        <v>-1.2999999999999994E-2</v>
      </c>
      <c r="AD98" s="3426">
        <f t="shared" ca="1" si="110"/>
        <v>-1.1999999999999993E-2</v>
      </c>
      <c r="AE98" s="3407"/>
      <c r="AF98" s="3407"/>
      <c r="AG98" s="3431"/>
      <c r="AH98" s="3431"/>
      <c r="AI98" s="3431"/>
      <c r="AJ98" s="3431"/>
      <c r="AK98" s="3431"/>
      <c r="AL98" s="3431"/>
      <c r="AM98" s="3431"/>
      <c r="AN98" s="3431"/>
      <c r="AO98" s="3432"/>
      <c r="AP98" s="3432"/>
      <c r="AQ98" s="3432"/>
      <c r="AR98" s="3432"/>
      <c r="AS98" s="3432"/>
      <c r="AT98" s="3432"/>
      <c r="AU98" s="3432"/>
      <c r="AV98" s="3432"/>
      <c r="AW98" s="3432"/>
      <c r="AX98" s="3432"/>
      <c r="AY98" s="3432"/>
      <c r="AZ98" s="3432"/>
      <c r="BA98" s="3432"/>
      <c r="BB98" s="3432"/>
      <c r="BC98" s="3432"/>
      <c r="BD98" s="3432"/>
      <c r="BE98" s="3432"/>
      <c r="BF98" s="3432"/>
      <c r="BG98" s="3432"/>
      <c r="BH98" s="3432"/>
      <c r="BI98" s="3432"/>
      <c r="BJ98" s="3432"/>
      <c r="BK98" s="3432"/>
      <c r="BL98" s="3432"/>
      <c r="BM98" s="3432"/>
      <c r="BN98" s="3432"/>
      <c r="BO98" s="3432"/>
      <c r="BP98" s="3407"/>
      <c r="BQ98" s="3431"/>
      <c r="BR98" s="3431"/>
      <c r="BS98" s="3431"/>
      <c r="BT98" s="3431"/>
      <c r="BU98" s="3431"/>
      <c r="BV98" s="3431"/>
      <c r="BW98" s="3431"/>
      <c r="BX98" s="3431"/>
      <c r="BY98" s="3431"/>
      <c r="BZ98" s="3431"/>
      <c r="CA98" s="3431"/>
      <c r="CB98" s="3431"/>
      <c r="CC98" s="3431"/>
      <c r="CD98" s="3431"/>
      <c r="CE98" s="3448"/>
      <c r="CF98" s="3448">
        <v>3.5999999999999997E-2</v>
      </c>
      <c r="CG98" s="3448">
        <v>7.8E-2</v>
      </c>
      <c r="CH98" s="3448">
        <v>7.1999999999999995E-2</v>
      </c>
      <c r="CI98" s="3448">
        <v>9.9000000000000005E-2</v>
      </c>
      <c r="CJ98" s="3448"/>
      <c r="CK98" s="3448">
        <v>7.3999999999999996E-2</v>
      </c>
      <c r="CL98" s="3448">
        <v>5.8999999999999997E-2</v>
      </c>
      <c r="CM98" s="3448">
        <v>0.10199999999999999</v>
      </c>
      <c r="CN98" s="3448">
        <v>4.1000000000000002E-2</v>
      </c>
      <c r="CO98" s="3448">
        <v>0</v>
      </c>
      <c r="CP98" s="3448">
        <v>-9.4E-2</v>
      </c>
      <c r="CQ98" s="3448">
        <v>-7.3999999999999996E-2</v>
      </c>
      <c r="CR98" s="3448">
        <v>-0.155</v>
      </c>
      <c r="CS98" s="3448">
        <v>-0.13</v>
      </c>
      <c r="CT98" s="3448">
        <v>-0.03</v>
      </c>
      <c r="CU98" s="3448">
        <v>-7.6999999999999999E-2</v>
      </c>
      <c r="CV98" s="3448">
        <v>-3.5999999999999997E-2</v>
      </c>
      <c r="CW98" s="3426">
        <f ca="1">+OFFSET(CW98,Mode,0)</f>
        <v>-0.02</v>
      </c>
      <c r="CX98" s="3426">
        <f ca="1">+OFFSET(CX98,Mode,0)</f>
        <v>-0.02</v>
      </c>
      <c r="CY98" s="3426">
        <f ca="1">+OFFSET(CY98,Mode,0)</f>
        <v>-0.02</v>
      </c>
      <c r="CZ98" s="3426">
        <f ca="1">+OFFSET(CZ98,Mode,0)</f>
        <v>-0.02</v>
      </c>
    </row>
    <row r="99" spans="2:104">
      <c r="B99" s="3374"/>
      <c r="C99" s="3410"/>
      <c r="D99" s="3410"/>
      <c r="E99" s="3411"/>
      <c r="F99" s="3411"/>
      <c r="G99" s="3411"/>
      <c r="H99" s="3411"/>
      <c r="I99" s="3411"/>
      <c r="J99" s="3411"/>
      <c r="K99" s="3412"/>
      <c r="L99" s="3413"/>
      <c r="M99" s="3435"/>
      <c r="N99" s="3435"/>
      <c r="O99" s="3435"/>
      <c r="P99" s="3436"/>
      <c r="Q99" s="3436"/>
      <c r="R99" s="3435"/>
      <c r="S99" s="3451"/>
      <c r="T99" s="3451"/>
      <c r="U99" s="3451"/>
      <c r="V99" s="3451"/>
      <c r="W99" s="3435">
        <f t="shared" ref="W99:AD99" ca="1" si="111">+W100+0.02</f>
        <v>1.0000000000000009E-3</v>
      </c>
      <c r="X99" s="3435">
        <f t="shared" ca="1" si="111"/>
        <v>2.0000000000000018E-3</v>
      </c>
      <c r="Y99" s="3435">
        <f t="shared" ca="1" si="111"/>
        <v>3.0000000000000027E-3</v>
      </c>
      <c r="Z99" s="3435">
        <f t="shared" ca="1" si="111"/>
        <v>4.0000000000000036E-3</v>
      </c>
      <c r="AA99" s="3435">
        <f t="shared" ca="1" si="111"/>
        <v>5.0000000000000044E-3</v>
      </c>
      <c r="AB99" s="3435">
        <f t="shared" ca="1" si="111"/>
        <v>6.0000000000000053E-3</v>
      </c>
      <c r="AC99" s="3435">
        <f t="shared" ca="1" si="111"/>
        <v>7.0000000000000062E-3</v>
      </c>
      <c r="AD99" s="3435">
        <f t="shared" ca="1" si="111"/>
        <v>8.0000000000000071E-3</v>
      </c>
      <c r="AE99" s="3435"/>
      <c r="AF99" s="3435"/>
      <c r="AG99" s="3436"/>
      <c r="AH99" s="3436"/>
      <c r="AI99" s="3436"/>
      <c r="AJ99" s="3436"/>
      <c r="AK99" s="3436"/>
      <c r="AL99" s="3436"/>
      <c r="AM99" s="3436"/>
      <c r="AN99" s="3436"/>
      <c r="AO99" s="3437"/>
      <c r="AP99" s="3437"/>
      <c r="AQ99" s="3437"/>
      <c r="AR99" s="3437"/>
      <c r="AS99" s="3437"/>
      <c r="AT99" s="3437"/>
      <c r="AU99" s="3437"/>
      <c r="AV99" s="3437"/>
      <c r="AW99" s="3437"/>
      <c r="AX99" s="3437"/>
      <c r="AY99" s="3437"/>
      <c r="AZ99" s="3437"/>
      <c r="BA99" s="3437"/>
      <c r="BB99" s="3437"/>
      <c r="BC99" s="3437"/>
      <c r="BD99" s="3437"/>
      <c r="BE99" s="3437"/>
      <c r="BF99" s="3437"/>
      <c r="BG99" s="3437"/>
      <c r="BH99" s="3437"/>
      <c r="BI99" s="3437"/>
      <c r="BJ99" s="3437"/>
      <c r="BK99" s="3437"/>
      <c r="BL99" s="3437"/>
      <c r="BM99" s="3437"/>
      <c r="BN99" s="3437"/>
      <c r="BO99" s="3437"/>
      <c r="BP99" s="3435"/>
      <c r="BQ99" s="3436"/>
      <c r="BR99" s="3436"/>
      <c r="BS99" s="3436"/>
      <c r="BT99" s="3436"/>
      <c r="BU99" s="3436"/>
      <c r="BV99" s="3436"/>
      <c r="BW99" s="3436"/>
      <c r="BX99" s="3436"/>
      <c r="BY99" s="3436"/>
      <c r="BZ99" s="3436"/>
      <c r="CA99" s="3436"/>
      <c r="CB99" s="3436"/>
      <c r="CC99" s="3436"/>
      <c r="CD99" s="3436"/>
      <c r="CE99" s="3436"/>
      <c r="CF99" s="3436"/>
      <c r="CG99" s="3436"/>
      <c r="CH99" s="3436"/>
      <c r="CI99" s="3436"/>
      <c r="CJ99" s="3436"/>
      <c r="CK99" s="3436"/>
      <c r="CL99" s="3436"/>
      <c r="CM99" s="3436"/>
      <c r="CN99" s="3436"/>
      <c r="CO99" s="3436"/>
      <c r="CP99" s="3436"/>
      <c r="CQ99" s="3436"/>
      <c r="CR99" s="3436"/>
      <c r="CS99" s="3436"/>
      <c r="CT99" s="3436"/>
      <c r="CU99" s="3436"/>
      <c r="CV99" s="3436"/>
      <c r="CW99" s="3435">
        <f>+CW100+0.01</f>
        <v>-0.01</v>
      </c>
      <c r="CX99" s="3435">
        <f>+CX100+0.01</f>
        <v>-0.01</v>
      </c>
      <c r="CY99" s="3435">
        <f>+CY100+0.01</f>
        <v>-0.01</v>
      </c>
      <c r="CZ99" s="3435">
        <f>+CZ100+0.01</f>
        <v>-0.01</v>
      </c>
    </row>
    <row r="100" spans="2:104">
      <c r="B100" s="3374"/>
      <c r="C100" s="3410"/>
      <c r="D100" s="3410"/>
      <c r="E100" s="3411"/>
      <c r="F100" s="3411"/>
      <c r="G100" s="3411"/>
      <c r="H100" s="3411"/>
      <c r="I100" s="3411"/>
      <c r="J100" s="3411"/>
      <c r="K100" s="3412"/>
      <c r="L100" s="3413"/>
      <c r="M100" s="3435"/>
      <c r="N100" s="3435"/>
      <c r="O100" s="3435"/>
      <c r="P100" s="3436"/>
      <c r="Q100" s="3436"/>
      <c r="R100" s="3435"/>
      <c r="S100" s="3451"/>
      <c r="T100" s="3451"/>
      <c r="U100" s="3451"/>
      <c r="V100" s="3451"/>
      <c r="W100" s="3435">
        <f ca="1">+V98+0.001</f>
        <v>-1.9E-2</v>
      </c>
      <c r="X100" s="3435">
        <f t="shared" ref="X100:AD100" ca="1" si="112">+W100+0.001</f>
        <v>-1.7999999999999999E-2</v>
      </c>
      <c r="Y100" s="3435">
        <f t="shared" ca="1" si="112"/>
        <v>-1.6999999999999998E-2</v>
      </c>
      <c r="Z100" s="3435">
        <f t="shared" ca="1" si="112"/>
        <v>-1.5999999999999997E-2</v>
      </c>
      <c r="AA100" s="3435">
        <f t="shared" ca="1" si="112"/>
        <v>-1.4999999999999996E-2</v>
      </c>
      <c r="AB100" s="3435">
        <f t="shared" ca="1" si="112"/>
        <v>-1.3999999999999995E-2</v>
      </c>
      <c r="AC100" s="3435">
        <f t="shared" ca="1" si="112"/>
        <v>-1.2999999999999994E-2</v>
      </c>
      <c r="AD100" s="3435">
        <f t="shared" ca="1" si="112"/>
        <v>-1.1999999999999993E-2</v>
      </c>
      <c r="AE100" s="3435"/>
      <c r="AF100" s="3435"/>
      <c r="AG100" s="3436"/>
      <c r="AH100" s="3436"/>
      <c r="AI100" s="3436"/>
      <c r="AJ100" s="3436"/>
      <c r="AK100" s="3436"/>
      <c r="AL100" s="3436"/>
      <c r="AM100" s="3436"/>
      <c r="AN100" s="3436"/>
      <c r="AO100" s="3437"/>
      <c r="AP100" s="3437"/>
      <c r="AQ100" s="3437"/>
      <c r="AR100" s="3437"/>
      <c r="AS100" s="3437"/>
      <c r="AT100" s="3437"/>
      <c r="AU100" s="3437"/>
      <c r="AV100" s="3437"/>
      <c r="AW100" s="3437"/>
      <c r="AX100" s="3437"/>
      <c r="AY100" s="3437"/>
      <c r="AZ100" s="3437"/>
      <c r="BA100" s="3437"/>
      <c r="BB100" s="3437"/>
      <c r="BC100" s="3437"/>
      <c r="BD100" s="3437"/>
      <c r="BE100" s="3437"/>
      <c r="BF100" s="3437"/>
      <c r="BG100" s="3437"/>
      <c r="BH100" s="3437"/>
      <c r="BI100" s="3437"/>
      <c r="BJ100" s="3437"/>
      <c r="BK100" s="3437"/>
      <c r="BL100" s="3437"/>
      <c r="BM100" s="3437"/>
      <c r="BN100" s="3437"/>
      <c r="BO100" s="3437"/>
      <c r="BP100" s="3435"/>
      <c r="BQ100" s="3436"/>
      <c r="BR100" s="3436"/>
      <c r="BS100" s="3436"/>
      <c r="BT100" s="3436"/>
      <c r="BU100" s="3436"/>
      <c r="BV100" s="3436"/>
      <c r="BW100" s="3436"/>
      <c r="BX100" s="3436"/>
      <c r="BY100" s="3436"/>
      <c r="BZ100" s="3436"/>
      <c r="CA100" s="3436"/>
      <c r="CB100" s="3436"/>
      <c r="CC100" s="3436"/>
      <c r="CD100" s="3436"/>
      <c r="CE100" s="3436"/>
      <c r="CF100" s="3436"/>
      <c r="CG100" s="3436"/>
      <c r="CH100" s="3436"/>
      <c r="CI100" s="3436"/>
      <c r="CJ100" s="3436"/>
      <c r="CK100" s="3436"/>
      <c r="CL100" s="3436"/>
      <c r="CM100" s="3436"/>
      <c r="CN100" s="3436"/>
      <c r="CO100" s="3436"/>
      <c r="CP100" s="3436"/>
      <c r="CQ100" s="3436"/>
      <c r="CR100" s="3436"/>
      <c r="CS100" s="3436"/>
      <c r="CT100" s="3436"/>
      <c r="CU100" s="3436"/>
      <c r="CV100" s="3436"/>
      <c r="CW100" s="3435">
        <v>-0.02</v>
      </c>
      <c r="CX100" s="3435">
        <v>-0.02</v>
      </c>
      <c r="CY100" s="3435">
        <v>-0.02</v>
      </c>
      <c r="CZ100" s="3435">
        <v>-0.02</v>
      </c>
    </row>
    <row r="101" spans="2:104">
      <c r="B101" s="3374"/>
      <c r="C101" s="3410"/>
      <c r="D101" s="3410"/>
      <c r="E101" s="3411"/>
      <c r="F101" s="3411"/>
      <c r="G101" s="3411"/>
      <c r="H101" s="3411"/>
      <c r="I101" s="3411"/>
      <c r="J101" s="3411"/>
      <c r="K101" s="3412"/>
      <c r="L101" s="3413"/>
      <c r="M101" s="3435"/>
      <c r="N101" s="3435"/>
      <c r="O101" s="3435"/>
      <c r="P101" s="3436"/>
      <c r="Q101" s="3436"/>
      <c r="R101" s="3435"/>
      <c r="S101" s="3451"/>
      <c r="T101" s="3451"/>
      <c r="U101" s="3451"/>
      <c r="V101" s="3451"/>
      <c r="W101" s="3435">
        <f t="shared" ref="W101:AD101" ca="1" si="113">+W100-0.05</f>
        <v>-6.9000000000000006E-2</v>
      </c>
      <c r="X101" s="3435">
        <f t="shared" ca="1" si="113"/>
        <v>-6.8000000000000005E-2</v>
      </c>
      <c r="Y101" s="3435">
        <f t="shared" ca="1" si="113"/>
        <v>-6.7000000000000004E-2</v>
      </c>
      <c r="Z101" s="3435">
        <f t="shared" ca="1" si="113"/>
        <v>-6.6000000000000003E-2</v>
      </c>
      <c r="AA101" s="3435">
        <f t="shared" ca="1" si="113"/>
        <v>-6.5000000000000002E-2</v>
      </c>
      <c r="AB101" s="3435">
        <f t="shared" ca="1" si="113"/>
        <v>-6.4000000000000001E-2</v>
      </c>
      <c r="AC101" s="3435">
        <f t="shared" ca="1" si="113"/>
        <v>-6.3E-2</v>
      </c>
      <c r="AD101" s="3435">
        <f t="shared" ca="1" si="113"/>
        <v>-6.2E-2</v>
      </c>
      <c r="AE101" s="3435"/>
      <c r="AF101" s="3435"/>
      <c r="AG101" s="3436"/>
      <c r="AH101" s="3436"/>
      <c r="AI101" s="3436"/>
      <c r="AJ101" s="3436"/>
      <c r="AK101" s="3436"/>
      <c r="AL101" s="3436"/>
      <c r="AM101" s="3436"/>
      <c r="AN101" s="3436"/>
      <c r="AO101" s="3437"/>
      <c r="AP101" s="3437"/>
      <c r="AQ101" s="3437"/>
      <c r="AR101" s="3437"/>
      <c r="AS101" s="3437"/>
      <c r="AT101" s="3437"/>
      <c r="AU101" s="3437"/>
      <c r="AV101" s="3437"/>
      <c r="AW101" s="3437"/>
      <c r="AX101" s="3437"/>
      <c r="AY101" s="3437"/>
      <c r="AZ101" s="3437"/>
      <c r="BA101" s="3437"/>
      <c r="BB101" s="3437"/>
      <c r="BC101" s="3437"/>
      <c r="BD101" s="3437"/>
      <c r="BE101" s="3437"/>
      <c r="BF101" s="3437"/>
      <c r="BG101" s="3437"/>
      <c r="BH101" s="3437"/>
      <c r="BI101" s="3437"/>
      <c r="BJ101" s="3437"/>
      <c r="BK101" s="3437"/>
      <c r="BL101" s="3437"/>
      <c r="BM101" s="3437"/>
      <c r="BN101" s="3437"/>
      <c r="BO101" s="3437"/>
      <c r="BP101" s="3435"/>
      <c r="BQ101" s="3436"/>
      <c r="BR101" s="3436"/>
      <c r="BS101" s="3436"/>
      <c r="BT101" s="3436"/>
      <c r="BU101" s="3436"/>
      <c r="BV101" s="3436"/>
      <c r="BW101" s="3436"/>
      <c r="BX101" s="3436"/>
      <c r="BY101" s="3436"/>
      <c r="BZ101" s="3436"/>
      <c r="CA101" s="3436"/>
      <c r="CB101" s="3436"/>
      <c r="CC101" s="3436"/>
      <c r="CD101" s="3436"/>
      <c r="CE101" s="3436"/>
      <c r="CF101" s="3436"/>
      <c r="CG101" s="3436"/>
      <c r="CH101" s="3436"/>
      <c r="CI101" s="3436"/>
      <c r="CJ101" s="3436"/>
      <c r="CK101" s="3436"/>
      <c r="CL101" s="3436"/>
      <c r="CM101" s="3436"/>
      <c r="CN101" s="3436"/>
      <c r="CO101" s="3436"/>
      <c r="CP101" s="3436"/>
      <c r="CQ101" s="3436"/>
      <c r="CR101" s="3436"/>
      <c r="CS101" s="3436"/>
      <c r="CT101" s="3436"/>
      <c r="CU101" s="3436"/>
      <c r="CV101" s="3436"/>
      <c r="CW101" s="3435">
        <f>+CW100-0.04</f>
        <v>-0.06</v>
      </c>
      <c r="CX101" s="3435">
        <f>+CX100-0.04</f>
        <v>-0.06</v>
      </c>
      <c r="CY101" s="3435">
        <f>+CY100-0.04</f>
        <v>-0.06</v>
      </c>
      <c r="CZ101" s="3435">
        <f>+CZ100-0.04</f>
        <v>-0.06</v>
      </c>
    </row>
    <row r="102" spans="2:104">
      <c r="B102" s="3446" t="s">
        <v>1676</v>
      </c>
      <c r="C102" s="3431"/>
      <c r="D102" s="3431"/>
      <c r="E102" s="3431"/>
      <c r="F102" s="3431"/>
      <c r="G102" s="3431"/>
      <c r="H102" s="3431"/>
      <c r="I102" s="3431"/>
      <c r="J102" s="3431"/>
      <c r="K102" s="3431"/>
      <c r="L102" s="3407"/>
      <c r="M102" s="3407"/>
      <c r="N102" s="3407"/>
      <c r="O102" s="3407"/>
      <c r="P102" s="3407"/>
      <c r="Q102" s="3407"/>
      <c r="R102" s="3450"/>
      <c r="S102" s="3447">
        <f>+SUMPRODUCT(CK102:CN102,CK12:CN12)/S12</f>
        <v>7.3451785714285706E-2</v>
      </c>
      <c r="T102" s="3447">
        <f>+SUMPRODUCT(CO102:CR102,CO12:CR12)/T12</f>
        <v>0.11801941747572815</v>
      </c>
      <c r="U102" s="3447">
        <f>+SUMPRODUCT(CS102:CV102,CS12:CV12)/U12</f>
        <v>0.11393174061433446</v>
      </c>
      <c r="V102" s="3447">
        <f ca="1">+SUMPRODUCT(CW102:CZ102,CW12:CZ12)/V12</f>
        <v>8.8159821773081432E-2</v>
      </c>
      <c r="W102" s="3426">
        <f t="shared" ref="W102:AD102" ca="1" si="114">+OFFSET(W102,Mode,0)</f>
        <v>9.5000000000000001E-2</v>
      </c>
      <c r="X102" s="3426">
        <f t="shared" ca="1" si="114"/>
        <v>8.7499999999999994E-2</v>
      </c>
      <c r="Y102" s="3426">
        <f t="shared" ca="1" si="114"/>
        <v>7.9999999999999988E-2</v>
      </c>
      <c r="Z102" s="3426">
        <f t="shared" ca="1" si="114"/>
        <v>7.2499999999999981E-2</v>
      </c>
      <c r="AA102" s="3426">
        <f t="shared" ca="1" si="114"/>
        <v>6.4999999999999974E-2</v>
      </c>
      <c r="AB102" s="3426">
        <f t="shared" ca="1" si="114"/>
        <v>6.4999999999999974E-2</v>
      </c>
      <c r="AC102" s="3426">
        <f t="shared" ca="1" si="114"/>
        <v>5.7499999999999975E-2</v>
      </c>
      <c r="AD102" s="3426">
        <f t="shared" ca="1" si="114"/>
        <v>5.7499999999999975E-2</v>
      </c>
      <c r="AE102" s="3407"/>
      <c r="AF102" s="3407"/>
      <c r="AG102" s="3431"/>
      <c r="AH102" s="3431"/>
      <c r="AI102" s="3431"/>
      <c r="AJ102" s="3431"/>
      <c r="AK102" s="3431"/>
      <c r="AL102" s="3431"/>
      <c r="AM102" s="3431"/>
      <c r="AN102" s="3431"/>
      <c r="AO102" s="3432"/>
      <c r="AP102" s="3432"/>
      <c r="AQ102" s="3432"/>
      <c r="AR102" s="3432"/>
      <c r="AS102" s="3432"/>
      <c r="AT102" s="3432"/>
      <c r="AU102" s="3432"/>
      <c r="AV102" s="3432"/>
      <c r="AW102" s="3432"/>
      <c r="AX102" s="3432"/>
      <c r="AY102" s="3432"/>
      <c r="AZ102" s="3432"/>
      <c r="BA102" s="3432"/>
      <c r="BB102" s="3432"/>
      <c r="BC102" s="3432"/>
      <c r="BD102" s="3432"/>
      <c r="BE102" s="3432"/>
      <c r="BF102" s="3432"/>
      <c r="BG102" s="3432"/>
      <c r="BH102" s="3432"/>
      <c r="BI102" s="3432"/>
      <c r="BJ102" s="3432"/>
      <c r="BK102" s="3432"/>
      <c r="BL102" s="3432"/>
      <c r="BM102" s="3432"/>
      <c r="BN102" s="3432"/>
      <c r="BO102" s="3432"/>
      <c r="BP102" s="3407"/>
      <c r="BQ102" s="3431"/>
      <c r="BR102" s="3431"/>
      <c r="BS102" s="3431"/>
      <c r="BT102" s="3431"/>
      <c r="BU102" s="3431"/>
      <c r="BV102" s="3431"/>
      <c r="BW102" s="3431"/>
      <c r="BX102" s="3431"/>
      <c r="BY102" s="3431"/>
      <c r="BZ102" s="3431"/>
      <c r="CA102" s="3431"/>
      <c r="CB102" s="3431"/>
      <c r="CC102" s="3431"/>
      <c r="CD102" s="3431"/>
      <c r="CE102" s="3448">
        <v>0.13100000000000001</v>
      </c>
      <c r="CF102" s="3448">
        <v>0.13500000000000001</v>
      </c>
      <c r="CG102" s="3448">
        <v>0.13</v>
      </c>
      <c r="CH102" s="3448">
        <v>0.104</v>
      </c>
      <c r="CI102" s="3448">
        <v>8.3000000000000004E-2</v>
      </c>
      <c r="CJ102" s="3448"/>
      <c r="CK102" s="3448">
        <v>5.8000000000000003E-2</v>
      </c>
      <c r="CL102" s="3448">
        <v>5.6000000000000001E-2</v>
      </c>
      <c r="CM102" s="3448">
        <v>8.7999999999999995E-2</v>
      </c>
      <c r="CN102" s="3448">
        <v>9.5000000000000001E-2</v>
      </c>
      <c r="CO102" s="3448">
        <v>0.104</v>
      </c>
      <c r="CP102" s="3448">
        <v>9.6000000000000002E-2</v>
      </c>
      <c r="CQ102" s="3448">
        <v>0.16400000000000001</v>
      </c>
      <c r="CR102" s="3448">
        <v>0.10299999999999999</v>
      </c>
      <c r="CS102" s="3448">
        <v>0.13500000000000001</v>
      </c>
      <c r="CT102" s="3448">
        <v>0.155</v>
      </c>
      <c r="CU102" s="3448">
        <v>5.7000000000000002E-2</v>
      </c>
      <c r="CV102" s="3448">
        <v>0.11</v>
      </c>
      <c r="CW102" s="3426">
        <f ca="1">+OFFSET(CW102,Mode,0)</f>
        <v>0.08</v>
      </c>
      <c r="CX102" s="3426">
        <f ca="1">+OFFSET(CX102,Mode,0)</f>
        <v>7.0000000000000007E-2</v>
      </c>
      <c r="CY102" s="3426">
        <f ca="1">+OFFSET(CY102,Mode,0)</f>
        <v>0.09</v>
      </c>
      <c r="CZ102" s="3426">
        <f ca="1">+OFFSET(CZ102,Mode,0)</f>
        <v>0.11</v>
      </c>
    </row>
    <row r="103" spans="2:104">
      <c r="B103" s="3374"/>
      <c r="C103" s="3410"/>
      <c r="D103" s="3410"/>
      <c r="E103" s="3411"/>
      <c r="F103" s="3411"/>
      <c r="G103" s="3411"/>
      <c r="H103" s="3411"/>
      <c r="I103" s="3411"/>
      <c r="J103" s="3411"/>
      <c r="K103" s="3412"/>
      <c r="L103" s="3413"/>
      <c r="M103" s="3435"/>
      <c r="N103" s="3435"/>
      <c r="O103" s="3435"/>
      <c r="P103" s="3436"/>
      <c r="Q103" s="3436"/>
      <c r="R103" s="3435"/>
      <c r="S103" s="3451"/>
      <c r="T103" s="3451"/>
      <c r="U103" s="3451"/>
      <c r="V103" s="3451"/>
      <c r="W103" s="3435">
        <f t="shared" ref="W103:AD103" si="115">+W104+0.03</f>
        <v>0.125</v>
      </c>
      <c r="X103" s="3435">
        <f t="shared" si="115"/>
        <v>0.11749999999999999</v>
      </c>
      <c r="Y103" s="3435">
        <f t="shared" si="115"/>
        <v>0.10999999999999999</v>
      </c>
      <c r="Z103" s="3435">
        <f t="shared" si="115"/>
        <v>0.10249999999999998</v>
      </c>
      <c r="AA103" s="3435">
        <f t="shared" si="115"/>
        <v>9.4999999999999973E-2</v>
      </c>
      <c r="AB103" s="3435">
        <f t="shared" si="115"/>
        <v>9.4999999999999973E-2</v>
      </c>
      <c r="AC103" s="3435">
        <f t="shared" si="115"/>
        <v>8.7499999999999967E-2</v>
      </c>
      <c r="AD103" s="3435">
        <f t="shared" si="115"/>
        <v>8.7499999999999967E-2</v>
      </c>
      <c r="AE103" s="3435"/>
      <c r="AF103" s="3435"/>
      <c r="AG103" s="3436"/>
      <c r="AH103" s="3436"/>
      <c r="AI103" s="3436"/>
      <c r="AJ103" s="3436"/>
      <c r="AK103" s="3436"/>
      <c r="AL103" s="3436"/>
      <c r="AM103" s="3436"/>
      <c r="AN103" s="3436"/>
      <c r="AO103" s="3437"/>
      <c r="AP103" s="3437"/>
      <c r="AQ103" s="3437"/>
      <c r="AR103" s="3437"/>
      <c r="AS103" s="3437"/>
      <c r="AT103" s="3437"/>
      <c r="AU103" s="3437"/>
      <c r="AV103" s="3437"/>
      <c r="AW103" s="3437"/>
      <c r="AX103" s="3437"/>
      <c r="AY103" s="3437"/>
      <c r="AZ103" s="3437"/>
      <c r="BA103" s="3437"/>
      <c r="BB103" s="3437"/>
      <c r="BC103" s="3437"/>
      <c r="BD103" s="3437"/>
      <c r="BE103" s="3437"/>
      <c r="BF103" s="3437"/>
      <c r="BG103" s="3437"/>
      <c r="BH103" s="3437"/>
      <c r="BI103" s="3437"/>
      <c r="BJ103" s="3437"/>
      <c r="BK103" s="3437"/>
      <c r="BL103" s="3437"/>
      <c r="BM103" s="3437"/>
      <c r="BN103" s="3437"/>
      <c r="BO103" s="3437"/>
      <c r="BP103" s="3435"/>
      <c r="BQ103" s="3436"/>
      <c r="BR103" s="3436"/>
      <c r="BS103" s="3436"/>
      <c r="BT103" s="3436"/>
      <c r="BU103" s="3436"/>
      <c r="BV103" s="3436"/>
      <c r="BW103" s="3436"/>
      <c r="BX103" s="3436"/>
      <c r="BY103" s="3436"/>
      <c r="BZ103" s="3436"/>
      <c r="CA103" s="3436"/>
      <c r="CB103" s="3436"/>
      <c r="CC103" s="3436"/>
      <c r="CD103" s="3436"/>
      <c r="CE103" s="3436"/>
      <c r="CF103" s="3436"/>
      <c r="CG103" s="3436"/>
      <c r="CH103" s="3436"/>
      <c r="CI103" s="3436"/>
      <c r="CJ103" s="3436"/>
      <c r="CK103" s="3436"/>
      <c r="CL103" s="3436"/>
      <c r="CM103" s="3436"/>
      <c r="CN103" s="3436"/>
      <c r="CO103" s="3436"/>
      <c r="CP103" s="3436"/>
      <c r="CQ103" s="3436"/>
      <c r="CR103" s="3436"/>
      <c r="CS103" s="3436"/>
      <c r="CT103" s="3436"/>
      <c r="CU103" s="3436"/>
      <c r="CV103" s="3436"/>
      <c r="CW103" s="3435">
        <f>+CW104+0.01</f>
        <v>0.09</v>
      </c>
      <c r="CX103" s="3435">
        <f>+CX104+0.01</f>
        <v>0.08</v>
      </c>
      <c r="CY103" s="3435">
        <f>+CY104+0.01</f>
        <v>9.9999999999999992E-2</v>
      </c>
      <c r="CZ103" s="3435">
        <f>+CZ104+0.01</f>
        <v>0.12</v>
      </c>
    </row>
    <row r="104" spans="2:104">
      <c r="B104" s="3374"/>
      <c r="C104" s="3410"/>
      <c r="D104" s="3410"/>
      <c r="E104" s="3411"/>
      <c r="F104" s="3411"/>
      <c r="G104" s="3411"/>
      <c r="H104" s="3411"/>
      <c r="I104" s="3411"/>
      <c r="J104" s="3411"/>
      <c r="K104" s="3412"/>
      <c r="L104" s="3413"/>
      <c r="M104" s="3435"/>
      <c r="N104" s="3435"/>
      <c r="O104" s="3435"/>
      <c r="P104" s="3436"/>
      <c r="Q104" s="3436"/>
      <c r="R104" s="3435"/>
      <c r="S104" s="3451"/>
      <c r="T104" s="3451"/>
      <c r="U104" s="3451"/>
      <c r="V104" s="3451"/>
      <c r="W104" s="3435">
        <v>9.5000000000000001E-2</v>
      </c>
      <c r="X104" s="3435">
        <f t="shared" ref="X104:AC104" si="116">+W104-0.0075</f>
        <v>8.7499999999999994E-2</v>
      </c>
      <c r="Y104" s="3435">
        <f t="shared" si="116"/>
        <v>7.9999999999999988E-2</v>
      </c>
      <c r="Z104" s="3435">
        <f t="shared" si="116"/>
        <v>7.2499999999999981E-2</v>
      </c>
      <c r="AA104" s="3435">
        <f t="shared" si="116"/>
        <v>6.4999999999999974E-2</v>
      </c>
      <c r="AB104" s="3435">
        <f>+AA104</f>
        <v>6.4999999999999974E-2</v>
      </c>
      <c r="AC104" s="3435">
        <f t="shared" si="116"/>
        <v>5.7499999999999975E-2</v>
      </c>
      <c r="AD104" s="3435">
        <f>+AC104</f>
        <v>5.7499999999999975E-2</v>
      </c>
      <c r="AE104" s="3435"/>
      <c r="AF104" s="3435"/>
      <c r="AG104" s="3436"/>
      <c r="AH104" s="3436"/>
      <c r="AI104" s="3436"/>
      <c r="AJ104" s="3436"/>
      <c r="AK104" s="3436"/>
      <c r="AL104" s="3436"/>
      <c r="AM104" s="3436"/>
      <c r="AN104" s="3436"/>
      <c r="AO104" s="3437"/>
      <c r="AP104" s="3437"/>
      <c r="AQ104" s="3437"/>
      <c r="AR104" s="3437"/>
      <c r="AS104" s="3437"/>
      <c r="AT104" s="3437"/>
      <c r="AU104" s="3437"/>
      <c r="AV104" s="3437"/>
      <c r="AW104" s="3437"/>
      <c r="AX104" s="3437"/>
      <c r="AY104" s="3437"/>
      <c r="AZ104" s="3437"/>
      <c r="BA104" s="3437"/>
      <c r="BB104" s="3437"/>
      <c r="BC104" s="3437"/>
      <c r="BD104" s="3437"/>
      <c r="BE104" s="3437"/>
      <c r="BF104" s="3437"/>
      <c r="BG104" s="3437"/>
      <c r="BH104" s="3437"/>
      <c r="BI104" s="3437"/>
      <c r="BJ104" s="3437"/>
      <c r="BK104" s="3437"/>
      <c r="BL104" s="3437"/>
      <c r="BM104" s="3437"/>
      <c r="BN104" s="3437"/>
      <c r="BO104" s="3437"/>
      <c r="BP104" s="3435"/>
      <c r="BQ104" s="3436"/>
      <c r="BR104" s="3436"/>
      <c r="BS104" s="3436"/>
      <c r="BT104" s="3436"/>
      <c r="BU104" s="3436"/>
      <c r="BV104" s="3436"/>
      <c r="BW104" s="3436"/>
      <c r="BX104" s="3436"/>
      <c r="BY104" s="3436"/>
      <c r="BZ104" s="3436"/>
      <c r="CA104" s="3436"/>
      <c r="CB104" s="3436"/>
      <c r="CC104" s="3436"/>
      <c r="CD104" s="3436"/>
      <c r="CE104" s="3436"/>
      <c r="CF104" s="3436"/>
      <c r="CG104" s="3436"/>
      <c r="CH104" s="3436"/>
      <c r="CI104" s="3436"/>
      <c r="CJ104" s="3436"/>
      <c r="CK104" s="3436"/>
      <c r="CL104" s="3436"/>
      <c r="CM104" s="3436"/>
      <c r="CN104" s="3436"/>
      <c r="CO104" s="3436"/>
      <c r="CP104" s="3436"/>
      <c r="CQ104" s="3436"/>
      <c r="CR104" s="3436"/>
      <c r="CS104" s="3436"/>
      <c r="CT104" s="3436"/>
      <c r="CU104" s="3436"/>
      <c r="CV104" s="3436"/>
      <c r="CW104" s="3435">
        <v>0.08</v>
      </c>
      <c r="CX104" s="3435">
        <v>7.0000000000000007E-2</v>
      </c>
      <c r="CY104" s="3435">
        <v>0.09</v>
      </c>
      <c r="CZ104" s="3435">
        <v>0.11</v>
      </c>
    </row>
    <row r="105" spans="2:104">
      <c r="B105" s="3374"/>
      <c r="C105" s="3410"/>
      <c r="D105" s="3410"/>
      <c r="E105" s="3411"/>
      <c r="F105" s="3411"/>
      <c r="G105" s="3411"/>
      <c r="H105" s="3411"/>
      <c r="I105" s="3411"/>
      <c r="J105" s="3411"/>
      <c r="K105" s="3412"/>
      <c r="L105" s="3413"/>
      <c r="M105" s="3435"/>
      <c r="N105" s="3435"/>
      <c r="O105" s="3435"/>
      <c r="P105" s="3436"/>
      <c r="Q105" s="3436"/>
      <c r="R105" s="3435"/>
      <c r="S105" s="3451"/>
      <c r="T105" s="3451"/>
      <c r="U105" s="3451"/>
      <c r="V105" s="3451"/>
      <c r="W105" s="3435">
        <f t="shared" ref="W105:AD105" si="117">+W104-0.05</f>
        <v>4.4999999999999998E-2</v>
      </c>
      <c r="X105" s="3435">
        <f t="shared" si="117"/>
        <v>3.7499999999999992E-2</v>
      </c>
      <c r="Y105" s="3435">
        <f t="shared" si="117"/>
        <v>2.9999999999999985E-2</v>
      </c>
      <c r="Z105" s="3435">
        <f t="shared" si="117"/>
        <v>2.2499999999999978E-2</v>
      </c>
      <c r="AA105" s="3435">
        <f t="shared" si="117"/>
        <v>1.4999999999999972E-2</v>
      </c>
      <c r="AB105" s="3435">
        <f t="shared" si="117"/>
        <v>1.4999999999999972E-2</v>
      </c>
      <c r="AC105" s="3435">
        <f t="shared" si="117"/>
        <v>7.499999999999972E-3</v>
      </c>
      <c r="AD105" s="3435">
        <f t="shared" si="117"/>
        <v>7.499999999999972E-3</v>
      </c>
      <c r="AE105" s="3435"/>
      <c r="AF105" s="3435"/>
      <c r="AG105" s="3436"/>
      <c r="AH105" s="3436"/>
      <c r="AI105" s="3436"/>
      <c r="AJ105" s="3436"/>
      <c r="AK105" s="3436"/>
      <c r="AL105" s="3436"/>
      <c r="AM105" s="3436"/>
      <c r="AN105" s="3436"/>
      <c r="AO105" s="3437"/>
      <c r="AP105" s="3437"/>
      <c r="AQ105" s="3437"/>
      <c r="AR105" s="3437"/>
      <c r="AS105" s="3437"/>
      <c r="AT105" s="3437"/>
      <c r="AU105" s="3437"/>
      <c r="AV105" s="3437"/>
      <c r="AW105" s="3437"/>
      <c r="AX105" s="3437"/>
      <c r="AY105" s="3437"/>
      <c r="AZ105" s="3437"/>
      <c r="BA105" s="3437"/>
      <c r="BB105" s="3437"/>
      <c r="BC105" s="3437"/>
      <c r="BD105" s="3437"/>
      <c r="BE105" s="3437"/>
      <c r="BF105" s="3437"/>
      <c r="BG105" s="3437"/>
      <c r="BH105" s="3437"/>
      <c r="BI105" s="3437"/>
      <c r="BJ105" s="3437"/>
      <c r="BK105" s="3437"/>
      <c r="BL105" s="3437"/>
      <c r="BM105" s="3437"/>
      <c r="BN105" s="3437"/>
      <c r="BO105" s="3437"/>
      <c r="BP105" s="3435"/>
      <c r="BQ105" s="3436"/>
      <c r="BR105" s="3436"/>
      <c r="BS105" s="3436"/>
      <c r="BT105" s="3436"/>
      <c r="BU105" s="3436"/>
      <c r="BV105" s="3436"/>
      <c r="BW105" s="3436"/>
      <c r="BX105" s="3436"/>
      <c r="BY105" s="3436"/>
      <c r="BZ105" s="3436"/>
      <c r="CA105" s="3436"/>
      <c r="CB105" s="3436"/>
      <c r="CC105" s="3436"/>
      <c r="CD105" s="3436"/>
      <c r="CE105" s="3436"/>
      <c r="CF105" s="3436"/>
      <c r="CG105" s="3436"/>
      <c r="CH105" s="3436"/>
      <c r="CI105" s="3436"/>
      <c r="CJ105" s="3436"/>
      <c r="CK105" s="3436"/>
      <c r="CL105" s="3436"/>
      <c r="CM105" s="3436"/>
      <c r="CN105" s="3436"/>
      <c r="CO105" s="3436"/>
      <c r="CP105" s="3436"/>
      <c r="CQ105" s="3436"/>
      <c r="CR105" s="3436"/>
      <c r="CS105" s="3436"/>
      <c r="CT105" s="3436"/>
      <c r="CU105" s="3436"/>
      <c r="CV105" s="3436"/>
      <c r="CW105" s="3435">
        <f>+CW104-0.04</f>
        <v>0.04</v>
      </c>
      <c r="CX105" s="3435">
        <f>+CX104-0.04</f>
        <v>3.0000000000000006E-2</v>
      </c>
      <c r="CY105" s="3435">
        <f>+CY104-0.04</f>
        <v>4.9999999999999996E-2</v>
      </c>
      <c r="CZ105" s="3435">
        <f>+CZ104-0.04</f>
        <v>7.0000000000000007E-2</v>
      </c>
    </row>
    <row r="106" spans="2:104">
      <c r="B106" s="3441" t="s">
        <v>1894</v>
      </c>
      <c r="C106" s="3442"/>
      <c r="D106" s="3442"/>
      <c r="E106" s="3442"/>
      <c r="F106" s="3442"/>
      <c r="G106" s="3442"/>
      <c r="H106" s="3442"/>
      <c r="I106" s="3442"/>
      <c r="J106" s="3442"/>
      <c r="K106" s="3442"/>
      <c r="L106" s="3443"/>
      <c r="M106" s="3443"/>
      <c r="N106" s="3443"/>
      <c r="O106" s="3443"/>
      <c r="P106" s="3442"/>
      <c r="Q106" s="3442"/>
      <c r="R106" s="3445">
        <v>-2.1999999999999999E-2</v>
      </c>
      <c r="S106" s="3441">
        <f>+SUMPRODUCT(CK106:CN106,CK13:CN13)/S13</f>
        <v>-1.2167664670658684E-3</v>
      </c>
      <c r="T106" s="3441">
        <f>+SUMPRODUCT(CO106:CR106,CO13:CR13)/T13</f>
        <v>-6.0861975642760482E-2</v>
      </c>
      <c r="U106" s="3441">
        <f>+SUMPRODUCT(CS106:CV106,CS13:CV13)/U13</f>
        <v>-5.6735822959889355E-3</v>
      </c>
      <c r="V106" s="3441">
        <f ca="1">+SUMPRODUCT(CW106:CZ106,CW13:CZ13)/V13</f>
        <v>7.12611425752817E-3</v>
      </c>
      <c r="W106" s="3442"/>
      <c r="X106" s="3442"/>
      <c r="Y106" s="3442"/>
      <c r="Z106" s="3442"/>
      <c r="AA106" s="3442"/>
      <c r="AB106" s="3442"/>
      <c r="AC106" s="3442"/>
      <c r="AD106" s="3442"/>
      <c r="AE106" s="3442"/>
      <c r="AF106" s="3443"/>
      <c r="AG106" s="3442"/>
      <c r="AH106" s="3442"/>
      <c r="AI106" s="3442"/>
      <c r="AJ106" s="3442"/>
      <c r="AK106" s="3442"/>
      <c r="AL106" s="3442"/>
      <c r="AM106" s="3442"/>
      <c r="AN106" s="3442"/>
      <c r="AO106" s="3444"/>
      <c r="AP106" s="3444"/>
      <c r="AQ106" s="3444"/>
      <c r="AR106" s="3444"/>
      <c r="AS106" s="3444"/>
      <c r="AT106" s="3444"/>
      <c r="AU106" s="3444"/>
      <c r="AV106" s="3444"/>
      <c r="AW106" s="3444"/>
      <c r="AX106" s="3444"/>
      <c r="AY106" s="3444"/>
      <c r="AZ106" s="3444"/>
      <c r="BA106" s="3444"/>
      <c r="BB106" s="3444"/>
      <c r="BC106" s="3444"/>
      <c r="BD106" s="3444"/>
      <c r="BE106" s="3444"/>
      <c r="BF106" s="3444"/>
      <c r="BG106" s="3444"/>
      <c r="BH106" s="3444"/>
      <c r="BI106" s="3444"/>
      <c r="BJ106" s="3444"/>
      <c r="BK106" s="3444"/>
      <c r="BL106" s="3444"/>
      <c r="BM106" s="3444"/>
      <c r="BN106" s="3444"/>
      <c r="BO106" s="3444"/>
      <c r="BP106" s="3443"/>
      <c r="BQ106" s="3442"/>
      <c r="BR106" s="3442"/>
      <c r="BS106" s="3442"/>
      <c r="BT106" s="3442"/>
      <c r="BU106" s="3442"/>
      <c r="BV106" s="3442"/>
      <c r="BW106" s="3442"/>
      <c r="BX106" s="3442"/>
      <c r="BY106" s="3442"/>
      <c r="BZ106" s="3442"/>
      <c r="CA106" s="3442"/>
      <c r="CB106" s="3442"/>
      <c r="CC106" s="3442"/>
      <c r="CD106" s="3442"/>
      <c r="CE106" s="3445">
        <v>-8.9999999999999993E-3</v>
      </c>
      <c r="CF106" s="3445">
        <v>-3.9E-2</v>
      </c>
      <c r="CG106" s="3445">
        <v>-2.8000000000000001E-2</v>
      </c>
      <c r="CH106" s="3445">
        <v>-1.7999999999999999E-2</v>
      </c>
      <c r="CI106" s="3445">
        <v>-4.8000000000000001E-2</v>
      </c>
      <c r="CJ106" s="3445">
        <v>0.09</v>
      </c>
      <c r="CK106" s="3445">
        <v>-8.0000000000000002E-3</v>
      </c>
      <c r="CL106" s="3445">
        <v>-2.7E-2</v>
      </c>
      <c r="CM106" s="3445">
        <v>2.1999999999999999E-2</v>
      </c>
      <c r="CN106" s="3445">
        <v>7.0000000000000001E-3</v>
      </c>
      <c r="CO106" s="3445">
        <v>-4.9000000000000002E-2</v>
      </c>
      <c r="CP106" s="3445">
        <v>-4.5999999999999999E-2</v>
      </c>
      <c r="CQ106" s="3445">
        <v>-7.6999999999999999E-2</v>
      </c>
      <c r="CR106" s="3445">
        <v>-7.2999999999999995E-2</v>
      </c>
      <c r="CS106" s="3445">
        <v>-0.01</v>
      </c>
      <c r="CT106" s="3445">
        <v>-2.5000000000000001E-2</v>
      </c>
      <c r="CU106" s="3445">
        <v>5.0000000000000001E-3</v>
      </c>
      <c r="CV106" s="3445">
        <v>6.0000000000000001E-3</v>
      </c>
      <c r="CW106" s="3441">
        <f ca="1">+((CS14*CW107)+(CS15*CW111)+(CS16*CW115))/CS13</f>
        <v>5.2000000000000024E-3</v>
      </c>
      <c r="CX106" s="3441">
        <f ca="1">+((CT14*CX107)+(CT15*CX111)+(CT16*CX115))/CT13</f>
        <v>6.1931818181818199E-3</v>
      </c>
      <c r="CY106" s="3441">
        <f ca="1">+((CU14*CY107)+(CU15*CY111)+(CU16*CY115))/CU13</f>
        <v>7.6630434782608715E-3</v>
      </c>
      <c r="CZ106" s="3441">
        <f ca="1">+((CV14*CZ107)+(CV15*CZ111)+(CV16*CZ115))/CV13</f>
        <v>9.0957446808510624E-3</v>
      </c>
    </row>
    <row r="107" spans="2:104">
      <c r="B107" s="3446" t="s">
        <v>279</v>
      </c>
      <c r="C107" s="3431"/>
      <c r="D107" s="3431"/>
      <c r="E107" s="3431"/>
      <c r="F107" s="3431"/>
      <c r="G107" s="3431"/>
      <c r="H107" s="3431"/>
      <c r="I107" s="3431"/>
      <c r="J107" s="3431"/>
      <c r="K107" s="3431"/>
      <c r="L107" s="3407"/>
      <c r="M107" s="3407"/>
      <c r="N107" s="3407"/>
      <c r="O107" s="3407"/>
      <c r="P107" s="3407"/>
      <c r="Q107" s="3407"/>
      <c r="R107" s="3450"/>
      <c r="S107" s="3447">
        <f>+SUMPRODUCT(CK107:CN107,CK14:CN14)/S14</f>
        <v>-6.7138181818181819E-2</v>
      </c>
      <c r="T107" s="3447">
        <f>+SUMPRODUCT(CO107:CR107,CO14:CR14)/T14</f>
        <v>-7.4899159663865553E-2</v>
      </c>
      <c r="U107" s="3447">
        <f>+SUMPRODUCT(CS107:CV107,CS14:CV14)/U14</f>
        <v>-5.0196428571428572E-2</v>
      </c>
      <c r="V107" s="3447">
        <f ca="1">+SUMPRODUCT(CW107:CZ107,CW14:CZ14)/V14</f>
        <v>-3.0000000000000002E-2</v>
      </c>
      <c r="W107" s="3426">
        <f t="shared" ref="W107:AD107" ca="1" si="118">+OFFSET(W107,Mode,0)</f>
        <v>-2.5000000000000001E-2</v>
      </c>
      <c r="X107" s="3426">
        <f t="shared" ca="1" si="118"/>
        <v>-0.02</v>
      </c>
      <c r="Y107" s="3426">
        <f t="shared" ca="1" si="118"/>
        <v>-1.4999999999999999E-2</v>
      </c>
      <c r="Z107" s="3426">
        <f t="shared" ca="1" si="118"/>
        <v>-9.9999999999999985E-3</v>
      </c>
      <c r="AA107" s="3426">
        <f t="shared" ca="1" si="118"/>
        <v>-8.9999999999999976E-3</v>
      </c>
      <c r="AB107" s="3426">
        <f t="shared" ca="1" si="118"/>
        <v>-7.9999999999999967E-3</v>
      </c>
      <c r="AC107" s="3426">
        <f t="shared" ca="1" si="118"/>
        <v>-6.9999999999999967E-3</v>
      </c>
      <c r="AD107" s="3426">
        <f t="shared" ca="1" si="118"/>
        <v>-5.9999999999999967E-3</v>
      </c>
      <c r="AE107" s="3407"/>
      <c r="AF107" s="3407"/>
      <c r="AG107" s="3431"/>
      <c r="AH107" s="3431"/>
      <c r="AI107" s="3431"/>
      <c r="AJ107" s="3431"/>
      <c r="AK107" s="3431"/>
      <c r="AL107" s="3431"/>
      <c r="AM107" s="3431"/>
      <c r="AN107" s="3431"/>
      <c r="AO107" s="3432"/>
      <c r="AP107" s="3432"/>
      <c r="AQ107" s="3432"/>
      <c r="AR107" s="3432"/>
      <c r="AS107" s="3432"/>
      <c r="AT107" s="3432"/>
      <c r="AU107" s="3432"/>
      <c r="AV107" s="3432"/>
      <c r="AW107" s="3432"/>
      <c r="AX107" s="3432"/>
      <c r="AY107" s="3432"/>
      <c r="AZ107" s="3432"/>
      <c r="BA107" s="3432"/>
      <c r="BB107" s="3432"/>
      <c r="BC107" s="3432"/>
      <c r="BD107" s="3432"/>
      <c r="BE107" s="3432"/>
      <c r="BF107" s="3432"/>
      <c r="BG107" s="3432"/>
      <c r="BH107" s="3432"/>
      <c r="BI107" s="3432"/>
      <c r="BJ107" s="3432"/>
      <c r="BK107" s="3432"/>
      <c r="BL107" s="3432"/>
      <c r="BM107" s="3432"/>
      <c r="BN107" s="3432"/>
      <c r="BO107" s="3432"/>
      <c r="BP107" s="3407"/>
      <c r="BQ107" s="3431"/>
      <c r="BR107" s="3431"/>
      <c r="BS107" s="3431"/>
      <c r="BT107" s="3431"/>
      <c r="BU107" s="3431"/>
      <c r="BV107" s="3431"/>
      <c r="BW107" s="3431"/>
      <c r="BX107" s="3431"/>
      <c r="BY107" s="3431"/>
      <c r="BZ107" s="3431"/>
      <c r="CA107" s="3431"/>
      <c r="CB107" s="3431"/>
      <c r="CC107" s="3431"/>
      <c r="CD107" s="3431"/>
      <c r="CE107" s="3448"/>
      <c r="CF107" s="3448">
        <v>2E-3</v>
      </c>
      <c r="CG107" s="3448">
        <v>-5.7000000000000002E-2</v>
      </c>
      <c r="CH107" s="3448">
        <v>-7.6999999999999999E-2</v>
      </c>
      <c r="CI107" s="3448">
        <v>-0.10199999999999999</v>
      </c>
      <c r="CJ107" s="3448"/>
      <c r="CK107" s="3448">
        <v>-0.111</v>
      </c>
      <c r="CL107" s="3448">
        <v>-9.8000000000000004E-2</v>
      </c>
      <c r="CM107" s="3448">
        <v>-5.7000000000000002E-2</v>
      </c>
      <c r="CN107" s="3448">
        <v>-3.0000000000000001E-3</v>
      </c>
      <c r="CO107" s="3448">
        <v>-5.2999999999999999E-2</v>
      </c>
      <c r="CP107" s="3448">
        <v>-7.1999999999999995E-2</v>
      </c>
      <c r="CQ107" s="3448">
        <v>-8.4000000000000005E-2</v>
      </c>
      <c r="CR107" s="3448">
        <v>-9.4E-2</v>
      </c>
      <c r="CS107" s="3448">
        <v>-7.4999999999999997E-2</v>
      </c>
      <c r="CT107" s="3448">
        <v>-0.06</v>
      </c>
      <c r="CU107" s="3448">
        <v>-4.5999999999999999E-2</v>
      </c>
      <c r="CV107" s="3448">
        <v>-2.1000000000000001E-2</v>
      </c>
      <c r="CW107" s="3426">
        <f ca="1">+OFFSET(CW107,Mode,0)</f>
        <v>-0.03</v>
      </c>
      <c r="CX107" s="3426">
        <f ca="1">+OFFSET(CX107,Mode,0)</f>
        <v>-0.03</v>
      </c>
      <c r="CY107" s="3426">
        <f ca="1">+OFFSET(CY107,Mode,0)</f>
        <v>-0.03</v>
      </c>
      <c r="CZ107" s="3426">
        <f ca="1">+OFFSET(CZ107,Mode,0)</f>
        <v>-0.03</v>
      </c>
    </row>
    <row r="108" spans="2:104">
      <c r="B108" s="3374"/>
      <c r="C108" s="3410"/>
      <c r="D108" s="3410"/>
      <c r="E108" s="3411"/>
      <c r="F108" s="3411"/>
      <c r="G108" s="3411"/>
      <c r="H108" s="3411"/>
      <c r="I108" s="3411"/>
      <c r="J108" s="3411"/>
      <c r="K108" s="3412"/>
      <c r="L108" s="3413"/>
      <c r="M108" s="3435"/>
      <c r="N108" s="3435"/>
      <c r="O108" s="3435"/>
      <c r="P108" s="3436"/>
      <c r="Q108" s="3436"/>
      <c r="R108" s="3435"/>
      <c r="S108" s="3451"/>
      <c r="T108" s="3451"/>
      <c r="U108" s="3451"/>
      <c r="V108" s="3451"/>
      <c r="W108" s="3435">
        <f t="shared" ref="W108:AD108" ca="1" si="119">+W109+0.015</f>
        <v>-1.0000000000000002E-2</v>
      </c>
      <c r="X108" s="3435">
        <f t="shared" ca="1" si="119"/>
        <v>-5.000000000000001E-3</v>
      </c>
      <c r="Y108" s="3435">
        <f t="shared" ca="1" si="119"/>
        <v>0</v>
      </c>
      <c r="Z108" s="3435">
        <f t="shared" ca="1" si="119"/>
        <v>5.000000000000001E-3</v>
      </c>
      <c r="AA108" s="3435">
        <f t="shared" ca="1" si="119"/>
        <v>6.0000000000000019E-3</v>
      </c>
      <c r="AB108" s="3435">
        <f t="shared" ca="1" si="119"/>
        <v>7.0000000000000027E-3</v>
      </c>
      <c r="AC108" s="3435">
        <f t="shared" ca="1" si="119"/>
        <v>8.0000000000000036E-3</v>
      </c>
      <c r="AD108" s="3435">
        <f t="shared" ca="1" si="119"/>
        <v>9.0000000000000028E-3</v>
      </c>
      <c r="AE108" s="3435"/>
      <c r="AF108" s="3435"/>
      <c r="AG108" s="3436"/>
      <c r="AH108" s="3436"/>
      <c r="AI108" s="3436"/>
      <c r="AJ108" s="3436"/>
      <c r="AK108" s="3436"/>
      <c r="AL108" s="3436"/>
      <c r="AM108" s="3436"/>
      <c r="AN108" s="3436"/>
      <c r="AO108" s="3437"/>
      <c r="AP108" s="3437"/>
      <c r="AQ108" s="3437"/>
      <c r="AR108" s="3437"/>
      <c r="AS108" s="3437"/>
      <c r="AT108" s="3437"/>
      <c r="AU108" s="3437"/>
      <c r="AV108" s="3437"/>
      <c r="AW108" s="3437"/>
      <c r="AX108" s="3437"/>
      <c r="AY108" s="3437"/>
      <c r="AZ108" s="3437"/>
      <c r="BA108" s="3437"/>
      <c r="BB108" s="3437"/>
      <c r="BC108" s="3437"/>
      <c r="BD108" s="3437"/>
      <c r="BE108" s="3437"/>
      <c r="BF108" s="3437"/>
      <c r="BG108" s="3437"/>
      <c r="BH108" s="3437"/>
      <c r="BI108" s="3437"/>
      <c r="BJ108" s="3437"/>
      <c r="BK108" s="3437"/>
      <c r="BL108" s="3437"/>
      <c r="BM108" s="3437"/>
      <c r="BN108" s="3437"/>
      <c r="BO108" s="3437"/>
      <c r="BP108" s="3435"/>
      <c r="BQ108" s="3436"/>
      <c r="BR108" s="3436"/>
      <c r="BS108" s="3436"/>
      <c r="BT108" s="3436"/>
      <c r="BU108" s="3436"/>
      <c r="BV108" s="3436"/>
      <c r="BW108" s="3436"/>
      <c r="BX108" s="3436"/>
      <c r="BY108" s="3436"/>
      <c r="BZ108" s="3436"/>
      <c r="CA108" s="3436"/>
      <c r="CB108" s="3436"/>
      <c r="CC108" s="3436"/>
      <c r="CD108" s="3436"/>
      <c r="CE108" s="3436"/>
      <c r="CF108" s="3436"/>
      <c r="CG108" s="3436"/>
      <c r="CH108" s="3436"/>
      <c r="CI108" s="3436"/>
      <c r="CJ108" s="3436"/>
      <c r="CK108" s="3436"/>
      <c r="CL108" s="3436"/>
      <c r="CM108" s="3436"/>
      <c r="CN108" s="3436"/>
      <c r="CO108" s="3436"/>
      <c r="CP108" s="3436"/>
      <c r="CQ108" s="3436"/>
      <c r="CR108" s="3436"/>
      <c r="CS108" s="3436"/>
      <c r="CT108" s="3436"/>
      <c r="CU108" s="3436"/>
      <c r="CV108" s="3436"/>
      <c r="CW108" s="3435">
        <f>+CW109+0.015</f>
        <v>-1.4999999999999999E-2</v>
      </c>
      <c r="CX108" s="3435">
        <f>+CX109+0.015</f>
        <v>-1.4999999999999999E-2</v>
      </c>
      <c r="CY108" s="3435">
        <f>+CY109+0.015</f>
        <v>-1.4999999999999999E-2</v>
      </c>
      <c r="CZ108" s="3435">
        <f>+CZ109+0.015</f>
        <v>-1.4999999999999999E-2</v>
      </c>
    </row>
    <row r="109" spans="2:104">
      <c r="B109" s="3374"/>
      <c r="C109" s="3410"/>
      <c r="D109" s="3410"/>
      <c r="E109" s="3411"/>
      <c r="F109" s="3411"/>
      <c r="G109" s="3411"/>
      <c r="H109" s="3411"/>
      <c r="I109" s="3411"/>
      <c r="J109" s="3411"/>
      <c r="K109" s="3412"/>
      <c r="L109" s="3413"/>
      <c r="M109" s="3435"/>
      <c r="N109" s="3435"/>
      <c r="O109" s="3435"/>
      <c r="P109" s="3436"/>
      <c r="Q109" s="3436"/>
      <c r="R109" s="3435"/>
      <c r="S109" s="3451"/>
      <c r="T109" s="3451"/>
      <c r="U109" s="3451"/>
      <c r="V109" s="3451"/>
      <c r="W109" s="3435">
        <f ca="1">+V107+0.005</f>
        <v>-2.5000000000000001E-2</v>
      </c>
      <c r="X109" s="3435">
        <f ca="1">+W109+0.005</f>
        <v>-0.02</v>
      </c>
      <c r="Y109" s="3435">
        <f ca="1">+X109+0.005</f>
        <v>-1.4999999999999999E-2</v>
      </c>
      <c r="Z109" s="3435">
        <f ca="1">+Y109+0.005</f>
        <v>-9.9999999999999985E-3</v>
      </c>
      <c r="AA109" s="3435">
        <f ca="1">+Z109+0.001</f>
        <v>-8.9999999999999976E-3</v>
      </c>
      <c r="AB109" s="3435">
        <f ca="1">+AA109+0.001</f>
        <v>-7.9999999999999967E-3</v>
      </c>
      <c r="AC109" s="3435">
        <f ca="1">+AB109+0.001</f>
        <v>-6.9999999999999967E-3</v>
      </c>
      <c r="AD109" s="3435">
        <f ca="1">+AC109+0.001</f>
        <v>-5.9999999999999967E-3</v>
      </c>
      <c r="AE109" s="3435"/>
      <c r="AF109" s="3435"/>
      <c r="AG109" s="3436"/>
      <c r="AH109" s="3436"/>
      <c r="AI109" s="3436"/>
      <c r="AJ109" s="3436"/>
      <c r="AK109" s="3436"/>
      <c r="AL109" s="3436"/>
      <c r="AM109" s="3436"/>
      <c r="AN109" s="3436"/>
      <c r="AO109" s="3437"/>
      <c r="AP109" s="3437"/>
      <c r="AQ109" s="3437"/>
      <c r="AR109" s="3437"/>
      <c r="AS109" s="3437"/>
      <c r="AT109" s="3437"/>
      <c r="AU109" s="3437"/>
      <c r="AV109" s="3437"/>
      <c r="AW109" s="3437"/>
      <c r="AX109" s="3437"/>
      <c r="AY109" s="3437"/>
      <c r="AZ109" s="3437"/>
      <c r="BA109" s="3437"/>
      <c r="BB109" s="3437"/>
      <c r="BC109" s="3437"/>
      <c r="BD109" s="3437"/>
      <c r="BE109" s="3437"/>
      <c r="BF109" s="3437"/>
      <c r="BG109" s="3437"/>
      <c r="BH109" s="3437"/>
      <c r="BI109" s="3437"/>
      <c r="BJ109" s="3437"/>
      <c r="BK109" s="3437"/>
      <c r="BL109" s="3437"/>
      <c r="BM109" s="3437"/>
      <c r="BN109" s="3437"/>
      <c r="BO109" s="3437"/>
      <c r="BP109" s="3435"/>
      <c r="BQ109" s="3436"/>
      <c r="BR109" s="3436"/>
      <c r="BS109" s="3436"/>
      <c r="BT109" s="3436"/>
      <c r="BU109" s="3436"/>
      <c r="BV109" s="3436"/>
      <c r="BW109" s="3436"/>
      <c r="BX109" s="3436"/>
      <c r="BY109" s="3436"/>
      <c r="BZ109" s="3436"/>
      <c r="CA109" s="3436"/>
      <c r="CB109" s="3436"/>
      <c r="CC109" s="3436"/>
      <c r="CD109" s="3436"/>
      <c r="CE109" s="3436"/>
      <c r="CF109" s="3436"/>
      <c r="CG109" s="3436"/>
      <c r="CH109" s="3436"/>
      <c r="CI109" s="3436"/>
      <c r="CJ109" s="3436"/>
      <c r="CK109" s="3436"/>
      <c r="CL109" s="3436"/>
      <c r="CM109" s="3436"/>
      <c r="CN109" s="3436"/>
      <c r="CO109" s="3436"/>
      <c r="CP109" s="3436"/>
      <c r="CQ109" s="3436"/>
      <c r="CR109" s="3436"/>
      <c r="CS109" s="3436"/>
      <c r="CT109" s="3436"/>
      <c r="CU109" s="3436"/>
      <c r="CV109" s="3436"/>
      <c r="CW109" s="3435">
        <v>-0.03</v>
      </c>
      <c r="CX109" s="3435">
        <v>-0.03</v>
      </c>
      <c r="CY109" s="3435">
        <v>-0.03</v>
      </c>
      <c r="CZ109" s="3435">
        <v>-0.03</v>
      </c>
    </row>
    <row r="110" spans="2:104">
      <c r="B110" s="3374"/>
      <c r="C110" s="3410"/>
      <c r="D110" s="3410"/>
      <c r="E110" s="3411"/>
      <c r="F110" s="3411"/>
      <c r="G110" s="3411"/>
      <c r="H110" s="3411"/>
      <c r="I110" s="3411"/>
      <c r="J110" s="3411"/>
      <c r="K110" s="3412"/>
      <c r="L110" s="3413"/>
      <c r="M110" s="3435"/>
      <c r="N110" s="3435"/>
      <c r="O110" s="3435"/>
      <c r="P110" s="3436"/>
      <c r="Q110" s="3436"/>
      <c r="R110" s="3435"/>
      <c r="S110" s="3451"/>
      <c r="T110" s="3451"/>
      <c r="U110" s="3451"/>
      <c r="V110" s="3451"/>
      <c r="W110" s="3435">
        <f t="shared" ref="W110:AD110" ca="1" si="120">+W109-0.03</f>
        <v>-5.5E-2</v>
      </c>
      <c r="X110" s="3435">
        <f t="shared" ca="1" si="120"/>
        <v>-0.05</v>
      </c>
      <c r="Y110" s="3435">
        <f t="shared" ca="1" si="120"/>
        <v>-4.4999999999999998E-2</v>
      </c>
      <c r="Z110" s="3435">
        <f t="shared" ca="1" si="120"/>
        <v>-3.9999999999999994E-2</v>
      </c>
      <c r="AA110" s="3435">
        <f t="shared" ca="1" si="120"/>
        <v>-3.8999999999999993E-2</v>
      </c>
      <c r="AB110" s="3435">
        <f t="shared" ca="1" si="120"/>
        <v>-3.7999999999999992E-2</v>
      </c>
      <c r="AC110" s="3435">
        <f t="shared" ca="1" si="120"/>
        <v>-3.6999999999999998E-2</v>
      </c>
      <c r="AD110" s="3435">
        <f t="shared" ca="1" si="120"/>
        <v>-3.5999999999999997E-2</v>
      </c>
      <c r="AE110" s="3435"/>
      <c r="AF110" s="3435"/>
      <c r="AG110" s="3436"/>
      <c r="AH110" s="3436"/>
      <c r="AI110" s="3436"/>
      <c r="AJ110" s="3436"/>
      <c r="AK110" s="3436"/>
      <c r="AL110" s="3436"/>
      <c r="AM110" s="3436"/>
      <c r="AN110" s="3436"/>
      <c r="AO110" s="3437"/>
      <c r="AP110" s="3437"/>
      <c r="AQ110" s="3437"/>
      <c r="AR110" s="3437"/>
      <c r="AS110" s="3437"/>
      <c r="AT110" s="3437"/>
      <c r="AU110" s="3437"/>
      <c r="AV110" s="3437"/>
      <c r="AW110" s="3437"/>
      <c r="AX110" s="3437"/>
      <c r="AY110" s="3437"/>
      <c r="AZ110" s="3437"/>
      <c r="BA110" s="3437"/>
      <c r="BB110" s="3437"/>
      <c r="BC110" s="3437"/>
      <c r="BD110" s="3437"/>
      <c r="BE110" s="3437"/>
      <c r="BF110" s="3437"/>
      <c r="BG110" s="3437"/>
      <c r="BH110" s="3437"/>
      <c r="BI110" s="3437"/>
      <c r="BJ110" s="3437"/>
      <c r="BK110" s="3437"/>
      <c r="BL110" s="3437"/>
      <c r="BM110" s="3437"/>
      <c r="BN110" s="3437"/>
      <c r="BO110" s="3437"/>
      <c r="BP110" s="3435"/>
      <c r="BQ110" s="3436"/>
      <c r="BR110" s="3436"/>
      <c r="BS110" s="3436"/>
      <c r="BT110" s="3436"/>
      <c r="BU110" s="3436"/>
      <c r="BV110" s="3436"/>
      <c r="BW110" s="3436"/>
      <c r="BX110" s="3436"/>
      <c r="BY110" s="3436"/>
      <c r="BZ110" s="3436"/>
      <c r="CA110" s="3436"/>
      <c r="CB110" s="3436"/>
      <c r="CC110" s="3436"/>
      <c r="CD110" s="3436"/>
      <c r="CE110" s="3436"/>
      <c r="CF110" s="3436"/>
      <c r="CG110" s="3436"/>
      <c r="CH110" s="3436"/>
      <c r="CI110" s="3436"/>
      <c r="CJ110" s="3436"/>
      <c r="CK110" s="3436"/>
      <c r="CL110" s="3436"/>
      <c r="CM110" s="3436"/>
      <c r="CN110" s="3436"/>
      <c r="CO110" s="3436"/>
      <c r="CP110" s="3436"/>
      <c r="CQ110" s="3436"/>
      <c r="CR110" s="3436"/>
      <c r="CS110" s="3436"/>
      <c r="CT110" s="3436"/>
      <c r="CU110" s="3436"/>
      <c r="CV110" s="3436"/>
      <c r="CW110" s="3435">
        <f>+CW109-0.03</f>
        <v>-0.06</v>
      </c>
      <c r="CX110" s="3435">
        <f>+CX109-0.03</f>
        <v>-0.06</v>
      </c>
      <c r="CY110" s="3435">
        <f>+CY109-0.03</f>
        <v>-0.06</v>
      </c>
      <c r="CZ110" s="3435">
        <f>+CZ109-0.03</f>
        <v>-0.06</v>
      </c>
    </row>
    <row r="111" spans="2:104">
      <c r="B111" s="3446" t="s">
        <v>1676</v>
      </c>
      <c r="C111" s="3431"/>
      <c r="D111" s="3431"/>
      <c r="E111" s="3431"/>
      <c r="F111" s="3431"/>
      <c r="G111" s="3431"/>
      <c r="H111" s="3431"/>
      <c r="I111" s="3431"/>
      <c r="J111" s="3431"/>
      <c r="K111" s="3431"/>
      <c r="L111" s="3407"/>
      <c r="M111" s="3407"/>
      <c r="N111" s="3407"/>
      <c r="O111" s="3407"/>
      <c r="P111" s="3407"/>
      <c r="Q111" s="3407"/>
      <c r="R111" s="3450"/>
      <c r="S111" s="3447">
        <f>+SUMPRODUCT(CK111:CN111,CK15:CN15)/S15</f>
        <v>5.6032822757111599E-2</v>
      </c>
      <c r="T111" s="3447">
        <f>+SUMPRODUCT(CO111:CR111,CO15:CR15)/T15</f>
        <v>-1.0122969837587006E-2</v>
      </c>
      <c r="U111" s="3447">
        <f>+SUMPRODUCT(CS111:CV111,CS15:CV15)/U15</f>
        <v>4.24481981981982E-2</v>
      </c>
      <c r="V111" s="3447">
        <f ca="1">+SUMPRODUCT(CW111:CZ111,CW18:CZ18)/V18</f>
        <v>0.04</v>
      </c>
      <c r="W111" s="3426">
        <f t="shared" ref="W111:AD111" ca="1" si="121">+OFFSET(W111,Mode,0)</f>
        <v>3.7499999999999999E-2</v>
      </c>
      <c r="X111" s="3426">
        <f t="shared" ca="1" si="121"/>
        <v>3.4999999999999996E-2</v>
      </c>
      <c r="Y111" s="3426">
        <f t="shared" ca="1" si="121"/>
        <v>3.2499999999999994E-2</v>
      </c>
      <c r="Z111" s="3426">
        <f t="shared" ca="1" si="121"/>
        <v>2.9999999999999995E-2</v>
      </c>
      <c r="AA111" s="3426">
        <f t="shared" ca="1" si="121"/>
        <v>2.7499999999999997E-2</v>
      </c>
      <c r="AB111" s="3426">
        <f t="shared" ca="1" si="121"/>
        <v>2.4999999999999998E-2</v>
      </c>
      <c r="AC111" s="3426">
        <f t="shared" ca="1" si="121"/>
        <v>2.2499999999999999E-2</v>
      </c>
      <c r="AD111" s="3426">
        <f t="shared" ca="1" si="121"/>
        <v>0.02</v>
      </c>
      <c r="AE111" s="3407"/>
      <c r="AF111" s="3407"/>
      <c r="AG111" s="3431"/>
      <c r="AH111" s="3431"/>
      <c r="AI111" s="3431"/>
      <c r="AJ111" s="3431"/>
      <c r="AK111" s="3431"/>
      <c r="AL111" s="3431"/>
      <c r="AM111" s="3431"/>
      <c r="AN111" s="3431"/>
      <c r="AO111" s="3432"/>
      <c r="AP111" s="3432"/>
      <c r="AQ111" s="3432"/>
      <c r="AR111" s="3432"/>
      <c r="AS111" s="3432"/>
      <c r="AT111" s="3432"/>
      <c r="AU111" s="3432"/>
      <c r="AV111" s="3432"/>
      <c r="AW111" s="3432"/>
      <c r="AX111" s="3432"/>
      <c r="AY111" s="3432"/>
      <c r="AZ111" s="3432"/>
      <c r="BA111" s="3432"/>
      <c r="BB111" s="3432"/>
      <c r="BC111" s="3432"/>
      <c r="BD111" s="3432"/>
      <c r="BE111" s="3432"/>
      <c r="BF111" s="3432"/>
      <c r="BG111" s="3432"/>
      <c r="BH111" s="3432"/>
      <c r="BI111" s="3432"/>
      <c r="BJ111" s="3432"/>
      <c r="BK111" s="3432"/>
      <c r="BL111" s="3432"/>
      <c r="BM111" s="3432"/>
      <c r="BN111" s="3432"/>
      <c r="BO111" s="3432"/>
      <c r="BP111" s="3407"/>
      <c r="BQ111" s="3431"/>
      <c r="BR111" s="3431"/>
      <c r="BS111" s="3431"/>
      <c r="BT111" s="3431"/>
      <c r="BU111" s="3431"/>
      <c r="BV111" s="3431"/>
      <c r="BW111" s="3431"/>
      <c r="BX111" s="3431"/>
      <c r="BY111" s="3431"/>
      <c r="BZ111" s="3431"/>
      <c r="CA111" s="3431"/>
      <c r="CB111" s="3431"/>
      <c r="CC111" s="3431"/>
      <c r="CD111" s="3431"/>
      <c r="CE111" s="3448">
        <v>8.6999999999999994E-2</v>
      </c>
      <c r="CF111" s="3448">
        <v>4.2000000000000003E-2</v>
      </c>
      <c r="CG111" s="3448">
        <v>-8.0000000000000002E-3</v>
      </c>
      <c r="CH111" s="3448">
        <v>2.1999999999999999E-2</v>
      </c>
      <c r="CI111" s="3448">
        <v>-1.2E-2</v>
      </c>
      <c r="CJ111" s="3448"/>
      <c r="CK111" s="3448">
        <v>5.7000000000000002E-2</v>
      </c>
      <c r="CL111" s="3448">
        <v>4.9000000000000002E-2</v>
      </c>
      <c r="CM111" s="3448">
        <v>8.3000000000000004E-2</v>
      </c>
      <c r="CN111" s="3448">
        <v>3.5000000000000003E-2</v>
      </c>
      <c r="CO111" s="3448">
        <v>-5.0000000000000001E-3</v>
      </c>
      <c r="CP111" s="3448">
        <v>1.9E-2</v>
      </c>
      <c r="CQ111" s="3448">
        <v>-3.6999999999999998E-2</v>
      </c>
      <c r="CR111" s="3448">
        <v>-1.9E-2</v>
      </c>
      <c r="CS111" s="3448">
        <v>5.3999999999999999E-2</v>
      </c>
      <c r="CT111" s="3448">
        <v>4.0000000000000001E-3</v>
      </c>
      <c r="CU111" s="3448">
        <v>5.7000000000000002E-2</v>
      </c>
      <c r="CV111" s="3448">
        <v>5.2999999999999999E-2</v>
      </c>
      <c r="CW111" s="3426">
        <f ca="1">+OFFSET(CW111,Mode,0)</f>
        <v>0.04</v>
      </c>
      <c r="CX111" s="3426">
        <f ca="1">+OFFSET(CX111,Mode,0)</f>
        <v>0.04</v>
      </c>
      <c r="CY111" s="3426">
        <f ca="1">+OFFSET(CY111,Mode,0)</f>
        <v>0.04</v>
      </c>
      <c r="CZ111" s="3426">
        <f ca="1">+OFFSET(CZ111,Mode,0)</f>
        <v>0.04</v>
      </c>
    </row>
    <row r="112" spans="2:104">
      <c r="B112" s="3374"/>
      <c r="C112" s="3410"/>
      <c r="D112" s="3410"/>
      <c r="E112" s="3411"/>
      <c r="F112" s="3411"/>
      <c r="G112" s="3411"/>
      <c r="H112" s="3411"/>
      <c r="I112" s="3411"/>
      <c r="J112" s="3411"/>
      <c r="K112" s="3412"/>
      <c r="L112" s="3413"/>
      <c r="M112" s="3435"/>
      <c r="N112" s="3435"/>
      <c r="O112" s="3435"/>
      <c r="P112" s="3436"/>
      <c r="Q112" s="3436"/>
      <c r="R112" s="3435"/>
      <c r="S112" s="3451"/>
      <c r="T112" s="3451"/>
      <c r="U112" s="3451"/>
      <c r="V112" s="3451"/>
      <c r="W112" s="3435">
        <f t="shared" ref="W112:AD112" ca="1" si="122">+W113+0.03</f>
        <v>6.7500000000000004E-2</v>
      </c>
      <c r="X112" s="3435">
        <f t="shared" ca="1" si="122"/>
        <v>6.5000000000000002E-2</v>
      </c>
      <c r="Y112" s="3435">
        <f t="shared" ca="1" si="122"/>
        <v>6.2499999999999993E-2</v>
      </c>
      <c r="Z112" s="3435">
        <f t="shared" ca="1" si="122"/>
        <v>0.06</v>
      </c>
      <c r="AA112" s="3435">
        <f t="shared" ca="1" si="122"/>
        <v>5.7499999999999996E-2</v>
      </c>
      <c r="AB112" s="3435">
        <f t="shared" ca="1" si="122"/>
        <v>5.4999999999999993E-2</v>
      </c>
      <c r="AC112" s="3435">
        <f t="shared" ca="1" si="122"/>
        <v>5.2499999999999998E-2</v>
      </c>
      <c r="AD112" s="3435">
        <f t="shared" ca="1" si="122"/>
        <v>0.05</v>
      </c>
      <c r="AE112" s="3435"/>
      <c r="AF112" s="3435"/>
      <c r="AG112" s="3436"/>
      <c r="AH112" s="3436"/>
      <c r="AI112" s="3436"/>
      <c r="AJ112" s="3436"/>
      <c r="AK112" s="3436"/>
      <c r="AL112" s="3436"/>
      <c r="AM112" s="3436"/>
      <c r="AN112" s="3436"/>
      <c r="AO112" s="3437"/>
      <c r="AP112" s="3437"/>
      <c r="AQ112" s="3437"/>
      <c r="AR112" s="3437"/>
      <c r="AS112" s="3437"/>
      <c r="AT112" s="3437"/>
      <c r="AU112" s="3437"/>
      <c r="AV112" s="3437"/>
      <c r="AW112" s="3437"/>
      <c r="AX112" s="3437"/>
      <c r="AY112" s="3437"/>
      <c r="AZ112" s="3437"/>
      <c r="BA112" s="3437"/>
      <c r="BB112" s="3437"/>
      <c r="BC112" s="3437"/>
      <c r="BD112" s="3437"/>
      <c r="BE112" s="3437"/>
      <c r="BF112" s="3437"/>
      <c r="BG112" s="3437"/>
      <c r="BH112" s="3437"/>
      <c r="BI112" s="3437"/>
      <c r="BJ112" s="3437"/>
      <c r="BK112" s="3437"/>
      <c r="BL112" s="3437"/>
      <c r="BM112" s="3437"/>
      <c r="BN112" s="3437"/>
      <c r="BO112" s="3437"/>
      <c r="BP112" s="3435"/>
      <c r="BQ112" s="3436"/>
      <c r="BR112" s="3436"/>
      <c r="BS112" s="3436"/>
      <c r="BT112" s="3436"/>
      <c r="BU112" s="3436"/>
      <c r="BV112" s="3436"/>
      <c r="BW112" s="3436"/>
      <c r="BX112" s="3436"/>
      <c r="BY112" s="3436"/>
      <c r="BZ112" s="3436"/>
      <c r="CA112" s="3436"/>
      <c r="CB112" s="3436"/>
      <c r="CC112" s="3436"/>
      <c r="CD112" s="3436"/>
      <c r="CE112" s="3436"/>
      <c r="CF112" s="3436"/>
      <c r="CG112" s="3436"/>
      <c r="CH112" s="3436"/>
      <c r="CI112" s="3436"/>
      <c r="CJ112" s="3436"/>
      <c r="CK112" s="3436"/>
      <c r="CL112" s="3436"/>
      <c r="CM112" s="3436"/>
      <c r="CN112" s="3436"/>
      <c r="CO112" s="3436"/>
      <c r="CP112" s="3436"/>
      <c r="CQ112" s="3436"/>
      <c r="CR112" s="3436"/>
      <c r="CS112" s="3436"/>
      <c r="CT112" s="3436"/>
      <c r="CU112" s="3436"/>
      <c r="CV112" s="3436"/>
      <c r="CW112" s="3436">
        <f>+CW113+0.03</f>
        <v>7.0000000000000007E-2</v>
      </c>
      <c r="CX112" s="3436">
        <f>+CX113+0.03</f>
        <v>7.0000000000000007E-2</v>
      </c>
      <c r="CY112" s="3436">
        <f>+CY113+0.03</f>
        <v>7.0000000000000007E-2</v>
      </c>
      <c r="CZ112" s="3436">
        <f>+CZ113+0.03</f>
        <v>7.0000000000000007E-2</v>
      </c>
    </row>
    <row r="113" spans="2:104">
      <c r="B113" s="3374"/>
      <c r="C113" s="3410"/>
      <c r="D113" s="3410"/>
      <c r="E113" s="3411"/>
      <c r="F113" s="3411"/>
      <c r="G113" s="3411"/>
      <c r="H113" s="3411"/>
      <c r="I113" s="3411"/>
      <c r="J113" s="3411"/>
      <c r="K113" s="3412"/>
      <c r="L113" s="3413"/>
      <c r="M113" s="3435"/>
      <c r="N113" s="3435"/>
      <c r="O113" s="3435"/>
      <c r="P113" s="3436"/>
      <c r="Q113" s="3436"/>
      <c r="R113" s="3435"/>
      <c r="S113" s="3451"/>
      <c r="T113" s="3451"/>
      <c r="U113" s="3451"/>
      <c r="V113" s="3451"/>
      <c r="W113" s="3435">
        <f ca="1">+V111-0.0025</f>
        <v>3.7499999999999999E-2</v>
      </c>
      <c r="X113" s="3435">
        <f t="shared" ref="X113:AD113" ca="1" si="123">+W113-0.0025</f>
        <v>3.4999999999999996E-2</v>
      </c>
      <c r="Y113" s="3435">
        <f t="shared" ca="1" si="123"/>
        <v>3.2499999999999994E-2</v>
      </c>
      <c r="Z113" s="3435">
        <f t="shared" ca="1" si="123"/>
        <v>2.9999999999999995E-2</v>
      </c>
      <c r="AA113" s="3435">
        <f t="shared" ca="1" si="123"/>
        <v>2.7499999999999997E-2</v>
      </c>
      <c r="AB113" s="3435">
        <f t="shared" ca="1" si="123"/>
        <v>2.4999999999999998E-2</v>
      </c>
      <c r="AC113" s="3435">
        <f t="shared" ca="1" si="123"/>
        <v>2.2499999999999999E-2</v>
      </c>
      <c r="AD113" s="3435">
        <f t="shared" ca="1" si="123"/>
        <v>0.02</v>
      </c>
      <c r="AE113" s="3435"/>
      <c r="AF113" s="3435"/>
      <c r="AG113" s="3436"/>
      <c r="AH113" s="3436"/>
      <c r="AI113" s="3436"/>
      <c r="AJ113" s="3436"/>
      <c r="AK113" s="3436"/>
      <c r="AL113" s="3436"/>
      <c r="AM113" s="3436"/>
      <c r="AN113" s="3436"/>
      <c r="AO113" s="3437"/>
      <c r="AP113" s="3437"/>
      <c r="AQ113" s="3437"/>
      <c r="AR113" s="3437"/>
      <c r="AS113" s="3437"/>
      <c r="AT113" s="3437"/>
      <c r="AU113" s="3437"/>
      <c r="AV113" s="3437"/>
      <c r="AW113" s="3437"/>
      <c r="AX113" s="3437"/>
      <c r="AY113" s="3437"/>
      <c r="AZ113" s="3437"/>
      <c r="BA113" s="3437"/>
      <c r="BB113" s="3437"/>
      <c r="BC113" s="3437"/>
      <c r="BD113" s="3437"/>
      <c r="BE113" s="3437"/>
      <c r="BF113" s="3437"/>
      <c r="BG113" s="3437"/>
      <c r="BH113" s="3437"/>
      <c r="BI113" s="3437"/>
      <c r="BJ113" s="3437"/>
      <c r="BK113" s="3437"/>
      <c r="BL113" s="3437"/>
      <c r="BM113" s="3437"/>
      <c r="BN113" s="3437"/>
      <c r="BO113" s="3437"/>
      <c r="BP113" s="3435"/>
      <c r="BQ113" s="3436"/>
      <c r="BR113" s="3436"/>
      <c r="BS113" s="3436"/>
      <c r="BT113" s="3436"/>
      <c r="BU113" s="3436"/>
      <c r="BV113" s="3436"/>
      <c r="BW113" s="3436"/>
      <c r="BX113" s="3436"/>
      <c r="BY113" s="3436"/>
      <c r="BZ113" s="3436"/>
      <c r="CA113" s="3436"/>
      <c r="CB113" s="3436"/>
      <c r="CC113" s="3436"/>
      <c r="CD113" s="3436"/>
      <c r="CE113" s="3436"/>
      <c r="CF113" s="3436"/>
      <c r="CG113" s="3436"/>
      <c r="CH113" s="3436"/>
      <c r="CI113" s="3436"/>
      <c r="CJ113" s="3436"/>
      <c r="CK113" s="3436"/>
      <c r="CL113" s="3436"/>
      <c r="CM113" s="3436"/>
      <c r="CN113" s="3436"/>
      <c r="CO113" s="3436"/>
      <c r="CP113" s="3436"/>
      <c r="CQ113" s="3436"/>
      <c r="CR113" s="3436"/>
      <c r="CS113" s="3436"/>
      <c r="CT113" s="3436"/>
      <c r="CU113" s="3436"/>
      <c r="CV113" s="3436"/>
      <c r="CW113" s="3436">
        <v>0.04</v>
      </c>
      <c r="CX113" s="3436">
        <v>0.04</v>
      </c>
      <c r="CY113" s="3436">
        <v>0.04</v>
      </c>
      <c r="CZ113" s="3436">
        <v>0.04</v>
      </c>
    </row>
    <row r="114" spans="2:104">
      <c r="B114" s="3374"/>
      <c r="C114" s="3410"/>
      <c r="D114" s="3410"/>
      <c r="E114" s="3411"/>
      <c r="F114" s="3411"/>
      <c r="G114" s="3411"/>
      <c r="H114" s="3411"/>
      <c r="I114" s="3411"/>
      <c r="J114" s="3411"/>
      <c r="K114" s="3412"/>
      <c r="L114" s="3413"/>
      <c r="M114" s="3435"/>
      <c r="N114" s="3435"/>
      <c r="O114" s="3435"/>
      <c r="P114" s="3436"/>
      <c r="Q114" s="3436"/>
      <c r="R114" s="3435"/>
      <c r="S114" s="3451"/>
      <c r="T114" s="3451"/>
      <c r="U114" s="3451"/>
      <c r="V114" s="3451"/>
      <c r="W114" s="3435">
        <f t="shared" ref="W114:AD114" ca="1" si="124">+W113-0.03</f>
        <v>7.4999999999999997E-3</v>
      </c>
      <c r="X114" s="3435">
        <f t="shared" ca="1" si="124"/>
        <v>4.9999999999999975E-3</v>
      </c>
      <c r="Y114" s="3435">
        <f t="shared" ca="1" si="124"/>
        <v>2.4999999999999953E-3</v>
      </c>
      <c r="Z114" s="3435">
        <f t="shared" ca="1" si="124"/>
        <v>0</v>
      </c>
      <c r="AA114" s="3435">
        <f t="shared" ca="1" si="124"/>
        <v>-2.5000000000000022E-3</v>
      </c>
      <c r="AB114" s="3435">
        <f t="shared" ca="1" si="124"/>
        <v>-5.000000000000001E-3</v>
      </c>
      <c r="AC114" s="3435">
        <f t="shared" ca="1" si="124"/>
        <v>-7.4999999999999997E-3</v>
      </c>
      <c r="AD114" s="3435">
        <f t="shared" ca="1" si="124"/>
        <v>-9.9999999999999985E-3</v>
      </c>
      <c r="AE114" s="3435"/>
      <c r="AF114" s="3435"/>
      <c r="AG114" s="3436"/>
      <c r="AH114" s="3436"/>
      <c r="AI114" s="3436"/>
      <c r="AJ114" s="3436"/>
      <c r="AK114" s="3436"/>
      <c r="AL114" s="3436"/>
      <c r="AM114" s="3436"/>
      <c r="AN114" s="3436"/>
      <c r="AO114" s="3437"/>
      <c r="AP114" s="3437"/>
      <c r="AQ114" s="3437"/>
      <c r="AR114" s="3437"/>
      <c r="AS114" s="3437"/>
      <c r="AT114" s="3437"/>
      <c r="AU114" s="3437"/>
      <c r="AV114" s="3437"/>
      <c r="AW114" s="3437"/>
      <c r="AX114" s="3437"/>
      <c r="AY114" s="3437"/>
      <c r="AZ114" s="3437"/>
      <c r="BA114" s="3437"/>
      <c r="BB114" s="3437"/>
      <c r="BC114" s="3437"/>
      <c r="BD114" s="3437"/>
      <c r="BE114" s="3437"/>
      <c r="BF114" s="3437"/>
      <c r="BG114" s="3437"/>
      <c r="BH114" s="3437"/>
      <c r="BI114" s="3437"/>
      <c r="BJ114" s="3437"/>
      <c r="BK114" s="3437"/>
      <c r="BL114" s="3437"/>
      <c r="BM114" s="3437"/>
      <c r="BN114" s="3437"/>
      <c r="BO114" s="3437"/>
      <c r="BP114" s="3435"/>
      <c r="BQ114" s="3436"/>
      <c r="BR114" s="3436"/>
      <c r="BS114" s="3436"/>
      <c r="BT114" s="3436"/>
      <c r="BU114" s="3436"/>
      <c r="BV114" s="3436"/>
      <c r="BW114" s="3436"/>
      <c r="BX114" s="3436"/>
      <c r="BY114" s="3436"/>
      <c r="BZ114" s="3436"/>
      <c r="CA114" s="3436"/>
      <c r="CB114" s="3436"/>
      <c r="CC114" s="3436"/>
      <c r="CD114" s="3436"/>
      <c r="CE114" s="3436"/>
      <c r="CF114" s="3436"/>
      <c r="CG114" s="3436"/>
      <c r="CH114" s="3436"/>
      <c r="CI114" s="3436"/>
      <c r="CJ114" s="3436"/>
      <c r="CK114" s="3436"/>
      <c r="CL114" s="3436"/>
      <c r="CM114" s="3436"/>
      <c r="CN114" s="3436"/>
      <c r="CO114" s="3436"/>
      <c r="CP114" s="3436"/>
      <c r="CQ114" s="3436"/>
      <c r="CR114" s="3436"/>
      <c r="CS114" s="3436"/>
      <c r="CT114" s="3436"/>
      <c r="CU114" s="3436"/>
      <c r="CV114" s="3436"/>
      <c r="CW114" s="3436">
        <f>+CW113-0.03</f>
        <v>1.0000000000000002E-2</v>
      </c>
      <c r="CX114" s="3436">
        <f>+CX113-0.03</f>
        <v>1.0000000000000002E-2</v>
      </c>
      <c r="CY114" s="3436">
        <f>+CY113-0.03</f>
        <v>1.0000000000000002E-2</v>
      </c>
      <c r="CZ114" s="3436">
        <f>+CZ113-0.03</f>
        <v>1.0000000000000002E-2</v>
      </c>
    </row>
    <row r="115" spans="2:104">
      <c r="B115" s="3446" t="s">
        <v>1922</v>
      </c>
      <c r="C115" s="3431"/>
      <c r="D115" s="3431"/>
      <c r="E115" s="3431"/>
      <c r="F115" s="3431"/>
      <c r="G115" s="3431"/>
      <c r="H115" s="3431"/>
      <c r="I115" s="3431"/>
      <c r="J115" s="3431"/>
      <c r="K115" s="3431"/>
      <c r="L115" s="3407"/>
      <c r="M115" s="3407"/>
      <c r="N115" s="3407"/>
      <c r="O115" s="3407"/>
      <c r="P115" s="3407"/>
      <c r="Q115" s="3407"/>
      <c r="R115" s="3450"/>
      <c r="S115" s="3447">
        <f>+SUMPRODUCT(CK115:CN115,CK16:CN16)/S16</f>
        <v>-3.3796116504854375E-2</v>
      </c>
      <c r="T115" s="3447">
        <f>+SUMPRODUCT(CO115:CR115,CO16:CR16)/T16</f>
        <v>-0.24048571428571427</v>
      </c>
      <c r="U115" s="3447">
        <f>+SUMPRODUCT(CS115:CV115,CS16:CV16)/U16</f>
        <v>-0.15019999999999997</v>
      </c>
      <c r="V115" s="3447">
        <f ca="1">+SUMPRODUCT(CW115:CZ115,CW16:CZ16)/V16</f>
        <v>-0.10731671704615729</v>
      </c>
      <c r="W115" s="3426"/>
      <c r="X115" s="3426"/>
      <c r="Y115" s="3426"/>
      <c r="Z115" s="3426"/>
      <c r="AA115" s="3426"/>
      <c r="AB115" s="3426"/>
      <c r="AC115" s="3426"/>
      <c r="AD115" s="3426"/>
      <c r="AE115" s="3407"/>
      <c r="AF115" s="3407"/>
      <c r="AG115" s="3431"/>
      <c r="AH115" s="3431"/>
      <c r="AI115" s="3431"/>
      <c r="AJ115" s="3431"/>
      <c r="AK115" s="3431"/>
      <c r="AL115" s="3431"/>
      <c r="AM115" s="3431"/>
      <c r="AN115" s="3431"/>
      <c r="AO115" s="3432"/>
      <c r="AP115" s="3432"/>
      <c r="AQ115" s="3432"/>
      <c r="AR115" s="3432"/>
      <c r="AS115" s="3432"/>
      <c r="AT115" s="3432"/>
      <c r="AU115" s="3432"/>
      <c r="AV115" s="3432"/>
      <c r="AW115" s="3432"/>
      <c r="AX115" s="3432"/>
      <c r="AY115" s="3432"/>
      <c r="AZ115" s="3432"/>
      <c r="BA115" s="3432"/>
      <c r="BB115" s="3432"/>
      <c r="BC115" s="3432"/>
      <c r="BD115" s="3432"/>
      <c r="BE115" s="3432"/>
      <c r="BF115" s="3432"/>
      <c r="BG115" s="3432"/>
      <c r="BH115" s="3432"/>
      <c r="BI115" s="3432"/>
      <c r="BJ115" s="3432"/>
      <c r="BK115" s="3432"/>
      <c r="BL115" s="3432"/>
      <c r="BM115" s="3432"/>
      <c r="BN115" s="3432"/>
      <c r="BO115" s="3432"/>
      <c r="BP115" s="3407"/>
      <c r="BQ115" s="3431"/>
      <c r="BR115" s="3431"/>
      <c r="BS115" s="3431"/>
      <c r="BT115" s="3431"/>
      <c r="BU115" s="3431"/>
      <c r="BV115" s="3431"/>
      <c r="BW115" s="3431"/>
      <c r="BX115" s="3431"/>
      <c r="BY115" s="3431"/>
      <c r="BZ115" s="3431"/>
      <c r="CA115" s="3431"/>
      <c r="CB115" s="3431"/>
      <c r="CC115" s="3431"/>
      <c r="CD115" s="3431"/>
      <c r="CE115" s="3448"/>
      <c r="CF115" s="3448"/>
      <c r="CG115" s="3448"/>
      <c r="CH115" s="3448"/>
      <c r="CI115" s="3448"/>
      <c r="CJ115" s="3448"/>
      <c r="CK115" s="3448">
        <v>4.4999999999999998E-2</v>
      </c>
      <c r="CL115" s="3448">
        <v>-0.113</v>
      </c>
      <c r="CM115" s="3448">
        <v>4.0000000000000001E-3</v>
      </c>
      <c r="CN115" s="3448">
        <v>-7.9000000000000001E-2</v>
      </c>
      <c r="CO115" s="3448">
        <v>-0.221</v>
      </c>
      <c r="CP115" s="3448">
        <v>-0.25700000000000001</v>
      </c>
      <c r="CQ115" s="3448">
        <v>-0.23300000000000001</v>
      </c>
      <c r="CR115" s="3448">
        <v>-0.253</v>
      </c>
      <c r="CS115" s="3448">
        <v>-0.155</v>
      </c>
      <c r="CT115" s="3448">
        <v>-0.09</v>
      </c>
      <c r="CU115" s="3448">
        <v>-0.13800000000000001</v>
      </c>
      <c r="CV115" s="3448">
        <v>-0.223</v>
      </c>
      <c r="CW115" s="3426">
        <f ca="1">+OFFSET(CW115,Mode,0)</f>
        <v>-0.12</v>
      </c>
      <c r="CX115" s="3426">
        <f ca="1">+OFFSET(CX115,Mode,0)</f>
        <v>-0.11</v>
      </c>
      <c r="CY115" s="3426">
        <f ca="1">+OFFSET(CY115,Mode,0)</f>
        <v>-0.1</v>
      </c>
      <c r="CZ115" s="3426">
        <f ca="1">+OFFSET(CZ115,Mode,0)</f>
        <v>-0.1</v>
      </c>
    </row>
    <row r="116" spans="2:104">
      <c r="B116" s="3374"/>
      <c r="C116" s="3410"/>
      <c r="D116" s="3410"/>
      <c r="E116" s="3411"/>
      <c r="F116" s="3411"/>
      <c r="G116" s="3411"/>
      <c r="H116" s="3411"/>
      <c r="I116" s="3411"/>
      <c r="J116" s="3411"/>
      <c r="K116" s="3412"/>
      <c r="L116" s="3413"/>
      <c r="M116" s="3435"/>
      <c r="N116" s="3435"/>
      <c r="O116" s="3435"/>
      <c r="P116" s="3436"/>
      <c r="Q116" s="3436"/>
      <c r="R116" s="3435"/>
      <c r="S116" s="3435"/>
      <c r="T116" s="3435"/>
      <c r="U116" s="3435"/>
      <c r="V116" s="3435"/>
      <c r="W116" s="3435"/>
      <c r="X116" s="3435"/>
      <c r="Y116" s="3435"/>
      <c r="Z116" s="3435"/>
      <c r="AA116" s="3435"/>
      <c r="AB116" s="3435"/>
      <c r="AC116" s="3435"/>
      <c r="AD116" s="3435"/>
      <c r="AE116" s="3435"/>
      <c r="AF116" s="3435"/>
      <c r="AG116" s="3436"/>
      <c r="AH116" s="3436"/>
      <c r="AI116" s="3436"/>
      <c r="AJ116" s="3436"/>
      <c r="AK116" s="3436"/>
      <c r="AL116" s="3436"/>
      <c r="AM116" s="3436"/>
      <c r="AN116" s="3436"/>
      <c r="AO116" s="3437"/>
      <c r="AP116" s="3437"/>
      <c r="AQ116" s="3437"/>
      <c r="AR116" s="3437"/>
      <c r="AS116" s="3437"/>
      <c r="AT116" s="3437"/>
      <c r="AU116" s="3437"/>
      <c r="AV116" s="3437"/>
      <c r="AW116" s="3437"/>
      <c r="AX116" s="3437"/>
      <c r="AY116" s="3437"/>
      <c r="AZ116" s="3437"/>
      <c r="BA116" s="3437"/>
      <c r="BB116" s="3437"/>
      <c r="BC116" s="3437"/>
      <c r="BD116" s="3437"/>
      <c r="BE116" s="3437"/>
      <c r="BF116" s="3437"/>
      <c r="BG116" s="3437"/>
      <c r="BH116" s="3437"/>
      <c r="BI116" s="3437"/>
      <c r="BJ116" s="3437"/>
      <c r="BK116" s="3437"/>
      <c r="BL116" s="3437"/>
      <c r="BM116" s="3437"/>
      <c r="BN116" s="3437"/>
      <c r="BO116" s="3437"/>
      <c r="BP116" s="3435"/>
      <c r="BQ116" s="3436"/>
      <c r="BR116" s="3436"/>
      <c r="BS116" s="3436"/>
      <c r="BT116" s="3436"/>
      <c r="BU116" s="3436"/>
      <c r="BV116" s="3436"/>
      <c r="BW116" s="3436"/>
      <c r="BX116" s="3436"/>
      <c r="BY116" s="3436"/>
      <c r="BZ116" s="3436"/>
      <c r="CA116" s="3436"/>
      <c r="CB116" s="3436"/>
      <c r="CC116" s="3436"/>
      <c r="CD116" s="3436"/>
      <c r="CE116" s="3436"/>
      <c r="CF116" s="3436"/>
      <c r="CG116" s="3436"/>
      <c r="CH116" s="3436"/>
      <c r="CI116" s="3436"/>
      <c r="CJ116" s="3436"/>
      <c r="CK116" s="3436"/>
      <c r="CL116" s="3436"/>
      <c r="CM116" s="3436"/>
      <c r="CN116" s="3436"/>
      <c r="CO116" s="3436"/>
      <c r="CP116" s="3436"/>
      <c r="CQ116" s="3436"/>
      <c r="CR116" s="3436"/>
      <c r="CS116" s="3436"/>
      <c r="CT116" s="3436"/>
      <c r="CU116" s="3436"/>
      <c r="CV116" s="3436"/>
      <c r="CW116" s="3436">
        <f>+CW117+0.03</f>
        <v>-0.09</v>
      </c>
      <c r="CX116" s="3436">
        <f>+CX117+0.03</f>
        <v>-0.08</v>
      </c>
      <c r="CY116" s="3436">
        <f>+CY117+0.03</f>
        <v>-7.0000000000000007E-2</v>
      </c>
      <c r="CZ116" s="3436">
        <f>+CZ117+0.03</f>
        <v>-7.0000000000000007E-2</v>
      </c>
    </row>
    <row r="117" spans="2:104">
      <c r="B117" s="3374"/>
      <c r="C117" s="3410"/>
      <c r="D117" s="3410"/>
      <c r="E117" s="3411"/>
      <c r="F117" s="3411"/>
      <c r="G117" s="3411"/>
      <c r="H117" s="3411"/>
      <c r="I117" s="3411"/>
      <c r="J117" s="3411"/>
      <c r="K117" s="3412"/>
      <c r="L117" s="3413"/>
      <c r="M117" s="3435"/>
      <c r="N117" s="3435"/>
      <c r="O117" s="3435"/>
      <c r="P117" s="3436"/>
      <c r="Q117" s="3436"/>
      <c r="R117" s="3435"/>
      <c r="S117" s="3435"/>
      <c r="T117" s="3435"/>
      <c r="U117" s="3435"/>
      <c r="V117" s="3435"/>
      <c r="W117" s="3435"/>
      <c r="X117" s="3435"/>
      <c r="Y117" s="3435"/>
      <c r="Z117" s="3435"/>
      <c r="AA117" s="3435"/>
      <c r="AB117" s="3435"/>
      <c r="AC117" s="3435"/>
      <c r="AD117" s="3435"/>
      <c r="AE117" s="3435"/>
      <c r="AF117" s="3435"/>
      <c r="AG117" s="3436"/>
      <c r="AH117" s="3436"/>
      <c r="AI117" s="3436"/>
      <c r="AJ117" s="3436"/>
      <c r="AK117" s="3436"/>
      <c r="AL117" s="3436"/>
      <c r="AM117" s="3436"/>
      <c r="AN117" s="3436"/>
      <c r="AO117" s="3437"/>
      <c r="AP117" s="3437"/>
      <c r="AQ117" s="3437"/>
      <c r="AR117" s="3437"/>
      <c r="AS117" s="3437"/>
      <c r="AT117" s="3437"/>
      <c r="AU117" s="3437"/>
      <c r="AV117" s="3437"/>
      <c r="AW117" s="3437"/>
      <c r="AX117" s="3437"/>
      <c r="AY117" s="3437"/>
      <c r="AZ117" s="3437"/>
      <c r="BA117" s="3437"/>
      <c r="BB117" s="3437"/>
      <c r="BC117" s="3437"/>
      <c r="BD117" s="3437"/>
      <c r="BE117" s="3437"/>
      <c r="BF117" s="3437"/>
      <c r="BG117" s="3437"/>
      <c r="BH117" s="3437"/>
      <c r="BI117" s="3437"/>
      <c r="BJ117" s="3437"/>
      <c r="BK117" s="3437"/>
      <c r="BL117" s="3437"/>
      <c r="BM117" s="3437"/>
      <c r="BN117" s="3437"/>
      <c r="BO117" s="3437"/>
      <c r="BP117" s="3435"/>
      <c r="BQ117" s="3436"/>
      <c r="BR117" s="3436"/>
      <c r="BS117" s="3436"/>
      <c r="BT117" s="3436"/>
      <c r="BU117" s="3436"/>
      <c r="BV117" s="3436"/>
      <c r="BW117" s="3436"/>
      <c r="BX117" s="3436"/>
      <c r="BY117" s="3436"/>
      <c r="BZ117" s="3436"/>
      <c r="CA117" s="3436"/>
      <c r="CB117" s="3436"/>
      <c r="CC117" s="3436"/>
      <c r="CD117" s="3436"/>
      <c r="CE117" s="3436"/>
      <c r="CF117" s="3436"/>
      <c r="CG117" s="3436"/>
      <c r="CH117" s="3436"/>
      <c r="CI117" s="3436"/>
      <c r="CJ117" s="3436"/>
      <c r="CK117" s="3436"/>
      <c r="CL117" s="3436"/>
      <c r="CM117" s="3436"/>
      <c r="CN117" s="3436"/>
      <c r="CO117" s="3436"/>
      <c r="CP117" s="3436"/>
      <c r="CQ117" s="3436"/>
      <c r="CR117" s="3436"/>
      <c r="CS117" s="3436"/>
      <c r="CT117" s="3436"/>
      <c r="CU117" s="3436"/>
      <c r="CV117" s="3436"/>
      <c r="CW117" s="3436">
        <v>-0.12</v>
      </c>
      <c r="CX117" s="3436">
        <v>-0.11</v>
      </c>
      <c r="CY117" s="3436">
        <v>-0.1</v>
      </c>
      <c r="CZ117" s="3436">
        <v>-0.1</v>
      </c>
    </row>
    <row r="118" spans="2:104">
      <c r="B118" s="3374"/>
      <c r="C118" s="3410"/>
      <c r="D118" s="3410"/>
      <c r="E118" s="3411"/>
      <c r="F118" s="3411"/>
      <c r="G118" s="3411"/>
      <c r="H118" s="3411"/>
      <c r="I118" s="3411"/>
      <c r="J118" s="3411"/>
      <c r="K118" s="3412"/>
      <c r="L118" s="3413"/>
      <c r="M118" s="3435"/>
      <c r="N118" s="3435"/>
      <c r="O118" s="3435"/>
      <c r="P118" s="3436"/>
      <c r="Q118" s="3436"/>
      <c r="R118" s="3435"/>
      <c r="S118" s="3435"/>
      <c r="T118" s="3435"/>
      <c r="U118" s="3435"/>
      <c r="V118" s="3435"/>
      <c r="W118" s="3435"/>
      <c r="X118" s="3435"/>
      <c r="Y118" s="3435"/>
      <c r="Z118" s="3435"/>
      <c r="AA118" s="3435"/>
      <c r="AB118" s="3435"/>
      <c r="AC118" s="3435"/>
      <c r="AD118" s="3435"/>
      <c r="AE118" s="3435"/>
      <c r="AF118" s="3435"/>
      <c r="AG118" s="3436"/>
      <c r="AH118" s="3436"/>
      <c r="AI118" s="3436"/>
      <c r="AJ118" s="3436"/>
      <c r="AK118" s="3436"/>
      <c r="AL118" s="3436"/>
      <c r="AM118" s="3436"/>
      <c r="AN118" s="3436"/>
      <c r="AO118" s="3437"/>
      <c r="AP118" s="3437"/>
      <c r="AQ118" s="3437"/>
      <c r="AR118" s="3437"/>
      <c r="AS118" s="3437"/>
      <c r="AT118" s="3437"/>
      <c r="AU118" s="3437"/>
      <c r="AV118" s="3437"/>
      <c r="AW118" s="3437"/>
      <c r="AX118" s="3437"/>
      <c r="AY118" s="3437"/>
      <c r="AZ118" s="3437"/>
      <c r="BA118" s="3437"/>
      <c r="BB118" s="3437"/>
      <c r="BC118" s="3437"/>
      <c r="BD118" s="3437"/>
      <c r="BE118" s="3437"/>
      <c r="BF118" s="3437"/>
      <c r="BG118" s="3437"/>
      <c r="BH118" s="3437"/>
      <c r="BI118" s="3437"/>
      <c r="BJ118" s="3437"/>
      <c r="BK118" s="3437"/>
      <c r="BL118" s="3437"/>
      <c r="BM118" s="3437"/>
      <c r="BN118" s="3437"/>
      <c r="BO118" s="3437"/>
      <c r="BP118" s="3435"/>
      <c r="BQ118" s="3436"/>
      <c r="BR118" s="3436"/>
      <c r="BS118" s="3436"/>
      <c r="BT118" s="3436"/>
      <c r="BU118" s="3436"/>
      <c r="BV118" s="3436"/>
      <c r="BW118" s="3436"/>
      <c r="BX118" s="3436"/>
      <c r="BY118" s="3436"/>
      <c r="BZ118" s="3436"/>
      <c r="CA118" s="3436"/>
      <c r="CB118" s="3436"/>
      <c r="CC118" s="3436"/>
      <c r="CD118" s="3436"/>
      <c r="CE118" s="3436"/>
      <c r="CF118" s="3436"/>
      <c r="CG118" s="3436"/>
      <c r="CH118" s="3436"/>
      <c r="CI118" s="3436"/>
      <c r="CJ118" s="3436"/>
      <c r="CK118" s="3436"/>
      <c r="CL118" s="3436"/>
      <c r="CM118" s="3436"/>
      <c r="CN118" s="3436"/>
      <c r="CO118" s="3436"/>
      <c r="CP118" s="3436"/>
      <c r="CQ118" s="3436"/>
      <c r="CR118" s="3436"/>
      <c r="CS118" s="3436"/>
      <c r="CT118" s="3436"/>
      <c r="CU118" s="3436"/>
      <c r="CV118" s="3436"/>
      <c r="CW118" s="3436">
        <f>+CW117-0.015</f>
        <v>-0.13500000000000001</v>
      </c>
      <c r="CX118" s="3436">
        <f>+CX117-0.015</f>
        <v>-0.125</v>
      </c>
      <c r="CY118" s="3436">
        <f>+CY117-0.015</f>
        <v>-0.115</v>
      </c>
      <c r="CZ118" s="3436">
        <f>+CZ117-0.015</f>
        <v>-0.115</v>
      </c>
    </row>
    <row r="119" spans="2:104">
      <c r="B119" s="3441" t="s">
        <v>1899</v>
      </c>
      <c r="C119" s="3442"/>
      <c r="D119" s="3442"/>
      <c r="E119" s="3442"/>
      <c r="F119" s="3442"/>
      <c r="G119" s="3442"/>
      <c r="H119" s="3442"/>
      <c r="I119" s="3442"/>
      <c r="J119" s="3442"/>
      <c r="K119" s="3442"/>
      <c r="L119" s="3443"/>
      <c r="M119" s="3443"/>
      <c r="N119" s="3443"/>
      <c r="O119" s="3443"/>
      <c r="P119" s="3442"/>
      <c r="Q119" s="3442"/>
      <c r="R119" s="3445"/>
      <c r="S119" s="3442"/>
      <c r="T119" s="3442"/>
      <c r="U119" s="3442"/>
      <c r="V119" s="3442"/>
      <c r="W119" s="3442"/>
      <c r="X119" s="3442"/>
      <c r="Y119" s="3442"/>
      <c r="Z119" s="3442"/>
      <c r="AA119" s="3442"/>
      <c r="AB119" s="3442"/>
      <c r="AC119" s="3442"/>
      <c r="AD119" s="3442"/>
      <c r="AE119" s="3442"/>
      <c r="AF119" s="3443"/>
      <c r="AG119" s="3442"/>
      <c r="AH119" s="3442"/>
      <c r="AI119" s="3442"/>
      <c r="AJ119" s="3442"/>
      <c r="AK119" s="3442"/>
      <c r="AL119" s="3442"/>
      <c r="AM119" s="3442"/>
      <c r="AN119" s="3442"/>
      <c r="AO119" s="3444"/>
      <c r="AP119" s="3444"/>
      <c r="AQ119" s="3444"/>
      <c r="AR119" s="3444"/>
      <c r="AS119" s="3444"/>
      <c r="AT119" s="3444"/>
      <c r="AU119" s="3444"/>
      <c r="AV119" s="3444"/>
      <c r="AW119" s="3444"/>
      <c r="AX119" s="3444"/>
      <c r="AY119" s="3444"/>
      <c r="AZ119" s="3444"/>
      <c r="BA119" s="3444"/>
      <c r="BB119" s="3444"/>
      <c r="BC119" s="3444"/>
      <c r="BD119" s="3444"/>
      <c r="BE119" s="3444"/>
      <c r="BF119" s="3444"/>
      <c r="BG119" s="3444"/>
      <c r="BH119" s="3444"/>
      <c r="BI119" s="3444"/>
      <c r="BJ119" s="3444"/>
      <c r="BK119" s="3444"/>
      <c r="BL119" s="3444"/>
      <c r="BM119" s="3444"/>
      <c r="BN119" s="3444"/>
      <c r="BO119" s="3444"/>
      <c r="BP119" s="3443"/>
      <c r="BQ119" s="3442"/>
      <c r="BR119" s="3442"/>
      <c r="BS119" s="3442"/>
      <c r="BT119" s="3442"/>
      <c r="BU119" s="3442"/>
      <c r="BV119" s="3442"/>
      <c r="BW119" s="3442"/>
      <c r="BX119" s="3442"/>
      <c r="BY119" s="3442"/>
      <c r="BZ119" s="3442"/>
      <c r="CA119" s="3442"/>
      <c r="CB119" s="3442"/>
      <c r="CC119" s="3442"/>
      <c r="CD119" s="3442"/>
      <c r="CE119" s="3445"/>
      <c r="CF119" s="3445"/>
      <c r="CG119" s="3445"/>
      <c r="CH119" s="3445"/>
      <c r="CI119" s="3445"/>
      <c r="CJ119" s="3445">
        <v>5.0999999999999997E-2</v>
      </c>
      <c r="CK119" s="3445">
        <v>0.06</v>
      </c>
      <c r="CL119" s="3445">
        <v>5.3999999999999999E-2</v>
      </c>
      <c r="CM119" s="3445">
        <v>5.5E-2</v>
      </c>
      <c r="CN119" s="3445">
        <v>4.3999999999999997E-2</v>
      </c>
      <c r="CO119" s="3445">
        <v>3.5999999999999997E-2</v>
      </c>
      <c r="CP119" s="3445">
        <v>2.8000000000000001E-2</v>
      </c>
      <c r="CQ119" s="3445">
        <v>1.0999999999999999E-2</v>
      </c>
      <c r="CR119" s="3445">
        <v>-5.0000000000000001E-3</v>
      </c>
      <c r="CS119" s="3445">
        <v>1E-3</v>
      </c>
      <c r="CT119" s="3445">
        <v>8.0000000000000002E-3</v>
      </c>
      <c r="CU119" s="3445">
        <v>1.4999999999999999E-2</v>
      </c>
      <c r="CV119" s="3445">
        <v>3.7999999999999999E-2</v>
      </c>
      <c r="CW119" s="3442"/>
      <c r="CX119" s="3442"/>
      <c r="CY119" s="3442"/>
      <c r="CZ119" s="3442"/>
    </row>
    <row r="120" spans="2:104">
      <c r="B120" s="3446" t="s">
        <v>279</v>
      </c>
      <c r="C120" s="3431"/>
      <c r="D120" s="3431"/>
      <c r="E120" s="3431"/>
      <c r="F120" s="3431"/>
      <c r="G120" s="3431"/>
      <c r="H120" s="3431"/>
      <c r="I120" s="3431"/>
      <c r="J120" s="3431"/>
      <c r="K120" s="3431"/>
      <c r="L120" s="3407"/>
      <c r="M120" s="3407"/>
      <c r="N120" s="3407"/>
      <c r="O120" s="3407"/>
      <c r="P120" s="3407"/>
      <c r="Q120" s="3407"/>
      <c r="R120" s="3407"/>
      <c r="S120" s="3407"/>
      <c r="T120" s="3407"/>
      <c r="U120" s="3407"/>
      <c r="V120" s="3407"/>
      <c r="W120" s="3426"/>
      <c r="X120" s="3426"/>
      <c r="Y120" s="3426"/>
      <c r="Z120" s="3426"/>
      <c r="AA120" s="3426"/>
      <c r="AB120" s="3426"/>
      <c r="AC120" s="3426"/>
      <c r="AD120" s="3426"/>
      <c r="AE120" s="3407"/>
      <c r="AF120" s="3407"/>
      <c r="AG120" s="3431"/>
      <c r="AH120" s="3431"/>
      <c r="AI120" s="3431"/>
      <c r="AJ120" s="3431"/>
      <c r="AK120" s="3431"/>
      <c r="AL120" s="3431"/>
      <c r="AM120" s="3431"/>
      <c r="AN120" s="3431"/>
      <c r="AO120" s="3432"/>
      <c r="AP120" s="3432"/>
      <c r="AQ120" s="3432"/>
      <c r="AR120" s="3432"/>
      <c r="AS120" s="3432"/>
      <c r="AT120" s="3432"/>
      <c r="AU120" s="3432"/>
      <c r="AV120" s="3432"/>
      <c r="AW120" s="3432"/>
      <c r="AX120" s="3432"/>
      <c r="AY120" s="3432"/>
      <c r="AZ120" s="3432"/>
      <c r="BA120" s="3432"/>
      <c r="BB120" s="3432"/>
      <c r="BC120" s="3432"/>
      <c r="BD120" s="3432"/>
      <c r="BE120" s="3432"/>
      <c r="BF120" s="3432"/>
      <c r="BG120" s="3432"/>
      <c r="BH120" s="3432"/>
      <c r="BI120" s="3432"/>
      <c r="BJ120" s="3432"/>
      <c r="BK120" s="3432"/>
      <c r="BL120" s="3432"/>
      <c r="BM120" s="3432"/>
      <c r="BN120" s="3432"/>
      <c r="BO120" s="3432"/>
      <c r="BP120" s="3407"/>
      <c r="BQ120" s="3431"/>
      <c r="BR120" s="3431"/>
      <c r="BS120" s="3431"/>
      <c r="BT120" s="3431"/>
      <c r="BU120" s="3431"/>
      <c r="BV120" s="3431"/>
      <c r="BW120" s="3431"/>
      <c r="BX120" s="3431"/>
      <c r="BY120" s="3431"/>
      <c r="BZ120" s="3431"/>
      <c r="CA120" s="3431"/>
      <c r="CB120" s="3431"/>
      <c r="CC120" s="3431"/>
      <c r="CD120" s="3431"/>
      <c r="CE120" s="3431"/>
      <c r="CF120" s="3431"/>
      <c r="CG120" s="3431"/>
      <c r="CH120" s="3431"/>
      <c r="CI120" s="3431"/>
      <c r="CJ120" s="3448"/>
      <c r="CK120" s="3448">
        <v>8.9999999999999993E-3</v>
      </c>
      <c r="CL120" s="3448">
        <v>3.4000000000000002E-2</v>
      </c>
      <c r="CM120" s="3448">
        <v>-1.2E-2</v>
      </c>
      <c r="CN120" s="3448">
        <v>3.0000000000000001E-3</v>
      </c>
      <c r="CO120" s="3448">
        <v>-1.4E-2</v>
      </c>
      <c r="CP120" s="3448">
        <v>-3.4000000000000002E-2</v>
      </c>
      <c r="CQ120" s="3448">
        <v>-0.112</v>
      </c>
      <c r="CR120" s="3448">
        <v>-7.5999999999999998E-2</v>
      </c>
      <c r="CS120" s="3448">
        <v>-7.3999999999999996E-2</v>
      </c>
      <c r="CT120" s="3448">
        <v>-0.06</v>
      </c>
      <c r="CU120" s="3448">
        <v>-6.9000000000000006E-2</v>
      </c>
      <c r="CV120" s="3448">
        <v>-5.6000000000000001E-2</v>
      </c>
      <c r="CW120" s="3426"/>
      <c r="CX120" s="3426"/>
      <c r="CY120" s="3426"/>
      <c r="CZ120" s="3426"/>
    </row>
    <row r="121" spans="2:104">
      <c r="B121" s="3446" t="s">
        <v>1676</v>
      </c>
      <c r="C121" s="3431"/>
      <c r="D121" s="3431"/>
      <c r="E121" s="3431"/>
      <c r="F121" s="3431"/>
      <c r="G121" s="3431"/>
      <c r="H121" s="3431"/>
      <c r="I121" s="3431"/>
      <c r="J121" s="3431"/>
      <c r="K121" s="3431"/>
      <c r="L121" s="3407"/>
      <c r="M121" s="3407"/>
      <c r="N121" s="3407"/>
      <c r="O121" s="3407"/>
      <c r="P121" s="3407"/>
      <c r="Q121" s="3407"/>
      <c r="R121" s="3407"/>
      <c r="S121" s="3407"/>
      <c r="T121" s="3407"/>
      <c r="U121" s="3407"/>
      <c r="V121" s="3407"/>
      <c r="W121" s="3426"/>
      <c r="X121" s="3426"/>
      <c r="Y121" s="3426"/>
      <c r="Z121" s="3426"/>
      <c r="AA121" s="3426"/>
      <c r="AB121" s="3426"/>
      <c r="AC121" s="3426"/>
      <c r="AD121" s="3426"/>
      <c r="AE121" s="3407"/>
      <c r="AF121" s="3407"/>
      <c r="AG121" s="3431"/>
      <c r="AH121" s="3431"/>
      <c r="AI121" s="3431"/>
      <c r="AJ121" s="3431"/>
      <c r="AK121" s="3431"/>
      <c r="AL121" s="3431"/>
      <c r="AM121" s="3431"/>
      <c r="AN121" s="3431"/>
      <c r="AO121" s="3432"/>
      <c r="AP121" s="3432"/>
      <c r="AQ121" s="3432"/>
      <c r="AR121" s="3432"/>
      <c r="AS121" s="3432"/>
      <c r="AT121" s="3432"/>
      <c r="AU121" s="3432"/>
      <c r="AV121" s="3432"/>
      <c r="AW121" s="3432"/>
      <c r="AX121" s="3432"/>
      <c r="AY121" s="3432"/>
      <c r="AZ121" s="3432"/>
      <c r="BA121" s="3432"/>
      <c r="BB121" s="3432"/>
      <c r="BC121" s="3432"/>
      <c r="BD121" s="3432"/>
      <c r="BE121" s="3432"/>
      <c r="BF121" s="3432"/>
      <c r="BG121" s="3432"/>
      <c r="BH121" s="3432"/>
      <c r="BI121" s="3432"/>
      <c r="BJ121" s="3432"/>
      <c r="BK121" s="3432"/>
      <c r="BL121" s="3432"/>
      <c r="BM121" s="3432"/>
      <c r="BN121" s="3432"/>
      <c r="BO121" s="3432"/>
      <c r="BP121" s="3407"/>
      <c r="BQ121" s="3431"/>
      <c r="BR121" s="3431"/>
      <c r="BS121" s="3431"/>
      <c r="BT121" s="3431"/>
      <c r="BU121" s="3431"/>
      <c r="BV121" s="3431"/>
      <c r="BW121" s="3431"/>
      <c r="BX121" s="3431"/>
      <c r="BY121" s="3431"/>
      <c r="BZ121" s="3431"/>
      <c r="CA121" s="3431"/>
      <c r="CB121" s="3431"/>
      <c r="CC121" s="3431"/>
      <c r="CD121" s="3431"/>
      <c r="CE121" s="3431"/>
      <c r="CF121" s="3431"/>
      <c r="CG121" s="3431"/>
      <c r="CH121" s="3431"/>
      <c r="CI121" s="3431"/>
      <c r="CJ121" s="3448">
        <v>9.7000000000000003E-2</v>
      </c>
      <c r="CK121" s="3448">
        <v>8.1000000000000003E-2</v>
      </c>
      <c r="CL121" s="3448">
        <v>6.3E-2</v>
      </c>
      <c r="CM121" s="3448">
        <v>8.3000000000000004E-2</v>
      </c>
      <c r="CN121" s="3448">
        <v>6.0999999999999999E-2</v>
      </c>
      <c r="CO121" s="3448">
        <v>5.7000000000000002E-2</v>
      </c>
      <c r="CP121" s="3448">
        <v>5.2999999999999999E-2</v>
      </c>
      <c r="CQ121" s="3448">
        <v>4.0000000000000001E-3</v>
      </c>
      <c r="CR121" s="3448">
        <v>2.3E-2</v>
      </c>
      <c r="CS121" s="3448">
        <v>0.03</v>
      </c>
      <c r="CT121" s="3448">
        <v>3.4000000000000002E-2</v>
      </c>
      <c r="CU121" s="3448">
        <v>1.0999999999999999E-2</v>
      </c>
      <c r="CV121" s="3448">
        <v>0.06</v>
      </c>
      <c r="CW121" s="3426"/>
      <c r="CX121" s="3426"/>
      <c r="CY121" s="3426"/>
      <c r="CZ121" s="3426"/>
    </row>
    <row r="122" spans="2:104">
      <c r="V122" s="3617"/>
      <c r="CU122" s="3617"/>
    </row>
    <row r="123" spans="2:104">
      <c r="B123" s="3406" t="s">
        <v>1923</v>
      </c>
      <c r="C123" s="3410"/>
      <c r="D123" s="3410"/>
      <c r="E123" s="3411"/>
      <c r="F123" s="3411"/>
      <c r="G123" s="3411"/>
      <c r="H123" s="3411"/>
      <c r="I123" s="3411"/>
      <c r="J123" s="3411"/>
      <c r="K123" s="3412"/>
      <c r="L123" s="3413"/>
      <c r="M123" s="3413"/>
      <c r="N123" s="3413"/>
      <c r="O123" s="3413"/>
      <c r="P123" s="3413"/>
      <c r="Q123" s="3413"/>
      <c r="R123" s="3413"/>
      <c r="S123" s="3413"/>
      <c r="T123" s="3413"/>
      <c r="U123" s="3413"/>
      <c r="V123" s="3413"/>
      <c r="W123" s="3413"/>
      <c r="X123" s="3413"/>
      <c r="Y123" s="3413"/>
      <c r="Z123" s="3413"/>
      <c r="AA123" s="3413"/>
      <c r="AB123" s="3413"/>
      <c r="AC123" s="3413"/>
      <c r="AD123" s="3413"/>
      <c r="AE123" s="3413"/>
      <c r="AF123" s="3413"/>
      <c r="AG123" s="3412"/>
      <c r="AH123" s="3412"/>
      <c r="AI123" s="3412"/>
      <c r="AJ123" s="3412"/>
      <c r="AK123" s="3412"/>
      <c r="AL123" s="3412"/>
      <c r="AM123" s="3412"/>
      <c r="AN123" s="3412"/>
      <c r="AO123" s="3427"/>
      <c r="AP123" s="3427"/>
      <c r="AQ123" s="3427"/>
      <c r="AR123" s="3427"/>
      <c r="AS123" s="3427"/>
      <c r="AT123" s="3427"/>
      <c r="AU123" s="3427"/>
      <c r="AV123" s="3427"/>
      <c r="AW123" s="3427"/>
      <c r="AX123" s="3427"/>
      <c r="AY123" s="3427"/>
      <c r="AZ123" s="3427"/>
      <c r="BA123" s="3427"/>
      <c r="BB123" s="3427"/>
      <c r="BC123" s="3427"/>
      <c r="BD123" s="3427"/>
      <c r="BE123" s="3428"/>
      <c r="BF123" s="3428"/>
      <c r="BG123" s="3428"/>
      <c r="BH123" s="3428"/>
      <c r="BI123" s="3428"/>
      <c r="BJ123" s="3428"/>
      <c r="BK123" s="3428"/>
      <c r="BL123" s="3428"/>
      <c r="BM123" s="3428"/>
      <c r="BN123" s="3428"/>
      <c r="BO123" s="3428"/>
      <c r="BP123" s="3429"/>
      <c r="BQ123" s="3426"/>
      <c r="BR123" s="3430"/>
      <c r="BS123" s="3410"/>
      <c r="BT123" s="3410"/>
      <c r="BU123" s="3410"/>
      <c r="BV123" s="3410"/>
      <c r="BW123" s="3410"/>
      <c r="BX123" s="3410"/>
      <c r="BY123" s="3410"/>
      <c r="BZ123" s="3410"/>
      <c r="CA123" s="3410"/>
      <c r="CB123" s="3410"/>
      <c r="CC123" s="3410"/>
      <c r="CD123" s="3410"/>
      <c r="CE123" s="3410"/>
      <c r="CF123" s="3410"/>
      <c r="CG123" s="3410"/>
      <c r="CH123" s="3410"/>
      <c r="CI123" s="3410"/>
      <c r="CJ123" s="3410"/>
      <c r="CK123" s="3410"/>
      <c r="CL123" s="3410"/>
      <c r="CM123" s="3410"/>
      <c r="CN123" s="3410"/>
      <c r="CO123" s="3410"/>
      <c r="CP123" s="3410"/>
      <c r="CQ123" s="3410"/>
      <c r="CR123" s="3410"/>
      <c r="CS123" s="3410"/>
      <c r="CT123" s="3410"/>
      <c r="CU123" s="3410"/>
      <c r="CV123" s="3410"/>
      <c r="CW123" s="3410"/>
      <c r="CX123" s="3410"/>
      <c r="CY123" s="3410"/>
      <c r="CZ123" s="3410"/>
    </row>
    <row r="124" spans="2:104">
      <c r="B124" s="3441" t="s">
        <v>1892</v>
      </c>
      <c r="C124" s="3442"/>
      <c r="D124" s="3442"/>
      <c r="E124" s="3442"/>
      <c r="F124" s="3442"/>
      <c r="G124" s="3442"/>
      <c r="H124" s="3442"/>
      <c r="I124" s="3442"/>
      <c r="J124" s="3442"/>
      <c r="K124" s="3442"/>
      <c r="L124" s="3443"/>
      <c r="M124" s="3443"/>
      <c r="N124" s="3443"/>
      <c r="O124" s="3443"/>
      <c r="P124" s="3442"/>
      <c r="Q124" s="3442"/>
      <c r="R124" s="3442"/>
      <c r="S124" s="3442"/>
      <c r="T124" s="3442"/>
      <c r="U124" s="3442"/>
      <c r="V124" s="3442"/>
      <c r="W124" s="3442"/>
      <c r="X124" s="3442"/>
      <c r="Y124" s="3442"/>
      <c r="Z124" s="3442"/>
      <c r="AA124" s="3442"/>
      <c r="AB124" s="3442"/>
      <c r="AC124" s="3442"/>
      <c r="AD124" s="3442"/>
      <c r="AE124" s="3442"/>
      <c r="AF124" s="3443"/>
      <c r="AG124" s="3442"/>
      <c r="AH124" s="3442"/>
      <c r="AI124" s="3442"/>
      <c r="AJ124" s="3442"/>
      <c r="AK124" s="3442"/>
      <c r="AL124" s="3442"/>
      <c r="AM124" s="3442"/>
      <c r="AN124" s="3442"/>
      <c r="AO124" s="3444"/>
      <c r="AP124" s="3444"/>
      <c r="AQ124" s="3444"/>
      <c r="AR124" s="3444"/>
      <c r="AS124" s="3444"/>
      <c r="AT124" s="3444"/>
      <c r="AU124" s="3444"/>
      <c r="AV124" s="3444"/>
      <c r="AW124" s="3444"/>
      <c r="AX124" s="3444"/>
      <c r="AY124" s="3444"/>
      <c r="AZ124" s="3444"/>
      <c r="BA124" s="3444"/>
      <c r="BB124" s="3444"/>
      <c r="BC124" s="3444"/>
      <c r="BD124" s="3444"/>
      <c r="BE124" s="3444"/>
      <c r="BF124" s="3444"/>
      <c r="BG124" s="3444"/>
      <c r="BH124" s="3444"/>
      <c r="BI124" s="3444"/>
      <c r="BJ124" s="3444"/>
      <c r="BK124" s="3444"/>
      <c r="BL124" s="3444"/>
      <c r="BM124" s="3444"/>
      <c r="BN124" s="3444"/>
      <c r="BO124" s="3444"/>
      <c r="BP124" s="3443"/>
      <c r="BQ124" s="3442"/>
      <c r="BR124" s="3442"/>
      <c r="BS124" s="3442"/>
      <c r="BT124" s="3442"/>
      <c r="BU124" s="3442"/>
      <c r="BV124" s="3442"/>
      <c r="BW124" s="3442"/>
      <c r="BX124" s="3442"/>
      <c r="BY124" s="3442"/>
      <c r="BZ124" s="3442"/>
      <c r="CA124" s="3442"/>
      <c r="CB124" s="3442"/>
      <c r="CC124" s="3442"/>
      <c r="CD124" s="3442"/>
      <c r="CE124" s="3442"/>
      <c r="CF124" s="3442"/>
      <c r="CG124" s="3442"/>
      <c r="CH124" s="3442"/>
      <c r="CI124" s="3442"/>
      <c r="CJ124" s="3442"/>
      <c r="CK124" s="3442"/>
      <c r="CL124" s="3445">
        <v>0.01</v>
      </c>
      <c r="CM124" s="3445">
        <v>0</v>
      </c>
      <c r="CN124" s="3445">
        <v>1.2999999999999999E-2</v>
      </c>
      <c r="CO124" s="3445">
        <v>1.7999999999999999E-2</v>
      </c>
      <c r="CP124" s="3445">
        <v>3.0000000000000001E-3</v>
      </c>
      <c r="CQ124" s="3445">
        <v>-2.1000000000000001E-2</v>
      </c>
      <c r="CR124" s="3445">
        <v>8.0000000000000002E-3</v>
      </c>
      <c r="CS124" s="3445">
        <v>6.0000000000000001E-3</v>
      </c>
      <c r="CT124" s="3445">
        <v>8.0000000000000002E-3</v>
      </c>
      <c r="CU124" s="3445">
        <v>-6.0000000000000001E-3</v>
      </c>
      <c r="CV124" s="3445">
        <v>-6.0000000000000001E-3</v>
      </c>
      <c r="CW124" s="3442"/>
      <c r="CX124" s="3442"/>
      <c r="CY124" s="3442"/>
      <c r="CZ124" s="3442"/>
    </row>
    <row r="125" spans="2:104">
      <c r="B125" s="3446" t="s">
        <v>279</v>
      </c>
      <c r="C125" s="3431"/>
      <c r="D125" s="3431"/>
      <c r="E125" s="3431"/>
      <c r="F125" s="3431"/>
      <c r="G125" s="3431"/>
      <c r="H125" s="3431"/>
      <c r="I125" s="3431"/>
      <c r="J125" s="3431"/>
      <c r="K125" s="3431"/>
      <c r="L125" s="3407"/>
      <c r="M125" s="3407"/>
      <c r="N125" s="3407"/>
      <c r="O125" s="3407"/>
      <c r="P125" s="3407"/>
      <c r="Q125" s="3407"/>
      <c r="R125" s="3407"/>
      <c r="S125" s="3407"/>
      <c r="T125" s="3407"/>
      <c r="U125" s="3407"/>
      <c r="V125" s="3407"/>
      <c r="W125" s="3407"/>
      <c r="X125" s="3407"/>
      <c r="Y125" s="3407"/>
      <c r="Z125" s="3407"/>
      <c r="AA125" s="3407"/>
      <c r="AB125" s="3407"/>
      <c r="AC125" s="3407"/>
      <c r="AD125" s="3407"/>
      <c r="AE125" s="3407"/>
      <c r="AF125" s="3407"/>
      <c r="AG125" s="3431"/>
      <c r="AH125" s="3431"/>
      <c r="AI125" s="3431"/>
      <c r="AJ125" s="3431"/>
      <c r="AK125" s="3431"/>
      <c r="AL125" s="3431"/>
      <c r="AM125" s="3431"/>
      <c r="AN125" s="3431"/>
      <c r="AO125" s="3432"/>
      <c r="AP125" s="3432"/>
      <c r="AQ125" s="3432"/>
      <c r="AR125" s="3432"/>
      <c r="AS125" s="3432"/>
      <c r="AT125" s="3432"/>
      <c r="AU125" s="3432"/>
      <c r="AV125" s="3432"/>
      <c r="AW125" s="3432"/>
      <c r="AX125" s="3432"/>
      <c r="AY125" s="3432"/>
      <c r="AZ125" s="3432"/>
      <c r="BA125" s="3432"/>
      <c r="BB125" s="3432"/>
      <c r="BC125" s="3432"/>
      <c r="BD125" s="3432"/>
      <c r="BE125" s="3432"/>
      <c r="BF125" s="3432"/>
      <c r="BG125" s="3432"/>
      <c r="BH125" s="3432"/>
      <c r="BI125" s="3432"/>
      <c r="BJ125" s="3432"/>
      <c r="BK125" s="3432"/>
      <c r="BL125" s="3432"/>
      <c r="BM125" s="3432"/>
      <c r="BN125" s="3432"/>
      <c r="BO125" s="3432"/>
      <c r="BP125" s="3407"/>
      <c r="BQ125" s="3431"/>
      <c r="BR125" s="3431"/>
      <c r="BS125" s="3431"/>
      <c r="BT125" s="3431"/>
      <c r="BU125" s="3431"/>
      <c r="BV125" s="3431"/>
      <c r="BW125" s="3431"/>
      <c r="BX125" s="3431"/>
      <c r="BY125" s="3431"/>
      <c r="BZ125" s="3431"/>
      <c r="CA125" s="3431"/>
      <c r="CB125" s="3431"/>
      <c r="CC125" s="3431"/>
      <c r="CD125" s="3431"/>
      <c r="CE125" s="3431"/>
      <c r="CF125" s="3431"/>
      <c r="CG125" s="3431"/>
      <c r="CH125" s="3431"/>
      <c r="CI125" s="3431"/>
      <c r="CJ125" s="3431"/>
      <c r="CK125" s="3431"/>
      <c r="CL125" s="3448">
        <v>2.7E-2</v>
      </c>
      <c r="CM125" s="3448">
        <v>-6.4444444444444443E-2</v>
      </c>
      <c r="CN125" s="3448">
        <v>0.01</v>
      </c>
      <c r="CO125" s="3448">
        <v>8.9999999999999993E-3</v>
      </c>
      <c r="CP125" s="3448">
        <v>0.02</v>
      </c>
      <c r="CQ125" s="3448">
        <v>-7.0000000000000007E-2</v>
      </c>
      <c r="CR125" s="3448">
        <v>-1.7000000000000001E-2</v>
      </c>
      <c r="CS125" s="3448">
        <v>-5.0000000000000001E-3</v>
      </c>
      <c r="CT125" s="3448">
        <v>0.03</v>
      </c>
      <c r="CU125" s="3448">
        <v>-2.7E-2</v>
      </c>
      <c r="CV125" s="3448">
        <v>-2.7E-2</v>
      </c>
      <c r="CW125" s="3426"/>
      <c r="CX125" s="3426"/>
      <c r="CY125" s="3426"/>
      <c r="CZ125" s="3426"/>
    </row>
    <row r="126" spans="2:104">
      <c r="B126" s="3446" t="s">
        <v>1676</v>
      </c>
      <c r="C126" s="3431"/>
      <c r="D126" s="3431"/>
      <c r="E126" s="3431"/>
      <c r="F126" s="3431"/>
      <c r="G126" s="3431"/>
      <c r="H126" s="3431"/>
      <c r="I126" s="3431"/>
      <c r="J126" s="3431"/>
      <c r="K126" s="3431"/>
      <c r="L126" s="3407"/>
      <c r="M126" s="3407"/>
      <c r="N126" s="3407"/>
      <c r="O126" s="3407"/>
      <c r="P126" s="3407"/>
      <c r="Q126" s="3407"/>
      <c r="R126" s="3407"/>
      <c r="S126" s="3407"/>
      <c r="T126" s="3407"/>
      <c r="U126" s="3407"/>
      <c r="V126" s="3407"/>
      <c r="W126" s="3407"/>
      <c r="X126" s="3407"/>
      <c r="Y126" s="3407"/>
      <c r="Z126" s="3407"/>
      <c r="AA126" s="3407"/>
      <c r="AB126" s="3407"/>
      <c r="AC126" s="3407"/>
      <c r="AD126" s="3407"/>
      <c r="AE126" s="3407"/>
      <c r="AF126" s="3407"/>
      <c r="AG126" s="3431"/>
      <c r="AH126" s="3431"/>
      <c r="AI126" s="3431"/>
      <c r="AJ126" s="3431"/>
      <c r="AK126" s="3431"/>
      <c r="AL126" s="3431"/>
      <c r="AM126" s="3431"/>
      <c r="AN126" s="3431"/>
      <c r="AO126" s="3432"/>
      <c r="AP126" s="3432"/>
      <c r="AQ126" s="3432"/>
      <c r="AR126" s="3432"/>
      <c r="AS126" s="3432"/>
      <c r="AT126" s="3432"/>
      <c r="AU126" s="3432"/>
      <c r="AV126" s="3432"/>
      <c r="AW126" s="3432"/>
      <c r="AX126" s="3432"/>
      <c r="AY126" s="3432"/>
      <c r="AZ126" s="3432"/>
      <c r="BA126" s="3432"/>
      <c r="BB126" s="3432"/>
      <c r="BC126" s="3432"/>
      <c r="BD126" s="3432"/>
      <c r="BE126" s="3432"/>
      <c r="BF126" s="3432"/>
      <c r="BG126" s="3432"/>
      <c r="BH126" s="3432"/>
      <c r="BI126" s="3432"/>
      <c r="BJ126" s="3432"/>
      <c r="BK126" s="3432"/>
      <c r="BL126" s="3432"/>
      <c r="BM126" s="3432"/>
      <c r="BN126" s="3432"/>
      <c r="BO126" s="3432"/>
      <c r="BP126" s="3407"/>
      <c r="BQ126" s="3431"/>
      <c r="BR126" s="3431"/>
      <c r="BS126" s="3431"/>
      <c r="BT126" s="3431"/>
      <c r="BU126" s="3431"/>
      <c r="BV126" s="3431"/>
      <c r="BW126" s="3431"/>
      <c r="BX126" s="3431"/>
      <c r="BY126" s="3431"/>
      <c r="BZ126" s="3431"/>
      <c r="CA126" s="3431"/>
      <c r="CB126" s="3431"/>
      <c r="CC126" s="3431"/>
      <c r="CD126" s="3431"/>
      <c r="CE126" s="3431"/>
      <c r="CF126" s="3431"/>
      <c r="CG126" s="3431"/>
      <c r="CH126" s="3431"/>
      <c r="CI126" s="3431"/>
      <c r="CJ126" s="3431"/>
      <c r="CK126" s="3431"/>
      <c r="CL126" s="3448">
        <v>4.0000000000000001E-3</v>
      </c>
      <c r="CM126" s="3448">
        <v>2.633969118982743E-2</v>
      </c>
      <c r="CN126" s="3448">
        <v>1.4E-2</v>
      </c>
      <c r="CO126" s="3448">
        <v>2.1999999999999999E-2</v>
      </c>
      <c r="CP126" s="3448">
        <v>-4.0000000000000001E-3</v>
      </c>
      <c r="CQ126" s="3448">
        <v>-2E-3</v>
      </c>
      <c r="CR126" s="3448">
        <v>1.6E-2</v>
      </c>
      <c r="CS126" s="3448">
        <v>0.01</v>
      </c>
      <c r="CT126" s="3448">
        <v>1E-3</v>
      </c>
      <c r="CU126" s="3448">
        <v>1E-3</v>
      </c>
      <c r="CV126" s="3448">
        <v>1E-3</v>
      </c>
      <c r="CW126" s="3426"/>
      <c r="CX126" s="3426"/>
      <c r="CY126" s="3426"/>
      <c r="CZ126" s="3426"/>
    </row>
    <row r="127" spans="2:104">
      <c r="B127" s="3441" t="s">
        <v>1893</v>
      </c>
      <c r="C127" s="3442"/>
      <c r="D127" s="3442"/>
      <c r="E127" s="3442"/>
      <c r="F127" s="3442"/>
      <c r="G127" s="3442"/>
      <c r="H127" s="3442"/>
      <c r="I127" s="3442"/>
      <c r="J127" s="3442"/>
      <c r="K127" s="3442"/>
      <c r="L127" s="3443"/>
      <c r="M127" s="3443"/>
      <c r="N127" s="3443"/>
      <c r="O127" s="3443"/>
      <c r="P127" s="3442"/>
      <c r="Q127" s="3442"/>
      <c r="R127" s="3442"/>
      <c r="S127" s="3442"/>
      <c r="T127" s="3442"/>
      <c r="U127" s="3442"/>
      <c r="V127" s="3442"/>
      <c r="W127" s="3442"/>
      <c r="X127" s="3442"/>
      <c r="Y127" s="3442"/>
      <c r="Z127" s="3442"/>
      <c r="AA127" s="3442"/>
      <c r="AB127" s="3442"/>
      <c r="AC127" s="3442"/>
      <c r="AD127" s="3442"/>
      <c r="AE127" s="3442"/>
      <c r="AF127" s="3443"/>
      <c r="AG127" s="3442"/>
      <c r="AH127" s="3442"/>
      <c r="AI127" s="3442"/>
      <c r="AJ127" s="3442"/>
      <c r="AK127" s="3442"/>
      <c r="AL127" s="3442"/>
      <c r="AM127" s="3442"/>
      <c r="AN127" s="3442"/>
      <c r="AO127" s="3444"/>
      <c r="AP127" s="3444"/>
      <c r="AQ127" s="3444"/>
      <c r="AR127" s="3444"/>
      <c r="AS127" s="3444"/>
      <c r="AT127" s="3444"/>
      <c r="AU127" s="3444"/>
      <c r="AV127" s="3444"/>
      <c r="AW127" s="3444"/>
      <c r="AX127" s="3444"/>
      <c r="AY127" s="3444"/>
      <c r="AZ127" s="3444"/>
      <c r="BA127" s="3444"/>
      <c r="BB127" s="3444"/>
      <c r="BC127" s="3444"/>
      <c r="BD127" s="3444"/>
      <c r="BE127" s="3444"/>
      <c r="BF127" s="3444"/>
      <c r="BG127" s="3444"/>
      <c r="BH127" s="3444"/>
      <c r="BI127" s="3444"/>
      <c r="BJ127" s="3444"/>
      <c r="BK127" s="3444"/>
      <c r="BL127" s="3444"/>
      <c r="BM127" s="3444"/>
      <c r="BN127" s="3444"/>
      <c r="BO127" s="3444"/>
      <c r="BP127" s="3443"/>
      <c r="BQ127" s="3442"/>
      <c r="BR127" s="3442"/>
      <c r="BS127" s="3442"/>
      <c r="BT127" s="3442"/>
      <c r="BU127" s="3442"/>
      <c r="BV127" s="3442"/>
      <c r="BW127" s="3442"/>
      <c r="BX127" s="3442"/>
      <c r="BY127" s="3442"/>
      <c r="BZ127" s="3442"/>
      <c r="CA127" s="3442"/>
      <c r="CB127" s="3442"/>
      <c r="CC127" s="3442"/>
      <c r="CD127" s="3442"/>
      <c r="CE127" s="3445">
        <v>2.9000000000000001E-2</v>
      </c>
      <c r="CF127" s="3445">
        <v>4.7E-2</v>
      </c>
      <c r="CG127" s="3445">
        <v>-8.9999999999999993E-3</v>
      </c>
      <c r="CH127" s="3445">
        <v>3.4000000000000002E-2</v>
      </c>
      <c r="CI127" s="3445">
        <v>8.9999999999999993E-3</v>
      </c>
      <c r="CJ127" s="3445"/>
      <c r="CK127" s="3445"/>
      <c r="CL127" s="3445">
        <v>5.0000000000000001E-3</v>
      </c>
      <c r="CM127" s="3445">
        <v>-2.4691358024691357E-2</v>
      </c>
      <c r="CN127" s="3445">
        <v>3.5000000000000003E-2</v>
      </c>
      <c r="CO127" s="3445">
        <v>-8.9999999999999993E-3</v>
      </c>
      <c r="CP127" s="3445">
        <v>-4.0000000000000001E-3</v>
      </c>
      <c r="CQ127" s="3445">
        <v>7.8E-2</v>
      </c>
      <c r="CR127" s="3445">
        <v>-2.5999999999999999E-2</v>
      </c>
      <c r="CS127" s="3445">
        <v>2.4E-2</v>
      </c>
      <c r="CT127" s="3445">
        <v>3.4000000000000002E-2</v>
      </c>
      <c r="CU127" s="3445">
        <v>0</v>
      </c>
      <c r="CV127" s="3445">
        <v>0</v>
      </c>
      <c r="CW127" s="3442"/>
      <c r="CX127" s="3442"/>
      <c r="CY127" s="3442"/>
      <c r="CZ127" s="3442"/>
    </row>
    <row r="128" spans="2:104">
      <c r="B128" s="3446" t="s">
        <v>279</v>
      </c>
      <c r="C128" s="3431"/>
      <c r="D128" s="3431"/>
      <c r="E128" s="3431"/>
      <c r="F128" s="3431"/>
      <c r="G128" s="3431"/>
      <c r="H128" s="3431"/>
      <c r="I128" s="3431"/>
      <c r="J128" s="3431"/>
      <c r="K128" s="3431"/>
      <c r="L128" s="3407"/>
      <c r="M128" s="3407"/>
      <c r="N128" s="3407"/>
      <c r="O128" s="3407"/>
      <c r="P128" s="3407"/>
      <c r="Q128" s="3407"/>
      <c r="R128" s="3407"/>
      <c r="S128" s="3407"/>
      <c r="T128" s="3407"/>
      <c r="U128" s="3407"/>
      <c r="V128" s="3407"/>
      <c r="W128" s="3407"/>
      <c r="X128" s="3407"/>
      <c r="Y128" s="3407"/>
      <c r="Z128" s="3407"/>
      <c r="AA128" s="3407"/>
      <c r="AB128" s="3407"/>
      <c r="AC128" s="3407"/>
      <c r="AD128" s="3407"/>
      <c r="AE128" s="3407"/>
      <c r="AF128" s="3407"/>
      <c r="AG128" s="3431"/>
      <c r="AH128" s="3431"/>
      <c r="AI128" s="3431"/>
      <c r="AJ128" s="3431"/>
      <c r="AK128" s="3431"/>
      <c r="AL128" s="3431"/>
      <c r="AM128" s="3431"/>
      <c r="AN128" s="3431"/>
      <c r="AO128" s="3432"/>
      <c r="AP128" s="3432"/>
      <c r="AQ128" s="3432"/>
      <c r="AR128" s="3432"/>
      <c r="AS128" s="3432"/>
      <c r="AT128" s="3432"/>
      <c r="AU128" s="3432"/>
      <c r="AV128" s="3432"/>
      <c r="AW128" s="3432"/>
      <c r="AX128" s="3432"/>
      <c r="AY128" s="3432"/>
      <c r="AZ128" s="3432"/>
      <c r="BA128" s="3432"/>
      <c r="BB128" s="3432"/>
      <c r="BC128" s="3432"/>
      <c r="BD128" s="3432"/>
      <c r="BE128" s="3432"/>
      <c r="BF128" s="3432"/>
      <c r="BG128" s="3432"/>
      <c r="BH128" s="3432"/>
      <c r="BI128" s="3432"/>
      <c r="BJ128" s="3432"/>
      <c r="BK128" s="3432"/>
      <c r="BL128" s="3432"/>
      <c r="BM128" s="3432"/>
      <c r="BN128" s="3432"/>
      <c r="BO128" s="3432"/>
      <c r="BP128" s="3407"/>
      <c r="BQ128" s="3431"/>
      <c r="BR128" s="3431"/>
      <c r="BS128" s="3431"/>
      <c r="BT128" s="3431"/>
      <c r="BU128" s="3431"/>
      <c r="BV128" s="3431"/>
      <c r="BW128" s="3431"/>
      <c r="BX128" s="3431"/>
      <c r="BY128" s="3431"/>
      <c r="BZ128" s="3431"/>
      <c r="CA128" s="3431"/>
      <c r="CB128" s="3431"/>
      <c r="CC128" s="3431"/>
      <c r="CD128" s="3431"/>
      <c r="CE128" s="3448"/>
      <c r="CF128" s="3448">
        <v>6.2E-2</v>
      </c>
      <c r="CG128" s="3448">
        <v>1E-3</v>
      </c>
      <c r="CH128" s="3448">
        <v>2.5000000000000001E-2</v>
      </c>
      <c r="CI128" s="3448">
        <v>-2E-3</v>
      </c>
      <c r="CJ128" s="3448"/>
      <c r="CK128" s="3448"/>
      <c r="CL128" s="3448">
        <v>0</v>
      </c>
      <c r="CM128" s="3448">
        <v>-2.8571428571428571E-2</v>
      </c>
      <c r="CN128" s="3448">
        <v>3.9E-2</v>
      </c>
      <c r="CO128" s="3448">
        <v>-1.9E-2</v>
      </c>
      <c r="CP128" s="3448">
        <v>-9.0999999999999998E-2</v>
      </c>
      <c r="CQ128" s="3448">
        <v>2E-3</v>
      </c>
      <c r="CR128" s="3448">
        <v>-6.4000000000000001E-2</v>
      </c>
      <c r="CS128" s="3448">
        <v>2.7E-2</v>
      </c>
      <c r="CT128" s="3448">
        <v>1.7000000000000001E-2</v>
      </c>
      <c r="CU128" s="3448">
        <v>-2.8000000000000001E-2</v>
      </c>
      <c r="CV128" s="3448">
        <v>-2.8000000000000001E-2</v>
      </c>
      <c r="CW128" s="3431"/>
      <c r="CX128" s="3431"/>
      <c r="CY128" s="3431"/>
      <c r="CZ128" s="3431"/>
    </row>
    <row r="129" spans="1:104">
      <c r="B129" s="3446" t="s">
        <v>1676</v>
      </c>
      <c r="C129" s="3431"/>
      <c r="D129" s="3431"/>
      <c r="E129" s="3431"/>
      <c r="F129" s="3431"/>
      <c r="G129" s="3431"/>
      <c r="H129" s="3431"/>
      <c r="I129" s="3431"/>
      <c r="J129" s="3431"/>
      <c r="K129" s="3431"/>
      <c r="L129" s="3407"/>
      <c r="M129" s="3407"/>
      <c r="N129" s="3407"/>
      <c r="O129" s="3407"/>
      <c r="P129" s="3407"/>
      <c r="Q129" s="3407"/>
      <c r="R129" s="3407"/>
      <c r="S129" s="3407"/>
      <c r="T129" s="3407"/>
      <c r="U129" s="3407"/>
      <c r="V129" s="3407"/>
      <c r="W129" s="3407"/>
      <c r="X129" s="3407"/>
      <c r="Y129" s="3407"/>
      <c r="Z129" s="3407"/>
      <c r="AA129" s="3407"/>
      <c r="AB129" s="3407"/>
      <c r="AC129" s="3407"/>
      <c r="AD129" s="3407"/>
      <c r="AE129" s="3407"/>
      <c r="AF129" s="3407"/>
      <c r="AG129" s="3431"/>
      <c r="AH129" s="3431"/>
      <c r="AI129" s="3431"/>
      <c r="AJ129" s="3431"/>
      <c r="AK129" s="3431"/>
      <c r="AL129" s="3431"/>
      <c r="AM129" s="3431"/>
      <c r="AN129" s="3431"/>
      <c r="AO129" s="3432"/>
      <c r="AP129" s="3432"/>
      <c r="AQ129" s="3432"/>
      <c r="AR129" s="3432"/>
      <c r="AS129" s="3432"/>
      <c r="AT129" s="3432"/>
      <c r="AU129" s="3432"/>
      <c r="AV129" s="3432"/>
      <c r="AW129" s="3432"/>
      <c r="AX129" s="3432"/>
      <c r="AY129" s="3432"/>
      <c r="AZ129" s="3432"/>
      <c r="BA129" s="3432"/>
      <c r="BB129" s="3432"/>
      <c r="BC129" s="3432"/>
      <c r="BD129" s="3432"/>
      <c r="BE129" s="3432"/>
      <c r="BF129" s="3432"/>
      <c r="BG129" s="3432"/>
      <c r="BH129" s="3432"/>
      <c r="BI129" s="3432"/>
      <c r="BJ129" s="3432"/>
      <c r="BK129" s="3432"/>
      <c r="BL129" s="3432"/>
      <c r="BM129" s="3432"/>
      <c r="BN129" s="3432"/>
      <c r="BO129" s="3432"/>
      <c r="BP129" s="3407"/>
      <c r="BQ129" s="3431"/>
      <c r="BR129" s="3431"/>
      <c r="BS129" s="3431"/>
      <c r="BT129" s="3431"/>
      <c r="BU129" s="3431"/>
      <c r="BV129" s="3431"/>
      <c r="BW129" s="3431"/>
      <c r="BX129" s="3431"/>
      <c r="BY129" s="3431"/>
      <c r="BZ129" s="3431"/>
      <c r="CA129" s="3431"/>
      <c r="CB129" s="3431"/>
      <c r="CC129" s="3431"/>
      <c r="CD129" s="3431"/>
      <c r="CE129" s="3448">
        <v>4.1000000000000002E-2</v>
      </c>
      <c r="CF129" s="3448">
        <v>4.2999999999999997E-2</v>
      </c>
      <c r="CG129" s="3448">
        <v>-1.0999999999999999E-2</v>
      </c>
      <c r="CH129" s="3448">
        <v>3.5999999999999997E-2</v>
      </c>
      <c r="CI129" s="3448">
        <v>1.2E-2</v>
      </c>
      <c r="CJ129" s="3448"/>
      <c r="CK129" s="3448"/>
      <c r="CL129" s="3448">
        <v>7.0000000000000001E-3</v>
      </c>
      <c r="CM129" s="3448">
        <v>-2.3622047244094488E-2</v>
      </c>
      <c r="CN129" s="3448">
        <v>3.3000000000000002E-2</v>
      </c>
      <c r="CO129" s="3448">
        <v>-6.0000000000000001E-3</v>
      </c>
      <c r="CP129" s="3448">
        <v>2.5000000000000001E-2</v>
      </c>
      <c r="CQ129" s="3448">
        <v>0.1</v>
      </c>
      <c r="CR129" s="3448">
        <v>-1.4999999999999999E-2</v>
      </c>
      <c r="CS129" s="3448">
        <v>2.3E-2</v>
      </c>
      <c r="CT129" s="3448">
        <v>3.7999999999999999E-2</v>
      </c>
      <c r="CU129" s="3448">
        <v>7.0000000000000001E-3</v>
      </c>
      <c r="CV129" s="3448">
        <v>7.0000000000000001E-3</v>
      </c>
      <c r="CW129" s="3431"/>
      <c r="CX129" s="3431"/>
      <c r="CY129" s="3431"/>
      <c r="CZ129" s="3431"/>
    </row>
    <row r="130" spans="1:104">
      <c r="B130" s="3441" t="s">
        <v>1894</v>
      </c>
      <c r="C130" s="3442"/>
      <c r="D130" s="3442"/>
      <c r="E130" s="3442"/>
      <c r="F130" s="3442"/>
      <c r="G130" s="3442"/>
      <c r="H130" s="3442"/>
      <c r="I130" s="3442"/>
      <c r="J130" s="3442"/>
      <c r="K130" s="3442"/>
      <c r="L130" s="3443"/>
      <c r="M130" s="3443"/>
      <c r="N130" s="3443"/>
      <c r="O130" s="3443"/>
      <c r="P130" s="3442"/>
      <c r="Q130" s="3442"/>
      <c r="R130" s="3442"/>
      <c r="S130" s="3442"/>
      <c r="T130" s="3442"/>
      <c r="U130" s="3442"/>
      <c r="V130" s="3442"/>
      <c r="W130" s="3442"/>
      <c r="X130" s="3442"/>
      <c r="Y130" s="3442"/>
      <c r="Z130" s="3442"/>
      <c r="AA130" s="3442"/>
      <c r="AB130" s="3442"/>
      <c r="AC130" s="3442"/>
      <c r="AD130" s="3442"/>
      <c r="AE130" s="3442"/>
      <c r="AF130" s="3443"/>
      <c r="AG130" s="3442"/>
      <c r="AH130" s="3442"/>
      <c r="AI130" s="3442"/>
      <c r="AJ130" s="3442"/>
      <c r="AK130" s="3442"/>
      <c r="AL130" s="3442"/>
      <c r="AM130" s="3442"/>
      <c r="AN130" s="3442"/>
      <c r="AO130" s="3444"/>
      <c r="AP130" s="3444"/>
      <c r="AQ130" s="3444"/>
      <c r="AR130" s="3444"/>
      <c r="AS130" s="3444"/>
      <c r="AT130" s="3444"/>
      <c r="AU130" s="3444"/>
      <c r="AV130" s="3444"/>
      <c r="AW130" s="3444"/>
      <c r="AX130" s="3444"/>
      <c r="AY130" s="3444"/>
      <c r="AZ130" s="3444"/>
      <c r="BA130" s="3444"/>
      <c r="BB130" s="3444"/>
      <c r="BC130" s="3444"/>
      <c r="BD130" s="3444"/>
      <c r="BE130" s="3444"/>
      <c r="BF130" s="3444"/>
      <c r="BG130" s="3444"/>
      <c r="BH130" s="3444"/>
      <c r="BI130" s="3444"/>
      <c r="BJ130" s="3444"/>
      <c r="BK130" s="3444"/>
      <c r="BL130" s="3444"/>
      <c r="BM130" s="3444"/>
      <c r="BN130" s="3444"/>
      <c r="BO130" s="3444"/>
      <c r="BP130" s="3443"/>
      <c r="BQ130" s="3442"/>
      <c r="BR130" s="3442"/>
      <c r="BS130" s="3442"/>
      <c r="BT130" s="3442"/>
      <c r="BU130" s="3442"/>
      <c r="BV130" s="3442"/>
      <c r="BW130" s="3442"/>
      <c r="BX130" s="3442"/>
      <c r="BY130" s="3442"/>
      <c r="BZ130" s="3442"/>
      <c r="CA130" s="3442"/>
      <c r="CB130" s="3442"/>
      <c r="CC130" s="3442"/>
      <c r="CD130" s="3442"/>
      <c r="CE130" s="3445">
        <v>1E-3</v>
      </c>
      <c r="CF130" s="3445">
        <v>-2.4E-2</v>
      </c>
      <c r="CG130" s="3445">
        <v>-4.0000000000000001E-3</v>
      </c>
      <c r="CH130" s="3445">
        <v>8.0000000000000002E-3</v>
      </c>
      <c r="CI130" s="3445">
        <v>-3.3000000000000002E-2</v>
      </c>
      <c r="CJ130" s="3445"/>
      <c r="CK130" s="3445"/>
      <c r="CL130" s="3445">
        <v>-1.4E-2</v>
      </c>
      <c r="CM130" s="3445">
        <v>3.9215686274509803E-2</v>
      </c>
      <c r="CN130" s="3445">
        <v>1.9E-2</v>
      </c>
      <c r="CO130" s="3445">
        <v>-7.8E-2</v>
      </c>
      <c r="CP130" s="3445">
        <v>-7.0000000000000001E-3</v>
      </c>
      <c r="CQ130" s="3445">
        <v>-1.0999999999999999E-2</v>
      </c>
      <c r="CR130" s="3445">
        <v>2.1999999999999999E-2</v>
      </c>
      <c r="CS130" s="3445">
        <v>-1.7999999999999999E-2</v>
      </c>
      <c r="CT130" s="3445">
        <v>-1.7000000000000001E-2</v>
      </c>
      <c r="CU130" s="3445">
        <v>4.4999999999999998E-2</v>
      </c>
      <c r="CV130" s="3445">
        <v>4.4999999999999998E-2</v>
      </c>
      <c r="CW130" s="3442"/>
      <c r="CX130" s="3442"/>
      <c r="CY130" s="3442"/>
      <c r="CZ130" s="3442"/>
    </row>
    <row r="131" spans="1:104">
      <c r="B131" s="3446" t="s">
        <v>279</v>
      </c>
      <c r="C131" s="3431"/>
      <c r="D131" s="3431"/>
      <c r="E131" s="3431"/>
      <c r="F131" s="3431"/>
      <c r="G131" s="3431"/>
      <c r="H131" s="3431"/>
      <c r="I131" s="3431"/>
      <c r="J131" s="3431"/>
      <c r="K131" s="3431"/>
      <c r="L131" s="3407"/>
      <c r="M131" s="3407"/>
      <c r="N131" s="3407"/>
      <c r="O131" s="3407"/>
      <c r="P131" s="3407"/>
      <c r="Q131" s="3407"/>
      <c r="R131" s="3407"/>
      <c r="S131" s="3407"/>
      <c r="T131" s="3407"/>
      <c r="U131" s="3407"/>
      <c r="V131" s="3407"/>
      <c r="W131" s="3407"/>
      <c r="X131" s="3407"/>
      <c r="Y131" s="3407"/>
      <c r="Z131" s="3407"/>
      <c r="AA131" s="3407"/>
      <c r="AB131" s="3407"/>
      <c r="AC131" s="3407"/>
      <c r="AD131" s="3407"/>
      <c r="AE131" s="3407"/>
      <c r="AF131" s="3407"/>
      <c r="AG131" s="3431"/>
      <c r="AH131" s="3431"/>
      <c r="AI131" s="3431"/>
      <c r="AJ131" s="3431"/>
      <c r="AK131" s="3431"/>
      <c r="AL131" s="3431"/>
      <c r="AM131" s="3431"/>
      <c r="AN131" s="3431"/>
      <c r="AO131" s="3432"/>
      <c r="AP131" s="3432"/>
      <c r="AQ131" s="3432"/>
      <c r="AR131" s="3432"/>
      <c r="AS131" s="3432"/>
      <c r="AT131" s="3432"/>
      <c r="AU131" s="3432"/>
      <c r="AV131" s="3432"/>
      <c r="AW131" s="3432"/>
      <c r="AX131" s="3432"/>
      <c r="AY131" s="3432"/>
      <c r="AZ131" s="3432"/>
      <c r="BA131" s="3432"/>
      <c r="BB131" s="3432"/>
      <c r="BC131" s="3432"/>
      <c r="BD131" s="3432"/>
      <c r="BE131" s="3432"/>
      <c r="BF131" s="3432"/>
      <c r="BG131" s="3432"/>
      <c r="BH131" s="3432"/>
      <c r="BI131" s="3432"/>
      <c r="BJ131" s="3432"/>
      <c r="BK131" s="3432"/>
      <c r="BL131" s="3432"/>
      <c r="BM131" s="3432"/>
      <c r="BN131" s="3432"/>
      <c r="BO131" s="3432"/>
      <c r="BP131" s="3407"/>
      <c r="BQ131" s="3431"/>
      <c r="BR131" s="3431"/>
      <c r="BS131" s="3431"/>
      <c r="BT131" s="3431"/>
      <c r="BU131" s="3431"/>
      <c r="BV131" s="3431"/>
      <c r="BW131" s="3431"/>
      <c r="BX131" s="3431"/>
      <c r="BY131" s="3431"/>
      <c r="BZ131" s="3431"/>
      <c r="CA131" s="3431"/>
      <c r="CB131" s="3431"/>
      <c r="CC131" s="3431"/>
      <c r="CD131" s="3431"/>
      <c r="CE131" s="3448"/>
      <c r="CF131" s="3448">
        <v>-8.0000000000000002E-3</v>
      </c>
      <c r="CG131" s="3448">
        <v>-3.7999999999999999E-2</v>
      </c>
      <c r="CH131" s="3448">
        <v>-1.9E-2</v>
      </c>
      <c r="CI131" s="3448">
        <v>-4.7E-2</v>
      </c>
      <c r="CJ131" s="3448"/>
      <c r="CK131" s="3448"/>
      <c r="CL131" s="3448">
        <v>-1.4E-2</v>
      </c>
      <c r="CM131" s="3448">
        <v>1.4705882352941176E-2</v>
      </c>
      <c r="CN131" s="3448">
        <v>3.2000000000000001E-2</v>
      </c>
      <c r="CO131" s="3448">
        <v>-0.04</v>
      </c>
      <c r="CP131" s="3448">
        <v>-3.7999999999999999E-2</v>
      </c>
      <c r="CQ131" s="3448">
        <v>-1.2999999999999999E-2</v>
      </c>
      <c r="CR131" s="3448">
        <v>-8.9999999999999993E-3</v>
      </c>
      <c r="CS131" s="3448">
        <v>1E-3</v>
      </c>
      <c r="CT131" s="3448">
        <v>-0.02</v>
      </c>
      <c r="CU131" s="3448">
        <v>3.5999999999999997E-2</v>
      </c>
      <c r="CV131" s="3448">
        <v>3.5999999999999997E-2</v>
      </c>
      <c r="CW131" s="3431"/>
      <c r="CX131" s="3431"/>
      <c r="CY131" s="3431"/>
      <c r="CZ131" s="3431"/>
    </row>
    <row r="132" spans="1:104">
      <c r="B132" s="3446" t="s">
        <v>1676</v>
      </c>
      <c r="C132" s="3431"/>
      <c r="D132" s="3431"/>
      <c r="E132" s="3431"/>
      <c r="F132" s="3431"/>
      <c r="G132" s="3431"/>
      <c r="H132" s="3431"/>
      <c r="I132" s="3431"/>
      <c r="J132" s="3431"/>
      <c r="K132" s="3431"/>
      <c r="L132" s="3407"/>
      <c r="M132" s="3407"/>
      <c r="N132" s="3407"/>
      <c r="O132" s="3407"/>
      <c r="P132" s="3407"/>
      <c r="Q132" s="3407"/>
      <c r="R132" s="3407"/>
      <c r="S132" s="3407"/>
      <c r="T132" s="3407"/>
      <c r="U132" s="3407"/>
      <c r="V132" s="3407"/>
      <c r="W132" s="3407"/>
      <c r="X132" s="3407"/>
      <c r="Y132" s="3407"/>
      <c r="Z132" s="3407"/>
      <c r="AA132" s="3407"/>
      <c r="AB132" s="3407"/>
      <c r="AC132" s="3407"/>
      <c r="AD132" s="3407"/>
      <c r="AE132" s="3407"/>
      <c r="AF132" s="3407"/>
      <c r="AG132" s="3431"/>
      <c r="AH132" s="3431"/>
      <c r="AI132" s="3431"/>
      <c r="AJ132" s="3431"/>
      <c r="AK132" s="3431"/>
      <c r="AL132" s="3431"/>
      <c r="AM132" s="3431"/>
      <c r="AN132" s="3431"/>
      <c r="AO132" s="3432"/>
      <c r="AP132" s="3432"/>
      <c r="AQ132" s="3432"/>
      <c r="AR132" s="3432"/>
      <c r="AS132" s="3432"/>
      <c r="AT132" s="3432"/>
      <c r="AU132" s="3432"/>
      <c r="AV132" s="3432"/>
      <c r="AW132" s="3432"/>
      <c r="AX132" s="3432"/>
      <c r="AY132" s="3432"/>
      <c r="AZ132" s="3432"/>
      <c r="BA132" s="3432"/>
      <c r="BB132" s="3432"/>
      <c r="BC132" s="3432"/>
      <c r="BD132" s="3432"/>
      <c r="BE132" s="3432"/>
      <c r="BF132" s="3432"/>
      <c r="BG132" s="3432"/>
      <c r="BH132" s="3432"/>
      <c r="BI132" s="3432"/>
      <c r="BJ132" s="3432"/>
      <c r="BK132" s="3432"/>
      <c r="BL132" s="3432"/>
      <c r="BM132" s="3432"/>
      <c r="BN132" s="3432"/>
      <c r="BO132" s="3432"/>
      <c r="BP132" s="3407"/>
      <c r="BQ132" s="3431"/>
      <c r="BR132" s="3431"/>
      <c r="BS132" s="3431"/>
      <c r="BT132" s="3431"/>
      <c r="BU132" s="3431"/>
      <c r="BV132" s="3431"/>
      <c r="BW132" s="3431"/>
      <c r="BX132" s="3431"/>
      <c r="BY132" s="3431"/>
      <c r="BZ132" s="3431"/>
      <c r="CA132" s="3431"/>
      <c r="CB132" s="3431"/>
      <c r="CC132" s="3431"/>
      <c r="CD132" s="3431"/>
      <c r="CE132" s="3448">
        <v>3.1E-2</v>
      </c>
      <c r="CF132" s="3448">
        <v>-3.0000000000000001E-3</v>
      </c>
      <c r="CG132" s="3448">
        <v>1.7999999999999999E-2</v>
      </c>
      <c r="CH132" s="3448">
        <v>2.5000000000000001E-2</v>
      </c>
      <c r="CI132" s="3448">
        <v>-2.4E-2</v>
      </c>
      <c r="CJ132" s="3448"/>
      <c r="CK132" s="3448"/>
      <c r="CL132" s="3448">
        <v>0</v>
      </c>
      <c r="CM132" s="3448">
        <v>5.4054054054054057E-2</v>
      </c>
      <c r="CN132" s="3448">
        <v>2.1999999999999999E-2</v>
      </c>
      <c r="CO132" s="3448">
        <v>-6.7000000000000004E-2</v>
      </c>
      <c r="CP132" s="3448">
        <v>2.9000000000000001E-2</v>
      </c>
      <c r="CQ132" s="3448">
        <v>-2.1000000000000001E-2</v>
      </c>
      <c r="CR132" s="3448">
        <v>4.2000000000000003E-2</v>
      </c>
      <c r="CS132" s="3448">
        <v>-1.2999999999999999E-2</v>
      </c>
      <c r="CT132" s="3448">
        <v>-1.2999999999999999E-2</v>
      </c>
      <c r="CU132" s="3448">
        <v>5.6000000000000001E-2</v>
      </c>
      <c r="CV132" s="3448">
        <v>5.6000000000000001E-2</v>
      </c>
      <c r="CW132" s="3431"/>
      <c r="CX132" s="3431"/>
      <c r="CY132" s="3431"/>
      <c r="CZ132" s="3431"/>
    </row>
    <row r="133" spans="1:104">
      <c r="B133" s="3446" t="s">
        <v>1922</v>
      </c>
      <c r="C133" s="3431"/>
      <c r="D133" s="3431"/>
      <c r="E133" s="3431"/>
      <c r="F133" s="3431"/>
      <c r="G133" s="3431"/>
      <c r="H133" s="3431"/>
      <c r="I133" s="3431"/>
      <c r="J133" s="3431"/>
      <c r="K133" s="3431"/>
      <c r="L133" s="3407"/>
      <c r="M133" s="3407"/>
      <c r="N133" s="3407"/>
      <c r="O133" s="3407"/>
      <c r="P133" s="3407"/>
      <c r="Q133" s="3407"/>
      <c r="R133" s="3407"/>
      <c r="S133" s="3407"/>
      <c r="T133" s="3407"/>
      <c r="U133" s="3407"/>
      <c r="V133" s="3407"/>
      <c r="W133" s="3407"/>
      <c r="X133" s="3407"/>
      <c r="Y133" s="3407"/>
      <c r="Z133" s="3407"/>
      <c r="AA133" s="3407"/>
      <c r="AB133" s="3407"/>
      <c r="AC133" s="3407"/>
      <c r="AD133" s="3407"/>
      <c r="AE133" s="3407"/>
      <c r="AF133" s="3407"/>
      <c r="AG133" s="3431"/>
      <c r="AH133" s="3431"/>
      <c r="AI133" s="3431"/>
      <c r="AJ133" s="3431"/>
      <c r="AK133" s="3431"/>
      <c r="AL133" s="3431"/>
      <c r="AM133" s="3431"/>
      <c r="AN133" s="3431"/>
      <c r="AO133" s="3432"/>
      <c r="AP133" s="3432"/>
      <c r="AQ133" s="3432"/>
      <c r="AR133" s="3432"/>
      <c r="AS133" s="3432"/>
      <c r="AT133" s="3432"/>
      <c r="AU133" s="3432"/>
      <c r="AV133" s="3432"/>
      <c r="AW133" s="3432"/>
      <c r="AX133" s="3432"/>
      <c r="AY133" s="3432"/>
      <c r="AZ133" s="3432"/>
      <c r="BA133" s="3432"/>
      <c r="BB133" s="3432"/>
      <c r="BC133" s="3432"/>
      <c r="BD133" s="3432"/>
      <c r="BE133" s="3432"/>
      <c r="BF133" s="3432"/>
      <c r="BG133" s="3432"/>
      <c r="BH133" s="3432"/>
      <c r="BI133" s="3432"/>
      <c r="BJ133" s="3432"/>
      <c r="BK133" s="3432"/>
      <c r="BL133" s="3432"/>
      <c r="BM133" s="3432"/>
      <c r="BN133" s="3432"/>
      <c r="BO133" s="3432"/>
      <c r="BP133" s="3407"/>
      <c r="BQ133" s="3431"/>
      <c r="BR133" s="3431"/>
      <c r="BS133" s="3431"/>
      <c r="BT133" s="3431"/>
      <c r="BU133" s="3431"/>
      <c r="BV133" s="3431"/>
      <c r="BW133" s="3431"/>
      <c r="BX133" s="3431"/>
      <c r="BY133" s="3431"/>
      <c r="BZ133" s="3431"/>
      <c r="CA133" s="3431"/>
      <c r="CB133" s="3431"/>
      <c r="CC133" s="3431"/>
      <c r="CD133" s="3431"/>
      <c r="CE133" s="3448"/>
      <c r="CF133" s="3448"/>
      <c r="CG133" s="3448"/>
      <c r="CH133" s="3448"/>
      <c r="CI133" s="3448"/>
      <c r="CJ133" s="3448"/>
      <c r="CK133" s="3448"/>
      <c r="CL133" s="3448">
        <v>-7.3999999999999996E-2</v>
      </c>
      <c r="CM133" s="3448">
        <v>0.04</v>
      </c>
      <c r="CN133" s="3448">
        <v>-2.4E-2</v>
      </c>
      <c r="CO133" s="3448">
        <v>-0.223</v>
      </c>
      <c r="CP133" s="3448">
        <v>-0.10100000000000001</v>
      </c>
      <c r="CQ133" s="3448">
        <v>5.8000000000000003E-2</v>
      </c>
      <c r="CR133" s="3448">
        <v>0.01</v>
      </c>
      <c r="CS133" s="3448">
        <v>-0.122</v>
      </c>
      <c r="CT133" s="3448">
        <v>-3.3000000000000002E-2</v>
      </c>
      <c r="CU133" s="3448">
        <v>0</v>
      </c>
      <c r="CV133" s="3448">
        <v>0</v>
      </c>
      <c r="CW133" s="3431"/>
      <c r="CX133" s="3431"/>
      <c r="CY133" s="3431"/>
      <c r="CZ133" s="3431"/>
    </row>
    <row r="134" spans="1:104">
      <c r="B134" s="3441" t="s">
        <v>1899</v>
      </c>
      <c r="C134" s="3442"/>
      <c r="D134" s="3442"/>
      <c r="E134" s="3442"/>
      <c r="F134" s="3442"/>
      <c r="G134" s="3442"/>
      <c r="H134" s="3442"/>
      <c r="I134" s="3442"/>
      <c r="J134" s="3442"/>
      <c r="K134" s="3442"/>
      <c r="L134" s="3443"/>
      <c r="M134" s="3443"/>
      <c r="N134" s="3443"/>
      <c r="O134" s="3443"/>
      <c r="P134" s="3442"/>
      <c r="Q134" s="3442"/>
      <c r="R134" s="3442"/>
      <c r="S134" s="3442"/>
      <c r="T134" s="3442"/>
      <c r="U134" s="3442"/>
      <c r="V134" s="3442"/>
      <c r="W134" s="3442"/>
      <c r="X134" s="3442"/>
      <c r="Y134" s="3442"/>
      <c r="Z134" s="3442"/>
      <c r="AA134" s="3442"/>
      <c r="AB134" s="3442"/>
      <c r="AC134" s="3442"/>
      <c r="AD134" s="3442"/>
      <c r="AE134" s="3442"/>
      <c r="AF134" s="3443"/>
      <c r="AG134" s="3442"/>
      <c r="AH134" s="3442"/>
      <c r="AI134" s="3442"/>
      <c r="AJ134" s="3442"/>
      <c r="AK134" s="3442"/>
      <c r="AL134" s="3442"/>
      <c r="AM134" s="3442"/>
      <c r="AN134" s="3442"/>
      <c r="AO134" s="3444"/>
      <c r="AP134" s="3444"/>
      <c r="AQ134" s="3444"/>
      <c r="AR134" s="3444"/>
      <c r="AS134" s="3444"/>
      <c r="AT134" s="3444"/>
      <c r="AU134" s="3444"/>
      <c r="AV134" s="3444"/>
      <c r="AW134" s="3444"/>
      <c r="AX134" s="3444"/>
      <c r="AY134" s="3444"/>
      <c r="AZ134" s="3444"/>
      <c r="BA134" s="3444"/>
      <c r="BB134" s="3444"/>
      <c r="BC134" s="3444"/>
      <c r="BD134" s="3444"/>
      <c r="BE134" s="3444"/>
      <c r="BF134" s="3444"/>
      <c r="BG134" s="3444"/>
      <c r="BH134" s="3444"/>
      <c r="BI134" s="3444"/>
      <c r="BJ134" s="3444"/>
      <c r="BK134" s="3444"/>
      <c r="BL134" s="3444"/>
      <c r="BM134" s="3444"/>
      <c r="BN134" s="3444"/>
      <c r="BO134" s="3444"/>
      <c r="BP134" s="3443"/>
      <c r="BQ134" s="3442"/>
      <c r="BR134" s="3442"/>
      <c r="BS134" s="3442"/>
      <c r="BT134" s="3442"/>
      <c r="BU134" s="3442"/>
      <c r="BV134" s="3442"/>
      <c r="BW134" s="3442"/>
      <c r="BX134" s="3442"/>
      <c r="BY134" s="3442"/>
      <c r="BZ134" s="3442"/>
      <c r="CA134" s="3442"/>
      <c r="CB134" s="3442"/>
      <c r="CC134" s="3442"/>
      <c r="CD134" s="3442"/>
      <c r="CE134" s="3445"/>
      <c r="CF134" s="3445"/>
      <c r="CG134" s="3445"/>
      <c r="CH134" s="3445"/>
      <c r="CI134" s="3445"/>
      <c r="CJ134" s="3445"/>
      <c r="CK134" s="3445"/>
      <c r="CL134" s="3445">
        <v>7.0000000000000001E-3</v>
      </c>
      <c r="CM134" s="3445">
        <v>2.0865936358894104E-3</v>
      </c>
      <c r="CN134" s="3445">
        <v>1.6E-2</v>
      </c>
      <c r="CO134" s="3445">
        <v>6.0000000000000001E-3</v>
      </c>
      <c r="CP134" s="3445">
        <v>1E-3</v>
      </c>
      <c r="CQ134" s="3445">
        <v>-1.0999999999999999E-2</v>
      </c>
      <c r="CR134" s="3445">
        <v>6.0000000000000001E-3</v>
      </c>
      <c r="CS134" s="3445">
        <v>5.0000000000000001E-3</v>
      </c>
      <c r="CT134" s="3445">
        <v>8.0000000000000002E-3</v>
      </c>
      <c r="CU134" s="3445">
        <v>-1E-3</v>
      </c>
      <c r="CV134" s="3445">
        <v>-1E-3</v>
      </c>
      <c r="CW134" s="3442"/>
      <c r="CX134" s="3442"/>
      <c r="CY134" s="3442"/>
      <c r="CZ134" s="3442"/>
    </row>
    <row r="135" spans="1:104">
      <c r="B135" s="3446" t="s">
        <v>279</v>
      </c>
      <c r="C135" s="3431"/>
      <c r="D135" s="3431"/>
      <c r="E135" s="3431"/>
      <c r="F135" s="3431"/>
      <c r="G135" s="3431"/>
      <c r="H135" s="3431"/>
      <c r="I135" s="3431"/>
      <c r="J135" s="3431"/>
      <c r="K135" s="3431"/>
      <c r="L135" s="3407"/>
      <c r="M135" s="3407"/>
      <c r="N135" s="3407"/>
      <c r="O135" s="3407"/>
      <c r="P135" s="3407"/>
      <c r="Q135" s="3407"/>
      <c r="R135" s="3407"/>
      <c r="S135" s="3407"/>
      <c r="T135" s="3407"/>
      <c r="U135" s="3407"/>
      <c r="V135" s="3407"/>
      <c r="W135" s="3407"/>
      <c r="X135" s="3407"/>
      <c r="Y135" s="3407"/>
      <c r="Z135" s="3407"/>
      <c r="AA135" s="3407"/>
      <c r="AB135" s="3407"/>
      <c r="AC135" s="3407"/>
      <c r="AD135" s="3407"/>
      <c r="AE135" s="3407"/>
      <c r="AF135" s="3407"/>
      <c r="AG135" s="3431"/>
      <c r="AH135" s="3431"/>
      <c r="AI135" s="3431"/>
      <c r="AJ135" s="3431"/>
      <c r="AK135" s="3431"/>
      <c r="AL135" s="3431"/>
      <c r="AM135" s="3431"/>
      <c r="AN135" s="3431"/>
      <c r="AO135" s="3432"/>
      <c r="AP135" s="3432"/>
      <c r="AQ135" s="3432"/>
      <c r="AR135" s="3432"/>
      <c r="AS135" s="3432"/>
      <c r="AT135" s="3432"/>
      <c r="AU135" s="3432"/>
      <c r="AV135" s="3432"/>
      <c r="AW135" s="3432"/>
      <c r="AX135" s="3432"/>
      <c r="AY135" s="3432"/>
      <c r="AZ135" s="3432"/>
      <c r="BA135" s="3432"/>
      <c r="BB135" s="3432"/>
      <c r="BC135" s="3432"/>
      <c r="BD135" s="3432"/>
      <c r="BE135" s="3432"/>
      <c r="BF135" s="3432"/>
      <c r="BG135" s="3432"/>
      <c r="BH135" s="3432"/>
      <c r="BI135" s="3432"/>
      <c r="BJ135" s="3432"/>
      <c r="BK135" s="3432"/>
      <c r="BL135" s="3432"/>
      <c r="BM135" s="3432"/>
      <c r="BN135" s="3432"/>
      <c r="BO135" s="3432"/>
      <c r="BP135" s="3407"/>
      <c r="BQ135" s="3431"/>
      <c r="BR135" s="3431"/>
      <c r="BS135" s="3431"/>
      <c r="BT135" s="3431"/>
      <c r="BU135" s="3431"/>
      <c r="BV135" s="3431"/>
      <c r="BW135" s="3431"/>
      <c r="BX135" s="3431"/>
      <c r="BY135" s="3431"/>
      <c r="BZ135" s="3431"/>
      <c r="CA135" s="3431"/>
      <c r="CB135" s="3431"/>
      <c r="CC135" s="3431"/>
      <c r="CD135" s="3431"/>
      <c r="CE135" s="3448"/>
      <c r="CF135" s="3448"/>
      <c r="CG135" s="3448"/>
      <c r="CH135" s="3448"/>
      <c r="CI135" s="3448"/>
      <c r="CJ135" s="3448"/>
      <c r="CK135" s="3448"/>
      <c r="CL135" s="3448">
        <v>0.02</v>
      </c>
      <c r="CM135" s="3448">
        <v>-5.2441229656419529E-2</v>
      </c>
      <c r="CN135" s="3448">
        <v>1.4E-2</v>
      </c>
      <c r="CO135" s="3448">
        <v>1E-3</v>
      </c>
      <c r="CP135" s="3448">
        <v>5.0000000000000001E-3</v>
      </c>
      <c r="CQ135" s="3448">
        <v>3.9E-2</v>
      </c>
      <c r="CR135" s="3448">
        <v>-1.7999999999999999E-2</v>
      </c>
      <c r="CS135" s="3448">
        <v>-2E-3</v>
      </c>
      <c r="CT135" s="3448">
        <v>2.1000000000000001E-2</v>
      </c>
      <c r="CU135" s="3448">
        <v>-0.02</v>
      </c>
      <c r="CV135" s="3448">
        <v>-0.02</v>
      </c>
      <c r="CW135" s="3431"/>
      <c r="CX135" s="3431"/>
      <c r="CY135" s="3431"/>
      <c r="CZ135" s="3431"/>
    </row>
    <row r="136" spans="1:104">
      <c r="B136" s="3446" t="s">
        <v>1676</v>
      </c>
      <c r="C136" s="3431"/>
      <c r="D136" s="3431"/>
      <c r="E136" s="3431"/>
      <c r="F136" s="3431"/>
      <c r="G136" s="3431"/>
      <c r="H136" s="3431"/>
      <c r="I136" s="3431"/>
      <c r="J136" s="3431"/>
      <c r="K136" s="3431"/>
      <c r="L136" s="3407"/>
      <c r="M136" s="3407"/>
      <c r="N136" s="3407"/>
      <c r="O136" s="3407"/>
      <c r="P136" s="3407"/>
      <c r="Q136" s="3407"/>
      <c r="R136" s="3407"/>
      <c r="S136" s="3407"/>
      <c r="T136" s="3407"/>
      <c r="U136" s="3407"/>
      <c r="V136" s="3407"/>
      <c r="W136" s="3407"/>
      <c r="X136" s="3407"/>
      <c r="Y136" s="3407"/>
      <c r="Z136" s="3407"/>
      <c r="AA136" s="3407"/>
      <c r="AB136" s="3407"/>
      <c r="AC136" s="3407"/>
      <c r="AD136" s="3407"/>
      <c r="AE136" s="3407"/>
      <c r="AF136" s="3407"/>
      <c r="AG136" s="3431"/>
      <c r="AH136" s="3431"/>
      <c r="AI136" s="3431"/>
      <c r="AJ136" s="3431"/>
      <c r="AK136" s="3431"/>
      <c r="AL136" s="3431"/>
      <c r="AM136" s="3431"/>
      <c r="AN136" s="3431"/>
      <c r="AO136" s="3432"/>
      <c r="AP136" s="3432"/>
      <c r="AQ136" s="3432"/>
      <c r="AR136" s="3432"/>
      <c r="AS136" s="3432"/>
      <c r="AT136" s="3432"/>
      <c r="AU136" s="3432"/>
      <c r="AV136" s="3432"/>
      <c r="AW136" s="3432"/>
      <c r="AX136" s="3432"/>
      <c r="AY136" s="3432"/>
      <c r="AZ136" s="3432"/>
      <c r="BA136" s="3432"/>
      <c r="BB136" s="3432"/>
      <c r="BC136" s="3432"/>
      <c r="BD136" s="3432"/>
      <c r="BE136" s="3432"/>
      <c r="BF136" s="3432"/>
      <c r="BG136" s="3432"/>
      <c r="BH136" s="3432"/>
      <c r="BI136" s="3432"/>
      <c r="BJ136" s="3432"/>
      <c r="BK136" s="3432"/>
      <c r="BL136" s="3432"/>
      <c r="BM136" s="3432"/>
      <c r="BN136" s="3432"/>
      <c r="BO136" s="3432"/>
      <c r="BP136" s="3407"/>
      <c r="BQ136" s="3431"/>
      <c r="BR136" s="3431"/>
      <c r="BS136" s="3431"/>
      <c r="BT136" s="3431"/>
      <c r="BU136" s="3431"/>
      <c r="BV136" s="3431"/>
      <c r="BW136" s="3431"/>
      <c r="BX136" s="3431"/>
      <c r="BY136" s="3431"/>
      <c r="BZ136" s="3431"/>
      <c r="CA136" s="3431"/>
      <c r="CB136" s="3431"/>
      <c r="CC136" s="3431"/>
      <c r="CD136" s="3431"/>
      <c r="CE136" s="3448"/>
      <c r="CF136" s="3448"/>
      <c r="CG136" s="3448"/>
      <c r="CH136" s="3448"/>
      <c r="CI136" s="3448"/>
      <c r="CJ136" s="3448"/>
      <c r="CK136" s="3448"/>
      <c r="CL136" s="3448">
        <v>2E-3</v>
      </c>
      <c r="CM136" s="3448">
        <v>2.4193548387096774E-2</v>
      </c>
      <c r="CN136" s="3448">
        <v>1.7000000000000001E-2</v>
      </c>
      <c r="CO136" s="3448">
        <v>7.0000000000000001E-3</v>
      </c>
      <c r="CP136" s="3448">
        <v>0</v>
      </c>
      <c r="CQ136" s="3448">
        <v>-8.9999999999999993E-3</v>
      </c>
      <c r="CR136" s="3448">
        <v>1.4999999999999999E-2</v>
      </c>
      <c r="CS136" s="3448">
        <v>8.0000000000000002E-3</v>
      </c>
      <c r="CT136" s="3448">
        <v>3.0000000000000001E-3</v>
      </c>
      <c r="CU136" s="3448">
        <v>5.0000000000000001E-3</v>
      </c>
      <c r="CV136" s="3448">
        <v>5.0000000000000001E-3</v>
      </c>
      <c r="CW136" s="3431"/>
      <c r="CX136" s="3431"/>
      <c r="CY136" s="3431"/>
      <c r="CZ136" s="3431"/>
    </row>
    <row r="137" spans="1:104">
      <c r="V137" s="3617"/>
      <c r="CU137" s="3617"/>
    </row>
    <row r="138" spans="1:104">
      <c r="B138" s="3441" t="s">
        <v>1924</v>
      </c>
      <c r="C138" s="3442"/>
      <c r="D138" s="3442"/>
      <c r="E138" s="3442"/>
      <c r="F138" s="3442"/>
      <c r="G138" s="3442"/>
      <c r="H138" s="3442"/>
      <c r="I138" s="3442"/>
      <c r="J138" s="3442"/>
      <c r="K138" s="3442"/>
      <c r="L138" s="3443"/>
      <c r="M138" s="3443"/>
      <c r="N138" s="3443"/>
      <c r="O138" s="3443"/>
      <c r="P138" s="3442"/>
      <c r="Q138" s="3442"/>
      <c r="R138" s="3445"/>
      <c r="S138" s="3442"/>
      <c r="T138" s="3442"/>
      <c r="U138" s="3442"/>
      <c r="V138" s="3442"/>
      <c r="W138" s="3442"/>
      <c r="X138" s="3442"/>
      <c r="Y138" s="3442"/>
      <c r="Z138" s="3442"/>
      <c r="AA138" s="3442"/>
      <c r="AB138" s="3442"/>
      <c r="AC138" s="3442"/>
      <c r="AD138" s="3442"/>
      <c r="AE138" s="3442"/>
      <c r="AF138" s="3443"/>
      <c r="AG138" s="3442"/>
      <c r="AH138" s="3442"/>
      <c r="AI138" s="3442"/>
      <c r="AJ138" s="3442"/>
      <c r="AK138" s="3442"/>
      <c r="AL138" s="3442"/>
      <c r="AM138" s="3442"/>
      <c r="AN138" s="3442"/>
      <c r="AO138" s="3444"/>
      <c r="AP138" s="3444"/>
      <c r="AQ138" s="3444"/>
      <c r="AR138" s="3444"/>
      <c r="AS138" s="3444"/>
      <c r="AT138" s="3444"/>
      <c r="AU138" s="3444"/>
      <c r="AV138" s="3444"/>
      <c r="AW138" s="3444"/>
      <c r="AX138" s="3444"/>
      <c r="AY138" s="3444"/>
      <c r="AZ138" s="3444"/>
      <c r="BA138" s="3444"/>
      <c r="BB138" s="3444"/>
      <c r="BC138" s="3444"/>
      <c r="BD138" s="3444"/>
      <c r="BE138" s="3444"/>
      <c r="BF138" s="3444"/>
      <c r="BG138" s="3444"/>
      <c r="BH138" s="3444"/>
      <c r="BI138" s="3444"/>
      <c r="BJ138" s="3444"/>
      <c r="BK138" s="3444"/>
      <c r="BL138" s="3444"/>
      <c r="BM138" s="3444"/>
      <c r="BN138" s="3444"/>
      <c r="BO138" s="3444"/>
      <c r="BP138" s="3443"/>
      <c r="BQ138" s="3442"/>
      <c r="BR138" s="3442"/>
      <c r="BS138" s="3442"/>
      <c r="BT138" s="3442"/>
      <c r="BU138" s="3442"/>
      <c r="BV138" s="3442"/>
      <c r="BW138" s="3442"/>
      <c r="BX138" s="3442"/>
      <c r="BY138" s="3442"/>
      <c r="BZ138" s="3442"/>
      <c r="CA138" s="3442"/>
      <c r="CB138" s="3442"/>
      <c r="CC138" s="3442"/>
      <c r="CD138" s="3442"/>
      <c r="CE138" s="3445"/>
      <c r="CF138" s="3445"/>
      <c r="CG138" s="3445"/>
      <c r="CH138" s="3445"/>
      <c r="CI138" s="3445"/>
      <c r="CJ138" s="3445"/>
      <c r="CK138" s="3445"/>
      <c r="CL138" s="3445"/>
      <c r="CM138" s="3445"/>
      <c r="CN138" s="3445"/>
      <c r="CO138" s="3445"/>
      <c r="CP138" s="3445"/>
      <c r="CQ138" s="3445"/>
      <c r="CR138" s="3445"/>
      <c r="CS138" s="3445"/>
      <c r="CT138" s="3445"/>
      <c r="CU138" s="3445"/>
      <c r="CV138" s="3445"/>
      <c r="CW138" s="3442"/>
      <c r="CX138" s="3442"/>
      <c r="CY138" s="3442"/>
      <c r="CZ138" s="3442"/>
    </row>
    <row r="139" spans="1:104">
      <c r="B139" s="3446" t="s">
        <v>1347</v>
      </c>
      <c r="C139" s="3431"/>
      <c r="D139" s="3431"/>
      <c r="E139" s="3431"/>
      <c r="F139" s="3431"/>
      <c r="G139" s="3431"/>
      <c r="H139" s="3431"/>
      <c r="I139" s="3431"/>
      <c r="J139" s="3431"/>
      <c r="K139" s="3431"/>
      <c r="L139" s="3407"/>
      <c r="M139" s="3407"/>
      <c r="N139" s="3407"/>
      <c r="O139" s="3407"/>
      <c r="P139" s="3407"/>
      <c r="Q139" s="3407"/>
      <c r="R139" s="3407"/>
      <c r="S139" s="3447">
        <f>+AVERAGE(CK139:CN139)</f>
        <v>-0.16370233486104688</v>
      </c>
      <c r="T139" s="3447">
        <f>+AVERAGE(CO139:CR139)</f>
        <v>-2.9431387506126394E-3</v>
      </c>
      <c r="U139" s="3447">
        <f t="shared" ref="U139:V141" si="125">+AVERAGE(CS139:CV139)</f>
        <v>-7.1204286814419759E-2</v>
      </c>
      <c r="V139" s="3447">
        <f t="shared" si="125"/>
        <v>-7.8034228709456671E-2</v>
      </c>
      <c r="W139" s="3426">
        <v>0</v>
      </c>
      <c r="X139" s="3426">
        <v>0</v>
      </c>
      <c r="Y139" s="3426">
        <v>0</v>
      </c>
      <c r="Z139" s="3426">
        <v>0</v>
      </c>
      <c r="AA139" s="3426">
        <v>0</v>
      </c>
      <c r="AB139" s="3426">
        <v>0</v>
      </c>
      <c r="AC139" s="3426">
        <v>0</v>
      </c>
      <c r="AD139" s="3426">
        <v>0</v>
      </c>
      <c r="AE139" s="3407"/>
      <c r="AF139" s="3407"/>
      <c r="AG139" s="3431"/>
      <c r="AH139" s="3431"/>
      <c r="AI139" s="3431"/>
      <c r="AJ139" s="3431"/>
      <c r="AK139" s="3431"/>
      <c r="AL139" s="3431"/>
      <c r="AM139" s="3431"/>
      <c r="AN139" s="3431"/>
      <c r="AO139" s="3432"/>
      <c r="AP139" s="3432"/>
      <c r="AQ139" s="3432"/>
      <c r="AR139" s="3432"/>
      <c r="AS139" s="3432"/>
      <c r="AT139" s="3432"/>
      <c r="AU139" s="3432"/>
      <c r="AV139" s="3432"/>
      <c r="AW139" s="3432"/>
      <c r="AX139" s="3432"/>
      <c r="AY139" s="3432"/>
      <c r="AZ139" s="3432"/>
      <c r="BA139" s="3432"/>
      <c r="BB139" s="3432"/>
      <c r="BC139" s="3432"/>
      <c r="BD139" s="3432"/>
      <c r="BE139" s="3432"/>
      <c r="BF139" s="3432"/>
      <c r="BG139" s="3432"/>
      <c r="BH139" s="3432"/>
      <c r="BI139" s="3432"/>
      <c r="BJ139" s="3432"/>
      <c r="BK139" s="3432"/>
      <c r="BL139" s="3432"/>
      <c r="BM139" s="3432"/>
      <c r="BN139" s="3432"/>
      <c r="BO139" s="3432"/>
      <c r="BP139" s="3407"/>
      <c r="BQ139" s="3431"/>
      <c r="BR139" s="3431"/>
      <c r="BS139" s="3431"/>
      <c r="BT139" s="3431"/>
      <c r="BU139" s="3431"/>
      <c r="BV139" s="3431"/>
      <c r="BW139" s="3431"/>
      <c r="BX139" s="3431"/>
      <c r="BY139" s="3431"/>
      <c r="BZ139" s="3431"/>
      <c r="CA139" s="3431"/>
      <c r="CB139" s="3431"/>
      <c r="CC139" s="3431"/>
      <c r="CD139" s="3431"/>
      <c r="CE139" s="3431"/>
      <c r="CF139" s="3431"/>
      <c r="CG139" s="3431"/>
      <c r="CH139" s="3431"/>
      <c r="CI139" s="3431"/>
      <c r="CJ139" s="3431"/>
      <c r="CK139" s="3452">
        <v>-0.17811864512456621</v>
      </c>
      <c r="CL139" s="3452">
        <v>-0.19319463817608262</v>
      </c>
      <c r="CM139" s="3452">
        <v>-0.16085133225443227</v>
      </c>
      <c r="CN139" s="3452">
        <v>-0.12264472388910641</v>
      </c>
      <c r="CO139" s="3452">
        <v>-2.0846491129130396E-2</v>
      </c>
      <c r="CP139" s="3452">
        <v>2.0598819017245695E-2</v>
      </c>
      <c r="CQ139" s="3452">
        <v>3.2404963293293232E-3</v>
      </c>
      <c r="CR139" s="3452">
        <v>-1.4765379219895181E-2</v>
      </c>
      <c r="CS139" s="3452">
        <v>-3.4033910599329031E-2</v>
      </c>
      <c r="CT139" s="3452">
        <v>-0.10560045339858182</v>
      </c>
      <c r="CU139" s="3452">
        <v>-0.11262492717250039</v>
      </c>
      <c r="CV139" s="3452">
        <v>-3.25578560872678E-2</v>
      </c>
      <c r="CW139" s="3452">
        <v>-6.1353678179476678E-2</v>
      </c>
      <c r="CX139" s="3452">
        <v>9.9009900990099098E-3</v>
      </c>
      <c r="CY139" s="3452">
        <v>5.0505050505050608E-2</v>
      </c>
      <c r="CZ139" s="3452">
        <v>8.2474226804123862E-2</v>
      </c>
    </row>
    <row r="140" spans="1:104">
      <c r="B140" s="3446" t="s">
        <v>1353</v>
      </c>
      <c r="S140" s="3447">
        <f>+AVERAGE(CK140:CN140)</f>
        <v>-7.2000176352548823E-2</v>
      </c>
      <c r="T140" s="3447">
        <f>+AVERAGE(CO140:CR140)</f>
        <v>-0.11281821777074999</v>
      </c>
      <c r="U140" s="3447">
        <f t="shared" si="125"/>
        <v>-6.5067013023252934E-2</v>
      </c>
      <c r="V140" s="3447">
        <f t="shared" si="125"/>
        <v>-2.2731931865439425E-2</v>
      </c>
      <c r="W140" s="3426">
        <v>0</v>
      </c>
      <c r="X140" s="3426">
        <v>0</v>
      </c>
      <c r="Y140" s="3426">
        <v>0</v>
      </c>
      <c r="Z140" s="3426">
        <v>0</v>
      </c>
      <c r="AA140" s="3426">
        <v>0</v>
      </c>
      <c r="AB140" s="3426">
        <v>0</v>
      </c>
      <c r="AC140" s="3426">
        <v>0</v>
      </c>
      <c r="AD140" s="3426">
        <v>0</v>
      </c>
      <c r="CK140" s="3452">
        <v>-8.494834080531577E-2</v>
      </c>
      <c r="CL140" s="3452">
        <v>-8.9280405553997966E-2</v>
      </c>
      <c r="CM140" s="3452">
        <v>-7.2172489472325685E-2</v>
      </c>
      <c r="CN140" s="3452">
        <v>-4.159946957855587E-2</v>
      </c>
      <c r="CO140" s="3452">
        <v>-5.4261492694270275E-2</v>
      </c>
      <c r="CP140" s="3452">
        <v>-6.4002045548673947E-2</v>
      </c>
      <c r="CQ140" s="3452">
        <v>-0.15256783050126788</v>
      </c>
      <c r="CR140" s="3452">
        <v>-0.18044150233878786</v>
      </c>
      <c r="CS140" s="3452">
        <v>-0.1355657795526265</v>
      </c>
      <c r="CT140" s="3452">
        <v>-0.12196910489092161</v>
      </c>
      <c r="CU140" s="3452">
        <v>-3.25578560872678E-2</v>
      </c>
      <c r="CV140" s="3452">
        <v>2.982468843780417E-2</v>
      </c>
      <c r="CW140" s="3452">
        <v>3.3774545078627538E-2</v>
      </c>
      <c r="CX140" s="3452">
        <v>3.1746031746031855E-2</v>
      </c>
      <c r="CY140" s="3452">
        <v>6.2992125984252079E-2</v>
      </c>
      <c r="CZ140" s="3452">
        <v>0.1328125</v>
      </c>
    </row>
    <row r="141" spans="1:104">
      <c r="B141" s="3446" t="s">
        <v>1321</v>
      </c>
      <c r="S141" s="3447">
        <f>+AVERAGE(CK141:CN141)</f>
        <v>-0.28420900577456099</v>
      </c>
      <c r="T141" s="3447">
        <f>+AVERAGE(CO141:CR141)</f>
        <v>-3.6282530265595581E-2</v>
      </c>
      <c r="U141" s="3447">
        <f t="shared" si="125"/>
        <v>0.11790852622073961</v>
      </c>
      <c r="V141" s="3447">
        <f t="shared" si="125"/>
        <v>4.6387431860726996E-2</v>
      </c>
      <c r="W141" s="3426">
        <v>0</v>
      </c>
      <c r="X141" s="3426">
        <v>0</v>
      </c>
      <c r="Y141" s="3426">
        <v>0</v>
      </c>
      <c r="Z141" s="3426">
        <v>0</v>
      </c>
      <c r="AA141" s="3426">
        <v>0</v>
      </c>
      <c r="AB141" s="3426">
        <v>0</v>
      </c>
      <c r="AC141" s="3426">
        <v>0</v>
      </c>
      <c r="AD141" s="3426">
        <v>0</v>
      </c>
      <c r="CK141" s="3452">
        <v>-0.17121550582714462</v>
      </c>
      <c r="CL141" s="3452">
        <v>-0.27461747926112212</v>
      </c>
      <c r="CM141" s="3452">
        <v>-0.35323908620939981</v>
      </c>
      <c r="CN141" s="3452">
        <v>-0.3377639518005775</v>
      </c>
      <c r="CO141" s="3452">
        <v>-0.26869786951788843</v>
      </c>
      <c r="CP141" s="3452">
        <v>-0.1242364096815477</v>
      </c>
      <c r="CQ141" s="3452">
        <v>8.2973505421141791E-2</v>
      </c>
      <c r="CR141" s="3452">
        <v>0.16483065271591202</v>
      </c>
      <c r="CS141" s="3452">
        <v>0.23919268762000012</v>
      </c>
      <c r="CT141" s="3452">
        <v>0.16976713445654368</v>
      </c>
      <c r="CU141" s="3452">
        <v>4.7506405763547921E-2</v>
      </c>
      <c r="CV141" s="3452">
        <v>1.5167877042866706E-2</v>
      </c>
      <c r="CW141" s="3452">
        <v>-4.689168982005032E-2</v>
      </c>
      <c r="CX141" s="3452">
        <v>-7.6923076923076872E-2</v>
      </c>
      <c r="CY141" s="3452">
        <v>-3.125E-2</v>
      </c>
      <c r="CZ141" s="3452">
        <v>0</v>
      </c>
    </row>
    <row r="142" spans="1:104" s="3617" customFormat="1">
      <c r="A142" s="3400"/>
      <c r="B142" s="3446"/>
      <c r="S142" s="3447"/>
      <c r="T142" s="3447"/>
      <c r="U142" s="3447"/>
      <c r="V142" s="3447"/>
      <c r="W142" s="3426"/>
      <c r="X142" s="3426"/>
      <c r="Y142" s="3426"/>
      <c r="Z142" s="3426"/>
      <c r="AA142" s="3426"/>
      <c r="AB142" s="3426"/>
      <c r="AC142" s="3426"/>
      <c r="AD142" s="3426"/>
      <c r="CK142" s="3452"/>
      <c r="CL142" s="3452"/>
      <c r="CM142" s="3452"/>
      <c r="CN142" s="3452"/>
      <c r="CO142" s="3452"/>
      <c r="CP142" s="3452"/>
      <c r="CQ142" s="3452"/>
      <c r="CR142" s="3452"/>
      <c r="CS142" s="3452"/>
      <c r="CT142" s="3452"/>
      <c r="CU142" s="3452"/>
      <c r="CV142" s="3452"/>
      <c r="CW142" s="3452"/>
      <c r="CX142" s="3452"/>
      <c r="CY142" s="3452"/>
      <c r="CZ142" s="3452"/>
    </row>
    <row r="143" spans="1:104" s="3617" customFormat="1">
      <c r="A143" s="3400"/>
      <c r="B143" s="3446"/>
      <c r="S143" s="3447"/>
      <c r="T143" s="3447"/>
      <c r="U143" s="3447"/>
      <c r="V143" s="3447"/>
      <c r="W143" s="3426"/>
      <c r="X143" s="3426"/>
      <c r="Y143" s="3426"/>
      <c r="Z143" s="3426"/>
      <c r="AA143" s="3426"/>
      <c r="AB143" s="3426"/>
      <c r="AC143" s="3426"/>
      <c r="AD143" s="3426"/>
      <c r="CK143" s="3452"/>
      <c r="CL143" s="3452"/>
      <c r="CM143" s="3452"/>
      <c r="CN143" s="3452"/>
      <c r="CO143" s="3452"/>
      <c r="CP143" s="3452"/>
      <c r="CQ143" s="3452"/>
      <c r="CR143" s="3452"/>
      <c r="CS143" s="3452"/>
      <c r="CT143" s="3452"/>
      <c r="CU143" s="3452"/>
      <c r="CV143" s="3452"/>
      <c r="CW143" s="3452"/>
      <c r="CX143" s="3452"/>
      <c r="CY143" s="3452"/>
      <c r="CZ143" s="3452"/>
    </row>
    <row r="144" spans="1:104" s="3617" customFormat="1">
      <c r="A144" s="3400"/>
      <c r="B144" s="3446"/>
      <c r="S144" s="3447"/>
      <c r="T144" s="3447"/>
      <c r="U144" s="3447"/>
      <c r="V144" s="3447"/>
      <c r="W144" s="3426"/>
      <c r="X144" s="3426"/>
      <c r="Y144" s="3426"/>
      <c r="Z144" s="3426"/>
      <c r="AA144" s="3426"/>
      <c r="AB144" s="3426"/>
      <c r="AC144" s="3426"/>
      <c r="AD144" s="3426"/>
      <c r="CK144" s="3452"/>
      <c r="CL144" s="3452"/>
      <c r="CM144" s="3452"/>
      <c r="CN144" s="3452"/>
      <c r="CO144" s="3452"/>
      <c r="CP144" s="3452"/>
      <c r="CQ144" s="3452"/>
      <c r="CR144" s="3452"/>
      <c r="CS144" s="3452"/>
      <c r="CT144" s="3452"/>
      <c r="CU144" s="3452"/>
      <c r="CV144" s="3452"/>
      <c r="CW144" s="3452"/>
      <c r="CX144" s="3452"/>
      <c r="CY144" s="3452"/>
      <c r="CZ144" s="3452"/>
    </row>
    <row r="145" spans="1:104" s="3617" customFormat="1">
      <c r="A145" s="3400"/>
      <c r="B145" s="3446"/>
      <c r="S145" s="3447"/>
      <c r="T145" s="3447"/>
      <c r="U145" s="3447"/>
      <c r="V145" s="3447"/>
      <c r="W145" s="3426"/>
      <c r="X145" s="3426"/>
      <c r="Y145" s="3426"/>
      <c r="Z145" s="3426"/>
      <c r="AA145" s="3426"/>
      <c r="AB145" s="3426"/>
      <c r="AC145" s="3426"/>
      <c r="AD145" s="3426"/>
      <c r="CK145" s="3452"/>
      <c r="CL145" s="3452"/>
      <c r="CM145" s="3452"/>
      <c r="CN145" s="3452"/>
      <c r="CO145" s="3452"/>
      <c r="CP145" s="3452"/>
      <c r="CQ145" s="3452"/>
      <c r="CR145" s="3452"/>
      <c r="CS145" s="3452"/>
      <c r="CT145" s="3452"/>
      <c r="CU145" s="3452"/>
      <c r="CV145" s="3452"/>
      <c r="CW145" s="3452"/>
      <c r="CX145" s="3452"/>
      <c r="CY145" s="3452"/>
      <c r="CZ145" s="3452"/>
    </row>
    <row r="146" spans="1:104">
      <c r="V146" s="3617"/>
    </row>
    <row r="147" spans="1:104">
      <c r="B147" s="3441" t="s">
        <v>1925</v>
      </c>
      <c r="C147" s="3442"/>
      <c r="D147" s="3442"/>
      <c r="E147" s="3442"/>
      <c r="F147" s="3442"/>
      <c r="G147" s="3442"/>
      <c r="H147" s="3442"/>
      <c r="I147" s="3442"/>
      <c r="J147" s="3442"/>
      <c r="K147" s="3442"/>
      <c r="L147" s="3443"/>
      <c r="M147" s="3443"/>
      <c r="N147" s="3443"/>
      <c r="O147" s="3443"/>
      <c r="P147" s="3442"/>
      <c r="Q147" s="3442"/>
      <c r="R147" s="3445"/>
      <c r="S147" s="3442"/>
      <c r="T147" s="3442"/>
      <c r="U147" s="3442"/>
      <c r="V147" s="3442"/>
      <c r="W147" s="3442"/>
      <c r="X147" s="3442"/>
      <c r="Y147" s="3442"/>
      <c r="Z147" s="3442"/>
      <c r="AA147" s="3442"/>
      <c r="AB147" s="3442"/>
      <c r="AC147" s="3442"/>
      <c r="AD147" s="3442"/>
      <c r="AE147" s="3442"/>
      <c r="AF147" s="3443"/>
      <c r="AG147" s="3442"/>
      <c r="AH147" s="3442"/>
      <c r="AI147" s="3442"/>
      <c r="AJ147" s="3442"/>
      <c r="AK147" s="3442"/>
      <c r="AL147" s="3442"/>
      <c r="AM147" s="3442"/>
      <c r="AN147" s="3442"/>
      <c r="AO147" s="3444"/>
      <c r="AP147" s="3444"/>
      <c r="AQ147" s="3444"/>
      <c r="AR147" s="3444"/>
      <c r="AS147" s="3444"/>
      <c r="AT147" s="3444"/>
      <c r="AU147" s="3444"/>
      <c r="AV147" s="3444"/>
      <c r="AW147" s="3444"/>
      <c r="AX147" s="3444"/>
      <c r="AY147" s="3444"/>
      <c r="AZ147" s="3444"/>
      <c r="BA147" s="3444"/>
      <c r="BB147" s="3444"/>
      <c r="BC147" s="3444"/>
      <c r="BD147" s="3444"/>
      <c r="BE147" s="3444"/>
      <c r="BF147" s="3444"/>
      <c r="BG147" s="3444"/>
      <c r="BH147" s="3444"/>
      <c r="BI147" s="3444"/>
      <c r="BJ147" s="3444"/>
      <c r="BK147" s="3444"/>
      <c r="BL147" s="3444"/>
      <c r="BM147" s="3444"/>
      <c r="BN147" s="3444"/>
      <c r="BO147" s="3444"/>
      <c r="BP147" s="3443"/>
      <c r="BQ147" s="3442"/>
      <c r="BR147" s="3442"/>
      <c r="BS147" s="3442"/>
      <c r="BT147" s="3442"/>
      <c r="BU147" s="3442"/>
      <c r="BV147" s="3442"/>
      <c r="BW147" s="3442"/>
      <c r="BX147" s="3442"/>
      <c r="BY147" s="3442"/>
      <c r="BZ147" s="3442"/>
      <c r="CA147" s="3442"/>
      <c r="CB147" s="3442"/>
      <c r="CC147" s="3442"/>
      <c r="CD147" s="3442"/>
      <c r="CE147" s="3445"/>
      <c r="CF147" s="3445"/>
      <c r="CG147" s="3445"/>
      <c r="CH147" s="3445"/>
      <c r="CI147" s="3445"/>
      <c r="CJ147" s="3445"/>
      <c r="CK147" s="3445"/>
      <c r="CL147" s="3445"/>
      <c r="CM147" s="3445"/>
      <c r="CN147" s="3445"/>
      <c r="CO147" s="3445"/>
      <c r="CP147" s="3445"/>
      <c r="CQ147" s="3445"/>
      <c r="CR147" s="3445"/>
      <c r="CS147" s="3445"/>
      <c r="CT147" s="3445"/>
      <c r="CU147" s="3442"/>
      <c r="CV147" s="3445"/>
      <c r="CW147" s="3442"/>
      <c r="CX147" s="3442"/>
      <c r="CY147" s="3442"/>
      <c r="CZ147" s="3442"/>
    </row>
    <row r="148" spans="1:104">
      <c r="B148" s="3446" t="s">
        <v>1926</v>
      </c>
      <c r="C148" s="3431"/>
      <c r="D148" s="3431"/>
      <c r="E148" s="3431"/>
      <c r="F148" s="3431"/>
      <c r="G148" s="3431"/>
      <c r="H148" s="3431"/>
      <c r="I148" s="3431"/>
      <c r="J148" s="3431"/>
      <c r="K148" s="3431"/>
      <c r="L148" s="3407"/>
      <c r="M148" s="3407"/>
      <c r="N148" s="3407"/>
      <c r="O148" s="3407"/>
      <c r="P148" s="3407"/>
      <c r="Q148" s="3407"/>
      <c r="R148" s="3407"/>
      <c r="S148" s="3447"/>
      <c r="T148" s="3447"/>
      <c r="U148" s="3447">
        <f t="shared" ref="U148:V150" si="126">+AVERAGE(CS148:CV148)</f>
        <v>0.36363636363636365</v>
      </c>
      <c r="V148" s="3447">
        <f t="shared" si="126"/>
        <v>0.36363636363636359</v>
      </c>
      <c r="W148" s="3426">
        <f t="shared" ref="W148:AD148" si="127">5/11</f>
        <v>0.45454545454545453</v>
      </c>
      <c r="X148" s="3426">
        <f t="shared" si="127"/>
        <v>0.45454545454545453</v>
      </c>
      <c r="Y148" s="3426">
        <f t="shared" si="127"/>
        <v>0.45454545454545453</v>
      </c>
      <c r="Z148" s="3426">
        <f t="shared" si="127"/>
        <v>0.45454545454545453</v>
      </c>
      <c r="AA148" s="3426">
        <f t="shared" si="127"/>
        <v>0.45454545454545453</v>
      </c>
      <c r="AB148" s="3426">
        <f t="shared" si="127"/>
        <v>0.45454545454545453</v>
      </c>
      <c r="AC148" s="3426">
        <f t="shared" si="127"/>
        <v>0.45454545454545453</v>
      </c>
      <c r="AD148" s="3426">
        <f t="shared" si="127"/>
        <v>0.45454545454545453</v>
      </c>
      <c r="AE148" s="3407"/>
      <c r="AF148" s="3407"/>
      <c r="AG148" s="3431"/>
      <c r="AH148" s="3431"/>
      <c r="AI148" s="3431"/>
      <c r="AJ148" s="3431"/>
      <c r="AK148" s="3431"/>
      <c r="AL148" s="3431"/>
      <c r="AM148" s="3431"/>
      <c r="AN148" s="3431"/>
      <c r="AO148" s="3432"/>
      <c r="AP148" s="3432"/>
      <c r="AQ148" s="3432"/>
      <c r="AR148" s="3432"/>
      <c r="AS148" s="3432"/>
      <c r="AT148" s="3432"/>
      <c r="AU148" s="3432"/>
      <c r="AV148" s="3432"/>
      <c r="AW148" s="3432"/>
      <c r="AX148" s="3432"/>
      <c r="AY148" s="3432"/>
      <c r="AZ148" s="3432"/>
      <c r="BA148" s="3432"/>
      <c r="BB148" s="3432"/>
      <c r="BC148" s="3432"/>
      <c r="BD148" s="3432"/>
      <c r="BE148" s="3432"/>
      <c r="BF148" s="3432"/>
      <c r="BG148" s="3432"/>
      <c r="BH148" s="3432"/>
      <c r="BI148" s="3432"/>
      <c r="BJ148" s="3432"/>
      <c r="BK148" s="3432"/>
      <c r="BL148" s="3432"/>
      <c r="BM148" s="3432"/>
      <c r="BN148" s="3432"/>
      <c r="BO148" s="3432"/>
      <c r="BP148" s="3407"/>
      <c r="BQ148" s="3431"/>
      <c r="BR148" s="3431"/>
      <c r="BS148" s="3431"/>
      <c r="BT148" s="3431"/>
      <c r="BU148" s="3431"/>
      <c r="BV148" s="3431"/>
      <c r="BW148" s="3431"/>
      <c r="BX148" s="3431"/>
      <c r="BY148" s="3431"/>
      <c r="BZ148" s="3431"/>
      <c r="CA148" s="3431"/>
      <c r="CB148" s="3431"/>
      <c r="CC148" s="3431"/>
      <c r="CD148" s="3431"/>
      <c r="CE148" s="3431"/>
      <c r="CF148" s="3431"/>
      <c r="CG148" s="3431"/>
      <c r="CH148" s="3431"/>
      <c r="CI148" s="3431"/>
      <c r="CJ148" s="3431"/>
      <c r="CK148" s="3448"/>
      <c r="CL148" s="3448"/>
      <c r="CM148" s="3448"/>
      <c r="CN148" s="3448"/>
      <c r="CO148" s="3448"/>
      <c r="CP148" s="3448"/>
      <c r="CQ148" s="3448"/>
      <c r="CR148" s="3448"/>
      <c r="CS148" s="3448"/>
      <c r="CT148" s="3448"/>
      <c r="CU148" s="3426">
        <f t="shared" ref="CU148:CZ148" si="128">4/11</f>
        <v>0.36363636363636365</v>
      </c>
      <c r="CV148" s="3448">
        <f t="shared" si="128"/>
        <v>0.36363636363636365</v>
      </c>
      <c r="CW148" s="3426">
        <f t="shared" si="128"/>
        <v>0.36363636363636365</v>
      </c>
      <c r="CX148" s="3426">
        <f t="shared" si="128"/>
        <v>0.36363636363636365</v>
      </c>
      <c r="CY148" s="3426">
        <f t="shared" si="128"/>
        <v>0.36363636363636365</v>
      </c>
      <c r="CZ148" s="3426">
        <f t="shared" si="128"/>
        <v>0.36363636363636365</v>
      </c>
    </row>
    <row r="149" spans="1:104">
      <c r="B149" s="3446" t="s">
        <v>1927</v>
      </c>
      <c r="S149" s="3447"/>
      <c r="T149" s="3447"/>
      <c r="U149" s="3447">
        <f t="shared" si="126"/>
        <v>0.27272727272727271</v>
      </c>
      <c r="V149" s="3447">
        <f t="shared" si="126"/>
        <v>0.27272727272727271</v>
      </c>
      <c r="W149" s="3426">
        <f t="shared" ref="W149:AD149" si="129">3/11</f>
        <v>0.27272727272727271</v>
      </c>
      <c r="X149" s="3426">
        <f t="shared" si="129"/>
        <v>0.27272727272727271</v>
      </c>
      <c r="Y149" s="3426">
        <f t="shared" si="129"/>
        <v>0.27272727272727271</v>
      </c>
      <c r="Z149" s="3426">
        <f t="shared" si="129"/>
        <v>0.27272727272727271</v>
      </c>
      <c r="AA149" s="3426">
        <f t="shared" si="129"/>
        <v>0.27272727272727271</v>
      </c>
      <c r="AB149" s="3426">
        <f t="shared" si="129"/>
        <v>0.27272727272727271</v>
      </c>
      <c r="AC149" s="3426">
        <f t="shared" si="129"/>
        <v>0.27272727272727271</v>
      </c>
      <c r="AD149" s="3426">
        <f t="shared" si="129"/>
        <v>0.27272727272727271</v>
      </c>
      <c r="CU149" s="3426">
        <f t="shared" ref="CU149:CZ149" si="130">3/11</f>
        <v>0.27272727272727271</v>
      </c>
      <c r="CV149" s="3617">
        <f t="shared" si="130"/>
        <v>0.27272727272727271</v>
      </c>
      <c r="CW149" s="3426">
        <f t="shared" si="130"/>
        <v>0.27272727272727271</v>
      </c>
      <c r="CX149" s="3426">
        <f t="shared" si="130"/>
        <v>0.27272727272727271</v>
      </c>
      <c r="CY149" s="3426">
        <f t="shared" si="130"/>
        <v>0.27272727272727271</v>
      </c>
      <c r="CZ149" s="3426">
        <f t="shared" si="130"/>
        <v>0.27272727272727271</v>
      </c>
    </row>
    <row r="150" spans="1:104">
      <c r="B150" s="3446" t="s">
        <v>1928</v>
      </c>
      <c r="S150" s="3447"/>
      <c r="T150" s="3447"/>
      <c r="U150" s="3447">
        <f t="shared" si="126"/>
        <v>0.4</v>
      </c>
      <c r="V150" s="3447">
        <f t="shared" si="126"/>
        <v>0.40000000000000008</v>
      </c>
      <c r="W150" s="3426">
        <f t="shared" ref="W150:AD150" si="131">3/9</f>
        <v>0.33333333333333331</v>
      </c>
      <c r="X150" s="3426">
        <f t="shared" si="131"/>
        <v>0.33333333333333331</v>
      </c>
      <c r="Y150" s="3426">
        <f t="shared" si="131"/>
        <v>0.33333333333333331</v>
      </c>
      <c r="Z150" s="3426">
        <f t="shared" si="131"/>
        <v>0.33333333333333331</v>
      </c>
      <c r="AA150" s="3426">
        <f t="shared" si="131"/>
        <v>0.33333333333333331</v>
      </c>
      <c r="AB150" s="3426">
        <f t="shared" si="131"/>
        <v>0.33333333333333331</v>
      </c>
      <c r="AC150" s="3426">
        <f t="shared" si="131"/>
        <v>0.33333333333333331</v>
      </c>
      <c r="AD150" s="3426">
        <f t="shared" si="131"/>
        <v>0.33333333333333331</v>
      </c>
      <c r="CU150" s="3453">
        <v>0.4</v>
      </c>
      <c r="CV150" s="3617">
        <v>0.4</v>
      </c>
      <c r="CW150" s="3453">
        <v>0.4</v>
      </c>
      <c r="CX150" s="3453">
        <v>0.4</v>
      </c>
      <c r="CY150" s="3453">
        <v>0.4</v>
      </c>
      <c r="CZ150" s="3453">
        <v>0.4</v>
      </c>
    </row>
  </sheetData>
  <pageMargins left="0" right="0" top="0" bottom="0" header="0" footer="0"/>
  <pageSetup scale="40"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6"/>
  <sheetViews>
    <sheetView showGridLines="0" workbookViewId="0">
      <selection activeCell="C34" sqref="C34"/>
    </sheetView>
  </sheetViews>
  <sheetFormatPr defaultRowHeight="12.75"/>
  <cols>
    <col min="1" max="1" width="9.140625" style="3400"/>
    <col min="2" max="2" width="9.140625" style="3800"/>
    <col min="3" max="4" width="9.140625" style="3827"/>
    <col min="5" max="9" width="9.140625" style="3400"/>
    <col min="10" max="10" width="9.140625" style="3827"/>
    <col min="11" max="16384" width="9.140625" style="3400"/>
  </cols>
  <sheetData>
    <row r="1" spans="1:20">
      <c r="C1" s="3801" t="s">
        <v>2035</v>
      </c>
      <c r="D1" s="3801" t="s">
        <v>2036</v>
      </c>
      <c r="E1" s="3802" t="s">
        <v>2037</v>
      </c>
      <c r="F1" s="3802" t="s">
        <v>2038</v>
      </c>
      <c r="G1" s="3802" t="s">
        <v>2039</v>
      </c>
      <c r="H1" s="3802" t="s">
        <v>2040</v>
      </c>
      <c r="I1" s="3802" t="s">
        <v>2041</v>
      </c>
      <c r="J1" s="3801" t="s">
        <v>2042</v>
      </c>
      <c r="K1" s="3802" t="s">
        <v>2043</v>
      </c>
      <c r="L1" s="3802" t="s">
        <v>2044</v>
      </c>
      <c r="M1" s="3802" t="s">
        <v>2045</v>
      </c>
      <c r="N1" s="3802" t="s">
        <v>2046</v>
      </c>
      <c r="O1" s="3802" t="s">
        <v>2047</v>
      </c>
      <c r="P1" s="3802" t="s">
        <v>2048</v>
      </c>
      <c r="Q1" s="3802" t="s">
        <v>2049</v>
      </c>
      <c r="R1" s="3802" t="s">
        <v>2050</v>
      </c>
      <c r="S1" s="3802" t="s">
        <v>2051</v>
      </c>
      <c r="T1" s="3802" t="s">
        <v>2052</v>
      </c>
    </row>
    <row r="2" spans="1:20" s="3803" customFormat="1">
      <c r="B2" s="3803" t="s">
        <v>2053</v>
      </c>
      <c r="C2" s="3804">
        <v>0.03</v>
      </c>
      <c r="D2" s="3804">
        <v>0.05</v>
      </c>
      <c r="E2" s="3805"/>
      <c r="F2" s="3805"/>
      <c r="G2" s="3805"/>
      <c r="H2" s="3805"/>
      <c r="I2" s="3805"/>
      <c r="J2" s="3804">
        <v>0.03</v>
      </c>
      <c r="K2" s="3806"/>
      <c r="L2" s="3806"/>
      <c r="M2" s="3806"/>
      <c r="N2" s="3806"/>
      <c r="O2" s="3806"/>
      <c r="P2" s="3806"/>
      <c r="Q2" s="3806"/>
      <c r="R2" s="3806"/>
      <c r="S2" s="3806"/>
      <c r="T2" s="3806"/>
    </row>
    <row r="3" spans="1:20">
      <c r="C3" s="3801"/>
      <c r="D3" s="3801"/>
      <c r="E3" s="3802"/>
      <c r="F3" s="3802"/>
      <c r="G3" s="3802"/>
      <c r="H3" s="3802"/>
      <c r="I3" s="3802"/>
      <c r="J3" s="3801"/>
      <c r="K3" s="3802"/>
      <c r="L3" s="3802"/>
      <c r="M3" s="3802"/>
      <c r="N3" s="3802"/>
      <c r="O3" s="3802"/>
      <c r="P3" s="3802"/>
      <c r="Q3" s="3802"/>
      <c r="R3" s="3802"/>
      <c r="S3" s="3802"/>
      <c r="T3" s="3802"/>
    </row>
    <row r="5" spans="1:20">
      <c r="A5" s="3807" t="s">
        <v>2054</v>
      </c>
      <c r="B5" s="3800">
        <v>40633</v>
      </c>
      <c r="C5" s="3808">
        <v>1.3682113694634506</v>
      </c>
      <c r="D5" s="3808">
        <v>1.6021596988749178</v>
      </c>
      <c r="E5" s="3809">
        <v>1.215785086161671E-2</v>
      </c>
      <c r="F5" s="3809">
        <v>0.78322446619119279</v>
      </c>
      <c r="G5" s="3809">
        <v>1.0055209323725389</v>
      </c>
      <c r="H5" s="3809">
        <v>0.12841760881320669</v>
      </c>
      <c r="I5" s="3809">
        <v>2.2089507010611322E-2</v>
      </c>
      <c r="J5" s="3808">
        <v>0.59996176576664095</v>
      </c>
      <c r="K5" s="3809">
        <v>8.2897084857450898E-2</v>
      </c>
      <c r="L5" s="3809">
        <v>1.0145203376608753</v>
      </c>
      <c r="M5" s="3809">
        <v>2.0781811208458022E-3</v>
      </c>
      <c r="N5" s="3809">
        <v>5.3305441827454253E-4</v>
      </c>
      <c r="O5" s="3809">
        <v>0.35987942399445483</v>
      </c>
      <c r="P5" s="3809">
        <v>0.14303041092505814</v>
      </c>
      <c r="Q5" s="3809">
        <v>0.65947790951765106</v>
      </c>
      <c r="R5" s="3809">
        <v>4.2425459600665407E-4</v>
      </c>
      <c r="S5" s="3809">
        <v>0.24925022887314077</v>
      </c>
      <c r="T5" s="3809">
        <v>1.0628229972600958</v>
      </c>
    </row>
    <row r="6" spans="1:20">
      <c r="B6" s="3800">
        <v>40724</v>
      </c>
      <c r="C6" s="3808">
        <v>1.4390840726317196</v>
      </c>
      <c r="D6" s="3808">
        <v>1.6315173862749759</v>
      </c>
      <c r="E6" s="3809">
        <v>1.2264225861155184E-2</v>
      </c>
      <c r="F6" s="3809">
        <v>0.80681037441032222</v>
      </c>
      <c r="G6" s="3809">
        <v>1.0627935250369827</v>
      </c>
      <c r="H6" s="3809">
        <v>0.12857929917510783</v>
      </c>
      <c r="I6" s="3809">
        <v>2.2365335337331035E-2</v>
      </c>
      <c r="J6" s="3808">
        <v>0.62700275610707912</v>
      </c>
      <c r="K6" s="3809">
        <v>8.5300952977124145E-2</v>
      </c>
      <c r="L6" s="3809">
        <v>1.0331541514702605</v>
      </c>
      <c r="M6" s="3809">
        <v>2.131465731133026E-3</v>
      </c>
      <c r="N6" s="3809">
        <v>5.5655850638209573E-4</v>
      </c>
      <c r="O6" s="3809">
        <v>0.35907572533338594</v>
      </c>
      <c r="P6" s="3809">
        <v>0.14727605245625397</v>
      </c>
      <c r="Q6" s="3809">
        <v>0.66223678779148143</v>
      </c>
      <c r="R6" s="3809">
        <v>4.162718673921348E-4</v>
      </c>
      <c r="S6" s="3809">
        <v>0.24503001469459354</v>
      </c>
      <c r="T6" s="3809">
        <v>1.1498640160308682</v>
      </c>
    </row>
    <row r="7" spans="1:20">
      <c r="B7" s="3800">
        <v>40816</v>
      </c>
      <c r="C7" s="3808">
        <v>1.4130550267893045</v>
      </c>
      <c r="D7" s="3808">
        <v>1.6111547875841226</v>
      </c>
      <c r="E7" s="3809">
        <v>1.2870676724068619E-2</v>
      </c>
      <c r="F7" s="3809">
        <v>0.8168444779895393</v>
      </c>
      <c r="G7" s="3809">
        <v>1.0510405442267967</v>
      </c>
      <c r="H7" s="3809">
        <v>0.12831053677581411</v>
      </c>
      <c r="I7" s="3809">
        <v>2.1873181511756993E-2</v>
      </c>
      <c r="J7" s="3808">
        <v>0.61427781498285694</v>
      </c>
      <c r="K7" s="3809">
        <v>8.1517898030341276E-2</v>
      </c>
      <c r="L7" s="3809">
        <v>1.0209624655894547</v>
      </c>
      <c r="M7" s="3809">
        <v>2.1238639174967176E-3</v>
      </c>
      <c r="N7" s="3809">
        <v>5.5754200352796867E-4</v>
      </c>
      <c r="O7" s="3809">
        <v>0.36482794808954894</v>
      </c>
      <c r="P7" s="3809">
        <v>0.14055013950153619</v>
      </c>
      <c r="Q7" s="3809">
        <v>0.65296779691544193</v>
      </c>
      <c r="R7" s="3809">
        <v>3.6854946649756933E-4</v>
      </c>
      <c r="S7" s="3809">
        <v>0.24014373235959419</v>
      </c>
      <c r="T7" s="3809">
        <v>1.2169157635943135</v>
      </c>
    </row>
    <row r="8" spans="1:20">
      <c r="B8" s="3800">
        <v>40908</v>
      </c>
      <c r="C8" s="3808">
        <v>1.3486010476326098</v>
      </c>
      <c r="D8" s="3808">
        <v>1.5726192952572602</v>
      </c>
      <c r="E8" s="3809">
        <v>1.293673043277674E-2</v>
      </c>
      <c r="F8" s="3809">
        <v>0.77723095147895582</v>
      </c>
      <c r="G8" s="3809">
        <v>1.013453868557346</v>
      </c>
      <c r="H8" s="3809">
        <v>0.12855072102872711</v>
      </c>
      <c r="I8" s="3809">
        <v>1.9691882210786729E-2</v>
      </c>
      <c r="J8" s="3808">
        <v>0.55643939607466275</v>
      </c>
      <c r="K8" s="3809">
        <v>7.3398814166505733E-2</v>
      </c>
      <c r="L8" s="3809">
        <v>0.97792035056506843</v>
      </c>
      <c r="M8" s="3809">
        <v>1.9560636828412168E-3</v>
      </c>
      <c r="N8" s="3809">
        <v>5.20785946574399E-4</v>
      </c>
      <c r="O8" s="3809">
        <v>0.36890814800927946</v>
      </c>
      <c r="P8" s="3809">
        <v>0.12373852275815773</v>
      </c>
      <c r="Q8" s="3809">
        <v>0.61555835776508006</v>
      </c>
      <c r="R8" s="3809">
        <v>3.8444088613083819E-4</v>
      </c>
      <c r="S8" s="3809">
        <v>0.23497635582350174</v>
      </c>
      <c r="T8" s="3809">
        <v>1.0971283241862706</v>
      </c>
    </row>
    <row r="9" spans="1:20">
      <c r="B9" s="3800">
        <v>40999</v>
      </c>
      <c r="C9" s="3808">
        <v>1.310636827227176</v>
      </c>
      <c r="D9" s="3808">
        <v>1.5718323745637166</v>
      </c>
      <c r="E9" s="3809">
        <v>1.2619762245679744E-2</v>
      </c>
      <c r="F9" s="3809">
        <v>0.79105060565511154</v>
      </c>
      <c r="G9" s="3809">
        <v>1.0551422281095642</v>
      </c>
      <c r="H9" s="3809">
        <v>0.12886300585964761</v>
      </c>
      <c r="I9" s="3809">
        <v>1.9906706691056136E-2</v>
      </c>
      <c r="J9" s="3808">
        <v>0.56581912124502776</v>
      </c>
      <c r="K9" s="3809">
        <v>7.7049050789094298E-2</v>
      </c>
      <c r="L9" s="3809">
        <v>0.9983068455896198</v>
      </c>
      <c r="M9" s="3809">
        <v>2.045506870108614E-3</v>
      </c>
      <c r="N9" s="3809">
        <v>5.5587377656792967E-4</v>
      </c>
      <c r="O9" s="3809">
        <v>0.37282095074101868</v>
      </c>
      <c r="P9" s="3809">
        <v>0.12898615861127677</v>
      </c>
      <c r="Q9" s="3809">
        <v>0.5847363850917966</v>
      </c>
      <c r="R9" s="3809">
        <v>4.1575069853634259E-4</v>
      </c>
      <c r="S9" s="3809">
        <v>0.23037916207124634</v>
      </c>
      <c r="T9" s="3809">
        <v>1.0851755316180245</v>
      </c>
    </row>
    <row r="10" spans="1:20">
      <c r="B10" s="3800">
        <v>41090</v>
      </c>
      <c r="C10" s="3808">
        <v>1.2831957947317152</v>
      </c>
      <c r="D10" s="3808">
        <v>1.5829347339553745</v>
      </c>
      <c r="E10" s="3809">
        <v>1.2486233576616752E-2</v>
      </c>
      <c r="F10" s="3809">
        <v>0.79120763720306053</v>
      </c>
      <c r="G10" s="3809">
        <v>1.0100461750854266</v>
      </c>
      <c r="H10" s="3809">
        <v>0.12883909423359885</v>
      </c>
      <c r="I10" s="3809">
        <v>1.8522909416057859E-2</v>
      </c>
      <c r="J10" s="3808">
        <v>0.51126374122850005</v>
      </c>
      <c r="K10" s="3809">
        <v>7.3985158915892302E-2</v>
      </c>
      <c r="L10" s="3809">
        <v>0.99012332794868463</v>
      </c>
      <c r="M10" s="3809">
        <v>2.0161883519793349E-3</v>
      </c>
      <c r="N10" s="3809">
        <v>5.5979900221082726E-4</v>
      </c>
      <c r="O10" s="3809">
        <v>0.375151024808689</v>
      </c>
      <c r="P10" s="3809">
        <v>0.1231834393442644</v>
      </c>
      <c r="Q10" s="3809">
        <v>0.53470778509051886</v>
      </c>
      <c r="R10" s="3809">
        <v>4.0169030173360914E-4</v>
      </c>
      <c r="S10" s="3809">
        <v>0.22494330479754865</v>
      </c>
      <c r="T10" s="3809">
        <v>1.0680582323988228</v>
      </c>
    </row>
    <row r="11" spans="1:20">
      <c r="B11" s="3800">
        <v>41182</v>
      </c>
      <c r="C11" s="3808">
        <v>1.2518037507239599</v>
      </c>
      <c r="D11" s="3808">
        <v>1.5805808531867647</v>
      </c>
      <c r="E11" s="3809">
        <v>1.2720335322754499E-2</v>
      </c>
      <c r="F11" s="3809">
        <v>0.80210146681535632</v>
      </c>
      <c r="G11" s="3809">
        <v>1.0394194614980332</v>
      </c>
      <c r="H11" s="3809">
        <v>0.12893907733425819</v>
      </c>
      <c r="I11" s="3809">
        <v>1.8134451860953214E-2</v>
      </c>
      <c r="J11" s="3808">
        <v>0.49316662893004232</v>
      </c>
      <c r="K11" s="3809">
        <v>7.5994764501231951E-2</v>
      </c>
      <c r="L11" s="3809">
        <v>1.0050265592137004</v>
      </c>
      <c r="M11" s="3809">
        <v>2.0743626983641453E-3</v>
      </c>
      <c r="N11" s="3809">
        <v>5.562924467467802E-4</v>
      </c>
      <c r="O11" s="3809">
        <v>0.38194389594324202</v>
      </c>
      <c r="P11" s="3809">
        <v>0.12114411197157235</v>
      </c>
      <c r="Q11" s="3809">
        <v>0.51648146584453758</v>
      </c>
      <c r="R11" s="3809">
        <v>4.0070373588921992E-4</v>
      </c>
      <c r="S11" s="3809">
        <v>0.21704744476598775</v>
      </c>
      <c r="T11" s="3809">
        <v>1.0399525516656936</v>
      </c>
    </row>
    <row r="12" spans="1:20">
      <c r="B12" s="3800">
        <v>41274</v>
      </c>
      <c r="C12" s="3808">
        <v>1.2972484721642972</v>
      </c>
      <c r="D12" s="3808">
        <v>1.6059405112806362</v>
      </c>
      <c r="E12" s="3809">
        <v>1.2321230800899096E-2</v>
      </c>
      <c r="F12" s="3809">
        <v>0.81788074922602527</v>
      </c>
      <c r="G12" s="3809">
        <v>1.0383526398060587</v>
      </c>
      <c r="H12" s="3809">
        <v>0.1290176632906567</v>
      </c>
      <c r="I12" s="3809">
        <v>1.8463065890638442E-2</v>
      </c>
      <c r="J12" s="3808">
        <v>0.48613558317356631</v>
      </c>
      <c r="K12" s="3809">
        <v>7.7282649168359252E-2</v>
      </c>
      <c r="L12" s="3809">
        <v>1.0088109819866644</v>
      </c>
      <c r="M12" s="3809">
        <v>2.0929452912982456E-3</v>
      </c>
      <c r="N12" s="3809">
        <v>5.5393121782527357E-4</v>
      </c>
      <c r="O12" s="3809">
        <v>0.38694805189346082</v>
      </c>
      <c r="P12" s="3809">
        <v>0.11514525303403837</v>
      </c>
      <c r="Q12" s="3809">
        <v>0.52901819528653804</v>
      </c>
      <c r="R12" s="3809">
        <v>3.8110438770719887E-4</v>
      </c>
      <c r="S12" s="3809">
        <v>0.20838142245914598</v>
      </c>
      <c r="T12" s="3809">
        <v>1.0740967965035857</v>
      </c>
    </row>
    <row r="13" spans="1:20">
      <c r="B13" s="3800">
        <v>41364</v>
      </c>
      <c r="C13" s="3808">
        <v>1.3200729388833383</v>
      </c>
      <c r="D13" s="3808">
        <v>1.5519877079557647</v>
      </c>
      <c r="E13" s="3809">
        <v>1.0846582794905016E-2</v>
      </c>
      <c r="F13" s="3809">
        <v>0.80806152291224109</v>
      </c>
      <c r="G13" s="3809">
        <v>1.0386747371610445</v>
      </c>
      <c r="H13" s="3809">
        <v>0.12893372176892995</v>
      </c>
      <c r="I13" s="3809">
        <v>1.8455164904203725E-2</v>
      </c>
      <c r="J13" s="3808">
        <v>0.50076608698639091</v>
      </c>
      <c r="K13" s="3809">
        <v>7.9118883849974536E-2</v>
      </c>
      <c r="L13" s="3809">
        <v>0.99181195956912838</v>
      </c>
      <c r="M13" s="3809">
        <v>2.1167714654261273E-3</v>
      </c>
      <c r="N13" s="3809">
        <v>5.5804686343337881E-4</v>
      </c>
      <c r="O13" s="3809">
        <v>0.38847452753495448</v>
      </c>
      <c r="P13" s="3809">
        <v>0.1117289600331936</v>
      </c>
      <c r="Q13" s="3809">
        <v>0.52281070160616128</v>
      </c>
      <c r="R13" s="3809">
        <v>3.7628515723228819E-4</v>
      </c>
      <c r="S13" s="3809">
        <v>0.19944654182948093</v>
      </c>
      <c r="T13" s="3809">
        <v>1.0750888324803665</v>
      </c>
    </row>
    <row r="14" spans="1:20">
      <c r="B14" s="3800">
        <v>41455</v>
      </c>
      <c r="C14" s="3808">
        <v>1.3057588386074883</v>
      </c>
      <c r="D14" s="3808">
        <v>1.5360536347264846</v>
      </c>
      <c r="E14" s="3809">
        <v>1.0124656429870147E-2</v>
      </c>
      <c r="F14" s="3809">
        <v>0.80067768980309806</v>
      </c>
      <c r="G14" s="3809">
        <v>0.99049342959736375</v>
      </c>
      <c r="H14" s="3809">
        <v>0.12883644494832006</v>
      </c>
      <c r="I14" s="3809">
        <v>1.7925026860709431E-2</v>
      </c>
      <c r="J14" s="3808">
        <v>0.48390357210088725</v>
      </c>
      <c r="K14" s="3809">
        <v>8.0199765625320121E-2</v>
      </c>
      <c r="L14" s="3809">
        <v>0.97663072831483311</v>
      </c>
      <c r="M14" s="3809">
        <v>2.0638920567961037E-3</v>
      </c>
      <c r="N14" s="3809">
        <v>5.3676587934198543E-4</v>
      </c>
      <c r="O14" s="3809">
        <v>0.37570021208405441</v>
      </c>
      <c r="P14" s="3809">
        <v>0.1057131574661134</v>
      </c>
      <c r="Q14" s="3809">
        <v>0.50409110764673049</v>
      </c>
      <c r="R14" s="3809">
        <v>3.8691498233110353E-4</v>
      </c>
      <c r="S14" s="3809">
        <v>0.19089909925833462</v>
      </c>
      <c r="T14" s="3809">
        <v>1.0609070108815417</v>
      </c>
    </row>
    <row r="15" spans="1:20">
      <c r="B15" s="3800">
        <v>41547</v>
      </c>
      <c r="C15" s="3808">
        <v>1.32475217820665</v>
      </c>
      <c r="D15" s="3808">
        <v>1.5514582288770291</v>
      </c>
      <c r="E15" s="3809">
        <v>1.0115055543161512E-2</v>
      </c>
      <c r="F15" s="3809">
        <v>0.78873400244729319</v>
      </c>
      <c r="G15" s="3809">
        <v>0.91554010441640044</v>
      </c>
      <c r="H15" s="3809">
        <v>0.12894044881152153</v>
      </c>
      <c r="I15" s="3809">
        <v>1.612814129617509E-2</v>
      </c>
      <c r="J15" s="3808">
        <v>0.43736751184375638</v>
      </c>
      <c r="K15" s="3809">
        <v>7.7502791872424509E-2</v>
      </c>
      <c r="L15" s="3809">
        <v>0.96254048743755416</v>
      </c>
      <c r="M15" s="3809">
        <v>1.9722905082130626E-3</v>
      </c>
      <c r="N15" s="3809">
        <v>5.2444948982831438E-4</v>
      </c>
      <c r="O15" s="3809">
        <v>0.35895060651093802</v>
      </c>
      <c r="P15" s="3809">
        <v>0.10018652901309431</v>
      </c>
      <c r="Q15" s="3809">
        <v>0.47306397059504179</v>
      </c>
      <c r="R15" s="3809">
        <v>3.8773689235807151E-4</v>
      </c>
      <c r="S15" s="3809">
        <v>0.17917854810467976</v>
      </c>
      <c r="T15" s="3809">
        <v>1.0735821128201379</v>
      </c>
    </row>
    <row r="16" spans="1:20">
      <c r="B16" s="3800">
        <v>41639</v>
      </c>
      <c r="C16" s="3808">
        <v>1.3613968533027154</v>
      </c>
      <c r="D16" s="3808">
        <v>1.6192908337181686</v>
      </c>
      <c r="E16" s="3809">
        <v>9.9590979703677168E-3</v>
      </c>
      <c r="F16" s="3809">
        <v>0.7999979593913128</v>
      </c>
      <c r="G16" s="3809">
        <v>0.92719680635547097</v>
      </c>
      <c r="H16" s="3809">
        <v>0.12897463766567133</v>
      </c>
      <c r="I16" s="3809">
        <v>1.6119960966912376E-2</v>
      </c>
      <c r="J16" s="3808">
        <v>0.43922763958902972</v>
      </c>
      <c r="K16" s="3809">
        <v>7.6785503975885155E-2</v>
      </c>
      <c r="L16" s="3809">
        <v>0.95276707022252949</v>
      </c>
      <c r="M16" s="3809">
        <v>1.937253066640847E-3</v>
      </c>
      <c r="N16" s="3809">
        <v>5.2274263079598183E-4</v>
      </c>
      <c r="O16" s="3809">
        <v>0.35921550140484626</v>
      </c>
      <c r="P16" s="3809">
        <v>9.851932044175761E-2</v>
      </c>
      <c r="Q16" s="3809">
        <v>0.44269981482749626</v>
      </c>
      <c r="R16" s="3809">
        <v>3.9627198099228324E-4</v>
      </c>
      <c r="S16" s="3809">
        <v>0.16504623647807509</v>
      </c>
      <c r="T16" s="3809">
        <v>1.1075341853144192</v>
      </c>
    </row>
    <row r="17" spans="1:20">
      <c r="B17" s="3800">
        <v>41729</v>
      </c>
      <c r="C17" s="3808">
        <v>1.3704911138224132</v>
      </c>
      <c r="D17" s="3808">
        <v>1.6551429144377212</v>
      </c>
      <c r="E17" s="3809">
        <v>9.7293739031908914E-3</v>
      </c>
      <c r="F17" s="3809">
        <v>0.78822275070361236</v>
      </c>
      <c r="G17" s="3809">
        <v>0.89683487988101163</v>
      </c>
      <c r="H17" s="3809">
        <v>0.12888092285613309</v>
      </c>
      <c r="I17" s="3809">
        <v>1.6196826644527727E-2</v>
      </c>
      <c r="J17" s="3808">
        <v>0.42331777625861644</v>
      </c>
      <c r="K17" s="3809">
        <v>7.5567927144605224E-2</v>
      </c>
      <c r="L17" s="3809">
        <v>0.90718167920745529</v>
      </c>
      <c r="M17" s="3809">
        <v>1.8145134859334331E-3</v>
      </c>
      <c r="N17" s="3809">
        <v>4.9894667683797272E-4</v>
      </c>
      <c r="O17" s="3809">
        <v>0.35596466267734955</v>
      </c>
      <c r="P17" s="3809">
        <v>9.2169861039783793E-2</v>
      </c>
      <c r="Q17" s="3809">
        <v>0.40165756431907085</v>
      </c>
      <c r="R17" s="3809">
        <v>3.9968652216558866E-4</v>
      </c>
      <c r="S17" s="3809">
        <v>0.13224553206851361</v>
      </c>
      <c r="T17" s="3809">
        <v>1.1204198518867716</v>
      </c>
    </row>
    <row r="18" spans="1:20">
      <c r="B18" s="3800">
        <v>41820</v>
      </c>
      <c r="C18" s="3808">
        <v>1.3714057504690114</v>
      </c>
      <c r="D18" s="3808">
        <v>1.6834536640064797</v>
      </c>
      <c r="E18" s="3809">
        <v>9.7957960543559302E-3</v>
      </c>
      <c r="F18" s="3809">
        <v>0.79848783897964382</v>
      </c>
      <c r="G18" s="3809">
        <v>0.9329197793062366</v>
      </c>
      <c r="H18" s="3809">
        <v>0.12898416223571713</v>
      </c>
      <c r="I18" s="3809">
        <v>1.6720665295817436E-2</v>
      </c>
      <c r="J18" s="3808">
        <v>0.44856497315223198</v>
      </c>
      <c r="K18" s="3809">
        <v>7.6950751152123936E-2</v>
      </c>
      <c r="L18" s="3809">
        <v>0.91706658679520647</v>
      </c>
      <c r="M18" s="3809">
        <v>1.8039610987141807E-3</v>
      </c>
      <c r="N18" s="3809">
        <v>5.2298546438945832E-4</v>
      </c>
      <c r="O18" s="3809">
        <v>0.35822160770534495</v>
      </c>
      <c r="P18" s="3809">
        <v>9.4907963261294012E-2</v>
      </c>
      <c r="Q18" s="3809">
        <v>0.34187385587885483</v>
      </c>
      <c r="R18" s="3809">
        <v>3.9301127877979148E-4</v>
      </c>
      <c r="S18" s="3809">
        <v>0.12414838516507776</v>
      </c>
      <c r="T18" s="3809">
        <v>1.124958111476525</v>
      </c>
    </row>
    <row r="19" spans="1:20">
      <c r="B19" s="3800">
        <v>41912</v>
      </c>
      <c r="C19" s="3808">
        <v>1.3252078688906253</v>
      </c>
      <c r="D19" s="3808">
        <v>1.6695772832399132</v>
      </c>
      <c r="E19" s="3809">
        <v>9.6238024781554465E-3</v>
      </c>
      <c r="F19" s="3809">
        <v>0.79921125450592645</v>
      </c>
      <c r="G19" s="3809">
        <v>0.92510413004301695</v>
      </c>
      <c r="H19" s="3809">
        <v>0.12901379731062804</v>
      </c>
      <c r="I19" s="3809">
        <v>1.6503709646200924E-2</v>
      </c>
      <c r="J19" s="3808">
        <v>0.43966310315564799</v>
      </c>
      <c r="K19" s="3809">
        <v>7.6225883632133465E-2</v>
      </c>
      <c r="L19" s="3809">
        <v>0.91888834469858849</v>
      </c>
      <c r="M19" s="3809">
        <v>1.7328773723604073E-3</v>
      </c>
      <c r="N19" s="3809">
        <v>5.2382643294535201E-4</v>
      </c>
      <c r="O19" s="3809">
        <v>0.35446141959337352</v>
      </c>
      <c r="P19" s="3809">
        <v>9.2918028802833424E-2</v>
      </c>
      <c r="Q19" s="3809">
        <v>0.28403610947156827</v>
      </c>
      <c r="R19" s="3809">
        <v>3.8165195701287584E-4</v>
      </c>
      <c r="S19" s="3809">
        <v>0.12056991181635235</v>
      </c>
      <c r="T19" s="3809">
        <v>1.0938636087461475</v>
      </c>
    </row>
    <row r="20" spans="1:20">
      <c r="B20" s="3800">
        <v>42004</v>
      </c>
      <c r="C20" s="3808">
        <v>1.2482866848942071</v>
      </c>
      <c r="D20" s="3808">
        <v>1.5824123634593052</v>
      </c>
      <c r="E20" s="3809">
        <v>8.7430923801995707E-3</v>
      </c>
      <c r="F20" s="3809">
        <v>0.77170489405586984</v>
      </c>
      <c r="G20" s="3809">
        <v>0.85497046462606807</v>
      </c>
      <c r="H20" s="3809">
        <v>0.12893427390813739</v>
      </c>
      <c r="I20" s="3809">
        <v>1.614051991111334E-2</v>
      </c>
      <c r="J20" s="3808">
        <v>0.39291912114214922</v>
      </c>
      <c r="K20" s="3809">
        <v>7.2107623342835089E-2</v>
      </c>
      <c r="L20" s="3809">
        <v>0.88040513405491649</v>
      </c>
      <c r="M20" s="3809">
        <v>1.671849972138372E-3</v>
      </c>
      <c r="N20" s="3809">
        <v>4.6077495801358226E-4</v>
      </c>
      <c r="O20" s="3809">
        <v>0.34118703653165894</v>
      </c>
      <c r="P20" s="3809">
        <v>8.9106533903336532E-2</v>
      </c>
      <c r="Q20" s="3809">
        <v>0.31132401245688879</v>
      </c>
      <c r="R20" s="3809">
        <v>3.6706610674130117E-4</v>
      </c>
      <c r="S20" s="3809">
        <v>0.1174711876748801</v>
      </c>
      <c r="T20" s="3809">
        <v>1.0364670262276825</v>
      </c>
    </row>
    <row r="21" spans="1:20">
      <c r="B21" s="3800">
        <v>42094</v>
      </c>
      <c r="C21" s="3808">
        <v>1.1263810934731073</v>
      </c>
      <c r="D21" s="3808">
        <v>1.5145412700605621</v>
      </c>
      <c r="E21" s="3809">
        <v>8.3909857550854908E-3</v>
      </c>
      <c r="F21" s="3809">
        <v>0.73728966443719923</v>
      </c>
      <c r="G21" s="3809">
        <v>0.78696530057289382</v>
      </c>
      <c r="H21" s="3809">
        <v>0.12893319402505682</v>
      </c>
      <c r="I21" s="3809">
        <v>1.6064574498188738E-2</v>
      </c>
      <c r="J21" s="3808">
        <v>0.3508392090708754</v>
      </c>
      <c r="K21" s="3809">
        <v>6.6896205358582414E-2</v>
      </c>
      <c r="L21" s="3809">
        <v>0.80722620329201822</v>
      </c>
      <c r="M21" s="3809">
        <v>1.6017046377635941E-3</v>
      </c>
      <c r="N21" s="3809">
        <v>4.0511859150083474E-4</v>
      </c>
      <c r="O21" s="3809">
        <v>0.3270717805828694</v>
      </c>
      <c r="P21" s="3809">
        <v>8.5157264997115872E-2</v>
      </c>
      <c r="Q21" s="3809">
        <v>0.29079085486459705</v>
      </c>
      <c r="R21" s="3809">
        <v>3.4607970496107845E-4</v>
      </c>
      <c r="S21" s="3809">
        <v>0.11514618321554033</v>
      </c>
      <c r="T21" s="3809">
        <v>1.0523364786180591</v>
      </c>
    </row>
    <row r="22" spans="1:20" s="3812" customFormat="1">
      <c r="A22" s="3400"/>
      <c r="B22" s="3810">
        <v>42185</v>
      </c>
      <c r="C22" s="3811">
        <v>1.1064575127145517</v>
      </c>
      <c r="D22" s="3811">
        <v>1.5331542381526173</v>
      </c>
      <c r="J22" s="3811">
        <v>0.32538119094033313</v>
      </c>
    </row>
    <row r="23" spans="1:20" s="3812" customFormat="1">
      <c r="A23" s="3813"/>
      <c r="B23" s="3810">
        <f t="shared" ref="B23:B36" si="0">+EOMONTH(B22,3)</f>
        <v>42277</v>
      </c>
      <c r="C23" s="3811">
        <v>1.1120464176655112</v>
      </c>
      <c r="D23" s="3811">
        <v>1.5490797343420464</v>
      </c>
      <c r="J23" s="3811">
        <v>0.28435691035695781</v>
      </c>
      <c r="K23" s="3814"/>
      <c r="L23" s="3814"/>
    </row>
    <row r="24" spans="1:20" s="3812" customFormat="1">
      <c r="A24" s="3813"/>
      <c r="B24" s="3810">
        <f t="shared" si="0"/>
        <v>42369</v>
      </c>
      <c r="C24" s="3815">
        <v>1.0951909090909091</v>
      </c>
      <c r="D24" s="3815">
        <v>1.5165848484848492</v>
      </c>
      <c r="E24" s="3816"/>
      <c r="F24" s="3816"/>
      <c r="G24" s="3816"/>
      <c r="H24" s="3816"/>
      <c r="I24" s="3816"/>
      <c r="J24" s="3815">
        <v>0.26020520604716707</v>
      </c>
      <c r="K24" s="3814"/>
    </row>
    <row r="25" spans="1:20" s="3812" customFormat="1">
      <c r="A25" s="3813"/>
      <c r="B25" s="3810">
        <f t="shared" si="0"/>
        <v>42460</v>
      </c>
      <c r="C25" s="3815">
        <v>1.1029</v>
      </c>
      <c r="D25" s="3815">
        <v>1.4323600000000001</v>
      </c>
      <c r="E25" s="3816"/>
      <c r="F25" s="3816"/>
      <c r="G25" s="3816"/>
      <c r="H25" s="3816"/>
      <c r="I25" s="3816"/>
      <c r="J25" s="3815">
        <f>1/3.89758</f>
        <v>0.25656946105019013</v>
      </c>
      <c r="K25" s="3814"/>
    </row>
    <row r="26" spans="1:20" s="3812" customFormat="1">
      <c r="A26" s="3813"/>
      <c r="B26" s="3810">
        <f t="shared" si="0"/>
        <v>42551</v>
      </c>
      <c r="C26" s="3815">
        <v>1.1292492307692306</v>
      </c>
      <c r="D26" s="3815">
        <v>1.4350292307692309</v>
      </c>
      <c r="E26" s="3816"/>
      <c r="F26" s="3816"/>
      <c r="G26" s="3816"/>
      <c r="H26" s="3816"/>
      <c r="I26" s="3816"/>
      <c r="J26" s="3815">
        <v>0.28495700000000002</v>
      </c>
      <c r="K26" s="3814"/>
    </row>
    <row r="27" spans="1:20" s="3812" customFormat="1">
      <c r="A27" s="3813"/>
      <c r="B27" s="3810">
        <f t="shared" si="0"/>
        <v>42643</v>
      </c>
      <c r="C27" s="3815">
        <v>1.11565</v>
      </c>
      <c r="D27" s="3815">
        <v>1.31274</v>
      </c>
      <c r="E27" s="3816"/>
      <c r="F27" s="3816"/>
      <c r="G27" s="3816"/>
      <c r="H27" s="3816"/>
      <c r="I27" s="3816"/>
      <c r="J27" s="3815">
        <v>0.30795099999999997</v>
      </c>
      <c r="K27" s="3814"/>
    </row>
    <row r="28" spans="1:20" s="3812" customFormat="1">
      <c r="A28" s="3813"/>
      <c r="B28" s="3810">
        <f t="shared" si="0"/>
        <v>42735</v>
      </c>
      <c r="C28" s="3815">
        <v>1.0790200000000001</v>
      </c>
      <c r="D28" s="3815">
        <v>1.2429300000000001</v>
      </c>
      <c r="E28" s="3816"/>
      <c r="F28" s="3816"/>
      <c r="G28" s="3816"/>
      <c r="H28" s="3816"/>
      <c r="I28" s="3816"/>
      <c r="J28" s="3815">
        <v>0.303095</v>
      </c>
      <c r="K28" s="3814"/>
    </row>
    <row r="29" spans="1:20" s="3812" customFormat="1">
      <c r="A29" s="3813"/>
      <c r="B29" s="3810">
        <f t="shared" si="0"/>
        <v>42825</v>
      </c>
      <c r="C29" s="3815">
        <v>1.065364</v>
      </c>
      <c r="D29" s="3815">
        <v>1.238181</v>
      </c>
      <c r="E29" s="3816"/>
      <c r="F29" s="3816"/>
      <c r="G29" s="3816"/>
      <c r="H29" s="3816"/>
      <c r="I29" s="3816"/>
      <c r="J29" s="3815">
        <v>0.31793900000000003</v>
      </c>
      <c r="K29" s="3814"/>
    </row>
    <row r="30" spans="1:20" s="3822" customFormat="1">
      <c r="A30" s="3817" t="s">
        <v>2055</v>
      </c>
      <c r="B30" s="3818">
        <f t="shared" si="0"/>
        <v>42916</v>
      </c>
      <c r="C30" s="3819">
        <v>1.01</v>
      </c>
      <c r="D30" s="3819">
        <v>1.26</v>
      </c>
      <c r="E30" s="3820"/>
      <c r="F30" s="3820"/>
      <c r="G30" s="3820"/>
      <c r="H30" s="3820"/>
      <c r="I30" s="3820"/>
      <c r="J30" s="3819">
        <f>1/3</f>
        <v>0.33333333333333331</v>
      </c>
      <c r="K30" s="3821"/>
    </row>
    <row r="31" spans="1:20" s="3809" customFormat="1">
      <c r="A31" s="3813" t="s">
        <v>2056</v>
      </c>
      <c r="B31" s="3800">
        <f t="shared" si="0"/>
        <v>43008</v>
      </c>
      <c r="C31" s="3823">
        <v>0.99</v>
      </c>
      <c r="D31" s="3823">
        <v>1.27</v>
      </c>
      <c r="E31" s="3824"/>
      <c r="F31" s="3824"/>
      <c r="G31" s="3824"/>
      <c r="H31" s="3824"/>
      <c r="I31" s="3824"/>
      <c r="J31" s="3823">
        <f>1/3.1</f>
        <v>0.32258064516129031</v>
      </c>
      <c r="K31" s="3825"/>
    </row>
    <row r="32" spans="1:20" s="3809" customFormat="1">
      <c r="A32" s="3826">
        <v>42788</v>
      </c>
      <c r="B32" s="3800">
        <f t="shared" si="0"/>
        <v>43100</v>
      </c>
      <c r="C32" s="3823">
        <v>0.97</v>
      </c>
      <c r="D32" s="3823">
        <v>1.28</v>
      </c>
      <c r="E32" s="3824"/>
      <c r="F32" s="3824"/>
      <c r="G32" s="3824"/>
      <c r="H32" s="3824"/>
      <c r="I32" s="3824"/>
      <c r="J32" s="3823">
        <f>1/3.25</f>
        <v>0.30769230769230771</v>
      </c>
      <c r="K32" s="3825"/>
    </row>
    <row r="33" spans="1:11" s="3809" customFormat="1">
      <c r="A33" s="3400"/>
      <c r="B33" s="3800">
        <f t="shared" si="0"/>
        <v>43190</v>
      </c>
      <c r="C33" s="3823">
        <v>1</v>
      </c>
      <c r="D33" s="3823">
        <v>1.28</v>
      </c>
      <c r="E33" s="3824"/>
      <c r="F33" s="3824"/>
      <c r="G33" s="3824"/>
      <c r="H33" s="3824"/>
      <c r="I33" s="3824"/>
      <c r="J33" s="3823">
        <f>1/3.3</f>
        <v>0.30303030303030304</v>
      </c>
      <c r="K33" s="3825"/>
    </row>
    <row r="34" spans="1:11" s="3809" customFormat="1">
      <c r="A34" s="3400"/>
      <c r="B34" s="3800">
        <f t="shared" si="0"/>
        <v>43281</v>
      </c>
      <c r="C34" s="3823">
        <v>1.02</v>
      </c>
      <c r="D34" s="3823">
        <v>1.3</v>
      </c>
      <c r="E34" s="3824"/>
      <c r="F34" s="3824"/>
      <c r="G34" s="3824"/>
      <c r="H34" s="3824"/>
      <c r="I34" s="3824"/>
      <c r="J34" s="3823">
        <f>1/3.25</f>
        <v>0.30769230769230771</v>
      </c>
      <c r="K34" s="3825"/>
    </row>
    <row r="35" spans="1:11" s="3809" customFormat="1">
      <c r="A35" s="3400"/>
      <c r="B35" s="3800">
        <f t="shared" si="0"/>
        <v>43373</v>
      </c>
      <c r="C35" s="3823">
        <v>1.04</v>
      </c>
      <c r="D35" s="3823">
        <v>1.35</v>
      </c>
      <c r="E35" s="3824"/>
      <c r="F35" s="3824"/>
      <c r="G35" s="3824"/>
      <c r="H35" s="3824"/>
      <c r="I35" s="3824"/>
      <c r="J35" s="3823">
        <f>1/3.2</f>
        <v>0.3125</v>
      </c>
      <c r="K35" s="3825"/>
    </row>
    <row r="36" spans="1:11" s="3809" customFormat="1">
      <c r="A36" s="3400"/>
      <c r="B36" s="3800">
        <f t="shared" si="0"/>
        <v>43465</v>
      </c>
      <c r="C36" s="3823">
        <v>1.05</v>
      </c>
      <c r="D36" s="3823">
        <v>1.45</v>
      </c>
      <c r="E36" s="3824"/>
      <c r="F36" s="3824"/>
      <c r="G36" s="3824"/>
      <c r="H36" s="3824"/>
      <c r="I36" s="3824"/>
      <c r="J36" s="3823">
        <f>1/3.25</f>
        <v>0.30769230769230771</v>
      </c>
      <c r="K36" s="3825"/>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51"/>
    <pageSetUpPr fitToPage="1"/>
  </sheetPr>
  <dimension ref="A1:XFD467"/>
  <sheetViews>
    <sheetView showGridLines="0" zoomScale="85" zoomScaleNormal="85" zoomScaleSheetLayoutView="85" workbookViewId="0">
      <pane xSplit="14" ySplit="9" topLeftCell="Q10" activePane="bottomRight" state="frozen"/>
      <selection activeCell="B44" sqref="B44"/>
      <selection pane="topRight" activeCell="B44" sqref="B44"/>
      <selection pane="bottomLeft" activeCell="B44" sqref="B44"/>
      <selection pane="bottomRight" activeCell="CN37" sqref="CN37"/>
    </sheetView>
  </sheetViews>
  <sheetFormatPr defaultRowHeight="12.75" outlineLevelRow="3" outlineLevelCol="3"/>
  <cols>
    <col min="1" max="1" width="29.7109375" style="68" customWidth="1"/>
    <col min="2" max="3" width="2.28515625" style="68" hidden="1" customWidth="1" outlineLevel="1"/>
    <col min="4" max="4" width="2.28515625" style="68" hidden="1" customWidth="1" outlineLevel="1" collapsed="1"/>
    <col min="5" max="5" width="11.42578125" style="68" hidden="1" customWidth="1" outlineLevel="1"/>
    <col min="6" max="9" width="11.42578125" style="68" hidden="1" customWidth="1" outlineLevel="2"/>
    <col min="10" max="10" width="11.5703125" style="68" hidden="1" customWidth="1" outlineLevel="2" collapsed="1"/>
    <col min="11" max="11" width="11.5703125" style="68" hidden="1" customWidth="1" outlineLevel="2"/>
    <col min="12" max="12" width="11.5703125" style="68" hidden="1" customWidth="1" outlineLevel="1" collapsed="1"/>
    <col min="13" max="13" width="11" style="3876" hidden="1" customWidth="1" outlineLevel="1"/>
    <col min="14" max="16" width="11" style="68" hidden="1" customWidth="1" outlineLevel="1"/>
    <col min="17" max="17" width="11" style="68" bestFit="1" customWidth="1" collapsed="1"/>
    <col min="18" max="20" width="11" style="68" bestFit="1" customWidth="1"/>
    <col min="21" max="22" width="11.42578125" style="68" customWidth="1"/>
    <col min="23" max="32" width="11.42578125" style="68" hidden="1" customWidth="1" outlineLevel="1"/>
    <col min="33" max="33" width="2.7109375" style="68" customWidth="1" collapsed="1"/>
    <col min="34" max="34" width="2.42578125" style="69" hidden="1" customWidth="1" outlineLevel="1"/>
    <col min="35" max="37" width="9.28515625" style="68" hidden="1" customWidth="1" outlineLevel="2"/>
    <col min="38" max="38" width="10.85546875" style="68" hidden="1" customWidth="1" outlineLevel="3"/>
    <col min="39" max="39" width="10.85546875" style="68" hidden="1" customWidth="1" outlineLevel="3" collapsed="1"/>
    <col min="40" max="42" width="10.85546875" style="68" hidden="1" customWidth="1" outlineLevel="3"/>
    <col min="43" max="43" width="10.85546875" style="68" hidden="1" customWidth="1" outlineLevel="3" collapsed="1"/>
    <col min="44" max="66" width="10.85546875" style="68" hidden="1" customWidth="1" outlineLevel="3"/>
    <col min="67" max="67" width="10.5703125" style="68" hidden="1" customWidth="1" outlineLevel="2" collapsed="1"/>
    <col min="68" max="70" width="11.5703125" style="68" hidden="1" customWidth="1" outlineLevel="2"/>
    <col min="71" max="71" width="11.5703125" style="68" hidden="1" customWidth="1" outlineLevel="2" collapsed="1"/>
    <col min="72" max="74" width="13.140625" style="68" hidden="1" customWidth="1" outlineLevel="2"/>
    <col min="75" max="75" width="13.140625" style="68" hidden="1" customWidth="1" outlineLevel="2" collapsed="1"/>
    <col min="76" max="82" width="13.140625" style="68" hidden="1" customWidth="1" outlineLevel="2"/>
    <col min="83" max="83" width="10.7109375" style="3876" hidden="1" customWidth="1" outlineLevel="2"/>
    <col min="84" max="84" width="10.7109375" style="68" hidden="1" customWidth="1" outlineLevel="2"/>
    <col min="85" max="86" width="10.7109375" style="3876" hidden="1" customWidth="1" outlineLevel="2"/>
    <col min="87" max="87" width="10.7109375" style="3876" hidden="1" customWidth="1" outlineLevel="1" collapsed="1"/>
    <col min="88" max="89" width="10.7109375" style="68" hidden="1" customWidth="1" outlineLevel="1"/>
    <col min="90" max="90" width="10.7109375" style="3876" hidden="1" customWidth="1" outlineLevel="1"/>
    <col min="91" max="91" width="10.7109375" style="3876" customWidth="1" collapsed="1"/>
    <col min="92" max="93" width="10.7109375" style="68" customWidth="1"/>
    <col min="94" max="98" width="10.7109375" style="3876" customWidth="1"/>
    <col min="99" max="16384" width="9.140625" style="68"/>
  </cols>
  <sheetData>
    <row r="1" spans="1:98">
      <c r="A1" s="364" t="s">
        <v>460</v>
      </c>
      <c r="B1" s="366" t="s">
        <v>1234</v>
      </c>
      <c r="C1" s="366"/>
      <c r="D1" s="366"/>
      <c r="E1" s="366"/>
      <c r="F1" s="366"/>
      <c r="G1" s="366"/>
      <c r="H1" s="366"/>
      <c r="I1" s="3868"/>
      <c r="J1" s="3869"/>
      <c r="K1" s="3869"/>
      <c r="L1" s="3868"/>
      <c r="M1" s="3868"/>
      <c r="N1" s="3869"/>
      <c r="O1" s="3870"/>
      <c r="P1" s="3869"/>
      <c r="Q1" s="3869"/>
      <c r="R1" s="3871"/>
      <c r="S1" s="3871"/>
      <c r="T1" s="3871"/>
      <c r="U1" s="3869"/>
      <c r="V1" s="3869"/>
      <c r="W1" s="3869"/>
      <c r="X1" s="3869"/>
      <c r="Y1" s="3869"/>
      <c r="Z1" s="3869"/>
      <c r="AA1" s="3869"/>
      <c r="AB1" s="3869"/>
      <c r="AC1" s="3869"/>
      <c r="AD1" s="3869"/>
      <c r="AE1" s="3869"/>
      <c r="AF1" s="3869"/>
      <c r="AG1" s="3872"/>
      <c r="AH1" s="3872"/>
      <c r="AI1" s="3869"/>
      <c r="AJ1" s="3869"/>
      <c r="AK1" s="3869"/>
      <c r="AL1" s="3869"/>
      <c r="AM1" s="3869"/>
      <c r="AN1" s="3869"/>
      <c r="AO1" s="3869"/>
      <c r="AP1" s="3869"/>
      <c r="AQ1" s="3869"/>
      <c r="AR1" s="3869"/>
      <c r="AS1" s="3869"/>
      <c r="AT1" s="3869"/>
      <c r="AU1" s="3869"/>
      <c r="AV1" s="3869"/>
      <c r="AW1" s="3869"/>
      <c r="AX1" s="3869"/>
      <c r="AY1" s="3869"/>
      <c r="AZ1" s="3869"/>
      <c r="BA1" s="3869"/>
      <c r="BB1" s="3869"/>
      <c r="BC1" s="3869"/>
      <c r="BD1" s="3869"/>
      <c r="BE1" s="3869"/>
      <c r="BF1" s="3869"/>
      <c r="BG1" s="3869"/>
      <c r="BH1" s="3869"/>
      <c r="BI1" s="3869"/>
      <c r="BJ1" s="3869"/>
      <c r="BK1" s="3873"/>
      <c r="BL1" s="3873"/>
      <c r="BM1" s="3873"/>
      <c r="BN1" s="3873"/>
      <c r="BO1" s="3870"/>
      <c r="BP1" s="3870"/>
      <c r="BQ1" s="3870"/>
      <c r="BR1" s="3870"/>
      <c r="BS1" s="3874"/>
      <c r="BT1" s="3875"/>
      <c r="BU1" s="3873"/>
      <c r="BV1" s="3873"/>
      <c r="BW1" s="3873"/>
      <c r="BX1" s="3873"/>
      <c r="BY1" s="3873"/>
      <c r="BZ1" s="3873"/>
      <c r="CA1" s="3873"/>
      <c r="CB1" s="3873"/>
      <c r="CC1" s="3873"/>
      <c r="CD1" s="3873"/>
      <c r="CF1" s="3873"/>
      <c r="CH1" s="1698"/>
      <c r="CI1" s="1698"/>
      <c r="CJ1" s="3873"/>
      <c r="CK1" s="3873"/>
      <c r="CL1" s="1698"/>
      <c r="CN1" s="3873"/>
      <c r="CO1" s="3873"/>
      <c r="CP1" s="1698"/>
    </row>
    <row r="2" spans="1:98">
      <c r="A2" s="364" t="s">
        <v>986</v>
      </c>
      <c r="B2" s="366"/>
      <c r="C2" s="366"/>
      <c r="D2" s="366"/>
      <c r="E2" s="366"/>
      <c r="F2" s="366"/>
      <c r="G2" s="366"/>
      <c r="H2" s="366"/>
      <c r="I2" s="2271"/>
      <c r="J2" s="366"/>
      <c r="K2" s="366"/>
      <c r="L2" s="2271"/>
      <c r="M2" s="3877"/>
      <c r="N2" s="3878"/>
      <c r="O2" s="3878"/>
      <c r="P2" s="3878"/>
      <c r="Q2" s="3878"/>
      <c r="R2" s="3879"/>
      <c r="S2" s="3879"/>
      <c r="T2" s="3879"/>
      <c r="U2" s="3878"/>
      <c r="V2" s="3878"/>
      <c r="W2" s="3878"/>
      <c r="X2" s="3878"/>
      <c r="Y2" s="3878"/>
      <c r="Z2" s="3878"/>
      <c r="AA2" s="3878"/>
      <c r="AB2" s="3878"/>
      <c r="AC2" s="3878"/>
      <c r="AD2" s="3878"/>
      <c r="AE2" s="3878"/>
      <c r="AF2" s="3878"/>
      <c r="AG2" s="398"/>
      <c r="AH2" s="398"/>
      <c r="AI2" s="366"/>
      <c r="AJ2" s="366"/>
      <c r="AK2" s="366"/>
      <c r="AL2" s="366"/>
      <c r="AM2" s="366"/>
      <c r="AN2" s="366"/>
      <c r="AO2" s="366"/>
      <c r="AP2" s="366"/>
      <c r="AQ2" s="366"/>
      <c r="AR2" s="366"/>
      <c r="AS2" s="366"/>
      <c r="AT2" s="366"/>
      <c r="AU2" s="366"/>
      <c r="AV2" s="366"/>
      <c r="AW2" s="366"/>
      <c r="AX2" s="366"/>
      <c r="AY2" s="366"/>
      <c r="AZ2" s="366"/>
      <c r="BA2" s="366"/>
      <c r="BB2" s="366"/>
      <c r="BC2" s="366"/>
      <c r="BD2" s="366"/>
      <c r="BE2" s="366"/>
      <c r="BF2" s="366"/>
      <c r="BG2" s="366"/>
      <c r="BH2" s="366"/>
      <c r="BI2" s="366"/>
      <c r="BJ2" s="366"/>
      <c r="BK2" s="3878"/>
      <c r="BL2" s="3878"/>
      <c r="BM2" s="3878"/>
      <c r="BN2" s="3878"/>
      <c r="BO2" s="3870"/>
      <c r="BP2" s="3870"/>
      <c r="BQ2" s="3870"/>
      <c r="BR2" s="3870"/>
      <c r="BS2" s="3874"/>
      <c r="BT2" s="3880"/>
      <c r="BU2" s="3878"/>
      <c r="BV2" s="3878"/>
      <c r="BW2" s="3878"/>
      <c r="BX2" s="3878"/>
      <c r="BY2" s="3878"/>
      <c r="BZ2" s="3878"/>
      <c r="CA2" s="3878"/>
      <c r="CB2" s="3878"/>
      <c r="CC2" s="3878"/>
      <c r="CD2" s="3878"/>
      <c r="CF2" s="3878"/>
      <c r="CH2" s="3877"/>
      <c r="CI2" s="3877"/>
      <c r="CJ2" s="3878"/>
      <c r="CK2" s="3878"/>
      <c r="CL2" s="3877"/>
      <c r="CM2" s="3881"/>
      <c r="CN2" s="3878"/>
      <c r="CO2" s="3878"/>
      <c r="CP2" s="3877"/>
      <c r="CQ2" s="3881"/>
      <c r="CR2" s="3881"/>
      <c r="CS2" s="3881"/>
      <c r="CT2" s="3881"/>
    </row>
    <row r="3" spans="1:98">
      <c r="A3" s="366" t="s">
        <v>763</v>
      </c>
      <c r="B3" s="366"/>
      <c r="C3" s="366"/>
      <c r="D3" s="2271"/>
      <c r="E3" s="2271"/>
      <c r="F3" s="2271"/>
      <c r="G3" s="2271"/>
      <c r="H3" s="2271"/>
      <c r="I3" s="2271"/>
      <c r="J3" s="2271"/>
      <c r="K3" s="3877"/>
      <c r="L3" s="1688"/>
      <c r="M3" s="3877"/>
      <c r="N3" s="3878"/>
      <c r="O3" s="3878"/>
      <c r="P3" s="3878"/>
      <c r="Q3" s="3878"/>
      <c r="R3" s="3879"/>
      <c r="S3" s="3882"/>
      <c r="T3" s="3882"/>
      <c r="U3" s="3878"/>
      <c r="V3" s="3878"/>
      <c r="W3" s="3878"/>
      <c r="X3" s="3878"/>
      <c r="Y3" s="3878"/>
      <c r="Z3" s="3878"/>
      <c r="AA3" s="3878"/>
      <c r="AB3" s="3878"/>
      <c r="AC3" s="3878"/>
      <c r="AD3" s="3878"/>
      <c r="AE3" s="3878"/>
      <c r="AF3" s="3878"/>
      <c r="AG3" s="1708"/>
      <c r="AH3" s="1708"/>
      <c r="AI3" s="1688"/>
      <c r="AJ3" s="1688"/>
      <c r="AK3" s="1688"/>
      <c r="AL3" s="1688"/>
      <c r="AM3" s="1688"/>
      <c r="AN3" s="1688"/>
      <c r="AO3" s="1688"/>
      <c r="AP3" s="1688"/>
      <c r="AQ3" s="1688"/>
      <c r="AR3" s="1688"/>
      <c r="AS3" s="1688"/>
      <c r="AT3" s="1688"/>
      <c r="AU3" s="1688"/>
      <c r="AV3" s="1688"/>
      <c r="AW3" s="1688"/>
      <c r="AX3" s="1688"/>
      <c r="AY3" s="1688"/>
      <c r="AZ3" s="1688"/>
      <c r="BA3" s="1688"/>
      <c r="BB3" s="1688"/>
      <c r="BC3" s="1688"/>
      <c r="BD3" s="1688"/>
      <c r="BE3" s="1688"/>
      <c r="BF3" s="1688"/>
      <c r="BG3" s="1688"/>
      <c r="BH3" s="1688"/>
      <c r="BI3" s="1688"/>
      <c r="BJ3" s="1688"/>
      <c r="BK3" s="3878"/>
      <c r="BL3" s="3878"/>
      <c r="BM3" s="3878"/>
      <c r="BN3" s="3878"/>
      <c r="BO3" s="3870"/>
      <c r="BP3" s="3870"/>
      <c r="BQ3" s="3878"/>
      <c r="BR3" s="3878"/>
      <c r="BS3" s="3877"/>
      <c r="BT3" s="3878"/>
      <c r="BU3" s="3878"/>
      <c r="BV3" s="3878"/>
      <c r="BW3" s="3878"/>
      <c r="BX3" s="3878"/>
      <c r="BY3" s="3878"/>
      <c r="BZ3" s="3878"/>
      <c r="CA3" s="3878"/>
      <c r="CB3" s="3878"/>
      <c r="CC3" s="3878"/>
      <c r="CD3" s="3878"/>
      <c r="CF3" s="3878"/>
      <c r="CH3" s="3877"/>
      <c r="CI3" s="3877"/>
      <c r="CJ3" s="3878"/>
      <c r="CK3" s="3878"/>
      <c r="CL3" s="3883"/>
      <c r="CM3" s="3883"/>
      <c r="CN3" s="3878"/>
      <c r="CO3" s="3878"/>
      <c r="CP3" s="3883"/>
      <c r="CQ3" s="3881"/>
      <c r="CR3" s="3881"/>
      <c r="CS3" s="3881"/>
      <c r="CT3" s="3881"/>
    </row>
    <row r="4" spans="1:98">
      <c r="A4" s="366"/>
      <c r="B4" s="366"/>
      <c r="C4" s="366"/>
      <c r="D4" s="2271"/>
      <c r="E4" s="2271"/>
      <c r="F4" s="2271"/>
      <c r="G4" s="2271"/>
      <c r="H4" s="2271"/>
      <c r="I4" s="2271"/>
      <c r="J4" s="2271"/>
      <c r="K4" s="3877"/>
      <c r="L4" s="1688"/>
      <c r="M4" s="3877"/>
      <c r="N4" s="3878"/>
      <c r="O4" s="3878"/>
      <c r="P4" s="3884"/>
      <c r="Q4" s="3884"/>
      <c r="R4" s="3879"/>
      <c r="S4" s="3879"/>
      <c r="T4" s="3882"/>
      <c r="U4" s="3884"/>
      <c r="V4" s="3884"/>
      <c r="W4" s="3884"/>
      <c r="X4" s="3884"/>
      <c r="Y4" s="3884"/>
      <c r="Z4" s="3884"/>
      <c r="AA4" s="3884"/>
      <c r="AB4" s="3884"/>
      <c r="AC4" s="3884"/>
      <c r="AD4" s="3884"/>
      <c r="AE4" s="3884"/>
      <c r="AF4" s="3884"/>
      <c r="AG4" s="1708"/>
      <c r="AH4" s="1708"/>
      <c r="AI4" s="1688"/>
      <c r="AJ4" s="1688"/>
      <c r="AK4" s="1688"/>
      <c r="AL4" s="1688"/>
      <c r="AM4" s="1688"/>
      <c r="AN4" s="1688"/>
      <c r="AO4" s="1688"/>
      <c r="AP4" s="1688"/>
      <c r="AQ4" s="1688"/>
      <c r="AR4" s="1688"/>
      <c r="AS4" s="1688"/>
      <c r="AT4" s="1688"/>
      <c r="AU4" s="1688"/>
      <c r="AV4" s="1688"/>
      <c r="AW4" s="1688"/>
      <c r="AX4" s="1688"/>
      <c r="AY4" s="1688"/>
      <c r="AZ4" s="1688"/>
      <c r="BA4" s="1688"/>
      <c r="BB4" s="1688"/>
      <c r="BC4" s="1688"/>
      <c r="BD4" s="1688"/>
      <c r="BE4" s="1688"/>
      <c r="BF4" s="1688"/>
      <c r="BG4" s="1688"/>
      <c r="BH4" s="1688"/>
      <c r="BI4" s="1688"/>
      <c r="BJ4" s="1688"/>
      <c r="BK4" s="3878"/>
      <c r="BL4" s="3878"/>
      <c r="BM4" s="3878"/>
      <c r="BN4" s="3878"/>
      <c r="BO4" s="3878"/>
      <c r="BP4" s="3870"/>
      <c r="BQ4" s="3878"/>
      <c r="BR4" s="3878"/>
      <c r="BS4" s="3877"/>
      <c r="BT4" s="3878"/>
      <c r="BU4" s="3878"/>
      <c r="BV4" s="3878"/>
      <c r="BW4" s="3878"/>
      <c r="BX4" s="3878"/>
      <c r="BY4" s="3878"/>
      <c r="BZ4" s="3874"/>
      <c r="CA4" s="3878"/>
      <c r="CB4" s="3878"/>
      <c r="CC4" s="3878"/>
      <c r="CD4" s="3874"/>
      <c r="CE4" s="3881"/>
      <c r="CF4" s="3881"/>
      <c r="CG4" s="3881"/>
      <c r="CH4" s="3874"/>
      <c r="CI4" s="3881"/>
      <c r="CJ4" s="1686"/>
      <c r="CK4" s="1686"/>
      <c r="CL4" s="1686"/>
      <c r="CM4" s="1686"/>
      <c r="CN4" s="1686"/>
      <c r="CO4" s="1686"/>
      <c r="CP4" s="1686"/>
      <c r="CQ4" s="3881"/>
      <c r="CR4" s="3881"/>
      <c r="CS4" s="3881"/>
      <c r="CT4" s="3881"/>
    </row>
    <row r="5" spans="1:98">
      <c r="A5" s="366"/>
      <c r="B5" s="366"/>
      <c r="C5" s="366"/>
      <c r="D5" s="2271"/>
      <c r="E5" s="3885" t="s">
        <v>1148</v>
      </c>
      <c r="F5" s="3886"/>
      <c r="G5" s="1918"/>
      <c r="H5" s="3887"/>
      <c r="I5" s="3888"/>
      <c r="J5" s="3889" t="s">
        <v>560</v>
      </c>
      <c r="K5" s="3877"/>
      <c r="L5" s="651"/>
      <c r="M5" s="651"/>
      <c r="N5" s="651"/>
      <c r="O5" s="651"/>
      <c r="P5" s="651"/>
      <c r="Q5" s="366"/>
      <c r="R5" s="366"/>
      <c r="S5" s="366"/>
      <c r="T5" s="366"/>
      <c r="U5" s="366"/>
      <c r="V5" s="366"/>
      <c r="W5" s="366"/>
      <c r="X5" s="366"/>
      <c r="Y5" s="366"/>
      <c r="Z5" s="366"/>
      <c r="AA5" s="366"/>
      <c r="AB5" s="366"/>
      <c r="AC5" s="366"/>
      <c r="AD5" s="366"/>
      <c r="AE5" s="366"/>
      <c r="AF5" s="366"/>
      <c r="AG5" s="398"/>
      <c r="AH5" s="398"/>
      <c r="AI5" s="366"/>
      <c r="AJ5" s="366"/>
      <c r="AK5" s="366"/>
      <c r="AL5" s="4167"/>
      <c r="AM5" s="4167"/>
      <c r="AN5" s="4167"/>
      <c r="AO5" s="4167"/>
      <c r="AP5" s="4167"/>
      <c r="AQ5" s="4167"/>
      <c r="AR5" s="4167"/>
      <c r="AS5" s="4167"/>
      <c r="AT5" s="4167"/>
      <c r="AU5" s="4167"/>
      <c r="AV5" s="4167"/>
      <c r="AW5" s="4167"/>
      <c r="AX5" s="4167"/>
      <c r="AY5" s="4167"/>
      <c r="AZ5" s="4167"/>
      <c r="BA5" s="4167"/>
      <c r="BB5" s="4167"/>
      <c r="BC5" s="4167"/>
      <c r="BD5" s="4167"/>
      <c r="BE5" s="4167"/>
      <c r="BF5" s="4167"/>
      <c r="BG5" s="4167"/>
      <c r="BH5" s="4167"/>
      <c r="BI5" s="651"/>
      <c r="BJ5" s="651"/>
      <c r="BK5" s="3878"/>
      <c r="BL5" s="3878"/>
      <c r="BM5" s="3878"/>
      <c r="BN5" s="3878"/>
      <c r="BO5" s="3878"/>
      <c r="BP5" s="3890"/>
      <c r="BQ5" s="3878"/>
      <c r="BR5" s="3878"/>
      <c r="BS5" s="3877"/>
      <c r="BT5" s="3878"/>
      <c r="BU5" s="3878"/>
      <c r="BV5" s="3878"/>
      <c r="BW5" s="3878"/>
      <c r="BX5" s="3878"/>
      <c r="BY5" s="3878"/>
      <c r="BZ5" s="3878"/>
      <c r="CA5" s="3878"/>
      <c r="CB5" s="3878"/>
      <c r="CC5" s="3878"/>
      <c r="CD5" s="3881"/>
      <c r="CE5" s="3881"/>
      <c r="CF5" s="3881"/>
      <c r="CG5" s="3881"/>
      <c r="CH5" s="3881"/>
      <c r="CI5" s="3881"/>
      <c r="CJ5" s="3881"/>
      <c r="CK5" s="3881"/>
      <c r="CL5" s="3881"/>
      <c r="CM5" s="3881"/>
      <c r="CN5" s="3881"/>
      <c r="CO5" s="3881"/>
      <c r="CP5" s="3881"/>
      <c r="CQ5" s="3881"/>
      <c r="CR5" s="3881"/>
      <c r="CS5" s="3881"/>
      <c r="CT5" s="3881"/>
    </row>
    <row r="6" spans="1:98" s="3876" customFormat="1">
      <c r="A6" s="3101"/>
      <c r="B6" s="3101"/>
      <c r="C6" s="3101"/>
      <c r="D6" s="3101"/>
      <c r="E6" s="3891"/>
      <c r="F6" s="3892"/>
      <c r="G6" s="1919"/>
      <c r="H6" s="3893"/>
      <c r="I6" s="3894"/>
      <c r="J6" s="3891" t="s">
        <v>561</v>
      </c>
      <c r="K6" s="3893"/>
      <c r="L6" s="3893"/>
      <c r="M6" s="3891" t="s">
        <v>109</v>
      </c>
      <c r="N6" s="3895"/>
      <c r="O6" s="3895"/>
      <c r="P6" s="3895"/>
      <c r="Q6" s="3895"/>
      <c r="R6" s="3895"/>
      <c r="S6" s="3895"/>
      <c r="T6" s="3895"/>
      <c r="U6" s="3895"/>
      <c r="V6" s="3895"/>
      <c r="W6" s="3895"/>
      <c r="X6" s="3895"/>
      <c r="Y6" s="3895"/>
      <c r="Z6" s="3895"/>
      <c r="AA6" s="3895"/>
      <c r="AB6" s="3895"/>
      <c r="AC6" s="3895"/>
      <c r="AD6" s="3895"/>
      <c r="AE6" s="3895"/>
      <c r="AF6" s="3895"/>
      <c r="AG6" s="3101"/>
      <c r="AH6" s="3101"/>
      <c r="AI6" s="3101"/>
      <c r="AJ6" s="3101"/>
      <c r="AK6" s="3101"/>
      <c r="AL6" s="3896"/>
      <c r="AM6" s="3101"/>
      <c r="AN6" s="651"/>
      <c r="AO6" s="651"/>
      <c r="AP6" s="651"/>
      <c r="AQ6" s="651"/>
      <c r="AR6" s="651"/>
      <c r="AS6" s="651"/>
      <c r="AT6" s="651"/>
      <c r="AU6" s="651"/>
      <c r="AV6" s="651"/>
      <c r="AW6" s="651"/>
      <c r="AX6" s="651"/>
      <c r="AY6" s="651"/>
      <c r="AZ6" s="651"/>
      <c r="BA6" s="651"/>
      <c r="BB6" s="3897"/>
      <c r="BC6" s="4164" t="s">
        <v>561</v>
      </c>
      <c r="BD6" s="4165"/>
      <c r="BE6" s="4165"/>
      <c r="BF6" s="4165"/>
      <c r="BG6" s="4165"/>
      <c r="BH6" s="4165"/>
      <c r="BI6" s="4165"/>
      <c r="BJ6" s="4165"/>
      <c r="BK6" s="4165"/>
      <c r="BL6" s="4165"/>
      <c r="BM6" s="4165"/>
      <c r="BN6" s="4166"/>
      <c r="BO6" s="4164" t="s">
        <v>340</v>
      </c>
      <c r="BP6" s="4165"/>
      <c r="BQ6" s="4165"/>
      <c r="BR6" s="4165"/>
      <c r="BS6" s="4165"/>
      <c r="BT6" s="4165"/>
      <c r="BU6" s="4165"/>
      <c r="BV6" s="4166"/>
      <c r="BW6" s="3898"/>
      <c r="BX6" s="3898"/>
      <c r="BY6" s="3898"/>
      <c r="BZ6" s="3898"/>
      <c r="CA6" s="3898"/>
      <c r="CB6" s="3898"/>
      <c r="CC6" s="3898"/>
      <c r="CD6" s="3898"/>
      <c r="CE6" s="3898"/>
      <c r="CF6" s="3899"/>
      <c r="CG6" s="3898"/>
      <c r="CH6" s="3898"/>
      <c r="CI6" s="3898"/>
      <c r="CJ6" s="3898"/>
      <c r="CK6" s="3898"/>
      <c r="CL6" s="3898"/>
      <c r="CM6" s="3898"/>
      <c r="CN6" s="3898"/>
      <c r="CO6" s="3898"/>
      <c r="CP6" s="3898"/>
      <c r="CQ6" s="3898"/>
      <c r="CR6" s="3898"/>
      <c r="CS6" s="3898"/>
      <c r="CT6" s="3898"/>
    </row>
    <row r="7" spans="1:98" hidden="1" outlineLevel="1">
      <c r="A7" s="605" t="s">
        <v>764</v>
      </c>
      <c r="B7" s="605"/>
      <c r="C7" s="605"/>
      <c r="D7" s="605"/>
      <c r="E7" s="382"/>
      <c r="F7" s="382">
        <f>IS!E6</f>
        <v>-6.4626407185521115</v>
      </c>
      <c r="G7" s="382">
        <f>IS!F6</f>
        <v>-6.7393776396306047</v>
      </c>
      <c r="H7" s="382">
        <f>IS!G6</f>
        <v>-1.7133093831662458</v>
      </c>
      <c r="I7" s="383">
        <f>IS!H6</f>
        <v>-2.222796433745823</v>
      </c>
      <c r="J7" s="674">
        <f>IS!I6</f>
        <v>2.9254653652975398</v>
      </c>
      <c r="K7" s="752">
        <f>IS!J6</f>
        <v>3.0904647285107814</v>
      </c>
      <c r="L7" s="674">
        <f>IS!K6</f>
        <v>3.0630087973919395</v>
      </c>
      <c r="M7" s="674">
        <f ca="1">IS!L6</f>
        <v>2.8242898178714193</v>
      </c>
      <c r="N7" s="383">
        <f>IS!M6</f>
        <v>3.3224326474203942</v>
      </c>
      <c r="O7" s="383">
        <f>IS!N6</f>
        <v>2.7628657879380056</v>
      </c>
      <c r="P7" s="674">
        <f>IS!O6</f>
        <v>1.756320999276396</v>
      </c>
      <c r="Q7" s="674">
        <f>IS!P6</f>
        <v>1.8627492485500192</v>
      </c>
      <c r="R7" s="674">
        <f>IS!Q6</f>
        <v>1.1577911158026928</v>
      </c>
      <c r="S7" s="674">
        <f>IS!R6</f>
        <v>2.3922655382935467</v>
      </c>
      <c r="T7" s="674">
        <f>IS!S6</f>
        <v>0.55951274391392103</v>
      </c>
      <c r="U7" s="674">
        <f>IS!Y6</f>
        <v>0</v>
      </c>
      <c r="V7" s="674"/>
      <c r="W7" s="674"/>
      <c r="X7" s="674"/>
      <c r="Y7" s="674"/>
      <c r="Z7" s="674"/>
      <c r="AA7" s="674"/>
      <c r="AB7" s="674"/>
      <c r="AC7" s="674"/>
      <c r="AD7" s="674"/>
      <c r="AE7" s="674"/>
      <c r="AF7" s="674"/>
      <c r="AG7" s="398"/>
      <c r="AH7" s="398"/>
      <c r="AI7" s="375"/>
      <c r="AJ7" s="377"/>
      <c r="AK7" s="377"/>
      <c r="AL7" s="379">
        <f>IS!AD6</f>
        <v>0.61413514591961671</v>
      </c>
      <c r="AM7" s="382">
        <f>IS!AE6</f>
        <v>0.58096088512490629</v>
      </c>
      <c r="AN7" s="382">
        <f>IS!AF6</f>
        <v>0.59964432028454329</v>
      </c>
      <c r="AO7" s="382">
        <f>IS!AG6</f>
        <v>0.59773679984086914</v>
      </c>
      <c r="AP7" s="382">
        <f>IS!AH6</f>
        <v>0.61506273126734501</v>
      </c>
      <c r="AQ7" s="382">
        <f>IS!AI6</f>
        <v>0.58315654411711104</v>
      </c>
      <c r="AR7" s="382">
        <f>IS!AJ6</f>
        <v>0.62889652369869586</v>
      </c>
      <c r="AS7" s="382">
        <f>IS!AK6</f>
        <v>0.72822184290296987</v>
      </c>
      <c r="AT7" s="382">
        <f>IS!AL6</f>
        <v>0.60466314000456134</v>
      </c>
      <c r="AU7" s="382">
        <f>IS!AM6</f>
        <v>0.73718052574181037</v>
      </c>
      <c r="AV7" s="382">
        <f>IS!AN6</f>
        <v>0.80028659485713416</v>
      </c>
      <c r="AW7" s="382">
        <f>IS!AO6</f>
        <v>0.72891287775576841</v>
      </c>
      <c r="AX7" s="382">
        <f>IS!AP6</f>
        <v>0.83804739911674497</v>
      </c>
      <c r="AY7" s="382">
        <f>IS!AQ6</f>
        <v>0.61787902650294091</v>
      </c>
      <c r="AZ7" s="382">
        <f>IS!AR6</f>
        <v>0.67077583733607171</v>
      </c>
      <c r="BA7" s="382">
        <f>IS!AS6</f>
        <v>0.70234942574313564</v>
      </c>
      <c r="BB7" s="383">
        <f>IS!AT6</f>
        <v>0.74958248827725904</v>
      </c>
      <c r="BC7" s="382">
        <f>IS!AU6</f>
        <v>0.72722469576457049</v>
      </c>
      <c r="BD7" s="382">
        <f>IS!AV6</f>
        <v>0.73580714916975454</v>
      </c>
      <c r="BE7" s="382">
        <f>IS!AW6</f>
        <v>0.64620064482093797</v>
      </c>
      <c r="BF7" s="382">
        <f>IS!AX6</f>
        <v>0.81768961957067898</v>
      </c>
      <c r="BG7" s="382">
        <f>IS!AY6</f>
        <v>0.90153754345154336</v>
      </c>
      <c r="BH7" s="382">
        <f>IS!AZ6</f>
        <v>0.73704518538427288</v>
      </c>
      <c r="BI7" s="382">
        <f>IS!BA6</f>
        <v>0.72322267531414786</v>
      </c>
      <c r="BJ7" s="383">
        <f>IS!BB6</f>
        <v>0.73211958605311178</v>
      </c>
      <c r="BK7" s="382">
        <f>IS!BC6</f>
        <v>0.82932492950738101</v>
      </c>
      <c r="BL7" s="382">
        <f>IS!BD6</f>
        <v>0.74261081296510933</v>
      </c>
      <c r="BM7" s="382">
        <f>IS!BE6</f>
        <v>0.74034702613502279</v>
      </c>
      <c r="BN7" s="382">
        <f>IS!BF6</f>
        <v>0.75094900148539367</v>
      </c>
      <c r="BO7" s="381">
        <f ca="1">IS!BG6</f>
        <v>0.78781957335938801</v>
      </c>
      <c r="BP7" s="674">
        <f>IS!BH6</f>
        <v>0.69646835218516945</v>
      </c>
      <c r="BQ7" s="674">
        <f>IS!BI6</f>
        <v>0.61145711690670823</v>
      </c>
      <c r="BR7" s="674">
        <f>IS!BJ6</f>
        <v>0.55455853583612236</v>
      </c>
      <c r="BS7" s="674">
        <f>IS!BK6</f>
        <v>0.68187313613282818</v>
      </c>
      <c r="BT7" s="674">
        <f>IS!BL6</f>
        <v>0.64807771786587842</v>
      </c>
      <c r="BU7" s="674">
        <f>IS!BM6</f>
        <v>0.66260653044460416</v>
      </c>
      <c r="BV7" s="674">
        <f>IS!BN6</f>
        <v>0.66703652987072959</v>
      </c>
      <c r="BW7" s="2203">
        <f>IS!BO6</f>
        <v>0.76480419402518873</v>
      </c>
      <c r="BX7" s="377">
        <f>IS!BP6</f>
        <v>0.68857104170725991</v>
      </c>
      <c r="BY7" s="377">
        <f>IS!BQ6</f>
        <v>0.63068987381157005</v>
      </c>
      <c r="BZ7" s="377">
        <f>IS!BR6</f>
        <v>0.67532768741196014</v>
      </c>
      <c r="CA7" s="2203">
        <f>IS!BS6</f>
        <v>0.40142078629817046</v>
      </c>
      <c r="CB7" s="377">
        <f>IS!BT6</f>
        <v>0.47624738151808682</v>
      </c>
      <c r="CC7" s="377">
        <f>IS!BU6</f>
        <v>0.38341593561439308</v>
      </c>
      <c r="CD7" s="377">
        <f>IS!BV6</f>
        <v>0.49556023878596561</v>
      </c>
      <c r="CE7" s="377">
        <f>IS!BW6</f>
        <v>0.42235650082962883</v>
      </c>
      <c r="CF7" s="377">
        <f>IS!BX6</f>
        <v>0.28611279997138872</v>
      </c>
      <c r="CG7" s="377">
        <f>IS!BY6</f>
        <v>0.54038864751529303</v>
      </c>
      <c r="CH7" s="377">
        <f>IS!BZ6</f>
        <v>0.61936283048813523</v>
      </c>
      <c r="CI7" s="377">
        <f>IS!CA6</f>
        <v>0.43688574512159678</v>
      </c>
      <c r="CJ7" s="377">
        <f>IS!CB6</f>
        <v>0.36269430051813473</v>
      </c>
      <c r="CK7" s="377">
        <f>IS!CC6</f>
        <v>0.28100429455905435</v>
      </c>
      <c r="CL7" s="377">
        <f>IS!CD6</f>
        <v>7.7600303010706986E-2</v>
      </c>
      <c r="CM7" s="377">
        <f>IS!CE6</f>
        <v>0.30100346800314665</v>
      </c>
      <c r="CN7" s="377">
        <f>IS!CF6</f>
        <v>3.1356577779991186E-2</v>
      </c>
      <c r="CO7" s="377">
        <f>IS!CG6</f>
        <v>0.16975328574090853</v>
      </c>
      <c r="CP7" s="377">
        <f>IS!CH6</f>
        <v>1.3856163574710252</v>
      </c>
      <c r="CQ7" s="377">
        <f>IS!CI6</f>
        <v>8.2176771487424846E-2</v>
      </c>
      <c r="CR7" s="377">
        <f>IS!CJ6</f>
        <v>0.12440592714524437</v>
      </c>
      <c r="CS7" s="377">
        <f>IS!CK6</f>
        <v>0.15329892914341892</v>
      </c>
      <c r="CT7" s="379">
        <f>IS!CL6</f>
        <v>0.19914188755557743</v>
      </c>
    </row>
    <row r="8" spans="1:98" hidden="1" outlineLevel="1">
      <c r="A8" s="753" t="str">
        <f>IS!A6</f>
        <v>EPS (normalized)</v>
      </c>
      <c r="B8" s="753"/>
      <c r="C8" s="753"/>
      <c r="D8" s="753"/>
      <c r="E8" s="754"/>
      <c r="F8" s="755">
        <f>IS!E7</f>
        <v>0</v>
      </c>
      <c r="G8" s="755">
        <f>IS!F7</f>
        <v>4.2821028296385455E-2</v>
      </c>
      <c r="H8" s="755">
        <f>IS!G7</f>
        <v>-0.74577632019146578</v>
      </c>
      <c r="I8" s="678">
        <f>IS!H7</f>
        <v>0.29737013967555015</v>
      </c>
      <c r="J8" s="676">
        <f>IS!I7</f>
        <v>-2.316119335483902</v>
      </c>
      <c r="K8" s="756">
        <f>IS!J7</f>
        <v>5.6401065338355094E-2</v>
      </c>
      <c r="L8" s="676">
        <f>IS!K7</f>
        <v>-8.8840784576992293E-3</v>
      </c>
      <c r="M8" s="676">
        <f ca="1">IS!L7</f>
        <v>-7.7936106394399629E-2</v>
      </c>
      <c r="N8" s="678">
        <f ca="1">IS!M7</f>
        <v>0.17637808499568575</v>
      </c>
      <c r="O8" s="678">
        <f>IS!N7</f>
        <v>-0.16842082861088181</v>
      </c>
      <c r="P8" s="676">
        <f>IS!O7</f>
        <v>-0.36431186525814507</v>
      </c>
      <c r="Q8" s="676">
        <f>IS!P7</f>
        <v>6.0597265145421408E-2</v>
      </c>
      <c r="R8" s="676">
        <f>IS!Q7</f>
        <v>-0.37845036485510442</v>
      </c>
      <c r="S8" s="676">
        <f>IS!R7</f>
        <v>1.0662324193384372</v>
      </c>
      <c r="T8" s="676">
        <f>IS!S7</f>
        <v>-0.76611595370260055</v>
      </c>
      <c r="U8" s="676">
        <f>IS!Y7</f>
        <v>0</v>
      </c>
      <c r="V8" s="676"/>
      <c r="W8" s="676"/>
      <c r="X8" s="676"/>
      <c r="Y8" s="676"/>
      <c r="Z8" s="676"/>
      <c r="AA8" s="676"/>
      <c r="AB8" s="676"/>
      <c r="AC8" s="676"/>
      <c r="AD8" s="676"/>
      <c r="AE8" s="676"/>
      <c r="AF8" s="676"/>
      <c r="AG8" s="398"/>
      <c r="AH8" s="398"/>
      <c r="AI8" s="757"/>
      <c r="AJ8" s="675"/>
      <c r="AK8" s="675"/>
      <c r="AL8" s="758"/>
      <c r="AM8" s="755"/>
      <c r="AN8" s="755"/>
      <c r="AO8" s="755"/>
      <c r="AP8" s="755">
        <f>IS!AH7</f>
        <v>1.5103928734436778E-3</v>
      </c>
      <c r="AQ8" s="755">
        <f>IS!AI7</f>
        <v>3.7793576958846664E-3</v>
      </c>
      <c r="AR8" s="755">
        <f>IS!AJ7</f>
        <v>4.8782590653525748E-2</v>
      </c>
      <c r="AS8" s="755">
        <f>IS!AK7</f>
        <v>0.21829849374647625</v>
      </c>
      <c r="AT8" s="755">
        <f>IS!AL7</f>
        <v>-1.6908179823146074E-2</v>
      </c>
      <c r="AU8" s="755">
        <f>IS!AM7</f>
        <v>0.26412115782373502</v>
      </c>
      <c r="AV8" s="755">
        <f>IS!AN7</f>
        <v>0.27252507320353891</v>
      </c>
      <c r="AW8" s="755">
        <f>IS!AO7</f>
        <v>9.4893453077959933E-4</v>
      </c>
      <c r="AX8" s="755">
        <f>IS!AP7</f>
        <v>0.38597401374660123</v>
      </c>
      <c r="AY8" s="755">
        <f>IS!AQ7</f>
        <v>-0.16183484923020541</v>
      </c>
      <c r="AZ8" s="755">
        <f>IS!AR7</f>
        <v>-0.1618304721750119</v>
      </c>
      <c r="BA8" s="755">
        <f>IS!AS7</f>
        <v>-3.64425610018283E-2</v>
      </c>
      <c r="BB8" s="678">
        <f>IS!AT7</f>
        <v>-0.10556074863154874</v>
      </c>
      <c r="BC8" s="755">
        <f>IS!AU7</f>
        <v>0.17696938166116749</v>
      </c>
      <c r="BD8" s="755">
        <f>IS!AV7</f>
        <v>9.6949395332946109E-2</v>
      </c>
      <c r="BE8" s="755">
        <f>IS!AW7</f>
        <v>-7.9944225572318617E-2</v>
      </c>
      <c r="BF8" s="755">
        <f>IS!AX7</f>
        <v>9.0860088594049593E-2</v>
      </c>
      <c r="BG8" s="755">
        <f>IS!AY7</f>
        <v>0.23969599588983748</v>
      </c>
      <c r="BH8" s="755">
        <f>IS!AZ7</f>
        <v>1.6825552944346178E-3</v>
      </c>
      <c r="BI8" s="755">
        <f>IS!BA7</f>
        <v>0.11919212880784524</v>
      </c>
      <c r="BJ8" s="678">
        <f>IS!BB7</f>
        <v>-0.10464855058633982</v>
      </c>
      <c r="BK8" s="755" t="str">
        <f>IS!BC7</f>
        <v>NM</v>
      </c>
      <c r="BL8" s="755" t="str">
        <f>IS!BD7</f>
        <v>NM</v>
      </c>
      <c r="BM8" s="755" t="str">
        <f>IS!BE7</f>
        <v>NM</v>
      </c>
      <c r="BN8" s="755" t="str">
        <f>IS!BF7</f>
        <v>NM</v>
      </c>
      <c r="BO8" s="677">
        <f ca="1">IS!BG7</f>
        <v>-5.0047158443249917E-2</v>
      </c>
      <c r="BP8" s="676">
        <f>IS!BH7</f>
        <v>-6.2135455038287768E-2</v>
      </c>
      <c r="BQ8" s="676">
        <f>IS!BI7</f>
        <v>-0.1740939109341515</v>
      </c>
      <c r="BR8" s="676">
        <f>IS!BJ7</f>
        <v>-0.26152303986130432</v>
      </c>
      <c r="BS8" s="676">
        <f ca="1">IS!BK7</f>
        <v>-0.13448058516087302</v>
      </c>
      <c r="BT8" s="676">
        <f>IS!BL7</f>
        <v>-6.948001896635414E-2</v>
      </c>
      <c r="BU8" s="676">
        <f>IS!BM7</f>
        <v>8.3651677482559972E-2</v>
      </c>
      <c r="BV8" s="676">
        <f>IS!BN7</f>
        <v>0.20282438510304646</v>
      </c>
      <c r="BW8" s="677">
        <f>IS!BO7</f>
        <v>0.12162241551660968</v>
      </c>
      <c r="BX8" s="676">
        <f>IS!BP7</f>
        <v>6.2482203484369281E-2</v>
      </c>
      <c r="BY8" s="676">
        <f>IS!BQ7</f>
        <v>-4.8168339982430086E-2</v>
      </c>
      <c r="BZ8" s="676">
        <f>IS!BR7</f>
        <v>1.2429840301006356E-2</v>
      </c>
      <c r="CA8" s="677">
        <f>IS!BS7</f>
        <v>-0.47513260330663187</v>
      </c>
      <c r="CB8" s="676">
        <f>IS!BT7</f>
        <v>-0.30835403658964888</v>
      </c>
      <c r="CC8" s="676">
        <f>IS!BU7</f>
        <v>-0.392068984242253</v>
      </c>
      <c r="CD8" s="676">
        <f>IS!BV7</f>
        <v>-0.26619291934395939</v>
      </c>
      <c r="CE8" s="676">
        <f>IS!BW7</f>
        <v>5.2154036975822216E-2</v>
      </c>
      <c r="CF8" s="676">
        <f>IS!BX7</f>
        <v>-0.39923491220177387</v>
      </c>
      <c r="CG8" s="676">
        <f>IS!BY7</f>
        <v>0.40940581055757064</v>
      </c>
      <c r="CH8" s="676">
        <f>IS!BZ7</f>
        <v>0.24982349674676074</v>
      </c>
      <c r="CI8" s="676">
        <f>IS!CA7</f>
        <v>3.4400427751031026E-2</v>
      </c>
      <c r="CJ8" s="676">
        <f>IS!CB7</f>
        <v>0.26766191709844556</v>
      </c>
      <c r="CK8" s="676">
        <f>IS!CC7</f>
        <v>-0.4799959328325788</v>
      </c>
      <c r="CL8" s="676">
        <f>IS!CD7</f>
        <v>-0.87470946077027545</v>
      </c>
      <c r="CM8" s="676">
        <f>IS!CE7</f>
        <v>-0.31102474419400095</v>
      </c>
      <c r="CN8" s="676">
        <f>IS!CF7</f>
        <v>-0.91354543554945289</v>
      </c>
      <c r="CO8" s="676">
        <f>IS!CG7</f>
        <v>-0.39590501274266432</v>
      </c>
      <c r="CP8" s="676">
        <f>IS!CH7</f>
        <v>16.855811172281676</v>
      </c>
      <c r="CQ8" s="676">
        <f>IS!CI7</f>
        <v>-0.72699061564777123</v>
      </c>
      <c r="CR8" s="676">
        <f>IS!CJ7</f>
        <v>2.9674586945718455</v>
      </c>
      <c r="CS8" s="676">
        <f>IS!CK7</f>
        <v>-9.6931005050492014E-2</v>
      </c>
      <c r="CT8" s="678">
        <f>IS!CL7</f>
        <v>-0.85627920276645431</v>
      </c>
    </row>
    <row r="9" spans="1:98" ht="15" customHeight="1" collapsed="1">
      <c r="A9" s="2909" t="s">
        <v>765</v>
      </c>
      <c r="B9" s="2825"/>
      <c r="C9" s="2825"/>
      <c r="D9" s="2825"/>
      <c r="E9" s="2901">
        <v>2003</v>
      </c>
      <c r="F9" s="2901">
        <v>2004</v>
      </c>
      <c r="G9" s="2901">
        <v>2005</v>
      </c>
      <c r="H9" s="2901">
        <v>2006</v>
      </c>
      <c r="I9" s="2901">
        <v>2007</v>
      </c>
      <c r="J9" s="2825">
        <v>2008</v>
      </c>
      <c r="K9" s="2825">
        <v>2009</v>
      </c>
      <c r="L9" s="2825">
        <v>2010</v>
      </c>
      <c r="M9" s="2838" t="str">
        <f>IS!L8</f>
        <v>2011</v>
      </c>
      <c r="N9" s="2838" t="str">
        <f>IS!M8</f>
        <v>2012</v>
      </c>
      <c r="O9" s="2838" t="str">
        <f>IS!N8</f>
        <v>2013</v>
      </c>
      <c r="P9" s="2838" t="str">
        <f>IS!O8</f>
        <v>2014</v>
      </c>
      <c r="Q9" s="2838" t="str">
        <f>IS!P8</f>
        <v>2015</v>
      </c>
      <c r="R9" s="2838" t="str">
        <f>IS!Q8</f>
        <v>2016</v>
      </c>
      <c r="S9" s="2838" t="str">
        <f>IS!R8</f>
        <v>2017</v>
      </c>
      <c r="T9" s="2838" t="str">
        <f>IS!S8</f>
        <v>2018E</v>
      </c>
      <c r="U9" s="2838" t="str">
        <f>IS!T8</f>
        <v>2019E</v>
      </c>
      <c r="V9" s="2838" t="str">
        <f>IS!U8</f>
        <v>2020E</v>
      </c>
      <c r="W9" s="2838" t="str">
        <f>IS!V8</f>
        <v>2021E</v>
      </c>
      <c r="X9" s="3457">
        <v>2022</v>
      </c>
      <c r="Y9" s="3457">
        <v>2023</v>
      </c>
      <c r="Z9" s="3457">
        <v>2024</v>
      </c>
      <c r="AA9" s="3457">
        <v>2025</v>
      </c>
      <c r="AB9" s="3457">
        <v>2026</v>
      </c>
      <c r="AC9" s="3457">
        <v>2027</v>
      </c>
      <c r="AD9" s="3457">
        <v>2028</v>
      </c>
      <c r="AE9" s="3457">
        <v>2029</v>
      </c>
      <c r="AF9" s="3457">
        <v>2030</v>
      </c>
      <c r="AG9" s="2549"/>
      <c r="AH9" s="3900"/>
      <c r="AI9" s="2839"/>
      <c r="AJ9" s="2825"/>
      <c r="AK9" s="2825"/>
      <c r="AL9" s="2826" t="s">
        <v>767</v>
      </c>
      <c r="AM9" s="2825" t="s">
        <v>768</v>
      </c>
      <c r="AN9" s="2825" t="s">
        <v>769</v>
      </c>
      <c r="AO9" s="2825" t="s">
        <v>770</v>
      </c>
      <c r="AP9" s="2825" t="s">
        <v>771</v>
      </c>
      <c r="AQ9" s="2825" t="s">
        <v>800</v>
      </c>
      <c r="AR9" s="2825" t="s">
        <v>801</v>
      </c>
      <c r="AS9" s="2825" t="s">
        <v>802</v>
      </c>
      <c r="AT9" s="2825" t="s">
        <v>803</v>
      </c>
      <c r="AU9" s="2825" t="s">
        <v>804</v>
      </c>
      <c r="AV9" s="2825" t="s">
        <v>805</v>
      </c>
      <c r="AW9" s="2825" t="s">
        <v>806</v>
      </c>
      <c r="AX9" s="2825" t="s">
        <v>807</v>
      </c>
      <c r="AY9" s="2825" t="s">
        <v>808</v>
      </c>
      <c r="AZ9" s="2825" t="s">
        <v>809</v>
      </c>
      <c r="BA9" s="2825" t="s">
        <v>810</v>
      </c>
      <c r="BB9" s="2825" t="s">
        <v>811</v>
      </c>
      <c r="BC9" s="2825" t="s">
        <v>812</v>
      </c>
      <c r="BD9" s="2825" t="s">
        <v>813</v>
      </c>
      <c r="BE9" s="2825" t="s">
        <v>814</v>
      </c>
      <c r="BF9" s="2825" t="s">
        <v>430</v>
      </c>
      <c r="BG9" s="2825" t="s">
        <v>431</v>
      </c>
      <c r="BH9" s="2825" t="s">
        <v>486</v>
      </c>
      <c r="BI9" s="2825" t="s">
        <v>493</v>
      </c>
      <c r="BJ9" s="2825" t="s">
        <v>513</v>
      </c>
      <c r="BK9" s="2839" t="s">
        <v>559</v>
      </c>
      <c r="BL9" s="2825" t="s">
        <v>730</v>
      </c>
      <c r="BM9" s="2825" t="s">
        <v>367</v>
      </c>
      <c r="BN9" s="2825" t="s">
        <v>582</v>
      </c>
      <c r="BO9" s="2839" t="s">
        <v>257</v>
      </c>
      <c r="BP9" s="2825" t="s">
        <v>950</v>
      </c>
      <c r="BQ9" s="2825" t="s">
        <v>455</v>
      </c>
      <c r="BR9" s="2826" t="s">
        <v>70</v>
      </c>
      <c r="BS9" s="2825" t="str">
        <f>IS!BK8</f>
        <v>1Q12</v>
      </c>
      <c r="BT9" s="2825" t="s">
        <v>414</v>
      </c>
      <c r="BU9" s="2825" t="s">
        <v>733</v>
      </c>
      <c r="BV9" s="2825" t="s">
        <v>141</v>
      </c>
      <c r="BW9" s="2839" t="s">
        <v>276</v>
      </c>
      <c r="BX9" s="2825" t="s">
        <v>557</v>
      </c>
      <c r="BY9" s="2825" t="s">
        <v>964</v>
      </c>
      <c r="BZ9" s="2826" t="s">
        <v>418</v>
      </c>
      <c r="CA9" s="2839" t="str">
        <f>IS!BS8</f>
        <v>1Q14</v>
      </c>
      <c r="CB9" s="2825" t="str">
        <f>IS!BT8</f>
        <v>2Q14</v>
      </c>
      <c r="CC9" s="2825" t="str">
        <f>IS!BU8</f>
        <v>3Q14</v>
      </c>
      <c r="CD9" s="2826" t="str">
        <f>IS!BV8</f>
        <v>4Q14</v>
      </c>
      <c r="CE9" s="2839" t="str">
        <f>IS!BW8</f>
        <v>1Q15</v>
      </c>
      <c r="CF9" s="2825" t="str">
        <f>IS!BX8</f>
        <v>2Q15</v>
      </c>
      <c r="CG9" s="2825" t="str">
        <f>IS!BY8</f>
        <v>3Q15</v>
      </c>
      <c r="CH9" s="2826" t="str">
        <f>IS!BZ8</f>
        <v>4Q15</v>
      </c>
      <c r="CI9" s="2825" t="str">
        <f>IS!CA8</f>
        <v>1Q16</v>
      </c>
      <c r="CJ9" s="2825" t="str">
        <f>IS!CB8</f>
        <v>2Q16</v>
      </c>
      <c r="CK9" s="2825" t="str">
        <f>IS!CC8</f>
        <v>3Q16</v>
      </c>
      <c r="CL9" s="2826" t="str">
        <f>IS!CD8</f>
        <v>4Q16</v>
      </c>
      <c r="CM9" s="2825" t="str">
        <f>IS!CE8</f>
        <v>1Q17</v>
      </c>
      <c r="CN9" s="2825" t="str">
        <f>IS!CF8</f>
        <v>2Q17</v>
      </c>
      <c r="CO9" s="2825" t="str">
        <f>IS!CG8</f>
        <v>3Q17</v>
      </c>
      <c r="CP9" s="2826" t="str">
        <f>IS!CH8</f>
        <v>4Q17</v>
      </c>
      <c r="CQ9" s="2825" t="str">
        <f>IS!CI8</f>
        <v>1Q18E</v>
      </c>
      <c r="CR9" s="2825" t="str">
        <f>IS!CJ8</f>
        <v>2Q18E</v>
      </c>
      <c r="CS9" s="2825" t="str">
        <f>IS!CK8</f>
        <v>3Q18E</v>
      </c>
      <c r="CT9" s="2826" t="str">
        <f>IS!CL8</f>
        <v>4Q18E</v>
      </c>
    </row>
    <row r="10" spans="1:98">
      <c r="A10" s="2910" t="s">
        <v>787</v>
      </c>
      <c r="B10" s="2911"/>
      <c r="C10" s="2911"/>
      <c r="D10" s="2911"/>
      <c r="E10" s="2911"/>
      <c r="F10" s="2911"/>
      <c r="G10" s="2911"/>
      <c r="H10" s="2911"/>
      <c r="I10" s="2911"/>
      <c r="J10" s="2911"/>
      <c r="K10" s="2911"/>
      <c r="L10" s="2911"/>
      <c r="M10" s="2911"/>
      <c r="N10" s="2911"/>
      <c r="O10" s="2911"/>
      <c r="P10" s="2911"/>
      <c r="Q10" s="2911"/>
      <c r="R10" s="2911"/>
      <c r="S10" s="2911"/>
      <c r="T10" s="2911"/>
      <c r="U10" s="2911"/>
      <c r="V10" s="2911"/>
      <c r="W10" s="2911"/>
      <c r="X10" s="2911"/>
      <c r="Y10" s="2911"/>
      <c r="Z10" s="2911"/>
      <c r="AA10" s="2911"/>
      <c r="AB10" s="2911"/>
      <c r="AC10" s="2911"/>
      <c r="AD10" s="2911"/>
      <c r="AE10" s="2911"/>
      <c r="AF10" s="2911"/>
      <c r="AG10" s="2549"/>
      <c r="AH10" s="3900"/>
      <c r="AI10" s="2912"/>
      <c r="AJ10" s="2911"/>
      <c r="AK10" s="2911"/>
      <c r="AL10" s="2913"/>
      <c r="AM10" s="2911"/>
      <c r="AN10" s="2911"/>
      <c r="AO10" s="2911"/>
      <c r="AP10" s="2911"/>
      <c r="AQ10" s="2911"/>
      <c r="AR10" s="2911"/>
      <c r="AS10" s="2911"/>
      <c r="AT10" s="2911"/>
      <c r="AU10" s="2911"/>
      <c r="AV10" s="2911"/>
      <c r="AW10" s="2911"/>
      <c r="AX10" s="2911"/>
      <c r="AY10" s="2911"/>
      <c r="AZ10" s="2911"/>
      <c r="BA10" s="2911"/>
      <c r="BB10" s="2911"/>
      <c r="BC10" s="2912" t="s">
        <v>498</v>
      </c>
      <c r="BD10" s="2911"/>
      <c r="BE10" s="2911"/>
      <c r="BF10" s="2911"/>
      <c r="BG10" s="2912"/>
      <c r="BH10" s="2911"/>
      <c r="BI10" s="2911"/>
      <c r="BJ10" s="2911"/>
      <c r="BK10" s="2912"/>
      <c r="BL10" s="2911"/>
      <c r="BM10" s="2911"/>
      <c r="BN10" s="2911"/>
      <c r="BO10" s="2912"/>
      <c r="BP10" s="2911"/>
      <c r="BQ10" s="2911"/>
      <c r="BR10" s="2913"/>
      <c r="BS10" s="2911"/>
      <c r="BT10" s="2911"/>
      <c r="BU10" s="2911"/>
      <c r="BV10" s="2911"/>
      <c r="BW10" s="2912"/>
      <c r="BX10" s="2911"/>
      <c r="BY10" s="2911"/>
      <c r="BZ10" s="2913"/>
      <c r="CA10" s="2912"/>
      <c r="CB10" s="2911"/>
      <c r="CC10" s="2911"/>
      <c r="CD10" s="2913"/>
      <c r="CE10" s="2911"/>
      <c r="CF10" s="2911"/>
      <c r="CG10" s="2911"/>
      <c r="CH10" s="2913"/>
      <c r="CI10" s="2911"/>
      <c r="CJ10" s="2911"/>
      <c r="CK10" s="2911"/>
      <c r="CL10" s="2913"/>
      <c r="CM10" s="2911"/>
      <c r="CN10" s="2911"/>
      <c r="CO10" s="2911"/>
      <c r="CP10" s="2913"/>
      <c r="CQ10" s="2911"/>
      <c r="CR10" s="2911"/>
      <c r="CS10" s="2911"/>
      <c r="CT10" s="2913"/>
    </row>
    <row r="11" spans="1:98">
      <c r="A11" s="609" t="s">
        <v>936</v>
      </c>
      <c r="B11" s="592"/>
      <c r="C11" s="592"/>
      <c r="D11" s="405"/>
      <c r="E11" s="405">
        <f>AL11</f>
        <v>7896740</v>
      </c>
      <c r="F11" s="405">
        <f>AP11</f>
        <v>23179740</v>
      </c>
      <c r="G11" s="405">
        <f>AT11</f>
        <v>24469160.5</v>
      </c>
      <c r="H11" s="405">
        <f>AX11</f>
        <v>22801735</v>
      </c>
      <c r="I11" s="405">
        <f>BB11</f>
        <v>20772740</v>
      </c>
      <c r="J11" s="405">
        <f>+BF11</f>
        <v>18841000</v>
      </c>
      <c r="K11" s="405">
        <f>+BJ11</f>
        <v>16964000</v>
      </c>
      <c r="L11" s="405">
        <f>BN11</f>
        <v>15613000</v>
      </c>
      <c r="M11" s="405">
        <f>+BR11</f>
        <v>14584000</v>
      </c>
      <c r="N11" s="405">
        <f>+BV11</f>
        <v>13751000</v>
      </c>
      <c r="O11" s="405">
        <f>+BZ11</f>
        <v>13002000</v>
      </c>
      <c r="P11" s="405">
        <f>CD11</f>
        <v>12394000</v>
      </c>
      <c r="Q11" s="405">
        <f>CH11</f>
        <v>11748000</v>
      </c>
      <c r="R11" s="405">
        <f>CL11</f>
        <v>11090000</v>
      </c>
      <c r="S11" s="405">
        <f>CP11</f>
        <v>10282000</v>
      </c>
      <c r="T11" s="405">
        <f>CT11</f>
        <v>9753001.5999999996</v>
      </c>
      <c r="U11" s="405">
        <f>+T11*(1+U12)</f>
        <v>9021526.4800000004</v>
      </c>
      <c r="V11" s="405">
        <f>+U11*(1+V12)</f>
        <v>8299804.3616000004</v>
      </c>
      <c r="W11" s="405">
        <f>+V11*(1+W12)</f>
        <v>7594320.9908640003</v>
      </c>
      <c r="X11" s="405">
        <f t="shared" ref="X11:AF11" si="0">+W11*(1+X12)</f>
        <v>6948803.7066405602</v>
      </c>
      <c r="Y11" s="405">
        <f t="shared" si="0"/>
        <v>6358155.3915761132</v>
      </c>
      <c r="Z11" s="405">
        <f t="shared" si="0"/>
        <v>5817712.183292144</v>
      </c>
      <c r="AA11" s="405">
        <f t="shared" si="0"/>
        <v>5323206.6477123117</v>
      </c>
      <c r="AB11" s="405">
        <f t="shared" si="0"/>
        <v>4870734.0826567654</v>
      </c>
      <c r="AC11" s="405">
        <f t="shared" si="0"/>
        <v>4456721.6856309408</v>
      </c>
      <c r="AD11" s="405">
        <f t="shared" si="0"/>
        <v>4077900.3423523111</v>
      </c>
      <c r="AE11" s="405">
        <f t="shared" si="0"/>
        <v>3731278.8132523648</v>
      </c>
      <c r="AF11" s="405">
        <f t="shared" si="0"/>
        <v>3414120.1141259139</v>
      </c>
      <c r="AG11" s="2549"/>
      <c r="AH11" s="2761"/>
      <c r="AI11" s="609"/>
      <c r="AJ11" s="592"/>
      <c r="AK11" s="592"/>
      <c r="AL11" s="470">
        <f>INPUTS_2!B121</f>
        <v>7896740</v>
      </c>
      <c r="AM11" s="468">
        <f>INPUTS_2!C121</f>
        <v>23915740</v>
      </c>
      <c r="AN11" s="469">
        <f>INPUTS_2!D121</f>
        <v>23608740</v>
      </c>
      <c r="AO11" s="469">
        <f>INPUTS_2!E121</f>
        <v>23387740</v>
      </c>
      <c r="AP11" s="470">
        <f>INPUTS_2!F121</f>
        <v>23179740</v>
      </c>
      <c r="AQ11" s="469">
        <f>INPUTS_2!G121</f>
        <v>25443629.781260338</v>
      </c>
      <c r="AR11" s="469">
        <f>INPUTS_2!H121</f>
        <v>25055964.548010275</v>
      </c>
      <c r="AS11" s="469">
        <f>INPUTS_2!I121</f>
        <v>24787356.47368421</v>
      </c>
      <c r="AT11" s="470">
        <f>INPUTS_2!J121</f>
        <v>24469160.5</v>
      </c>
      <c r="AU11" s="469">
        <f>INPUTS_2!K121</f>
        <v>24011538</v>
      </c>
      <c r="AV11" s="469">
        <f>INPUTS_2!L121</f>
        <v>23569317.719999999</v>
      </c>
      <c r="AW11" s="469">
        <f>INPUTS_2!M121</f>
        <v>23166330</v>
      </c>
      <c r="AX11" s="470">
        <f>INPUTS_2!N121</f>
        <v>22801735</v>
      </c>
      <c r="AY11" s="469">
        <f>INPUTS_2!O121</f>
        <v>22029490</v>
      </c>
      <c r="AZ11" s="469">
        <f>INPUTS_2!P121</f>
        <v>21567740</v>
      </c>
      <c r="BA11" s="469">
        <f>INPUTS_2!Q121</f>
        <v>21143740</v>
      </c>
      <c r="BB11" s="470">
        <f>INPUTS_2!R121</f>
        <v>20772740</v>
      </c>
      <c r="BC11" s="405">
        <f>INPUTS_2!S121</f>
        <v>20347740</v>
      </c>
      <c r="BD11" s="405">
        <f>INPUTS_2!T121</f>
        <v>19859260</v>
      </c>
      <c r="BE11" s="405">
        <f>INPUTS_2!U121</f>
        <v>19344660</v>
      </c>
      <c r="BF11" s="406">
        <f>INPUTS_2!V121</f>
        <v>18841000</v>
      </c>
      <c r="BG11" s="469">
        <f>INPUTS_2!W121</f>
        <v>18343000</v>
      </c>
      <c r="BH11" s="1896">
        <f>+BL11/(1+BL12)</f>
        <v>17710239.651416123</v>
      </c>
      <c r="BI11" s="469">
        <f>INPUTS_2!Y121</f>
        <v>17355000</v>
      </c>
      <c r="BJ11" s="469">
        <f>INPUTS_2!Z121</f>
        <v>16964000</v>
      </c>
      <c r="BK11" s="1893">
        <v>16627000</v>
      </c>
      <c r="BL11" s="1894">
        <v>16258000</v>
      </c>
      <c r="BM11" s="1894">
        <v>15936000</v>
      </c>
      <c r="BN11" s="1894">
        <v>15613000</v>
      </c>
      <c r="BO11" s="1895">
        <v>15357000</v>
      </c>
      <c r="BP11" s="1894">
        <v>15057000</v>
      </c>
      <c r="BQ11" s="1894">
        <v>14803000</v>
      </c>
      <c r="BR11" s="2039">
        <v>14584000</v>
      </c>
      <c r="BS11" s="2299">
        <v>14383000</v>
      </c>
      <c r="BT11" s="2299">
        <v>14149000</v>
      </c>
      <c r="BU11" s="2299">
        <v>13950000</v>
      </c>
      <c r="BV11" s="2299">
        <v>13751000</v>
      </c>
      <c r="BW11" s="1895">
        <v>13561000</v>
      </c>
      <c r="BX11" s="1894">
        <v>13331000</v>
      </c>
      <c r="BY11" s="1894">
        <v>13150000</v>
      </c>
      <c r="BZ11" s="2573">
        <v>13002000</v>
      </c>
      <c r="CA11" s="1895">
        <v>12882000</v>
      </c>
      <c r="CB11" s="1894">
        <v>12707000</v>
      </c>
      <c r="CC11" s="1894">
        <v>12537000</v>
      </c>
      <c r="CD11" s="2573">
        <v>12394000</v>
      </c>
      <c r="CE11" s="2917">
        <v>12270000</v>
      </c>
      <c r="CF11" s="2918">
        <v>12109000</v>
      </c>
      <c r="CG11" s="2918">
        <v>11915000</v>
      </c>
      <c r="CH11" s="2919">
        <v>11748000</v>
      </c>
      <c r="CI11" s="2920">
        <v>11611000</v>
      </c>
      <c r="CJ11" s="2918">
        <v>11413000</v>
      </c>
      <c r="CK11" s="2918">
        <v>11231000</v>
      </c>
      <c r="CL11" s="2919">
        <v>11090000</v>
      </c>
      <c r="CM11" s="2920">
        <v>10945000</v>
      </c>
      <c r="CN11" s="2918">
        <v>10733000</v>
      </c>
      <c r="CO11" s="2918">
        <v>10506000</v>
      </c>
      <c r="CP11" s="2919">
        <v>10282000</v>
      </c>
      <c r="CQ11" s="405">
        <f>+CP11+CQ16</f>
        <v>10102800</v>
      </c>
      <c r="CR11" s="405">
        <f>+CQ11+CR16</f>
        <v>9959440</v>
      </c>
      <c r="CS11" s="405">
        <f>+CR11+CS16</f>
        <v>9844752</v>
      </c>
      <c r="CT11" s="406">
        <f>+CS11+CT16</f>
        <v>9753001.5999999996</v>
      </c>
    </row>
    <row r="12" spans="1:98">
      <c r="A12" s="588" t="s">
        <v>937</v>
      </c>
      <c r="B12" s="2271"/>
      <c r="C12" s="2271"/>
      <c r="D12" s="1688"/>
      <c r="E12" s="2271"/>
      <c r="F12" s="1688">
        <f t="shared" ref="F12:Q12" si="1">+F11/E11-1</f>
        <v>1.9353556024384746</v>
      </c>
      <c r="G12" s="1688">
        <f t="shared" si="1"/>
        <v>5.5627047585520728E-2</v>
      </c>
      <c r="H12" s="1056">
        <f t="shared" si="1"/>
        <v>-6.8143960231083489E-2</v>
      </c>
      <c r="I12" s="1056">
        <f t="shared" si="1"/>
        <v>-8.8984237383690323E-2</v>
      </c>
      <c r="J12" s="1056">
        <f t="shared" si="1"/>
        <v>-9.2993991163418999E-2</v>
      </c>
      <c r="K12" s="1056">
        <f t="shared" si="1"/>
        <v>-9.9623162252534314E-2</v>
      </c>
      <c r="L12" s="1056">
        <f t="shared" si="1"/>
        <v>-7.9639236029238392E-2</v>
      </c>
      <c r="M12" s="3901">
        <f t="shared" si="1"/>
        <v>-6.5906616281304009E-2</v>
      </c>
      <c r="N12" s="1056">
        <f t="shared" si="1"/>
        <v>-5.7117388919363687E-2</v>
      </c>
      <c r="O12" s="1056">
        <f t="shared" si="1"/>
        <v>-5.4468765907933925E-2</v>
      </c>
      <c r="P12" s="1056">
        <f t="shared" si="1"/>
        <v>-4.6762036609752311E-2</v>
      </c>
      <c r="Q12" s="1056">
        <f t="shared" si="1"/>
        <v>-5.2121994513474212E-2</v>
      </c>
      <c r="R12" s="1056">
        <f>+R11/Q11-1</f>
        <v>-5.600953353762339E-2</v>
      </c>
      <c r="S12" s="1056">
        <f>+S11/R11-1</f>
        <v>-7.2858431018935965E-2</v>
      </c>
      <c r="T12" s="1056">
        <f>+T11/S11-1</f>
        <v>-5.1448978797899225E-2</v>
      </c>
      <c r="U12" s="3902">
        <v>-7.4999999999999997E-2</v>
      </c>
      <c r="V12" s="3902">
        <v>-0.08</v>
      </c>
      <c r="W12" s="3902">
        <v>-8.5000000000000006E-2</v>
      </c>
      <c r="X12" s="3902">
        <v>-8.5000000000000006E-2</v>
      </c>
      <c r="Y12" s="3902">
        <v>-8.5000000000000006E-2</v>
      </c>
      <c r="Z12" s="3902">
        <v>-8.5000000000000006E-2</v>
      </c>
      <c r="AA12" s="3902">
        <v>-8.5000000000000006E-2</v>
      </c>
      <c r="AB12" s="3902">
        <v>-8.5000000000000006E-2</v>
      </c>
      <c r="AC12" s="3902">
        <v>-8.5000000000000006E-2</v>
      </c>
      <c r="AD12" s="3902">
        <v>-8.5000000000000006E-2</v>
      </c>
      <c r="AE12" s="3902">
        <v>-8.5000000000000006E-2</v>
      </c>
      <c r="AF12" s="3902">
        <v>-8.5000000000000006E-2</v>
      </c>
      <c r="AG12" s="3903"/>
      <c r="AH12" s="3904"/>
      <c r="AI12" s="588"/>
      <c r="AJ12" s="2271"/>
      <c r="AK12" s="2271"/>
      <c r="AL12" s="1689"/>
      <c r="AM12" s="1705"/>
      <c r="AN12" s="1688"/>
      <c r="AO12" s="1688"/>
      <c r="AP12" s="1057">
        <f t="shared" ref="AP12:CC12" si="2">+AP11/AL11-1</f>
        <v>1.9353556024384746</v>
      </c>
      <c r="AQ12" s="1056">
        <f t="shared" si="2"/>
        <v>6.3886368611648203E-2</v>
      </c>
      <c r="AR12" s="1056">
        <f t="shared" si="2"/>
        <v>6.1300372150749016E-2</v>
      </c>
      <c r="AS12" s="1056">
        <f t="shared" si="2"/>
        <v>5.9844023992237316E-2</v>
      </c>
      <c r="AT12" s="1057">
        <f t="shared" si="2"/>
        <v>5.5627047585520728E-2</v>
      </c>
      <c r="AU12" s="1056">
        <f t="shared" si="2"/>
        <v>-5.6284885198066292E-2</v>
      </c>
      <c r="AV12" s="1056">
        <f t="shared" si="2"/>
        <v>-5.9333051224656708E-2</v>
      </c>
      <c r="AW12" s="1688">
        <f t="shared" si="2"/>
        <v>-6.5397311544907688E-2</v>
      </c>
      <c r="AX12" s="1689">
        <f t="shared" si="2"/>
        <v>-6.8143960231083489E-2</v>
      </c>
      <c r="AY12" s="1688">
        <f t="shared" si="2"/>
        <v>-8.2545649512330233E-2</v>
      </c>
      <c r="AZ12" s="1688">
        <f t="shared" si="2"/>
        <v>-8.4923023389070762E-2</v>
      </c>
      <c r="BA12" s="1688">
        <f t="shared" si="2"/>
        <v>-8.7307311947986577E-2</v>
      </c>
      <c r="BB12" s="1689">
        <f t="shared" si="2"/>
        <v>-8.8984237383690323E-2</v>
      </c>
      <c r="BC12" s="1688">
        <f t="shared" si="2"/>
        <v>-7.6340850378288416E-2</v>
      </c>
      <c r="BD12" s="1688">
        <f t="shared" si="2"/>
        <v>-7.9214604775465602E-2</v>
      </c>
      <c r="BE12" s="1688">
        <f t="shared" si="2"/>
        <v>-8.5088068619837309E-2</v>
      </c>
      <c r="BF12" s="1689">
        <f t="shared" si="2"/>
        <v>-9.2993991163418999E-2</v>
      </c>
      <c r="BG12" s="1688">
        <f t="shared" si="2"/>
        <v>-9.8523963840701723E-2</v>
      </c>
      <c r="BH12" s="1688">
        <f t="shared" si="2"/>
        <v>-0.10821250885399947</v>
      </c>
      <c r="BI12" s="1688">
        <f t="shared" si="2"/>
        <v>-0.10285319049288022</v>
      </c>
      <c r="BJ12" s="1688">
        <f t="shared" si="2"/>
        <v>-9.9623162252534314E-2</v>
      </c>
      <c r="BK12" s="1886" t="s">
        <v>1145</v>
      </c>
      <c r="BL12" s="1892">
        <v>-8.2000000000000003E-2</v>
      </c>
      <c r="BM12" s="1821" t="s">
        <v>1145</v>
      </c>
      <c r="BN12" s="1821" t="s">
        <v>1145</v>
      </c>
      <c r="BO12" s="1705">
        <f t="shared" si="2"/>
        <v>-7.6381788657003624E-2</v>
      </c>
      <c r="BP12" s="1688">
        <f t="shared" si="2"/>
        <v>-7.3871324886209844E-2</v>
      </c>
      <c r="BQ12" s="1688">
        <f t="shared" si="2"/>
        <v>-7.1096887550200827E-2</v>
      </c>
      <c r="BR12" s="1689">
        <f t="shared" si="2"/>
        <v>-6.5906616281304009E-2</v>
      </c>
      <c r="BS12" s="1688">
        <f t="shared" si="2"/>
        <v>-6.3423845803216805E-2</v>
      </c>
      <c r="BT12" s="1688">
        <f t="shared" si="2"/>
        <v>-6.0304177458989194E-2</v>
      </c>
      <c r="BU12" s="1688">
        <f t="shared" si="2"/>
        <v>-5.7623454705127308E-2</v>
      </c>
      <c r="BV12" s="1688">
        <f t="shared" si="2"/>
        <v>-5.7117388919363687E-2</v>
      </c>
      <c r="BW12" s="1705">
        <f t="shared" si="2"/>
        <v>-5.7150803031356445E-2</v>
      </c>
      <c r="BX12" s="1688">
        <f t="shared" si="2"/>
        <v>-5.781327302282846E-2</v>
      </c>
      <c r="BY12" s="1688">
        <f t="shared" si="2"/>
        <v>-5.7347670250896043E-2</v>
      </c>
      <c r="BZ12" s="1689">
        <f t="shared" si="2"/>
        <v>-5.4468765907933925E-2</v>
      </c>
      <c r="CA12" s="1705">
        <f t="shared" si="2"/>
        <v>-5.0070053830838401E-2</v>
      </c>
      <c r="CB12" s="1688">
        <f t="shared" si="2"/>
        <v>-4.6808191433500901E-2</v>
      </c>
      <c r="CC12" s="1688">
        <f t="shared" si="2"/>
        <v>-4.6615969581749073E-2</v>
      </c>
      <c r="CD12" s="1689">
        <f>+CD11/BZ11-1</f>
        <v>-4.6762036609752311E-2</v>
      </c>
      <c r="CE12" s="1705">
        <f>+CE11/CA11-1</f>
        <v>-4.7508150908244007E-2</v>
      </c>
      <c r="CF12" s="1688">
        <f>+CF11/CB11-1</f>
        <v>-4.706067521838353E-2</v>
      </c>
      <c r="CG12" s="1688">
        <f>+CG11/CC11-1</f>
        <v>-4.9613145090532051E-2</v>
      </c>
      <c r="CH12" s="1689">
        <f t="shared" ref="CH12:CM12" si="3">+CH11/CD11-1</f>
        <v>-5.2121994513474212E-2</v>
      </c>
      <c r="CI12" s="1688">
        <f t="shared" si="3"/>
        <v>-5.3708231458842737E-2</v>
      </c>
      <c r="CJ12" s="1688">
        <f t="shared" si="3"/>
        <v>-5.7477908993310733E-2</v>
      </c>
      <c r="CK12" s="1688">
        <f t="shared" si="3"/>
        <v>-5.7406630297943795E-2</v>
      </c>
      <c r="CL12" s="1689">
        <f t="shared" si="3"/>
        <v>-5.600953353762339E-2</v>
      </c>
      <c r="CM12" s="1688">
        <f t="shared" si="3"/>
        <v>-5.7359400568426477E-2</v>
      </c>
      <c r="CN12" s="1688">
        <f>+CN11/CJ11-1</f>
        <v>-5.9581179356873792E-2</v>
      </c>
      <c r="CO12" s="1688">
        <f>+CO11/CK11-1</f>
        <v>-6.4553468079422971E-2</v>
      </c>
      <c r="CP12" s="1689">
        <f t="shared" ref="CP12" si="4">+CP11/CL11-1</f>
        <v>-7.2858431018935965E-2</v>
      </c>
      <c r="CQ12" s="1688">
        <f>+CQ11/CM11-1</f>
        <v>-7.6948378254910965E-2</v>
      </c>
      <c r="CR12" s="1688">
        <f>+CR11/CN11-1</f>
        <v>-7.2073045746762321E-2</v>
      </c>
      <c r="CS12" s="1688">
        <f>+CS11/CO11-1</f>
        <v>-6.2940034266133593E-2</v>
      </c>
      <c r="CT12" s="1689">
        <f>+CT11/CP11-1</f>
        <v>-5.1448978797899225E-2</v>
      </c>
    </row>
    <row r="13" spans="1:98" hidden="1" outlineLevel="1">
      <c r="A13" s="1935" t="s">
        <v>779</v>
      </c>
      <c r="B13" s="2643"/>
      <c r="C13" s="2643"/>
      <c r="D13" s="1966"/>
      <c r="E13" s="1966"/>
      <c r="F13" s="1966"/>
      <c r="G13" s="1966"/>
      <c r="H13" s="1965"/>
      <c r="I13" s="1965"/>
      <c r="J13" s="1965"/>
      <c r="K13" s="1965"/>
      <c r="L13" s="1965"/>
      <c r="M13" s="1965"/>
      <c r="N13" s="1965"/>
      <c r="O13" s="1965"/>
      <c r="P13" s="1965"/>
      <c r="Q13" s="1965"/>
      <c r="R13" s="1965"/>
      <c r="S13" s="1965"/>
      <c r="T13" s="1965"/>
      <c r="U13" s="1965"/>
      <c r="V13" s="1965"/>
      <c r="W13" s="1965"/>
      <c r="X13" s="1965"/>
      <c r="Y13" s="1965"/>
      <c r="Z13" s="1965"/>
      <c r="AA13" s="1965"/>
      <c r="AB13" s="1965"/>
      <c r="AC13" s="1965"/>
      <c r="AD13" s="1965"/>
      <c r="AE13" s="1965"/>
      <c r="AF13" s="1965"/>
      <c r="AG13" s="2550"/>
      <c r="AH13" s="2762"/>
      <c r="AI13" s="1935"/>
      <c r="AJ13" s="1966"/>
      <c r="AK13" s="1966"/>
      <c r="AL13" s="1929"/>
      <c r="AM13" s="1940"/>
      <c r="AN13" s="1965"/>
      <c r="AO13" s="1965"/>
      <c r="AP13" s="1929"/>
      <c r="AQ13" s="1965"/>
      <c r="AR13" s="1965"/>
      <c r="AS13" s="1965"/>
      <c r="AT13" s="1929"/>
      <c r="AU13" s="1965"/>
      <c r="AV13" s="1965"/>
      <c r="AW13" s="1965"/>
      <c r="AX13" s="1929"/>
      <c r="AY13" s="1965"/>
      <c r="AZ13" s="1965"/>
      <c r="BA13" s="1965"/>
      <c r="BB13" s="1929"/>
      <c r="BC13" s="1965"/>
      <c r="BD13" s="1965"/>
      <c r="BE13" s="1965"/>
      <c r="BF13" s="1929"/>
      <c r="BG13" s="1965"/>
      <c r="BH13" s="1965"/>
      <c r="BI13" s="1965"/>
      <c r="BJ13" s="1965"/>
      <c r="BK13" s="1940"/>
      <c r="BL13" s="1965"/>
      <c r="BM13" s="1965"/>
      <c r="BN13" s="1965"/>
      <c r="BO13" s="1940"/>
      <c r="BP13" s="1965"/>
      <c r="BQ13" s="1965"/>
      <c r="BR13" s="1929"/>
      <c r="BS13" s="1965"/>
      <c r="BT13" s="1965"/>
      <c r="BU13" s="1965"/>
      <c r="BV13" s="1965"/>
      <c r="BW13" s="1940"/>
      <c r="BX13" s="1965"/>
      <c r="BY13" s="1965"/>
      <c r="BZ13" s="1929"/>
      <c r="CA13" s="1940"/>
      <c r="CB13" s="1965"/>
      <c r="CC13" s="1965"/>
      <c r="CD13" s="1929"/>
      <c r="CE13" s="1940"/>
      <c r="CF13" s="1965"/>
      <c r="CG13" s="1965"/>
      <c r="CH13" s="1929"/>
      <c r="CI13" s="1965"/>
      <c r="CJ13" s="1965"/>
      <c r="CK13" s="1965"/>
      <c r="CL13" s="1929"/>
      <c r="CM13" s="1965"/>
      <c r="CN13" s="1965"/>
      <c r="CO13" s="1965"/>
      <c r="CP13" s="1929"/>
      <c r="CQ13" s="1965"/>
      <c r="CR13" s="1965"/>
      <c r="CS13" s="1965"/>
      <c r="CT13" s="1929"/>
    </row>
    <row r="14" spans="1:98" hidden="1" outlineLevel="1">
      <c r="A14" s="1935" t="s">
        <v>778</v>
      </c>
      <c r="B14" s="2643"/>
      <c r="C14" s="2643"/>
      <c r="D14" s="1966"/>
      <c r="E14" s="1966"/>
      <c r="F14" s="1966"/>
      <c r="G14" s="1966"/>
      <c r="H14" s="1965"/>
      <c r="I14" s="1965"/>
      <c r="J14" s="1965"/>
      <c r="K14" s="1965"/>
      <c r="L14" s="1965"/>
      <c r="M14" s="1965"/>
      <c r="N14" s="1965"/>
      <c r="O14" s="1965"/>
      <c r="P14" s="1965"/>
      <c r="Q14" s="1965"/>
      <c r="R14" s="1965"/>
      <c r="S14" s="1965"/>
      <c r="T14" s="1965"/>
      <c r="U14" s="1965"/>
      <c r="V14" s="1965"/>
      <c r="W14" s="1965"/>
      <c r="X14" s="1965"/>
      <c r="Y14" s="1965"/>
      <c r="Z14" s="1965"/>
      <c r="AA14" s="1965"/>
      <c r="AB14" s="1965"/>
      <c r="AC14" s="1965"/>
      <c r="AD14" s="1965"/>
      <c r="AE14" s="1965"/>
      <c r="AF14" s="1965"/>
      <c r="AG14" s="2550"/>
      <c r="AH14" s="2762"/>
      <c r="AI14" s="1935"/>
      <c r="AJ14" s="1966"/>
      <c r="AK14" s="1966"/>
      <c r="AL14" s="1929"/>
      <c r="AM14" s="1940"/>
      <c r="AN14" s="1965"/>
      <c r="AO14" s="1965"/>
      <c r="AP14" s="1929"/>
      <c r="AQ14" s="1965"/>
      <c r="AR14" s="1965"/>
      <c r="AS14" s="1965"/>
      <c r="AT14" s="1929"/>
      <c r="AU14" s="1965"/>
      <c r="AV14" s="1965"/>
      <c r="AW14" s="1965"/>
      <c r="AX14" s="1929"/>
      <c r="AY14" s="1965"/>
      <c r="AZ14" s="1965"/>
      <c r="BA14" s="1965"/>
      <c r="BB14" s="1929"/>
      <c r="BC14" s="1965"/>
      <c r="BD14" s="1965"/>
      <c r="BE14" s="1965"/>
      <c r="BF14" s="1929"/>
      <c r="BG14" s="1965"/>
      <c r="BH14" s="1965"/>
      <c r="BI14" s="1965"/>
      <c r="BJ14" s="1965"/>
      <c r="BK14" s="1940"/>
      <c r="BL14" s="1965"/>
      <c r="BM14" s="1965"/>
      <c r="BN14" s="1965"/>
      <c r="BO14" s="1940"/>
      <c r="BP14" s="1965"/>
      <c r="BQ14" s="1965"/>
      <c r="BR14" s="1929"/>
      <c r="BS14" s="1965"/>
      <c r="BT14" s="1965"/>
      <c r="BU14" s="1965"/>
      <c r="BV14" s="1965"/>
      <c r="BW14" s="1940"/>
      <c r="BX14" s="1965"/>
      <c r="BY14" s="1965"/>
      <c r="BZ14" s="1929"/>
      <c r="CA14" s="1940"/>
      <c r="CB14" s="1965"/>
      <c r="CC14" s="1965"/>
      <c r="CD14" s="1929"/>
      <c r="CE14" s="1940"/>
      <c r="CF14" s="1965"/>
      <c r="CG14" s="1965"/>
      <c r="CH14" s="1929"/>
      <c r="CI14" s="1965"/>
      <c r="CJ14" s="1965"/>
      <c r="CK14" s="1965"/>
      <c r="CL14" s="1929"/>
      <c r="CM14" s="1965"/>
      <c r="CN14" s="1965"/>
      <c r="CO14" s="1965"/>
      <c r="CP14" s="1929"/>
      <c r="CQ14" s="1965"/>
      <c r="CR14" s="1965"/>
      <c r="CS14" s="1965"/>
      <c r="CT14" s="1929"/>
    </row>
    <row r="15" spans="1:98" hidden="1" outlineLevel="1">
      <c r="A15" s="1935" t="s">
        <v>780</v>
      </c>
      <c r="B15" s="2643"/>
      <c r="C15" s="2643"/>
      <c r="D15" s="1966"/>
      <c r="E15" s="1966"/>
      <c r="F15" s="1966"/>
      <c r="G15" s="1966"/>
      <c r="H15" s="1965"/>
      <c r="I15" s="1965"/>
      <c r="J15" s="1965"/>
      <c r="K15" s="1965"/>
      <c r="L15" s="1965"/>
      <c r="M15" s="1965"/>
      <c r="N15" s="1965"/>
      <c r="O15" s="1965"/>
      <c r="P15" s="1965"/>
      <c r="Q15" s="1965"/>
      <c r="R15" s="1965"/>
      <c r="S15" s="1965"/>
      <c r="T15" s="1965"/>
      <c r="U15" s="1965"/>
      <c r="V15" s="1965"/>
      <c r="W15" s="1965"/>
      <c r="X15" s="1965"/>
      <c r="Y15" s="1965"/>
      <c r="Z15" s="1965"/>
      <c r="AA15" s="1965"/>
      <c r="AB15" s="1965"/>
      <c r="AC15" s="1965"/>
      <c r="AD15" s="1965"/>
      <c r="AE15" s="1965"/>
      <c r="AF15" s="1965"/>
      <c r="AG15" s="2550"/>
      <c r="AH15" s="2762"/>
      <c r="AI15" s="1935"/>
      <c r="AJ15" s="1966"/>
      <c r="AK15" s="1966"/>
      <c r="AL15" s="1929"/>
      <c r="AM15" s="1940"/>
      <c r="AN15" s="1965"/>
      <c r="AO15" s="1965"/>
      <c r="AP15" s="1929"/>
      <c r="AQ15" s="1965"/>
      <c r="AR15" s="1965"/>
      <c r="AS15" s="1965"/>
      <c r="AT15" s="1929"/>
      <c r="AU15" s="1965"/>
      <c r="AV15" s="1965"/>
      <c r="AW15" s="1965"/>
      <c r="AX15" s="1929"/>
      <c r="AY15" s="1965"/>
      <c r="AZ15" s="1965"/>
      <c r="BA15" s="1965"/>
      <c r="BB15" s="1929"/>
      <c r="BC15" s="1965"/>
      <c r="BD15" s="1965"/>
      <c r="BE15" s="1965"/>
      <c r="BF15" s="1929"/>
      <c r="BG15" s="1965"/>
      <c r="BH15" s="1965"/>
      <c r="BI15" s="1965"/>
      <c r="BJ15" s="1965"/>
      <c r="BK15" s="1940"/>
      <c r="BL15" s="1965"/>
      <c r="BM15" s="1965"/>
      <c r="BN15" s="1965"/>
      <c r="BO15" s="1940"/>
      <c r="BP15" s="1965"/>
      <c r="BQ15" s="1965"/>
      <c r="BR15" s="1929"/>
      <c r="BS15" s="1965"/>
      <c r="BT15" s="1965"/>
      <c r="BU15" s="1965"/>
      <c r="BV15" s="1965"/>
      <c r="BW15" s="1940"/>
      <c r="BX15" s="1965"/>
      <c r="BY15" s="1965"/>
      <c r="BZ15" s="1929"/>
      <c r="CA15" s="1940"/>
      <c r="CB15" s="1965"/>
      <c r="CC15" s="1965"/>
      <c r="CD15" s="1929"/>
      <c r="CE15" s="1940"/>
      <c r="CF15" s="1965"/>
      <c r="CG15" s="1965"/>
      <c r="CH15" s="1929"/>
      <c r="CI15" s="1965"/>
      <c r="CJ15" s="1965"/>
      <c r="CK15" s="1965"/>
      <c r="CL15" s="1929"/>
      <c r="CM15" s="1965"/>
      <c r="CN15" s="1965"/>
      <c r="CO15" s="1965"/>
      <c r="CP15" s="1929"/>
      <c r="CQ15" s="1965"/>
      <c r="CR15" s="1965"/>
      <c r="CS15" s="1965"/>
      <c r="CT15" s="1929"/>
    </row>
    <row r="16" spans="1:98" collapsed="1">
      <c r="A16" s="588" t="s">
        <v>776</v>
      </c>
      <c r="B16" s="2271"/>
      <c r="C16" s="2271"/>
      <c r="D16" s="1701"/>
      <c r="E16" s="1701"/>
      <c r="F16" s="1701">
        <f t="shared" ref="F16:Q16" si="5">+F11-E11</f>
        <v>15283000</v>
      </c>
      <c r="G16" s="1701">
        <f t="shared" si="5"/>
        <v>1289420.5</v>
      </c>
      <c r="H16" s="1701">
        <f t="shared" si="5"/>
        <v>-1667425.5</v>
      </c>
      <c r="I16" s="1701">
        <f t="shared" si="5"/>
        <v>-2028995</v>
      </c>
      <c r="J16" s="1701">
        <f t="shared" si="5"/>
        <v>-1931740</v>
      </c>
      <c r="K16" s="1701">
        <f t="shared" si="5"/>
        <v>-1877000</v>
      </c>
      <c r="L16" s="1701">
        <f t="shared" si="5"/>
        <v>-1351000</v>
      </c>
      <c r="M16" s="1701">
        <f t="shared" si="5"/>
        <v>-1029000</v>
      </c>
      <c r="N16" s="1701">
        <f t="shared" si="5"/>
        <v>-833000</v>
      </c>
      <c r="O16" s="1701">
        <f t="shared" si="5"/>
        <v>-749000</v>
      </c>
      <c r="P16" s="1701">
        <f t="shared" si="5"/>
        <v>-608000</v>
      </c>
      <c r="Q16" s="1701">
        <f t="shared" si="5"/>
        <v>-646000</v>
      </c>
      <c r="R16" s="1701">
        <f t="shared" ref="R16:W16" si="6">+R11-Q11</f>
        <v>-658000</v>
      </c>
      <c r="S16" s="1701">
        <f>+S11-R11</f>
        <v>-808000</v>
      </c>
      <c r="T16" s="1701">
        <f>+T11-S11</f>
        <v>-528998.40000000037</v>
      </c>
      <c r="U16" s="1701">
        <f t="shared" si="6"/>
        <v>-731475.11999999918</v>
      </c>
      <c r="V16" s="1701">
        <f t="shared" si="6"/>
        <v>-721722.11840000004</v>
      </c>
      <c r="W16" s="1701">
        <f t="shared" si="6"/>
        <v>-705483.37073600013</v>
      </c>
      <c r="X16" s="1701">
        <f t="shared" ref="X16:AF16" si="7">+X11-W11</f>
        <v>-645517.2842234401</v>
      </c>
      <c r="Y16" s="1701">
        <f t="shared" si="7"/>
        <v>-590648.315064447</v>
      </c>
      <c r="Z16" s="1701">
        <f t="shared" si="7"/>
        <v>-540443.2082839692</v>
      </c>
      <c r="AA16" s="1701">
        <f t="shared" si="7"/>
        <v>-494505.53557983227</v>
      </c>
      <c r="AB16" s="1701">
        <f t="shared" si="7"/>
        <v>-452472.56505554635</v>
      </c>
      <c r="AC16" s="1701">
        <f t="shared" si="7"/>
        <v>-414012.39702582452</v>
      </c>
      <c r="AD16" s="1701">
        <f t="shared" si="7"/>
        <v>-378821.34327862971</v>
      </c>
      <c r="AE16" s="1701">
        <f t="shared" si="7"/>
        <v>-346621.52909994638</v>
      </c>
      <c r="AF16" s="1701">
        <f t="shared" si="7"/>
        <v>-317158.69912645081</v>
      </c>
      <c r="AG16" s="3903"/>
      <c r="AH16" s="3904"/>
      <c r="AI16" s="1725"/>
      <c r="AJ16" s="2271"/>
      <c r="AK16" s="2271"/>
      <c r="AL16" s="1702"/>
      <c r="AM16" s="1725">
        <f t="shared" ref="AM16:BJ16" si="8">+AM11-AL11</f>
        <v>16019000</v>
      </c>
      <c r="AN16" s="1701">
        <f t="shared" si="8"/>
        <v>-307000</v>
      </c>
      <c r="AO16" s="1701">
        <f t="shared" si="8"/>
        <v>-221000</v>
      </c>
      <c r="AP16" s="1702">
        <f t="shared" si="8"/>
        <v>-208000</v>
      </c>
      <c r="AQ16" s="1701">
        <f t="shared" si="8"/>
        <v>2263889.7812603377</v>
      </c>
      <c r="AR16" s="1701">
        <f t="shared" si="8"/>
        <v>-387665.23325006291</v>
      </c>
      <c r="AS16" s="1701">
        <f t="shared" si="8"/>
        <v>-268608.07432606444</v>
      </c>
      <c r="AT16" s="1702">
        <f t="shared" si="8"/>
        <v>-318195.97368421033</v>
      </c>
      <c r="AU16" s="1701">
        <f t="shared" si="8"/>
        <v>-457622.5</v>
      </c>
      <c r="AV16" s="1701">
        <f t="shared" si="8"/>
        <v>-442220.28000000119</v>
      </c>
      <c r="AW16" s="1701">
        <f t="shared" si="8"/>
        <v>-402987.71999999881</v>
      </c>
      <c r="AX16" s="1702">
        <f t="shared" si="8"/>
        <v>-364595</v>
      </c>
      <c r="AY16" s="1701">
        <f t="shared" si="8"/>
        <v>-772245</v>
      </c>
      <c r="AZ16" s="1701">
        <f t="shared" si="8"/>
        <v>-461750</v>
      </c>
      <c r="BA16" s="1701">
        <f t="shared" si="8"/>
        <v>-424000</v>
      </c>
      <c r="BB16" s="1702">
        <f t="shared" si="8"/>
        <v>-371000</v>
      </c>
      <c r="BC16" s="1701">
        <f t="shared" si="8"/>
        <v>-425000</v>
      </c>
      <c r="BD16" s="1701">
        <f t="shared" si="8"/>
        <v>-488480</v>
      </c>
      <c r="BE16" s="1701">
        <f t="shared" si="8"/>
        <v>-514600</v>
      </c>
      <c r="BF16" s="1702">
        <f t="shared" si="8"/>
        <v>-503660</v>
      </c>
      <c r="BG16" s="1701">
        <f t="shared" si="8"/>
        <v>-498000</v>
      </c>
      <c r="BH16" s="1701">
        <f t="shared" si="8"/>
        <v>-632760.34858387709</v>
      </c>
      <c r="BI16" s="1701">
        <f t="shared" si="8"/>
        <v>-355239.65141612291</v>
      </c>
      <c r="BJ16" s="1701">
        <f t="shared" si="8"/>
        <v>-391000</v>
      </c>
      <c r="BK16" s="1886" t="s">
        <v>1145</v>
      </c>
      <c r="BL16" s="1701">
        <f t="shared" ref="BL16:CC16" si="9">+BL11-BK11</f>
        <v>-369000</v>
      </c>
      <c r="BM16" s="1701">
        <f t="shared" si="9"/>
        <v>-322000</v>
      </c>
      <c r="BN16" s="1701">
        <f t="shared" si="9"/>
        <v>-323000</v>
      </c>
      <c r="BO16" s="1725">
        <f t="shared" si="9"/>
        <v>-256000</v>
      </c>
      <c r="BP16" s="1701">
        <f t="shared" si="9"/>
        <v>-300000</v>
      </c>
      <c r="BQ16" s="1701">
        <f t="shared" si="9"/>
        <v>-254000</v>
      </c>
      <c r="BR16" s="1702">
        <f t="shared" si="9"/>
        <v>-219000</v>
      </c>
      <c r="BS16" s="1701">
        <f t="shared" si="9"/>
        <v>-201000</v>
      </c>
      <c r="BT16" s="1701">
        <f t="shared" si="9"/>
        <v>-234000</v>
      </c>
      <c r="BU16" s="1701">
        <f t="shared" si="9"/>
        <v>-199000</v>
      </c>
      <c r="BV16" s="1701">
        <f t="shared" si="9"/>
        <v>-199000</v>
      </c>
      <c r="BW16" s="1725">
        <f t="shared" si="9"/>
        <v>-190000</v>
      </c>
      <c r="BX16" s="1701">
        <f t="shared" si="9"/>
        <v>-230000</v>
      </c>
      <c r="BY16" s="1701">
        <f t="shared" si="9"/>
        <v>-181000</v>
      </c>
      <c r="BZ16" s="1702">
        <f t="shared" si="9"/>
        <v>-148000</v>
      </c>
      <c r="CA16" s="1725">
        <f t="shared" si="9"/>
        <v>-120000</v>
      </c>
      <c r="CB16" s="1701">
        <f t="shared" si="9"/>
        <v>-175000</v>
      </c>
      <c r="CC16" s="1701">
        <f t="shared" si="9"/>
        <v>-170000</v>
      </c>
      <c r="CD16" s="1702">
        <f t="shared" ref="CD16:CI16" si="10">+CD11-CC11</f>
        <v>-143000</v>
      </c>
      <c r="CE16" s="1725">
        <f t="shared" si="10"/>
        <v>-124000</v>
      </c>
      <c r="CF16" s="1701">
        <f t="shared" si="10"/>
        <v>-161000</v>
      </c>
      <c r="CG16" s="1701">
        <f t="shared" si="10"/>
        <v>-194000</v>
      </c>
      <c r="CH16" s="1702">
        <f t="shared" si="10"/>
        <v>-167000</v>
      </c>
      <c r="CI16" s="1701">
        <f t="shared" si="10"/>
        <v>-137000</v>
      </c>
      <c r="CJ16" s="1701">
        <f t="shared" ref="CJ16:CO16" si="11">+CJ11-CI11</f>
        <v>-198000</v>
      </c>
      <c r="CK16" s="1701">
        <f t="shared" si="11"/>
        <v>-182000</v>
      </c>
      <c r="CL16" s="1702">
        <f t="shared" si="11"/>
        <v>-141000</v>
      </c>
      <c r="CM16" s="1701">
        <f t="shared" si="11"/>
        <v>-145000</v>
      </c>
      <c r="CN16" s="1701">
        <f t="shared" si="11"/>
        <v>-212000</v>
      </c>
      <c r="CO16" s="1701">
        <f t="shared" si="11"/>
        <v>-227000</v>
      </c>
      <c r="CP16" s="1702">
        <f t="shared" ref="CP16" si="12">+CP11-CO11</f>
        <v>-224000</v>
      </c>
      <c r="CQ16" s="3905">
        <f>+CP16*80%</f>
        <v>-179200</v>
      </c>
      <c r="CR16" s="3905">
        <f>+CQ16*80%</f>
        <v>-143360</v>
      </c>
      <c r="CS16" s="3905">
        <f>+CR16*80%</f>
        <v>-114688</v>
      </c>
      <c r="CT16" s="3906">
        <f>+CS16*80%</f>
        <v>-91750.400000000009</v>
      </c>
    </row>
    <row r="17" spans="1:98">
      <c r="A17" s="3907" t="s">
        <v>777</v>
      </c>
      <c r="B17" s="2271"/>
      <c r="C17" s="2271"/>
      <c r="D17" s="1698"/>
      <c r="E17" s="1698"/>
      <c r="F17" s="1698">
        <f t="shared" ref="F17:P17" si="13">+(F11+E11)/2</f>
        <v>15538240</v>
      </c>
      <c r="G17" s="1698">
        <f t="shared" si="13"/>
        <v>23824450.25</v>
      </c>
      <c r="H17" s="1904">
        <f t="shared" si="13"/>
        <v>23635447.75</v>
      </c>
      <c r="I17" s="1698">
        <f t="shared" si="13"/>
        <v>21787237.5</v>
      </c>
      <c r="J17" s="1698">
        <f t="shared" si="13"/>
        <v>19806870</v>
      </c>
      <c r="K17" s="1698">
        <f t="shared" si="13"/>
        <v>17902500</v>
      </c>
      <c r="L17" s="1698">
        <f t="shared" si="13"/>
        <v>16288500</v>
      </c>
      <c r="M17" s="1698">
        <f t="shared" si="13"/>
        <v>15098500</v>
      </c>
      <c r="N17" s="1698">
        <f t="shared" si="13"/>
        <v>14167500</v>
      </c>
      <c r="O17" s="1698">
        <f t="shared" si="13"/>
        <v>13376500</v>
      </c>
      <c r="P17" s="1698">
        <f t="shared" si="13"/>
        <v>12698000</v>
      </c>
      <c r="Q17" s="1698">
        <f t="shared" ref="Q17:V17" si="14">+(Q11+P11)/2</f>
        <v>12071000</v>
      </c>
      <c r="R17" s="1698">
        <f>+(R11+Q11)/2</f>
        <v>11419000</v>
      </c>
      <c r="S17" s="1698">
        <f>+(S11+R11)/2</f>
        <v>10686000</v>
      </c>
      <c r="T17" s="1698">
        <f>+(T11+S11)/2</f>
        <v>10017500.800000001</v>
      </c>
      <c r="U17" s="1698">
        <f t="shared" si="14"/>
        <v>9387264.0399999991</v>
      </c>
      <c r="V17" s="1698">
        <f t="shared" si="14"/>
        <v>8660665.4208000004</v>
      </c>
      <c r="W17" s="1698">
        <f>+(W11+V11)/2</f>
        <v>7947062.6762320008</v>
      </c>
      <c r="X17" s="1698">
        <f t="shared" ref="X17:AF17" si="15">+(X11+W11)/2</f>
        <v>7271562.3487522807</v>
      </c>
      <c r="Y17" s="1698">
        <f t="shared" si="15"/>
        <v>6653479.5491083367</v>
      </c>
      <c r="Z17" s="1698">
        <f t="shared" si="15"/>
        <v>6087933.787434129</v>
      </c>
      <c r="AA17" s="1698">
        <f t="shared" si="15"/>
        <v>5570459.4155022278</v>
      </c>
      <c r="AB17" s="1698">
        <f t="shared" si="15"/>
        <v>5096970.3651845381</v>
      </c>
      <c r="AC17" s="1698">
        <f t="shared" si="15"/>
        <v>4663727.8841438536</v>
      </c>
      <c r="AD17" s="1698">
        <f t="shared" si="15"/>
        <v>4267311.013991626</v>
      </c>
      <c r="AE17" s="1698">
        <f t="shared" si="15"/>
        <v>3904589.5778023377</v>
      </c>
      <c r="AF17" s="1698">
        <f t="shared" si="15"/>
        <v>3572699.4636891391</v>
      </c>
      <c r="AG17" s="3903"/>
      <c r="AH17" s="3904"/>
      <c r="AI17" s="588"/>
      <c r="AJ17" s="2271"/>
      <c r="AK17" s="2271"/>
      <c r="AL17" s="1741"/>
      <c r="AM17" s="1740">
        <f t="shared" ref="AM17:BO17" si="16">+(AL11+AM11)/2</f>
        <v>15906240</v>
      </c>
      <c r="AN17" s="1698">
        <f t="shared" si="16"/>
        <v>23762240</v>
      </c>
      <c r="AO17" s="1698">
        <f t="shared" si="16"/>
        <v>23498240</v>
      </c>
      <c r="AP17" s="1741">
        <f t="shared" si="16"/>
        <v>23283740</v>
      </c>
      <c r="AQ17" s="1698">
        <f t="shared" si="16"/>
        <v>24311684.890630171</v>
      </c>
      <c r="AR17" s="1698">
        <f t="shared" si="16"/>
        <v>25249797.164635308</v>
      </c>
      <c r="AS17" s="1698">
        <f t="shared" si="16"/>
        <v>24921660.510847241</v>
      </c>
      <c r="AT17" s="1741">
        <f t="shared" si="16"/>
        <v>24628258.486842103</v>
      </c>
      <c r="AU17" s="1698">
        <f t="shared" si="16"/>
        <v>24240349.25</v>
      </c>
      <c r="AV17" s="1698">
        <f t="shared" si="16"/>
        <v>23790427.859999999</v>
      </c>
      <c r="AW17" s="1698">
        <f t="shared" si="16"/>
        <v>23367823.859999999</v>
      </c>
      <c r="AX17" s="1741">
        <f t="shared" si="16"/>
        <v>22984032.5</v>
      </c>
      <c r="AY17" s="1698">
        <f t="shared" si="16"/>
        <v>22415612.5</v>
      </c>
      <c r="AZ17" s="1698">
        <f t="shared" si="16"/>
        <v>21798615</v>
      </c>
      <c r="BA17" s="1904">
        <f t="shared" si="16"/>
        <v>21355740</v>
      </c>
      <c r="BB17" s="3908">
        <f t="shared" si="16"/>
        <v>20958240</v>
      </c>
      <c r="BC17" s="1904">
        <f t="shared" si="16"/>
        <v>20560240</v>
      </c>
      <c r="BD17" s="1904">
        <f t="shared" si="16"/>
        <v>20103500</v>
      </c>
      <c r="BE17" s="1904">
        <f t="shared" si="16"/>
        <v>19601960</v>
      </c>
      <c r="BF17" s="3908">
        <f t="shared" si="16"/>
        <v>19092830</v>
      </c>
      <c r="BG17" s="1904">
        <f t="shared" si="16"/>
        <v>18592000</v>
      </c>
      <c r="BH17" s="1904">
        <f t="shared" si="16"/>
        <v>18026619.825708061</v>
      </c>
      <c r="BI17" s="1904">
        <f t="shared" si="16"/>
        <v>17532619.825708061</v>
      </c>
      <c r="BJ17" s="1904">
        <f t="shared" si="16"/>
        <v>17159500</v>
      </c>
      <c r="BK17" s="3909">
        <f t="shared" si="16"/>
        <v>16795500</v>
      </c>
      <c r="BL17" s="1904">
        <f t="shared" si="16"/>
        <v>16442500</v>
      </c>
      <c r="BM17" s="1904">
        <f t="shared" si="16"/>
        <v>16097000</v>
      </c>
      <c r="BN17" s="1904">
        <f t="shared" si="16"/>
        <v>15774500</v>
      </c>
      <c r="BO17" s="3909">
        <f t="shared" si="16"/>
        <v>15485000</v>
      </c>
      <c r="BP17" s="1904">
        <f>+(BO11+BP11)/2</f>
        <v>15207000</v>
      </c>
      <c r="BQ17" s="1904">
        <f>+(BP11+BQ11)/2</f>
        <v>14930000</v>
      </c>
      <c r="BR17" s="3908">
        <f>+(BQ11+BR11)/2</f>
        <v>14693500</v>
      </c>
      <c r="BS17" s="1904">
        <f>+(BR11+BS11)/2</f>
        <v>14483500</v>
      </c>
      <c r="BT17" s="1904">
        <f>+(BS11+BT11)/2</f>
        <v>14266000</v>
      </c>
      <c r="BU17" s="1904">
        <f t="shared" ref="BU17:CC17" si="17">+(BT11+BU11)/2</f>
        <v>14049500</v>
      </c>
      <c r="BV17" s="1904">
        <f t="shared" si="17"/>
        <v>13850500</v>
      </c>
      <c r="BW17" s="3909">
        <f t="shared" si="17"/>
        <v>13656000</v>
      </c>
      <c r="BX17" s="1904">
        <f t="shared" si="17"/>
        <v>13446000</v>
      </c>
      <c r="BY17" s="1904">
        <f t="shared" si="17"/>
        <v>13240500</v>
      </c>
      <c r="BZ17" s="3908">
        <f t="shared" si="17"/>
        <v>13076000</v>
      </c>
      <c r="CA17" s="3909">
        <f t="shared" si="17"/>
        <v>12942000</v>
      </c>
      <c r="CB17" s="1904">
        <f t="shared" si="17"/>
        <v>12794500</v>
      </c>
      <c r="CC17" s="1904">
        <f t="shared" si="17"/>
        <v>12622000</v>
      </c>
      <c r="CD17" s="3908">
        <f>+(CC11+CD11)/2</f>
        <v>12465500</v>
      </c>
      <c r="CE17" s="3909">
        <f>+(CD11+CE11)/2</f>
        <v>12332000</v>
      </c>
      <c r="CF17" s="1904">
        <f>+(CE11+CF11)/2</f>
        <v>12189500</v>
      </c>
      <c r="CG17" s="1904">
        <f>+(CF11+CG11)/2</f>
        <v>12012000</v>
      </c>
      <c r="CH17" s="3908">
        <f t="shared" ref="CH17:CM17" si="18">+(CG11+CH11)/2</f>
        <v>11831500</v>
      </c>
      <c r="CI17" s="1904">
        <f t="shared" si="18"/>
        <v>11679500</v>
      </c>
      <c r="CJ17" s="1904">
        <f t="shared" si="18"/>
        <v>11512000</v>
      </c>
      <c r="CK17" s="1904">
        <f t="shared" si="18"/>
        <v>11322000</v>
      </c>
      <c r="CL17" s="3908">
        <f t="shared" si="18"/>
        <v>11160500</v>
      </c>
      <c r="CM17" s="1904">
        <f t="shared" si="18"/>
        <v>11017500</v>
      </c>
      <c r="CN17" s="1904">
        <f>+(CM11+CN11)/2</f>
        <v>10839000</v>
      </c>
      <c r="CO17" s="1904">
        <f>+(CN11+CO11)/2</f>
        <v>10619500</v>
      </c>
      <c r="CP17" s="3908">
        <f t="shared" ref="CP17" si="19">+(CO11+CP11)/2</f>
        <v>10394000</v>
      </c>
      <c r="CQ17" s="1904">
        <f>+(CP11+CQ11)/2</f>
        <v>10192400</v>
      </c>
      <c r="CR17" s="1904">
        <f>+(CQ11+CR11)/2</f>
        <v>10031120</v>
      </c>
      <c r="CS17" s="1904">
        <f>+(CR11+CS11)/2</f>
        <v>9902096</v>
      </c>
      <c r="CT17" s="3908">
        <f>+(CS11+CT11)/2</f>
        <v>9798876.8000000007</v>
      </c>
    </row>
    <row r="18" spans="1:98" ht="10.5" customHeight="1">
      <c r="A18" s="588" t="s">
        <v>996</v>
      </c>
      <c r="B18" s="2271"/>
      <c r="C18" s="2271"/>
      <c r="D18" s="1698"/>
      <c r="E18" s="1698"/>
      <c r="F18" s="1698"/>
      <c r="G18" s="3910">
        <f t="shared" ref="G18:Q18" si="20">+G16/F16-1</f>
        <v>-0.91563040633383497</v>
      </c>
      <c r="H18" s="3910">
        <f t="shared" si="20"/>
        <v>-2.2931588259997415</v>
      </c>
      <c r="I18" s="3910">
        <f t="shared" si="20"/>
        <v>0.21684297139512387</v>
      </c>
      <c r="J18" s="3910">
        <f t="shared" si="20"/>
        <v>-4.7932597172491764E-2</v>
      </c>
      <c r="K18" s="3910">
        <f t="shared" si="20"/>
        <v>-2.8337146821000747E-2</v>
      </c>
      <c r="L18" s="3910">
        <f t="shared" si="20"/>
        <v>-0.28023441662226956</v>
      </c>
      <c r="M18" s="3901">
        <f t="shared" si="20"/>
        <v>-0.23834196891191706</v>
      </c>
      <c r="N18" s="3910">
        <f t="shared" si="20"/>
        <v>-0.19047619047619047</v>
      </c>
      <c r="O18" s="3910">
        <f t="shared" si="20"/>
        <v>-0.10084033613445376</v>
      </c>
      <c r="P18" s="3910">
        <f t="shared" si="20"/>
        <v>-0.18825100133511352</v>
      </c>
      <c r="Q18" s="3910">
        <f t="shared" si="20"/>
        <v>6.25E-2</v>
      </c>
      <c r="R18" s="3910">
        <f t="shared" ref="R18:W18" si="21">+R16/Q16-1</f>
        <v>1.8575851393188847E-2</v>
      </c>
      <c r="S18" s="3910">
        <f>+S16/R16-1</f>
        <v>0.22796352583586632</v>
      </c>
      <c r="T18" s="3910">
        <f>+T16/S16-1</f>
        <v>-0.34529900990098961</v>
      </c>
      <c r="U18" s="3910">
        <f t="shared" si="21"/>
        <v>0.38275488167827865</v>
      </c>
      <c r="V18" s="3910">
        <f t="shared" si="21"/>
        <v>-1.3333333333332198E-2</v>
      </c>
      <c r="W18" s="3910">
        <f t="shared" si="21"/>
        <v>-2.2499999999999853E-2</v>
      </c>
      <c r="X18" s="3910">
        <f t="shared" ref="X18:AF18" si="22">+X16/W16-1</f>
        <v>-8.4999999999999964E-2</v>
      </c>
      <c r="Y18" s="3910">
        <f t="shared" si="22"/>
        <v>-8.5000000000001075E-2</v>
      </c>
      <c r="Z18" s="3910">
        <f t="shared" si="22"/>
        <v>-8.4999999999999631E-2</v>
      </c>
      <c r="AA18" s="3910">
        <f t="shared" si="22"/>
        <v>-8.4999999999999187E-2</v>
      </c>
      <c r="AB18" s="3910">
        <f t="shared" si="22"/>
        <v>-8.5000000000000409E-2</v>
      </c>
      <c r="AC18" s="3910">
        <f t="shared" si="22"/>
        <v>-8.5000000000000853E-2</v>
      </c>
      <c r="AD18" s="3910">
        <f t="shared" si="22"/>
        <v>-8.4999999999999409E-2</v>
      </c>
      <c r="AE18" s="3910">
        <f t="shared" si="22"/>
        <v>-8.499999999999952E-2</v>
      </c>
      <c r="AF18" s="3910">
        <f t="shared" si="22"/>
        <v>-8.5000000000000409E-2</v>
      </c>
      <c r="AG18" s="3903"/>
      <c r="AH18" s="3904"/>
      <c r="AI18" s="588"/>
      <c r="AJ18" s="1698"/>
      <c r="AK18" s="1698"/>
      <c r="AL18" s="1741"/>
      <c r="AM18" s="1740"/>
      <c r="AN18" s="1698"/>
      <c r="AO18" s="1698"/>
      <c r="AP18" s="1741"/>
      <c r="AQ18" s="1698"/>
      <c r="AR18" s="1698"/>
      <c r="AS18" s="1698"/>
      <c r="AT18" s="1741"/>
      <c r="AU18" s="1698"/>
      <c r="AV18" s="1698"/>
      <c r="AW18" s="1698"/>
      <c r="AX18" s="1741"/>
      <c r="AY18" s="1698"/>
      <c r="AZ18" s="1698"/>
      <c r="BA18" s="1904"/>
      <c r="BB18" s="3908"/>
      <c r="BC18" s="1904"/>
      <c r="BD18" s="1904"/>
      <c r="BE18" s="1904"/>
      <c r="BF18" s="3908"/>
      <c r="BG18" s="1688">
        <f>+BG16/BC16-1</f>
        <v>0.17176470588235304</v>
      </c>
      <c r="BH18" s="1688">
        <f>+BH16/BD16-1</f>
        <v>0.29536592815238505</v>
      </c>
      <c r="BI18" s="1688">
        <f>+BI16/BE16-1</f>
        <v>-0.30967809674286262</v>
      </c>
      <c r="BJ18" s="1708">
        <f>+BJ16/BF16-1</f>
        <v>-0.22368264305285313</v>
      </c>
      <c r="BK18" s="1886" t="s">
        <v>1145</v>
      </c>
      <c r="BL18" s="1821" t="s">
        <v>1145</v>
      </c>
      <c r="BM18" s="1821" t="s">
        <v>1145</v>
      </c>
      <c r="BN18" s="1821" t="s">
        <v>1145</v>
      </c>
      <c r="BO18" s="1886" t="s">
        <v>1145</v>
      </c>
      <c r="BP18" s="1708">
        <f t="shared" ref="BP18:CC18" si="23">+BP16/BL16-1</f>
        <v>-0.18699186991869921</v>
      </c>
      <c r="BQ18" s="1708">
        <f t="shared" si="23"/>
        <v>-0.21118012422360244</v>
      </c>
      <c r="BR18" s="1709">
        <f t="shared" si="23"/>
        <v>-0.32198142414860687</v>
      </c>
      <c r="BS18" s="1708">
        <f t="shared" si="23"/>
        <v>-0.21484375</v>
      </c>
      <c r="BT18" s="1708">
        <f t="shared" si="23"/>
        <v>-0.21999999999999997</v>
      </c>
      <c r="BU18" s="1708">
        <f t="shared" si="23"/>
        <v>-0.21653543307086609</v>
      </c>
      <c r="BV18" s="1708">
        <f t="shared" si="23"/>
        <v>-9.1324200913242004E-2</v>
      </c>
      <c r="BW18" s="1707">
        <f t="shared" si="23"/>
        <v>-5.4726368159203953E-2</v>
      </c>
      <c r="BX18" s="1708">
        <f t="shared" si="23"/>
        <v>-1.7094017094017144E-2</v>
      </c>
      <c r="BY18" s="1708">
        <f t="shared" si="23"/>
        <v>-9.0452261306532611E-2</v>
      </c>
      <c r="BZ18" s="1709">
        <f t="shared" si="23"/>
        <v>-0.25628140703517588</v>
      </c>
      <c r="CA18" s="1707">
        <f t="shared" si="23"/>
        <v>-0.36842105263157898</v>
      </c>
      <c r="CB18" s="1708">
        <f t="shared" si="23"/>
        <v>-0.23913043478260865</v>
      </c>
      <c r="CC18" s="1708">
        <f t="shared" si="23"/>
        <v>-6.0773480662983381E-2</v>
      </c>
      <c r="CD18" s="1709">
        <f t="shared" ref="CD18:CI18" si="24">+CD16/BZ16-1</f>
        <v>-3.3783783783783772E-2</v>
      </c>
      <c r="CE18" s="1707">
        <f t="shared" si="24"/>
        <v>3.3333333333333437E-2</v>
      </c>
      <c r="CF18" s="1708">
        <f t="shared" si="24"/>
        <v>-7.999999999999996E-2</v>
      </c>
      <c r="CG18" s="1708">
        <f t="shared" si="24"/>
        <v>0.14117647058823524</v>
      </c>
      <c r="CH18" s="1709">
        <f t="shared" si="24"/>
        <v>0.16783216783216792</v>
      </c>
      <c r="CI18" s="1708">
        <f t="shared" si="24"/>
        <v>0.10483870967741926</v>
      </c>
      <c r="CJ18" s="1708">
        <f t="shared" ref="CJ18:CT18" si="25">+CJ16/CF16-1</f>
        <v>0.22981366459627339</v>
      </c>
      <c r="CK18" s="1708">
        <f t="shared" si="25"/>
        <v>-6.1855670103092786E-2</v>
      </c>
      <c r="CL18" s="1709">
        <f t="shared" si="25"/>
        <v>-0.15568862275449102</v>
      </c>
      <c r="CM18" s="1708">
        <f t="shared" si="25"/>
        <v>5.8394160583941535E-2</v>
      </c>
      <c r="CN18" s="1708">
        <f t="shared" si="25"/>
        <v>7.0707070707070718E-2</v>
      </c>
      <c r="CO18" s="1708">
        <f t="shared" si="25"/>
        <v>0.24725274725274726</v>
      </c>
      <c r="CP18" s="1709">
        <f t="shared" ref="CP18" si="26">+CP16/CL16-1</f>
        <v>0.58865248226950362</v>
      </c>
      <c r="CQ18" s="1708">
        <f t="shared" si="25"/>
        <v>0.23586206896551731</v>
      </c>
      <c r="CR18" s="1708">
        <f t="shared" si="25"/>
        <v>-0.32377358490566033</v>
      </c>
      <c r="CS18" s="1708">
        <f t="shared" si="25"/>
        <v>-0.4947665198237885</v>
      </c>
      <c r="CT18" s="1709">
        <f t="shared" si="25"/>
        <v>-0.59040000000000004</v>
      </c>
    </row>
    <row r="19" spans="1:98" hidden="1" outlineLevel="1">
      <c r="A19" s="733" t="s">
        <v>489</v>
      </c>
      <c r="B19" s="558"/>
      <c r="C19" s="558"/>
      <c r="D19" s="558"/>
      <c r="E19" s="558"/>
      <c r="F19" s="558"/>
      <c r="G19" s="558"/>
      <c r="H19" s="558"/>
      <c r="I19" s="558"/>
      <c r="J19" s="558"/>
      <c r="K19" s="558"/>
      <c r="L19" s="558"/>
      <c r="M19" s="558"/>
      <c r="N19" s="558"/>
      <c r="O19" s="558"/>
      <c r="P19" s="558"/>
      <c r="Q19" s="558"/>
      <c r="R19" s="558"/>
      <c r="S19" s="558"/>
      <c r="T19" s="558"/>
      <c r="U19" s="558"/>
      <c r="V19" s="558"/>
      <c r="W19" s="558"/>
      <c r="X19" s="558"/>
      <c r="Y19" s="558"/>
      <c r="Z19" s="558"/>
      <c r="AA19" s="558"/>
      <c r="AB19" s="558"/>
      <c r="AC19" s="558"/>
      <c r="AD19" s="558"/>
      <c r="AE19" s="558"/>
      <c r="AF19" s="558"/>
      <c r="AG19" s="3903"/>
      <c r="AH19" s="3904"/>
      <c r="AI19" s="560"/>
      <c r="AJ19" s="558"/>
      <c r="AK19" s="558"/>
      <c r="AL19" s="559"/>
      <c r="AM19" s="560"/>
      <c r="AN19" s="558"/>
      <c r="AO19" s="558"/>
      <c r="AP19" s="559"/>
      <c r="AQ19" s="558"/>
      <c r="AR19" s="558"/>
      <c r="AS19" s="558"/>
      <c r="AT19" s="559"/>
      <c r="AU19" s="558"/>
      <c r="AV19" s="558"/>
      <c r="AW19" s="558"/>
      <c r="AX19" s="559"/>
      <c r="AY19" s="558"/>
      <c r="AZ19" s="558"/>
      <c r="BA19" s="558"/>
      <c r="BB19" s="559"/>
      <c r="BC19" s="4094"/>
      <c r="BD19" s="558"/>
      <c r="BE19" s="558"/>
      <c r="BF19" s="559"/>
      <c r="BG19" s="558"/>
      <c r="BH19" s="558"/>
      <c r="BI19" s="558"/>
      <c r="BJ19" s="558"/>
      <c r="BK19" s="560"/>
      <c r="BL19" s="1867" t="s">
        <v>984</v>
      </c>
      <c r="BM19" s="558"/>
      <c r="BN19" s="558"/>
      <c r="BO19" s="560"/>
      <c r="BP19" s="558"/>
      <c r="BQ19" s="558"/>
      <c r="BR19" s="559"/>
      <c r="BS19" s="558"/>
      <c r="BT19" s="558"/>
      <c r="BU19" s="558"/>
      <c r="BV19" s="558"/>
      <c r="BW19" s="560"/>
      <c r="BX19" s="558"/>
      <c r="BY19" s="558"/>
      <c r="BZ19" s="559"/>
      <c r="CA19" s="560"/>
      <c r="CB19" s="558"/>
      <c r="CC19" s="558"/>
      <c r="CD19" s="559"/>
      <c r="CE19" s="560"/>
      <c r="CF19" s="558"/>
      <c r="CG19" s="558"/>
      <c r="CH19" s="559"/>
      <c r="CI19" s="558"/>
      <c r="CJ19" s="558"/>
      <c r="CK19" s="558"/>
      <c r="CL19" s="559"/>
      <c r="CM19" s="558"/>
      <c r="CN19" s="558"/>
      <c r="CO19" s="558"/>
      <c r="CP19" s="559"/>
      <c r="CQ19" s="558"/>
      <c r="CR19" s="558"/>
      <c r="CS19" s="558"/>
      <c r="CT19" s="559"/>
    </row>
    <row r="20" spans="1:98" ht="10.5" hidden="1" customHeight="1" outlineLevel="1">
      <c r="A20" s="2190" t="s">
        <v>490</v>
      </c>
      <c r="B20" s="1749"/>
      <c r="C20" s="1749"/>
      <c r="D20" s="1822"/>
      <c r="E20" s="349"/>
      <c r="F20" s="349">
        <f>SUM(AM20:AP20)</f>
        <v>1179224</v>
      </c>
      <c r="G20" s="349">
        <f>SUM(AQ20:AT20)</f>
        <v>1211042</v>
      </c>
      <c r="H20" s="349">
        <f>SUM(AU20:AX20)</f>
        <v>6848020</v>
      </c>
      <c r="I20" s="349">
        <f>SUM(AY20:BB20)</f>
        <v>6890962</v>
      </c>
      <c r="J20" s="349">
        <f>SUM(BC20:BF20)</f>
        <v>16949950</v>
      </c>
      <c r="K20" s="349">
        <f>SUM(BG20:BJ20)</f>
        <v>16416657</v>
      </c>
      <c r="L20" s="2055">
        <f>IS!K25*1000</f>
        <v>19431000</v>
      </c>
      <c r="M20" s="460">
        <f t="shared" ref="M20:W20" ca="1" si="27">(M154)*1000</f>
        <v>18691800</v>
      </c>
      <c r="N20" s="460">
        <f t="shared" si="27"/>
        <v>18377000</v>
      </c>
      <c r="O20" s="460">
        <f t="shared" si="27"/>
        <v>18095000</v>
      </c>
      <c r="P20" s="460">
        <f t="shared" si="27"/>
        <v>18027000</v>
      </c>
      <c r="Q20" s="460">
        <f t="shared" si="27"/>
        <v>17900000</v>
      </c>
      <c r="R20" s="460">
        <f t="shared" si="27"/>
        <v>17470000</v>
      </c>
      <c r="S20" s="460">
        <f t="shared" si="27"/>
        <v>16297000</v>
      </c>
      <c r="T20" s="460">
        <f t="shared" si="27"/>
        <v>15769312.999999998</v>
      </c>
      <c r="U20" s="460">
        <f t="shared" si="27"/>
        <v>15411818.115535565</v>
      </c>
      <c r="V20" s="460">
        <f t="shared" si="27"/>
        <v>15065560.315915747</v>
      </c>
      <c r="W20" s="460">
        <f t="shared" si="27"/>
        <v>14778702.842885671</v>
      </c>
      <c r="X20" s="460">
        <f t="shared" ref="X20:AF20" si="28">(X154)*1000</f>
        <v>14545778.436884619</v>
      </c>
      <c r="Y20" s="460">
        <f t="shared" si="28"/>
        <v>14361943.445609378</v>
      </c>
      <c r="Z20" s="460">
        <f t="shared" si="28"/>
        <v>14222907.535158833</v>
      </c>
      <c r="AA20" s="460">
        <f t="shared" si="28"/>
        <v>14124871.891664749</v>
      </c>
      <c r="AB20" s="460">
        <f t="shared" si="28"/>
        <v>14064474.825984424</v>
      </c>
      <c r="AC20" s="460">
        <f t="shared" si="28"/>
        <v>14038743.841557987</v>
      </c>
      <c r="AD20" s="460">
        <f t="shared" si="28"/>
        <v>14045053.352311555</v>
      </c>
      <c r="AE20" s="460">
        <f t="shared" si="28"/>
        <v>14081087.346477898</v>
      </c>
      <c r="AF20" s="460">
        <f t="shared" si="28"/>
        <v>14144806.385947701</v>
      </c>
      <c r="AG20" s="3903"/>
      <c r="AH20" s="3904"/>
      <c r="AI20" s="3911"/>
      <c r="AJ20" s="1822"/>
      <c r="AK20" s="1822"/>
      <c r="AL20" s="461">
        <f t="shared" ref="AL20:BE20" si="29">+AL26+AL44+AL69</f>
        <v>285154</v>
      </c>
      <c r="AM20" s="460">
        <f t="shared" si="29"/>
        <v>288275</v>
      </c>
      <c r="AN20" s="460">
        <f t="shared" si="29"/>
        <v>294038</v>
      </c>
      <c r="AO20" s="460">
        <f t="shared" si="29"/>
        <v>299528</v>
      </c>
      <c r="AP20" s="461">
        <f t="shared" si="29"/>
        <v>297383</v>
      </c>
      <c r="AQ20" s="460">
        <f t="shared" si="29"/>
        <v>297406</v>
      </c>
      <c r="AR20" s="460">
        <f t="shared" si="29"/>
        <v>297757</v>
      </c>
      <c r="AS20" s="460">
        <f t="shared" si="29"/>
        <v>314768</v>
      </c>
      <c r="AT20" s="461">
        <f t="shared" si="29"/>
        <v>301111</v>
      </c>
      <c r="AU20" s="460">
        <f t="shared" si="29"/>
        <v>1728503</v>
      </c>
      <c r="AV20" s="460">
        <f t="shared" si="29"/>
        <v>1703233</v>
      </c>
      <c r="AW20" s="460">
        <f t="shared" si="29"/>
        <v>1697562</v>
      </c>
      <c r="AX20" s="461">
        <f t="shared" si="29"/>
        <v>1718722</v>
      </c>
      <c r="AY20" s="460">
        <f t="shared" si="29"/>
        <v>1702939</v>
      </c>
      <c r="AZ20" s="460">
        <f t="shared" si="29"/>
        <v>1721883</v>
      </c>
      <c r="BA20" s="460">
        <f t="shared" si="29"/>
        <v>1749492</v>
      </c>
      <c r="BB20" s="461">
        <f t="shared" si="29"/>
        <v>1716648</v>
      </c>
      <c r="BC20" s="460">
        <f t="shared" si="29"/>
        <v>3949252</v>
      </c>
      <c r="BD20" s="460">
        <f t="shared" si="29"/>
        <v>3879340</v>
      </c>
      <c r="BE20" s="460">
        <f t="shared" si="29"/>
        <v>3829884</v>
      </c>
      <c r="BF20" s="760">
        <f>INPUTS_1!V32</f>
        <v>5291474</v>
      </c>
      <c r="BG20" s="761">
        <f>INPUTS_1!W32</f>
        <v>5102597</v>
      </c>
      <c r="BH20" s="761">
        <f>INPUTS_1!X32</f>
        <v>4996413</v>
      </c>
      <c r="BI20" s="460">
        <f>+BI26+BI44+BI69</f>
        <v>3198570</v>
      </c>
      <c r="BJ20" s="460">
        <f>+BJ26+BJ44+BJ69</f>
        <v>3119077</v>
      </c>
      <c r="BK20" s="462">
        <f>(BK154+BK282)*1000</f>
        <v>213000</v>
      </c>
      <c r="BL20" s="460">
        <f>(BL154+BL282)*1000</f>
        <v>219000</v>
      </c>
      <c r="BM20" s="460">
        <f>(BM154+BM282)*1000</f>
        <v>240000</v>
      </c>
      <c r="BN20" s="460">
        <f>(BN154+BN282)*1000</f>
        <v>251000</v>
      </c>
      <c r="BO20" s="462">
        <f t="shared" ref="BO20:CD20" ca="1" si="30">(BO154)*1000</f>
        <v>4736800</v>
      </c>
      <c r="BP20" s="460">
        <f t="shared" si="30"/>
        <v>4669000</v>
      </c>
      <c r="BQ20" s="460">
        <f t="shared" si="30"/>
        <v>4633000</v>
      </c>
      <c r="BR20" s="461">
        <f t="shared" si="30"/>
        <v>4653000</v>
      </c>
      <c r="BS20" s="460">
        <f t="shared" si="30"/>
        <v>4610000</v>
      </c>
      <c r="BT20" s="460">
        <f t="shared" si="30"/>
        <v>4612000</v>
      </c>
      <c r="BU20" s="460">
        <f t="shared" si="30"/>
        <v>4571000</v>
      </c>
      <c r="BV20" s="460">
        <f t="shared" si="30"/>
        <v>4584000</v>
      </c>
      <c r="BW20" s="462">
        <f t="shared" si="30"/>
        <v>4513000</v>
      </c>
      <c r="BX20" s="460">
        <f t="shared" si="30"/>
        <v>4525000</v>
      </c>
      <c r="BY20" s="460">
        <f t="shared" si="30"/>
        <v>4515000</v>
      </c>
      <c r="BZ20" s="461">
        <f t="shared" si="30"/>
        <v>4542000</v>
      </c>
      <c r="CA20" s="462">
        <f>(CA154)*1000</f>
        <v>4538000</v>
      </c>
      <c r="CB20" s="460">
        <f>(CB154)*1000</f>
        <v>4540000</v>
      </c>
      <c r="CC20" s="460">
        <f>(CC154)*1000</f>
        <v>4513000</v>
      </c>
      <c r="CD20" s="461">
        <f t="shared" si="30"/>
        <v>4436000</v>
      </c>
      <c r="CE20" s="462">
        <f t="shared" ref="CE20:CL20" si="31">(CE154)*1000</f>
        <v>4451000</v>
      </c>
      <c r="CF20" s="460">
        <f t="shared" si="31"/>
        <v>4419000</v>
      </c>
      <c r="CG20" s="460">
        <f t="shared" si="31"/>
        <v>4554000</v>
      </c>
      <c r="CH20" s="461">
        <f t="shared" si="31"/>
        <v>4476000</v>
      </c>
      <c r="CI20" s="460">
        <f t="shared" si="31"/>
        <v>4401000</v>
      </c>
      <c r="CJ20" s="460">
        <f t="shared" si="31"/>
        <v>4398000</v>
      </c>
      <c r="CK20" s="460">
        <f t="shared" si="31"/>
        <v>4382000</v>
      </c>
      <c r="CL20" s="461">
        <f t="shared" si="31"/>
        <v>4289000</v>
      </c>
      <c r="CM20" s="460">
        <f>(CM154)*1000</f>
        <v>4209000</v>
      </c>
      <c r="CN20" s="460">
        <f>(CN154)*1000</f>
        <v>4090000</v>
      </c>
      <c r="CO20" s="460">
        <f>(CO154)*1000</f>
        <v>4034000</v>
      </c>
      <c r="CP20" s="461">
        <f t="shared" ref="CP20" si="32">(CP154)*1000</f>
        <v>3964000</v>
      </c>
      <c r="CQ20" s="460">
        <f>(CQ154)*1000</f>
        <v>3994670</v>
      </c>
      <c r="CR20" s="460">
        <f>(CR154)*1000</f>
        <v>3956723</v>
      </c>
      <c r="CS20" s="460">
        <f>(CS154)*1000</f>
        <v>3936300</v>
      </c>
      <c r="CT20" s="461">
        <f>(CT154)*1000</f>
        <v>3881620</v>
      </c>
    </row>
    <row r="21" spans="1:98" ht="10.5" hidden="1" customHeight="1" outlineLevel="1">
      <c r="A21" s="3911" t="s">
        <v>775</v>
      </c>
      <c r="B21" s="1749"/>
      <c r="C21" s="1749"/>
      <c r="D21" s="1822"/>
      <c r="E21" s="1822"/>
      <c r="F21" s="1822"/>
      <c r="G21" s="1823">
        <f t="shared" ref="G21:Q21" si="33">+G20/F20-1</f>
        <v>2.6982150973860808E-2</v>
      </c>
      <c r="H21" s="1823">
        <f t="shared" si="33"/>
        <v>4.654651118623466</v>
      </c>
      <c r="I21" s="1823">
        <f t="shared" si="33"/>
        <v>6.2707176672964771E-3</v>
      </c>
      <c r="J21" s="1823">
        <f t="shared" si="33"/>
        <v>1.4597363909422225</v>
      </c>
      <c r="K21" s="1823">
        <f t="shared" si="33"/>
        <v>-3.1462806674945942E-2</v>
      </c>
      <c r="L21" s="1823"/>
      <c r="M21" s="1823">
        <f t="shared" ca="1" si="33"/>
        <v>-3.8042303535587463E-2</v>
      </c>
      <c r="N21" s="1823">
        <f t="shared" ca="1" si="33"/>
        <v>-1.6841609689810522E-2</v>
      </c>
      <c r="O21" s="1823">
        <f t="shared" si="33"/>
        <v>-1.5345268542199531E-2</v>
      </c>
      <c r="P21" s="1823">
        <f t="shared" si="33"/>
        <v>-3.7579441834760807E-3</v>
      </c>
      <c r="Q21" s="1823">
        <f t="shared" si="33"/>
        <v>-7.0449880734453352E-3</v>
      </c>
      <c r="R21" s="1823">
        <f t="shared" ref="R21:W21" si="34">+R20/Q20-1</f>
        <v>-2.4022346368715031E-2</v>
      </c>
      <c r="S21" s="1823">
        <f>+S20/R20-1</f>
        <v>-6.7143674871207759E-2</v>
      </c>
      <c r="T21" s="1823">
        <f>+T20/S20-1</f>
        <v>-3.2379394980671439E-2</v>
      </c>
      <c r="U21" s="1823">
        <f t="shared" si="34"/>
        <v>-2.267028909023705E-2</v>
      </c>
      <c r="V21" s="1823">
        <f t="shared" si="34"/>
        <v>-2.2467031275873905E-2</v>
      </c>
      <c r="W21" s="1823">
        <f t="shared" si="34"/>
        <v>-1.9040610970640803E-2</v>
      </c>
      <c r="X21" s="1823">
        <f t="shared" ref="X21:AF21" si="35">+X20/W20-1</f>
        <v>-1.5760815308170306E-2</v>
      </c>
      <c r="Y21" s="1823">
        <f t="shared" si="35"/>
        <v>-1.2638374224722138E-2</v>
      </c>
      <c r="Z21" s="1823">
        <f t="shared" si="35"/>
        <v>-9.6808562836284695E-3</v>
      </c>
      <c r="AA21" s="1823">
        <f t="shared" si="35"/>
        <v>-6.8927990463090172E-3</v>
      </c>
      <c r="AB21" s="1823">
        <f t="shared" si="35"/>
        <v>-4.2759372363557757E-3</v>
      </c>
      <c r="AC21" s="1823">
        <f t="shared" si="35"/>
        <v>-1.8295019717976535E-3</v>
      </c>
      <c r="AD21" s="1823">
        <f t="shared" si="35"/>
        <v>4.4943556380672156E-4</v>
      </c>
      <c r="AE21" s="1823">
        <f t="shared" si="35"/>
        <v>2.565600376335464E-3</v>
      </c>
      <c r="AF21" s="1823">
        <f t="shared" si="35"/>
        <v>4.5251505016579152E-3</v>
      </c>
      <c r="AG21" s="3903"/>
      <c r="AH21" s="3904"/>
      <c r="AI21" s="1827"/>
      <c r="AJ21" s="1823"/>
      <c r="AK21" s="1823"/>
      <c r="AL21" s="1828"/>
      <c r="AM21" s="1827"/>
      <c r="AN21" s="1823"/>
      <c r="AO21" s="1823"/>
      <c r="AP21" s="1828">
        <f t="shared" ref="AP21:BJ21" si="36">+AP20/AL20-1</f>
        <v>4.2885598658970236E-2</v>
      </c>
      <c r="AQ21" s="1823">
        <f t="shared" si="36"/>
        <v>3.1674616251842869E-2</v>
      </c>
      <c r="AR21" s="1823">
        <f t="shared" si="36"/>
        <v>1.2648025085193026E-2</v>
      </c>
      <c r="AS21" s="1823">
        <f t="shared" si="36"/>
        <v>5.0880051280681515E-2</v>
      </c>
      <c r="AT21" s="1828">
        <f t="shared" si="36"/>
        <v>1.2536022570220906E-2</v>
      </c>
      <c r="AU21" s="1823">
        <f t="shared" si="36"/>
        <v>4.8119304923236248</v>
      </c>
      <c r="AV21" s="1823">
        <f t="shared" si="36"/>
        <v>4.7202114475898131</v>
      </c>
      <c r="AW21" s="1823">
        <f t="shared" si="36"/>
        <v>4.3930577441163017</v>
      </c>
      <c r="AX21" s="1828">
        <f t="shared" si="36"/>
        <v>4.7079349475774714</v>
      </c>
      <c r="AY21" s="1823">
        <f t="shared" si="36"/>
        <v>-1.4789676384709738E-2</v>
      </c>
      <c r="AZ21" s="1823">
        <f t="shared" si="36"/>
        <v>1.0949764359896808E-2</v>
      </c>
      <c r="BA21" s="1823">
        <f t="shared" si="36"/>
        <v>3.0590929815818235E-2</v>
      </c>
      <c r="BB21" s="1828">
        <f t="shared" si="36"/>
        <v>-1.2067105675030998E-3</v>
      </c>
      <c r="BC21" s="1823">
        <f t="shared" si="36"/>
        <v>1.3190801314668348</v>
      </c>
      <c r="BD21" s="1823">
        <f t="shared" si="36"/>
        <v>1.2529637611847031</v>
      </c>
      <c r="BE21" s="1823">
        <f t="shared" si="36"/>
        <v>1.1891406191054319</v>
      </c>
      <c r="BF21" s="1828">
        <f t="shared" si="36"/>
        <v>2.0824455566895486</v>
      </c>
      <c r="BG21" s="1823">
        <f t="shared" si="36"/>
        <v>0.29204137897505644</v>
      </c>
      <c r="BH21" s="1823">
        <f t="shared" si="36"/>
        <v>0.28795439430418579</v>
      </c>
      <c r="BI21" s="1823">
        <f t="shared" si="36"/>
        <v>-0.16483893506957392</v>
      </c>
      <c r="BJ21" s="1823">
        <f t="shared" si="36"/>
        <v>-0.4105466643131952</v>
      </c>
      <c r="BK21" s="1815" t="s">
        <v>1145</v>
      </c>
      <c r="BL21" s="1816" t="s">
        <v>1145</v>
      </c>
      <c r="BM21" s="1816" t="s">
        <v>1145</v>
      </c>
      <c r="BN21" s="1816" t="s">
        <v>1145</v>
      </c>
      <c r="BO21" s="1827">
        <f t="shared" ref="BO21:CC21" ca="1" si="37">+BO20/BK20-1</f>
        <v>21.238497652582161</v>
      </c>
      <c r="BP21" s="1823">
        <f t="shared" si="37"/>
        <v>20.319634703196346</v>
      </c>
      <c r="BQ21" s="1823">
        <f t="shared" si="37"/>
        <v>18.304166666666667</v>
      </c>
      <c r="BR21" s="1828">
        <f t="shared" si="37"/>
        <v>17.53784860557769</v>
      </c>
      <c r="BS21" s="1823">
        <f t="shared" ca="1" si="37"/>
        <v>-2.6769126836682977E-2</v>
      </c>
      <c r="BT21" s="1823">
        <f t="shared" si="37"/>
        <v>-1.2208181623473924E-2</v>
      </c>
      <c r="BU21" s="1823">
        <f t="shared" si="37"/>
        <v>-1.3382257716382462E-2</v>
      </c>
      <c r="BV21" s="1823">
        <f t="shared" si="37"/>
        <v>-1.4829142488716918E-2</v>
      </c>
      <c r="BW21" s="1827">
        <f t="shared" si="37"/>
        <v>-2.1041214750542325E-2</v>
      </c>
      <c r="BX21" s="1823">
        <f t="shared" si="37"/>
        <v>-1.8863833477883785E-2</v>
      </c>
      <c r="BY21" s="1823">
        <f t="shared" si="37"/>
        <v>-1.225114854517606E-2</v>
      </c>
      <c r="BZ21" s="1828">
        <f t="shared" si="37"/>
        <v>-9.162303664921434E-3</v>
      </c>
      <c r="CA21" s="1827">
        <f t="shared" si="37"/>
        <v>5.539552404165704E-3</v>
      </c>
      <c r="CB21" s="1823">
        <f t="shared" si="37"/>
        <v>3.3149171270718814E-3</v>
      </c>
      <c r="CC21" s="1823">
        <f t="shared" si="37"/>
        <v>-4.4296788482833804E-4</v>
      </c>
      <c r="CD21" s="1828">
        <f>+CD20/BZ20-1</f>
        <v>-2.3337736679876708E-2</v>
      </c>
      <c r="CE21" s="1827">
        <f>+CE20/CA20-1</f>
        <v>-1.9171441163508107E-2</v>
      </c>
      <c r="CF21" s="1823">
        <f>+CF20/CB20-1</f>
        <v>-2.6651982378854577E-2</v>
      </c>
      <c r="CG21" s="1823">
        <f>+CG20/CC20-1</f>
        <v>9.0848659428317546E-3</v>
      </c>
      <c r="CH21" s="1828">
        <f t="shared" ref="CH21:CM21" si="38">+CH20/CD20-1</f>
        <v>9.0171325518484391E-3</v>
      </c>
      <c r="CI21" s="1823">
        <f t="shared" si="38"/>
        <v>-1.1233430689732593E-2</v>
      </c>
      <c r="CJ21" s="1823">
        <f t="shared" si="38"/>
        <v>-4.7522063815342852E-3</v>
      </c>
      <c r="CK21" s="1823">
        <f t="shared" si="38"/>
        <v>-3.7768994290733438E-2</v>
      </c>
      <c r="CL21" s="1828">
        <f t="shared" si="38"/>
        <v>-4.1778373547810554E-2</v>
      </c>
      <c r="CM21" s="1823">
        <f t="shared" si="38"/>
        <v>-4.3626448534423989E-2</v>
      </c>
      <c r="CN21" s="1823">
        <f>+CN20/CJ20-1</f>
        <v>-7.003183265120505E-2</v>
      </c>
      <c r="CO21" s="1823">
        <f>+CO20/CK20-1</f>
        <v>-7.941579187585579E-2</v>
      </c>
      <c r="CP21" s="1828">
        <f t="shared" ref="CP21" si="39">+CP20/CL20-1</f>
        <v>-7.5775238983446069E-2</v>
      </c>
      <c r="CQ21" s="1823">
        <f>+CQ20/CM20-1</f>
        <v>-5.0921834164884716E-2</v>
      </c>
      <c r="CR21" s="1823">
        <f>+CR20/CN20-1</f>
        <v>-3.2586063569682189E-2</v>
      </c>
      <c r="CS21" s="1823">
        <f>+CS20/CO20-1</f>
        <v>-2.4219137332672336E-2</v>
      </c>
      <c r="CT21" s="1828">
        <f>+CT20/CP20-1</f>
        <v>-2.0782038345105946E-2</v>
      </c>
    </row>
    <row r="22" spans="1:98" ht="10.5" hidden="1" customHeight="1" outlineLevel="1">
      <c r="A22" s="3911" t="s">
        <v>491</v>
      </c>
      <c r="B22" s="1749"/>
      <c r="C22" s="1749"/>
      <c r="D22" s="1822"/>
      <c r="E22" s="1822"/>
      <c r="F22" s="1822"/>
      <c r="G22" s="1822"/>
      <c r="H22" s="1822"/>
      <c r="I22" s="1822"/>
      <c r="J22" s="1822"/>
      <c r="K22" s="1771"/>
      <c r="L22" s="1823"/>
      <c r="M22" s="1823"/>
      <c r="N22" s="1823"/>
      <c r="O22" s="1823"/>
      <c r="P22" s="1823"/>
      <c r="Q22" s="1823"/>
      <c r="R22" s="1823"/>
      <c r="S22" s="1823"/>
      <c r="T22" s="1823"/>
      <c r="U22" s="1823"/>
      <c r="V22" s="1823"/>
      <c r="W22" s="1823"/>
      <c r="X22" s="1823"/>
      <c r="Y22" s="1823"/>
      <c r="Z22" s="1823"/>
      <c r="AA22" s="1823"/>
      <c r="AB22" s="1823"/>
      <c r="AC22" s="1823"/>
      <c r="AD22" s="1823"/>
      <c r="AE22" s="1823"/>
      <c r="AF22" s="1823"/>
      <c r="AG22" s="3903"/>
      <c r="AH22" s="3904"/>
      <c r="AI22" s="1827"/>
      <c r="AJ22" s="1823"/>
      <c r="AK22" s="1823"/>
      <c r="AL22" s="1828"/>
      <c r="AM22" s="1827"/>
      <c r="AN22" s="1823"/>
      <c r="AO22" s="1823"/>
      <c r="AP22" s="1828"/>
      <c r="AQ22" s="1823"/>
      <c r="AR22" s="1823"/>
      <c r="AS22" s="1823"/>
      <c r="AT22" s="1828"/>
      <c r="AU22" s="1823"/>
      <c r="AV22" s="1823"/>
      <c r="AW22" s="1823"/>
      <c r="AX22" s="1828"/>
      <c r="AY22" s="1823"/>
      <c r="AZ22" s="1823"/>
      <c r="BA22" s="1823"/>
      <c r="BB22" s="1828"/>
      <c r="BC22" s="1823"/>
      <c r="BD22" s="1823"/>
      <c r="BE22" s="1823"/>
      <c r="BF22" s="3912"/>
      <c r="BG22" s="1823"/>
      <c r="BH22" s="1823">
        <f>+BH20/BG20-1</f>
        <v>-2.0809795482574889E-2</v>
      </c>
      <c r="BI22" s="1823">
        <f>+BI20/BH20-1</f>
        <v>-0.359826739703063</v>
      </c>
      <c r="BJ22" s="1823">
        <f>+BJ20/BI20-1</f>
        <v>-2.485266853625212E-2</v>
      </c>
      <c r="BK22" s="1815" t="s">
        <v>1145</v>
      </c>
      <c r="BL22" s="1823">
        <f>+BL20/BK20-1</f>
        <v>2.8169014084507005E-2</v>
      </c>
      <c r="BM22" s="1823">
        <f>+BM20/BL20-1</f>
        <v>9.5890410958904049E-2</v>
      </c>
      <c r="BN22" s="1823">
        <f>+BN20/BM20-1</f>
        <v>4.5833333333333393E-2</v>
      </c>
      <c r="BO22" s="1827">
        <f t="shared" ref="BO22:CC22" ca="1" si="40">+BO20/BN20-1</f>
        <v>17.871713147410357</v>
      </c>
      <c r="BP22" s="1823">
        <f t="shared" ca="1" si="40"/>
        <v>-1.4313460564093883E-2</v>
      </c>
      <c r="BQ22" s="1823">
        <f t="shared" si="40"/>
        <v>-7.7104304990361916E-3</v>
      </c>
      <c r="BR22" s="1828">
        <f t="shared" si="40"/>
        <v>4.3168573278653533E-3</v>
      </c>
      <c r="BS22" s="1823">
        <f t="shared" si="40"/>
        <v>-9.2413496668816153E-3</v>
      </c>
      <c r="BT22" s="1823">
        <f t="shared" si="40"/>
        <v>4.3383947939257261E-4</v>
      </c>
      <c r="BU22" s="1823">
        <f t="shared" si="40"/>
        <v>-8.88985255854291E-3</v>
      </c>
      <c r="BV22" s="1823">
        <f t="shared" si="40"/>
        <v>2.8440166265586431E-3</v>
      </c>
      <c r="BW22" s="1827">
        <f t="shared" si="40"/>
        <v>-1.5488656195462469E-2</v>
      </c>
      <c r="BX22" s="1823">
        <f t="shared" si="40"/>
        <v>2.6589851539995379E-3</v>
      </c>
      <c r="BY22" s="1823">
        <f t="shared" si="40"/>
        <v>-2.2099447513812542E-3</v>
      </c>
      <c r="BZ22" s="1828">
        <f t="shared" si="40"/>
        <v>5.9800664451827856E-3</v>
      </c>
      <c r="CA22" s="1827">
        <f t="shared" si="40"/>
        <v>-8.8066930867458648E-4</v>
      </c>
      <c r="CB22" s="1823">
        <f t="shared" si="40"/>
        <v>4.4072278536799736E-4</v>
      </c>
      <c r="CC22" s="1823">
        <f t="shared" si="40"/>
        <v>-5.9471365638766871E-3</v>
      </c>
      <c r="CD22" s="1828">
        <f>+CD20/CC20-1</f>
        <v>-1.7061821404830479E-2</v>
      </c>
      <c r="CE22" s="1827">
        <f>+CE20/CD20-1</f>
        <v>3.3814247069432479E-3</v>
      </c>
      <c r="CF22" s="1823">
        <f>+CF20/CE20-1</f>
        <v>-7.1893956414288418E-3</v>
      </c>
      <c r="CG22" s="1823">
        <f>+CG20/CF20-1</f>
        <v>3.054989816700604E-2</v>
      </c>
      <c r="CH22" s="1828">
        <f t="shared" ref="CH22:CM22" si="41">+CH20/CG20-1</f>
        <v>-1.7127799736495364E-2</v>
      </c>
      <c r="CI22" s="1823">
        <f t="shared" si="41"/>
        <v>-1.6756032171581725E-2</v>
      </c>
      <c r="CJ22" s="1823">
        <f t="shared" si="41"/>
        <v>-6.8166325835039565E-4</v>
      </c>
      <c r="CK22" s="1823">
        <f t="shared" si="41"/>
        <v>-3.6380172805821065E-3</v>
      </c>
      <c r="CL22" s="1828">
        <f t="shared" si="41"/>
        <v>-2.1223185759926988E-2</v>
      </c>
      <c r="CM22" s="1823">
        <f t="shared" si="41"/>
        <v>-1.865236651900215E-2</v>
      </c>
      <c r="CN22" s="1823">
        <f>+CN20/CM20-1</f>
        <v>-2.8272748871465914E-2</v>
      </c>
      <c r="CO22" s="1823">
        <f>+CO20/CN20-1</f>
        <v>-1.3691931540342317E-2</v>
      </c>
      <c r="CP22" s="1828">
        <f t="shared" ref="CP22" si="42">+CP20/CO20-1</f>
        <v>-1.7352503718393697E-2</v>
      </c>
      <c r="CQ22" s="1823">
        <f>+CQ20/CP20-1</f>
        <v>7.7371342078709215E-3</v>
      </c>
      <c r="CR22" s="1823">
        <f>+CR20/CQ20-1</f>
        <v>-9.4994079611081528E-3</v>
      </c>
      <c r="CS22" s="1823">
        <f>+CS20/CR20-1</f>
        <v>-5.1615945821832376E-3</v>
      </c>
      <c r="CT22" s="1828">
        <f>+CT20/CS20-1</f>
        <v>-1.3891217640931819E-2</v>
      </c>
    </row>
    <row r="23" spans="1:98" ht="10.5" hidden="1" customHeight="1" outlineLevel="1">
      <c r="A23" s="2191" t="s">
        <v>457</v>
      </c>
      <c r="B23" s="1749"/>
      <c r="C23" s="1749"/>
      <c r="D23" s="1822"/>
      <c r="E23" s="1822"/>
      <c r="F23" s="1822"/>
      <c r="G23" s="1822"/>
      <c r="H23" s="1822"/>
      <c r="I23" s="1822"/>
      <c r="J23" s="1822"/>
      <c r="K23" s="1771"/>
      <c r="L23" s="349">
        <f>SUM(BK23:BN23)</f>
        <v>0</v>
      </c>
      <c r="M23" s="1823"/>
      <c r="N23" s="1823"/>
      <c r="O23" s="1823"/>
      <c r="P23" s="1823"/>
      <c r="Q23" s="1823"/>
      <c r="R23" s="1823"/>
      <c r="S23" s="1823"/>
      <c r="T23" s="1823"/>
      <c r="U23" s="1823"/>
      <c r="V23" s="1823"/>
      <c r="W23" s="1823"/>
      <c r="X23" s="1823"/>
      <c r="Y23" s="1823"/>
      <c r="Z23" s="1823"/>
      <c r="AA23" s="1823"/>
      <c r="AB23" s="1823"/>
      <c r="AC23" s="1823"/>
      <c r="AD23" s="1823"/>
      <c r="AE23" s="1823"/>
      <c r="AF23" s="1823"/>
      <c r="AG23" s="3903"/>
      <c r="AH23" s="3904"/>
      <c r="AI23" s="1827"/>
      <c r="AJ23" s="1823"/>
      <c r="AK23" s="1823"/>
      <c r="AL23" s="1828"/>
      <c r="AM23" s="1827"/>
      <c r="AN23" s="1823"/>
      <c r="AO23" s="1823"/>
      <c r="AP23" s="1828"/>
      <c r="AQ23" s="1823"/>
      <c r="AR23" s="1823"/>
      <c r="AS23" s="1823"/>
      <c r="AT23" s="1828"/>
      <c r="AU23" s="1823"/>
      <c r="AV23" s="1823"/>
      <c r="AW23" s="1823"/>
      <c r="AX23" s="1828"/>
      <c r="AY23" s="1823"/>
      <c r="AZ23" s="1823"/>
      <c r="BA23" s="1823"/>
      <c r="BB23" s="1828"/>
      <c r="BC23" s="1823"/>
      <c r="BD23" s="1823"/>
      <c r="BE23" s="1823"/>
      <c r="BF23" s="3912"/>
      <c r="BG23" s="1823"/>
      <c r="BH23" s="1823"/>
      <c r="BI23" s="1823"/>
      <c r="BJ23" s="1823"/>
      <c r="BK23" s="1814"/>
      <c r="BL23" s="1845"/>
      <c r="BM23" s="1845"/>
      <c r="BN23" s="1845"/>
      <c r="BO23" s="1814"/>
      <c r="BP23" s="1845"/>
      <c r="BQ23" s="1845"/>
      <c r="BR23" s="2040"/>
      <c r="BS23" s="1845"/>
      <c r="BT23" s="1823"/>
      <c r="BU23" s="1823"/>
      <c r="BV23" s="1823"/>
      <c r="BW23" s="1827"/>
      <c r="BX23" s="1823"/>
      <c r="BY23" s="1823"/>
      <c r="BZ23" s="1828"/>
      <c r="CA23" s="1827"/>
      <c r="CB23" s="1823"/>
      <c r="CC23" s="1823"/>
      <c r="CD23" s="1828"/>
      <c r="CE23" s="1827"/>
      <c r="CF23" s="1823"/>
      <c r="CG23" s="1823"/>
      <c r="CH23" s="1828"/>
      <c r="CI23" s="1823"/>
      <c r="CJ23" s="1823"/>
      <c r="CK23" s="1823"/>
      <c r="CL23" s="1828"/>
      <c r="CM23" s="1823"/>
      <c r="CN23" s="1823"/>
      <c r="CO23" s="1823"/>
      <c r="CP23" s="1828"/>
      <c r="CQ23" s="1823"/>
      <c r="CR23" s="1823"/>
      <c r="CS23" s="1823"/>
      <c r="CT23" s="1828"/>
    </row>
    <row r="24" spans="1:98" ht="10.5" hidden="1" customHeight="1" outlineLevel="1">
      <c r="A24" s="3911"/>
      <c r="B24" s="1749"/>
      <c r="C24" s="1749"/>
      <c r="D24" s="1822"/>
      <c r="E24" s="1822"/>
      <c r="F24" s="1822"/>
      <c r="G24" s="1822"/>
      <c r="H24" s="1822"/>
      <c r="I24" s="1822"/>
      <c r="J24" s="1822"/>
      <c r="K24" s="1771"/>
      <c r="L24" s="1823"/>
      <c r="M24" s="1823"/>
      <c r="N24" s="1823"/>
      <c r="O24" s="1823"/>
      <c r="P24" s="1823"/>
      <c r="Q24" s="1823"/>
      <c r="R24" s="1823"/>
      <c r="S24" s="1823"/>
      <c r="T24" s="1823"/>
      <c r="U24" s="1823"/>
      <c r="V24" s="1823"/>
      <c r="W24" s="1823"/>
      <c r="X24" s="1823"/>
      <c r="Y24" s="1823"/>
      <c r="Z24" s="1823"/>
      <c r="AA24" s="1823"/>
      <c r="AB24" s="1823"/>
      <c r="AC24" s="1823"/>
      <c r="AD24" s="1823"/>
      <c r="AE24" s="1823"/>
      <c r="AF24" s="1823"/>
      <c r="AG24" s="3903"/>
      <c r="AH24" s="3904"/>
      <c r="AI24" s="1827"/>
      <c r="AJ24" s="1823"/>
      <c r="AK24" s="1823"/>
      <c r="AL24" s="1828"/>
      <c r="AM24" s="1827"/>
      <c r="AN24" s="1823"/>
      <c r="AO24" s="1823"/>
      <c r="AP24" s="1828"/>
      <c r="AQ24" s="1823"/>
      <c r="AR24" s="1823"/>
      <c r="AS24" s="1823"/>
      <c r="AT24" s="1828"/>
      <c r="AU24" s="1823"/>
      <c r="AV24" s="1823"/>
      <c r="AW24" s="1823"/>
      <c r="AX24" s="1828"/>
      <c r="AY24" s="1823"/>
      <c r="AZ24" s="1823"/>
      <c r="BA24" s="1823"/>
      <c r="BB24" s="1828"/>
      <c r="BC24" s="1823"/>
      <c r="BD24" s="1823"/>
      <c r="BE24" s="1823"/>
      <c r="BF24" s="3912"/>
      <c r="BG24" s="1823"/>
      <c r="BH24" s="1823"/>
      <c r="BI24" s="1823"/>
      <c r="BJ24" s="1823"/>
      <c r="BK24" s="1827"/>
      <c r="BL24" s="1823"/>
      <c r="BM24" s="1823"/>
      <c r="BN24" s="1823"/>
      <c r="BO24" s="1827"/>
      <c r="BP24" s="1823"/>
      <c r="BQ24" s="1823"/>
      <c r="BR24" s="1828"/>
      <c r="BS24" s="1823"/>
      <c r="BT24" s="1823"/>
      <c r="BU24" s="1823"/>
      <c r="BV24" s="1823"/>
      <c r="BW24" s="1827"/>
      <c r="BX24" s="1823"/>
      <c r="BY24" s="1823"/>
      <c r="BZ24" s="1828"/>
      <c r="CA24" s="1827"/>
      <c r="CB24" s="1823"/>
      <c r="CC24" s="1823"/>
      <c r="CD24" s="1828"/>
      <c r="CE24" s="1827"/>
      <c r="CF24" s="1823"/>
      <c r="CG24" s="1823"/>
      <c r="CH24" s="1828"/>
      <c r="CI24" s="1823"/>
      <c r="CJ24" s="1823"/>
      <c r="CK24" s="1823"/>
      <c r="CL24" s="1828"/>
      <c r="CM24" s="1823"/>
      <c r="CN24" s="1823"/>
      <c r="CO24" s="1823"/>
      <c r="CP24" s="1828"/>
      <c r="CQ24" s="1823"/>
      <c r="CR24" s="1823"/>
      <c r="CS24" s="1823"/>
      <c r="CT24" s="1828"/>
    </row>
    <row r="25" spans="1:98" s="2140" customFormat="1" hidden="1" outlineLevel="1">
      <c r="A25" s="2192" t="s">
        <v>781</v>
      </c>
      <c r="B25" s="2137"/>
      <c r="C25" s="2137"/>
      <c r="D25" s="2137"/>
      <c r="E25" s="2137"/>
      <c r="F25" s="2137"/>
      <c r="G25" s="2137"/>
      <c r="H25" s="2137"/>
      <c r="I25" s="4168" t="s">
        <v>650</v>
      </c>
      <c r="J25" s="4169"/>
      <c r="K25" s="2137"/>
      <c r="L25" s="2137"/>
      <c r="M25" s="2137"/>
      <c r="N25" s="2137"/>
      <c r="O25" s="2137"/>
      <c r="P25" s="2137"/>
      <c r="Q25" s="2137"/>
      <c r="R25" s="2137"/>
      <c r="S25" s="2137"/>
      <c r="T25" s="2137"/>
      <c r="U25" s="2137"/>
      <c r="V25" s="2137"/>
      <c r="W25" s="2137"/>
      <c r="X25" s="2137"/>
      <c r="Y25" s="2137"/>
      <c r="Z25" s="2137"/>
      <c r="AA25" s="2137"/>
      <c r="AB25" s="2137"/>
      <c r="AC25" s="2137"/>
      <c r="AD25" s="2137"/>
      <c r="AE25" s="2137"/>
      <c r="AF25" s="2137"/>
      <c r="AG25" s="2551"/>
      <c r="AH25" s="2763"/>
      <c r="AI25" s="2139"/>
      <c r="AJ25" s="2137"/>
      <c r="AK25" s="2137"/>
      <c r="AL25" s="2138"/>
      <c r="AM25" s="2139"/>
      <c r="AN25" s="2137"/>
      <c r="AO25" s="2137"/>
      <c r="AP25" s="2138"/>
      <c r="AQ25" s="2137"/>
      <c r="AR25" s="2137"/>
      <c r="AS25" s="2137"/>
      <c r="AT25" s="2138"/>
      <c r="AU25" s="2137"/>
      <c r="AV25" s="2137"/>
      <c r="AW25" s="2137"/>
      <c r="AX25" s="2138"/>
      <c r="AY25" s="2137"/>
      <c r="AZ25" s="2137"/>
      <c r="BA25" s="2137"/>
      <c r="BB25" s="2138"/>
      <c r="BC25" s="4095" t="s">
        <v>492</v>
      </c>
      <c r="BD25" s="2137"/>
      <c r="BE25" s="2137"/>
      <c r="BF25" s="2138"/>
      <c r="BG25" s="2137"/>
      <c r="BH25" s="2137"/>
      <c r="BI25" s="2137"/>
      <c r="BJ25" s="2137"/>
      <c r="BK25" s="2139"/>
      <c r="BL25" s="2137"/>
      <c r="BM25" s="2137"/>
      <c r="BN25" s="2137"/>
      <c r="BO25" s="2139"/>
      <c r="BP25" s="2137"/>
      <c r="BQ25" s="2137"/>
      <c r="BR25" s="2138"/>
      <c r="BS25" s="2137"/>
      <c r="BT25" s="2137"/>
      <c r="BU25" s="2137"/>
      <c r="BV25" s="2137"/>
      <c r="BW25" s="2139"/>
      <c r="BX25" s="2137"/>
      <c r="BY25" s="2137"/>
      <c r="BZ25" s="2138"/>
      <c r="CA25" s="2139"/>
      <c r="CB25" s="2137"/>
      <c r="CC25" s="2137"/>
      <c r="CD25" s="2138"/>
      <c r="CE25" s="2139"/>
      <c r="CF25" s="2137"/>
      <c r="CG25" s="2137"/>
      <c r="CH25" s="2138"/>
      <c r="CI25" s="2137"/>
      <c r="CJ25" s="2137"/>
      <c r="CK25" s="2137"/>
      <c r="CL25" s="2138"/>
      <c r="CM25" s="2137"/>
      <c r="CN25" s="2137"/>
      <c r="CO25" s="2137"/>
      <c r="CP25" s="2138"/>
      <c r="CQ25" s="2137"/>
      <c r="CR25" s="2137"/>
      <c r="CS25" s="2137"/>
      <c r="CT25" s="2138"/>
    </row>
    <row r="26" spans="1:98" s="2140" customFormat="1" hidden="1" outlineLevel="1">
      <c r="A26" s="2173" t="s">
        <v>782</v>
      </c>
      <c r="B26" s="2193"/>
      <c r="C26" s="2193"/>
      <c r="D26" s="2183"/>
      <c r="E26" s="2183"/>
      <c r="F26" s="2141">
        <f>SUM(AM26:AP26)</f>
        <v>903025</v>
      </c>
      <c r="G26" s="2141">
        <f>SUM(AQ26:AT26)</f>
        <v>892272</v>
      </c>
      <c r="H26" s="2141">
        <f>SUM(AU26:AX26)</f>
        <v>5360800</v>
      </c>
      <c r="I26" s="2141">
        <f>SUM(AY26:BB26)</f>
        <v>5125139</v>
      </c>
      <c r="J26" s="2141">
        <f>SUM(BC26:BF26)</f>
        <v>12892241</v>
      </c>
      <c r="K26" s="2141">
        <f>SUM(BG26:BJ26)</f>
        <v>10988784</v>
      </c>
      <c r="L26" s="2141">
        <f>SUM(BK26:BN26)</f>
        <v>9391921</v>
      </c>
      <c r="M26" s="2141">
        <f>SUM(BO26:BR26)</f>
        <v>8557622.6893052459</v>
      </c>
      <c r="N26" s="2141">
        <f>SUM(BS26:BV26)</f>
        <v>8029488.4745133081</v>
      </c>
      <c r="O26" s="2141">
        <f>SUM(BT26:BW26)</f>
        <v>7909820.0977013391</v>
      </c>
      <c r="P26" s="2141">
        <f t="shared" ref="P26:V26" si="43">+P29*P17*0.012</f>
        <v>7546151.0917366017</v>
      </c>
      <c r="Q26" s="2141">
        <f t="shared" si="43"/>
        <v>7209406.0306736715</v>
      </c>
      <c r="R26" s="2141">
        <f>+R29*R17*0.012</f>
        <v>6854098.9563071784</v>
      </c>
      <c r="S26" s="2141">
        <f>+S29*S17*0.012</f>
        <v>6446196.3354351511</v>
      </c>
      <c r="T26" s="2141">
        <f>+T29*T17*0.012</f>
        <v>6073147.1862169737</v>
      </c>
      <c r="U26" s="2141">
        <f t="shared" si="43"/>
        <v>5719519.1211520322</v>
      </c>
      <c r="V26" s="2141">
        <f t="shared" si="43"/>
        <v>5303197.5527074495</v>
      </c>
      <c r="W26" s="2141">
        <f>+W29*W17*0.012</f>
        <v>4890567.3518759292</v>
      </c>
      <c r="X26" s="2141">
        <f t="shared" ref="X26:AF26" si="44">+X29*X17*0.012</f>
        <v>4497243.4726013066</v>
      </c>
      <c r="Y26" s="2141">
        <f t="shared" si="44"/>
        <v>4135552.666317346</v>
      </c>
      <c r="Z26" s="2141">
        <f t="shared" si="44"/>
        <v>3802950.8431287738</v>
      </c>
      <c r="AA26" s="2141">
        <f t="shared" si="44"/>
        <v>3497098.5215701419</v>
      </c>
      <c r="AB26" s="2141">
        <f t="shared" si="44"/>
        <v>3215844.3729728628</v>
      </c>
      <c r="AC26" s="2141">
        <f t="shared" si="44"/>
        <v>2957210.0892765205</v>
      </c>
      <c r="AD26" s="2141">
        <f t="shared" si="44"/>
        <v>2719376.4678464564</v>
      </c>
      <c r="AE26" s="2141">
        <f t="shared" si="44"/>
        <v>2500670.6154199047</v>
      </c>
      <c r="AF26" s="2141">
        <f t="shared" si="44"/>
        <v>2299554.1811747588</v>
      </c>
      <c r="AG26" s="2551"/>
      <c r="AH26" s="2763"/>
      <c r="AI26" s="2182"/>
      <c r="AJ26" s="2183"/>
      <c r="AK26" s="2183"/>
      <c r="AL26" s="2184">
        <f>INPUTS_1!B29</f>
        <v>220972</v>
      </c>
      <c r="AM26" s="2183">
        <f>INPUTS_1!C29</f>
        <v>222647</v>
      </c>
      <c r="AN26" s="2183">
        <f>INPUTS_1!D29</f>
        <v>225869</v>
      </c>
      <c r="AO26" s="2183">
        <f>INPUTS_1!E29</f>
        <v>229536</v>
      </c>
      <c r="AP26" s="2184">
        <f>INPUTS_1!F29</f>
        <v>224973</v>
      </c>
      <c r="AQ26" s="2183">
        <f>INPUTS_1!G29</f>
        <v>224500</v>
      </c>
      <c r="AR26" s="2183">
        <f>INPUTS_1!H29</f>
        <v>221708</v>
      </c>
      <c r="AS26" s="2183">
        <f>INPUTS_1!I29</f>
        <v>225857</v>
      </c>
      <c r="AT26" s="2184">
        <f>INPUTS_1!J29</f>
        <v>220207</v>
      </c>
      <c r="AU26" s="2183">
        <f>INPUTS_1!K29</f>
        <v>1372449</v>
      </c>
      <c r="AV26" s="2183">
        <f>INPUTS_1!L29</f>
        <v>1339786</v>
      </c>
      <c r="AW26" s="2183">
        <f>INPUTS_1!M29</f>
        <v>1317180</v>
      </c>
      <c r="AX26" s="2184">
        <f>INPUTS_1!N29</f>
        <v>1331385</v>
      </c>
      <c r="AY26" s="2183">
        <f>INPUTS_1!O29</f>
        <v>1293075</v>
      </c>
      <c r="AZ26" s="2183">
        <f>INPUTS_1!P29</f>
        <v>1293677</v>
      </c>
      <c r="BA26" s="2183">
        <f>INPUTS_1!Q29</f>
        <v>1280862</v>
      </c>
      <c r="BB26" s="2184">
        <f>INPUTS_1!R29</f>
        <v>1257525</v>
      </c>
      <c r="BC26" s="2183">
        <f>INPUTS_1!S29</f>
        <v>3359480</v>
      </c>
      <c r="BD26" s="2183">
        <f>INPUTS_1!T29</f>
        <v>3262101</v>
      </c>
      <c r="BE26" s="2183">
        <f>INPUTS_1!U29</f>
        <v>3186253</v>
      </c>
      <c r="BF26" s="2184">
        <f>INPUTS_1!V29</f>
        <v>3084407</v>
      </c>
      <c r="BG26" s="2183">
        <f>INPUTS_1!W29</f>
        <v>2995018</v>
      </c>
      <c r="BH26" s="2183">
        <f>INPUTS_1!X29</f>
        <v>2898671</v>
      </c>
      <c r="BI26" s="2183">
        <f>INPUTS_1!Y29</f>
        <v>2585357</v>
      </c>
      <c r="BJ26" s="2183">
        <f>INPUTS_1!Z29</f>
        <v>2509738</v>
      </c>
      <c r="BK26" s="2182">
        <f>INPUTS_1!AA29</f>
        <v>2443876</v>
      </c>
      <c r="BL26" s="2183">
        <f>INPUTS_1!AB29</f>
        <v>2360580</v>
      </c>
      <c r="BM26" s="2183">
        <f>INPUTS_1!AC29</f>
        <v>2330367</v>
      </c>
      <c r="BN26" s="2183">
        <f>INPUTS_1!AD29</f>
        <v>2257098</v>
      </c>
      <c r="BO26" s="2182">
        <f>INPUTS_1!AE29</f>
        <v>2205203</v>
      </c>
      <c r="BP26" s="2141">
        <f t="shared" ref="BP26:CD26" si="45">+BP29*BP17*0.003</f>
        <v>2136709.8616250902</v>
      </c>
      <c r="BQ26" s="2141">
        <f t="shared" si="45"/>
        <v>2115389.386871445</v>
      </c>
      <c r="BR26" s="2172">
        <f t="shared" si="45"/>
        <v>2100320.4408087102</v>
      </c>
      <c r="BS26" s="2141">
        <f t="shared" si="45"/>
        <v>2060517.8296964483</v>
      </c>
      <c r="BT26" s="2141">
        <f t="shared" si="45"/>
        <v>2002487.0509013997</v>
      </c>
      <c r="BU26" s="2141">
        <f t="shared" si="45"/>
        <v>1988643.2034601145</v>
      </c>
      <c r="BV26" s="2141">
        <f t="shared" si="45"/>
        <v>1977840.3904553454</v>
      </c>
      <c r="BW26" s="2174">
        <f t="shared" si="45"/>
        <v>1940849.4528844797</v>
      </c>
      <c r="BX26" s="2141">
        <f t="shared" si="45"/>
        <v>1885498.0685219264</v>
      </c>
      <c r="BY26" s="2141">
        <f t="shared" si="45"/>
        <v>1872258.7782539048</v>
      </c>
      <c r="BZ26" s="2172">
        <f t="shared" si="45"/>
        <v>1865375.1636871237</v>
      </c>
      <c r="CA26" s="2174">
        <f>+CA29*CA17*0.003</f>
        <v>1837533.3293505935</v>
      </c>
      <c r="CB26" s="2141">
        <f>+CB29*CB17*0.003</f>
        <v>1792345.7558133337</v>
      </c>
      <c r="CC26" s="2141">
        <f>+CC29*CC17*0.003</f>
        <v>1783015.6450905679</v>
      </c>
      <c r="CD26" s="2172">
        <f t="shared" si="45"/>
        <v>1776505.144450818</v>
      </c>
      <c r="CE26" s="2174">
        <f t="shared" ref="CE26:CL26" si="46">+CE29*CE17*0.003</f>
        <v>1749173.2774326971</v>
      </c>
      <c r="CF26" s="2141">
        <f t="shared" si="46"/>
        <v>1705885.4032510959</v>
      </c>
      <c r="CG26" s="2141">
        <f t="shared" si="46"/>
        <v>1695148.6567025096</v>
      </c>
      <c r="CH26" s="2172">
        <f t="shared" si="46"/>
        <v>1684465.2758375746</v>
      </c>
      <c r="CI26" s="2141">
        <f t="shared" si="46"/>
        <v>1654965.9280312529</v>
      </c>
      <c r="CJ26" s="2141">
        <f t="shared" si="46"/>
        <v>1609460.1591094295</v>
      </c>
      <c r="CK26" s="2141">
        <f t="shared" si="46"/>
        <v>1596177.2076335852</v>
      </c>
      <c r="CL26" s="2172">
        <f t="shared" si="46"/>
        <v>1587345.2424691936</v>
      </c>
      <c r="CM26" s="2141">
        <f>+CM29*CM17*0.003</f>
        <v>1559600.4559246753</v>
      </c>
      <c r="CN26" s="2141">
        <f>+CN29*CN17*0.003</f>
        <v>1513854.5627104342</v>
      </c>
      <c r="CO26" s="2141">
        <f>+CO29*CO17*0.003</f>
        <v>1495641.5167468993</v>
      </c>
      <c r="CP26" s="2172">
        <f t="shared" ref="CP26" si="47">+CP29*CP17*0.003</f>
        <v>1476848.490997229</v>
      </c>
      <c r="CQ26" s="2141">
        <f>+CQ29*CQ17*0.003</f>
        <v>1441359.2571163781</v>
      </c>
      <c r="CR26" s="2141">
        <f>+CR29*CR17*0.003</f>
        <v>1399619.0722681792</v>
      </c>
      <c r="CS26" s="2141">
        <f>+CS29*CS17*0.003</f>
        <v>1393208.3332108848</v>
      </c>
      <c r="CT26" s="2172">
        <f>+CT29*CT17*0.003</f>
        <v>1390897.1482713306</v>
      </c>
    </row>
    <row r="27" spans="1:98" s="2140" customFormat="1" hidden="1" outlineLevel="1">
      <c r="A27" s="2155" t="s">
        <v>775</v>
      </c>
      <c r="B27" s="2167"/>
      <c r="C27" s="2167"/>
      <c r="D27" s="2167"/>
      <c r="E27" s="2152"/>
      <c r="F27" s="2152"/>
      <c r="G27" s="2152">
        <f t="shared" ref="G27:Q27" si="48">+G26/F26-1</f>
        <v>-1.1907754491846889E-2</v>
      </c>
      <c r="H27" s="2152">
        <f t="shared" si="48"/>
        <v>5.0080334247852676</v>
      </c>
      <c r="I27" s="2152">
        <f t="shared" si="48"/>
        <v>-4.3960043277122773E-2</v>
      </c>
      <c r="J27" s="2152">
        <f t="shared" si="48"/>
        <v>1.5154909944881494</v>
      </c>
      <c r="K27" s="2152">
        <f t="shared" si="48"/>
        <v>-0.14764360982702696</v>
      </c>
      <c r="L27" s="2152">
        <f t="shared" si="48"/>
        <v>-0.14531753467899633</v>
      </c>
      <c r="M27" s="2152">
        <f t="shared" si="48"/>
        <v>-8.8831487263867914E-2</v>
      </c>
      <c r="N27" s="2152">
        <f t="shared" si="48"/>
        <v>-6.1715061994023768E-2</v>
      </c>
      <c r="O27" s="2152">
        <f t="shared" si="48"/>
        <v>-1.4903611505491687E-2</v>
      </c>
      <c r="P27" s="2152">
        <f t="shared" si="48"/>
        <v>-4.5976899786939862E-2</v>
      </c>
      <c r="Q27" s="2152">
        <f t="shared" si="48"/>
        <v>-4.462474405418182E-2</v>
      </c>
      <c r="R27" s="2152">
        <f t="shared" ref="R27:W27" si="49">+R26/Q26-1</f>
        <v>-4.9283820727363259E-2</v>
      </c>
      <c r="S27" s="2152">
        <f>+S26/R26-1</f>
        <v>-5.9512216481303226E-2</v>
      </c>
      <c r="T27" s="2152">
        <f>+T26/S26-1</f>
        <v>-5.7871204941044474E-2</v>
      </c>
      <c r="U27" s="2152">
        <f t="shared" si="49"/>
        <v>-5.822814007661492E-2</v>
      </c>
      <c r="V27" s="2152">
        <f t="shared" si="49"/>
        <v>-7.2789610389610293E-2</v>
      </c>
      <c r="W27" s="2152">
        <f t="shared" si="49"/>
        <v>-7.7807812500000018E-2</v>
      </c>
      <c r="X27" s="2152">
        <f t="shared" ref="X27:AF27" si="50">+X26/W26-1</f>
        <v>-8.0425000000000191E-2</v>
      </c>
      <c r="Y27" s="2152">
        <f t="shared" si="50"/>
        <v>-8.042500000000008E-2</v>
      </c>
      <c r="Z27" s="2152">
        <f t="shared" si="50"/>
        <v>-8.0424999999999858E-2</v>
      </c>
      <c r="AA27" s="2152">
        <f t="shared" si="50"/>
        <v>-8.042500000000008E-2</v>
      </c>
      <c r="AB27" s="2152">
        <f t="shared" si="50"/>
        <v>-8.042500000000008E-2</v>
      </c>
      <c r="AC27" s="2152">
        <f t="shared" si="50"/>
        <v>-8.0424999999999969E-2</v>
      </c>
      <c r="AD27" s="2152">
        <f t="shared" si="50"/>
        <v>-8.0424999999999969E-2</v>
      </c>
      <c r="AE27" s="2152">
        <f t="shared" si="50"/>
        <v>-8.0425000000000191E-2</v>
      </c>
      <c r="AF27" s="2152">
        <f t="shared" si="50"/>
        <v>-8.0424999999999969E-2</v>
      </c>
      <c r="AG27" s="2551"/>
      <c r="AH27" s="2763"/>
      <c r="AI27" s="2155"/>
      <c r="AJ27" s="2167"/>
      <c r="AK27" s="2167"/>
      <c r="AL27" s="2163"/>
      <c r="AM27" s="2185"/>
      <c r="AN27" s="2164"/>
      <c r="AO27" s="2164"/>
      <c r="AP27" s="2163">
        <f t="shared" ref="AP27:BO27" si="51">+AP26/AL26-1</f>
        <v>1.8106366417464548E-2</v>
      </c>
      <c r="AQ27" s="2164">
        <f t="shared" si="51"/>
        <v>8.3225913666027385E-3</v>
      </c>
      <c r="AR27" s="2164">
        <f t="shared" si="51"/>
        <v>-1.8422182769658568E-2</v>
      </c>
      <c r="AS27" s="2164">
        <f t="shared" si="51"/>
        <v>-1.6027986895301827E-2</v>
      </c>
      <c r="AT27" s="2163">
        <f t="shared" si="51"/>
        <v>-2.1184764393949451E-2</v>
      </c>
      <c r="AU27" s="2164">
        <f t="shared" si="51"/>
        <v>5.1133585746102446</v>
      </c>
      <c r="AV27" s="2164">
        <f t="shared" si="51"/>
        <v>5.0430205495516622</v>
      </c>
      <c r="AW27" s="2164">
        <f t="shared" si="51"/>
        <v>4.8319201972929777</v>
      </c>
      <c r="AX27" s="2163">
        <f t="shared" si="51"/>
        <v>5.0460612060470371</v>
      </c>
      <c r="AY27" s="2164">
        <f t="shared" si="51"/>
        <v>-5.7833843006188212E-2</v>
      </c>
      <c r="AZ27" s="2164">
        <f t="shared" si="51"/>
        <v>-3.4415197650968121E-2</v>
      </c>
      <c r="BA27" s="2164">
        <f t="shared" si="51"/>
        <v>-2.7572541338313661E-2</v>
      </c>
      <c r="BB27" s="2163">
        <f t="shared" si="51"/>
        <v>-5.5476064399103242E-2</v>
      </c>
      <c r="BC27" s="2164">
        <f t="shared" si="51"/>
        <v>1.5980550238771918</v>
      </c>
      <c r="BD27" s="2164">
        <f t="shared" si="51"/>
        <v>1.5215730046990092</v>
      </c>
      <c r="BE27" s="2164">
        <f t="shared" si="51"/>
        <v>1.4875849232782299</v>
      </c>
      <c r="BF27" s="2163">
        <f t="shared" si="51"/>
        <v>1.4527599848909563</v>
      </c>
      <c r="BG27" s="2164">
        <f t="shared" si="51"/>
        <v>-0.10848762308452498</v>
      </c>
      <c r="BH27" s="2164">
        <f t="shared" si="51"/>
        <v>-0.11140979387210881</v>
      </c>
      <c r="BI27" s="2164">
        <f t="shared" si="51"/>
        <v>-0.18859017159026603</v>
      </c>
      <c r="BJ27" s="2164">
        <f t="shared" si="51"/>
        <v>-0.18631425748936503</v>
      </c>
      <c r="BK27" s="2185">
        <f t="shared" si="51"/>
        <v>-0.184019595207775</v>
      </c>
      <c r="BL27" s="2164">
        <f t="shared" si="51"/>
        <v>-0.18563369212994507</v>
      </c>
      <c r="BM27" s="2164">
        <f t="shared" si="51"/>
        <v>-9.8628545303414583E-2</v>
      </c>
      <c r="BN27" s="2164">
        <f t="shared" si="51"/>
        <v>-0.10066389400009079</v>
      </c>
      <c r="BO27" s="2185">
        <f t="shared" si="51"/>
        <v>-9.7661665321808422E-2</v>
      </c>
      <c r="BP27" s="2164">
        <f>+BP26/BL26-1</f>
        <v>-9.4836920746134368E-2</v>
      </c>
      <c r="BQ27" s="2164">
        <f>+BQ26/BM26-1</f>
        <v>-9.2250539562461653E-2</v>
      </c>
      <c r="BR27" s="2163">
        <f>+BR26/BN26-1</f>
        <v>-6.9459792703413736E-2</v>
      </c>
      <c r="BS27" s="2164">
        <f>+BS26/BO26-1</f>
        <v>-6.5610816919599579E-2</v>
      </c>
      <c r="BT27" s="2164">
        <f>+BT26/BP26-1</f>
        <v>-6.2817518248175497E-2</v>
      </c>
      <c r="BU27" s="2164">
        <f t="shared" ref="BU27:CC27" si="52">+BU26/BQ26-1</f>
        <v>-5.9916242464836067E-2</v>
      </c>
      <c r="BV27" s="2164">
        <f t="shared" si="52"/>
        <v>-5.8314935175417748E-2</v>
      </c>
      <c r="BW27" s="2185">
        <f t="shared" si="52"/>
        <v>-5.8076846066213328E-2</v>
      </c>
      <c r="BX27" s="2164">
        <f t="shared" si="52"/>
        <v>-5.8421842142156066E-2</v>
      </c>
      <c r="BY27" s="2164">
        <f t="shared" si="52"/>
        <v>-5.8524538239794976E-2</v>
      </c>
      <c r="BZ27" s="2163">
        <f t="shared" si="52"/>
        <v>-5.6862640337893788E-2</v>
      </c>
      <c r="CA27" s="2185">
        <f t="shared" si="52"/>
        <v>-5.3232425307557119E-2</v>
      </c>
      <c r="CB27" s="2164">
        <f t="shared" si="52"/>
        <v>-4.9404618473895545E-2</v>
      </c>
      <c r="CC27" s="2164">
        <f t="shared" si="52"/>
        <v>-4.766602469695258E-2</v>
      </c>
      <c r="CD27" s="2163">
        <f>+CD26/BZ26-1</f>
        <v>-4.7641901193025471E-2</v>
      </c>
      <c r="CE27" s="2185">
        <f>+CE26/CA26-1</f>
        <v>-4.8086230876216995E-2</v>
      </c>
      <c r="CF27" s="2164">
        <f>+CF26/CB26-1</f>
        <v>-4.823865723553078E-2</v>
      </c>
      <c r="CG27" s="2164">
        <f>+CG26/CC26-1</f>
        <v>-4.9279987323720409E-2</v>
      </c>
      <c r="CH27" s="2163">
        <f t="shared" ref="CH27:CM27" si="53">+CH26/CD26-1</f>
        <v>-5.1809514259355649E-2</v>
      </c>
      <c r="CI27" s="2164">
        <f t="shared" si="53"/>
        <v>-5.3858214401556914E-2</v>
      </c>
      <c r="CJ27" s="2164">
        <f t="shared" si="53"/>
        <v>-5.6525042044382467E-2</v>
      </c>
      <c r="CK27" s="2164">
        <f t="shared" si="53"/>
        <v>-5.8385114885114997E-2</v>
      </c>
      <c r="CL27" s="2163">
        <f t="shared" si="53"/>
        <v>-5.7656298863204225E-2</v>
      </c>
      <c r="CM27" s="2164">
        <f t="shared" si="53"/>
        <v>-5.7623828074831906E-2</v>
      </c>
      <c r="CN27" s="2164">
        <f>+CN26/CJ26-1</f>
        <v>-5.9402275886031974E-2</v>
      </c>
      <c r="CO27" s="2164">
        <f>+CO26/CK26-1</f>
        <v>-6.2985294117646973E-2</v>
      </c>
      <c r="CP27" s="2163">
        <f t="shared" ref="CP27" si="54">+CP26/CL26-1</f>
        <v>-6.9611038931947422E-2</v>
      </c>
      <c r="CQ27" s="2164">
        <f>+CQ26/CM26-1</f>
        <v>-7.5815057862491431E-2</v>
      </c>
      <c r="CR27" s="2164">
        <f>+CR26/CN26-1</f>
        <v>-7.5460016606698099E-2</v>
      </c>
      <c r="CS27" s="2164">
        <f>+CS26/CO26-1</f>
        <v>-6.848779095060975E-2</v>
      </c>
      <c r="CT27" s="2163">
        <f>+CT26/CP26-1</f>
        <v>-5.8199160746584377E-2</v>
      </c>
    </row>
    <row r="28" spans="1:98" s="2140" customFormat="1" hidden="1" outlineLevel="1">
      <c r="A28" s="2155" t="s">
        <v>491</v>
      </c>
      <c r="B28" s="2167"/>
      <c r="C28" s="2167"/>
      <c r="D28" s="2156"/>
      <c r="E28" s="2156"/>
      <c r="F28" s="2156"/>
      <c r="G28" s="2151"/>
      <c r="H28" s="2151"/>
      <c r="I28" s="2151"/>
      <c r="J28" s="2152"/>
      <c r="K28" s="2153"/>
      <c r="L28" s="2152"/>
      <c r="M28" s="2152"/>
      <c r="N28" s="2152"/>
      <c r="O28" s="2152"/>
      <c r="P28" s="2152"/>
      <c r="Q28" s="2152"/>
      <c r="R28" s="2152"/>
      <c r="S28" s="2152"/>
      <c r="T28" s="2152"/>
      <c r="U28" s="2152"/>
      <c r="V28" s="2152"/>
      <c r="W28" s="2152"/>
      <c r="X28" s="2152"/>
      <c r="Y28" s="2152"/>
      <c r="Z28" s="2152"/>
      <c r="AA28" s="2152"/>
      <c r="AB28" s="2152"/>
      <c r="AC28" s="2152"/>
      <c r="AD28" s="2152"/>
      <c r="AE28" s="2152"/>
      <c r="AF28" s="2152"/>
      <c r="AG28" s="2551"/>
      <c r="AH28" s="2763"/>
      <c r="AI28" s="2155"/>
      <c r="AJ28" s="2156"/>
      <c r="AK28" s="2156"/>
      <c r="AL28" s="2157"/>
      <c r="AM28" s="2152">
        <f t="shared" ref="AM28:BO28" si="55">+AM26/AL26-1</f>
        <v>7.5801459008382199E-3</v>
      </c>
      <c r="AN28" s="2152">
        <f t="shared" si="55"/>
        <v>1.4471338037341575E-2</v>
      </c>
      <c r="AO28" s="2152">
        <f t="shared" si="55"/>
        <v>1.6235074312986653E-2</v>
      </c>
      <c r="AP28" s="2154">
        <f t="shared" si="55"/>
        <v>-1.9879234629861964E-2</v>
      </c>
      <c r="AQ28" s="2152">
        <f t="shared" si="55"/>
        <v>-2.1024745191645655E-3</v>
      </c>
      <c r="AR28" s="2152">
        <f t="shared" si="55"/>
        <v>-1.2436525612472216E-2</v>
      </c>
      <c r="AS28" s="2152">
        <f t="shared" si="55"/>
        <v>1.8713803741858603E-2</v>
      </c>
      <c r="AT28" s="2154">
        <f t="shared" si="55"/>
        <v>-2.5015828599512124E-2</v>
      </c>
      <c r="AU28" s="2152">
        <f t="shared" si="55"/>
        <v>5.232540291634689</v>
      </c>
      <c r="AV28" s="2152">
        <f t="shared" si="55"/>
        <v>-2.3799062843136598E-2</v>
      </c>
      <c r="AW28" s="2152">
        <f t="shared" si="55"/>
        <v>-1.68728438720811E-2</v>
      </c>
      <c r="AX28" s="2154">
        <f t="shared" si="55"/>
        <v>1.0784403042864321E-2</v>
      </c>
      <c r="AY28" s="2152">
        <f t="shared" si="55"/>
        <v>-2.8774546806521029E-2</v>
      </c>
      <c r="AZ28" s="2152">
        <f t="shared" si="55"/>
        <v>4.6555690891869617E-4</v>
      </c>
      <c r="BA28" s="2152">
        <f t="shared" si="55"/>
        <v>-9.905872949739436E-3</v>
      </c>
      <c r="BB28" s="2154">
        <f t="shared" si="55"/>
        <v>-1.8219761379446031E-2</v>
      </c>
      <c r="BC28" s="2152">
        <f t="shared" si="55"/>
        <v>1.6715015606051571</v>
      </c>
      <c r="BD28" s="2152">
        <f t="shared" si="55"/>
        <v>-2.8986331217926598E-2</v>
      </c>
      <c r="BE28" s="2152">
        <f t="shared" si="55"/>
        <v>-2.3251272722702332E-2</v>
      </c>
      <c r="BF28" s="2154">
        <f t="shared" si="55"/>
        <v>-3.1964191167493605E-2</v>
      </c>
      <c r="BG28" s="2152">
        <f t="shared" si="55"/>
        <v>-2.8980935395361285E-2</v>
      </c>
      <c r="BH28" s="2152">
        <f t="shared" si="55"/>
        <v>-3.2169088800134138E-2</v>
      </c>
      <c r="BI28" s="2152">
        <f t="shared" si="55"/>
        <v>-0.10808884485338277</v>
      </c>
      <c r="BJ28" s="2152">
        <f t="shared" si="55"/>
        <v>-2.9248958654452761E-2</v>
      </c>
      <c r="BK28" s="2158">
        <f t="shared" si="55"/>
        <v>-2.6242579902762797E-2</v>
      </c>
      <c r="BL28" s="2152">
        <f t="shared" si="55"/>
        <v>-3.4083562341133522E-2</v>
      </c>
      <c r="BM28" s="2152">
        <f t="shared" si="55"/>
        <v>-1.2798973133721359E-2</v>
      </c>
      <c r="BN28" s="2152">
        <f t="shared" si="55"/>
        <v>-3.1440970456584783E-2</v>
      </c>
      <c r="BO28" s="2158">
        <f t="shared" si="55"/>
        <v>-2.2991912624086286E-2</v>
      </c>
      <c r="BP28" s="2152">
        <f>+BP26/BO26-1</f>
        <v>-3.1059788316499581E-2</v>
      </c>
      <c r="BQ28" s="2152">
        <f>+BQ26/BP26-1</f>
        <v>-9.9781796005892209E-3</v>
      </c>
      <c r="BR28" s="2154">
        <f>+BR26/BQ26-1</f>
        <v>-7.1234857072914881E-3</v>
      </c>
      <c r="BS28" s="2152">
        <f>+BS26/BR26-1</f>
        <v>-1.8950732630558131E-2</v>
      </c>
      <c r="BT28" s="2152">
        <f>+BT26/BS26-1</f>
        <v>-2.8163201482026334E-2</v>
      </c>
      <c r="BU28" s="2152">
        <f t="shared" ref="BU28:CC28" si="56">+BU26/BT26-1</f>
        <v>-6.9133268227894451E-3</v>
      </c>
      <c r="BV28" s="2152">
        <f t="shared" si="56"/>
        <v>-5.4322529984126566E-3</v>
      </c>
      <c r="BW28" s="2158">
        <f t="shared" si="56"/>
        <v>-1.8702690949874645E-2</v>
      </c>
      <c r="BX28" s="2152">
        <f t="shared" si="56"/>
        <v>-2.8519153961318544E-2</v>
      </c>
      <c r="BY28" s="2152">
        <f t="shared" si="56"/>
        <v>-7.0216408539734987E-3</v>
      </c>
      <c r="BZ28" s="2154">
        <f t="shared" si="56"/>
        <v>-3.6766362891356152E-3</v>
      </c>
      <c r="CA28" s="2158">
        <f t="shared" si="56"/>
        <v>-1.4925595064478991E-2</v>
      </c>
      <c r="CB28" s="2152">
        <f t="shared" si="56"/>
        <v>-2.4591430705221407E-2</v>
      </c>
      <c r="CC28" s="2152">
        <f t="shared" si="56"/>
        <v>-5.205530625162158E-3</v>
      </c>
      <c r="CD28" s="2154">
        <f>+CD26/CC26-1</f>
        <v>-3.6513984931518806E-3</v>
      </c>
      <c r="CE28" s="2158">
        <f>+CE26/CD26-1</f>
        <v>-1.5385188781184223E-2</v>
      </c>
      <c r="CF28" s="2152">
        <f>+CF26/CE26-1</f>
        <v>-2.4747619198216775E-2</v>
      </c>
      <c r="CG28" s="2152">
        <f>+CG26/CF26-1</f>
        <v>-6.2939436190285747E-3</v>
      </c>
      <c r="CH28" s="2154">
        <f t="shared" ref="CH28:CM28" si="57">+CH26/CG26-1</f>
        <v>-6.3023268329261972E-3</v>
      </c>
      <c r="CI28" s="2152">
        <f t="shared" si="57"/>
        <v>-1.7512588849095456E-2</v>
      </c>
      <c r="CJ28" s="2152">
        <f t="shared" si="57"/>
        <v>-2.7496498961738225E-2</v>
      </c>
      <c r="CK28" s="2152">
        <f t="shared" si="57"/>
        <v>-8.2530477071232067E-3</v>
      </c>
      <c r="CL28" s="2154">
        <f t="shared" si="57"/>
        <v>-5.5331983956126152E-3</v>
      </c>
      <c r="CM28" s="2152">
        <f t="shared" si="57"/>
        <v>-1.7478734809674989E-2</v>
      </c>
      <c r="CN28" s="2152">
        <f>+CN26/CM26-1</f>
        <v>-2.9331802924562944E-2</v>
      </c>
      <c r="CO28" s="2152">
        <f>+CO26/CN26-1</f>
        <v>-1.2030908656724515E-2</v>
      </c>
      <c r="CP28" s="2154">
        <f t="shared" ref="CP28" si="58">+CP26/CO26-1</f>
        <v>-1.2565193958072429E-2</v>
      </c>
      <c r="CQ28" s="2152">
        <f>+CQ26/CP26-1</f>
        <v>-2.4030382329122468E-2</v>
      </c>
      <c r="CR28" s="2152">
        <f>+CR26/CQ26-1</f>
        <v>-2.8958904341243485E-2</v>
      </c>
      <c r="CS28" s="2152">
        <f>+CS26/CR26-1</f>
        <v>-4.5803455985387043E-3</v>
      </c>
      <c r="CT28" s="2154">
        <f>+CT26/CS26-1</f>
        <v>-1.6588939962968174E-3</v>
      </c>
    </row>
    <row r="29" spans="1:98" s="2140" customFormat="1" hidden="1" outlineLevel="1">
      <c r="A29" s="2155" t="s">
        <v>783</v>
      </c>
      <c r="B29" s="2167"/>
      <c r="C29" s="2167"/>
      <c r="D29" s="2180"/>
      <c r="E29" s="2180"/>
      <c r="F29" s="2180">
        <f t="shared" ref="F29:N29" si="59">F26/(F17/1000)/12</f>
        <v>4.8430249071537919</v>
      </c>
      <c r="G29" s="2180">
        <f t="shared" si="59"/>
        <v>3.1209954152037565</v>
      </c>
      <c r="H29" s="2180">
        <f t="shared" si="59"/>
        <v>18.900988805398594</v>
      </c>
      <c r="I29" s="2180">
        <f t="shared" si="59"/>
        <v>19.602986228367257</v>
      </c>
      <c r="J29" s="2180">
        <f t="shared" si="59"/>
        <v>54.241453428364338</v>
      </c>
      <c r="K29" s="2180">
        <f t="shared" si="59"/>
        <v>51.151068286552153</v>
      </c>
      <c r="L29" s="2180">
        <f t="shared" si="59"/>
        <v>48.049856238041151</v>
      </c>
      <c r="M29" s="2180">
        <f t="shared" si="59"/>
        <v>47.232190224775337</v>
      </c>
      <c r="N29" s="2180">
        <f t="shared" si="59"/>
        <v>47.229506937905462</v>
      </c>
      <c r="O29" s="2180">
        <f>O26/(O17/1000)/12</f>
        <v>49.276841835191931</v>
      </c>
      <c r="P29" s="2176">
        <f t="shared" ref="P29:V29" si="60">+O29*(1+P30)</f>
        <v>49.523226044367888</v>
      </c>
      <c r="Q29" s="2176">
        <f t="shared" si="60"/>
        <v>49.770842174589724</v>
      </c>
      <c r="R29" s="2176">
        <f>+Q29*(1+R30)</f>
        <v>50.019696385462666</v>
      </c>
      <c r="S29" s="2176">
        <f>+R29*(1+S30)</f>
        <v>50.269794867389976</v>
      </c>
      <c r="T29" s="2176">
        <f>+S29*(1+T30)</f>
        <v>50.521143841726918</v>
      </c>
      <c r="U29" s="2176">
        <f t="shared" si="60"/>
        <v>50.773749560935549</v>
      </c>
      <c r="V29" s="2176">
        <f t="shared" si="60"/>
        <v>51.027618308740223</v>
      </c>
      <c r="W29" s="2176">
        <f>+V29*(1+W30)</f>
        <v>51.282756400283915</v>
      </c>
      <c r="X29" s="2176">
        <f t="shared" ref="X29:AF29" si="61">+W29*(1+X30)</f>
        <v>51.539170182285332</v>
      </c>
      <c r="Y29" s="2176">
        <f t="shared" si="61"/>
        <v>51.79686603319675</v>
      </c>
      <c r="Z29" s="2176">
        <f t="shared" si="61"/>
        <v>52.05585036336273</v>
      </c>
      <c r="AA29" s="2176">
        <f t="shared" si="61"/>
        <v>52.316129615179541</v>
      </c>
      <c r="AB29" s="2176">
        <f t="shared" si="61"/>
        <v>52.577710263255433</v>
      </c>
      <c r="AC29" s="2176">
        <f t="shared" si="61"/>
        <v>52.840598814571706</v>
      </c>
      <c r="AD29" s="2176">
        <f t="shared" si="61"/>
        <v>53.104801808644559</v>
      </c>
      <c r="AE29" s="2176">
        <f t="shared" si="61"/>
        <v>53.370325817687778</v>
      </c>
      <c r="AF29" s="2176">
        <f t="shared" si="61"/>
        <v>53.637177446776214</v>
      </c>
      <c r="AG29" s="2551"/>
      <c r="AH29" s="2763"/>
      <c r="AI29" s="2155"/>
      <c r="AJ29" s="2180"/>
      <c r="AK29" s="2180"/>
      <c r="AL29" s="2178"/>
      <c r="AM29" s="2179">
        <f t="shared" ref="AM29:BN29" si="62">+AM26/(AM17/1000)/3</f>
        <v>4.6658208770059213</v>
      </c>
      <c r="AN29" s="2180">
        <f t="shared" si="62"/>
        <v>3.1684583047165025</v>
      </c>
      <c r="AO29" s="2180">
        <f t="shared" si="62"/>
        <v>3.2560736463667066</v>
      </c>
      <c r="AP29" s="2178">
        <f t="shared" si="62"/>
        <v>3.2207454644314013</v>
      </c>
      <c r="AQ29" s="2180">
        <f t="shared" si="62"/>
        <v>3.0780809174675685</v>
      </c>
      <c r="AR29" s="2180">
        <f t="shared" si="62"/>
        <v>2.9268617955543115</v>
      </c>
      <c r="AS29" s="2180">
        <f t="shared" si="62"/>
        <v>3.0208928748507073</v>
      </c>
      <c r="AT29" s="2178">
        <f t="shared" si="62"/>
        <v>2.9804110336323322</v>
      </c>
      <c r="AU29" s="2180">
        <f t="shared" si="62"/>
        <v>18.872789136897442</v>
      </c>
      <c r="AV29" s="2180">
        <f t="shared" si="62"/>
        <v>18.772059752830916</v>
      </c>
      <c r="AW29" s="2180">
        <f t="shared" si="62"/>
        <v>18.789083768795575</v>
      </c>
      <c r="AX29" s="2178">
        <f t="shared" si="62"/>
        <v>19.308839734715828</v>
      </c>
      <c r="AY29" s="2180">
        <f t="shared" si="62"/>
        <v>19.228785294178333</v>
      </c>
      <c r="AZ29" s="2180">
        <f t="shared" si="62"/>
        <v>19.782250691920868</v>
      </c>
      <c r="BA29" s="2180">
        <f t="shared" si="62"/>
        <v>19.99247040842415</v>
      </c>
      <c r="BB29" s="2178">
        <f t="shared" si="62"/>
        <v>20.000486682087807</v>
      </c>
      <c r="BC29" s="2180">
        <f t="shared" si="62"/>
        <v>54.465641775906626</v>
      </c>
      <c r="BD29" s="2180">
        <f t="shared" si="62"/>
        <v>54.08844231104036</v>
      </c>
      <c r="BE29" s="2180">
        <f t="shared" si="62"/>
        <v>54.182557934682727</v>
      </c>
      <c r="BF29" s="2178">
        <f t="shared" si="62"/>
        <v>53.849307130826936</v>
      </c>
      <c r="BG29" s="2180">
        <f t="shared" si="62"/>
        <v>53.697253298909921</v>
      </c>
      <c r="BH29" s="2180">
        <f t="shared" si="62"/>
        <v>53.599824926064009</v>
      </c>
      <c r="BI29" s="2180">
        <f t="shared" si="62"/>
        <v>49.15327402485687</v>
      </c>
      <c r="BJ29" s="2180">
        <f t="shared" si="62"/>
        <v>48.753129947453793</v>
      </c>
      <c r="BK29" s="2179">
        <f t="shared" si="62"/>
        <v>48.502594941105258</v>
      </c>
      <c r="BL29" s="2180">
        <f t="shared" si="62"/>
        <v>47.855253154933855</v>
      </c>
      <c r="BM29" s="2180">
        <f t="shared" si="62"/>
        <v>48.25675591725166</v>
      </c>
      <c r="BN29" s="2180">
        <f t="shared" si="62"/>
        <v>47.695077498494406</v>
      </c>
      <c r="BO29" s="2179">
        <f>+BO26/(BO17/1000)/3</f>
        <v>47.469658809600695</v>
      </c>
      <c r="BP29" s="2176">
        <f>+BL29*(1+BP30)</f>
        <v>46.836103146031213</v>
      </c>
      <c r="BQ29" s="2176">
        <f>+BM29*(1+BQ30)</f>
        <v>47.229055299652707</v>
      </c>
      <c r="BR29" s="2177">
        <f>+BN29*(1+BR30)</f>
        <v>47.64738242099591</v>
      </c>
      <c r="BS29" s="2176">
        <f>+BO29*(1+BS30)</f>
        <v>47.422189150791091</v>
      </c>
      <c r="BT29" s="2176">
        <f>+BP29*(1+BT30)</f>
        <v>46.789267042885179</v>
      </c>
      <c r="BU29" s="2176">
        <f t="shared" ref="BU29:CC29" si="63">+BQ29*(1+BU30)</f>
        <v>47.181826244353054</v>
      </c>
      <c r="BV29" s="2176">
        <f t="shared" si="63"/>
        <v>47.599735038574913</v>
      </c>
      <c r="BW29" s="2205">
        <f t="shared" si="63"/>
        <v>47.374766961640297</v>
      </c>
      <c r="BX29" s="2176">
        <f t="shared" si="63"/>
        <v>46.742477775842296</v>
      </c>
      <c r="BY29" s="2176">
        <f t="shared" si="63"/>
        <v>47.134644418108699</v>
      </c>
      <c r="BZ29" s="2177">
        <f t="shared" si="63"/>
        <v>47.552135303536339</v>
      </c>
      <c r="CA29" s="2205">
        <f t="shared" si="63"/>
        <v>47.327392194678659</v>
      </c>
      <c r="CB29" s="2176">
        <f t="shared" si="63"/>
        <v>46.695735298066452</v>
      </c>
      <c r="CC29" s="2176">
        <f t="shared" si="63"/>
        <v>47.087509773690591</v>
      </c>
      <c r="CD29" s="2177">
        <f>+BZ29*(1+CD30)</f>
        <v>47.504583168232806</v>
      </c>
      <c r="CE29" s="2205">
        <f>+CA29*(1+CE30)</f>
        <v>47.280064802483977</v>
      </c>
      <c r="CF29" s="2176">
        <f>+CB29*(1+CF30)</f>
        <v>46.649039562768387</v>
      </c>
      <c r="CG29" s="2176">
        <f>+CC29*(1+CG30)</f>
        <v>47.040422263916902</v>
      </c>
      <c r="CH29" s="2177">
        <f t="shared" ref="CH29:CM29" si="64">+CD29*(1+CH30)</f>
        <v>47.457078585064572</v>
      </c>
      <c r="CI29" s="2176">
        <f t="shared" si="64"/>
        <v>47.232784737681492</v>
      </c>
      <c r="CJ29" s="2176">
        <f t="shared" si="64"/>
        <v>46.602390523205621</v>
      </c>
      <c r="CK29" s="2176">
        <f t="shared" si="64"/>
        <v>46.993381841652983</v>
      </c>
      <c r="CL29" s="2177">
        <f t="shared" si="64"/>
        <v>47.40962150647951</v>
      </c>
      <c r="CM29" s="2176">
        <f t="shared" si="64"/>
        <v>47.185551952943811</v>
      </c>
      <c r="CN29" s="2176">
        <f>+CJ29*(1+CN30)</f>
        <v>46.555788132682416</v>
      </c>
      <c r="CO29" s="2176">
        <f>+CK29*(1+CO30)</f>
        <v>46.946388459811331</v>
      </c>
      <c r="CP29" s="2177">
        <f t="shared" ref="CP29" si="65">+CL29*(1+CP30)</f>
        <v>47.362211884973028</v>
      </c>
      <c r="CQ29" s="2176">
        <f>+CM29*(1+CQ30)</f>
        <v>47.138366400990868</v>
      </c>
      <c r="CR29" s="2176">
        <f>+CN29*(1+CR30)</f>
        <v>46.50923234454973</v>
      </c>
      <c r="CS29" s="2176">
        <f>+CO29*(1+CS30)</f>
        <v>46.899442071351523</v>
      </c>
      <c r="CT29" s="2177">
        <f>+CP29*(1+CT30)</f>
        <v>47.314849673088055</v>
      </c>
    </row>
    <row r="30" spans="1:98" s="2140" customFormat="1" hidden="1" outlineLevel="1">
      <c r="A30" s="2155" t="s">
        <v>775</v>
      </c>
      <c r="B30" s="2167"/>
      <c r="C30" s="2167"/>
      <c r="D30" s="2167"/>
      <c r="E30" s="2152"/>
      <c r="F30" s="2152"/>
      <c r="G30" s="2152">
        <f t="shared" ref="G30:O30" si="66">+G29/F29-1</f>
        <v>-0.35556899354499882</v>
      </c>
      <c r="H30" s="2152">
        <f t="shared" si="66"/>
        <v>5.0560770814732612</v>
      </c>
      <c r="I30" s="2152">
        <f t="shared" si="66"/>
        <v>3.7140777670221947E-2</v>
      </c>
      <c r="J30" s="2152">
        <f t="shared" si="66"/>
        <v>1.7669995171384731</v>
      </c>
      <c r="K30" s="2152">
        <f t="shared" si="66"/>
        <v>-5.6974600540407705E-2</v>
      </c>
      <c r="L30" s="2152">
        <f t="shared" si="66"/>
        <v>-6.0628490320823403E-2</v>
      </c>
      <c r="M30" s="2152">
        <f t="shared" si="66"/>
        <v>-1.7017033499851952E-2</v>
      </c>
      <c r="N30" s="2152">
        <f t="shared" si="66"/>
        <v>-5.6810553503927608E-5</v>
      </c>
      <c r="O30" s="2152">
        <f t="shared" si="66"/>
        <v>4.3348640077445211E-2</v>
      </c>
      <c r="P30" s="2152">
        <v>5.0000000000000001E-3</v>
      </c>
      <c r="Q30" s="2152">
        <v>5.0000000000000001E-3</v>
      </c>
      <c r="R30" s="2152">
        <v>5.0000000000000001E-3</v>
      </c>
      <c r="S30" s="2152">
        <v>5.0000000000000001E-3</v>
      </c>
      <c r="T30" s="2152">
        <v>5.0000000000000001E-3</v>
      </c>
      <c r="U30" s="2152">
        <v>5.0000000000000001E-3</v>
      </c>
      <c r="V30" s="2152">
        <v>5.0000000000000001E-3</v>
      </c>
      <c r="W30" s="2152">
        <v>5.0000000000000001E-3</v>
      </c>
      <c r="X30" s="2152">
        <v>5.0000000000000001E-3</v>
      </c>
      <c r="Y30" s="2152">
        <v>5.0000000000000001E-3</v>
      </c>
      <c r="Z30" s="2152">
        <v>5.0000000000000001E-3</v>
      </c>
      <c r="AA30" s="2152">
        <v>5.0000000000000001E-3</v>
      </c>
      <c r="AB30" s="2152">
        <v>5.0000000000000001E-3</v>
      </c>
      <c r="AC30" s="2152">
        <v>5.0000000000000001E-3</v>
      </c>
      <c r="AD30" s="2152">
        <v>5.0000000000000001E-3</v>
      </c>
      <c r="AE30" s="2152">
        <v>5.0000000000000001E-3</v>
      </c>
      <c r="AF30" s="2152">
        <v>5.0000000000000001E-3</v>
      </c>
      <c r="AG30" s="2551"/>
      <c r="AH30" s="2763"/>
      <c r="AI30" s="2155"/>
      <c r="AJ30" s="2167"/>
      <c r="AK30" s="2167"/>
      <c r="AL30" s="2147"/>
      <c r="AM30" s="2146"/>
      <c r="AN30" s="2146"/>
      <c r="AO30" s="2146"/>
      <c r="AP30" s="2147"/>
      <c r="AQ30" s="2146">
        <f t="shared" ref="AQ30:BN30" si="67">(AQ29/AM29)-1</f>
        <v>-0.34029166600952176</v>
      </c>
      <c r="AR30" s="2146">
        <f t="shared" si="67"/>
        <v>-7.6250493434789846E-2</v>
      </c>
      <c r="AS30" s="2146">
        <f t="shared" si="67"/>
        <v>-7.2228332973495846E-2</v>
      </c>
      <c r="AT30" s="2147">
        <f t="shared" si="67"/>
        <v>-7.4620746486558587E-2</v>
      </c>
      <c r="AU30" s="2146">
        <f t="shared" si="67"/>
        <v>5.1313492539451051</v>
      </c>
      <c r="AV30" s="2146">
        <f t="shared" si="67"/>
        <v>5.4137158035081461</v>
      </c>
      <c r="AW30" s="2146">
        <f t="shared" si="67"/>
        <v>5.2197120345500938</v>
      </c>
      <c r="AX30" s="2147">
        <f t="shared" si="67"/>
        <v>5.4785828252633539</v>
      </c>
      <c r="AY30" s="2146">
        <f t="shared" si="67"/>
        <v>1.8862933014225147E-2</v>
      </c>
      <c r="AZ30" s="2146">
        <f t="shared" si="67"/>
        <v>5.3813537373681664E-2</v>
      </c>
      <c r="BA30" s="2146">
        <f t="shared" si="67"/>
        <v>6.4047116636263501E-2</v>
      </c>
      <c r="BB30" s="2147">
        <f t="shared" si="67"/>
        <v>3.5820223114102934E-2</v>
      </c>
      <c r="BC30" s="2146">
        <f t="shared" si="67"/>
        <v>1.8325055869439932</v>
      </c>
      <c r="BD30" s="2146">
        <f t="shared" si="67"/>
        <v>1.7341905202490557</v>
      </c>
      <c r="BE30" s="2146">
        <f t="shared" si="67"/>
        <v>1.7101482121915272</v>
      </c>
      <c r="BF30" s="2147">
        <f t="shared" si="67"/>
        <v>1.6923998394025941</v>
      </c>
      <c r="BG30" s="2146">
        <f t="shared" si="67"/>
        <v>-1.4107765041274312E-2</v>
      </c>
      <c r="BH30" s="2146">
        <f t="shared" si="67"/>
        <v>-9.0336745541036434E-3</v>
      </c>
      <c r="BI30" s="2146">
        <f t="shared" si="67"/>
        <v>-9.2821086739549585E-2</v>
      </c>
      <c r="BJ30" s="2146">
        <f t="shared" si="67"/>
        <v>-9.4637748467068961E-2</v>
      </c>
      <c r="BK30" s="2150">
        <f t="shared" si="67"/>
        <v>-9.6739740650945261E-2</v>
      </c>
      <c r="BL30" s="2146">
        <f t="shared" si="67"/>
        <v>-0.10717519654316521</v>
      </c>
      <c r="BM30" s="2146">
        <f t="shared" si="67"/>
        <v>-1.8239234830050965E-2</v>
      </c>
      <c r="BN30" s="2146">
        <f t="shared" si="67"/>
        <v>-2.1702246606520648E-2</v>
      </c>
      <c r="BO30" s="2150">
        <f>(BO29/BK29)-1</f>
        <v>-2.129651274862332E-2</v>
      </c>
      <c r="BP30" s="2146">
        <f>+BO30</f>
        <v>-2.129651274862332E-2</v>
      </c>
      <c r="BQ30" s="2146">
        <f>+BP30</f>
        <v>-2.129651274862332E-2</v>
      </c>
      <c r="BR30" s="2163">
        <v>-1E-3</v>
      </c>
      <c r="BS30" s="2164">
        <v>-1E-3</v>
      </c>
      <c r="BT30" s="2146">
        <f t="shared" ref="BT30:CG30" si="68">+BS30</f>
        <v>-1E-3</v>
      </c>
      <c r="BU30" s="2146">
        <f t="shared" si="68"/>
        <v>-1E-3</v>
      </c>
      <c r="BV30" s="2146">
        <f t="shared" si="68"/>
        <v>-1E-3</v>
      </c>
      <c r="BW30" s="2150">
        <f t="shared" si="68"/>
        <v>-1E-3</v>
      </c>
      <c r="BX30" s="2146">
        <f t="shared" si="68"/>
        <v>-1E-3</v>
      </c>
      <c r="BY30" s="2146">
        <f t="shared" si="68"/>
        <v>-1E-3</v>
      </c>
      <c r="BZ30" s="2147">
        <f t="shared" si="68"/>
        <v>-1E-3</v>
      </c>
      <c r="CA30" s="2150">
        <f>+BZ30</f>
        <v>-1E-3</v>
      </c>
      <c r="CB30" s="2146">
        <f>+CA30</f>
        <v>-1E-3</v>
      </c>
      <c r="CC30" s="2146">
        <f>+CB30</f>
        <v>-1E-3</v>
      </c>
      <c r="CD30" s="2147">
        <f t="shared" si="68"/>
        <v>-1E-3</v>
      </c>
      <c r="CE30" s="2150">
        <f t="shared" si="68"/>
        <v>-1E-3</v>
      </c>
      <c r="CF30" s="2146">
        <f t="shared" si="68"/>
        <v>-1E-3</v>
      </c>
      <c r="CG30" s="2146">
        <f t="shared" si="68"/>
        <v>-1E-3</v>
      </c>
      <c r="CH30" s="2147">
        <f t="shared" ref="CH30:CM30" si="69">+CG30</f>
        <v>-1E-3</v>
      </c>
      <c r="CI30" s="2146">
        <f t="shared" si="69"/>
        <v>-1E-3</v>
      </c>
      <c r="CJ30" s="2146">
        <f t="shared" si="69"/>
        <v>-1E-3</v>
      </c>
      <c r="CK30" s="2146">
        <f t="shared" si="69"/>
        <v>-1E-3</v>
      </c>
      <c r="CL30" s="2147">
        <f>+CK30</f>
        <v>-1E-3</v>
      </c>
      <c r="CM30" s="2146">
        <f t="shared" si="69"/>
        <v>-1E-3</v>
      </c>
      <c r="CN30" s="2146">
        <f>+CM30</f>
        <v>-1E-3</v>
      </c>
      <c r="CO30" s="2146">
        <f>+CN30</f>
        <v>-1E-3</v>
      </c>
      <c r="CP30" s="2147">
        <f t="shared" ref="CP30" si="70">+CO30</f>
        <v>-1E-3</v>
      </c>
      <c r="CQ30" s="2146">
        <f>+CP30</f>
        <v>-1E-3</v>
      </c>
      <c r="CR30" s="2146">
        <f>+CQ30</f>
        <v>-1E-3</v>
      </c>
      <c r="CS30" s="2146">
        <f>+CR30</f>
        <v>-1E-3</v>
      </c>
      <c r="CT30" s="2147">
        <f>+CS30</f>
        <v>-1E-3</v>
      </c>
    </row>
    <row r="31" spans="1:98" s="2140" customFormat="1" hidden="1" outlineLevel="1">
      <c r="A31" s="2155" t="s">
        <v>491</v>
      </c>
      <c r="B31" s="2167"/>
      <c r="C31" s="2167"/>
      <c r="D31" s="2167"/>
      <c r="E31" s="2167"/>
      <c r="F31" s="2167"/>
      <c r="G31" s="2156"/>
      <c r="H31" s="2167"/>
      <c r="I31" s="2167"/>
      <c r="J31" s="2167"/>
      <c r="K31" s="2167"/>
      <c r="L31" s="2167"/>
      <c r="M31" s="2167"/>
      <c r="N31" s="2167"/>
      <c r="O31" s="2167"/>
      <c r="P31" s="2167"/>
      <c r="Q31" s="2167"/>
      <c r="R31" s="2167"/>
      <c r="S31" s="2167"/>
      <c r="T31" s="2167"/>
      <c r="U31" s="2167"/>
      <c r="V31" s="2167"/>
      <c r="W31" s="2167"/>
      <c r="X31" s="2167"/>
      <c r="Y31" s="2167"/>
      <c r="Z31" s="2167"/>
      <c r="AA31" s="2167"/>
      <c r="AB31" s="2167"/>
      <c r="AC31" s="2167"/>
      <c r="AD31" s="2167"/>
      <c r="AE31" s="2167"/>
      <c r="AF31" s="2167"/>
      <c r="AG31" s="2551"/>
      <c r="AH31" s="2763"/>
      <c r="AI31" s="2155"/>
      <c r="AJ31" s="2167"/>
      <c r="AK31" s="2167"/>
      <c r="AL31" s="2186"/>
      <c r="AM31" s="2187"/>
      <c r="AN31" s="2164">
        <f t="shared" ref="AN31:BO31" si="71">+AN29/AM29-1</f>
        <v>-0.32092157237941021</v>
      </c>
      <c r="AO31" s="2164">
        <f t="shared" si="71"/>
        <v>2.7652357463496369E-2</v>
      </c>
      <c r="AP31" s="2163">
        <f t="shared" si="71"/>
        <v>-1.0849933316074201E-2</v>
      </c>
      <c r="AQ31" s="2164">
        <f t="shared" si="71"/>
        <v>-4.429550504358748E-2</v>
      </c>
      <c r="AR31" s="2164">
        <f t="shared" si="71"/>
        <v>-4.9127727947343769E-2</v>
      </c>
      <c r="AS31" s="2164">
        <f t="shared" si="71"/>
        <v>3.2126928384258679E-2</v>
      </c>
      <c r="AT31" s="2163">
        <f t="shared" si="71"/>
        <v>-1.3400621238638166E-2</v>
      </c>
      <c r="AU31" s="2164">
        <f t="shared" si="71"/>
        <v>5.3322773013279674</v>
      </c>
      <c r="AV31" s="2164">
        <f t="shared" si="71"/>
        <v>-5.3372812749543641E-3</v>
      </c>
      <c r="AW31" s="2164">
        <f t="shared" si="71"/>
        <v>9.0688055486776165E-4</v>
      </c>
      <c r="AX31" s="2163">
        <f t="shared" si="71"/>
        <v>2.766265626977793E-2</v>
      </c>
      <c r="AY31" s="2164">
        <f t="shared" si="71"/>
        <v>-4.1459995337557176E-3</v>
      </c>
      <c r="AZ31" s="2164">
        <f t="shared" si="71"/>
        <v>2.8783170089797583E-2</v>
      </c>
      <c r="BA31" s="2164">
        <f t="shared" si="71"/>
        <v>1.0626683473844434E-2</v>
      </c>
      <c r="BB31" s="2163">
        <f t="shared" si="71"/>
        <v>4.0096463818084516E-4</v>
      </c>
      <c r="BC31" s="2164">
        <f t="shared" si="71"/>
        <v>1.7232158217772469</v>
      </c>
      <c r="BD31" s="2164">
        <f t="shared" si="71"/>
        <v>-6.92545708757486E-3</v>
      </c>
      <c r="BE31" s="2164">
        <f t="shared" si="71"/>
        <v>1.7400320589959772E-3</v>
      </c>
      <c r="BF31" s="2163">
        <f t="shared" si="71"/>
        <v>-6.1505181105979689E-3</v>
      </c>
      <c r="BG31" s="2164">
        <f t="shared" si="71"/>
        <v>-2.8236915202567436E-3</v>
      </c>
      <c r="BH31" s="2164">
        <f t="shared" si="71"/>
        <v>-1.8144014239158679E-3</v>
      </c>
      <c r="BI31" s="2164">
        <f t="shared" si="71"/>
        <v>-8.2958310168750438E-2</v>
      </c>
      <c r="BJ31" s="2164">
        <f t="shared" si="71"/>
        <v>-8.1407410867631036E-3</v>
      </c>
      <c r="BK31" s="2185">
        <f t="shared" si="71"/>
        <v>-5.1388496824421592E-3</v>
      </c>
      <c r="BL31" s="2164">
        <f t="shared" si="71"/>
        <v>-1.3346539230683296E-2</v>
      </c>
      <c r="BM31" s="2164">
        <f t="shared" si="71"/>
        <v>8.3899412467407508E-3</v>
      </c>
      <c r="BN31" s="2164">
        <f t="shared" si="71"/>
        <v>-1.1639373763963623E-2</v>
      </c>
      <c r="BO31" s="2185">
        <f t="shared" si="71"/>
        <v>-4.7262464119243175E-3</v>
      </c>
      <c r="BP31" s="2164">
        <f>+BP29/BO29-1</f>
        <v>-1.3346539230683185E-2</v>
      </c>
      <c r="BQ31" s="2164">
        <f>+BQ29/BP29-1</f>
        <v>8.3899412467407508E-3</v>
      </c>
      <c r="BR31" s="2163">
        <f>+BR29/BQ29-1</f>
        <v>8.8574103100105273E-3</v>
      </c>
      <c r="BS31" s="2164">
        <f>+BS29/BR29-1</f>
        <v>-4.7262464119243175E-3</v>
      </c>
      <c r="BT31" s="2164">
        <f>+BT29/BS29-1</f>
        <v>-1.3346539230683185E-2</v>
      </c>
      <c r="BU31" s="2164">
        <f t="shared" ref="BU31:CC31" si="72">+BU29/BT29-1</f>
        <v>8.3899412467409729E-3</v>
      </c>
      <c r="BV31" s="2164">
        <f t="shared" si="72"/>
        <v>8.8574103100105273E-3</v>
      </c>
      <c r="BW31" s="2185">
        <f t="shared" si="72"/>
        <v>-4.7262464119244285E-3</v>
      </c>
      <c r="BX31" s="2164">
        <f t="shared" si="72"/>
        <v>-1.3346539230683074E-2</v>
      </c>
      <c r="BY31" s="2164">
        <f t="shared" si="72"/>
        <v>8.3899412467407508E-3</v>
      </c>
      <c r="BZ31" s="2163">
        <f t="shared" si="72"/>
        <v>8.8574103100105273E-3</v>
      </c>
      <c r="CA31" s="2185">
        <f t="shared" si="72"/>
        <v>-4.7262464119243175E-3</v>
      </c>
      <c r="CB31" s="2164">
        <f t="shared" si="72"/>
        <v>-1.3346539230683185E-2</v>
      </c>
      <c r="CC31" s="2164">
        <f t="shared" si="72"/>
        <v>8.3899412467407508E-3</v>
      </c>
      <c r="CD31" s="2163">
        <f>+CD29/CC29-1</f>
        <v>8.8574103100107493E-3</v>
      </c>
      <c r="CE31" s="2185">
        <f>+CE29/CD29-1</f>
        <v>-4.7262464119244285E-3</v>
      </c>
      <c r="CF31" s="2164">
        <f>+CF29/CE29-1</f>
        <v>-1.3346539230683074E-2</v>
      </c>
      <c r="CG31" s="2164">
        <f>+CG29/CF29-1</f>
        <v>8.3899412467407508E-3</v>
      </c>
      <c r="CH31" s="2163">
        <f t="shared" ref="CH31:CM31" si="73">+CH29/CG29-1</f>
        <v>8.8574103100105273E-3</v>
      </c>
      <c r="CI31" s="2164">
        <f t="shared" si="73"/>
        <v>-4.7262464119245395E-3</v>
      </c>
      <c r="CJ31" s="2164">
        <f t="shared" si="73"/>
        <v>-1.3346539230682963E-2</v>
      </c>
      <c r="CK31" s="2164">
        <f t="shared" si="73"/>
        <v>8.3899412467407508E-3</v>
      </c>
      <c r="CL31" s="2163">
        <f t="shared" si="73"/>
        <v>8.8574103100107493E-3</v>
      </c>
      <c r="CM31" s="2164">
        <f t="shared" si="73"/>
        <v>-4.7262464119245395E-3</v>
      </c>
      <c r="CN31" s="2164">
        <f>+CN29/CM29-1</f>
        <v>-1.3346539230682963E-2</v>
      </c>
      <c r="CO31" s="2164">
        <f>+CO29/CN29-1</f>
        <v>8.3899412467407508E-3</v>
      </c>
      <c r="CP31" s="2163">
        <f t="shared" ref="CP31" si="74">+CP29/CO29-1</f>
        <v>8.8574103100107493E-3</v>
      </c>
      <c r="CQ31" s="2164">
        <f>+CQ29/CP29-1</f>
        <v>-4.7262464119244285E-3</v>
      </c>
      <c r="CR31" s="2164">
        <f>+CR29/CQ29-1</f>
        <v>-1.3346539230683074E-2</v>
      </c>
      <c r="CS31" s="2164">
        <f>+CS29/CR29-1</f>
        <v>8.3899412467409729E-3</v>
      </c>
      <c r="CT31" s="2163">
        <f>+CT29/CS29-1</f>
        <v>8.8574103100105273E-3</v>
      </c>
    </row>
    <row r="32" spans="1:98" s="2140" customFormat="1" hidden="1" outlineLevel="1">
      <c r="A32" s="2144" t="s">
        <v>784</v>
      </c>
      <c r="B32" s="2149"/>
      <c r="C32" s="2149"/>
      <c r="D32" s="2149"/>
      <c r="E32" s="2149"/>
      <c r="F32" s="2149"/>
      <c r="G32" s="2194">
        <f>SUM(AQ32:AT32)</f>
        <v>0</v>
      </c>
      <c r="H32" s="2149"/>
      <c r="I32" s="2156">
        <f>SUM(AY32:BB32)</f>
        <v>0</v>
      </c>
      <c r="J32" s="2156"/>
      <c r="K32" s="2156"/>
      <c r="L32" s="2156"/>
      <c r="M32" s="2156"/>
      <c r="N32" s="2156"/>
      <c r="O32" s="2156"/>
      <c r="P32" s="2156"/>
      <c r="Q32" s="2156"/>
      <c r="R32" s="2156"/>
      <c r="S32" s="2156"/>
      <c r="T32" s="2156"/>
      <c r="U32" s="2156"/>
      <c r="V32" s="2156"/>
      <c r="W32" s="2156"/>
      <c r="X32" s="2156"/>
      <c r="Y32" s="2156"/>
      <c r="Z32" s="2156"/>
      <c r="AA32" s="2156"/>
      <c r="AB32" s="2156"/>
      <c r="AC32" s="2156"/>
      <c r="AD32" s="2156"/>
      <c r="AE32" s="2156"/>
      <c r="AF32" s="2156"/>
      <c r="AG32" s="2551"/>
      <c r="AH32" s="2763"/>
      <c r="AI32" s="2148"/>
      <c r="AJ32" s="2149"/>
      <c r="AK32" s="2149"/>
      <c r="AL32" s="2162"/>
      <c r="AM32" s="2148"/>
      <c r="AN32" s="2149"/>
      <c r="AO32" s="2149"/>
      <c r="AP32" s="2162"/>
      <c r="AQ32" s="2149"/>
      <c r="AR32" s="2149"/>
      <c r="AS32" s="2149"/>
      <c r="AT32" s="2162"/>
      <c r="AU32" s="2149"/>
      <c r="AV32" s="2149"/>
      <c r="AW32" s="2149"/>
      <c r="AX32" s="2162"/>
      <c r="AY32" s="2167"/>
      <c r="AZ32" s="2167"/>
      <c r="BA32" s="2149"/>
      <c r="BB32" s="2186"/>
      <c r="BC32" s="2167"/>
      <c r="BD32" s="2167"/>
      <c r="BE32" s="2167"/>
      <c r="BF32" s="2186"/>
      <c r="BG32" s="2167"/>
      <c r="BH32" s="2167"/>
      <c r="BI32" s="2167"/>
      <c r="BJ32" s="2167"/>
      <c r="BK32" s="2155"/>
      <c r="BL32" s="2167"/>
      <c r="BM32" s="2167"/>
      <c r="BN32" s="2167"/>
      <c r="BO32" s="2155"/>
      <c r="BP32" s="2149"/>
      <c r="BQ32" s="2149"/>
      <c r="BR32" s="2162"/>
      <c r="BS32" s="2149"/>
      <c r="BT32" s="2149"/>
      <c r="BU32" s="2149"/>
      <c r="BV32" s="2149"/>
      <c r="BW32" s="2148"/>
      <c r="BX32" s="2149"/>
      <c r="BY32" s="2149"/>
      <c r="BZ32" s="2162"/>
      <c r="CA32" s="2148"/>
      <c r="CB32" s="2149"/>
      <c r="CC32" s="2149"/>
      <c r="CD32" s="2162"/>
      <c r="CE32" s="2148"/>
      <c r="CF32" s="2149"/>
      <c r="CG32" s="2149"/>
      <c r="CH32" s="2162"/>
      <c r="CI32" s="2149"/>
      <c r="CJ32" s="2149"/>
      <c r="CK32" s="2149"/>
      <c r="CL32" s="2162"/>
      <c r="CM32" s="2149"/>
      <c r="CN32" s="2149"/>
      <c r="CO32" s="2149"/>
      <c r="CP32" s="2162"/>
      <c r="CQ32" s="2149"/>
      <c r="CR32" s="2149"/>
      <c r="CS32" s="2149"/>
      <c r="CT32" s="2162"/>
    </row>
    <row r="33" spans="1:98" s="2140" customFormat="1" hidden="1" outlineLevel="1">
      <c r="A33" s="2144"/>
      <c r="B33" s="2149"/>
      <c r="C33" s="2149"/>
      <c r="D33" s="2149"/>
      <c r="E33" s="2149"/>
      <c r="F33" s="2149"/>
      <c r="G33" s="2194"/>
      <c r="H33" s="2149"/>
      <c r="I33" s="2156"/>
      <c r="J33" s="2156"/>
      <c r="K33" s="2156"/>
      <c r="L33" s="2156"/>
      <c r="M33" s="2156"/>
      <c r="N33" s="2156"/>
      <c r="O33" s="2156"/>
      <c r="P33" s="2156"/>
      <c r="Q33" s="2156"/>
      <c r="R33" s="2156"/>
      <c r="S33" s="2156"/>
      <c r="T33" s="2156"/>
      <c r="U33" s="2156"/>
      <c r="V33" s="2156"/>
      <c r="W33" s="2156"/>
      <c r="X33" s="2156"/>
      <c r="Y33" s="2156"/>
      <c r="Z33" s="2156"/>
      <c r="AA33" s="2156"/>
      <c r="AB33" s="2156"/>
      <c r="AC33" s="2156"/>
      <c r="AD33" s="2156"/>
      <c r="AE33" s="2156"/>
      <c r="AF33" s="2156"/>
      <c r="AG33" s="2551"/>
      <c r="AH33" s="2763"/>
      <c r="AI33" s="2148"/>
      <c r="AJ33" s="2149"/>
      <c r="AK33" s="2149"/>
      <c r="AL33" s="2162"/>
      <c r="AM33" s="2148"/>
      <c r="AN33" s="2149"/>
      <c r="AO33" s="2149"/>
      <c r="AP33" s="2162"/>
      <c r="AQ33" s="2149"/>
      <c r="AR33" s="2149"/>
      <c r="AS33" s="2149"/>
      <c r="AT33" s="2162"/>
      <c r="AU33" s="2149"/>
      <c r="AV33" s="2149"/>
      <c r="AW33" s="2149"/>
      <c r="AX33" s="2162"/>
      <c r="AY33" s="2167"/>
      <c r="AZ33" s="2167"/>
      <c r="BA33" s="2149"/>
      <c r="BB33" s="2186"/>
      <c r="BC33" s="2167"/>
      <c r="BD33" s="2167"/>
      <c r="BE33" s="2167"/>
      <c r="BF33" s="2186"/>
      <c r="BG33" s="2167"/>
      <c r="BH33" s="2167"/>
      <c r="BI33" s="2167"/>
      <c r="BJ33" s="2167"/>
      <c r="BK33" s="2155"/>
      <c r="BL33" s="2167"/>
      <c r="BM33" s="2167"/>
      <c r="BN33" s="2167"/>
      <c r="BO33" s="2155"/>
      <c r="BP33" s="2149"/>
      <c r="BQ33" s="2149"/>
      <c r="BR33" s="2162"/>
      <c r="BS33" s="2149"/>
      <c r="BT33" s="2149"/>
      <c r="BU33" s="2149"/>
      <c r="BV33" s="2149"/>
      <c r="BW33" s="2148"/>
      <c r="BX33" s="2149"/>
      <c r="BY33" s="2149"/>
      <c r="BZ33" s="2162"/>
      <c r="CA33" s="2148"/>
      <c r="CB33" s="2149"/>
      <c r="CC33" s="2149"/>
      <c r="CD33" s="2162"/>
      <c r="CE33" s="2148"/>
      <c r="CF33" s="2149"/>
      <c r="CG33" s="2149"/>
      <c r="CH33" s="2162"/>
      <c r="CI33" s="2149"/>
      <c r="CJ33" s="2149"/>
      <c r="CK33" s="2149"/>
      <c r="CL33" s="2162"/>
      <c r="CM33" s="2149"/>
      <c r="CN33" s="2149"/>
      <c r="CO33" s="2149"/>
      <c r="CP33" s="2162"/>
      <c r="CQ33" s="2149"/>
      <c r="CR33" s="2149"/>
      <c r="CS33" s="2149"/>
      <c r="CT33" s="2162"/>
    </row>
    <row r="34" spans="1:98" collapsed="1">
      <c r="A34" s="2905" t="s">
        <v>938</v>
      </c>
      <c r="B34" s="2828"/>
      <c r="C34" s="2828"/>
      <c r="D34" s="2828"/>
      <c r="E34" s="2828"/>
      <c r="F34" s="2828"/>
      <c r="G34" s="2828"/>
      <c r="H34" s="2828"/>
      <c r="I34" s="2828"/>
      <c r="J34" s="2828"/>
      <c r="K34" s="2828"/>
      <c r="L34" s="2828"/>
      <c r="M34" s="2828"/>
      <c r="N34" s="2828"/>
      <c r="O34" s="2828"/>
      <c r="P34" s="2828"/>
      <c r="Q34" s="2828"/>
      <c r="R34" s="2828"/>
      <c r="S34" s="2828"/>
      <c r="T34" s="2828"/>
      <c r="U34" s="2828"/>
      <c r="V34" s="2828"/>
      <c r="W34" s="2828"/>
      <c r="X34" s="2828"/>
      <c r="Y34" s="2828"/>
      <c r="Z34" s="2828"/>
      <c r="AA34" s="2828"/>
      <c r="AB34" s="2828"/>
      <c r="AC34" s="2828"/>
      <c r="AD34" s="2828"/>
      <c r="AE34" s="2828"/>
      <c r="AF34" s="2828"/>
      <c r="AG34" s="3913"/>
      <c r="AH34" s="3913"/>
      <c r="AI34" s="2829"/>
      <c r="AJ34" s="2828"/>
      <c r="AK34" s="2828"/>
      <c r="AL34" s="2830"/>
      <c r="AM34" s="2829"/>
      <c r="AN34" s="2828"/>
      <c r="AO34" s="2828"/>
      <c r="AP34" s="2830"/>
      <c r="AQ34" s="2828"/>
      <c r="AR34" s="2828"/>
      <c r="AS34" s="2828"/>
      <c r="AT34" s="2830"/>
      <c r="AU34" s="2828"/>
      <c r="AV34" s="2828"/>
      <c r="AW34" s="2828"/>
      <c r="AX34" s="2830"/>
      <c r="AY34" s="2828"/>
      <c r="AZ34" s="2828"/>
      <c r="BA34" s="2828"/>
      <c r="BB34" s="2830"/>
      <c r="BC34" s="2828"/>
      <c r="BD34" s="2828"/>
      <c r="BE34" s="2828"/>
      <c r="BF34" s="2830"/>
      <c r="BG34" s="2828"/>
      <c r="BH34" s="2828"/>
      <c r="BI34" s="2828"/>
      <c r="BJ34" s="2828"/>
      <c r="BK34" s="2829" t="s">
        <v>899</v>
      </c>
      <c r="BL34" s="2828"/>
      <c r="BM34" s="2828"/>
      <c r="BN34" s="2828"/>
      <c r="BO34" s="2829"/>
      <c r="BP34" s="2828"/>
      <c r="BQ34" s="2828"/>
      <c r="BR34" s="2830"/>
      <c r="BS34" s="2828"/>
      <c r="BT34" s="2828"/>
      <c r="BU34" s="2828"/>
      <c r="BV34" s="2828"/>
      <c r="BW34" s="2829"/>
      <c r="BX34" s="2828"/>
      <c r="BY34" s="2828"/>
      <c r="BZ34" s="2830"/>
      <c r="CA34" s="2829"/>
      <c r="CB34" s="2828"/>
      <c r="CC34" s="2828"/>
      <c r="CD34" s="2830"/>
      <c r="CE34" s="2829"/>
      <c r="CF34" s="2828"/>
      <c r="CG34" s="2828"/>
      <c r="CH34" s="2830"/>
      <c r="CI34" s="2828"/>
      <c r="CJ34" s="2828"/>
      <c r="CK34" s="2828"/>
      <c r="CL34" s="2830"/>
      <c r="CM34" s="2828"/>
      <c r="CN34" s="2828"/>
      <c r="CO34" s="2828"/>
      <c r="CP34" s="2830"/>
      <c r="CQ34" s="2828"/>
      <c r="CR34" s="2828"/>
      <c r="CS34" s="2828"/>
      <c r="CT34" s="2830"/>
    </row>
    <row r="35" spans="1:98">
      <c r="A35" s="768" t="s">
        <v>738</v>
      </c>
      <c r="B35" s="427"/>
      <c r="C35" s="427"/>
      <c r="D35" s="271"/>
      <c r="E35" s="271">
        <f>AL35</f>
        <v>304000</v>
      </c>
      <c r="F35" s="271">
        <f>AP35</f>
        <v>1711137</v>
      </c>
      <c r="G35" s="271">
        <f>AT35</f>
        <v>2467275</v>
      </c>
      <c r="H35" s="271">
        <f>AX35</f>
        <v>3577710.409679878</v>
      </c>
      <c r="I35" s="271">
        <f>BB35</f>
        <v>4245000</v>
      </c>
      <c r="J35" s="271">
        <f>+BF35</f>
        <v>4705000</v>
      </c>
      <c r="K35" s="271">
        <f>+BJ35</f>
        <v>5048000</v>
      </c>
      <c r="L35" s="271">
        <f>BN35</f>
        <v>5404000</v>
      </c>
      <c r="M35" s="271">
        <f>+BR35</f>
        <v>5656000</v>
      </c>
      <c r="N35" s="271">
        <f>+BV35</f>
        <v>5851000</v>
      </c>
      <c r="O35" s="271">
        <f>+BZ35</f>
        <v>5991000</v>
      </c>
      <c r="P35" s="405">
        <f>CD35</f>
        <v>6081600</v>
      </c>
      <c r="Q35" s="405">
        <f>CH35</f>
        <v>6048000</v>
      </c>
      <c r="R35" s="405">
        <f>CL35</f>
        <v>5945000</v>
      </c>
      <c r="S35" s="405">
        <f>CP35</f>
        <v>5662000</v>
      </c>
      <c r="T35" s="405">
        <f>CT35</f>
        <v>5477000</v>
      </c>
      <c r="U35" s="271">
        <f>+T35+U37</f>
        <v>5452000</v>
      </c>
      <c r="V35" s="271">
        <f>+U35+V37</f>
        <v>5462000</v>
      </c>
      <c r="W35" s="271">
        <f>+V35+W37</f>
        <v>5487000</v>
      </c>
      <c r="X35" s="271">
        <f t="shared" ref="X35:AF35" si="75">+W35+X37</f>
        <v>5512000</v>
      </c>
      <c r="Y35" s="271">
        <f t="shared" si="75"/>
        <v>5537000</v>
      </c>
      <c r="Z35" s="271">
        <f t="shared" si="75"/>
        <v>5562000</v>
      </c>
      <c r="AA35" s="271">
        <f t="shared" si="75"/>
        <v>5587000</v>
      </c>
      <c r="AB35" s="271">
        <f t="shared" si="75"/>
        <v>5612000</v>
      </c>
      <c r="AC35" s="271">
        <f t="shared" si="75"/>
        <v>5637000</v>
      </c>
      <c r="AD35" s="271">
        <f t="shared" si="75"/>
        <v>5662000</v>
      </c>
      <c r="AE35" s="271">
        <f t="shared" si="75"/>
        <v>5687000</v>
      </c>
      <c r="AF35" s="271">
        <f t="shared" si="75"/>
        <v>5712000</v>
      </c>
      <c r="AG35" s="3903"/>
      <c r="AH35" s="2761"/>
      <c r="AI35" s="768"/>
      <c r="AJ35" s="271"/>
      <c r="AK35" s="271"/>
      <c r="AL35" s="223">
        <f>INPUTS_2!B122</f>
        <v>304000</v>
      </c>
      <c r="AM35" s="271">
        <f>INPUTS_2!C122</f>
        <v>1093000</v>
      </c>
      <c r="AN35" s="271">
        <f>INPUTS_2!D122</f>
        <v>1236000</v>
      </c>
      <c r="AO35" s="271">
        <f>INPUTS_2!E122</f>
        <v>1388000</v>
      </c>
      <c r="AP35" s="223">
        <f>INPUTS_2!F122</f>
        <v>1711137</v>
      </c>
      <c r="AQ35" s="271">
        <f>INPUTS_2!G122</f>
        <v>1888625</v>
      </c>
      <c r="AR35" s="271">
        <f>INPUTS_2!H122</f>
        <v>2017674</v>
      </c>
      <c r="AS35" s="271">
        <f>INPUTS_2!I122</f>
        <v>2242282</v>
      </c>
      <c r="AT35" s="223">
        <f>INPUTS_2!J122</f>
        <v>2467275</v>
      </c>
      <c r="AU35" s="271">
        <f>INPUTS_2!K122</f>
        <v>2789783</v>
      </c>
      <c r="AV35" s="271">
        <f>INPUTS_2!L122</f>
        <v>3011294.6</v>
      </c>
      <c r="AW35" s="271">
        <f>INPUTS_2!M122</f>
        <v>3298800</v>
      </c>
      <c r="AX35" s="223">
        <f>INPUTS_2!N122</f>
        <v>3577710.409679878</v>
      </c>
      <c r="AY35" s="271">
        <f>INPUTS_2!O122</f>
        <v>3686053.169921875</v>
      </c>
      <c r="AZ35" s="271">
        <f>INPUTS_2!P122</f>
        <v>3869000</v>
      </c>
      <c r="BA35" s="271">
        <f>INPUTS_2!Q122</f>
        <v>4063000</v>
      </c>
      <c r="BB35" s="223">
        <f>INPUTS_2!R122</f>
        <v>4245000</v>
      </c>
      <c r="BC35" s="271">
        <f>INPUTS_2!S122</f>
        <v>4441000</v>
      </c>
      <c r="BD35" s="271">
        <f>INPUTS_2!T122</f>
        <v>4525000</v>
      </c>
      <c r="BE35" s="271">
        <f>INPUTS_2!U122</f>
        <v>4615000</v>
      </c>
      <c r="BF35" s="223">
        <f>INPUTS_2!V122</f>
        <v>4705000</v>
      </c>
      <c r="BG35" s="271">
        <f>INPUTS_2!W122</f>
        <v>4825000</v>
      </c>
      <c r="BH35" s="271">
        <f>INPUTS_2!X122</f>
        <v>4887000</v>
      </c>
      <c r="BI35" s="271">
        <f>INPUTS_2!Y122</f>
        <v>4959000</v>
      </c>
      <c r="BJ35" s="271">
        <f>INPUTS_2!Z122</f>
        <v>5048000</v>
      </c>
      <c r="BK35" s="1808">
        <f>+BL35-38000</f>
        <v>5249000</v>
      </c>
      <c r="BL35" s="2117">
        <f>+BM35-72000</f>
        <v>5287000</v>
      </c>
      <c r="BM35" s="2117">
        <f>+BN35-45000</f>
        <v>5359000</v>
      </c>
      <c r="BN35" s="2117">
        <f>+BO35-BO37</f>
        <v>5404000</v>
      </c>
      <c r="BO35" s="1808">
        <f>+BP35-BP37</f>
        <v>5505000</v>
      </c>
      <c r="BP35" s="996">
        <v>5519000</v>
      </c>
      <c r="BQ35" s="996">
        <v>5579000</v>
      </c>
      <c r="BR35" s="2119">
        <f>+BS35-BS37</f>
        <v>5656000</v>
      </c>
      <c r="BS35" s="996">
        <v>5748000</v>
      </c>
      <c r="BT35" s="996">
        <v>5766000</v>
      </c>
      <c r="BU35" s="996">
        <v>5810000</v>
      </c>
      <c r="BV35" s="996">
        <v>5851000</v>
      </c>
      <c r="BW35" s="1005">
        <v>5917000</v>
      </c>
      <c r="BX35" s="996">
        <v>5909000</v>
      </c>
      <c r="BY35" s="996">
        <v>5942000</v>
      </c>
      <c r="BZ35" s="2574">
        <v>5991000</v>
      </c>
      <c r="CA35" s="1005">
        <v>6057000</v>
      </c>
      <c r="CB35" s="996">
        <v>6055000</v>
      </c>
      <c r="CC35" s="996">
        <v>6063000</v>
      </c>
      <c r="CD35" s="2574">
        <v>6081600</v>
      </c>
      <c r="CE35" s="2914">
        <v>6117000</v>
      </c>
      <c r="CF35" s="2915">
        <v>6108000</v>
      </c>
      <c r="CG35" s="2915">
        <v>6071000</v>
      </c>
      <c r="CH35" s="2916">
        <v>6048000</v>
      </c>
      <c r="CI35" s="2915">
        <v>6056000</v>
      </c>
      <c r="CJ35" s="2915">
        <v>5990000</v>
      </c>
      <c r="CK35" s="2915">
        <v>5950000</v>
      </c>
      <c r="CL35" s="2916">
        <v>5945000</v>
      </c>
      <c r="CM35" s="2915">
        <v>5945000</v>
      </c>
      <c r="CN35" s="2915">
        <v>5868000</v>
      </c>
      <c r="CO35" s="2915">
        <v>5767000</v>
      </c>
      <c r="CP35" s="2916">
        <v>5662000</v>
      </c>
      <c r="CQ35" s="271">
        <f>+CP35+CQ37</f>
        <v>5622000</v>
      </c>
      <c r="CR35" s="271">
        <f>+CQ35+CR37</f>
        <v>5547000</v>
      </c>
      <c r="CS35" s="271">
        <f>+CR35+CS37</f>
        <v>5497000</v>
      </c>
      <c r="CT35" s="223">
        <f>+CS35+CT37</f>
        <v>5477000</v>
      </c>
    </row>
    <row r="36" spans="1:98">
      <c r="A36" s="591" t="s">
        <v>775</v>
      </c>
      <c r="B36" s="3101"/>
      <c r="C36" s="3101"/>
      <c r="D36" s="984"/>
      <c r="E36" s="984"/>
      <c r="F36" s="988">
        <f t="shared" ref="F36:Q36" si="76">+F35/E35-1</f>
        <v>4.6287401315789474</v>
      </c>
      <c r="G36" s="988">
        <f t="shared" si="76"/>
        <v>0.44189214539805999</v>
      </c>
      <c r="H36" s="988">
        <f t="shared" si="76"/>
        <v>0.4500655215490279</v>
      </c>
      <c r="I36" s="988">
        <f t="shared" si="76"/>
        <v>0.18651302478666199</v>
      </c>
      <c r="J36" s="988">
        <f t="shared" si="76"/>
        <v>0.10836277974087172</v>
      </c>
      <c r="K36" s="988">
        <f t="shared" si="76"/>
        <v>7.290116896918164E-2</v>
      </c>
      <c r="L36" s="988">
        <f t="shared" si="76"/>
        <v>7.0522979397781294E-2</v>
      </c>
      <c r="M36" s="988">
        <f t="shared" si="76"/>
        <v>4.663212435233155E-2</v>
      </c>
      <c r="N36" s="988">
        <f t="shared" si="76"/>
        <v>3.447666195190946E-2</v>
      </c>
      <c r="O36" s="988">
        <f t="shared" si="76"/>
        <v>2.3927533754913632E-2</v>
      </c>
      <c r="P36" s="988">
        <f t="shared" si="76"/>
        <v>1.5122684026039002E-2</v>
      </c>
      <c r="Q36" s="988">
        <f t="shared" si="76"/>
        <v>-5.5248618784530246E-3</v>
      </c>
      <c r="R36" s="988">
        <f t="shared" ref="R36:W36" si="77">+R35/Q35-1</f>
        <v>-1.7030423280423257E-2</v>
      </c>
      <c r="S36" s="988">
        <f>+S35/R35-1</f>
        <v>-4.7603027754415494E-2</v>
      </c>
      <c r="T36" s="988">
        <f>+T35/S35-1</f>
        <v>-3.2673966796185061E-2</v>
      </c>
      <c r="U36" s="988">
        <f t="shared" si="77"/>
        <v>-4.564542632828239E-3</v>
      </c>
      <c r="V36" s="988">
        <f t="shared" si="77"/>
        <v>1.8341892883344535E-3</v>
      </c>
      <c r="W36" s="988">
        <f t="shared" si="77"/>
        <v>4.5770779934091177E-3</v>
      </c>
      <c r="X36" s="988">
        <f t="shared" ref="X36:AF36" si="78">+X35/W35-1</f>
        <v>4.5562238017131662E-3</v>
      </c>
      <c r="Y36" s="988">
        <f t="shared" si="78"/>
        <v>4.5355587808417752E-3</v>
      </c>
      <c r="Z36" s="988">
        <f t="shared" si="78"/>
        <v>4.515080368430624E-3</v>
      </c>
      <c r="AA36" s="988">
        <f t="shared" si="78"/>
        <v>4.4947860481840962E-3</v>
      </c>
      <c r="AB36" s="988">
        <f t="shared" si="78"/>
        <v>4.4746733488454371E-3</v>
      </c>
      <c r="AC36" s="988">
        <f t="shared" si="78"/>
        <v>4.4547398431931118E-3</v>
      </c>
      <c r="AD36" s="988">
        <f t="shared" si="78"/>
        <v>4.4349831470640311E-3</v>
      </c>
      <c r="AE36" s="988">
        <f t="shared" si="78"/>
        <v>4.4154009184034226E-3</v>
      </c>
      <c r="AF36" s="988">
        <f t="shared" si="78"/>
        <v>4.395990856339127E-3</v>
      </c>
      <c r="AG36" s="3903"/>
      <c r="AH36" s="3904"/>
      <c r="AI36" s="591"/>
      <c r="AJ36" s="984"/>
      <c r="AK36" s="984"/>
      <c r="AL36" s="989"/>
      <c r="AM36" s="990"/>
      <c r="AN36" s="988"/>
      <c r="AO36" s="988"/>
      <c r="AP36" s="989">
        <f t="shared" ref="AP36:BJ36" si="79">AP35/AL35-1</f>
        <v>4.6287401315789474</v>
      </c>
      <c r="AQ36" s="988">
        <f t="shared" si="79"/>
        <v>0.72792772186642263</v>
      </c>
      <c r="AR36" s="988">
        <f t="shared" si="79"/>
        <v>0.63242233009708748</v>
      </c>
      <c r="AS36" s="988">
        <f t="shared" si="79"/>
        <v>0.61547694524495666</v>
      </c>
      <c r="AT36" s="989">
        <f t="shared" si="79"/>
        <v>0.44189214539805999</v>
      </c>
      <c r="AU36" s="988">
        <f t="shared" si="79"/>
        <v>0.47715030776358458</v>
      </c>
      <c r="AV36" s="988">
        <f t="shared" si="79"/>
        <v>0.49245844472397438</v>
      </c>
      <c r="AW36" s="988">
        <f t="shared" si="79"/>
        <v>0.47117980700019002</v>
      </c>
      <c r="AX36" s="989">
        <f t="shared" si="79"/>
        <v>0.4500655215490279</v>
      </c>
      <c r="AY36" s="988">
        <f t="shared" si="79"/>
        <v>0.32126877607393656</v>
      </c>
      <c r="AZ36" s="988">
        <f t="shared" si="79"/>
        <v>0.28482945507888857</v>
      </c>
      <c r="BA36" s="988">
        <f t="shared" si="79"/>
        <v>0.23165999757487565</v>
      </c>
      <c r="BB36" s="989">
        <f t="shared" si="79"/>
        <v>0.18651302478666199</v>
      </c>
      <c r="BC36" s="988">
        <f t="shared" si="79"/>
        <v>0.20481170381330283</v>
      </c>
      <c r="BD36" s="988">
        <f t="shared" si="79"/>
        <v>0.16955285603515113</v>
      </c>
      <c r="BE36" s="988">
        <f t="shared" si="79"/>
        <v>0.1358602018213142</v>
      </c>
      <c r="BF36" s="989">
        <f t="shared" si="79"/>
        <v>0.10836277974087172</v>
      </c>
      <c r="BG36" s="988">
        <f t="shared" si="79"/>
        <v>8.6467011934248994E-2</v>
      </c>
      <c r="BH36" s="988">
        <f t="shared" si="79"/>
        <v>8.0000000000000071E-2</v>
      </c>
      <c r="BI36" s="988">
        <f t="shared" si="79"/>
        <v>7.4539544962080262E-2</v>
      </c>
      <c r="BJ36" s="988">
        <f t="shared" si="79"/>
        <v>7.290116896918164E-2</v>
      </c>
      <c r="BK36" s="1886" t="s">
        <v>1145</v>
      </c>
      <c r="BL36" s="1821" t="s">
        <v>1145</v>
      </c>
      <c r="BM36" s="1821" t="s">
        <v>1145</v>
      </c>
      <c r="BN36" s="1821" t="s">
        <v>1145</v>
      </c>
      <c r="BO36" s="990">
        <f t="shared" ref="BO36:CC36" si="80">BO35/BK35-1</f>
        <v>4.8771194513240523E-2</v>
      </c>
      <c r="BP36" s="988">
        <f t="shared" si="80"/>
        <v>4.3881218082088225E-2</v>
      </c>
      <c r="BQ36" s="988">
        <f t="shared" si="80"/>
        <v>4.1052435155812583E-2</v>
      </c>
      <c r="BR36" s="989">
        <f t="shared" si="80"/>
        <v>4.663212435233155E-2</v>
      </c>
      <c r="BS36" s="988">
        <f t="shared" si="80"/>
        <v>4.4141689373297099E-2</v>
      </c>
      <c r="BT36" s="988">
        <f t="shared" si="80"/>
        <v>4.4754484508062964E-2</v>
      </c>
      <c r="BU36" s="988">
        <f t="shared" si="80"/>
        <v>4.1405269761606078E-2</v>
      </c>
      <c r="BV36" s="988">
        <f t="shared" si="80"/>
        <v>3.447666195190946E-2</v>
      </c>
      <c r="BW36" s="990">
        <f t="shared" si="80"/>
        <v>2.9401530967293033E-2</v>
      </c>
      <c r="BX36" s="988">
        <f t="shared" si="80"/>
        <v>2.4800554977454148E-2</v>
      </c>
      <c r="BY36" s="988">
        <f t="shared" si="80"/>
        <v>2.271944922547342E-2</v>
      </c>
      <c r="BZ36" s="989">
        <f t="shared" si="80"/>
        <v>2.3927533754913632E-2</v>
      </c>
      <c r="CA36" s="990">
        <f t="shared" si="80"/>
        <v>2.3660638837248671E-2</v>
      </c>
      <c r="CB36" s="988">
        <f t="shared" si="80"/>
        <v>2.4708072431883554E-2</v>
      </c>
      <c r="CC36" s="988">
        <f t="shared" si="80"/>
        <v>2.0363513968360891E-2</v>
      </c>
      <c r="CD36" s="989">
        <f>CD35/BZ35-1</f>
        <v>1.5122684026039002E-2</v>
      </c>
      <c r="CE36" s="990">
        <f>CE35/CA35-1</f>
        <v>9.9058940069340906E-3</v>
      </c>
      <c r="CF36" s="988">
        <f>CF35/CB35-1</f>
        <v>8.7530966143682942E-3</v>
      </c>
      <c r="CG36" s="988">
        <f>CG35/CC35-1</f>
        <v>1.3194788058716878E-3</v>
      </c>
      <c r="CH36" s="989">
        <f t="shared" ref="CH36:CM36" si="81">CH35/CD35-1</f>
        <v>-5.5248618784530246E-3</v>
      </c>
      <c r="CI36" s="988">
        <f t="shared" si="81"/>
        <v>-9.9722085989863984E-3</v>
      </c>
      <c r="CJ36" s="988">
        <f t="shared" si="81"/>
        <v>-1.9318925998690228E-2</v>
      </c>
      <c r="CK36" s="988">
        <f t="shared" si="81"/>
        <v>-1.9930818646022086E-2</v>
      </c>
      <c r="CL36" s="989">
        <f t="shared" si="81"/>
        <v>-1.7030423280423257E-2</v>
      </c>
      <c r="CM36" s="988">
        <f t="shared" si="81"/>
        <v>-1.8328929986789921E-2</v>
      </c>
      <c r="CN36" s="988">
        <f>CN35/CJ35-1</f>
        <v>-2.0367278797996713E-2</v>
      </c>
      <c r="CO36" s="988">
        <f>CO35/CK35-1</f>
        <v>-3.0756302521008361E-2</v>
      </c>
      <c r="CP36" s="989">
        <f t="shared" ref="CP36" si="82">CP35/CL35-1</f>
        <v>-4.7603027754415494E-2</v>
      </c>
      <c r="CQ36" s="988">
        <f>CQ35/CM35-1</f>
        <v>-5.433137089991591E-2</v>
      </c>
      <c r="CR36" s="988">
        <f>CR35/CN35-1</f>
        <v>-5.4703476482617641E-2</v>
      </c>
      <c r="CS36" s="988">
        <f>CS35/CO35-1</f>
        <v>-4.6818102999826583E-2</v>
      </c>
      <c r="CT36" s="989">
        <f>CT35/CP35-1</f>
        <v>-3.2673966796185061E-2</v>
      </c>
    </row>
    <row r="37" spans="1:98">
      <c r="A37" s="591" t="s">
        <v>776</v>
      </c>
      <c r="B37" s="3101"/>
      <c r="C37" s="3101"/>
      <c r="D37" s="984"/>
      <c r="E37" s="984"/>
      <c r="F37" s="984">
        <f t="shared" ref="F37:Q37" si="83">F35-E35</f>
        <v>1407137</v>
      </c>
      <c r="G37" s="984">
        <f t="shared" si="83"/>
        <v>756138</v>
      </c>
      <c r="H37" s="984">
        <f t="shared" si="83"/>
        <v>1110435.409679878</v>
      </c>
      <c r="I37" s="984">
        <f t="shared" si="83"/>
        <v>667289.59032012196</v>
      </c>
      <c r="J37" s="984">
        <f t="shared" si="83"/>
        <v>460000</v>
      </c>
      <c r="K37" s="984">
        <f t="shared" si="83"/>
        <v>343000</v>
      </c>
      <c r="L37" s="984">
        <f t="shared" si="83"/>
        <v>356000</v>
      </c>
      <c r="M37" s="984">
        <f t="shared" si="83"/>
        <v>252000</v>
      </c>
      <c r="N37" s="984">
        <f t="shared" si="83"/>
        <v>195000</v>
      </c>
      <c r="O37" s="984">
        <f t="shared" si="83"/>
        <v>140000</v>
      </c>
      <c r="P37" s="984">
        <f t="shared" si="83"/>
        <v>90600</v>
      </c>
      <c r="Q37" s="984">
        <f t="shared" si="83"/>
        <v>-33600</v>
      </c>
      <c r="R37" s="984">
        <f>R35-Q35</f>
        <v>-103000</v>
      </c>
      <c r="S37" s="984">
        <f>S35-R35</f>
        <v>-283000</v>
      </c>
      <c r="T37" s="984">
        <f>T35-S35</f>
        <v>-185000</v>
      </c>
      <c r="U37" s="3905">
        <v>-25000</v>
      </c>
      <c r="V37" s="3905">
        <v>10000</v>
      </c>
      <c r="W37" s="3905">
        <v>25000</v>
      </c>
      <c r="X37" s="3905">
        <v>25000</v>
      </c>
      <c r="Y37" s="3905">
        <f>+X37</f>
        <v>25000</v>
      </c>
      <c r="Z37" s="3905">
        <f t="shared" ref="Z37:AF37" si="84">+Y37</f>
        <v>25000</v>
      </c>
      <c r="AA37" s="3905">
        <f t="shared" si="84"/>
        <v>25000</v>
      </c>
      <c r="AB37" s="3905">
        <f t="shared" si="84"/>
        <v>25000</v>
      </c>
      <c r="AC37" s="3905">
        <f t="shared" si="84"/>
        <v>25000</v>
      </c>
      <c r="AD37" s="3905">
        <f t="shared" si="84"/>
        <v>25000</v>
      </c>
      <c r="AE37" s="3905">
        <f t="shared" si="84"/>
        <v>25000</v>
      </c>
      <c r="AF37" s="3905">
        <f t="shared" si="84"/>
        <v>25000</v>
      </c>
      <c r="AG37" s="3903"/>
      <c r="AH37" s="3904"/>
      <c r="AI37" s="591"/>
      <c r="AJ37" s="984"/>
      <c r="AK37" s="984"/>
      <c r="AL37" s="1002"/>
      <c r="AM37" s="986">
        <f t="shared" ref="AM37:BJ37" si="85">AM35-AL35</f>
        <v>789000</v>
      </c>
      <c r="AN37" s="984">
        <f t="shared" si="85"/>
        <v>143000</v>
      </c>
      <c r="AO37" s="984">
        <f t="shared" si="85"/>
        <v>152000</v>
      </c>
      <c r="AP37" s="1002">
        <f t="shared" si="85"/>
        <v>323137</v>
      </c>
      <c r="AQ37" s="984">
        <f t="shared" si="85"/>
        <v>177488</v>
      </c>
      <c r="AR37" s="984">
        <f t="shared" si="85"/>
        <v>129049</v>
      </c>
      <c r="AS37" s="984">
        <f t="shared" si="85"/>
        <v>224608</v>
      </c>
      <c r="AT37" s="1002">
        <f t="shared" si="85"/>
        <v>224993</v>
      </c>
      <c r="AU37" s="984">
        <f t="shared" si="85"/>
        <v>322508</v>
      </c>
      <c r="AV37" s="984">
        <f t="shared" si="85"/>
        <v>221511.60000000009</v>
      </c>
      <c r="AW37" s="984">
        <f t="shared" si="85"/>
        <v>287505.39999999991</v>
      </c>
      <c r="AX37" s="1002">
        <f t="shared" si="85"/>
        <v>278910.40967987804</v>
      </c>
      <c r="AY37" s="984">
        <f t="shared" si="85"/>
        <v>108342.76024199696</v>
      </c>
      <c r="AZ37" s="984">
        <f t="shared" si="85"/>
        <v>182946.830078125</v>
      </c>
      <c r="BA37" s="984">
        <f t="shared" si="85"/>
        <v>194000</v>
      </c>
      <c r="BB37" s="1002">
        <f t="shared" si="85"/>
        <v>182000</v>
      </c>
      <c r="BC37" s="984">
        <f t="shared" si="85"/>
        <v>196000</v>
      </c>
      <c r="BD37" s="984">
        <f t="shared" si="85"/>
        <v>84000</v>
      </c>
      <c r="BE37" s="984">
        <f t="shared" si="85"/>
        <v>90000</v>
      </c>
      <c r="BF37" s="1002">
        <f t="shared" si="85"/>
        <v>90000</v>
      </c>
      <c r="BG37" s="984">
        <f t="shared" si="85"/>
        <v>120000</v>
      </c>
      <c r="BH37" s="984">
        <f t="shared" si="85"/>
        <v>62000</v>
      </c>
      <c r="BI37" s="984">
        <f t="shared" si="85"/>
        <v>72000</v>
      </c>
      <c r="BJ37" s="1002">
        <f t="shared" si="85"/>
        <v>89000</v>
      </c>
      <c r="BK37" s="1821" t="s">
        <v>1145</v>
      </c>
      <c r="BL37" s="1821" t="s">
        <v>1145</v>
      </c>
      <c r="BM37" s="1821" t="s">
        <v>1145</v>
      </c>
      <c r="BN37" s="1821" t="s">
        <v>1145</v>
      </c>
      <c r="BO37" s="2136">
        <f>99000+2000</f>
        <v>101000</v>
      </c>
      <c r="BP37" s="2115">
        <f>12000+2000</f>
        <v>14000</v>
      </c>
      <c r="BQ37" s="2115">
        <f>57000+3000</f>
        <v>60000</v>
      </c>
      <c r="BR37" s="2116">
        <f>70000+3000</f>
        <v>73000</v>
      </c>
      <c r="BS37" s="2115">
        <f>89000+3000</f>
        <v>92000</v>
      </c>
      <c r="BT37" s="984">
        <f t="shared" ref="BT37:BY37" si="86">+BT35-BS35</f>
        <v>18000</v>
      </c>
      <c r="BU37" s="984">
        <f t="shared" si="86"/>
        <v>44000</v>
      </c>
      <c r="BV37" s="984">
        <f t="shared" si="86"/>
        <v>41000</v>
      </c>
      <c r="BW37" s="986">
        <f>+BW35-BV35</f>
        <v>66000</v>
      </c>
      <c r="BX37" s="984">
        <f t="shared" si="86"/>
        <v>-8000</v>
      </c>
      <c r="BY37" s="984">
        <f t="shared" si="86"/>
        <v>33000</v>
      </c>
      <c r="BZ37" s="1002">
        <f t="shared" ref="BZ37:CG37" si="87">+BZ35-BY35</f>
        <v>49000</v>
      </c>
      <c r="CA37" s="986">
        <f t="shared" si="87"/>
        <v>66000</v>
      </c>
      <c r="CB37" s="984">
        <f t="shared" si="87"/>
        <v>-2000</v>
      </c>
      <c r="CC37" s="984">
        <f t="shared" si="87"/>
        <v>8000</v>
      </c>
      <c r="CD37" s="1002">
        <f t="shared" si="87"/>
        <v>18600</v>
      </c>
      <c r="CE37" s="986">
        <f t="shared" si="87"/>
        <v>35400</v>
      </c>
      <c r="CF37" s="984">
        <f t="shared" si="87"/>
        <v>-9000</v>
      </c>
      <c r="CG37" s="984">
        <f t="shared" si="87"/>
        <v>-37000</v>
      </c>
      <c r="CH37" s="1002">
        <f t="shared" ref="CH37:CM37" si="88">+CH35-CG35</f>
        <v>-23000</v>
      </c>
      <c r="CI37" s="984">
        <f t="shared" si="88"/>
        <v>8000</v>
      </c>
      <c r="CJ37" s="984">
        <f t="shared" si="88"/>
        <v>-66000</v>
      </c>
      <c r="CK37" s="984">
        <f t="shared" si="88"/>
        <v>-40000</v>
      </c>
      <c r="CL37" s="1002">
        <f t="shared" si="88"/>
        <v>-5000</v>
      </c>
      <c r="CM37" s="984">
        <f t="shared" si="88"/>
        <v>0</v>
      </c>
      <c r="CN37" s="984">
        <f>+CN35-CM35</f>
        <v>-77000</v>
      </c>
      <c r="CO37" s="984">
        <f>+CO35-CN35</f>
        <v>-101000</v>
      </c>
      <c r="CP37" s="1002">
        <f t="shared" ref="CP37" si="89">+CP35-CO35</f>
        <v>-105000</v>
      </c>
      <c r="CQ37" s="3905">
        <v>-40000</v>
      </c>
      <c r="CR37" s="3905">
        <v>-75000</v>
      </c>
      <c r="CS37" s="3905">
        <v>-50000</v>
      </c>
      <c r="CT37" s="3906">
        <v>-20000</v>
      </c>
    </row>
    <row r="38" spans="1:98">
      <c r="A38" s="591" t="s">
        <v>775</v>
      </c>
      <c r="B38" s="3101"/>
      <c r="C38" s="3101"/>
      <c r="D38" s="984"/>
      <c r="E38" s="984"/>
      <c r="F38" s="984"/>
      <c r="G38" s="1106">
        <f t="shared" ref="G38:Q38" si="90">+G37/F37-1</f>
        <v>-0.46264080896174287</v>
      </c>
      <c r="H38" s="988">
        <f t="shared" si="90"/>
        <v>0.46856183617260072</v>
      </c>
      <c r="I38" s="988">
        <f t="shared" si="90"/>
        <v>-0.39907392676491504</v>
      </c>
      <c r="J38" s="988">
        <f t="shared" si="90"/>
        <v>-0.31064412412109998</v>
      </c>
      <c r="K38" s="988">
        <f t="shared" si="90"/>
        <v>-0.2543478260869565</v>
      </c>
      <c r="L38" s="988">
        <f t="shared" si="90"/>
        <v>3.790087463556846E-2</v>
      </c>
      <c r="M38" s="988">
        <f t="shared" si="90"/>
        <v>-0.2921348314606742</v>
      </c>
      <c r="N38" s="988">
        <f t="shared" si="90"/>
        <v>-0.22619047619047616</v>
      </c>
      <c r="O38" s="988">
        <f t="shared" si="90"/>
        <v>-0.28205128205128205</v>
      </c>
      <c r="P38" s="988">
        <f t="shared" si="90"/>
        <v>-0.35285714285714287</v>
      </c>
      <c r="Q38" s="988">
        <f t="shared" si="90"/>
        <v>-1.370860927152318</v>
      </c>
      <c r="R38" s="988">
        <f t="shared" ref="R38:W38" si="91">+R37/Q37-1</f>
        <v>2.0654761904761907</v>
      </c>
      <c r="S38" s="988">
        <f>+S37/R37-1</f>
        <v>1.7475728155339807</v>
      </c>
      <c r="T38" s="988">
        <f>+T37/S37-1</f>
        <v>-0.3462897526501767</v>
      </c>
      <c r="U38" s="988">
        <f t="shared" si="91"/>
        <v>-0.86486486486486491</v>
      </c>
      <c r="V38" s="988">
        <f t="shared" si="91"/>
        <v>-1.4</v>
      </c>
      <c r="W38" s="988">
        <f t="shared" si="91"/>
        <v>1.5</v>
      </c>
      <c r="X38" s="988">
        <f t="shared" ref="X38:AF38" si="92">+X37/W37-1</f>
        <v>0</v>
      </c>
      <c r="Y38" s="988">
        <f t="shared" si="92"/>
        <v>0</v>
      </c>
      <c r="Z38" s="988">
        <f t="shared" si="92"/>
        <v>0</v>
      </c>
      <c r="AA38" s="988">
        <f t="shared" si="92"/>
        <v>0</v>
      </c>
      <c r="AB38" s="988">
        <f t="shared" si="92"/>
        <v>0</v>
      </c>
      <c r="AC38" s="988">
        <f t="shared" si="92"/>
        <v>0</v>
      </c>
      <c r="AD38" s="988">
        <f t="shared" si="92"/>
        <v>0</v>
      </c>
      <c r="AE38" s="988">
        <f t="shared" si="92"/>
        <v>0</v>
      </c>
      <c r="AF38" s="988">
        <f t="shared" si="92"/>
        <v>0</v>
      </c>
      <c r="AG38" s="3903"/>
      <c r="AH38" s="3904"/>
      <c r="AI38" s="591"/>
      <c r="AJ38" s="984"/>
      <c r="AK38" s="984"/>
      <c r="AL38" s="989"/>
      <c r="AM38" s="990"/>
      <c r="AN38" s="988"/>
      <c r="AO38" s="988"/>
      <c r="AP38" s="989"/>
      <c r="AQ38" s="988">
        <f t="shared" ref="AQ38:BJ38" si="93">AQ37/AM37-1</f>
        <v>-0.77504689480354882</v>
      </c>
      <c r="AR38" s="988">
        <f t="shared" si="93"/>
        <v>-9.7559440559440547E-2</v>
      </c>
      <c r="AS38" s="988">
        <f t="shared" si="93"/>
        <v>0.47768421052631571</v>
      </c>
      <c r="AT38" s="989">
        <f t="shared" si="93"/>
        <v>-0.30372256968406586</v>
      </c>
      <c r="AU38" s="988">
        <f t="shared" si="93"/>
        <v>0.81706932299648427</v>
      </c>
      <c r="AV38" s="988">
        <f t="shared" si="93"/>
        <v>0.71649218513897894</v>
      </c>
      <c r="AW38" s="988">
        <f t="shared" si="93"/>
        <v>0.28003187776036431</v>
      </c>
      <c r="AX38" s="989">
        <f t="shared" si="93"/>
        <v>0.23964038738928783</v>
      </c>
      <c r="AY38" s="988">
        <f t="shared" si="93"/>
        <v>-0.6640617899649095</v>
      </c>
      <c r="AZ38" s="988">
        <f t="shared" si="93"/>
        <v>-0.1740981958591562</v>
      </c>
      <c r="BA38" s="988">
        <f t="shared" si="93"/>
        <v>-0.32523006524399167</v>
      </c>
      <c r="BB38" s="989">
        <f t="shared" si="93"/>
        <v>-0.3474607125316973</v>
      </c>
      <c r="BC38" s="988">
        <f t="shared" si="93"/>
        <v>0.80907334797645669</v>
      </c>
      <c r="BD38" s="988">
        <f t="shared" si="93"/>
        <v>-0.54085020241056414</v>
      </c>
      <c r="BE38" s="988">
        <f t="shared" si="93"/>
        <v>-0.53608247422680411</v>
      </c>
      <c r="BF38" s="989">
        <f t="shared" si="93"/>
        <v>-0.50549450549450547</v>
      </c>
      <c r="BG38" s="988">
        <f t="shared" si="93"/>
        <v>-0.38775510204081631</v>
      </c>
      <c r="BH38" s="988">
        <f t="shared" si="93"/>
        <v>-0.26190476190476186</v>
      </c>
      <c r="BI38" s="988">
        <f t="shared" si="93"/>
        <v>-0.19999999999999996</v>
      </c>
      <c r="BJ38" s="988">
        <f t="shared" si="93"/>
        <v>-1.1111111111111072E-2</v>
      </c>
      <c r="BK38" s="1886" t="s">
        <v>1145</v>
      </c>
      <c r="BL38" s="1821" t="s">
        <v>1145</v>
      </c>
      <c r="BM38" s="1821" t="s">
        <v>1145</v>
      </c>
      <c r="BN38" s="1821" t="s">
        <v>1145</v>
      </c>
      <c r="BO38" s="1886" t="s">
        <v>1145</v>
      </c>
      <c r="BP38" s="1821" t="s">
        <v>1145</v>
      </c>
      <c r="BQ38" s="1821" t="s">
        <v>1145</v>
      </c>
      <c r="BR38" s="2118" t="s">
        <v>1145</v>
      </c>
      <c r="BS38" s="988">
        <f t="shared" ref="BS38:CG38" si="94">BS37/BO37-1</f>
        <v>-8.9108910891089077E-2</v>
      </c>
      <c r="BT38" s="988">
        <f t="shared" si="94"/>
        <v>0.28571428571428581</v>
      </c>
      <c r="BU38" s="988">
        <f t="shared" si="94"/>
        <v>-0.26666666666666672</v>
      </c>
      <c r="BV38" s="988">
        <f t="shared" si="94"/>
        <v>-0.43835616438356162</v>
      </c>
      <c r="BW38" s="990">
        <f t="shared" si="94"/>
        <v>-0.28260869565217395</v>
      </c>
      <c r="BX38" s="988">
        <f t="shared" si="94"/>
        <v>-1.4444444444444444</v>
      </c>
      <c r="BY38" s="988">
        <f t="shared" si="94"/>
        <v>-0.25</v>
      </c>
      <c r="BZ38" s="989">
        <f t="shared" si="94"/>
        <v>0.19512195121951215</v>
      </c>
      <c r="CA38" s="990">
        <f t="shared" si="94"/>
        <v>0</v>
      </c>
      <c r="CB38" s="988">
        <f t="shared" si="94"/>
        <v>-0.75</v>
      </c>
      <c r="CC38" s="988">
        <f t="shared" si="94"/>
        <v>-0.75757575757575757</v>
      </c>
      <c r="CD38" s="989">
        <f t="shared" si="94"/>
        <v>-0.62040816326530612</v>
      </c>
      <c r="CE38" s="990">
        <f t="shared" si="94"/>
        <v>-0.46363636363636362</v>
      </c>
      <c r="CF38" s="988">
        <f t="shared" si="94"/>
        <v>3.5</v>
      </c>
      <c r="CG38" s="988">
        <f t="shared" si="94"/>
        <v>-5.625</v>
      </c>
      <c r="CH38" s="989">
        <f t="shared" ref="CH38:CM38" si="95">CH37/CD37-1</f>
        <v>-2.236559139784946</v>
      </c>
      <c r="CI38" s="988">
        <f t="shared" si="95"/>
        <v>-0.77401129943502822</v>
      </c>
      <c r="CJ38" s="988">
        <f t="shared" si="95"/>
        <v>6.333333333333333</v>
      </c>
      <c r="CK38" s="988">
        <f t="shared" si="95"/>
        <v>8.1081081081081141E-2</v>
      </c>
      <c r="CL38" s="989">
        <f>CL37/CH37-1</f>
        <v>-0.78260869565217395</v>
      </c>
      <c r="CM38" s="988">
        <f t="shared" si="95"/>
        <v>-1</v>
      </c>
      <c r="CN38" s="988">
        <f>CN37/CJ37-1</f>
        <v>0.16666666666666674</v>
      </c>
      <c r="CO38" s="988">
        <f>CO37/CK37-1</f>
        <v>1.5249999999999999</v>
      </c>
      <c r="CP38" s="989">
        <f t="shared" ref="CP38" si="96">CP37/CL37-1</f>
        <v>20</v>
      </c>
      <c r="CQ38" s="3914"/>
      <c r="CR38" s="988">
        <f>CR37/CN37-1</f>
        <v>-2.5974025974025983E-2</v>
      </c>
      <c r="CS38" s="988">
        <f>CS37/CO37-1</f>
        <v>-0.50495049504950495</v>
      </c>
      <c r="CT38" s="989">
        <f>CT37/CP37-1</f>
        <v>-0.80952380952380953</v>
      </c>
    </row>
    <row r="39" spans="1:98">
      <c r="A39" s="3915" t="s">
        <v>739</v>
      </c>
      <c r="B39" s="1693"/>
      <c r="C39" s="1693"/>
      <c r="D39" s="1063"/>
      <c r="E39" s="1063"/>
      <c r="F39" s="1063">
        <f t="shared" ref="F39:Q39" si="97">+(F35+E35)/2</f>
        <v>1007568.5</v>
      </c>
      <c r="G39" s="1063">
        <f t="shared" si="97"/>
        <v>2089206</v>
      </c>
      <c r="H39" s="1063">
        <f t="shared" si="97"/>
        <v>3022492.7048399393</v>
      </c>
      <c r="I39" s="1063">
        <f t="shared" si="97"/>
        <v>3911355.2048399393</v>
      </c>
      <c r="J39" s="1063">
        <f t="shared" si="97"/>
        <v>4475000</v>
      </c>
      <c r="K39" s="1063">
        <f t="shared" si="97"/>
        <v>4876500</v>
      </c>
      <c r="L39" s="1063">
        <f t="shared" si="97"/>
        <v>5226000</v>
      </c>
      <c r="M39" s="1063">
        <f t="shared" si="97"/>
        <v>5530000</v>
      </c>
      <c r="N39" s="1063">
        <f t="shared" si="97"/>
        <v>5753500</v>
      </c>
      <c r="O39" s="1063">
        <f t="shared" si="97"/>
        <v>5921000</v>
      </c>
      <c r="P39" s="1063">
        <f t="shared" si="97"/>
        <v>6036300</v>
      </c>
      <c r="Q39" s="1063">
        <f t="shared" si="97"/>
        <v>6064800</v>
      </c>
      <c r="R39" s="1063">
        <f t="shared" ref="R39:W39" si="98">+(R35+Q35)/2</f>
        <v>5996500</v>
      </c>
      <c r="S39" s="1063">
        <f t="shared" si="98"/>
        <v>5803500</v>
      </c>
      <c r="T39" s="1063">
        <f t="shared" si="98"/>
        <v>5569500</v>
      </c>
      <c r="U39" s="1063">
        <f t="shared" si="98"/>
        <v>5464500</v>
      </c>
      <c r="V39" s="1063">
        <f t="shared" si="98"/>
        <v>5457000</v>
      </c>
      <c r="W39" s="1063">
        <f t="shared" si="98"/>
        <v>5474500</v>
      </c>
      <c r="X39" s="1063">
        <f t="shared" ref="X39:AF39" si="99">+(X35+W35)/2</f>
        <v>5499500</v>
      </c>
      <c r="Y39" s="1063">
        <f t="shared" si="99"/>
        <v>5524500</v>
      </c>
      <c r="Z39" s="1063">
        <f t="shared" si="99"/>
        <v>5549500</v>
      </c>
      <c r="AA39" s="1063">
        <f t="shared" si="99"/>
        <v>5574500</v>
      </c>
      <c r="AB39" s="1063">
        <f t="shared" si="99"/>
        <v>5599500</v>
      </c>
      <c r="AC39" s="1063">
        <f t="shared" si="99"/>
        <v>5624500</v>
      </c>
      <c r="AD39" s="1063">
        <f t="shared" si="99"/>
        <v>5649500</v>
      </c>
      <c r="AE39" s="1063">
        <f t="shared" si="99"/>
        <v>5674500</v>
      </c>
      <c r="AF39" s="1063">
        <f t="shared" si="99"/>
        <v>5699500</v>
      </c>
      <c r="AG39" s="3916"/>
      <c r="AH39" s="3917"/>
      <c r="AI39" s="3915"/>
      <c r="AJ39" s="1063"/>
      <c r="AK39" s="1063"/>
      <c r="AL39" s="3918"/>
      <c r="AM39" s="3919">
        <f t="shared" ref="AM39:CG39" si="100">+(AM35+AL35)/2</f>
        <v>698500</v>
      </c>
      <c r="AN39" s="1063">
        <f t="shared" si="100"/>
        <v>1164500</v>
      </c>
      <c r="AO39" s="1063">
        <f t="shared" si="100"/>
        <v>1312000</v>
      </c>
      <c r="AP39" s="3918">
        <f t="shared" si="100"/>
        <v>1549568.5</v>
      </c>
      <c r="AQ39" s="1063">
        <f t="shared" si="100"/>
        <v>1799881</v>
      </c>
      <c r="AR39" s="1063">
        <f t="shared" si="100"/>
        <v>1953149.5</v>
      </c>
      <c r="AS39" s="1063">
        <f t="shared" si="100"/>
        <v>2129978</v>
      </c>
      <c r="AT39" s="3918">
        <f t="shared" si="100"/>
        <v>2354778.5</v>
      </c>
      <c r="AU39" s="1063">
        <f t="shared" si="100"/>
        <v>2628529</v>
      </c>
      <c r="AV39" s="1063">
        <f t="shared" si="100"/>
        <v>2900538.8</v>
      </c>
      <c r="AW39" s="1063">
        <f t="shared" si="100"/>
        <v>3155047.3</v>
      </c>
      <c r="AX39" s="3918">
        <f t="shared" si="100"/>
        <v>3438255.2048399393</v>
      </c>
      <c r="AY39" s="1063">
        <f t="shared" si="100"/>
        <v>3631881.7898008768</v>
      </c>
      <c r="AZ39" s="1063">
        <f t="shared" si="100"/>
        <v>3777526.5849609375</v>
      </c>
      <c r="BA39" s="1063">
        <f t="shared" si="100"/>
        <v>3966000</v>
      </c>
      <c r="BB39" s="3918">
        <f t="shared" si="100"/>
        <v>4154000</v>
      </c>
      <c r="BC39" s="1063">
        <f t="shared" si="100"/>
        <v>4343000</v>
      </c>
      <c r="BD39" s="1063">
        <f t="shared" si="100"/>
        <v>4483000</v>
      </c>
      <c r="BE39" s="1063">
        <f t="shared" si="100"/>
        <v>4570000</v>
      </c>
      <c r="BF39" s="3918">
        <f t="shared" si="100"/>
        <v>4660000</v>
      </c>
      <c r="BG39" s="1063">
        <f t="shared" si="100"/>
        <v>4765000</v>
      </c>
      <c r="BH39" s="1063">
        <f t="shared" si="100"/>
        <v>4856000</v>
      </c>
      <c r="BI39" s="1063">
        <f t="shared" si="100"/>
        <v>4923000</v>
      </c>
      <c r="BJ39" s="1063">
        <f t="shared" si="100"/>
        <v>5003500</v>
      </c>
      <c r="BK39" s="3919">
        <f t="shared" si="100"/>
        <v>5148500</v>
      </c>
      <c r="BL39" s="1063">
        <f t="shared" si="100"/>
        <v>5268000</v>
      </c>
      <c r="BM39" s="1063">
        <f t="shared" si="100"/>
        <v>5323000</v>
      </c>
      <c r="BN39" s="1063">
        <f t="shared" si="100"/>
        <v>5381500</v>
      </c>
      <c r="BO39" s="3919">
        <f t="shared" si="100"/>
        <v>5454500</v>
      </c>
      <c r="BP39" s="1063">
        <f t="shared" si="100"/>
        <v>5512000</v>
      </c>
      <c r="BQ39" s="1063">
        <f t="shared" si="100"/>
        <v>5549000</v>
      </c>
      <c r="BR39" s="3918">
        <f t="shared" si="100"/>
        <v>5617500</v>
      </c>
      <c r="BS39" s="1063">
        <f t="shared" si="100"/>
        <v>5702000</v>
      </c>
      <c r="BT39" s="1063">
        <f t="shared" si="100"/>
        <v>5757000</v>
      </c>
      <c r="BU39" s="1063">
        <f t="shared" si="100"/>
        <v>5788000</v>
      </c>
      <c r="BV39" s="1063">
        <f t="shared" si="100"/>
        <v>5830500</v>
      </c>
      <c r="BW39" s="3919">
        <f t="shared" si="100"/>
        <v>5884000</v>
      </c>
      <c r="BX39" s="1063">
        <f t="shared" si="100"/>
        <v>5913000</v>
      </c>
      <c r="BY39" s="1063">
        <f t="shared" si="100"/>
        <v>5925500</v>
      </c>
      <c r="BZ39" s="3918">
        <f t="shared" si="100"/>
        <v>5966500</v>
      </c>
      <c r="CA39" s="3919">
        <f t="shared" si="100"/>
        <v>6024000</v>
      </c>
      <c r="CB39" s="1063">
        <f t="shared" si="100"/>
        <v>6056000</v>
      </c>
      <c r="CC39" s="1063">
        <f t="shared" si="100"/>
        <v>6059000</v>
      </c>
      <c r="CD39" s="3918">
        <f t="shared" si="100"/>
        <v>6072300</v>
      </c>
      <c r="CE39" s="3919">
        <f t="shared" si="100"/>
        <v>6099300</v>
      </c>
      <c r="CF39" s="1063">
        <f t="shared" si="100"/>
        <v>6112500</v>
      </c>
      <c r="CG39" s="1063">
        <f t="shared" si="100"/>
        <v>6089500</v>
      </c>
      <c r="CH39" s="3918">
        <f t="shared" ref="CH39:CM39" si="101">+(CH35+CG35)/2</f>
        <v>6059500</v>
      </c>
      <c r="CI39" s="1063">
        <f t="shared" si="101"/>
        <v>6052000</v>
      </c>
      <c r="CJ39" s="1063">
        <f t="shared" si="101"/>
        <v>6023000</v>
      </c>
      <c r="CK39" s="1063">
        <f t="shared" si="101"/>
        <v>5970000</v>
      </c>
      <c r="CL39" s="3918">
        <f>+(CL35+CK35)/2</f>
        <v>5947500</v>
      </c>
      <c r="CM39" s="1063">
        <f t="shared" si="101"/>
        <v>5945000</v>
      </c>
      <c r="CN39" s="1063">
        <f>+(CN35+CM35)/2</f>
        <v>5906500</v>
      </c>
      <c r="CO39" s="1063">
        <f>+(CO35+CN35)/2</f>
        <v>5817500</v>
      </c>
      <c r="CP39" s="3918">
        <f t="shared" ref="CP39" si="102">+(CP35+CO35)/2</f>
        <v>5714500</v>
      </c>
      <c r="CQ39" s="1063">
        <f>+(CQ35+CP35)/2</f>
        <v>5642000</v>
      </c>
      <c r="CR39" s="1063">
        <f>+(CR35+CQ35)/2</f>
        <v>5584500</v>
      </c>
      <c r="CS39" s="1063">
        <f>+(CS35+CR35)/2</f>
        <v>5522000</v>
      </c>
      <c r="CT39" s="3918">
        <f>+(CT35+CS35)/2</f>
        <v>5487000</v>
      </c>
    </row>
    <row r="40" spans="1:98" hidden="1" outlineLevel="2">
      <c r="A40" s="768" t="s">
        <v>1256</v>
      </c>
      <c r="B40" s="3101"/>
      <c r="C40" s="3101"/>
      <c r="D40" s="984"/>
      <c r="E40" s="984"/>
      <c r="F40" s="984"/>
      <c r="G40" s="984"/>
      <c r="H40" s="984"/>
      <c r="I40" s="984"/>
      <c r="J40" s="984"/>
      <c r="K40" s="984"/>
      <c r="L40" s="984"/>
      <c r="M40" s="984"/>
      <c r="N40" s="984"/>
      <c r="O40" s="271">
        <f>+BZ40</f>
        <v>175000</v>
      </c>
      <c r="P40" s="405">
        <f>CD40</f>
        <v>242000</v>
      </c>
      <c r="Q40" s="405">
        <f>CH40</f>
        <v>285000</v>
      </c>
      <c r="R40" s="405">
        <f>CL40</f>
        <v>325000</v>
      </c>
      <c r="S40" s="405">
        <f>CP40</f>
        <v>112750</v>
      </c>
      <c r="T40" s="405">
        <f>CT40</f>
        <v>-26000</v>
      </c>
      <c r="U40" s="271">
        <f>+T40+U42</f>
        <v>-168750</v>
      </c>
      <c r="V40" s="271">
        <f>+U40+V42</f>
        <v>-314500</v>
      </c>
      <c r="W40" s="271">
        <f>+V40+W42</f>
        <v>-463250</v>
      </c>
      <c r="X40" s="271">
        <f t="shared" ref="X40:AF40" si="103">+W40+X42</f>
        <v>-615000</v>
      </c>
      <c r="Y40" s="271">
        <f t="shared" si="103"/>
        <v>-610000</v>
      </c>
      <c r="Z40" s="271">
        <f t="shared" si="103"/>
        <v>-605000</v>
      </c>
      <c r="AA40" s="271">
        <f t="shared" si="103"/>
        <v>-600000</v>
      </c>
      <c r="AB40" s="271">
        <f t="shared" si="103"/>
        <v>-595000</v>
      </c>
      <c r="AC40" s="271">
        <f t="shared" si="103"/>
        <v>-590000</v>
      </c>
      <c r="AD40" s="271">
        <f t="shared" si="103"/>
        <v>-585000</v>
      </c>
      <c r="AE40" s="271">
        <f t="shared" si="103"/>
        <v>-580000</v>
      </c>
      <c r="AF40" s="271">
        <f t="shared" si="103"/>
        <v>-575000</v>
      </c>
      <c r="AG40" s="3920"/>
      <c r="AH40" s="3904"/>
      <c r="AI40" s="3101"/>
      <c r="AJ40" s="984"/>
      <c r="AK40" s="984"/>
      <c r="AL40" s="984"/>
      <c r="AM40" s="984"/>
      <c r="AN40" s="984"/>
      <c r="AO40" s="984"/>
      <c r="AP40" s="984"/>
      <c r="AQ40" s="984"/>
      <c r="AR40" s="984"/>
      <c r="AS40" s="984"/>
      <c r="AT40" s="984"/>
      <c r="AU40" s="984"/>
      <c r="AV40" s="984"/>
      <c r="AW40" s="984"/>
      <c r="AX40" s="984"/>
      <c r="AY40" s="984"/>
      <c r="AZ40" s="984"/>
      <c r="BA40" s="984"/>
      <c r="BB40" s="984"/>
      <c r="BC40" s="984"/>
      <c r="BD40" s="984"/>
      <c r="BE40" s="984"/>
      <c r="BF40" s="984"/>
      <c r="BG40" s="984"/>
      <c r="BH40" s="984"/>
      <c r="BI40" s="984"/>
      <c r="BJ40" s="984"/>
      <c r="BK40" s="984"/>
      <c r="BL40" s="984"/>
      <c r="BM40" s="984"/>
      <c r="BN40" s="984"/>
      <c r="BO40" s="984"/>
      <c r="BP40" s="984"/>
      <c r="BQ40" s="984"/>
      <c r="BR40" s="984"/>
      <c r="BS40" s="984"/>
      <c r="BT40" s="984"/>
      <c r="BU40" s="984"/>
      <c r="BV40" s="984"/>
      <c r="BW40" s="984">
        <v>120000</v>
      </c>
      <c r="BX40" s="984">
        <v>132000</v>
      </c>
      <c r="BY40" s="984">
        <v>149000</v>
      </c>
      <c r="BZ40" s="984">
        <v>175000</v>
      </c>
      <c r="CA40" s="1005">
        <v>199000</v>
      </c>
      <c r="CB40" s="996">
        <v>215000</v>
      </c>
      <c r="CC40" s="996">
        <v>229000</v>
      </c>
      <c r="CD40" s="2574">
        <v>242000</v>
      </c>
      <c r="CE40" s="2914">
        <v>249000</v>
      </c>
      <c r="CF40" s="2915">
        <v>258000</v>
      </c>
      <c r="CG40" s="2915">
        <v>269000</v>
      </c>
      <c r="CH40" s="2916">
        <v>285000</v>
      </c>
      <c r="CI40" s="2915">
        <v>302000</v>
      </c>
      <c r="CJ40" s="2915">
        <v>311000</v>
      </c>
      <c r="CK40" s="2915">
        <v>318000</v>
      </c>
      <c r="CL40" s="2916">
        <v>325000</v>
      </c>
      <c r="CM40" s="3135">
        <f t="shared" ref="CM40:CT40" si="104">+CL40+CM42</f>
        <v>325000</v>
      </c>
      <c r="CN40" s="3135">
        <f t="shared" si="104"/>
        <v>267250</v>
      </c>
      <c r="CO40" s="3135">
        <f t="shared" si="104"/>
        <v>191500</v>
      </c>
      <c r="CP40" s="2916">
        <f t="shared" ref="CP40" si="105">+CO40+CP42</f>
        <v>112750</v>
      </c>
      <c r="CQ40" s="271">
        <f t="shared" si="104"/>
        <v>82750</v>
      </c>
      <c r="CR40" s="271">
        <f t="shared" si="104"/>
        <v>26500</v>
      </c>
      <c r="CS40" s="271">
        <f t="shared" si="104"/>
        <v>-11000</v>
      </c>
      <c r="CT40" s="223">
        <f t="shared" si="104"/>
        <v>-26000</v>
      </c>
    </row>
    <row r="41" spans="1:98" hidden="1" outlineLevel="2">
      <c r="A41" s="591" t="s">
        <v>775</v>
      </c>
      <c r="B41" s="3101"/>
      <c r="C41" s="3101"/>
      <c r="D41" s="984"/>
      <c r="E41" s="984"/>
      <c r="F41" s="984"/>
      <c r="G41" s="984"/>
      <c r="H41" s="984"/>
      <c r="I41" s="984"/>
      <c r="J41" s="984"/>
      <c r="K41" s="984"/>
      <c r="L41" s="984"/>
      <c r="M41" s="984"/>
      <c r="N41" s="984"/>
      <c r="O41" s="988"/>
      <c r="P41" s="988">
        <f t="shared" ref="P41:V41" si="106">+P40/O40-1</f>
        <v>0.38285714285714278</v>
      </c>
      <c r="Q41" s="988">
        <f t="shared" si="106"/>
        <v>0.1776859504132231</v>
      </c>
      <c r="R41" s="988">
        <f>+R40/Q40-1</f>
        <v>0.14035087719298245</v>
      </c>
      <c r="S41" s="988">
        <f>+S40/R40-1</f>
        <v>-0.65307692307692311</v>
      </c>
      <c r="T41" s="988">
        <f>+T40/S40-1</f>
        <v>-1.2305986696230597</v>
      </c>
      <c r="U41" s="988">
        <f t="shared" si="106"/>
        <v>5.490384615384615</v>
      </c>
      <c r="V41" s="988">
        <f t="shared" si="106"/>
        <v>0.86370370370370364</v>
      </c>
      <c r="W41" s="988">
        <f>+W40/V40-1</f>
        <v>0.47297297297297303</v>
      </c>
      <c r="X41" s="988">
        <f t="shared" ref="X41:AF41" si="107">+X40/W40-1</f>
        <v>0.32757690232056125</v>
      </c>
      <c r="Y41" s="988">
        <f t="shared" si="107"/>
        <v>-8.1300813008130524E-3</v>
      </c>
      <c r="Z41" s="988">
        <f t="shared" si="107"/>
        <v>-8.1967213114754189E-3</v>
      </c>
      <c r="AA41" s="988">
        <f t="shared" si="107"/>
        <v>-8.2644628099173278E-3</v>
      </c>
      <c r="AB41" s="988">
        <f t="shared" si="107"/>
        <v>-8.3333333333333037E-3</v>
      </c>
      <c r="AC41" s="988">
        <f t="shared" si="107"/>
        <v>-8.4033613445377853E-3</v>
      </c>
      <c r="AD41" s="988">
        <f t="shared" si="107"/>
        <v>-8.4745762711864181E-3</v>
      </c>
      <c r="AE41" s="988">
        <f t="shared" si="107"/>
        <v>-8.5470085470085166E-3</v>
      </c>
      <c r="AF41" s="988">
        <f t="shared" si="107"/>
        <v>-8.6206896551723755E-3</v>
      </c>
      <c r="AG41" s="3920"/>
      <c r="AH41" s="3904"/>
      <c r="AI41" s="3101"/>
      <c r="AJ41" s="984"/>
      <c r="AK41" s="984"/>
      <c r="AL41" s="984"/>
      <c r="AM41" s="984"/>
      <c r="AN41" s="984"/>
      <c r="AO41" s="984"/>
      <c r="AP41" s="984"/>
      <c r="AQ41" s="984"/>
      <c r="AR41" s="984"/>
      <c r="AS41" s="984"/>
      <c r="AT41" s="984"/>
      <c r="AU41" s="984"/>
      <c r="AV41" s="984"/>
      <c r="AW41" s="984"/>
      <c r="AX41" s="984"/>
      <c r="AY41" s="984"/>
      <c r="AZ41" s="984"/>
      <c r="BA41" s="984"/>
      <c r="BB41" s="984"/>
      <c r="BC41" s="984"/>
      <c r="BD41" s="984"/>
      <c r="BE41" s="984"/>
      <c r="BF41" s="984"/>
      <c r="BG41" s="984"/>
      <c r="BH41" s="984"/>
      <c r="BI41" s="984"/>
      <c r="BJ41" s="984"/>
      <c r="BK41" s="984"/>
      <c r="BL41" s="984"/>
      <c r="BM41" s="984"/>
      <c r="BN41" s="984"/>
      <c r="BO41" s="984"/>
      <c r="BP41" s="984"/>
      <c r="BQ41" s="984"/>
      <c r="BR41" s="984"/>
      <c r="BS41" s="984"/>
      <c r="BT41" s="984"/>
      <c r="BU41" s="984"/>
      <c r="BV41" s="984"/>
      <c r="BW41" s="984"/>
      <c r="BX41" s="984"/>
      <c r="BY41" s="984"/>
      <c r="BZ41" s="984"/>
      <c r="CA41" s="990">
        <f t="shared" ref="CA41:CG41" si="108">CA40/BW40-1</f>
        <v>0.65833333333333344</v>
      </c>
      <c r="CB41" s="988">
        <f t="shared" si="108"/>
        <v>0.6287878787878789</v>
      </c>
      <c r="CC41" s="988">
        <f t="shared" si="108"/>
        <v>0.53691275167785224</v>
      </c>
      <c r="CD41" s="989">
        <f t="shared" si="108"/>
        <v>0.38285714285714278</v>
      </c>
      <c r="CE41" s="990">
        <f t="shared" si="108"/>
        <v>0.25125628140703515</v>
      </c>
      <c r="CF41" s="988">
        <f t="shared" si="108"/>
        <v>0.19999999999999996</v>
      </c>
      <c r="CG41" s="988">
        <f t="shared" si="108"/>
        <v>0.1746724890829694</v>
      </c>
      <c r="CH41" s="989">
        <f t="shared" ref="CH41:CM41" si="109">CH40/CD40-1</f>
        <v>0.1776859504132231</v>
      </c>
      <c r="CI41" s="988">
        <f t="shared" si="109"/>
        <v>0.21285140562248994</v>
      </c>
      <c r="CJ41" s="988">
        <f t="shared" si="109"/>
        <v>0.20542635658914721</v>
      </c>
      <c r="CK41" s="988">
        <f t="shared" si="109"/>
        <v>0.18215613382899631</v>
      </c>
      <c r="CL41" s="989">
        <f>CL40/CH40-1</f>
        <v>0.14035087719298245</v>
      </c>
      <c r="CM41" s="988">
        <f t="shared" si="109"/>
        <v>7.6158940397351049E-2</v>
      </c>
      <c r="CN41" s="988">
        <f>CN40/CJ40-1</f>
        <v>-0.14067524115755625</v>
      </c>
      <c r="CO41" s="988">
        <f>CO40/CK40-1</f>
        <v>-0.39779874213836475</v>
      </c>
      <c r="CP41" s="989">
        <f t="shared" ref="CP41" si="110">CP40/CL40-1</f>
        <v>-0.65307692307692311</v>
      </c>
      <c r="CQ41" s="988">
        <f>CQ40/CM40-1</f>
        <v>-0.74538461538461531</v>
      </c>
      <c r="CR41" s="988">
        <f>CR40/CN40-1</f>
        <v>-0.9008419083255379</v>
      </c>
      <c r="CS41" s="988">
        <f>CS40/CO40-1</f>
        <v>-1.0574412532637076</v>
      </c>
      <c r="CT41" s="989">
        <f>CT40/CP40-1</f>
        <v>-1.2305986696230597</v>
      </c>
    </row>
    <row r="42" spans="1:98" hidden="1" outlineLevel="2">
      <c r="A42" s="591" t="s">
        <v>776</v>
      </c>
      <c r="P42" s="984">
        <f>P40-O40</f>
        <v>67000</v>
      </c>
      <c r="Q42" s="984">
        <f>Q40-P40</f>
        <v>43000</v>
      </c>
      <c r="R42" s="984">
        <f>R40-Q40</f>
        <v>40000</v>
      </c>
      <c r="S42" s="984">
        <f>S40-R40</f>
        <v>-212250</v>
      </c>
      <c r="T42" s="984">
        <f>T40-S40</f>
        <v>-138750</v>
      </c>
      <c r="U42" s="3905">
        <f>+T42-4000</f>
        <v>-142750</v>
      </c>
      <c r="V42" s="3905">
        <f>+U42-3000</f>
        <v>-145750</v>
      </c>
      <c r="W42" s="3905">
        <f>+V42-3000</f>
        <v>-148750</v>
      </c>
      <c r="X42" s="3905">
        <f>+W42-3000</f>
        <v>-151750</v>
      </c>
      <c r="Y42" s="3905">
        <v>5000</v>
      </c>
      <c r="Z42" s="3905">
        <v>5000</v>
      </c>
      <c r="AA42" s="3905">
        <v>5000</v>
      </c>
      <c r="AB42" s="3905">
        <v>5000</v>
      </c>
      <c r="AC42" s="3905">
        <v>5000</v>
      </c>
      <c r="AD42" s="3905">
        <v>5000</v>
      </c>
      <c r="AE42" s="3905">
        <v>5000</v>
      </c>
      <c r="AF42" s="3905">
        <v>5000</v>
      </c>
      <c r="AG42" s="3920"/>
      <c r="AH42" s="3921"/>
      <c r="BW42" s="986">
        <f t="shared" ref="BW42:CG42" si="111">+BW40-BV40</f>
        <v>120000</v>
      </c>
      <c r="BX42" s="984">
        <f t="shared" si="111"/>
        <v>12000</v>
      </c>
      <c r="BY42" s="984">
        <f t="shared" si="111"/>
        <v>17000</v>
      </c>
      <c r="BZ42" s="1002">
        <f t="shared" si="111"/>
        <v>26000</v>
      </c>
      <c r="CA42" s="986">
        <f t="shared" si="111"/>
        <v>24000</v>
      </c>
      <c r="CB42" s="984">
        <f t="shared" si="111"/>
        <v>16000</v>
      </c>
      <c r="CC42" s="984">
        <f t="shared" si="111"/>
        <v>14000</v>
      </c>
      <c r="CD42" s="1002">
        <f t="shared" si="111"/>
        <v>13000</v>
      </c>
      <c r="CE42" s="986">
        <f t="shared" si="111"/>
        <v>7000</v>
      </c>
      <c r="CF42" s="984">
        <f t="shared" si="111"/>
        <v>9000</v>
      </c>
      <c r="CG42" s="984">
        <f t="shared" si="111"/>
        <v>11000</v>
      </c>
      <c r="CH42" s="1002">
        <f>+CH40-CG40</f>
        <v>16000</v>
      </c>
      <c r="CI42" s="984">
        <f>+CI40-CH40</f>
        <v>17000</v>
      </c>
      <c r="CJ42" s="984">
        <f>+CJ40-CI40</f>
        <v>9000</v>
      </c>
      <c r="CK42" s="984">
        <f>+CK40-CJ40</f>
        <v>7000</v>
      </c>
      <c r="CL42" s="1002">
        <f>+CL40-CK40</f>
        <v>7000</v>
      </c>
      <c r="CM42" s="984">
        <f>+CM37*75%</f>
        <v>0</v>
      </c>
      <c r="CN42" s="984">
        <f t="shared" ref="CN42:CT42" si="112">+CN37*75%</f>
        <v>-57750</v>
      </c>
      <c r="CO42" s="984">
        <f t="shared" si="112"/>
        <v>-75750</v>
      </c>
      <c r="CP42" s="1002">
        <f t="shared" ref="CP42" si="113">+CP37*75%</f>
        <v>-78750</v>
      </c>
      <c r="CQ42" s="3905">
        <f t="shared" si="112"/>
        <v>-30000</v>
      </c>
      <c r="CR42" s="3905">
        <f t="shared" si="112"/>
        <v>-56250</v>
      </c>
      <c r="CS42" s="3905">
        <f t="shared" si="112"/>
        <v>-37500</v>
      </c>
      <c r="CT42" s="3906">
        <f t="shared" si="112"/>
        <v>-15000</v>
      </c>
    </row>
    <row r="43" spans="1:98" s="2140" customFormat="1" hidden="1" outlineLevel="2">
      <c r="A43" s="2192" t="s">
        <v>939</v>
      </c>
      <c r="B43" s="2137"/>
      <c r="C43" s="2137"/>
      <c r="D43" s="2137"/>
      <c r="E43" s="2137"/>
      <c r="F43" s="2137"/>
      <c r="G43" s="2137"/>
      <c r="H43" s="2137"/>
      <c r="I43" s="2137"/>
      <c r="J43" s="2137"/>
      <c r="K43" s="2137"/>
      <c r="L43" s="2137"/>
      <c r="M43" s="2137"/>
      <c r="N43" s="2137"/>
      <c r="O43" s="2137"/>
      <c r="P43" s="2137"/>
      <c r="Q43" s="2137"/>
      <c r="R43" s="2137"/>
      <c r="S43" s="2137"/>
      <c r="T43" s="2137"/>
      <c r="U43" s="2137"/>
      <c r="V43" s="2137"/>
      <c r="W43" s="2137"/>
      <c r="X43" s="2137"/>
      <c r="Y43" s="2137"/>
      <c r="Z43" s="2137"/>
      <c r="AA43" s="2137"/>
      <c r="AB43" s="2137"/>
      <c r="AC43" s="2137"/>
      <c r="AD43" s="2137"/>
      <c r="AE43" s="2137"/>
      <c r="AF43" s="2137"/>
      <c r="AG43" s="3920"/>
      <c r="AH43" s="2763"/>
      <c r="AI43" s="2139"/>
      <c r="AJ43" s="2137"/>
      <c r="AK43" s="2137"/>
      <c r="AL43" s="2138"/>
      <c r="AM43" s="2139"/>
      <c r="AN43" s="2137"/>
      <c r="AO43" s="2137"/>
      <c r="AP43" s="2138"/>
      <c r="AQ43" s="2137"/>
      <c r="AR43" s="2137"/>
      <c r="AS43" s="2137"/>
      <c r="AT43" s="2138"/>
      <c r="AU43" s="2137"/>
      <c r="AV43" s="2137"/>
      <c r="AW43" s="2137"/>
      <c r="AX43" s="2138"/>
      <c r="AY43" s="2137"/>
      <c r="AZ43" s="2137"/>
      <c r="BA43" s="2137"/>
      <c r="BB43" s="2138"/>
      <c r="BC43" s="4095" t="s">
        <v>492</v>
      </c>
      <c r="BD43" s="2137"/>
      <c r="BE43" s="2137"/>
      <c r="BF43" s="2138"/>
      <c r="BG43" s="2137"/>
      <c r="BH43" s="2137"/>
      <c r="BI43" s="2137"/>
      <c r="BJ43" s="2137"/>
      <c r="BK43" s="2139"/>
      <c r="BL43" s="2137"/>
      <c r="BM43" s="2137"/>
      <c r="BN43" s="2137"/>
      <c r="BO43" s="2139"/>
      <c r="BP43" s="2137"/>
      <c r="BQ43" s="2137"/>
      <c r="BR43" s="2138"/>
      <c r="BS43" s="2137"/>
      <c r="BT43" s="2137"/>
      <c r="BU43" s="2137"/>
      <c r="BV43" s="2137"/>
      <c r="BW43" s="2139"/>
      <c r="BX43" s="2137"/>
      <c r="BY43" s="2137"/>
      <c r="BZ43" s="2138"/>
      <c r="CA43" s="2139"/>
      <c r="CB43" s="2137"/>
      <c r="CC43" s="2137"/>
      <c r="CD43" s="2138"/>
      <c r="CE43" s="2137"/>
      <c r="CF43" s="2137"/>
      <c r="CG43" s="2137"/>
      <c r="CH43" s="2138"/>
      <c r="CI43" s="2137"/>
      <c r="CJ43" s="2137"/>
      <c r="CK43" s="2137"/>
      <c r="CL43" s="2138"/>
      <c r="CM43" s="2137"/>
      <c r="CN43" s="2137"/>
      <c r="CO43" s="2137"/>
      <c r="CP43" s="2138"/>
      <c r="CQ43" s="2137"/>
      <c r="CR43" s="2137"/>
      <c r="CS43" s="2137"/>
      <c r="CT43" s="2138"/>
    </row>
    <row r="44" spans="1:98" s="2140" customFormat="1" hidden="1" outlineLevel="2">
      <c r="A44" s="2173" t="s">
        <v>785</v>
      </c>
      <c r="B44" s="2193"/>
      <c r="C44" s="2193"/>
      <c r="D44" s="2141"/>
      <c r="E44" s="2141"/>
      <c r="F44" s="2141">
        <f>SUM(AM44:AP44)</f>
        <v>276199</v>
      </c>
      <c r="G44" s="2141">
        <f>SUM(AQ44:AT44)</f>
        <v>318770</v>
      </c>
      <c r="H44" s="2141">
        <f>SUM(AU44:AX44)</f>
        <v>1487220</v>
      </c>
      <c r="I44" s="2141">
        <f>SUM(AY44:BB44)</f>
        <v>1765823</v>
      </c>
      <c r="J44" s="2141">
        <f>SUM(BC44:BF44)</f>
        <v>2502373</v>
      </c>
      <c r="K44" s="2141">
        <f>SUM(BG44:BJ44)</f>
        <v>2467663.5</v>
      </c>
      <c r="L44" s="2141">
        <f>SUM(BK44:BN44)</f>
        <v>2512901</v>
      </c>
      <c r="M44" s="2141">
        <f>SUM(BO44:BR44)</f>
        <v>2614430.7690273519</v>
      </c>
      <c r="N44" s="2141">
        <f>SUM(BS44:BV44)</f>
        <v>2768646.8900089893</v>
      </c>
      <c r="O44" s="2141">
        <f>SUM(BT44:BW44)</f>
        <v>2802783.2223932738</v>
      </c>
      <c r="P44" s="2141">
        <f t="shared" ref="P44:AF44" si="114">+P47*P39*0.012</f>
        <v>2971656.4735595039</v>
      </c>
      <c r="Q44" s="2141">
        <f t="shared" si="114"/>
        <v>3105114.4356770581</v>
      </c>
      <c r="R44" s="2141">
        <f t="shared" si="114"/>
        <v>3192951.3688957556</v>
      </c>
      <c r="S44" s="2141">
        <f t="shared" si="114"/>
        <v>3213792.2121507516</v>
      </c>
      <c r="T44" s="2141">
        <f>+T47*T39*0.012</f>
        <v>3207578.9359173873</v>
      </c>
      <c r="U44" s="2141">
        <f t="shared" si="114"/>
        <v>3272991.7764850315</v>
      </c>
      <c r="V44" s="2141">
        <f t="shared" si="114"/>
        <v>3399239.5954341609</v>
      </c>
      <c r="W44" s="2141">
        <f t="shared" si="114"/>
        <v>3546546.2070391215</v>
      </c>
      <c r="X44" s="2141">
        <f t="shared" si="114"/>
        <v>3705251.6394622559</v>
      </c>
      <c r="Y44" s="2141">
        <f t="shared" si="114"/>
        <v>3870979.0325479778</v>
      </c>
      <c r="Z44" s="2141">
        <f t="shared" si="114"/>
        <v>4044036.2144574174</v>
      </c>
      <c r="AA44" s="2141">
        <f t="shared" si="114"/>
        <v>4224744.4044675361</v>
      </c>
      <c r="AB44" s="2141">
        <f t="shared" si="114"/>
        <v>4413438.7917353315</v>
      </c>
      <c r="AC44" s="2141">
        <f t="shared" si="114"/>
        <v>4610469.1389374025</v>
      </c>
      <c r="AD44" s="2141">
        <f t="shared" si="114"/>
        <v>4816200.4118488636</v>
      </c>
      <c r="AE44" s="2141">
        <f t="shared" si="114"/>
        <v>5031013.4359709406</v>
      </c>
      <c r="AF44" s="2141">
        <f t="shared" si="114"/>
        <v>5255305.5813638261</v>
      </c>
      <c r="AG44" s="3920"/>
      <c r="AH44" s="2764"/>
      <c r="AI44" s="2173"/>
      <c r="AJ44" s="2141"/>
      <c r="AK44" s="2141"/>
      <c r="AL44" s="2172">
        <f>INPUTS_1!B30</f>
        <v>64182</v>
      </c>
      <c r="AM44" s="2141">
        <f>INPUTS_1!C30</f>
        <v>65628</v>
      </c>
      <c r="AN44" s="2141">
        <f>INPUTS_1!D30</f>
        <v>68169</v>
      </c>
      <c r="AO44" s="2141">
        <f>INPUTS_1!E30</f>
        <v>69992</v>
      </c>
      <c r="AP44" s="2172">
        <f>INPUTS_1!F30</f>
        <v>72410</v>
      </c>
      <c r="AQ44" s="2141">
        <f>INPUTS_1!G30</f>
        <v>72906</v>
      </c>
      <c r="AR44" s="2141">
        <f>INPUTS_1!H30</f>
        <v>76049</v>
      </c>
      <c r="AS44" s="2141">
        <f>INPUTS_1!I30</f>
        <v>88911</v>
      </c>
      <c r="AT44" s="2172">
        <f>INPUTS_1!J30</f>
        <v>80904</v>
      </c>
      <c r="AU44" s="2141">
        <f>INPUTS_1!K30</f>
        <v>356054</v>
      </c>
      <c r="AV44" s="2141">
        <f>INPUTS_1!L30</f>
        <v>363447</v>
      </c>
      <c r="AW44" s="2141">
        <f>INPUTS_1!M30</f>
        <v>380382</v>
      </c>
      <c r="AX44" s="2172">
        <f>INPUTS_1!N30</f>
        <v>387337</v>
      </c>
      <c r="AY44" s="2141">
        <f>INPUTS_1!O30</f>
        <v>409864</v>
      </c>
      <c r="AZ44" s="2141">
        <f>INPUTS_1!P30</f>
        <v>428206</v>
      </c>
      <c r="BA44" s="2141">
        <f>INPUTS_1!Q30</f>
        <v>468630</v>
      </c>
      <c r="BB44" s="2172">
        <f>INPUTS_1!R30</f>
        <v>459123</v>
      </c>
      <c r="BC44" s="2141">
        <f>INPUTS_1!S30</f>
        <v>589772</v>
      </c>
      <c r="BD44" s="2141">
        <f>INPUTS_1!T30</f>
        <v>617239</v>
      </c>
      <c r="BE44" s="2141">
        <f>INPUTS_1!U30</f>
        <v>643631</v>
      </c>
      <c r="BF44" s="2172">
        <f>INPUTS_1!V30</f>
        <v>651731</v>
      </c>
      <c r="BG44" s="2141">
        <f>INPUTS_1!W30</f>
        <v>619037</v>
      </c>
      <c r="BH44" s="2141">
        <f>INPUTS_1!X30</f>
        <v>626074.5</v>
      </c>
      <c r="BI44" s="2141">
        <f>INPUTS_1!Y30</f>
        <v>613213</v>
      </c>
      <c r="BJ44" s="2141">
        <f>INPUTS_1!Z30</f>
        <v>609339</v>
      </c>
      <c r="BK44" s="2174">
        <f>INPUTS_1!AA30</f>
        <v>602440</v>
      </c>
      <c r="BL44" s="2141">
        <f>INPUTS_1!AB30</f>
        <v>614999</v>
      </c>
      <c r="BM44" s="2141">
        <f>INPUTS_1!AC30</f>
        <v>637111</v>
      </c>
      <c r="BN44" s="2141">
        <f>INPUTS_1!AD30</f>
        <v>658351</v>
      </c>
      <c r="BO44" s="2174">
        <f>INPUTS_1!AE30</f>
        <v>620078</v>
      </c>
      <c r="BP44" s="2141">
        <f t="shared" ref="BP44:CN44" si="115">+BP47*BP39*0.003</f>
        <v>640266.72656795743</v>
      </c>
      <c r="BQ44" s="2141">
        <f t="shared" si="115"/>
        <v>665489.30995265837</v>
      </c>
      <c r="BR44" s="2172">
        <f t="shared" si="115"/>
        <v>688596.73250673607</v>
      </c>
      <c r="BS44" s="2141">
        <f t="shared" si="115"/>
        <v>649510.70226638555</v>
      </c>
      <c r="BT44" s="2141">
        <f t="shared" si="115"/>
        <v>682100.11896748282</v>
      </c>
      <c r="BU44" s="2141">
        <f t="shared" si="115"/>
        <v>708035.53226276929</v>
      </c>
      <c r="BV44" s="2141">
        <f t="shared" si="115"/>
        <v>729000.53651235159</v>
      </c>
      <c r="BW44" s="2174">
        <f t="shared" si="115"/>
        <v>683647.03465067002</v>
      </c>
      <c r="BX44" s="2141">
        <f t="shared" si="115"/>
        <v>714594.9563181902</v>
      </c>
      <c r="BY44" s="2141">
        <f t="shared" si="115"/>
        <v>739352.77079327917</v>
      </c>
      <c r="BZ44" s="2172">
        <f t="shared" si="115"/>
        <v>760925.02103129495</v>
      </c>
      <c r="CA44" s="2174">
        <f t="shared" si="115"/>
        <v>713911.54511732655</v>
      </c>
      <c r="CB44" s="2141">
        <f t="shared" si="115"/>
        <v>746514.25614277343</v>
      </c>
      <c r="CC44" s="2141">
        <f t="shared" si="115"/>
        <v>771130.40367921838</v>
      </c>
      <c r="CD44" s="2172">
        <f t="shared" si="115"/>
        <v>789906.36140325118</v>
      </c>
      <c r="CE44" s="2141">
        <f t="shared" si="115"/>
        <v>737292.14821991895</v>
      </c>
      <c r="CF44" s="2141">
        <f t="shared" si="115"/>
        <v>768548.5070155476</v>
      </c>
      <c r="CG44" s="2141">
        <f t="shared" si="115"/>
        <v>790512.38901942433</v>
      </c>
      <c r="CH44" s="2172">
        <f t="shared" si="115"/>
        <v>804006.11775792716</v>
      </c>
      <c r="CI44" s="2141">
        <f t="shared" si="115"/>
        <v>746205.94537856616</v>
      </c>
      <c r="CJ44" s="2141">
        <f t="shared" si="115"/>
        <v>772441.22877868905</v>
      </c>
      <c r="CK44" s="2141">
        <f t="shared" si="115"/>
        <v>790499.40745461581</v>
      </c>
      <c r="CL44" s="2172">
        <f t="shared" si="115"/>
        <v>804928.28006808774</v>
      </c>
      <c r="CM44" s="2141">
        <f t="shared" si="115"/>
        <v>747673.20425992867</v>
      </c>
      <c r="CN44" s="2141">
        <f t="shared" si="115"/>
        <v>772650.27397259721</v>
      </c>
      <c r="CO44" s="2141">
        <f>+CO47*CO39*0.003</f>
        <v>785712.71506274235</v>
      </c>
      <c r="CP44" s="2172">
        <f t="shared" ref="CP44" si="116">+CP47*CP39*0.003</f>
        <v>788862.19580967957</v>
      </c>
      <c r="CQ44" s="2141">
        <f>+CQ47*CQ39*0.003</f>
        <v>723757.72292736883</v>
      </c>
      <c r="CR44" s="2141">
        <f>+CR47*CR39*0.003</f>
        <v>745138.87481587555</v>
      </c>
      <c r="CS44" s="2141">
        <f>+CS47*CS39*0.003</f>
        <v>760718.47440103011</v>
      </c>
      <c r="CT44" s="2172">
        <f>+CT47*CT39*0.003</f>
        <v>772605.93328827817</v>
      </c>
    </row>
    <row r="45" spans="1:98" s="2140" customFormat="1" hidden="1" outlineLevel="2">
      <c r="A45" s="2155" t="s">
        <v>775</v>
      </c>
      <c r="B45" s="2167"/>
      <c r="C45" s="2167"/>
      <c r="D45" s="2156"/>
      <c r="E45" s="2156"/>
      <c r="F45" s="2156"/>
      <c r="G45" s="2152">
        <f t="shared" ref="G45:Q45" si="117">+G44/F44-1</f>
        <v>0.15413162248958168</v>
      </c>
      <c r="H45" s="2152">
        <f t="shared" si="117"/>
        <v>3.6654954983216737</v>
      </c>
      <c r="I45" s="2152">
        <f t="shared" si="117"/>
        <v>0.18733139683436217</v>
      </c>
      <c r="J45" s="2152">
        <f t="shared" si="117"/>
        <v>0.4171142860864312</v>
      </c>
      <c r="K45" s="2152">
        <f t="shared" si="117"/>
        <v>-1.3870633994212733E-2</v>
      </c>
      <c r="L45" s="2152">
        <f t="shared" si="117"/>
        <v>1.8332118621521953E-2</v>
      </c>
      <c r="M45" s="2152">
        <f t="shared" si="117"/>
        <v>4.0403409854726346E-2</v>
      </c>
      <c r="N45" s="2152">
        <f t="shared" si="117"/>
        <v>5.8986500162331978E-2</v>
      </c>
      <c r="O45" s="2152">
        <f t="shared" si="117"/>
        <v>1.2329608556248095E-2</v>
      </c>
      <c r="P45" s="2152">
        <f t="shared" si="117"/>
        <v>6.0251984462084351E-2</v>
      </c>
      <c r="Q45" s="2152">
        <f t="shared" si="117"/>
        <v>4.4910292728989498E-2</v>
      </c>
      <c r="R45" s="2152">
        <f t="shared" ref="R45:W45" si="118">+R44/Q44-1</f>
        <v>2.8287824825220964E-2</v>
      </c>
      <c r="S45" s="2152">
        <f>+S44/R44-1</f>
        <v>6.5271408321523339E-3</v>
      </c>
      <c r="T45" s="2152">
        <f>+T44/S44-1</f>
        <v>-1.933316102351923E-3</v>
      </c>
      <c r="U45" s="2152">
        <f t="shared" si="118"/>
        <v>2.0393213035281299E-2</v>
      </c>
      <c r="V45" s="2152">
        <f t="shared" si="118"/>
        <v>3.8572604995882775E-2</v>
      </c>
      <c r="W45" s="2152">
        <f t="shared" si="118"/>
        <v>4.3335165842037782E-2</v>
      </c>
      <c r="X45" s="2152">
        <f t="shared" ref="X45:AF45" si="119">+X44/W44-1</f>
        <v>4.4749292172801436E-2</v>
      </c>
      <c r="Y45" s="2152">
        <f t="shared" si="119"/>
        <v>4.4727702518410961E-2</v>
      </c>
      <c r="Z45" s="2152">
        <f t="shared" si="119"/>
        <v>4.470630826319133E-2</v>
      </c>
      <c r="AA45" s="2152">
        <f t="shared" si="119"/>
        <v>4.4685106766375604E-2</v>
      </c>
      <c r="AB45" s="2152">
        <f t="shared" si="119"/>
        <v>4.4664095434568063E-2</v>
      </c>
      <c r="AC45" s="2152">
        <f t="shared" si="119"/>
        <v>4.464327172068927E-2</v>
      </c>
      <c r="AD45" s="2152">
        <f t="shared" si="119"/>
        <v>4.4622633122944455E-2</v>
      </c>
      <c r="AE45" s="2152">
        <f t="shared" si="119"/>
        <v>4.4602177183821423E-2</v>
      </c>
      <c r="AF45" s="2152">
        <f t="shared" si="119"/>
        <v>4.4581901489118003E-2</v>
      </c>
      <c r="AG45" s="3920"/>
      <c r="AH45" s="2763"/>
      <c r="AI45" s="2155"/>
      <c r="AJ45" s="2156"/>
      <c r="AK45" s="2156"/>
      <c r="AL45" s="2157"/>
      <c r="AM45" s="2175"/>
      <c r="AN45" s="2156"/>
      <c r="AO45" s="2156"/>
      <c r="AP45" s="2154">
        <f t="shared" ref="AP45:BO45" si="120">AP44/AL44-1</f>
        <v>0.12819793711632554</v>
      </c>
      <c r="AQ45" s="2152">
        <f t="shared" si="120"/>
        <v>0.11089778752971302</v>
      </c>
      <c r="AR45" s="2152">
        <f t="shared" si="120"/>
        <v>0.11559506520559193</v>
      </c>
      <c r="AS45" s="2152">
        <f t="shared" si="120"/>
        <v>0.27030232026517309</v>
      </c>
      <c r="AT45" s="2154">
        <f t="shared" si="120"/>
        <v>0.11730423974589144</v>
      </c>
      <c r="AU45" s="2152">
        <f t="shared" si="120"/>
        <v>3.8837407072120262</v>
      </c>
      <c r="AV45" s="2152">
        <f t="shared" si="120"/>
        <v>3.7791160962011334</v>
      </c>
      <c r="AW45" s="2152">
        <f t="shared" si="120"/>
        <v>3.2782332894692443</v>
      </c>
      <c r="AX45" s="2154">
        <f t="shared" si="120"/>
        <v>3.7876124789874419</v>
      </c>
      <c r="AY45" s="2152">
        <f t="shared" si="120"/>
        <v>0.15112876136765774</v>
      </c>
      <c r="AZ45" s="2152">
        <f t="shared" si="120"/>
        <v>0.17818003725440024</v>
      </c>
      <c r="BA45" s="2152">
        <f t="shared" si="120"/>
        <v>0.23199835954382708</v>
      </c>
      <c r="BB45" s="2154">
        <f t="shared" si="120"/>
        <v>0.18533215262161895</v>
      </c>
      <c r="BC45" s="2152">
        <f t="shared" si="120"/>
        <v>0.43894560146780393</v>
      </c>
      <c r="BD45" s="2152">
        <f t="shared" si="120"/>
        <v>0.44145341260981863</v>
      </c>
      <c r="BE45" s="2152">
        <f t="shared" si="120"/>
        <v>0.37343106501931156</v>
      </c>
      <c r="BF45" s="2154">
        <f t="shared" si="120"/>
        <v>0.41951285385397807</v>
      </c>
      <c r="BG45" s="2152">
        <f t="shared" si="120"/>
        <v>4.9620870438067621E-2</v>
      </c>
      <c r="BH45" s="2152">
        <f t="shared" si="120"/>
        <v>1.4314552385704671E-2</v>
      </c>
      <c r="BI45" s="2152">
        <f t="shared" si="120"/>
        <v>-4.725999835309358E-2</v>
      </c>
      <c r="BJ45" s="2152">
        <f t="shared" si="120"/>
        <v>-6.5045241058043879E-2</v>
      </c>
      <c r="BK45" s="2158">
        <f t="shared" si="120"/>
        <v>-2.6810998373279826E-2</v>
      </c>
      <c r="BL45" s="2152">
        <f t="shared" si="120"/>
        <v>-1.7690386687207349E-2</v>
      </c>
      <c r="BM45" s="2152">
        <f t="shared" si="120"/>
        <v>3.8971776527894963E-2</v>
      </c>
      <c r="BN45" s="2152">
        <f t="shared" si="120"/>
        <v>8.0434700552566074E-2</v>
      </c>
      <c r="BO45" s="2158">
        <f t="shared" si="120"/>
        <v>2.9277604408737723E-2</v>
      </c>
      <c r="BP45" s="2152">
        <f>BP44/BL44-1</f>
        <v>4.1085801063021954E-2</v>
      </c>
      <c r="BQ45" s="2152">
        <f>BQ44/BM44-1</f>
        <v>4.4542175464963529E-2</v>
      </c>
      <c r="BR45" s="2154">
        <f>BR44/BN44-1</f>
        <v>4.5941651955774487E-2</v>
      </c>
      <c r="BS45" s="2152">
        <f>BS44/BO44-1</f>
        <v>4.7466128884407377E-2</v>
      </c>
      <c r="BT45" s="2152">
        <f>BT44/BP44-1</f>
        <v>6.5337445573294461E-2</v>
      </c>
      <c r="BU45" s="2152">
        <f t="shared" ref="BU45:CC45" si="121">BU44/BQ44-1</f>
        <v>6.3932240043251154E-2</v>
      </c>
      <c r="BV45" s="2152">
        <f t="shared" si="121"/>
        <v>5.8675567423230879E-2</v>
      </c>
      <c r="BW45" s="2158">
        <f t="shared" si="121"/>
        <v>5.2556997544721096E-2</v>
      </c>
      <c r="BX45" s="2152">
        <f t="shared" si="121"/>
        <v>4.7639395518499272E-2</v>
      </c>
      <c r="BY45" s="2152">
        <f t="shared" si="121"/>
        <v>4.4231167933655779E-2</v>
      </c>
      <c r="BZ45" s="2154">
        <f t="shared" si="121"/>
        <v>4.379212760483675E-2</v>
      </c>
      <c r="CA45" s="2158">
        <f t="shared" si="121"/>
        <v>4.4269204622705782E-2</v>
      </c>
      <c r="CB45" s="2152">
        <f t="shared" si="121"/>
        <v>4.4667681380010205E-2</v>
      </c>
      <c r="CC45" s="2152">
        <f t="shared" si="121"/>
        <v>4.2980339211881047E-2</v>
      </c>
      <c r="CD45" s="2154">
        <f>CD44/BZ44-1</f>
        <v>3.8086985669990581E-2</v>
      </c>
      <c r="CE45" s="2152">
        <f>CE44/CA44-1</f>
        <v>3.2749999999999835E-2</v>
      </c>
      <c r="CF45" s="2152">
        <f>CF44/CB44-1</f>
        <v>2.95161822985468E-2</v>
      </c>
      <c r="CG45" s="2152">
        <f>CG44/CC44-1</f>
        <v>2.5134510645320907E-2</v>
      </c>
      <c r="CH45" s="2154">
        <f t="shared" ref="CH45:CM45" si="122">CH44/CD44-1</f>
        <v>1.7849908601353714E-2</v>
      </c>
      <c r="CI45" s="2152">
        <f t="shared" si="122"/>
        <v>1.2089911957109845E-2</v>
      </c>
      <c r="CJ45" s="2152">
        <f t="shared" si="122"/>
        <v>5.06503067484676E-3</v>
      </c>
      <c r="CK45" s="2152">
        <f t="shared" si="122"/>
        <v>-1.6421709499891968E-5</v>
      </c>
      <c r="CL45" s="2154">
        <f t="shared" si="122"/>
        <v>1.1469593200759132E-3</v>
      </c>
      <c r="CM45" s="2152">
        <f t="shared" si="122"/>
        <v>1.9662921348315709E-3</v>
      </c>
      <c r="CN45" s="2152">
        <f>CN44/CJ44-1</f>
        <v>2.7062925452425723E-4</v>
      </c>
      <c r="CO45" s="2152">
        <f>CO44/CK44-1</f>
        <v>-6.0552763819096134E-3</v>
      </c>
      <c r="CP45" s="2154">
        <f t="shared" ref="CP45" si="123">CP44/CL44-1</f>
        <v>-1.9959646910466589E-2</v>
      </c>
      <c r="CQ45" s="2152">
        <f>CQ44/CM44-1</f>
        <v>-3.1986543313709093E-2</v>
      </c>
      <c r="CR45" s="2152">
        <f>CR44/CN44-1</f>
        <v>-3.5606535173114295E-2</v>
      </c>
      <c r="CS45" s="2152">
        <f>CS44/CO44-1</f>
        <v>-3.1810915341641599E-2</v>
      </c>
      <c r="CT45" s="2154">
        <f>CT44/CP44-1</f>
        <v>-2.0607227228979008E-2</v>
      </c>
    </row>
    <row r="46" spans="1:98" s="2140" customFormat="1" hidden="1" outlineLevel="2">
      <c r="A46" s="2155" t="s">
        <v>491</v>
      </c>
      <c r="B46" s="2167"/>
      <c r="C46" s="2167"/>
      <c r="D46" s="2156"/>
      <c r="E46" s="2156"/>
      <c r="F46" s="2156"/>
      <c r="G46" s="2151"/>
      <c r="H46" s="2151"/>
      <c r="I46" s="2151"/>
      <c r="J46" s="2152"/>
      <c r="K46" s="2153"/>
      <c r="L46" s="2152"/>
      <c r="M46" s="2152"/>
      <c r="N46" s="2152"/>
      <c r="O46" s="2152"/>
      <c r="P46" s="2152"/>
      <c r="Q46" s="2152"/>
      <c r="R46" s="2152"/>
      <c r="S46" s="2152"/>
      <c r="T46" s="2152"/>
      <c r="U46" s="2152"/>
      <c r="V46" s="2152"/>
      <c r="W46" s="2152"/>
      <c r="X46" s="2152"/>
      <c r="Y46" s="2152"/>
      <c r="Z46" s="2152"/>
      <c r="AA46" s="2152"/>
      <c r="AB46" s="2152"/>
      <c r="AC46" s="2152"/>
      <c r="AD46" s="2152"/>
      <c r="AE46" s="2152"/>
      <c r="AF46" s="2152"/>
      <c r="AG46" s="3920"/>
      <c r="AH46" s="2763"/>
      <c r="AI46" s="2155"/>
      <c r="AJ46" s="2156"/>
      <c r="AK46" s="2156"/>
      <c r="AL46" s="2157"/>
      <c r="AM46" s="2175"/>
      <c r="AN46" s="2156"/>
      <c r="AO46" s="2156"/>
      <c r="AP46" s="2154"/>
      <c r="AQ46" s="2152"/>
      <c r="AR46" s="2152"/>
      <c r="AS46" s="2152"/>
      <c r="AT46" s="2154"/>
      <c r="AU46" s="2152"/>
      <c r="AV46" s="2152"/>
      <c r="AW46" s="2152"/>
      <c r="AX46" s="2154"/>
      <c r="AY46" s="2152"/>
      <c r="AZ46" s="2152"/>
      <c r="BA46" s="2152"/>
      <c r="BB46" s="2154"/>
      <c r="BC46" s="2152"/>
      <c r="BD46" s="2152"/>
      <c r="BE46" s="2152"/>
      <c r="BF46" s="2154"/>
      <c r="BG46" s="2152"/>
      <c r="BH46" s="2152"/>
      <c r="BI46" s="2153"/>
      <c r="BJ46" s="2153">
        <f t="shared" ref="BJ46:CD46" si="124">+BJ44/BI44-1</f>
        <v>-6.3175438224564173E-3</v>
      </c>
      <c r="BK46" s="2158">
        <f t="shared" si="124"/>
        <v>-1.132210477254858E-2</v>
      </c>
      <c r="BL46" s="2152">
        <f t="shared" si="124"/>
        <v>2.0846889316778361E-2</v>
      </c>
      <c r="BM46" s="2152">
        <f t="shared" si="124"/>
        <v>3.5954530007365815E-2</v>
      </c>
      <c r="BN46" s="2152">
        <f t="shared" si="124"/>
        <v>3.3337989769443688E-2</v>
      </c>
      <c r="BO46" s="2158">
        <f t="shared" si="124"/>
        <v>-5.8134642462759234E-2</v>
      </c>
      <c r="BP46" s="2152">
        <f t="shared" si="124"/>
        <v>3.2558366153866869E-2</v>
      </c>
      <c r="BQ46" s="2152">
        <f t="shared" si="124"/>
        <v>3.9393868739520999E-2</v>
      </c>
      <c r="BR46" s="2154">
        <f t="shared" si="124"/>
        <v>3.4722454904229094E-2</v>
      </c>
      <c r="BS46" s="2152">
        <f t="shared" si="124"/>
        <v>-5.6761858421929379E-2</v>
      </c>
      <c r="BT46" s="2152">
        <f t="shared" si="124"/>
        <v>5.0175334428486984E-2</v>
      </c>
      <c r="BU46" s="2152">
        <f t="shared" si="124"/>
        <v>3.8022883406831465E-2</v>
      </c>
      <c r="BV46" s="2152">
        <f t="shared" si="124"/>
        <v>2.9610101886527351E-2</v>
      </c>
      <c r="BW46" s="2158">
        <f t="shared" si="124"/>
        <v>-6.2213262665977709E-2</v>
      </c>
      <c r="BX46" s="2152">
        <f t="shared" si="124"/>
        <v>4.5268859658455174E-2</v>
      </c>
      <c r="BY46" s="2152">
        <f t="shared" si="124"/>
        <v>3.464594069156135E-2</v>
      </c>
      <c r="BZ46" s="2154">
        <f t="shared" si="124"/>
        <v>2.9177208891596029E-2</v>
      </c>
      <c r="CA46" s="2158">
        <f t="shared" si="124"/>
        <v>-6.1784636612750909E-2</v>
      </c>
      <c r="CB46" s="2152">
        <f t="shared" si="124"/>
        <v>4.5667717868449476E-2</v>
      </c>
      <c r="CC46" s="2152">
        <f t="shared" si="124"/>
        <v>3.2974785590346389E-2</v>
      </c>
      <c r="CD46" s="2154">
        <f t="shared" si="124"/>
        <v>2.4348615531755602E-2</v>
      </c>
      <c r="CE46" s="2152">
        <f t="shared" ref="CE46:CM46" si="125">+CE44/CD44-1</f>
        <v>-6.6608164909400469E-2</v>
      </c>
      <c r="CF46" s="2152">
        <f t="shared" si="125"/>
        <v>4.2393451321965703E-2</v>
      </c>
      <c r="CG46" s="2152">
        <f t="shared" si="125"/>
        <v>2.8578393950913439E-2</v>
      </c>
      <c r="CH46" s="2154">
        <f t="shared" si="125"/>
        <v>1.7069598055561075E-2</v>
      </c>
      <c r="CI46" s="2152">
        <f t="shared" si="125"/>
        <v>-7.1890214642326478E-2</v>
      </c>
      <c r="CJ46" s="2152">
        <f t="shared" si="125"/>
        <v>3.5158234214836215E-2</v>
      </c>
      <c r="CK46" s="2152">
        <f t="shared" si="125"/>
        <v>2.3378061661051719E-2</v>
      </c>
      <c r="CL46" s="2154">
        <f t="shared" si="125"/>
        <v>1.8252856962831299E-2</v>
      </c>
      <c r="CM46" s="2152">
        <f t="shared" si="125"/>
        <v>-7.1130655023471046E-2</v>
      </c>
      <c r="CN46" s="2152">
        <f>+CN44/CM44-1</f>
        <v>3.3406399440771173E-2</v>
      </c>
      <c r="CO46" s="2152">
        <f>+CO44/CN44-1</f>
        <v>1.6906020136360445E-2</v>
      </c>
      <c r="CP46" s="2154">
        <f t="shared" ref="CP46" si="126">+CP44/CO44-1</f>
        <v>4.0084380544684883E-3</v>
      </c>
      <c r="CQ46" s="2152">
        <f>+CQ44/CP44-1</f>
        <v>-8.2529589107116719E-2</v>
      </c>
      <c r="CR46" s="2152">
        <f>+CR44/CQ44-1</f>
        <v>2.9541863542438929E-2</v>
      </c>
      <c r="CS46" s="2152">
        <f>+CS44/CR44-1</f>
        <v>2.0908316706740537E-2</v>
      </c>
      <c r="CT46" s="2154">
        <f>+CT44/CS44-1</f>
        <v>1.5626620474292974E-2</v>
      </c>
    </row>
    <row r="47" spans="1:98" s="2140" customFormat="1" hidden="1" outlineLevel="2">
      <c r="A47" s="2155" t="s">
        <v>783</v>
      </c>
      <c r="B47" s="2167"/>
      <c r="C47" s="2167"/>
      <c r="D47" s="2156"/>
      <c r="E47" s="2156"/>
      <c r="F47" s="2176">
        <f t="shared" ref="F47:O47" si="127">+F44/(F39/1000)/12</f>
        <v>22.843690859066488</v>
      </c>
      <c r="G47" s="2176">
        <f t="shared" si="127"/>
        <v>12.714958059026571</v>
      </c>
      <c r="H47" s="2176">
        <f t="shared" si="127"/>
        <v>41.004234617851019</v>
      </c>
      <c r="I47" s="2176">
        <f t="shared" si="127"/>
        <v>37.621721618271799</v>
      </c>
      <c r="J47" s="2176">
        <f t="shared" si="127"/>
        <v>46.599124767225327</v>
      </c>
      <c r="K47" s="2176">
        <f t="shared" si="127"/>
        <v>42.169306879934375</v>
      </c>
      <c r="L47" s="2176">
        <f t="shared" si="127"/>
        <v>40.070496874601353</v>
      </c>
      <c r="M47" s="2176">
        <f t="shared" si="127"/>
        <v>39.397690913612898</v>
      </c>
      <c r="N47" s="2176">
        <f t="shared" si="127"/>
        <v>40.100907998160388</v>
      </c>
      <c r="O47" s="2176">
        <f t="shared" si="127"/>
        <v>39.446929324906741</v>
      </c>
      <c r="P47" s="2176">
        <f t="shared" ref="P47:V47" si="128">+O47*(1+P48)</f>
        <v>41.024806497903015</v>
      </c>
      <c r="Q47" s="2176">
        <f t="shared" si="128"/>
        <v>42.66579875781914</v>
      </c>
      <c r="R47" s="2176">
        <f t="shared" si="128"/>
        <v>44.372430708131908</v>
      </c>
      <c r="S47" s="2176">
        <f>+R47*(1+S48)</f>
        <v>46.147327936457188</v>
      </c>
      <c r="T47" s="2176">
        <f>+S47*(1+T48)</f>
        <v>47.993221053915477</v>
      </c>
      <c r="U47" s="2176">
        <f t="shared" si="128"/>
        <v>49.912949896072099</v>
      </c>
      <c r="V47" s="2176">
        <f t="shared" si="128"/>
        <v>51.909467891914986</v>
      </c>
      <c r="W47" s="2176">
        <f>+V47*(1+W48)</f>
        <v>53.98584660759159</v>
      </c>
      <c r="X47" s="2176">
        <f t="shared" ref="X47:AF47" si="129">+W47*(1+X48)</f>
        <v>56.145280471895255</v>
      </c>
      <c r="Y47" s="2176">
        <f t="shared" si="129"/>
        <v>58.39109169077107</v>
      </c>
      <c r="Z47" s="2176">
        <f t="shared" si="129"/>
        <v>60.726735358401918</v>
      </c>
      <c r="AA47" s="2176">
        <f t="shared" si="129"/>
        <v>63.155804772737994</v>
      </c>
      <c r="AB47" s="2176">
        <f t="shared" si="129"/>
        <v>65.682036963647519</v>
      </c>
      <c r="AC47" s="2176">
        <f t="shared" si="129"/>
        <v>68.309318442193415</v>
      </c>
      <c r="AD47" s="2176">
        <f t="shared" si="129"/>
        <v>71.041691179881155</v>
      </c>
      <c r="AE47" s="2176">
        <f t="shared" si="129"/>
        <v>73.883358827076407</v>
      </c>
      <c r="AF47" s="2176">
        <f t="shared" si="129"/>
        <v>76.838693180159467</v>
      </c>
      <c r="AG47" s="3920"/>
      <c r="AH47" s="2763"/>
      <c r="AI47" s="2155"/>
      <c r="AJ47" s="2156"/>
      <c r="AK47" s="2156"/>
      <c r="AL47" s="2178"/>
      <c r="AM47" s="2179">
        <f t="shared" ref="AM47:BO47" si="130">+AM44/(AM39/1000)/3</f>
        <v>31.318539727988547</v>
      </c>
      <c r="AN47" s="2180">
        <f t="shared" si="130"/>
        <v>19.513095749248603</v>
      </c>
      <c r="AO47" s="2180">
        <f t="shared" si="130"/>
        <v>17.782520325203251</v>
      </c>
      <c r="AP47" s="2178">
        <f t="shared" si="130"/>
        <v>15.576379273756963</v>
      </c>
      <c r="AQ47" s="2180">
        <f t="shared" si="130"/>
        <v>13.502003743580824</v>
      </c>
      <c r="AR47" s="2180">
        <f t="shared" si="130"/>
        <v>12.978866526431625</v>
      </c>
      <c r="AS47" s="2180">
        <f t="shared" si="130"/>
        <v>13.914228222075534</v>
      </c>
      <c r="AT47" s="2178">
        <f t="shared" si="130"/>
        <v>11.452457205635264</v>
      </c>
      <c r="AU47" s="2180">
        <f t="shared" si="130"/>
        <v>45.152504182630913</v>
      </c>
      <c r="AV47" s="2180">
        <f t="shared" si="130"/>
        <v>41.767757080167314</v>
      </c>
      <c r="AW47" s="2180">
        <f t="shared" si="130"/>
        <v>40.187670086594267</v>
      </c>
      <c r="AX47" s="2178">
        <f t="shared" si="130"/>
        <v>37.551701558274495</v>
      </c>
      <c r="AY47" s="2180">
        <f t="shared" si="130"/>
        <v>37.61723019647723</v>
      </c>
      <c r="AZ47" s="2180">
        <f t="shared" si="130"/>
        <v>37.785394787581438</v>
      </c>
      <c r="BA47" s="2180">
        <f t="shared" si="130"/>
        <v>39.387291981845685</v>
      </c>
      <c r="BB47" s="2178">
        <f t="shared" si="130"/>
        <v>36.841839191141069</v>
      </c>
      <c r="BC47" s="2180">
        <f t="shared" si="130"/>
        <v>45.266098702893544</v>
      </c>
      <c r="BD47" s="2180">
        <f t="shared" si="130"/>
        <v>45.894787716558852</v>
      </c>
      <c r="BE47" s="2180">
        <f t="shared" si="130"/>
        <v>46.946097738876738</v>
      </c>
      <c r="BF47" s="2178">
        <f t="shared" si="130"/>
        <v>46.618812589413444</v>
      </c>
      <c r="BG47" s="2180">
        <f t="shared" si="130"/>
        <v>43.304442112626795</v>
      </c>
      <c r="BH47" s="2180">
        <f t="shared" si="130"/>
        <v>42.976009060955512</v>
      </c>
      <c r="BI47" s="2180">
        <f t="shared" si="130"/>
        <v>41.520278962692124</v>
      </c>
      <c r="BJ47" s="2180">
        <f t="shared" si="130"/>
        <v>40.594184071150195</v>
      </c>
      <c r="BK47" s="2179">
        <f t="shared" si="130"/>
        <v>39.004240717361043</v>
      </c>
      <c r="BL47" s="2180">
        <f t="shared" si="130"/>
        <v>38.914135661857756</v>
      </c>
      <c r="BM47" s="2180">
        <f t="shared" si="130"/>
        <v>39.89673742876824</v>
      </c>
      <c r="BN47" s="2180">
        <f t="shared" si="130"/>
        <v>40.778655269596456</v>
      </c>
      <c r="BO47" s="2179">
        <f t="shared" si="130"/>
        <v>37.89397133865004</v>
      </c>
      <c r="BP47" s="2180">
        <f>+BL47*(1+BP48)</f>
        <v>38.719564983548466</v>
      </c>
      <c r="BQ47" s="2180">
        <f>+BM47*(1+BQ48)</f>
        <v>39.976530903625779</v>
      </c>
      <c r="BR47" s="2178">
        <f>+BN47*(1+BR48)</f>
        <v>40.860212580135652</v>
      </c>
      <c r="BS47" s="2180">
        <f>+BO47*(1+BS48)</f>
        <v>37.969759281327342</v>
      </c>
      <c r="BT47" s="2180">
        <f>+BP47*(1+BT48)</f>
        <v>39.493956283219433</v>
      </c>
      <c r="BU47" s="2180">
        <f t="shared" ref="BU47:CC47" si="131">+BQ47*(1+BU48)</f>
        <v>40.776061521698296</v>
      </c>
      <c r="BV47" s="2180">
        <f t="shared" si="131"/>
        <v>41.677416831738363</v>
      </c>
      <c r="BW47" s="2179">
        <f t="shared" si="131"/>
        <v>38.729154466953887</v>
      </c>
      <c r="BX47" s="2180">
        <f t="shared" si="131"/>
        <v>40.283835408883824</v>
      </c>
      <c r="BY47" s="2180">
        <f t="shared" si="131"/>
        <v>41.591582752132261</v>
      </c>
      <c r="BZ47" s="2178">
        <f t="shared" si="131"/>
        <v>42.510965168373133</v>
      </c>
      <c r="CA47" s="2179">
        <f t="shared" si="131"/>
        <v>39.503737556292968</v>
      </c>
      <c r="CB47" s="2180">
        <f t="shared" si="131"/>
        <v>41.089512117061503</v>
      </c>
      <c r="CC47" s="2180">
        <f t="shared" si="131"/>
        <v>42.42341440717491</v>
      </c>
      <c r="CD47" s="2178">
        <f>+BZ47*(1+CD48)</f>
        <v>43.361184471740593</v>
      </c>
      <c r="CE47" s="2180">
        <f>+CA47*(1+CE48)</f>
        <v>40.293812307418825</v>
      </c>
      <c r="CF47" s="2180">
        <f>+CB47*(1+CF48)</f>
        <v>41.911302359402733</v>
      </c>
      <c r="CG47" s="2180">
        <f>+CC47*(1+CG48)</f>
        <v>43.271882695318411</v>
      </c>
      <c r="CH47" s="2178">
        <f t="shared" ref="CH47:CM47" si="132">+CD47*(1+CH48)</f>
        <v>44.228408161175409</v>
      </c>
      <c r="CI47" s="2180">
        <f t="shared" si="132"/>
        <v>41.099688553567205</v>
      </c>
      <c r="CJ47" s="2180">
        <f t="shared" si="132"/>
        <v>42.749528406590791</v>
      </c>
      <c r="CK47" s="2180">
        <f t="shared" si="132"/>
        <v>44.13732034922478</v>
      </c>
      <c r="CL47" s="2178">
        <f t="shared" si="132"/>
        <v>45.112976324398915</v>
      </c>
      <c r="CM47" s="2180">
        <f t="shared" si="132"/>
        <v>41.921682324638553</v>
      </c>
      <c r="CN47" s="2180">
        <f>+CJ47*(1+CN48)</f>
        <v>43.604518974722609</v>
      </c>
      <c r="CO47" s="2180">
        <f>+CK47*(1+CO48)</f>
        <v>45.020066756209275</v>
      </c>
      <c r="CP47" s="2178">
        <f t="shared" ref="CP47" si="133">+CL47*(1+CP48)</f>
        <v>46.015235850886896</v>
      </c>
      <c r="CQ47" s="2180">
        <f>+CM47*(1+CQ48)</f>
        <v>42.760115971131327</v>
      </c>
      <c r="CR47" s="2180">
        <f>+CN47*(1+CR48)</f>
        <v>44.476609354217061</v>
      </c>
      <c r="CS47" s="2180">
        <f>+CO47*(1+CS48)</f>
        <v>45.920468091333461</v>
      </c>
      <c r="CT47" s="2178">
        <f>+CP47*(1+CT48)</f>
        <v>46.935540567904631</v>
      </c>
    </row>
    <row r="48" spans="1:98" s="2140" customFormat="1" hidden="1" outlineLevel="2">
      <c r="A48" s="2155" t="s">
        <v>775</v>
      </c>
      <c r="B48" s="2167"/>
      <c r="C48" s="2167"/>
      <c r="D48" s="2156"/>
      <c r="E48" s="2156"/>
      <c r="F48" s="2156"/>
      <c r="G48" s="2152">
        <f t="shared" ref="G48:O48" si="134">+G47/F47-1</f>
        <v>-0.44339300783436664</v>
      </c>
      <c r="H48" s="2152">
        <f t="shared" si="134"/>
        <v>2.2248816258376403</v>
      </c>
      <c r="I48" s="2152">
        <f t="shared" si="134"/>
        <v>-8.2491797032754666E-2</v>
      </c>
      <c r="J48" s="2152">
        <f t="shared" si="134"/>
        <v>0.23862286899155238</v>
      </c>
      <c r="K48" s="2152">
        <f t="shared" si="134"/>
        <v>-9.5062255126443618E-2</v>
      </c>
      <c r="L48" s="2152">
        <f t="shared" si="134"/>
        <v>-4.9771033972856427E-2</v>
      </c>
      <c r="M48" s="2152">
        <f t="shared" si="134"/>
        <v>-1.6790556979963789E-2</v>
      </c>
      <c r="N48" s="2152">
        <f t="shared" si="134"/>
        <v>1.7849195428468967E-2</v>
      </c>
      <c r="O48" s="2152">
        <f t="shared" si="134"/>
        <v>-1.6308325818548797E-2</v>
      </c>
      <c r="P48" s="2152">
        <v>0.04</v>
      </c>
      <c r="Q48" s="2152">
        <v>0.04</v>
      </c>
      <c r="R48" s="2152">
        <v>0.04</v>
      </c>
      <c r="S48" s="2152">
        <v>0.04</v>
      </c>
      <c r="T48" s="2152">
        <v>0.04</v>
      </c>
      <c r="U48" s="2152">
        <v>0.04</v>
      </c>
      <c r="V48" s="2152">
        <v>0.04</v>
      </c>
      <c r="W48" s="2152">
        <v>0.04</v>
      </c>
      <c r="X48" s="2152">
        <v>0.04</v>
      </c>
      <c r="Y48" s="2152">
        <v>0.04</v>
      </c>
      <c r="Z48" s="2152">
        <v>0.04</v>
      </c>
      <c r="AA48" s="2152">
        <v>0.04</v>
      </c>
      <c r="AB48" s="2152">
        <v>0.04</v>
      </c>
      <c r="AC48" s="2152">
        <v>0.04</v>
      </c>
      <c r="AD48" s="2152">
        <v>0.04</v>
      </c>
      <c r="AE48" s="2152">
        <v>0.04</v>
      </c>
      <c r="AF48" s="2152">
        <v>0.04</v>
      </c>
      <c r="AG48" s="3920"/>
      <c r="AH48" s="2763"/>
      <c r="AI48" s="2155"/>
      <c r="AJ48" s="2156"/>
      <c r="AK48" s="2156"/>
      <c r="AL48" s="2157"/>
      <c r="AM48" s="2175"/>
      <c r="AN48" s="2156"/>
      <c r="AO48" s="2156"/>
      <c r="AP48" s="2154"/>
      <c r="AQ48" s="2152">
        <f t="shared" ref="AQ48:BO48" si="135">AQ47/AM47-1</f>
        <v>-0.5688814401677087</v>
      </c>
      <c r="AR48" s="2152">
        <f t="shared" si="135"/>
        <v>-0.33486379131146282</v>
      </c>
      <c r="AS48" s="2152">
        <f t="shared" si="135"/>
        <v>-0.21753339978727126</v>
      </c>
      <c r="AT48" s="2154">
        <f t="shared" si="135"/>
        <v>-0.26475485705909008</v>
      </c>
      <c r="AU48" s="2152">
        <f t="shared" si="135"/>
        <v>2.3441335849204972</v>
      </c>
      <c r="AV48" s="2152">
        <f t="shared" si="135"/>
        <v>2.218135959338726</v>
      </c>
      <c r="AW48" s="2152">
        <f t="shared" si="135"/>
        <v>1.888242843597661</v>
      </c>
      <c r="AX48" s="2154">
        <f t="shared" si="135"/>
        <v>2.2789209236072856</v>
      </c>
      <c r="AY48" s="2152">
        <f t="shared" si="135"/>
        <v>-0.16688496291756771</v>
      </c>
      <c r="AZ48" s="2152">
        <f t="shared" si="135"/>
        <v>-9.5345370950666419E-2</v>
      </c>
      <c r="BA48" s="2152">
        <f t="shared" si="135"/>
        <v>-1.9916011628043351E-2</v>
      </c>
      <c r="BB48" s="2154">
        <f t="shared" si="135"/>
        <v>-1.8903600574046608E-2</v>
      </c>
      <c r="BC48" s="2152">
        <f t="shared" si="135"/>
        <v>0.20333417602693715</v>
      </c>
      <c r="BD48" s="2152">
        <f t="shared" si="135"/>
        <v>0.21461712851132231</v>
      </c>
      <c r="BE48" s="2152">
        <f t="shared" si="135"/>
        <v>0.19190976014586236</v>
      </c>
      <c r="BF48" s="2154">
        <f t="shared" si="135"/>
        <v>0.26537690877884645</v>
      </c>
      <c r="BG48" s="2152">
        <f t="shared" si="135"/>
        <v>-4.3336109063477846E-2</v>
      </c>
      <c r="BH48" s="2152">
        <f t="shared" si="135"/>
        <v>-6.3597170851500517E-2</v>
      </c>
      <c r="BI48" s="2152">
        <f t="shared" si="135"/>
        <v>-0.11557550121341431</v>
      </c>
      <c r="BJ48" s="2152">
        <f t="shared" si="135"/>
        <v>-0.12923170247436477</v>
      </c>
      <c r="BK48" s="2158">
        <f t="shared" si="135"/>
        <v>-9.9301623239521852E-2</v>
      </c>
      <c r="BL48" s="2152">
        <f t="shared" si="135"/>
        <v>-9.4514904660796928E-2</v>
      </c>
      <c r="BM48" s="2152">
        <f t="shared" si="135"/>
        <v>-3.9102375381020682E-2</v>
      </c>
      <c r="BN48" s="2152">
        <f t="shared" si="135"/>
        <v>4.5442765427414766E-3</v>
      </c>
      <c r="BO48" s="2158">
        <f t="shared" si="135"/>
        <v>-2.8465350389882516E-2</v>
      </c>
      <c r="BP48" s="2152">
        <v>-5.0000000000000001E-3</v>
      </c>
      <c r="BQ48" s="2152">
        <v>2E-3</v>
      </c>
      <c r="BR48" s="2154">
        <v>2E-3</v>
      </c>
      <c r="BS48" s="2152">
        <v>2E-3</v>
      </c>
      <c r="BT48" s="2152">
        <v>0.02</v>
      </c>
      <c r="BU48" s="2152">
        <v>0.02</v>
      </c>
      <c r="BV48" s="2152">
        <v>0.02</v>
      </c>
      <c r="BW48" s="2158">
        <v>0.02</v>
      </c>
      <c r="BX48" s="2152">
        <v>0.02</v>
      </c>
      <c r="BY48" s="2152">
        <v>0.02</v>
      </c>
      <c r="BZ48" s="2154">
        <v>0.02</v>
      </c>
      <c r="CA48" s="2158">
        <v>0.02</v>
      </c>
      <c r="CB48" s="2152">
        <v>0.02</v>
      </c>
      <c r="CC48" s="2152">
        <v>0.02</v>
      </c>
      <c r="CD48" s="2154">
        <v>0.02</v>
      </c>
      <c r="CE48" s="2152">
        <v>0.02</v>
      </c>
      <c r="CF48" s="2152">
        <v>0.02</v>
      </c>
      <c r="CG48" s="2152">
        <v>0.02</v>
      </c>
      <c r="CH48" s="2154">
        <v>0.02</v>
      </c>
      <c r="CI48" s="2152">
        <v>0.02</v>
      </c>
      <c r="CJ48" s="2152">
        <v>0.02</v>
      </c>
      <c r="CK48" s="2152">
        <v>0.02</v>
      </c>
      <c r="CL48" s="2154">
        <v>0.02</v>
      </c>
      <c r="CM48" s="2152">
        <v>0.02</v>
      </c>
      <c r="CN48" s="2152">
        <v>0.02</v>
      </c>
      <c r="CO48" s="2152">
        <v>0.02</v>
      </c>
      <c r="CP48" s="2154">
        <v>0.02</v>
      </c>
      <c r="CQ48" s="2152">
        <v>0.02</v>
      </c>
      <c r="CR48" s="2152">
        <v>0.02</v>
      </c>
      <c r="CS48" s="2152">
        <v>0.02</v>
      </c>
      <c r="CT48" s="2154">
        <v>0.02</v>
      </c>
    </row>
    <row r="49" spans="1:98" s="2140" customFormat="1" hidden="1" outlineLevel="2">
      <c r="A49" s="2155" t="s">
        <v>491</v>
      </c>
      <c r="B49" s="2167"/>
      <c r="C49" s="2167"/>
      <c r="D49" s="2156"/>
      <c r="E49" s="2156"/>
      <c r="F49" s="2156"/>
      <c r="G49" s="2156"/>
      <c r="H49" s="2156"/>
      <c r="I49" s="2156"/>
      <c r="J49" s="2156"/>
      <c r="K49" s="2156"/>
      <c r="L49" s="2156"/>
      <c r="M49" s="2156"/>
      <c r="N49" s="2156"/>
      <c r="O49" s="2156"/>
      <c r="P49" s="2156"/>
      <c r="Q49" s="2156"/>
      <c r="R49" s="2156"/>
      <c r="S49" s="2156"/>
      <c r="T49" s="2156"/>
      <c r="U49" s="2156"/>
      <c r="V49" s="2156"/>
      <c r="W49" s="2156"/>
      <c r="X49" s="2156"/>
      <c r="Y49" s="2156"/>
      <c r="Z49" s="2156"/>
      <c r="AA49" s="2156"/>
      <c r="AB49" s="2156"/>
      <c r="AC49" s="2156"/>
      <c r="AD49" s="2156"/>
      <c r="AE49" s="2156"/>
      <c r="AF49" s="2156"/>
      <c r="AG49" s="3920"/>
      <c r="AH49" s="2763"/>
      <c r="AI49" s="2155"/>
      <c r="AJ49" s="2156"/>
      <c r="AK49" s="2156"/>
      <c r="AL49" s="2157"/>
      <c r="AM49" s="2181"/>
      <c r="AN49" s="2152">
        <f t="shared" ref="AN49:BO49" si="136">+AN47/AM47-1</f>
        <v>-0.37694745927728335</v>
      </c>
      <c r="AO49" s="2152">
        <f t="shared" si="136"/>
        <v>-8.8687896901853303E-2</v>
      </c>
      <c r="AP49" s="2154">
        <f t="shared" si="136"/>
        <v>-0.12406233824569368</v>
      </c>
      <c r="AQ49" s="2152">
        <f t="shared" si="136"/>
        <v>-0.13317443635126691</v>
      </c>
      <c r="AR49" s="2152">
        <f t="shared" si="136"/>
        <v>-3.8745154207049493E-2</v>
      </c>
      <c r="AS49" s="2152">
        <f t="shared" si="136"/>
        <v>7.206805723281251E-2</v>
      </c>
      <c r="AT49" s="2154">
        <f t="shared" si="136"/>
        <v>-0.1769247260537643</v>
      </c>
      <c r="AU49" s="2152">
        <f t="shared" si="136"/>
        <v>2.9426040518547669</v>
      </c>
      <c r="AV49" s="2152">
        <f t="shared" si="136"/>
        <v>-7.4962555537852804E-2</v>
      </c>
      <c r="AW49" s="2152">
        <f t="shared" si="136"/>
        <v>-3.7830305097309669E-2</v>
      </c>
      <c r="AX49" s="2154">
        <f t="shared" si="136"/>
        <v>-6.559147426660783E-2</v>
      </c>
      <c r="AY49" s="2152">
        <f t="shared" si="136"/>
        <v>1.7450244724874775E-3</v>
      </c>
      <c r="AZ49" s="2152">
        <f t="shared" si="136"/>
        <v>4.4704139625877382E-3</v>
      </c>
      <c r="BA49" s="2152">
        <f t="shared" si="136"/>
        <v>4.23946131374211E-2</v>
      </c>
      <c r="BB49" s="2154">
        <f t="shared" si="136"/>
        <v>-6.4626245233560642E-2</v>
      </c>
      <c r="BC49" s="2152">
        <f t="shared" si="136"/>
        <v>0.22866012383491863</v>
      </c>
      <c r="BD49" s="2152">
        <f t="shared" si="136"/>
        <v>1.3888738629581177E-2</v>
      </c>
      <c r="BE49" s="2152">
        <f t="shared" si="136"/>
        <v>2.2906959038805352E-2</v>
      </c>
      <c r="BF49" s="2154">
        <f t="shared" si="136"/>
        <v>-6.971509139773846E-3</v>
      </c>
      <c r="BG49" s="2152">
        <f t="shared" si="136"/>
        <v>-7.1095128612076675E-2</v>
      </c>
      <c r="BH49" s="2152">
        <f t="shared" si="136"/>
        <v>-7.584280864699533E-3</v>
      </c>
      <c r="BI49" s="2152">
        <f t="shared" si="136"/>
        <v>-3.3873087103054034E-2</v>
      </c>
      <c r="BJ49" s="2152">
        <f t="shared" si="136"/>
        <v>-2.2304640399311126E-2</v>
      </c>
      <c r="BK49" s="2158">
        <f t="shared" si="136"/>
        <v>-3.916677696988391E-2</v>
      </c>
      <c r="BL49" s="2152">
        <f t="shared" si="136"/>
        <v>-2.3101348429320767E-3</v>
      </c>
      <c r="BM49" s="2152">
        <f t="shared" si="136"/>
        <v>2.5250509877663641E-2</v>
      </c>
      <c r="BN49" s="2152">
        <f t="shared" si="136"/>
        <v>2.2105011528894991E-2</v>
      </c>
      <c r="BO49" s="2158">
        <f t="shared" si="136"/>
        <v>-7.0740045542825092E-2</v>
      </c>
      <c r="BP49" s="2152">
        <f>+BP47/BO47-1</f>
        <v>2.1786939075882916E-2</v>
      </c>
      <c r="BQ49" s="2152">
        <f>+BQ47/BP47-1</f>
        <v>3.2463327535094511E-2</v>
      </c>
      <c r="BR49" s="2154">
        <f>+BR47/BQ47-1</f>
        <v>2.2105011528894991E-2</v>
      </c>
      <c r="BS49" s="2152">
        <f>+BS47/BR47-1</f>
        <v>-7.0740045542825092E-2</v>
      </c>
      <c r="BT49" s="2152">
        <f>+BT47/BS47-1</f>
        <v>4.0142393071258109E-2</v>
      </c>
      <c r="BU49" s="2152">
        <f t="shared" ref="BU49:CC49" si="137">+BU47/BT47-1</f>
        <v>3.2463327535094733E-2</v>
      </c>
      <c r="BV49" s="2152">
        <f t="shared" si="137"/>
        <v>2.2105011528894769E-2</v>
      </c>
      <c r="BW49" s="2158">
        <f t="shared" si="137"/>
        <v>-7.0740045542825092E-2</v>
      </c>
      <c r="BX49" s="2152">
        <f t="shared" si="137"/>
        <v>4.0142393071258109E-2</v>
      </c>
      <c r="BY49" s="2152">
        <f t="shared" si="137"/>
        <v>3.2463327535094511E-2</v>
      </c>
      <c r="BZ49" s="2154">
        <f t="shared" si="137"/>
        <v>2.2105011528894991E-2</v>
      </c>
      <c r="CA49" s="2158">
        <f t="shared" si="137"/>
        <v>-7.0740045542825092E-2</v>
      </c>
      <c r="CB49" s="2152">
        <f t="shared" si="137"/>
        <v>4.0142393071258109E-2</v>
      </c>
      <c r="CC49" s="2152">
        <f t="shared" si="137"/>
        <v>3.2463327535094733E-2</v>
      </c>
      <c r="CD49" s="2154">
        <f>+CD47/CC47-1</f>
        <v>2.2105011528894769E-2</v>
      </c>
      <c r="CE49" s="2152">
        <f>+CE47/CD47-1</f>
        <v>-7.0740045542825092E-2</v>
      </c>
      <c r="CF49" s="2152">
        <f>+CF47/CE47-1</f>
        <v>4.0142393071258109E-2</v>
      </c>
      <c r="CG49" s="2152">
        <f>+CG47/CF47-1</f>
        <v>3.2463327535094733E-2</v>
      </c>
      <c r="CH49" s="2154">
        <f t="shared" ref="CH49:CM49" si="138">+CH47/CG47-1</f>
        <v>2.2105011528894769E-2</v>
      </c>
      <c r="CI49" s="2152">
        <f t="shared" si="138"/>
        <v>-7.0740045542825092E-2</v>
      </c>
      <c r="CJ49" s="2152">
        <f t="shared" si="138"/>
        <v>4.0142393071258109E-2</v>
      </c>
      <c r="CK49" s="2152">
        <f t="shared" si="138"/>
        <v>3.2463327535094733E-2</v>
      </c>
      <c r="CL49" s="2154">
        <f t="shared" si="138"/>
        <v>2.2105011528894769E-2</v>
      </c>
      <c r="CM49" s="2152">
        <f t="shared" si="138"/>
        <v>-7.074004554282487E-2</v>
      </c>
      <c r="CN49" s="2152">
        <f>+CN47/CM47-1</f>
        <v>4.0142393071258109E-2</v>
      </c>
      <c r="CO49" s="2152">
        <f>+CO47/CN47-1</f>
        <v>3.2463327535094511E-2</v>
      </c>
      <c r="CP49" s="2154">
        <f t="shared" ref="CP49" si="139">+CP47/CO47-1</f>
        <v>2.2105011528894769E-2</v>
      </c>
      <c r="CQ49" s="2152">
        <f>+CQ47/CP47-1</f>
        <v>-7.074004554282487E-2</v>
      </c>
      <c r="CR49" s="2152">
        <f>+CR47/CQ47-1</f>
        <v>4.0142393071258109E-2</v>
      </c>
      <c r="CS49" s="2152">
        <f>+CS47/CR47-1</f>
        <v>3.2463327535094511E-2</v>
      </c>
      <c r="CT49" s="2154">
        <f>+CT47/CS47-1</f>
        <v>2.2105011528894769E-2</v>
      </c>
    </row>
    <row r="50" spans="1:98" hidden="1" outlineLevel="2" collapsed="1">
      <c r="A50" s="733" t="s">
        <v>651</v>
      </c>
      <c r="B50" s="558"/>
      <c r="C50" s="558"/>
      <c r="D50" s="558"/>
      <c r="E50" s="558"/>
      <c r="F50" s="558"/>
      <c r="G50" s="558"/>
      <c r="H50" s="558"/>
      <c r="I50" s="558"/>
      <c r="J50" s="558"/>
      <c r="K50" s="558"/>
      <c r="L50" s="558"/>
      <c r="M50" s="558"/>
      <c r="N50" s="558"/>
      <c r="O50" s="558"/>
      <c r="P50" s="558"/>
      <c r="Q50" s="558"/>
      <c r="R50" s="558"/>
      <c r="S50" s="558"/>
      <c r="T50" s="558"/>
      <c r="U50" s="558"/>
      <c r="V50" s="558"/>
      <c r="W50" s="558"/>
      <c r="X50" s="558"/>
      <c r="Y50" s="558"/>
      <c r="Z50" s="558"/>
      <c r="AA50" s="558"/>
      <c r="AB50" s="558"/>
      <c r="AC50" s="558"/>
      <c r="AD50" s="558"/>
      <c r="AE50" s="558"/>
      <c r="AF50" s="558"/>
      <c r="AG50" s="3920"/>
      <c r="AH50" s="3904"/>
      <c r="AI50" s="560"/>
      <c r="AJ50" s="558"/>
      <c r="AK50" s="558"/>
      <c r="AL50" s="559"/>
      <c r="AM50" s="560"/>
      <c r="AN50" s="558"/>
      <c r="AO50" s="558"/>
      <c r="AP50" s="559"/>
      <c r="AQ50" s="558"/>
      <c r="AR50" s="558"/>
      <c r="AS50" s="558"/>
      <c r="AT50" s="559"/>
      <c r="AU50" s="558"/>
      <c r="AV50" s="558"/>
      <c r="AW50" s="558"/>
      <c r="AX50" s="559"/>
      <c r="AY50" s="558"/>
      <c r="AZ50" s="558"/>
      <c r="BA50" s="558"/>
      <c r="BB50" s="559"/>
      <c r="BC50" s="4096" t="s">
        <v>492</v>
      </c>
      <c r="BD50" s="558"/>
      <c r="BE50" s="558"/>
      <c r="BF50" s="559"/>
      <c r="BG50" s="558"/>
      <c r="BH50" s="558"/>
      <c r="BI50" s="558"/>
      <c r="BJ50" s="558"/>
      <c r="BK50" s="560"/>
      <c r="BL50" s="558"/>
      <c r="BM50" s="558"/>
      <c r="BN50" s="558"/>
      <c r="BO50" s="560"/>
      <c r="BP50" s="558"/>
      <c r="BQ50" s="558"/>
      <c r="BR50" s="559"/>
      <c r="BS50" s="558"/>
      <c r="BT50" s="558"/>
      <c r="BU50" s="558"/>
      <c r="BV50" s="558"/>
      <c r="BW50" s="560"/>
      <c r="BX50" s="558"/>
      <c r="BY50" s="558"/>
      <c r="BZ50" s="559"/>
      <c r="CA50" s="560"/>
      <c r="CB50" s="558"/>
      <c r="CC50" s="558"/>
      <c r="CD50" s="559"/>
      <c r="CE50" s="558"/>
      <c r="CF50" s="558"/>
      <c r="CG50" s="558"/>
      <c r="CH50" s="559"/>
      <c r="CI50" s="558"/>
      <c r="CJ50" s="558"/>
      <c r="CK50" s="558"/>
      <c r="CL50" s="559"/>
      <c r="CM50" s="558"/>
      <c r="CN50" s="558"/>
      <c r="CO50" s="558"/>
      <c r="CP50" s="559"/>
      <c r="CQ50" s="558"/>
      <c r="CR50" s="558"/>
      <c r="CS50" s="558"/>
      <c r="CT50" s="559"/>
    </row>
    <row r="51" spans="1:98" hidden="1" outlineLevel="2">
      <c r="A51" s="768" t="s">
        <v>652</v>
      </c>
      <c r="B51" s="427"/>
      <c r="C51" s="427"/>
      <c r="D51" s="271"/>
      <c r="E51" s="271"/>
      <c r="F51" s="271"/>
      <c r="G51" s="271"/>
      <c r="H51" s="271"/>
      <c r="I51" s="271"/>
      <c r="J51" s="271">
        <f>+BF51</f>
        <v>814000</v>
      </c>
      <c r="K51" s="271">
        <f>+BJ51</f>
        <v>940000</v>
      </c>
      <c r="L51" s="405">
        <f>BN51</f>
        <v>1003000</v>
      </c>
      <c r="M51" s="271">
        <f>+BR51</f>
        <v>1800000</v>
      </c>
      <c r="N51" s="271">
        <f>+BV51</f>
        <v>1920000</v>
      </c>
      <c r="O51" s="405">
        <f>+BZ51</f>
        <v>2010000</v>
      </c>
      <c r="P51" s="405">
        <f>CD51</f>
        <v>2135000</v>
      </c>
      <c r="Q51" s="405">
        <f>CH51</f>
        <v>2275000</v>
      </c>
      <c r="R51" s="405">
        <f>CL51</f>
        <v>2307000</v>
      </c>
      <c r="S51" s="405">
        <f>CP51</f>
        <v>2137200</v>
      </c>
      <c r="T51" s="405">
        <f>CT51</f>
        <v>2026200</v>
      </c>
      <c r="U51" s="271">
        <f t="shared" ref="U51:AF51" si="140">+T51+U53</f>
        <v>2136200</v>
      </c>
      <c r="V51" s="271">
        <f t="shared" si="140"/>
        <v>2246200</v>
      </c>
      <c r="W51" s="271">
        <f t="shared" si="140"/>
        <v>2356200</v>
      </c>
      <c r="X51" s="271">
        <f t="shared" si="140"/>
        <v>2466200</v>
      </c>
      <c r="Y51" s="271">
        <f t="shared" si="140"/>
        <v>2576200</v>
      </c>
      <c r="Z51" s="271">
        <f t="shared" si="140"/>
        <v>2686200</v>
      </c>
      <c r="AA51" s="271">
        <f t="shared" si="140"/>
        <v>2796200</v>
      </c>
      <c r="AB51" s="271">
        <f t="shared" si="140"/>
        <v>2906200</v>
      </c>
      <c r="AC51" s="271">
        <f t="shared" si="140"/>
        <v>3016200</v>
      </c>
      <c r="AD51" s="271">
        <f t="shared" si="140"/>
        <v>3126200</v>
      </c>
      <c r="AE51" s="271">
        <f t="shared" si="140"/>
        <v>3236200</v>
      </c>
      <c r="AF51" s="271">
        <f t="shared" si="140"/>
        <v>3346200</v>
      </c>
      <c r="AG51" s="3920"/>
      <c r="AH51" s="2761"/>
      <c r="AI51" s="768"/>
      <c r="AJ51" s="271"/>
      <c r="AK51" s="271"/>
      <c r="AL51" s="223">
        <f>INPUTS_2!B123</f>
        <v>0</v>
      </c>
      <c r="AM51" s="271">
        <f>INPUTS_2!C123</f>
        <v>0</v>
      </c>
      <c r="AN51" s="271">
        <f>INPUTS_2!D123</f>
        <v>0</v>
      </c>
      <c r="AO51" s="271">
        <f>INPUTS_2!E123</f>
        <v>0</v>
      </c>
      <c r="AP51" s="223">
        <f>INPUTS_2!F123</f>
        <v>0</v>
      </c>
      <c r="AQ51" s="271">
        <f>INPUTS_2!G123</f>
        <v>0</v>
      </c>
      <c r="AR51" s="271">
        <f>INPUTS_2!H123</f>
        <v>0</v>
      </c>
      <c r="AS51" s="271">
        <f>INPUTS_2!I123</f>
        <v>0</v>
      </c>
      <c r="AT51" s="223">
        <f>INPUTS_2!J123</f>
        <v>0</v>
      </c>
      <c r="AU51" s="271">
        <f>INPUTS_2!K123</f>
        <v>210000</v>
      </c>
      <c r="AV51" s="271">
        <f>INPUTS_2!L123</f>
        <v>249000</v>
      </c>
      <c r="AW51" s="271">
        <f>INPUTS_2!M123</f>
        <v>338000</v>
      </c>
      <c r="AX51" s="223">
        <f>INPUTS_2!N123</f>
        <v>411000</v>
      </c>
      <c r="AY51" s="271">
        <f>INPUTS_2!O123</f>
        <v>482000</v>
      </c>
      <c r="AZ51" s="271">
        <f>INPUTS_2!P123</f>
        <v>553000</v>
      </c>
      <c r="BA51" s="271">
        <f>INPUTS_2!Q123</f>
        <v>593000</v>
      </c>
      <c r="BB51" s="223">
        <f>INPUTS_2!R123</f>
        <v>652000</v>
      </c>
      <c r="BC51" s="271">
        <f>INPUTS_2!S123</f>
        <v>697000</v>
      </c>
      <c r="BD51" s="271">
        <f>INPUTS_2!T123</f>
        <v>716000</v>
      </c>
      <c r="BE51" s="271">
        <f>INPUTS_2!U123</f>
        <v>756000</v>
      </c>
      <c r="BF51" s="223">
        <f>INPUTS_2!V123</f>
        <v>814000</v>
      </c>
      <c r="BG51" s="271">
        <f>INPUTS_2!W123</f>
        <v>839000</v>
      </c>
      <c r="BH51" s="271">
        <f>INPUTS_2!X123</f>
        <v>857000</v>
      </c>
      <c r="BI51" s="271">
        <f>INPUTS_2!Y123</f>
        <v>900000</v>
      </c>
      <c r="BJ51" s="271">
        <f>INPUTS_2!Z123</f>
        <v>940000</v>
      </c>
      <c r="BK51" s="940">
        <f>INPUTS_2!AA123</f>
        <v>951000</v>
      </c>
      <c r="BL51" s="271">
        <f>INPUTS_2!AB123</f>
        <v>951000</v>
      </c>
      <c r="BM51" s="271">
        <f>INPUTS_2!AC123</f>
        <v>963000</v>
      </c>
      <c r="BN51" s="271">
        <f>INPUTS_2!AD123</f>
        <v>1003000</v>
      </c>
      <c r="BO51" s="940">
        <f t="shared" ref="BO51:CD51" si="141">+BN51+BO53</f>
        <v>1685300</v>
      </c>
      <c r="BP51" s="271">
        <f t="shared" si="141"/>
        <v>1700000</v>
      </c>
      <c r="BQ51" s="271">
        <f t="shared" si="141"/>
        <v>1750000</v>
      </c>
      <c r="BR51" s="223">
        <f t="shared" si="141"/>
        <v>1800000</v>
      </c>
      <c r="BS51" s="271">
        <f t="shared" si="141"/>
        <v>1850000</v>
      </c>
      <c r="BT51" s="271">
        <f t="shared" si="141"/>
        <v>1880000</v>
      </c>
      <c r="BU51" s="271">
        <f t="shared" si="141"/>
        <v>1900000</v>
      </c>
      <c r="BV51" s="271">
        <f t="shared" si="141"/>
        <v>1920000</v>
      </c>
      <c r="BW51" s="940">
        <f t="shared" si="141"/>
        <v>1940000</v>
      </c>
      <c r="BX51" s="271">
        <f t="shared" si="141"/>
        <v>1960000</v>
      </c>
      <c r="BY51" s="271">
        <f t="shared" si="141"/>
        <v>1980000</v>
      </c>
      <c r="BZ51" s="223">
        <f t="shared" si="141"/>
        <v>2010000</v>
      </c>
      <c r="CA51" s="940">
        <f>+BZ51+CA53</f>
        <v>2040000</v>
      </c>
      <c r="CB51" s="271">
        <f>+CA51+CB53</f>
        <v>2070000</v>
      </c>
      <c r="CC51" s="271">
        <f>+CB51+CC53</f>
        <v>2100000</v>
      </c>
      <c r="CD51" s="223">
        <f t="shared" si="141"/>
        <v>2135000</v>
      </c>
      <c r="CE51" s="271">
        <f t="shared" ref="CE51:CM51" si="142">+CD51+CE53</f>
        <v>2170000</v>
      </c>
      <c r="CF51" s="271">
        <f t="shared" si="142"/>
        <v>2205000</v>
      </c>
      <c r="CG51" s="271">
        <f t="shared" si="142"/>
        <v>2240000</v>
      </c>
      <c r="CH51" s="223">
        <f t="shared" si="142"/>
        <v>2275000</v>
      </c>
      <c r="CI51" s="271">
        <f t="shared" si="142"/>
        <v>2288600</v>
      </c>
      <c r="CJ51" s="271">
        <f t="shared" si="142"/>
        <v>2295800</v>
      </c>
      <c r="CK51" s="271">
        <f t="shared" si="142"/>
        <v>2301400</v>
      </c>
      <c r="CL51" s="223">
        <f t="shared" si="142"/>
        <v>2307000</v>
      </c>
      <c r="CM51" s="271">
        <f t="shared" si="142"/>
        <v>2307000</v>
      </c>
      <c r="CN51" s="271">
        <f>+CM51+CN53</f>
        <v>2260800</v>
      </c>
      <c r="CO51" s="271">
        <f>+CN51+CO53</f>
        <v>2200200</v>
      </c>
      <c r="CP51" s="223">
        <f t="shared" ref="CP51" si="143">+CO51+CP53</f>
        <v>2137200</v>
      </c>
      <c r="CQ51" s="271">
        <f>+CP51+CQ53</f>
        <v>2113200</v>
      </c>
      <c r="CR51" s="271">
        <f>+CQ51+CR53</f>
        <v>2068200</v>
      </c>
      <c r="CS51" s="271">
        <f>+CR51+CS53</f>
        <v>2038200</v>
      </c>
      <c r="CT51" s="223">
        <f>+CS51+CT53</f>
        <v>2026200</v>
      </c>
    </row>
    <row r="52" spans="1:98" hidden="1" outlineLevel="2">
      <c r="A52" s="591" t="s">
        <v>775</v>
      </c>
      <c r="B52" s="3101"/>
      <c r="C52" s="3101"/>
      <c r="D52" s="984"/>
      <c r="E52" s="984"/>
      <c r="F52" s="988"/>
      <c r="G52" s="988"/>
      <c r="H52" s="988"/>
      <c r="I52" s="988"/>
      <c r="J52" s="988"/>
      <c r="K52" s="988">
        <f t="shared" ref="K52:Q52" si="144">+K51/J51-1</f>
        <v>0.15479115479115468</v>
      </c>
      <c r="L52" s="988">
        <f t="shared" si="144"/>
        <v>6.702127659574475E-2</v>
      </c>
      <c r="M52" s="988">
        <f t="shared" si="144"/>
        <v>0.7946161515453638</v>
      </c>
      <c r="N52" s="988">
        <f t="shared" si="144"/>
        <v>6.6666666666666652E-2</v>
      </c>
      <c r="O52" s="988">
        <f t="shared" si="144"/>
        <v>4.6875E-2</v>
      </c>
      <c r="P52" s="988">
        <f t="shared" si="144"/>
        <v>6.2189054726368154E-2</v>
      </c>
      <c r="Q52" s="988">
        <f t="shared" si="144"/>
        <v>6.5573770491803351E-2</v>
      </c>
      <c r="R52" s="988">
        <f t="shared" ref="R52:W52" si="145">+R51/Q51-1</f>
        <v>1.4065934065934149E-2</v>
      </c>
      <c r="S52" s="988">
        <f>+S51/R51-1</f>
        <v>-7.3602080624187272E-2</v>
      </c>
      <c r="T52" s="988">
        <f>+T51/S51-1</f>
        <v>-5.1937113980909611E-2</v>
      </c>
      <c r="U52" s="988">
        <f t="shared" si="145"/>
        <v>5.4288816503800241E-2</v>
      </c>
      <c r="V52" s="988">
        <f t="shared" si="145"/>
        <v>5.1493305870236927E-2</v>
      </c>
      <c r="W52" s="988">
        <f t="shared" si="145"/>
        <v>4.8971596474045143E-2</v>
      </c>
      <c r="X52" s="988">
        <f t="shared" ref="X52:AF52" si="146">+X51/W51-1</f>
        <v>4.6685340802987918E-2</v>
      </c>
      <c r="Y52" s="988">
        <f t="shared" si="146"/>
        <v>4.4603033006244353E-2</v>
      </c>
      <c r="Z52" s="988">
        <f t="shared" si="146"/>
        <v>4.2698548249359591E-2</v>
      </c>
      <c r="AA52" s="988">
        <f t="shared" si="146"/>
        <v>4.0950040950040956E-2</v>
      </c>
      <c r="AB52" s="988">
        <f t="shared" si="146"/>
        <v>3.933910306845001E-2</v>
      </c>
      <c r="AC52" s="988">
        <f t="shared" si="146"/>
        <v>3.7850113550340625E-2</v>
      </c>
      <c r="AD52" s="988">
        <f t="shared" si="146"/>
        <v>3.6469730123997124E-2</v>
      </c>
      <c r="AE52" s="988">
        <f t="shared" si="146"/>
        <v>3.5186488388458725E-2</v>
      </c>
      <c r="AF52" s="988">
        <f t="shared" si="146"/>
        <v>3.3990482664853827E-2</v>
      </c>
      <c r="AG52" s="3920"/>
      <c r="AH52" s="3904"/>
      <c r="AI52" s="591"/>
      <c r="AJ52" s="984"/>
      <c r="AK52" s="984"/>
      <c r="AL52" s="989"/>
      <c r="AM52" s="990"/>
      <c r="AN52" s="988"/>
      <c r="AO52" s="988"/>
      <c r="AP52" s="989"/>
      <c r="AQ52" s="988"/>
      <c r="AR52" s="988"/>
      <c r="AS52" s="988"/>
      <c r="AT52" s="989"/>
      <c r="AU52" s="988"/>
      <c r="AV52" s="988"/>
      <c r="AW52" s="988"/>
      <c r="AX52" s="989"/>
      <c r="AY52" s="988"/>
      <c r="AZ52" s="988"/>
      <c r="BA52" s="988"/>
      <c r="BB52" s="989"/>
      <c r="BC52" s="988"/>
      <c r="BD52" s="988"/>
      <c r="BE52" s="988"/>
      <c r="BF52" s="989"/>
      <c r="BG52" s="988">
        <f t="shared" ref="BG52:BO52" si="147">BG51/BC51-1</f>
        <v>0.20373027259684351</v>
      </c>
      <c r="BH52" s="988">
        <f t="shared" si="147"/>
        <v>0.19692737430167595</v>
      </c>
      <c r="BI52" s="988">
        <f t="shared" si="147"/>
        <v>0.19047619047619047</v>
      </c>
      <c r="BJ52" s="988">
        <f t="shared" si="147"/>
        <v>0.15479115479115468</v>
      </c>
      <c r="BK52" s="990">
        <f t="shared" si="147"/>
        <v>0.1334922526817639</v>
      </c>
      <c r="BL52" s="988">
        <f t="shared" si="147"/>
        <v>0.10968494749124846</v>
      </c>
      <c r="BM52" s="988">
        <f t="shared" si="147"/>
        <v>7.0000000000000062E-2</v>
      </c>
      <c r="BN52" s="988">
        <f t="shared" si="147"/>
        <v>6.702127659574475E-2</v>
      </c>
      <c r="BO52" s="990">
        <f t="shared" si="147"/>
        <v>0.77213459516298633</v>
      </c>
      <c r="BP52" s="988">
        <f>BP51/BL51-1</f>
        <v>0.78759200841219767</v>
      </c>
      <c r="BQ52" s="988">
        <f>BQ51/BM51-1</f>
        <v>0.81723779854620981</v>
      </c>
      <c r="BR52" s="989">
        <f>BR51/BN51-1</f>
        <v>0.7946161515453638</v>
      </c>
      <c r="BS52" s="988">
        <f>BS51/BO51-1</f>
        <v>9.7727407583219517E-2</v>
      </c>
      <c r="BT52" s="988">
        <f>BT51/BP51-1</f>
        <v>0.10588235294117654</v>
      </c>
      <c r="BU52" s="988">
        <f t="shared" ref="BU52:CC52" si="148">BU51/BQ51-1</f>
        <v>8.5714285714285632E-2</v>
      </c>
      <c r="BV52" s="988">
        <f t="shared" si="148"/>
        <v>6.6666666666666652E-2</v>
      </c>
      <c r="BW52" s="990">
        <f t="shared" si="148"/>
        <v>4.8648648648648596E-2</v>
      </c>
      <c r="BX52" s="988">
        <f t="shared" si="148"/>
        <v>4.2553191489361764E-2</v>
      </c>
      <c r="BY52" s="988">
        <f t="shared" si="148"/>
        <v>4.2105263157894646E-2</v>
      </c>
      <c r="BZ52" s="989">
        <f t="shared" si="148"/>
        <v>4.6875E-2</v>
      </c>
      <c r="CA52" s="990">
        <f t="shared" si="148"/>
        <v>5.1546391752577359E-2</v>
      </c>
      <c r="CB52" s="988">
        <f t="shared" si="148"/>
        <v>5.6122448979591733E-2</v>
      </c>
      <c r="CC52" s="988">
        <f t="shared" si="148"/>
        <v>6.0606060606060552E-2</v>
      </c>
      <c r="CD52" s="989">
        <f>CD51/BZ51-1</f>
        <v>6.2189054726368154E-2</v>
      </c>
      <c r="CE52" s="988">
        <f>CE51/CA51-1</f>
        <v>6.3725490196078427E-2</v>
      </c>
      <c r="CF52" s="988">
        <f>CF51/CB51-1</f>
        <v>6.5217391304347894E-2</v>
      </c>
      <c r="CG52" s="988">
        <f>CG51/CC51-1</f>
        <v>6.6666666666666652E-2</v>
      </c>
      <c r="CH52" s="989">
        <f t="shared" ref="CH52:CM52" si="149">CH51/CD51-1</f>
        <v>6.5573770491803351E-2</v>
      </c>
      <c r="CI52" s="988">
        <f t="shared" si="149"/>
        <v>5.4654377880184235E-2</v>
      </c>
      <c r="CJ52" s="988">
        <f t="shared" si="149"/>
        <v>4.117913832199549E-2</v>
      </c>
      <c r="CK52" s="988">
        <f t="shared" si="149"/>
        <v>2.7410714285714288E-2</v>
      </c>
      <c r="CL52" s="989">
        <f t="shared" si="149"/>
        <v>1.4065934065934149E-2</v>
      </c>
      <c r="CM52" s="988">
        <f t="shared" si="149"/>
        <v>8.039849689766676E-3</v>
      </c>
      <c r="CN52" s="988">
        <f>CN51/CJ51-1</f>
        <v>-1.5245230420768308E-2</v>
      </c>
      <c r="CO52" s="988">
        <f>CO51/CK51-1</f>
        <v>-4.3973233683844648E-2</v>
      </c>
      <c r="CP52" s="989">
        <f t="shared" ref="CP52" si="150">CP51/CL51-1</f>
        <v>-7.3602080624187272E-2</v>
      </c>
      <c r="CQ52" s="988">
        <f>CQ51/CM51-1</f>
        <v>-8.400520156046809E-2</v>
      </c>
      <c r="CR52" s="988">
        <f>CR51/CN51-1</f>
        <v>-8.5191082802547724E-2</v>
      </c>
      <c r="CS52" s="988">
        <f>CS51/CO51-1</f>
        <v>-7.3629670029997318E-2</v>
      </c>
      <c r="CT52" s="989">
        <f>CT51/CP51-1</f>
        <v>-5.1937113980909611E-2</v>
      </c>
    </row>
    <row r="53" spans="1:98" hidden="1" outlineLevel="2">
      <c r="A53" s="591" t="s">
        <v>776</v>
      </c>
      <c r="B53" s="3101"/>
      <c r="C53" s="3101"/>
      <c r="D53" s="984"/>
      <c r="E53" s="984"/>
      <c r="F53" s="984"/>
      <c r="G53" s="984"/>
      <c r="H53" s="984"/>
      <c r="I53" s="984"/>
      <c r="J53" s="984"/>
      <c r="K53" s="984">
        <f t="shared" ref="K53:S53" si="151">K51-J51</f>
        <v>126000</v>
      </c>
      <c r="L53" s="984">
        <f t="shared" si="151"/>
        <v>63000</v>
      </c>
      <c r="M53" s="984">
        <f t="shared" si="151"/>
        <v>797000</v>
      </c>
      <c r="N53" s="984">
        <f t="shared" si="151"/>
        <v>120000</v>
      </c>
      <c r="O53" s="984">
        <f t="shared" si="151"/>
        <v>90000</v>
      </c>
      <c r="P53" s="984">
        <f t="shared" si="151"/>
        <v>125000</v>
      </c>
      <c r="Q53" s="984">
        <f t="shared" si="151"/>
        <v>140000</v>
      </c>
      <c r="R53" s="984">
        <f t="shared" si="151"/>
        <v>32000</v>
      </c>
      <c r="S53" s="984">
        <f t="shared" si="151"/>
        <v>-169800</v>
      </c>
      <c r="T53" s="984">
        <f>T51-S51</f>
        <v>-111000</v>
      </c>
      <c r="U53" s="347">
        <v>110000</v>
      </c>
      <c r="V53" s="347">
        <v>110000</v>
      </c>
      <c r="W53" s="347">
        <v>110000</v>
      </c>
      <c r="X53" s="347">
        <v>110000</v>
      </c>
      <c r="Y53" s="347">
        <v>110000</v>
      </c>
      <c r="Z53" s="347">
        <v>110000</v>
      </c>
      <c r="AA53" s="347">
        <v>110000</v>
      </c>
      <c r="AB53" s="347">
        <v>110000</v>
      </c>
      <c r="AC53" s="347">
        <v>110000</v>
      </c>
      <c r="AD53" s="347">
        <v>110000</v>
      </c>
      <c r="AE53" s="347">
        <v>110000</v>
      </c>
      <c r="AF53" s="347">
        <v>110000</v>
      </c>
      <c r="AG53" s="3920"/>
      <c r="AH53" s="3904"/>
      <c r="AI53" s="591"/>
      <c r="AJ53" s="984"/>
      <c r="AK53" s="984"/>
      <c r="AL53" s="1002"/>
      <c r="AM53" s="986"/>
      <c r="AN53" s="984"/>
      <c r="AO53" s="984"/>
      <c r="AP53" s="1002"/>
      <c r="AQ53" s="984"/>
      <c r="AR53" s="984"/>
      <c r="AS53" s="984"/>
      <c r="AT53" s="1002"/>
      <c r="AU53" s="984"/>
      <c r="AV53" s="984"/>
      <c r="AW53" s="984"/>
      <c r="AX53" s="1002"/>
      <c r="AY53" s="984"/>
      <c r="AZ53" s="984"/>
      <c r="BA53" s="984"/>
      <c r="BB53" s="1002"/>
      <c r="BC53" s="984"/>
      <c r="BD53" s="984">
        <f t="shared" ref="BD53:BN53" si="152">BD51-BC51</f>
        <v>19000</v>
      </c>
      <c r="BE53" s="984">
        <f t="shared" si="152"/>
        <v>40000</v>
      </c>
      <c r="BF53" s="1002">
        <f t="shared" si="152"/>
        <v>58000</v>
      </c>
      <c r="BG53" s="984">
        <f t="shared" si="152"/>
        <v>25000</v>
      </c>
      <c r="BH53" s="984">
        <f t="shared" si="152"/>
        <v>18000</v>
      </c>
      <c r="BI53" s="984">
        <f t="shared" si="152"/>
        <v>43000</v>
      </c>
      <c r="BJ53" s="984">
        <f t="shared" si="152"/>
        <v>40000</v>
      </c>
      <c r="BK53" s="986">
        <f t="shared" si="152"/>
        <v>11000</v>
      </c>
      <c r="BL53" s="984">
        <f t="shared" si="152"/>
        <v>0</v>
      </c>
      <c r="BM53" s="984">
        <f t="shared" si="152"/>
        <v>12000</v>
      </c>
      <c r="BN53" s="984">
        <f t="shared" si="152"/>
        <v>40000</v>
      </c>
      <c r="BO53" s="938">
        <v>682300</v>
      </c>
      <c r="BP53" s="347">
        <v>14700</v>
      </c>
      <c r="BQ53" s="347">
        <v>50000</v>
      </c>
      <c r="BR53" s="361">
        <v>50000</v>
      </c>
      <c r="BS53" s="2115">
        <v>50000</v>
      </c>
      <c r="BT53" s="2115">
        <v>30000</v>
      </c>
      <c r="BU53" s="2115">
        <v>20000</v>
      </c>
      <c r="BV53" s="2115">
        <v>20000</v>
      </c>
      <c r="BW53" s="2136">
        <v>20000</v>
      </c>
      <c r="BX53" s="2115">
        <v>20000</v>
      </c>
      <c r="BY53" s="2115">
        <v>20000</v>
      </c>
      <c r="BZ53" s="2116">
        <v>30000</v>
      </c>
      <c r="CA53" s="2136">
        <v>30000</v>
      </c>
      <c r="CB53" s="2115">
        <v>30000</v>
      </c>
      <c r="CC53" s="2115">
        <v>30000</v>
      </c>
      <c r="CD53" s="2116">
        <v>35000</v>
      </c>
      <c r="CE53" s="347">
        <v>35000</v>
      </c>
      <c r="CF53" s="2115">
        <v>35000</v>
      </c>
      <c r="CG53" s="2115">
        <v>35000</v>
      </c>
      <c r="CH53" s="2116">
        <v>35000</v>
      </c>
      <c r="CI53" s="2115">
        <f>+CI42*80%</f>
        <v>13600</v>
      </c>
      <c r="CJ53" s="2115">
        <f t="shared" ref="CJ53:CT53" si="153">+CJ42*80%</f>
        <v>7200</v>
      </c>
      <c r="CK53" s="2115">
        <f t="shared" si="153"/>
        <v>5600</v>
      </c>
      <c r="CL53" s="2116">
        <f t="shared" si="153"/>
        <v>5600</v>
      </c>
      <c r="CM53" s="347">
        <f t="shared" si="153"/>
        <v>0</v>
      </c>
      <c r="CN53" s="2115">
        <f t="shared" si="153"/>
        <v>-46200</v>
      </c>
      <c r="CO53" s="2115">
        <f t="shared" si="153"/>
        <v>-60600</v>
      </c>
      <c r="CP53" s="2116">
        <f t="shared" ref="CP53" si="154">+CP42*80%</f>
        <v>-63000</v>
      </c>
      <c r="CQ53" s="347">
        <f t="shared" si="153"/>
        <v>-24000</v>
      </c>
      <c r="CR53" s="347">
        <f t="shared" si="153"/>
        <v>-45000</v>
      </c>
      <c r="CS53" s="347">
        <f t="shared" si="153"/>
        <v>-30000</v>
      </c>
      <c r="CT53" s="361">
        <f t="shared" si="153"/>
        <v>-12000</v>
      </c>
    </row>
    <row r="54" spans="1:98" hidden="1" outlineLevel="2">
      <c r="A54" s="591" t="s">
        <v>775</v>
      </c>
      <c r="B54" s="3101"/>
      <c r="C54" s="3101"/>
      <c r="D54" s="984"/>
      <c r="E54" s="984"/>
      <c r="F54" s="984"/>
      <c r="G54" s="1106"/>
      <c r="H54" s="988"/>
      <c r="I54" s="988"/>
      <c r="J54" s="988"/>
      <c r="K54" s="988"/>
      <c r="L54" s="988">
        <f t="shared" ref="L54:Q54" si="155">+L53/K53-1</f>
        <v>-0.5</v>
      </c>
      <c r="M54" s="988">
        <f t="shared" si="155"/>
        <v>11.65079365079365</v>
      </c>
      <c r="N54" s="988">
        <f t="shared" si="155"/>
        <v>-0.84943538268506902</v>
      </c>
      <c r="O54" s="988">
        <f t="shared" si="155"/>
        <v>-0.25</v>
      </c>
      <c r="P54" s="988">
        <f t="shared" si="155"/>
        <v>0.38888888888888884</v>
      </c>
      <c r="Q54" s="988">
        <f t="shared" si="155"/>
        <v>0.12000000000000011</v>
      </c>
      <c r="R54" s="988">
        <f t="shared" ref="R54:W54" si="156">+R53/Q53-1</f>
        <v>-0.77142857142857146</v>
      </c>
      <c r="S54" s="988">
        <f>+S53/R53-1</f>
        <v>-6.3062500000000004</v>
      </c>
      <c r="T54" s="988">
        <f>+T53/S53-1</f>
        <v>-0.3462897526501767</v>
      </c>
      <c r="U54" s="988">
        <f t="shared" si="156"/>
        <v>-1.9909909909909911</v>
      </c>
      <c r="V54" s="988">
        <f t="shared" si="156"/>
        <v>0</v>
      </c>
      <c r="W54" s="988">
        <f t="shared" si="156"/>
        <v>0</v>
      </c>
      <c r="X54" s="988">
        <f t="shared" ref="X54:AF54" si="157">+X53/W53-1</f>
        <v>0</v>
      </c>
      <c r="Y54" s="988">
        <f t="shared" si="157"/>
        <v>0</v>
      </c>
      <c r="Z54" s="988">
        <f t="shared" si="157"/>
        <v>0</v>
      </c>
      <c r="AA54" s="988">
        <f t="shared" si="157"/>
        <v>0</v>
      </c>
      <c r="AB54" s="988">
        <f t="shared" si="157"/>
        <v>0</v>
      </c>
      <c r="AC54" s="988">
        <f t="shared" si="157"/>
        <v>0</v>
      </c>
      <c r="AD54" s="988">
        <f t="shared" si="157"/>
        <v>0</v>
      </c>
      <c r="AE54" s="988">
        <f t="shared" si="157"/>
        <v>0</v>
      </c>
      <c r="AF54" s="988">
        <f t="shared" si="157"/>
        <v>0</v>
      </c>
      <c r="AG54" s="3920"/>
      <c r="AH54" s="3904"/>
      <c r="AI54" s="591"/>
      <c r="AJ54" s="984"/>
      <c r="AK54" s="984"/>
      <c r="AL54" s="989"/>
      <c r="AM54" s="990"/>
      <c r="AN54" s="988"/>
      <c r="AO54" s="988"/>
      <c r="AP54" s="989"/>
      <c r="AQ54" s="988"/>
      <c r="AR54" s="988"/>
      <c r="AS54" s="988"/>
      <c r="AT54" s="989"/>
      <c r="AU54" s="988"/>
      <c r="AV54" s="988"/>
      <c r="AW54" s="988"/>
      <c r="AX54" s="989"/>
      <c r="AY54" s="988"/>
      <c r="AZ54" s="988"/>
      <c r="BA54" s="988"/>
      <c r="BB54" s="989"/>
      <c r="BC54" s="988"/>
      <c r="BD54" s="988"/>
      <c r="BE54" s="988"/>
      <c r="BF54" s="989"/>
      <c r="BG54" s="988"/>
      <c r="BH54" s="988">
        <f t="shared" ref="BH54:BO54" si="158">BH53/BD53-1</f>
        <v>-5.2631578947368474E-2</v>
      </c>
      <c r="BI54" s="988">
        <f t="shared" si="158"/>
        <v>7.4999999999999956E-2</v>
      </c>
      <c r="BJ54" s="988">
        <f t="shared" si="158"/>
        <v>-0.31034482758620685</v>
      </c>
      <c r="BK54" s="990">
        <f t="shared" si="158"/>
        <v>-0.56000000000000005</v>
      </c>
      <c r="BL54" s="988">
        <f t="shared" si="158"/>
        <v>-1</v>
      </c>
      <c r="BM54" s="988">
        <f t="shared" si="158"/>
        <v>-0.72093023255813948</v>
      </c>
      <c r="BN54" s="988">
        <f t="shared" si="158"/>
        <v>0</v>
      </c>
      <c r="BO54" s="990">
        <f t="shared" si="158"/>
        <v>61.027272727272724</v>
      </c>
      <c r="BP54" s="988"/>
      <c r="BQ54" s="988">
        <f>BQ53/BM53-1</f>
        <v>3.166666666666667</v>
      </c>
      <c r="BR54" s="989">
        <f>BR53/BN53-1</f>
        <v>0.25</v>
      </c>
      <c r="BS54" s="988">
        <f>BS53/BO53-1</f>
        <v>-0.92671845229371241</v>
      </c>
      <c r="BT54" s="988"/>
      <c r="BU54" s="988"/>
      <c r="BV54" s="988"/>
      <c r="BW54" s="990"/>
      <c r="BX54" s="988"/>
      <c r="BY54" s="988"/>
      <c r="BZ54" s="989"/>
      <c r="CA54" s="990"/>
      <c r="CB54" s="988"/>
      <c r="CC54" s="988"/>
      <c r="CD54" s="989">
        <f>CD53/BZ53-1</f>
        <v>0.16666666666666674</v>
      </c>
      <c r="CE54" s="988">
        <f>CE53/CA53-1</f>
        <v>0.16666666666666674</v>
      </c>
      <c r="CF54" s="988">
        <f>CF53/CB53-1</f>
        <v>0.16666666666666674</v>
      </c>
      <c r="CG54" s="988">
        <f>CG53/CC53-1</f>
        <v>0.16666666666666674</v>
      </c>
      <c r="CH54" s="989">
        <f t="shared" ref="CH54:CM54" si="159">CH53/CD53-1</f>
        <v>0</v>
      </c>
      <c r="CI54" s="988">
        <f t="shared" si="159"/>
        <v>-0.61142857142857143</v>
      </c>
      <c r="CJ54" s="988">
        <f t="shared" si="159"/>
        <v>-0.79428571428571426</v>
      </c>
      <c r="CK54" s="988">
        <f t="shared" si="159"/>
        <v>-0.84</v>
      </c>
      <c r="CL54" s="989">
        <f t="shared" si="159"/>
        <v>-0.84</v>
      </c>
      <c r="CM54" s="988">
        <f t="shared" si="159"/>
        <v>-1</v>
      </c>
      <c r="CN54" s="988">
        <f>CN53/CJ53-1</f>
        <v>-7.416666666666667</v>
      </c>
      <c r="CO54" s="988">
        <f>CO53/CK53-1</f>
        <v>-11.821428571428571</v>
      </c>
      <c r="CP54" s="989">
        <f t="shared" ref="CP54" si="160">CP53/CL53-1</f>
        <v>-12.25</v>
      </c>
      <c r="CQ54" s="988" t="e">
        <f>CQ53/CM53-1</f>
        <v>#DIV/0!</v>
      </c>
      <c r="CR54" s="988">
        <f>CR53/CN53-1</f>
        <v>-2.5974025974025983E-2</v>
      </c>
      <c r="CS54" s="988">
        <f>CS53/CO53-1</f>
        <v>-0.50495049504950495</v>
      </c>
      <c r="CT54" s="989">
        <f>CT53/CP53-1</f>
        <v>-0.80952380952380953</v>
      </c>
    </row>
    <row r="55" spans="1:98" hidden="1" outlineLevel="2">
      <c r="A55" s="1935" t="s">
        <v>779</v>
      </c>
      <c r="B55" s="2643"/>
      <c r="C55" s="2643"/>
      <c r="D55" s="1966"/>
      <c r="E55" s="1966"/>
      <c r="F55" s="1966"/>
      <c r="G55" s="1966"/>
      <c r="H55" s="1965"/>
      <c r="I55" s="1965"/>
      <c r="J55" s="1965"/>
      <c r="K55" s="1965"/>
      <c r="L55" s="1965"/>
      <c r="M55" s="1965"/>
      <c r="N55" s="1965"/>
      <c r="O55" s="1965"/>
      <c r="P55" s="1965"/>
      <c r="Q55" s="1965"/>
      <c r="R55" s="1965"/>
      <c r="S55" s="1965"/>
      <c r="T55" s="1965"/>
      <c r="U55" s="1965"/>
      <c r="V55" s="1965"/>
      <c r="W55" s="1965"/>
      <c r="X55" s="1965"/>
      <c r="Y55" s="1965"/>
      <c r="Z55" s="1965"/>
      <c r="AA55" s="1965"/>
      <c r="AB55" s="1965"/>
      <c r="AC55" s="1965"/>
      <c r="AD55" s="1965"/>
      <c r="AE55" s="1965"/>
      <c r="AF55" s="1965"/>
      <c r="AG55" s="3920"/>
      <c r="AH55" s="2762"/>
      <c r="AI55" s="1935"/>
      <c r="AJ55" s="1966"/>
      <c r="AK55" s="1966"/>
      <c r="AL55" s="1929"/>
      <c r="AM55" s="1940"/>
      <c r="AN55" s="1965"/>
      <c r="AO55" s="1965"/>
      <c r="AP55" s="1929"/>
      <c r="AQ55" s="1965"/>
      <c r="AR55" s="1965"/>
      <c r="AS55" s="1965"/>
      <c r="AT55" s="1929"/>
      <c r="AU55" s="1965"/>
      <c r="AV55" s="1965"/>
      <c r="AW55" s="1965"/>
      <c r="AX55" s="1929"/>
      <c r="AY55" s="1965"/>
      <c r="AZ55" s="1965"/>
      <c r="BA55" s="1965"/>
      <c r="BB55" s="1929"/>
      <c r="BC55" s="1965"/>
      <c r="BD55" s="1965"/>
      <c r="BE55" s="1965"/>
      <c r="BF55" s="1929"/>
      <c r="BG55" s="1965"/>
      <c r="BH55" s="1965"/>
      <c r="BI55" s="1965"/>
      <c r="BJ55" s="1965"/>
      <c r="BK55" s="1940"/>
      <c r="BL55" s="1965"/>
      <c r="BM55" s="1965"/>
      <c r="BN55" s="1965"/>
      <c r="BO55" s="1940"/>
      <c r="BP55" s="1965"/>
      <c r="BQ55" s="1965"/>
      <c r="BR55" s="1929"/>
      <c r="BS55" s="1965"/>
      <c r="BT55" s="1965"/>
      <c r="BU55" s="1965"/>
      <c r="BV55" s="1965"/>
      <c r="BW55" s="3618"/>
      <c r="BX55" s="3619"/>
      <c r="BY55" s="3619"/>
      <c r="BZ55" s="3620"/>
      <c r="CA55" s="3618"/>
      <c r="CB55" s="3619"/>
      <c r="CC55" s="3619"/>
      <c r="CD55" s="3620"/>
      <c r="CE55" s="3619"/>
      <c r="CF55" s="3619"/>
      <c r="CG55" s="3619"/>
      <c r="CH55" s="3620"/>
      <c r="CI55" s="3619"/>
      <c r="CJ55" s="3619"/>
      <c r="CK55" s="3619"/>
      <c r="CL55" s="3620"/>
      <c r="CM55" s="3619"/>
      <c r="CN55" s="3619"/>
      <c r="CO55" s="3619"/>
      <c r="CP55" s="3620"/>
      <c r="CQ55" s="3619"/>
      <c r="CR55" s="3619"/>
      <c r="CS55" s="3619"/>
      <c r="CT55" s="3620"/>
    </row>
    <row r="56" spans="1:98" hidden="1" outlineLevel="2">
      <c r="A56" s="1935" t="s">
        <v>778</v>
      </c>
      <c r="B56" s="2643"/>
      <c r="C56" s="2107" t="s">
        <v>284</v>
      </c>
      <c r="D56" s="115"/>
      <c r="E56" s="115"/>
      <c r="F56" s="115"/>
      <c r="G56" s="115"/>
      <c r="H56" s="115"/>
      <c r="I56" s="115"/>
      <c r="J56" s="115"/>
      <c r="K56" s="115"/>
      <c r="L56" s="115"/>
      <c r="M56" s="115"/>
      <c r="N56" s="115"/>
      <c r="O56" s="2091">
        <f>M439/M227</f>
        <v>0.65946632782719183</v>
      </c>
      <c r="P56" s="2091">
        <f>N439/N227</f>
        <v>0.66953250940354647</v>
      </c>
      <c r="Q56" s="2091">
        <f>O439/O227</f>
        <v>0.67635550586920068</v>
      </c>
      <c r="R56" s="2214"/>
      <c r="S56" s="2214"/>
      <c r="T56" s="2214"/>
      <c r="U56" s="2214"/>
      <c r="V56" s="2214"/>
      <c r="W56" s="2214"/>
      <c r="X56" s="2214"/>
      <c r="Y56" s="2214"/>
      <c r="Z56" s="2214"/>
      <c r="AA56" s="2214"/>
      <c r="AB56" s="2214"/>
      <c r="AC56" s="2214"/>
      <c r="AD56" s="2214"/>
      <c r="AE56" s="2214"/>
      <c r="AF56" s="2214"/>
      <c r="AG56" s="3920"/>
      <c r="AH56" s="2765"/>
      <c r="AI56" s="1917"/>
      <c r="AJ56" s="114"/>
      <c r="AK56" s="115"/>
      <c r="AL56" s="115"/>
      <c r="AM56" s="115"/>
      <c r="AN56" s="115"/>
      <c r="AO56" s="115"/>
      <c r="AP56" s="115"/>
      <c r="AQ56" s="115"/>
      <c r="AR56" s="115"/>
      <c r="AS56" s="115"/>
      <c r="AT56" s="115"/>
      <c r="AU56" s="115"/>
      <c r="AV56" s="115"/>
      <c r="AW56" s="115"/>
      <c r="AX56" s="115"/>
      <c r="AY56" s="115"/>
      <c r="AZ56" s="115"/>
      <c r="BA56" s="115"/>
      <c r="BB56" s="115"/>
      <c r="BC56" s="115"/>
      <c r="BD56" s="115"/>
      <c r="BE56" s="115"/>
      <c r="BF56" s="115"/>
      <c r="BG56" s="115"/>
      <c r="BH56" s="115"/>
      <c r="BI56" s="2091"/>
      <c r="BJ56" s="2091"/>
      <c r="BK56" s="2091"/>
      <c r="BL56" s="2091"/>
      <c r="BM56" s="2091"/>
      <c r="BN56" s="2091"/>
      <c r="BO56" s="2091"/>
      <c r="BP56" s="2091"/>
      <c r="BQ56" s="2575" t="e">
        <f>#REF!</f>
        <v>#REF!</v>
      </c>
      <c r="BR56" s="2091" t="e">
        <f>#REF!</f>
        <v>#REF!</v>
      </c>
      <c r="BS56" s="2091" t="e">
        <f>#REF!</f>
        <v>#REF!</v>
      </c>
      <c r="BT56" s="2576" t="e">
        <f>#REF!</f>
        <v>#REF!</v>
      </c>
      <c r="BU56" s="2575" t="e">
        <f>#REF!</f>
        <v>#REF!</v>
      </c>
      <c r="BV56" s="2091" t="e">
        <f>#REF!</f>
        <v>#REF!</v>
      </c>
      <c r="BW56" s="3621"/>
      <c r="BX56" s="3619"/>
      <c r="BY56" s="3619"/>
      <c r="BZ56" s="3622"/>
      <c r="CA56" s="3621"/>
      <c r="CB56" s="3619"/>
      <c r="CC56" s="3619"/>
      <c r="CD56" s="3622"/>
      <c r="CE56" s="3619"/>
      <c r="CF56" s="3621"/>
      <c r="CG56" s="3621"/>
      <c r="CH56" s="3622"/>
      <c r="CI56" s="3621"/>
      <c r="CJ56" s="3621"/>
      <c r="CK56" s="3621"/>
      <c r="CL56" s="3622"/>
      <c r="CM56" s="3619"/>
      <c r="CN56" s="3621"/>
      <c r="CO56" s="3621"/>
      <c r="CP56" s="3622"/>
      <c r="CQ56" s="3619"/>
      <c r="CR56" s="3619"/>
      <c r="CS56" s="3619"/>
      <c r="CT56" s="3620"/>
    </row>
    <row r="57" spans="1:98" hidden="1" outlineLevel="2">
      <c r="A57" s="1935" t="s">
        <v>780</v>
      </c>
      <c r="B57" s="2643"/>
      <c r="C57" s="2643"/>
      <c r="D57" s="1966"/>
      <c r="E57" s="1966"/>
      <c r="F57" s="1966"/>
      <c r="G57" s="1966"/>
      <c r="H57" s="1965"/>
      <c r="I57" s="1965"/>
      <c r="J57" s="1965"/>
      <c r="K57" s="1965"/>
      <c r="L57" s="1965"/>
      <c r="M57" s="1965"/>
      <c r="N57" s="1965"/>
      <c r="O57" s="1965"/>
      <c r="P57" s="1965"/>
      <c r="Q57" s="1965"/>
      <c r="R57" s="1965"/>
      <c r="S57" s="1965"/>
      <c r="T57" s="1965"/>
      <c r="U57" s="1965"/>
      <c r="V57" s="1965"/>
      <c r="W57" s="1965"/>
      <c r="X57" s="1965"/>
      <c r="Y57" s="1965"/>
      <c r="Z57" s="1965"/>
      <c r="AA57" s="1965"/>
      <c r="AB57" s="1965"/>
      <c r="AC57" s="1965"/>
      <c r="AD57" s="1965"/>
      <c r="AE57" s="1965"/>
      <c r="AF57" s="1965"/>
      <c r="AG57" s="3920"/>
      <c r="AH57" s="2762"/>
      <c r="AI57" s="1935"/>
      <c r="AJ57" s="1966"/>
      <c r="AK57" s="1966"/>
      <c r="AL57" s="1929"/>
      <c r="AM57" s="1940"/>
      <c r="AN57" s="1965"/>
      <c r="AO57" s="1965"/>
      <c r="AP57" s="1929"/>
      <c r="AQ57" s="1965"/>
      <c r="AR57" s="1965"/>
      <c r="AS57" s="1965"/>
      <c r="AT57" s="1929"/>
      <c r="AU57" s="1965"/>
      <c r="AV57" s="1965"/>
      <c r="AW57" s="1965"/>
      <c r="AX57" s="1929"/>
      <c r="AY57" s="1965"/>
      <c r="AZ57" s="1965"/>
      <c r="BA57" s="1965"/>
      <c r="BB57" s="1929"/>
      <c r="BC57" s="1965"/>
      <c r="BD57" s="1965"/>
      <c r="BE57" s="1965"/>
      <c r="BF57" s="1929"/>
      <c r="BG57" s="1965"/>
      <c r="BH57" s="1965"/>
      <c r="BI57" s="1965"/>
      <c r="BJ57" s="1965"/>
      <c r="BK57" s="1940"/>
      <c r="BL57" s="1965"/>
      <c r="BM57" s="1965"/>
      <c r="BN57" s="1965"/>
      <c r="BO57" s="1940"/>
      <c r="BP57" s="1965"/>
      <c r="BQ57" s="1965"/>
      <c r="BR57" s="1929"/>
      <c r="BS57" s="1965"/>
      <c r="BT57" s="1965"/>
      <c r="BU57" s="1965"/>
      <c r="BV57" s="1965"/>
      <c r="BW57" s="3618"/>
      <c r="BX57" s="3619"/>
      <c r="BY57" s="3619"/>
      <c r="BZ57" s="3620"/>
      <c r="CA57" s="3618"/>
      <c r="CB57" s="3619"/>
      <c r="CC57" s="3619"/>
      <c r="CD57" s="3620"/>
      <c r="CE57" s="3619"/>
      <c r="CF57" s="3619"/>
      <c r="CG57" s="3619"/>
      <c r="CH57" s="3620"/>
      <c r="CI57" s="3619"/>
      <c r="CJ57" s="3619"/>
      <c r="CK57" s="3619"/>
      <c r="CL57" s="3620"/>
      <c r="CM57" s="3619"/>
      <c r="CN57" s="3619"/>
      <c r="CO57" s="3619"/>
      <c r="CP57" s="3620"/>
      <c r="CQ57" s="3619"/>
      <c r="CR57" s="3619"/>
      <c r="CS57" s="3619"/>
      <c r="CT57" s="3620"/>
    </row>
    <row r="58" spans="1:98" hidden="1" outlineLevel="2">
      <c r="A58" s="591" t="s">
        <v>653</v>
      </c>
      <c r="B58" s="3101"/>
      <c r="C58" s="3101"/>
      <c r="D58" s="984"/>
      <c r="E58" s="984"/>
      <c r="F58" s="984"/>
      <c r="G58" s="984"/>
      <c r="H58" s="984"/>
      <c r="I58" s="984"/>
      <c r="J58" s="984"/>
      <c r="K58" s="984">
        <f t="shared" ref="K58:Q58" si="161">+(K51+J51)/2</f>
        <v>877000</v>
      </c>
      <c r="L58" s="984">
        <f t="shared" si="161"/>
        <v>971500</v>
      </c>
      <c r="M58" s="984">
        <f t="shared" si="161"/>
        <v>1401500</v>
      </c>
      <c r="N58" s="984">
        <f t="shared" si="161"/>
        <v>1860000</v>
      </c>
      <c r="O58" s="984">
        <f t="shared" si="161"/>
        <v>1965000</v>
      </c>
      <c r="P58" s="984">
        <f t="shared" si="161"/>
        <v>2072500</v>
      </c>
      <c r="Q58" s="984">
        <f t="shared" si="161"/>
        <v>2205000</v>
      </c>
      <c r="R58" s="984">
        <f t="shared" ref="R58:W58" si="162">+(R51+Q51)/2</f>
        <v>2291000</v>
      </c>
      <c r="S58" s="984">
        <f>+(S51+R51)/2</f>
        <v>2222100</v>
      </c>
      <c r="T58" s="984">
        <f>+(T51+S51)/2</f>
        <v>2081700</v>
      </c>
      <c r="U58" s="984">
        <f t="shared" si="162"/>
        <v>2081200</v>
      </c>
      <c r="V58" s="984">
        <f t="shared" si="162"/>
        <v>2191200</v>
      </c>
      <c r="W58" s="984">
        <f t="shared" si="162"/>
        <v>2301200</v>
      </c>
      <c r="X58" s="984">
        <f t="shared" ref="X58:AF58" si="163">+(X51+W51)/2</f>
        <v>2411200</v>
      </c>
      <c r="Y58" s="984">
        <f t="shared" si="163"/>
        <v>2521200</v>
      </c>
      <c r="Z58" s="984">
        <f t="shared" si="163"/>
        <v>2631200</v>
      </c>
      <c r="AA58" s="984">
        <f t="shared" si="163"/>
        <v>2741200</v>
      </c>
      <c r="AB58" s="984">
        <f t="shared" si="163"/>
        <v>2851200</v>
      </c>
      <c r="AC58" s="984">
        <f t="shared" si="163"/>
        <v>2961200</v>
      </c>
      <c r="AD58" s="984">
        <f t="shared" si="163"/>
        <v>3071200</v>
      </c>
      <c r="AE58" s="984">
        <f t="shared" si="163"/>
        <v>3181200</v>
      </c>
      <c r="AF58" s="984">
        <f t="shared" si="163"/>
        <v>3291200</v>
      </c>
      <c r="AG58" s="3920"/>
      <c r="AH58" s="3904"/>
      <c r="AI58" s="591"/>
      <c r="AJ58" s="984"/>
      <c r="AK58" s="984"/>
      <c r="AL58" s="1002"/>
      <c r="AM58" s="986"/>
      <c r="AN58" s="984"/>
      <c r="AO58" s="984"/>
      <c r="AP58" s="1002"/>
      <c r="AQ58" s="984"/>
      <c r="AR58" s="984"/>
      <c r="AS58" s="984"/>
      <c r="AT58" s="1002"/>
      <c r="AU58" s="984"/>
      <c r="AV58" s="984"/>
      <c r="AW58" s="984"/>
      <c r="AX58" s="1002"/>
      <c r="AY58" s="984"/>
      <c r="AZ58" s="984"/>
      <c r="BA58" s="984"/>
      <c r="BB58" s="1002"/>
      <c r="BC58" s="984"/>
      <c r="BD58" s="984">
        <f t="shared" ref="BD58:BO58" si="164">+(BD51+BC51)/2</f>
        <v>706500</v>
      </c>
      <c r="BE58" s="984">
        <f t="shared" si="164"/>
        <v>736000</v>
      </c>
      <c r="BF58" s="1002">
        <f t="shared" si="164"/>
        <v>785000</v>
      </c>
      <c r="BG58" s="984">
        <f t="shared" si="164"/>
        <v>826500</v>
      </c>
      <c r="BH58" s="984">
        <f t="shared" si="164"/>
        <v>848000</v>
      </c>
      <c r="BI58" s="984">
        <f t="shared" si="164"/>
        <v>878500</v>
      </c>
      <c r="BJ58" s="984">
        <f t="shared" si="164"/>
        <v>920000</v>
      </c>
      <c r="BK58" s="986">
        <f t="shared" si="164"/>
        <v>945500</v>
      </c>
      <c r="BL58" s="984">
        <f t="shared" si="164"/>
        <v>951000</v>
      </c>
      <c r="BM58" s="984">
        <f t="shared" si="164"/>
        <v>957000</v>
      </c>
      <c r="BN58" s="984">
        <f t="shared" si="164"/>
        <v>983000</v>
      </c>
      <c r="BO58" s="986">
        <f t="shared" si="164"/>
        <v>1344150</v>
      </c>
      <c r="BP58" s="984">
        <f>+(BP51+BO51)/2</f>
        <v>1692650</v>
      </c>
      <c r="BQ58" s="984">
        <f>+(BQ51+BP51)/2</f>
        <v>1725000</v>
      </c>
      <c r="BR58" s="1002">
        <f>+(BR51+BQ51)/2</f>
        <v>1775000</v>
      </c>
      <c r="BS58" s="984">
        <f>+(BS51+BR51)/2</f>
        <v>1825000</v>
      </c>
      <c r="BT58" s="984">
        <f>+(BT51+BS51)/2</f>
        <v>1865000</v>
      </c>
      <c r="BU58" s="984">
        <f t="shared" ref="BU58:CC58" si="165">+(BU51+BT51)/2</f>
        <v>1890000</v>
      </c>
      <c r="BV58" s="984">
        <f t="shared" si="165"/>
        <v>1910000</v>
      </c>
      <c r="BW58" s="986">
        <f t="shared" si="165"/>
        <v>1930000</v>
      </c>
      <c r="BX58" s="984">
        <f t="shared" si="165"/>
        <v>1950000</v>
      </c>
      <c r="BY58" s="984">
        <f t="shared" si="165"/>
        <v>1970000</v>
      </c>
      <c r="BZ58" s="1002">
        <f t="shared" si="165"/>
        <v>1995000</v>
      </c>
      <c r="CA58" s="986">
        <f t="shared" si="165"/>
        <v>2025000</v>
      </c>
      <c r="CB58" s="984">
        <f t="shared" si="165"/>
        <v>2055000</v>
      </c>
      <c r="CC58" s="984">
        <f t="shared" si="165"/>
        <v>2085000</v>
      </c>
      <c r="CD58" s="1002">
        <f>+(CD51+CC51)/2</f>
        <v>2117500</v>
      </c>
      <c r="CE58" s="984">
        <f>+(CE51+CD51)/2</f>
        <v>2152500</v>
      </c>
      <c r="CF58" s="984">
        <f>+(CF51+CE51)/2</f>
        <v>2187500</v>
      </c>
      <c r="CG58" s="984">
        <f>+(CG51+CF51)/2</f>
        <v>2222500</v>
      </c>
      <c r="CH58" s="1002">
        <f t="shared" ref="CH58:CM58" si="166">+(CH51+CG51)/2</f>
        <v>2257500</v>
      </c>
      <c r="CI58" s="984">
        <f t="shared" si="166"/>
        <v>2281800</v>
      </c>
      <c r="CJ58" s="984">
        <f t="shared" si="166"/>
        <v>2292200</v>
      </c>
      <c r="CK58" s="984">
        <f t="shared" si="166"/>
        <v>2298600</v>
      </c>
      <c r="CL58" s="1002">
        <f t="shared" si="166"/>
        <v>2304200</v>
      </c>
      <c r="CM58" s="984">
        <f t="shared" si="166"/>
        <v>2307000</v>
      </c>
      <c r="CN58" s="984">
        <f>+(CN51+CM51)/2</f>
        <v>2283900</v>
      </c>
      <c r="CO58" s="984">
        <f>+(CO51+CN51)/2</f>
        <v>2230500</v>
      </c>
      <c r="CP58" s="1002">
        <f t="shared" ref="CP58" si="167">+(CP51+CO51)/2</f>
        <v>2168700</v>
      </c>
      <c r="CQ58" s="984">
        <f>+(CQ51+CP51)/2</f>
        <v>2125200</v>
      </c>
      <c r="CR58" s="984">
        <f>+(CR51+CQ51)/2</f>
        <v>2090700</v>
      </c>
      <c r="CS58" s="984">
        <f>+(CS51+CR51)/2</f>
        <v>2053200</v>
      </c>
      <c r="CT58" s="1002">
        <f>+(CT51+CS51)/2</f>
        <v>2032200</v>
      </c>
    </row>
    <row r="59" spans="1:98" hidden="1" outlineLevel="2">
      <c r="A59" s="733" t="s">
        <v>654</v>
      </c>
      <c r="B59" s="558"/>
      <c r="C59" s="558"/>
      <c r="D59" s="558"/>
      <c r="E59" s="558"/>
      <c r="F59" s="558"/>
      <c r="G59" s="558"/>
      <c r="H59" s="558"/>
      <c r="I59" s="558"/>
      <c r="J59" s="558"/>
      <c r="K59" s="558"/>
      <c r="L59" s="558"/>
      <c r="M59" s="558"/>
      <c r="N59" s="558"/>
      <c r="O59" s="558"/>
      <c r="P59" s="558"/>
      <c r="Q59" s="558"/>
      <c r="R59" s="558"/>
      <c r="S59" s="558"/>
      <c r="T59" s="558"/>
      <c r="U59" s="558"/>
      <c r="V59" s="558"/>
      <c r="W59" s="558"/>
      <c r="X59" s="558"/>
      <c r="Y59" s="558"/>
      <c r="Z59" s="558"/>
      <c r="AA59" s="558"/>
      <c r="AB59" s="558"/>
      <c r="AC59" s="558"/>
      <c r="AD59" s="558"/>
      <c r="AE59" s="558"/>
      <c r="AF59" s="558"/>
      <c r="AG59" s="3920"/>
      <c r="AH59" s="3904"/>
      <c r="AI59" s="560"/>
      <c r="AJ59" s="558"/>
      <c r="AK59" s="558"/>
      <c r="AL59" s="559"/>
      <c r="AM59" s="560"/>
      <c r="AN59" s="558"/>
      <c r="AO59" s="558"/>
      <c r="AP59" s="559"/>
      <c r="AQ59" s="558"/>
      <c r="AR59" s="558"/>
      <c r="AS59" s="558"/>
      <c r="AT59" s="559"/>
      <c r="AU59" s="558"/>
      <c r="AV59" s="558"/>
      <c r="AW59" s="558"/>
      <c r="AX59" s="559"/>
      <c r="AY59" s="558"/>
      <c r="AZ59" s="558"/>
      <c r="BA59" s="558"/>
      <c r="BB59" s="559"/>
      <c r="BC59" s="4096" t="s">
        <v>492</v>
      </c>
      <c r="BD59" s="558"/>
      <c r="BE59" s="558"/>
      <c r="BF59" s="559"/>
      <c r="BG59" s="558"/>
      <c r="BH59" s="558"/>
      <c r="BI59" s="558"/>
      <c r="BJ59" s="558"/>
      <c r="BK59" s="560"/>
      <c r="BL59" s="558"/>
      <c r="BM59" s="558"/>
      <c r="BN59" s="558"/>
      <c r="BO59" s="560"/>
      <c r="BP59" s="558"/>
      <c r="BQ59" s="558"/>
      <c r="BR59" s="559"/>
      <c r="BS59" s="558"/>
      <c r="BT59" s="558"/>
      <c r="BU59" s="558"/>
      <c r="BV59" s="558"/>
      <c r="BW59" s="560"/>
      <c r="BX59" s="558"/>
      <c r="BY59" s="558"/>
      <c r="BZ59" s="559"/>
      <c r="CA59" s="560"/>
      <c r="CB59" s="558"/>
      <c r="CC59" s="558"/>
      <c r="CD59" s="559"/>
      <c r="CE59" s="558"/>
      <c r="CF59" s="558"/>
      <c r="CG59" s="558"/>
      <c r="CH59" s="559"/>
      <c r="CI59" s="558"/>
      <c r="CJ59" s="558"/>
      <c r="CK59" s="558"/>
      <c r="CL59" s="559"/>
      <c r="CM59" s="558"/>
      <c r="CN59" s="558"/>
      <c r="CO59" s="558"/>
      <c r="CP59" s="559"/>
      <c r="CQ59" s="558"/>
      <c r="CR59" s="558"/>
      <c r="CS59" s="558"/>
      <c r="CT59" s="559"/>
    </row>
    <row r="60" spans="1:98" hidden="1" outlineLevel="2">
      <c r="A60" s="768" t="s">
        <v>655</v>
      </c>
      <c r="B60" s="427"/>
      <c r="C60" s="427"/>
      <c r="D60" s="271"/>
      <c r="E60" s="271"/>
      <c r="F60" s="271"/>
      <c r="G60" s="271"/>
      <c r="H60" s="271"/>
      <c r="I60" s="271"/>
      <c r="J60" s="271">
        <f>+BF60</f>
        <v>0</v>
      </c>
      <c r="K60" s="271">
        <f>+BJ60</f>
        <v>0</v>
      </c>
      <c r="L60" s="405">
        <f>BN60</f>
        <v>0</v>
      </c>
      <c r="M60" s="271">
        <f>+BR60</f>
        <v>0</v>
      </c>
      <c r="N60" s="271">
        <f>+BV60</f>
        <v>0</v>
      </c>
      <c r="O60" s="405">
        <f>+BZ60</f>
        <v>0</v>
      </c>
      <c r="P60" s="405">
        <f>CD60</f>
        <v>0</v>
      </c>
      <c r="Q60" s="405"/>
      <c r="R60" s="405"/>
      <c r="S60" s="405"/>
      <c r="T60" s="405"/>
      <c r="U60" s="271"/>
      <c r="V60" s="271"/>
      <c r="W60" s="271"/>
      <c r="X60" s="271"/>
      <c r="Y60" s="271"/>
      <c r="Z60" s="271"/>
      <c r="AA60" s="271"/>
      <c r="AB60" s="271"/>
      <c r="AC60" s="271"/>
      <c r="AD60" s="271"/>
      <c r="AE60" s="271"/>
      <c r="AF60" s="271"/>
      <c r="AG60" s="3920"/>
      <c r="AH60" s="2761"/>
      <c r="AI60" s="768"/>
      <c r="AJ60" s="271"/>
      <c r="AK60" s="271"/>
      <c r="AL60" s="223"/>
      <c r="AM60" s="271"/>
      <c r="AN60" s="271"/>
      <c r="AO60" s="271"/>
      <c r="AP60" s="223"/>
      <c r="AQ60" s="271"/>
      <c r="AR60" s="271"/>
      <c r="AS60" s="271"/>
      <c r="AT60" s="223"/>
      <c r="AU60" s="271"/>
      <c r="AV60" s="271"/>
      <c r="AW60" s="271"/>
      <c r="AX60" s="223"/>
      <c r="AY60" s="271"/>
      <c r="AZ60" s="271"/>
      <c r="BA60" s="271"/>
      <c r="BB60" s="223"/>
      <c r="BC60" s="271"/>
      <c r="BD60" s="271"/>
      <c r="BE60" s="271"/>
      <c r="BF60" s="223"/>
      <c r="BG60" s="271"/>
      <c r="BH60" s="271"/>
      <c r="BI60" s="271"/>
      <c r="BJ60" s="271"/>
      <c r="BK60" s="940"/>
      <c r="BL60" s="271"/>
      <c r="BM60" s="271"/>
      <c r="BN60" s="271"/>
      <c r="BO60" s="940"/>
      <c r="BP60" s="271"/>
      <c r="BQ60" s="271"/>
      <c r="BR60" s="223"/>
      <c r="BS60" s="271"/>
      <c r="BT60" s="271"/>
      <c r="BU60" s="271"/>
      <c r="BV60" s="271"/>
      <c r="BW60" s="940"/>
      <c r="BX60" s="271"/>
      <c r="BY60" s="271"/>
      <c r="BZ60" s="223"/>
      <c r="CA60" s="940"/>
      <c r="CB60" s="271"/>
      <c r="CC60" s="271"/>
      <c r="CD60" s="223"/>
      <c r="CE60" s="271"/>
      <c r="CF60" s="271"/>
      <c r="CG60" s="271"/>
      <c r="CH60" s="223"/>
      <c r="CI60" s="271"/>
      <c r="CJ60" s="271"/>
      <c r="CK60" s="271"/>
      <c r="CL60" s="223"/>
      <c r="CM60" s="271"/>
      <c r="CN60" s="271"/>
      <c r="CO60" s="271"/>
      <c r="CP60" s="223"/>
      <c r="CQ60" s="271"/>
      <c r="CR60" s="271"/>
      <c r="CS60" s="271"/>
      <c r="CT60" s="223"/>
    </row>
    <row r="61" spans="1:98" hidden="1" outlineLevel="2">
      <c r="A61" s="591" t="s">
        <v>775</v>
      </c>
      <c r="B61" s="3101"/>
      <c r="C61" s="3101"/>
      <c r="D61" s="984"/>
      <c r="E61" s="984"/>
      <c r="F61" s="988"/>
      <c r="G61" s="988"/>
      <c r="H61" s="988"/>
      <c r="I61" s="988"/>
      <c r="J61" s="988"/>
      <c r="K61" s="988" t="e">
        <f t="shared" ref="K61:P61" si="168">+K60/J60-1</f>
        <v>#DIV/0!</v>
      </c>
      <c r="L61" s="988" t="e">
        <f t="shared" si="168"/>
        <v>#DIV/0!</v>
      </c>
      <c r="M61" s="988" t="e">
        <f t="shared" si="168"/>
        <v>#DIV/0!</v>
      </c>
      <c r="N61" s="988" t="e">
        <f t="shared" si="168"/>
        <v>#DIV/0!</v>
      </c>
      <c r="O61" s="988" t="e">
        <f t="shared" si="168"/>
        <v>#DIV/0!</v>
      </c>
      <c r="P61" s="988" t="e">
        <f t="shared" si="168"/>
        <v>#DIV/0!</v>
      </c>
      <c r="Q61" s="988"/>
      <c r="R61" s="988"/>
      <c r="S61" s="988"/>
      <c r="T61" s="988"/>
      <c r="U61" s="988"/>
      <c r="V61" s="988"/>
      <c r="W61" s="988"/>
      <c r="X61" s="988"/>
      <c r="Y61" s="988"/>
      <c r="Z61" s="988"/>
      <c r="AA61" s="988"/>
      <c r="AB61" s="988"/>
      <c r="AC61" s="988"/>
      <c r="AD61" s="988"/>
      <c r="AE61" s="988"/>
      <c r="AF61" s="988"/>
      <c r="AG61" s="3920"/>
      <c r="AH61" s="3904"/>
      <c r="AI61" s="591"/>
      <c r="AJ61" s="984"/>
      <c r="AK61" s="984"/>
      <c r="AL61" s="989"/>
      <c r="AM61" s="990"/>
      <c r="AN61" s="988"/>
      <c r="AO61" s="988"/>
      <c r="AP61" s="989"/>
      <c r="AQ61" s="988"/>
      <c r="AR61" s="988"/>
      <c r="AS61" s="988"/>
      <c r="AT61" s="989"/>
      <c r="AU61" s="988"/>
      <c r="AV61" s="988"/>
      <c r="AW61" s="988"/>
      <c r="AX61" s="989"/>
      <c r="AY61" s="988"/>
      <c r="AZ61" s="988"/>
      <c r="BA61" s="988"/>
      <c r="BB61" s="989"/>
      <c r="BC61" s="988"/>
      <c r="BD61" s="988"/>
      <c r="BE61" s="988"/>
      <c r="BF61" s="989"/>
      <c r="BG61" s="988"/>
      <c r="BH61" s="988"/>
      <c r="BI61" s="988"/>
      <c r="BJ61" s="988"/>
      <c r="BK61" s="990"/>
      <c r="BL61" s="988"/>
      <c r="BM61" s="988"/>
      <c r="BN61" s="988"/>
      <c r="BO61" s="990"/>
      <c r="BP61" s="988"/>
      <c r="BQ61" s="988"/>
      <c r="BR61" s="989"/>
      <c r="BS61" s="988"/>
      <c r="BT61" s="988"/>
      <c r="BU61" s="988"/>
      <c r="BV61" s="988"/>
      <c r="BW61" s="990"/>
      <c r="BX61" s="988"/>
      <c r="BY61" s="988"/>
      <c r="BZ61" s="989"/>
      <c r="CA61" s="990"/>
      <c r="CB61" s="988"/>
      <c r="CC61" s="988"/>
      <c r="CD61" s="989"/>
      <c r="CE61" s="988"/>
      <c r="CF61" s="988"/>
      <c r="CG61" s="988"/>
      <c r="CH61" s="989"/>
      <c r="CI61" s="988"/>
      <c r="CJ61" s="988"/>
      <c r="CK61" s="988"/>
      <c r="CL61" s="989"/>
      <c r="CM61" s="988"/>
      <c r="CN61" s="988"/>
      <c r="CO61" s="988"/>
      <c r="CP61" s="989"/>
      <c r="CQ61" s="988"/>
      <c r="CR61" s="988"/>
      <c r="CS61" s="988"/>
      <c r="CT61" s="989"/>
    </row>
    <row r="62" spans="1:98" hidden="1" outlineLevel="2">
      <c r="A62" s="591" t="s">
        <v>776</v>
      </c>
      <c r="B62" s="3101"/>
      <c r="C62" s="3101"/>
      <c r="D62" s="984"/>
      <c r="E62" s="984"/>
      <c r="F62" s="984"/>
      <c r="G62" s="984"/>
      <c r="H62" s="984"/>
      <c r="I62" s="984"/>
      <c r="J62" s="984"/>
      <c r="K62" s="984">
        <f>K60-J60</f>
        <v>0</v>
      </c>
      <c r="L62" s="984">
        <f>L60-K60</f>
        <v>0</v>
      </c>
      <c r="M62" s="984">
        <f>M60-L60</f>
        <v>0</v>
      </c>
      <c r="N62" s="984">
        <f>N60-M60</f>
        <v>0</v>
      </c>
      <c r="O62" s="984">
        <f>SUM(BW62:BZ62)</f>
        <v>0</v>
      </c>
      <c r="P62" s="347">
        <f>SUM(CA62:CD62)</f>
        <v>0</v>
      </c>
      <c r="Q62" s="347"/>
      <c r="R62" s="347"/>
      <c r="S62" s="347"/>
      <c r="T62" s="347"/>
      <c r="U62" s="347"/>
      <c r="V62" s="347"/>
      <c r="W62" s="347"/>
      <c r="X62" s="347"/>
      <c r="Y62" s="347"/>
      <c r="Z62" s="347"/>
      <c r="AA62" s="347"/>
      <c r="AB62" s="347"/>
      <c r="AC62" s="347"/>
      <c r="AD62" s="347"/>
      <c r="AE62" s="347"/>
      <c r="AF62" s="347"/>
      <c r="AG62" s="3920"/>
      <c r="AH62" s="3904"/>
      <c r="AI62" s="591"/>
      <c r="AJ62" s="984"/>
      <c r="AK62" s="984"/>
      <c r="AL62" s="1002"/>
      <c r="AM62" s="986"/>
      <c r="AN62" s="984"/>
      <c r="AO62" s="984"/>
      <c r="AP62" s="1002"/>
      <c r="AQ62" s="984"/>
      <c r="AR62" s="984"/>
      <c r="AS62" s="984"/>
      <c r="AT62" s="1002"/>
      <c r="AU62" s="984"/>
      <c r="AV62" s="984"/>
      <c r="AW62" s="984"/>
      <c r="AX62" s="1002"/>
      <c r="AY62" s="984"/>
      <c r="AZ62" s="984"/>
      <c r="BA62" s="984"/>
      <c r="BB62" s="1002"/>
      <c r="BC62" s="984"/>
      <c r="BD62" s="984"/>
      <c r="BE62" s="984"/>
      <c r="BF62" s="1002"/>
      <c r="BG62" s="984"/>
      <c r="BH62" s="984"/>
      <c r="BI62" s="984"/>
      <c r="BJ62" s="984"/>
      <c r="BK62" s="986"/>
      <c r="BL62" s="984"/>
      <c r="BM62" s="984"/>
      <c r="BN62" s="984"/>
      <c r="BO62" s="986"/>
      <c r="BP62" s="347"/>
      <c r="BQ62" s="347"/>
      <c r="BR62" s="361"/>
      <c r="BS62" s="347"/>
      <c r="BT62" s="347"/>
      <c r="BU62" s="347"/>
      <c r="BV62" s="347"/>
      <c r="BW62" s="938"/>
      <c r="BX62" s="347"/>
      <c r="BY62" s="347"/>
      <c r="BZ62" s="361"/>
      <c r="CA62" s="938"/>
      <c r="CB62" s="347"/>
      <c r="CC62" s="347"/>
      <c r="CD62" s="361"/>
      <c r="CE62" s="347"/>
      <c r="CF62" s="347"/>
      <c r="CG62" s="347"/>
      <c r="CH62" s="361"/>
      <c r="CI62" s="347"/>
      <c r="CJ62" s="347"/>
      <c r="CK62" s="347"/>
      <c r="CL62" s="361"/>
      <c r="CM62" s="347"/>
      <c r="CN62" s="347"/>
      <c r="CO62" s="347"/>
      <c r="CP62" s="361"/>
      <c r="CQ62" s="347"/>
      <c r="CR62" s="347"/>
      <c r="CS62" s="347"/>
      <c r="CT62" s="361"/>
    </row>
    <row r="63" spans="1:98" hidden="1" outlineLevel="2">
      <c r="A63" s="591" t="s">
        <v>775</v>
      </c>
      <c r="B63" s="3101"/>
      <c r="C63" s="3101"/>
      <c r="D63" s="984"/>
      <c r="E63" s="984"/>
      <c r="F63" s="984"/>
      <c r="G63" s="1106"/>
      <c r="H63" s="988"/>
      <c r="I63" s="988"/>
      <c r="J63" s="988"/>
      <c r="K63" s="988"/>
      <c r="L63" s="988" t="e">
        <f>+L62/K62-1</f>
        <v>#DIV/0!</v>
      </c>
      <c r="M63" s="988" t="e">
        <f>+M62/L62-1</f>
        <v>#DIV/0!</v>
      </c>
      <c r="N63" s="988" t="e">
        <f>+N62/M62-1</f>
        <v>#DIV/0!</v>
      </c>
      <c r="O63" s="988" t="e">
        <f>+O62/N62-1</f>
        <v>#DIV/0!</v>
      </c>
      <c r="P63" s="988" t="e">
        <f>+P62/O62-1</f>
        <v>#DIV/0!</v>
      </c>
      <c r="Q63" s="988"/>
      <c r="R63" s="988"/>
      <c r="S63" s="988"/>
      <c r="T63" s="988"/>
      <c r="U63" s="988"/>
      <c r="V63" s="988"/>
      <c r="W63" s="988"/>
      <c r="X63" s="988"/>
      <c r="Y63" s="988"/>
      <c r="Z63" s="988"/>
      <c r="AA63" s="988"/>
      <c r="AB63" s="988"/>
      <c r="AC63" s="988"/>
      <c r="AD63" s="988"/>
      <c r="AE63" s="988"/>
      <c r="AF63" s="988"/>
      <c r="AG63" s="3920"/>
      <c r="AH63" s="3904"/>
      <c r="AI63" s="591"/>
      <c r="AJ63" s="984"/>
      <c r="AK63" s="984"/>
      <c r="AL63" s="989"/>
      <c r="AM63" s="990"/>
      <c r="AN63" s="988"/>
      <c r="AO63" s="988"/>
      <c r="AP63" s="989"/>
      <c r="AQ63" s="988"/>
      <c r="AR63" s="988"/>
      <c r="AS63" s="988"/>
      <c r="AT63" s="989"/>
      <c r="AU63" s="988"/>
      <c r="AV63" s="988"/>
      <c r="AW63" s="988"/>
      <c r="AX63" s="989"/>
      <c r="AY63" s="988"/>
      <c r="AZ63" s="988"/>
      <c r="BA63" s="988"/>
      <c r="BB63" s="989"/>
      <c r="BC63" s="988"/>
      <c r="BD63" s="988"/>
      <c r="BE63" s="988"/>
      <c r="BF63" s="989"/>
      <c r="BG63" s="988"/>
      <c r="BH63" s="988"/>
      <c r="BI63" s="988"/>
      <c r="BJ63" s="988"/>
      <c r="BK63" s="990"/>
      <c r="BL63" s="988"/>
      <c r="BM63" s="988"/>
      <c r="BN63" s="988"/>
      <c r="BO63" s="990"/>
      <c r="BP63" s="988"/>
      <c r="BQ63" s="988"/>
      <c r="BR63" s="989"/>
      <c r="BS63" s="988"/>
      <c r="BT63" s="988"/>
      <c r="BU63" s="988"/>
      <c r="BV63" s="988"/>
      <c r="BW63" s="990"/>
      <c r="BX63" s="988"/>
      <c r="BY63" s="988"/>
      <c r="BZ63" s="989"/>
      <c r="CA63" s="990"/>
      <c r="CB63" s="988"/>
      <c r="CC63" s="988"/>
      <c r="CD63" s="989"/>
      <c r="CE63" s="988"/>
      <c r="CF63" s="988"/>
      <c r="CG63" s="988"/>
      <c r="CH63" s="989"/>
      <c r="CI63" s="988"/>
      <c r="CJ63" s="988"/>
      <c r="CK63" s="988"/>
      <c r="CL63" s="989"/>
      <c r="CM63" s="988"/>
      <c r="CN63" s="988"/>
      <c r="CO63" s="988"/>
      <c r="CP63" s="989"/>
      <c r="CQ63" s="988"/>
      <c r="CR63" s="988"/>
      <c r="CS63" s="988"/>
      <c r="CT63" s="989"/>
    </row>
    <row r="64" spans="1:98" hidden="1" outlineLevel="3">
      <c r="A64" s="1935" t="s">
        <v>779</v>
      </c>
      <c r="B64" s="2643"/>
      <c r="C64" s="2643"/>
      <c r="D64" s="1966"/>
      <c r="E64" s="1966"/>
      <c r="F64" s="1966"/>
      <c r="G64" s="1966"/>
      <c r="H64" s="1965"/>
      <c r="I64" s="1965"/>
      <c r="J64" s="1965"/>
      <c r="K64" s="1965"/>
      <c r="L64" s="1965"/>
      <c r="M64" s="1965"/>
      <c r="N64" s="1965"/>
      <c r="O64" s="1965"/>
      <c r="P64" s="1965"/>
      <c r="Q64" s="1965"/>
      <c r="R64" s="1965"/>
      <c r="S64" s="1965"/>
      <c r="T64" s="1965"/>
      <c r="U64" s="1965"/>
      <c r="V64" s="1965"/>
      <c r="W64" s="1965"/>
      <c r="X64" s="1965"/>
      <c r="Y64" s="1965"/>
      <c r="Z64" s="1965"/>
      <c r="AA64" s="1965"/>
      <c r="AB64" s="1965"/>
      <c r="AC64" s="1965"/>
      <c r="AD64" s="1965"/>
      <c r="AE64" s="1965"/>
      <c r="AF64" s="1965"/>
      <c r="AG64" s="3920"/>
      <c r="AH64" s="2762"/>
      <c r="AI64" s="1935"/>
      <c r="AJ64" s="1966"/>
      <c r="AK64" s="1966"/>
      <c r="AL64" s="1929"/>
      <c r="AM64" s="1940"/>
      <c r="AN64" s="1965"/>
      <c r="AO64" s="1965"/>
      <c r="AP64" s="1929"/>
      <c r="AQ64" s="1965"/>
      <c r="AR64" s="1965"/>
      <c r="AS64" s="1965"/>
      <c r="AT64" s="1929"/>
      <c r="AU64" s="1965"/>
      <c r="AV64" s="1965"/>
      <c r="AW64" s="1965"/>
      <c r="AX64" s="1929"/>
      <c r="AY64" s="1965"/>
      <c r="AZ64" s="1965"/>
      <c r="BA64" s="1965"/>
      <c r="BB64" s="1929"/>
      <c r="BC64" s="1965"/>
      <c r="BD64" s="1965"/>
      <c r="BE64" s="1965"/>
      <c r="BF64" s="1929"/>
      <c r="BG64" s="1965"/>
      <c r="BH64" s="1965"/>
      <c r="BI64" s="1965"/>
      <c r="BJ64" s="1965"/>
      <c r="BK64" s="1940"/>
      <c r="BL64" s="1965"/>
      <c r="BM64" s="1965"/>
      <c r="BN64" s="1965"/>
      <c r="BO64" s="1940"/>
      <c r="BP64" s="1965"/>
      <c r="BQ64" s="1965"/>
      <c r="BR64" s="1929"/>
      <c r="BS64" s="1965"/>
      <c r="BT64" s="1965"/>
      <c r="BU64" s="1965"/>
      <c r="BV64" s="1965"/>
      <c r="BW64" s="1940"/>
      <c r="BX64" s="1965"/>
      <c r="BY64" s="1965"/>
      <c r="BZ64" s="1929"/>
      <c r="CA64" s="1940"/>
      <c r="CB64" s="1965"/>
      <c r="CC64" s="1965"/>
      <c r="CD64" s="1929"/>
      <c r="CE64" s="1965"/>
      <c r="CF64" s="1965"/>
      <c r="CG64" s="1965"/>
      <c r="CH64" s="1929"/>
      <c r="CI64" s="1965"/>
      <c r="CJ64" s="1965"/>
      <c r="CK64" s="1965"/>
      <c r="CL64" s="1929"/>
      <c r="CM64" s="1965"/>
      <c r="CN64" s="1965"/>
      <c r="CO64" s="1965"/>
      <c r="CP64" s="1929"/>
      <c r="CQ64" s="1965"/>
      <c r="CR64" s="1965"/>
      <c r="CS64" s="1965"/>
      <c r="CT64" s="1929"/>
    </row>
    <row r="65" spans="1:98" hidden="1" outlineLevel="3">
      <c r="A65" s="1935" t="s">
        <v>778</v>
      </c>
      <c r="B65" s="2643"/>
      <c r="C65" s="2643"/>
      <c r="D65" s="1966"/>
      <c r="E65" s="1966"/>
      <c r="F65" s="1966"/>
      <c r="G65" s="1966"/>
      <c r="H65" s="1965"/>
      <c r="I65" s="1965"/>
      <c r="J65" s="1965"/>
      <c r="K65" s="1965"/>
      <c r="L65" s="1965"/>
      <c r="M65" s="1965"/>
      <c r="N65" s="1965"/>
      <c r="O65" s="1965"/>
      <c r="P65" s="1965"/>
      <c r="Q65" s="1965"/>
      <c r="R65" s="1965"/>
      <c r="S65" s="1965"/>
      <c r="T65" s="1965"/>
      <c r="U65" s="1965"/>
      <c r="V65" s="1965"/>
      <c r="W65" s="1965"/>
      <c r="X65" s="1965"/>
      <c r="Y65" s="1965"/>
      <c r="Z65" s="1965"/>
      <c r="AA65" s="1965"/>
      <c r="AB65" s="1965"/>
      <c r="AC65" s="1965"/>
      <c r="AD65" s="1965"/>
      <c r="AE65" s="1965"/>
      <c r="AF65" s="1965"/>
      <c r="AG65" s="3920"/>
      <c r="AH65" s="2762"/>
      <c r="AI65" s="1935"/>
      <c r="AJ65" s="1966"/>
      <c r="AK65" s="1966"/>
      <c r="AL65" s="1929"/>
      <c r="AM65" s="1940"/>
      <c r="AN65" s="1965"/>
      <c r="AO65" s="1965"/>
      <c r="AP65" s="1929"/>
      <c r="AQ65" s="1965"/>
      <c r="AR65" s="1965"/>
      <c r="AS65" s="1965"/>
      <c r="AT65" s="1929"/>
      <c r="AU65" s="1965"/>
      <c r="AV65" s="1965"/>
      <c r="AW65" s="1965"/>
      <c r="AX65" s="1929"/>
      <c r="AY65" s="1965"/>
      <c r="AZ65" s="1965"/>
      <c r="BA65" s="1965"/>
      <c r="BB65" s="1929"/>
      <c r="BC65" s="1965"/>
      <c r="BD65" s="1965"/>
      <c r="BE65" s="1965"/>
      <c r="BF65" s="1929"/>
      <c r="BG65" s="1965"/>
      <c r="BH65" s="1965"/>
      <c r="BI65" s="1965"/>
      <c r="BJ65" s="1965"/>
      <c r="BK65" s="1940"/>
      <c r="BL65" s="1965"/>
      <c r="BM65" s="1965"/>
      <c r="BN65" s="1965"/>
      <c r="BO65" s="1940"/>
      <c r="BP65" s="1965"/>
      <c r="BQ65" s="1965"/>
      <c r="BR65" s="1929"/>
      <c r="BS65" s="1965"/>
      <c r="BT65" s="1965"/>
      <c r="BU65" s="1965"/>
      <c r="BV65" s="1965"/>
      <c r="BW65" s="1940"/>
      <c r="BX65" s="1965"/>
      <c r="BY65" s="1965"/>
      <c r="BZ65" s="1929"/>
      <c r="CA65" s="1940"/>
      <c r="CB65" s="1965"/>
      <c r="CC65" s="1965"/>
      <c r="CD65" s="1929"/>
      <c r="CE65" s="1965"/>
      <c r="CF65" s="1965"/>
      <c r="CG65" s="1965"/>
      <c r="CH65" s="1929"/>
      <c r="CI65" s="1965"/>
      <c r="CJ65" s="1965"/>
      <c r="CK65" s="1965"/>
      <c r="CL65" s="1929"/>
      <c r="CM65" s="1965"/>
      <c r="CN65" s="1965"/>
      <c r="CO65" s="1965"/>
      <c r="CP65" s="1929"/>
      <c r="CQ65" s="1965"/>
      <c r="CR65" s="1965"/>
      <c r="CS65" s="1965"/>
      <c r="CT65" s="1929"/>
    </row>
    <row r="66" spans="1:98" hidden="1" outlineLevel="3">
      <c r="A66" s="1935" t="s">
        <v>780</v>
      </c>
      <c r="B66" s="2643"/>
      <c r="C66" s="2643"/>
      <c r="D66" s="1966"/>
      <c r="E66" s="1966"/>
      <c r="F66" s="1966"/>
      <c r="G66" s="1966"/>
      <c r="H66" s="1965"/>
      <c r="I66" s="1965"/>
      <c r="J66" s="1965"/>
      <c r="K66" s="1965"/>
      <c r="L66" s="1965"/>
      <c r="M66" s="1965"/>
      <c r="N66" s="1965"/>
      <c r="O66" s="1965"/>
      <c r="P66" s="1965"/>
      <c r="Q66" s="1965"/>
      <c r="R66" s="1965"/>
      <c r="S66" s="1965"/>
      <c r="T66" s="1965"/>
      <c r="U66" s="1965"/>
      <c r="V66" s="1965"/>
      <c r="W66" s="1965"/>
      <c r="X66" s="1965"/>
      <c r="Y66" s="1965"/>
      <c r="Z66" s="1965"/>
      <c r="AA66" s="1965"/>
      <c r="AB66" s="1965"/>
      <c r="AC66" s="1965"/>
      <c r="AD66" s="1965"/>
      <c r="AE66" s="1965"/>
      <c r="AF66" s="1965"/>
      <c r="AG66" s="3920"/>
      <c r="AH66" s="2762"/>
      <c r="AI66" s="1935"/>
      <c r="AJ66" s="1966"/>
      <c r="AK66" s="1966"/>
      <c r="AL66" s="1929"/>
      <c r="AM66" s="1940"/>
      <c r="AN66" s="1965"/>
      <c r="AO66" s="1965"/>
      <c r="AP66" s="1929"/>
      <c r="AQ66" s="1965"/>
      <c r="AR66" s="1965"/>
      <c r="AS66" s="1965"/>
      <c r="AT66" s="1929"/>
      <c r="AU66" s="1965"/>
      <c r="AV66" s="1965"/>
      <c r="AW66" s="1965"/>
      <c r="AX66" s="1929"/>
      <c r="AY66" s="1965"/>
      <c r="AZ66" s="1965"/>
      <c r="BA66" s="1965"/>
      <c r="BB66" s="1929"/>
      <c r="BC66" s="1965"/>
      <c r="BD66" s="1965"/>
      <c r="BE66" s="1965"/>
      <c r="BF66" s="1929"/>
      <c r="BG66" s="1965"/>
      <c r="BH66" s="1965"/>
      <c r="BI66" s="1965"/>
      <c r="BJ66" s="1965"/>
      <c r="BK66" s="1940"/>
      <c r="BL66" s="1965"/>
      <c r="BM66" s="1965"/>
      <c r="BN66" s="1965"/>
      <c r="BO66" s="1940"/>
      <c r="BP66" s="1965"/>
      <c r="BQ66" s="1965"/>
      <c r="BR66" s="1929"/>
      <c r="BS66" s="1965"/>
      <c r="BT66" s="1965"/>
      <c r="BU66" s="1965"/>
      <c r="BV66" s="1965"/>
      <c r="BW66" s="1940"/>
      <c r="BX66" s="1965"/>
      <c r="BY66" s="1965"/>
      <c r="BZ66" s="1929"/>
      <c r="CA66" s="1940"/>
      <c r="CB66" s="1965"/>
      <c r="CC66" s="1965"/>
      <c r="CD66" s="1929"/>
      <c r="CE66" s="1965"/>
      <c r="CF66" s="1965"/>
      <c r="CG66" s="1965"/>
      <c r="CH66" s="1929"/>
      <c r="CI66" s="1965"/>
      <c r="CJ66" s="1965"/>
      <c r="CK66" s="1965"/>
      <c r="CL66" s="1929"/>
      <c r="CM66" s="1965"/>
      <c r="CN66" s="1965"/>
      <c r="CO66" s="1965"/>
      <c r="CP66" s="1929"/>
      <c r="CQ66" s="1965"/>
      <c r="CR66" s="1965"/>
      <c r="CS66" s="1965"/>
      <c r="CT66" s="1929"/>
    </row>
    <row r="67" spans="1:98" hidden="1" outlineLevel="2" collapsed="1">
      <c r="A67" s="3915" t="s">
        <v>657</v>
      </c>
      <c r="B67" s="1693"/>
      <c r="C67" s="1693"/>
      <c r="D67" s="1063"/>
      <c r="E67" s="1063"/>
      <c r="F67" s="1063"/>
      <c r="G67" s="1063"/>
      <c r="H67" s="1063"/>
      <c r="I67" s="1063"/>
      <c r="J67" s="1063">
        <f t="shared" ref="J67:P67" si="169">+(J60+I60)/2</f>
        <v>0</v>
      </c>
      <c r="K67" s="1063">
        <f t="shared" si="169"/>
        <v>0</v>
      </c>
      <c r="L67" s="1063">
        <f t="shared" si="169"/>
        <v>0</v>
      </c>
      <c r="M67" s="1063">
        <f t="shared" si="169"/>
        <v>0</v>
      </c>
      <c r="N67" s="1063">
        <f t="shared" si="169"/>
        <v>0</v>
      </c>
      <c r="O67" s="1063">
        <f t="shared" si="169"/>
        <v>0</v>
      </c>
      <c r="P67" s="1063">
        <f t="shared" si="169"/>
        <v>0</v>
      </c>
      <c r="Q67" s="1063"/>
      <c r="R67" s="1063"/>
      <c r="S67" s="1063"/>
      <c r="T67" s="1063"/>
      <c r="U67" s="1063"/>
      <c r="V67" s="1063"/>
      <c r="W67" s="1063"/>
      <c r="X67" s="1063"/>
      <c r="Y67" s="1063"/>
      <c r="Z67" s="1063"/>
      <c r="AA67" s="1063"/>
      <c r="AB67" s="1063"/>
      <c r="AC67" s="1063"/>
      <c r="AD67" s="1063"/>
      <c r="AE67" s="1063"/>
      <c r="AF67" s="1063"/>
      <c r="AG67" s="3920"/>
      <c r="AH67" s="3917"/>
      <c r="AI67" s="3915"/>
      <c r="AJ67" s="1063"/>
      <c r="AK67" s="1063"/>
      <c r="AL67" s="3918"/>
      <c r="AM67" s="3919"/>
      <c r="AN67" s="1063"/>
      <c r="AO67" s="1063"/>
      <c r="AP67" s="3918"/>
      <c r="AQ67" s="1063"/>
      <c r="AR67" s="1063"/>
      <c r="AS67" s="1063"/>
      <c r="AT67" s="3918"/>
      <c r="AU67" s="1063"/>
      <c r="AV67" s="1063"/>
      <c r="AW67" s="1063"/>
      <c r="AX67" s="3918"/>
      <c r="AY67" s="1063"/>
      <c r="AZ67" s="1063"/>
      <c r="BA67" s="1063"/>
      <c r="BB67" s="3918"/>
      <c r="BC67" s="1063"/>
      <c r="BD67" s="1063"/>
      <c r="BE67" s="1063"/>
      <c r="BF67" s="3918"/>
      <c r="BG67" s="1063"/>
      <c r="BH67" s="1063"/>
      <c r="BI67" s="1063"/>
      <c r="BJ67" s="1063"/>
      <c r="BK67" s="3919"/>
      <c r="BL67" s="1063"/>
      <c r="BM67" s="1063"/>
      <c r="BN67" s="1063"/>
      <c r="BO67" s="3919"/>
      <c r="BP67" s="1063"/>
      <c r="BQ67" s="1063"/>
      <c r="BR67" s="3918"/>
      <c r="BS67" s="1063"/>
      <c r="BT67" s="1063"/>
      <c r="BU67" s="1063"/>
      <c r="BV67" s="1063"/>
      <c r="BW67" s="3919"/>
      <c r="BX67" s="1063"/>
      <c r="BY67" s="1063"/>
      <c r="BZ67" s="3918"/>
      <c r="CA67" s="3919"/>
      <c r="CB67" s="1063"/>
      <c r="CC67" s="1063"/>
      <c r="CD67" s="3918"/>
      <c r="CE67" s="1063"/>
      <c r="CF67" s="1063"/>
      <c r="CG67" s="1063"/>
      <c r="CH67" s="3918"/>
      <c r="CI67" s="1063"/>
      <c r="CJ67" s="1063"/>
      <c r="CK67" s="1063"/>
      <c r="CL67" s="3918"/>
      <c r="CM67" s="1063"/>
      <c r="CN67" s="1063"/>
      <c r="CO67" s="1063"/>
      <c r="CP67" s="3918"/>
      <c r="CQ67" s="1063"/>
      <c r="CR67" s="1063"/>
      <c r="CS67" s="1063"/>
      <c r="CT67" s="3918"/>
    </row>
    <row r="68" spans="1:98" s="2140" customFormat="1" hidden="1" outlineLevel="2">
      <c r="A68" s="2192" t="s">
        <v>786</v>
      </c>
      <c r="B68" s="2137"/>
      <c r="C68" s="2137"/>
      <c r="D68" s="2137"/>
      <c r="E68" s="2137"/>
      <c r="F68" s="2137"/>
      <c r="G68" s="2137"/>
      <c r="H68" s="2137"/>
      <c r="I68" s="4170" t="s">
        <v>727</v>
      </c>
      <c r="J68" s="4171"/>
      <c r="K68" s="2137"/>
      <c r="L68" s="2137"/>
      <c r="M68" s="2137"/>
      <c r="N68" s="2137"/>
      <c r="O68" s="2137"/>
      <c r="P68" s="2137"/>
      <c r="Q68" s="2137"/>
      <c r="R68" s="2137"/>
      <c r="S68" s="2137"/>
      <c r="T68" s="2137"/>
      <c r="U68" s="2137"/>
      <c r="V68" s="2137"/>
      <c r="W68" s="2137"/>
      <c r="X68" s="2137"/>
      <c r="Y68" s="2137"/>
      <c r="Z68" s="2137"/>
      <c r="AA68" s="2137"/>
      <c r="AB68" s="2137"/>
      <c r="AC68" s="2137"/>
      <c r="AD68" s="2137"/>
      <c r="AE68" s="2137"/>
      <c r="AF68" s="2137"/>
      <c r="AG68" s="3920"/>
      <c r="AH68" s="2763"/>
      <c r="AI68" s="2139"/>
      <c r="AJ68" s="2137"/>
      <c r="AK68" s="2137"/>
      <c r="AL68" s="2138"/>
      <c r="AM68" s="2139"/>
      <c r="AN68" s="2137"/>
      <c r="AO68" s="2137"/>
      <c r="AP68" s="2138"/>
      <c r="AQ68" s="2137"/>
      <c r="AR68" s="2137"/>
      <c r="AS68" s="2137"/>
      <c r="AT68" s="2138"/>
      <c r="AU68" s="2137"/>
      <c r="AV68" s="2137"/>
      <c r="AW68" s="2137"/>
      <c r="AX68" s="2138"/>
      <c r="AY68" s="2137"/>
      <c r="AZ68" s="2137"/>
      <c r="BA68" s="2137"/>
      <c r="BB68" s="2138"/>
      <c r="BC68" s="4095" t="s">
        <v>492</v>
      </c>
      <c r="BD68" s="2137"/>
      <c r="BE68" s="2137"/>
      <c r="BF68" s="2138"/>
      <c r="BG68" s="2137"/>
      <c r="BH68" s="2137"/>
      <c r="BI68" s="2137"/>
      <c r="BJ68" s="2137"/>
      <c r="BK68" s="2139"/>
      <c r="BL68" s="2137"/>
      <c r="BM68" s="2137"/>
      <c r="BN68" s="2137"/>
      <c r="BO68" s="2139"/>
      <c r="BP68" s="2137"/>
      <c r="BQ68" s="2137"/>
      <c r="BR68" s="2138"/>
      <c r="BS68" s="2137"/>
      <c r="BT68" s="2137"/>
      <c r="BU68" s="2137"/>
      <c r="BV68" s="2137"/>
      <c r="BW68" s="2139"/>
      <c r="BX68" s="2137"/>
      <c r="BY68" s="2137"/>
      <c r="BZ68" s="2138"/>
      <c r="CA68" s="2139"/>
      <c r="CB68" s="2137"/>
      <c r="CC68" s="2137"/>
      <c r="CD68" s="2138"/>
      <c r="CE68" s="2137"/>
      <c r="CF68" s="2137"/>
      <c r="CG68" s="2137"/>
      <c r="CH68" s="2138"/>
      <c r="CI68" s="2137"/>
      <c r="CJ68" s="2137"/>
      <c r="CK68" s="2137"/>
      <c r="CL68" s="2138"/>
      <c r="CM68" s="2137"/>
      <c r="CN68" s="2137"/>
      <c r="CO68" s="2137"/>
      <c r="CP68" s="2138"/>
      <c r="CQ68" s="2137"/>
      <c r="CR68" s="2137"/>
      <c r="CS68" s="2137"/>
      <c r="CT68" s="2138"/>
    </row>
    <row r="69" spans="1:98" s="2140" customFormat="1" hidden="1" outlineLevel="2">
      <c r="A69" s="2144" t="s">
        <v>662</v>
      </c>
      <c r="B69" s="2195"/>
      <c r="C69" s="2195"/>
      <c r="D69" s="2195"/>
      <c r="E69" s="2142"/>
      <c r="F69" s="2141">
        <f>SUM(AM69:AP69)</f>
        <v>0</v>
      </c>
      <c r="G69" s="2141">
        <f>SUM(AQ69:AT69)</f>
        <v>0</v>
      </c>
      <c r="H69" s="2141">
        <f>SUM(AU69:AX69)</f>
        <v>0</v>
      </c>
      <c r="I69" s="2141">
        <f>SUM(AY69:BB69)</f>
        <v>0</v>
      </c>
      <c r="J69" s="2141">
        <f>SUM(BC69:BF69)</f>
        <v>0</v>
      </c>
      <c r="K69" s="2141">
        <f>SUM(BG69:BJ69)</f>
        <v>0</v>
      </c>
      <c r="L69" s="2141">
        <f>SUM(BK69:BN69)</f>
        <v>0</v>
      </c>
      <c r="M69" s="2141">
        <f>SUM(BO69:BR69)</f>
        <v>0</v>
      </c>
      <c r="N69" s="2141">
        <f>SUM(BS69:BV69)</f>
        <v>0</v>
      </c>
      <c r="O69" s="2141">
        <f>SUM(BT69:BW69)</f>
        <v>0</v>
      </c>
      <c r="P69" s="2142">
        <f>+P17*P72*12/1000</f>
        <v>0</v>
      </c>
      <c r="Q69" s="2142"/>
      <c r="R69" s="2142"/>
      <c r="S69" s="2142"/>
      <c r="T69" s="2142"/>
      <c r="U69" s="2142"/>
      <c r="V69" s="2142"/>
      <c r="W69" s="2142"/>
      <c r="X69" s="2142"/>
      <c r="Y69" s="2142"/>
      <c r="Z69" s="2142"/>
      <c r="AA69" s="2142"/>
      <c r="AB69" s="2142"/>
      <c r="AC69" s="2142"/>
      <c r="AD69" s="2142"/>
      <c r="AE69" s="2142"/>
      <c r="AF69" s="2142"/>
      <c r="AG69" s="3920"/>
      <c r="AH69" s="2764"/>
      <c r="AI69" s="2144"/>
      <c r="AJ69" s="2142"/>
      <c r="AK69" s="2142"/>
      <c r="AL69" s="2143"/>
      <c r="AM69" s="2142"/>
      <c r="AN69" s="2142"/>
      <c r="AO69" s="2142"/>
      <c r="AP69" s="2143"/>
      <c r="AQ69" s="2142"/>
      <c r="AR69" s="2142"/>
      <c r="AS69" s="2142"/>
      <c r="AT69" s="2143"/>
      <c r="AU69" s="2142"/>
      <c r="AV69" s="2142"/>
      <c r="AW69" s="2142"/>
      <c r="AX69" s="2143"/>
      <c r="AY69" s="2142"/>
      <c r="AZ69" s="2142"/>
      <c r="BA69" s="2142"/>
      <c r="BB69" s="2143"/>
      <c r="BC69" s="2142"/>
      <c r="BD69" s="2142"/>
      <c r="BE69" s="2142"/>
      <c r="BF69" s="2143"/>
      <c r="BG69" s="2142"/>
      <c r="BH69" s="2142"/>
      <c r="BI69" s="2142"/>
      <c r="BJ69" s="2142"/>
      <c r="BK69" s="2145"/>
      <c r="BL69" s="2142"/>
      <c r="BM69" s="2142"/>
      <c r="BN69" s="2142"/>
      <c r="BO69" s="2145"/>
      <c r="BP69" s="2142"/>
      <c r="BQ69" s="2142"/>
      <c r="BR69" s="2143"/>
      <c r="BS69" s="2142"/>
      <c r="BT69" s="2142"/>
      <c r="BU69" s="2142"/>
      <c r="BV69" s="2142"/>
      <c r="BW69" s="2145"/>
      <c r="BX69" s="2142"/>
      <c r="BY69" s="2142"/>
      <c r="BZ69" s="2143"/>
      <c r="CA69" s="2145"/>
      <c r="CB69" s="2142"/>
      <c r="CC69" s="2142"/>
      <c r="CD69" s="2143"/>
      <c r="CE69" s="2142"/>
      <c r="CF69" s="2142"/>
      <c r="CG69" s="2142"/>
      <c r="CH69" s="2143"/>
      <c r="CI69" s="2142"/>
      <c r="CJ69" s="2142"/>
      <c r="CK69" s="2142"/>
      <c r="CL69" s="2143"/>
      <c r="CM69" s="2142"/>
      <c r="CN69" s="2142"/>
      <c r="CO69" s="2142"/>
      <c r="CP69" s="2143"/>
      <c r="CQ69" s="2142"/>
      <c r="CR69" s="2142"/>
      <c r="CS69" s="2142"/>
      <c r="CT69" s="2143"/>
    </row>
    <row r="70" spans="1:98" s="2140" customFormat="1" hidden="1" outlineLevel="2">
      <c r="A70" s="2148" t="s">
        <v>775</v>
      </c>
      <c r="B70" s="2149"/>
      <c r="C70" s="2149"/>
      <c r="D70" s="2149"/>
      <c r="E70" s="2149"/>
      <c r="F70" s="2146"/>
      <c r="G70" s="2146" t="e">
        <f t="shared" ref="G70:P70" si="170">G69/F69-1</f>
        <v>#DIV/0!</v>
      </c>
      <c r="H70" s="2146" t="e">
        <f t="shared" si="170"/>
        <v>#DIV/0!</v>
      </c>
      <c r="I70" s="2146" t="e">
        <f t="shared" si="170"/>
        <v>#DIV/0!</v>
      </c>
      <c r="J70" s="2146" t="e">
        <f t="shared" si="170"/>
        <v>#DIV/0!</v>
      </c>
      <c r="K70" s="2146" t="e">
        <f t="shared" si="170"/>
        <v>#DIV/0!</v>
      </c>
      <c r="L70" s="2146" t="e">
        <f t="shared" si="170"/>
        <v>#DIV/0!</v>
      </c>
      <c r="M70" s="2146" t="e">
        <f t="shared" si="170"/>
        <v>#DIV/0!</v>
      </c>
      <c r="N70" s="2146" t="e">
        <f t="shared" si="170"/>
        <v>#DIV/0!</v>
      </c>
      <c r="O70" s="2146" t="e">
        <f t="shared" si="170"/>
        <v>#DIV/0!</v>
      </c>
      <c r="P70" s="2146" t="e">
        <f t="shared" si="170"/>
        <v>#DIV/0!</v>
      </c>
      <c r="Q70" s="2146"/>
      <c r="R70" s="2146"/>
      <c r="S70" s="2146"/>
      <c r="T70" s="2146"/>
      <c r="U70" s="2146"/>
      <c r="V70" s="2146"/>
      <c r="W70" s="2146"/>
      <c r="X70" s="2146"/>
      <c r="Y70" s="2146"/>
      <c r="Z70" s="2146"/>
      <c r="AA70" s="2146"/>
      <c r="AB70" s="2146"/>
      <c r="AC70" s="2146"/>
      <c r="AD70" s="2146"/>
      <c r="AE70" s="2146"/>
      <c r="AF70" s="2146"/>
      <c r="AG70" s="3920"/>
      <c r="AH70" s="2763"/>
      <c r="AI70" s="2148"/>
      <c r="AJ70" s="2149"/>
      <c r="AK70" s="2149"/>
      <c r="AL70" s="2147"/>
      <c r="AM70" s="2150"/>
      <c r="AN70" s="2146"/>
      <c r="AO70" s="2146"/>
      <c r="AP70" s="2147"/>
      <c r="AQ70" s="2146"/>
      <c r="AR70" s="2146"/>
      <c r="AS70" s="2146"/>
      <c r="AT70" s="2147"/>
      <c r="AU70" s="2146"/>
      <c r="AV70" s="2146"/>
      <c r="AW70" s="2146"/>
      <c r="AX70" s="2147"/>
      <c r="AY70" s="2146"/>
      <c r="AZ70" s="2146"/>
      <c r="BA70" s="2146"/>
      <c r="BB70" s="2147"/>
      <c r="BC70" s="2146"/>
      <c r="BD70" s="2146"/>
      <c r="BE70" s="2146"/>
      <c r="BF70" s="2147"/>
      <c r="BG70" s="2146"/>
      <c r="BH70" s="2146"/>
      <c r="BI70" s="2146"/>
      <c r="BJ70" s="2146"/>
      <c r="BK70" s="2150"/>
      <c r="BL70" s="2146"/>
      <c r="BM70" s="2146"/>
      <c r="BN70" s="2146"/>
      <c r="BO70" s="2150"/>
      <c r="BP70" s="2146"/>
      <c r="BQ70" s="2146"/>
      <c r="BR70" s="2147"/>
      <c r="BS70" s="2146"/>
      <c r="BT70" s="2146"/>
      <c r="BU70" s="2146"/>
      <c r="BV70" s="2146"/>
      <c r="BW70" s="2150"/>
      <c r="BX70" s="2146"/>
      <c r="BY70" s="2146"/>
      <c r="BZ70" s="2147"/>
      <c r="CA70" s="2150"/>
      <c r="CB70" s="2146"/>
      <c r="CC70" s="2146"/>
      <c r="CD70" s="2147"/>
      <c r="CE70" s="2146"/>
      <c r="CF70" s="2146"/>
      <c r="CG70" s="2146"/>
      <c r="CH70" s="2147"/>
      <c r="CI70" s="2146"/>
      <c r="CJ70" s="2146"/>
      <c r="CK70" s="2146"/>
      <c r="CL70" s="2147"/>
      <c r="CM70" s="2146"/>
      <c r="CN70" s="2146"/>
      <c r="CO70" s="2146"/>
      <c r="CP70" s="2147"/>
      <c r="CQ70" s="2146"/>
      <c r="CR70" s="2146"/>
      <c r="CS70" s="2146"/>
      <c r="CT70" s="2147"/>
    </row>
    <row r="71" spans="1:98" s="2140" customFormat="1" hidden="1" outlineLevel="2">
      <c r="A71" s="2155" t="s">
        <v>491</v>
      </c>
      <c r="B71" s="2167"/>
      <c r="C71" s="2167"/>
      <c r="D71" s="2156"/>
      <c r="E71" s="2156"/>
      <c r="F71" s="2156"/>
      <c r="G71" s="2151"/>
      <c r="H71" s="2151"/>
      <c r="I71" s="2151"/>
      <c r="J71" s="2152"/>
      <c r="K71" s="2153"/>
      <c r="L71" s="2152"/>
      <c r="M71" s="2152"/>
      <c r="N71" s="2152"/>
      <c r="O71" s="2152"/>
      <c r="P71" s="2152"/>
      <c r="Q71" s="2152"/>
      <c r="R71" s="2152"/>
      <c r="S71" s="2152"/>
      <c r="T71" s="2152"/>
      <c r="U71" s="2152"/>
      <c r="V71" s="2152"/>
      <c r="W71" s="2152"/>
      <c r="X71" s="2152"/>
      <c r="Y71" s="2152"/>
      <c r="Z71" s="2152"/>
      <c r="AA71" s="2152"/>
      <c r="AB71" s="2152"/>
      <c r="AC71" s="2152"/>
      <c r="AD71" s="2152"/>
      <c r="AE71" s="2152"/>
      <c r="AF71" s="2152"/>
      <c r="AG71" s="3920"/>
      <c r="AH71" s="2763"/>
      <c r="AI71" s="2155"/>
      <c r="AJ71" s="2156"/>
      <c r="AK71" s="2156"/>
      <c r="AL71" s="2157"/>
      <c r="AM71" s="2152"/>
      <c r="AN71" s="2152"/>
      <c r="AO71" s="2152"/>
      <c r="AP71" s="2154"/>
      <c r="AQ71" s="2152"/>
      <c r="AR71" s="2152"/>
      <c r="AS71" s="2152"/>
      <c r="AT71" s="2154"/>
      <c r="AU71" s="2152"/>
      <c r="AV71" s="2152"/>
      <c r="AW71" s="2152"/>
      <c r="AX71" s="2154"/>
      <c r="AY71" s="2152"/>
      <c r="AZ71" s="2152"/>
      <c r="BA71" s="2152"/>
      <c r="BB71" s="2154"/>
      <c r="BC71" s="2152"/>
      <c r="BD71" s="2152"/>
      <c r="BE71" s="2152"/>
      <c r="BF71" s="2154"/>
      <c r="BG71" s="2152"/>
      <c r="BH71" s="2152"/>
      <c r="BI71" s="2152"/>
      <c r="BJ71" s="2152"/>
      <c r="BK71" s="2158"/>
      <c r="BL71" s="2152"/>
      <c r="BM71" s="2152"/>
      <c r="BN71" s="2152"/>
      <c r="BO71" s="2158"/>
      <c r="BP71" s="2152"/>
      <c r="BQ71" s="2152"/>
      <c r="BR71" s="2154"/>
      <c r="BS71" s="2152"/>
      <c r="BT71" s="2152"/>
      <c r="BU71" s="2152"/>
      <c r="BV71" s="2152"/>
      <c r="BW71" s="2158"/>
      <c r="BX71" s="2152"/>
      <c r="BY71" s="2152"/>
      <c r="BZ71" s="2154"/>
      <c r="CA71" s="2158"/>
      <c r="CB71" s="2152"/>
      <c r="CC71" s="2152"/>
      <c r="CD71" s="2154"/>
      <c r="CE71" s="2152"/>
      <c r="CF71" s="2152"/>
      <c r="CG71" s="2152"/>
      <c r="CH71" s="2154"/>
      <c r="CI71" s="2152"/>
      <c r="CJ71" s="2152"/>
      <c r="CK71" s="2152"/>
      <c r="CL71" s="2154"/>
      <c r="CM71" s="2152"/>
      <c r="CN71" s="2152"/>
      <c r="CO71" s="2152"/>
      <c r="CP71" s="2154"/>
      <c r="CQ71" s="2152"/>
      <c r="CR71" s="2152"/>
      <c r="CS71" s="2152"/>
      <c r="CT71" s="2154"/>
    </row>
    <row r="72" spans="1:98" s="2140" customFormat="1" hidden="1" outlineLevel="2">
      <c r="A72" s="2148" t="s">
        <v>783</v>
      </c>
      <c r="B72" s="2149"/>
      <c r="C72" s="2149"/>
      <c r="D72" s="2149"/>
      <c r="E72" s="2159"/>
      <c r="F72" s="2159">
        <f t="shared" ref="F72:O72" si="171">+F69/(F17/1000)/12</f>
        <v>0</v>
      </c>
      <c r="G72" s="2159">
        <f t="shared" si="171"/>
        <v>0</v>
      </c>
      <c r="H72" s="2159">
        <f t="shared" si="171"/>
        <v>0</v>
      </c>
      <c r="I72" s="2159">
        <f t="shared" si="171"/>
        <v>0</v>
      </c>
      <c r="J72" s="2159">
        <f t="shared" si="171"/>
        <v>0</v>
      </c>
      <c r="K72" s="2159">
        <f t="shared" si="171"/>
        <v>0</v>
      </c>
      <c r="L72" s="2159">
        <f t="shared" si="171"/>
        <v>0</v>
      </c>
      <c r="M72" s="2159">
        <f t="shared" si="171"/>
        <v>0</v>
      </c>
      <c r="N72" s="2159">
        <f t="shared" si="171"/>
        <v>0</v>
      </c>
      <c r="O72" s="2159">
        <f t="shared" si="171"/>
        <v>0</v>
      </c>
      <c r="P72" s="2159">
        <f>+O72*(1+P73)</f>
        <v>0</v>
      </c>
      <c r="Q72" s="2159"/>
      <c r="R72" s="2159"/>
      <c r="S72" s="2159"/>
      <c r="T72" s="2159"/>
      <c r="U72" s="2159"/>
      <c r="V72" s="2159"/>
      <c r="W72" s="2159"/>
      <c r="X72" s="2159"/>
      <c r="Y72" s="2159"/>
      <c r="Z72" s="2159"/>
      <c r="AA72" s="2159"/>
      <c r="AB72" s="2159"/>
      <c r="AC72" s="2159"/>
      <c r="AD72" s="2159"/>
      <c r="AE72" s="2159"/>
      <c r="AF72" s="2159"/>
      <c r="AG72" s="3920"/>
      <c r="AH72" s="2763"/>
      <c r="AI72" s="2148"/>
      <c r="AJ72" s="2159"/>
      <c r="AK72" s="2159"/>
      <c r="AL72" s="2160"/>
      <c r="AM72" s="2161"/>
      <c r="AN72" s="2159"/>
      <c r="AO72" s="2159"/>
      <c r="AP72" s="2160"/>
      <c r="AQ72" s="2159"/>
      <c r="AR72" s="2159"/>
      <c r="AS72" s="2159"/>
      <c r="AT72" s="2160"/>
      <c r="AU72" s="2159"/>
      <c r="AV72" s="2159"/>
      <c r="AW72" s="2159"/>
      <c r="AX72" s="2160"/>
      <c r="AY72" s="2159"/>
      <c r="AZ72" s="2159"/>
      <c r="BA72" s="2159"/>
      <c r="BB72" s="2160"/>
      <c r="BC72" s="2159"/>
      <c r="BD72" s="2159"/>
      <c r="BE72" s="2159"/>
      <c r="BF72" s="2160"/>
      <c r="BG72" s="2159"/>
      <c r="BH72" s="2159"/>
      <c r="BI72" s="2159"/>
      <c r="BJ72" s="2159"/>
      <c r="BK72" s="2161"/>
      <c r="BL72" s="2159"/>
      <c r="BM72" s="2159"/>
      <c r="BN72" s="2159"/>
      <c r="BO72" s="2161"/>
      <c r="BP72" s="2159"/>
      <c r="BQ72" s="2159"/>
      <c r="BR72" s="2160"/>
      <c r="BS72" s="2159"/>
      <c r="BT72" s="2159"/>
      <c r="BU72" s="2159"/>
      <c r="BV72" s="2159"/>
      <c r="BW72" s="2161"/>
      <c r="BX72" s="2159"/>
      <c r="BY72" s="2159"/>
      <c r="BZ72" s="2160"/>
      <c r="CA72" s="2161"/>
      <c r="CB72" s="2159"/>
      <c r="CC72" s="2159"/>
      <c r="CD72" s="2160"/>
      <c r="CE72" s="2159"/>
      <c r="CF72" s="2159"/>
      <c r="CG72" s="2159"/>
      <c r="CH72" s="2160"/>
      <c r="CI72" s="2159"/>
      <c r="CJ72" s="2159"/>
      <c r="CK72" s="2159"/>
      <c r="CL72" s="2160"/>
      <c r="CM72" s="2159"/>
      <c r="CN72" s="2159"/>
      <c r="CO72" s="2159"/>
      <c r="CP72" s="2160"/>
      <c r="CQ72" s="2159"/>
      <c r="CR72" s="2159"/>
      <c r="CS72" s="2159"/>
      <c r="CT72" s="2160"/>
    </row>
    <row r="73" spans="1:98" s="2140" customFormat="1" hidden="1" outlineLevel="2">
      <c r="A73" s="2148" t="s">
        <v>775</v>
      </c>
      <c r="B73" s="2149"/>
      <c r="C73" s="2149"/>
      <c r="D73" s="2149"/>
      <c r="E73" s="2149"/>
      <c r="F73" s="2146"/>
      <c r="G73" s="2146" t="e">
        <f t="shared" ref="G73:O73" si="172">G72/F72-1</f>
        <v>#DIV/0!</v>
      </c>
      <c r="H73" s="2146" t="e">
        <f t="shared" si="172"/>
        <v>#DIV/0!</v>
      </c>
      <c r="I73" s="2146" t="e">
        <f t="shared" si="172"/>
        <v>#DIV/0!</v>
      </c>
      <c r="J73" s="2146" t="e">
        <f t="shared" si="172"/>
        <v>#DIV/0!</v>
      </c>
      <c r="K73" s="2146" t="e">
        <f t="shared" si="172"/>
        <v>#DIV/0!</v>
      </c>
      <c r="L73" s="2146" t="e">
        <f t="shared" si="172"/>
        <v>#DIV/0!</v>
      </c>
      <c r="M73" s="2146" t="e">
        <f t="shared" si="172"/>
        <v>#DIV/0!</v>
      </c>
      <c r="N73" s="2146" t="e">
        <f t="shared" si="172"/>
        <v>#DIV/0!</v>
      </c>
      <c r="O73" s="2146" t="e">
        <f t="shared" si="172"/>
        <v>#DIV/0!</v>
      </c>
      <c r="P73" s="2146">
        <v>9.1999999999999998E-2</v>
      </c>
      <c r="Q73" s="2146"/>
      <c r="R73" s="2146"/>
      <c r="S73" s="2146"/>
      <c r="T73" s="2146"/>
      <c r="U73" s="2146"/>
      <c r="V73" s="2146"/>
      <c r="W73" s="2146"/>
      <c r="X73" s="2146"/>
      <c r="Y73" s="2146"/>
      <c r="Z73" s="2146"/>
      <c r="AA73" s="2146"/>
      <c r="AB73" s="2146"/>
      <c r="AC73" s="2146"/>
      <c r="AD73" s="2146"/>
      <c r="AE73" s="2146"/>
      <c r="AF73" s="2146"/>
      <c r="AG73" s="3920"/>
      <c r="AH73" s="2763"/>
      <c r="AI73" s="2148"/>
      <c r="AJ73" s="2149"/>
      <c r="AK73" s="2149"/>
      <c r="AL73" s="2162"/>
      <c r="AM73" s="2150"/>
      <c r="AN73" s="2146"/>
      <c r="AO73" s="2146"/>
      <c r="AP73" s="2147"/>
      <c r="AQ73" s="2146"/>
      <c r="AR73" s="2146"/>
      <c r="AS73" s="2146"/>
      <c r="AT73" s="2147"/>
      <c r="AU73" s="2146"/>
      <c r="AV73" s="2146"/>
      <c r="AW73" s="2146"/>
      <c r="AX73" s="2147"/>
      <c r="AY73" s="2146"/>
      <c r="AZ73" s="2146"/>
      <c r="BA73" s="2146"/>
      <c r="BB73" s="2147"/>
      <c r="BC73" s="2146"/>
      <c r="BD73" s="2146"/>
      <c r="BE73" s="2146"/>
      <c r="BF73" s="2147"/>
      <c r="BG73" s="2146"/>
      <c r="BH73" s="2146"/>
      <c r="BI73" s="2146"/>
      <c r="BJ73" s="2146"/>
      <c r="BK73" s="2150"/>
      <c r="BL73" s="2146"/>
      <c r="BM73" s="2146"/>
      <c r="BN73" s="2146"/>
      <c r="BO73" s="2150"/>
      <c r="BP73" s="2146"/>
      <c r="BQ73" s="2146"/>
      <c r="BR73" s="2163"/>
      <c r="BS73" s="2164"/>
      <c r="BT73" s="2146"/>
      <c r="BU73" s="2146"/>
      <c r="BV73" s="2146"/>
      <c r="BW73" s="2150"/>
      <c r="BX73" s="2146"/>
      <c r="BY73" s="2146"/>
      <c r="BZ73" s="2147"/>
      <c r="CA73" s="2150"/>
      <c r="CB73" s="2146"/>
      <c r="CC73" s="2146"/>
      <c r="CD73" s="2147"/>
      <c r="CE73" s="2146"/>
      <c r="CF73" s="2146"/>
      <c r="CG73" s="2146"/>
      <c r="CH73" s="2147"/>
      <c r="CI73" s="2146"/>
      <c r="CJ73" s="2146"/>
      <c r="CK73" s="2146"/>
      <c r="CL73" s="2147"/>
      <c r="CM73" s="2146"/>
      <c r="CN73" s="2146"/>
      <c r="CO73" s="2146"/>
      <c r="CP73" s="2147"/>
      <c r="CQ73" s="2146"/>
      <c r="CR73" s="2146"/>
      <c r="CS73" s="2146"/>
      <c r="CT73" s="2147"/>
    </row>
    <row r="74" spans="1:98" s="2140" customFormat="1" hidden="1" outlineLevel="2">
      <c r="A74" s="2168" t="s">
        <v>491</v>
      </c>
      <c r="B74" s="2165"/>
      <c r="C74" s="2165"/>
      <c r="D74" s="2165"/>
      <c r="E74" s="2165"/>
      <c r="F74" s="2165"/>
      <c r="G74" s="2165"/>
      <c r="H74" s="2165"/>
      <c r="I74" s="2165"/>
      <c r="J74" s="2165"/>
      <c r="K74" s="2165"/>
      <c r="L74" s="2165"/>
      <c r="M74" s="2165"/>
      <c r="N74" s="2165"/>
      <c r="O74" s="2165"/>
      <c r="P74" s="2165"/>
      <c r="Q74" s="2165"/>
      <c r="R74" s="2165"/>
      <c r="S74" s="2165"/>
      <c r="T74" s="2165"/>
      <c r="U74" s="2165"/>
      <c r="V74" s="2165"/>
      <c r="W74" s="2165"/>
      <c r="X74" s="2165"/>
      <c r="Y74" s="2165"/>
      <c r="Z74" s="2165"/>
      <c r="AA74" s="2165"/>
      <c r="AB74" s="2165"/>
      <c r="AC74" s="2165"/>
      <c r="AD74" s="2165"/>
      <c r="AE74" s="2165"/>
      <c r="AF74" s="2165"/>
      <c r="AG74" s="3920"/>
      <c r="AH74" s="2763"/>
      <c r="AI74" s="2168"/>
      <c r="AJ74" s="2165"/>
      <c r="AK74" s="2165"/>
      <c r="AL74" s="2166"/>
      <c r="AM74" s="2169"/>
      <c r="AN74" s="2169"/>
      <c r="AO74" s="2169"/>
      <c r="AP74" s="2170"/>
      <c r="AQ74" s="2169"/>
      <c r="AR74" s="2169"/>
      <c r="AS74" s="2169"/>
      <c r="AT74" s="2170"/>
      <c r="AU74" s="2169"/>
      <c r="AV74" s="2169"/>
      <c r="AW74" s="2169"/>
      <c r="AX74" s="2170"/>
      <c r="AY74" s="2169"/>
      <c r="AZ74" s="2169"/>
      <c r="BA74" s="2169"/>
      <c r="BB74" s="2170"/>
      <c r="BC74" s="2169"/>
      <c r="BD74" s="2169"/>
      <c r="BE74" s="2169"/>
      <c r="BF74" s="2170"/>
      <c r="BG74" s="2169"/>
      <c r="BH74" s="2169"/>
      <c r="BI74" s="2169"/>
      <c r="BJ74" s="2169"/>
      <c r="BK74" s="2171"/>
      <c r="BL74" s="2169"/>
      <c r="BM74" s="2169"/>
      <c r="BN74" s="2169"/>
      <c r="BO74" s="2171"/>
      <c r="BP74" s="2169"/>
      <c r="BQ74" s="2169"/>
      <c r="BR74" s="2170"/>
      <c r="BS74" s="2169"/>
      <c r="BT74" s="2169"/>
      <c r="BU74" s="2169"/>
      <c r="BV74" s="2169"/>
      <c r="BW74" s="2171"/>
      <c r="BX74" s="2169"/>
      <c r="BY74" s="2169"/>
      <c r="BZ74" s="2170"/>
      <c r="CA74" s="2171"/>
      <c r="CB74" s="2169"/>
      <c r="CC74" s="2169"/>
      <c r="CD74" s="2170"/>
      <c r="CE74" s="2169"/>
      <c r="CF74" s="2169"/>
      <c r="CG74" s="2169"/>
      <c r="CH74" s="2170"/>
      <c r="CI74" s="2169"/>
      <c r="CJ74" s="2169"/>
      <c r="CK74" s="2169"/>
      <c r="CL74" s="2170"/>
      <c r="CM74" s="2169"/>
      <c r="CN74" s="2169"/>
      <c r="CO74" s="2169"/>
      <c r="CP74" s="2170"/>
      <c r="CQ74" s="2169"/>
      <c r="CR74" s="2169"/>
      <c r="CS74" s="2169"/>
      <c r="CT74" s="2170"/>
    </row>
    <row r="75" spans="1:98" hidden="1" outlineLevel="2">
      <c r="A75" s="588"/>
      <c r="B75" s="2271"/>
      <c r="C75" s="2271"/>
      <c r="D75" s="2271"/>
      <c r="E75" s="2271"/>
      <c r="F75" s="2271"/>
      <c r="G75" s="2271"/>
      <c r="H75" s="2271"/>
      <c r="I75" s="2271"/>
      <c r="J75" s="2271"/>
      <c r="K75" s="2271"/>
      <c r="L75" s="2271"/>
      <c r="M75" s="2271"/>
      <c r="N75" s="2271"/>
      <c r="O75" s="2271"/>
      <c r="P75" s="2271"/>
      <c r="Q75" s="2271"/>
      <c r="R75" s="2271"/>
      <c r="S75" s="2271"/>
      <c r="T75" s="2271"/>
      <c r="U75" s="2271"/>
      <c r="V75" s="2271"/>
      <c r="W75" s="2271"/>
      <c r="X75" s="2271"/>
      <c r="Y75" s="2271"/>
      <c r="Z75" s="2271"/>
      <c r="AA75" s="2271"/>
      <c r="AB75" s="2271"/>
      <c r="AC75" s="2271"/>
      <c r="AD75" s="2271"/>
      <c r="AE75" s="2271"/>
      <c r="AF75" s="2271"/>
      <c r="AG75" s="3920"/>
      <c r="AH75" s="3904"/>
      <c r="AI75" s="2271"/>
      <c r="AJ75" s="2271"/>
      <c r="AK75" s="2271"/>
      <c r="AL75" s="2271"/>
      <c r="AM75" s="2271"/>
      <c r="AN75" s="2271"/>
      <c r="AO75" s="2271"/>
      <c r="AP75" s="2271"/>
      <c r="AQ75" s="2271"/>
      <c r="AR75" s="2271"/>
      <c r="AS75" s="2271"/>
      <c r="AT75" s="2271"/>
      <c r="AU75" s="2271"/>
      <c r="AV75" s="2271"/>
      <c r="AW75" s="2271"/>
      <c r="AX75" s="2271"/>
      <c r="AY75" s="2271"/>
      <c r="AZ75" s="2271"/>
      <c r="BA75" s="2271"/>
      <c r="BB75" s="2271"/>
      <c r="BC75" s="2271"/>
      <c r="BD75" s="2271"/>
      <c r="BE75" s="2271"/>
      <c r="BF75" s="2271"/>
      <c r="BG75" s="2271"/>
      <c r="BH75" s="2271"/>
      <c r="BI75" s="2271"/>
      <c r="BJ75" s="2271"/>
      <c r="BK75" s="1992"/>
      <c r="BL75" s="2271"/>
      <c r="BM75" s="2271"/>
      <c r="BN75" s="2271"/>
      <c r="BO75" s="2271"/>
      <c r="BP75" s="2271"/>
      <c r="BQ75" s="2271"/>
      <c r="BR75" s="587"/>
      <c r="BS75" s="2271"/>
      <c r="BT75" s="2271"/>
      <c r="BU75" s="2271"/>
      <c r="BV75" s="2271"/>
      <c r="BW75" s="588"/>
      <c r="BX75" s="2271"/>
      <c r="BY75" s="2271"/>
      <c r="BZ75" s="587"/>
      <c r="CA75" s="588"/>
      <c r="CB75" s="2271"/>
      <c r="CC75" s="2271"/>
      <c r="CD75" s="587"/>
      <c r="CE75" s="2271"/>
      <c r="CF75" s="2271"/>
      <c r="CG75" s="2271"/>
      <c r="CH75" s="587"/>
      <c r="CI75" s="2271"/>
      <c r="CJ75" s="2271"/>
      <c r="CK75" s="2271"/>
      <c r="CL75" s="587"/>
      <c r="CM75" s="2271"/>
      <c r="CN75" s="2271"/>
      <c r="CO75" s="2271"/>
      <c r="CP75" s="587"/>
      <c r="CQ75" s="2271"/>
      <c r="CR75" s="2271"/>
      <c r="CS75" s="2271"/>
      <c r="CT75" s="587"/>
    </row>
    <row r="76" spans="1:98" hidden="1" outlineLevel="2">
      <c r="A76" s="588"/>
      <c r="B76" s="2271"/>
      <c r="C76" s="2271"/>
      <c r="D76" s="2271"/>
      <c r="E76" s="2271"/>
      <c r="F76" s="2271"/>
      <c r="G76" s="2271"/>
      <c r="H76" s="2271"/>
      <c r="I76" s="2271"/>
      <c r="J76" s="2271"/>
      <c r="K76" s="2271"/>
      <c r="L76" s="2271"/>
      <c r="M76" s="2271"/>
      <c r="N76" s="2271"/>
      <c r="O76" s="2271"/>
      <c r="P76" s="2271"/>
      <c r="Q76" s="2271"/>
      <c r="R76" s="2271"/>
      <c r="S76" s="2271"/>
      <c r="T76" s="2271"/>
      <c r="U76" s="2271"/>
      <c r="V76" s="2271"/>
      <c r="W76" s="2271"/>
      <c r="X76" s="2271"/>
      <c r="Y76" s="2271"/>
      <c r="Z76" s="2271"/>
      <c r="AA76" s="2271"/>
      <c r="AB76" s="2271"/>
      <c r="AC76" s="2271"/>
      <c r="AD76" s="2271"/>
      <c r="AE76" s="2271"/>
      <c r="AF76" s="2271"/>
      <c r="AG76" s="3920"/>
      <c r="AH76" s="3904"/>
      <c r="AI76" s="2271"/>
      <c r="AJ76" s="2271"/>
      <c r="AK76" s="2271"/>
      <c r="AL76" s="1698"/>
      <c r="AM76" s="1698"/>
      <c r="AN76" s="1698"/>
      <c r="AO76" s="1698"/>
      <c r="AP76" s="1698"/>
      <c r="AQ76" s="1698"/>
      <c r="AR76" s="1698"/>
      <c r="AS76" s="1698"/>
      <c r="AT76" s="1698"/>
      <c r="AU76" s="1698"/>
      <c r="AV76" s="1698"/>
      <c r="AW76" s="1698"/>
      <c r="AX76" s="1698"/>
      <c r="AY76" s="1698"/>
      <c r="AZ76" s="1698"/>
      <c r="BA76" s="1698"/>
      <c r="BB76" s="1698"/>
      <c r="BC76" s="1698"/>
      <c r="BD76" s="1698"/>
      <c r="BE76" s="1698"/>
      <c r="BF76" s="1698"/>
      <c r="BG76" s="1698"/>
      <c r="BH76" s="1698"/>
      <c r="BI76" s="1698"/>
      <c r="BJ76" s="1698"/>
      <c r="BK76" s="1698"/>
      <c r="BL76" s="1698"/>
      <c r="BM76" s="1698"/>
      <c r="BN76" s="1698"/>
      <c r="BO76" s="1698"/>
      <c r="BP76" s="2271"/>
      <c r="BQ76" s="2271"/>
      <c r="BR76" s="587"/>
      <c r="BS76" s="2271"/>
      <c r="BT76" s="2271"/>
      <c r="BU76" s="2271"/>
      <c r="BV76" s="2271"/>
      <c r="BW76" s="588"/>
      <c r="BX76" s="2271"/>
      <c r="BY76" s="2271"/>
      <c r="BZ76" s="587"/>
      <c r="CA76" s="588"/>
      <c r="CB76" s="2271"/>
      <c r="CC76" s="2271"/>
      <c r="CD76" s="587"/>
      <c r="CE76" s="2271"/>
      <c r="CF76" s="2271"/>
      <c r="CG76" s="2271"/>
      <c r="CH76" s="587"/>
      <c r="CI76" s="2271"/>
      <c r="CJ76" s="2271"/>
      <c r="CK76" s="2271"/>
      <c r="CL76" s="587"/>
      <c r="CM76" s="2271"/>
      <c r="CN76" s="2271"/>
      <c r="CO76" s="2271"/>
      <c r="CP76" s="587"/>
      <c r="CQ76" s="2271"/>
      <c r="CR76" s="2271"/>
      <c r="CS76" s="2271"/>
      <c r="CT76" s="587"/>
    </row>
    <row r="77" spans="1:98" hidden="1" outlineLevel="2">
      <c r="A77" s="3922"/>
      <c r="B77" s="1694"/>
      <c r="C77" s="1694"/>
      <c r="D77" s="1694"/>
      <c r="E77" s="1694"/>
      <c r="F77" s="1694"/>
      <c r="G77" s="1694"/>
      <c r="H77" s="1694"/>
      <c r="I77" s="1694"/>
      <c r="J77" s="1694"/>
      <c r="K77" s="1694"/>
      <c r="L77" s="1694"/>
      <c r="M77" s="1694"/>
      <c r="N77" s="1694"/>
      <c r="O77" s="1694"/>
      <c r="P77" s="1694"/>
      <c r="Q77" s="1694"/>
      <c r="R77" s="1694"/>
      <c r="S77" s="1694"/>
      <c r="T77" s="1694"/>
      <c r="U77" s="1694"/>
      <c r="V77" s="1694"/>
      <c r="W77" s="1694"/>
      <c r="X77" s="1694"/>
      <c r="Y77" s="1694"/>
      <c r="Z77" s="1694"/>
      <c r="AA77" s="1694"/>
      <c r="AB77" s="1694"/>
      <c r="AC77" s="1694"/>
      <c r="AD77" s="1694"/>
      <c r="AE77" s="1694"/>
      <c r="AF77" s="1694"/>
      <c r="AG77" s="3920"/>
      <c r="AH77" s="3917"/>
      <c r="AI77" s="1694"/>
      <c r="AJ77" s="1694"/>
      <c r="AK77" s="1694"/>
      <c r="AL77" s="1694"/>
      <c r="AM77" s="1694"/>
      <c r="AN77" s="1694"/>
      <c r="AO77" s="1694"/>
      <c r="AP77" s="1694"/>
      <c r="AQ77" s="1694"/>
      <c r="AR77" s="1694"/>
      <c r="AS77" s="1694"/>
      <c r="AT77" s="1694"/>
      <c r="AU77" s="1694"/>
      <c r="AV77" s="1694"/>
      <c r="AW77" s="1694"/>
      <c r="AX77" s="1694"/>
      <c r="AY77" s="1694"/>
      <c r="AZ77" s="1694"/>
      <c r="BA77" s="1694"/>
      <c r="BB77" s="1694"/>
      <c r="BC77" s="1694"/>
      <c r="BD77" s="1694"/>
      <c r="BE77" s="1694"/>
      <c r="BF77" s="1694"/>
      <c r="BG77" s="1694"/>
      <c r="BH77" s="1694"/>
      <c r="BI77" s="1694"/>
      <c r="BJ77" s="1694"/>
      <c r="BK77" s="436"/>
      <c r="BL77" s="1694"/>
      <c r="BM77" s="1694"/>
      <c r="BN77" s="1694"/>
      <c r="BO77" s="1694"/>
      <c r="BP77" s="3923"/>
      <c r="BQ77" s="1694"/>
      <c r="BR77" s="3924"/>
      <c r="BS77" s="1694"/>
      <c r="BT77" s="1694"/>
      <c r="BU77" s="1694"/>
      <c r="BV77" s="1694"/>
      <c r="BW77" s="3922"/>
      <c r="BX77" s="1694"/>
      <c r="BY77" s="1694"/>
      <c r="BZ77" s="3924"/>
      <c r="CA77" s="3922"/>
      <c r="CB77" s="1694"/>
      <c r="CC77" s="1694"/>
      <c r="CD77" s="3924"/>
      <c r="CE77" s="1694"/>
      <c r="CF77" s="1694"/>
      <c r="CG77" s="1694"/>
      <c r="CH77" s="3924"/>
      <c r="CI77" s="1694"/>
      <c r="CJ77" s="1694"/>
      <c r="CK77" s="1694"/>
      <c r="CL77" s="3924"/>
      <c r="CM77" s="1694"/>
      <c r="CN77" s="1694"/>
      <c r="CO77" s="1694"/>
      <c r="CP77" s="3924"/>
      <c r="CQ77" s="1694"/>
      <c r="CR77" s="1694"/>
      <c r="CS77" s="1694"/>
      <c r="CT77" s="3924"/>
    </row>
    <row r="78" spans="1:98" hidden="1" outlineLevel="2">
      <c r="A78" s="588"/>
      <c r="B78" s="2271"/>
      <c r="C78" s="2271"/>
      <c r="D78" s="2271"/>
      <c r="E78" s="2271"/>
      <c r="F78" s="2271"/>
      <c r="G78" s="2271"/>
      <c r="H78" s="2271"/>
      <c r="I78" s="2271"/>
      <c r="J78" s="2271"/>
      <c r="K78" s="2271"/>
      <c r="L78" s="2271"/>
      <c r="M78" s="2271"/>
      <c r="N78" s="2271"/>
      <c r="O78" s="2271"/>
      <c r="P78" s="2271"/>
      <c r="Q78" s="2271"/>
      <c r="R78" s="2271"/>
      <c r="S78" s="2271"/>
      <c r="T78" s="2271"/>
      <c r="U78" s="2271"/>
      <c r="V78" s="2271"/>
      <c r="W78" s="2271"/>
      <c r="X78" s="2271"/>
      <c r="Y78" s="2271"/>
      <c r="Z78" s="2271"/>
      <c r="AA78" s="2271"/>
      <c r="AB78" s="2271"/>
      <c r="AC78" s="2271"/>
      <c r="AD78" s="2271"/>
      <c r="AE78" s="2271"/>
      <c r="AF78" s="2271"/>
      <c r="AG78" s="3920"/>
      <c r="AH78" s="3904"/>
      <c r="AI78" s="2271"/>
      <c r="AJ78" s="2271"/>
      <c r="AK78" s="2271"/>
      <c r="AL78" s="2271"/>
      <c r="AM78" s="2271"/>
      <c r="AN78" s="2271"/>
      <c r="AO78" s="2271"/>
      <c r="AP78" s="2271"/>
      <c r="AQ78" s="2271"/>
      <c r="AR78" s="2271"/>
      <c r="AS78" s="2271"/>
      <c r="AT78" s="2271"/>
      <c r="AU78" s="2271"/>
      <c r="AV78" s="2271"/>
      <c r="AW78" s="2271"/>
      <c r="AX78" s="2271"/>
      <c r="AY78" s="2271"/>
      <c r="AZ78" s="2271"/>
      <c r="BA78" s="2271"/>
      <c r="BB78" s="2271"/>
      <c r="BC78" s="2271"/>
      <c r="BD78" s="2271"/>
      <c r="BE78" s="2271"/>
      <c r="BF78" s="2271"/>
      <c r="BG78" s="2271"/>
      <c r="BH78" s="2271"/>
      <c r="BI78" s="2271"/>
      <c r="BJ78" s="2271"/>
      <c r="BK78" s="1992"/>
      <c r="BL78" s="2271"/>
      <c r="BM78" s="2271"/>
      <c r="BN78" s="2271"/>
      <c r="BO78" s="2271"/>
      <c r="BP78" s="2271"/>
      <c r="BQ78" s="2271"/>
      <c r="BR78" s="587"/>
      <c r="BS78" s="2271"/>
      <c r="BT78" s="2271"/>
      <c r="BU78" s="2271"/>
      <c r="BV78" s="2271"/>
      <c r="BW78" s="588"/>
      <c r="BX78" s="2271"/>
      <c r="BY78" s="2271"/>
      <c r="BZ78" s="587"/>
      <c r="CA78" s="588"/>
      <c r="CB78" s="2271"/>
      <c r="CC78" s="2271"/>
      <c r="CD78" s="587"/>
      <c r="CE78" s="2271"/>
      <c r="CF78" s="2271"/>
      <c r="CG78" s="2271"/>
      <c r="CH78" s="587"/>
      <c r="CI78" s="2271"/>
      <c r="CJ78" s="2271"/>
      <c r="CK78" s="2271"/>
      <c r="CL78" s="587"/>
      <c r="CM78" s="2271"/>
      <c r="CN78" s="2271"/>
      <c r="CO78" s="2271"/>
      <c r="CP78" s="587"/>
      <c r="CQ78" s="2271"/>
      <c r="CR78" s="2271"/>
      <c r="CS78" s="2271"/>
      <c r="CT78" s="587"/>
    </row>
    <row r="79" spans="1:98" hidden="1" outlineLevel="2">
      <c r="A79" s="1935" t="str">
        <f>+Q_Segments!A245</f>
        <v>FIBER</v>
      </c>
      <c r="B79" s="2643"/>
      <c r="C79" s="2643"/>
      <c r="D79" s="2643"/>
      <c r="E79" s="2643"/>
      <c r="F79" s="2643"/>
      <c r="G79" s="2643"/>
      <c r="H79" s="2643"/>
      <c r="I79" s="2643"/>
      <c r="J79" s="2643"/>
      <c r="K79" s="2643"/>
      <c r="L79" s="2643"/>
      <c r="M79" s="2643"/>
      <c r="N79" s="2643"/>
      <c r="O79" s="2643"/>
      <c r="P79" s="2643"/>
      <c r="Q79" s="2643"/>
      <c r="R79" s="2643"/>
      <c r="S79" s="2643"/>
      <c r="T79" s="2643"/>
      <c r="U79" s="2643"/>
      <c r="V79" s="2643"/>
      <c r="W79" s="2643"/>
      <c r="X79" s="2643"/>
      <c r="Y79" s="2643"/>
      <c r="Z79" s="2643"/>
      <c r="AA79" s="2643"/>
      <c r="AB79" s="2643"/>
      <c r="AC79" s="2643"/>
      <c r="AD79" s="2643"/>
      <c r="AE79" s="2643"/>
      <c r="AF79" s="2643"/>
      <c r="AG79" s="3920"/>
      <c r="AH79" s="3904"/>
      <c r="AI79" s="1916"/>
      <c r="AJ79" s="1916"/>
      <c r="AK79" s="1916"/>
      <c r="AL79" s="1916"/>
      <c r="AM79" s="1916"/>
      <c r="AN79" s="2202"/>
      <c r="AO79" s="2202"/>
      <c r="AP79" s="2202"/>
      <c r="AQ79" s="2202"/>
      <c r="AR79" s="2202"/>
      <c r="AS79" s="2202"/>
      <c r="AT79" s="2202"/>
      <c r="AU79" s="2202"/>
      <c r="AV79" s="2202"/>
      <c r="AW79" s="2202"/>
      <c r="AX79" s="2202"/>
      <c r="AY79" s="2202"/>
      <c r="AZ79" s="2202"/>
      <c r="BA79" s="2202"/>
      <c r="BB79" s="2202"/>
      <c r="BC79" s="1962"/>
      <c r="BD79" s="2002"/>
      <c r="BE79" s="2002"/>
      <c r="BF79" s="2002"/>
      <c r="BG79" s="1934"/>
      <c r="BH79" s="2002"/>
      <c r="BI79" s="2002"/>
      <c r="BJ79" s="2002"/>
      <c r="BK79" s="1935"/>
      <c r="BL79" s="2643"/>
      <c r="BM79" s="2643"/>
      <c r="BN79" s="2643"/>
      <c r="BO79" s="1935"/>
      <c r="BP79" s="2643"/>
      <c r="BQ79" s="2643"/>
      <c r="BR79" s="1924"/>
      <c r="BS79" s="2643"/>
      <c r="BT79" s="2643"/>
      <c r="BU79" s="2643"/>
      <c r="BV79" s="2643"/>
      <c r="BW79" s="1935"/>
      <c r="BX79" s="2643"/>
      <c r="BY79" s="2643"/>
      <c r="BZ79" s="1924"/>
      <c r="CA79" s="1935"/>
      <c r="CB79" s="2643"/>
      <c r="CC79" s="2643"/>
      <c r="CD79" s="1924"/>
      <c r="CE79" s="2643"/>
      <c r="CF79" s="2643"/>
      <c r="CG79" s="2643"/>
      <c r="CH79" s="1924"/>
      <c r="CI79" s="2643"/>
      <c r="CJ79" s="2643"/>
      <c r="CK79" s="2643"/>
      <c r="CL79" s="1924"/>
      <c r="CM79" s="2643"/>
      <c r="CN79" s="2643"/>
      <c r="CO79" s="2643"/>
      <c r="CP79" s="1924"/>
      <c r="CQ79" s="2643"/>
      <c r="CR79" s="2643"/>
      <c r="CS79" s="2643"/>
      <c r="CT79" s="1924"/>
    </row>
    <row r="80" spans="1:98" hidden="1" outlineLevel="2">
      <c r="A80" s="2636" t="s">
        <v>127</v>
      </c>
      <c r="B80" s="1916"/>
      <c r="C80" s="1916"/>
      <c r="D80" s="1916"/>
      <c r="E80" s="1916"/>
      <c r="F80" s="1916"/>
      <c r="G80" s="1916"/>
      <c r="H80" s="1916"/>
      <c r="I80" s="1916"/>
      <c r="J80" s="2643"/>
      <c r="K80" s="1925">
        <f>+BJ80</f>
        <v>3500</v>
      </c>
      <c r="L80" s="1925">
        <f>+BN80</f>
        <v>4700</v>
      </c>
      <c r="M80" s="1925">
        <f>+BR80</f>
        <v>5050</v>
      </c>
      <c r="N80" s="1927">
        <f>+BV80</f>
        <v>5250</v>
      </c>
      <c r="O80" s="1927">
        <f>+BZ80</f>
        <v>5450</v>
      </c>
      <c r="P80" s="1925">
        <f>CD80</f>
        <v>5650</v>
      </c>
      <c r="Q80" s="1925">
        <f>CH80</f>
        <v>5850</v>
      </c>
      <c r="R80" s="1925">
        <f>CL80</f>
        <v>6050</v>
      </c>
      <c r="S80" s="1925">
        <f>CP80</f>
        <v>6250</v>
      </c>
      <c r="T80" s="1925">
        <f>CT80</f>
        <v>6450</v>
      </c>
      <c r="U80" s="1925">
        <f>+T80+U81</f>
        <v>6550</v>
      </c>
      <c r="V80" s="1925">
        <f>+U80+V81</f>
        <v>6650</v>
      </c>
      <c r="W80" s="1925">
        <f>+V80+W81</f>
        <v>6750</v>
      </c>
      <c r="X80" s="1925">
        <f t="shared" ref="X80:AF80" si="173">+W80+X81</f>
        <v>6850</v>
      </c>
      <c r="Y80" s="1925">
        <f t="shared" si="173"/>
        <v>6950</v>
      </c>
      <c r="Z80" s="1925">
        <f t="shared" si="173"/>
        <v>7050</v>
      </c>
      <c r="AA80" s="1925">
        <f t="shared" si="173"/>
        <v>7150</v>
      </c>
      <c r="AB80" s="1925">
        <f t="shared" si="173"/>
        <v>7250</v>
      </c>
      <c r="AC80" s="1925">
        <f t="shared" si="173"/>
        <v>7350</v>
      </c>
      <c r="AD80" s="1925">
        <f t="shared" si="173"/>
        <v>7450</v>
      </c>
      <c r="AE80" s="1925">
        <f t="shared" si="173"/>
        <v>7550</v>
      </c>
      <c r="AF80" s="1925">
        <f t="shared" si="173"/>
        <v>7650</v>
      </c>
      <c r="AG80" s="3920"/>
      <c r="AH80" s="3904"/>
      <c r="AI80" s="1916"/>
      <c r="AJ80" s="1916"/>
      <c r="AK80" s="1916"/>
      <c r="AL80" s="1916"/>
      <c r="AM80" s="1916"/>
      <c r="AN80" s="1916"/>
      <c r="AO80" s="1916"/>
      <c r="AP80" s="1916"/>
      <c r="AQ80" s="1916"/>
      <c r="AR80" s="1916"/>
      <c r="AS80" s="1916"/>
      <c r="AT80" s="1916"/>
      <c r="AU80" s="1916"/>
      <c r="AV80" s="1916"/>
      <c r="AW80" s="1916"/>
      <c r="AX80" s="1916"/>
      <c r="AY80" s="1916"/>
      <c r="AZ80" s="1916"/>
      <c r="BA80" s="1916"/>
      <c r="BB80" s="1916"/>
      <c r="BC80" s="1935"/>
      <c r="BD80" s="2643"/>
      <c r="BE80" s="2643"/>
      <c r="BF80" s="2643"/>
      <c r="BG80" s="1936">
        <f>+Q_Segments!CD246</f>
        <v>2225</v>
      </c>
      <c r="BH80" s="1925">
        <f>+Q_Segments!CE246</f>
        <v>2600</v>
      </c>
      <c r="BI80" s="1925">
        <f>+Q_Segments!CF246</f>
        <v>3000</v>
      </c>
      <c r="BJ80" s="1925">
        <f>+Q_Segments!CG246</f>
        <v>3500</v>
      </c>
      <c r="BK80" s="1936">
        <f>+Q_Segments!CH246</f>
        <v>3800</v>
      </c>
      <c r="BL80" s="1925">
        <f>+Q_Segments!CI246</f>
        <v>4000</v>
      </c>
      <c r="BM80" s="1925">
        <f>+Q_Segments!CJ246</f>
        <v>4500</v>
      </c>
      <c r="BN80" s="1925">
        <f>+Q_Segments!CK246</f>
        <v>4700</v>
      </c>
      <c r="BO80" s="1936">
        <f>+Q_Segments!CL246</f>
        <v>4900</v>
      </c>
      <c r="BP80" s="1925">
        <f t="shared" ref="BP80:CD80" si="174">+BO80+BP81</f>
        <v>4950</v>
      </c>
      <c r="BQ80" s="1925">
        <f t="shared" si="174"/>
        <v>5000</v>
      </c>
      <c r="BR80" s="1926">
        <f t="shared" si="174"/>
        <v>5050</v>
      </c>
      <c r="BS80" s="1925">
        <f t="shared" si="174"/>
        <v>5100</v>
      </c>
      <c r="BT80" s="1925">
        <f t="shared" si="174"/>
        <v>5150</v>
      </c>
      <c r="BU80" s="1925">
        <f t="shared" si="174"/>
        <v>5200</v>
      </c>
      <c r="BV80" s="1925">
        <f t="shared" si="174"/>
        <v>5250</v>
      </c>
      <c r="BW80" s="1936">
        <f t="shared" si="174"/>
        <v>5300</v>
      </c>
      <c r="BX80" s="1925">
        <f t="shared" si="174"/>
        <v>5350</v>
      </c>
      <c r="BY80" s="1925">
        <f t="shared" si="174"/>
        <v>5400</v>
      </c>
      <c r="BZ80" s="1926">
        <f t="shared" si="174"/>
        <v>5450</v>
      </c>
      <c r="CA80" s="1936">
        <f>+BZ80+CA81</f>
        <v>5500</v>
      </c>
      <c r="CB80" s="1925">
        <f>+CA80+CB81</f>
        <v>5550</v>
      </c>
      <c r="CC80" s="1925">
        <f>+CB80+CC81</f>
        <v>5600</v>
      </c>
      <c r="CD80" s="1926">
        <f t="shared" si="174"/>
        <v>5650</v>
      </c>
      <c r="CE80" s="1925">
        <f t="shared" ref="CE80:CM80" si="175">+CD80+CE81</f>
        <v>5700</v>
      </c>
      <c r="CF80" s="1925">
        <f t="shared" si="175"/>
        <v>5750</v>
      </c>
      <c r="CG80" s="1925">
        <f t="shared" si="175"/>
        <v>5800</v>
      </c>
      <c r="CH80" s="1926">
        <f t="shared" si="175"/>
        <v>5850</v>
      </c>
      <c r="CI80" s="1925">
        <f t="shared" si="175"/>
        <v>5900</v>
      </c>
      <c r="CJ80" s="1925">
        <f t="shared" si="175"/>
        <v>5950</v>
      </c>
      <c r="CK80" s="1925">
        <f t="shared" si="175"/>
        <v>6000</v>
      </c>
      <c r="CL80" s="1926">
        <f t="shared" si="175"/>
        <v>6050</v>
      </c>
      <c r="CM80" s="1925">
        <f t="shared" si="175"/>
        <v>6100</v>
      </c>
      <c r="CN80" s="1925">
        <f>+CM80+CN81</f>
        <v>6150</v>
      </c>
      <c r="CO80" s="1925">
        <f>+CN80+CO81</f>
        <v>6200</v>
      </c>
      <c r="CP80" s="1926">
        <f t="shared" ref="CP80" si="176">+CO80+CP81</f>
        <v>6250</v>
      </c>
      <c r="CQ80" s="1925">
        <f>+CP80+CQ81</f>
        <v>6300</v>
      </c>
      <c r="CR80" s="1925">
        <f>+CQ80+CR81</f>
        <v>6350</v>
      </c>
      <c r="CS80" s="1925">
        <f>+CR80+CS81</f>
        <v>6400</v>
      </c>
      <c r="CT80" s="1926">
        <f>+CS80+CT81</f>
        <v>6450</v>
      </c>
    </row>
    <row r="81" spans="1:98" hidden="1" outlineLevel="2">
      <c r="A81" s="2637" t="s">
        <v>128</v>
      </c>
      <c r="B81" s="1916"/>
      <c r="C81" s="1916"/>
      <c r="D81" s="1916"/>
      <c r="E81" s="1916"/>
      <c r="F81" s="1916"/>
      <c r="G81" s="1916"/>
      <c r="H81" s="1916"/>
      <c r="I81" s="1916"/>
      <c r="J81" s="2643"/>
      <c r="K81" s="2643"/>
      <c r="L81" s="1925">
        <f t="shared" ref="L81:S81" si="177">+L80-K80</f>
        <v>1200</v>
      </c>
      <c r="M81" s="1925">
        <f t="shared" si="177"/>
        <v>350</v>
      </c>
      <c r="N81" s="1925">
        <f t="shared" si="177"/>
        <v>200</v>
      </c>
      <c r="O81" s="1925">
        <f t="shared" si="177"/>
        <v>200</v>
      </c>
      <c r="P81" s="1925">
        <f t="shared" si="177"/>
        <v>200</v>
      </c>
      <c r="Q81" s="1925">
        <f t="shared" si="177"/>
        <v>200</v>
      </c>
      <c r="R81" s="1925">
        <f t="shared" si="177"/>
        <v>200</v>
      </c>
      <c r="S81" s="1925">
        <f t="shared" si="177"/>
        <v>200</v>
      </c>
      <c r="T81" s="1925">
        <f>+T80-S80</f>
        <v>200</v>
      </c>
      <c r="U81" s="1925">
        <v>100</v>
      </c>
      <c r="V81" s="1925">
        <v>100</v>
      </c>
      <c r="W81" s="1925">
        <v>100</v>
      </c>
      <c r="X81" s="1925">
        <v>100</v>
      </c>
      <c r="Y81" s="1925">
        <v>100</v>
      </c>
      <c r="Z81" s="1925">
        <v>100</v>
      </c>
      <c r="AA81" s="1925">
        <v>100</v>
      </c>
      <c r="AB81" s="1925">
        <v>100</v>
      </c>
      <c r="AC81" s="1925">
        <v>100</v>
      </c>
      <c r="AD81" s="1925">
        <v>100</v>
      </c>
      <c r="AE81" s="1925">
        <v>100</v>
      </c>
      <c r="AF81" s="1925">
        <v>100</v>
      </c>
      <c r="AG81" s="3920"/>
      <c r="AH81" s="3904"/>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35"/>
      <c r="BD81" s="2643"/>
      <c r="BE81" s="2643"/>
      <c r="BF81" s="2643"/>
      <c r="BG81" s="1936">
        <f>+Q_Segments!CD247</f>
        <v>325</v>
      </c>
      <c r="BH81" s="1925">
        <f>+Q_Segments!CE247</f>
        <v>375</v>
      </c>
      <c r="BI81" s="1925">
        <f>+Q_Segments!CF247</f>
        <v>400</v>
      </c>
      <c r="BJ81" s="1925">
        <f>+Q_Segments!CG247</f>
        <v>500</v>
      </c>
      <c r="BK81" s="1936">
        <f>+Q_Segments!CH247</f>
        <v>300</v>
      </c>
      <c r="BL81" s="1925">
        <f>+Q_Segments!CI247</f>
        <v>200</v>
      </c>
      <c r="BM81" s="1925">
        <f>+Q_Segments!CJ247</f>
        <v>500</v>
      </c>
      <c r="BN81" s="1925">
        <f>+Q_Segments!CK247</f>
        <v>200</v>
      </c>
      <c r="BO81" s="1936">
        <f>+Q_Segments!CL247</f>
        <v>200</v>
      </c>
      <c r="BP81" s="1927">
        <v>50</v>
      </c>
      <c r="BQ81" s="1927">
        <v>50</v>
      </c>
      <c r="BR81" s="1933">
        <v>50</v>
      </c>
      <c r="BS81" s="1927">
        <v>50</v>
      </c>
      <c r="BT81" s="1927">
        <v>50</v>
      </c>
      <c r="BU81" s="1927">
        <v>50</v>
      </c>
      <c r="BV81" s="1927">
        <v>50</v>
      </c>
      <c r="BW81" s="1937">
        <v>50</v>
      </c>
      <c r="BX81" s="1927">
        <v>50</v>
      </c>
      <c r="BY81" s="1927">
        <v>50</v>
      </c>
      <c r="BZ81" s="1933">
        <v>50</v>
      </c>
      <c r="CA81" s="1937">
        <v>50</v>
      </c>
      <c r="CB81" s="1927">
        <v>50</v>
      </c>
      <c r="CC81" s="1927">
        <v>50</v>
      </c>
      <c r="CD81" s="1933">
        <v>50</v>
      </c>
      <c r="CE81" s="1927">
        <v>50</v>
      </c>
      <c r="CF81" s="1927">
        <v>50</v>
      </c>
      <c r="CG81" s="1927">
        <v>50</v>
      </c>
      <c r="CH81" s="1933">
        <v>50</v>
      </c>
      <c r="CI81" s="1927">
        <v>50</v>
      </c>
      <c r="CJ81" s="1927">
        <v>50</v>
      </c>
      <c r="CK81" s="1927">
        <v>50</v>
      </c>
      <c r="CL81" s="1933">
        <v>50</v>
      </c>
      <c r="CM81" s="1927">
        <v>50</v>
      </c>
      <c r="CN81" s="1927">
        <v>50</v>
      </c>
      <c r="CO81" s="1927">
        <v>50</v>
      </c>
      <c r="CP81" s="1933">
        <v>50</v>
      </c>
      <c r="CQ81" s="1927">
        <v>50</v>
      </c>
      <c r="CR81" s="1927">
        <v>50</v>
      </c>
      <c r="CS81" s="1927">
        <v>50</v>
      </c>
      <c r="CT81" s="1933">
        <v>50</v>
      </c>
    </row>
    <row r="82" spans="1:98" hidden="1" outlineLevel="2">
      <c r="A82" s="2638" t="s">
        <v>129</v>
      </c>
      <c r="B82" s="1916"/>
      <c r="C82" s="1916"/>
      <c r="D82" s="1916"/>
      <c r="E82" s="1916"/>
      <c r="F82" s="1916"/>
      <c r="G82" s="1916"/>
      <c r="H82" s="1916"/>
      <c r="I82" s="1916"/>
      <c r="J82" s="1925">
        <f>BF82</f>
        <v>140</v>
      </c>
      <c r="K82" s="1925">
        <f>+BJ82</f>
        <v>419</v>
      </c>
      <c r="L82" s="1927">
        <f>+BN82</f>
        <v>719</v>
      </c>
      <c r="M82" s="1927">
        <f>+BR82</f>
        <v>1013</v>
      </c>
      <c r="N82" s="1927">
        <f>+BV82</f>
        <v>1253</v>
      </c>
      <c r="O82" s="1927">
        <f>+BZ82</f>
        <v>1493</v>
      </c>
      <c r="P82" s="1925">
        <f>CD82</f>
        <v>1733</v>
      </c>
      <c r="Q82" s="1925">
        <f>CH82</f>
        <v>1973</v>
      </c>
      <c r="R82" s="1925">
        <f>CL82</f>
        <v>2213</v>
      </c>
      <c r="S82" s="1925">
        <f>CP82</f>
        <v>2453</v>
      </c>
      <c r="T82" s="1925">
        <f>CT82</f>
        <v>2693</v>
      </c>
      <c r="U82" s="1925">
        <f>+T82+U84</f>
        <v>2843</v>
      </c>
      <c r="V82" s="1925">
        <f>+U82+V84</f>
        <v>2993</v>
      </c>
      <c r="W82" s="1925">
        <f>+V82+W84</f>
        <v>3143</v>
      </c>
      <c r="X82" s="1925">
        <f t="shared" ref="X82:AF82" si="178">+W82+X84</f>
        <v>3293</v>
      </c>
      <c r="Y82" s="1925">
        <f t="shared" si="178"/>
        <v>3443</v>
      </c>
      <c r="Z82" s="1925">
        <f t="shared" si="178"/>
        <v>3593</v>
      </c>
      <c r="AA82" s="1925">
        <f t="shared" si="178"/>
        <v>3743</v>
      </c>
      <c r="AB82" s="1925">
        <f t="shared" si="178"/>
        <v>3893</v>
      </c>
      <c r="AC82" s="1925">
        <f t="shared" si="178"/>
        <v>4043</v>
      </c>
      <c r="AD82" s="1925">
        <f t="shared" si="178"/>
        <v>4193</v>
      </c>
      <c r="AE82" s="1925">
        <f t="shared" si="178"/>
        <v>4343</v>
      </c>
      <c r="AF82" s="1925">
        <f t="shared" si="178"/>
        <v>4493</v>
      </c>
      <c r="AG82" s="3920"/>
      <c r="AH82" s="3904"/>
      <c r="AI82" s="1916"/>
      <c r="AJ82" s="1916"/>
      <c r="AK82" s="1916"/>
      <c r="AL82" s="1916"/>
      <c r="AM82" s="1916"/>
      <c r="AN82" s="1916"/>
      <c r="AO82" s="1916"/>
      <c r="AP82" s="1916"/>
      <c r="AQ82" s="1916"/>
      <c r="AR82" s="1916"/>
      <c r="AS82" s="1916"/>
      <c r="AT82" s="1916"/>
      <c r="AU82" s="1916"/>
      <c r="AV82" s="1916"/>
      <c r="AW82" s="1916"/>
      <c r="AX82" s="1916"/>
      <c r="AY82" s="1916"/>
      <c r="AZ82" s="1916"/>
      <c r="BA82" s="1916"/>
      <c r="BB82" s="1735">
        <f>+Q_Segments!BY248</f>
        <v>7</v>
      </c>
      <c r="BC82" s="1936">
        <f>+Q_Segments!BZ248</f>
        <v>20</v>
      </c>
      <c r="BD82" s="1925">
        <f>+Q_Segments!CA248</f>
        <v>39</v>
      </c>
      <c r="BE82" s="1925">
        <f>+Q_Segments!CB248</f>
        <v>79</v>
      </c>
      <c r="BF82" s="1925">
        <f>+Q_Segments!CC248</f>
        <v>140</v>
      </c>
      <c r="BG82" s="1936">
        <f>+Q_Segments!CD248</f>
        <v>203</v>
      </c>
      <c r="BH82" s="1925">
        <f>+Q_Segments!CE248</f>
        <v>268</v>
      </c>
      <c r="BI82" s="1925">
        <f>+Q_Segments!CF248</f>
        <v>339</v>
      </c>
      <c r="BJ82" s="1925">
        <f>+Q_Segments!CG248</f>
        <v>419</v>
      </c>
      <c r="BK82" s="1936">
        <f>+Q_Segments!CH248</f>
        <v>483</v>
      </c>
      <c r="BL82" s="1925">
        <f>+Q_Segments!CI248</f>
        <v>535</v>
      </c>
      <c r="BM82" s="1925">
        <f>+Q_Segments!CJ248</f>
        <v>627</v>
      </c>
      <c r="BN82" s="1925">
        <f>+Q_Segments!CK248</f>
        <v>719</v>
      </c>
      <c r="BO82" s="1936">
        <f>+Q_Segments!CL248</f>
        <v>833</v>
      </c>
      <c r="BP82" s="1925">
        <f t="shared" ref="BP82:CD82" si="179">+BO82+BP84</f>
        <v>893</v>
      </c>
      <c r="BQ82" s="1925">
        <f t="shared" si="179"/>
        <v>953</v>
      </c>
      <c r="BR82" s="1926">
        <f t="shared" si="179"/>
        <v>1013</v>
      </c>
      <c r="BS82" s="1925">
        <f t="shared" si="179"/>
        <v>1073</v>
      </c>
      <c r="BT82" s="1925">
        <f t="shared" si="179"/>
        <v>1133</v>
      </c>
      <c r="BU82" s="1925">
        <f t="shared" si="179"/>
        <v>1193</v>
      </c>
      <c r="BV82" s="1925">
        <f t="shared" si="179"/>
        <v>1253</v>
      </c>
      <c r="BW82" s="1936">
        <f t="shared" si="179"/>
        <v>1313</v>
      </c>
      <c r="BX82" s="1925">
        <f t="shared" si="179"/>
        <v>1373</v>
      </c>
      <c r="BY82" s="1925">
        <f t="shared" si="179"/>
        <v>1433</v>
      </c>
      <c r="BZ82" s="1926">
        <f t="shared" si="179"/>
        <v>1493</v>
      </c>
      <c r="CA82" s="1936">
        <f>+BZ82+CA84</f>
        <v>1553</v>
      </c>
      <c r="CB82" s="1925">
        <f>+CA82+CB84</f>
        <v>1613</v>
      </c>
      <c r="CC82" s="1925">
        <f>+CB82+CC84</f>
        <v>1673</v>
      </c>
      <c r="CD82" s="1926">
        <f t="shared" si="179"/>
        <v>1733</v>
      </c>
      <c r="CE82" s="1925">
        <f t="shared" ref="CE82:CM82" si="180">+CD82+CE84</f>
        <v>1793</v>
      </c>
      <c r="CF82" s="1925">
        <f t="shared" si="180"/>
        <v>1853</v>
      </c>
      <c r="CG82" s="1925">
        <f t="shared" si="180"/>
        <v>1913</v>
      </c>
      <c r="CH82" s="1926">
        <f t="shared" si="180"/>
        <v>1973</v>
      </c>
      <c r="CI82" s="1925">
        <f t="shared" si="180"/>
        <v>2033</v>
      </c>
      <c r="CJ82" s="1925">
        <f t="shared" si="180"/>
        <v>2093</v>
      </c>
      <c r="CK82" s="1925">
        <f t="shared" si="180"/>
        <v>2153</v>
      </c>
      <c r="CL82" s="1926">
        <f t="shared" si="180"/>
        <v>2213</v>
      </c>
      <c r="CM82" s="1925">
        <f t="shared" si="180"/>
        <v>2273</v>
      </c>
      <c r="CN82" s="1925">
        <f>+CM82+CN84</f>
        <v>2333</v>
      </c>
      <c r="CO82" s="1925">
        <f>+CN82+CO84</f>
        <v>2393</v>
      </c>
      <c r="CP82" s="1926">
        <f t="shared" ref="CP82" si="181">+CO82+CP84</f>
        <v>2453</v>
      </c>
      <c r="CQ82" s="1925">
        <f>+CP82+CQ84</f>
        <v>2513</v>
      </c>
      <c r="CR82" s="1925">
        <f>+CQ82+CR84</f>
        <v>2573</v>
      </c>
      <c r="CS82" s="1925">
        <f>+CR82+CS84</f>
        <v>2633</v>
      </c>
      <c r="CT82" s="1926">
        <f>+CS82+CT84</f>
        <v>2693</v>
      </c>
    </row>
    <row r="83" spans="1:98" hidden="1" outlineLevel="2">
      <c r="A83" s="2638" t="s">
        <v>130</v>
      </c>
      <c r="B83" s="1916"/>
      <c r="C83" s="1916"/>
      <c r="D83" s="1916"/>
      <c r="E83" s="1916"/>
      <c r="F83" s="1916"/>
      <c r="G83" s="1916"/>
      <c r="H83" s="1916"/>
      <c r="I83" s="1916"/>
      <c r="J83" s="2643"/>
      <c r="K83" s="2643"/>
      <c r="L83" s="1928">
        <f t="shared" ref="L83:Q83" si="182">+L82/K82-1</f>
        <v>0.71599045346062051</v>
      </c>
      <c r="M83" s="1928">
        <f t="shared" si="182"/>
        <v>0.40890125173852576</v>
      </c>
      <c r="N83" s="1928">
        <f t="shared" si="182"/>
        <v>0.23692003948667328</v>
      </c>
      <c r="O83" s="1928">
        <f t="shared" si="182"/>
        <v>0.19154030327214677</v>
      </c>
      <c r="P83" s="1928">
        <f t="shared" si="182"/>
        <v>0.16075016744809112</v>
      </c>
      <c r="Q83" s="1928">
        <f t="shared" si="182"/>
        <v>0.13848817080207732</v>
      </c>
      <c r="R83" s="1928">
        <f t="shared" ref="R83:W83" si="183">+R82/Q82-1</f>
        <v>0.12164216928535221</v>
      </c>
      <c r="S83" s="1928">
        <f>+S82/R82-1</f>
        <v>0.10845006778129229</v>
      </c>
      <c r="T83" s="1928">
        <f>+T82/S82-1</f>
        <v>9.7839380350591032E-2</v>
      </c>
      <c r="U83" s="1928">
        <f t="shared" si="183"/>
        <v>5.5699962866691433E-2</v>
      </c>
      <c r="V83" s="1928">
        <f t="shared" si="183"/>
        <v>5.276116778051354E-2</v>
      </c>
      <c r="W83" s="1928">
        <f t="shared" si="183"/>
        <v>5.0116939525559623E-2</v>
      </c>
      <c r="X83" s="1928">
        <f t="shared" ref="X83:AF83" si="184">+X82/W82-1</f>
        <v>4.7725103404390623E-2</v>
      </c>
      <c r="Y83" s="1928">
        <f t="shared" si="184"/>
        <v>4.5551169146674786E-2</v>
      </c>
      <c r="Z83" s="1928">
        <f t="shared" si="184"/>
        <v>4.3566656985187358E-2</v>
      </c>
      <c r="AA83" s="1928">
        <f t="shared" si="184"/>
        <v>4.1747843028110188E-2</v>
      </c>
      <c r="AB83" s="1928">
        <f t="shared" si="184"/>
        <v>4.007480630510285E-2</v>
      </c>
      <c r="AC83" s="1928">
        <f t="shared" si="184"/>
        <v>3.8530696121243269E-2</v>
      </c>
      <c r="AD83" s="1928">
        <f t="shared" si="184"/>
        <v>3.71011625030917E-2</v>
      </c>
      <c r="AE83" s="1928">
        <f t="shared" si="184"/>
        <v>3.5773908895778694E-2</v>
      </c>
      <c r="AF83" s="1928">
        <f t="shared" si="184"/>
        <v>3.4538337554685716E-2</v>
      </c>
      <c r="AG83" s="3920"/>
      <c r="AH83" s="3904"/>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35"/>
      <c r="BD83" s="2643"/>
      <c r="BE83" s="2643"/>
      <c r="BF83" s="2643"/>
      <c r="BG83" s="1938">
        <f>+Q_Segments!CD249</f>
        <v>9.15</v>
      </c>
      <c r="BH83" s="1968">
        <f>+Q_Segments!CE249</f>
        <v>5.8717948717948714</v>
      </c>
      <c r="BI83" s="1968">
        <f>+Q_Segments!CF249</f>
        <v>3.2911392405063289</v>
      </c>
      <c r="BJ83" s="1968">
        <f>+Q_Segments!CG249</f>
        <v>1.9928571428571429</v>
      </c>
      <c r="BK83" s="1938">
        <f>+Q_Segments!CH249</f>
        <v>1.3793103448275863</v>
      </c>
      <c r="BL83" s="1968">
        <f>+Q_Segments!CI249</f>
        <v>0.99626865671641784</v>
      </c>
      <c r="BM83" s="1968">
        <f>+Q_Segments!CJ249</f>
        <v>0.84955752212389379</v>
      </c>
      <c r="BN83" s="1968">
        <f>+Q_Segments!CK249</f>
        <v>0.71599045346062051</v>
      </c>
      <c r="BO83" s="1938">
        <f>+Q_Segments!CL249</f>
        <v>0.7246376811594204</v>
      </c>
      <c r="BP83" s="1968">
        <f>+BP82/BL82-1</f>
        <v>0.66915887850467293</v>
      </c>
      <c r="BQ83" s="1968">
        <f>+BQ82/BM82-1</f>
        <v>0.51993620414673036</v>
      </c>
      <c r="BR83" s="1957">
        <f>+BR82/BN82-1</f>
        <v>0.40890125173852576</v>
      </c>
      <c r="BS83" s="1968">
        <f>+BS82/BO82-1</f>
        <v>0.2881152460984393</v>
      </c>
      <c r="BT83" s="1968">
        <f>+BT82/BP82-1</f>
        <v>0.26875699888017923</v>
      </c>
      <c r="BU83" s="1968">
        <f t="shared" ref="BU83:CC83" si="185">+BU82/BQ82-1</f>
        <v>0.25183630640083954</v>
      </c>
      <c r="BV83" s="1968">
        <f t="shared" si="185"/>
        <v>0.23692003948667328</v>
      </c>
      <c r="BW83" s="1938">
        <f t="shared" si="185"/>
        <v>0.22367194780987876</v>
      </c>
      <c r="BX83" s="1968">
        <f t="shared" si="185"/>
        <v>0.21182700794351272</v>
      </c>
      <c r="BY83" s="1968">
        <f t="shared" si="185"/>
        <v>0.20117351215423307</v>
      </c>
      <c r="BZ83" s="1957">
        <f t="shared" si="185"/>
        <v>0.19154030327214677</v>
      </c>
      <c r="CA83" s="1938">
        <f t="shared" si="185"/>
        <v>0.18278750952018274</v>
      </c>
      <c r="CB83" s="1968">
        <f t="shared" si="185"/>
        <v>0.17479970866715222</v>
      </c>
      <c r="CC83" s="1968">
        <f t="shared" si="185"/>
        <v>0.16748080949057931</v>
      </c>
      <c r="CD83" s="1957">
        <f>+CD82/BZ82-1</f>
        <v>0.16075016744809112</v>
      </c>
      <c r="CE83" s="1968">
        <f>+CE82/CA82-1</f>
        <v>0.15453960077269802</v>
      </c>
      <c r="CF83" s="1968">
        <f>+CF82/CB82-1</f>
        <v>0.14879107253564783</v>
      </c>
      <c r="CG83" s="1968">
        <f>+CG82/CC82-1</f>
        <v>0.14345487148834435</v>
      </c>
      <c r="CH83" s="1957">
        <f t="shared" ref="CH83:CM83" si="186">+CH82/CD82-1</f>
        <v>0.13848817080207732</v>
      </c>
      <c r="CI83" s="1968">
        <f t="shared" si="186"/>
        <v>0.13385387618516442</v>
      </c>
      <c r="CJ83" s="1968">
        <f t="shared" si="186"/>
        <v>0.12951969778737182</v>
      </c>
      <c r="CK83" s="1968">
        <f t="shared" si="186"/>
        <v>0.12545739675901735</v>
      </c>
      <c r="CL83" s="1957">
        <f t="shared" si="186"/>
        <v>0.12164216928535221</v>
      </c>
      <c r="CM83" s="1968">
        <f t="shared" si="186"/>
        <v>0.11805213969503203</v>
      </c>
      <c r="CN83" s="1968">
        <f>+CN82/CJ82-1</f>
        <v>0.11466794075489717</v>
      </c>
      <c r="CO83" s="1968">
        <f>+CO82/CK82-1</f>
        <v>0.11147236414305617</v>
      </c>
      <c r="CP83" s="1957">
        <f t="shared" ref="CP83" si="187">+CP82/CL82-1</f>
        <v>0.10845006778129229</v>
      </c>
      <c r="CQ83" s="1968">
        <f>+CQ82/CM82-1</f>
        <v>0.10558732952045746</v>
      </c>
      <c r="CR83" s="1968">
        <f>+CR82/CN82-1</f>
        <v>0.10287183883411921</v>
      </c>
      <c r="CS83" s="1968">
        <f>+CS82/CO82-1</f>
        <v>0.10029251984956122</v>
      </c>
      <c r="CT83" s="1957">
        <f>+CT82/CP82-1</f>
        <v>9.7839380350591032E-2</v>
      </c>
    </row>
    <row r="84" spans="1:98" hidden="1" outlineLevel="2">
      <c r="A84" s="2637" t="s">
        <v>131</v>
      </c>
      <c r="B84" s="1916"/>
      <c r="C84" s="1916"/>
      <c r="D84" s="1916"/>
      <c r="E84" s="1916"/>
      <c r="F84" s="1916"/>
      <c r="G84" s="1916"/>
      <c r="H84" s="1916"/>
      <c r="I84" s="1916"/>
      <c r="J84" s="2643"/>
      <c r="K84" s="2643"/>
      <c r="L84" s="1927">
        <f t="shared" ref="L84:S84" si="188">+L82-K82</f>
        <v>300</v>
      </c>
      <c r="M84" s="1927">
        <f t="shared" si="188"/>
        <v>294</v>
      </c>
      <c r="N84" s="1927">
        <f t="shared" si="188"/>
        <v>240</v>
      </c>
      <c r="O84" s="1927">
        <f t="shared" si="188"/>
        <v>240</v>
      </c>
      <c r="P84" s="1927">
        <f t="shared" si="188"/>
        <v>240</v>
      </c>
      <c r="Q84" s="1927">
        <f t="shared" si="188"/>
        <v>240</v>
      </c>
      <c r="R84" s="1927">
        <f t="shared" si="188"/>
        <v>240</v>
      </c>
      <c r="S84" s="1927">
        <f t="shared" si="188"/>
        <v>240</v>
      </c>
      <c r="T84" s="1927">
        <f>+T82-S82</f>
        <v>240</v>
      </c>
      <c r="U84" s="1925">
        <v>150</v>
      </c>
      <c r="V84" s="1925">
        <v>150</v>
      </c>
      <c r="W84" s="1925">
        <v>150</v>
      </c>
      <c r="X84" s="1925">
        <v>150</v>
      </c>
      <c r="Y84" s="1925">
        <v>150</v>
      </c>
      <c r="Z84" s="1925">
        <v>150</v>
      </c>
      <c r="AA84" s="1925">
        <v>150</v>
      </c>
      <c r="AB84" s="1925">
        <v>150</v>
      </c>
      <c r="AC84" s="1925">
        <v>150</v>
      </c>
      <c r="AD84" s="1925">
        <v>150</v>
      </c>
      <c r="AE84" s="1925">
        <v>150</v>
      </c>
      <c r="AF84" s="1925">
        <v>150</v>
      </c>
      <c r="AG84" s="3920"/>
      <c r="AH84" s="3904"/>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35"/>
      <c r="BD84" s="2643"/>
      <c r="BE84" s="2643"/>
      <c r="BF84" s="2643"/>
      <c r="BG84" s="1936">
        <f>+Q_Segments!CD250</f>
        <v>63</v>
      </c>
      <c r="BH84" s="1925">
        <f>+Q_Segments!CE250</f>
        <v>65</v>
      </c>
      <c r="BI84" s="1925">
        <f>+Q_Segments!CF250</f>
        <v>71</v>
      </c>
      <c r="BJ84" s="1925">
        <f>+Q_Segments!CG250</f>
        <v>80</v>
      </c>
      <c r="BK84" s="1936">
        <f>+Q_Segments!CH250</f>
        <v>64</v>
      </c>
      <c r="BL84" s="1925">
        <f>+Q_Segments!CI250</f>
        <v>52</v>
      </c>
      <c r="BM84" s="1925">
        <f>+Q_Segments!CJ250</f>
        <v>92</v>
      </c>
      <c r="BN84" s="1925">
        <f>+Q_Segments!CK250</f>
        <v>92</v>
      </c>
      <c r="BO84" s="1936">
        <f>+Q_Segments!CL250</f>
        <v>114</v>
      </c>
      <c r="BP84" s="1927">
        <v>60</v>
      </c>
      <c r="BQ84" s="1927">
        <v>60</v>
      </c>
      <c r="BR84" s="1933">
        <v>60</v>
      </c>
      <c r="BS84" s="1927">
        <v>60</v>
      </c>
      <c r="BT84" s="1927">
        <v>60</v>
      </c>
      <c r="BU84" s="1927">
        <v>60</v>
      </c>
      <c r="BV84" s="1927">
        <v>60</v>
      </c>
      <c r="BW84" s="1937">
        <v>60</v>
      </c>
      <c r="BX84" s="1927">
        <v>60</v>
      </c>
      <c r="BY84" s="1927">
        <v>60</v>
      </c>
      <c r="BZ84" s="1933">
        <v>60</v>
      </c>
      <c r="CA84" s="1937">
        <v>60</v>
      </c>
      <c r="CB84" s="1927">
        <v>60</v>
      </c>
      <c r="CC84" s="1927">
        <v>60</v>
      </c>
      <c r="CD84" s="1933">
        <v>60</v>
      </c>
      <c r="CE84" s="1927">
        <v>60</v>
      </c>
      <c r="CF84" s="1927">
        <v>60</v>
      </c>
      <c r="CG84" s="1927">
        <v>60</v>
      </c>
      <c r="CH84" s="1933">
        <v>60</v>
      </c>
      <c r="CI84" s="1927">
        <v>60</v>
      </c>
      <c r="CJ84" s="1927">
        <v>60</v>
      </c>
      <c r="CK84" s="1927">
        <v>60</v>
      </c>
      <c r="CL84" s="1933">
        <v>60</v>
      </c>
      <c r="CM84" s="1927">
        <v>60</v>
      </c>
      <c r="CN84" s="1927">
        <v>60</v>
      </c>
      <c r="CO84" s="1927">
        <v>60</v>
      </c>
      <c r="CP84" s="1933">
        <v>60</v>
      </c>
      <c r="CQ84" s="1927">
        <v>60</v>
      </c>
      <c r="CR84" s="1927">
        <v>60</v>
      </c>
      <c r="CS84" s="1927">
        <v>60</v>
      </c>
      <c r="CT84" s="1933">
        <v>60</v>
      </c>
    </row>
    <row r="85" spans="1:98" hidden="1" outlineLevel="3">
      <c r="A85" s="2639" t="s">
        <v>778</v>
      </c>
      <c r="B85" s="1916"/>
      <c r="C85" s="1916"/>
      <c r="D85" s="1916"/>
      <c r="E85" s="1916"/>
      <c r="F85" s="1916"/>
      <c r="G85" s="1916"/>
      <c r="H85" s="1916"/>
      <c r="I85" s="1916"/>
      <c r="J85" s="2643"/>
      <c r="K85" s="2643"/>
      <c r="L85" s="2643"/>
      <c r="M85" s="2643"/>
      <c r="N85" s="1928">
        <f>+N84/M84-1</f>
        <v>-0.18367346938775508</v>
      </c>
      <c r="O85" s="1928">
        <f>+O84/N84-1</f>
        <v>0</v>
      </c>
      <c r="P85" s="1965">
        <f>+Q_Segments!V251</f>
        <v>0</v>
      </c>
      <c r="Q85" s="1965">
        <f>+Q_Segments!W251</f>
        <v>0</v>
      </c>
      <c r="R85" s="1965">
        <f>+Q_Segments!X251</f>
        <v>0</v>
      </c>
      <c r="S85" s="1965">
        <f>+Q_Segments!Y251</f>
        <v>0</v>
      </c>
      <c r="T85" s="1965">
        <f>+Q_Segments!Z251</f>
        <v>0</v>
      </c>
      <c r="U85" s="1965">
        <f>+Q_Segments!AA251</f>
        <v>0</v>
      </c>
      <c r="V85" s="1965">
        <f>+Q_Segments!AB251</f>
        <v>0</v>
      </c>
      <c r="W85" s="1965">
        <f>+Q_Segments!AC251</f>
        <v>0</v>
      </c>
      <c r="X85" s="1965">
        <f>+Q_Segments!AD251</f>
        <v>0</v>
      </c>
      <c r="Y85" s="1965">
        <f>+Q_Segments!AE251</f>
        <v>0</v>
      </c>
      <c r="Z85" s="1965">
        <f>+Q_Segments!AF251</f>
        <v>0</v>
      </c>
      <c r="AA85" s="1965">
        <f>+Q_Segments!AG251</f>
        <v>0</v>
      </c>
      <c r="AB85" s="1965">
        <f>+Q_Segments!AH251</f>
        <v>0</v>
      </c>
      <c r="AC85" s="1965">
        <f>+Q_Segments!AI251</f>
        <v>0</v>
      </c>
      <c r="AD85" s="1965">
        <f>+Q_Segments!AJ251</f>
        <v>0</v>
      </c>
      <c r="AE85" s="1965">
        <f>+Q_Segments!AK251</f>
        <v>0</v>
      </c>
      <c r="AF85" s="1965">
        <f>+Q_Segments!AL251</f>
        <v>0</v>
      </c>
      <c r="AG85" s="3920"/>
      <c r="AH85" s="3904"/>
      <c r="AI85" s="1916"/>
      <c r="AJ85" s="1916"/>
      <c r="AK85" s="1916"/>
      <c r="AL85" s="1916"/>
      <c r="AM85" s="1916"/>
      <c r="AN85" s="1916"/>
      <c r="AO85" s="1916"/>
      <c r="AP85" s="1916"/>
      <c r="AQ85" s="1916"/>
      <c r="AR85" s="1916"/>
      <c r="AS85" s="1916"/>
      <c r="AT85" s="1916"/>
      <c r="AU85" s="1916"/>
      <c r="AV85" s="1916"/>
      <c r="AW85" s="1916"/>
      <c r="AX85" s="1916"/>
      <c r="AY85" s="1916"/>
      <c r="AZ85" s="1916"/>
      <c r="BA85" s="1916"/>
      <c r="BB85" s="1916"/>
      <c r="BC85" s="1935"/>
      <c r="BD85" s="2643"/>
      <c r="BE85" s="2643"/>
      <c r="BF85" s="2643"/>
      <c r="BG85" s="1940">
        <f>+Q_Segments!CD251</f>
        <v>0</v>
      </c>
      <c r="BH85" s="1965">
        <f>+Q_Segments!CE251</f>
        <v>0</v>
      </c>
      <c r="BI85" s="1965">
        <f>+Q_Segments!CF251</f>
        <v>0</v>
      </c>
      <c r="BJ85" s="1965">
        <f>+Q_Segments!CG251</f>
        <v>0</v>
      </c>
      <c r="BK85" s="1940">
        <f>+Q_Segments!CH251</f>
        <v>0</v>
      </c>
      <c r="BL85" s="1965">
        <f>+Q_Segments!CI251</f>
        <v>0</v>
      </c>
      <c r="BM85" s="1965">
        <f>+Q_Segments!CJ251</f>
        <v>0</v>
      </c>
      <c r="BN85" s="1965">
        <f>+Q_Segments!CK251</f>
        <v>0</v>
      </c>
      <c r="BO85" s="1940">
        <f>+Q_Segments!CL251</f>
        <v>0</v>
      </c>
      <c r="BP85" s="1965">
        <f>+Q_Segments!CM251</f>
        <v>0</v>
      </c>
      <c r="BQ85" s="1965">
        <f>+Q_Segments!CN251</f>
        <v>0</v>
      </c>
      <c r="BR85" s="1929">
        <f>+Q_Segments!CO251</f>
        <v>0</v>
      </c>
      <c r="BS85" s="1965">
        <f>+Q_Segments!CP251</f>
        <v>0</v>
      </c>
      <c r="BT85" s="1965">
        <f>+Q_Segments!CQ251</f>
        <v>0</v>
      </c>
      <c r="BU85" s="1965">
        <f>+Q_Segments!CR251</f>
        <v>0</v>
      </c>
      <c r="BV85" s="1965">
        <f>+Q_Segments!CS251</f>
        <v>0</v>
      </c>
      <c r="BW85" s="1940">
        <f>+Q_Segments!CT251</f>
        <v>0</v>
      </c>
      <c r="BX85" s="1965">
        <f>+Q_Segments!CU251</f>
        <v>0</v>
      </c>
      <c r="BY85" s="1965">
        <f>+Q_Segments!CV251</f>
        <v>0</v>
      </c>
      <c r="BZ85" s="1929">
        <f>+Q_Segments!CW251</f>
        <v>0</v>
      </c>
      <c r="CA85" s="1940">
        <f>+Q_Segments!CX251</f>
        <v>0</v>
      </c>
      <c r="CB85" s="1965">
        <f>+Q_Segments!CY251</f>
        <v>0</v>
      </c>
      <c r="CC85" s="1965">
        <f>+Q_Segments!CZ251</f>
        <v>0</v>
      </c>
      <c r="CD85" s="1929">
        <f>+Q_Segments!DA251</f>
        <v>0</v>
      </c>
      <c r="CE85" s="1965">
        <f>+Q_Segments!DB251</f>
        <v>0</v>
      </c>
      <c r="CF85" s="1965">
        <f>+Q_Segments!DC251</f>
        <v>0</v>
      </c>
      <c r="CG85" s="1965">
        <f>+Q_Segments!DD251</f>
        <v>0</v>
      </c>
      <c r="CH85" s="1929">
        <f>+Q_Segments!DE251</f>
        <v>0</v>
      </c>
      <c r="CI85" s="1965">
        <f>+Q_Segments!DF251</f>
        <v>0</v>
      </c>
      <c r="CJ85" s="1965">
        <f>+Q_Segments!DG251</f>
        <v>0</v>
      </c>
      <c r="CK85" s="1965">
        <f>+Q_Segments!DH251</f>
        <v>0</v>
      </c>
      <c r="CL85" s="1929">
        <f>+Q_Segments!DI251</f>
        <v>0</v>
      </c>
      <c r="CM85" s="1965">
        <f>+Q_Segments!DJ251</f>
        <v>0</v>
      </c>
      <c r="CN85" s="1965">
        <f>+Q_Segments!DK251</f>
        <v>0</v>
      </c>
      <c r="CO85" s="1965">
        <f>+Q_Segments!DL251</f>
        <v>0</v>
      </c>
      <c r="CP85" s="1929">
        <f>+Q_Segments!DM251</f>
        <v>0</v>
      </c>
      <c r="CQ85" s="1965">
        <f>+Q_Segments!DN251</f>
        <v>0</v>
      </c>
      <c r="CR85" s="1965">
        <f>+Q_Segments!DO251</f>
        <v>0</v>
      </c>
      <c r="CS85" s="1965">
        <f>+Q_Segments!DP251</f>
        <v>0</v>
      </c>
      <c r="CT85" s="1929">
        <f>+Q_Segments!DQ251</f>
        <v>0</v>
      </c>
    </row>
    <row r="86" spans="1:98" hidden="1" outlineLevel="3">
      <c r="A86" s="2639" t="s">
        <v>779</v>
      </c>
      <c r="B86" s="1916"/>
      <c r="C86" s="1916"/>
      <c r="D86" s="1916"/>
      <c r="E86" s="1916"/>
      <c r="F86" s="1916"/>
      <c r="G86" s="1916"/>
      <c r="H86" s="1916"/>
      <c r="I86" s="1916"/>
      <c r="J86" s="2643"/>
      <c r="K86" s="2643"/>
      <c r="L86" s="2643"/>
      <c r="M86" s="2643"/>
      <c r="N86" s="2640"/>
      <c r="O86" s="2640"/>
      <c r="P86" s="1925"/>
      <c r="Q86" s="1925"/>
      <c r="R86" s="1925"/>
      <c r="S86" s="1925"/>
      <c r="T86" s="1925"/>
      <c r="U86" s="1925"/>
      <c r="V86" s="1925"/>
      <c r="W86" s="1925"/>
      <c r="X86" s="1925"/>
      <c r="Y86" s="1925"/>
      <c r="Z86" s="1925"/>
      <c r="AA86" s="1925"/>
      <c r="AB86" s="1925"/>
      <c r="AC86" s="1925"/>
      <c r="AD86" s="1925"/>
      <c r="AE86" s="1925"/>
      <c r="AF86" s="1925"/>
      <c r="AG86" s="3920"/>
      <c r="AH86" s="3904"/>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35"/>
      <c r="BD86" s="2643"/>
      <c r="BE86" s="2643"/>
      <c r="BF86" s="2643"/>
      <c r="BG86" s="1936"/>
      <c r="BH86" s="1925"/>
      <c r="BI86" s="1925"/>
      <c r="BJ86" s="1925"/>
      <c r="BK86" s="1936"/>
      <c r="BL86" s="1925"/>
      <c r="BM86" s="1925"/>
      <c r="BN86" s="1925"/>
      <c r="BO86" s="1936"/>
      <c r="BP86" s="1925"/>
      <c r="BQ86" s="1925"/>
      <c r="BR86" s="1926"/>
      <c r="BS86" s="1925"/>
      <c r="BT86" s="1925"/>
      <c r="BU86" s="1925"/>
      <c r="BV86" s="1925"/>
      <c r="BW86" s="1936"/>
      <c r="BX86" s="1925"/>
      <c r="BY86" s="1925"/>
      <c r="BZ86" s="1926"/>
      <c r="CA86" s="1936"/>
      <c r="CB86" s="1925"/>
      <c r="CC86" s="1925"/>
      <c r="CD86" s="1926"/>
      <c r="CE86" s="1925"/>
      <c r="CF86" s="1925"/>
      <c r="CG86" s="1925"/>
      <c r="CH86" s="1926"/>
      <c r="CI86" s="1925"/>
      <c r="CJ86" s="1925"/>
      <c r="CK86" s="1925"/>
      <c r="CL86" s="1926"/>
      <c r="CM86" s="1925"/>
      <c r="CN86" s="1925"/>
      <c r="CO86" s="1925"/>
      <c r="CP86" s="1926"/>
      <c r="CQ86" s="1925"/>
      <c r="CR86" s="1925"/>
      <c r="CS86" s="1925"/>
      <c r="CT86" s="1926"/>
    </row>
    <row r="87" spans="1:98" hidden="1" outlineLevel="3">
      <c r="A87" s="2639" t="s">
        <v>780</v>
      </c>
      <c r="B87" s="1916"/>
      <c r="C87" s="1916"/>
      <c r="D87" s="1916"/>
      <c r="E87" s="1916"/>
      <c r="F87" s="1916"/>
      <c r="G87" s="1916"/>
      <c r="H87" s="1916"/>
      <c r="I87" s="1916"/>
      <c r="J87" s="2643"/>
      <c r="K87" s="1925">
        <f>+BJ87</f>
        <v>0</v>
      </c>
      <c r="L87" s="1925">
        <f>+BN87</f>
        <v>0</v>
      </c>
      <c r="M87" s="1925">
        <f>+BR87</f>
        <v>0</v>
      </c>
      <c r="N87" s="1927">
        <f>+BV87</f>
        <v>0</v>
      </c>
      <c r="O87" s="1927">
        <f>+BZ87</f>
        <v>0</v>
      </c>
      <c r="P87" s="1925">
        <f>+Q_Segments!V253</f>
        <v>0</v>
      </c>
      <c r="Q87" s="1925">
        <f>+Q_Segments!W253</f>
        <v>0</v>
      </c>
      <c r="R87" s="1925">
        <f>+Q_Segments!X253</f>
        <v>0</v>
      </c>
      <c r="S87" s="1925">
        <f>+Q_Segments!Y253</f>
        <v>0</v>
      </c>
      <c r="T87" s="1925">
        <f>+Q_Segments!Z253</f>
        <v>0</v>
      </c>
      <c r="U87" s="1925">
        <f>+Q_Segments!AA253</f>
        <v>0</v>
      </c>
      <c r="V87" s="1925">
        <f>+Q_Segments!AB253</f>
        <v>0</v>
      </c>
      <c r="W87" s="1925">
        <f>+Q_Segments!AC253</f>
        <v>0</v>
      </c>
      <c r="X87" s="1925">
        <f>+Q_Segments!AD253</f>
        <v>0</v>
      </c>
      <c r="Y87" s="1925">
        <f>+Q_Segments!AE253</f>
        <v>0</v>
      </c>
      <c r="Z87" s="1925">
        <f>+Q_Segments!AF253</f>
        <v>0</v>
      </c>
      <c r="AA87" s="1925">
        <f>+Q_Segments!AG253</f>
        <v>0</v>
      </c>
      <c r="AB87" s="1925">
        <f>+Q_Segments!AH253</f>
        <v>0</v>
      </c>
      <c r="AC87" s="1925">
        <f>+Q_Segments!AI253</f>
        <v>0</v>
      </c>
      <c r="AD87" s="1925">
        <f>+Q_Segments!AJ253</f>
        <v>0</v>
      </c>
      <c r="AE87" s="1925">
        <f>+Q_Segments!AK253</f>
        <v>0</v>
      </c>
      <c r="AF87" s="1925">
        <f>+Q_Segments!AL253</f>
        <v>0</v>
      </c>
      <c r="AG87" s="3920"/>
      <c r="AH87" s="3904"/>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35"/>
      <c r="BD87" s="2643"/>
      <c r="BE87" s="2643"/>
      <c r="BF87" s="2643"/>
      <c r="BG87" s="1936">
        <f>+Q_Segments!CD253</f>
        <v>0</v>
      </c>
      <c r="BH87" s="1925">
        <f>+Q_Segments!CE253</f>
        <v>0</v>
      </c>
      <c r="BI87" s="1925">
        <f>+Q_Segments!CF253</f>
        <v>0</v>
      </c>
      <c r="BJ87" s="1925">
        <f>+Q_Segments!CG253</f>
        <v>0</v>
      </c>
      <c r="BK87" s="1936">
        <f>+Q_Segments!CH253</f>
        <v>0</v>
      </c>
      <c r="BL87" s="1925">
        <f>+Q_Segments!CI253</f>
        <v>0</v>
      </c>
      <c r="BM87" s="1925">
        <f>+Q_Segments!CJ253</f>
        <v>0</v>
      </c>
      <c r="BN87" s="1925">
        <f>+Q_Segments!CK253</f>
        <v>0</v>
      </c>
      <c r="BO87" s="1936">
        <f>+Q_Segments!CL253</f>
        <v>0</v>
      </c>
      <c r="BP87" s="1925">
        <f>+Q_Segments!CM253</f>
        <v>0</v>
      </c>
      <c r="BQ87" s="1925">
        <f>+Q_Segments!CN253</f>
        <v>0</v>
      </c>
      <c r="BR87" s="1926">
        <f>+Q_Segments!CO253</f>
        <v>0</v>
      </c>
      <c r="BS87" s="1925">
        <f>+Q_Segments!CP253</f>
        <v>0</v>
      </c>
      <c r="BT87" s="1925">
        <f>+Q_Segments!CQ253</f>
        <v>0</v>
      </c>
      <c r="BU87" s="1925">
        <f>+Q_Segments!CR253</f>
        <v>0</v>
      </c>
      <c r="BV87" s="1925">
        <f>+Q_Segments!CS253</f>
        <v>0</v>
      </c>
      <c r="BW87" s="1936">
        <f>+Q_Segments!CT253</f>
        <v>0</v>
      </c>
      <c r="BX87" s="1925">
        <f>+Q_Segments!CU253</f>
        <v>0</v>
      </c>
      <c r="BY87" s="1925">
        <f>+Q_Segments!CV253</f>
        <v>0</v>
      </c>
      <c r="BZ87" s="1926">
        <f>+Q_Segments!CW253</f>
        <v>0</v>
      </c>
      <c r="CA87" s="1936">
        <f>+Q_Segments!CX253</f>
        <v>0</v>
      </c>
      <c r="CB87" s="1925">
        <f>+Q_Segments!CY253</f>
        <v>0</v>
      </c>
      <c r="CC87" s="1925">
        <f>+Q_Segments!CZ253</f>
        <v>0</v>
      </c>
      <c r="CD87" s="1926">
        <f>+Q_Segments!DA253</f>
        <v>0</v>
      </c>
      <c r="CE87" s="1925">
        <f>+Q_Segments!DB253</f>
        <v>0</v>
      </c>
      <c r="CF87" s="1925">
        <f>+Q_Segments!DC253</f>
        <v>0</v>
      </c>
      <c r="CG87" s="1925">
        <f>+Q_Segments!DD253</f>
        <v>0</v>
      </c>
      <c r="CH87" s="1926">
        <f>+Q_Segments!DE253</f>
        <v>0</v>
      </c>
      <c r="CI87" s="1925">
        <f>+Q_Segments!DF253</f>
        <v>0</v>
      </c>
      <c r="CJ87" s="1925">
        <f>+Q_Segments!DG253</f>
        <v>0</v>
      </c>
      <c r="CK87" s="1925">
        <f>+Q_Segments!DH253</f>
        <v>0</v>
      </c>
      <c r="CL87" s="1926">
        <f>+Q_Segments!DI253</f>
        <v>0</v>
      </c>
      <c r="CM87" s="1925">
        <f>+Q_Segments!DJ253</f>
        <v>0</v>
      </c>
      <c r="CN87" s="1925">
        <f>+Q_Segments!DK253</f>
        <v>0</v>
      </c>
      <c r="CO87" s="1925">
        <f>+Q_Segments!DL253</f>
        <v>0</v>
      </c>
      <c r="CP87" s="1926">
        <f>+Q_Segments!DM253</f>
        <v>0</v>
      </c>
      <c r="CQ87" s="1925">
        <f>+Q_Segments!DN253</f>
        <v>0</v>
      </c>
      <c r="CR87" s="1925">
        <f>+Q_Segments!DO253</f>
        <v>0</v>
      </c>
      <c r="CS87" s="1925">
        <f>+Q_Segments!DP253</f>
        <v>0</v>
      </c>
      <c r="CT87" s="1926">
        <f>+Q_Segments!DQ253</f>
        <v>0</v>
      </c>
    </row>
    <row r="88" spans="1:98" hidden="1" outlineLevel="2" collapsed="1">
      <c r="A88" s="2638" t="s">
        <v>130</v>
      </c>
      <c r="B88" s="1916"/>
      <c r="C88" s="1916"/>
      <c r="D88" s="1916"/>
      <c r="E88" s="1916"/>
      <c r="F88" s="1916"/>
      <c r="G88" s="1916"/>
      <c r="H88" s="1916"/>
      <c r="I88" s="1916"/>
      <c r="J88" s="2643"/>
      <c r="K88" s="2643"/>
      <c r="L88" s="2643"/>
      <c r="M88" s="1928">
        <f t="shared" ref="M88:R88" si="189">+M84/L84-1</f>
        <v>-2.0000000000000018E-2</v>
      </c>
      <c r="N88" s="1928">
        <f t="shared" si="189"/>
        <v>-0.18367346938775508</v>
      </c>
      <c r="O88" s="1928">
        <f t="shared" si="189"/>
        <v>0</v>
      </c>
      <c r="P88" s="1928">
        <f t="shared" si="189"/>
        <v>0</v>
      </c>
      <c r="Q88" s="1928">
        <f t="shared" si="189"/>
        <v>0</v>
      </c>
      <c r="R88" s="1928">
        <f t="shared" si="189"/>
        <v>0</v>
      </c>
      <c r="S88" s="1928">
        <f>+S84/R84-1</f>
        <v>0</v>
      </c>
      <c r="T88" s="1928">
        <f>+T84/S84-1</f>
        <v>0</v>
      </c>
      <c r="U88" s="1928">
        <f>+U84/T84-1</f>
        <v>-0.375</v>
      </c>
      <c r="V88" s="1928">
        <f>+V84/U84-1</f>
        <v>0</v>
      </c>
      <c r="W88" s="1928">
        <f>+W84/V84-1</f>
        <v>0</v>
      </c>
      <c r="X88" s="1928">
        <f t="shared" ref="X88:AF88" si="190">+X84/W84-1</f>
        <v>0</v>
      </c>
      <c r="Y88" s="1928">
        <f t="shared" si="190"/>
        <v>0</v>
      </c>
      <c r="Z88" s="1928">
        <f t="shared" si="190"/>
        <v>0</v>
      </c>
      <c r="AA88" s="1928">
        <f t="shared" si="190"/>
        <v>0</v>
      </c>
      <c r="AB88" s="1928">
        <f t="shared" si="190"/>
        <v>0</v>
      </c>
      <c r="AC88" s="1928">
        <f t="shared" si="190"/>
        <v>0</v>
      </c>
      <c r="AD88" s="1928">
        <f t="shared" si="190"/>
        <v>0</v>
      </c>
      <c r="AE88" s="1928">
        <f t="shared" si="190"/>
        <v>0</v>
      </c>
      <c r="AF88" s="1928">
        <f t="shared" si="190"/>
        <v>0</v>
      </c>
      <c r="AG88" s="3920"/>
      <c r="AH88" s="3904"/>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35"/>
      <c r="BD88" s="2643"/>
      <c r="BE88" s="2643"/>
      <c r="BF88" s="2643"/>
      <c r="BG88" s="1941">
        <f>+Q_Segments!CD254</f>
        <v>3.8461538461538458</v>
      </c>
      <c r="BH88" s="1942">
        <f>+Q_Segments!CE254</f>
        <v>2.4210526315789473</v>
      </c>
      <c r="BI88" s="1942">
        <f>+Q_Segments!CF254</f>
        <v>0.77499999999999991</v>
      </c>
      <c r="BJ88" s="1942">
        <f>+Q_Segments!CG254</f>
        <v>0.31147540983606548</v>
      </c>
      <c r="BK88" s="1941">
        <f>+Q_Segments!CH254</f>
        <v>1.5873015873015817E-2</v>
      </c>
      <c r="BL88" s="1942">
        <f>+Q_Segments!CI254</f>
        <v>-0.19999999999999996</v>
      </c>
      <c r="BM88" s="1942">
        <f>+Q_Segments!CJ254</f>
        <v>0.29577464788732399</v>
      </c>
      <c r="BN88" s="1942">
        <f>+Q_Segments!CK254</f>
        <v>0.14999999999999991</v>
      </c>
      <c r="BO88" s="1941">
        <f t="shared" ref="BO88:CC88" si="191">+BO84/BK84-1</f>
        <v>0.78125</v>
      </c>
      <c r="BP88" s="1942">
        <f t="shared" si="191"/>
        <v>0.15384615384615374</v>
      </c>
      <c r="BQ88" s="1942">
        <f t="shared" si="191"/>
        <v>-0.34782608695652173</v>
      </c>
      <c r="BR88" s="1930">
        <f t="shared" si="191"/>
        <v>-0.34782608695652173</v>
      </c>
      <c r="BS88" s="1942">
        <f t="shared" si="191"/>
        <v>-0.47368421052631582</v>
      </c>
      <c r="BT88" s="1942">
        <f t="shared" si="191"/>
        <v>0</v>
      </c>
      <c r="BU88" s="1942">
        <f t="shared" si="191"/>
        <v>0</v>
      </c>
      <c r="BV88" s="1942">
        <f t="shared" si="191"/>
        <v>0</v>
      </c>
      <c r="BW88" s="1941">
        <f t="shared" si="191"/>
        <v>0</v>
      </c>
      <c r="BX88" s="1942">
        <f t="shared" si="191"/>
        <v>0</v>
      </c>
      <c r="BY88" s="1942">
        <f t="shared" si="191"/>
        <v>0</v>
      </c>
      <c r="BZ88" s="1930">
        <f t="shared" si="191"/>
        <v>0</v>
      </c>
      <c r="CA88" s="1941">
        <f t="shared" si="191"/>
        <v>0</v>
      </c>
      <c r="CB88" s="1942">
        <f t="shared" si="191"/>
        <v>0</v>
      </c>
      <c r="CC88" s="1942">
        <f t="shared" si="191"/>
        <v>0</v>
      </c>
      <c r="CD88" s="1930">
        <f>+CD84/BZ84-1</f>
        <v>0</v>
      </c>
      <c r="CE88" s="1942">
        <f>+CE84/CA84-1</f>
        <v>0</v>
      </c>
      <c r="CF88" s="1942">
        <f>+CF84/CB84-1</f>
        <v>0</v>
      </c>
      <c r="CG88" s="1942">
        <f>+CG84/CC84-1</f>
        <v>0</v>
      </c>
      <c r="CH88" s="1930">
        <f t="shared" ref="CH88:CM88" si="192">+CH84/CD84-1</f>
        <v>0</v>
      </c>
      <c r="CI88" s="1942">
        <f t="shared" si="192"/>
        <v>0</v>
      </c>
      <c r="CJ88" s="1942">
        <f t="shared" si="192"/>
        <v>0</v>
      </c>
      <c r="CK88" s="1942">
        <f t="shared" si="192"/>
        <v>0</v>
      </c>
      <c r="CL88" s="1930">
        <f t="shared" si="192"/>
        <v>0</v>
      </c>
      <c r="CM88" s="1942">
        <f t="shared" si="192"/>
        <v>0</v>
      </c>
      <c r="CN88" s="1942">
        <f>+CN84/CJ84-1</f>
        <v>0</v>
      </c>
      <c r="CO88" s="1942">
        <f>+CO84/CK84-1</f>
        <v>0</v>
      </c>
      <c r="CP88" s="1930">
        <f t="shared" ref="CP88" si="193">+CP84/CL84-1</f>
        <v>0</v>
      </c>
      <c r="CQ88" s="1942">
        <f>+CQ84/CM84-1</f>
        <v>0</v>
      </c>
      <c r="CR88" s="1942">
        <f>+CR84/CN84-1</f>
        <v>0</v>
      </c>
      <c r="CS88" s="1942">
        <f>+CS84/CO84-1</f>
        <v>0</v>
      </c>
      <c r="CT88" s="1930">
        <f>+CT84/CP84-1</f>
        <v>0</v>
      </c>
    </row>
    <row r="89" spans="1:98" hidden="1" outlineLevel="2">
      <c r="A89" s="1936"/>
      <c r="B89" s="1916"/>
      <c r="C89" s="1916"/>
      <c r="D89" s="1916"/>
      <c r="E89" s="1916"/>
      <c r="F89" s="1916"/>
      <c r="G89" s="1916"/>
      <c r="H89" s="1916"/>
      <c r="I89" s="1916"/>
      <c r="J89" s="2643"/>
      <c r="K89" s="2643"/>
      <c r="L89" s="2643"/>
      <c r="M89" s="2643"/>
      <c r="N89" s="2641"/>
      <c r="O89" s="2641"/>
      <c r="P89" s="1942"/>
      <c r="Q89" s="1942"/>
      <c r="R89" s="1942"/>
      <c r="S89" s="1942"/>
      <c r="T89" s="1942"/>
      <c r="U89" s="1942"/>
      <c r="V89" s="1942"/>
      <c r="W89" s="1942"/>
      <c r="X89" s="1942"/>
      <c r="Y89" s="1942"/>
      <c r="Z89" s="1942"/>
      <c r="AA89" s="1942"/>
      <c r="AB89" s="1942"/>
      <c r="AC89" s="1942"/>
      <c r="AD89" s="1942"/>
      <c r="AE89" s="1942"/>
      <c r="AF89" s="1942"/>
      <c r="AG89" s="3920"/>
      <c r="AH89" s="3904"/>
      <c r="AI89" s="1916"/>
      <c r="AJ89" s="1916"/>
      <c r="AK89" s="1916"/>
      <c r="AL89" s="1916"/>
      <c r="AM89" s="1916"/>
      <c r="AN89" s="1916"/>
      <c r="AO89" s="1916"/>
      <c r="AP89" s="1916"/>
      <c r="AQ89" s="1916"/>
      <c r="AR89" s="1916"/>
      <c r="AS89" s="1916"/>
      <c r="AT89" s="1916"/>
      <c r="AU89" s="1916"/>
      <c r="AV89" s="1916"/>
      <c r="AW89" s="1916"/>
      <c r="AX89" s="1916"/>
      <c r="AY89" s="1916"/>
      <c r="AZ89" s="1916"/>
      <c r="BA89" s="1916"/>
      <c r="BB89" s="1916"/>
      <c r="BC89" s="1935"/>
      <c r="BD89" s="2643"/>
      <c r="BE89" s="2643"/>
      <c r="BF89" s="2643"/>
      <c r="BG89" s="1941"/>
      <c r="BH89" s="1942"/>
      <c r="BI89" s="1942"/>
      <c r="BJ89" s="1942"/>
      <c r="BK89" s="1941"/>
      <c r="BL89" s="1942"/>
      <c r="BM89" s="1942"/>
      <c r="BN89" s="1942"/>
      <c r="BO89" s="1941"/>
      <c r="BP89" s="1942"/>
      <c r="BQ89" s="1942"/>
      <c r="BR89" s="1930"/>
      <c r="BS89" s="1942"/>
      <c r="BT89" s="1942"/>
      <c r="BU89" s="1942"/>
      <c r="BV89" s="1942"/>
      <c r="BW89" s="1941"/>
      <c r="BX89" s="1942"/>
      <c r="BY89" s="1942"/>
      <c r="BZ89" s="1930"/>
      <c r="CA89" s="1941"/>
      <c r="CB89" s="1942"/>
      <c r="CC89" s="1942"/>
      <c r="CD89" s="1930"/>
      <c r="CE89" s="1942"/>
      <c r="CF89" s="1942"/>
      <c r="CG89" s="1942"/>
      <c r="CH89" s="1930"/>
      <c r="CI89" s="1942"/>
      <c r="CJ89" s="1942"/>
      <c r="CK89" s="1942"/>
      <c r="CL89" s="1930"/>
      <c r="CM89" s="1942"/>
      <c r="CN89" s="1942"/>
      <c r="CO89" s="1942"/>
      <c r="CP89" s="1930"/>
      <c r="CQ89" s="1942"/>
      <c r="CR89" s="1942"/>
      <c r="CS89" s="1942"/>
      <c r="CT89" s="1930"/>
    </row>
    <row r="90" spans="1:98" hidden="1" outlineLevel="2">
      <c r="A90" s="1936"/>
      <c r="B90" s="1916"/>
      <c r="C90" s="1916"/>
      <c r="D90" s="1916"/>
      <c r="E90" s="1916"/>
      <c r="F90" s="1916"/>
      <c r="G90" s="1916"/>
      <c r="H90" s="1916"/>
      <c r="I90" s="1916"/>
      <c r="J90" s="2643"/>
      <c r="K90" s="2643"/>
      <c r="L90" s="2643"/>
      <c r="M90" s="2643"/>
      <c r="N90" s="2640"/>
      <c r="O90" s="2640"/>
      <c r="P90" s="1925"/>
      <c r="Q90" s="1925"/>
      <c r="R90" s="1925"/>
      <c r="S90" s="1925"/>
      <c r="T90" s="1925"/>
      <c r="U90" s="1925"/>
      <c r="V90" s="1925"/>
      <c r="W90" s="1925"/>
      <c r="X90" s="1925"/>
      <c r="Y90" s="1925"/>
      <c r="Z90" s="1925"/>
      <c r="AA90" s="1925"/>
      <c r="AB90" s="1925"/>
      <c r="AC90" s="1925"/>
      <c r="AD90" s="1925"/>
      <c r="AE90" s="1925"/>
      <c r="AF90" s="1925"/>
      <c r="AG90" s="3920"/>
      <c r="AH90" s="3904"/>
      <c r="AI90" s="1916"/>
      <c r="AJ90" s="1916"/>
      <c r="AK90" s="1916"/>
      <c r="AL90" s="1916"/>
      <c r="AM90" s="1916"/>
      <c r="AN90" s="1916"/>
      <c r="AO90" s="1916"/>
      <c r="AP90" s="1916"/>
      <c r="AQ90" s="1916"/>
      <c r="AR90" s="1916"/>
      <c r="AS90" s="1916"/>
      <c r="AT90" s="1916"/>
      <c r="AU90" s="1916"/>
      <c r="AV90" s="1916"/>
      <c r="AW90" s="1916"/>
      <c r="AX90" s="1916"/>
      <c r="AY90" s="1916"/>
      <c r="AZ90" s="1916"/>
      <c r="BA90" s="1916"/>
      <c r="BB90" s="1916"/>
      <c r="BC90" s="1935"/>
      <c r="BD90" s="2643"/>
      <c r="BE90" s="2643"/>
      <c r="BF90" s="2643"/>
      <c r="BG90" s="1936"/>
      <c r="BH90" s="1925"/>
      <c r="BI90" s="1925"/>
      <c r="BJ90" s="1925"/>
      <c r="BK90" s="1936"/>
      <c r="BL90" s="1925"/>
      <c r="BM90" s="1925"/>
      <c r="BN90" s="1925"/>
      <c r="BO90" s="1936"/>
      <c r="BP90" s="1925"/>
      <c r="BQ90" s="1925"/>
      <c r="BR90" s="1926"/>
      <c r="BS90" s="1925"/>
      <c r="BT90" s="1925"/>
      <c r="BU90" s="1925"/>
      <c r="BV90" s="1925"/>
      <c r="BW90" s="1936"/>
      <c r="BX90" s="1925"/>
      <c r="BY90" s="1925"/>
      <c r="BZ90" s="1926"/>
      <c r="CA90" s="1936"/>
      <c r="CB90" s="1925"/>
      <c r="CC90" s="1925"/>
      <c r="CD90" s="1926"/>
      <c r="CE90" s="1925"/>
      <c r="CF90" s="1925"/>
      <c r="CG90" s="1925"/>
      <c r="CH90" s="1926"/>
      <c r="CI90" s="1925"/>
      <c r="CJ90" s="1925"/>
      <c r="CK90" s="1925"/>
      <c r="CL90" s="1926"/>
      <c r="CM90" s="1925"/>
      <c r="CN90" s="1925"/>
      <c r="CO90" s="1925"/>
      <c r="CP90" s="1926"/>
      <c r="CQ90" s="1925"/>
      <c r="CR90" s="1925"/>
      <c r="CS90" s="1925"/>
      <c r="CT90" s="1926"/>
    </row>
    <row r="91" spans="1:98" hidden="1" outlineLevel="2">
      <c r="A91" s="2638" t="s">
        <v>135</v>
      </c>
      <c r="B91" s="1916"/>
      <c r="C91" s="1916"/>
      <c r="D91" s="1916"/>
      <c r="E91" s="1916"/>
      <c r="F91" s="1916"/>
      <c r="G91" s="1916"/>
      <c r="H91" s="1916"/>
      <c r="I91" s="1916"/>
      <c r="J91" s="2643"/>
      <c r="K91" s="1931">
        <f t="shared" ref="K91:AF91" si="194">+K37/1000</f>
        <v>343</v>
      </c>
      <c r="L91" s="1931">
        <f t="shared" si="194"/>
        <v>356</v>
      </c>
      <c r="M91" s="1931">
        <f t="shared" si="194"/>
        <v>252</v>
      </c>
      <c r="N91" s="1931">
        <f t="shared" si="194"/>
        <v>195</v>
      </c>
      <c r="O91" s="1931">
        <f t="shared" si="194"/>
        <v>140</v>
      </c>
      <c r="P91" s="1931">
        <f t="shared" si="194"/>
        <v>90.6</v>
      </c>
      <c r="Q91" s="1931">
        <f t="shared" si="194"/>
        <v>-33.6</v>
      </c>
      <c r="R91" s="1931">
        <f t="shared" si="194"/>
        <v>-103</v>
      </c>
      <c r="S91" s="1931">
        <f t="shared" si="194"/>
        <v>-283</v>
      </c>
      <c r="T91" s="1931">
        <f>+T37/1000</f>
        <v>-185</v>
      </c>
      <c r="U91" s="1931">
        <f t="shared" si="194"/>
        <v>-25</v>
      </c>
      <c r="V91" s="1931">
        <f t="shared" si="194"/>
        <v>10</v>
      </c>
      <c r="W91" s="1931">
        <f t="shared" si="194"/>
        <v>25</v>
      </c>
      <c r="X91" s="1931">
        <f t="shared" si="194"/>
        <v>25</v>
      </c>
      <c r="Y91" s="1931">
        <f t="shared" si="194"/>
        <v>25</v>
      </c>
      <c r="Z91" s="1931">
        <f t="shared" si="194"/>
        <v>25</v>
      </c>
      <c r="AA91" s="1931">
        <f t="shared" si="194"/>
        <v>25</v>
      </c>
      <c r="AB91" s="1931">
        <f t="shared" si="194"/>
        <v>25</v>
      </c>
      <c r="AC91" s="1931">
        <f t="shared" si="194"/>
        <v>25</v>
      </c>
      <c r="AD91" s="1931">
        <f t="shared" si="194"/>
        <v>25</v>
      </c>
      <c r="AE91" s="1931">
        <f t="shared" si="194"/>
        <v>25</v>
      </c>
      <c r="AF91" s="1931">
        <f t="shared" si="194"/>
        <v>25</v>
      </c>
      <c r="AG91" s="3920"/>
      <c r="AH91" s="3904"/>
      <c r="AI91" s="1916"/>
      <c r="AJ91" s="1916"/>
      <c r="AK91" s="1916"/>
      <c r="AL91" s="1916"/>
      <c r="AM91" s="1916"/>
      <c r="AN91" s="1916"/>
      <c r="AO91" s="1916"/>
      <c r="AP91" s="1916"/>
      <c r="AQ91" s="1916"/>
      <c r="AR91" s="1916"/>
      <c r="AS91" s="1916"/>
      <c r="AT91" s="1916"/>
      <c r="AU91" s="1916"/>
      <c r="AV91" s="1916"/>
      <c r="AW91" s="1916"/>
      <c r="AX91" s="1916"/>
      <c r="AY91" s="1916"/>
      <c r="AZ91" s="1916"/>
      <c r="BA91" s="1916"/>
      <c r="BB91" s="1916"/>
      <c r="BC91" s="1935"/>
      <c r="BD91" s="2643"/>
      <c r="BE91" s="2643"/>
      <c r="BF91" s="2643"/>
      <c r="BG91" s="1943">
        <f>+BG37/1000</f>
        <v>120</v>
      </c>
      <c r="BH91" s="1931">
        <f>+BH37/1000</f>
        <v>62</v>
      </c>
      <c r="BI91" s="1931">
        <f>+BI37/1000</f>
        <v>72</v>
      </c>
      <c r="BJ91" s="1932">
        <f>+BJ37/1000</f>
        <v>89</v>
      </c>
      <c r="BK91" s="1931"/>
      <c r="BL91" s="1931" t="e">
        <f t="shared" ref="BL91:CN91" si="195">+BL37/1000</f>
        <v>#VALUE!</v>
      </c>
      <c r="BM91" s="1931" t="e">
        <f t="shared" si="195"/>
        <v>#VALUE!</v>
      </c>
      <c r="BN91" s="1931" t="e">
        <f t="shared" si="195"/>
        <v>#VALUE!</v>
      </c>
      <c r="BO91" s="1943">
        <f t="shared" si="195"/>
        <v>101</v>
      </c>
      <c r="BP91" s="1931">
        <f t="shared" si="195"/>
        <v>14</v>
      </c>
      <c r="BQ91" s="1931">
        <f t="shared" si="195"/>
        <v>60</v>
      </c>
      <c r="BR91" s="1932">
        <f t="shared" si="195"/>
        <v>73</v>
      </c>
      <c r="BS91" s="1931">
        <f t="shared" si="195"/>
        <v>92</v>
      </c>
      <c r="BT91" s="1931">
        <f t="shared" si="195"/>
        <v>18</v>
      </c>
      <c r="BU91" s="1931">
        <f t="shared" si="195"/>
        <v>44</v>
      </c>
      <c r="BV91" s="1931">
        <f t="shared" si="195"/>
        <v>41</v>
      </c>
      <c r="BW91" s="1943">
        <f t="shared" si="195"/>
        <v>66</v>
      </c>
      <c r="BX91" s="1931">
        <f t="shared" si="195"/>
        <v>-8</v>
      </c>
      <c r="BY91" s="1931">
        <f t="shared" si="195"/>
        <v>33</v>
      </c>
      <c r="BZ91" s="1932">
        <f t="shared" si="195"/>
        <v>49</v>
      </c>
      <c r="CA91" s="1943">
        <f t="shared" si="195"/>
        <v>66</v>
      </c>
      <c r="CB91" s="1931">
        <f t="shared" si="195"/>
        <v>-2</v>
      </c>
      <c r="CC91" s="1931">
        <f t="shared" si="195"/>
        <v>8</v>
      </c>
      <c r="CD91" s="1932">
        <f t="shared" si="195"/>
        <v>18.600000000000001</v>
      </c>
      <c r="CE91" s="1931">
        <f t="shared" si="195"/>
        <v>35.4</v>
      </c>
      <c r="CF91" s="1931">
        <f t="shared" si="195"/>
        <v>-9</v>
      </c>
      <c r="CG91" s="1931">
        <f t="shared" si="195"/>
        <v>-37</v>
      </c>
      <c r="CH91" s="1932">
        <f t="shared" si="195"/>
        <v>-23</v>
      </c>
      <c r="CI91" s="1931">
        <f t="shared" si="195"/>
        <v>8</v>
      </c>
      <c r="CJ91" s="1931">
        <f t="shared" si="195"/>
        <v>-66</v>
      </c>
      <c r="CK91" s="1931">
        <f t="shared" si="195"/>
        <v>-40</v>
      </c>
      <c r="CL91" s="1932">
        <f t="shared" si="195"/>
        <v>-5</v>
      </c>
      <c r="CM91" s="1931">
        <f t="shared" si="195"/>
        <v>0</v>
      </c>
      <c r="CN91" s="1931">
        <f t="shared" si="195"/>
        <v>-77</v>
      </c>
      <c r="CO91" s="1931">
        <f>+CO37/1000</f>
        <v>-101</v>
      </c>
      <c r="CP91" s="1932">
        <f t="shared" ref="CP91" si="196">+CP37/1000</f>
        <v>-105</v>
      </c>
      <c r="CQ91" s="1931">
        <f>+CQ37/1000</f>
        <v>-40</v>
      </c>
      <c r="CR91" s="1931">
        <f>+CR37/1000</f>
        <v>-75</v>
      </c>
      <c r="CS91" s="1931">
        <f>+CS37/1000</f>
        <v>-50</v>
      </c>
      <c r="CT91" s="1932">
        <f>+CT37/1000</f>
        <v>-20</v>
      </c>
    </row>
    <row r="92" spans="1:98" hidden="1" outlineLevel="2">
      <c r="A92" s="2637" t="s">
        <v>136</v>
      </c>
      <c r="B92" s="1916"/>
      <c r="C92" s="1916"/>
      <c r="D92" s="1916"/>
      <c r="E92" s="1916"/>
      <c r="F92" s="1916"/>
      <c r="G92" s="1916"/>
      <c r="H92" s="1916"/>
      <c r="I92" s="1916"/>
      <c r="J92" s="2643"/>
      <c r="K92" s="1927">
        <f t="shared" ref="K92:P92" si="197">+K84</f>
        <v>0</v>
      </c>
      <c r="L92" s="1927">
        <f t="shared" si="197"/>
        <v>300</v>
      </c>
      <c r="M92" s="1927">
        <f t="shared" si="197"/>
        <v>294</v>
      </c>
      <c r="N92" s="1927">
        <f t="shared" si="197"/>
        <v>240</v>
      </c>
      <c r="O92" s="1927">
        <f>+O84</f>
        <v>240</v>
      </c>
      <c r="P92" s="1927">
        <f t="shared" si="197"/>
        <v>240</v>
      </c>
      <c r="Q92" s="1927">
        <f t="shared" ref="Q92:V92" si="198">+Q84</f>
        <v>240</v>
      </c>
      <c r="R92" s="1927">
        <f t="shared" si="198"/>
        <v>240</v>
      </c>
      <c r="S92" s="1927">
        <f>+S84</f>
        <v>240</v>
      </c>
      <c r="T92" s="1927">
        <f>+T84</f>
        <v>240</v>
      </c>
      <c r="U92" s="1927">
        <f t="shared" si="198"/>
        <v>150</v>
      </c>
      <c r="V92" s="1927">
        <f t="shared" si="198"/>
        <v>150</v>
      </c>
      <c r="W92" s="1927">
        <f>+W84</f>
        <v>150</v>
      </c>
      <c r="X92" s="1927">
        <f t="shared" ref="X92:AF92" si="199">+X84</f>
        <v>150</v>
      </c>
      <c r="Y92" s="1927">
        <f t="shared" si="199"/>
        <v>150</v>
      </c>
      <c r="Z92" s="1927">
        <f t="shared" si="199"/>
        <v>150</v>
      </c>
      <c r="AA92" s="1927">
        <f t="shared" si="199"/>
        <v>150</v>
      </c>
      <c r="AB92" s="1927">
        <f t="shared" si="199"/>
        <v>150</v>
      </c>
      <c r="AC92" s="1927">
        <f t="shared" si="199"/>
        <v>150</v>
      </c>
      <c r="AD92" s="1927">
        <f t="shared" si="199"/>
        <v>150</v>
      </c>
      <c r="AE92" s="1927">
        <f t="shared" si="199"/>
        <v>150</v>
      </c>
      <c r="AF92" s="1927">
        <f t="shared" si="199"/>
        <v>150</v>
      </c>
      <c r="AG92" s="3920"/>
      <c r="AH92" s="3904"/>
      <c r="AI92" s="1916"/>
      <c r="AJ92" s="1916"/>
      <c r="AK92" s="1916"/>
      <c r="AL92" s="1916"/>
      <c r="AM92" s="1916"/>
      <c r="AN92" s="1916"/>
      <c r="AO92" s="1916"/>
      <c r="AP92" s="1916"/>
      <c r="AQ92" s="1916"/>
      <c r="AR92" s="1916"/>
      <c r="AS92" s="1916"/>
      <c r="AT92" s="1916"/>
      <c r="AU92" s="1916"/>
      <c r="AV92" s="1916"/>
      <c r="AW92" s="1916"/>
      <c r="AX92" s="1916"/>
      <c r="AY92" s="1916"/>
      <c r="AZ92" s="1916"/>
      <c r="BA92" s="1916"/>
      <c r="BB92" s="1916"/>
      <c r="BC92" s="1935"/>
      <c r="BD92" s="2643"/>
      <c r="BE92" s="2643"/>
      <c r="BF92" s="2643"/>
      <c r="BG92" s="1937">
        <f t="shared" ref="BG92:CD92" si="200">+BG84</f>
        <v>63</v>
      </c>
      <c r="BH92" s="1927">
        <f t="shared" si="200"/>
        <v>65</v>
      </c>
      <c r="BI92" s="1927">
        <f t="shared" si="200"/>
        <v>71</v>
      </c>
      <c r="BJ92" s="1933">
        <f t="shared" si="200"/>
        <v>80</v>
      </c>
      <c r="BK92" s="1927">
        <f t="shared" si="200"/>
        <v>64</v>
      </c>
      <c r="BL92" s="1927">
        <f t="shared" si="200"/>
        <v>52</v>
      </c>
      <c r="BM92" s="1927">
        <f t="shared" si="200"/>
        <v>92</v>
      </c>
      <c r="BN92" s="1927">
        <f t="shared" si="200"/>
        <v>92</v>
      </c>
      <c r="BO92" s="1937">
        <f>+BO84</f>
        <v>114</v>
      </c>
      <c r="BP92" s="1927">
        <f t="shared" si="200"/>
        <v>60</v>
      </c>
      <c r="BQ92" s="1927">
        <f t="shared" si="200"/>
        <v>60</v>
      </c>
      <c r="BR92" s="1933">
        <f>+BR84</f>
        <v>60</v>
      </c>
      <c r="BS92" s="1927">
        <f>+BS84</f>
        <v>60</v>
      </c>
      <c r="BT92" s="1927">
        <f t="shared" si="200"/>
        <v>60</v>
      </c>
      <c r="BU92" s="1927">
        <f t="shared" si="200"/>
        <v>60</v>
      </c>
      <c r="BV92" s="1927">
        <f t="shared" si="200"/>
        <v>60</v>
      </c>
      <c r="BW92" s="1937">
        <f t="shared" si="200"/>
        <v>60</v>
      </c>
      <c r="BX92" s="1927">
        <f t="shared" si="200"/>
        <v>60</v>
      </c>
      <c r="BY92" s="1927">
        <f t="shared" si="200"/>
        <v>60</v>
      </c>
      <c r="BZ92" s="1933">
        <f t="shared" si="200"/>
        <v>60</v>
      </c>
      <c r="CA92" s="1937">
        <f>+CA84</f>
        <v>60</v>
      </c>
      <c r="CB92" s="1927">
        <f>+CB84</f>
        <v>60</v>
      </c>
      <c r="CC92" s="1927">
        <f>+CC84</f>
        <v>60</v>
      </c>
      <c r="CD92" s="1933">
        <f t="shared" si="200"/>
        <v>60</v>
      </c>
      <c r="CE92" s="1927">
        <f t="shared" ref="CE92:CM92" si="201">+CE84</f>
        <v>60</v>
      </c>
      <c r="CF92" s="1927">
        <f t="shared" si="201"/>
        <v>60</v>
      </c>
      <c r="CG92" s="1927">
        <f t="shared" si="201"/>
        <v>60</v>
      </c>
      <c r="CH92" s="1933">
        <f t="shared" si="201"/>
        <v>60</v>
      </c>
      <c r="CI92" s="1927">
        <f t="shared" si="201"/>
        <v>60</v>
      </c>
      <c r="CJ92" s="1927">
        <f t="shared" si="201"/>
        <v>60</v>
      </c>
      <c r="CK92" s="1927">
        <f t="shared" si="201"/>
        <v>60</v>
      </c>
      <c r="CL92" s="1933">
        <f t="shared" si="201"/>
        <v>60</v>
      </c>
      <c r="CM92" s="1927">
        <f t="shared" si="201"/>
        <v>60</v>
      </c>
      <c r="CN92" s="1927">
        <f>+CN84</f>
        <v>60</v>
      </c>
      <c r="CO92" s="1927">
        <f>+CO84</f>
        <v>60</v>
      </c>
      <c r="CP92" s="1933">
        <f t="shared" ref="CP92" si="202">+CP84</f>
        <v>60</v>
      </c>
      <c r="CQ92" s="1927">
        <f>+CQ84</f>
        <v>60</v>
      </c>
      <c r="CR92" s="1927">
        <f>+CR84</f>
        <v>60</v>
      </c>
      <c r="CS92" s="1927">
        <f>+CS84</f>
        <v>60</v>
      </c>
      <c r="CT92" s="1933">
        <f>+CT84</f>
        <v>60</v>
      </c>
    </row>
    <row r="93" spans="1:98" hidden="1" outlineLevel="2">
      <c r="A93" s="2637" t="s">
        <v>137</v>
      </c>
      <c r="B93" s="1916"/>
      <c r="C93" s="1916"/>
      <c r="D93" s="1916"/>
      <c r="E93" s="1916"/>
      <c r="F93" s="1916"/>
      <c r="G93" s="1916"/>
      <c r="H93" s="1916"/>
      <c r="I93" s="1916"/>
      <c r="J93" s="2643"/>
      <c r="K93" s="1925">
        <f t="shared" ref="K93:P93" si="203">+K91-K92</f>
        <v>343</v>
      </c>
      <c r="L93" s="1925">
        <f t="shared" si="203"/>
        <v>56</v>
      </c>
      <c r="M93" s="1925">
        <f t="shared" si="203"/>
        <v>-42</v>
      </c>
      <c r="N93" s="1925">
        <f t="shared" si="203"/>
        <v>-45</v>
      </c>
      <c r="O93" s="1925">
        <f t="shared" si="203"/>
        <v>-100</v>
      </c>
      <c r="P93" s="1925">
        <f t="shared" si="203"/>
        <v>-149.4</v>
      </c>
      <c r="Q93" s="1925">
        <f t="shared" ref="Q93:V93" si="204">+Q91-Q92</f>
        <v>-273.60000000000002</v>
      </c>
      <c r="R93" s="1925">
        <f t="shared" si="204"/>
        <v>-343</v>
      </c>
      <c r="S93" s="1925">
        <f>+S91-S92</f>
        <v>-523</v>
      </c>
      <c r="T93" s="1925">
        <f>+T91-T92</f>
        <v>-425</v>
      </c>
      <c r="U93" s="1925">
        <f t="shared" si="204"/>
        <v>-175</v>
      </c>
      <c r="V93" s="1925">
        <f t="shared" si="204"/>
        <v>-140</v>
      </c>
      <c r="W93" s="1925">
        <f>+W91-W92</f>
        <v>-125</v>
      </c>
      <c r="X93" s="1925">
        <f t="shared" ref="X93:AF93" si="205">+X91-X92</f>
        <v>-125</v>
      </c>
      <c r="Y93" s="1925">
        <f t="shared" si="205"/>
        <v>-125</v>
      </c>
      <c r="Z93" s="1925">
        <f t="shared" si="205"/>
        <v>-125</v>
      </c>
      <c r="AA93" s="1925">
        <f t="shared" si="205"/>
        <v>-125</v>
      </c>
      <c r="AB93" s="1925">
        <f t="shared" si="205"/>
        <v>-125</v>
      </c>
      <c r="AC93" s="1925">
        <f t="shared" si="205"/>
        <v>-125</v>
      </c>
      <c r="AD93" s="1925">
        <f t="shared" si="205"/>
        <v>-125</v>
      </c>
      <c r="AE93" s="1925">
        <f t="shared" si="205"/>
        <v>-125</v>
      </c>
      <c r="AF93" s="1925">
        <f t="shared" si="205"/>
        <v>-125</v>
      </c>
      <c r="AG93" s="3920"/>
      <c r="AH93" s="3904"/>
      <c r="AI93" s="1916"/>
      <c r="AJ93" s="1916"/>
      <c r="AK93" s="1916"/>
      <c r="AL93" s="1916"/>
      <c r="AM93" s="1916"/>
      <c r="AN93" s="1916"/>
      <c r="AO93" s="1916"/>
      <c r="AP93" s="1916"/>
      <c r="AQ93" s="1916"/>
      <c r="AR93" s="1916"/>
      <c r="AS93" s="1916"/>
      <c r="AT93" s="1916"/>
      <c r="AU93" s="1916"/>
      <c r="AV93" s="1916"/>
      <c r="AW93" s="1916"/>
      <c r="AX93" s="1916"/>
      <c r="AY93" s="1916"/>
      <c r="AZ93" s="1916"/>
      <c r="BA93" s="1916"/>
      <c r="BB93" s="1916"/>
      <c r="BC93" s="1935"/>
      <c r="BD93" s="2643"/>
      <c r="BE93" s="2643"/>
      <c r="BF93" s="2643"/>
      <c r="BG93" s="1936">
        <f t="shared" ref="BG93:CE93" si="206">+BG91-BG92</f>
        <v>57</v>
      </c>
      <c r="BH93" s="1925">
        <f t="shared" si="206"/>
        <v>-3</v>
      </c>
      <c r="BI93" s="1925">
        <f t="shared" si="206"/>
        <v>1</v>
      </c>
      <c r="BJ93" s="1926">
        <f t="shared" si="206"/>
        <v>9</v>
      </c>
      <c r="BK93" s="1925">
        <f t="shared" si="206"/>
        <v>-64</v>
      </c>
      <c r="BL93" s="1925" t="e">
        <f t="shared" si="206"/>
        <v>#VALUE!</v>
      </c>
      <c r="BM93" s="1925" t="e">
        <f t="shared" si="206"/>
        <v>#VALUE!</v>
      </c>
      <c r="BN93" s="1925" t="e">
        <f t="shared" si="206"/>
        <v>#VALUE!</v>
      </c>
      <c r="BO93" s="1936">
        <f t="shared" si="206"/>
        <v>-13</v>
      </c>
      <c r="BP93" s="1925">
        <f t="shared" si="206"/>
        <v>-46</v>
      </c>
      <c r="BQ93" s="1925">
        <f t="shared" si="206"/>
        <v>0</v>
      </c>
      <c r="BR93" s="1926">
        <f t="shared" si="206"/>
        <v>13</v>
      </c>
      <c r="BS93" s="1925">
        <f t="shared" si="206"/>
        <v>32</v>
      </c>
      <c r="BT93" s="1925">
        <f t="shared" si="206"/>
        <v>-42</v>
      </c>
      <c r="BU93" s="1925">
        <f t="shared" si="206"/>
        <v>-16</v>
      </c>
      <c r="BV93" s="1925">
        <f t="shared" si="206"/>
        <v>-19</v>
      </c>
      <c r="BW93" s="1936">
        <f t="shared" si="206"/>
        <v>6</v>
      </c>
      <c r="BX93" s="1925">
        <f t="shared" si="206"/>
        <v>-68</v>
      </c>
      <c r="BY93" s="1925">
        <f t="shared" si="206"/>
        <v>-27</v>
      </c>
      <c r="BZ93" s="1926">
        <f t="shared" si="206"/>
        <v>-11</v>
      </c>
      <c r="CA93" s="1936">
        <f t="shared" si="206"/>
        <v>6</v>
      </c>
      <c r="CB93" s="1925">
        <f t="shared" si="206"/>
        <v>-62</v>
      </c>
      <c r="CC93" s="1925">
        <f t="shared" si="206"/>
        <v>-52</v>
      </c>
      <c r="CD93" s="1926">
        <f t="shared" si="206"/>
        <v>-41.4</v>
      </c>
      <c r="CE93" s="1925">
        <f t="shared" si="206"/>
        <v>-24.6</v>
      </c>
      <c r="CF93" s="1925">
        <f>+CF91-CF92</f>
        <v>-69</v>
      </c>
      <c r="CG93" s="1925">
        <f>+CG91-CG92</f>
        <v>-97</v>
      </c>
      <c r="CH93" s="1926">
        <f>+CH91-CH92</f>
        <v>-83</v>
      </c>
      <c r="CI93" s="1925">
        <f t="shared" ref="CI93:CM93" si="207">+CI91-CI92</f>
        <v>-52</v>
      </c>
      <c r="CJ93" s="1925">
        <f t="shared" si="207"/>
        <v>-126</v>
      </c>
      <c r="CK93" s="1925">
        <f t="shared" si="207"/>
        <v>-100</v>
      </c>
      <c r="CL93" s="1926">
        <f t="shared" si="207"/>
        <v>-65</v>
      </c>
      <c r="CM93" s="1925">
        <f t="shared" si="207"/>
        <v>-60</v>
      </c>
      <c r="CN93" s="1925">
        <f>+CN91-CN92</f>
        <v>-137</v>
      </c>
      <c r="CO93" s="1925">
        <f>+CO91-CO92</f>
        <v>-161</v>
      </c>
      <c r="CP93" s="1926">
        <f t="shared" ref="CP93" si="208">+CP91-CP92</f>
        <v>-165</v>
      </c>
      <c r="CQ93" s="1925">
        <f>+CQ91-CQ92</f>
        <v>-100</v>
      </c>
      <c r="CR93" s="1925">
        <f>+CR91-CR92</f>
        <v>-135</v>
      </c>
      <c r="CS93" s="1925">
        <f>+CS91-CS92</f>
        <v>-110</v>
      </c>
      <c r="CT93" s="1926">
        <f>+CT91-CT92</f>
        <v>-80</v>
      </c>
    </row>
    <row r="94" spans="1:98" hidden="1" outlineLevel="2">
      <c r="A94" s="1935"/>
      <c r="B94" s="1916"/>
      <c r="C94" s="1916"/>
      <c r="D94" s="1916"/>
      <c r="E94" s="1916"/>
      <c r="F94" s="1916"/>
      <c r="G94" s="1916"/>
      <c r="H94" s="1916"/>
      <c r="I94" s="1916"/>
      <c r="J94" s="2643"/>
      <c r="K94" s="2643"/>
      <c r="L94" s="2643"/>
      <c r="M94" s="2643"/>
      <c r="N94" s="2643"/>
      <c r="O94" s="2643"/>
      <c r="P94" s="2643"/>
      <c r="Q94" s="2643"/>
      <c r="R94" s="2643"/>
      <c r="S94" s="2643"/>
      <c r="T94" s="2643"/>
      <c r="U94" s="2643"/>
      <c r="V94" s="2643"/>
      <c r="W94" s="2643"/>
      <c r="X94" s="2643"/>
      <c r="Y94" s="2643"/>
      <c r="Z94" s="2643"/>
      <c r="AA94" s="2643"/>
      <c r="AB94" s="2643"/>
      <c r="AC94" s="2643"/>
      <c r="AD94" s="2643"/>
      <c r="AE94" s="2643"/>
      <c r="AF94" s="2643"/>
      <c r="AG94" s="3920"/>
      <c r="AH94" s="3904"/>
      <c r="AI94" s="1916"/>
      <c r="AJ94" s="1916"/>
      <c r="AK94" s="1916"/>
      <c r="AL94" s="1916"/>
      <c r="AM94" s="1916"/>
      <c r="AN94" s="1916"/>
      <c r="AO94" s="1916"/>
      <c r="AP94" s="1916"/>
      <c r="AQ94" s="1916"/>
      <c r="AR94" s="1916"/>
      <c r="AS94" s="1916"/>
      <c r="AT94" s="1916"/>
      <c r="AU94" s="1916"/>
      <c r="AV94" s="1916"/>
      <c r="AW94" s="1916"/>
      <c r="AX94" s="1916"/>
      <c r="AY94" s="1916"/>
      <c r="AZ94" s="1916"/>
      <c r="BA94" s="1916"/>
      <c r="BB94" s="1916"/>
      <c r="BC94" s="1935"/>
      <c r="BD94" s="2643"/>
      <c r="BE94" s="2643"/>
      <c r="BF94" s="2643"/>
      <c r="BG94" s="1935"/>
      <c r="BH94" s="2643"/>
      <c r="BI94" s="2643"/>
      <c r="BJ94" s="1924"/>
      <c r="BK94" s="2643"/>
      <c r="BL94" s="2643"/>
      <c r="BM94" s="2643"/>
      <c r="BN94" s="2643"/>
      <c r="BO94" s="1935"/>
      <c r="BP94" s="2643"/>
      <c r="BQ94" s="2643"/>
      <c r="BR94" s="1924"/>
      <c r="BS94" s="2643"/>
      <c r="BT94" s="2643"/>
      <c r="BU94" s="2643"/>
      <c r="BV94" s="2643"/>
      <c r="BW94" s="1935"/>
      <c r="BX94" s="2643"/>
      <c r="BY94" s="2643"/>
      <c r="BZ94" s="1924"/>
      <c r="CA94" s="1935"/>
      <c r="CB94" s="2643"/>
      <c r="CC94" s="2643"/>
      <c r="CD94" s="1924"/>
      <c r="CE94" s="2643"/>
      <c r="CF94" s="2643"/>
      <c r="CG94" s="2643"/>
      <c r="CH94" s="1924"/>
      <c r="CI94" s="2643"/>
      <c r="CJ94" s="2643"/>
      <c r="CK94" s="2643"/>
      <c r="CL94" s="1924"/>
      <c r="CM94" s="2643"/>
      <c r="CN94" s="2643"/>
      <c r="CO94" s="2643"/>
      <c r="CP94" s="1924"/>
      <c r="CQ94" s="2643"/>
      <c r="CR94" s="2643"/>
      <c r="CS94" s="2643"/>
      <c r="CT94" s="1924"/>
    </row>
    <row r="95" spans="1:98" hidden="1" outlineLevel="2">
      <c r="A95" s="1935"/>
      <c r="B95" s="1916"/>
      <c r="C95" s="1916"/>
      <c r="D95" s="1916"/>
      <c r="E95" s="1916"/>
      <c r="F95" s="1916"/>
      <c r="G95" s="1916"/>
      <c r="H95" s="1916"/>
      <c r="I95" s="1916"/>
      <c r="J95" s="1916"/>
      <c r="K95" s="1916"/>
      <c r="L95" s="1916"/>
      <c r="M95" s="1916"/>
      <c r="N95" s="1916"/>
      <c r="O95" s="1916"/>
      <c r="P95" s="1916"/>
      <c r="Q95" s="1916"/>
      <c r="R95" s="1916"/>
      <c r="S95" s="1916"/>
      <c r="T95" s="1916"/>
      <c r="U95" s="1916"/>
      <c r="V95" s="1916"/>
      <c r="W95" s="1916"/>
      <c r="X95" s="1916"/>
      <c r="Y95" s="1916"/>
      <c r="Z95" s="1916"/>
      <c r="AA95" s="1916"/>
      <c r="AB95" s="1916"/>
      <c r="AC95" s="1916"/>
      <c r="AD95" s="1916"/>
      <c r="AE95" s="1916"/>
      <c r="AF95" s="1916"/>
      <c r="AG95" s="3920"/>
      <c r="AH95" s="3904"/>
      <c r="AI95" s="1916"/>
      <c r="AJ95" s="1916"/>
      <c r="AK95" s="1916"/>
      <c r="AL95" s="1916"/>
      <c r="AM95" s="1916"/>
      <c r="AN95" s="1916"/>
      <c r="AO95" s="1916"/>
      <c r="AP95" s="1916"/>
      <c r="AQ95" s="1916"/>
      <c r="AR95" s="1916"/>
      <c r="AS95" s="1916"/>
      <c r="AT95" s="1916"/>
      <c r="AU95" s="1916"/>
      <c r="AV95" s="1916"/>
      <c r="AW95" s="1916"/>
      <c r="AX95" s="1916"/>
      <c r="AY95" s="1916"/>
      <c r="AZ95" s="1916"/>
      <c r="BA95" s="1916"/>
      <c r="BB95" s="1916"/>
      <c r="BC95" s="1935"/>
      <c r="BD95" s="2643"/>
      <c r="BE95" s="2643"/>
      <c r="BF95" s="2643"/>
      <c r="BG95" s="1935"/>
      <c r="BH95" s="2643"/>
      <c r="BI95" s="2643"/>
      <c r="BJ95" s="1924"/>
      <c r="BK95" s="2643"/>
      <c r="BL95" s="2643"/>
      <c r="BM95" s="2643"/>
      <c r="BN95" s="2643"/>
      <c r="BO95" s="1935"/>
      <c r="BP95" s="2643"/>
      <c r="BQ95" s="2643"/>
      <c r="BR95" s="1924"/>
      <c r="BS95" s="2643"/>
      <c r="BT95" s="2643"/>
      <c r="BU95" s="2643"/>
      <c r="BV95" s="2643"/>
      <c r="BW95" s="1935"/>
      <c r="BX95" s="2643"/>
      <c r="BY95" s="2643"/>
      <c r="BZ95" s="1924"/>
      <c r="CA95" s="1935"/>
      <c r="CB95" s="2643"/>
      <c r="CC95" s="2643"/>
      <c r="CD95" s="1924"/>
      <c r="CE95" s="2643"/>
      <c r="CF95" s="2643"/>
      <c r="CG95" s="2643"/>
      <c r="CH95" s="1924"/>
      <c r="CI95" s="2643"/>
      <c r="CJ95" s="2643"/>
      <c r="CK95" s="2643"/>
      <c r="CL95" s="1924"/>
      <c r="CM95" s="2643"/>
      <c r="CN95" s="2643"/>
      <c r="CO95" s="2643"/>
      <c r="CP95" s="1924"/>
      <c r="CQ95" s="2643"/>
      <c r="CR95" s="2643"/>
      <c r="CS95" s="2643"/>
      <c r="CT95" s="1924"/>
    </row>
    <row r="96" spans="1:98" hidden="1" outlineLevel="2">
      <c r="A96" s="1935"/>
      <c r="B96" s="1916"/>
      <c r="C96" s="1916"/>
      <c r="D96" s="1916"/>
      <c r="E96" s="1916"/>
      <c r="F96" s="1916"/>
      <c r="G96" s="1916"/>
      <c r="H96" s="1916"/>
      <c r="I96" s="1916"/>
      <c r="J96" s="1916"/>
      <c r="K96" s="1916"/>
      <c r="L96" s="1916"/>
      <c r="M96" s="1916"/>
      <c r="N96" s="1916"/>
      <c r="O96" s="1916"/>
      <c r="P96" s="1916"/>
      <c r="Q96" s="1916"/>
      <c r="R96" s="1916"/>
      <c r="S96" s="1916"/>
      <c r="T96" s="1916"/>
      <c r="U96" s="1916"/>
      <c r="V96" s="1916"/>
      <c r="W96" s="1916"/>
      <c r="X96" s="1916"/>
      <c r="Y96" s="1916"/>
      <c r="Z96" s="1916"/>
      <c r="AA96" s="1916"/>
      <c r="AB96" s="1916"/>
      <c r="AC96" s="1916"/>
      <c r="AD96" s="1916"/>
      <c r="AE96" s="1916"/>
      <c r="AF96" s="1916"/>
      <c r="AG96" s="3920"/>
      <c r="AH96" s="3904"/>
      <c r="AI96" s="1916"/>
      <c r="AJ96" s="1916"/>
      <c r="AK96" s="1916"/>
      <c r="AL96" s="1916"/>
      <c r="AM96" s="1916"/>
      <c r="AN96" s="1916"/>
      <c r="AO96" s="1916"/>
      <c r="AP96" s="1916"/>
      <c r="AQ96" s="1916"/>
      <c r="AR96" s="1916"/>
      <c r="AS96" s="1916"/>
      <c r="AT96" s="1916"/>
      <c r="AU96" s="1916"/>
      <c r="AV96" s="1916"/>
      <c r="AW96" s="1916"/>
      <c r="AX96" s="1916"/>
      <c r="AY96" s="1916"/>
      <c r="AZ96" s="1916"/>
      <c r="BA96" s="1916"/>
      <c r="BB96" s="1916"/>
      <c r="BC96" s="1935"/>
      <c r="BD96" s="2643"/>
      <c r="BE96" s="2643"/>
      <c r="BF96" s="2643"/>
      <c r="BG96" s="1935"/>
      <c r="BH96" s="2643"/>
      <c r="BI96" s="2643"/>
      <c r="BJ96" s="1924"/>
      <c r="BK96" s="2643"/>
      <c r="BL96" s="2643"/>
      <c r="BM96" s="2643"/>
      <c r="BN96" s="2643"/>
      <c r="BO96" s="1935"/>
      <c r="BP96" s="2643"/>
      <c r="BQ96" s="2643"/>
      <c r="BR96" s="1924"/>
      <c r="BS96" s="2643"/>
      <c r="BT96" s="2643"/>
      <c r="BU96" s="2643"/>
      <c r="BV96" s="2643"/>
      <c r="BW96" s="1935"/>
      <c r="BX96" s="2643"/>
      <c r="BY96" s="2643"/>
      <c r="BZ96" s="1924"/>
      <c r="CA96" s="1935"/>
      <c r="CB96" s="2643"/>
      <c r="CC96" s="2643"/>
      <c r="CD96" s="1924"/>
      <c r="CE96" s="2643"/>
      <c r="CF96" s="2643"/>
      <c r="CG96" s="2643"/>
      <c r="CH96" s="1924"/>
      <c r="CI96" s="2643"/>
      <c r="CJ96" s="2643"/>
      <c r="CK96" s="2643"/>
      <c r="CL96" s="1924"/>
      <c r="CM96" s="2643"/>
      <c r="CN96" s="2643"/>
      <c r="CO96" s="2643"/>
      <c r="CP96" s="1924"/>
      <c r="CQ96" s="2643"/>
      <c r="CR96" s="2643"/>
      <c r="CS96" s="2643"/>
      <c r="CT96" s="1924"/>
    </row>
    <row r="97" spans="1:98" hidden="1" outlineLevel="2">
      <c r="A97" s="1963" t="s">
        <v>760</v>
      </c>
      <c r="B97" s="1916"/>
      <c r="C97" s="1916"/>
      <c r="D97" s="1916"/>
      <c r="E97" s="1916"/>
      <c r="F97" s="1916"/>
      <c r="G97" s="1916"/>
      <c r="H97" s="1916"/>
      <c r="I97" s="1916"/>
      <c r="J97" s="1916"/>
      <c r="K97" s="1916"/>
      <c r="L97" s="1916"/>
      <c r="M97" s="1916"/>
      <c r="N97" s="1916"/>
      <c r="O97" s="1916"/>
      <c r="P97" s="1916"/>
      <c r="Q97" s="1916"/>
      <c r="R97" s="1916"/>
      <c r="S97" s="1916"/>
      <c r="T97" s="1916"/>
      <c r="U97" s="1916"/>
      <c r="V97" s="1916"/>
      <c r="W97" s="1916"/>
      <c r="X97" s="1916"/>
      <c r="Y97" s="1916"/>
      <c r="Z97" s="1916"/>
      <c r="AA97" s="1916"/>
      <c r="AB97" s="1916"/>
      <c r="AC97" s="1916"/>
      <c r="AD97" s="1916"/>
      <c r="AE97" s="1916"/>
      <c r="AF97" s="1916"/>
      <c r="AG97" s="3920"/>
      <c r="AH97" s="3904"/>
      <c r="AI97" s="1916"/>
      <c r="AJ97" s="1916"/>
      <c r="AK97" s="1916"/>
      <c r="AL97" s="1916"/>
      <c r="AM97" s="1916"/>
      <c r="AN97" s="1916"/>
      <c r="AO97" s="1916"/>
      <c r="AP97" s="1916"/>
      <c r="AQ97" s="1916"/>
      <c r="AR97" s="1916"/>
      <c r="AS97" s="1916"/>
      <c r="AT97" s="1916"/>
      <c r="AU97" s="1916"/>
      <c r="AV97" s="1916"/>
      <c r="AW97" s="1916"/>
      <c r="AX97" s="1916"/>
      <c r="AY97" s="1916"/>
      <c r="AZ97" s="1916"/>
      <c r="BA97" s="1916"/>
      <c r="BB97" s="1916"/>
      <c r="BC97" s="1935"/>
      <c r="BD97" s="2643"/>
      <c r="BE97" s="2643"/>
      <c r="BF97" s="2643"/>
      <c r="BG97" s="1935"/>
      <c r="BH97" s="2642"/>
      <c r="BI97" s="2643"/>
      <c r="BJ97" s="1924"/>
      <c r="BK97" s="2643"/>
      <c r="BL97" s="2643"/>
      <c r="BM97" s="2643"/>
      <c r="BN97" s="2643"/>
      <c r="BO97" s="1935"/>
      <c r="BP97" s="2643"/>
      <c r="BQ97" s="2643"/>
      <c r="BR97" s="1924"/>
      <c r="BS97" s="2643"/>
      <c r="BT97" s="2643"/>
      <c r="BU97" s="2643"/>
      <c r="BV97" s="2643"/>
      <c r="BW97" s="1935"/>
      <c r="BX97" s="2643"/>
      <c r="BY97" s="2643"/>
      <c r="BZ97" s="1924"/>
      <c r="CA97" s="1935"/>
      <c r="CB97" s="2643"/>
      <c r="CC97" s="2643"/>
      <c r="CD97" s="1924"/>
      <c r="CE97" s="2643"/>
      <c r="CF97" s="2643"/>
      <c r="CG97" s="2643"/>
      <c r="CH97" s="1924"/>
      <c r="CI97" s="2643"/>
      <c r="CJ97" s="2643"/>
      <c r="CK97" s="2643"/>
      <c r="CL97" s="1924"/>
      <c r="CM97" s="2643"/>
      <c r="CN97" s="2643"/>
      <c r="CO97" s="2643"/>
      <c r="CP97" s="1924"/>
      <c r="CQ97" s="2643"/>
      <c r="CR97" s="2643"/>
      <c r="CS97" s="2643"/>
      <c r="CT97" s="1924"/>
    </row>
    <row r="98" spans="1:98" hidden="1" outlineLevel="2">
      <c r="A98" s="1935" t="s">
        <v>759</v>
      </c>
      <c r="B98" s="1916"/>
      <c r="C98" s="1916"/>
      <c r="D98" s="1916"/>
      <c r="E98" s="1916"/>
      <c r="F98" s="1916"/>
      <c r="G98" s="1916"/>
      <c r="H98" s="1916"/>
      <c r="I98" s="1916"/>
      <c r="J98" s="1916"/>
      <c r="K98" s="1916"/>
      <c r="L98" s="1916"/>
      <c r="M98" s="1916"/>
      <c r="N98" s="1916"/>
      <c r="O98" s="1916"/>
      <c r="P98" s="1916"/>
      <c r="Q98" s="1916"/>
      <c r="R98" s="1916"/>
      <c r="S98" s="1916"/>
      <c r="T98" s="1916"/>
      <c r="U98" s="1916"/>
      <c r="V98" s="1916"/>
      <c r="W98" s="1916"/>
      <c r="X98" s="1916"/>
      <c r="Y98" s="1916"/>
      <c r="Z98" s="1916"/>
      <c r="AA98" s="1916"/>
      <c r="AB98" s="1916"/>
      <c r="AC98" s="1916"/>
      <c r="AD98" s="1916"/>
      <c r="AE98" s="1916"/>
      <c r="AF98" s="1916"/>
      <c r="AG98" s="3920"/>
      <c r="AH98" s="3904"/>
      <c r="AI98" s="1916"/>
      <c r="AJ98" s="1916"/>
      <c r="AK98" s="1916"/>
      <c r="AL98" s="1916"/>
      <c r="AM98" s="1916"/>
      <c r="AN98" s="1916"/>
      <c r="AO98" s="1916"/>
      <c r="AP98" s="1916"/>
      <c r="AQ98" s="1916"/>
      <c r="AR98" s="1916"/>
      <c r="AS98" s="1916"/>
      <c r="AT98" s="1916"/>
      <c r="AU98" s="1916"/>
      <c r="AV98" s="1916"/>
      <c r="AW98" s="1916"/>
      <c r="AX98" s="1916"/>
      <c r="AY98" s="1916"/>
      <c r="AZ98" s="1916"/>
      <c r="BA98" s="1916"/>
      <c r="BB98" s="1916"/>
      <c r="BC98" s="1935"/>
      <c r="BD98" s="2643"/>
      <c r="BE98" s="2643"/>
      <c r="BF98" s="2643"/>
      <c r="BG98" s="1944">
        <f t="shared" ref="BG98:CN98" si="209">+BG11/1000000</f>
        <v>18.343</v>
      </c>
      <c r="BH98" s="1946">
        <f t="shared" si="209"/>
        <v>17.710239651416124</v>
      </c>
      <c r="BI98" s="1946">
        <f t="shared" si="209"/>
        <v>17.355</v>
      </c>
      <c r="BJ98" s="1945">
        <f t="shared" si="209"/>
        <v>16.963999999999999</v>
      </c>
      <c r="BK98" s="1946">
        <f t="shared" si="209"/>
        <v>16.626999999999999</v>
      </c>
      <c r="BL98" s="1946">
        <f t="shared" si="209"/>
        <v>16.257999999999999</v>
      </c>
      <c r="BM98" s="1946">
        <f t="shared" si="209"/>
        <v>15.936</v>
      </c>
      <c r="BN98" s="1946">
        <f t="shared" si="209"/>
        <v>15.613</v>
      </c>
      <c r="BO98" s="1944">
        <f t="shared" si="209"/>
        <v>15.356999999999999</v>
      </c>
      <c r="BP98" s="1946">
        <f t="shared" si="209"/>
        <v>15.057</v>
      </c>
      <c r="BQ98" s="1946">
        <f t="shared" si="209"/>
        <v>14.803000000000001</v>
      </c>
      <c r="BR98" s="1945">
        <f t="shared" si="209"/>
        <v>14.584</v>
      </c>
      <c r="BS98" s="1946">
        <f t="shared" si="209"/>
        <v>14.382999999999999</v>
      </c>
      <c r="BT98" s="1946">
        <f t="shared" si="209"/>
        <v>14.148999999999999</v>
      </c>
      <c r="BU98" s="1946">
        <f t="shared" si="209"/>
        <v>13.95</v>
      </c>
      <c r="BV98" s="1946">
        <f t="shared" si="209"/>
        <v>13.750999999999999</v>
      </c>
      <c r="BW98" s="1944">
        <f t="shared" si="209"/>
        <v>13.561</v>
      </c>
      <c r="BX98" s="1946">
        <f t="shared" si="209"/>
        <v>13.331</v>
      </c>
      <c r="BY98" s="1946">
        <f t="shared" si="209"/>
        <v>13.15</v>
      </c>
      <c r="BZ98" s="1945">
        <f t="shared" si="209"/>
        <v>13.002000000000001</v>
      </c>
      <c r="CA98" s="1944">
        <f t="shared" si="209"/>
        <v>12.882</v>
      </c>
      <c r="CB98" s="1946">
        <f t="shared" si="209"/>
        <v>12.707000000000001</v>
      </c>
      <c r="CC98" s="1946">
        <f t="shared" si="209"/>
        <v>12.537000000000001</v>
      </c>
      <c r="CD98" s="1945">
        <f t="shared" si="209"/>
        <v>12.394</v>
      </c>
      <c r="CE98" s="1946">
        <f t="shared" si="209"/>
        <v>12.27</v>
      </c>
      <c r="CF98" s="1946">
        <f t="shared" si="209"/>
        <v>12.109</v>
      </c>
      <c r="CG98" s="1946">
        <f t="shared" si="209"/>
        <v>11.914999999999999</v>
      </c>
      <c r="CH98" s="1945">
        <f t="shared" si="209"/>
        <v>11.747999999999999</v>
      </c>
      <c r="CI98" s="1946">
        <f t="shared" si="209"/>
        <v>11.611000000000001</v>
      </c>
      <c r="CJ98" s="1946">
        <f t="shared" si="209"/>
        <v>11.413</v>
      </c>
      <c r="CK98" s="1946">
        <f t="shared" si="209"/>
        <v>11.231</v>
      </c>
      <c r="CL98" s="1945">
        <f t="shared" si="209"/>
        <v>11.09</v>
      </c>
      <c r="CM98" s="1946">
        <f t="shared" si="209"/>
        <v>10.945</v>
      </c>
      <c r="CN98" s="1946">
        <f t="shared" si="209"/>
        <v>10.733000000000001</v>
      </c>
      <c r="CO98" s="1946">
        <f>+CO11/1000000</f>
        <v>10.506</v>
      </c>
      <c r="CP98" s="1945">
        <f t="shared" ref="CP98" si="210">+CP11/1000000</f>
        <v>10.282</v>
      </c>
      <c r="CQ98" s="1946">
        <f>+CQ11/1000000</f>
        <v>10.1028</v>
      </c>
      <c r="CR98" s="1946">
        <f>+CR11/1000000</f>
        <v>9.9594400000000007</v>
      </c>
      <c r="CS98" s="1946">
        <f>+CS11/1000000</f>
        <v>9.8447519999999997</v>
      </c>
      <c r="CT98" s="1945">
        <f>+CT11/1000000</f>
        <v>9.7530015999999993</v>
      </c>
    </row>
    <row r="99" spans="1:98" hidden="1" outlineLevel="2">
      <c r="A99" s="1935" t="s">
        <v>740</v>
      </c>
      <c r="B99" s="1916"/>
      <c r="C99" s="1916"/>
      <c r="D99" s="1916"/>
      <c r="E99" s="1916"/>
      <c r="F99" s="1916"/>
      <c r="G99" s="1916"/>
      <c r="H99" s="1916"/>
      <c r="I99" s="1916"/>
      <c r="J99" s="1916"/>
      <c r="K99" s="1916"/>
      <c r="L99" s="1916"/>
      <c r="M99" s="1916"/>
      <c r="N99" s="1916"/>
      <c r="O99" s="1916"/>
      <c r="P99" s="1916"/>
      <c r="Q99" s="1916"/>
      <c r="R99" s="1916"/>
      <c r="S99" s="1916"/>
      <c r="T99" s="1916"/>
      <c r="U99" s="1916"/>
      <c r="V99" s="1916"/>
      <c r="W99" s="1916"/>
      <c r="X99" s="1916"/>
      <c r="Y99" s="1916"/>
      <c r="Z99" s="1916"/>
      <c r="AA99" s="1916"/>
      <c r="AB99" s="1916"/>
      <c r="AC99" s="1916"/>
      <c r="AD99" s="1916"/>
      <c r="AE99" s="1916"/>
      <c r="AF99" s="1916"/>
      <c r="AG99" s="3920"/>
      <c r="AH99" s="3904"/>
      <c r="AI99" s="1916"/>
      <c r="AJ99" s="1916"/>
      <c r="AK99" s="1916"/>
      <c r="AL99" s="1916"/>
      <c r="AM99" s="1916"/>
      <c r="AN99" s="1916"/>
      <c r="AO99" s="1916"/>
      <c r="AP99" s="1916"/>
      <c r="AQ99" s="1916"/>
      <c r="AR99" s="1916"/>
      <c r="AS99" s="1916"/>
      <c r="AT99" s="1916"/>
      <c r="AU99" s="1916"/>
      <c r="AV99" s="1916"/>
      <c r="AW99" s="1916"/>
      <c r="AX99" s="1916"/>
      <c r="AY99" s="1916"/>
      <c r="AZ99" s="1916"/>
      <c r="BA99" s="1916"/>
      <c r="BB99" s="1916"/>
      <c r="BC99" s="1935"/>
      <c r="BD99" s="2643"/>
      <c r="BE99" s="2643"/>
      <c r="BF99" s="2643"/>
      <c r="BG99" s="1944">
        <f t="shared" ref="BG99:CN99" si="211">+BG35/1000000</f>
        <v>4.8250000000000002</v>
      </c>
      <c r="BH99" s="1946">
        <f t="shared" si="211"/>
        <v>4.8869999999999996</v>
      </c>
      <c r="BI99" s="1946">
        <f t="shared" si="211"/>
        <v>4.9589999999999996</v>
      </c>
      <c r="BJ99" s="1945">
        <f t="shared" si="211"/>
        <v>5.048</v>
      </c>
      <c r="BK99" s="1946">
        <f t="shared" si="211"/>
        <v>5.2489999999999997</v>
      </c>
      <c r="BL99" s="1946">
        <f t="shared" si="211"/>
        <v>5.2869999999999999</v>
      </c>
      <c r="BM99" s="1946">
        <f t="shared" si="211"/>
        <v>5.359</v>
      </c>
      <c r="BN99" s="1946">
        <f t="shared" si="211"/>
        <v>5.4039999999999999</v>
      </c>
      <c r="BO99" s="1944">
        <f t="shared" si="211"/>
        <v>5.5049999999999999</v>
      </c>
      <c r="BP99" s="1946">
        <f t="shared" si="211"/>
        <v>5.5190000000000001</v>
      </c>
      <c r="BQ99" s="1946">
        <f t="shared" si="211"/>
        <v>5.5789999999999997</v>
      </c>
      <c r="BR99" s="1945">
        <f t="shared" si="211"/>
        <v>5.6559999999999997</v>
      </c>
      <c r="BS99" s="1946">
        <f t="shared" si="211"/>
        <v>5.7480000000000002</v>
      </c>
      <c r="BT99" s="1946">
        <f t="shared" si="211"/>
        <v>5.766</v>
      </c>
      <c r="BU99" s="1946">
        <f t="shared" si="211"/>
        <v>5.81</v>
      </c>
      <c r="BV99" s="1946">
        <f t="shared" si="211"/>
        <v>5.851</v>
      </c>
      <c r="BW99" s="1944">
        <f t="shared" si="211"/>
        <v>5.9169999999999998</v>
      </c>
      <c r="BX99" s="1946">
        <f t="shared" si="211"/>
        <v>5.9089999999999998</v>
      </c>
      <c r="BY99" s="1946">
        <f t="shared" si="211"/>
        <v>5.9420000000000002</v>
      </c>
      <c r="BZ99" s="1945">
        <f t="shared" si="211"/>
        <v>5.9909999999999997</v>
      </c>
      <c r="CA99" s="1944">
        <f t="shared" si="211"/>
        <v>6.0570000000000004</v>
      </c>
      <c r="CB99" s="1946">
        <f t="shared" si="211"/>
        <v>6.0549999999999997</v>
      </c>
      <c r="CC99" s="1946">
        <f t="shared" si="211"/>
        <v>6.0629999999999997</v>
      </c>
      <c r="CD99" s="1945">
        <f t="shared" si="211"/>
        <v>6.0815999999999999</v>
      </c>
      <c r="CE99" s="1946">
        <f t="shared" si="211"/>
        <v>6.117</v>
      </c>
      <c r="CF99" s="1946">
        <f t="shared" si="211"/>
        <v>6.1079999999999997</v>
      </c>
      <c r="CG99" s="1946">
        <f t="shared" si="211"/>
        <v>6.0709999999999997</v>
      </c>
      <c r="CH99" s="1945">
        <f t="shared" si="211"/>
        <v>6.048</v>
      </c>
      <c r="CI99" s="1946">
        <f t="shared" si="211"/>
        <v>6.056</v>
      </c>
      <c r="CJ99" s="1946">
        <f t="shared" si="211"/>
        <v>5.99</v>
      </c>
      <c r="CK99" s="1946">
        <f t="shared" si="211"/>
        <v>5.95</v>
      </c>
      <c r="CL99" s="1945">
        <f t="shared" si="211"/>
        <v>5.9450000000000003</v>
      </c>
      <c r="CM99" s="1946">
        <f t="shared" si="211"/>
        <v>5.9450000000000003</v>
      </c>
      <c r="CN99" s="1946">
        <f t="shared" si="211"/>
        <v>5.8680000000000003</v>
      </c>
      <c r="CO99" s="1946">
        <f>+CO35/1000000</f>
        <v>5.7670000000000003</v>
      </c>
      <c r="CP99" s="1945">
        <f t="shared" ref="CP99" si="212">+CP35/1000000</f>
        <v>5.6619999999999999</v>
      </c>
      <c r="CQ99" s="1946">
        <f>+CQ35/1000000</f>
        <v>5.6219999999999999</v>
      </c>
      <c r="CR99" s="1946">
        <f>+CR35/1000000</f>
        <v>5.5469999999999997</v>
      </c>
      <c r="CS99" s="1946">
        <f>+CS35/1000000</f>
        <v>5.4969999999999999</v>
      </c>
      <c r="CT99" s="1945">
        <f>+CT35/1000000</f>
        <v>5.4770000000000003</v>
      </c>
    </row>
    <row r="100" spans="1:98" hidden="1" outlineLevel="2">
      <c r="A100" s="1963" t="s">
        <v>598</v>
      </c>
      <c r="B100" s="646"/>
      <c r="C100" s="646"/>
      <c r="D100" s="646"/>
      <c r="E100" s="646"/>
      <c r="F100" s="646"/>
      <c r="G100" s="646"/>
      <c r="H100" s="646"/>
      <c r="I100" s="646"/>
      <c r="J100" s="646"/>
      <c r="K100" s="646"/>
      <c r="L100" s="646"/>
      <c r="M100" s="646"/>
      <c r="N100" s="646"/>
      <c r="O100" s="646"/>
      <c r="P100" s="646"/>
      <c r="Q100" s="646"/>
      <c r="R100" s="646"/>
      <c r="S100" s="646"/>
      <c r="T100" s="646"/>
      <c r="U100" s="646"/>
      <c r="V100" s="646"/>
      <c r="W100" s="646"/>
      <c r="X100" s="646"/>
      <c r="Y100" s="646"/>
      <c r="Z100" s="646"/>
      <c r="AA100" s="646"/>
      <c r="AB100" s="646"/>
      <c r="AC100" s="646"/>
      <c r="AD100" s="646"/>
      <c r="AE100" s="646"/>
      <c r="AF100" s="646"/>
      <c r="AG100" s="3920"/>
      <c r="AH100" s="2761"/>
      <c r="AI100" s="646"/>
      <c r="AJ100" s="646"/>
      <c r="AK100" s="646"/>
      <c r="AL100" s="646"/>
      <c r="AM100" s="646"/>
      <c r="AN100" s="646"/>
      <c r="AO100" s="646"/>
      <c r="AP100" s="646"/>
      <c r="AQ100" s="646"/>
      <c r="AR100" s="646"/>
      <c r="AS100" s="646"/>
      <c r="AT100" s="646"/>
      <c r="AU100" s="646"/>
      <c r="AV100" s="646"/>
      <c r="AW100" s="646"/>
      <c r="AX100" s="646"/>
      <c r="AY100" s="646"/>
      <c r="AZ100" s="646"/>
      <c r="BA100" s="646"/>
      <c r="BB100" s="646"/>
      <c r="BC100" s="1963"/>
      <c r="BD100" s="2642"/>
      <c r="BE100" s="2642"/>
      <c r="BF100" s="2642"/>
      <c r="BG100" s="1947">
        <f t="shared" ref="BG100:CE100" si="213">SUM(BG98:BG99)</f>
        <v>23.167999999999999</v>
      </c>
      <c r="BH100" s="1949">
        <f t="shared" si="213"/>
        <v>22.597239651416125</v>
      </c>
      <c r="BI100" s="1949">
        <f t="shared" si="213"/>
        <v>22.314</v>
      </c>
      <c r="BJ100" s="1948">
        <f t="shared" si="213"/>
        <v>22.012</v>
      </c>
      <c r="BK100" s="1949">
        <f t="shared" si="213"/>
        <v>21.875999999999998</v>
      </c>
      <c r="BL100" s="1949">
        <f t="shared" si="213"/>
        <v>21.544999999999998</v>
      </c>
      <c r="BM100" s="1949">
        <f t="shared" si="213"/>
        <v>21.295000000000002</v>
      </c>
      <c r="BN100" s="1949">
        <f t="shared" si="213"/>
        <v>21.016999999999999</v>
      </c>
      <c r="BO100" s="1947">
        <f t="shared" si="213"/>
        <v>20.861999999999998</v>
      </c>
      <c r="BP100" s="1949">
        <f t="shared" si="213"/>
        <v>20.576000000000001</v>
      </c>
      <c r="BQ100" s="1949">
        <f t="shared" si="213"/>
        <v>20.382000000000001</v>
      </c>
      <c r="BR100" s="1948">
        <f t="shared" si="213"/>
        <v>20.239999999999998</v>
      </c>
      <c r="BS100" s="1949">
        <f t="shared" si="213"/>
        <v>20.131</v>
      </c>
      <c r="BT100" s="1949">
        <f t="shared" si="213"/>
        <v>19.914999999999999</v>
      </c>
      <c r="BU100" s="1949">
        <f t="shared" si="213"/>
        <v>19.759999999999998</v>
      </c>
      <c r="BV100" s="1949">
        <f t="shared" si="213"/>
        <v>19.602</v>
      </c>
      <c r="BW100" s="1947">
        <f t="shared" si="213"/>
        <v>19.478000000000002</v>
      </c>
      <c r="BX100" s="1949">
        <f t="shared" si="213"/>
        <v>19.239999999999998</v>
      </c>
      <c r="BY100" s="1949">
        <f t="shared" si="213"/>
        <v>19.091999999999999</v>
      </c>
      <c r="BZ100" s="1948">
        <f t="shared" si="213"/>
        <v>18.993000000000002</v>
      </c>
      <c r="CA100" s="1947">
        <f t="shared" si="213"/>
        <v>18.939</v>
      </c>
      <c r="CB100" s="1949">
        <f t="shared" si="213"/>
        <v>18.762</v>
      </c>
      <c r="CC100" s="1949">
        <f t="shared" si="213"/>
        <v>18.600000000000001</v>
      </c>
      <c r="CD100" s="1948">
        <f t="shared" si="213"/>
        <v>18.4756</v>
      </c>
      <c r="CE100" s="1949">
        <f t="shared" si="213"/>
        <v>18.387</v>
      </c>
      <c r="CF100" s="1949">
        <f>SUM(CF98:CF99)</f>
        <v>18.216999999999999</v>
      </c>
      <c r="CG100" s="1949">
        <f>SUM(CG98:CG99)</f>
        <v>17.985999999999997</v>
      </c>
      <c r="CH100" s="1948">
        <f>SUM(CH98:CH99)</f>
        <v>17.795999999999999</v>
      </c>
      <c r="CI100" s="1949">
        <f t="shared" ref="CI100:CM100" si="214">SUM(CI98:CI99)</f>
        <v>17.667000000000002</v>
      </c>
      <c r="CJ100" s="1949">
        <f t="shared" si="214"/>
        <v>17.402999999999999</v>
      </c>
      <c r="CK100" s="1949">
        <f t="shared" si="214"/>
        <v>17.181000000000001</v>
      </c>
      <c r="CL100" s="1948">
        <f t="shared" si="214"/>
        <v>17.035</v>
      </c>
      <c r="CM100" s="1949">
        <f t="shared" si="214"/>
        <v>16.89</v>
      </c>
      <c r="CN100" s="1949">
        <f>SUM(CN98:CN99)</f>
        <v>16.600999999999999</v>
      </c>
      <c r="CO100" s="1949">
        <f>SUM(CO98:CO99)</f>
        <v>16.273</v>
      </c>
      <c r="CP100" s="1948">
        <f t="shared" ref="CP100" si="215">SUM(CP98:CP99)</f>
        <v>15.943999999999999</v>
      </c>
      <c r="CQ100" s="1949">
        <f>SUM(CQ98:CQ99)</f>
        <v>15.7248</v>
      </c>
      <c r="CR100" s="1949">
        <f>SUM(CR98:CR99)</f>
        <v>15.506440000000001</v>
      </c>
      <c r="CS100" s="1949">
        <f>SUM(CS98:CS99)</f>
        <v>15.341752</v>
      </c>
      <c r="CT100" s="1948">
        <f>SUM(CT98:CT99)</f>
        <v>15.2300016</v>
      </c>
    </row>
    <row r="101" spans="1:98" hidden="1" outlineLevel="2">
      <c r="A101" s="1963" t="s">
        <v>478</v>
      </c>
      <c r="B101" s="646"/>
      <c r="C101" s="646"/>
      <c r="D101" s="646"/>
      <c r="E101" s="646"/>
      <c r="F101" s="646"/>
      <c r="G101" s="646"/>
      <c r="H101" s="646"/>
      <c r="I101" s="646"/>
      <c r="J101" s="646"/>
      <c r="K101" s="646"/>
      <c r="L101" s="646"/>
      <c r="M101" s="646"/>
      <c r="N101" s="646"/>
      <c r="O101" s="646"/>
      <c r="P101" s="646"/>
      <c r="Q101" s="646"/>
      <c r="R101" s="646"/>
      <c r="S101" s="646"/>
      <c r="T101" s="646"/>
      <c r="U101" s="646"/>
      <c r="V101" s="646"/>
      <c r="W101" s="646"/>
      <c r="X101" s="646"/>
      <c r="Y101" s="646"/>
      <c r="Z101" s="646"/>
      <c r="AA101" s="646"/>
      <c r="AB101" s="646"/>
      <c r="AC101" s="646"/>
      <c r="AD101" s="646"/>
      <c r="AE101" s="646"/>
      <c r="AF101" s="646"/>
      <c r="AG101" s="3920"/>
      <c r="AH101" s="2761"/>
      <c r="AI101" s="646"/>
      <c r="AJ101" s="646"/>
      <c r="AK101" s="646"/>
      <c r="AL101" s="646"/>
      <c r="AM101" s="646"/>
      <c r="AN101" s="646"/>
      <c r="AO101" s="646"/>
      <c r="AP101" s="646"/>
      <c r="AQ101" s="646"/>
      <c r="AR101" s="646"/>
      <c r="AS101" s="646"/>
      <c r="AT101" s="646"/>
      <c r="AU101" s="646"/>
      <c r="AV101" s="646"/>
      <c r="AW101" s="646"/>
      <c r="AX101" s="646"/>
      <c r="AY101" s="646"/>
      <c r="AZ101" s="646"/>
      <c r="BA101" s="646"/>
      <c r="BB101" s="646"/>
      <c r="BC101" s="1963"/>
      <c r="BD101" s="2642"/>
      <c r="BE101" s="2642"/>
      <c r="BF101" s="2642"/>
      <c r="BG101" s="1947"/>
      <c r="BH101" s="1949"/>
      <c r="BI101" s="1949"/>
      <c r="BJ101" s="1948"/>
      <c r="BK101" s="1946">
        <f t="shared" ref="BK101:CC101" si="216">+(AVERAGE(BJ100:BK100))</f>
        <v>21.943999999999999</v>
      </c>
      <c r="BL101" s="1946">
        <f t="shared" si="216"/>
        <v>21.710499999999996</v>
      </c>
      <c r="BM101" s="1946">
        <f t="shared" si="216"/>
        <v>21.42</v>
      </c>
      <c r="BN101" s="1946">
        <f t="shared" si="216"/>
        <v>21.155999999999999</v>
      </c>
      <c r="BO101" s="1944">
        <f t="shared" si="216"/>
        <v>20.939499999999999</v>
      </c>
      <c r="BP101" s="1946">
        <f t="shared" si="216"/>
        <v>20.719000000000001</v>
      </c>
      <c r="BQ101" s="1946">
        <f t="shared" si="216"/>
        <v>20.478999999999999</v>
      </c>
      <c r="BR101" s="1945">
        <f t="shared" si="216"/>
        <v>20.311</v>
      </c>
      <c r="BS101" s="1946">
        <f t="shared" si="216"/>
        <v>20.185499999999998</v>
      </c>
      <c r="BT101" s="1946">
        <f t="shared" si="216"/>
        <v>20.023</v>
      </c>
      <c r="BU101" s="1946">
        <f t="shared" si="216"/>
        <v>19.837499999999999</v>
      </c>
      <c r="BV101" s="1946">
        <f t="shared" si="216"/>
        <v>19.680999999999997</v>
      </c>
      <c r="BW101" s="1944">
        <f t="shared" si="216"/>
        <v>19.54</v>
      </c>
      <c r="BX101" s="1946">
        <f t="shared" si="216"/>
        <v>19.359000000000002</v>
      </c>
      <c r="BY101" s="1946">
        <f t="shared" si="216"/>
        <v>19.165999999999997</v>
      </c>
      <c r="BZ101" s="1945">
        <f t="shared" si="216"/>
        <v>19.0425</v>
      </c>
      <c r="CA101" s="1944">
        <f t="shared" si="216"/>
        <v>18.966000000000001</v>
      </c>
      <c r="CB101" s="1946">
        <f t="shared" si="216"/>
        <v>18.8505</v>
      </c>
      <c r="CC101" s="1946">
        <f t="shared" si="216"/>
        <v>18.681000000000001</v>
      </c>
      <c r="CD101" s="1945">
        <f>+(AVERAGE(CC100:CD100))</f>
        <v>18.537800000000001</v>
      </c>
      <c r="CE101" s="1946">
        <f>+(AVERAGE(CD100:CE100))</f>
        <v>18.4313</v>
      </c>
      <c r="CF101" s="1946">
        <f>+(AVERAGE(CE100:CF100))</f>
        <v>18.302</v>
      </c>
      <c r="CG101" s="1946">
        <f>+(AVERAGE(CF100:CG100))</f>
        <v>18.101499999999998</v>
      </c>
      <c r="CH101" s="1945">
        <f t="shared" ref="CH101:CM101" si="217">+(AVERAGE(CG100:CH100))</f>
        <v>17.890999999999998</v>
      </c>
      <c r="CI101" s="1946">
        <f t="shared" si="217"/>
        <v>17.7315</v>
      </c>
      <c r="CJ101" s="1946">
        <f t="shared" si="217"/>
        <v>17.535</v>
      </c>
      <c r="CK101" s="1946">
        <f t="shared" si="217"/>
        <v>17.292000000000002</v>
      </c>
      <c r="CL101" s="1945">
        <f t="shared" si="217"/>
        <v>17.108000000000001</v>
      </c>
      <c r="CM101" s="1946">
        <f t="shared" si="217"/>
        <v>16.962499999999999</v>
      </c>
      <c r="CN101" s="1946">
        <f>+(AVERAGE(CM100:CN100))</f>
        <v>16.7455</v>
      </c>
      <c r="CO101" s="1946">
        <f>+(AVERAGE(CN100:CO100))</f>
        <v>16.436999999999998</v>
      </c>
      <c r="CP101" s="1945">
        <f t="shared" ref="CP101" si="218">+(AVERAGE(CO100:CP100))</f>
        <v>16.108499999999999</v>
      </c>
      <c r="CQ101" s="1946">
        <f>+(AVERAGE(CP100:CQ100))</f>
        <v>15.834399999999999</v>
      </c>
      <c r="CR101" s="1946">
        <f>+(AVERAGE(CQ100:CR100))</f>
        <v>15.61562</v>
      </c>
      <c r="CS101" s="1946">
        <f>+(AVERAGE(CR100:CS100))</f>
        <v>15.424096</v>
      </c>
      <c r="CT101" s="1945">
        <f>+(AVERAGE(CS100:CT100))</f>
        <v>15.2858768</v>
      </c>
    </row>
    <row r="102" spans="1:98" hidden="1" outlineLevel="2">
      <c r="A102" s="1935"/>
      <c r="B102" s="1916"/>
      <c r="C102" s="1916"/>
      <c r="D102" s="1916"/>
      <c r="E102" s="1916"/>
      <c r="F102" s="1916"/>
      <c r="G102" s="1916"/>
      <c r="H102" s="1916"/>
      <c r="I102" s="1916"/>
      <c r="J102" s="1916"/>
      <c r="K102" s="1916"/>
      <c r="L102" s="1916"/>
      <c r="M102" s="1916"/>
      <c r="N102" s="1916"/>
      <c r="O102" s="1916"/>
      <c r="P102" s="1916"/>
      <c r="Q102" s="1916"/>
      <c r="R102" s="1916"/>
      <c r="S102" s="1916"/>
      <c r="T102" s="1916"/>
      <c r="U102" s="1916"/>
      <c r="V102" s="1916"/>
      <c r="W102" s="1916"/>
      <c r="X102" s="1916"/>
      <c r="Y102" s="1916"/>
      <c r="Z102" s="1916"/>
      <c r="AA102" s="1916"/>
      <c r="AB102" s="1916"/>
      <c r="AC102" s="1916"/>
      <c r="AD102" s="1916"/>
      <c r="AE102" s="1916"/>
      <c r="AF102" s="1916"/>
      <c r="AG102" s="3920"/>
      <c r="AH102" s="3904"/>
      <c r="AI102" s="1916"/>
      <c r="AJ102" s="1916"/>
      <c r="AK102" s="1916"/>
      <c r="AL102" s="1916"/>
      <c r="AM102" s="1916"/>
      <c r="AN102" s="1916"/>
      <c r="AO102" s="1916"/>
      <c r="AP102" s="1916"/>
      <c r="AQ102" s="1916"/>
      <c r="AR102" s="1916"/>
      <c r="AS102" s="1916"/>
      <c r="AT102" s="1916"/>
      <c r="AU102" s="1916"/>
      <c r="AV102" s="1916"/>
      <c r="AW102" s="1916"/>
      <c r="AX102" s="1916"/>
      <c r="AY102" s="1916"/>
      <c r="AZ102" s="1916"/>
      <c r="BA102" s="1916"/>
      <c r="BB102" s="1916"/>
      <c r="BC102" s="1935"/>
      <c r="BD102" s="2643"/>
      <c r="BE102" s="2643"/>
      <c r="BF102" s="2643"/>
      <c r="BG102" s="1935"/>
      <c r="BH102" s="2643"/>
      <c r="BI102" s="2643"/>
      <c r="BJ102" s="1924"/>
      <c r="BK102" s="2643"/>
      <c r="BL102" s="2643"/>
      <c r="BM102" s="2643"/>
      <c r="BN102" s="2643"/>
      <c r="BO102" s="1935"/>
      <c r="BP102" s="2643"/>
      <c r="BQ102" s="2643"/>
      <c r="BR102" s="1924"/>
      <c r="BS102" s="2643"/>
      <c r="BT102" s="2643"/>
      <c r="BU102" s="2643"/>
      <c r="BV102" s="2643"/>
      <c r="BW102" s="1935"/>
      <c r="BX102" s="2643"/>
      <c r="BY102" s="2643"/>
      <c r="BZ102" s="1924"/>
      <c r="CA102" s="1935"/>
      <c r="CB102" s="2643"/>
      <c r="CC102" s="2643"/>
      <c r="CD102" s="1924"/>
      <c r="CE102" s="2643"/>
      <c r="CF102" s="2643"/>
      <c r="CG102" s="2643"/>
      <c r="CH102" s="1924"/>
      <c r="CI102" s="2643"/>
      <c r="CJ102" s="2643"/>
      <c r="CK102" s="2643"/>
      <c r="CL102" s="1924"/>
      <c r="CM102" s="2643"/>
      <c r="CN102" s="2643"/>
      <c r="CO102" s="2643"/>
      <c r="CP102" s="1924"/>
      <c r="CQ102" s="2643"/>
      <c r="CR102" s="2643"/>
      <c r="CS102" s="2643"/>
      <c r="CT102" s="1924"/>
    </row>
    <row r="103" spans="1:98" hidden="1" outlineLevel="2">
      <c r="A103" s="1935" t="s">
        <v>477</v>
      </c>
      <c r="B103" s="1916"/>
      <c r="C103" s="1916"/>
      <c r="D103" s="1916"/>
      <c r="E103" s="1916"/>
      <c r="F103" s="1916"/>
      <c r="G103" s="1916"/>
      <c r="H103" s="1916"/>
      <c r="I103" s="1916"/>
      <c r="J103" s="1916"/>
      <c r="K103" s="1916"/>
      <c r="L103" s="1916"/>
      <c r="M103" s="1916"/>
      <c r="N103" s="1916"/>
      <c r="O103" s="1916"/>
      <c r="P103" s="1916"/>
      <c r="Q103" s="1916"/>
      <c r="R103" s="1916"/>
      <c r="S103" s="1916"/>
      <c r="T103" s="1916"/>
      <c r="U103" s="1916"/>
      <c r="V103" s="1916"/>
      <c r="W103" s="1916"/>
      <c r="X103" s="1916"/>
      <c r="Y103" s="1916"/>
      <c r="Z103" s="1916"/>
      <c r="AA103" s="1916"/>
      <c r="AB103" s="1916"/>
      <c r="AC103" s="1916"/>
      <c r="AD103" s="1916"/>
      <c r="AE103" s="1916"/>
      <c r="AF103" s="1916"/>
      <c r="AG103" s="3920"/>
      <c r="AH103" s="3904"/>
      <c r="AI103" s="1916"/>
      <c r="AJ103" s="1916"/>
      <c r="AK103" s="1916"/>
      <c r="AL103" s="1916"/>
      <c r="AM103" s="1916"/>
      <c r="AN103" s="1916"/>
      <c r="AO103" s="1916"/>
      <c r="AP103" s="1916"/>
      <c r="AQ103" s="1916"/>
      <c r="AR103" s="1916"/>
      <c r="AS103" s="1916"/>
      <c r="AT103" s="1916"/>
      <c r="AU103" s="1916"/>
      <c r="AV103" s="1916"/>
      <c r="AW103" s="1916"/>
      <c r="AX103" s="1916"/>
      <c r="AY103" s="1916"/>
      <c r="AZ103" s="1916"/>
      <c r="BA103" s="1916"/>
      <c r="BB103" s="1916"/>
      <c r="BC103" s="1935"/>
      <c r="BD103" s="2643"/>
      <c r="BE103" s="2643"/>
      <c r="BF103" s="2643"/>
      <c r="BG103" s="1935"/>
      <c r="BH103" s="2643"/>
      <c r="BI103" s="2643"/>
      <c r="BJ103" s="1924"/>
      <c r="BK103" s="2643"/>
      <c r="BL103" s="2643"/>
      <c r="BM103" s="2643"/>
      <c r="BN103" s="2643"/>
      <c r="BO103" s="1935"/>
      <c r="BP103" s="2643"/>
      <c r="BQ103" s="2643"/>
      <c r="BR103" s="1924"/>
      <c r="BS103" s="2643"/>
      <c r="BT103" s="2643"/>
      <c r="BU103" s="2643"/>
      <c r="BV103" s="2643"/>
      <c r="BW103" s="1935"/>
      <c r="BX103" s="2643"/>
      <c r="BY103" s="2643"/>
      <c r="BZ103" s="1924"/>
      <c r="CA103" s="1935"/>
      <c r="CB103" s="2643"/>
      <c r="CC103" s="2643"/>
      <c r="CD103" s="1924"/>
      <c r="CE103" s="2643"/>
      <c r="CF103" s="2643"/>
      <c r="CG103" s="2643"/>
      <c r="CH103" s="1924"/>
      <c r="CI103" s="2643"/>
      <c r="CJ103" s="2643"/>
      <c r="CK103" s="2643"/>
      <c r="CL103" s="1924"/>
      <c r="CM103" s="2643"/>
      <c r="CN103" s="2643"/>
      <c r="CO103" s="2643"/>
      <c r="CP103" s="1924"/>
      <c r="CQ103" s="2643"/>
      <c r="CR103" s="2643"/>
      <c r="CS103" s="2643"/>
      <c r="CT103" s="1924"/>
    </row>
    <row r="104" spans="1:98" hidden="1" outlineLevel="2">
      <c r="A104" s="1935" t="s">
        <v>759</v>
      </c>
      <c r="B104" s="1916"/>
      <c r="C104" s="1916"/>
      <c r="D104" s="1916"/>
      <c r="E104" s="1916"/>
      <c r="F104" s="1916"/>
      <c r="G104" s="1916"/>
      <c r="H104" s="1916"/>
      <c r="I104" s="1916"/>
      <c r="J104" s="1916"/>
      <c r="K104" s="1916"/>
      <c r="L104" s="1916"/>
      <c r="M104" s="1916"/>
      <c r="N104" s="1916"/>
      <c r="O104" s="1916"/>
      <c r="P104" s="1916"/>
      <c r="Q104" s="1916"/>
      <c r="R104" s="1916"/>
      <c r="S104" s="1916"/>
      <c r="T104" s="1916"/>
      <c r="U104" s="1916"/>
      <c r="V104" s="1916"/>
      <c r="W104" s="1916"/>
      <c r="X104" s="1916"/>
      <c r="Y104" s="1916"/>
      <c r="Z104" s="1916"/>
      <c r="AA104" s="1916"/>
      <c r="AB104" s="1916"/>
      <c r="AC104" s="1916"/>
      <c r="AD104" s="1916"/>
      <c r="AE104" s="1916"/>
      <c r="AF104" s="1916"/>
      <c r="AG104" s="3920"/>
      <c r="AH104" s="3904"/>
      <c r="AI104" s="1916"/>
      <c r="AJ104" s="1916"/>
      <c r="AK104" s="1916"/>
      <c r="AL104" s="1916"/>
      <c r="AM104" s="1916"/>
      <c r="AN104" s="1916"/>
      <c r="AO104" s="1916"/>
      <c r="AP104" s="1916"/>
      <c r="AQ104" s="1916"/>
      <c r="AR104" s="1916"/>
      <c r="AS104" s="1916"/>
      <c r="AT104" s="1916"/>
      <c r="AU104" s="1916"/>
      <c r="AV104" s="1916"/>
      <c r="AW104" s="1916"/>
      <c r="AX104" s="1916"/>
      <c r="AY104" s="1916"/>
      <c r="AZ104" s="1916"/>
      <c r="BA104" s="1916"/>
      <c r="BB104" s="1916"/>
      <c r="BC104" s="1935"/>
      <c r="BD104" s="2643"/>
      <c r="BE104" s="2643"/>
      <c r="BF104" s="2643"/>
      <c r="BG104" s="1935"/>
      <c r="BH104" s="2643"/>
      <c r="BI104" s="2643"/>
      <c r="BJ104" s="1924"/>
      <c r="BK104" s="1950">
        <f t="shared" ref="BK104:CG106" si="219">+BK98-BJ98</f>
        <v>-0.33699999999999974</v>
      </c>
      <c r="BL104" s="1950">
        <f t="shared" si="219"/>
        <v>-0.36899999999999977</v>
      </c>
      <c r="BM104" s="1950">
        <f t="shared" si="219"/>
        <v>-0.32199999999999918</v>
      </c>
      <c r="BN104" s="1950">
        <f t="shared" si="219"/>
        <v>-0.3230000000000004</v>
      </c>
      <c r="BO104" s="1951">
        <f t="shared" si="219"/>
        <v>-0.25600000000000023</v>
      </c>
      <c r="BP104" s="1950">
        <f t="shared" si="219"/>
        <v>-0.29999999999999893</v>
      </c>
      <c r="BQ104" s="1950">
        <f t="shared" si="219"/>
        <v>-0.25399999999999956</v>
      </c>
      <c r="BR104" s="1958">
        <f t="shared" si="219"/>
        <v>-0.21900000000000119</v>
      </c>
      <c r="BS104" s="1950">
        <f t="shared" si="219"/>
        <v>-0.20100000000000051</v>
      </c>
      <c r="BT104" s="1950">
        <f t="shared" si="219"/>
        <v>-0.23399999999999999</v>
      </c>
      <c r="BU104" s="1950">
        <f t="shared" si="219"/>
        <v>-0.19899999999999984</v>
      </c>
      <c r="BV104" s="1950">
        <f t="shared" si="219"/>
        <v>-0.19899999999999984</v>
      </c>
      <c r="BW104" s="1951">
        <f t="shared" si="219"/>
        <v>-0.1899999999999995</v>
      </c>
      <c r="BX104" s="1950">
        <f t="shared" si="219"/>
        <v>-0.23000000000000043</v>
      </c>
      <c r="BY104" s="1950">
        <f t="shared" si="219"/>
        <v>-0.18099999999999916</v>
      </c>
      <c r="BZ104" s="1958">
        <f t="shared" si="219"/>
        <v>-0.14799999999999969</v>
      </c>
      <c r="CA104" s="1951">
        <f t="shared" si="219"/>
        <v>-0.12000000000000099</v>
      </c>
      <c r="CB104" s="1950">
        <f t="shared" si="219"/>
        <v>-0.17499999999999893</v>
      </c>
      <c r="CC104" s="1950">
        <f t="shared" si="219"/>
        <v>-0.16999999999999993</v>
      </c>
      <c r="CD104" s="1958">
        <f t="shared" si="219"/>
        <v>-0.14300000000000068</v>
      </c>
      <c r="CE104" s="1950">
        <f t="shared" si="219"/>
        <v>-0.12400000000000055</v>
      </c>
      <c r="CF104" s="1950">
        <f t="shared" si="219"/>
        <v>-0.16099999999999959</v>
      </c>
      <c r="CG104" s="1950">
        <f t="shared" si="219"/>
        <v>-0.19400000000000084</v>
      </c>
      <c r="CH104" s="1958">
        <f t="shared" ref="CH104:CI106" si="220">+CH98-CG98</f>
        <v>-0.16699999999999982</v>
      </c>
      <c r="CI104" s="1950">
        <f t="shared" si="220"/>
        <v>-0.13699999999999868</v>
      </c>
      <c r="CJ104" s="1950">
        <f t="shared" ref="CJ104:CK106" si="221">+CJ98-CI98</f>
        <v>-0.1980000000000004</v>
      </c>
      <c r="CK104" s="1950">
        <f t="shared" si="221"/>
        <v>-0.18200000000000038</v>
      </c>
      <c r="CL104" s="1958">
        <f>+CL98-CK98</f>
        <v>-0.14100000000000001</v>
      </c>
      <c r="CM104" s="1950">
        <f t="shared" ref="CM104:CM106" si="222">+CM98-CL98</f>
        <v>-0.14499999999999957</v>
      </c>
      <c r="CN104" s="1950">
        <f t="shared" ref="CN104:CO106" si="223">+CN98-CM98</f>
        <v>-0.21199999999999974</v>
      </c>
      <c r="CO104" s="1950">
        <f t="shared" si="223"/>
        <v>-0.22700000000000031</v>
      </c>
      <c r="CP104" s="1958">
        <f t="shared" ref="CP104:CP106" si="224">+CP98-CO98</f>
        <v>-0.2240000000000002</v>
      </c>
      <c r="CQ104" s="1950">
        <f t="shared" ref="CQ104:CT106" si="225">+CQ98-CP98</f>
        <v>-0.1791999999999998</v>
      </c>
      <c r="CR104" s="1950">
        <f t="shared" si="225"/>
        <v>-0.14335999999999949</v>
      </c>
      <c r="CS104" s="1950">
        <f t="shared" si="225"/>
        <v>-0.11468800000000101</v>
      </c>
      <c r="CT104" s="1958">
        <f t="shared" si="225"/>
        <v>-9.1750400000000454E-2</v>
      </c>
    </row>
    <row r="105" spans="1:98" hidden="1" outlineLevel="2">
      <c r="A105" s="1935" t="s">
        <v>740</v>
      </c>
      <c r="B105" s="1916"/>
      <c r="C105" s="1916"/>
      <c r="D105" s="1916"/>
      <c r="E105" s="1916"/>
      <c r="F105" s="1916"/>
      <c r="G105" s="1916"/>
      <c r="H105" s="1916"/>
      <c r="I105" s="1916"/>
      <c r="J105" s="1916"/>
      <c r="K105" s="1916"/>
      <c r="L105" s="1916"/>
      <c r="M105" s="1916"/>
      <c r="N105" s="1916"/>
      <c r="O105" s="1916"/>
      <c r="P105" s="1916"/>
      <c r="Q105" s="1916"/>
      <c r="R105" s="1916"/>
      <c r="S105" s="1916"/>
      <c r="T105" s="1916"/>
      <c r="U105" s="1916"/>
      <c r="V105" s="1916"/>
      <c r="W105" s="1916"/>
      <c r="X105" s="1916"/>
      <c r="Y105" s="1916"/>
      <c r="Z105" s="1916"/>
      <c r="AA105" s="1916"/>
      <c r="AB105" s="1916"/>
      <c r="AC105" s="1916"/>
      <c r="AD105" s="1916"/>
      <c r="AE105" s="1916"/>
      <c r="AF105" s="1916"/>
      <c r="AG105" s="3920"/>
      <c r="AH105" s="3904"/>
      <c r="AI105" s="1916"/>
      <c r="AJ105" s="1916"/>
      <c r="AK105" s="1916"/>
      <c r="AL105" s="1916"/>
      <c r="AM105" s="1916"/>
      <c r="AN105" s="1916"/>
      <c r="AO105" s="1916"/>
      <c r="AP105" s="1916"/>
      <c r="AQ105" s="1916"/>
      <c r="AR105" s="1916"/>
      <c r="AS105" s="1916"/>
      <c r="AT105" s="1916"/>
      <c r="AU105" s="1916"/>
      <c r="AV105" s="1916"/>
      <c r="AW105" s="1916"/>
      <c r="AX105" s="1916"/>
      <c r="AY105" s="1916"/>
      <c r="AZ105" s="1916"/>
      <c r="BA105" s="1916"/>
      <c r="BB105" s="1916"/>
      <c r="BC105" s="1935"/>
      <c r="BD105" s="2643"/>
      <c r="BE105" s="2643"/>
      <c r="BF105" s="2643"/>
      <c r="BG105" s="1935"/>
      <c r="BH105" s="2643"/>
      <c r="BI105" s="2643"/>
      <c r="BJ105" s="1924"/>
      <c r="BK105" s="1950">
        <f t="shared" si="219"/>
        <v>0.20099999999999962</v>
      </c>
      <c r="BL105" s="1950">
        <f t="shared" si="219"/>
        <v>3.8000000000000256E-2</v>
      </c>
      <c r="BM105" s="1950">
        <f t="shared" si="219"/>
        <v>7.2000000000000064E-2</v>
      </c>
      <c r="BN105" s="1950">
        <f t="shared" si="219"/>
        <v>4.4999999999999929E-2</v>
      </c>
      <c r="BO105" s="1951">
        <f t="shared" si="219"/>
        <v>0.10099999999999998</v>
      </c>
      <c r="BP105" s="1950">
        <f t="shared" si="219"/>
        <v>1.4000000000000234E-2</v>
      </c>
      <c r="BQ105" s="1950">
        <f t="shared" si="219"/>
        <v>5.9999999999999609E-2</v>
      </c>
      <c r="BR105" s="1958">
        <f t="shared" si="219"/>
        <v>7.6999999999999957E-2</v>
      </c>
      <c r="BS105" s="1950">
        <f t="shared" si="219"/>
        <v>9.2000000000000526E-2</v>
      </c>
      <c r="BT105" s="1950">
        <f>+BT99-BS99</f>
        <v>1.7999999999999794E-2</v>
      </c>
      <c r="BU105" s="1950">
        <f t="shared" si="219"/>
        <v>4.3999999999999595E-2</v>
      </c>
      <c r="BV105" s="1950">
        <f t="shared" si="219"/>
        <v>4.1000000000000369E-2</v>
      </c>
      <c r="BW105" s="1951">
        <f t="shared" si="219"/>
        <v>6.5999999999999837E-2</v>
      </c>
      <c r="BX105" s="1950">
        <f t="shared" si="219"/>
        <v>-8.0000000000000071E-3</v>
      </c>
      <c r="BY105" s="1950">
        <f t="shared" si="219"/>
        <v>3.3000000000000362E-2</v>
      </c>
      <c r="BZ105" s="1958">
        <f t="shared" si="219"/>
        <v>4.8999999999999488E-2</v>
      </c>
      <c r="CA105" s="1951">
        <f t="shared" si="219"/>
        <v>6.6000000000000725E-2</v>
      </c>
      <c r="CB105" s="1950">
        <f t="shared" si="219"/>
        <v>-2.0000000000006679E-3</v>
      </c>
      <c r="CC105" s="1950">
        <f t="shared" si="219"/>
        <v>8.0000000000000071E-3</v>
      </c>
      <c r="CD105" s="1958">
        <f t="shared" si="219"/>
        <v>1.8600000000000172E-2</v>
      </c>
      <c r="CE105" s="1950">
        <f t="shared" si="219"/>
        <v>3.5400000000000098E-2</v>
      </c>
      <c r="CF105" s="1950">
        <f t="shared" si="219"/>
        <v>-9.0000000000003411E-3</v>
      </c>
      <c r="CG105" s="1950">
        <f t="shared" si="219"/>
        <v>-3.6999999999999922E-2</v>
      </c>
      <c r="CH105" s="1958">
        <f t="shared" si="220"/>
        <v>-2.2999999999999687E-2</v>
      </c>
      <c r="CI105" s="1950">
        <f t="shared" si="220"/>
        <v>8.0000000000000071E-3</v>
      </c>
      <c r="CJ105" s="1950">
        <f t="shared" si="221"/>
        <v>-6.5999999999999837E-2</v>
      </c>
      <c r="CK105" s="1950">
        <f t="shared" si="221"/>
        <v>-4.0000000000000036E-2</v>
      </c>
      <c r="CL105" s="1958">
        <f>+CL99-CK99</f>
        <v>-4.9999999999998934E-3</v>
      </c>
      <c r="CM105" s="1950">
        <f t="shared" si="222"/>
        <v>0</v>
      </c>
      <c r="CN105" s="1950">
        <f t="shared" si="223"/>
        <v>-7.6999999999999957E-2</v>
      </c>
      <c r="CO105" s="1950">
        <f t="shared" si="223"/>
        <v>-0.10099999999999998</v>
      </c>
      <c r="CP105" s="1958">
        <f t="shared" si="224"/>
        <v>-0.10500000000000043</v>
      </c>
      <c r="CQ105" s="1950">
        <f t="shared" si="225"/>
        <v>-4.0000000000000036E-2</v>
      </c>
      <c r="CR105" s="1950">
        <f t="shared" si="225"/>
        <v>-7.5000000000000178E-2</v>
      </c>
      <c r="CS105" s="1950">
        <f t="shared" si="225"/>
        <v>-4.9999999999999822E-2</v>
      </c>
      <c r="CT105" s="1958">
        <f t="shared" si="225"/>
        <v>-1.9999999999999574E-2</v>
      </c>
    </row>
    <row r="106" spans="1:98" hidden="1" outlineLevel="2">
      <c r="A106" s="1963" t="s">
        <v>598</v>
      </c>
      <c r="B106" s="1916"/>
      <c r="C106" s="1916"/>
      <c r="D106" s="1916"/>
      <c r="E106" s="1916"/>
      <c r="F106" s="1916"/>
      <c r="G106" s="1916"/>
      <c r="H106" s="1916"/>
      <c r="I106" s="1916"/>
      <c r="J106" s="1916"/>
      <c r="K106" s="1916"/>
      <c r="L106" s="1916"/>
      <c r="M106" s="1916"/>
      <c r="N106" s="1916"/>
      <c r="O106" s="1916"/>
      <c r="P106" s="1916"/>
      <c r="Q106" s="1916"/>
      <c r="R106" s="1916"/>
      <c r="S106" s="1916"/>
      <c r="T106" s="1916"/>
      <c r="U106" s="1916"/>
      <c r="V106" s="1916"/>
      <c r="W106" s="1916"/>
      <c r="X106" s="1916"/>
      <c r="Y106" s="1916"/>
      <c r="Z106" s="1916"/>
      <c r="AA106" s="1916"/>
      <c r="AB106" s="1916"/>
      <c r="AC106" s="1916"/>
      <c r="AD106" s="1916"/>
      <c r="AE106" s="1916"/>
      <c r="AF106" s="1916"/>
      <c r="AG106" s="3920"/>
      <c r="AH106" s="3904"/>
      <c r="AI106" s="1916"/>
      <c r="AJ106" s="1916"/>
      <c r="AK106" s="1916"/>
      <c r="AL106" s="1916"/>
      <c r="AM106" s="1916"/>
      <c r="AN106" s="1916"/>
      <c r="AO106" s="1916"/>
      <c r="AP106" s="1916"/>
      <c r="AQ106" s="1916"/>
      <c r="AR106" s="1916"/>
      <c r="AS106" s="1916"/>
      <c r="AT106" s="1916"/>
      <c r="AU106" s="1916"/>
      <c r="AV106" s="1916"/>
      <c r="AW106" s="1916"/>
      <c r="AX106" s="1916"/>
      <c r="AY106" s="1916"/>
      <c r="AZ106" s="1916"/>
      <c r="BA106" s="1916"/>
      <c r="BB106" s="1916"/>
      <c r="BC106" s="1935"/>
      <c r="BD106" s="2643"/>
      <c r="BE106" s="2643"/>
      <c r="BF106" s="2643"/>
      <c r="BG106" s="1935"/>
      <c r="BH106" s="2643"/>
      <c r="BI106" s="2643"/>
      <c r="BJ106" s="1924"/>
      <c r="BK106" s="1952">
        <f t="shared" si="219"/>
        <v>-0.13600000000000279</v>
      </c>
      <c r="BL106" s="1952">
        <f t="shared" si="219"/>
        <v>-0.33099999999999952</v>
      </c>
      <c r="BM106" s="1952">
        <f t="shared" si="219"/>
        <v>-0.24999999999999645</v>
      </c>
      <c r="BN106" s="1952">
        <f t="shared" si="219"/>
        <v>-0.27800000000000225</v>
      </c>
      <c r="BO106" s="1953">
        <f t="shared" si="219"/>
        <v>-0.15500000000000114</v>
      </c>
      <c r="BP106" s="1952">
        <f t="shared" si="219"/>
        <v>-0.28599999999999781</v>
      </c>
      <c r="BQ106" s="1952">
        <f t="shared" si="219"/>
        <v>-0.19399999999999906</v>
      </c>
      <c r="BR106" s="1959">
        <f t="shared" si="219"/>
        <v>-0.14200000000000301</v>
      </c>
      <c r="BS106" s="1952">
        <f t="shared" si="219"/>
        <v>-0.10899999999999821</v>
      </c>
      <c r="BT106" s="1952">
        <f>+BT100-BS100</f>
        <v>-0.21600000000000108</v>
      </c>
      <c r="BU106" s="1952">
        <f t="shared" si="219"/>
        <v>-0.15500000000000114</v>
      </c>
      <c r="BV106" s="1952">
        <f t="shared" si="219"/>
        <v>-0.1579999999999977</v>
      </c>
      <c r="BW106" s="1953">
        <f t="shared" si="219"/>
        <v>-0.12399999999999878</v>
      </c>
      <c r="BX106" s="1952">
        <f t="shared" si="219"/>
        <v>-0.2380000000000031</v>
      </c>
      <c r="BY106" s="1952">
        <f t="shared" si="219"/>
        <v>-0.14799999999999969</v>
      </c>
      <c r="BZ106" s="1959">
        <f t="shared" si="219"/>
        <v>-9.8999999999996646E-2</v>
      </c>
      <c r="CA106" s="1953">
        <f t="shared" si="219"/>
        <v>-5.4000000000002046E-2</v>
      </c>
      <c r="CB106" s="1952">
        <f t="shared" si="219"/>
        <v>-0.1769999999999996</v>
      </c>
      <c r="CC106" s="1952">
        <f t="shared" si="219"/>
        <v>-0.16199999999999903</v>
      </c>
      <c r="CD106" s="1959">
        <f t="shared" si="219"/>
        <v>-0.1244000000000014</v>
      </c>
      <c r="CE106" s="1952">
        <f t="shared" si="219"/>
        <v>-8.8599999999999568E-2</v>
      </c>
      <c r="CF106" s="1952">
        <f t="shared" si="219"/>
        <v>-0.17000000000000171</v>
      </c>
      <c r="CG106" s="1952">
        <f t="shared" si="219"/>
        <v>-0.23100000000000165</v>
      </c>
      <c r="CH106" s="1959">
        <f t="shared" si="220"/>
        <v>-0.18999999999999773</v>
      </c>
      <c r="CI106" s="1952">
        <f t="shared" si="220"/>
        <v>-0.12899999999999778</v>
      </c>
      <c r="CJ106" s="1952">
        <f t="shared" si="221"/>
        <v>-0.2640000000000029</v>
      </c>
      <c r="CK106" s="1952">
        <f t="shared" si="221"/>
        <v>-0.22199999999999775</v>
      </c>
      <c r="CL106" s="1959">
        <f>+CL100-CK100</f>
        <v>-0.1460000000000008</v>
      </c>
      <c r="CM106" s="1952">
        <f t="shared" si="222"/>
        <v>-0.14499999999999957</v>
      </c>
      <c r="CN106" s="1952">
        <f t="shared" si="223"/>
        <v>-0.28900000000000148</v>
      </c>
      <c r="CO106" s="1952">
        <f t="shared" si="223"/>
        <v>-0.3279999999999994</v>
      </c>
      <c r="CP106" s="1959">
        <f t="shared" si="224"/>
        <v>-0.32900000000000063</v>
      </c>
      <c r="CQ106" s="1952">
        <f t="shared" si="225"/>
        <v>-0.21919999999999895</v>
      </c>
      <c r="CR106" s="1952">
        <f t="shared" si="225"/>
        <v>-0.21835999999999878</v>
      </c>
      <c r="CS106" s="1952">
        <f t="shared" si="225"/>
        <v>-0.16468800000000172</v>
      </c>
      <c r="CT106" s="1959">
        <f t="shared" si="225"/>
        <v>-0.11175040000000003</v>
      </c>
    </row>
    <row r="107" spans="1:98" hidden="1" outlineLevel="2">
      <c r="A107" s="1963"/>
      <c r="B107" s="1916"/>
      <c r="C107" s="1916"/>
      <c r="D107" s="1916"/>
      <c r="E107" s="1916"/>
      <c r="F107" s="1916"/>
      <c r="G107" s="1916"/>
      <c r="H107" s="1916"/>
      <c r="I107" s="1916"/>
      <c r="J107" s="1916"/>
      <c r="K107" s="1916"/>
      <c r="L107" s="1916"/>
      <c r="M107" s="1916"/>
      <c r="N107" s="1916"/>
      <c r="O107" s="1916"/>
      <c r="P107" s="1916"/>
      <c r="Q107" s="1916"/>
      <c r="R107" s="1916"/>
      <c r="S107" s="1916"/>
      <c r="T107" s="1916"/>
      <c r="U107" s="1916"/>
      <c r="V107" s="1916"/>
      <c r="W107" s="1916"/>
      <c r="X107" s="1916"/>
      <c r="Y107" s="1916"/>
      <c r="Z107" s="1916"/>
      <c r="AA107" s="1916"/>
      <c r="AB107" s="1916"/>
      <c r="AC107" s="1916"/>
      <c r="AD107" s="1916"/>
      <c r="AE107" s="1916"/>
      <c r="AF107" s="1916"/>
      <c r="AG107" s="3920"/>
      <c r="AH107" s="3904"/>
      <c r="AI107" s="1916"/>
      <c r="AJ107" s="1916"/>
      <c r="AK107" s="1916"/>
      <c r="AL107" s="1916"/>
      <c r="AM107" s="1916"/>
      <c r="AN107" s="1916"/>
      <c r="AO107" s="1916"/>
      <c r="AP107" s="1916"/>
      <c r="AQ107" s="1916"/>
      <c r="AR107" s="1916"/>
      <c r="AS107" s="1916"/>
      <c r="AT107" s="1916"/>
      <c r="AU107" s="1916"/>
      <c r="AV107" s="1916"/>
      <c r="AW107" s="1916"/>
      <c r="AX107" s="1916"/>
      <c r="AY107" s="1916"/>
      <c r="AZ107" s="1916"/>
      <c r="BA107" s="1916"/>
      <c r="BB107" s="1916"/>
      <c r="BC107" s="1935"/>
      <c r="BD107" s="2643"/>
      <c r="BE107" s="2643"/>
      <c r="BF107" s="2643"/>
      <c r="BG107" s="1935"/>
      <c r="BH107" s="2643"/>
      <c r="BI107" s="2643"/>
      <c r="BJ107" s="1924"/>
      <c r="BK107" s="2643"/>
      <c r="BL107" s="2643"/>
      <c r="BM107" s="2643"/>
      <c r="BN107" s="2643"/>
      <c r="BO107" s="1935"/>
      <c r="BP107" s="2643"/>
      <c r="BQ107" s="2643"/>
      <c r="BR107" s="1924"/>
      <c r="BS107" s="2643"/>
      <c r="BT107" s="2643"/>
      <c r="BU107" s="2643"/>
      <c r="BV107" s="2643"/>
      <c r="BW107" s="1935"/>
      <c r="BX107" s="2643"/>
      <c r="BY107" s="2643"/>
      <c r="BZ107" s="1924"/>
      <c r="CA107" s="1935"/>
      <c r="CB107" s="2643"/>
      <c r="CC107" s="2643"/>
      <c r="CD107" s="1924"/>
      <c r="CE107" s="2643"/>
      <c r="CF107" s="2643"/>
      <c r="CG107" s="2643"/>
      <c r="CH107" s="1924"/>
      <c r="CI107" s="2643"/>
      <c r="CJ107" s="2643"/>
      <c r="CK107" s="2643"/>
      <c r="CL107" s="1924"/>
      <c r="CM107" s="2643"/>
      <c r="CN107" s="2643"/>
      <c r="CO107" s="2643"/>
      <c r="CP107" s="1924"/>
      <c r="CQ107" s="2643"/>
      <c r="CR107" s="2643"/>
      <c r="CS107" s="2643"/>
      <c r="CT107" s="1924"/>
    </row>
    <row r="108" spans="1:98" hidden="1" outlineLevel="2">
      <c r="A108" s="2644" t="s">
        <v>761</v>
      </c>
      <c r="B108" s="1916"/>
      <c r="C108" s="1916"/>
      <c r="D108" s="1916"/>
      <c r="E108" s="1916"/>
      <c r="F108" s="1916"/>
      <c r="G108" s="1916"/>
      <c r="H108" s="1916"/>
      <c r="I108" s="1916"/>
      <c r="J108" s="1916"/>
      <c r="K108" s="1916"/>
      <c r="L108" s="1916"/>
      <c r="M108" s="1916"/>
      <c r="N108" s="1916"/>
      <c r="O108" s="1916"/>
      <c r="P108" s="1916"/>
      <c r="Q108" s="1916"/>
      <c r="R108" s="1916"/>
      <c r="S108" s="1916"/>
      <c r="T108" s="1916"/>
      <c r="U108" s="1916"/>
      <c r="V108" s="1916"/>
      <c r="W108" s="1916"/>
      <c r="X108" s="1916"/>
      <c r="Y108" s="1916"/>
      <c r="Z108" s="1916"/>
      <c r="AA108" s="1916"/>
      <c r="AB108" s="1916"/>
      <c r="AC108" s="1916"/>
      <c r="AD108" s="1916"/>
      <c r="AE108" s="1916"/>
      <c r="AF108" s="1916"/>
      <c r="AG108" s="3920"/>
      <c r="AH108" s="3904"/>
      <c r="AI108" s="1916"/>
      <c r="AJ108" s="1916"/>
      <c r="AK108" s="1916"/>
      <c r="AL108" s="1916"/>
      <c r="AM108" s="1916"/>
      <c r="AN108" s="1916"/>
      <c r="AO108" s="1916"/>
      <c r="AP108" s="1916"/>
      <c r="AQ108" s="1916"/>
      <c r="AR108" s="1916"/>
      <c r="AS108" s="1916"/>
      <c r="AT108" s="1916"/>
      <c r="AU108" s="1916"/>
      <c r="AV108" s="1916"/>
      <c r="AW108" s="1916"/>
      <c r="AX108" s="1916"/>
      <c r="AY108" s="1916"/>
      <c r="AZ108" s="1916"/>
      <c r="BA108" s="1916"/>
      <c r="BB108" s="1916"/>
      <c r="BC108" s="1935"/>
      <c r="BD108" s="2643"/>
      <c r="BE108" s="2643"/>
      <c r="BF108" s="2643"/>
      <c r="BG108" s="1935"/>
      <c r="BH108" s="2643"/>
      <c r="BI108" s="2643"/>
      <c r="BJ108" s="2643"/>
      <c r="BK108" s="1935"/>
      <c r="BL108" s="2643"/>
      <c r="BM108" s="2643"/>
      <c r="BN108" s="2643"/>
      <c r="BO108" s="1935"/>
      <c r="BP108" s="2643"/>
      <c r="BQ108" s="2643"/>
      <c r="BR108" s="1924"/>
      <c r="BS108" s="2643"/>
      <c r="BT108" s="2643"/>
      <c r="BU108" s="2643"/>
      <c r="BV108" s="2643"/>
      <c r="BW108" s="1935"/>
      <c r="BX108" s="2643"/>
      <c r="BY108" s="2643"/>
      <c r="BZ108" s="1924"/>
      <c r="CA108" s="1935"/>
      <c r="CB108" s="2643"/>
      <c r="CC108" s="2643"/>
      <c r="CD108" s="1924"/>
      <c r="CE108" s="2643"/>
      <c r="CF108" s="2643"/>
      <c r="CG108" s="2643"/>
      <c r="CH108" s="1924"/>
      <c r="CI108" s="2643"/>
      <c r="CJ108" s="2643"/>
      <c r="CK108" s="2643"/>
      <c r="CL108" s="1924"/>
      <c r="CM108" s="2643"/>
      <c r="CN108" s="2643"/>
      <c r="CO108" s="2643"/>
      <c r="CP108" s="1924"/>
      <c r="CQ108" s="2643"/>
      <c r="CR108" s="2643"/>
      <c r="CS108" s="2643"/>
      <c r="CT108" s="1924"/>
    </row>
    <row r="109" spans="1:98" hidden="1" outlineLevel="2">
      <c r="A109" s="2645" t="s">
        <v>759</v>
      </c>
      <c r="B109" s="1916"/>
      <c r="C109" s="1916"/>
      <c r="D109" s="1916"/>
      <c r="E109" s="1916"/>
      <c r="F109" s="1916"/>
      <c r="G109" s="1916"/>
      <c r="H109" s="1916"/>
      <c r="I109" s="1916"/>
      <c r="J109" s="1916"/>
      <c r="K109" s="1916"/>
      <c r="L109" s="1916"/>
      <c r="M109" s="1916"/>
      <c r="N109" s="1916"/>
      <c r="O109" s="1916"/>
      <c r="P109" s="1916"/>
      <c r="Q109" s="1916"/>
      <c r="R109" s="1916"/>
      <c r="S109" s="1916"/>
      <c r="T109" s="1916"/>
      <c r="U109" s="1916"/>
      <c r="V109" s="1916"/>
      <c r="W109" s="1916"/>
      <c r="X109" s="1916"/>
      <c r="Y109" s="1916"/>
      <c r="Z109" s="1916"/>
      <c r="AA109" s="1916"/>
      <c r="AB109" s="1916"/>
      <c r="AC109" s="1916"/>
      <c r="AD109" s="1916"/>
      <c r="AE109" s="1916"/>
      <c r="AF109" s="1916"/>
      <c r="AG109" s="3920"/>
      <c r="AH109" s="3904"/>
      <c r="AI109" s="1916"/>
      <c r="AJ109" s="1916"/>
      <c r="AK109" s="1916"/>
      <c r="AL109" s="1916"/>
      <c r="AM109" s="1916"/>
      <c r="AN109" s="1916"/>
      <c r="AO109" s="1916"/>
      <c r="AP109" s="1916"/>
      <c r="AQ109" s="1916"/>
      <c r="AR109" s="1916"/>
      <c r="AS109" s="1916"/>
      <c r="AT109" s="1916"/>
      <c r="AU109" s="1916"/>
      <c r="AV109" s="1916"/>
      <c r="AW109" s="1916"/>
      <c r="AX109" s="1916"/>
      <c r="AY109" s="1916"/>
      <c r="AZ109" s="1916"/>
      <c r="BA109" s="1916"/>
      <c r="BB109" s="1916"/>
      <c r="BC109" s="1935"/>
      <c r="BD109" s="2643"/>
      <c r="BE109" s="2643"/>
      <c r="BF109" s="2643"/>
      <c r="BG109" s="1935"/>
      <c r="BH109" s="2643"/>
      <c r="BI109" s="2643"/>
      <c r="BJ109" s="2643"/>
      <c r="BK109" s="1938">
        <f t="shared" ref="BK109:CG111" si="226">+BK98/BG98-1</f>
        <v>-9.3550673281360797E-2</v>
      </c>
      <c r="BL109" s="1968">
        <f t="shared" si="226"/>
        <v>-8.2000000000000184E-2</v>
      </c>
      <c r="BM109" s="1968">
        <f t="shared" si="226"/>
        <v>-8.1763180639585209E-2</v>
      </c>
      <c r="BN109" s="1968">
        <f t="shared" si="226"/>
        <v>-7.9639236029238392E-2</v>
      </c>
      <c r="BO109" s="1938">
        <f t="shared" si="226"/>
        <v>-7.6381788657003624E-2</v>
      </c>
      <c r="BP109" s="1968">
        <f t="shared" si="226"/>
        <v>-7.3871324886209844E-2</v>
      </c>
      <c r="BQ109" s="1968">
        <f t="shared" si="226"/>
        <v>-7.1096887550200716E-2</v>
      </c>
      <c r="BR109" s="1957">
        <f t="shared" si="226"/>
        <v>-6.5906616281304009E-2</v>
      </c>
      <c r="BS109" s="1968">
        <f t="shared" si="226"/>
        <v>-6.3423845803216805E-2</v>
      </c>
      <c r="BT109" s="1968">
        <f t="shared" si="226"/>
        <v>-6.0304177458989305E-2</v>
      </c>
      <c r="BU109" s="1968">
        <f t="shared" si="226"/>
        <v>-5.7623454705127419E-2</v>
      </c>
      <c r="BV109" s="1968">
        <f t="shared" si="226"/>
        <v>-5.7117388919363687E-2</v>
      </c>
      <c r="BW109" s="1938">
        <f t="shared" si="226"/>
        <v>-5.7150803031356445E-2</v>
      </c>
      <c r="BX109" s="1968">
        <f t="shared" si="226"/>
        <v>-5.781327302282846E-2</v>
      </c>
      <c r="BY109" s="1968">
        <f t="shared" si="226"/>
        <v>-5.7347670250895932E-2</v>
      </c>
      <c r="BZ109" s="1957">
        <f t="shared" si="226"/>
        <v>-5.4468765907933925E-2</v>
      </c>
      <c r="CA109" s="1938">
        <f t="shared" si="226"/>
        <v>-5.0070053830838401E-2</v>
      </c>
      <c r="CB109" s="1968">
        <f t="shared" si="226"/>
        <v>-4.680819143350079E-2</v>
      </c>
      <c r="CC109" s="1968">
        <f t="shared" si="226"/>
        <v>-4.6615969581748962E-2</v>
      </c>
      <c r="CD109" s="1957">
        <f t="shared" si="226"/>
        <v>-4.6762036609752422E-2</v>
      </c>
      <c r="CE109" s="1968">
        <f t="shared" si="226"/>
        <v>-4.7508150908244118E-2</v>
      </c>
      <c r="CF109" s="1968">
        <f t="shared" si="226"/>
        <v>-4.7060675218383641E-2</v>
      </c>
      <c r="CG109" s="1968">
        <f t="shared" si="226"/>
        <v>-4.9613145090532162E-2</v>
      </c>
      <c r="CH109" s="1957">
        <f t="shared" ref="CH109:CI111" si="227">+CH98/CD98-1</f>
        <v>-5.2121994513474323E-2</v>
      </c>
      <c r="CI109" s="1968">
        <f t="shared" si="227"/>
        <v>-5.3708231458842626E-2</v>
      </c>
      <c r="CJ109" s="1968">
        <f t="shared" ref="CJ109:CK111" si="228">+CJ98/CF98-1</f>
        <v>-5.7477908993310733E-2</v>
      </c>
      <c r="CK109" s="1968">
        <f t="shared" si="228"/>
        <v>-5.7406630297943684E-2</v>
      </c>
      <c r="CL109" s="1957">
        <f>+CL98/CH98-1</f>
        <v>-5.600953353762339E-2</v>
      </c>
      <c r="CM109" s="1968">
        <f t="shared" ref="CM109:CM111" si="229">+CM98/CI98-1</f>
        <v>-5.7359400568426477E-2</v>
      </c>
      <c r="CN109" s="1968">
        <f t="shared" ref="CN109:CO111" si="230">+CN98/CJ98-1</f>
        <v>-5.9581179356873681E-2</v>
      </c>
      <c r="CO109" s="1968">
        <f t="shared" si="230"/>
        <v>-6.4553468079422971E-2</v>
      </c>
      <c r="CP109" s="1957">
        <f t="shared" ref="CP109:CP111" si="231">+CP98/CL98-1</f>
        <v>-7.2858431018935965E-2</v>
      </c>
      <c r="CQ109" s="1968">
        <f t="shared" ref="CQ109:CT111" si="232">+CQ98/CM98-1</f>
        <v>-7.6948378254910965E-2</v>
      </c>
      <c r="CR109" s="1968">
        <f t="shared" si="232"/>
        <v>-7.2073045746762321E-2</v>
      </c>
      <c r="CS109" s="1968">
        <f t="shared" si="232"/>
        <v>-6.2940034266133704E-2</v>
      </c>
      <c r="CT109" s="1957">
        <f t="shared" si="232"/>
        <v>-5.1448978797899336E-2</v>
      </c>
    </row>
    <row r="110" spans="1:98" hidden="1" outlineLevel="2">
      <c r="A110" s="1935" t="s">
        <v>740</v>
      </c>
      <c r="B110" s="1916"/>
      <c r="C110" s="1916"/>
      <c r="D110" s="1916"/>
      <c r="E110" s="1916"/>
      <c r="F110" s="1916"/>
      <c r="G110" s="1916"/>
      <c r="H110" s="1916"/>
      <c r="I110" s="1916"/>
      <c r="J110" s="1916"/>
      <c r="K110" s="1916"/>
      <c r="L110" s="1916"/>
      <c r="M110" s="1916"/>
      <c r="N110" s="1916"/>
      <c r="O110" s="1916"/>
      <c r="P110" s="1916"/>
      <c r="Q110" s="1916"/>
      <c r="R110" s="1916"/>
      <c r="S110" s="1916"/>
      <c r="T110" s="1916"/>
      <c r="U110" s="1916"/>
      <c r="V110" s="1916"/>
      <c r="W110" s="1916"/>
      <c r="X110" s="1916"/>
      <c r="Y110" s="1916"/>
      <c r="Z110" s="1916"/>
      <c r="AA110" s="1916"/>
      <c r="AB110" s="1916"/>
      <c r="AC110" s="1916"/>
      <c r="AD110" s="1916"/>
      <c r="AE110" s="1916"/>
      <c r="AF110" s="1916"/>
      <c r="AG110" s="3920"/>
      <c r="AH110" s="3904"/>
      <c r="AI110" s="1916"/>
      <c r="AJ110" s="1916"/>
      <c r="AK110" s="1916"/>
      <c r="AL110" s="1916"/>
      <c r="AM110" s="1916"/>
      <c r="AN110" s="1916"/>
      <c r="AO110" s="1916"/>
      <c r="AP110" s="1916"/>
      <c r="AQ110" s="1916"/>
      <c r="AR110" s="1916"/>
      <c r="AS110" s="1916"/>
      <c r="AT110" s="1916"/>
      <c r="AU110" s="1916"/>
      <c r="AV110" s="1916"/>
      <c r="AW110" s="1916"/>
      <c r="AX110" s="1916"/>
      <c r="AY110" s="1916"/>
      <c r="AZ110" s="1916"/>
      <c r="BA110" s="1916"/>
      <c r="BB110" s="1916"/>
      <c r="BC110" s="1935"/>
      <c r="BD110" s="2643"/>
      <c r="BE110" s="2643"/>
      <c r="BF110" s="2643"/>
      <c r="BG110" s="1935"/>
      <c r="BH110" s="2643"/>
      <c r="BI110" s="2643"/>
      <c r="BJ110" s="2643"/>
      <c r="BK110" s="1938">
        <f t="shared" si="226"/>
        <v>8.787564766839373E-2</v>
      </c>
      <c r="BL110" s="1968">
        <f t="shared" si="226"/>
        <v>8.1849805606711845E-2</v>
      </c>
      <c r="BM110" s="1968">
        <f t="shared" si="226"/>
        <v>8.0661423674127875E-2</v>
      </c>
      <c r="BN110" s="1968">
        <f t="shared" si="226"/>
        <v>7.0522979397781294E-2</v>
      </c>
      <c r="BO110" s="1938">
        <f t="shared" si="226"/>
        <v>4.8771194513240745E-2</v>
      </c>
      <c r="BP110" s="1968">
        <f t="shared" si="226"/>
        <v>4.3881218082088225E-2</v>
      </c>
      <c r="BQ110" s="1968">
        <f t="shared" si="226"/>
        <v>4.1052435155812583E-2</v>
      </c>
      <c r="BR110" s="1957">
        <f t="shared" si="226"/>
        <v>4.663212435233155E-2</v>
      </c>
      <c r="BS110" s="1968">
        <f t="shared" si="226"/>
        <v>4.4141689373297099E-2</v>
      </c>
      <c r="BT110" s="1968">
        <f t="shared" si="226"/>
        <v>4.4754484508062964E-2</v>
      </c>
      <c r="BU110" s="1968">
        <f t="shared" si="226"/>
        <v>4.1405269761606078E-2</v>
      </c>
      <c r="BV110" s="1968">
        <f t="shared" si="226"/>
        <v>3.447666195190946E-2</v>
      </c>
      <c r="BW110" s="1938">
        <f t="shared" si="226"/>
        <v>2.940153096729281E-2</v>
      </c>
      <c r="BX110" s="1968">
        <f t="shared" si="226"/>
        <v>2.4800554977453926E-2</v>
      </c>
      <c r="BY110" s="1968">
        <f t="shared" si="226"/>
        <v>2.271944922547342E-2</v>
      </c>
      <c r="BZ110" s="1957">
        <f t="shared" si="226"/>
        <v>2.3927533754913632E-2</v>
      </c>
      <c r="CA110" s="1938">
        <f t="shared" si="226"/>
        <v>2.3660638837248671E-2</v>
      </c>
      <c r="CB110" s="1968">
        <f t="shared" si="226"/>
        <v>2.4708072431883554E-2</v>
      </c>
      <c r="CC110" s="1968">
        <f t="shared" si="226"/>
        <v>2.0363513968360669E-2</v>
      </c>
      <c r="CD110" s="1957">
        <f t="shared" si="226"/>
        <v>1.5122684026039002E-2</v>
      </c>
      <c r="CE110" s="1968">
        <f t="shared" si="226"/>
        <v>9.9058940069340906E-3</v>
      </c>
      <c r="CF110" s="1968">
        <f t="shared" si="226"/>
        <v>8.7530966143682942E-3</v>
      </c>
      <c r="CG110" s="1968">
        <f t="shared" si="226"/>
        <v>1.3194788058716878E-3</v>
      </c>
      <c r="CH110" s="1957">
        <f t="shared" si="227"/>
        <v>-5.5248618784530246E-3</v>
      </c>
      <c r="CI110" s="1968">
        <f t="shared" si="227"/>
        <v>-9.9722085989863984E-3</v>
      </c>
      <c r="CJ110" s="1968">
        <f t="shared" si="228"/>
        <v>-1.9318925998690117E-2</v>
      </c>
      <c r="CK110" s="1968">
        <f t="shared" si="228"/>
        <v>-1.9930818646021975E-2</v>
      </c>
      <c r="CL110" s="1957">
        <f>+CL99/CH99-1</f>
        <v>-1.7030423280423257E-2</v>
      </c>
      <c r="CM110" s="1968">
        <f t="shared" si="229"/>
        <v>-1.8328929986789921E-2</v>
      </c>
      <c r="CN110" s="1968">
        <f t="shared" si="230"/>
        <v>-2.0367278797996602E-2</v>
      </c>
      <c r="CO110" s="1968">
        <f t="shared" si="230"/>
        <v>-3.0756302521008361E-2</v>
      </c>
      <c r="CP110" s="1957">
        <f t="shared" si="231"/>
        <v>-4.7603027754415494E-2</v>
      </c>
      <c r="CQ110" s="1968">
        <f t="shared" si="232"/>
        <v>-5.433137089991591E-2</v>
      </c>
      <c r="CR110" s="1968">
        <f t="shared" si="232"/>
        <v>-5.4703476482617641E-2</v>
      </c>
      <c r="CS110" s="1968">
        <f t="shared" si="232"/>
        <v>-4.6818102999826694E-2</v>
      </c>
      <c r="CT110" s="1957">
        <f t="shared" si="232"/>
        <v>-3.2673966796185061E-2</v>
      </c>
    </row>
    <row r="111" spans="1:98" hidden="1" outlineLevel="2">
      <c r="A111" s="2644" t="s">
        <v>598</v>
      </c>
      <c r="B111" s="1916"/>
      <c r="C111" s="1916"/>
      <c r="D111" s="1916"/>
      <c r="E111" s="1916"/>
      <c r="F111" s="1916"/>
      <c r="G111" s="1916"/>
      <c r="H111" s="1916"/>
      <c r="I111" s="1916"/>
      <c r="J111" s="1916"/>
      <c r="K111" s="1916"/>
      <c r="L111" s="1916"/>
      <c r="M111" s="1916"/>
      <c r="N111" s="1916"/>
      <c r="O111" s="1916"/>
      <c r="P111" s="1916"/>
      <c r="Q111" s="1916"/>
      <c r="R111" s="1916"/>
      <c r="S111" s="1916"/>
      <c r="T111" s="1916"/>
      <c r="U111" s="1916"/>
      <c r="V111" s="1916"/>
      <c r="W111" s="1916"/>
      <c r="X111" s="1916"/>
      <c r="Y111" s="1916"/>
      <c r="Z111" s="1916"/>
      <c r="AA111" s="1916"/>
      <c r="AB111" s="1916"/>
      <c r="AC111" s="1916"/>
      <c r="AD111" s="1916"/>
      <c r="AE111" s="1916"/>
      <c r="AF111" s="1916"/>
      <c r="AG111" s="3920"/>
      <c r="AH111" s="3904"/>
      <c r="AI111" s="1916"/>
      <c r="AJ111" s="1916"/>
      <c r="AK111" s="1916"/>
      <c r="AL111" s="1916"/>
      <c r="AM111" s="1916"/>
      <c r="AN111" s="1916"/>
      <c r="AO111" s="1916"/>
      <c r="AP111" s="1916"/>
      <c r="AQ111" s="1916"/>
      <c r="AR111" s="1916"/>
      <c r="AS111" s="1916"/>
      <c r="AT111" s="1916"/>
      <c r="AU111" s="1916"/>
      <c r="AV111" s="1916"/>
      <c r="AW111" s="1916"/>
      <c r="AX111" s="1916"/>
      <c r="AY111" s="1916"/>
      <c r="AZ111" s="1916"/>
      <c r="BA111" s="1916"/>
      <c r="BB111" s="1916"/>
      <c r="BC111" s="1935"/>
      <c r="BD111" s="2643"/>
      <c r="BE111" s="2643"/>
      <c r="BF111" s="2643"/>
      <c r="BG111" s="1935"/>
      <c r="BH111" s="2643"/>
      <c r="BI111" s="2643"/>
      <c r="BJ111" s="2643"/>
      <c r="BK111" s="1954">
        <f t="shared" si="226"/>
        <v>-5.5766574585635387E-2</v>
      </c>
      <c r="BL111" s="2032">
        <f t="shared" si="226"/>
        <v>-4.6564964024275679E-2</v>
      </c>
      <c r="BM111" s="2032">
        <f t="shared" si="226"/>
        <v>-4.5666397777180179E-2</v>
      </c>
      <c r="BN111" s="2032">
        <f t="shared" si="226"/>
        <v>-4.5202616754497549E-2</v>
      </c>
      <c r="BO111" s="1954">
        <f t="shared" si="226"/>
        <v>-4.6352166758091062E-2</v>
      </c>
      <c r="BP111" s="2032">
        <f t="shared" si="226"/>
        <v>-4.4975632397307841E-2</v>
      </c>
      <c r="BQ111" s="2032">
        <f t="shared" si="226"/>
        <v>-4.2873914064334384E-2</v>
      </c>
      <c r="BR111" s="1960">
        <f t="shared" si="226"/>
        <v>-3.6970071846600394E-2</v>
      </c>
      <c r="BS111" s="2032">
        <f t="shared" si="226"/>
        <v>-3.5039785255488343E-2</v>
      </c>
      <c r="BT111" s="2032">
        <f t="shared" si="226"/>
        <v>-3.2124805598755857E-2</v>
      </c>
      <c r="BU111" s="2032">
        <f t="shared" si="226"/>
        <v>-3.051712295162412E-2</v>
      </c>
      <c r="BV111" s="2032">
        <f t="shared" si="226"/>
        <v>-3.1521739130434656E-2</v>
      </c>
      <c r="BW111" s="1954">
        <f t="shared" si="226"/>
        <v>-3.24375341513089E-2</v>
      </c>
      <c r="BX111" s="2032">
        <f t="shared" si="226"/>
        <v>-3.3894049711272967E-2</v>
      </c>
      <c r="BY111" s="2032">
        <f t="shared" si="226"/>
        <v>-3.3805668016194335E-2</v>
      </c>
      <c r="BZ111" s="1960">
        <f t="shared" si="226"/>
        <v>-3.1068258340985477E-2</v>
      </c>
      <c r="CA111" s="1954">
        <f t="shared" si="226"/>
        <v>-2.7672245610432356E-2</v>
      </c>
      <c r="CB111" s="2032">
        <f t="shared" si="226"/>
        <v>-2.4844074844074693E-2</v>
      </c>
      <c r="CC111" s="2032">
        <f t="shared" si="226"/>
        <v>-2.5769956002513972E-2</v>
      </c>
      <c r="CD111" s="1960">
        <f t="shared" si="226"/>
        <v>-2.7241615331964564E-2</v>
      </c>
      <c r="CE111" s="2032">
        <f t="shared" si="226"/>
        <v>-2.9146206241089767E-2</v>
      </c>
      <c r="CF111" s="2032">
        <f t="shared" si="226"/>
        <v>-2.9048075898091996E-2</v>
      </c>
      <c r="CG111" s="2032">
        <f t="shared" si="226"/>
        <v>-3.3010752688172218E-2</v>
      </c>
      <c r="CH111" s="1960">
        <f t="shared" si="227"/>
        <v>-3.6783649786745753E-2</v>
      </c>
      <c r="CI111" s="2032">
        <f t="shared" si="227"/>
        <v>-3.9158100832109577E-2</v>
      </c>
      <c r="CJ111" s="2032">
        <f t="shared" si="228"/>
        <v>-4.4683537355217684E-2</v>
      </c>
      <c r="CK111" s="2032">
        <f t="shared" si="228"/>
        <v>-4.4757033248081668E-2</v>
      </c>
      <c r="CL111" s="1960">
        <f>+CL100/CH100-1</f>
        <v>-4.2762418521015921E-2</v>
      </c>
      <c r="CM111" s="2032">
        <f t="shared" si="229"/>
        <v>-4.3980302258447956E-2</v>
      </c>
      <c r="CN111" s="2032">
        <f t="shared" si="230"/>
        <v>-4.6084008504280849E-2</v>
      </c>
      <c r="CO111" s="2032">
        <f t="shared" si="230"/>
        <v>-5.2849077469297567E-2</v>
      </c>
      <c r="CP111" s="1960">
        <f t="shared" si="231"/>
        <v>-6.404461402993844E-2</v>
      </c>
      <c r="CQ111" s="2032">
        <f t="shared" si="232"/>
        <v>-6.8987566607460082E-2</v>
      </c>
      <c r="CR111" s="2032">
        <f t="shared" si="232"/>
        <v>-6.5933377507378932E-2</v>
      </c>
      <c r="CS111" s="2032">
        <f t="shared" si="232"/>
        <v>-5.7226571621704636E-2</v>
      </c>
      <c r="CT111" s="1960">
        <f t="shared" si="232"/>
        <v>-4.4781635725037572E-2</v>
      </c>
    </row>
    <row r="112" spans="1:98" hidden="1" outlineLevel="2">
      <c r="A112" s="2645"/>
      <c r="B112" s="1916"/>
      <c r="C112" s="1916"/>
      <c r="D112" s="1916"/>
      <c r="E112" s="1916"/>
      <c r="F112" s="1916"/>
      <c r="G112" s="1916"/>
      <c r="H112" s="1916"/>
      <c r="I112" s="1916"/>
      <c r="J112" s="1916"/>
      <c r="K112" s="1916"/>
      <c r="L112" s="1916"/>
      <c r="M112" s="1916"/>
      <c r="N112" s="1916"/>
      <c r="O112" s="1916"/>
      <c r="P112" s="1916"/>
      <c r="Q112" s="1916"/>
      <c r="R112" s="1916"/>
      <c r="S112" s="1916"/>
      <c r="T112" s="1916"/>
      <c r="U112" s="1916"/>
      <c r="V112" s="1916"/>
      <c r="W112" s="1916"/>
      <c r="X112" s="1916"/>
      <c r="Y112" s="1916"/>
      <c r="Z112" s="1916"/>
      <c r="AA112" s="1916"/>
      <c r="AB112" s="1916"/>
      <c r="AC112" s="1916"/>
      <c r="AD112" s="1916"/>
      <c r="AE112" s="1916"/>
      <c r="AF112" s="1916"/>
      <c r="AG112" s="3920"/>
      <c r="AH112" s="3904"/>
      <c r="AI112" s="1916"/>
      <c r="AJ112" s="1916"/>
      <c r="AK112" s="1916"/>
      <c r="AL112" s="1916"/>
      <c r="AM112" s="1916"/>
      <c r="AN112" s="1916"/>
      <c r="AO112" s="1916"/>
      <c r="AP112" s="1916"/>
      <c r="AQ112" s="1916"/>
      <c r="AR112" s="1916"/>
      <c r="AS112" s="1916"/>
      <c r="AT112" s="1916"/>
      <c r="AU112" s="1916"/>
      <c r="AV112" s="1916"/>
      <c r="AW112" s="1916"/>
      <c r="AX112" s="1916"/>
      <c r="AY112" s="1916"/>
      <c r="AZ112" s="1916"/>
      <c r="BA112" s="1916"/>
      <c r="BB112" s="1916"/>
      <c r="BC112" s="1935"/>
      <c r="BD112" s="2643"/>
      <c r="BE112" s="2643"/>
      <c r="BF112" s="2643"/>
      <c r="BG112" s="1935"/>
      <c r="BH112" s="2643"/>
      <c r="BI112" s="2643"/>
      <c r="BJ112" s="2643"/>
      <c r="BK112" s="1935"/>
      <c r="BL112" s="2643"/>
      <c r="BM112" s="2643"/>
      <c r="BN112" s="2643"/>
      <c r="BO112" s="1935"/>
      <c r="BP112" s="2643"/>
      <c r="BQ112" s="2643"/>
      <c r="BR112" s="1924"/>
      <c r="BS112" s="2643"/>
      <c r="BT112" s="2643"/>
      <c r="BU112" s="2643"/>
      <c r="BV112" s="2643"/>
      <c r="BW112" s="1935"/>
      <c r="BX112" s="2643"/>
      <c r="BY112" s="2643"/>
      <c r="BZ112" s="1924"/>
      <c r="CA112" s="1935"/>
      <c r="CB112" s="2643"/>
      <c r="CC112" s="2643"/>
      <c r="CD112" s="1924"/>
      <c r="CE112" s="2643"/>
      <c r="CF112" s="2643"/>
      <c r="CG112" s="2643"/>
      <c r="CH112" s="1924"/>
      <c r="CI112" s="2643"/>
      <c r="CJ112" s="2643"/>
      <c r="CK112" s="2643"/>
      <c r="CL112" s="1924"/>
      <c r="CM112" s="2643"/>
      <c r="CN112" s="2643"/>
      <c r="CO112" s="2643"/>
      <c r="CP112" s="1924"/>
      <c r="CQ112" s="2643"/>
      <c r="CR112" s="2643"/>
      <c r="CS112" s="2643"/>
      <c r="CT112" s="1924"/>
    </row>
    <row r="113" spans="1:16384" hidden="1" outlineLevel="2">
      <c r="A113" s="2644" t="s">
        <v>762</v>
      </c>
      <c r="B113" s="1916"/>
      <c r="C113" s="1916"/>
      <c r="D113" s="1916"/>
      <c r="E113" s="1916"/>
      <c r="F113" s="1916"/>
      <c r="G113" s="1916"/>
      <c r="H113" s="1916"/>
      <c r="I113" s="1916"/>
      <c r="J113" s="1916"/>
      <c r="K113" s="1916"/>
      <c r="L113" s="1916"/>
      <c r="M113" s="1916"/>
      <c r="N113" s="1916"/>
      <c r="O113" s="1916"/>
      <c r="P113" s="1916"/>
      <c r="Q113" s="1916"/>
      <c r="R113" s="1916"/>
      <c r="S113" s="1916"/>
      <c r="T113" s="1916"/>
      <c r="U113" s="1916"/>
      <c r="V113" s="1916"/>
      <c r="W113" s="1916"/>
      <c r="X113" s="1916"/>
      <c r="Y113" s="1916"/>
      <c r="Z113" s="1916"/>
      <c r="AA113" s="1916"/>
      <c r="AB113" s="1916"/>
      <c r="AC113" s="1916"/>
      <c r="AD113" s="1916"/>
      <c r="AE113" s="1916"/>
      <c r="AF113" s="1916"/>
      <c r="AG113" s="3920"/>
      <c r="AH113" s="3904"/>
      <c r="AI113" s="1916"/>
      <c r="AJ113" s="1916"/>
      <c r="AK113" s="1916"/>
      <c r="AL113" s="1916"/>
      <c r="AM113" s="1916"/>
      <c r="AN113" s="1916"/>
      <c r="AO113" s="1916"/>
      <c r="AP113" s="1916"/>
      <c r="AQ113" s="1916"/>
      <c r="AR113" s="1916"/>
      <c r="AS113" s="1916"/>
      <c r="AT113" s="1916"/>
      <c r="AU113" s="1916"/>
      <c r="AV113" s="1916"/>
      <c r="AW113" s="1916"/>
      <c r="AX113" s="1916"/>
      <c r="AY113" s="1916"/>
      <c r="AZ113" s="1916"/>
      <c r="BA113" s="1916"/>
      <c r="BB113" s="1916"/>
      <c r="BC113" s="1935"/>
      <c r="BD113" s="2643"/>
      <c r="BE113" s="2643"/>
      <c r="BF113" s="2643"/>
      <c r="BG113" s="1935"/>
      <c r="BH113" s="2643"/>
      <c r="BI113" s="2643"/>
      <c r="BJ113" s="2643"/>
      <c r="BK113" s="1935"/>
      <c r="BL113" s="2643"/>
      <c r="BM113" s="2643"/>
      <c r="BN113" s="2643"/>
      <c r="BO113" s="1935"/>
      <c r="BP113" s="2643"/>
      <c r="BQ113" s="2643"/>
      <c r="BR113" s="1924"/>
      <c r="BS113" s="2643"/>
      <c r="BT113" s="2643"/>
      <c r="BU113" s="2643"/>
      <c r="BV113" s="2643"/>
      <c r="BW113" s="1935"/>
      <c r="BX113" s="2643"/>
      <c r="BY113" s="2643"/>
      <c r="BZ113" s="1924"/>
      <c r="CA113" s="1935"/>
      <c r="CB113" s="2643"/>
      <c r="CC113" s="2643"/>
      <c r="CD113" s="1924"/>
      <c r="CE113" s="2643"/>
      <c r="CF113" s="2643"/>
      <c r="CG113" s="2643"/>
      <c r="CH113" s="1924"/>
      <c r="CI113" s="2643"/>
      <c r="CJ113" s="2643"/>
      <c r="CK113" s="2643"/>
      <c r="CL113" s="1924"/>
      <c r="CM113" s="2643"/>
      <c r="CN113" s="2643"/>
      <c r="CO113" s="2643"/>
      <c r="CP113" s="1924"/>
      <c r="CQ113" s="2643"/>
      <c r="CR113" s="2643"/>
      <c r="CS113" s="2643"/>
      <c r="CT113" s="1924"/>
    </row>
    <row r="114" spans="1:16384" hidden="1" outlineLevel="2">
      <c r="A114" s="2645" t="s">
        <v>759</v>
      </c>
      <c r="B114" s="1916"/>
      <c r="C114" s="1916"/>
      <c r="D114" s="1916"/>
      <c r="E114" s="1916"/>
      <c r="F114" s="1916"/>
      <c r="G114" s="1916"/>
      <c r="H114" s="1916"/>
      <c r="I114" s="1916"/>
      <c r="J114" s="1916"/>
      <c r="K114" s="1916"/>
      <c r="L114" s="1916"/>
      <c r="M114" s="1916"/>
      <c r="N114" s="1916"/>
      <c r="O114" s="1916"/>
      <c r="P114" s="1916"/>
      <c r="Q114" s="1916"/>
      <c r="R114" s="1916"/>
      <c r="S114" s="1916"/>
      <c r="T114" s="1916"/>
      <c r="U114" s="1916"/>
      <c r="V114" s="1916"/>
      <c r="W114" s="1916"/>
      <c r="X114" s="1916"/>
      <c r="Y114" s="1916"/>
      <c r="Z114" s="1916"/>
      <c r="AA114" s="1916"/>
      <c r="AB114" s="1916"/>
      <c r="AC114" s="1916"/>
      <c r="AD114" s="1916"/>
      <c r="AE114" s="1916"/>
      <c r="AF114" s="1916"/>
      <c r="AG114" s="3920"/>
      <c r="AH114" s="3904"/>
      <c r="AI114" s="1916"/>
      <c r="AJ114" s="1916"/>
      <c r="AK114" s="1916"/>
      <c r="AL114" s="1916"/>
      <c r="AM114" s="1916"/>
      <c r="AN114" s="1916"/>
      <c r="AO114" s="1916"/>
      <c r="AP114" s="1916"/>
      <c r="AQ114" s="1916"/>
      <c r="AR114" s="1916"/>
      <c r="AS114" s="1916"/>
      <c r="AT114" s="1916"/>
      <c r="AU114" s="1916"/>
      <c r="AV114" s="1916"/>
      <c r="AW114" s="1916"/>
      <c r="AX114" s="1916"/>
      <c r="AY114" s="1916"/>
      <c r="AZ114" s="1916"/>
      <c r="BA114" s="1916"/>
      <c r="BB114" s="1916"/>
      <c r="BC114" s="1935"/>
      <c r="BD114" s="2643"/>
      <c r="BE114" s="2643"/>
      <c r="BF114" s="2643"/>
      <c r="BG114" s="1935"/>
      <c r="BH114" s="2643"/>
      <c r="BI114" s="2643"/>
      <c r="BJ114" s="2643"/>
      <c r="BK114" s="1955">
        <f t="shared" ref="BK114:CG115" si="233">BK$111-(((BK$100-BK98+BG98)/(BG$100))-1)</f>
        <v>-7.4067679558010968E-2</v>
      </c>
      <c r="BL114" s="1956">
        <f t="shared" si="233"/>
        <v>-6.4266241090429665E-2</v>
      </c>
      <c r="BM114" s="1956">
        <f t="shared" si="233"/>
        <v>-6.3592363538585661E-2</v>
      </c>
      <c r="BN114" s="1956">
        <f t="shared" si="233"/>
        <v>-6.1375613301835386E-2</v>
      </c>
      <c r="BO114" s="1955">
        <f t="shared" si="233"/>
        <v>-5.8054488937648641E-2</v>
      </c>
      <c r="BP114" s="1956">
        <f t="shared" si="233"/>
        <v>-5.5743792063123632E-2</v>
      </c>
      <c r="BQ114" s="1956">
        <f t="shared" si="233"/>
        <v>-5.3204977694294442E-2</v>
      </c>
      <c r="BR114" s="1961">
        <f t="shared" si="233"/>
        <v>-4.8960365418470708E-2</v>
      </c>
      <c r="BS114" s="1956">
        <f t="shared" si="233"/>
        <v>-4.6687757645479722E-2</v>
      </c>
      <c r="BT114" s="1956">
        <f t="shared" si="233"/>
        <v>-4.4129082426127453E-2</v>
      </c>
      <c r="BU114" s="1956">
        <f t="shared" si="233"/>
        <v>-4.1850652536551847E-2</v>
      </c>
      <c r="BV114" s="1956">
        <f t="shared" si="233"/>
        <v>-4.1156126482213451E-2</v>
      </c>
      <c r="BW114" s="1955">
        <f t="shared" si="233"/>
        <v>-4.083254681833981E-2</v>
      </c>
      <c r="BX114" s="1956">
        <f t="shared" si="233"/>
        <v>-4.107456690936484E-2</v>
      </c>
      <c r="BY114" s="1956">
        <f t="shared" si="233"/>
        <v>-4.0485829959513997E-2</v>
      </c>
      <c r="BZ114" s="1961">
        <f t="shared" si="233"/>
        <v>-3.8210386695235132E-2</v>
      </c>
      <c r="CA114" s="1955">
        <f t="shared" si="233"/>
        <v>-3.4859841872882269E-2</v>
      </c>
      <c r="CB114" s="1956">
        <f t="shared" si="233"/>
        <v>-3.2432432432432212E-2</v>
      </c>
      <c r="CC114" s="1956">
        <f t="shared" si="233"/>
        <v>-3.2107689084433177E-2</v>
      </c>
      <c r="CD114" s="1961">
        <f t="shared" si="233"/>
        <v>-3.2011793818775391E-2</v>
      </c>
      <c r="CE114" s="1956">
        <f t="shared" si="233"/>
        <v>-3.2314272136860445E-2</v>
      </c>
      <c r="CF114" s="1956">
        <f t="shared" si="233"/>
        <v>-3.1872934655154062E-2</v>
      </c>
      <c r="CG114" s="1956">
        <f t="shared" si="233"/>
        <v>-3.3440860215053769E-2</v>
      </c>
      <c r="CH114" s="1961">
        <f t="shared" ref="CH114:CJ115" si="234">CH$111-(((CH$100-CH98+CD98)/(CD$100))-1)</f>
        <v>-3.4965034965035002E-2</v>
      </c>
      <c r="CI114" s="1956">
        <f t="shared" si="234"/>
        <v>-3.5840539511611369E-2</v>
      </c>
      <c r="CJ114" s="1956">
        <f t="shared" si="234"/>
        <v>-3.820607125212705E-2</v>
      </c>
      <c r="CK114" s="1956">
        <f t="shared" ref="CK114:CM115" si="235">CK$111-(((CK$100-CK98+CG98)/(CG$100))-1)</f>
        <v>-3.8029578561103228E-2</v>
      </c>
      <c r="CL114" s="1961">
        <f>CL$111-(((CL$100-CL98+CH98)/(CH$100))-1)</f>
        <v>-3.6974601033940124E-2</v>
      </c>
      <c r="CM114" s="1956">
        <f t="shared" si="235"/>
        <v>-3.7697401935812502E-2</v>
      </c>
      <c r="CN114" s="1956">
        <f>CN$111-(((CN$100-CN98+CJ98)/(CJ$100))-1)</f>
        <v>-3.9073722921335374E-2</v>
      </c>
      <c r="CO114" s="1956">
        <f>CO$111-(((CO$100-CO98+CK98)/(CK$100))-1)</f>
        <v>-4.2197776613701055E-2</v>
      </c>
      <c r="CP114" s="1961">
        <f t="shared" ref="CP114:CP115" si="236">CP$111-(((CP$100-CP98+CL98)/(CL$100))-1)</f>
        <v>-4.7431758144995562E-2</v>
      </c>
      <c r="CQ114" s="1956">
        <f t="shared" ref="CQ114:CT115" si="237">CQ$111-(((CQ$100-CQ98+CM98)/(CM$100))-1)</f>
        <v>-4.986382474837181E-2</v>
      </c>
      <c r="CR114" s="1956">
        <f t="shared" si="237"/>
        <v>-4.6597192940184273E-2</v>
      </c>
      <c r="CS114" s="1956">
        <f t="shared" si="237"/>
        <v>-4.0634670927302885E-2</v>
      </c>
      <c r="CT114" s="1961">
        <f t="shared" si="237"/>
        <v>-3.3178524836929291E-2</v>
      </c>
    </row>
    <row r="115" spans="1:16384" hidden="1" outlineLevel="2">
      <c r="A115" s="1935" t="s">
        <v>740</v>
      </c>
      <c r="B115" s="1916"/>
      <c r="C115" s="1916"/>
      <c r="D115" s="1916"/>
      <c r="E115" s="1916"/>
      <c r="F115" s="1916"/>
      <c r="G115" s="1916"/>
      <c r="H115" s="1916"/>
      <c r="I115" s="1916"/>
      <c r="J115" s="1916"/>
      <c r="K115" s="1916"/>
      <c r="L115" s="1916"/>
      <c r="M115" s="1916"/>
      <c r="N115" s="1916"/>
      <c r="O115" s="1916"/>
      <c r="P115" s="1916"/>
      <c r="Q115" s="1916"/>
      <c r="R115" s="1916"/>
      <c r="S115" s="1916"/>
      <c r="T115" s="1916"/>
      <c r="U115" s="1916"/>
      <c r="V115" s="1916"/>
      <c r="W115" s="1916"/>
      <c r="X115" s="1916"/>
      <c r="Y115" s="1916"/>
      <c r="Z115" s="1916"/>
      <c r="AA115" s="1916"/>
      <c r="AB115" s="1916"/>
      <c r="AC115" s="1916"/>
      <c r="AD115" s="1916"/>
      <c r="AE115" s="1916"/>
      <c r="AF115" s="1916"/>
      <c r="AG115" s="3920"/>
      <c r="AH115" s="3904"/>
      <c r="AI115" s="1916"/>
      <c r="AJ115" s="1916"/>
      <c r="AK115" s="1916"/>
      <c r="AL115" s="1916"/>
      <c r="AM115" s="1916"/>
      <c r="AN115" s="1916"/>
      <c r="AO115" s="1916"/>
      <c r="AP115" s="1916"/>
      <c r="AQ115" s="1916"/>
      <c r="AR115" s="1916"/>
      <c r="AS115" s="1916"/>
      <c r="AT115" s="1916"/>
      <c r="AU115" s="1916"/>
      <c r="AV115" s="1916"/>
      <c r="AW115" s="1916"/>
      <c r="AX115" s="1916"/>
      <c r="AY115" s="1916"/>
      <c r="AZ115" s="1916"/>
      <c r="BA115" s="1916"/>
      <c r="BB115" s="1916"/>
      <c r="BC115" s="1935"/>
      <c r="BD115" s="2643"/>
      <c r="BE115" s="2643"/>
      <c r="BF115" s="2643"/>
      <c r="BG115" s="1935"/>
      <c r="BH115" s="2643"/>
      <c r="BI115" s="2643"/>
      <c r="BJ115" s="2643"/>
      <c r="BK115" s="1955">
        <f t="shared" si="233"/>
        <v>1.8301104972375692E-2</v>
      </c>
      <c r="BL115" s="1956">
        <f t="shared" si="233"/>
        <v>1.7701277066153986E-2</v>
      </c>
      <c r="BM115" s="1956">
        <f t="shared" si="233"/>
        <v>1.7925965761405371E-2</v>
      </c>
      <c r="BN115" s="1956">
        <f t="shared" si="233"/>
        <v>1.6172996547337726E-2</v>
      </c>
      <c r="BO115" s="1955">
        <f t="shared" si="233"/>
        <v>1.1702322179557467E-2</v>
      </c>
      <c r="BP115" s="1956">
        <f t="shared" si="233"/>
        <v>1.076815966581568E-2</v>
      </c>
      <c r="BQ115" s="1956">
        <f t="shared" si="233"/>
        <v>1.0331063629960169E-2</v>
      </c>
      <c r="BR115" s="1961">
        <f t="shared" si="233"/>
        <v>1.1990293571870314E-2</v>
      </c>
      <c r="BS115" s="1956">
        <f t="shared" si="233"/>
        <v>1.164797238999149E-2</v>
      </c>
      <c r="BT115" s="1956">
        <f t="shared" si="233"/>
        <v>1.2004276827371707E-2</v>
      </c>
      <c r="BU115" s="1956">
        <f t="shared" si="233"/>
        <v>1.1333529584927837E-2</v>
      </c>
      <c r="BV115" s="1956">
        <f t="shared" si="233"/>
        <v>9.6343873517786838E-3</v>
      </c>
      <c r="BW115" s="1955">
        <f t="shared" si="233"/>
        <v>8.39501266703091E-3</v>
      </c>
      <c r="BX115" s="1956">
        <f t="shared" si="233"/>
        <v>7.1805171980917626E-3</v>
      </c>
      <c r="BY115" s="1956">
        <f t="shared" si="233"/>
        <v>6.6801619433198844E-3</v>
      </c>
      <c r="BZ115" s="1961">
        <f t="shared" si="233"/>
        <v>7.142128354249655E-3</v>
      </c>
      <c r="CA115" s="1955">
        <f t="shared" si="233"/>
        <v>7.1875962624500245E-3</v>
      </c>
      <c r="CB115" s="1956">
        <f t="shared" si="233"/>
        <v>7.5883575883576304E-3</v>
      </c>
      <c r="CC115" s="1956">
        <f t="shared" si="233"/>
        <v>6.3377330819190947E-3</v>
      </c>
      <c r="CD115" s="1961">
        <f t="shared" si="233"/>
        <v>4.7701784868109387E-3</v>
      </c>
      <c r="CE115" s="1956">
        <f t="shared" si="233"/>
        <v>3.1680658957707886E-3</v>
      </c>
      <c r="CF115" s="1956">
        <f t="shared" si="233"/>
        <v>2.8248587570621764E-3</v>
      </c>
      <c r="CG115" s="1956">
        <f t="shared" si="233"/>
        <v>4.3010752688177334E-4</v>
      </c>
      <c r="CH115" s="1961">
        <f t="shared" si="234"/>
        <v>-1.8186148217107512E-3</v>
      </c>
      <c r="CI115" s="1956">
        <f t="shared" si="234"/>
        <v>-3.317561320498208E-3</v>
      </c>
      <c r="CJ115" s="1956">
        <f t="shared" si="234"/>
        <v>-6.4774661030904124E-3</v>
      </c>
      <c r="CK115" s="1956">
        <f t="shared" si="235"/>
        <v>-6.7274546869787732E-3</v>
      </c>
      <c r="CL115" s="1961">
        <f>CL$111-(((CL$100-CL99+CH99)/(CH$100))-1)</f>
        <v>-5.787817487075686E-3</v>
      </c>
      <c r="CM115" s="1956">
        <f t="shared" si="235"/>
        <v>-6.2829003226354541E-3</v>
      </c>
      <c r="CN115" s="1956">
        <f>CN$111-(((CN$100-CN99+CJ99)/(CJ$100))-1)</f>
        <v>-7.0102855829454747E-3</v>
      </c>
      <c r="CO115" s="1956">
        <f>CO$111-(((CO$100-CO99+CK99)/(CK$100))-1)</f>
        <v>-1.0651300855596291E-2</v>
      </c>
      <c r="CP115" s="1961">
        <f t="shared" si="236"/>
        <v>-1.6612855884942879E-2</v>
      </c>
      <c r="CQ115" s="1956">
        <f t="shared" si="237"/>
        <v>-1.9123741859088383E-2</v>
      </c>
      <c r="CR115" s="1956">
        <f t="shared" si="237"/>
        <v>-1.933618456719477E-2</v>
      </c>
      <c r="CS115" s="1956">
        <f t="shared" si="237"/>
        <v>-1.6591900694401751E-2</v>
      </c>
      <c r="CT115" s="1961">
        <f t="shared" si="237"/>
        <v>-1.1603110888108392E-2</v>
      </c>
    </row>
    <row r="116" spans="1:16384" hidden="1" outlineLevel="2">
      <c r="A116" s="2646" t="s">
        <v>795</v>
      </c>
      <c r="B116" s="1916"/>
      <c r="C116" s="1916"/>
      <c r="D116" s="1916"/>
      <c r="E116" s="1916"/>
      <c r="F116" s="1916"/>
      <c r="G116" s="1916"/>
      <c r="H116" s="1916"/>
      <c r="I116" s="1916"/>
      <c r="J116" s="1916"/>
      <c r="K116" s="1916"/>
      <c r="L116" s="1916"/>
      <c r="M116" s="1916"/>
      <c r="N116" s="1916"/>
      <c r="O116" s="1916"/>
      <c r="P116" s="1916"/>
      <c r="Q116" s="1916"/>
      <c r="R116" s="1916"/>
      <c r="S116" s="1916"/>
      <c r="T116" s="1916"/>
      <c r="U116" s="1916"/>
      <c r="V116" s="1916"/>
      <c r="W116" s="1916"/>
      <c r="X116" s="1916"/>
      <c r="Y116" s="1916"/>
      <c r="Z116" s="1916"/>
      <c r="AA116" s="1916"/>
      <c r="AB116" s="1916"/>
      <c r="AC116" s="1916"/>
      <c r="AD116" s="1916"/>
      <c r="AE116" s="1916"/>
      <c r="AF116" s="1916"/>
      <c r="AG116" s="3920"/>
      <c r="AH116" s="3904"/>
      <c r="AI116" s="1916"/>
      <c r="AJ116" s="1916"/>
      <c r="AK116" s="1916"/>
      <c r="AL116" s="1916"/>
      <c r="AM116" s="1916"/>
      <c r="AN116" s="1916"/>
      <c r="AO116" s="1916"/>
      <c r="AP116" s="1916"/>
      <c r="AQ116" s="1916"/>
      <c r="AR116" s="1916"/>
      <c r="AS116" s="1916"/>
      <c r="AT116" s="1916"/>
      <c r="AU116" s="1916"/>
      <c r="AV116" s="1916"/>
      <c r="AW116" s="1916"/>
      <c r="AX116" s="1916"/>
      <c r="AY116" s="1916"/>
      <c r="AZ116" s="1916"/>
      <c r="BA116" s="1916"/>
      <c r="BB116" s="1916"/>
      <c r="BC116" s="1935"/>
      <c r="BD116" s="2643"/>
      <c r="BE116" s="2643"/>
      <c r="BF116" s="2643"/>
      <c r="BG116" s="1935"/>
      <c r="BH116" s="2643"/>
      <c r="BI116" s="2643"/>
      <c r="BJ116" s="2643"/>
      <c r="BK116" s="1954">
        <f t="shared" ref="BK116:CE116" si="238">+BK111-BK114-BK115</f>
        <v>-1.1102230246251565E-16</v>
      </c>
      <c r="BL116" s="2032">
        <f t="shared" si="238"/>
        <v>0</v>
      </c>
      <c r="BM116" s="2032">
        <f t="shared" si="238"/>
        <v>1.1102230246251565E-16</v>
      </c>
      <c r="BN116" s="2032">
        <f t="shared" si="238"/>
        <v>1.1102230246251565E-16</v>
      </c>
      <c r="BO116" s="1954">
        <f t="shared" si="238"/>
        <v>1.1102230246251565E-16</v>
      </c>
      <c r="BP116" s="2032">
        <f t="shared" si="238"/>
        <v>1.1102230246251565E-16</v>
      </c>
      <c r="BQ116" s="2032">
        <f t="shared" si="238"/>
        <v>-1.1102230246251565E-16</v>
      </c>
      <c r="BR116" s="1960">
        <f t="shared" si="238"/>
        <v>0</v>
      </c>
      <c r="BS116" s="2032">
        <f t="shared" si="238"/>
        <v>-1.1102230246251565E-16</v>
      </c>
      <c r="BT116" s="2032">
        <f t="shared" si="238"/>
        <v>-1.1102230246251565E-16</v>
      </c>
      <c r="BU116" s="2032">
        <f t="shared" si="238"/>
        <v>-1.1102230246251565E-16</v>
      </c>
      <c r="BV116" s="2032">
        <f t="shared" si="238"/>
        <v>1.1102230246251565E-16</v>
      </c>
      <c r="BW116" s="1954">
        <f t="shared" si="238"/>
        <v>0</v>
      </c>
      <c r="BX116" s="2032">
        <f t="shared" si="238"/>
        <v>1.1102230246251565E-16</v>
      </c>
      <c r="BY116" s="2032">
        <f t="shared" si="238"/>
        <v>-2.2204460492503131E-16</v>
      </c>
      <c r="BZ116" s="1960">
        <f t="shared" si="238"/>
        <v>0</v>
      </c>
      <c r="CA116" s="1954">
        <f t="shared" si="238"/>
        <v>-1.1102230246251565E-16</v>
      </c>
      <c r="CB116" s="2032">
        <f t="shared" si="238"/>
        <v>-1.1102230246251565E-16</v>
      </c>
      <c r="CC116" s="2032">
        <f t="shared" si="238"/>
        <v>1.1102230246251565E-16</v>
      </c>
      <c r="CD116" s="1960">
        <f t="shared" si="238"/>
        <v>-1.1102230246251565E-16</v>
      </c>
      <c r="CE116" s="2032">
        <f t="shared" si="238"/>
        <v>-1.1102230246251565E-16</v>
      </c>
      <c r="CF116" s="2032">
        <f>+CF111-CF114-CF115</f>
        <v>-1.1102230246251565E-16</v>
      </c>
      <c r="CG116" s="2032">
        <f>+CG111-CG114-CG115</f>
        <v>-2.2204460492503131E-16</v>
      </c>
      <c r="CH116" s="1960">
        <f>+CH111-CH114-CH115</f>
        <v>0</v>
      </c>
      <c r="CI116" s="2032">
        <f t="shared" ref="CI116:CM116" si="239">+CI111-CI114-CI115</f>
        <v>0</v>
      </c>
      <c r="CJ116" s="2032">
        <f t="shared" si="239"/>
        <v>-2.2204460492503131E-16</v>
      </c>
      <c r="CK116" s="2032">
        <f t="shared" si="239"/>
        <v>3.3306690738754696E-16</v>
      </c>
      <c r="CL116" s="1960">
        <f t="shared" si="239"/>
        <v>-1.1102230246251565E-16</v>
      </c>
      <c r="CM116" s="2032">
        <f t="shared" si="239"/>
        <v>0</v>
      </c>
      <c r="CN116" s="2032">
        <f>+CN111-CN114-CN115</f>
        <v>0</v>
      </c>
      <c r="CO116" s="2032">
        <f>+CO111-CO114-CO115</f>
        <v>-2.2204460492503131E-16</v>
      </c>
      <c r="CP116" s="1960">
        <f t="shared" ref="CP116" si="240">+CP111-CP114-CP115</f>
        <v>0</v>
      </c>
      <c r="CQ116" s="2032">
        <f>+CQ111-CQ114-CQ115</f>
        <v>1.1102230246251565E-16</v>
      </c>
      <c r="CR116" s="2032">
        <f>+CR111-CR114-CR115</f>
        <v>1.1102230246251565E-16</v>
      </c>
      <c r="CS116" s="2032">
        <f>+CS111-CS114-CS115</f>
        <v>0</v>
      </c>
      <c r="CT116" s="1960">
        <f>+CT111-CT114-CT115</f>
        <v>1.1102230246251565E-16</v>
      </c>
    </row>
    <row r="117" spans="1:16384" outlineLevel="1" collapsed="1">
      <c r="A117" s="2092" t="s">
        <v>443</v>
      </c>
      <c r="B117" s="3925"/>
      <c r="C117" s="3925"/>
      <c r="D117" s="3925"/>
      <c r="E117" s="3925"/>
      <c r="F117" s="3925"/>
      <c r="G117" s="3925"/>
      <c r="H117" s="3925"/>
      <c r="I117" s="3925"/>
      <c r="J117" s="3925"/>
      <c r="K117" s="3925"/>
      <c r="L117" s="3925"/>
      <c r="M117" s="3925"/>
      <c r="N117" s="3925"/>
      <c r="O117" s="3925"/>
      <c r="P117" s="3925"/>
      <c r="Q117" s="3925"/>
      <c r="R117" s="3925"/>
      <c r="S117" s="3925"/>
      <c r="T117" s="3925"/>
      <c r="U117" s="3925"/>
      <c r="V117" s="3925"/>
      <c r="W117" s="3925"/>
      <c r="X117" s="3925"/>
      <c r="Y117" s="3925"/>
      <c r="Z117" s="3925"/>
      <c r="AA117" s="3925"/>
      <c r="AB117" s="3925"/>
      <c r="AC117" s="3925"/>
      <c r="AD117" s="3925"/>
      <c r="AE117" s="3925"/>
      <c r="AF117" s="3925"/>
      <c r="AG117" s="3926"/>
      <c r="AH117" s="3927"/>
      <c r="AI117" s="3925"/>
      <c r="AJ117" s="3925"/>
      <c r="AK117" s="3925"/>
      <c r="AL117" s="3925"/>
      <c r="AM117" s="3925"/>
      <c r="AN117" s="3925"/>
      <c r="AO117" s="3925"/>
      <c r="AP117" s="3925"/>
      <c r="AQ117" s="3925"/>
      <c r="AR117" s="3925"/>
      <c r="AS117" s="3925"/>
      <c r="AT117" s="3925"/>
      <c r="AU117" s="3925"/>
      <c r="AV117" s="3925"/>
      <c r="AW117" s="3925"/>
      <c r="AX117" s="3925"/>
      <c r="AY117" s="3925"/>
      <c r="AZ117" s="3925"/>
      <c r="BA117" s="3925"/>
      <c r="BB117" s="3925"/>
      <c r="BC117" s="3928"/>
      <c r="BD117" s="3929"/>
      <c r="BE117" s="3929"/>
      <c r="BF117" s="3929"/>
      <c r="BG117" s="3928"/>
      <c r="BH117" s="3929"/>
      <c r="BI117" s="3929"/>
      <c r="BJ117" s="3930"/>
      <c r="BK117" s="3925"/>
      <c r="BL117" s="3925"/>
      <c r="BM117" s="3925"/>
      <c r="BN117" s="3925"/>
      <c r="BO117" s="3931"/>
      <c r="BP117" s="3925"/>
      <c r="BQ117" s="3925"/>
      <c r="BR117" s="3932"/>
      <c r="BS117" s="3931"/>
      <c r="BT117" s="3925"/>
      <c r="BU117" s="3925"/>
      <c r="BV117" s="3925"/>
      <c r="BW117" s="3931"/>
      <c r="BX117" s="3925"/>
      <c r="BY117" s="3925"/>
      <c r="BZ117" s="3932"/>
      <c r="CA117" s="3931"/>
      <c r="CB117" s="3925"/>
      <c r="CC117" s="3925"/>
      <c r="CD117" s="3932"/>
      <c r="CE117" s="3925"/>
      <c r="CF117" s="3925"/>
      <c r="CG117" s="3925"/>
      <c r="CH117" s="3932"/>
      <c r="CI117" s="3925"/>
      <c r="CJ117" s="3925"/>
      <c r="CK117" s="3925"/>
      <c r="CL117" s="3932"/>
      <c r="CM117" s="3925"/>
      <c r="CN117" s="3925"/>
      <c r="CO117" s="3925"/>
      <c r="CP117" s="3932"/>
      <c r="CQ117" s="3925"/>
      <c r="CR117" s="3925"/>
      <c r="CS117" s="3925"/>
      <c r="CT117" s="3932"/>
    </row>
    <row r="118" spans="1:16384" outlineLevel="1">
      <c r="A118" s="3933" t="s">
        <v>1660</v>
      </c>
      <c r="B118" s="3876"/>
      <c r="C118" s="3876"/>
      <c r="D118" s="3876"/>
      <c r="E118" s="3876"/>
      <c r="F118" s="3876"/>
      <c r="G118" s="3876"/>
      <c r="H118" s="3876"/>
      <c r="I118" s="3876"/>
      <c r="J118" s="3876"/>
      <c r="K118" s="3876"/>
      <c r="L118" s="3876"/>
      <c r="N118" s="3876"/>
      <c r="O118" s="1686">
        <f>+O154</f>
        <v>18095</v>
      </c>
      <c r="P118" s="1686">
        <f>+P154</f>
        <v>18027</v>
      </c>
      <c r="Q118" s="1686">
        <f>+Q154</f>
        <v>17900</v>
      </c>
      <c r="R118" s="1686">
        <f t="shared" ref="R118:AF118" si="241">+R154</f>
        <v>17470</v>
      </c>
      <c r="S118" s="1686">
        <f t="shared" si="241"/>
        <v>16297</v>
      </c>
      <c r="T118" s="1686">
        <f>+T154</f>
        <v>15769.312999999998</v>
      </c>
      <c r="U118" s="1686">
        <f t="shared" si="241"/>
        <v>15411.818115535565</v>
      </c>
      <c r="V118" s="1686">
        <f t="shared" si="241"/>
        <v>15065.560315915747</v>
      </c>
      <c r="W118" s="1686">
        <f t="shared" si="241"/>
        <v>14778.702842885672</v>
      </c>
      <c r="X118" s="1686">
        <f t="shared" si="241"/>
        <v>14545.778436884619</v>
      </c>
      <c r="Y118" s="1686">
        <f t="shared" si="241"/>
        <v>14361.943445609377</v>
      </c>
      <c r="Z118" s="1686">
        <f t="shared" si="241"/>
        <v>14222.907535158833</v>
      </c>
      <c r="AA118" s="1686">
        <f t="shared" si="241"/>
        <v>14124.871891664749</v>
      </c>
      <c r="AB118" s="1686">
        <f t="shared" si="241"/>
        <v>14064.474825984424</v>
      </c>
      <c r="AC118" s="1686">
        <f t="shared" si="241"/>
        <v>14038.743841557987</v>
      </c>
      <c r="AD118" s="1686">
        <f t="shared" si="241"/>
        <v>14045.053352311555</v>
      </c>
      <c r="AE118" s="1686">
        <f t="shared" si="241"/>
        <v>14081.087346477898</v>
      </c>
      <c r="AF118" s="1686">
        <f t="shared" si="241"/>
        <v>14144.806385947701</v>
      </c>
      <c r="AG118" s="3920"/>
      <c r="AH118" s="3921"/>
      <c r="AI118" s="3876"/>
      <c r="AJ118" s="3876"/>
      <c r="AK118" s="3876"/>
      <c r="AL118" s="3876"/>
      <c r="AM118" s="3876"/>
      <c r="AN118" s="3876"/>
      <c r="AO118" s="3876"/>
      <c r="AP118" s="3876"/>
      <c r="AQ118" s="3876"/>
      <c r="AR118" s="3876"/>
      <c r="AS118" s="3876"/>
      <c r="AT118" s="3876"/>
      <c r="AU118" s="3876"/>
      <c r="AV118" s="3876"/>
      <c r="AW118" s="3876"/>
      <c r="AX118" s="3876"/>
      <c r="AY118" s="3876"/>
      <c r="AZ118" s="3876"/>
      <c r="BA118" s="3876"/>
      <c r="BB118" s="3876"/>
      <c r="BC118" s="3934"/>
      <c r="BD118" s="3934"/>
      <c r="BE118" s="3934"/>
      <c r="BF118" s="3934"/>
      <c r="BG118" s="3934"/>
      <c r="BH118" s="3934"/>
      <c r="BI118" s="3934"/>
      <c r="BJ118" s="3934"/>
      <c r="BK118" s="3876"/>
      <c r="BL118" s="3876"/>
      <c r="BM118" s="3876"/>
      <c r="BN118" s="3876"/>
      <c r="BO118" s="3876"/>
      <c r="BP118" s="3876"/>
      <c r="BQ118" s="3876"/>
      <c r="BR118" s="3935"/>
      <c r="BS118" s="3876"/>
      <c r="BT118" s="3876"/>
      <c r="BU118" s="3876"/>
      <c r="BV118" s="3876"/>
      <c r="BW118" s="1686">
        <f t="shared" ref="BW118:CS118" si="242">+BW154</f>
        <v>4513</v>
      </c>
      <c r="BX118" s="1686">
        <f t="shared" si="242"/>
        <v>4525</v>
      </c>
      <c r="BY118" s="1686">
        <f t="shared" si="242"/>
        <v>4515</v>
      </c>
      <c r="BZ118" s="3936">
        <f t="shared" si="242"/>
        <v>4542</v>
      </c>
      <c r="CA118" s="1686">
        <f t="shared" si="242"/>
        <v>4538</v>
      </c>
      <c r="CB118" s="1686">
        <f t="shared" si="242"/>
        <v>4540</v>
      </c>
      <c r="CC118" s="1686">
        <f t="shared" si="242"/>
        <v>4513</v>
      </c>
      <c r="CD118" s="3936">
        <f t="shared" si="242"/>
        <v>4436</v>
      </c>
      <c r="CE118" s="1686">
        <f t="shared" si="242"/>
        <v>4451</v>
      </c>
      <c r="CF118" s="1686">
        <f t="shared" si="242"/>
        <v>4419</v>
      </c>
      <c r="CG118" s="1686">
        <f t="shared" si="242"/>
        <v>4554</v>
      </c>
      <c r="CH118" s="3936">
        <f t="shared" si="242"/>
        <v>4476</v>
      </c>
      <c r="CI118" s="1686">
        <f t="shared" si="242"/>
        <v>4401</v>
      </c>
      <c r="CJ118" s="1686">
        <f t="shared" si="242"/>
        <v>4398</v>
      </c>
      <c r="CK118" s="1686">
        <f t="shared" si="242"/>
        <v>4382</v>
      </c>
      <c r="CL118" s="3936">
        <f t="shared" si="242"/>
        <v>4289</v>
      </c>
      <c r="CM118" s="1686">
        <f t="shared" si="242"/>
        <v>4209</v>
      </c>
      <c r="CN118" s="1686">
        <f t="shared" si="242"/>
        <v>4090</v>
      </c>
      <c r="CO118" s="1686">
        <f t="shared" si="242"/>
        <v>4034</v>
      </c>
      <c r="CP118" s="3936">
        <f t="shared" ref="CP118" si="243">+CP154</f>
        <v>3964</v>
      </c>
      <c r="CQ118" s="1686">
        <f t="shared" si="242"/>
        <v>3994.67</v>
      </c>
      <c r="CR118" s="1686">
        <f t="shared" si="242"/>
        <v>3956.723</v>
      </c>
      <c r="CS118" s="1686">
        <f t="shared" si="242"/>
        <v>3936.3</v>
      </c>
      <c r="CT118" s="3936">
        <f>+CT154</f>
        <v>3881.62</v>
      </c>
    </row>
    <row r="119" spans="1:16384" outlineLevel="1">
      <c r="A119" s="3933" t="s">
        <v>1659</v>
      </c>
      <c r="B119" s="3876"/>
      <c r="C119" s="3876"/>
      <c r="D119" s="3876"/>
      <c r="E119" s="3876"/>
      <c r="F119" s="3876"/>
      <c r="G119" s="3876"/>
      <c r="H119" s="3876"/>
      <c r="I119" s="3876"/>
      <c r="J119" s="3876"/>
      <c r="K119" s="3876"/>
      <c r="L119" s="3876"/>
      <c r="N119" s="3876"/>
      <c r="O119" s="1686">
        <f>+O134</f>
        <v>7841.6319999999996</v>
      </c>
      <c r="P119" s="1686">
        <f>+P134</f>
        <v>8123</v>
      </c>
      <c r="Q119" s="1686">
        <f>+Q134</f>
        <v>8229</v>
      </c>
      <c r="R119" s="1686">
        <f t="shared" ref="R119:AF119" si="244">+R134</f>
        <v>8172</v>
      </c>
      <c r="S119" s="1686">
        <f t="shared" si="244"/>
        <v>8278</v>
      </c>
      <c r="T119" s="1686">
        <f ca="1">+T134</f>
        <v>8369.2365077361028</v>
      </c>
      <c r="U119" s="1686">
        <f t="shared" ca="1" si="244"/>
        <v>8484.5579014436789</v>
      </c>
      <c r="V119" s="1686">
        <f t="shared" ca="1" si="244"/>
        <v>8606.4404724277028</v>
      </c>
      <c r="W119" s="1686">
        <f t="shared" ca="1" si="244"/>
        <v>8735.2639265359267</v>
      </c>
      <c r="X119" s="1686">
        <f t="shared" ca="1" si="244"/>
        <v>8868.7907592845731</v>
      </c>
      <c r="Y119" s="1686">
        <f t="shared" ca="1" si="244"/>
        <v>8995.7295388168859</v>
      </c>
      <c r="Z119" s="1686">
        <f t="shared" ca="1" si="244"/>
        <v>9120.3528514697246</v>
      </c>
      <c r="AA119" s="1686">
        <f t="shared" ca="1" si="244"/>
        <v>9248.4804270401837</v>
      </c>
      <c r="AB119" s="1686">
        <f t="shared" ca="1" si="244"/>
        <v>9386.3220710917358</v>
      </c>
      <c r="AC119" s="1686">
        <f t="shared" ca="1" si="244"/>
        <v>9529.1814577688783</v>
      </c>
      <c r="AD119" s="1686">
        <f t="shared" ca="1" si="244"/>
        <v>9677.1877567093306</v>
      </c>
      <c r="AE119" s="1686">
        <f t="shared" ca="1" si="244"/>
        <v>9830.4734627104626</v>
      </c>
      <c r="AF119" s="1686">
        <f t="shared" ca="1" si="244"/>
        <v>9989.1744813274836</v>
      </c>
      <c r="AG119" s="3920"/>
      <c r="AH119" s="3921"/>
      <c r="AI119" s="3876"/>
      <c r="AJ119" s="3876"/>
      <c r="AK119" s="3876"/>
      <c r="AL119" s="3876"/>
      <c r="AM119" s="3876"/>
      <c r="AN119" s="3876"/>
      <c r="AO119" s="3876"/>
      <c r="AP119" s="3876"/>
      <c r="AQ119" s="3876"/>
      <c r="AR119" s="3876"/>
      <c r="AS119" s="3876"/>
      <c r="AT119" s="3876"/>
      <c r="AU119" s="3876"/>
      <c r="AV119" s="3876"/>
      <c r="AW119" s="3876"/>
      <c r="AX119" s="3876"/>
      <c r="AY119" s="3876"/>
      <c r="AZ119" s="3876"/>
      <c r="BA119" s="3876"/>
      <c r="BB119" s="3876"/>
      <c r="BC119" s="3934"/>
      <c r="BD119" s="3934"/>
      <c r="BE119" s="3934"/>
      <c r="BF119" s="3934"/>
      <c r="BG119" s="3934"/>
      <c r="BH119" s="3934"/>
      <c r="BI119" s="3934"/>
      <c r="BJ119" s="3934"/>
      <c r="BK119" s="3876"/>
      <c r="BL119" s="3876"/>
      <c r="BM119" s="3876"/>
      <c r="BN119" s="3876"/>
      <c r="BO119" s="3876"/>
      <c r="BP119" s="3876"/>
      <c r="BQ119" s="3876"/>
      <c r="BR119" s="3935"/>
      <c r="BS119" s="3876"/>
      <c r="BT119" s="3876"/>
      <c r="BU119" s="3876"/>
      <c r="BV119" s="3876"/>
      <c r="BW119" s="1686">
        <f>'LVLT Rev Build'!CC29</f>
        <v>1951.4590000000001</v>
      </c>
      <c r="BX119" s="1686">
        <f>'LVLT Rev Build'!CD29</f>
        <v>1947.7329999999999</v>
      </c>
      <c r="BY119" s="1686">
        <f>'LVLT Rev Build'!CE29</f>
        <v>1955.44</v>
      </c>
      <c r="BZ119" s="3936">
        <f>'LVLT Rev Build'!CF29</f>
        <v>1987</v>
      </c>
      <c r="CA119" s="1686">
        <f>'LVLT Rev Build'!CG29</f>
        <v>2003</v>
      </c>
      <c r="CB119" s="1686">
        <f>'LVLT Rev Build'!CH29</f>
        <v>2030</v>
      </c>
      <c r="CC119" s="1686">
        <f>'LVLT Rev Build'!CI29</f>
        <v>2038</v>
      </c>
      <c r="CD119" s="3936">
        <f>'LVLT Rev Build'!CJ29</f>
        <v>2052</v>
      </c>
      <c r="CE119" s="1686">
        <f>'LVLT Rev Build'!CK29</f>
        <v>2053</v>
      </c>
      <c r="CF119" s="1686">
        <f>'LVLT Rev Build'!CL29</f>
        <v>2061</v>
      </c>
      <c r="CG119" s="1686">
        <f>'LVLT Rev Build'!CM29</f>
        <v>2062</v>
      </c>
      <c r="CH119" s="3936">
        <f>'LVLT Rev Build'!CN29</f>
        <v>2053</v>
      </c>
      <c r="CI119" s="1686">
        <f>'LVLT Rev Build'!CO29</f>
        <v>2051</v>
      </c>
      <c r="CJ119" s="1686">
        <f>'LVLT Rev Build'!CP29</f>
        <v>2056</v>
      </c>
      <c r="CK119" s="1686">
        <f>'LVLT Rev Build'!CQ29</f>
        <v>2033</v>
      </c>
      <c r="CL119" s="3936">
        <f>'LVLT Rev Build'!CR29</f>
        <v>2032</v>
      </c>
      <c r="CM119" s="1686">
        <f>'LVLT Rev Build'!CS29</f>
        <v>2048</v>
      </c>
      <c r="CN119" s="1686">
        <f>'LVLT Rev Build'!CT29</f>
        <v>2061</v>
      </c>
      <c r="CO119" s="1686">
        <f>'LVLT Rev Build'!CU29</f>
        <v>2059</v>
      </c>
      <c r="CP119" s="3936">
        <f>'LVLT Rev Build'!CV29</f>
        <v>2110</v>
      </c>
      <c r="CQ119" s="1686">
        <f ca="1">'LVLT Rev Build'!CW29</f>
        <v>2057.038942585059</v>
      </c>
      <c r="CR119" s="1686">
        <f ca="1">'LVLT Rev Build'!CX29</f>
        <v>2067.7923001728745</v>
      </c>
      <c r="CS119" s="1686">
        <f ca="1">'LVLT Rev Build'!CY29</f>
        <v>2089.3115641815434</v>
      </c>
      <c r="CT119" s="3936">
        <f ca="1">'LVLT Rev Build'!CZ29</f>
        <v>2155.0937007966263</v>
      </c>
    </row>
    <row r="120" spans="1:16384" outlineLevel="1">
      <c r="A120" s="3933" t="s">
        <v>1780</v>
      </c>
      <c r="B120" s="3876"/>
      <c r="C120" s="3876"/>
      <c r="D120" s="3876"/>
      <c r="E120" s="3876"/>
      <c r="F120" s="3876"/>
      <c r="G120" s="3876"/>
      <c r="H120" s="3876"/>
      <c r="I120" s="3876"/>
      <c r="J120" s="3876"/>
      <c r="K120" s="3876"/>
      <c r="L120" s="3876"/>
      <c r="N120" s="3876"/>
      <c r="O120" s="1686"/>
      <c r="P120" s="1686"/>
      <c r="Q120" s="1686"/>
      <c r="R120" s="1686"/>
      <c r="S120" s="1686"/>
      <c r="T120" s="1686">
        <f>SUM(CQ120:CT120)</f>
        <v>-386.66666666666669</v>
      </c>
      <c r="U120" s="1686">
        <f>+T120</f>
        <v>-386.66666666666669</v>
      </c>
      <c r="V120" s="1686">
        <f t="shared" ref="V120:AF120" si="245">+U120</f>
        <v>-386.66666666666669</v>
      </c>
      <c r="W120" s="1686">
        <f t="shared" si="245"/>
        <v>-386.66666666666669</v>
      </c>
      <c r="X120" s="1686">
        <f t="shared" si="245"/>
        <v>-386.66666666666669</v>
      </c>
      <c r="Y120" s="1686">
        <f t="shared" si="245"/>
        <v>-386.66666666666669</v>
      </c>
      <c r="Z120" s="1686">
        <f t="shared" si="245"/>
        <v>-386.66666666666669</v>
      </c>
      <c r="AA120" s="1686">
        <f t="shared" si="245"/>
        <v>-386.66666666666669</v>
      </c>
      <c r="AB120" s="1686">
        <f t="shared" si="245"/>
        <v>-386.66666666666669</v>
      </c>
      <c r="AC120" s="1686">
        <f t="shared" si="245"/>
        <v>-386.66666666666669</v>
      </c>
      <c r="AD120" s="1686">
        <f t="shared" si="245"/>
        <v>-386.66666666666669</v>
      </c>
      <c r="AE120" s="1686">
        <f t="shared" si="245"/>
        <v>-386.66666666666669</v>
      </c>
      <c r="AF120" s="1686">
        <f t="shared" si="245"/>
        <v>-386.66666666666669</v>
      </c>
      <c r="AG120" s="3920"/>
      <c r="AH120" s="3921"/>
      <c r="AI120" s="3876"/>
      <c r="AJ120" s="3876"/>
      <c r="AK120" s="3876"/>
      <c r="AL120" s="3876"/>
      <c r="AM120" s="3876"/>
      <c r="AN120" s="3876"/>
      <c r="AO120" s="3876"/>
      <c r="AP120" s="3876"/>
      <c r="AQ120" s="3876"/>
      <c r="AR120" s="3876"/>
      <c r="AS120" s="3876"/>
      <c r="AT120" s="3876"/>
      <c r="AU120" s="3876"/>
      <c r="AV120" s="3876"/>
      <c r="AW120" s="3876"/>
      <c r="AX120" s="3876"/>
      <c r="AY120" s="3876"/>
      <c r="AZ120" s="3876"/>
      <c r="BA120" s="3876"/>
      <c r="BB120" s="3876"/>
      <c r="BC120" s="3934"/>
      <c r="BD120" s="3934"/>
      <c r="BE120" s="3934"/>
      <c r="BF120" s="3934"/>
      <c r="BG120" s="3934"/>
      <c r="BH120" s="3934"/>
      <c r="BI120" s="3934"/>
      <c r="BJ120" s="3934"/>
      <c r="BK120" s="3876"/>
      <c r="BL120" s="3876"/>
      <c r="BM120" s="3876"/>
      <c r="BN120" s="3876"/>
      <c r="BO120" s="3876"/>
      <c r="BP120" s="3876"/>
      <c r="BQ120" s="3876"/>
      <c r="BR120" s="3935"/>
      <c r="BS120" s="3876"/>
      <c r="BT120" s="3876"/>
      <c r="BU120" s="3876"/>
      <c r="BV120" s="3876"/>
      <c r="BW120" s="1686"/>
      <c r="BX120" s="1686"/>
      <c r="BY120" s="1686"/>
      <c r="BZ120" s="3936"/>
      <c r="CA120" s="1686"/>
      <c r="CB120" s="1686"/>
      <c r="CC120" s="1686"/>
      <c r="CD120" s="3936"/>
      <c r="CE120" s="1686"/>
      <c r="CF120" s="1686"/>
      <c r="CG120" s="1686"/>
      <c r="CH120" s="3936"/>
      <c r="CI120" s="1686"/>
      <c r="CJ120" s="1686"/>
      <c r="CK120" s="1686"/>
      <c r="CL120" s="3936"/>
      <c r="CM120" s="1686"/>
      <c r="CN120" s="1686"/>
      <c r="CO120" s="1686"/>
      <c r="CP120" s="3936"/>
      <c r="CQ120" s="1686">
        <f>+'LVLT pro forma model (full)'!$D$8/4</f>
        <v>-96.666666666666671</v>
      </c>
      <c r="CR120" s="1686">
        <f>+'LVLT pro forma model (full)'!$D$8/4</f>
        <v>-96.666666666666671</v>
      </c>
      <c r="CS120" s="1686">
        <f>+'LVLT pro forma model (full)'!$D$8/4</f>
        <v>-96.666666666666671</v>
      </c>
      <c r="CT120" s="3936">
        <f>+'LVLT pro forma model (full)'!$D$8/4</f>
        <v>-96.666666666666671</v>
      </c>
    </row>
    <row r="121" spans="1:16384" s="285" customFormat="1" outlineLevel="1">
      <c r="A121" s="2581" t="s">
        <v>876</v>
      </c>
      <c r="B121" s="115"/>
      <c r="C121" s="115"/>
      <c r="D121" s="115"/>
      <c r="E121" s="115"/>
      <c r="F121" s="115"/>
      <c r="G121" s="115"/>
      <c r="H121" s="115"/>
      <c r="I121" s="115"/>
      <c r="J121" s="115"/>
      <c r="K121" s="115"/>
      <c r="L121" s="115"/>
      <c r="M121" s="115"/>
      <c r="N121" s="115"/>
      <c r="O121" s="3626">
        <f>+O119+O118</f>
        <v>25936.631999999998</v>
      </c>
      <c r="P121" s="3626">
        <f>+P119+P118</f>
        <v>26150</v>
      </c>
      <c r="Q121" s="3626">
        <f t="shared" ref="Q121:CB121" si="246">SUM(Q118:Q120)</f>
        <v>26129</v>
      </c>
      <c r="R121" s="3626">
        <f t="shared" si="246"/>
        <v>25642</v>
      </c>
      <c r="S121" s="3626">
        <f t="shared" si="246"/>
        <v>24575</v>
      </c>
      <c r="T121" s="3626">
        <f ca="1">SUM(T118:T120)</f>
        <v>23751.882841069433</v>
      </c>
      <c r="U121" s="3626">
        <f t="shared" ca="1" si="246"/>
        <v>23509.709350312576</v>
      </c>
      <c r="V121" s="3626">
        <f t="shared" ca="1" si="246"/>
        <v>23285.334121676784</v>
      </c>
      <c r="W121" s="3626">
        <f t="shared" ca="1" si="246"/>
        <v>23127.300102754929</v>
      </c>
      <c r="X121" s="3626">
        <f t="shared" ca="1" si="246"/>
        <v>23027.902529502524</v>
      </c>
      <c r="Y121" s="3626">
        <f t="shared" ca="1" si="246"/>
        <v>22971.006317759595</v>
      </c>
      <c r="Z121" s="3626">
        <f t="shared" ca="1" si="246"/>
        <v>22956.593719961889</v>
      </c>
      <c r="AA121" s="3626">
        <f t="shared" ca="1" si="246"/>
        <v>22986.685652038264</v>
      </c>
      <c r="AB121" s="3626">
        <f t="shared" ca="1" si="246"/>
        <v>23064.13023040949</v>
      </c>
      <c r="AC121" s="3626">
        <f t="shared" ca="1" si="246"/>
        <v>23181.2586326602</v>
      </c>
      <c r="AD121" s="3626">
        <f t="shared" ca="1" si="246"/>
        <v>23335.574442354216</v>
      </c>
      <c r="AE121" s="3626">
        <f t="shared" ca="1" si="246"/>
        <v>23524.894142521694</v>
      </c>
      <c r="AF121" s="3626">
        <f t="shared" ca="1" si="246"/>
        <v>23747.314200608515</v>
      </c>
      <c r="AG121" s="2553"/>
      <c r="AH121" s="2714">
        <f t="shared" si="246"/>
        <v>0</v>
      </c>
      <c r="AI121" s="115">
        <f t="shared" si="246"/>
        <v>0</v>
      </c>
      <c r="AJ121" s="115">
        <f t="shared" si="246"/>
        <v>0</v>
      </c>
      <c r="AK121" s="115">
        <f t="shared" si="246"/>
        <v>0</v>
      </c>
      <c r="AL121" s="115">
        <f t="shared" si="246"/>
        <v>0</v>
      </c>
      <c r="AM121" s="115">
        <f t="shared" si="246"/>
        <v>0</v>
      </c>
      <c r="AN121" s="115">
        <f t="shared" si="246"/>
        <v>0</v>
      </c>
      <c r="AO121" s="115">
        <f t="shared" si="246"/>
        <v>0</v>
      </c>
      <c r="AP121" s="115">
        <f t="shared" si="246"/>
        <v>0</v>
      </c>
      <c r="AQ121" s="115">
        <f t="shared" si="246"/>
        <v>0</v>
      </c>
      <c r="AR121" s="115">
        <f t="shared" si="246"/>
        <v>0</v>
      </c>
      <c r="AS121" s="115">
        <f t="shared" si="246"/>
        <v>0</v>
      </c>
      <c r="AT121" s="115">
        <f t="shared" si="246"/>
        <v>0</v>
      </c>
      <c r="AU121" s="115">
        <f t="shared" si="246"/>
        <v>0</v>
      </c>
      <c r="AV121" s="115">
        <f t="shared" si="246"/>
        <v>0</v>
      </c>
      <c r="AW121" s="115">
        <f t="shared" si="246"/>
        <v>0</v>
      </c>
      <c r="AX121" s="115">
        <f t="shared" si="246"/>
        <v>0</v>
      </c>
      <c r="AY121" s="115">
        <f t="shared" si="246"/>
        <v>0</v>
      </c>
      <c r="AZ121" s="115">
        <f t="shared" si="246"/>
        <v>0</v>
      </c>
      <c r="BA121" s="115">
        <f t="shared" si="246"/>
        <v>0</v>
      </c>
      <c r="BB121" s="115">
        <f t="shared" si="246"/>
        <v>0</v>
      </c>
      <c r="BC121" s="2062">
        <f t="shared" si="246"/>
        <v>0</v>
      </c>
      <c r="BD121" s="2062">
        <f t="shared" si="246"/>
        <v>0</v>
      </c>
      <c r="BE121" s="2062">
        <f t="shared" si="246"/>
        <v>0</v>
      </c>
      <c r="BF121" s="2062">
        <f t="shared" si="246"/>
        <v>0</v>
      </c>
      <c r="BG121" s="2062">
        <f t="shared" si="246"/>
        <v>0</v>
      </c>
      <c r="BH121" s="2062">
        <f t="shared" si="246"/>
        <v>0</v>
      </c>
      <c r="BI121" s="2062">
        <f t="shared" si="246"/>
        <v>0</v>
      </c>
      <c r="BJ121" s="2062">
        <f t="shared" si="246"/>
        <v>0</v>
      </c>
      <c r="BK121" s="115">
        <f t="shared" si="246"/>
        <v>0</v>
      </c>
      <c r="BL121" s="115">
        <f t="shared" si="246"/>
        <v>0</v>
      </c>
      <c r="BM121" s="115">
        <f t="shared" si="246"/>
        <v>0</v>
      </c>
      <c r="BN121" s="115">
        <f t="shared" si="246"/>
        <v>0</v>
      </c>
      <c r="BO121" s="115">
        <f t="shared" si="246"/>
        <v>0</v>
      </c>
      <c r="BP121" s="115">
        <f t="shared" si="246"/>
        <v>0</v>
      </c>
      <c r="BQ121" s="115">
        <f t="shared" si="246"/>
        <v>0</v>
      </c>
      <c r="BR121" s="3624">
        <f t="shared" si="246"/>
        <v>0</v>
      </c>
      <c r="BS121" s="115">
        <f t="shared" si="246"/>
        <v>0</v>
      </c>
      <c r="BT121" s="115">
        <f t="shared" si="246"/>
        <v>0</v>
      </c>
      <c r="BU121" s="115">
        <f t="shared" si="246"/>
        <v>0</v>
      </c>
      <c r="BV121" s="115">
        <f t="shared" si="246"/>
        <v>0</v>
      </c>
      <c r="BW121" s="3626">
        <f t="shared" si="246"/>
        <v>6464.4589999999998</v>
      </c>
      <c r="BX121" s="3626">
        <f t="shared" si="246"/>
        <v>6472.7330000000002</v>
      </c>
      <c r="BY121" s="3626">
        <f t="shared" si="246"/>
        <v>6470.4400000000005</v>
      </c>
      <c r="BZ121" s="3625">
        <f t="shared" si="246"/>
        <v>6529</v>
      </c>
      <c r="CA121" s="3626">
        <f t="shared" si="246"/>
        <v>6541</v>
      </c>
      <c r="CB121" s="3626">
        <f t="shared" si="246"/>
        <v>6570</v>
      </c>
      <c r="CC121" s="3626">
        <f t="shared" ref="CC121:CO121" si="247">SUM(CC118:CC120)</f>
        <v>6551</v>
      </c>
      <c r="CD121" s="3625">
        <f t="shared" si="247"/>
        <v>6488</v>
      </c>
      <c r="CE121" s="3626">
        <f t="shared" si="247"/>
        <v>6504</v>
      </c>
      <c r="CF121" s="3626">
        <f t="shared" si="247"/>
        <v>6480</v>
      </c>
      <c r="CG121" s="3626">
        <f t="shared" si="247"/>
        <v>6616</v>
      </c>
      <c r="CH121" s="3625">
        <f t="shared" si="247"/>
        <v>6529</v>
      </c>
      <c r="CI121" s="3626">
        <f t="shared" si="247"/>
        <v>6452</v>
      </c>
      <c r="CJ121" s="3626">
        <f t="shared" si="247"/>
        <v>6454</v>
      </c>
      <c r="CK121" s="3626">
        <f t="shared" si="247"/>
        <v>6415</v>
      </c>
      <c r="CL121" s="3625">
        <f t="shared" si="247"/>
        <v>6321</v>
      </c>
      <c r="CM121" s="3626">
        <f t="shared" si="247"/>
        <v>6257</v>
      </c>
      <c r="CN121" s="3626">
        <f t="shared" si="247"/>
        <v>6151</v>
      </c>
      <c r="CO121" s="3626">
        <f t="shared" si="247"/>
        <v>6093</v>
      </c>
      <c r="CP121" s="3625">
        <f t="shared" ref="CP121" si="248">SUM(CP118:CP120)</f>
        <v>6074</v>
      </c>
      <c r="CQ121" s="3626">
        <f ca="1">SUM(CQ118:CQ120)</f>
        <v>5955.0422759183921</v>
      </c>
      <c r="CR121" s="3626">
        <f ca="1">SUM(CR118:CR120)</f>
        <v>5927.8486335062071</v>
      </c>
      <c r="CS121" s="3626">
        <f ca="1">SUM(CS118:CS120)</f>
        <v>5928.9448975148762</v>
      </c>
      <c r="CT121" s="3625">
        <f ca="1">SUM(CT118:CT120)</f>
        <v>5940.0470341299597</v>
      </c>
      <c r="CU121" s="68"/>
      <c r="CV121" s="68"/>
      <c r="CW121" s="68"/>
      <c r="CX121" s="68"/>
      <c r="CY121" s="68"/>
      <c r="CZ121" s="68"/>
      <c r="DA121" s="68"/>
      <c r="DB121" s="68"/>
      <c r="DC121" s="68"/>
      <c r="DD121" s="68"/>
      <c r="DE121" s="68"/>
      <c r="DF121" s="68"/>
      <c r="DG121" s="68"/>
      <c r="DH121" s="68"/>
      <c r="DI121" s="68"/>
      <c r="DJ121" s="68"/>
      <c r="DK121" s="68"/>
      <c r="DL121" s="68"/>
      <c r="DM121" s="68"/>
      <c r="DN121" s="68"/>
      <c r="DO121" s="68"/>
      <c r="DP121" s="68"/>
      <c r="DQ121" s="68"/>
      <c r="DR121" s="68"/>
      <c r="DS121" s="68"/>
      <c r="DT121" s="68"/>
      <c r="DU121" s="68"/>
      <c r="DV121" s="68"/>
      <c r="DW121" s="68"/>
      <c r="DX121" s="68"/>
      <c r="DY121" s="68"/>
      <c r="DZ121" s="68"/>
      <c r="EA121" s="68"/>
      <c r="EB121" s="68"/>
      <c r="EC121" s="68"/>
      <c r="ED121" s="68"/>
      <c r="EE121" s="68"/>
      <c r="EF121" s="68"/>
      <c r="EG121" s="68"/>
      <c r="EH121" s="68"/>
      <c r="EI121" s="68"/>
      <c r="EJ121" s="68"/>
      <c r="EK121" s="68"/>
      <c r="EL121" s="68"/>
      <c r="EM121" s="68"/>
      <c r="EN121" s="68"/>
      <c r="EO121" s="68"/>
      <c r="EP121" s="68"/>
      <c r="EQ121" s="68"/>
      <c r="ER121" s="68"/>
      <c r="ES121" s="68"/>
      <c r="ET121" s="68"/>
      <c r="EU121" s="68"/>
      <c r="EV121" s="68"/>
      <c r="EW121" s="68"/>
      <c r="EX121" s="68"/>
      <c r="EY121" s="68"/>
      <c r="EZ121" s="68"/>
      <c r="FA121" s="68"/>
      <c r="FB121" s="68"/>
      <c r="FC121" s="68"/>
      <c r="FD121" s="68"/>
      <c r="FE121" s="68"/>
      <c r="FF121" s="68"/>
      <c r="FG121" s="68"/>
      <c r="FH121" s="68"/>
      <c r="FI121" s="68"/>
      <c r="FJ121" s="68"/>
      <c r="FK121" s="68"/>
      <c r="FL121" s="68"/>
      <c r="FM121" s="68"/>
      <c r="FN121" s="68"/>
      <c r="FO121" s="68"/>
      <c r="FP121" s="68"/>
      <c r="FQ121" s="68"/>
      <c r="FR121" s="68"/>
      <c r="FS121" s="68"/>
      <c r="FT121" s="68"/>
      <c r="FU121" s="68"/>
      <c r="FV121" s="68"/>
      <c r="FW121" s="68"/>
      <c r="FX121" s="68"/>
      <c r="FY121" s="68"/>
      <c r="FZ121" s="68"/>
      <c r="GA121" s="68"/>
      <c r="GB121" s="68"/>
      <c r="GC121" s="68"/>
      <c r="GD121" s="68"/>
      <c r="GE121" s="68"/>
      <c r="GF121" s="68"/>
      <c r="GG121" s="68"/>
      <c r="GH121" s="68"/>
      <c r="GI121" s="68"/>
      <c r="GJ121" s="68"/>
      <c r="GK121" s="68"/>
      <c r="GL121" s="68"/>
      <c r="GM121" s="68"/>
      <c r="GN121" s="68"/>
      <c r="GO121" s="68"/>
      <c r="GP121" s="68"/>
      <c r="GQ121" s="68"/>
      <c r="GR121" s="68"/>
      <c r="GS121" s="68"/>
      <c r="GT121" s="68"/>
      <c r="GU121" s="68"/>
      <c r="GV121" s="68"/>
      <c r="GW121" s="68"/>
      <c r="GX121" s="68"/>
      <c r="GY121" s="68"/>
      <c r="GZ121" s="68"/>
      <c r="HA121" s="68"/>
      <c r="HB121" s="68"/>
      <c r="HC121" s="68"/>
      <c r="HD121" s="68"/>
      <c r="HE121" s="68"/>
      <c r="HF121" s="68"/>
      <c r="HG121" s="68"/>
      <c r="HH121" s="68"/>
      <c r="HI121" s="68"/>
      <c r="HJ121" s="68"/>
      <c r="HK121" s="68"/>
      <c r="HL121" s="68"/>
      <c r="HM121" s="68"/>
      <c r="HN121" s="68"/>
      <c r="HO121" s="68"/>
      <c r="HP121" s="68"/>
      <c r="HQ121" s="68"/>
      <c r="HR121" s="68"/>
      <c r="HS121" s="68"/>
      <c r="HT121" s="68"/>
      <c r="HU121" s="68"/>
      <c r="HV121" s="68"/>
      <c r="HW121" s="68"/>
      <c r="HX121" s="68"/>
      <c r="HY121" s="68"/>
      <c r="HZ121" s="68"/>
      <c r="IA121" s="68"/>
      <c r="IB121" s="68"/>
      <c r="IC121" s="68"/>
      <c r="ID121" s="68"/>
      <c r="IE121" s="68"/>
      <c r="IF121" s="68"/>
      <c r="IG121" s="68"/>
      <c r="IH121" s="68"/>
      <c r="II121" s="68"/>
      <c r="IJ121" s="68"/>
      <c r="IK121" s="68"/>
      <c r="IL121" s="68"/>
      <c r="IM121" s="68"/>
      <c r="IN121" s="68"/>
      <c r="IO121" s="68"/>
      <c r="IP121" s="68"/>
      <c r="IQ121" s="68"/>
      <c r="IR121" s="68"/>
      <c r="IS121" s="68"/>
      <c r="IT121" s="68"/>
      <c r="IU121" s="68"/>
      <c r="IV121" s="68"/>
      <c r="IW121" s="68"/>
      <c r="IX121" s="68"/>
      <c r="IY121" s="68"/>
      <c r="IZ121" s="68"/>
      <c r="JA121" s="68"/>
      <c r="JB121" s="68"/>
      <c r="JC121" s="68"/>
      <c r="JD121" s="68"/>
      <c r="JE121" s="68"/>
      <c r="JF121" s="68"/>
      <c r="JG121" s="68"/>
      <c r="JH121" s="68"/>
      <c r="JI121" s="68"/>
      <c r="JJ121" s="68"/>
      <c r="JK121" s="68"/>
      <c r="JL121" s="68"/>
      <c r="JM121" s="68"/>
      <c r="JN121" s="68"/>
      <c r="JO121" s="68"/>
      <c r="JP121" s="68"/>
      <c r="JQ121" s="68"/>
      <c r="JR121" s="68"/>
      <c r="JS121" s="68"/>
      <c r="JT121" s="68"/>
      <c r="JU121" s="68"/>
      <c r="JV121" s="68"/>
      <c r="JW121" s="68"/>
      <c r="JX121" s="68"/>
      <c r="JY121" s="68"/>
      <c r="JZ121" s="68"/>
      <c r="KA121" s="68"/>
      <c r="KB121" s="68"/>
      <c r="KC121" s="68"/>
      <c r="KD121" s="68"/>
      <c r="KE121" s="68"/>
      <c r="KF121" s="68"/>
      <c r="KG121" s="68"/>
      <c r="KH121" s="68"/>
      <c r="KI121" s="68"/>
      <c r="KJ121" s="68"/>
      <c r="KK121" s="68"/>
      <c r="KL121" s="68"/>
      <c r="KM121" s="68"/>
      <c r="KN121" s="68"/>
      <c r="KO121" s="68"/>
      <c r="KP121" s="68"/>
      <c r="KQ121" s="68"/>
      <c r="KR121" s="68"/>
      <c r="KS121" s="68"/>
      <c r="KT121" s="68"/>
      <c r="KU121" s="68"/>
      <c r="KV121" s="68"/>
      <c r="KW121" s="68"/>
      <c r="KX121" s="68"/>
      <c r="KY121" s="68"/>
      <c r="KZ121" s="68"/>
      <c r="LA121" s="68"/>
      <c r="LB121" s="68"/>
      <c r="LC121" s="68"/>
      <c r="LD121" s="68"/>
      <c r="LE121" s="68"/>
      <c r="LF121" s="68"/>
      <c r="LG121" s="68"/>
      <c r="LH121" s="68"/>
      <c r="LI121" s="68"/>
      <c r="LJ121" s="68"/>
      <c r="LK121" s="68"/>
      <c r="LL121" s="68"/>
      <c r="LM121" s="68"/>
      <c r="LN121" s="68"/>
      <c r="LO121" s="68"/>
      <c r="LP121" s="68"/>
      <c r="LQ121" s="68"/>
      <c r="LR121" s="68"/>
      <c r="LS121" s="68"/>
      <c r="LT121" s="68"/>
      <c r="LU121" s="68"/>
      <c r="LV121" s="68"/>
      <c r="LW121" s="68"/>
      <c r="LX121" s="68"/>
      <c r="LY121" s="68"/>
      <c r="LZ121" s="68"/>
      <c r="MA121" s="68"/>
      <c r="MB121" s="68"/>
      <c r="MC121" s="68"/>
      <c r="MD121" s="68"/>
      <c r="ME121" s="68"/>
      <c r="MF121" s="68"/>
      <c r="MG121" s="68"/>
      <c r="MH121" s="68"/>
      <c r="MI121" s="68"/>
      <c r="MJ121" s="68"/>
      <c r="MK121" s="68"/>
      <c r="ML121" s="68"/>
      <c r="MM121" s="68"/>
      <c r="MN121" s="68"/>
      <c r="MO121" s="68"/>
      <c r="MP121" s="68"/>
      <c r="MQ121" s="68"/>
      <c r="MR121" s="68"/>
      <c r="MS121" s="68"/>
      <c r="MT121" s="68"/>
      <c r="MU121" s="68"/>
      <c r="MV121" s="68"/>
      <c r="MW121" s="68"/>
      <c r="MX121" s="68"/>
      <c r="MY121" s="68"/>
      <c r="MZ121" s="68"/>
      <c r="NA121" s="68"/>
      <c r="NB121" s="68"/>
      <c r="NC121" s="68"/>
      <c r="ND121" s="68"/>
      <c r="NE121" s="68"/>
      <c r="NF121" s="68"/>
      <c r="NG121" s="68"/>
      <c r="NH121" s="68"/>
      <c r="NI121" s="68"/>
      <c r="NJ121" s="68"/>
      <c r="NK121" s="68"/>
      <c r="NL121" s="68"/>
      <c r="NM121" s="68"/>
      <c r="NN121" s="68"/>
      <c r="NO121" s="68"/>
      <c r="NP121" s="68"/>
      <c r="NQ121" s="68"/>
      <c r="NR121" s="68"/>
      <c r="NS121" s="68"/>
      <c r="NT121" s="68"/>
      <c r="NU121" s="68"/>
      <c r="NV121" s="68"/>
      <c r="NW121" s="68"/>
      <c r="NX121" s="68"/>
      <c r="NY121" s="68"/>
      <c r="NZ121" s="68"/>
      <c r="OA121" s="68"/>
      <c r="OB121" s="68"/>
      <c r="OC121" s="68"/>
      <c r="OD121" s="68"/>
      <c r="OE121" s="68"/>
      <c r="OF121" s="68"/>
      <c r="OG121" s="68"/>
      <c r="OH121" s="68"/>
      <c r="OI121" s="68"/>
      <c r="OJ121" s="68"/>
      <c r="OK121" s="68"/>
      <c r="OL121" s="68"/>
      <c r="OM121" s="68"/>
      <c r="ON121" s="68"/>
      <c r="OO121" s="68"/>
      <c r="OP121" s="68"/>
      <c r="OQ121" s="68"/>
      <c r="OR121" s="68"/>
      <c r="OS121" s="68"/>
      <c r="OT121" s="68"/>
      <c r="OU121" s="68"/>
      <c r="OV121" s="68"/>
      <c r="OW121" s="68"/>
      <c r="OX121" s="68"/>
      <c r="OY121" s="68"/>
      <c r="OZ121" s="68"/>
      <c r="PA121" s="68"/>
      <c r="PB121" s="68"/>
      <c r="PC121" s="68"/>
      <c r="PD121" s="68"/>
      <c r="PE121" s="68"/>
      <c r="PF121" s="68"/>
      <c r="PG121" s="68"/>
      <c r="PH121" s="68"/>
      <c r="PI121" s="68"/>
      <c r="PJ121" s="68"/>
      <c r="PK121" s="68"/>
      <c r="PL121" s="68"/>
      <c r="PM121" s="68"/>
      <c r="PN121" s="68"/>
      <c r="PO121" s="68"/>
      <c r="PP121" s="68"/>
      <c r="PQ121" s="68"/>
      <c r="PR121" s="68"/>
      <c r="PS121" s="68"/>
      <c r="PT121" s="68"/>
      <c r="PU121" s="68"/>
      <c r="PV121" s="68"/>
      <c r="PW121" s="68"/>
      <c r="PX121" s="68"/>
      <c r="PY121" s="68"/>
      <c r="PZ121" s="68"/>
      <c r="QA121" s="68"/>
      <c r="QB121" s="68"/>
      <c r="QC121" s="68"/>
      <c r="QD121" s="68"/>
      <c r="QE121" s="68"/>
      <c r="QF121" s="68"/>
      <c r="QG121" s="68"/>
      <c r="QH121" s="68"/>
      <c r="QI121" s="68"/>
      <c r="QJ121" s="68"/>
      <c r="QK121" s="68"/>
      <c r="QL121" s="68"/>
      <c r="QM121" s="68"/>
      <c r="QN121" s="68"/>
      <c r="QO121" s="68"/>
      <c r="QP121" s="68"/>
      <c r="QQ121" s="68"/>
      <c r="QR121" s="68"/>
      <c r="QS121" s="68"/>
      <c r="QT121" s="68"/>
      <c r="QU121" s="68"/>
      <c r="QV121" s="68"/>
      <c r="QW121" s="68"/>
      <c r="QX121" s="68"/>
      <c r="QY121" s="68"/>
      <c r="QZ121" s="68"/>
      <c r="RA121" s="68"/>
      <c r="RB121" s="68"/>
      <c r="RC121" s="68"/>
      <c r="RD121" s="68"/>
      <c r="RE121" s="68"/>
      <c r="RF121" s="68"/>
      <c r="RG121" s="68"/>
      <c r="RH121" s="68"/>
      <c r="RI121" s="68"/>
      <c r="RJ121" s="68"/>
      <c r="RK121" s="68"/>
      <c r="RL121" s="68"/>
      <c r="RM121" s="68"/>
      <c r="RN121" s="68"/>
      <c r="RO121" s="68"/>
      <c r="RP121" s="68"/>
      <c r="RQ121" s="68"/>
      <c r="RR121" s="68"/>
      <c r="RS121" s="68"/>
      <c r="RT121" s="68"/>
      <c r="RU121" s="68"/>
      <c r="RV121" s="68"/>
      <c r="RW121" s="68"/>
      <c r="RX121" s="68"/>
      <c r="RY121" s="68"/>
      <c r="RZ121" s="68"/>
      <c r="SA121" s="68"/>
      <c r="SB121" s="68"/>
      <c r="SC121" s="68"/>
      <c r="SD121" s="68"/>
      <c r="SE121" s="68"/>
      <c r="SF121" s="68"/>
      <c r="SG121" s="68"/>
      <c r="SH121" s="68"/>
      <c r="SI121" s="68"/>
      <c r="SJ121" s="68"/>
      <c r="SK121" s="68"/>
      <c r="SL121" s="68"/>
      <c r="SM121" s="68"/>
      <c r="SN121" s="68"/>
      <c r="SO121" s="68"/>
      <c r="SP121" s="68"/>
      <c r="SQ121" s="68"/>
      <c r="SR121" s="68"/>
      <c r="SS121" s="68"/>
      <c r="ST121" s="68"/>
      <c r="SU121" s="68"/>
      <c r="SV121" s="68"/>
      <c r="SW121" s="68"/>
      <c r="SX121" s="68"/>
      <c r="SY121" s="68"/>
      <c r="SZ121" s="68"/>
      <c r="TA121" s="68"/>
      <c r="TB121" s="68"/>
      <c r="TC121" s="68"/>
      <c r="TD121" s="68"/>
      <c r="TE121" s="68"/>
      <c r="TF121" s="68"/>
      <c r="TG121" s="68"/>
      <c r="TH121" s="68"/>
      <c r="TI121" s="68"/>
      <c r="TJ121" s="68"/>
      <c r="TK121" s="68"/>
      <c r="TL121" s="68"/>
      <c r="TM121" s="68"/>
      <c r="TN121" s="68"/>
      <c r="TO121" s="68"/>
      <c r="TP121" s="68"/>
      <c r="TQ121" s="68"/>
      <c r="TR121" s="68"/>
      <c r="TS121" s="68"/>
      <c r="TT121" s="68"/>
      <c r="TU121" s="68"/>
      <c r="TV121" s="68"/>
      <c r="TW121" s="68"/>
      <c r="TX121" s="68"/>
      <c r="TY121" s="68"/>
      <c r="TZ121" s="68"/>
      <c r="UA121" s="68"/>
      <c r="UB121" s="68"/>
      <c r="UC121" s="68"/>
      <c r="UD121" s="68"/>
      <c r="UE121" s="68"/>
      <c r="UF121" s="68"/>
      <c r="UG121" s="68"/>
      <c r="UH121" s="68"/>
      <c r="UI121" s="68"/>
      <c r="UJ121" s="68"/>
      <c r="UK121" s="68"/>
      <c r="UL121" s="68"/>
      <c r="UM121" s="68"/>
      <c r="UN121" s="68"/>
      <c r="UO121" s="68"/>
      <c r="UP121" s="68"/>
      <c r="UQ121" s="68"/>
      <c r="UR121" s="68"/>
      <c r="US121" s="68"/>
      <c r="UT121" s="68"/>
      <c r="UU121" s="68"/>
      <c r="UV121" s="68"/>
      <c r="UW121" s="68"/>
      <c r="UX121" s="68"/>
      <c r="UY121" s="68"/>
      <c r="UZ121" s="68"/>
      <c r="VA121" s="68"/>
      <c r="VB121" s="68"/>
      <c r="VC121" s="68"/>
      <c r="VD121" s="68"/>
      <c r="VE121" s="68"/>
      <c r="VF121" s="68"/>
      <c r="VG121" s="68"/>
      <c r="VH121" s="68"/>
      <c r="VI121" s="68"/>
      <c r="VJ121" s="68"/>
      <c r="VK121" s="68"/>
      <c r="VL121" s="68"/>
      <c r="VM121" s="68"/>
      <c r="VN121" s="68"/>
      <c r="VO121" s="68"/>
      <c r="VP121" s="68"/>
      <c r="VQ121" s="68"/>
      <c r="VR121" s="68"/>
      <c r="VS121" s="68"/>
      <c r="VT121" s="68"/>
      <c r="VU121" s="68"/>
      <c r="VV121" s="68"/>
      <c r="VW121" s="68"/>
      <c r="VX121" s="68"/>
      <c r="VY121" s="68"/>
      <c r="VZ121" s="68"/>
      <c r="WA121" s="68"/>
      <c r="WB121" s="68"/>
      <c r="WC121" s="68"/>
      <c r="WD121" s="68"/>
      <c r="WE121" s="68"/>
      <c r="WF121" s="68"/>
      <c r="WG121" s="68"/>
      <c r="WH121" s="68"/>
      <c r="WI121" s="68"/>
      <c r="WJ121" s="68"/>
      <c r="WK121" s="68"/>
      <c r="WL121" s="68"/>
      <c r="WM121" s="68"/>
      <c r="WN121" s="68"/>
      <c r="WO121" s="68"/>
      <c r="WP121" s="68"/>
      <c r="WQ121" s="68"/>
      <c r="WR121" s="68"/>
      <c r="WS121" s="68"/>
      <c r="WT121" s="68"/>
      <c r="WU121" s="68"/>
      <c r="WV121" s="68"/>
      <c r="WW121" s="68"/>
      <c r="WX121" s="68"/>
      <c r="WY121" s="68"/>
      <c r="WZ121" s="68"/>
      <c r="XA121" s="68"/>
      <c r="XB121" s="68"/>
      <c r="XC121" s="68"/>
      <c r="XD121" s="68"/>
      <c r="XE121" s="68"/>
      <c r="XF121" s="68"/>
      <c r="XG121" s="68"/>
      <c r="XH121" s="68"/>
      <c r="XI121" s="68"/>
      <c r="XJ121" s="68"/>
      <c r="XK121" s="68"/>
      <c r="XL121" s="68"/>
      <c r="XM121" s="68"/>
      <c r="XN121" s="68"/>
      <c r="XO121" s="68"/>
      <c r="XP121" s="68"/>
      <c r="XQ121" s="68"/>
      <c r="XR121" s="68"/>
      <c r="XS121" s="68"/>
      <c r="XT121" s="68"/>
      <c r="XU121" s="68"/>
      <c r="XV121" s="68"/>
      <c r="XW121" s="68"/>
      <c r="XX121" s="68"/>
      <c r="XY121" s="68"/>
      <c r="XZ121" s="68"/>
      <c r="YA121" s="68"/>
      <c r="YB121" s="68"/>
      <c r="YC121" s="68"/>
      <c r="YD121" s="68"/>
      <c r="YE121" s="68"/>
      <c r="YF121" s="68"/>
      <c r="YG121" s="68"/>
      <c r="YH121" s="68"/>
      <c r="YI121" s="68"/>
      <c r="YJ121" s="68"/>
      <c r="YK121" s="68"/>
      <c r="YL121" s="68"/>
      <c r="YM121" s="68"/>
      <c r="YN121" s="68"/>
      <c r="YO121" s="68"/>
      <c r="YP121" s="68"/>
      <c r="YQ121" s="68"/>
      <c r="YR121" s="68"/>
      <c r="YS121" s="68"/>
      <c r="YT121" s="68"/>
      <c r="YU121" s="68"/>
      <c r="YV121" s="68"/>
      <c r="YW121" s="68"/>
      <c r="YX121" s="68"/>
      <c r="YY121" s="68"/>
      <c r="YZ121" s="68"/>
      <c r="ZA121" s="68"/>
      <c r="ZB121" s="68"/>
      <c r="ZC121" s="68"/>
      <c r="ZD121" s="68"/>
      <c r="ZE121" s="68"/>
      <c r="ZF121" s="68"/>
      <c r="ZG121" s="68"/>
      <c r="ZH121" s="68"/>
      <c r="ZI121" s="68"/>
      <c r="ZJ121" s="68"/>
      <c r="ZK121" s="68"/>
      <c r="ZL121" s="68"/>
      <c r="ZM121" s="68"/>
      <c r="ZN121" s="68"/>
      <c r="ZO121" s="68"/>
      <c r="ZP121" s="68"/>
      <c r="ZQ121" s="68"/>
      <c r="ZR121" s="68"/>
      <c r="ZS121" s="68"/>
      <c r="ZT121" s="68"/>
      <c r="ZU121" s="68"/>
      <c r="ZV121" s="68"/>
      <c r="ZW121" s="68"/>
      <c r="ZX121" s="68"/>
      <c r="ZY121" s="68"/>
      <c r="ZZ121" s="68"/>
      <c r="AAA121" s="68"/>
      <c r="AAB121" s="68"/>
      <c r="AAC121" s="68"/>
      <c r="AAD121" s="68"/>
      <c r="AAE121" s="68"/>
      <c r="AAF121" s="68"/>
      <c r="AAG121" s="68"/>
      <c r="AAH121" s="68"/>
      <c r="AAI121" s="68"/>
      <c r="AAJ121" s="68"/>
      <c r="AAK121" s="68"/>
      <c r="AAL121" s="68"/>
      <c r="AAM121" s="68"/>
      <c r="AAN121" s="68"/>
      <c r="AAO121" s="68"/>
      <c r="AAP121" s="68"/>
      <c r="AAQ121" s="68"/>
      <c r="AAR121" s="68"/>
      <c r="AAS121" s="68"/>
      <c r="AAT121" s="68"/>
      <c r="AAU121" s="68"/>
      <c r="AAV121" s="68"/>
      <c r="AAW121" s="68"/>
      <c r="AAX121" s="68"/>
      <c r="AAY121" s="68"/>
      <c r="AAZ121" s="68"/>
      <c r="ABA121" s="68"/>
      <c r="ABB121" s="68"/>
      <c r="ABC121" s="68"/>
      <c r="ABD121" s="68"/>
      <c r="ABE121" s="68"/>
      <c r="ABF121" s="68"/>
      <c r="ABG121" s="68"/>
      <c r="ABH121" s="68"/>
      <c r="ABI121" s="68"/>
      <c r="ABJ121" s="68"/>
      <c r="ABK121" s="68"/>
      <c r="ABL121" s="68"/>
      <c r="ABM121" s="68"/>
      <c r="ABN121" s="68"/>
      <c r="ABO121" s="68"/>
      <c r="ABP121" s="68"/>
      <c r="ABQ121" s="68"/>
      <c r="ABR121" s="68"/>
      <c r="ABS121" s="68"/>
      <c r="ABT121" s="68"/>
      <c r="ABU121" s="68"/>
      <c r="ABV121" s="68"/>
      <c r="ABW121" s="68"/>
      <c r="ABX121" s="68"/>
      <c r="ABY121" s="68"/>
      <c r="ABZ121" s="68"/>
      <c r="ACA121" s="68"/>
      <c r="ACB121" s="68"/>
      <c r="ACC121" s="68"/>
      <c r="ACD121" s="68"/>
      <c r="ACE121" s="68"/>
      <c r="ACF121" s="68"/>
      <c r="ACG121" s="68"/>
      <c r="ACH121" s="68"/>
      <c r="ACI121" s="68"/>
      <c r="ACJ121" s="68"/>
      <c r="ACK121" s="68"/>
      <c r="ACL121" s="68"/>
      <c r="ACM121" s="68"/>
      <c r="ACN121" s="68"/>
      <c r="ACO121" s="68"/>
      <c r="ACP121" s="68"/>
      <c r="ACQ121" s="68"/>
      <c r="ACR121" s="68"/>
      <c r="ACS121" s="68"/>
      <c r="ACT121" s="68"/>
      <c r="ACU121" s="68"/>
      <c r="ACV121" s="68"/>
      <c r="ACW121" s="68"/>
      <c r="ACX121" s="68"/>
      <c r="ACY121" s="68"/>
      <c r="ACZ121" s="68"/>
      <c r="ADA121" s="68"/>
      <c r="ADB121" s="68"/>
      <c r="ADC121" s="68"/>
      <c r="ADD121" s="68"/>
      <c r="ADE121" s="68"/>
      <c r="ADF121" s="68"/>
      <c r="ADG121" s="68"/>
      <c r="ADH121" s="68"/>
      <c r="ADI121" s="68"/>
      <c r="ADJ121" s="68"/>
      <c r="ADK121" s="68"/>
      <c r="ADL121" s="68"/>
      <c r="ADM121" s="68"/>
      <c r="ADN121" s="68"/>
      <c r="ADO121" s="68"/>
      <c r="ADP121" s="68"/>
      <c r="ADQ121" s="68"/>
      <c r="ADR121" s="68"/>
      <c r="ADS121" s="68"/>
      <c r="ADT121" s="68"/>
      <c r="ADU121" s="68"/>
      <c r="ADV121" s="68"/>
      <c r="ADW121" s="68"/>
      <c r="ADX121" s="68"/>
      <c r="ADY121" s="68"/>
      <c r="ADZ121" s="68"/>
      <c r="AEA121" s="68"/>
      <c r="AEB121" s="68"/>
      <c r="AEC121" s="68"/>
      <c r="AED121" s="68"/>
      <c r="AEE121" s="68"/>
      <c r="AEF121" s="68"/>
      <c r="AEG121" s="68"/>
      <c r="AEH121" s="68"/>
      <c r="AEI121" s="68"/>
      <c r="AEJ121" s="68"/>
      <c r="AEK121" s="68"/>
      <c r="AEL121" s="68"/>
      <c r="AEM121" s="68"/>
      <c r="AEN121" s="68"/>
      <c r="AEO121" s="68"/>
      <c r="AEP121" s="68"/>
      <c r="AEQ121" s="68"/>
      <c r="AER121" s="68"/>
      <c r="AES121" s="68"/>
      <c r="AET121" s="68"/>
      <c r="AEU121" s="68"/>
      <c r="AEV121" s="68"/>
      <c r="AEW121" s="68"/>
      <c r="AEX121" s="68"/>
      <c r="AEY121" s="68"/>
      <c r="AEZ121" s="68"/>
      <c r="AFA121" s="68"/>
      <c r="AFB121" s="68"/>
      <c r="AFC121" s="68"/>
      <c r="AFD121" s="68"/>
      <c r="AFE121" s="68"/>
      <c r="AFF121" s="68"/>
      <c r="AFG121" s="68"/>
      <c r="AFH121" s="68"/>
      <c r="AFI121" s="68"/>
      <c r="AFJ121" s="68"/>
      <c r="AFK121" s="68"/>
      <c r="AFL121" s="68"/>
      <c r="AFM121" s="68"/>
      <c r="AFN121" s="68"/>
      <c r="AFO121" s="68"/>
      <c r="AFP121" s="68"/>
      <c r="AFQ121" s="68"/>
      <c r="AFR121" s="68"/>
      <c r="AFS121" s="68"/>
      <c r="AFT121" s="68"/>
      <c r="AFU121" s="68"/>
      <c r="AFV121" s="68"/>
      <c r="AFW121" s="68"/>
      <c r="AFX121" s="68"/>
      <c r="AFY121" s="68"/>
      <c r="AFZ121" s="68"/>
      <c r="AGA121" s="68"/>
      <c r="AGB121" s="68"/>
      <c r="AGC121" s="68"/>
      <c r="AGD121" s="68"/>
      <c r="AGE121" s="68"/>
      <c r="AGF121" s="68"/>
      <c r="AGG121" s="68"/>
      <c r="AGH121" s="68"/>
      <c r="AGI121" s="68"/>
      <c r="AGJ121" s="68"/>
      <c r="AGK121" s="68"/>
      <c r="AGL121" s="68"/>
      <c r="AGM121" s="68"/>
      <c r="AGN121" s="68"/>
      <c r="AGO121" s="68"/>
      <c r="AGP121" s="68"/>
      <c r="AGQ121" s="68"/>
      <c r="AGR121" s="68"/>
      <c r="AGS121" s="68"/>
      <c r="AGT121" s="68"/>
      <c r="AGU121" s="68"/>
      <c r="AGV121" s="68"/>
      <c r="AGW121" s="68"/>
      <c r="AGX121" s="68"/>
      <c r="AGY121" s="68"/>
      <c r="AGZ121" s="68"/>
      <c r="AHA121" s="68"/>
      <c r="AHB121" s="68"/>
      <c r="AHC121" s="68"/>
      <c r="AHD121" s="68"/>
      <c r="AHE121" s="68"/>
      <c r="AHF121" s="68"/>
      <c r="AHG121" s="68"/>
      <c r="AHH121" s="68"/>
      <c r="AHI121" s="68"/>
      <c r="AHJ121" s="68"/>
      <c r="AHK121" s="68"/>
      <c r="AHL121" s="68"/>
      <c r="AHM121" s="68"/>
      <c r="AHN121" s="68"/>
      <c r="AHO121" s="68"/>
      <c r="AHP121" s="68"/>
      <c r="AHQ121" s="68"/>
      <c r="AHR121" s="68"/>
      <c r="AHS121" s="68"/>
      <c r="AHT121" s="68"/>
      <c r="AHU121" s="68"/>
      <c r="AHV121" s="68"/>
      <c r="AHW121" s="68"/>
      <c r="AHX121" s="68"/>
      <c r="AHY121" s="68"/>
      <c r="AHZ121" s="68"/>
      <c r="AIA121" s="68"/>
      <c r="AIB121" s="68"/>
      <c r="AIC121" s="68"/>
      <c r="AID121" s="68"/>
      <c r="AIE121" s="68"/>
      <c r="AIF121" s="68"/>
      <c r="AIG121" s="68"/>
      <c r="AIH121" s="68"/>
      <c r="AII121" s="68"/>
      <c r="AIJ121" s="68"/>
      <c r="AIK121" s="68"/>
      <c r="AIL121" s="68"/>
      <c r="AIM121" s="68"/>
      <c r="AIN121" s="68"/>
      <c r="AIO121" s="68"/>
      <c r="AIP121" s="68"/>
      <c r="AIQ121" s="68"/>
      <c r="AIR121" s="68"/>
      <c r="AIS121" s="68"/>
      <c r="AIT121" s="68"/>
      <c r="AIU121" s="68"/>
      <c r="AIV121" s="68"/>
      <c r="AIW121" s="68"/>
      <c r="AIX121" s="68"/>
      <c r="AIY121" s="68"/>
      <c r="AIZ121" s="68"/>
      <c r="AJA121" s="68"/>
      <c r="AJB121" s="68"/>
      <c r="AJC121" s="68"/>
      <c r="AJD121" s="68"/>
      <c r="AJE121" s="68"/>
      <c r="AJF121" s="68"/>
      <c r="AJG121" s="68"/>
      <c r="AJH121" s="68"/>
      <c r="AJI121" s="68"/>
      <c r="AJJ121" s="68"/>
      <c r="AJK121" s="68"/>
      <c r="AJL121" s="68"/>
      <c r="AJM121" s="68"/>
      <c r="AJN121" s="68"/>
      <c r="AJO121" s="68"/>
      <c r="AJP121" s="68"/>
      <c r="AJQ121" s="68"/>
      <c r="AJR121" s="68"/>
      <c r="AJS121" s="68"/>
      <c r="AJT121" s="68"/>
      <c r="AJU121" s="68"/>
      <c r="AJV121" s="68"/>
      <c r="AJW121" s="68"/>
      <c r="AJX121" s="68"/>
      <c r="AJY121" s="68"/>
      <c r="AJZ121" s="68"/>
      <c r="AKA121" s="68"/>
      <c r="AKB121" s="68"/>
      <c r="AKC121" s="68"/>
      <c r="AKD121" s="68"/>
      <c r="AKE121" s="68"/>
      <c r="AKF121" s="68"/>
      <c r="AKG121" s="68"/>
      <c r="AKH121" s="68"/>
      <c r="AKI121" s="68"/>
      <c r="AKJ121" s="68"/>
      <c r="AKK121" s="68"/>
      <c r="AKL121" s="68"/>
      <c r="AKM121" s="68"/>
      <c r="AKN121" s="68"/>
      <c r="AKO121" s="68"/>
      <c r="AKP121" s="68"/>
      <c r="AKQ121" s="68"/>
      <c r="AKR121" s="68"/>
      <c r="AKS121" s="68"/>
      <c r="AKT121" s="68"/>
      <c r="AKU121" s="68"/>
      <c r="AKV121" s="68"/>
      <c r="AKW121" s="68"/>
      <c r="AKX121" s="68"/>
      <c r="AKY121" s="68"/>
      <c r="AKZ121" s="68"/>
      <c r="ALA121" s="68"/>
      <c r="ALB121" s="68"/>
      <c r="ALC121" s="68"/>
      <c r="ALD121" s="68"/>
      <c r="ALE121" s="68"/>
      <c r="ALF121" s="68"/>
      <c r="ALG121" s="68"/>
      <c r="ALH121" s="68"/>
      <c r="ALI121" s="68"/>
      <c r="ALJ121" s="68"/>
      <c r="ALK121" s="68"/>
      <c r="ALL121" s="68"/>
      <c r="ALM121" s="68"/>
      <c r="ALN121" s="68"/>
      <c r="ALO121" s="68"/>
      <c r="ALP121" s="68"/>
      <c r="ALQ121" s="68"/>
      <c r="ALR121" s="68"/>
      <c r="ALS121" s="68"/>
      <c r="ALT121" s="68"/>
      <c r="ALU121" s="68"/>
      <c r="ALV121" s="68"/>
      <c r="ALW121" s="68"/>
      <c r="ALX121" s="68"/>
      <c r="ALY121" s="68"/>
      <c r="ALZ121" s="68"/>
      <c r="AMA121" s="68"/>
      <c r="AMB121" s="68"/>
      <c r="AMC121" s="68"/>
      <c r="AMD121" s="68"/>
      <c r="AME121" s="68"/>
      <c r="AMF121" s="68"/>
      <c r="AMG121" s="68"/>
      <c r="AMH121" s="68"/>
      <c r="AMI121" s="68"/>
      <c r="AMJ121" s="68"/>
      <c r="AMK121" s="68"/>
      <c r="AML121" s="68"/>
      <c r="AMM121" s="68"/>
      <c r="AMN121" s="68"/>
      <c r="AMO121" s="68"/>
      <c r="AMP121" s="68"/>
      <c r="AMQ121" s="68"/>
      <c r="AMR121" s="68"/>
      <c r="AMS121" s="68"/>
      <c r="AMT121" s="68"/>
      <c r="AMU121" s="68"/>
      <c r="AMV121" s="68"/>
      <c r="AMW121" s="68"/>
      <c r="AMX121" s="68"/>
      <c r="AMY121" s="68"/>
      <c r="AMZ121" s="68"/>
      <c r="ANA121" s="68"/>
      <c r="ANB121" s="68"/>
      <c r="ANC121" s="68"/>
      <c r="AND121" s="68"/>
      <c r="ANE121" s="68"/>
      <c r="ANF121" s="68"/>
      <c r="ANG121" s="68"/>
      <c r="ANH121" s="68"/>
      <c r="ANI121" s="68"/>
      <c r="ANJ121" s="68"/>
      <c r="ANK121" s="68"/>
      <c r="ANL121" s="68"/>
      <c r="ANM121" s="68"/>
      <c r="ANN121" s="68"/>
      <c r="ANO121" s="68"/>
      <c r="ANP121" s="68"/>
      <c r="ANQ121" s="68"/>
      <c r="ANR121" s="68"/>
      <c r="ANS121" s="68"/>
      <c r="ANT121" s="68"/>
      <c r="ANU121" s="68"/>
      <c r="ANV121" s="68"/>
      <c r="ANW121" s="68"/>
      <c r="ANX121" s="68"/>
      <c r="ANY121" s="68"/>
      <c r="ANZ121" s="68"/>
      <c r="AOA121" s="68"/>
      <c r="AOB121" s="68"/>
      <c r="AOC121" s="68"/>
      <c r="AOD121" s="68"/>
      <c r="AOE121" s="68"/>
      <c r="AOF121" s="68"/>
      <c r="AOG121" s="68"/>
      <c r="AOH121" s="68"/>
      <c r="AOI121" s="68"/>
      <c r="AOJ121" s="68"/>
      <c r="AOK121" s="68"/>
      <c r="AOL121" s="68"/>
      <c r="AOM121" s="68"/>
      <c r="AON121" s="68"/>
      <c r="AOO121" s="68"/>
      <c r="AOP121" s="68"/>
      <c r="AOQ121" s="68"/>
      <c r="AOR121" s="68"/>
      <c r="AOS121" s="68"/>
      <c r="AOT121" s="68"/>
      <c r="AOU121" s="68"/>
      <c r="AOV121" s="68"/>
      <c r="AOW121" s="68"/>
      <c r="AOX121" s="68"/>
      <c r="AOY121" s="68"/>
      <c r="AOZ121" s="68"/>
      <c r="APA121" s="68"/>
      <c r="APB121" s="68"/>
      <c r="APC121" s="68"/>
      <c r="APD121" s="68"/>
      <c r="APE121" s="68"/>
      <c r="APF121" s="68"/>
      <c r="APG121" s="68"/>
      <c r="APH121" s="68"/>
      <c r="API121" s="68"/>
      <c r="APJ121" s="68"/>
      <c r="APK121" s="68"/>
      <c r="APL121" s="68"/>
      <c r="APM121" s="68"/>
      <c r="APN121" s="68"/>
      <c r="APO121" s="68"/>
      <c r="APP121" s="68"/>
      <c r="APQ121" s="68"/>
      <c r="APR121" s="68"/>
      <c r="APS121" s="68"/>
      <c r="APT121" s="68"/>
      <c r="APU121" s="68"/>
      <c r="APV121" s="68"/>
      <c r="APW121" s="68"/>
      <c r="APX121" s="68"/>
      <c r="APY121" s="68"/>
      <c r="APZ121" s="68"/>
      <c r="AQA121" s="68"/>
      <c r="AQB121" s="68"/>
      <c r="AQC121" s="68"/>
      <c r="AQD121" s="68"/>
      <c r="AQE121" s="68"/>
      <c r="AQF121" s="68"/>
      <c r="AQG121" s="68"/>
      <c r="AQH121" s="68"/>
      <c r="AQI121" s="68"/>
      <c r="AQJ121" s="68"/>
      <c r="AQK121" s="68"/>
      <c r="AQL121" s="68"/>
      <c r="AQM121" s="68"/>
      <c r="AQN121" s="68"/>
      <c r="AQO121" s="68"/>
      <c r="AQP121" s="68"/>
      <c r="AQQ121" s="68"/>
      <c r="AQR121" s="68"/>
      <c r="AQS121" s="68"/>
      <c r="AQT121" s="68"/>
      <c r="AQU121" s="68"/>
      <c r="AQV121" s="68"/>
      <c r="AQW121" s="68"/>
      <c r="AQX121" s="68"/>
      <c r="AQY121" s="68"/>
      <c r="AQZ121" s="68"/>
      <c r="ARA121" s="68"/>
      <c r="ARB121" s="68"/>
      <c r="ARC121" s="68"/>
      <c r="ARD121" s="68"/>
      <c r="ARE121" s="68"/>
      <c r="ARF121" s="68"/>
      <c r="ARG121" s="68"/>
      <c r="ARH121" s="68"/>
      <c r="ARI121" s="68"/>
      <c r="ARJ121" s="68"/>
      <c r="ARK121" s="68"/>
      <c r="ARL121" s="68"/>
      <c r="ARM121" s="68"/>
      <c r="ARN121" s="68"/>
      <c r="ARO121" s="68"/>
      <c r="ARP121" s="68"/>
      <c r="ARQ121" s="68"/>
      <c r="ARR121" s="68"/>
      <c r="ARS121" s="68"/>
      <c r="ART121" s="68"/>
      <c r="ARU121" s="68"/>
      <c r="ARV121" s="68"/>
      <c r="ARW121" s="68"/>
      <c r="ARX121" s="68"/>
      <c r="ARY121" s="68"/>
      <c r="ARZ121" s="68"/>
      <c r="ASA121" s="68"/>
      <c r="ASB121" s="68"/>
      <c r="ASC121" s="68"/>
      <c r="ASD121" s="68"/>
      <c r="ASE121" s="68"/>
      <c r="ASF121" s="68"/>
      <c r="ASG121" s="68"/>
      <c r="ASH121" s="68"/>
      <c r="ASI121" s="68"/>
      <c r="ASJ121" s="68"/>
      <c r="ASK121" s="68"/>
      <c r="ASL121" s="68"/>
      <c r="ASM121" s="68"/>
      <c r="ASN121" s="68"/>
      <c r="ASO121" s="68"/>
      <c r="ASP121" s="68"/>
      <c r="ASQ121" s="68"/>
      <c r="ASR121" s="68"/>
      <c r="ASS121" s="68"/>
      <c r="AST121" s="68"/>
      <c r="ASU121" s="68"/>
      <c r="ASV121" s="68"/>
      <c r="ASW121" s="68"/>
      <c r="ASX121" s="68"/>
      <c r="ASY121" s="68"/>
      <c r="ASZ121" s="68"/>
      <c r="ATA121" s="68"/>
      <c r="ATB121" s="68"/>
      <c r="ATC121" s="68"/>
      <c r="ATD121" s="68"/>
      <c r="ATE121" s="68"/>
      <c r="ATF121" s="68"/>
      <c r="ATG121" s="68"/>
      <c r="ATH121" s="68"/>
      <c r="ATI121" s="68"/>
      <c r="ATJ121" s="68"/>
      <c r="ATK121" s="68"/>
      <c r="ATL121" s="68"/>
      <c r="ATM121" s="68"/>
      <c r="ATN121" s="68"/>
      <c r="ATO121" s="68"/>
      <c r="ATP121" s="68"/>
      <c r="ATQ121" s="68"/>
      <c r="ATR121" s="68"/>
      <c r="ATS121" s="68"/>
      <c r="ATT121" s="68"/>
      <c r="ATU121" s="68"/>
      <c r="ATV121" s="68"/>
      <c r="ATW121" s="68"/>
      <c r="ATX121" s="68"/>
      <c r="ATY121" s="68"/>
      <c r="ATZ121" s="68"/>
      <c r="AUA121" s="68"/>
      <c r="AUB121" s="68"/>
      <c r="AUC121" s="68"/>
      <c r="AUD121" s="68"/>
      <c r="AUE121" s="68"/>
      <c r="AUF121" s="68"/>
      <c r="AUG121" s="68"/>
      <c r="AUH121" s="68"/>
      <c r="AUI121" s="68"/>
      <c r="AUJ121" s="68"/>
      <c r="AUK121" s="68"/>
      <c r="AUL121" s="68"/>
      <c r="AUM121" s="68"/>
      <c r="AUN121" s="68"/>
      <c r="AUO121" s="68"/>
      <c r="AUP121" s="68"/>
      <c r="AUQ121" s="68"/>
      <c r="AUR121" s="68"/>
      <c r="AUS121" s="68"/>
      <c r="AUT121" s="68"/>
      <c r="AUU121" s="68"/>
      <c r="AUV121" s="68"/>
      <c r="AUW121" s="68"/>
      <c r="AUX121" s="68"/>
      <c r="AUY121" s="68"/>
      <c r="AUZ121" s="68"/>
      <c r="AVA121" s="68"/>
      <c r="AVB121" s="68"/>
      <c r="AVC121" s="68"/>
      <c r="AVD121" s="68"/>
      <c r="AVE121" s="68"/>
      <c r="AVF121" s="68"/>
      <c r="AVG121" s="68"/>
      <c r="AVH121" s="68"/>
      <c r="AVI121" s="68"/>
      <c r="AVJ121" s="68"/>
      <c r="AVK121" s="68"/>
      <c r="AVL121" s="68"/>
      <c r="AVM121" s="68"/>
      <c r="AVN121" s="68"/>
      <c r="AVO121" s="68"/>
      <c r="AVP121" s="68"/>
      <c r="AVQ121" s="68"/>
      <c r="AVR121" s="68"/>
      <c r="AVS121" s="68"/>
      <c r="AVT121" s="68"/>
      <c r="AVU121" s="68"/>
      <c r="AVV121" s="68"/>
      <c r="AVW121" s="68"/>
      <c r="AVX121" s="68"/>
      <c r="AVY121" s="68"/>
      <c r="AVZ121" s="68"/>
      <c r="AWA121" s="68"/>
      <c r="AWB121" s="68"/>
      <c r="AWC121" s="68"/>
      <c r="AWD121" s="68"/>
      <c r="AWE121" s="68"/>
      <c r="AWF121" s="68"/>
      <c r="AWG121" s="68"/>
      <c r="AWH121" s="68"/>
      <c r="AWI121" s="68"/>
      <c r="AWJ121" s="68"/>
      <c r="AWK121" s="68"/>
      <c r="AWL121" s="68"/>
      <c r="AWM121" s="68"/>
      <c r="AWN121" s="68"/>
      <c r="AWO121" s="68"/>
      <c r="AWP121" s="68"/>
      <c r="AWQ121" s="68"/>
      <c r="AWR121" s="68"/>
      <c r="AWS121" s="68"/>
      <c r="AWT121" s="68"/>
      <c r="AWU121" s="68"/>
      <c r="AWV121" s="68"/>
      <c r="AWW121" s="68"/>
      <c r="AWX121" s="68"/>
      <c r="AWY121" s="68"/>
      <c r="AWZ121" s="68"/>
      <c r="AXA121" s="68"/>
      <c r="AXB121" s="68"/>
      <c r="AXC121" s="68"/>
      <c r="AXD121" s="68"/>
      <c r="AXE121" s="68"/>
      <c r="AXF121" s="68"/>
      <c r="AXG121" s="68"/>
      <c r="AXH121" s="68"/>
      <c r="AXI121" s="68"/>
      <c r="AXJ121" s="68"/>
      <c r="AXK121" s="68"/>
      <c r="AXL121" s="68"/>
      <c r="AXM121" s="68"/>
      <c r="AXN121" s="68"/>
      <c r="AXO121" s="68"/>
      <c r="AXP121" s="68"/>
      <c r="AXQ121" s="68"/>
      <c r="AXR121" s="68"/>
      <c r="AXS121" s="68"/>
      <c r="AXT121" s="68"/>
      <c r="AXU121" s="68"/>
      <c r="AXV121" s="68"/>
      <c r="AXW121" s="68"/>
      <c r="AXX121" s="68"/>
      <c r="AXY121" s="68"/>
      <c r="AXZ121" s="68"/>
      <c r="AYA121" s="68"/>
      <c r="AYB121" s="68"/>
      <c r="AYC121" s="68"/>
      <c r="AYD121" s="68"/>
      <c r="AYE121" s="68"/>
      <c r="AYF121" s="68"/>
      <c r="AYG121" s="68"/>
      <c r="AYH121" s="68"/>
      <c r="AYI121" s="68"/>
      <c r="AYJ121" s="68"/>
      <c r="AYK121" s="68"/>
      <c r="AYL121" s="68"/>
      <c r="AYM121" s="68"/>
      <c r="AYN121" s="68"/>
      <c r="AYO121" s="68"/>
      <c r="AYP121" s="68"/>
      <c r="AYQ121" s="68"/>
      <c r="AYR121" s="68"/>
      <c r="AYS121" s="68"/>
      <c r="AYT121" s="68"/>
      <c r="AYU121" s="68"/>
      <c r="AYV121" s="68"/>
      <c r="AYW121" s="68"/>
      <c r="AYX121" s="68"/>
      <c r="AYY121" s="68"/>
      <c r="AYZ121" s="68"/>
      <c r="AZA121" s="68"/>
      <c r="AZB121" s="68"/>
      <c r="AZC121" s="68"/>
      <c r="AZD121" s="68"/>
      <c r="AZE121" s="68"/>
      <c r="AZF121" s="68"/>
      <c r="AZG121" s="68"/>
      <c r="AZH121" s="68"/>
      <c r="AZI121" s="68"/>
      <c r="AZJ121" s="68"/>
      <c r="AZK121" s="68"/>
      <c r="AZL121" s="68"/>
      <c r="AZM121" s="68"/>
      <c r="AZN121" s="68"/>
      <c r="AZO121" s="68"/>
      <c r="AZP121" s="68"/>
      <c r="AZQ121" s="68"/>
      <c r="AZR121" s="68"/>
      <c r="AZS121" s="68"/>
      <c r="AZT121" s="68"/>
      <c r="AZU121" s="68"/>
      <c r="AZV121" s="68"/>
      <c r="AZW121" s="68"/>
      <c r="AZX121" s="68"/>
      <c r="AZY121" s="68"/>
      <c r="AZZ121" s="68"/>
      <c r="BAA121" s="68"/>
      <c r="BAB121" s="68"/>
      <c r="BAC121" s="68"/>
      <c r="BAD121" s="68"/>
      <c r="BAE121" s="68"/>
      <c r="BAF121" s="68"/>
      <c r="BAG121" s="68"/>
      <c r="BAH121" s="68"/>
      <c r="BAI121" s="68"/>
      <c r="BAJ121" s="68"/>
      <c r="BAK121" s="68"/>
      <c r="BAL121" s="68"/>
      <c r="BAM121" s="68"/>
      <c r="BAN121" s="68"/>
      <c r="BAO121" s="68"/>
      <c r="BAP121" s="68"/>
      <c r="BAQ121" s="68"/>
      <c r="BAR121" s="68"/>
      <c r="BAS121" s="68"/>
      <c r="BAT121" s="68"/>
      <c r="BAU121" s="68"/>
      <c r="BAV121" s="68"/>
      <c r="BAW121" s="68"/>
      <c r="BAX121" s="68"/>
      <c r="BAY121" s="68"/>
      <c r="BAZ121" s="68"/>
      <c r="BBA121" s="68"/>
      <c r="BBB121" s="68"/>
      <c r="BBC121" s="68"/>
      <c r="BBD121" s="68"/>
      <c r="BBE121" s="68"/>
      <c r="BBF121" s="68"/>
      <c r="BBG121" s="68"/>
      <c r="BBH121" s="68"/>
      <c r="BBI121" s="68"/>
      <c r="BBJ121" s="68"/>
      <c r="BBK121" s="68"/>
      <c r="BBL121" s="68"/>
      <c r="BBM121" s="68"/>
      <c r="BBN121" s="68"/>
      <c r="BBO121" s="68"/>
      <c r="BBP121" s="68"/>
      <c r="BBQ121" s="68"/>
      <c r="BBR121" s="68"/>
      <c r="BBS121" s="68"/>
      <c r="BBT121" s="68"/>
      <c r="BBU121" s="68"/>
      <c r="BBV121" s="68"/>
      <c r="BBW121" s="68"/>
      <c r="BBX121" s="68"/>
      <c r="BBY121" s="68"/>
      <c r="BBZ121" s="68"/>
      <c r="BCA121" s="68"/>
      <c r="BCB121" s="68"/>
      <c r="BCC121" s="68"/>
      <c r="BCD121" s="68"/>
      <c r="BCE121" s="68"/>
      <c r="BCF121" s="68"/>
      <c r="BCG121" s="68"/>
      <c r="BCH121" s="68"/>
      <c r="BCI121" s="68"/>
      <c r="BCJ121" s="68"/>
      <c r="BCK121" s="68"/>
      <c r="BCL121" s="68"/>
      <c r="BCM121" s="68"/>
      <c r="BCN121" s="68"/>
      <c r="BCO121" s="68"/>
      <c r="BCP121" s="68"/>
      <c r="BCQ121" s="68"/>
      <c r="BCR121" s="68"/>
      <c r="BCS121" s="68"/>
      <c r="BCT121" s="68"/>
      <c r="BCU121" s="68"/>
      <c r="BCV121" s="68"/>
      <c r="BCW121" s="68"/>
      <c r="BCX121" s="68"/>
      <c r="BCY121" s="68"/>
      <c r="BCZ121" s="68"/>
      <c r="BDA121" s="68"/>
      <c r="BDB121" s="68"/>
      <c r="BDC121" s="68"/>
      <c r="BDD121" s="68"/>
      <c r="BDE121" s="68"/>
      <c r="BDF121" s="68"/>
      <c r="BDG121" s="68"/>
      <c r="BDH121" s="68"/>
      <c r="BDI121" s="68"/>
      <c r="BDJ121" s="68"/>
      <c r="BDK121" s="68"/>
      <c r="BDL121" s="68"/>
      <c r="BDM121" s="68"/>
      <c r="BDN121" s="68"/>
      <c r="BDO121" s="68"/>
      <c r="BDP121" s="68"/>
      <c r="BDQ121" s="68"/>
      <c r="BDR121" s="68"/>
      <c r="BDS121" s="68"/>
      <c r="BDT121" s="68"/>
      <c r="BDU121" s="68"/>
      <c r="BDV121" s="68"/>
      <c r="BDW121" s="68"/>
      <c r="BDX121" s="68"/>
      <c r="BDY121" s="68"/>
      <c r="BDZ121" s="68"/>
      <c r="BEA121" s="68"/>
      <c r="BEB121" s="68"/>
      <c r="BEC121" s="68"/>
      <c r="BED121" s="68"/>
      <c r="BEE121" s="68"/>
      <c r="BEF121" s="68"/>
      <c r="BEG121" s="68"/>
      <c r="BEH121" s="68"/>
      <c r="BEI121" s="68"/>
      <c r="BEJ121" s="68"/>
      <c r="BEK121" s="68"/>
      <c r="BEL121" s="68"/>
      <c r="BEM121" s="68"/>
      <c r="BEN121" s="68"/>
      <c r="BEO121" s="68"/>
      <c r="BEP121" s="68"/>
      <c r="BEQ121" s="68"/>
      <c r="BER121" s="68"/>
      <c r="BES121" s="68"/>
      <c r="BET121" s="68"/>
      <c r="BEU121" s="68"/>
      <c r="BEV121" s="68"/>
      <c r="BEW121" s="68"/>
      <c r="BEX121" s="68"/>
      <c r="BEY121" s="68"/>
      <c r="BEZ121" s="68"/>
      <c r="BFA121" s="68"/>
      <c r="BFB121" s="68"/>
      <c r="BFC121" s="68"/>
      <c r="BFD121" s="68"/>
      <c r="BFE121" s="68"/>
      <c r="BFF121" s="68"/>
      <c r="BFG121" s="68"/>
      <c r="BFH121" s="68"/>
      <c r="BFI121" s="68"/>
      <c r="BFJ121" s="68"/>
      <c r="BFK121" s="68"/>
      <c r="BFL121" s="68"/>
      <c r="BFM121" s="68"/>
      <c r="BFN121" s="68"/>
      <c r="BFO121" s="68"/>
      <c r="BFP121" s="68"/>
      <c r="BFQ121" s="68"/>
      <c r="BFR121" s="68"/>
      <c r="BFS121" s="68"/>
      <c r="BFT121" s="68"/>
      <c r="BFU121" s="68"/>
      <c r="BFV121" s="68"/>
      <c r="BFW121" s="68"/>
      <c r="BFX121" s="68"/>
      <c r="BFY121" s="68"/>
      <c r="BFZ121" s="68"/>
      <c r="BGA121" s="68"/>
      <c r="BGB121" s="68"/>
      <c r="BGC121" s="68"/>
      <c r="BGD121" s="68"/>
      <c r="BGE121" s="68"/>
      <c r="BGF121" s="68"/>
      <c r="BGG121" s="68"/>
      <c r="BGH121" s="68"/>
      <c r="BGI121" s="68"/>
      <c r="BGJ121" s="68"/>
      <c r="BGK121" s="68"/>
      <c r="BGL121" s="68"/>
      <c r="BGM121" s="68"/>
      <c r="BGN121" s="68"/>
      <c r="BGO121" s="68"/>
      <c r="BGP121" s="68"/>
      <c r="BGQ121" s="68"/>
      <c r="BGR121" s="68"/>
      <c r="BGS121" s="68"/>
      <c r="BGT121" s="68"/>
      <c r="BGU121" s="68"/>
      <c r="BGV121" s="68"/>
      <c r="BGW121" s="68"/>
      <c r="BGX121" s="68"/>
      <c r="BGY121" s="68"/>
      <c r="BGZ121" s="68"/>
      <c r="BHA121" s="68"/>
      <c r="BHB121" s="68"/>
      <c r="BHC121" s="68"/>
      <c r="BHD121" s="68"/>
      <c r="BHE121" s="68"/>
      <c r="BHF121" s="68"/>
      <c r="BHG121" s="68"/>
      <c r="BHH121" s="68"/>
      <c r="BHI121" s="68"/>
      <c r="BHJ121" s="68"/>
      <c r="BHK121" s="68"/>
      <c r="BHL121" s="68"/>
      <c r="BHM121" s="68"/>
      <c r="BHN121" s="68"/>
      <c r="BHO121" s="68"/>
      <c r="BHP121" s="68"/>
      <c r="BHQ121" s="68"/>
      <c r="BHR121" s="68"/>
      <c r="BHS121" s="68"/>
      <c r="BHT121" s="68"/>
      <c r="BHU121" s="68"/>
      <c r="BHV121" s="68"/>
      <c r="BHW121" s="68"/>
      <c r="BHX121" s="68"/>
      <c r="BHY121" s="68"/>
      <c r="BHZ121" s="68"/>
      <c r="BIA121" s="68"/>
      <c r="BIB121" s="68"/>
      <c r="BIC121" s="68"/>
      <c r="BID121" s="68"/>
      <c r="BIE121" s="68"/>
      <c r="BIF121" s="68"/>
      <c r="BIG121" s="68"/>
      <c r="BIH121" s="68"/>
      <c r="BII121" s="68"/>
      <c r="BIJ121" s="68"/>
      <c r="BIK121" s="68"/>
      <c r="BIL121" s="68"/>
      <c r="BIM121" s="68"/>
      <c r="BIN121" s="68"/>
      <c r="BIO121" s="68"/>
      <c r="BIP121" s="68"/>
      <c r="BIQ121" s="68"/>
      <c r="BIR121" s="68"/>
      <c r="BIS121" s="68"/>
      <c r="BIT121" s="68"/>
      <c r="BIU121" s="68"/>
      <c r="BIV121" s="68"/>
      <c r="BIW121" s="68"/>
      <c r="BIX121" s="68"/>
      <c r="BIY121" s="68"/>
      <c r="BIZ121" s="68"/>
      <c r="BJA121" s="68"/>
      <c r="BJB121" s="68"/>
      <c r="BJC121" s="68"/>
      <c r="BJD121" s="68"/>
      <c r="BJE121" s="68"/>
      <c r="BJF121" s="68"/>
      <c r="BJG121" s="68"/>
      <c r="BJH121" s="68"/>
      <c r="BJI121" s="68"/>
      <c r="BJJ121" s="68"/>
      <c r="BJK121" s="68"/>
      <c r="BJL121" s="68"/>
      <c r="BJM121" s="68"/>
      <c r="BJN121" s="68"/>
      <c r="BJO121" s="68"/>
      <c r="BJP121" s="68"/>
      <c r="BJQ121" s="68"/>
      <c r="BJR121" s="68"/>
      <c r="BJS121" s="68"/>
      <c r="BJT121" s="68"/>
      <c r="BJU121" s="68"/>
      <c r="BJV121" s="68"/>
      <c r="BJW121" s="68"/>
      <c r="BJX121" s="68"/>
      <c r="BJY121" s="68"/>
      <c r="BJZ121" s="68"/>
      <c r="BKA121" s="68"/>
      <c r="BKB121" s="68"/>
      <c r="BKC121" s="68"/>
      <c r="BKD121" s="68"/>
      <c r="BKE121" s="68"/>
      <c r="BKF121" s="68"/>
      <c r="BKG121" s="68"/>
      <c r="BKH121" s="68"/>
      <c r="BKI121" s="68"/>
      <c r="BKJ121" s="68"/>
      <c r="BKK121" s="68"/>
      <c r="BKL121" s="68"/>
      <c r="BKM121" s="68"/>
      <c r="BKN121" s="68"/>
      <c r="BKO121" s="68"/>
      <c r="BKP121" s="68"/>
      <c r="BKQ121" s="68"/>
      <c r="BKR121" s="68"/>
      <c r="BKS121" s="68"/>
      <c r="BKT121" s="68"/>
      <c r="BKU121" s="68"/>
      <c r="BKV121" s="68"/>
      <c r="BKW121" s="68"/>
      <c r="BKX121" s="68"/>
      <c r="BKY121" s="68"/>
      <c r="BKZ121" s="68"/>
      <c r="BLA121" s="68"/>
      <c r="BLB121" s="68"/>
      <c r="BLC121" s="68"/>
      <c r="BLD121" s="68"/>
      <c r="BLE121" s="68"/>
      <c r="BLF121" s="68"/>
      <c r="BLG121" s="68"/>
      <c r="BLH121" s="68"/>
      <c r="BLI121" s="68"/>
      <c r="BLJ121" s="68"/>
      <c r="BLK121" s="68"/>
      <c r="BLL121" s="68"/>
      <c r="BLM121" s="68"/>
      <c r="BLN121" s="68"/>
      <c r="BLO121" s="68"/>
      <c r="BLP121" s="68"/>
      <c r="BLQ121" s="68"/>
      <c r="BLR121" s="68"/>
      <c r="BLS121" s="68"/>
      <c r="BLT121" s="68"/>
      <c r="BLU121" s="68"/>
      <c r="BLV121" s="68"/>
      <c r="BLW121" s="68"/>
      <c r="BLX121" s="68"/>
      <c r="BLY121" s="68"/>
      <c r="BLZ121" s="68"/>
      <c r="BMA121" s="68"/>
      <c r="BMB121" s="68"/>
      <c r="BMC121" s="68"/>
      <c r="BMD121" s="68"/>
      <c r="BME121" s="68"/>
      <c r="BMF121" s="68"/>
      <c r="BMG121" s="68"/>
      <c r="BMH121" s="68"/>
      <c r="BMI121" s="68"/>
      <c r="BMJ121" s="68"/>
      <c r="BMK121" s="68"/>
      <c r="BML121" s="68"/>
      <c r="BMM121" s="68"/>
      <c r="BMN121" s="68"/>
      <c r="BMO121" s="68"/>
      <c r="BMP121" s="68"/>
      <c r="BMQ121" s="68"/>
      <c r="BMR121" s="68"/>
      <c r="BMS121" s="68"/>
      <c r="BMT121" s="68"/>
      <c r="BMU121" s="68"/>
      <c r="BMV121" s="68"/>
      <c r="BMW121" s="68"/>
      <c r="BMX121" s="68"/>
      <c r="BMY121" s="68"/>
      <c r="BMZ121" s="68"/>
      <c r="BNA121" s="68"/>
      <c r="BNB121" s="68"/>
      <c r="BNC121" s="68"/>
      <c r="BND121" s="68"/>
      <c r="BNE121" s="68"/>
      <c r="BNF121" s="68"/>
      <c r="BNG121" s="68"/>
      <c r="BNH121" s="68"/>
      <c r="BNI121" s="68"/>
      <c r="BNJ121" s="68"/>
      <c r="BNK121" s="68"/>
      <c r="BNL121" s="68"/>
      <c r="BNM121" s="68"/>
      <c r="BNN121" s="68"/>
      <c r="BNO121" s="68"/>
      <c r="BNP121" s="68"/>
      <c r="BNQ121" s="68"/>
      <c r="BNR121" s="68"/>
      <c r="BNS121" s="68"/>
      <c r="BNT121" s="68"/>
      <c r="BNU121" s="68"/>
      <c r="BNV121" s="68"/>
      <c r="BNW121" s="68"/>
      <c r="BNX121" s="68"/>
      <c r="BNY121" s="68"/>
      <c r="BNZ121" s="68"/>
      <c r="BOA121" s="68"/>
      <c r="BOB121" s="68"/>
      <c r="BOC121" s="68"/>
      <c r="BOD121" s="68"/>
      <c r="BOE121" s="68"/>
      <c r="BOF121" s="68"/>
      <c r="BOG121" s="68"/>
      <c r="BOH121" s="68"/>
      <c r="BOI121" s="68"/>
      <c r="BOJ121" s="68"/>
      <c r="BOK121" s="68"/>
      <c r="BOL121" s="68"/>
      <c r="BOM121" s="68"/>
      <c r="BON121" s="68"/>
      <c r="BOO121" s="68"/>
      <c r="BOP121" s="68"/>
      <c r="BOQ121" s="68"/>
      <c r="BOR121" s="68"/>
      <c r="BOS121" s="68"/>
      <c r="BOT121" s="68"/>
      <c r="BOU121" s="68"/>
      <c r="BOV121" s="68"/>
      <c r="BOW121" s="68"/>
      <c r="BOX121" s="68"/>
      <c r="BOY121" s="68"/>
      <c r="BOZ121" s="68"/>
      <c r="BPA121" s="68"/>
      <c r="BPB121" s="68"/>
      <c r="BPC121" s="68"/>
      <c r="BPD121" s="68"/>
      <c r="BPE121" s="68"/>
      <c r="BPF121" s="68"/>
      <c r="BPG121" s="68"/>
      <c r="BPH121" s="68"/>
      <c r="BPI121" s="68"/>
      <c r="BPJ121" s="68"/>
      <c r="BPK121" s="68"/>
      <c r="BPL121" s="68"/>
      <c r="BPM121" s="68"/>
      <c r="BPN121" s="68"/>
      <c r="BPO121" s="68"/>
      <c r="BPP121" s="68"/>
      <c r="BPQ121" s="68"/>
      <c r="BPR121" s="68"/>
      <c r="BPS121" s="68"/>
      <c r="BPT121" s="68"/>
      <c r="BPU121" s="68"/>
      <c r="BPV121" s="68"/>
      <c r="BPW121" s="68"/>
      <c r="BPX121" s="68"/>
      <c r="BPY121" s="68"/>
      <c r="BPZ121" s="68"/>
      <c r="BQA121" s="68"/>
      <c r="BQB121" s="68"/>
      <c r="BQC121" s="68"/>
      <c r="BQD121" s="68"/>
      <c r="BQE121" s="68"/>
      <c r="BQF121" s="68"/>
      <c r="BQG121" s="68"/>
      <c r="BQH121" s="68"/>
      <c r="BQI121" s="68"/>
      <c r="BQJ121" s="68"/>
      <c r="BQK121" s="68"/>
      <c r="BQL121" s="68"/>
      <c r="BQM121" s="68"/>
      <c r="BQN121" s="68"/>
      <c r="BQO121" s="68"/>
      <c r="BQP121" s="68"/>
      <c r="BQQ121" s="68"/>
      <c r="BQR121" s="68"/>
      <c r="BQS121" s="68"/>
      <c r="BQT121" s="68"/>
      <c r="BQU121" s="68"/>
      <c r="BQV121" s="68"/>
      <c r="BQW121" s="68"/>
      <c r="BQX121" s="68"/>
      <c r="BQY121" s="68"/>
      <c r="BQZ121" s="68"/>
      <c r="BRA121" s="68"/>
      <c r="BRB121" s="68"/>
      <c r="BRC121" s="68"/>
      <c r="BRD121" s="68"/>
      <c r="BRE121" s="68"/>
      <c r="BRF121" s="68"/>
      <c r="BRG121" s="68"/>
      <c r="BRH121" s="68"/>
      <c r="BRI121" s="68"/>
      <c r="BRJ121" s="68"/>
      <c r="BRK121" s="68"/>
      <c r="BRL121" s="68"/>
      <c r="BRM121" s="68"/>
      <c r="BRN121" s="68"/>
      <c r="BRO121" s="68"/>
      <c r="BRP121" s="68"/>
      <c r="BRQ121" s="68"/>
      <c r="BRR121" s="68"/>
      <c r="BRS121" s="68"/>
      <c r="BRT121" s="68"/>
      <c r="BRU121" s="68"/>
      <c r="BRV121" s="68"/>
      <c r="BRW121" s="68"/>
      <c r="BRX121" s="68"/>
      <c r="BRY121" s="68"/>
      <c r="BRZ121" s="68"/>
      <c r="BSA121" s="68"/>
      <c r="BSB121" s="68"/>
      <c r="BSC121" s="68"/>
      <c r="BSD121" s="68"/>
      <c r="BSE121" s="68"/>
      <c r="BSF121" s="68"/>
      <c r="BSG121" s="68"/>
      <c r="BSH121" s="68"/>
      <c r="BSI121" s="68"/>
      <c r="BSJ121" s="68"/>
      <c r="BSK121" s="68"/>
      <c r="BSL121" s="68"/>
      <c r="BSM121" s="68"/>
      <c r="BSN121" s="68"/>
      <c r="BSO121" s="68"/>
      <c r="BSP121" s="68"/>
      <c r="BSQ121" s="68"/>
      <c r="BSR121" s="68"/>
      <c r="BSS121" s="68"/>
      <c r="BST121" s="68"/>
      <c r="BSU121" s="68"/>
      <c r="BSV121" s="68"/>
      <c r="BSW121" s="68"/>
      <c r="BSX121" s="68"/>
      <c r="BSY121" s="68"/>
      <c r="BSZ121" s="68"/>
      <c r="BTA121" s="68"/>
      <c r="BTB121" s="68"/>
      <c r="BTC121" s="68"/>
      <c r="BTD121" s="68"/>
      <c r="BTE121" s="68"/>
      <c r="BTF121" s="68"/>
      <c r="BTG121" s="68"/>
      <c r="BTH121" s="68"/>
      <c r="BTI121" s="68"/>
      <c r="BTJ121" s="68"/>
      <c r="BTK121" s="68"/>
      <c r="BTL121" s="68"/>
      <c r="BTM121" s="68"/>
      <c r="BTN121" s="68"/>
      <c r="BTO121" s="68"/>
      <c r="BTP121" s="68"/>
      <c r="BTQ121" s="68"/>
      <c r="BTR121" s="68"/>
      <c r="BTS121" s="68"/>
      <c r="BTT121" s="68"/>
      <c r="BTU121" s="68"/>
      <c r="BTV121" s="68"/>
      <c r="BTW121" s="68"/>
      <c r="BTX121" s="68"/>
      <c r="BTY121" s="68"/>
      <c r="BTZ121" s="68"/>
      <c r="BUA121" s="68"/>
      <c r="BUB121" s="68"/>
      <c r="BUC121" s="68"/>
      <c r="BUD121" s="68"/>
      <c r="BUE121" s="68"/>
      <c r="BUF121" s="68"/>
      <c r="BUG121" s="68"/>
      <c r="BUH121" s="68"/>
      <c r="BUI121" s="68"/>
      <c r="BUJ121" s="68"/>
      <c r="BUK121" s="68"/>
      <c r="BUL121" s="68"/>
      <c r="BUM121" s="68"/>
      <c r="BUN121" s="68"/>
      <c r="BUO121" s="68"/>
      <c r="BUP121" s="68"/>
      <c r="BUQ121" s="68"/>
      <c r="BUR121" s="68"/>
      <c r="BUS121" s="68"/>
      <c r="BUT121" s="68"/>
      <c r="BUU121" s="68"/>
      <c r="BUV121" s="68"/>
      <c r="BUW121" s="68"/>
      <c r="BUX121" s="68"/>
      <c r="BUY121" s="68"/>
      <c r="BUZ121" s="68"/>
      <c r="BVA121" s="68"/>
      <c r="BVB121" s="68"/>
      <c r="BVC121" s="68"/>
      <c r="BVD121" s="68"/>
      <c r="BVE121" s="68"/>
      <c r="BVF121" s="68"/>
      <c r="BVG121" s="68"/>
      <c r="BVH121" s="68"/>
      <c r="BVI121" s="68"/>
      <c r="BVJ121" s="68"/>
      <c r="BVK121" s="68"/>
      <c r="BVL121" s="68"/>
      <c r="BVM121" s="68"/>
      <c r="BVN121" s="68"/>
      <c r="BVO121" s="68"/>
      <c r="BVP121" s="68"/>
      <c r="BVQ121" s="68"/>
      <c r="BVR121" s="68"/>
      <c r="BVS121" s="68"/>
      <c r="BVT121" s="68"/>
      <c r="BVU121" s="68"/>
      <c r="BVV121" s="68"/>
      <c r="BVW121" s="68"/>
      <c r="BVX121" s="68"/>
      <c r="BVY121" s="68"/>
      <c r="BVZ121" s="68"/>
      <c r="BWA121" s="68"/>
      <c r="BWB121" s="68"/>
      <c r="BWC121" s="68"/>
      <c r="BWD121" s="68"/>
      <c r="BWE121" s="68"/>
      <c r="BWF121" s="68"/>
      <c r="BWG121" s="68"/>
      <c r="BWH121" s="68"/>
      <c r="BWI121" s="68"/>
      <c r="BWJ121" s="68"/>
      <c r="BWK121" s="68"/>
      <c r="BWL121" s="68"/>
      <c r="BWM121" s="68"/>
      <c r="BWN121" s="68"/>
      <c r="BWO121" s="68"/>
      <c r="BWP121" s="68"/>
      <c r="BWQ121" s="68"/>
      <c r="BWR121" s="68"/>
      <c r="BWS121" s="68"/>
      <c r="BWT121" s="68"/>
      <c r="BWU121" s="68"/>
      <c r="BWV121" s="68"/>
      <c r="BWW121" s="68"/>
      <c r="BWX121" s="68"/>
      <c r="BWY121" s="68"/>
      <c r="BWZ121" s="68"/>
      <c r="BXA121" s="68"/>
      <c r="BXB121" s="68"/>
      <c r="BXC121" s="68"/>
      <c r="BXD121" s="68"/>
      <c r="BXE121" s="68"/>
      <c r="BXF121" s="68"/>
      <c r="BXG121" s="68"/>
      <c r="BXH121" s="68"/>
      <c r="BXI121" s="68"/>
      <c r="BXJ121" s="68"/>
      <c r="BXK121" s="68"/>
      <c r="BXL121" s="68"/>
      <c r="BXM121" s="68"/>
      <c r="BXN121" s="68"/>
      <c r="BXO121" s="68"/>
      <c r="BXP121" s="68"/>
      <c r="BXQ121" s="68"/>
      <c r="BXR121" s="68"/>
      <c r="BXS121" s="68"/>
      <c r="BXT121" s="68"/>
      <c r="BXU121" s="68"/>
      <c r="BXV121" s="68"/>
      <c r="BXW121" s="68"/>
      <c r="BXX121" s="68"/>
      <c r="BXY121" s="68"/>
      <c r="BXZ121" s="68"/>
      <c r="BYA121" s="68"/>
      <c r="BYB121" s="68"/>
      <c r="BYC121" s="68"/>
      <c r="BYD121" s="68"/>
      <c r="BYE121" s="68"/>
      <c r="BYF121" s="68"/>
      <c r="BYG121" s="68"/>
      <c r="BYH121" s="68"/>
      <c r="BYI121" s="68"/>
      <c r="BYJ121" s="68"/>
      <c r="BYK121" s="68"/>
      <c r="BYL121" s="68"/>
      <c r="BYM121" s="68"/>
      <c r="BYN121" s="68"/>
      <c r="BYO121" s="68"/>
      <c r="BYP121" s="68"/>
      <c r="BYQ121" s="68"/>
      <c r="BYR121" s="68"/>
      <c r="BYS121" s="68"/>
      <c r="BYT121" s="68"/>
      <c r="BYU121" s="68"/>
      <c r="BYV121" s="68"/>
      <c r="BYW121" s="68"/>
      <c r="BYX121" s="68"/>
      <c r="BYY121" s="68"/>
      <c r="BYZ121" s="68"/>
      <c r="BZA121" s="68"/>
      <c r="BZB121" s="68"/>
      <c r="BZC121" s="68"/>
      <c r="BZD121" s="68"/>
      <c r="BZE121" s="68"/>
      <c r="BZF121" s="68"/>
      <c r="BZG121" s="68"/>
      <c r="BZH121" s="68"/>
      <c r="BZI121" s="68"/>
      <c r="BZJ121" s="68"/>
      <c r="BZK121" s="68"/>
      <c r="BZL121" s="68"/>
      <c r="BZM121" s="68"/>
      <c r="BZN121" s="68"/>
      <c r="BZO121" s="68"/>
      <c r="BZP121" s="68"/>
      <c r="BZQ121" s="68"/>
      <c r="BZR121" s="68"/>
      <c r="BZS121" s="68"/>
      <c r="BZT121" s="68"/>
      <c r="BZU121" s="68"/>
      <c r="BZV121" s="68"/>
      <c r="BZW121" s="68"/>
      <c r="BZX121" s="68"/>
      <c r="BZY121" s="68"/>
      <c r="BZZ121" s="68"/>
      <c r="CAA121" s="68"/>
      <c r="CAB121" s="68"/>
      <c r="CAC121" s="68"/>
      <c r="CAD121" s="68"/>
      <c r="CAE121" s="68"/>
      <c r="CAF121" s="68"/>
      <c r="CAG121" s="68"/>
      <c r="CAH121" s="68"/>
      <c r="CAI121" s="68"/>
      <c r="CAJ121" s="68"/>
      <c r="CAK121" s="68"/>
      <c r="CAL121" s="68"/>
      <c r="CAM121" s="68"/>
      <c r="CAN121" s="68"/>
      <c r="CAO121" s="68"/>
      <c r="CAP121" s="68"/>
      <c r="CAQ121" s="68"/>
      <c r="CAR121" s="68"/>
      <c r="CAS121" s="68"/>
      <c r="CAT121" s="68"/>
      <c r="CAU121" s="68"/>
      <c r="CAV121" s="68"/>
      <c r="CAW121" s="68"/>
      <c r="CAX121" s="68"/>
      <c r="CAY121" s="68"/>
      <c r="CAZ121" s="68"/>
      <c r="CBA121" s="68"/>
      <c r="CBB121" s="68"/>
      <c r="CBC121" s="68"/>
      <c r="CBD121" s="68"/>
      <c r="CBE121" s="68"/>
      <c r="CBF121" s="68"/>
      <c r="CBG121" s="68"/>
      <c r="CBH121" s="68"/>
      <c r="CBI121" s="68"/>
      <c r="CBJ121" s="68"/>
      <c r="CBK121" s="68"/>
      <c r="CBL121" s="68"/>
      <c r="CBM121" s="68"/>
      <c r="CBN121" s="68"/>
      <c r="CBO121" s="68"/>
      <c r="CBP121" s="68"/>
      <c r="CBQ121" s="68"/>
      <c r="CBR121" s="68"/>
      <c r="CBS121" s="68"/>
      <c r="CBT121" s="68"/>
      <c r="CBU121" s="68"/>
      <c r="CBV121" s="68"/>
      <c r="CBW121" s="68"/>
      <c r="CBX121" s="68"/>
      <c r="CBY121" s="68"/>
      <c r="CBZ121" s="68"/>
      <c r="CCA121" s="68"/>
      <c r="CCB121" s="68"/>
      <c r="CCC121" s="68"/>
      <c r="CCD121" s="68"/>
      <c r="CCE121" s="68"/>
      <c r="CCF121" s="68"/>
      <c r="CCG121" s="68"/>
      <c r="CCH121" s="68"/>
      <c r="CCI121" s="68"/>
      <c r="CCJ121" s="68"/>
      <c r="CCK121" s="68"/>
      <c r="CCL121" s="68"/>
      <c r="CCM121" s="68"/>
      <c r="CCN121" s="68"/>
      <c r="CCO121" s="68"/>
      <c r="CCP121" s="68"/>
      <c r="CCQ121" s="68"/>
      <c r="CCR121" s="68"/>
      <c r="CCS121" s="68"/>
      <c r="CCT121" s="68"/>
      <c r="CCU121" s="68"/>
      <c r="CCV121" s="68"/>
      <c r="CCW121" s="68"/>
      <c r="CCX121" s="68"/>
      <c r="CCY121" s="68"/>
      <c r="CCZ121" s="68"/>
      <c r="CDA121" s="68"/>
      <c r="CDB121" s="68"/>
      <c r="CDC121" s="68"/>
      <c r="CDD121" s="68"/>
      <c r="CDE121" s="68"/>
      <c r="CDF121" s="68"/>
      <c r="CDG121" s="68"/>
      <c r="CDH121" s="68"/>
      <c r="CDI121" s="68"/>
      <c r="CDJ121" s="68"/>
      <c r="CDK121" s="68"/>
      <c r="CDL121" s="68"/>
      <c r="CDM121" s="68"/>
      <c r="CDN121" s="68"/>
      <c r="CDO121" s="68"/>
      <c r="CDP121" s="68"/>
      <c r="CDQ121" s="68"/>
      <c r="CDR121" s="68"/>
      <c r="CDS121" s="68"/>
      <c r="CDT121" s="68"/>
      <c r="CDU121" s="68"/>
      <c r="CDV121" s="68"/>
      <c r="CDW121" s="68"/>
      <c r="CDX121" s="68"/>
      <c r="CDY121" s="68"/>
      <c r="CDZ121" s="68"/>
      <c r="CEA121" s="68"/>
      <c r="CEB121" s="68"/>
      <c r="CEC121" s="68"/>
      <c r="CED121" s="68"/>
      <c r="CEE121" s="68"/>
      <c r="CEF121" s="68"/>
      <c r="CEG121" s="68"/>
      <c r="CEH121" s="68"/>
      <c r="CEI121" s="68"/>
      <c r="CEJ121" s="68"/>
      <c r="CEK121" s="68"/>
      <c r="CEL121" s="68"/>
      <c r="CEM121" s="68"/>
      <c r="CEN121" s="68"/>
      <c r="CEO121" s="68"/>
      <c r="CEP121" s="68"/>
      <c r="CEQ121" s="68"/>
      <c r="CER121" s="68"/>
      <c r="CES121" s="68"/>
      <c r="CET121" s="68"/>
      <c r="CEU121" s="68"/>
      <c r="CEV121" s="68"/>
      <c r="CEW121" s="68"/>
      <c r="CEX121" s="68"/>
      <c r="CEY121" s="68"/>
      <c r="CEZ121" s="68"/>
      <c r="CFA121" s="68"/>
      <c r="CFB121" s="68"/>
      <c r="CFC121" s="68"/>
      <c r="CFD121" s="68"/>
      <c r="CFE121" s="68"/>
      <c r="CFF121" s="68"/>
      <c r="CFG121" s="68"/>
      <c r="CFH121" s="68"/>
      <c r="CFI121" s="68"/>
      <c r="CFJ121" s="68"/>
      <c r="CFK121" s="68"/>
      <c r="CFL121" s="68"/>
      <c r="CFM121" s="68"/>
      <c r="CFN121" s="68"/>
      <c r="CFO121" s="68"/>
      <c r="CFP121" s="68"/>
      <c r="CFQ121" s="68"/>
      <c r="CFR121" s="68"/>
      <c r="CFS121" s="68"/>
      <c r="CFT121" s="68"/>
      <c r="CFU121" s="68"/>
      <c r="CFV121" s="68"/>
      <c r="CFW121" s="68"/>
      <c r="CFX121" s="68"/>
      <c r="CFY121" s="68"/>
      <c r="CFZ121" s="68"/>
      <c r="CGA121" s="68"/>
      <c r="CGB121" s="68"/>
      <c r="CGC121" s="68"/>
      <c r="CGD121" s="68"/>
      <c r="CGE121" s="68"/>
      <c r="CGF121" s="68"/>
      <c r="CGG121" s="68"/>
      <c r="CGH121" s="68"/>
      <c r="CGI121" s="68"/>
      <c r="CGJ121" s="68"/>
      <c r="CGK121" s="68"/>
      <c r="CGL121" s="68"/>
      <c r="CGM121" s="68"/>
      <c r="CGN121" s="68"/>
      <c r="CGO121" s="68"/>
      <c r="CGP121" s="68"/>
      <c r="CGQ121" s="68"/>
      <c r="CGR121" s="68"/>
      <c r="CGS121" s="68"/>
      <c r="CGT121" s="68"/>
      <c r="CGU121" s="68"/>
      <c r="CGV121" s="68"/>
      <c r="CGW121" s="68"/>
      <c r="CGX121" s="68"/>
      <c r="CGY121" s="68"/>
      <c r="CGZ121" s="68"/>
      <c r="CHA121" s="68"/>
      <c r="CHB121" s="68"/>
      <c r="CHC121" s="68"/>
      <c r="CHD121" s="68"/>
      <c r="CHE121" s="68"/>
      <c r="CHF121" s="68"/>
      <c r="CHG121" s="68"/>
      <c r="CHH121" s="68"/>
      <c r="CHI121" s="68"/>
      <c r="CHJ121" s="68"/>
      <c r="CHK121" s="68"/>
      <c r="CHL121" s="68"/>
      <c r="CHM121" s="68"/>
      <c r="CHN121" s="68"/>
      <c r="CHO121" s="68"/>
      <c r="CHP121" s="68"/>
      <c r="CHQ121" s="68"/>
      <c r="CHR121" s="68"/>
      <c r="CHS121" s="68"/>
      <c r="CHT121" s="68"/>
      <c r="CHU121" s="68"/>
      <c r="CHV121" s="68"/>
      <c r="CHW121" s="68"/>
      <c r="CHX121" s="68"/>
      <c r="CHY121" s="68"/>
      <c r="CHZ121" s="68"/>
      <c r="CIA121" s="68"/>
      <c r="CIB121" s="68"/>
      <c r="CIC121" s="68"/>
      <c r="CID121" s="68"/>
      <c r="CIE121" s="68"/>
      <c r="CIF121" s="68"/>
      <c r="CIG121" s="68"/>
      <c r="CIH121" s="68"/>
      <c r="CII121" s="68"/>
      <c r="CIJ121" s="68"/>
      <c r="CIK121" s="68"/>
      <c r="CIL121" s="68"/>
      <c r="CIM121" s="68"/>
      <c r="CIN121" s="68"/>
      <c r="CIO121" s="68"/>
      <c r="CIP121" s="68"/>
      <c r="CIQ121" s="68"/>
      <c r="CIR121" s="68"/>
      <c r="CIS121" s="68"/>
      <c r="CIT121" s="68"/>
      <c r="CIU121" s="68"/>
      <c r="CIV121" s="68"/>
      <c r="CIW121" s="68"/>
      <c r="CIX121" s="68"/>
      <c r="CIY121" s="68"/>
      <c r="CIZ121" s="68"/>
      <c r="CJA121" s="68"/>
      <c r="CJB121" s="68"/>
      <c r="CJC121" s="68"/>
      <c r="CJD121" s="68"/>
      <c r="CJE121" s="68"/>
      <c r="CJF121" s="68"/>
      <c r="CJG121" s="68"/>
      <c r="CJH121" s="68"/>
      <c r="CJI121" s="68"/>
      <c r="CJJ121" s="68"/>
      <c r="CJK121" s="68"/>
      <c r="CJL121" s="68"/>
      <c r="CJM121" s="68"/>
      <c r="CJN121" s="68"/>
      <c r="CJO121" s="68"/>
      <c r="CJP121" s="68"/>
      <c r="CJQ121" s="68"/>
      <c r="CJR121" s="68"/>
      <c r="CJS121" s="68"/>
      <c r="CJT121" s="68"/>
      <c r="CJU121" s="68"/>
      <c r="CJV121" s="68"/>
      <c r="CJW121" s="68"/>
      <c r="CJX121" s="68"/>
      <c r="CJY121" s="68"/>
      <c r="CJZ121" s="68"/>
      <c r="CKA121" s="68"/>
      <c r="CKB121" s="68"/>
      <c r="CKC121" s="68"/>
      <c r="CKD121" s="68"/>
      <c r="CKE121" s="68"/>
      <c r="CKF121" s="68"/>
      <c r="CKG121" s="68"/>
      <c r="CKH121" s="68"/>
      <c r="CKI121" s="68"/>
      <c r="CKJ121" s="68"/>
      <c r="CKK121" s="68"/>
      <c r="CKL121" s="68"/>
      <c r="CKM121" s="68"/>
      <c r="CKN121" s="68"/>
      <c r="CKO121" s="68"/>
      <c r="CKP121" s="68"/>
      <c r="CKQ121" s="68"/>
      <c r="CKR121" s="68"/>
      <c r="CKS121" s="68"/>
      <c r="CKT121" s="68"/>
      <c r="CKU121" s="68"/>
      <c r="CKV121" s="68"/>
      <c r="CKW121" s="68"/>
      <c r="CKX121" s="68"/>
      <c r="CKY121" s="68"/>
      <c r="CKZ121" s="68"/>
      <c r="CLA121" s="68"/>
      <c r="CLB121" s="68"/>
      <c r="CLC121" s="68"/>
      <c r="CLD121" s="68"/>
      <c r="CLE121" s="68"/>
      <c r="CLF121" s="68"/>
      <c r="CLG121" s="68"/>
      <c r="CLH121" s="68"/>
      <c r="CLI121" s="68"/>
      <c r="CLJ121" s="68"/>
      <c r="CLK121" s="68"/>
      <c r="CLL121" s="68"/>
      <c r="CLM121" s="68"/>
      <c r="CLN121" s="68"/>
      <c r="CLO121" s="68"/>
      <c r="CLP121" s="68"/>
      <c r="CLQ121" s="68"/>
      <c r="CLR121" s="68"/>
      <c r="CLS121" s="68"/>
      <c r="CLT121" s="68"/>
      <c r="CLU121" s="68"/>
      <c r="CLV121" s="68"/>
      <c r="CLW121" s="68"/>
      <c r="CLX121" s="68"/>
      <c r="CLY121" s="68"/>
      <c r="CLZ121" s="68"/>
      <c r="CMA121" s="68"/>
      <c r="CMB121" s="68"/>
      <c r="CMC121" s="68"/>
      <c r="CMD121" s="68"/>
      <c r="CME121" s="68"/>
      <c r="CMF121" s="68"/>
      <c r="CMG121" s="68"/>
      <c r="CMH121" s="68"/>
      <c r="CMI121" s="68"/>
      <c r="CMJ121" s="68"/>
      <c r="CMK121" s="68"/>
      <c r="CML121" s="68"/>
      <c r="CMM121" s="68"/>
      <c r="CMN121" s="68"/>
      <c r="CMO121" s="68"/>
      <c r="CMP121" s="68"/>
      <c r="CMQ121" s="68"/>
      <c r="CMR121" s="68"/>
      <c r="CMS121" s="68"/>
      <c r="CMT121" s="68"/>
      <c r="CMU121" s="68"/>
      <c r="CMV121" s="68"/>
      <c r="CMW121" s="68"/>
      <c r="CMX121" s="68"/>
      <c r="CMY121" s="68"/>
      <c r="CMZ121" s="68"/>
      <c r="CNA121" s="68"/>
      <c r="CNB121" s="68"/>
      <c r="CNC121" s="68"/>
      <c r="CND121" s="68"/>
      <c r="CNE121" s="68"/>
      <c r="CNF121" s="68"/>
      <c r="CNG121" s="68"/>
      <c r="CNH121" s="68"/>
      <c r="CNI121" s="68"/>
      <c r="CNJ121" s="68"/>
      <c r="CNK121" s="68"/>
      <c r="CNL121" s="68"/>
      <c r="CNM121" s="68"/>
      <c r="CNN121" s="68"/>
      <c r="CNO121" s="68"/>
      <c r="CNP121" s="68"/>
      <c r="CNQ121" s="68"/>
      <c r="CNR121" s="68"/>
      <c r="CNS121" s="68"/>
      <c r="CNT121" s="68"/>
      <c r="CNU121" s="68"/>
      <c r="CNV121" s="68"/>
      <c r="CNW121" s="68"/>
      <c r="CNX121" s="68"/>
      <c r="CNY121" s="68"/>
      <c r="CNZ121" s="68"/>
      <c r="COA121" s="68"/>
      <c r="COB121" s="68"/>
      <c r="COC121" s="68"/>
      <c r="COD121" s="68"/>
      <c r="COE121" s="68"/>
      <c r="COF121" s="68"/>
      <c r="COG121" s="68"/>
      <c r="COH121" s="68"/>
      <c r="COI121" s="68"/>
      <c r="COJ121" s="68"/>
      <c r="COK121" s="68"/>
      <c r="COL121" s="68"/>
      <c r="COM121" s="68"/>
      <c r="CON121" s="68"/>
      <c r="COO121" s="68"/>
      <c r="COP121" s="68"/>
      <c r="COQ121" s="68"/>
      <c r="COR121" s="68"/>
      <c r="COS121" s="68"/>
      <c r="COT121" s="68"/>
      <c r="COU121" s="68"/>
      <c r="COV121" s="68"/>
      <c r="COW121" s="68"/>
      <c r="COX121" s="68"/>
      <c r="COY121" s="68"/>
      <c r="COZ121" s="68"/>
      <c r="CPA121" s="68"/>
      <c r="CPB121" s="68"/>
      <c r="CPC121" s="68"/>
      <c r="CPD121" s="68"/>
      <c r="CPE121" s="68"/>
      <c r="CPF121" s="68"/>
      <c r="CPG121" s="68"/>
      <c r="CPH121" s="68"/>
      <c r="CPI121" s="68"/>
      <c r="CPJ121" s="68"/>
      <c r="CPK121" s="68"/>
      <c r="CPL121" s="68"/>
      <c r="CPM121" s="68"/>
      <c r="CPN121" s="68"/>
      <c r="CPO121" s="68"/>
      <c r="CPP121" s="68"/>
      <c r="CPQ121" s="68"/>
      <c r="CPR121" s="68"/>
      <c r="CPS121" s="68"/>
      <c r="CPT121" s="68"/>
      <c r="CPU121" s="68"/>
      <c r="CPV121" s="68"/>
      <c r="CPW121" s="68"/>
      <c r="CPX121" s="68"/>
      <c r="CPY121" s="68"/>
      <c r="CPZ121" s="68"/>
      <c r="CQA121" s="68"/>
      <c r="CQB121" s="68"/>
      <c r="CQC121" s="68"/>
      <c r="CQD121" s="68"/>
      <c r="CQE121" s="68"/>
      <c r="CQF121" s="68"/>
      <c r="CQG121" s="68"/>
      <c r="CQH121" s="68"/>
      <c r="CQI121" s="68"/>
      <c r="CQJ121" s="68"/>
      <c r="CQK121" s="68"/>
      <c r="CQL121" s="68"/>
      <c r="CQM121" s="68"/>
      <c r="CQN121" s="68"/>
      <c r="CQO121" s="68"/>
      <c r="CQP121" s="68"/>
      <c r="CQQ121" s="68"/>
      <c r="CQR121" s="68"/>
      <c r="CQS121" s="68"/>
      <c r="CQT121" s="68"/>
      <c r="CQU121" s="68"/>
      <c r="CQV121" s="68"/>
      <c r="CQW121" s="68"/>
      <c r="CQX121" s="68"/>
      <c r="CQY121" s="68"/>
      <c r="CQZ121" s="68"/>
      <c r="CRA121" s="68"/>
      <c r="CRB121" s="68"/>
      <c r="CRC121" s="68"/>
      <c r="CRD121" s="68"/>
      <c r="CRE121" s="68"/>
      <c r="CRF121" s="68"/>
      <c r="CRG121" s="68"/>
      <c r="CRH121" s="68"/>
      <c r="CRI121" s="68"/>
      <c r="CRJ121" s="68"/>
      <c r="CRK121" s="68"/>
      <c r="CRL121" s="68"/>
      <c r="CRM121" s="68"/>
      <c r="CRN121" s="68"/>
      <c r="CRO121" s="68"/>
      <c r="CRP121" s="68"/>
      <c r="CRQ121" s="68"/>
      <c r="CRR121" s="68"/>
      <c r="CRS121" s="68"/>
      <c r="CRT121" s="68"/>
      <c r="CRU121" s="68"/>
      <c r="CRV121" s="68"/>
      <c r="CRW121" s="68"/>
      <c r="CRX121" s="68"/>
      <c r="CRY121" s="68"/>
      <c r="CRZ121" s="68"/>
      <c r="CSA121" s="68"/>
      <c r="CSB121" s="68"/>
      <c r="CSC121" s="68"/>
      <c r="CSD121" s="68"/>
      <c r="CSE121" s="68"/>
      <c r="CSF121" s="68"/>
      <c r="CSG121" s="68"/>
      <c r="CSH121" s="68"/>
      <c r="CSI121" s="68"/>
      <c r="CSJ121" s="68"/>
      <c r="CSK121" s="68"/>
      <c r="CSL121" s="68"/>
      <c r="CSM121" s="68"/>
      <c r="CSN121" s="68"/>
      <c r="CSO121" s="68"/>
      <c r="CSP121" s="68"/>
      <c r="CSQ121" s="68"/>
      <c r="CSR121" s="68"/>
      <c r="CSS121" s="68"/>
      <c r="CST121" s="68"/>
      <c r="CSU121" s="68"/>
      <c r="CSV121" s="68"/>
      <c r="CSW121" s="68"/>
      <c r="CSX121" s="68"/>
      <c r="CSY121" s="68"/>
      <c r="CSZ121" s="68"/>
      <c r="CTA121" s="68"/>
      <c r="CTB121" s="68"/>
      <c r="CTC121" s="68"/>
      <c r="CTD121" s="68"/>
      <c r="CTE121" s="68"/>
      <c r="CTF121" s="68"/>
      <c r="CTG121" s="68"/>
      <c r="CTH121" s="68"/>
      <c r="CTI121" s="68"/>
      <c r="CTJ121" s="68"/>
      <c r="CTK121" s="68"/>
      <c r="CTL121" s="68"/>
      <c r="CTM121" s="68"/>
      <c r="CTN121" s="68"/>
      <c r="CTO121" s="68"/>
      <c r="CTP121" s="68"/>
      <c r="CTQ121" s="68"/>
      <c r="CTR121" s="68"/>
      <c r="CTS121" s="68"/>
      <c r="CTT121" s="68"/>
      <c r="CTU121" s="68"/>
      <c r="CTV121" s="68"/>
      <c r="CTW121" s="68"/>
      <c r="CTX121" s="68"/>
      <c r="CTY121" s="68"/>
      <c r="CTZ121" s="68"/>
      <c r="CUA121" s="68"/>
      <c r="CUB121" s="68"/>
      <c r="CUC121" s="68"/>
      <c r="CUD121" s="68"/>
      <c r="CUE121" s="68"/>
      <c r="CUF121" s="68"/>
      <c r="CUG121" s="68"/>
      <c r="CUH121" s="68"/>
      <c r="CUI121" s="68"/>
      <c r="CUJ121" s="68"/>
      <c r="CUK121" s="68"/>
      <c r="CUL121" s="68"/>
      <c r="CUM121" s="68"/>
      <c r="CUN121" s="68"/>
      <c r="CUO121" s="68"/>
      <c r="CUP121" s="68"/>
      <c r="CUQ121" s="68"/>
      <c r="CUR121" s="68"/>
      <c r="CUS121" s="68"/>
      <c r="CUT121" s="68"/>
      <c r="CUU121" s="68"/>
      <c r="CUV121" s="68"/>
      <c r="CUW121" s="68"/>
      <c r="CUX121" s="68"/>
      <c r="CUY121" s="68"/>
      <c r="CUZ121" s="68"/>
      <c r="CVA121" s="68"/>
      <c r="CVB121" s="68"/>
      <c r="CVC121" s="68"/>
      <c r="CVD121" s="68"/>
      <c r="CVE121" s="68"/>
      <c r="CVF121" s="68"/>
      <c r="CVG121" s="68"/>
      <c r="CVH121" s="68"/>
      <c r="CVI121" s="68"/>
      <c r="CVJ121" s="68"/>
      <c r="CVK121" s="68"/>
      <c r="CVL121" s="68"/>
      <c r="CVM121" s="68"/>
      <c r="CVN121" s="68"/>
      <c r="CVO121" s="68"/>
      <c r="CVP121" s="68"/>
      <c r="CVQ121" s="68"/>
      <c r="CVR121" s="68"/>
      <c r="CVS121" s="68"/>
      <c r="CVT121" s="68"/>
      <c r="CVU121" s="68"/>
      <c r="CVV121" s="68"/>
      <c r="CVW121" s="68"/>
      <c r="CVX121" s="68"/>
      <c r="CVY121" s="68"/>
      <c r="CVZ121" s="68"/>
      <c r="CWA121" s="68"/>
      <c r="CWB121" s="68"/>
      <c r="CWC121" s="68"/>
      <c r="CWD121" s="68"/>
      <c r="CWE121" s="68"/>
      <c r="CWF121" s="68"/>
      <c r="CWG121" s="68"/>
      <c r="CWH121" s="68"/>
      <c r="CWI121" s="68"/>
      <c r="CWJ121" s="68"/>
      <c r="CWK121" s="68"/>
      <c r="CWL121" s="68"/>
      <c r="CWM121" s="68"/>
      <c r="CWN121" s="68"/>
      <c r="CWO121" s="68"/>
      <c r="CWP121" s="68"/>
      <c r="CWQ121" s="68"/>
      <c r="CWR121" s="68"/>
      <c r="CWS121" s="68"/>
      <c r="CWT121" s="68"/>
      <c r="CWU121" s="68"/>
      <c r="CWV121" s="68"/>
      <c r="CWW121" s="68"/>
      <c r="CWX121" s="68"/>
      <c r="CWY121" s="68"/>
      <c r="CWZ121" s="68"/>
      <c r="CXA121" s="68"/>
      <c r="CXB121" s="68"/>
      <c r="CXC121" s="68"/>
      <c r="CXD121" s="68"/>
      <c r="CXE121" s="68"/>
      <c r="CXF121" s="68"/>
      <c r="CXG121" s="68"/>
      <c r="CXH121" s="68"/>
      <c r="CXI121" s="68"/>
      <c r="CXJ121" s="68"/>
      <c r="CXK121" s="68"/>
      <c r="CXL121" s="68"/>
      <c r="CXM121" s="68"/>
      <c r="CXN121" s="68"/>
      <c r="CXO121" s="68"/>
      <c r="CXP121" s="68"/>
      <c r="CXQ121" s="68"/>
      <c r="CXR121" s="68"/>
      <c r="CXS121" s="68"/>
      <c r="CXT121" s="68"/>
      <c r="CXU121" s="68"/>
      <c r="CXV121" s="68"/>
      <c r="CXW121" s="68"/>
      <c r="CXX121" s="68"/>
      <c r="CXY121" s="68"/>
      <c r="CXZ121" s="68"/>
      <c r="CYA121" s="68"/>
      <c r="CYB121" s="68"/>
      <c r="CYC121" s="68"/>
      <c r="CYD121" s="68"/>
      <c r="CYE121" s="68"/>
      <c r="CYF121" s="68"/>
      <c r="CYG121" s="68"/>
      <c r="CYH121" s="68"/>
      <c r="CYI121" s="68"/>
      <c r="CYJ121" s="68"/>
      <c r="CYK121" s="68"/>
      <c r="CYL121" s="68"/>
      <c r="CYM121" s="68"/>
      <c r="CYN121" s="68"/>
      <c r="CYO121" s="68"/>
      <c r="CYP121" s="68"/>
      <c r="CYQ121" s="68"/>
      <c r="CYR121" s="68"/>
      <c r="CYS121" s="68"/>
      <c r="CYT121" s="68"/>
      <c r="CYU121" s="68"/>
      <c r="CYV121" s="68"/>
      <c r="CYW121" s="68"/>
      <c r="CYX121" s="68"/>
      <c r="CYY121" s="68"/>
      <c r="CYZ121" s="68"/>
      <c r="CZA121" s="68"/>
      <c r="CZB121" s="68"/>
      <c r="CZC121" s="68"/>
      <c r="CZD121" s="68"/>
      <c r="CZE121" s="68"/>
      <c r="CZF121" s="68"/>
      <c r="CZG121" s="68"/>
      <c r="CZH121" s="68"/>
      <c r="CZI121" s="68"/>
      <c r="CZJ121" s="68"/>
      <c r="CZK121" s="68"/>
      <c r="CZL121" s="68"/>
      <c r="CZM121" s="68"/>
      <c r="CZN121" s="68"/>
      <c r="CZO121" s="68"/>
      <c r="CZP121" s="68"/>
      <c r="CZQ121" s="68"/>
      <c r="CZR121" s="68"/>
      <c r="CZS121" s="68"/>
      <c r="CZT121" s="68"/>
      <c r="CZU121" s="68"/>
      <c r="CZV121" s="68"/>
      <c r="CZW121" s="68"/>
      <c r="CZX121" s="68"/>
      <c r="CZY121" s="68"/>
      <c r="CZZ121" s="68"/>
      <c r="DAA121" s="68"/>
      <c r="DAB121" s="68"/>
      <c r="DAC121" s="68"/>
      <c r="DAD121" s="68"/>
      <c r="DAE121" s="68"/>
      <c r="DAF121" s="68"/>
      <c r="DAG121" s="68"/>
      <c r="DAH121" s="68"/>
      <c r="DAI121" s="68"/>
      <c r="DAJ121" s="68"/>
      <c r="DAK121" s="68"/>
      <c r="DAL121" s="68"/>
      <c r="DAM121" s="68"/>
      <c r="DAN121" s="68"/>
      <c r="DAO121" s="68"/>
      <c r="DAP121" s="68"/>
      <c r="DAQ121" s="68"/>
      <c r="DAR121" s="68"/>
      <c r="DAS121" s="68"/>
      <c r="DAT121" s="68"/>
      <c r="DAU121" s="68"/>
      <c r="DAV121" s="68"/>
      <c r="DAW121" s="68"/>
      <c r="DAX121" s="68"/>
      <c r="DAY121" s="68"/>
      <c r="DAZ121" s="68"/>
      <c r="DBA121" s="68"/>
      <c r="DBB121" s="68"/>
      <c r="DBC121" s="68"/>
      <c r="DBD121" s="68"/>
      <c r="DBE121" s="68"/>
      <c r="DBF121" s="68"/>
      <c r="DBG121" s="68"/>
      <c r="DBH121" s="68"/>
      <c r="DBI121" s="68"/>
      <c r="DBJ121" s="68"/>
      <c r="DBK121" s="68"/>
      <c r="DBL121" s="68"/>
      <c r="DBM121" s="68"/>
      <c r="DBN121" s="68"/>
      <c r="DBO121" s="68"/>
      <c r="DBP121" s="68"/>
      <c r="DBQ121" s="68"/>
      <c r="DBR121" s="68"/>
      <c r="DBS121" s="68"/>
      <c r="DBT121" s="68"/>
      <c r="DBU121" s="68"/>
      <c r="DBV121" s="68"/>
      <c r="DBW121" s="68"/>
      <c r="DBX121" s="68"/>
      <c r="DBY121" s="68"/>
      <c r="DBZ121" s="68"/>
      <c r="DCA121" s="68"/>
      <c r="DCB121" s="68"/>
      <c r="DCC121" s="68"/>
      <c r="DCD121" s="68"/>
      <c r="DCE121" s="68"/>
      <c r="DCF121" s="68"/>
      <c r="DCG121" s="68"/>
      <c r="DCH121" s="68"/>
      <c r="DCI121" s="68"/>
      <c r="DCJ121" s="68"/>
      <c r="DCK121" s="68"/>
      <c r="DCL121" s="68"/>
      <c r="DCM121" s="68"/>
      <c r="DCN121" s="68"/>
      <c r="DCO121" s="68"/>
      <c r="DCP121" s="68"/>
      <c r="DCQ121" s="68"/>
      <c r="DCR121" s="68"/>
      <c r="DCS121" s="68"/>
      <c r="DCT121" s="68"/>
      <c r="DCU121" s="68"/>
      <c r="DCV121" s="68"/>
      <c r="DCW121" s="68"/>
      <c r="DCX121" s="68"/>
      <c r="DCY121" s="68"/>
      <c r="DCZ121" s="68"/>
      <c r="DDA121" s="68"/>
      <c r="DDB121" s="68"/>
      <c r="DDC121" s="68"/>
      <c r="DDD121" s="68"/>
      <c r="DDE121" s="68"/>
      <c r="DDF121" s="68"/>
      <c r="DDG121" s="68"/>
      <c r="DDH121" s="68"/>
      <c r="DDI121" s="68"/>
      <c r="DDJ121" s="68"/>
      <c r="DDK121" s="68"/>
      <c r="DDL121" s="68"/>
      <c r="DDM121" s="68"/>
      <c r="DDN121" s="68"/>
      <c r="DDO121" s="68"/>
      <c r="DDP121" s="68"/>
      <c r="DDQ121" s="68"/>
      <c r="DDR121" s="68"/>
      <c r="DDS121" s="68"/>
      <c r="DDT121" s="68"/>
      <c r="DDU121" s="68"/>
      <c r="DDV121" s="68"/>
      <c r="DDW121" s="68"/>
      <c r="DDX121" s="68"/>
      <c r="DDY121" s="68"/>
      <c r="DDZ121" s="68"/>
      <c r="DEA121" s="68"/>
      <c r="DEB121" s="68"/>
      <c r="DEC121" s="68"/>
      <c r="DED121" s="68"/>
      <c r="DEE121" s="68"/>
      <c r="DEF121" s="68"/>
      <c r="DEG121" s="68"/>
      <c r="DEH121" s="68"/>
      <c r="DEI121" s="68"/>
      <c r="DEJ121" s="68"/>
      <c r="DEK121" s="68"/>
      <c r="DEL121" s="68"/>
      <c r="DEM121" s="68"/>
      <c r="DEN121" s="68"/>
      <c r="DEO121" s="68"/>
      <c r="DEP121" s="68"/>
      <c r="DEQ121" s="68"/>
      <c r="DER121" s="68"/>
      <c r="DES121" s="68"/>
      <c r="DET121" s="68"/>
      <c r="DEU121" s="68"/>
      <c r="DEV121" s="68"/>
      <c r="DEW121" s="68"/>
      <c r="DEX121" s="68"/>
      <c r="DEY121" s="68"/>
      <c r="DEZ121" s="68"/>
      <c r="DFA121" s="68"/>
      <c r="DFB121" s="68"/>
      <c r="DFC121" s="68"/>
      <c r="DFD121" s="68"/>
      <c r="DFE121" s="68"/>
      <c r="DFF121" s="68"/>
      <c r="DFG121" s="68"/>
      <c r="DFH121" s="68"/>
      <c r="DFI121" s="68"/>
      <c r="DFJ121" s="68"/>
      <c r="DFK121" s="68"/>
      <c r="DFL121" s="68"/>
      <c r="DFM121" s="68"/>
      <c r="DFN121" s="68"/>
      <c r="DFO121" s="68"/>
      <c r="DFP121" s="68"/>
      <c r="DFQ121" s="68"/>
      <c r="DFR121" s="68"/>
      <c r="DFS121" s="68"/>
      <c r="DFT121" s="68"/>
      <c r="DFU121" s="68"/>
      <c r="DFV121" s="68"/>
      <c r="DFW121" s="68"/>
      <c r="DFX121" s="68"/>
      <c r="DFY121" s="68"/>
      <c r="DFZ121" s="68"/>
      <c r="DGA121" s="68"/>
      <c r="DGB121" s="68"/>
      <c r="DGC121" s="68"/>
      <c r="DGD121" s="68"/>
      <c r="DGE121" s="68"/>
      <c r="DGF121" s="68"/>
      <c r="DGG121" s="68"/>
      <c r="DGH121" s="68"/>
      <c r="DGI121" s="68"/>
      <c r="DGJ121" s="68"/>
      <c r="DGK121" s="68"/>
      <c r="DGL121" s="68"/>
      <c r="DGM121" s="68"/>
      <c r="DGN121" s="68"/>
      <c r="DGO121" s="68"/>
      <c r="DGP121" s="68"/>
      <c r="DGQ121" s="68"/>
      <c r="DGR121" s="68"/>
      <c r="DGS121" s="68"/>
      <c r="DGT121" s="68"/>
      <c r="DGU121" s="68"/>
      <c r="DGV121" s="68"/>
      <c r="DGW121" s="68"/>
      <c r="DGX121" s="68"/>
      <c r="DGY121" s="68"/>
      <c r="DGZ121" s="68"/>
      <c r="DHA121" s="68"/>
      <c r="DHB121" s="68"/>
      <c r="DHC121" s="68"/>
      <c r="DHD121" s="68"/>
      <c r="DHE121" s="68"/>
      <c r="DHF121" s="68"/>
      <c r="DHG121" s="68"/>
      <c r="DHH121" s="68"/>
      <c r="DHI121" s="68"/>
      <c r="DHJ121" s="68"/>
      <c r="DHK121" s="68"/>
      <c r="DHL121" s="68"/>
      <c r="DHM121" s="68"/>
      <c r="DHN121" s="68"/>
      <c r="DHO121" s="68"/>
      <c r="DHP121" s="68"/>
      <c r="DHQ121" s="68"/>
      <c r="DHR121" s="68"/>
      <c r="DHS121" s="68"/>
      <c r="DHT121" s="68"/>
      <c r="DHU121" s="68"/>
      <c r="DHV121" s="68"/>
      <c r="DHW121" s="68"/>
      <c r="DHX121" s="68"/>
      <c r="DHY121" s="68"/>
      <c r="DHZ121" s="68"/>
      <c r="DIA121" s="68"/>
      <c r="DIB121" s="68"/>
      <c r="DIC121" s="68"/>
      <c r="DID121" s="68"/>
      <c r="DIE121" s="68"/>
      <c r="DIF121" s="68"/>
      <c r="DIG121" s="68"/>
      <c r="DIH121" s="68"/>
      <c r="DII121" s="68"/>
      <c r="DIJ121" s="68"/>
      <c r="DIK121" s="68"/>
      <c r="DIL121" s="68"/>
      <c r="DIM121" s="68"/>
      <c r="DIN121" s="68"/>
      <c r="DIO121" s="68"/>
      <c r="DIP121" s="68"/>
      <c r="DIQ121" s="68"/>
      <c r="DIR121" s="68"/>
      <c r="DIS121" s="68"/>
      <c r="DIT121" s="68"/>
      <c r="DIU121" s="68"/>
      <c r="DIV121" s="68"/>
      <c r="DIW121" s="68"/>
      <c r="DIX121" s="68"/>
      <c r="DIY121" s="68"/>
      <c r="DIZ121" s="68"/>
      <c r="DJA121" s="68"/>
      <c r="DJB121" s="68"/>
      <c r="DJC121" s="68"/>
      <c r="DJD121" s="68"/>
      <c r="DJE121" s="68"/>
      <c r="DJF121" s="68"/>
      <c r="DJG121" s="68"/>
      <c r="DJH121" s="68"/>
      <c r="DJI121" s="68"/>
      <c r="DJJ121" s="68"/>
      <c r="DJK121" s="68"/>
      <c r="DJL121" s="68"/>
      <c r="DJM121" s="68"/>
      <c r="DJN121" s="68"/>
      <c r="DJO121" s="68"/>
      <c r="DJP121" s="68"/>
      <c r="DJQ121" s="68"/>
      <c r="DJR121" s="68"/>
      <c r="DJS121" s="68"/>
      <c r="DJT121" s="68"/>
      <c r="DJU121" s="68"/>
      <c r="DJV121" s="68"/>
      <c r="DJW121" s="68"/>
      <c r="DJX121" s="68"/>
      <c r="DJY121" s="68"/>
      <c r="DJZ121" s="68"/>
      <c r="DKA121" s="68"/>
      <c r="DKB121" s="68"/>
      <c r="DKC121" s="68"/>
      <c r="DKD121" s="68"/>
      <c r="DKE121" s="68"/>
      <c r="DKF121" s="68"/>
      <c r="DKG121" s="68"/>
      <c r="DKH121" s="68"/>
      <c r="DKI121" s="68"/>
      <c r="DKJ121" s="68"/>
      <c r="DKK121" s="68"/>
      <c r="DKL121" s="68"/>
      <c r="DKM121" s="68"/>
      <c r="DKN121" s="68"/>
      <c r="DKO121" s="68"/>
      <c r="DKP121" s="68"/>
      <c r="DKQ121" s="68"/>
      <c r="DKR121" s="68"/>
      <c r="DKS121" s="68"/>
      <c r="DKT121" s="68"/>
      <c r="DKU121" s="68"/>
      <c r="DKV121" s="68"/>
      <c r="DKW121" s="68"/>
      <c r="DKX121" s="68"/>
      <c r="DKY121" s="68"/>
      <c r="DKZ121" s="68"/>
      <c r="DLA121" s="68"/>
      <c r="DLB121" s="68"/>
      <c r="DLC121" s="68"/>
      <c r="DLD121" s="68"/>
      <c r="DLE121" s="68"/>
      <c r="DLF121" s="68"/>
      <c r="DLG121" s="68"/>
      <c r="DLH121" s="68"/>
      <c r="DLI121" s="68"/>
      <c r="DLJ121" s="68"/>
      <c r="DLK121" s="68"/>
      <c r="DLL121" s="68"/>
      <c r="DLM121" s="68"/>
      <c r="DLN121" s="68"/>
      <c r="DLO121" s="68"/>
      <c r="DLP121" s="68"/>
      <c r="DLQ121" s="68"/>
      <c r="DLR121" s="68"/>
      <c r="DLS121" s="68"/>
      <c r="DLT121" s="68"/>
      <c r="DLU121" s="68"/>
      <c r="DLV121" s="68"/>
      <c r="DLW121" s="68"/>
      <c r="DLX121" s="68"/>
      <c r="DLY121" s="68"/>
      <c r="DLZ121" s="68"/>
      <c r="DMA121" s="68"/>
      <c r="DMB121" s="68"/>
      <c r="DMC121" s="68"/>
      <c r="DMD121" s="68"/>
      <c r="DME121" s="68"/>
      <c r="DMF121" s="68"/>
      <c r="DMG121" s="68"/>
      <c r="DMH121" s="68"/>
      <c r="DMI121" s="68"/>
      <c r="DMJ121" s="68"/>
      <c r="DMK121" s="68"/>
      <c r="DML121" s="68"/>
      <c r="DMM121" s="68"/>
      <c r="DMN121" s="68"/>
      <c r="DMO121" s="68"/>
      <c r="DMP121" s="68"/>
      <c r="DMQ121" s="68"/>
      <c r="DMR121" s="68"/>
      <c r="DMS121" s="68"/>
      <c r="DMT121" s="68"/>
      <c r="DMU121" s="68"/>
      <c r="DMV121" s="68"/>
      <c r="DMW121" s="68"/>
      <c r="DMX121" s="68"/>
      <c r="DMY121" s="68"/>
      <c r="DMZ121" s="68"/>
      <c r="DNA121" s="68"/>
      <c r="DNB121" s="68"/>
      <c r="DNC121" s="68"/>
      <c r="DND121" s="68"/>
      <c r="DNE121" s="68"/>
      <c r="DNF121" s="68"/>
      <c r="DNG121" s="68"/>
      <c r="DNH121" s="68"/>
      <c r="DNI121" s="68"/>
      <c r="DNJ121" s="68"/>
      <c r="DNK121" s="68"/>
      <c r="DNL121" s="68"/>
      <c r="DNM121" s="68"/>
      <c r="DNN121" s="68"/>
      <c r="DNO121" s="68"/>
      <c r="DNP121" s="68"/>
      <c r="DNQ121" s="68"/>
      <c r="DNR121" s="68"/>
      <c r="DNS121" s="68"/>
      <c r="DNT121" s="68"/>
      <c r="DNU121" s="68"/>
      <c r="DNV121" s="68"/>
      <c r="DNW121" s="68"/>
      <c r="DNX121" s="68"/>
      <c r="DNY121" s="68"/>
      <c r="DNZ121" s="68"/>
      <c r="DOA121" s="68"/>
      <c r="DOB121" s="68"/>
      <c r="DOC121" s="68"/>
      <c r="DOD121" s="68"/>
      <c r="DOE121" s="68"/>
      <c r="DOF121" s="68"/>
      <c r="DOG121" s="68"/>
      <c r="DOH121" s="68"/>
      <c r="DOI121" s="68"/>
      <c r="DOJ121" s="68"/>
      <c r="DOK121" s="68"/>
      <c r="DOL121" s="68"/>
      <c r="DOM121" s="68"/>
      <c r="DON121" s="68"/>
      <c r="DOO121" s="68"/>
      <c r="DOP121" s="68"/>
      <c r="DOQ121" s="68"/>
      <c r="DOR121" s="68"/>
      <c r="DOS121" s="68"/>
      <c r="DOT121" s="68"/>
      <c r="DOU121" s="68"/>
      <c r="DOV121" s="68"/>
      <c r="DOW121" s="68"/>
      <c r="DOX121" s="68"/>
      <c r="DOY121" s="68"/>
      <c r="DOZ121" s="68"/>
      <c r="DPA121" s="68"/>
      <c r="DPB121" s="68"/>
      <c r="DPC121" s="68"/>
      <c r="DPD121" s="68"/>
      <c r="DPE121" s="68"/>
      <c r="DPF121" s="68"/>
      <c r="DPG121" s="68"/>
      <c r="DPH121" s="68"/>
      <c r="DPI121" s="68"/>
      <c r="DPJ121" s="68"/>
      <c r="DPK121" s="68"/>
      <c r="DPL121" s="68"/>
      <c r="DPM121" s="68"/>
      <c r="DPN121" s="68"/>
      <c r="DPO121" s="68"/>
      <c r="DPP121" s="68"/>
      <c r="DPQ121" s="68"/>
      <c r="DPR121" s="68"/>
      <c r="DPS121" s="68"/>
      <c r="DPT121" s="68"/>
      <c r="DPU121" s="68"/>
      <c r="DPV121" s="68"/>
      <c r="DPW121" s="68"/>
      <c r="DPX121" s="68"/>
      <c r="DPY121" s="68"/>
      <c r="DPZ121" s="68"/>
      <c r="DQA121" s="68"/>
      <c r="DQB121" s="68"/>
      <c r="DQC121" s="68"/>
      <c r="DQD121" s="68"/>
      <c r="DQE121" s="68"/>
      <c r="DQF121" s="68"/>
      <c r="DQG121" s="68"/>
      <c r="DQH121" s="68"/>
      <c r="DQI121" s="68"/>
      <c r="DQJ121" s="68"/>
      <c r="DQK121" s="68"/>
      <c r="DQL121" s="68"/>
      <c r="DQM121" s="68"/>
      <c r="DQN121" s="68"/>
      <c r="DQO121" s="68"/>
      <c r="DQP121" s="68"/>
      <c r="DQQ121" s="68"/>
      <c r="DQR121" s="68"/>
      <c r="DQS121" s="68"/>
      <c r="DQT121" s="68"/>
      <c r="DQU121" s="68"/>
      <c r="DQV121" s="68"/>
      <c r="DQW121" s="68"/>
      <c r="DQX121" s="68"/>
      <c r="DQY121" s="68"/>
      <c r="DQZ121" s="68"/>
      <c r="DRA121" s="68"/>
      <c r="DRB121" s="68"/>
      <c r="DRC121" s="68"/>
      <c r="DRD121" s="68"/>
      <c r="DRE121" s="68"/>
      <c r="DRF121" s="68"/>
      <c r="DRG121" s="68"/>
      <c r="DRH121" s="68"/>
      <c r="DRI121" s="68"/>
      <c r="DRJ121" s="68"/>
      <c r="DRK121" s="68"/>
      <c r="DRL121" s="68"/>
      <c r="DRM121" s="68"/>
      <c r="DRN121" s="68"/>
      <c r="DRO121" s="68"/>
      <c r="DRP121" s="68"/>
      <c r="DRQ121" s="68"/>
      <c r="DRR121" s="68"/>
      <c r="DRS121" s="68"/>
      <c r="DRT121" s="68"/>
      <c r="DRU121" s="68"/>
      <c r="DRV121" s="68"/>
      <c r="DRW121" s="68"/>
      <c r="DRX121" s="68"/>
      <c r="DRY121" s="68"/>
      <c r="DRZ121" s="68"/>
      <c r="DSA121" s="68"/>
      <c r="DSB121" s="68"/>
      <c r="DSC121" s="68"/>
      <c r="DSD121" s="68"/>
      <c r="DSE121" s="68"/>
      <c r="DSF121" s="68"/>
      <c r="DSG121" s="68"/>
      <c r="DSH121" s="68"/>
      <c r="DSI121" s="68"/>
      <c r="DSJ121" s="68"/>
      <c r="DSK121" s="68"/>
      <c r="DSL121" s="68"/>
      <c r="DSM121" s="68"/>
      <c r="DSN121" s="68"/>
      <c r="DSO121" s="68"/>
      <c r="DSP121" s="68"/>
      <c r="DSQ121" s="68"/>
      <c r="DSR121" s="68"/>
      <c r="DSS121" s="68"/>
      <c r="DST121" s="68"/>
      <c r="DSU121" s="68"/>
      <c r="DSV121" s="68"/>
      <c r="DSW121" s="68"/>
      <c r="DSX121" s="68"/>
      <c r="DSY121" s="68"/>
      <c r="DSZ121" s="68"/>
      <c r="DTA121" s="68"/>
      <c r="DTB121" s="68"/>
      <c r="DTC121" s="68"/>
      <c r="DTD121" s="68"/>
      <c r="DTE121" s="68"/>
      <c r="DTF121" s="68"/>
      <c r="DTG121" s="68"/>
      <c r="DTH121" s="68"/>
      <c r="DTI121" s="68"/>
      <c r="DTJ121" s="68"/>
      <c r="DTK121" s="68"/>
      <c r="DTL121" s="68"/>
      <c r="DTM121" s="68"/>
      <c r="DTN121" s="68"/>
      <c r="DTO121" s="68"/>
      <c r="DTP121" s="68"/>
      <c r="DTQ121" s="68"/>
      <c r="DTR121" s="68"/>
      <c r="DTS121" s="68"/>
      <c r="DTT121" s="68"/>
      <c r="DTU121" s="68"/>
      <c r="DTV121" s="68"/>
      <c r="DTW121" s="68"/>
      <c r="DTX121" s="68"/>
      <c r="DTY121" s="68"/>
      <c r="DTZ121" s="68"/>
      <c r="DUA121" s="68"/>
      <c r="DUB121" s="68"/>
      <c r="DUC121" s="68"/>
      <c r="DUD121" s="68"/>
      <c r="DUE121" s="68"/>
      <c r="DUF121" s="68"/>
      <c r="DUG121" s="68"/>
      <c r="DUH121" s="68"/>
      <c r="DUI121" s="68"/>
      <c r="DUJ121" s="68"/>
      <c r="DUK121" s="68"/>
      <c r="DUL121" s="68"/>
      <c r="DUM121" s="68"/>
      <c r="DUN121" s="68"/>
      <c r="DUO121" s="68"/>
      <c r="DUP121" s="68"/>
      <c r="DUQ121" s="68"/>
      <c r="DUR121" s="68"/>
      <c r="DUS121" s="68"/>
      <c r="DUT121" s="68"/>
      <c r="DUU121" s="68"/>
      <c r="DUV121" s="68"/>
      <c r="DUW121" s="68"/>
      <c r="DUX121" s="68"/>
      <c r="DUY121" s="68"/>
      <c r="DUZ121" s="68"/>
      <c r="DVA121" s="68"/>
      <c r="DVB121" s="68"/>
      <c r="DVC121" s="68"/>
      <c r="DVD121" s="68"/>
      <c r="DVE121" s="68"/>
      <c r="DVF121" s="68"/>
      <c r="DVG121" s="68"/>
      <c r="DVH121" s="68"/>
      <c r="DVI121" s="68"/>
      <c r="DVJ121" s="68"/>
      <c r="DVK121" s="68"/>
      <c r="DVL121" s="68"/>
      <c r="DVM121" s="68"/>
      <c r="DVN121" s="68"/>
      <c r="DVO121" s="68"/>
      <c r="DVP121" s="68"/>
      <c r="DVQ121" s="68"/>
      <c r="DVR121" s="68"/>
      <c r="DVS121" s="68"/>
      <c r="DVT121" s="68"/>
      <c r="DVU121" s="68"/>
      <c r="DVV121" s="68"/>
      <c r="DVW121" s="68"/>
      <c r="DVX121" s="68"/>
      <c r="DVY121" s="68"/>
      <c r="DVZ121" s="68"/>
      <c r="DWA121" s="68"/>
      <c r="DWB121" s="68"/>
      <c r="DWC121" s="68"/>
      <c r="DWD121" s="68"/>
      <c r="DWE121" s="68"/>
      <c r="DWF121" s="68"/>
      <c r="DWG121" s="68"/>
      <c r="DWH121" s="68"/>
      <c r="DWI121" s="68"/>
      <c r="DWJ121" s="68"/>
      <c r="DWK121" s="68"/>
      <c r="DWL121" s="68"/>
      <c r="DWM121" s="68"/>
      <c r="DWN121" s="68"/>
      <c r="DWO121" s="68"/>
      <c r="DWP121" s="68"/>
      <c r="DWQ121" s="68"/>
      <c r="DWR121" s="68"/>
      <c r="DWS121" s="68"/>
      <c r="DWT121" s="68"/>
      <c r="DWU121" s="68"/>
      <c r="DWV121" s="68"/>
      <c r="DWW121" s="68"/>
      <c r="DWX121" s="68"/>
      <c r="DWY121" s="68"/>
      <c r="DWZ121" s="68"/>
      <c r="DXA121" s="68"/>
      <c r="DXB121" s="68"/>
      <c r="DXC121" s="68"/>
      <c r="DXD121" s="68"/>
      <c r="DXE121" s="68"/>
      <c r="DXF121" s="68"/>
      <c r="DXG121" s="68"/>
      <c r="DXH121" s="68"/>
      <c r="DXI121" s="68"/>
      <c r="DXJ121" s="68"/>
      <c r="DXK121" s="68"/>
      <c r="DXL121" s="68"/>
      <c r="DXM121" s="68"/>
      <c r="DXN121" s="68"/>
      <c r="DXO121" s="68"/>
      <c r="DXP121" s="68"/>
      <c r="DXQ121" s="68"/>
      <c r="DXR121" s="68"/>
      <c r="DXS121" s="68"/>
      <c r="DXT121" s="68"/>
      <c r="DXU121" s="68"/>
      <c r="DXV121" s="68"/>
      <c r="DXW121" s="68"/>
      <c r="DXX121" s="68"/>
      <c r="DXY121" s="68"/>
      <c r="DXZ121" s="68"/>
      <c r="DYA121" s="68"/>
      <c r="DYB121" s="68"/>
      <c r="DYC121" s="68"/>
      <c r="DYD121" s="68"/>
      <c r="DYE121" s="68"/>
      <c r="DYF121" s="68"/>
      <c r="DYG121" s="68"/>
      <c r="DYH121" s="68"/>
      <c r="DYI121" s="68"/>
      <c r="DYJ121" s="68"/>
      <c r="DYK121" s="68"/>
      <c r="DYL121" s="68"/>
      <c r="DYM121" s="68"/>
      <c r="DYN121" s="68"/>
      <c r="DYO121" s="68"/>
      <c r="DYP121" s="68"/>
      <c r="DYQ121" s="68"/>
      <c r="DYR121" s="68"/>
      <c r="DYS121" s="68"/>
      <c r="DYT121" s="68"/>
      <c r="DYU121" s="68"/>
      <c r="DYV121" s="68"/>
      <c r="DYW121" s="68"/>
      <c r="DYX121" s="68"/>
      <c r="DYY121" s="68"/>
      <c r="DYZ121" s="68"/>
      <c r="DZA121" s="68"/>
      <c r="DZB121" s="68"/>
      <c r="DZC121" s="68"/>
      <c r="DZD121" s="68"/>
      <c r="DZE121" s="68"/>
      <c r="DZF121" s="68"/>
      <c r="DZG121" s="68"/>
      <c r="DZH121" s="68"/>
      <c r="DZI121" s="68"/>
      <c r="DZJ121" s="68"/>
      <c r="DZK121" s="68"/>
      <c r="DZL121" s="68"/>
      <c r="DZM121" s="68"/>
      <c r="DZN121" s="68"/>
      <c r="DZO121" s="68"/>
      <c r="DZP121" s="68"/>
      <c r="DZQ121" s="68"/>
      <c r="DZR121" s="68"/>
      <c r="DZS121" s="68"/>
      <c r="DZT121" s="68"/>
      <c r="DZU121" s="68"/>
      <c r="DZV121" s="68"/>
      <c r="DZW121" s="68"/>
      <c r="DZX121" s="68"/>
      <c r="DZY121" s="68"/>
      <c r="DZZ121" s="68"/>
      <c r="EAA121" s="68"/>
      <c r="EAB121" s="68"/>
      <c r="EAC121" s="68"/>
      <c r="EAD121" s="68"/>
      <c r="EAE121" s="68"/>
      <c r="EAF121" s="68"/>
      <c r="EAG121" s="68"/>
      <c r="EAH121" s="68"/>
      <c r="EAI121" s="68"/>
      <c r="EAJ121" s="68"/>
      <c r="EAK121" s="68"/>
      <c r="EAL121" s="68"/>
      <c r="EAM121" s="68"/>
      <c r="EAN121" s="68"/>
      <c r="EAO121" s="68"/>
      <c r="EAP121" s="68"/>
      <c r="EAQ121" s="68"/>
      <c r="EAR121" s="68"/>
      <c r="EAS121" s="68"/>
      <c r="EAT121" s="68"/>
      <c r="EAU121" s="68"/>
      <c r="EAV121" s="68"/>
      <c r="EAW121" s="68"/>
      <c r="EAX121" s="68"/>
      <c r="EAY121" s="68"/>
      <c r="EAZ121" s="68"/>
      <c r="EBA121" s="68"/>
      <c r="EBB121" s="68"/>
      <c r="EBC121" s="68"/>
      <c r="EBD121" s="68"/>
      <c r="EBE121" s="68"/>
      <c r="EBF121" s="68"/>
      <c r="EBG121" s="68"/>
      <c r="EBH121" s="68"/>
      <c r="EBI121" s="68"/>
      <c r="EBJ121" s="68"/>
      <c r="EBK121" s="68"/>
      <c r="EBL121" s="68"/>
      <c r="EBM121" s="68"/>
      <c r="EBN121" s="68"/>
      <c r="EBO121" s="68"/>
      <c r="EBP121" s="68"/>
      <c r="EBQ121" s="68"/>
      <c r="EBR121" s="68"/>
      <c r="EBS121" s="68"/>
      <c r="EBT121" s="68"/>
      <c r="EBU121" s="68"/>
      <c r="EBV121" s="68"/>
      <c r="EBW121" s="68"/>
      <c r="EBX121" s="68"/>
      <c r="EBY121" s="68"/>
      <c r="EBZ121" s="68"/>
      <c r="ECA121" s="68"/>
      <c r="ECB121" s="68"/>
      <c r="ECC121" s="68"/>
      <c r="ECD121" s="68"/>
      <c r="ECE121" s="68"/>
      <c r="ECF121" s="68"/>
      <c r="ECG121" s="68"/>
      <c r="ECH121" s="68"/>
      <c r="ECI121" s="68"/>
      <c r="ECJ121" s="68"/>
      <c r="ECK121" s="68"/>
      <c r="ECL121" s="68"/>
      <c r="ECM121" s="68"/>
      <c r="ECN121" s="68"/>
      <c r="ECO121" s="68"/>
      <c r="ECP121" s="68"/>
      <c r="ECQ121" s="68"/>
      <c r="ECR121" s="68"/>
      <c r="ECS121" s="68"/>
      <c r="ECT121" s="68"/>
      <c r="ECU121" s="68"/>
      <c r="ECV121" s="68"/>
      <c r="ECW121" s="68"/>
      <c r="ECX121" s="68"/>
      <c r="ECY121" s="68"/>
      <c r="ECZ121" s="68"/>
      <c r="EDA121" s="68"/>
      <c r="EDB121" s="68"/>
      <c r="EDC121" s="68"/>
      <c r="EDD121" s="68"/>
      <c r="EDE121" s="68"/>
      <c r="EDF121" s="68"/>
      <c r="EDG121" s="68"/>
      <c r="EDH121" s="68"/>
      <c r="EDI121" s="68"/>
      <c r="EDJ121" s="68"/>
      <c r="EDK121" s="68"/>
      <c r="EDL121" s="68"/>
      <c r="EDM121" s="68"/>
      <c r="EDN121" s="68"/>
      <c r="EDO121" s="68"/>
      <c r="EDP121" s="68"/>
      <c r="EDQ121" s="68"/>
      <c r="EDR121" s="68"/>
      <c r="EDS121" s="68"/>
      <c r="EDT121" s="68"/>
      <c r="EDU121" s="68"/>
      <c r="EDV121" s="68"/>
      <c r="EDW121" s="68"/>
      <c r="EDX121" s="68"/>
      <c r="EDY121" s="68"/>
      <c r="EDZ121" s="68"/>
      <c r="EEA121" s="68"/>
      <c r="EEB121" s="68"/>
      <c r="EEC121" s="68"/>
      <c r="EED121" s="68"/>
      <c r="EEE121" s="68"/>
      <c r="EEF121" s="68"/>
      <c r="EEG121" s="68"/>
      <c r="EEH121" s="68"/>
      <c r="EEI121" s="68"/>
      <c r="EEJ121" s="68"/>
      <c r="EEK121" s="68"/>
      <c r="EEL121" s="68"/>
      <c r="EEM121" s="68"/>
      <c r="EEN121" s="68"/>
      <c r="EEO121" s="68"/>
      <c r="EEP121" s="68"/>
      <c r="EEQ121" s="68"/>
      <c r="EER121" s="68"/>
      <c r="EES121" s="68"/>
      <c r="EET121" s="68"/>
      <c r="EEU121" s="68"/>
      <c r="EEV121" s="68"/>
      <c r="EEW121" s="68"/>
      <c r="EEX121" s="68"/>
      <c r="EEY121" s="68"/>
      <c r="EEZ121" s="68"/>
      <c r="EFA121" s="68"/>
      <c r="EFB121" s="68"/>
      <c r="EFC121" s="68"/>
      <c r="EFD121" s="68"/>
      <c r="EFE121" s="68"/>
      <c r="EFF121" s="68"/>
      <c r="EFG121" s="68"/>
      <c r="EFH121" s="68"/>
      <c r="EFI121" s="68"/>
      <c r="EFJ121" s="68"/>
      <c r="EFK121" s="68"/>
      <c r="EFL121" s="68"/>
      <c r="EFM121" s="68"/>
      <c r="EFN121" s="68"/>
      <c r="EFO121" s="68"/>
      <c r="EFP121" s="68"/>
      <c r="EFQ121" s="68"/>
      <c r="EFR121" s="68"/>
      <c r="EFS121" s="68"/>
      <c r="EFT121" s="68"/>
      <c r="EFU121" s="68"/>
      <c r="EFV121" s="68"/>
      <c r="EFW121" s="68"/>
      <c r="EFX121" s="68"/>
      <c r="EFY121" s="68"/>
      <c r="EFZ121" s="68"/>
      <c r="EGA121" s="68"/>
      <c r="EGB121" s="68"/>
      <c r="EGC121" s="68"/>
      <c r="EGD121" s="68"/>
      <c r="EGE121" s="68"/>
      <c r="EGF121" s="68"/>
      <c r="EGG121" s="68"/>
      <c r="EGH121" s="68"/>
      <c r="EGI121" s="68"/>
      <c r="EGJ121" s="68"/>
      <c r="EGK121" s="68"/>
      <c r="EGL121" s="68"/>
      <c r="EGM121" s="68"/>
      <c r="EGN121" s="68"/>
      <c r="EGO121" s="68"/>
      <c r="EGP121" s="68"/>
      <c r="EGQ121" s="68"/>
      <c r="EGR121" s="68"/>
      <c r="EGS121" s="68"/>
      <c r="EGT121" s="68"/>
      <c r="EGU121" s="68"/>
      <c r="EGV121" s="68"/>
      <c r="EGW121" s="68"/>
      <c r="EGX121" s="68"/>
      <c r="EGY121" s="68"/>
      <c r="EGZ121" s="68"/>
      <c r="EHA121" s="68"/>
      <c r="EHB121" s="68"/>
      <c r="EHC121" s="68"/>
      <c r="EHD121" s="68"/>
      <c r="EHE121" s="68"/>
      <c r="EHF121" s="68"/>
      <c r="EHG121" s="68"/>
      <c r="EHH121" s="68"/>
      <c r="EHI121" s="68"/>
      <c r="EHJ121" s="68"/>
      <c r="EHK121" s="68"/>
      <c r="EHL121" s="68"/>
      <c r="EHM121" s="68"/>
      <c r="EHN121" s="68"/>
      <c r="EHO121" s="68"/>
      <c r="EHP121" s="68"/>
      <c r="EHQ121" s="68"/>
      <c r="EHR121" s="68"/>
      <c r="EHS121" s="68"/>
      <c r="EHT121" s="68"/>
      <c r="EHU121" s="68"/>
      <c r="EHV121" s="68"/>
      <c r="EHW121" s="68"/>
      <c r="EHX121" s="68"/>
      <c r="EHY121" s="68"/>
      <c r="EHZ121" s="68"/>
      <c r="EIA121" s="68"/>
      <c r="EIB121" s="68"/>
      <c r="EIC121" s="68"/>
      <c r="EID121" s="68"/>
      <c r="EIE121" s="68"/>
      <c r="EIF121" s="68"/>
      <c r="EIG121" s="68"/>
      <c r="EIH121" s="68"/>
      <c r="EII121" s="68"/>
      <c r="EIJ121" s="68"/>
      <c r="EIK121" s="68"/>
      <c r="EIL121" s="68"/>
      <c r="EIM121" s="68"/>
      <c r="EIN121" s="68"/>
      <c r="EIO121" s="68"/>
      <c r="EIP121" s="68"/>
      <c r="EIQ121" s="68"/>
      <c r="EIR121" s="68"/>
      <c r="EIS121" s="68"/>
      <c r="EIT121" s="68"/>
      <c r="EIU121" s="68"/>
      <c r="EIV121" s="68"/>
      <c r="EIW121" s="68"/>
      <c r="EIX121" s="68"/>
      <c r="EIY121" s="68"/>
      <c r="EIZ121" s="68"/>
      <c r="EJA121" s="68"/>
      <c r="EJB121" s="68"/>
      <c r="EJC121" s="68"/>
      <c r="EJD121" s="68"/>
      <c r="EJE121" s="68"/>
      <c r="EJF121" s="68"/>
      <c r="EJG121" s="68"/>
      <c r="EJH121" s="68"/>
      <c r="EJI121" s="68"/>
      <c r="EJJ121" s="68"/>
      <c r="EJK121" s="68"/>
      <c r="EJL121" s="68"/>
      <c r="EJM121" s="68"/>
      <c r="EJN121" s="68"/>
      <c r="EJO121" s="68"/>
      <c r="EJP121" s="68"/>
      <c r="EJQ121" s="68"/>
      <c r="EJR121" s="68"/>
      <c r="EJS121" s="68"/>
      <c r="EJT121" s="68"/>
      <c r="EJU121" s="68"/>
      <c r="EJV121" s="68"/>
      <c r="EJW121" s="68"/>
      <c r="EJX121" s="68"/>
      <c r="EJY121" s="68"/>
      <c r="EJZ121" s="68"/>
      <c r="EKA121" s="68"/>
      <c r="EKB121" s="68"/>
      <c r="EKC121" s="68"/>
      <c r="EKD121" s="68"/>
      <c r="EKE121" s="68"/>
      <c r="EKF121" s="68"/>
      <c r="EKG121" s="68"/>
      <c r="EKH121" s="68"/>
      <c r="EKI121" s="68"/>
      <c r="EKJ121" s="68"/>
      <c r="EKK121" s="68"/>
      <c r="EKL121" s="68"/>
      <c r="EKM121" s="68"/>
      <c r="EKN121" s="68"/>
      <c r="EKO121" s="68"/>
      <c r="EKP121" s="68"/>
      <c r="EKQ121" s="68"/>
      <c r="EKR121" s="68"/>
      <c r="EKS121" s="68"/>
      <c r="EKT121" s="68"/>
      <c r="EKU121" s="68"/>
      <c r="EKV121" s="68"/>
      <c r="EKW121" s="68"/>
      <c r="EKX121" s="68"/>
      <c r="EKY121" s="68"/>
      <c r="EKZ121" s="68"/>
      <c r="ELA121" s="68"/>
      <c r="ELB121" s="68"/>
      <c r="ELC121" s="68"/>
      <c r="ELD121" s="68"/>
      <c r="ELE121" s="68"/>
      <c r="ELF121" s="68"/>
      <c r="ELG121" s="68"/>
      <c r="ELH121" s="68"/>
      <c r="ELI121" s="68"/>
      <c r="ELJ121" s="68"/>
      <c r="ELK121" s="68"/>
      <c r="ELL121" s="68"/>
      <c r="ELM121" s="68"/>
      <c r="ELN121" s="68"/>
      <c r="ELO121" s="68"/>
      <c r="ELP121" s="68"/>
      <c r="ELQ121" s="68"/>
      <c r="ELR121" s="68"/>
      <c r="ELS121" s="68"/>
      <c r="ELT121" s="68"/>
      <c r="ELU121" s="68"/>
      <c r="ELV121" s="68"/>
      <c r="ELW121" s="68"/>
      <c r="ELX121" s="68"/>
      <c r="ELY121" s="68"/>
      <c r="ELZ121" s="68"/>
      <c r="EMA121" s="68"/>
      <c r="EMB121" s="68"/>
      <c r="EMC121" s="68"/>
      <c r="EMD121" s="68"/>
      <c r="EME121" s="68"/>
      <c r="EMF121" s="68"/>
      <c r="EMG121" s="68"/>
      <c r="EMH121" s="68"/>
      <c r="EMI121" s="68"/>
      <c r="EMJ121" s="68"/>
      <c r="EMK121" s="68"/>
      <c r="EML121" s="68"/>
      <c r="EMM121" s="68"/>
      <c r="EMN121" s="68"/>
      <c r="EMO121" s="68"/>
      <c r="EMP121" s="68"/>
      <c r="EMQ121" s="68"/>
      <c r="EMR121" s="68"/>
      <c r="EMS121" s="68"/>
      <c r="EMT121" s="68"/>
      <c r="EMU121" s="68"/>
      <c r="EMV121" s="68"/>
      <c r="EMW121" s="68"/>
      <c r="EMX121" s="68"/>
      <c r="EMY121" s="68"/>
      <c r="EMZ121" s="68"/>
      <c r="ENA121" s="68"/>
      <c r="ENB121" s="68"/>
      <c r="ENC121" s="68"/>
      <c r="END121" s="68"/>
      <c r="ENE121" s="68"/>
      <c r="ENF121" s="68"/>
      <c r="ENG121" s="68"/>
      <c r="ENH121" s="68"/>
      <c r="ENI121" s="68"/>
      <c r="ENJ121" s="68"/>
      <c r="ENK121" s="68"/>
      <c r="ENL121" s="68"/>
      <c r="ENM121" s="68"/>
      <c r="ENN121" s="68"/>
      <c r="ENO121" s="68"/>
      <c r="ENP121" s="68"/>
      <c r="ENQ121" s="68"/>
      <c r="ENR121" s="68"/>
      <c r="ENS121" s="68"/>
      <c r="ENT121" s="68"/>
      <c r="ENU121" s="68"/>
      <c r="ENV121" s="68"/>
      <c r="ENW121" s="68"/>
      <c r="ENX121" s="68"/>
      <c r="ENY121" s="68"/>
      <c r="ENZ121" s="68"/>
      <c r="EOA121" s="68"/>
      <c r="EOB121" s="68"/>
      <c r="EOC121" s="68"/>
      <c r="EOD121" s="68"/>
      <c r="EOE121" s="68"/>
      <c r="EOF121" s="68"/>
      <c r="EOG121" s="68"/>
      <c r="EOH121" s="68"/>
      <c r="EOI121" s="68"/>
      <c r="EOJ121" s="68"/>
      <c r="EOK121" s="68"/>
      <c r="EOL121" s="68"/>
      <c r="EOM121" s="68"/>
      <c r="EON121" s="68"/>
      <c r="EOO121" s="68"/>
      <c r="EOP121" s="68"/>
      <c r="EOQ121" s="68"/>
      <c r="EOR121" s="68"/>
      <c r="EOS121" s="68"/>
      <c r="EOT121" s="68"/>
      <c r="EOU121" s="68"/>
      <c r="EOV121" s="68"/>
      <c r="EOW121" s="68"/>
      <c r="EOX121" s="68"/>
      <c r="EOY121" s="68"/>
      <c r="EOZ121" s="68"/>
      <c r="EPA121" s="68"/>
      <c r="EPB121" s="68"/>
      <c r="EPC121" s="68"/>
      <c r="EPD121" s="68"/>
      <c r="EPE121" s="68"/>
      <c r="EPF121" s="68"/>
      <c r="EPG121" s="68"/>
      <c r="EPH121" s="68"/>
      <c r="EPI121" s="68"/>
      <c r="EPJ121" s="68"/>
      <c r="EPK121" s="68"/>
      <c r="EPL121" s="68"/>
      <c r="EPM121" s="68"/>
      <c r="EPN121" s="68"/>
      <c r="EPO121" s="68"/>
      <c r="EPP121" s="68"/>
      <c r="EPQ121" s="68"/>
      <c r="EPR121" s="68"/>
      <c r="EPS121" s="68"/>
      <c r="EPT121" s="68"/>
      <c r="EPU121" s="68"/>
      <c r="EPV121" s="68"/>
      <c r="EPW121" s="68"/>
      <c r="EPX121" s="68"/>
      <c r="EPY121" s="68"/>
      <c r="EPZ121" s="68"/>
      <c r="EQA121" s="68"/>
      <c r="EQB121" s="68"/>
      <c r="EQC121" s="68"/>
      <c r="EQD121" s="68"/>
      <c r="EQE121" s="68"/>
      <c r="EQF121" s="68"/>
      <c r="EQG121" s="68"/>
      <c r="EQH121" s="68"/>
      <c r="EQI121" s="68"/>
      <c r="EQJ121" s="68"/>
      <c r="EQK121" s="68"/>
      <c r="EQL121" s="68"/>
      <c r="EQM121" s="68"/>
      <c r="EQN121" s="68"/>
      <c r="EQO121" s="68"/>
      <c r="EQP121" s="68"/>
      <c r="EQQ121" s="68"/>
      <c r="EQR121" s="68"/>
      <c r="EQS121" s="68"/>
      <c r="EQT121" s="68"/>
      <c r="EQU121" s="68"/>
      <c r="EQV121" s="68"/>
      <c r="EQW121" s="68"/>
      <c r="EQX121" s="68"/>
      <c r="EQY121" s="68"/>
      <c r="EQZ121" s="68"/>
      <c r="ERA121" s="68"/>
      <c r="ERB121" s="68"/>
      <c r="ERC121" s="68"/>
      <c r="ERD121" s="68"/>
      <c r="ERE121" s="68"/>
      <c r="ERF121" s="68"/>
      <c r="ERG121" s="68"/>
      <c r="ERH121" s="68"/>
      <c r="ERI121" s="68"/>
      <c r="ERJ121" s="68"/>
      <c r="ERK121" s="68"/>
      <c r="ERL121" s="68"/>
      <c r="ERM121" s="68"/>
      <c r="ERN121" s="68"/>
      <c r="ERO121" s="68"/>
      <c r="ERP121" s="68"/>
      <c r="ERQ121" s="68"/>
      <c r="ERR121" s="68"/>
      <c r="ERS121" s="68"/>
      <c r="ERT121" s="68"/>
      <c r="ERU121" s="68"/>
      <c r="ERV121" s="68"/>
      <c r="ERW121" s="68"/>
      <c r="ERX121" s="68"/>
      <c r="ERY121" s="68"/>
      <c r="ERZ121" s="68"/>
      <c r="ESA121" s="68"/>
      <c r="ESB121" s="68"/>
      <c r="ESC121" s="68"/>
      <c r="ESD121" s="68"/>
      <c r="ESE121" s="68"/>
      <c r="ESF121" s="68"/>
      <c r="ESG121" s="68"/>
      <c r="ESH121" s="68"/>
      <c r="ESI121" s="68"/>
      <c r="ESJ121" s="68"/>
      <c r="ESK121" s="68"/>
      <c r="ESL121" s="68"/>
      <c r="ESM121" s="68"/>
      <c r="ESN121" s="68"/>
      <c r="ESO121" s="68"/>
      <c r="ESP121" s="68"/>
      <c r="ESQ121" s="68"/>
      <c r="ESR121" s="68"/>
      <c r="ESS121" s="68"/>
      <c r="EST121" s="68"/>
      <c r="ESU121" s="68"/>
      <c r="ESV121" s="68"/>
      <c r="ESW121" s="68"/>
      <c r="ESX121" s="68"/>
      <c r="ESY121" s="68"/>
      <c r="ESZ121" s="68"/>
      <c r="ETA121" s="68"/>
      <c r="ETB121" s="68"/>
      <c r="ETC121" s="68"/>
      <c r="ETD121" s="68"/>
      <c r="ETE121" s="68"/>
      <c r="ETF121" s="68"/>
      <c r="ETG121" s="68"/>
      <c r="ETH121" s="68"/>
      <c r="ETI121" s="68"/>
      <c r="ETJ121" s="68"/>
      <c r="ETK121" s="68"/>
      <c r="ETL121" s="68"/>
      <c r="ETM121" s="68"/>
      <c r="ETN121" s="68"/>
      <c r="ETO121" s="68"/>
      <c r="ETP121" s="68"/>
      <c r="ETQ121" s="68"/>
      <c r="ETR121" s="68"/>
      <c r="ETS121" s="68"/>
      <c r="ETT121" s="68"/>
      <c r="ETU121" s="68"/>
      <c r="ETV121" s="68"/>
      <c r="ETW121" s="68"/>
      <c r="ETX121" s="68"/>
      <c r="ETY121" s="68"/>
      <c r="ETZ121" s="68"/>
      <c r="EUA121" s="68"/>
      <c r="EUB121" s="68"/>
      <c r="EUC121" s="68"/>
      <c r="EUD121" s="68"/>
      <c r="EUE121" s="68"/>
      <c r="EUF121" s="68"/>
      <c r="EUG121" s="68"/>
      <c r="EUH121" s="68"/>
      <c r="EUI121" s="68"/>
      <c r="EUJ121" s="68"/>
      <c r="EUK121" s="68"/>
      <c r="EUL121" s="68"/>
      <c r="EUM121" s="68"/>
      <c r="EUN121" s="68"/>
      <c r="EUO121" s="68"/>
      <c r="EUP121" s="68"/>
      <c r="EUQ121" s="68"/>
      <c r="EUR121" s="68"/>
      <c r="EUS121" s="68"/>
      <c r="EUT121" s="68"/>
      <c r="EUU121" s="68"/>
      <c r="EUV121" s="68"/>
      <c r="EUW121" s="68"/>
      <c r="EUX121" s="68"/>
      <c r="EUY121" s="68"/>
      <c r="EUZ121" s="68"/>
      <c r="EVA121" s="68"/>
      <c r="EVB121" s="68"/>
      <c r="EVC121" s="68"/>
      <c r="EVD121" s="68"/>
      <c r="EVE121" s="68"/>
      <c r="EVF121" s="68"/>
      <c r="EVG121" s="68"/>
      <c r="EVH121" s="68"/>
      <c r="EVI121" s="68"/>
      <c r="EVJ121" s="68"/>
      <c r="EVK121" s="68"/>
      <c r="EVL121" s="68"/>
      <c r="EVM121" s="68"/>
      <c r="EVN121" s="68"/>
      <c r="EVO121" s="68"/>
      <c r="EVP121" s="68"/>
      <c r="EVQ121" s="68"/>
      <c r="EVR121" s="68"/>
      <c r="EVS121" s="68"/>
      <c r="EVT121" s="68"/>
      <c r="EVU121" s="68"/>
      <c r="EVV121" s="68"/>
      <c r="EVW121" s="68"/>
      <c r="EVX121" s="68"/>
      <c r="EVY121" s="68"/>
      <c r="EVZ121" s="68"/>
      <c r="EWA121" s="68"/>
      <c r="EWB121" s="68"/>
      <c r="EWC121" s="68"/>
      <c r="EWD121" s="68"/>
      <c r="EWE121" s="68"/>
      <c r="EWF121" s="68"/>
      <c r="EWG121" s="68"/>
      <c r="EWH121" s="68"/>
      <c r="EWI121" s="68"/>
      <c r="EWJ121" s="68"/>
      <c r="EWK121" s="68"/>
      <c r="EWL121" s="68"/>
      <c r="EWM121" s="68"/>
      <c r="EWN121" s="68"/>
      <c r="EWO121" s="68"/>
      <c r="EWP121" s="68"/>
      <c r="EWQ121" s="68"/>
      <c r="EWR121" s="68"/>
      <c r="EWS121" s="68"/>
      <c r="EWT121" s="68"/>
      <c r="EWU121" s="68"/>
      <c r="EWV121" s="68"/>
      <c r="EWW121" s="68"/>
      <c r="EWX121" s="68"/>
      <c r="EWY121" s="68"/>
      <c r="EWZ121" s="68"/>
      <c r="EXA121" s="68"/>
      <c r="EXB121" s="68"/>
      <c r="EXC121" s="68"/>
      <c r="EXD121" s="68"/>
      <c r="EXE121" s="68"/>
      <c r="EXF121" s="68"/>
      <c r="EXG121" s="68"/>
      <c r="EXH121" s="68"/>
      <c r="EXI121" s="68"/>
      <c r="EXJ121" s="68"/>
      <c r="EXK121" s="68"/>
      <c r="EXL121" s="68"/>
      <c r="EXM121" s="68"/>
      <c r="EXN121" s="68"/>
      <c r="EXO121" s="68"/>
      <c r="EXP121" s="68"/>
      <c r="EXQ121" s="68"/>
      <c r="EXR121" s="68"/>
      <c r="EXS121" s="68"/>
      <c r="EXT121" s="68"/>
      <c r="EXU121" s="68"/>
      <c r="EXV121" s="68"/>
      <c r="EXW121" s="68"/>
      <c r="EXX121" s="68"/>
      <c r="EXY121" s="68"/>
      <c r="EXZ121" s="68"/>
      <c r="EYA121" s="68"/>
      <c r="EYB121" s="68"/>
      <c r="EYC121" s="68"/>
      <c r="EYD121" s="68"/>
      <c r="EYE121" s="68"/>
      <c r="EYF121" s="68"/>
      <c r="EYG121" s="68"/>
      <c r="EYH121" s="68"/>
      <c r="EYI121" s="68"/>
      <c r="EYJ121" s="68"/>
      <c r="EYK121" s="68"/>
      <c r="EYL121" s="68"/>
      <c r="EYM121" s="68"/>
      <c r="EYN121" s="68"/>
      <c r="EYO121" s="68"/>
      <c r="EYP121" s="68"/>
      <c r="EYQ121" s="68"/>
      <c r="EYR121" s="68"/>
      <c r="EYS121" s="68"/>
      <c r="EYT121" s="68"/>
      <c r="EYU121" s="68"/>
      <c r="EYV121" s="68"/>
      <c r="EYW121" s="68"/>
      <c r="EYX121" s="68"/>
      <c r="EYY121" s="68"/>
      <c r="EYZ121" s="68"/>
      <c r="EZA121" s="68"/>
      <c r="EZB121" s="68"/>
      <c r="EZC121" s="68"/>
      <c r="EZD121" s="68"/>
      <c r="EZE121" s="68"/>
      <c r="EZF121" s="68"/>
      <c r="EZG121" s="68"/>
      <c r="EZH121" s="68"/>
      <c r="EZI121" s="68"/>
      <c r="EZJ121" s="68"/>
      <c r="EZK121" s="68"/>
      <c r="EZL121" s="68"/>
      <c r="EZM121" s="68"/>
      <c r="EZN121" s="68"/>
      <c r="EZO121" s="68"/>
      <c r="EZP121" s="68"/>
      <c r="EZQ121" s="68"/>
      <c r="EZR121" s="68"/>
      <c r="EZS121" s="68"/>
      <c r="EZT121" s="68"/>
      <c r="EZU121" s="68"/>
      <c r="EZV121" s="68"/>
      <c r="EZW121" s="68"/>
      <c r="EZX121" s="68"/>
      <c r="EZY121" s="68"/>
      <c r="EZZ121" s="68"/>
      <c r="FAA121" s="68"/>
      <c r="FAB121" s="68"/>
      <c r="FAC121" s="68"/>
      <c r="FAD121" s="68"/>
      <c r="FAE121" s="68"/>
      <c r="FAF121" s="68"/>
      <c r="FAG121" s="68"/>
      <c r="FAH121" s="68"/>
      <c r="FAI121" s="68"/>
      <c r="FAJ121" s="68"/>
      <c r="FAK121" s="68"/>
      <c r="FAL121" s="68"/>
      <c r="FAM121" s="68"/>
      <c r="FAN121" s="68"/>
      <c r="FAO121" s="68"/>
      <c r="FAP121" s="68"/>
      <c r="FAQ121" s="68"/>
      <c r="FAR121" s="68"/>
      <c r="FAS121" s="68"/>
      <c r="FAT121" s="68"/>
      <c r="FAU121" s="68"/>
      <c r="FAV121" s="68"/>
      <c r="FAW121" s="68"/>
      <c r="FAX121" s="68"/>
      <c r="FAY121" s="68"/>
      <c r="FAZ121" s="68"/>
      <c r="FBA121" s="68"/>
      <c r="FBB121" s="68"/>
      <c r="FBC121" s="68"/>
      <c r="FBD121" s="68"/>
      <c r="FBE121" s="68"/>
      <c r="FBF121" s="68"/>
      <c r="FBG121" s="68"/>
      <c r="FBH121" s="68"/>
      <c r="FBI121" s="68"/>
      <c r="FBJ121" s="68"/>
      <c r="FBK121" s="68"/>
      <c r="FBL121" s="68"/>
      <c r="FBM121" s="68"/>
      <c r="FBN121" s="68"/>
      <c r="FBO121" s="68"/>
      <c r="FBP121" s="68"/>
      <c r="FBQ121" s="68"/>
      <c r="FBR121" s="68"/>
      <c r="FBS121" s="68"/>
      <c r="FBT121" s="68"/>
      <c r="FBU121" s="68"/>
      <c r="FBV121" s="68"/>
      <c r="FBW121" s="68"/>
      <c r="FBX121" s="68"/>
      <c r="FBY121" s="68"/>
      <c r="FBZ121" s="68"/>
      <c r="FCA121" s="68"/>
      <c r="FCB121" s="68"/>
      <c r="FCC121" s="68"/>
      <c r="FCD121" s="68"/>
      <c r="FCE121" s="68"/>
      <c r="FCF121" s="68"/>
      <c r="FCG121" s="68"/>
      <c r="FCH121" s="68"/>
      <c r="FCI121" s="68"/>
      <c r="FCJ121" s="68"/>
      <c r="FCK121" s="68"/>
      <c r="FCL121" s="68"/>
      <c r="FCM121" s="68"/>
      <c r="FCN121" s="68"/>
      <c r="FCO121" s="68"/>
      <c r="FCP121" s="68"/>
      <c r="FCQ121" s="68"/>
      <c r="FCR121" s="68"/>
      <c r="FCS121" s="68"/>
      <c r="FCT121" s="68"/>
      <c r="FCU121" s="68"/>
      <c r="FCV121" s="68"/>
      <c r="FCW121" s="68"/>
      <c r="FCX121" s="68"/>
      <c r="FCY121" s="68"/>
      <c r="FCZ121" s="68"/>
      <c r="FDA121" s="68"/>
      <c r="FDB121" s="68"/>
      <c r="FDC121" s="68"/>
      <c r="FDD121" s="68"/>
      <c r="FDE121" s="68"/>
      <c r="FDF121" s="68"/>
      <c r="FDG121" s="68"/>
      <c r="FDH121" s="68"/>
      <c r="FDI121" s="68"/>
      <c r="FDJ121" s="68"/>
      <c r="FDK121" s="68"/>
      <c r="FDL121" s="68"/>
      <c r="FDM121" s="68"/>
      <c r="FDN121" s="68"/>
      <c r="FDO121" s="68"/>
      <c r="FDP121" s="68"/>
      <c r="FDQ121" s="68"/>
      <c r="FDR121" s="68"/>
      <c r="FDS121" s="68"/>
      <c r="FDT121" s="68"/>
      <c r="FDU121" s="68"/>
      <c r="FDV121" s="68"/>
      <c r="FDW121" s="68"/>
      <c r="FDX121" s="68"/>
      <c r="FDY121" s="68"/>
      <c r="FDZ121" s="68"/>
      <c r="FEA121" s="68"/>
      <c r="FEB121" s="68"/>
      <c r="FEC121" s="68"/>
      <c r="FED121" s="68"/>
      <c r="FEE121" s="68"/>
      <c r="FEF121" s="68"/>
      <c r="FEG121" s="68"/>
      <c r="FEH121" s="68"/>
      <c r="FEI121" s="68"/>
      <c r="FEJ121" s="68"/>
      <c r="FEK121" s="68"/>
      <c r="FEL121" s="68"/>
      <c r="FEM121" s="68"/>
      <c r="FEN121" s="68"/>
      <c r="FEO121" s="68"/>
      <c r="FEP121" s="68"/>
      <c r="FEQ121" s="68"/>
      <c r="FER121" s="68"/>
      <c r="FES121" s="68"/>
      <c r="FET121" s="68"/>
      <c r="FEU121" s="68"/>
      <c r="FEV121" s="68"/>
      <c r="FEW121" s="68"/>
      <c r="FEX121" s="68"/>
      <c r="FEY121" s="68"/>
      <c r="FEZ121" s="68"/>
      <c r="FFA121" s="68"/>
      <c r="FFB121" s="68"/>
      <c r="FFC121" s="68"/>
      <c r="FFD121" s="68"/>
      <c r="FFE121" s="68"/>
      <c r="FFF121" s="68"/>
      <c r="FFG121" s="68"/>
      <c r="FFH121" s="68"/>
      <c r="FFI121" s="68"/>
      <c r="FFJ121" s="68"/>
      <c r="FFK121" s="68"/>
      <c r="FFL121" s="68"/>
      <c r="FFM121" s="68"/>
      <c r="FFN121" s="68"/>
      <c r="FFO121" s="68"/>
      <c r="FFP121" s="68"/>
      <c r="FFQ121" s="68"/>
      <c r="FFR121" s="68"/>
      <c r="FFS121" s="68"/>
      <c r="FFT121" s="68"/>
      <c r="FFU121" s="68"/>
      <c r="FFV121" s="68"/>
      <c r="FFW121" s="68"/>
      <c r="FFX121" s="68"/>
      <c r="FFY121" s="68"/>
      <c r="FFZ121" s="68"/>
      <c r="FGA121" s="68"/>
      <c r="FGB121" s="68"/>
      <c r="FGC121" s="68"/>
      <c r="FGD121" s="68"/>
      <c r="FGE121" s="68"/>
      <c r="FGF121" s="68"/>
      <c r="FGG121" s="68"/>
      <c r="FGH121" s="68"/>
      <c r="FGI121" s="68"/>
      <c r="FGJ121" s="68"/>
      <c r="FGK121" s="68"/>
      <c r="FGL121" s="68"/>
      <c r="FGM121" s="68"/>
      <c r="FGN121" s="68"/>
      <c r="FGO121" s="68"/>
      <c r="FGP121" s="68"/>
      <c r="FGQ121" s="68"/>
      <c r="FGR121" s="68"/>
      <c r="FGS121" s="68"/>
      <c r="FGT121" s="68"/>
      <c r="FGU121" s="68"/>
      <c r="FGV121" s="68"/>
      <c r="FGW121" s="68"/>
      <c r="FGX121" s="68"/>
      <c r="FGY121" s="68"/>
      <c r="FGZ121" s="68"/>
      <c r="FHA121" s="68"/>
      <c r="FHB121" s="68"/>
      <c r="FHC121" s="68"/>
      <c r="FHD121" s="68"/>
      <c r="FHE121" s="68"/>
      <c r="FHF121" s="68"/>
      <c r="FHG121" s="68"/>
      <c r="FHH121" s="68"/>
      <c r="FHI121" s="68"/>
      <c r="FHJ121" s="68"/>
      <c r="FHK121" s="68"/>
      <c r="FHL121" s="68"/>
      <c r="FHM121" s="68"/>
      <c r="FHN121" s="68"/>
      <c r="FHO121" s="68"/>
      <c r="FHP121" s="68"/>
      <c r="FHQ121" s="68"/>
      <c r="FHR121" s="68"/>
      <c r="FHS121" s="68"/>
      <c r="FHT121" s="68"/>
      <c r="FHU121" s="68"/>
      <c r="FHV121" s="68"/>
      <c r="FHW121" s="68"/>
      <c r="FHX121" s="68"/>
      <c r="FHY121" s="68"/>
      <c r="FHZ121" s="68"/>
      <c r="FIA121" s="68"/>
      <c r="FIB121" s="68"/>
      <c r="FIC121" s="68"/>
      <c r="FID121" s="68"/>
      <c r="FIE121" s="68"/>
      <c r="FIF121" s="68"/>
      <c r="FIG121" s="68"/>
      <c r="FIH121" s="68"/>
      <c r="FII121" s="68"/>
      <c r="FIJ121" s="68"/>
      <c r="FIK121" s="68"/>
      <c r="FIL121" s="68"/>
      <c r="FIM121" s="68"/>
      <c r="FIN121" s="68"/>
      <c r="FIO121" s="68"/>
      <c r="FIP121" s="68"/>
      <c r="FIQ121" s="68"/>
      <c r="FIR121" s="68"/>
      <c r="FIS121" s="68"/>
      <c r="FIT121" s="68"/>
      <c r="FIU121" s="68"/>
      <c r="FIV121" s="68"/>
      <c r="FIW121" s="68"/>
      <c r="FIX121" s="68"/>
      <c r="FIY121" s="68"/>
      <c r="FIZ121" s="68"/>
      <c r="FJA121" s="68"/>
      <c r="FJB121" s="68"/>
      <c r="FJC121" s="68"/>
      <c r="FJD121" s="68"/>
      <c r="FJE121" s="68"/>
      <c r="FJF121" s="68"/>
      <c r="FJG121" s="68"/>
      <c r="FJH121" s="68"/>
      <c r="FJI121" s="68"/>
      <c r="FJJ121" s="68"/>
      <c r="FJK121" s="68"/>
      <c r="FJL121" s="68"/>
      <c r="FJM121" s="68"/>
      <c r="FJN121" s="68"/>
      <c r="FJO121" s="68"/>
      <c r="FJP121" s="68"/>
      <c r="FJQ121" s="68"/>
      <c r="FJR121" s="68"/>
      <c r="FJS121" s="68"/>
      <c r="FJT121" s="68"/>
      <c r="FJU121" s="68"/>
      <c r="FJV121" s="68"/>
      <c r="FJW121" s="68"/>
      <c r="FJX121" s="68"/>
      <c r="FJY121" s="68"/>
      <c r="FJZ121" s="68"/>
      <c r="FKA121" s="68"/>
      <c r="FKB121" s="68"/>
      <c r="FKC121" s="68"/>
      <c r="FKD121" s="68"/>
      <c r="FKE121" s="68"/>
      <c r="FKF121" s="68"/>
      <c r="FKG121" s="68"/>
      <c r="FKH121" s="68"/>
      <c r="FKI121" s="68"/>
      <c r="FKJ121" s="68"/>
      <c r="FKK121" s="68"/>
      <c r="FKL121" s="68"/>
      <c r="FKM121" s="68"/>
      <c r="FKN121" s="68"/>
      <c r="FKO121" s="68"/>
      <c r="FKP121" s="68"/>
      <c r="FKQ121" s="68"/>
      <c r="FKR121" s="68"/>
      <c r="FKS121" s="68"/>
      <c r="FKT121" s="68"/>
      <c r="FKU121" s="68"/>
      <c r="FKV121" s="68"/>
      <c r="FKW121" s="68"/>
      <c r="FKX121" s="68"/>
      <c r="FKY121" s="68"/>
      <c r="FKZ121" s="68"/>
      <c r="FLA121" s="68"/>
      <c r="FLB121" s="68"/>
      <c r="FLC121" s="68"/>
      <c r="FLD121" s="68"/>
      <c r="FLE121" s="68"/>
      <c r="FLF121" s="68"/>
      <c r="FLG121" s="68"/>
      <c r="FLH121" s="68"/>
      <c r="FLI121" s="68"/>
      <c r="FLJ121" s="68"/>
      <c r="FLK121" s="68"/>
      <c r="FLL121" s="68"/>
      <c r="FLM121" s="68"/>
      <c r="FLN121" s="68"/>
      <c r="FLO121" s="68"/>
      <c r="FLP121" s="68"/>
      <c r="FLQ121" s="68"/>
      <c r="FLR121" s="68"/>
      <c r="FLS121" s="68"/>
      <c r="FLT121" s="68"/>
      <c r="FLU121" s="68"/>
      <c r="FLV121" s="68"/>
      <c r="FLW121" s="68"/>
      <c r="FLX121" s="68"/>
      <c r="FLY121" s="68"/>
      <c r="FLZ121" s="68"/>
      <c r="FMA121" s="68"/>
      <c r="FMB121" s="68"/>
      <c r="FMC121" s="68"/>
      <c r="FMD121" s="68"/>
      <c r="FME121" s="68"/>
      <c r="FMF121" s="68"/>
      <c r="FMG121" s="68"/>
      <c r="FMH121" s="68"/>
      <c r="FMI121" s="68"/>
      <c r="FMJ121" s="68"/>
      <c r="FMK121" s="68"/>
      <c r="FML121" s="68"/>
      <c r="FMM121" s="68"/>
      <c r="FMN121" s="68"/>
      <c r="FMO121" s="68"/>
      <c r="FMP121" s="68"/>
      <c r="FMQ121" s="68"/>
      <c r="FMR121" s="68"/>
      <c r="FMS121" s="68"/>
      <c r="FMT121" s="68"/>
      <c r="FMU121" s="68"/>
      <c r="FMV121" s="68"/>
      <c r="FMW121" s="68"/>
      <c r="FMX121" s="68"/>
      <c r="FMY121" s="68"/>
      <c r="FMZ121" s="68"/>
      <c r="FNA121" s="68"/>
      <c r="FNB121" s="68"/>
      <c r="FNC121" s="68"/>
      <c r="FND121" s="68"/>
      <c r="FNE121" s="68"/>
      <c r="FNF121" s="68"/>
      <c r="FNG121" s="68"/>
      <c r="FNH121" s="68"/>
      <c r="FNI121" s="68"/>
      <c r="FNJ121" s="68"/>
      <c r="FNK121" s="68"/>
      <c r="FNL121" s="68"/>
      <c r="FNM121" s="68"/>
      <c r="FNN121" s="68"/>
      <c r="FNO121" s="68"/>
      <c r="FNP121" s="68"/>
      <c r="FNQ121" s="68"/>
      <c r="FNR121" s="68"/>
      <c r="FNS121" s="68"/>
      <c r="FNT121" s="68"/>
      <c r="FNU121" s="68"/>
      <c r="FNV121" s="68"/>
      <c r="FNW121" s="68"/>
      <c r="FNX121" s="68"/>
      <c r="FNY121" s="68"/>
      <c r="FNZ121" s="68"/>
      <c r="FOA121" s="68"/>
      <c r="FOB121" s="68"/>
      <c r="FOC121" s="68"/>
      <c r="FOD121" s="68"/>
      <c r="FOE121" s="68"/>
      <c r="FOF121" s="68"/>
      <c r="FOG121" s="68"/>
      <c r="FOH121" s="68"/>
      <c r="FOI121" s="68"/>
      <c r="FOJ121" s="68"/>
      <c r="FOK121" s="68"/>
      <c r="FOL121" s="68"/>
      <c r="FOM121" s="68"/>
      <c r="FON121" s="68"/>
      <c r="FOO121" s="68"/>
      <c r="FOP121" s="68"/>
      <c r="FOQ121" s="68"/>
      <c r="FOR121" s="68"/>
      <c r="FOS121" s="68"/>
      <c r="FOT121" s="68"/>
      <c r="FOU121" s="68"/>
      <c r="FOV121" s="68"/>
      <c r="FOW121" s="68"/>
      <c r="FOX121" s="68"/>
      <c r="FOY121" s="68"/>
      <c r="FOZ121" s="68"/>
      <c r="FPA121" s="68"/>
      <c r="FPB121" s="68"/>
      <c r="FPC121" s="68"/>
      <c r="FPD121" s="68"/>
      <c r="FPE121" s="68"/>
      <c r="FPF121" s="68"/>
      <c r="FPG121" s="68"/>
      <c r="FPH121" s="68"/>
      <c r="FPI121" s="68"/>
      <c r="FPJ121" s="68"/>
      <c r="FPK121" s="68"/>
      <c r="FPL121" s="68"/>
      <c r="FPM121" s="68"/>
      <c r="FPN121" s="68"/>
      <c r="FPO121" s="68"/>
      <c r="FPP121" s="68"/>
      <c r="FPQ121" s="68"/>
      <c r="FPR121" s="68"/>
      <c r="FPS121" s="68"/>
      <c r="FPT121" s="68"/>
      <c r="FPU121" s="68"/>
      <c r="FPV121" s="68"/>
      <c r="FPW121" s="68"/>
      <c r="FPX121" s="68"/>
      <c r="FPY121" s="68"/>
      <c r="FPZ121" s="68"/>
      <c r="FQA121" s="68"/>
      <c r="FQB121" s="68"/>
      <c r="FQC121" s="68"/>
      <c r="FQD121" s="68"/>
      <c r="FQE121" s="68"/>
      <c r="FQF121" s="68"/>
      <c r="FQG121" s="68"/>
      <c r="FQH121" s="68"/>
      <c r="FQI121" s="68"/>
      <c r="FQJ121" s="68"/>
      <c r="FQK121" s="68"/>
      <c r="FQL121" s="68"/>
      <c r="FQM121" s="68"/>
      <c r="FQN121" s="68"/>
      <c r="FQO121" s="68"/>
      <c r="FQP121" s="68"/>
      <c r="FQQ121" s="68"/>
      <c r="FQR121" s="68"/>
      <c r="FQS121" s="68"/>
      <c r="FQT121" s="68"/>
      <c r="FQU121" s="68"/>
      <c r="FQV121" s="68"/>
      <c r="FQW121" s="68"/>
      <c r="FQX121" s="68"/>
      <c r="FQY121" s="68"/>
      <c r="FQZ121" s="68"/>
      <c r="FRA121" s="68"/>
      <c r="FRB121" s="68"/>
      <c r="FRC121" s="68"/>
      <c r="FRD121" s="68"/>
      <c r="FRE121" s="68"/>
      <c r="FRF121" s="68"/>
      <c r="FRG121" s="68"/>
      <c r="FRH121" s="68"/>
      <c r="FRI121" s="68"/>
      <c r="FRJ121" s="68"/>
      <c r="FRK121" s="68"/>
      <c r="FRL121" s="68"/>
      <c r="FRM121" s="68"/>
      <c r="FRN121" s="68"/>
      <c r="FRO121" s="68"/>
      <c r="FRP121" s="68"/>
      <c r="FRQ121" s="68"/>
      <c r="FRR121" s="68"/>
      <c r="FRS121" s="68"/>
      <c r="FRT121" s="68"/>
      <c r="FRU121" s="68"/>
      <c r="FRV121" s="68"/>
      <c r="FRW121" s="68"/>
      <c r="FRX121" s="68"/>
      <c r="FRY121" s="68"/>
      <c r="FRZ121" s="68"/>
      <c r="FSA121" s="68"/>
      <c r="FSB121" s="68"/>
      <c r="FSC121" s="68"/>
      <c r="FSD121" s="68"/>
      <c r="FSE121" s="68"/>
      <c r="FSF121" s="68"/>
      <c r="FSG121" s="68"/>
      <c r="FSH121" s="68"/>
      <c r="FSI121" s="68"/>
      <c r="FSJ121" s="68"/>
      <c r="FSK121" s="68"/>
      <c r="FSL121" s="68"/>
      <c r="FSM121" s="68"/>
      <c r="FSN121" s="68"/>
      <c r="FSO121" s="68"/>
      <c r="FSP121" s="68"/>
      <c r="FSQ121" s="68"/>
      <c r="FSR121" s="68"/>
      <c r="FSS121" s="68"/>
      <c r="FST121" s="68"/>
      <c r="FSU121" s="68"/>
      <c r="FSV121" s="68"/>
      <c r="FSW121" s="68"/>
      <c r="FSX121" s="68"/>
      <c r="FSY121" s="68"/>
      <c r="FSZ121" s="68"/>
      <c r="FTA121" s="68"/>
      <c r="FTB121" s="68"/>
      <c r="FTC121" s="68"/>
      <c r="FTD121" s="68"/>
      <c r="FTE121" s="68"/>
      <c r="FTF121" s="68"/>
      <c r="FTG121" s="68"/>
      <c r="FTH121" s="68"/>
      <c r="FTI121" s="68"/>
      <c r="FTJ121" s="68"/>
      <c r="FTK121" s="68"/>
      <c r="FTL121" s="68"/>
      <c r="FTM121" s="68"/>
      <c r="FTN121" s="68"/>
      <c r="FTO121" s="68"/>
      <c r="FTP121" s="68"/>
      <c r="FTQ121" s="68"/>
      <c r="FTR121" s="68"/>
      <c r="FTS121" s="68"/>
      <c r="FTT121" s="68"/>
      <c r="FTU121" s="68"/>
      <c r="FTV121" s="68"/>
      <c r="FTW121" s="68"/>
      <c r="FTX121" s="68"/>
      <c r="FTY121" s="68"/>
      <c r="FTZ121" s="68"/>
      <c r="FUA121" s="68"/>
      <c r="FUB121" s="68"/>
      <c r="FUC121" s="68"/>
      <c r="FUD121" s="68"/>
      <c r="FUE121" s="68"/>
      <c r="FUF121" s="68"/>
      <c r="FUG121" s="68"/>
      <c r="FUH121" s="68"/>
      <c r="FUI121" s="68"/>
      <c r="FUJ121" s="68"/>
      <c r="FUK121" s="68"/>
      <c r="FUL121" s="68"/>
      <c r="FUM121" s="68"/>
      <c r="FUN121" s="68"/>
      <c r="FUO121" s="68"/>
      <c r="FUP121" s="68"/>
      <c r="FUQ121" s="68"/>
      <c r="FUR121" s="68"/>
      <c r="FUS121" s="68"/>
      <c r="FUT121" s="68"/>
      <c r="FUU121" s="68"/>
      <c r="FUV121" s="68"/>
      <c r="FUW121" s="68"/>
      <c r="FUX121" s="68"/>
      <c r="FUY121" s="68"/>
      <c r="FUZ121" s="68"/>
      <c r="FVA121" s="68"/>
      <c r="FVB121" s="68"/>
      <c r="FVC121" s="68"/>
      <c r="FVD121" s="68"/>
      <c r="FVE121" s="68"/>
      <c r="FVF121" s="68"/>
      <c r="FVG121" s="68"/>
      <c r="FVH121" s="68"/>
      <c r="FVI121" s="68"/>
      <c r="FVJ121" s="68"/>
      <c r="FVK121" s="68"/>
      <c r="FVL121" s="68"/>
      <c r="FVM121" s="68"/>
      <c r="FVN121" s="68"/>
      <c r="FVO121" s="68"/>
      <c r="FVP121" s="68"/>
      <c r="FVQ121" s="68"/>
      <c r="FVR121" s="68"/>
      <c r="FVS121" s="68"/>
      <c r="FVT121" s="68"/>
      <c r="FVU121" s="68"/>
      <c r="FVV121" s="68"/>
      <c r="FVW121" s="68"/>
      <c r="FVX121" s="68"/>
      <c r="FVY121" s="68"/>
      <c r="FVZ121" s="68"/>
      <c r="FWA121" s="68"/>
      <c r="FWB121" s="68"/>
      <c r="FWC121" s="68"/>
      <c r="FWD121" s="68"/>
      <c r="FWE121" s="68"/>
      <c r="FWF121" s="68"/>
      <c r="FWG121" s="68"/>
      <c r="FWH121" s="68"/>
      <c r="FWI121" s="68"/>
      <c r="FWJ121" s="68"/>
      <c r="FWK121" s="68"/>
      <c r="FWL121" s="68"/>
      <c r="FWM121" s="68"/>
      <c r="FWN121" s="68"/>
      <c r="FWO121" s="68"/>
      <c r="FWP121" s="68"/>
      <c r="FWQ121" s="68"/>
      <c r="FWR121" s="68"/>
      <c r="FWS121" s="68"/>
      <c r="FWT121" s="68"/>
      <c r="FWU121" s="68"/>
      <c r="FWV121" s="68"/>
      <c r="FWW121" s="68"/>
      <c r="FWX121" s="68"/>
      <c r="FWY121" s="68"/>
      <c r="FWZ121" s="68"/>
      <c r="FXA121" s="68"/>
      <c r="FXB121" s="68"/>
      <c r="FXC121" s="68"/>
      <c r="FXD121" s="68"/>
      <c r="FXE121" s="68"/>
      <c r="FXF121" s="68"/>
      <c r="FXG121" s="68"/>
      <c r="FXH121" s="68"/>
      <c r="FXI121" s="68"/>
      <c r="FXJ121" s="68"/>
      <c r="FXK121" s="68"/>
      <c r="FXL121" s="68"/>
      <c r="FXM121" s="68"/>
      <c r="FXN121" s="68"/>
      <c r="FXO121" s="68"/>
      <c r="FXP121" s="68"/>
      <c r="FXQ121" s="68"/>
      <c r="FXR121" s="68"/>
      <c r="FXS121" s="68"/>
      <c r="FXT121" s="68"/>
      <c r="FXU121" s="68"/>
      <c r="FXV121" s="68"/>
      <c r="FXW121" s="68"/>
      <c r="FXX121" s="68"/>
      <c r="FXY121" s="68"/>
      <c r="FXZ121" s="68"/>
      <c r="FYA121" s="68"/>
      <c r="FYB121" s="68"/>
      <c r="FYC121" s="68"/>
      <c r="FYD121" s="68"/>
      <c r="FYE121" s="68"/>
      <c r="FYF121" s="68"/>
      <c r="FYG121" s="68"/>
      <c r="FYH121" s="68"/>
      <c r="FYI121" s="68"/>
      <c r="FYJ121" s="68"/>
      <c r="FYK121" s="68"/>
      <c r="FYL121" s="68"/>
      <c r="FYM121" s="68"/>
      <c r="FYN121" s="68"/>
      <c r="FYO121" s="68"/>
      <c r="FYP121" s="68"/>
      <c r="FYQ121" s="68"/>
      <c r="FYR121" s="68"/>
      <c r="FYS121" s="68"/>
      <c r="FYT121" s="68"/>
      <c r="FYU121" s="68"/>
      <c r="FYV121" s="68"/>
      <c r="FYW121" s="68"/>
      <c r="FYX121" s="68"/>
      <c r="FYY121" s="68"/>
      <c r="FYZ121" s="68"/>
      <c r="FZA121" s="68"/>
      <c r="FZB121" s="68"/>
      <c r="FZC121" s="68"/>
      <c r="FZD121" s="68"/>
      <c r="FZE121" s="68"/>
      <c r="FZF121" s="68"/>
      <c r="FZG121" s="68"/>
      <c r="FZH121" s="68"/>
      <c r="FZI121" s="68"/>
      <c r="FZJ121" s="68"/>
      <c r="FZK121" s="68"/>
      <c r="FZL121" s="68"/>
      <c r="FZM121" s="68"/>
      <c r="FZN121" s="68"/>
      <c r="FZO121" s="68"/>
      <c r="FZP121" s="68"/>
      <c r="FZQ121" s="68"/>
      <c r="FZR121" s="68"/>
      <c r="FZS121" s="68"/>
      <c r="FZT121" s="68"/>
      <c r="FZU121" s="68"/>
      <c r="FZV121" s="68"/>
      <c r="FZW121" s="68"/>
      <c r="FZX121" s="68"/>
      <c r="FZY121" s="68"/>
      <c r="FZZ121" s="68"/>
      <c r="GAA121" s="68"/>
      <c r="GAB121" s="68"/>
      <c r="GAC121" s="68"/>
      <c r="GAD121" s="68"/>
      <c r="GAE121" s="68"/>
      <c r="GAF121" s="68"/>
      <c r="GAG121" s="68"/>
      <c r="GAH121" s="68"/>
      <c r="GAI121" s="68"/>
      <c r="GAJ121" s="68"/>
      <c r="GAK121" s="68"/>
      <c r="GAL121" s="68"/>
      <c r="GAM121" s="68"/>
      <c r="GAN121" s="68"/>
      <c r="GAO121" s="68"/>
      <c r="GAP121" s="68"/>
      <c r="GAQ121" s="68"/>
      <c r="GAR121" s="68"/>
      <c r="GAS121" s="68"/>
      <c r="GAT121" s="68"/>
      <c r="GAU121" s="68"/>
      <c r="GAV121" s="68"/>
      <c r="GAW121" s="68"/>
      <c r="GAX121" s="68"/>
      <c r="GAY121" s="68"/>
      <c r="GAZ121" s="68"/>
      <c r="GBA121" s="68"/>
      <c r="GBB121" s="68"/>
      <c r="GBC121" s="68"/>
      <c r="GBD121" s="68"/>
      <c r="GBE121" s="68"/>
      <c r="GBF121" s="68"/>
      <c r="GBG121" s="68"/>
      <c r="GBH121" s="68"/>
      <c r="GBI121" s="68"/>
      <c r="GBJ121" s="68"/>
      <c r="GBK121" s="68"/>
      <c r="GBL121" s="68"/>
      <c r="GBM121" s="68"/>
      <c r="GBN121" s="68"/>
      <c r="GBO121" s="68"/>
      <c r="GBP121" s="68"/>
      <c r="GBQ121" s="68"/>
      <c r="GBR121" s="68"/>
      <c r="GBS121" s="68"/>
      <c r="GBT121" s="68"/>
      <c r="GBU121" s="68"/>
      <c r="GBV121" s="68"/>
      <c r="GBW121" s="68"/>
      <c r="GBX121" s="68"/>
      <c r="GBY121" s="68"/>
      <c r="GBZ121" s="68"/>
      <c r="GCA121" s="68"/>
      <c r="GCB121" s="68"/>
      <c r="GCC121" s="68"/>
      <c r="GCD121" s="68"/>
      <c r="GCE121" s="68"/>
      <c r="GCF121" s="68"/>
      <c r="GCG121" s="68"/>
      <c r="GCH121" s="68"/>
      <c r="GCI121" s="68"/>
      <c r="GCJ121" s="68"/>
      <c r="GCK121" s="68"/>
      <c r="GCL121" s="68"/>
      <c r="GCM121" s="68"/>
      <c r="GCN121" s="68"/>
      <c r="GCO121" s="68"/>
      <c r="GCP121" s="68"/>
      <c r="GCQ121" s="68"/>
      <c r="GCR121" s="68"/>
      <c r="GCS121" s="68"/>
      <c r="GCT121" s="68"/>
      <c r="GCU121" s="68"/>
      <c r="GCV121" s="68"/>
      <c r="GCW121" s="68"/>
      <c r="GCX121" s="68"/>
      <c r="GCY121" s="68"/>
      <c r="GCZ121" s="68"/>
      <c r="GDA121" s="68"/>
      <c r="GDB121" s="68"/>
      <c r="GDC121" s="68"/>
      <c r="GDD121" s="68"/>
      <c r="GDE121" s="68"/>
      <c r="GDF121" s="68"/>
      <c r="GDG121" s="68"/>
      <c r="GDH121" s="68"/>
      <c r="GDI121" s="68"/>
      <c r="GDJ121" s="68"/>
      <c r="GDK121" s="68"/>
      <c r="GDL121" s="68"/>
      <c r="GDM121" s="68"/>
      <c r="GDN121" s="68"/>
      <c r="GDO121" s="68"/>
      <c r="GDP121" s="68"/>
      <c r="GDQ121" s="68"/>
      <c r="GDR121" s="68"/>
      <c r="GDS121" s="68"/>
      <c r="GDT121" s="68"/>
      <c r="GDU121" s="68"/>
      <c r="GDV121" s="68"/>
      <c r="GDW121" s="68"/>
      <c r="GDX121" s="68"/>
      <c r="GDY121" s="68"/>
      <c r="GDZ121" s="68"/>
      <c r="GEA121" s="68"/>
      <c r="GEB121" s="68"/>
      <c r="GEC121" s="68"/>
      <c r="GED121" s="68"/>
      <c r="GEE121" s="68"/>
      <c r="GEF121" s="68"/>
      <c r="GEG121" s="68"/>
      <c r="GEH121" s="68"/>
      <c r="GEI121" s="68"/>
      <c r="GEJ121" s="68"/>
      <c r="GEK121" s="68"/>
      <c r="GEL121" s="68"/>
      <c r="GEM121" s="68"/>
      <c r="GEN121" s="68"/>
      <c r="GEO121" s="68"/>
      <c r="GEP121" s="68"/>
      <c r="GEQ121" s="68"/>
      <c r="GER121" s="68"/>
      <c r="GES121" s="68"/>
      <c r="GET121" s="68"/>
      <c r="GEU121" s="68"/>
      <c r="GEV121" s="68"/>
      <c r="GEW121" s="68"/>
      <c r="GEX121" s="68"/>
      <c r="GEY121" s="68"/>
      <c r="GEZ121" s="68"/>
      <c r="GFA121" s="68"/>
      <c r="GFB121" s="68"/>
      <c r="GFC121" s="68"/>
      <c r="GFD121" s="68"/>
      <c r="GFE121" s="68"/>
      <c r="GFF121" s="68"/>
      <c r="GFG121" s="68"/>
      <c r="GFH121" s="68"/>
      <c r="GFI121" s="68"/>
      <c r="GFJ121" s="68"/>
      <c r="GFK121" s="68"/>
      <c r="GFL121" s="68"/>
      <c r="GFM121" s="68"/>
      <c r="GFN121" s="68"/>
      <c r="GFO121" s="68"/>
      <c r="GFP121" s="68"/>
      <c r="GFQ121" s="68"/>
      <c r="GFR121" s="68"/>
      <c r="GFS121" s="68"/>
      <c r="GFT121" s="68"/>
      <c r="GFU121" s="68"/>
      <c r="GFV121" s="68"/>
      <c r="GFW121" s="68"/>
      <c r="GFX121" s="68"/>
      <c r="GFY121" s="68"/>
      <c r="GFZ121" s="68"/>
      <c r="GGA121" s="68"/>
      <c r="GGB121" s="68"/>
      <c r="GGC121" s="68"/>
      <c r="GGD121" s="68"/>
      <c r="GGE121" s="68"/>
      <c r="GGF121" s="68"/>
      <c r="GGG121" s="68"/>
      <c r="GGH121" s="68"/>
      <c r="GGI121" s="68"/>
      <c r="GGJ121" s="68"/>
      <c r="GGK121" s="68"/>
      <c r="GGL121" s="68"/>
      <c r="GGM121" s="68"/>
      <c r="GGN121" s="68"/>
      <c r="GGO121" s="68"/>
      <c r="GGP121" s="68"/>
      <c r="GGQ121" s="68"/>
      <c r="GGR121" s="68"/>
      <c r="GGS121" s="68"/>
      <c r="GGT121" s="68"/>
      <c r="GGU121" s="68"/>
      <c r="GGV121" s="68"/>
      <c r="GGW121" s="68"/>
      <c r="GGX121" s="68"/>
      <c r="GGY121" s="68"/>
      <c r="GGZ121" s="68"/>
      <c r="GHA121" s="68"/>
      <c r="GHB121" s="68"/>
      <c r="GHC121" s="68"/>
      <c r="GHD121" s="68"/>
      <c r="GHE121" s="68"/>
      <c r="GHF121" s="68"/>
      <c r="GHG121" s="68"/>
      <c r="GHH121" s="68"/>
      <c r="GHI121" s="68"/>
      <c r="GHJ121" s="68"/>
      <c r="GHK121" s="68"/>
      <c r="GHL121" s="68"/>
      <c r="GHM121" s="68"/>
      <c r="GHN121" s="68"/>
      <c r="GHO121" s="68"/>
      <c r="GHP121" s="68"/>
      <c r="GHQ121" s="68"/>
      <c r="GHR121" s="68"/>
      <c r="GHS121" s="68"/>
      <c r="GHT121" s="68"/>
      <c r="GHU121" s="68"/>
      <c r="GHV121" s="68"/>
      <c r="GHW121" s="68"/>
      <c r="GHX121" s="68"/>
      <c r="GHY121" s="68"/>
      <c r="GHZ121" s="68"/>
      <c r="GIA121" s="68"/>
      <c r="GIB121" s="68"/>
      <c r="GIC121" s="68"/>
      <c r="GID121" s="68"/>
      <c r="GIE121" s="68"/>
      <c r="GIF121" s="68"/>
      <c r="GIG121" s="68"/>
      <c r="GIH121" s="68"/>
      <c r="GII121" s="68"/>
      <c r="GIJ121" s="68"/>
      <c r="GIK121" s="68"/>
      <c r="GIL121" s="68"/>
      <c r="GIM121" s="68"/>
      <c r="GIN121" s="68"/>
      <c r="GIO121" s="68"/>
      <c r="GIP121" s="68"/>
      <c r="GIQ121" s="68"/>
      <c r="GIR121" s="68"/>
      <c r="GIS121" s="68"/>
      <c r="GIT121" s="68"/>
      <c r="GIU121" s="68"/>
      <c r="GIV121" s="68"/>
      <c r="GIW121" s="68"/>
      <c r="GIX121" s="68"/>
      <c r="GIY121" s="68"/>
      <c r="GIZ121" s="68"/>
      <c r="GJA121" s="68"/>
      <c r="GJB121" s="68"/>
      <c r="GJC121" s="68"/>
      <c r="GJD121" s="68"/>
      <c r="GJE121" s="68"/>
      <c r="GJF121" s="68"/>
      <c r="GJG121" s="68"/>
      <c r="GJH121" s="68"/>
      <c r="GJI121" s="68"/>
      <c r="GJJ121" s="68"/>
      <c r="GJK121" s="68"/>
      <c r="GJL121" s="68"/>
      <c r="GJM121" s="68"/>
      <c r="GJN121" s="68"/>
      <c r="GJO121" s="68"/>
      <c r="GJP121" s="68"/>
      <c r="GJQ121" s="68"/>
      <c r="GJR121" s="68"/>
      <c r="GJS121" s="68"/>
      <c r="GJT121" s="68"/>
      <c r="GJU121" s="68"/>
      <c r="GJV121" s="68"/>
      <c r="GJW121" s="68"/>
      <c r="GJX121" s="68"/>
      <c r="GJY121" s="68"/>
      <c r="GJZ121" s="68"/>
      <c r="GKA121" s="68"/>
      <c r="GKB121" s="68"/>
      <c r="GKC121" s="68"/>
      <c r="GKD121" s="68"/>
      <c r="GKE121" s="68"/>
      <c r="GKF121" s="68"/>
      <c r="GKG121" s="68"/>
      <c r="GKH121" s="68"/>
      <c r="GKI121" s="68"/>
      <c r="GKJ121" s="68"/>
      <c r="GKK121" s="68"/>
      <c r="GKL121" s="68"/>
      <c r="GKM121" s="68"/>
      <c r="GKN121" s="68"/>
      <c r="GKO121" s="68"/>
      <c r="GKP121" s="68"/>
      <c r="GKQ121" s="68"/>
      <c r="GKR121" s="68"/>
      <c r="GKS121" s="68"/>
      <c r="GKT121" s="68"/>
      <c r="GKU121" s="68"/>
      <c r="GKV121" s="68"/>
      <c r="GKW121" s="68"/>
      <c r="GKX121" s="68"/>
      <c r="GKY121" s="68"/>
      <c r="GKZ121" s="68"/>
      <c r="GLA121" s="68"/>
      <c r="GLB121" s="68"/>
      <c r="GLC121" s="68"/>
      <c r="GLD121" s="68"/>
      <c r="GLE121" s="68"/>
      <c r="GLF121" s="68"/>
      <c r="GLG121" s="68"/>
      <c r="GLH121" s="68"/>
      <c r="GLI121" s="68"/>
      <c r="GLJ121" s="68"/>
      <c r="GLK121" s="68"/>
      <c r="GLL121" s="68"/>
      <c r="GLM121" s="68"/>
      <c r="GLN121" s="68"/>
      <c r="GLO121" s="68"/>
      <c r="GLP121" s="68"/>
      <c r="GLQ121" s="68"/>
      <c r="GLR121" s="68"/>
      <c r="GLS121" s="68"/>
      <c r="GLT121" s="68"/>
      <c r="GLU121" s="68"/>
      <c r="GLV121" s="68"/>
      <c r="GLW121" s="68"/>
      <c r="GLX121" s="68"/>
      <c r="GLY121" s="68"/>
      <c r="GLZ121" s="68"/>
      <c r="GMA121" s="68"/>
      <c r="GMB121" s="68"/>
      <c r="GMC121" s="68"/>
      <c r="GMD121" s="68"/>
      <c r="GME121" s="68"/>
      <c r="GMF121" s="68"/>
      <c r="GMG121" s="68"/>
      <c r="GMH121" s="68"/>
      <c r="GMI121" s="68"/>
      <c r="GMJ121" s="68"/>
      <c r="GMK121" s="68"/>
      <c r="GML121" s="68"/>
      <c r="GMM121" s="68"/>
      <c r="GMN121" s="68"/>
      <c r="GMO121" s="68"/>
      <c r="GMP121" s="68"/>
      <c r="GMQ121" s="68"/>
      <c r="GMR121" s="68"/>
      <c r="GMS121" s="68"/>
      <c r="GMT121" s="68"/>
      <c r="GMU121" s="68"/>
      <c r="GMV121" s="68"/>
      <c r="GMW121" s="68"/>
      <c r="GMX121" s="68"/>
      <c r="GMY121" s="68"/>
      <c r="GMZ121" s="68"/>
      <c r="GNA121" s="68"/>
      <c r="GNB121" s="68"/>
      <c r="GNC121" s="68"/>
      <c r="GND121" s="68"/>
      <c r="GNE121" s="68"/>
      <c r="GNF121" s="68"/>
      <c r="GNG121" s="68"/>
      <c r="GNH121" s="68"/>
      <c r="GNI121" s="68"/>
      <c r="GNJ121" s="68"/>
      <c r="GNK121" s="68"/>
      <c r="GNL121" s="68"/>
      <c r="GNM121" s="68"/>
      <c r="GNN121" s="68"/>
      <c r="GNO121" s="68"/>
      <c r="GNP121" s="68"/>
      <c r="GNQ121" s="68"/>
      <c r="GNR121" s="68"/>
      <c r="GNS121" s="68"/>
      <c r="GNT121" s="68"/>
      <c r="GNU121" s="68"/>
      <c r="GNV121" s="68"/>
      <c r="GNW121" s="68"/>
      <c r="GNX121" s="68"/>
      <c r="GNY121" s="68"/>
      <c r="GNZ121" s="68"/>
      <c r="GOA121" s="68"/>
      <c r="GOB121" s="68"/>
      <c r="GOC121" s="68"/>
      <c r="GOD121" s="68"/>
      <c r="GOE121" s="68"/>
      <c r="GOF121" s="68"/>
      <c r="GOG121" s="68"/>
      <c r="GOH121" s="68"/>
      <c r="GOI121" s="68"/>
      <c r="GOJ121" s="68"/>
      <c r="GOK121" s="68"/>
      <c r="GOL121" s="68"/>
      <c r="GOM121" s="68"/>
      <c r="GON121" s="68"/>
      <c r="GOO121" s="68"/>
      <c r="GOP121" s="68"/>
      <c r="GOQ121" s="68"/>
      <c r="GOR121" s="68"/>
      <c r="GOS121" s="68"/>
      <c r="GOT121" s="68"/>
      <c r="GOU121" s="68"/>
      <c r="GOV121" s="68"/>
      <c r="GOW121" s="68"/>
      <c r="GOX121" s="68"/>
      <c r="GOY121" s="68"/>
      <c r="GOZ121" s="68"/>
      <c r="GPA121" s="68"/>
      <c r="GPB121" s="68"/>
      <c r="GPC121" s="68"/>
      <c r="GPD121" s="68"/>
      <c r="GPE121" s="68"/>
      <c r="GPF121" s="68"/>
      <c r="GPG121" s="68"/>
      <c r="GPH121" s="68"/>
      <c r="GPI121" s="68"/>
      <c r="GPJ121" s="68"/>
      <c r="GPK121" s="68"/>
      <c r="GPL121" s="68"/>
      <c r="GPM121" s="68"/>
      <c r="GPN121" s="68"/>
      <c r="GPO121" s="68"/>
      <c r="GPP121" s="68"/>
      <c r="GPQ121" s="68"/>
      <c r="GPR121" s="68"/>
      <c r="GPS121" s="68"/>
      <c r="GPT121" s="68"/>
      <c r="GPU121" s="68"/>
      <c r="GPV121" s="68"/>
      <c r="GPW121" s="68"/>
      <c r="GPX121" s="68"/>
      <c r="GPY121" s="68"/>
      <c r="GPZ121" s="68"/>
      <c r="GQA121" s="68"/>
      <c r="GQB121" s="68"/>
      <c r="GQC121" s="68"/>
      <c r="GQD121" s="68"/>
      <c r="GQE121" s="68"/>
      <c r="GQF121" s="68"/>
      <c r="GQG121" s="68"/>
      <c r="GQH121" s="68"/>
      <c r="GQI121" s="68"/>
      <c r="GQJ121" s="68"/>
      <c r="GQK121" s="68"/>
      <c r="GQL121" s="68"/>
      <c r="GQM121" s="68"/>
      <c r="GQN121" s="68"/>
      <c r="GQO121" s="68"/>
      <c r="GQP121" s="68"/>
      <c r="GQQ121" s="68"/>
      <c r="GQR121" s="68"/>
      <c r="GQS121" s="68"/>
      <c r="GQT121" s="68"/>
      <c r="GQU121" s="68"/>
      <c r="GQV121" s="68"/>
      <c r="GQW121" s="68"/>
      <c r="GQX121" s="68"/>
      <c r="GQY121" s="68"/>
      <c r="GQZ121" s="68"/>
      <c r="GRA121" s="68"/>
      <c r="GRB121" s="68"/>
      <c r="GRC121" s="68"/>
      <c r="GRD121" s="68"/>
      <c r="GRE121" s="68"/>
      <c r="GRF121" s="68"/>
      <c r="GRG121" s="68"/>
      <c r="GRH121" s="68"/>
      <c r="GRI121" s="68"/>
      <c r="GRJ121" s="68"/>
      <c r="GRK121" s="68"/>
      <c r="GRL121" s="68"/>
      <c r="GRM121" s="68"/>
      <c r="GRN121" s="68"/>
      <c r="GRO121" s="68"/>
      <c r="GRP121" s="68"/>
      <c r="GRQ121" s="68"/>
      <c r="GRR121" s="68"/>
      <c r="GRS121" s="68"/>
      <c r="GRT121" s="68"/>
      <c r="GRU121" s="68"/>
      <c r="GRV121" s="68"/>
      <c r="GRW121" s="68"/>
      <c r="GRX121" s="68"/>
      <c r="GRY121" s="68"/>
      <c r="GRZ121" s="68"/>
      <c r="GSA121" s="68"/>
      <c r="GSB121" s="68"/>
      <c r="GSC121" s="68"/>
      <c r="GSD121" s="68"/>
      <c r="GSE121" s="68"/>
      <c r="GSF121" s="68"/>
      <c r="GSG121" s="68"/>
      <c r="GSH121" s="68"/>
      <c r="GSI121" s="68"/>
      <c r="GSJ121" s="68"/>
      <c r="GSK121" s="68"/>
      <c r="GSL121" s="68"/>
      <c r="GSM121" s="68"/>
      <c r="GSN121" s="68"/>
      <c r="GSO121" s="68"/>
      <c r="GSP121" s="68"/>
      <c r="GSQ121" s="68"/>
      <c r="GSR121" s="68"/>
      <c r="GSS121" s="68"/>
      <c r="GST121" s="68"/>
      <c r="GSU121" s="68"/>
      <c r="GSV121" s="68"/>
      <c r="GSW121" s="68"/>
      <c r="GSX121" s="68"/>
      <c r="GSY121" s="68"/>
      <c r="GSZ121" s="68"/>
      <c r="GTA121" s="68"/>
      <c r="GTB121" s="68"/>
      <c r="GTC121" s="68"/>
      <c r="GTD121" s="68"/>
      <c r="GTE121" s="68"/>
      <c r="GTF121" s="68"/>
      <c r="GTG121" s="68"/>
      <c r="GTH121" s="68"/>
      <c r="GTI121" s="68"/>
      <c r="GTJ121" s="68"/>
      <c r="GTK121" s="68"/>
      <c r="GTL121" s="68"/>
      <c r="GTM121" s="68"/>
      <c r="GTN121" s="68"/>
      <c r="GTO121" s="68"/>
      <c r="GTP121" s="68"/>
      <c r="GTQ121" s="68"/>
      <c r="GTR121" s="68"/>
      <c r="GTS121" s="68"/>
      <c r="GTT121" s="68"/>
      <c r="GTU121" s="68"/>
      <c r="GTV121" s="68"/>
      <c r="GTW121" s="68"/>
      <c r="GTX121" s="68"/>
      <c r="GTY121" s="68"/>
      <c r="GTZ121" s="68"/>
      <c r="GUA121" s="68"/>
      <c r="GUB121" s="68"/>
      <c r="GUC121" s="68"/>
      <c r="GUD121" s="68"/>
      <c r="GUE121" s="68"/>
      <c r="GUF121" s="68"/>
      <c r="GUG121" s="68"/>
      <c r="GUH121" s="68"/>
      <c r="GUI121" s="68"/>
      <c r="GUJ121" s="68"/>
      <c r="GUK121" s="68"/>
      <c r="GUL121" s="68"/>
      <c r="GUM121" s="68"/>
      <c r="GUN121" s="68"/>
      <c r="GUO121" s="68"/>
      <c r="GUP121" s="68"/>
      <c r="GUQ121" s="68"/>
      <c r="GUR121" s="68"/>
      <c r="GUS121" s="68"/>
      <c r="GUT121" s="68"/>
      <c r="GUU121" s="68"/>
      <c r="GUV121" s="68"/>
      <c r="GUW121" s="68"/>
      <c r="GUX121" s="68"/>
      <c r="GUY121" s="68"/>
      <c r="GUZ121" s="68"/>
      <c r="GVA121" s="68"/>
      <c r="GVB121" s="68"/>
      <c r="GVC121" s="68"/>
      <c r="GVD121" s="68"/>
      <c r="GVE121" s="68"/>
      <c r="GVF121" s="68"/>
      <c r="GVG121" s="68"/>
      <c r="GVH121" s="68"/>
      <c r="GVI121" s="68"/>
      <c r="GVJ121" s="68"/>
      <c r="GVK121" s="68"/>
      <c r="GVL121" s="68"/>
      <c r="GVM121" s="68"/>
      <c r="GVN121" s="68"/>
      <c r="GVO121" s="68"/>
      <c r="GVP121" s="68"/>
      <c r="GVQ121" s="68"/>
      <c r="GVR121" s="68"/>
      <c r="GVS121" s="68"/>
      <c r="GVT121" s="68"/>
      <c r="GVU121" s="68"/>
      <c r="GVV121" s="68"/>
      <c r="GVW121" s="68"/>
      <c r="GVX121" s="68"/>
      <c r="GVY121" s="68"/>
      <c r="GVZ121" s="68"/>
      <c r="GWA121" s="68"/>
      <c r="GWB121" s="68"/>
      <c r="GWC121" s="68"/>
      <c r="GWD121" s="68"/>
      <c r="GWE121" s="68"/>
      <c r="GWF121" s="68"/>
      <c r="GWG121" s="68"/>
      <c r="GWH121" s="68"/>
      <c r="GWI121" s="68"/>
      <c r="GWJ121" s="68"/>
      <c r="GWK121" s="68"/>
      <c r="GWL121" s="68"/>
      <c r="GWM121" s="68"/>
      <c r="GWN121" s="68"/>
      <c r="GWO121" s="68"/>
      <c r="GWP121" s="68"/>
      <c r="GWQ121" s="68"/>
      <c r="GWR121" s="68"/>
      <c r="GWS121" s="68"/>
      <c r="GWT121" s="68"/>
      <c r="GWU121" s="68"/>
      <c r="GWV121" s="68"/>
      <c r="GWW121" s="68"/>
      <c r="GWX121" s="68"/>
      <c r="GWY121" s="68"/>
      <c r="GWZ121" s="68"/>
      <c r="GXA121" s="68"/>
      <c r="GXB121" s="68"/>
      <c r="GXC121" s="68"/>
      <c r="GXD121" s="68"/>
      <c r="GXE121" s="68"/>
      <c r="GXF121" s="68"/>
      <c r="GXG121" s="68"/>
      <c r="GXH121" s="68"/>
      <c r="GXI121" s="68"/>
      <c r="GXJ121" s="68"/>
      <c r="GXK121" s="68"/>
      <c r="GXL121" s="68"/>
      <c r="GXM121" s="68"/>
      <c r="GXN121" s="68"/>
      <c r="GXO121" s="68"/>
      <c r="GXP121" s="68"/>
      <c r="GXQ121" s="68"/>
      <c r="GXR121" s="68"/>
      <c r="GXS121" s="68"/>
      <c r="GXT121" s="68"/>
      <c r="GXU121" s="68"/>
      <c r="GXV121" s="68"/>
      <c r="GXW121" s="68"/>
      <c r="GXX121" s="68"/>
      <c r="GXY121" s="68"/>
      <c r="GXZ121" s="68"/>
      <c r="GYA121" s="68"/>
      <c r="GYB121" s="68"/>
      <c r="GYC121" s="68"/>
      <c r="GYD121" s="68"/>
      <c r="GYE121" s="68"/>
      <c r="GYF121" s="68"/>
      <c r="GYG121" s="68"/>
      <c r="GYH121" s="68"/>
      <c r="GYI121" s="68"/>
      <c r="GYJ121" s="68"/>
      <c r="GYK121" s="68"/>
      <c r="GYL121" s="68"/>
      <c r="GYM121" s="68"/>
      <c r="GYN121" s="68"/>
      <c r="GYO121" s="68"/>
      <c r="GYP121" s="68"/>
      <c r="GYQ121" s="68"/>
      <c r="GYR121" s="68"/>
      <c r="GYS121" s="68"/>
      <c r="GYT121" s="68"/>
      <c r="GYU121" s="68"/>
      <c r="GYV121" s="68"/>
      <c r="GYW121" s="68"/>
      <c r="GYX121" s="68"/>
      <c r="GYY121" s="68"/>
      <c r="GYZ121" s="68"/>
      <c r="GZA121" s="68"/>
      <c r="GZB121" s="68"/>
      <c r="GZC121" s="68"/>
      <c r="GZD121" s="68"/>
      <c r="GZE121" s="68"/>
      <c r="GZF121" s="68"/>
      <c r="GZG121" s="68"/>
      <c r="GZH121" s="68"/>
      <c r="GZI121" s="68"/>
      <c r="GZJ121" s="68"/>
      <c r="GZK121" s="68"/>
      <c r="GZL121" s="68"/>
      <c r="GZM121" s="68"/>
      <c r="GZN121" s="68"/>
      <c r="GZO121" s="68"/>
      <c r="GZP121" s="68"/>
      <c r="GZQ121" s="68"/>
      <c r="GZR121" s="68"/>
      <c r="GZS121" s="68"/>
      <c r="GZT121" s="68"/>
      <c r="GZU121" s="68"/>
      <c r="GZV121" s="68"/>
      <c r="GZW121" s="68"/>
      <c r="GZX121" s="68"/>
      <c r="GZY121" s="68"/>
      <c r="GZZ121" s="68"/>
      <c r="HAA121" s="68"/>
      <c r="HAB121" s="68"/>
      <c r="HAC121" s="68"/>
      <c r="HAD121" s="68"/>
      <c r="HAE121" s="68"/>
      <c r="HAF121" s="68"/>
      <c r="HAG121" s="68"/>
      <c r="HAH121" s="68"/>
      <c r="HAI121" s="68"/>
      <c r="HAJ121" s="68"/>
      <c r="HAK121" s="68"/>
      <c r="HAL121" s="68"/>
      <c r="HAM121" s="68"/>
      <c r="HAN121" s="68"/>
      <c r="HAO121" s="68"/>
      <c r="HAP121" s="68"/>
      <c r="HAQ121" s="68"/>
      <c r="HAR121" s="68"/>
      <c r="HAS121" s="68"/>
      <c r="HAT121" s="68"/>
      <c r="HAU121" s="68"/>
      <c r="HAV121" s="68"/>
      <c r="HAW121" s="68"/>
      <c r="HAX121" s="68"/>
      <c r="HAY121" s="68"/>
      <c r="HAZ121" s="68"/>
      <c r="HBA121" s="68"/>
      <c r="HBB121" s="68"/>
      <c r="HBC121" s="68"/>
      <c r="HBD121" s="68"/>
      <c r="HBE121" s="68"/>
      <c r="HBF121" s="68"/>
      <c r="HBG121" s="68"/>
      <c r="HBH121" s="68"/>
      <c r="HBI121" s="68"/>
      <c r="HBJ121" s="68"/>
      <c r="HBK121" s="68"/>
      <c r="HBL121" s="68"/>
      <c r="HBM121" s="68"/>
      <c r="HBN121" s="68"/>
      <c r="HBO121" s="68"/>
      <c r="HBP121" s="68"/>
      <c r="HBQ121" s="68"/>
      <c r="HBR121" s="68"/>
      <c r="HBS121" s="68"/>
      <c r="HBT121" s="68"/>
      <c r="HBU121" s="68"/>
      <c r="HBV121" s="68"/>
      <c r="HBW121" s="68"/>
      <c r="HBX121" s="68"/>
      <c r="HBY121" s="68"/>
      <c r="HBZ121" s="68"/>
      <c r="HCA121" s="68"/>
      <c r="HCB121" s="68"/>
      <c r="HCC121" s="68"/>
      <c r="HCD121" s="68"/>
      <c r="HCE121" s="68"/>
      <c r="HCF121" s="68"/>
      <c r="HCG121" s="68"/>
      <c r="HCH121" s="68"/>
      <c r="HCI121" s="68"/>
      <c r="HCJ121" s="68"/>
      <c r="HCK121" s="68"/>
      <c r="HCL121" s="68"/>
      <c r="HCM121" s="68"/>
      <c r="HCN121" s="68"/>
      <c r="HCO121" s="68"/>
      <c r="HCP121" s="68"/>
      <c r="HCQ121" s="68"/>
      <c r="HCR121" s="68"/>
      <c r="HCS121" s="68"/>
      <c r="HCT121" s="68"/>
      <c r="HCU121" s="68"/>
      <c r="HCV121" s="68"/>
      <c r="HCW121" s="68"/>
      <c r="HCX121" s="68"/>
      <c r="HCY121" s="68"/>
      <c r="HCZ121" s="68"/>
      <c r="HDA121" s="68"/>
      <c r="HDB121" s="68"/>
      <c r="HDC121" s="68"/>
      <c r="HDD121" s="68"/>
      <c r="HDE121" s="68"/>
      <c r="HDF121" s="68"/>
      <c r="HDG121" s="68"/>
      <c r="HDH121" s="68"/>
      <c r="HDI121" s="68"/>
      <c r="HDJ121" s="68"/>
      <c r="HDK121" s="68"/>
      <c r="HDL121" s="68"/>
      <c r="HDM121" s="68"/>
      <c r="HDN121" s="68"/>
      <c r="HDO121" s="68"/>
      <c r="HDP121" s="68"/>
      <c r="HDQ121" s="68"/>
      <c r="HDR121" s="68"/>
      <c r="HDS121" s="68"/>
      <c r="HDT121" s="68"/>
      <c r="HDU121" s="68"/>
      <c r="HDV121" s="68"/>
      <c r="HDW121" s="68"/>
      <c r="HDX121" s="68"/>
      <c r="HDY121" s="68"/>
      <c r="HDZ121" s="68"/>
      <c r="HEA121" s="68"/>
      <c r="HEB121" s="68"/>
      <c r="HEC121" s="68"/>
      <c r="HED121" s="68"/>
      <c r="HEE121" s="68"/>
      <c r="HEF121" s="68"/>
      <c r="HEG121" s="68"/>
      <c r="HEH121" s="68"/>
      <c r="HEI121" s="68"/>
      <c r="HEJ121" s="68"/>
      <c r="HEK121" s="68"/>
      <c r="HEL121" s="68"/>
      <c r="HEM121" s="68"/>
      <c r="HEN121" s="68"/>
      <c r="HEO121" s="68"/>
      <c r="HEP121" s="68"/>
      <c r="HEQ121" s="68"/>
      <c r="HER121" s="68"/>
      <c r="HES121" s="68"/>
      <c r="HET121" s="68"/>
      <c r="HEU121" s="68"/>
      <c r="HEV121" s="68"/>
      <c r="HEW121" s="68"/>
      <c r="HEX121" s="68"/>
      <c r="HEY121" s="68"/>
      <c r="HEZ121" s="68"/>
      <c r="HFA121" s="68"/>
      <c r="HFB121" s="68"/>
      <c r="HFC121" s="68"/>
      <c r="HFD121" s="68"/>
      <c r="HFE121" s="68"/>
      <c r="HFF121" s="68"/>
      <c r="HFG121" s="68"/>
      <c r="HFH121" s="68"/>
      <c r="HFI121" s="68"/>
      <c r="HFJ121" s="68"/>
      <c r="HFK121" s="68"/>
      <c r="HFL121" s="68"/>
      <c r="HFM121" s="68"/>
      <c r="HFN121" s="68"/>
      <c r="HFO121" s="68"/>
      <c r="HFP121" s="68"/>
      <c r="HFQ121" s="68"/>
      <c r="HFR121" s="68"/>
      <c r="HFS121" s="68"/>
      <c r="HFT121" s="68"/>
      <c r="HFU121" s="68"/>
      <c r="HFV121" s="68"/>
      <c r="HFW121" s="68"/>
      <c r="HFX121" s="68"/>
      <c r="HFY121" s="68"/>
      <c r="HFZ121" s="68"/>
      <c r="HGA121" s="68"/>
      <c r="HGB121" s="68"/>
      <c r="HGC121" s="68"/>
      <c r="HGD121" s="68"/>
      <c r="HGE121" s="68"/>
      <c r="HGF121" s="68"/>
      <c r="HGG121" s="68"/>
      <c r="HGH121" s="68"/>
      <c r="HGI121" s="68"/>
      <c r="HGJ121" s="68"/>
      <c r="HGK121" s="68"/>
      <c r="HGL121" s="68"/>
      <c r="HGM121" s="68"/>
      <c r="HGN121" s="68"/>
      <c r="HGO121" s="68"/>
      <c r="HGP121" s="68"/>
      <c r="HGQ121" s="68"/>
      <c r="HGR121" s="68"/>
      <c r="HGS121" s="68"/>
      <c r="HGT121" s="68"/>
      <c r="HGU121" s="68"/>
      <c r="HGV121" s="68"/>
      <c r="HGW121" s="68"/>
      <c r="HGX121" s="68"/>
      <c r="HGY121" s="68"/>
      <c r="HGZ121" s="68"/>
      <c r="HHA121" s="68"/>
      <c r="HHB121" s="68"/>
      <c r="HHC121" s="68"/>
      <c r="HHD121" s="68"/>
      <c r="HHE121" s="68"/>
      <c r="HHF121" s="68"/>
      <c r="HHG121" s="68"/>
      <c r="HHH121" s="68"/>
      <c r="HHI121" s="68"/>
      <c r="HHJ121" s="68"/>
      <c r="HHK121" s="68"/>
      <c r="HHL121" s="68"/>
      <c r="HHM121" s="68"/>
      <c r="HHN121" s="68"/>
      <c r="HHO121" s="68"/>
      <c r="HHP121" s="68"/>
      <c r="HHQ121" s="68"/>
      <c r="HHR121" s="68"/>
      <c r="HHS121" s="68"/>
      <c r="HHT121" s="68"/>
      <c r="HHU121" s="68"/>
      <c r="HHV121" s="68"/>
      <c r="HHW121" s="68"/>
      <c r="HHX121" s="68"/>
      <c r="HHY121" s="68"/>
      <c r="HHZ121" s="68"/>
      <c r="HIA121" s="68"/>
      <c r="HIB121" s="68"/>
      <c r="HIC121" s="68"/>
      <c r="HID121" s="68"/>
      <c r="HIE121" s="68"/>
      <c r="HIF121" s="68"/>
      <c r="HIG121" s="68"/>
      <c r="HIH121" s="68"/>
      <c r="HII121" s="68"/>
      <c r="HIJ121" s="68"/>
      <c r="HIK121" s="68"/>
      <c r="HIL121" s="68"/>
      <c r="HIM121" s="68"/>
      <c r="HIN121" s="68"/>
      <c r="HIO121" s="68"/>
      <c r="HIP121" s="68"/>
      <c r="HIQ121" s="68"/>
      <c r="HIR121" s="68"/>
      <c r="HIS121" s="68"/>
      <c r="HIT121" s="68"/>
      <c r="HIU121" s="68"/>
      <c r="HIV121" s="68"/>
      <c r="HIW121" s="68"/>
      <c r="HIX121" s="68"/>
      <c r="HIY121" s="68"/>
      <c r="HIZ121" s="68"/>
      <c r="HJA121" s="68"/>
      <c r="HJB121" s="68"/>
      <c r="HJC121" s="68"/>
      <c r="HJD121" s="68"/>
      <c r="HJE121" s="68"/>
      <c r="HJF121" s="68"/>
      <c r="HJG121" s="68"/>
      <c r="HJH121" s="68"/>
      <c r="HJI121" s="68"/>
      <c r="HJJ121" s="68"/>
      <c r="HJK121" s="68"/>
      <c r="HJL121" s="68"/>
      <c r="HJM121" s="68"/>
      <c r="HJN121" s="68"/>
      <c r="HJO121" s="68"/>
      <c r="HJP121" s="68"/>
      <c r="HJQ121" s="68"/>
      <c r="HJR121" s="68"/>
      <c r="HJS121" s="68"/>
      <c r="HJT121" s="68"/>
      <c r="HJU121" s="68"/>
      <c r="HJV121" s="68"/>
      <c r="HJW121" s="68"/>
      <c r="HJX121" s="68"/>
      <c r="HJY121" s="68"/>
      <c r="HJZ121" s="68"/>
      <c r="HKA121" s="68"/>
      <c r="HKB121" s="68"/>
      <c r="HKC121" s="68"/>
      <c r="HKD121" s="68"/>
      <c r="HKE121" s="68"/>
      <c r="HKF121" s="68"/>
      <c r="HKG121" s="68"/>
      <c r="HKH121" s="68"/>
      <c r="HKI121" s="68"/>
      <c r="HKJ121" s="68"/>
      <c r="HKK121" s="68"/>
      <c r="HKL121" s="68"/>
      <c r="HKM121" s="68"/>
      <c r="HKN121" s="68"/>
      <c r="HKO121" s="68"/>
      <c r="HKP121" s="68"/>
      <c r="HKQ121" s="68"/>
      <c r="HKR121" s="68"/>
      <c r="HKS121" s="68"/>
      <c r="HKT121" s="68"/>
      <c r="HKU121" s="68"/>
      <c r="HKV121" s="68"/>
      <c r="HKW121" s="68"/>
      <c r="HKX121" s="68"/>
      <c r="HKY121" s="68"/>
      <c r="HKZ121" s="68"/>
      <c r="HLA121" s="68"/>
      <c r="HLB121" s="68"/>
      <c r="HLC121" s="68"/>
      <c r="HLD121" s="68"/>
      <c r="HLE121" s="68"/>
      <c r="HLF121" s="68"/>
      <c r="HLG121" s="68"/>
      <c r="HLH121" s="68"/>
      <c r="HLI121" s="68"/>
      <c r="HLJ121" s="68"/>
      <c r="HLK121" s="68"/>
      <c r="HLL121" s="68"/>
      <c r="HLM121" s="68"/>
      <c r="HLN121" s="68"/>
      <c r="HLO121" s="68"/>
      <c r="HLP121" s="68"/>
      <c r="HLQ121" s="68"/>
      <c r="HLR121" s="68"/>
      <c r="HLS121" s="68"/>
      <c r="HLT121" s="68"/>
      <c r="HLU121" s="68"/>
      <c r="HLV121" s="68"/>
      <c r="HLW121" s="68"/>
      <c r="HLX121" s="68"/>
      <c r="HLY121" s="68"/>
      <c r="HLZ121" s="68"/>
      <c r="HMA121" s="68"/>
      <c r="HMB121" s="68"/>
      <c r="HMC121" s="68"/>
      <c r="HMD121" s="68"/>
      <c r="HME121" s="68"/>
      <c r="HMF121" s="68"/>
      <c r="HMG121" s="68"/>
      <c r="HMH121" s="68"/>
      <c r="HMI121" s="68"/>
      <c r="HMJ121" s="68"/>
      <c r="HMK121" s="68"/>
      <c r="HML121" s="68"/>
      <c r="HMM121" s="68"/>
      <c r="HMN121" s="68"/>
      <c r="HMO121" s="68"/>
      <c r="HMP121" s="68"/>
      <c r="HMQ121" s="68"/>
      <c r="HMR121" s="68"/>
      <c r="HMS121" s="68"/>
      <c r="HMT121" s="68"/>
      <c r="HMU121" s="68"/>
      <c r="HMV121" s="68"/>
      <c r="HMW121" s="68"/>
      <c r="HMX121" s="68"/>
      <c r="HMY121" s="68"/>
      <c r="HMZ121" s="68"/>
      <c r="HNA121" s="68"/>
      <c r="HNB121" s="68"/>
      <c r="HNC121" s="68"/>
      <c r="HND121" s="68"/>
      <c r="HNE121" s="68"/>
      <c r="HNF121" s="68"/>
      <c r="HNG121" s="68"/>
      <c r="HNH121" s="68"/>
      <c r="HNI121" s="68"/>
      <c r="HNJ121" s="68"/>
      <c r="HNK121" s="68"/>
      <c r="HNL121" s="68"/>
      <c r="HNM121" s="68"/>
      <c r="HNN121" s="68"/>
      <c r="HNO121" s="68"/>
      <c r="HNP121" s="68"/>
      <c r="HNQ121" s="68"/>
      <c r="HNR121" s="68"/>
      <c r="HNS121" s="68"/>
      <c r="HNT121" s="68"/>
      <c r="HNU121" s="68"/>
      <c r="HNV121" s="68"/>
      <c r="HNW121" s="68"/>
      <c r="HNX121" s="68"/>
      <c r="HNY121" s="68"/>
      <c r="HNZ121" s="68"/>
      <c r="HOA121" s="68"/>
      <c r="HOB121" s="68"/>
      <c r="HOC121" s="68"/>
      <c r="HOD121" s="68"/>
      <c r="HOE121" s="68"/>
      <c r="HOF121" s="68"/>
      <c r="HOG121" s="68"/>
      <c r="HOH121" s="68"/>
      <c r="HOI121" s="68"/>
      <c r="HOJ121" s="68"/>
      <c r="HOK121" s="68"/>
      <c r="HOL121" s="68"/>
      <c r="HOM121" s="68"/>
      <c r="HON121" s="68"/>
      <c r="HOO121" s="68"/>
      <c r="HOP121" s="68"/>
      <c r="HOQ121" s="68"/>
      <c r="HOR121" s="68"/>
      <c r="HOS121" s="68"/>
      <c r="HOT121" s="68"/>
      <c r="HOU121" s="68"/>
      <c r="HOV121" s="68"/>
      <c r="HOW121" s="68"/>
      <c r="HOX121" s="68"/>
      <c r="HOY121" s="68"/>
      <c r="HOZ121" s="68"/>
      <c r="HPA121" s="68"/>
      <c r="HPB121" s="68"/>
      <c r="HPC121" s="68"/>
      <c r="HPD121" s="68"/>
      <c r="HPE121" s="68"/>
      <c r="HPF121" s="68"/>
      <c r="HPG121" s="68"/>
      <c r="HPH121" s="68"/>
      <c r="HPI121" s="68"/>
      <c r="HPJ121" s="68"/>
      <c r="HPK121" s="68"/>
      <c r="HPL121" s="68"/>
      <c r="HPM121" s="68"/>
      <c r="HPN121" s="68"/>
      <c r="HPO121" s="68"/>
      <c r="HPP121" s="68"/>
      <c r="HPQ121" s="68"/>
      <c r="HPR121" s="68"/>
      <c r="HPS121" s="68"/>
      <c r="HPT121" s="68"/>
      <c r="HPU121" s="68"/>
      <c r="HPV121" s="68"/>
      <c r="HPW121" s="68"/>
      <c r="HPX121" s="68"/>
      <c r="HPY121" s="68"/>
      <c r="HPZ121" s="68"/>
      <c r="HQA121" s="68"/>
      <c r="HQB121" s="68"/>
      <c r="HQC121" s="68"/>
      <c r="HQD121" s="68"/>
      <c r="HQE121" s="68"/>
      <c r="HQF121" s="68"/>
      <c r="HQG121" s="68"/>
      <c r="HQH121" s="68"/>
      <c r="HQI121" s="68"/>
      <c r="HQJ121" s="68"/>
      <c r="HQK121" s="68"/>
      <c r="HQL121" s="68"/>
      <c r="HQM121" s="68"/>
      <c r="HQN121" s="68"/>
      <c r="HQO121" s="68"/>
      <c r="HQP121" s="68"/>
      <c r="HQQ121" s="68"/>
      <c r="HQR121" s="68"/>
      <c r="HQS121" s="68"/>
      <c r="HQT121" s="68"/>
      <c r="HQU121" s="68"/>
      <c r="HQV121" s="68"/>
      <c r="HQW121" s="68"/>
      <c r="HQX121" s="68"/>
      <c r="HQY121" s="68"/>
      <c r="HQZ121" s="68"/>
      <c r="HRA121" s="68"/>
      <c r="HRB121" s="68"/>
      <c r="HRC121" s="68"/>
      <c r="HRD121" s="68"/>
      <c r="HRE121" s="68"/>
      <c r="HRF121" s="68"/>
      <c r="HRG121" s="68"/>
      <c r="HRH121" s="68"/>
      <c r="HRI121" s="68"/>
      <c r="HRJ121" s="68"/>
      <c r="HRK121" s="68"/>
      <c r="HRL121" s="68"/>
      <c r="HRM121" s="68"/>
      <c r="HRN121" s="68"/>
      <c r="HRO121" s="68"/>
      <c r="HRP121" s="68"/>
      <c r="HRQ121" s="68"/>
      <c r="HRR121" s="68"/>
      <c r="HRS121" s="68"/>
      <c r="HRT121" s="68"/>
      <c r="HRU121" s="68"/>
      <c r="HRV121" s="68"/>
      <c r="HRW121" s="68"/>
      <c r="HRX121" s="68"/>
      <c r="HRY121" s="68"/>
      <c r="HRZ121" s="68"/>
      <c r="HSA121" s="68"/>
      <c r="HSB121" s="68"/>
      <c r="HSC121" s="68"/>
      <c r="HSD121" s="68"/>
      <c r="HSE121" s="68"/>
      <c r="HSF121" s="68"/>
      <c r="HSG121" s="68"/>
      <c r="HSH121" s="68"/>
      <c r="HSI121" s="68"/>
      <c r="HSJ121" s="68"/>
      <c r="HSK121" s="68"/>
      <c r="HSL121" s="68"/>
      <c r="HSM121" s="68"/>
      <c r="HSN121" s="68"/>
      <c r="HSO121" s="68"/>
      <c r="HSP121" s="68"/>
      <c r="HSQ121" s="68"/>
      <c r="HSR121" s="68"/>
      <c r="HSS121" s="68"/>
      <c r="HST121" s="68"/>
      <c r="HSU121" s="68"/>
      <c r="HSV121" s="68"/>
      <c r="HSW121" s="68"/>
      <c r="HSX121" s="68"/>
      <c r="HSY121" s="68"/>
      <c r="HSZ121" s="68"/>
      <c r="HTA121" s="68"/>
      <c r="HTB121" s="68"/>
      <c r="HTC121" s="68"/>
      <c r="HTD121" s="68"/>
      <c r="HTE121" s="68"/>
      <c r="HTF121" s="68"/>
      <c r="HTG121" s="68"/>
      <c r="HTH121" s="68"/>
      <c r="HTI121" s="68"/>
      <c r="HTJ121" s="68"/>
      <c r="HTK121" s="68"/>
      <c r="HTL121" s="68"/>
      <c r="HTM121" s="68"/>
      <c r="HTN121" s="68"/>
      <c r="HTO121" s="68"/>
      <c r="HTP121" s="68"/>
      <c r="HTQ121" s="68"/>
      <c r="HTR121" s="68"/>
      <c r="HTS121" s="68"/>
      <c r="HTT121" s="68"/>
      <c r="HTU121" s="68"/>
      <c r="HTV121" s="68"/>
      <c r="HTW121" s="68"/>
      <c r="HTX121" s="68"/>
      <c r="HTY121" s="68"/>
      <c r="HTZ121" s="68"/>
      <c r="HUA121" s="68"/>
      <c r="HUB121" s="68"/>
      <c r="HUC121" s="68"/>
      <c r="HUD121" s="68"/>
      <c r="HUE121" s="68"/>
      <c r="HUF121" s="68"/>
      <c r="HUG121" s="68"/>
      <c r="HUH121" s="68"/>
      <c r="HUI121" s="68"/>
      <c r="HUJ121" s="68"/>
      <c r="HUK121" s="68"/>
      <c r="HUL121" s="68"/>
      <c r="HUM121" s="68"/>
      <c r="HUN121" s="68"/>
      <c r="HUO121" s="68"/>
      <c r="HUP121" s="68"/>
      <c r="HUQ121" s="68"/>
      <c r="HUR121" s="68"/>
      <c r="HUS121" s="68"/>
      <c r="HUT121" s="68"/>
      <c r="HUU121" s="68"/>
      <c r="HUV121" s="68"/>
      <c r="HUW121" s="68"/>
      <c r="HUX121" s="68"/>
      <c r="HUY121" s="68"/>
      <c r="HUZ121" s="68"/>
      <c r="HVA121" s="68"/>
      <c r="HVB121" s="68"/>
      <c r="HVC121" s="68"/>
      <c r="HVD121" s="68"/>
      <c r="HVE121" s="68"/>
      <c r="HVF121" s="68"/>
      <c r="HVG121" s="68"/>
      <c r="HVH121" s="68"/>
      <c r="HVI121" s="68"/>
      <c r="HVJ121" s="68"/>
      <c r="HVK121" s="68"/>
      <c r="HVL121" s="68"/>
      <c r="HVM121" s="68"/>
      <c r="HVN121" s="68"/>
      <c r="HVO121" s="68"/>
      <c r="HVP121" s="68"/>
      <c r="HVQ121" s="68"/>
      <c r="HVR121" s="68"/>
      <c r="HVS121" s="68"/>
      <c r="HVT121" s="68"/>
      <c r="HVU121" s="68"/>
      <c r="HVV121" s="68"/>
      <c r="HVW121" s="68"/>
      <c r="HVX121" s="68"/>
      <c r="HVY121" s="68"/>
      <c r="HVZ121" s="68"/>
      <c r="HWA121" s="68"/>
      <c r="HWB121" s="68"/>
      <c r="HWC121" s="68"/>
      <c r="HWD121" s="68"/>
      <c r="HWE121" s="68"/>
      <c r="HWF121" s="68"/>
      <c r="HWG121" s="68"/>
      <c r="HWH121" s="68"/>
      <c r="HWI121" s="68"/>
      <c r="HWJ121" s="68"/>
      <c r="HWK121" s="68"/>
      <c r="HWL121" s="68"/>
      <c r="HWM121" s="68"/>
      <c r="HWN121" s="68"/>
      <c r="HWO121" s="68"/>
      <c r="HWP121" s="68"/>
      <c r="HWQ121" s="68"/>
      <c r="HWR121" s="68"/>
      <c r="HWS121" s="68"/>
      <c r="HWT121" s="68"/>
      <c r="HWU121" s="68"/>
      <c r="HWV121" s="68"/>
      <c r="HWW121" s="68"/>
      <c r="HWX121" s="68"/>
      <c r="HWY121" s="68"/>
      <c r="HWZ121" s="68"/>
      <c r="HXA121" s="68"/>
      <c r="HXB121" s="68"/>
      <c r="HXC121" s="68"/>
      <c r="HXD121" s="68"/>
      <c r="HXE121" s="68"/>
      <c r="HXF121" s="68"/>
      <c r="HXG121" s="68"/>
      <c r="HXH121" s="68"/>
      <c r="HXI121" s="68"/>
      <c r="HXJ121" s="68"/>
      <c r="HXK121" s="68"/>
      <c r="HXL121" s="68"/>
      <c r="HXM121" s="68"/>
      <c r="HXN121" s="68"/>
      <c r="HXO121" s="68"/>
      <c r="HXP121" s="68"/>
      <c r="HXQ121" s="68"/>
      <c r="HXR121" s="68"/>
      <c r="HXS121" s="68"/>
      <c r="HXT121" s="68"/>
      <c r="HXU121" s="68"/>
      <c r="HXV121" s="68"/>
      <c r="HXW121" s="68"/>
      <c r="HXX121" s="68"/>
      <c r="HXY121" s="68"/>
      <c r="HXZ121" s="68"/>
      <c r="HYA121" s="68"/>
      <c r="HYB121" s="68"/>
      <c r="HYC121" s="68"/>
      <c r="HYD121" s="68"/>
      <c r="HYE121" s="68"/>
      <c r="HYF121" s="68"/>
      <c r="HYG121" s="68"/>
      <c r="HYH121" s="68"/>
      <c r="HYI121" s="68"/>
      <c r="HYJ121" s="68"/>
      <c r="HYK121" s="68"/>
      <c r="HYL121" s="68"/>
      <c r="HYM121" s="68"/>
      <c r="HYN121" s="68"/>
      <c r="HYO121" s="68"/>
      <c r="HYP121" s="68"/>
      <c r="HYQ121" s="68"/>
      <c r="HYR121" s="68"/>
      <c r="HYS121" s="68"/>
      <c r="HYT121" s="68"/>
      <c r="HYU121" s="68"/>
      <c r="HYV121" s="68"/>
      <c r="HYW121" s="68"/>
      <c r="HYX121" s="68"/>
      <c r="HYY121" s="68"/>
      <c r="HYZ121" s="68"/>
      <c r="HZA121" s="68"/>
      <c r="HZB121" s="68"/>
      <c r="HZC121" s="68"/>
      <c r="HZD121" s="68"/>
      <c r="HZE121" s="68"/>
      <c r="HZF121" s="68"/>
      <c r="HZG121" s="68"/>
      <c r="HZH121" s="68"/>
      <c r="HZI121" s="68"/>
      <c r="HZJ121" s="68"/>
      <c r="HZK121" s="68"/>
      <c r="HZL121" s="68"/>
      <c r="HZM121" s="68"/>
      <c r="HZN121" s="68"/>
      <c r="HZO121" s="68"/>
      <c r="HZP121" s="68"/>
      <c r="HZQ121" s="68"/>
      <c r="HZR121" s="68"/>
      <c r="HZS121" s="68"/>
      <c r="HZT121" s="68"/>
      <c r="HZU121" s="68"/>
      <c r="HZV121" s="68"/>
      <c r="HZW121" s="68"/>
      <c r="HZX121" s="68"/>
      <c r="HZY121" s="68"/>
      <c r="HZZ121" s="68"/>
      <c r="IAA121" s="68"/>
      <c r="IAB121" s="68"/>
      <c r="IAC121" s="68"/>
      <c r="IAD121" s="68"/>
      <c r="IAE121" s="68"/>
      <c r="IAF121" s="68"/>
      <c r="IAG121" s="68"/>
      <c r="IAH121" s="68"/>
      <c r="IAI121" s="68"/>
      <c r="IAJ121" s="68"/>
      <c r="IAK121" s="68"/>
      <c r="IAL121" s="68"/>
      <c r="IAM121" s="68"/>
      <c r="IAN121" s="68"/>
      <c r="IAO121" s="68"/>
      <c r="IAP121" s="68"/>
      <c r="IAQ121" s="68"/>
      <c r="IAR121" s="68"/>
      <c r="IAS121" s="68"/>
      <c r="IAT121" s="68"/>
      <c r="IAU121" s="68"/>
      <c r="IAV121" s="68"/>
      <c r="IAW121" s="68"/>
      <c r="IAX121" s="68"/>
      <c r="IAY121" s="68"/>
      <c r="IAZ121" s="68"/>
      <c r="IBA121" s="68"/>
      <c r="IBB121" s="68"/>
      <c r="IBC121" s="68"/>
      <c r="IBD121" s="68"/>
      <c r="IBE121" s="68"/>
      <c r="IBF121" s="68"/>
      <c r="IBG121" s="68"/>
      <c r="IBH121" s="68"/>
      <c r="IBI121" s="68"/>
      <c r="IBJ121" s="68"/>
      <c r="IBK121" s="68"/>
      <c r="IBL121" s="68"/>
      <c r="IBM121" s="68"/>
      <c r="IBN121" s="68"/>
      <c r="IBO121" s="68"/>
      <c r="IBP121" s="68"/>
      <c r="IBQ121" s="68"/>
      <c r="IBR121" s="68"/>
      <c r="IBS121" s="68"/>
      <c r="IBT121" s="68"/>
      <c r="IBU121" s="68"/>
      <c r="IBV121" s="68"/>
      <c r="IBW121" s="68"/>
      <c r="IBX121" s="68"/>
      <c r="IBY121" s="68"/>
      <c r="IBZ121" s="68"/>
      <c r="ICA121" s="68"/>
      <c r="ICB121" s="68"/>
      <c r="ICC121" s="68"/>
      <c r="ICD121" s="68"/>
      <c r="ICE121" s="68"/>
      <c r="ICF121" s="68"/>
      <c r="ICG121" s="68"/>
      <c r="ICH121" s="68"/>
      <c r="ICI121" s="68"/>
      <c r="ICJ121" s="68"/>
      <c r="ICK121" s="68"/>
      <c r="ICL121" s="68"/>
      <c r="ICM121" s="68"/>
      <c r="ICN121" s="68"/>
      <c r="ICO121" s="68"/>
      <c r="ICP121" s="68"/>
      <c r="ICQ121" s="68"/>
      <c r="ICR121" s="68"/>
      <c r="ICS121" s="68"/>
      <c r="ICT121" s="68"/>
      <c r="ICU121" s="68"/>
      <c r="ICV121" s="68"/>
      <c r="ICW121" s="68"/>
      <c r="ICX121" s="68"/>
      <c r="ICY121" s="68"/>
      <c r="ICZ121" s="68"/>
      <c r="IDA121" s="68"/>
      <c r="IDB121" s="68"/>
      <c r="IDC121" s="68"/>
      <c r="IDD121" s="68"/>
      <c r="IDE121" s="68"/>
      <c r="IDF121" s="68"/>
      <c r="IDG121" s="68"/>
      <c r="IDH121" s="68"/>
      <c r="IDI121" s="68"/>
      <c r="IDJ121" s="68"/>
      <c r="IDK121" s="68"/>
      <c r="IDL121" s="68"/>
      <c r="IDM121" s="68"/>
      <c r="IDN121" s="68"/>
      <c r="IDO121" s="68"/>
      <c r="IDP121" s="68"/>
      <c r="IDQ121" s="68"/>
      <c r="IDR121" s="68"/>
      <c r="IDS121" s="68"/>
      <c r="IDT121" s="68"/>
      <c r="IDU121" s="68"/>
      <c r="IDV121" s="68"/>
      <c r="IDW121" s="68"/>
      <c r="IDX121" s="68"/>
      <c r="IDY121" s="68"/>
      <c r="IDZ121" s="68"/>
      <c r="IEA121" s="68"/>
      <c r="IEB121" s="68"/>
      <c r="IEC121" s="68"/>
      <c r="IED121" s="68"/>
      <c r="IEE121" s="68"/>
      <c r="IEF121" s="68"/>
      <c r="IEG121" s="68"/>
      <c r="IEH121" s="68"/>
      <c r="IEI121" s="68"/>
      <c r="IEJ121" s="68"/>
      <c r="IEK121" s="68"/>
      <c r="IEL121" s="68"/>
      <c r="IEM121" s="68"/>
      <c r="IEN121" s="68"/>
      <c r="IEO121" s="68"/>
      <c r="IEP121" s="68"/>
      <c r="IEQ121" s="68"/>
      <c r="IER121" s="68"/>
      <c r="IES121" s="68"/>
      <c r="IET121" s="68"/>
      <c r="IEU121" s="68"/>
      <c r="IEV121" s="68"/>
      <c r="IEW121" s="68"/>
      <c r="IEX121" s="68"/>
      <c r="IEY121" s="68"/>
      <c r="IEZ121" s="68"/>
      <c r="IFA121" s="68"/>
      <c r="IFB121" s="68"/>
      <c r="IFC121" s="68"/>
      <c r="IFD121" s="68"/>
      <c r="IFE121" s="68"/>
      <c r="IFF121" s="68"/>
      <c r="IFG121" s="68"/>
      <c r="IFH121" s="68"/>
      <c r="IFI121" s="68"/>
      <c r="IFJ121" s="68"/>
      <c r="IFK121" s="68"/>
      <c r="IFL121" s="68"/>
      <c r="IFM121" s="68"/>
      <c r="IFN121" s="68"/>
      <c r="IFO121" s="68"/>
      <c r="IFP121" s="68"/>
      <c r="IFQ121" s="68"/>
      <c r="IFR121" s="68"/>
      <c r="IFS121" s="68"/>
      <c r="IFT121" s="68"/>
      <c r="IFU121" s="68"/>
      <c r="IFV121" s="68"/>
      <c r="IFW121" s="68"/>
      <c r="IFX121" s="68"/>
      <c r="IFY121" s="68"/>
      <c r="IFZ121" s="68"/>
      <c r="IGA121" s="68"/>
      <c r="IGB121" s="68"/>
      <c r="IGC121" s="68"/>
      <c r="IGD121" s="68"/>
      <c r="IGE121" s="68"/>
      <c r="IGF121" s="68"/>
      <c r="IGG121" s="68"/>
      <c r="IGH121" s="68"/>
      <c r="IGI121" s="68"/>
      <c r="IGJ121" s="68"/>
      <c r="IGK121" s="68"/>
      <c r="IGL121" s="68"/>
      <c r="IGM121" s="68"/>
      <c r="IGN121" s="68"/>
      <c r="IGO121" s="68"/>
      <c r="IGP121" s="68"/>
      <c r="IGQ121" s="68"/>
      <c r="IGR121" s="68"/>
      <c r="IGS121" s="68"/>
      <c r="IGT121" s="68"/>
      <c r="IGU121" s="68"/>
      <c r="IGV121" s="68"/>
      <c r="IGW121" s="68"/>
      <c r="IGX121" s="68"/>
      <c r="IGY121" s="68"/>
      <c r="IGZ121" s="68"/>
      <c r="IHA121" s="68"/>
      <c r="IHB121" s="68"/>
      <c r="IHC121" s="68"/>
      <c r="IHD121" s="68"/>
      <c r="IHE121" s="68"/>
      <c r="IHF121" s="68"/>
      <c r="IHG121" s="68"/>
      <c r="IHH121" s="68"/>
      <c r="IHI121" s="68"/>
      <c r="IHJ121" s="68"/>
      <c r="IHK121" s="68"/>
      <c r="IHL121" s="68"/>
      <c r="IHM121" s="68"/>
      <c r="IHN121" s="68"/>
      <c r="IHO121" s="68"/>
      <c r="IHP121" s="68"/>
      <c r="IHQ121" s="68"/>
      <c r="IHR121" s="68"/>
      <c r="IHS121" s="68"/>
      <c r="IHT121" s="68"/>
      <c r="IHU121" s="68"/>
      <c r="IHV121" s="68"/>
      <c r="IHW121" s="68"/>
      <c r="IHX121" s="68"/>
      <c r="IHY121" s="68"/>
      <c r="IHZ121" s="68"/>
      <c r="IIA121" s="68"/>
      <c r="IIB121" s="68"/>
      <c r="IIC121" s="68"/>
      <c r="IID121" s="68"/>
      <c r="IIE121" s="68"/>
      <c r="IIF121" s="68"/>
      <c r="IIG121" s="68"/>
      <c r="IIH121" s="68"/>
      <c r="III121" s="68"/>
      <c r="IIJ121" s="68"/>
      <c r="IIK121" s="68"/>
      <c r="IIL121" s="68"/>
      <c r="IIM121" s="68"/>
      <c r="IIN121" s="68"/>
      <c r="IIO121" s="68"/>
      <c r="IIP121" s="68"/>
      <c r="IIQ121" s="68"/>
      <c r="IIR121" s="68"/>
      <c r="IIS121" s="68"/>
      <c r="IIT121" s="68"/>
      <c r="IIU121" s="68"/>
      <c r="IIV121" s="68"/>
      <c r="IIW121" s="68"/>
      <c r="IIX121" s="68"/>
      <c r="IIY121" s="68"/>
      <c r="IIZ121" s="68"/>
      <c r="IJA121" s="68"/>
      <c r="IJB121" s="68"/>
      <c r="IJC121" s="68"/>
      <c r="IJD121" s="68"/>
      <c r="IJE121" s="68"/>
      <c r="IJF121" s="68"/>
      <c r="IJG121" s="68"/>
      <c r="IJH121" s="68"/>
      <c r="IJI121" s="68"/>
      <c r="IJJ121" s="68"/>
      <c r="IJK121" s="68"/>
      <c r="IJL121" s="68"/>
      <c r="IJM121" s="68"/>
      <c r="IJN121" s="68"/>
      <c r="IJO121" s="68"/>
      <c r="IJP121" s="68"/>
      <c r="IJQ121" s="68"/>
      <c r="IJR121" s="68"/>
      <c r="IJS121" s="68"/>
      <c r="IJT121" s="68"/>
      <c r="IJU121" s="68"/>
      <c r="IJV121" s="68"/>
      <c r="IJW121" s="68"/>
      <c r="IJX121" s="68"/>
      <c r="IJY121" s="68"/>
      <c r="IJZ121" s="68"/>
      <c r="IKA121" s="68"/>
      <c r="IKB121" s="68"/>
      <c r="IKC121" s="68"/>
      <c r="IKD121" s="68"/>
      <c r="IKE121" s="68"/>
      <c r="IKF121" s="68"/>
      <c r="IKG121" s="68"/>
      <c r="IKH121" s="68"/>
      <c r="IKI121" s="68"/>
      <c r="IKJ121" s="68"/>
      <c r="IKK121" s="68"/>
      <c r="IKL121" s="68"/>
      <c r="IKM121" s="68"/>
      <c r="IKN121" s="68"/>
      <c r="IKO121" s="68"/>
      <c r="IKP121" s="68"/>
      <c r="IKQ121" s="68"/>
      <c r="IKR121" s="68"/>
      <c r="IKS121" s="68"/>
      <c r="IKT121" s="68"/>
      <c r="IKU121" s="68"/>
      <c r="IKV121" s="68"/>
      <c r="IKW121" s="68"/>
      <c r="IKX121" s="68"/>
      <c r="IKY121" s="68"/>
      <c r="IKZ121" s="68"/>
      <c r="ILA121" s="68"/>
      <c r="ILB121" s="68"/>
      <c r="ILC121" s="68"/>
      <c r="ILD121" s="68"/>
      <c r="ILE121" s="68"/>
      <c r="ILF121" s="68"/>
      <c r="ILG121" s="68"/>
      <c r="ILH121" s="68"/>
      <c r="ILI121" s="68"/>
      <c r="ILJ121" s="68"/>
      <c r="ILK121" s="68"/>
      <c r="ILL121" s="68"/>
      <c r="ILM121" s="68"/>
      <c r="ILN121" s="68"/>
      <c r="ILO121" s="68"/>
      <c r="ILP121" s="68"/>
      <c r="ILQ121" s="68"/>
      <c r="ILR121" s="68"/>
      <c r="ILS121" s="68"/>
      <c r="ILT121" s="68"/>
      <c r="ILU121" s="68"/>
      <c r="ILV121" s="68"/>
      <c r="ILW121" s="68"/>
      <c r="ILX121" s="68"/>
      <c r="ILY121" s="68"/>
      <c r="ILZ121" s="68"/>
      <c r="IMA121" s="68"/>
      <c r="IMB121" s="68"/>
      <c r="IMC121" s="68"/>
      <c r="IMD121" s="68"/>
      <c r="IME121" s="68"/>
      <c r="IMF121" s="68"/>
      <c r="IMG121" s="68"/>
      <c r="IMH121" s="68"/>
      <c r="IMI121" s="68"/>
      <c r="IMJ121" s="68"/>
      <c r="IMK121" s="68"/>
      <c r="IML121" s="68"/>
      <c r="IMM121" s="68"/>
      <c r="IMN121" s="68"/>
      <c r="IMO121" s="68"/>
      <c r="IMP121" s="68"/>
      <c r="IMQ121" s="68"/>
      <c r="IMR121" s="68"/>
      <c r="IMS121" s="68"/>
      <c r="IMT121" s="68"/>
      <c r="IMU121" s="68"/>
      <c r="IMV121" s="68"/>
      <c r="IMW121" s="68"/>
      <c r="IMX121" s="68"/>
      <c r="IMY121" s="68"/>
      <c r="IMZ121" s="68"/>
      <c r="INA121" s="68"/>
      <c r="INB121" s="68"/>
      <c r="INC121" s="68"/>
      <c r="IND121" s="68"/>
      <c r="INE121" s="68"/>
      <c r="INF121" s="68"/>
      <c r="ING121" s="68"/>
      <c r="INH121" s="68"/>
      <c r="INI121" s="68"/>
      <c r="INJ121" s="68"/>
      <c r="INK121" s="68"/>
      <c r="INL121" s="68"/>
      <c r="INM121" s="68"/>
      <c r="INN121" s="68"/>
      <c r="INO121" s="68"/>
      <c r="INP121" s="68"/>
      <c r="INQ121" s="68"/>
      <c r="INR121" s="68"/>
      <c r="INS121" s="68"/>
      <c r="INT121" s="68"/>
      <c r="INU121" s="68"/>
      <c r="INV121" s="68"/>
      <c r="INW121" s="68"/>
      <c r="INX121" s="68"/>
      <c r="INY121" s="68"/>
      <c r="INZ121" s="68"/>
      <c r="IOA121" s="68"/>
      <c r="IOB121" s="68"/>
      <c r="IOC121" s="68"/>
      <c r="IOD121" s="68"/>
      <c r="IOE121" s="68"/>
      <c r="IOF121" s="68"/>
      <c r="IOG121" s="68"/>
      <c r="IOH121" s="68"/>
      <c r="IOI121" s="68"/>
      <c r="IOJ121" s="68"/>
      <c r="IOK121" s="68"/>
      <c r="IOL121" s="68"/>
      <c r="IOM121" s="68"/>
      <c r="ION121" s="68"/>
      <c r="IOO121" s="68"/>
      <c r="IOP121" s="68"/>
      <c r="IOQ121" s="68"/>
      <c r="IOR121" s="68"/>
      <c r="IOS121" s="68"/>
      <c r="IOT121" s="68"/>
      <c r="IOU121" s="68"/>
      <c r="IOV121" s="68"/>
      <c r="IOW121" s="68"/>
      <c r="IOX121" s="68"/>
      <c r="IOY121" s="68"/>
      <c r="IOZ121" s="68"/>
      <c r="IPA121" s="68"/>
      <c r="IPB121" s="68"/>
      <c r="IPC121" s="68"/>
      <c r="IPD121" s="68"/>
      <c r="IPE121" s="68"/>
      <c r="IPF121" s="68"/>
      <c r="IPG121" s="68"/>
      <c r="IPH121" s="68"/>
      <c r="IPI121" s="68"/>
      <c r="IPJ121" s="68"/>
      <c r="IPK121" s="68"/>
      <c r="IPL121" s="68"/>
      <c r="IPM121" s="68"/>
      <c r="IPN121" s="68"/>
      <c r="IPO121" s="68"/>
      <c r="IPP121" s="68"/>
      <c r="IPQ121" s="68"/>
      <c r="IPR121" s="68"/>
      <c r="IPS121" s="68"/>
      <c r="IPT121" s="68"/>
      <c r="IPU121" s="68"/>
      <c r="IPV121" s="68"/>
      <c r="IPW121" s="68"/>
      <c r="IPX121" s="68"/>
      <c r="IPY121" s="68"/>
      <c r="IPZ121" s="68"/>
      <c r="IQA121" s="68"/>
      <c r="IQB121" s="68"/>
      <c r="IQC121" s="68"/>
      <c r="IQD121" s="68"/>
      <c r="IQE121" s="68"/>
      <c r="IQF121" s="68"/>
      <c r="IQG121" s="68"/>
      <c r="IQH121" s="68"/>
      <c r="IQI121" s="68"/>
      <c r="IQJ121" s="68"/>
      <c r="IQK121" s="68"/>
      <c r="IQL121" s="68"/>
      <c r="IQM121" s="68"/>
      <c r="IQN121" s="68"/>
      <c r="IQO121" s="68"/>
      <c r="IQP121" s="68"/>
      <c r="IQQ121" s="68"/>
      <c r="IQR121" s="68"/>
      <c r="IQS121" s="68"/>
      <c r="IQT121" s="68"/>
      <c r="IQU121" s="68"/>
      <c r="IQV121" s="68"/>
      <c r="IQW121" s="68"/>
      <c r="IQX121" s="68"/>
      <c r="IQY121" s="68"/>
      <c r="IQZ121" s="68"/>
      <c r="IRA121" s="68"/>
      <c r="IRB121" s="68"/>
      <c r="IRC121" s="68"/>
      <c r="IRD121" s="68"/>
      <c r="IRE121" s="68"/>
      <c r="IRF121" s="68"/>
      <c r="IRG121" s="68"/>
      <c r="IRH121" s="68"/>
      <c r="IRI121" s="68"/>
      <c r="IRJ121" s="68"/>
      <c r="IRK121" s="68"/>
      <c r="IRL121" s="68"/>
      <c r="IRM121" s="68"/>
      <c r="IRN121" s="68"/>
      <c r="IRO121" s="68"/>
      <c r="IRP121" s="68"/>
      <c r="IRQ121" s="68"/>
      <c r="IRR121" s="68"/>
      <c r="IRS121" s="68"/>
      <c r="IRT121" s="68"/>
      <c r="IRU121" s="68"/>
      <c r="IRV121" s="68"/>
      <c r="IRW121" s="68"/>
      <c r="IRX121" s="68"/>
      <c r="IRY121" s="68"/>
      <c r="IRZ121" s="68"/>
      <c r="ISA121" s="68"/>
      <c r="ISB121" s="68"/>
      <c r="ISC121" s="68"/>
      <c r="ISD121" s="68"/>
      <c r="ISE121" s="68"/>
      <c r="ISF121" s="68"/>
      <c r="ISG121" s="68"/>
      <c r="ISH121" s="68"/>
      <c r="ISI121" s="68"/>
      <c r="ISJ121" s="68"/>
      <c r="ISK121" s="68"/>
      <c r="ISL121" s="68"/>
      <c r="ISM121" s="68"/>
      <c r="ISN121" s="68"/>
      <c r="ISO121" s="68"/>
      <c r="ISP121" s="68"/>
      <c r="ISQ121" s="68"/>
      <c r="ISR121" s="68"/>
      <c r="ISS121" s="68"/>
      <c r="IST121" s="68"/>
      <c r="ISU121" s="68"/>
      <c r="ISV121" s="68"/>
      <c r="ISW121" s="68"/>
      <c r="ISX121" s="68"/>
      <c r="ISY121" s="68"/>
      <c r="ISZ121" s="68"/>
      <c r="ITA121" s="68"/>
      <c r="ITB121" s="68"/>
      <c r="ITC121" s="68"/>
      <c r="ITD121" s="68"/>
      <c r="ITE121" s="68"/>
      <c r="ITF121" s="68"/>
      <c r="ITG121" s="68"/>
      <c r="ITH121" s="68"/>
      <c r="ITI121" s="68"/>
      <c r="ITJ121" s="68"/>
      <c r="ITK121" s="68"/>
      <c r="ITL121" s="68"/>
      <c r="ITM121" s="68"/>
      <c r="ITN121" s="68"/>
      <c r="ITO121" s="68"/>
      <c r="ITP121" s="68"/>
      <c r="ITQ121" s="68"/>
      <c r="ITR121" s="68"/>
      <c r="ITS121" s="68"/>
      <c r="ITT121" s="68"/>
      <c r="ITU121" s="68"/>
      <c r="ITV121" s="68"/>
      <c r="ITW121" s="68"/>
      <c r="ITX121" s="68"/>
      <c r="ITY121" s="68"/>
      <c r="ITZ121" s="68"/>
      <c r="IUA121" s="68"/>
      <c r="IUB121" s="68"/>
      <c r="IUC121" s="68"/>
      <c r="IUD121" s="68"/>
      <c r="IUE121" s="68"/>
      <c r="IUF121" s="68"/>
      <c r="IUG121" s="68"/>
      <c r="IUH121" s="68"/>
      <c r="IUI121" s="68"/>
      <c r="IUJ121" s="68"/>
      <c r="IUK121" s="68"/>
      <c r="IUL121" s="68"/>
      <c r="IUM121" s="68"/>
      <c r="IUN121" s="68"/>
      <c r="IUO121" s="68"/>
      <c r="IUP121" s="68"/>
      <c r="IUQ121" s="68"/>
      <c r="IUR121" s="68"/>
      <c r="IUS121" s="68"/>
      <c r="IUT121" s="68"/>
      <c r="IUU121" s="68"/>
      <c r="IUV121" s="68"/>
      <c r="IUW121" s="68"/>
      <c r="IUX121" s="68"/>
      <c r="IUY121" s="68"/>
      <c r="IUZ121" s="68"/>
      <c r="IVA121" s="68"/>
      <c r="IVB121" s="68"/>
      <c r="IVC121" s="68"/>
      <c r="IVD121" s="68"/>
      <c r="IVE121" s="68"/>
      <c r="IVF121" s="68"/>
      <c r="IVG121" s="68"/>
      <c r="IVH121" s="68"/>
      <c r="IVI121" s="68"/>
      <c r="IVJ121" s="68"/>
      <c r="IVK121" s="68"/>
      <c r="IVL121" s="68"/>
      <c r="IVM121" s="68"/>
      <c r="IVN121" s="68"/>
      <c r="IVO121" s="68"/>
      <c r="IVP121" s="68"/>
      <c r="IVQ121" s="68"/>
      <c r="IVR121" s="68"/>
      <c r="IVS121" s="68"/>
      <c r="IVT121" s="68"/>
      <c r="IVU121" s="68"/>
      <c r="IVV121" s="68"/>
      <c r="IVW121" s="68"/>
      <c r="IVX121" s="68"/>
      <c r="IVY121" s="68"/>
      <c r="IVZ121" s="68"/>
      <c r="IWA121" s="68"/>
      <c r="IWB121" s="68"/>
      <c r="IWC121" s="68"/>
      <c r="IWD121" s="68"/>
      <c r="IWE121" s="68"/>
      <c r="IWF121" s="68"/>
      <c r="IWG121" s="68"/>
      <c r="IWH121" s="68"/>
      <c r="IWI121" s="68"/>
      <c r="IWJ121" s="68"/>
      <c r="IWK121" s="68"/>
      <c r="IWL121" s="68"/>
      <c r="IWM121" s="68"/>
      <c r="IWN121" s="68"/>
      <c r="IWO121" s="68"/>
      <c r="IWP121" s="68"/>
      <c r="IWQ121" s="68"/>
      <c r="IWR121" s="68"/>
      <c r="IWS121" s="68"/>
      <c r="IWT121" s="68"/>
      <c r="IWU121" s="68"/>
      <c r="IWV121" s="68"/>
      <c r="IWW121" s="68"/>
      <c r="IWX121" s="68"/>
      <c r="IWY121" s="68"/>
      <c r="IWZ121" s="68"/>
      <c r="IXA121" s="68"/>
      <c r="IXB121" s="68"/>
      <c r="IXC121" s="68"/>
      <c r="IXD121" s="68"/>
      <c r="IXE121" s="68"/>
      <c r="IXF121" s="68"/>
      <c r="IXG121" s="68"/>
      <c r="IXH121" s="68"/>
      <c r="IXI121" s="68"/>
      <c r="IXJ121" s="68"/>
      <c r="IXK121" s="68"/>
      <c r="IXL121" s="68"/>
      <c r="IXM121" s="68"/>
      <c r="IXN121" s="68"/>
      <c r="IXO121" s="68"/>
      <c r="IXP121" s="68"/>
      <c r="IXQ121" s="68"/>
      <c r="IXR121" s="68"/>
      <c r="IXS121" s="68"/>
      <c r="IXT121" s="68"/>
      <c r="IXU121" s="68"/>
      <c r="IXV121" s="68"/>
      <c r="IXW121" s="68"/>
      <c r="IXX121" s="68"/>
      <c r="IXY121" s="68"/>
      <c r="IXZ121" s="68"/>
      <c r="IYA121" s="68"/>
      <c r="IYB121" s="68"/>
      <c r="IYC121" s="68"/>
      <c r="IYD121" s="68"/>
      <c r="IYE121" s="68"/>
      <c r="IYF121" s="68"/>
      <c r="IYG121" s="68"/>
      <c r="IYH121" s="68"/>
      <c r="IYI121" s="68"/>
      <c r="IYJ121" s="68"/>
      <c r="IYK121" s="68"/>
      <c r="IYL121" s="68"/>
      <c r="IYM121" s="68"/>
      <c r="IYN121" s="68"/>
      <c r="IYO121" s="68"/>
      <c r="IYP121" s="68"/>
      <c r="IYQ121" s="68"/>
      <c r="IYR121" s="68"/>
      <c r="IYS121" s="68"/>
      <c r="IYT121" s="68"/>
      <c r="IYU121" s="68"/>
      <c r="IYV121" s="68"/>
      <c r="IYW121" s="68"/>
      <c r="IYX121" s="68"/>
      <c r="IYY121" s="68"/>
      <c r="IYZ121" s="68"/>
      <c r="IZA121" s="68"/>
      <c r="IZB121" s="68"/>
      <c r="IZC121" s="68"/>
      <c r="IZD121" s="68"/>
      <c r="IZE121" s="68"/>
      <c r="IZF121" s="68"/>
      <c r="IZG121" s="68"/>
      <c r="IZH121" s="68"/>
      <c r="IZI121" s="68"/>
      <c r="IZJ121" s="68"/>
      <c r="IZK121" s="68"/>
      <c r="IZL121" s="68"/>
      <c r="IZM121" s="68"/>
      <c r="IZN121" s="68"/>
      <c r="IZO121" s="68"/>
      <c r="IZP121" s="68"/>
      <c r="IZQ121" s="68"/>
      <c r="IZR121" s="68"/>
      <c r="IZS121" s="68"/>
      <c r="IZT121" s="68"/>
      <c r="IZU121" s="68"/>
      <c r="IZV121" s="68"/>
      <c r="IZW121" s="68"/>
      <c r="IZX121" s="68"/>
      <c r="IZY121" s="68"/>
      <c r="IZZ121" s="68"/>
      <c r="JAA121" s="68"/>
      <c r="JAB121" s="68"/>
      <c r="JAC121" s="68"/>
      <c r="JAD121" s="68"/>
      <c r="JAE121" s="68"/>
      <c r="JAF121" s="68"/>
      <c r="JAG121" s="68"/>
      <c r="JAH121" s="68"/>
      <c r="JAI121" s="68"/>
      <c r="JAJ121" s="68"/>
      <c r="JAK121" s="68"/>
      <c r="JAL121" s="68"/>
      <c r="JAM121" s="68"/>
      <c r="JAN121" s="68"/>
      <c r="JAO121" s="68"/>
      <c r="JAP121" s="68"/>
      <c r="JAQ121" s="68"/>
      <c r="JAR121" s="68"/>
      <c r="JAS121" s="68"/>
      <c r="JAT121" s="68"/>
      <c r="JAU121" s="68"/>
      <c r="JAV121" s="68"/>
      <c r="JAW121" s="68"/>
      <c r="JAX121" s="68"/>
      <c r="JAY121" s="68"/>
      <c r="JAZ121" s="68"/>
      <c r="JBA121" s="68"/>
      <c r="JBB121" s="68"/>
      <c r="JBC121" s="68"/>
      <c r="JBD121" s="68"/>
      <c r="JBE121" s="68"/>
      <c r="JBF121" s="68"/>
      <c r="JBG121" s="68"/>
      <c r="JBH121" s="68"/>
      <c r="JBI121" s="68"/>
      <c r="JBJ121" s="68"/>
      <c r="JBK121" s="68"/>
      <c r="JBL121" s="68"/>
      <c r="JBM121" s="68"/>
      <c r="JBN121" s="68"/>
      <c r="JBO121" s="68"/>
      <c r="JBP121" s="68"/>
      <c r="JBQ121" s="68"/>
      <c r="JBR121" s="68"/>
      <c r="JBS121" s="68"/>
      <c r="JBT121" s="68"/>
      <c r="JBU121" s="68"/>
      <c r="JBV121" s="68"/>
      <c r="JBW121" s="68"/>
      <c r="JBX121" s="68"/>
      <c r="JBY121" s="68"/>
      <c r="JBZ121" s="68"/>
      <c r="JCA121" s="68"/>
      <c r="JCB121" s="68"/>
      <c r="JCC121" s="68"/>
      <c r="JCD121" s="68"/>
      <c r="JCE121" s="68"/>
      <c r="JCF121" s="68"/>
      <c r="JCG121" s="68"/>
      <c r="JCH121" s="68"/>
      <c r="JCI121" s="68"/>
      <c r="JCJ121" s="68"/>
      <c r="JCK121" s="68"/>
      <c r="JCL121" s="68"/>
      <c r="JCM121" s="68"/>
      <c r="JCN121" s="68"/>
      <c r="JCO121" s="68"/>
      <c r="JCP121" s="68"/>
      <c r="JCQ121" s="68"/>
      <c r="JCR121" s="68"/>
      <c r="JCS121" s="68"/>
      <c r="JCT121" s="68"/>
      <c r="JCU121" s="68"/>
      <c r="JCV121" s="68"/>
      <c r="JCW121" s="68"/>
      <c r="JCX121" s="68"/>
      <c r="JCY121" s="68"/>
      <c r="JCZ121" s="68"/>
      <c r="JDA121" s="68"/>
      <c r="JDB121" s="68"/>
      <c r="JDC121" s="68"/>
      <c r="JDD121" s="68"/>
      <c r="JDE121" s="68"/>
      <c r="JDF121" s="68"/>
      <c r="JDG121" s="68"/>
      <c r="JDH121" s="68"/>
      <c r="JDI121" s="68"/>
      <c r="JDJ121" s="68"/>
      <c r="JDK121" s="68"/>
      <c r="JDL121" s="68"/>
      <c r="JDM121" s="68"/>
      <c r="JDN121" s="68"/>
      <c r="JDO121" s="68"/>
      <c r="JDP121" s="68"/>
      <c r="JDQ121" s="68"/>
      <c r="JDR121" s="68"/>
      <c r="JDS121" s="68"/>
      <c r="JDT121" s="68"/>
      <c r="JDU121" s="68"/>
      <c r="JDV121" s="68"/>
      <c r="JDW121" s="68"/>
      <c r="JDX121" s="68"/>
      <c r="JDY121" s="68"/>
      <c r="JDZ121" s="68"/>
      <c r="JEA121" s="68"/>
      <c r="JEB121" s="68"/>
      <c r="JEC121" s="68"/>
      <c r="JED121" s="68"/>
      <c r="JEE121" s="68"/>
      <c r="JEF121" s="68"/>
      <c r="JEG121" s="68"/>
      <c r="JEH121" s="68"/>
      <c r="JEI121" s="68"/>
      <c r="JEJ121" s="68"/>
      <c r="JEK121" s="68"/>
      <c r="JEL121" s="68"/>
      <c r="JEM121" s="68"/>
      <c r="JEN121" s="68"/>
      <c r="JEO121" s="68"/>
      <c r="JEP121" s="68"/>
      <c r="JEQ121" s="68"/>
      <c r="JER121" s="68"/>
      <c r="JES121" s="68"/>
      <c r="JET121" s="68"/>
      <c r="JEU121" s="68"/>
      <c r="JEV121" s="68"/>
      <c r="JEW121" s="68"/>
      <c r="JEX121" s="68"/>
      <c r="JEY121" s="68"/>
      <c r="JEZ121" s="68"/>
      <c r="JFA121" s="68"/>
      <c r="JFB121" s="68"/>
      <c r="JFC121" s="68"/>
      <c r="JFD121" s="68"/>
      <c r="JFE121" s="68"/>
      <c r="JFF121" s="68"/>
      <c r="JFG121" s="68"/>
      <c r="JFH121" s="68"/>
      <c r="JFI121" s="68"/>
      <c r="JFJ121" s="68"/>
      <c r="JFK121" s="68"/>
      <c r="JFL121" s="68"/>
      <c r="JFM121" s="68"/>
      <c r="JFN121" s="68"/>
      <c r="JFO121" s="68"/>
      <c r="JFP121" s="68"/>
      <c r="JFQ121" s="68"/>
      <c r="JFR121" s="68"/>
      <c r="JFS121" s="68"/>
      <c r="JFT121" s="68"/>
      <c r="JFU121" s="68"/>
      <c r="JFV121" s="68"/>
      <c r="JFW121" s="68"/>
      <c r="JFX121" s="68"/>
      <c r="JFY121" s="68"/>
      <c r="JFZ121" s="68"/>
      <c r="JGA121" s="68"/>
      <c r="JGB121" s="68"/>
      <c r="JGC121" s="68"/>
      <c r="JGD121" s="68"/>
      <c r="JGE121" s="68"/>
      <c r="JGF121" s="68"/>
      <c r="JGG121" s="68"/>
      <c r="JGH121" s="68"/>
      <c r="JGI121" s="68"/>
      <c r="JGJ121" s="68"/>
      <c r="JGK121" s="68"/>
      <c r="JGL121" s="68"/>
      <c r="JGM121" s="68"/>
      <c r="JGN121" s="68"/>
      <c r="JGO121" s="68"/>
      <c r="JGP121" s="68"/>
      <c r="JGQ121" s="68"/>
      <c r="JGR121" s="68"/>
      <c r="JGS121" s="68"/>
      <c r="JGT121" s="68"/>
      <c r="JGU121" s="68"/>
      <c r="JGV121" s="68"/>
      <c r="JGW121" s="68"/>
      <c r="JGX121" s="68"/>
      <c r="JGY121" s="68"/>
      <c r="JGZ121" s="68"/>
      <c r="JHA121" s="68"/>
      <c r="JHB121" s="68"/>
      <c r="JHC121" s="68"/>
      <c r="JHD121" s="68"/>
      <c r="JHE121" s="68"/>
      <c r="JHF121" s="68"/>
      <c r="JHG121" s="68"/>
      <c r="JHH121" s="68"/>
      <c r="JHI121" s="68"/>
      <c r="JHJ121" s="68"/>
      <c r="JHK121" s="68"/>
      <c r="JHL121" s="68"/>
      <c r="JHM121" s="68"/>
      <c r="JHN121" s="68"/>
      <c r="JHO121" s="68"/>
      <c r="JHP121" s="68"/>
      <c r="JHQ121" s="68"/>
      <c r="JHR121" s="68"/>
      <c r="JHS121" s="68"/>
      <c r="JHT121" s="68"/>
      <c r="JHU121" s="68"/>
      <c r="JHV121" s="68"/>
      <c r="JHW121" s="68"/>
      <c r="JHX121" s="68"/>
      <c r="JHY121" s="68"/>
      <c r="JHZ121" s="68"/>
      <c r="JIA121" s="68"/>
      <c r="JIB121" s="68"/>
      <c r="JIC121" s="68"/>
      <c r="JID121" s="68"/>
      <c r="JIE121" s="68"/>
      <c r="JIF121" s="68"/>
      <c r="JIG121" s="68"/>
      <c r="JIH121" s="68"/>
      <c r="JII121" s="68"/>
      <c r="JIJ121" s="68"/>
      <c r="JIK121" s="68"/>
      <c r="JIL121" s="68"/>
      <c r="JIM121" s="68"/>
      <c r="JIN121" s="68"/>
      <c r="JIO121" s="68"/>
      <c r="JIP121" s="68"/>
      <c r="JIQ121" s="68"/>
      <c r="JIR121" s="68"/>
      <c r="JIS121" s="68"/>
      <c r="JIT121" s="68"/>
      <c r="JIU121" s="68"/>
      <c r="JIV121" s="68"/>
      <c r="JIW121" s="68"/>
      <c r="JIX121" s="68"/>
      <c r="JIY121" s="68"/>
      <c r="JIZ121" s="68"/>
      <c r="JJA121" s="68"/>
      <c r="JJB121" s="68"/>
      <c r="JJC121" s="68"/>
      <c r="JJD121" s="68"/>
      <c r="JJE121" s="68"/>
      <c r="JJF121" s="68"/>
      <c r="JJG121" s="68"/>
      <c r="JJH121" s="68"/>
      <c r="JJI121" s="68"/>
      <c r="JJJ121" s="68"/>
      <c r="JJK121" s="68"/>
      <c r="JJL121" s="68"/>
      <c r="JJM121" s="68"/>
      <c r="JJN121" s="68"/>
      <c r="JJO121" s="68"/>
      <c r="JJP121" s="68"/>
      <c r="JJQ121" s="68"/>
      <c r="JJR121" s="68"/>
      <c r="JJS121" s="68"/>
      <c r="JJT121" s="68"/>
      <c r="JJU121" s="68"/>
      <c r="JJV121" s="68"/>
      <c r="JJW121" s="68"/>
      <c r="JJX121" s="68"/>
      <c r="JJY121" s="68"/>
      <c r="JJZ121" s="68"/>
      <c r="JKA121" s="68"/>
      <c r="JKB121" s="68"/>
      <c r="JKC121" s="68"/>
      <c r="JKD121" s="68"/>
      <c r="JKE121" s="68"/>
      <c r="JKF121" s="68"/>
      <c r="JKG121" s="68"/>
      <c r="JKH121" s="68"/>
      <c r="JKI121" s="68"/>
      <c r="JKJ121" s="68"/>
      <c r="JKK121" s="68"/>
      <c r="JKL121" s="68"/>
      <c r="JKM121" s="68"/>
      <c r="JKN121" s="68"/>
      <c r="JKO121" s="68"/>
      <c r="JKP121" s="68"/>
      <c r="JKQ121" s="68"/>
      <c r="JKR121" s="68"/>
      <c r="JKS121" s="68"/>
      <c r="JKT121" s="68"/>
      <c r="JKU121" s="68"/>
      <c r="JKV121" s="68"/>
      <c r="JKW121" s="68"/>
      <c r="JKX121" s="68"/>
      <c r="JKY121" s="68"/>
      <c r="JKZ121" s="68"/>
      <c r="JLA121" s="68"/>
      <c r="JLB121" s="68"/>
      <c r="JLC121" s="68"/>
      <c r="JLD121" s="68"/>
      <c r="JLE121" s="68"/>
      <c r="JLF121" s="68"/>
      <c r="JLG121" s="68"/>
      <c r="JLH121" s="68"/>
      <c r="JLI121" s="68"/>
      <c r="JLJ121" s="68"/>
      <c r="JLK121" s="68"/>
      <c r="JLL121" s="68"/>
      <c r="JLM121" s="68"/>
      <c r="JLN121" s="68"/>
      <c r="JLO121" s="68"/>
      <c r="JLP121" s="68"/>
      <c r="JLQ121" s="68"/>
      <c r="JLR121" s="68"/>
      <c r="JLS121" s="68"/>
      <c r="JLT121" s="68"/>
      <c r="JLU121" s="68"/>
      <c r="JLV121" s="68"/>
      <c r="JLW121" s="68"/>
      <c r="JLX121" s="68"/>
      <c r="JLY121" s="68"/>
      <c r="JLZ121" s="68"/>
      <c r="JMA121" s="68"/>
      <c r="JMB121" s="68"/>
      <c r="JMC121" s="68"/>
      <c r="JMD121" s="68"/>
      <c r="JME121" s="68"/>
      <c r="JMF121" s="68"/>
      <c r="JMG121" s="68"/>
      <c r="JMH121" s="68"/>
      <c r="JMI121" s="68"/>
      <c r="JMJ121" s="68"/>
      <c r="JMK121" s="68"/>
      <c r="JML121" s="68"/>
      <c r="JMM121" s="68"/>
      <c r="JMN121" s="68"/>
      <c r="JMO121" s="68"/>
      <c r="JMP121" s="68"/>
      <c r="JMQ121" s="68"/>
      <c r="JMR121" s="68"/>
      <c r="JMS121" s="68"/>
      <c r="JMT121" s="68"/>
      <c r="JMU121" s="68"/>
      <c r="JMV121" s="68"/>
      <c r="JMW121" s="68"/>
      <c r="JMX121" s="68"/>
      <c r="JMY121" s="68"/>
      <c r="JMZ121" s="68"/>
      <c r="JNA121" s="68"/>
      <c r="JNB121" s="68"/>
      <c r="JNC121" s="68"/>
      <c r="JND121" s="68"/>
      <c r="JNE121" s="68"/>
      <c r="JNF121" s="68"/>
      <c r="JNG121" s="68"/>
      <c r="JNH121" s="68"/>
      <c r="JNI121" s="68"/>
      <c r="JNJ121" s="68"/>
      <c r="JNK121" s="68"/>
      <c r="JNL121" s="68"/>
      <c r="JNM121" s="68"/>
      <c r="JNN121" s="68"/>
      <c r="JNO121" s="68"/>
      <c r="JNP121" s="68"/>
      <c r="JNQ121" s="68"/>
      <c r="JNR121" s="68"/>
      <c r="JNS121" s="68"/>
      <c r="JNT121" s="68"/>
      <c r="JNU121" s="68"/>
      <c r="JNV121" s="68"/>
      <c r="JNW121" s="68"/>
      <c r="JNX121" s="68"/>
      <c r="JNY121" s="68"/>
      <c r="JNZ121" s="68"/>
      <c r="JOA121" s="68"/>
      <c r="JOB121" s="68"/>
      <c r="JOC121" s="68"/>
      <c r="JOD121" s="68"/>
      <c r="JOE121" s="68"/>
      <c r="JOF121" s="68"/>
      <c r="JOG121" s="68"/>
      <c r="JOH121" s="68"/>
      <c r="JOI121" s="68"/>
      <c r="JOJ121" s="68"/>
      <c r="JOK121" s="68"/>
      <c r="JOL121" s="68"/>
      <c r="JOM121" s="68"/>
      <c r="JON121" s="68"/>
      <c r="JOO121" s="68"/>
      <c r="JOP121" s="68"/>
      <c r="JOQ121" s="68"/>
      <c r="JOR121" s="68"/>
      <c r="JOS121" s="68"/>
      <c r="JOT121" s="68"/>
      <c r="JOU121" s="68"/>
      <c r="JOV121" s="68"/>
      <c r="JOW121" s="68"/>
      <c r="JOX121" s="68"/>
      <c r="JOY121" s="68"/>
      <c r="JOZ121" s="68"/>
      <c r="JPA121" s="68"/>
      <c r="JPB121" s="68"/>
      <c r="JPC121" s="68"/>
      <c r="JPD121" s="68"/>
      <c r="JPE121" s="68"/>
      <c r="JPF121" s="68"/>
      <c r="JPG121" s="68"/>
      <c r="JPH121" s="68"/>
      <c r="JPI121" s="68"/>
      <c r="JPJ121" s="68"/>
      <c r="JPK121" s="68"/>
      <c r="JPL121" s="68"/>
      <c r="JPM121" s="68"/>
      <c r="JPN121" s="68"/>
      <c r="JPO121" s="68"/>
      <c r="JPP121" s="68"/>
      <c r="JPQ121" s="68"/>
      <c r="JPR121" s="68"/>
      <c r="JPS121" s="68"/>
      <c r="JPT121" s="68"/>
      <c r="JPU121" s="68"/>
      <c r="JPV121" s="68"/>
      <c r="JPW121" s="68"/>
      <c r="JPX121" s="68"/>
      <c r="JPY121" s="68"/>
      <c r="JPZ121" s="68"/>
      <c r="JQA121" s="68"/>
      <c r="JQB121" s="68"/>
      <c r="JQC121" s="68"/>
      <c r="JQD121" s="68"/>
      <c r="JQE121" s="68"/>
      <c r="JQF121" s="68"/>
      <c r="JQG121" s="68"/>
      <c r="JQH121" s="68"/>
      <c r="JQI121" s="68"/>
      <c r="JQJ121" s="68"/>
      <c r="JQK121" s="68"/>
      <c r="JQL121" s="68"/>
      <c r="JQM121" s="68"/>
      <c r="JQN121" s="68"/>
      <c r="JQO121" s="68"/>
      <c r="JQP121" s="68"/>
      <c r="JQQ121" s="68"/>
      <c r="JQR121" s="68"/>
      <c r="JQS121" s="68"/>
      <c r="JQT121" s="68"/>
      <c r="JQU121" s="68"/>
      <c r="JQV121" s="68"/>
      <c r="JQW121" s="68"/>
      <c r="JQX121" s="68"/>
      <c r="JQY121" s="68"/>
      <c r="JQZ121" s="68"/>
      <c r="JRA121" s="68"/>
      <c r="JRB121" s="68"/>
      <c r="JRC121" s="68"/>
      <c r="JRD121" s="68"/>
      <c r="JRE121" s="68"/>
      <c r="JRF121" s="68"/>
      <c r="JRG121" s="68"/>
      <c r="JRH121" s="68"/>
      <c r="JRI121" s="68"/>
      <c r="JRJ121" s="68"/>
      <c r="JRK121" s="68"/>
      <c r="JRL121" s="68"/>
      <c r="JRM121" s="68"/>
      <c r="JRN121" s="68"/>
      <c r="JRO121" s="68"/>
      <c r="JRP121" s="68"/>
      <c r="JRQ121" s="68"/>
      <c r="JRR121" s="68"/>
      <c r="JRS121" s="68"/>
      <c r="JRT121" s="68"/>
      <c r="JRU121" s="68"/>
      <c r="JRV121" s="68"/>
      <c r="JRW121" s="68"/>
      <c r="JRX121" s="68"/>
      <c r="JRY121" s="68"/>
      <c r="JRZ121" s="68"/>
      <c r="JSA121" s="68"/>
      <c r="JSB121" s="68"/>
      <c r="JSC121" s="68"/>
      <c r="JSD121" s="68"/>
      <c r="JSE121" s="68"/>
      <c r="JSF121" s="68"/>
      <c r="JSG121" s="68"/>
      <c r="JSH121" s="68"/>
      <c r="JSI121" s="68"/>
      <c r="JSJ121" s="68"/>
      <c r="JSK121" s="68"/>
      <c r="JSL121" s="68"/>
      <c r="JSM121" s="68"/>
      <c r="JSN121" s="68"/>
      <c r="JSO121" s="68"/>
      <c r="JSP121" s="68"/>
      <c r="JSQ121" s="68"/>
      <c r="JSR121" s="68"/>
      <c r="JSS121" s="68"/>
      <c r="JST121" s="68"/>
      <c r="JSU121" s="68"/>
      <c r="JSV121" s="68"/>
      <c r="JSW121" s="68"/>
      <c r="JSX121" s="68"/>
      <c r="JSY121" s="68"/>
      <c r="JSZ121" s="68"/>
      <c r="JTA121" s="68"/>
      <c r="JTB121" s="68"/>
      <c r="JTC121" s="68"/>
      <c r="JTD121" s="68"/>
      <c r="JTE121" s="68"/>
      <c r="JTF121" s="68"/>
      <c r="JTG121" s="68"/>
      <c r="JTH121" s="68"/>
      <c r="JTI121" s="68"/>
      <c r="JTJ121" s="68"/>
      <c r="JTK121" s="68"/>
      <c r="JTL121" s="68"/>
      <c r="JTM121" s="68"/>
      <c r="JTN121" s="68"/>
      <c r="JTO121" s="68"/>
      <c r="JTP121" s="68"/>
      <c r="JTQ121" s="68"/>
      <c r="JTR121" s="68"/>
      <c r="JTS121" s="68"/>
      <c r="JTT121" s="68"/>
      <c r="JTU121" s="68"/>
      <c r="JTV121" s="68"/>
      <c r="JTW121" s="68"/>
      <c r="JTX121" s="68"/>
      <c r="JTY121" s="68"/>
      <c r="JTZ121" s="68"/>
      <c r="JUA121" s="68"/>
      <c r="JUB121" s="68"/>
      <c r="JUC121" s="68"/>
      <c r="JUD121" s="68"/>
      <c r="JUE121" s="68"/>
      <c r="JUF121" s="68"/>
      <c r="JUG121" s="68"/>
      <c r="JUH121" s="68"/>
      <c r="JUI121" s="68"/>
      <c r="JUJ121" s="68"/>
      <c r="JUK121" s="68"/>
      <c r="JUL121" s="68"/>
      <c r="JUM121" s="68"/>
      <c r="JUN121" s="68"/>
      <c r="JUO121" s="68"/>
      <c r="JUP121" s="68"/>
      <c r="JUQ121" s="68"/>
      <c r="JUR121" s="68"/>
      <c r="JUS121" s="68"/>
      <c r="JUT121" s="68"/>
      <c r="JUU121" s="68"/>
      <c r="JUV121" s="68"/>
      <c r="JUW121" s="68"/>
      <c r="JUX121" s="68"/>
      <c r="JUY121" s="68"/>
      <c r="JUZ121" s="68"/>
      <c r="JVA121" s="68"/>
      <c r="JVB121" s="68"/>
      <c r="JVC121" s="68"/>
      <c r="JVD121" s="68"/>
      <c r="JVE121" s="68"/>
      <c r="JVF121" s="68"/>
      <c r="JVG121" s="68"/>
      <c r="JVH121" s="68"/>
      <c r="JVI121" s="68"/>
      <c r="JVJ121" s="68"/>
      <c r="JVK121" s="68"/>
      <c r="JVL121" s="68"/>
      <c r="JVM121" s="68"/>
      <c r="JVN121" s="68"/>
      <c r="JVO121" s="68"/>
      <c r="JVP121" s="68"/>
      <c r="JVQ121" s="68"/>
      <c r="JVR121" s="68"/>
      <c r="JVS121" s="68"/>
      <c r="JVT121" s="68"/>
      <c r="JVU121" s="68"/>
      <c r="JVV121" s="68"/>
      <c r="JVW121" s="68"/>
      <c r="JVX121" s="68"/>
      <c r="JVY121" s="68"/>
      <c r="JVZ121" s="68"/>
      <c r="JWA121" s="68"/>
      <c r="JWB121" s="68"/>
      <c r="JWC121" s="68"/>
      <c r="JWD121" s="68"/>
      <c r="JWE121" s="68"/>
      <c r="JWF121" s="68"/>
      <c r="JWG121" s="68"/>
      <c r="JWH121" s="68"/>
      <c r="JWI121" s="68"/>
      <c r="JWJ121" s="68"/>
      <c r="JWK121" s="68"/>
      <c r="JWL121" s="68"/>
      <c r="JWM121" s="68"/>
      <c r="JWN121" s="68"/>
      <c r="JWO121" s="68"/>
      <c r="JWP121" s="68"/>
      <c r="JWQ121" s="68"/>
      <c r="JWR121" s="68"/>
      <c r="JWS121" s="68"/>
      <c r="JWT121" s="68"/>
      <c r="JWU121" s="68"/>
      <c r="JWV121" s="68"/>
      <c r="JWW121" s="68"/>
      <c r="JWX121" s="68"/>
      <c r="JWY121" s="68"/>
      <c r="JWZ121" s="68"/>
      <c r="JXA121" s="68"/>
      <c r="JXB121" s="68"/>
      <c r="JXC121" s="68"/>
      <c r="JXD121" s="68"/>
      <c r="JXE121" s="68"/>
      <c r="JXF121" s="68"/>
      <c r="JXG121" s="68"/>
      <c r="JXH121" s="68"/>
      <c r="JXI121" s="68"/>
      <c r="JXJ121" s="68"/>
      <c r="JXK121" s="68"/>
      <c r="JXL121" s="68"/>
      <c r="JXM121" s="68"/>
      <c r="JXN121" s="68"/>
      <c r="JXO121" s="68"/>
      <c r="JXP121" s="68"/>
      <c r="JXQ121" s="68"/>
      <c r="JXR121" s="68"/>
      <c r="JXS121" s="68"/>
      <c r="JXT121" s="68"/>
      <c r="JXU121" s="68"/>
      <c r="JXV121" s="68"/>
      <c r="JXW121" s="68"/>
      <c r="JXX121" s="68"/>
      <c r="JXY121" s="68"/>
      <c r="JXZ121" s="68"/>
      <c r="JYA121" s="68"/>
      <c r="JYB121" s="68"/>
      <c r="JYC121" s="68"/>
      <c r="JYD121" s="68"/>
      <c r="JYE121" s="68"/>
      <c r="JYF121" s="68"/>
      <c r="JYG121" s="68"/>
      <c r="JYH121" s="68"/>
      <c r="JYI121" s="68"/>
      <c r="JYJ121" s="68"/>
      <c r="JYK121" s="68"/>
      <c r="JYL121" s="68"/>
      <c r="JYM121" s="68"/>
      <c r="JYN121" s="68"/>
      <c r="JYO121" s="68"/>
      <c r="JYP121" s="68"/>
      <c r="JYQ121" s="68"/>
      <c r="JYR121" s="68"/>
      <c r="JYS121" s="68"/>
      <c r="JYT121" s="68"/>
      <c r="JYU121" s="68"/>
      <c r="JYV121" s="68"/>
      <c r="JYW121" s="68"/>
      <c r="JYX121" s="68"/>
      <c r="JYY121" s="68"/>
      <c r="JYZ121" s="68"/>
      <c r="JZA121" s="68"/>
      <c r="JZB121" s="68"/>
      <c r="JZC121" s="68"/>
      <c r="JZD121" s="68"/>
      <c r="JZE121" s="68"/>
      <c r="JZF121" s="68"/>
      <c r="JZG121" s="68"/>
      <c r="JZH121" s="68"/>
      <c r="JZI121" s="68"/>
      <c r="JZJ121" s="68"/>
      <c r="JZK121" s="68"/>
      <c r="JZL121" s="68"/>
      <c r="JZM121" s="68"/>
      <c r="JZN121" s="68"/>
      <c r="JZO121" s="68"/>
      <c r="JZP121" s="68"/>
      <c r="JZQ121" s="68"/>
      <c r="JZR121" s="68"/>
      <c r="JZS121" s="68"/>
      <c r="JZT121" s="68"/>
      <c r="JZU121" s="68"/>
      <c r="JZV121" s="68"/>
      <c r="JZW121" s="68"/>
      <c r="JZX121" s="68"/>
      <c r="JZY121" s="68"/>
      <c r="JZZ121" s="68"/>
      <c r="KAA121" s="68"/>
      <c r="KAB121" s="68"/>
      <c r="KAC121" s="68"/>
      <c r="KAD121" s="68"/>
      <c r="KAE121" s="68"/>
      <c r="KAF121" s="68"/>
      <c r="KAG121" s="68"/>
      <c r="KAH121" s="68"/>
      <c r="KAI121" s="68"/>
      <c r="KAJ121" s="68"/>
      <c r="KAK121" s="68"/>
      <c r="KAL121" s="68"/>
      <c r="KAM121" s="68"/>
      <c r="KAN121" s="68"/>
      <c r="KAO121" s="68"/>
      <c r="KAP121" s="68"/>
      <c r="KAQ121" s="68"/>
      <c r="KAR121" s="68"/>
      <c r="KAS121" s="68"/>
      <c r="KAT121" s="68"/>
      <c r="KAU121" s="68"/>
      <c r="KAV121" s="68"/>
      <c r="KAW121" s="68"/>
      <c r="KAX121" s="68"/>
      <c r="KAY121" s="68"/>
      <c r="KAZ121" s="68"/>
      <c r="KBA121" s="68"/>
      <c r="KBB121" s="68"/>
      <c r="KBC121" s="68"/>
      <c r="KBD121" s="68"/>
      <c r="KBE121" s="68"/>
      <c r="KBF121" s="68"/>
      <c r="KBG121" s="68"/>
      <c r="KBH121" s="68"/>
      <c r="KBI121" s="68"/>
      <c r="KBJ121" s="68"/>
      <c r="KBK121" s="68"/>
      <c r="KBL121" s="68"/>
      <c r="KBM121" s="68"/>
      <c r="KBN121" s="68"/>
      <c r="KBO121" s="68"/>
      <c r="KBP121" s="68"/>
      <c r="KBQ121" s="68"/>
      <c r="KBR121" s="68"/>
      <c r="KBS121" s="68"/>
      <c r="KBT121" s="68"/>
      <c r="KBU121" s="68"/>
      <c r="KBV121" s="68"/>
      <c r="KBW121" s="68"/>
      <c r="KBX121" s="68"/>
      <c r="KBY121" s="68"/>
      <c r="KBZ121" s="68"/>
      <c r="KCA121" s="68"/>
      <c r="KCB121" s="68"/>
      <c r="KCC121" s="68"/>
      <c r="KCD121" s="68"/>
      <c r="KCE121" s="68"/>
      <c r="KCF121" s="68"/>
      <c r="KCG121" s="68"/>
      <c r="KCH121" s="68"/>
      <c r="KCI121" s="68"/>
      <c r="KCJ121" s="68"/>
      <c r="KCK121" s="68"/>
      <c r="KCL121" s="68"/>
      <c r="KCM121" s="68"/>
      <c r="KCN121" s="68"/>
      <c r="KCO121" s="68"/>
      <c r="KCP121" s="68"/>
      <c r="KCQ121" s="68"/>
      <c r="KCR121" s="68"/>
      <c r="KCS121" s="68"/>
      <c r="KCT121" s="68"/>
      <c r="KCU121" s="68"/>
      <c r="KCV121" s="68"/>
      <c r="KCW121" s="68"/>
      <c r="KCX121" s="68"/>
      <c r="KCY121" s="68"/>
      <c r="KCZ121" s="68"/>
      <c r="KDA121" s="68"/>
      <c r="KDB121" s="68"/>
      <c r="KDC121" s="68"/>
      <c r="KDD121" s="68"/>
      <c r="KDE121" s="68"/>
      <c r="KDF121" s="68"/>
      <c r="KDG121" s="68"/>
      <c r="KDH121" s="68"/>
      <c r="KDI121" s="68"/>
      <c r="KDJ121" s="68"/>
      <c r="KDK121" s="68"/>
      <c r="KDL121" s="68"/>
      <c r="KDM121" s="68"/>
      <c r="KDN121" s="68"/>
      <c r="KDO121" s="68"/>
      <c r="KDP121" s="68"/>
      <c r="KDQ121" s="68"/>
      <c r="KDR121" s="68"/>
      <c r="KDS121" s="68"/>
      <c r="KDT121" s="68"/>
      <c r="KDU121" s="68"/>
      <c r="KDV121" s="68"/>
      <c r="KDW121" s="68"/>
      <c r="KDX121" s="68"/>
      <c r="KDY121" s="68"/>
      <c r="KDZ121" s="68"/>
      <c r="KEA121" s="68"/>
      <c r="KEB121" s="68"/>
      <c r="KEC121" s="68"/>
      <c r="KED121" s="68"/>
      <c r="KEE121" s="68"/>
      <c r="KEF121" s="68"/>
      <c r="KEG121" s="68"/>
      <c r="KEH121" s="68"/>
      <c r="KEI121" s="68"/>
      <c r="KEJ121" s="68"/>
      <c r="KEK121" s="68"/>
      <c r="KEL121" s="68"/>
      <c r="KEM121" s="68"/>
      <c r="KEN121" s="68"/>
      <c r="KEO121" s="68"/>
      <c r="KEP121" s="68"/>
      <c r="KEQ121" s="68"/>
      <c r="KER121" s="68"/>
      <c r="KES121" s="68"/>
      <c r="KET121" s="68"/>
      <c r="KEU121" s="68"/>
      <c r="KEV121" s="68"/>
      <c r="KEW121" s="68"/>
      <c r="KEX121" s="68"/>
      <c r="KEY121" s="68"/>
      <c r="KEZ121" s="68"/>
      <c r="KFA121" s="68"/>
      <c r="KFB121" s="68"/>
      <c r="KFC121" s="68"/>
      <c r="KFD121" s="68"/>
      <c r="KFE121" s="68"/>
      <c r="KFF121" s="68"/>
      <c r="KFG121" s="68"/>
      <c r="KFH121" s="68"/>
      <c r="KFI121" s="68"/>
      <c r="KFJ121" s="68"/>
      <c r="KFK121" s="68"/>
      <c r="KFL121" s="68"/>
      <c r="KFM121" s="68"/>
      <c r="KFN121" s="68"/>
      <c r="KFO121" s="68"/>
      <c r="KFP121" s="68"/>
      <c r="KFQ121" s="68"/>
      <c r="KFR121" s="68"/>
      <c r="KFS121" s="68"/>
      <c r="KFT121" s="68"/>
      <c r="KFU121" s="68"/>
      <c r="KFV121" s="68"/>
      <c r="KFW121" s="68"/>
      <c r="KFX121" s="68"/>
      <c r="KFY121" s="68"/>
      <c r="KFZ121" s="68"/>
      <c r="KGA121" s="68"/>
      <c r="KGB121" s="68"/>
      <c r="KGC121" s="68"/>
      <c r="KGD121" s="68"/>
      <c r="KGE121" s="68"/>
      <c r="KGF121" s="68"/>
      <c r="KGG121" s="68"/>
      <c r="KGH121" s="68"/>
      <c r="KGI121" s="68"/>
      <c r="KGJ121" s="68"/>
      <c r="KGK121" s="68"/>
      <c r="KGL121" s="68"/>
      <c r="KGM121" s="68"/>
      <c r="KGN121" s="68"/>
      <c r="KGO121" s="68"/>
      <c r="KGP121" s="68"/>
      <c r="KGQ121" s="68"/>
      <c r="KGR121" s="68"/>
      <c r="KGS121" s="68"/>
      <c r="KGT121" s="68"/>
      <c r="KGU121" s="68"/>
      <c r="KGV121" s="68"/>
      <c r="KGW121" s="68"/>
      <c r="KGX121" s="68"/>
      <c r="KGY121" s="68"/>
      <c r="KGZ121" s="68"/>
      <c r="KHA121" s="68"/>
      <c r="KHB121" s="68"/>
      <c r="KHC121" s="68"/>
      <c r="KHD121" s="68"/>
      <c r="KHE121" s="68"/>
      <c r="KHF121" s="68"/>
      <c r="KHG121" s="68"/>
      <c r="KHH121" s="68"/>
      <c r="KHI121" s="68"/>
      <c r="KHJ121" s="68"/>
      <c r="KHK121" s="68"/>
      <c r="KHL121" s="68"/>
      <c r="KHM121" s="68"/>
      <c r="KHN121" s="68"/>
      <c r="KHO121" s="68"/>
      <c r="KHP121" s="68"/>
      <c r="KHQ121" s="68"/>
      <c r="KHR121" s="68"/>
      <c r="KHS121" s="68"/>
      <c r="KHT121" s="68"/>
      <c r="KHU121" s="68"/>
      <c r="KHV121" s="68"/>
      <c r="KHW121" s="68"/>
      <c r="KHX121" s="68"/>
      <c r="KHY121" s="68"/>
      <c r="KHZ121" s="68"/>
      <c r="KIA121" s="68"/>
      <c r="KIB121" s="68"/>
      <c r="KIC121" s="68"/>
      <c r="KID121" s="68"/>
      <c r="KIE121" s="68"/>
      <c r="KIF121" s="68"/>
      <c r="KIG121" s="68"/>
      <c r="KIH121" s="68"/>
      <c r="KII121" s="68"/>
      <c r="KIJ121" s="68"/>
      <c r="KIK121" s="68"/>
      <c r="KIL121" s="68"/>
      <c r="KIM121" s="68"/>
      <c r="KIN121" s="68"/>
      <c r="KIO121" s="68"/>
      <c r="KIP121" s="68"/>
      <c r="KIQ121" s="68"/>
      <c r="KIR121" s="68"/>
      <c r="KIS121" s="68"/>
      <c r="KIT121" s="68"/>
      <c r="KIU121" s="68"/>
      <c r="KIV121" s="68"/>
      <c r="KIW121" s="68"/>
      <c r="KIX121" s="68"/>
      <c r="KIY121" s="68"/>
      <c r="KIZ121" s="68"/>
      <c r="KJA121" s="68"/>
      <c r="KJB121" s="68"/>
      <c r="KJC121" s="68"/>
      <c r="KJD121" s="68"/>
      <c r="KJE121" s="68"/>
      <c r="KJF121" s="68"/>
      <c r="KJG121" s="68"/>
      <c r="KJH121" s="68"/>
      <c r="KJI121" s="68"/>
      <c r="KJJ121" s="68"/>
      <c r="KJK121" s="68"/>
      <c r="KJL121" s="68"/>
      <c r="KJM121" s="68"/>
      <c r="KJN121" s="68"/>
      <c r="KJO121" s="68"/>
      <c r="KJP121" s="68"/>
      <c r="KJQ121" s="68"/>
      <c r="KJR121" s="68"/>
      <c r="KJS121" s="68"/>
      <c r="KJT121" s="68"/>
      <c r="KJU121" s="68"/>
      <c r="KJV121" s="68"/>
      <c r="KJW121" s="68"/>
      <c r="KJX121" s="68"/>
      <c r="KJY121" s="68"/>
      <c r="KJZ121" s="68"/>
      <c r="KKA121" s="68"/>
      <c r="KKB121" s="68"/>
      <c r="KKC121" s="68"/>
      <c r="KKD121" s="68"/>
      <c r="KKE121" s="68"/>
      <c r="KKF121" s="68"/>
      <c r="KKG121" s="68"/>
      <c r="KKH121" s="68"/>
      <c r="KKI121" s="68"/>
      <c r="KKJ121" s="68"/>
      <c r="KKK121" s="68"/>
      <c r="KKL121" s="68"/>
      <c r="KKM121" s="68"/>
      <c r="KKN121" s="68"/>
      <c r="KKO121" s="68"/>
      <c r="KKP121" s="68"/>
      <c r="KKQ121" s="68"/>
      <c r="KKR121" s="68"/>
      <c r="KKS121" s="68"/>
      <c r="KKT121" s="68"/>
      <c r="KKU121" s="68"/>
      <c r="KKV121" s="68"/>
      <c r="KKW121" s="68"/>
      <c r="KKX121" s="68"/>
      <c r="KKY121" s="68"/>
      <c r="KKZ121" s="68"/>
      <c r="KLA121" s="68"/>
      <c r="KLB121" s="68"/>
      <c r="KLC121" s="68"/>
      <c r="KLD121" s="68"/>
      <c r="KLE121" s="68"/>
      <c r="KLF121" s="68"/>
      <c r="KLG121" s="68"/>
      <c r="KLH121" s="68"/>
      <c r="KLI121" s="68"/>
      <c r="KLJ121" s="68"/>
      <c r="KLK121" s="68"/>
      <c r="KLL121" s="68"/>
      <c r="KLM121" s="68"/>
      <c r="KLN121" s="68"/>
      <c r="KLO121" s="68"/>
      <c r="KLP121" s="68"/>
      <c r="KLQ121" s="68"/>
      <c r="KLR121" s="68"/>
      <c r="KLS121" s="68"/>
      <c r="KLT121" s="68"/>
      <c r="KLU121" s="68"/>
      <c r="KLV121" s="68"/>
      <c r="KLW121" s="68"/>
      <c r="KLX121" s="68"/>
      <c r="KLY121" s="68"/>
      <c r="KLZ121" s="68"/>
      <c r="KMA121" s="68"/>
      <c r="KMB121" s="68"/>
      <c r="KMC121" s="68"/>
      <c r="KMD121" s="68"/>
      <c r="KME121" s="68"/>
      <c r="KMF121" s="68"/>
      <c r="KMG121" s="68"/>
      <c r="KMH121" s="68"/>
      <c r="KMI121" s="68"/>
      <c r="KMJ121" s="68"/>
      <c r="KMK121" s="68"/>
      <c r="KML121" s="68"/>
      <c r="KMM121" s="68"/>
      <c r="KMN121" s="68"/>
      <c r="KMO121" s="68"/>
      <c r="KMP121" s="68"/>
      <c r="KMQ121" s="68"/>
      <c r="KMR121" s="68"/>
      <c r="KMS121" s="68"/>
      <c r="KMT121" s="68"/>
      <c r="KMU121" s="68"/>
      <c r="KMV121" s="68"/>
      <c r="KMW121" s="68"/>
      <c r="KMX121" s="68"/>
      <c r="KMY121" s="68"/>
      <c r="KMZ121" s="68"/>
      <c r="KNA121" s="68"/>
      <c r="KNB121" s="68"/>
      <c r="KNC121" s="68"/>
      <c r="KND121" s="68"/>
      <c r="KNE121" s="68"/>
      <c r="KNF121" s="68"/>
      <c r="KNG121" s="68"/>
      <c r="KNH121" s="68"/>
      <c r="KNI121" s="68"/>
      <c r="KNJ121" s="68"/>
      <c r="KNK121" s="68"/>
      <c r="KNL121" s="68"/>
      <c r="KNM121" s="68"/>
      <c r="KNN121" s="68"/>
      <c r="KNO121" s="68"/>
      <c r="KNP121" s="68"/>
      <c r="KNQ121" s="68"/>
      <c r="KNR121" s="68"/>
      <c r="KNS121" s="68"/>
      <c r="KNT121" s="68"/>
      <c r="KNU121" s="68"/>
      <c r="KNV121" s="68"/>
      <c r="KNW121" s="68"/>
      <c r="KNX121" s="68"/>
      <c r="KNY121" s="68"/>
      <c r="KNZ121" s="68"/>
      <c r="KOA121" s="68"/>
      <c r="KOB121" s="68"/>
      <c r="KOC121" s="68"/>
      <c r="KOD121" s="68"/>
      <c r="KOE121" s="68"/>
      <c r="KOF121" s="68"/>
      <c r="KOG121" s="68"/>
      <c r="KOH121" s="68"/>
      <c r="KOI121" s="68"/>
      <c r="KOJ121" s="68"/>
      <c r="KOK121" s="68"/>
      <c r="KOL121" s="68"/>
      <c r="KOM121" s="68"/>
      <c r="KON121" s="68"/>
      <c r="KOO121" s="68"/>
      <c r="KOP121" s="68"/>
      <c r="KOQ121" s="68"/>
      <c r="KOR121" s="68"/>
      <c r="KOS121" s="68"/>
      <c r="KOT121" s="68"/>
      <c r="KOU121" s="68"/>
      <c r="KOV121" s="68"/>
      <c r="KOW121" s="68"/>
      <c r="KOX121" s="68"/>
      <c r="KOY121" s="68"/>
      <c r="KOZ121" s="68"/>
      <c r="KPA121" s="68"/>
      <c r="KPB121" s="68"/>
      <c r="KPC121" s="68"/>
      <c r="KPD121" s="68"/>
      <c r="KPE121" s="68"/>
      <c r="KPF121" s="68"/>
      <c r="KPG121" s="68"/>
      <c r="KPH121" s="68"/>
      <c r="KPI121" s="68"/>
      <c r="KPJ121" s="68"/>
      <c r="KPK121" s="68"/>
      <c r="KPL121" s="68"/>
      <c r="KPM121" s="68"/>
      <c r="KPN121" s="68"/>
      <c r="KPO121" s="68"/>
      <c r="KPP121" s="68"/>
      <c r="KPQ121" s="68"/>
      <c r="KPR121" s="68"/>
      <c r="KPS121" s="68"/>
      <c r="KPT121" s="68"/>
      <c r="KPU121" s="68"/>
      <c r="KPV121" s="68"/>
      <c r="KPW121" s="68"/>
      <c r="KPX121" s="68"/>
      <c r="KPY121" s="68"/>
      <c r="KPZ121" s="68"/>
      <c r="KQA121" s="68"/>
      <c r="KQB121" s="68"/>
      <c r="KQC121" s="68"/>
      <c r="KQD121" s="68"/>
      <c r="KQE121" s="68"/>
      <c r="KQF121" s="68"/>
      <c r="KQG121" s="68"/>
      <c r="KQH121" s="68"/>
      <c r="KQI121" s="68"/>
      <c r="KQJ121" s="68"/>
      <c r="KQK121" s="68"/>
      <c r="KQL121" s="68"/>
      <c r="KQM121" s="68"/>
      <c r="KQN121" s="68"/>
      <c r="KQO121" s="68"/>
      <c r="KQP121" s="68"/>
      <c r="KQQ121" s="68"/>
      <c r="KQR121" s="68"/>
      <c r="KQS121" s="68"/>
      <c r="KQT121" s="68"/>
      <c r="KQU121" s="68"/>
      <c r="KQV121" s="68"/>
      <c r="KQW121" s="68"/>
      <c r="KQX121" s="68"/>
      <c r="KQY121" s="68"/>
      <c r="KQZ121" s="68"/>
      <c r="KRA121" s="68"/>
      <c r="KRB121" s="68"/>
      <c r="KRC121" s="68"/>
      <c r="KRD121" s="68"/>
      <c r="KRE121" s="68"/>
      <c r="KRF121" s="68"/>
      <c r="KRG121" s="68"/>
      <c r="KRH121" s="68"/>
      <c r="KRI121" s="68"/>
      <c r="KRJ121" s="68"/>
      <c r="KRK121" s="68"/>
      <c r="KRL121" s="68"/>
      <c r="KRM121" s="68"/>
      <c r="KRN121" s="68"/>
      <c r="KRO121" s="68"/>
      <c r="KRP121" s="68"/>
      <c r="KRQ121" s="68"/>
      <c r="KRR121" s="68"/>
      <c r="KRS121" s="68"/>
      <c r="KRT121" s="68"/>
      <c r="KRU121" s="68"/>
      <c r="KRV121" s="68"/>
      <c r="KRW121" s="68"/>
      <c r="KRX121" s="68"/>
      <c r="KRY121" s="68"/>
      <c r="KRZ121" s="68"/>
      <c r="KSA121" s="68"/>
      <c r="KSB121" s="68"/>
      <c r="KSC121" s="68"/>
      <c r="KSD121" s="68"/>
      <c r="KSE121" s="68"/>
      <c r="KSF121" s="68"/>
      <c r="KSG121" s="68"/>
      <c r="KSH121" s="68"/>
      <c r="KSI121" s="68"/>
      <c r="KSJ121" s="68"/>
      <c r="KSK121" s="68"/>
      <c r="KSL121" s="68"/>
      <c r="KSM121" s="68"/>
      <c r="KSN121" s="68"/>
      <c r="KSO121" s="68"/>
      <c r="KSP121" s="68"/>
      <c r="KSQ121" s="68"/>
      <c r="KSR121" s="68"/>
      <c r="KSS121" s="68"/>
      <c r="KST121" s="68"/>
      <c r="KSU121" s="68"/>
      <c r="KSV121" s="68"/>
      <c r="KSW121" s="68"/>
      <c r="KSX121" s="68"/>
      <c r="KSY121" s="68"/>
      <c r="KSZ121" s="68"/>
      <c r="KTA121" s="68"/>
      <c r="KTB121" s="68"/>
      <c r="KTC121" s="68"/>
      <c r="KTD121" s="68"/>
      <c r="KTE121" s="68"/>
      <c r="KTF121" s="68"/>
      <c r="KTG121" s="68"/>
      <c r="KTH121" s="68"/>
      <c r="KTI121" s="68"/>
      <c r="KTJ121" s="68"/>
      <c r="KTK121" s="68"/>
      <c r="KTL121" s="68"/>
      <c r="KTM121" s="68"/>
      <c r="KTN121" s="68"/>
      <c r="KTO121" s="68"/>
      <c r="KTP121" s="68"/>
      <c r="KTQ121" s="68"/>
      <c r="KTR121" s="68"/>
      <c r="KTS121" s="68"/>
      <c r="KTT121" s="68"/>
      <c r="KTU121" s="68"/>
      <c r="KTV121" s="68"/>
      <c r="KTW121" s="68"/>
      <c r="KTX121" s="68"/>
      <c r="KTY121" s="68"/>
      <c r="KTZ121" s="68"/>
      <c r="KUA121" s="68"/>
      <c r="KUB121" s="68"/>
      <c r="KUC121" s="68"/>
      <c r="KUD121" s="68"/>
      <c r="KUE121" s="68"/>
      <c r="KUF121" s="68"/>
      <c r="KUG121" s="68"/>
      <c r="KUH121" s="68"/>
      <c r="KUI121" s="68"/>
      <c r="KUJ121" s="68"/>
      <c r="KUK121" s="68"/>
      <c r="KUL121" s="68"/>
      <c r="KUM121" s="68"/>
      <c r="KUN121" s="68"/>
      <c r="KUO121" s="68"/>
      <c r="KUP121" s="68"/>
      <c r="KUQ121" s="68"/>
      <c r="KUR121" s="68"/>
      <c r="KUS121" s="68"/>
      <c r="KUT121" s="68"/>
      <c r="KUU121" s="68"/>
      <c r="KUV121" s="68"/>
      <c r="KUW121" s="68"/>
      <c r="KUX121" s="68"/>
      <c r="KUY121" s="68"/>
      <c r="KUZ121" s="68"/>
      <c r="KVA121" s="68"/>
      <c r="KVB121" s="68"/>
      <c r="KVC121" s="68"/>
      <c r="KVD121" s="68"/>
      <c r="KVE121" s="68"/>
      <c r="KVF121" s="68"/>
      <c r="KVG121" s="68"/>
      <c r="KVH121" s="68"/>
      <c r="KVI121" s="68"/>
      <c r="KVJ121" s="68"/>
      <c r="KVK121" s="68"/>
      <c r="KVL121" s="68"/>
      <c r="KVM121" s="68"/>
      <c r="KVN121" s="68"/>
      <c r="KVO121" s="68"/>
      <c r="KVP121" s="68"/>
      <c r="KVQ121" s="68"/>
      <c r="KVR121" s="68"/>
      <c r="KVS121" s="68"/>
      <c r="KVT121" s="68"/>
      <c r="KVU121" s="68"/>
      <c r="KVV121" s="68"/>
      <c r="KVW121" s="68"/>
      <c r="KVX121" s="68"/>
      <c r="KVY121" s="68"/>
      <c r="KVZ121" s="68"/>
      <c r="KWA121" s="68"/>
      <c r="KWB121" s="68"/>
      <c r="KWC121" s="68"/>
      <c r="KWD121" s="68"/>
      <c r="KWE121" s="68"/>
      <c r="KWF121" s="68"/>
      <c r="KWG121" s="68"/>
      <c r="KWH121" s="68"/>
      <c r="KWI121" s="68"/>
      <c r="KWJ121" s="68"/>
      <c r="KWK121" s="68"/>
      <c r="KWL121" s="68"/>
      <c r="KWM121" s="68"/>
      <c r="KWN121" s="68"/>
      <c r="KWO121" s="68"/>
      <c r="KWP121" s="68"/>
      <c r="KWQ121" s="68"/>
      <c r="KWR121" s="68"/>
      <c r="KWS121" s="68"/>
      <c r="KWT121" s="68"/>
      <c r="KWU121" s="68"/>
      <c r="KWV121" s="68"/>
      <c r="KWW121" s="68"/>
      <c r="KWX121" s="68"/>
      <c r="KWY121" s="68"/>
      <c r="KWZ121" s="68"/>
      <c r="KXA121" s="68"/>
      <c r="KXB121" s="68"/>
      <c r="KXC121" s="68"/>
      <c r="KXD121" s="68"/>
      <c r="KXE121" s="68"/>
      <c r="KXF121" s="68"/>
      <c r="KXG121" s="68"/>
      <c r="KXH121" s="68"/>
      <c r="KXI121" s="68"/>
      <c r="KXJ121" s="68"/>
      <c r="KXK121" s="68"/>
      <c r="KXL121" s="68"/>
      <c r="KXM121" s="68"/>
      <c r="KXN121" s="68"/>
      <c r="KXO121" s="68"/>
      <c r="KXP121" s="68"/>
      <c r="KXQ121" s="68"/>
      <c r="KXR121" s="68"/>
      <c r="KXS121" s="68"/>
      <c r="KXT121" s="68"/>
      <c r="KXU121" s="68"/>
      <c r="KXV121" s="68"/>
      <c r="KXW121" s="68"/>
      <c r="KXX121" s="68"/>
      <c r="KXY121" s="68"/>
      <c r="KXZ121" s="68"/>
      <c r="KYA121" s="68"/>
      <c r="KYB121" s="68"/>
      <c r="KYC121" s="68"/>
      <c r="KYD121" s="68"/>
      <c r="KYE121" s="68"/>
      <c r="KYF121" s="68"/>
      <c r="KYG121" s="68"/>
      <c r="KYH121" s="68"/>
      <c r="KYI121" s="68"/>
      <c r="KYJ121" s="68"/>
      <c r="KYK121" s="68"/>
      <c r="KYL121" s="68"/>
      <c r="KYM121" s="68"/>
      <c r="KYN121" s="68"/>
      <c r="KYO121" s="68"/>
      <c r="KYP121" s="68"/>
      <c r="KYQ121" s="68"/>
      <c r="KYR121" s="68"/>
      <c r="KYS121" s="68"/>
      <c r="KYT121" s="68"/>
      <c r="KYU121" s="68"/>
      <c r="KYV121" s="68"/>
      <c r="KYW121" s="68"/>
      <c r="KYX121" s="68"/>
      <c r="KYY121" s="68"/>
      <c r="KYZ121" s="68"/>
      <c r="KZA121" s="68"/>
      <c r="KZB121" s="68"/>
      <c r="KZC121" s="68"/>
      <c r="KZD121" s="68"/>
      <c r="KZE121" s="68"/>
      <c r="KZF121" s="68"/>
      <c r="KZG121" s="68"/>
      <c r="KZH121" s="68"/>
      <c r="KZI121" s="68"/>
      <c r="KZJ121" s="68"/>
      <c r="KZK121" s="68"/>
      <c r="KZL121" s="68"/>
      <c r="KZM121" s="68"/>
      <c r="KZN121" s="68"/>
      <c r="KZO121" s="68"/>
      <c r="KZP121" s="68"/>
      <c r="KZQ121" s="68"/>
      <c r="KZR121" s="68"/>
      <c r="KZS121" s="68"/>
      <c r="KZT121" s="68"/>
      <c r="KZU121" s="68"/>
      <c r="KZV121" s="68"/>
      <c r="KZW121" s="68"/>
      <c r="KZX121" s="68"/>
      <c r="KZY121" s="68"/>
      <c r="KZZ121" s="68"/>
      <c r="LAA121" s="68"/>
      <c r="LAB121" s="68"/>
      <c r="LAC121" s="68"/>
      <c r="LAD121" s="68"/>
      <c r="LAE121" s="68"/>
      <c r="LAF121" s="68"/>
      <c r="LAG121" s="68"/>
      <c r="LAH121" s="68"/>
      <c r="LAI121" s="68"/>
      <c r="LAJ121" s="68"/>
      <c r="LAK121" s="68"/>
      <c r="LAL121" s="68"/>
      <c r="LAM121" s="68"/>
      <c r="LAN121" s="68"/>
      <c r="LAO121" s="68"/>
      <c r="LAP121" s="68"/>
      <c r="LAQ121" s="68"/>
      <c r="LAR121" s="68"/>
      <c r="LAS121" s="68"/>
      <c r="LAT121" s="68"/>
      <c r="LAU121" s="68"/>
      <c r="LAV121" s="68"/>
      <c r="LAW121" s="68"/>
      <c r="LAX121" s="68"/>
      <c r="LAY121" s="68"/>
      <c r="LAZ121" s="68"/>
      <c r="LBA121" s="68"/>
      <c r="LBB121" s="68"/>
      <c r="LBC121" s="68"/>
      <c r="LBD121" s="68"/>
      <c r="LBE121" s="68"/>
      <c r="LBF121" s="68"/>
      <c r="LBG121" s="68"/>
      <c r="LBH121" s="68"/>
      <c r="LBI121" s="68"/>
      <c r="LBJ121" s="68"/>
      <c r="LBK121" s="68"/>
      <c r="LBL121" s="68"/>
      <c r="LBM121" s="68"/>
      <c r="LBN121" s="68"/>
      <c r="LBO121" s="68"/>
      <c r="LBP121" s="68"/>
      <c r="LBQ121" s="68"/>
      <c r="LBR121" s="68"/>
      <c r="LBS121" s="68"/>
      <c r="LBT121" s="68"/>
      <c r="LBU121" s="68"/>
      <c r="LBV121" s="68"/>
      <c r="LBW121" s="68"/>
      <c r="LBX121" s="68"/>
      <c r="LBY121" s="68"/>
      <c r="LBZ121" s="68"/>
      <c r="LCA121" s="68"/>
      <c r="LCB121" s="68"/>
      <c r="LCC121" s="68"/>
      <c r="LCD121" s="68"/>
      <c r="LCE121" s="68"/>
      <c r="LCF121" s="68"/>
      <c r="LCG121" s="68"/>
      <c r="LCH121" s="68"/>
      <c r="LCI121" s="68"/>
      <c r="LCJ121" s="68"/>
      <c r="LCK121" s="68"/>
      <c r="LCL121" s="68"/>
      <c r="LCM121" s="68"/>
      <c r="LCN121" s="68"/>
      <c r="LCO121" s="68"/>
      <c r="LCP121" s="68"/>
      <c r="LCQ121" s="68"/>
      <c r="LCR121" s="68"/>
      <c r="LCS121" s="68"/>
      <c r="LCT121" s="68"/>
      <c r="LCU121" s="68"/>
      <c r="LCV121" s="68"/>
      <c r="LCW121" s="68"/>
      <c r="LCX121" s="68"/>
      <c r="LCY121" s="68"/>
      <c r="LCZ121" s="68"/>
      <c r="LDA121" s="68"/>
      <c r="LDB121" s="68"/>
      <c r="LDC121" s="68"/>
      <c r="LDD121" s="68"/>
      <c r="LDE121" s="68"/>
      <c r="LDF121" s="68"/>
      <c r="LDG121" s="68"/>
      <c r="LDH121" s="68"/>
      <c r="LDI121" s="68"/>
      <c r="LDJ121" s="68"/>
      <c r="LDK121" s="68"/>
      <c r="LDL121" s="68"/>
      <c r="LDM121" s="68"/>
      <c r="LDN121" s="68"/>
      <c r="LDO121" s="68"/>
      <c r="LDP121" s="68"/>
      <c r="LDQ121" s="68"/>
      <c r="LDR121" s="68"/>
      <c r="LDS121" s="68"/>
      <c r="LDT121" s="68"/>
      <c r="LDU121" s="68"/>
      <c r="LDV121" s="68"/>
      <c r="LDW121" s="68"/>
      <c r="LDX121" s="68"/>
      <c r="LDY121" s="68"/>
      <c r="LDZ121" s="68"/>
      <c r="LEA121" s="68"/>
      <c r="LEB121" s="68"/>
      <c r="LEC121" s="68"/>
      <c r="LED121" s="68"/>
      <c r="LEE121" s="68"/>
      <c r="LEF121" s="68"/>
      <c r="LEG121" s="68"/>
      <c r="LEH121" s="68"/>
      <c r="LEI121" s="68"/>
      <c r="LEJ121" s="68"/>
      <c r="LEK121" s="68"/>
      <c r="LEL121" s="68"/>
      <c r="LEM121" s="68"/>
      <c r="LEN121" s="68"/>
      <c r="LEO121" s="68"/>
      <c r="LEP121" s="68"/>
      <c r="LEQ121" s="68"/>
      <c r="LER121" s="68"/>
      <c r="LES121" s="68"/>
      <c r="LET121" s="68"/>
      <c r="LEU121" s="68"/>
      <c r="LEV121" s="68"/>
      <c r="LEW121" s="68"/>
      <c r="LEX121" s="68"/>
      <c r="LEY121" s="68"/>
      <c r="LEZ121" s="68"/>
      <c r="LFA121" s="68"/>
      <c r="LFB121" s="68"/>
      <c r="LFC121" s="68"/>
      <c r="LFD121" s="68"/>
      <c r="LFE121" s="68"/>
      <c r="LFF121" s="68"/>
      <c r="LFG121" s="68"/>
      <c r="LFH121" s="68"/>
      <c r="LFI121" s="68"/>
      <c r="LFJ121" s="68"/>
      <c r="LFK121" s="68"/>
      <c r="LFL121" s="68"/>
      <c r="LFM121" s="68"/>
      <c r="LFN121" s="68"/>
      <c r="LFO121" s="68"/>
      <c r="LFP121" s="68"/>
      <c r="LFQ121" s="68"/>
      <c r="LFR121" s="68"/>
      <c r="LFS121" s="68"/>
      <c r="LFT121" s="68"/>
      <c r="LFU121" s="68"/>
      <c r="LFV121" s="68"/>
      <c r="LFW121" s="68"/>
      <c r="LFX121" s="68"/>
      <c r="LFY121" s="68"/>
      <c r="LFZ121" s="68"/>
      <c r="LGA121" s="68"/>
      <c r="LGB121" s="68"/>
      <c r="LGC121" s="68"/>
      <c r="LGD121" s="68"/>
      <c r="LGE121" s="68"/>
      <c r="LGF121" s="68"/>
      <c r="LGG121" s="68"/>
      <c r="LGH121" s="68"/>
      <c r="LGI121" s="68"/>
      <c r="LGJ121" s="68"/>
      <c r="LGK121" s="68"/>
      <c r="LGL121" s="68"/>
      <c r="LGM121" s="68"/>
      <c r="LGN121" s="68"/>
      <c r="LGO121" s="68"/>
      <c r="LGP121" s="68"/>
      <c r="LGQ121" s="68"/>
      <c r="LGR121" s="68"/>
      <c r="LGS121" s="68"/>
      <c r="LGT121" s="68"/>
      <c r="LGU121" s="68"/>
      <c r="LGV121" s="68"/>
      <c r="LGW121" s="68"/>
      <c r="LGX121" s="68"/>
      <c r="LGY121" s="68"/>
      <c r="LGZ121" s="68"/>
      <c r="LHA121" s="68"/>
      <c r="LHB121" s="68"/>
      <c r="LHC121" s="68"/>
      <c r="LHD121" s="68"/>
      <c r="LHE121" s="68"/>
      <c r="LHF121" s="68"/>
      <c r="LHG121" s="68"/>
      <c r="LHH121" s="68"/>
      <c r="LHI121" s="68"/>
      <c r="LHJ121" s="68"/>
      <c r="LHK121" s="68"/>
      <c r="LHL121" s="68"/>
      <c r="LHM121" s="68"/>
      <c r="LHN121" s="68"/>
      <c r="LHO121" s="68"/>
      <c r="LHP121" s="68"/>
      <c r="LHQ121" s="68"/>
      <c r="LHR121" s="68"/>
      <c r="LHS121" s="68"/>
      <c r="LHT121" s="68"/>
      <c r="LHU121" s="68"/>
      <c r="LHV121" s="68"/>
      <c r="LHW121" s="68"/>
      <c r="LHX121" s="68"/>
      <c r="LHY121" s="68"/>
      <c r="LHZ121" s="68"/>
      <c r="LIA121" s="68"/>
      <c r="LIB121" s="68"/>
      <c r="LIC121" s="68"/>
      <c r="LID121" s="68"/>
      <c r="LIE121" s="68"/>
      <c r="LIF121" s="68"/>
      <c r="LIG121" s="68"/>
      <c r="LIH121" s="68"/>
      <c r="LII121" s="68"/>
      <c r="LIJ121" s="68"/>
      <c r="LIK121" s="68"/>
      <c r="LIL121" s="68"/>
      <c r="LIM121" s="68"/>
      <c r="LIN121" s="68"/>
      <c r="LIO121" s="68"/>
      <c r="LIP121" s="68"/>
      <c r="LIQ121" s="68"/>
      <c r="LIR121" s="68"/>
      <c r="LIS121" s="68"/>
      <c r="LIT121" s="68"/>
      <c r="LIU121" s="68"/>
      <c r="LIV121" s="68"/>
      <c r="LIW121" s="68"/>
      <c r="LIX121" s="68"/>
      <c r="LIY121" s="68"/>
      <c r="LIZ121" s="68"/>
      <c r="LJA121" s="68"/>
      <c r="LJB121" s="68"/>
      <c r="LJC121" s="68"/>
      <c r="LJD121" s="68"/>
      <c r="LJE121" s="68"/>
      <c r="LJF121" s="68"/>
      <c r="LJG121" s="68"/>
      <c r="LJH121" s="68"/>
      <c r="LJI121" s="68"/>
      <c r="LJJ121" s="68"/>
      <c r="LJK121" s="68"/>
      <c r="LJL121" s="68"/>
      <c r="LJM121" s="68"/>
      <c r="LJN121" s="68"/>
      <c r="LJO121" s="68"/>
      <c r="LJP121" s="68"/>
      <c r="LJQ121" s="68"/>
      <c r="LJR121" s="68"/>
      <c r="LJS121" s="68"/>
      <c r="LJT121" s="68"/>
      <c r="LJU121" s="68"/>
      <c r="LJV121" s="68"/>
      <c r="LJW121" s="68"/>
      <c r="LJX121" s="68"/>
      <c r="LJY121" s="68"/>
      <c r="LJZ121" s="68"/>
      <c r="LKA121" s="68"/>
      <c r="LKB121" s="68"/>
      <c r="LKC121" s="68"/>
      <c r="LKD121" s="68"/>
      <c r="LKE121" s="68"/>
      <c r="LKF121" s="68"/>
      <c r="LKG121" s="68"/>
      <c r="LKH121" s="68"/>
      <c r="LKI121" s="68"/>
      <c r="LKJ121" s="68"/>
      <c r="LKK121" s="68"/>
      <c r="LKL121" s="68"/>
      <c r="LKM121" s="68"/>
      <c r="LKN121" s="68"/>
      <c r="LKO121" s="68"/>
      <c r="LKP121" s="68"/>
      <c r="LKQ121" s="68"/>
      <c r="LKR121" s="68"/>
      <c r="LKS121" s="68"/>
      <c r="LKT121" s="68"/>
      <c r="LKU121" s="68"/>
      <c r="LKV121" s="68"/>
      <c r="LKW121" s="68"/>
      <c r="LKX121" s="68"/>
      <c r="LKY121" s="68"/>
      <c r="LKZ121" s="68"/>
      <c r="LLA121" s="68"/>
      <c r="LLB121" s="68"/>
      <c r="LLC121" s="68"/>
      <c r="LLD121" s="68"/>
      <c r="LLE121" s="68"/>
      <c r="LLF121" s="68"/>
      <c r="LLG121" s="68"/>
      <c r="LLH121" s="68"/>
      <c r="LLI121" s="68"/>
      <c r="LLJ121" s="68"/>
      <c r="LLK121" s="68"/>
      <c r="LLL121" s="68"/>
      <c r="LLM121" s="68"/>
      <c r="LLN121" s="68"/>
      <c r="LLO121" s="68"/>
      <c r="LLP121" s="68"/>
      <c r="LLQ121" s="68"/>
      <c r="LLR121" s="68"/>
      <c r="LLS121" s="68"/>
      <c r="LLT121" s="68"/>
      <c r="LLU121" s="68"/>
      <c r="LLV121" s="68"/>
      <c r="LLW121" s="68"/>
      <c r="LLX121" s="68"/>
      <c r="LLY121" s="68"/>
      <c r="LLZ121" s="68"/>
      <c r="LMA121" s="68"/>
      <c r="LMB121" s="68"/>
      <c r="LMC121" s="68"/>
      <c r="LMD121" s="68"/>
      <c r="LME121" s="68"/>
      <c r="LMF121" s="68"/>
      <c r="LMG121" s="68"/>
      <c r="LMH121" s="68"/>
      <c r="LMI121" s="68"/>
      <c r="LMJ121" s="68"/>
      <c r="LMK121" s="68"/>
      <c r="LML121" s="68"/>
      <c r="LMM121" s="68"/>
      <c r="LMN121" s="68"/>
      <c r="LMO121" s="68"/>
      <c r="LMP121" s="68"/>
      <c r="LMQ121" s="68"/>
      <c r="LMR121" s="68"/>
      <c r="LMS121" s="68"/>
      <c r="LMT121" s="68"/>
      <c r="LMU121" s="68"/>
      <c r="LMV121" s="68"/>
      <c r="LMW121" s="68"/>
      <c r="LMX121" s="68"/>
      <c r="LMY121" s="68"/>
      <c r="LMZ121" s="68"/>
      <c r="LNA121" s="68"/>
      <c r="LNB121" s="68"/>
      <c r="LNC121" s="68"/>
      <c r="LND121" s="68"/>
      <c r="LNE121" s="68"/>
      <c r="LNF121" s="68"/>
      <c r="LNG121" s="68"/>
      <c r="LNH121" s="68"/>
      <c r="LNI121" s="68"/>
      <c r="LNJ121" s="68"/>
      <c r="LNK121" s="68"/>
      <c r="LNL121" s="68"/>
      <c r="LNM121" s="68"/>
      <c r="LNN121" s="68"/>
      <c r="LNO121" s="68"/>
      <c r="LNP121" s="68"/>
      <c r="LNQ121" s="68"/>
      <c r="LNR121" s="68"/>
      <c r="LNS121" s="68"/>
      <c r="LNT121" s="68"/>
      <c r="LNU121" s="68"/>
      <c r="LNV121" s="68"/>
      <c r="LNW121" s="68"/>
      <c r="LNX121" s="68"/>
      <c r="LNY121" s="68"/>
      <c r="LNZ121" s="68"/>
      <c r="LOA121" s="68"/>
      <c r="LOB121" s="68"/>
      <c r="LOC121" s="68"/>
      <c r="LOD121" s="68"/>
      <c r="LOE121" s="68"/>
      <c r="LOF121" s="68"/>
      <c r="LOG121" s="68"/>
      <c r="LOH121" s="68"/>
      <c r="LOI121" s="68"/>
      <c r="LOJ121" s="68"/>
      <c r="LOK121" s="68"/>
      <c r="LOL121" s="68"/>
      <c r="LOM121" s="68"/>
      <c r="LON121" s="68"/>
      <c r="LOO121" s="68"/>
      <c r="LOP121" s="68"/>
      <c r="LOQ121" s="68"/>
      <c r="LOR121" s="68"/>
      <c r="LOS121" s="68"/>
      <c r="LOT121" s="68"/>
      <c r="LOU121" s="68"/>
      <c r="LOV121" s="68"/>
      <c r="LOW121" s="68"/>
      <c r="LOX121" s="68"/>
      <c r="LOY121" s="68"/>
      <c r="LOZ121" s="68"/>
      <c r="LPA121" s="68"/>
      <c r="LPB121" s="68"/>
      <c r="LPC121" s="68"/>
      <c r="LPD121" s="68"/>
      <c r="LPE121" s="68"/>
      <c r="LPF121" s="68"/>
      <c r="LPG121" s="68"/>
      <c r="LPH121" s="68"/>
      <c r="LPI121" s="68"/>
      <c r="LPJ121" s="68"/>
      <c r="LPK121" s="68"/>
      <c r="LPL121" s="68"/>
      <c r="LPM121" s="68"/>
      <c r="LPN121" s="68"/>
      <c r="LPO121" s="68"/>
      <c r="LPP121" s="68"/>
      <c r="LPQ121" s="68"/>
      <c r="LPR121" s="68"/>
      <c r="LPS121" s="68"/>
      <c r="LPT121" s="68"/>
      <c r="LPU121" s="68"/>
      <c r="LPV121" s="68"/>
      <c r="LPW121" s="68"/>
      <c r="LPX121" s="68"/>
      <c r="LPY121" s="68"/>
      <c r="LPZ121" s="68"/>
      <c r="LQA121" s="68"/>
      <c r="LQB121" s="68"/>
      <c r="LQC121" s="68"/>
      <c r="LQD121" s="68"/>
      <c r="LQE121" s="68"/>
      <c r="LQF121" s="68"/>
      <c r="LQG121" s="68"/>
      <c r="LQH121" s="68"/>
      <c r="LQI121" s="68"/>
      <c r="LQJ121" s="68"/>
      <c r="LQK121" s="68"/>
      <c r="LQL121" s="68"/>
      <c r="LQM121" s="68"/>
      <c r="LQN121" s="68"/>
      <c r="LQO121" s="68"/>
      <c r="LQP121" s="68"/>
      <c r="LQQ121" s="68"/>
      <c r="LQR121" s="68"/>
      <c r="LQS121" s="68"/>
      <c r="LQT121" s="68"/>
      <c r="LQU121" s="68"/>
      <c r="LQV121" s="68"/>
      <c r="LQW121" s="68"/>
      <c r="LQX121" s="68"/>
      <c r="LQY121" s="68"/>
      <c r="LQZ121" s="68"/>
      <c r="LRA121" s="68"/>
      <c r="LRB121" s="68"/>
      <c r="LRC121" s="68"/>
      <c r="LRD121" s="68"/>
      <c r="LRE121" s="68"/>
      <c r="LRF121" s="68"/>
      <c r="LRG121" s="68"/>
      <c r="LRH121" s="68"/>
      <c r="LRI121" s="68"/>
      <c r="LRJ121" s="68"/>
      <c r="LRK121" s="68"/>
      <c r="LRL121" s="68"/>
      <c r="LRM121" s="68"/>
      <c r="LRN121" s="68"/>
      <c r="LRO121" s="68"/>
      <c r="LRP121" s="68"/>
      <c r="LRQ121" s="68"/>
      <c r="LRR121" s="68"/>
      <c r="LRS121" s="68"/>
      <c r="LRT121" s="68"/>
      <c r="LRU121" s="68"/>
      <c r="LRV121" s="68"/>
      <c r="LRW121" s="68"/>
      <c r="LRX121" s="68"/>
      <c r="LRY121" s="68"/>
      <c r="LRZ121" s="68"/>
      <c r="LSA121" s="68"/>
      <c r="LSB121" s="68"/>
      <c r="LSC121" s="68"/>
      <c r="LSD121" s="68"/>
      <c r="LSE121" s="68"/>
      <c r="LSF121" s="68"/>
      <c r="LSG121" s="68"/>
      <c r="LSH121" s="68"/>
      <c r="LSI121" s="68"/>
      <c r="LSJ121" s="68"/>
      <c r="LSK121" s="68"/>
      <c r="LSL121" s="68"/>
      <c r="LSM121" s="68"/>
      <c r="LSN121" s="68"/>
      <c r="LSO121" s="68"/>
      <c r="LSP121" s="68"/>
      <c r="LSQ121" s="68"/>
      <c r="LSR121" s="68"/>
      <c r="LSS121" s="68"/>
      <c r="LST121" s="68"/>
      <c r="LSU121" s="68"/>
      <c r="LSV121" s="68"/>
      <c r="LSW121" s="68"/>
      <c r="LSX121" s="68"/>
      <c r="LSY121" s="68"/>
      <c r="LSZ121" s="68"/>
      <c r="LTA121" s="68"/>
      <c r="LTB121" s="68"/>
      <c r="LTC121" s="68"/>
      <c r="LTD121" s="68"/>
      <c r="LTE121" s="68"/>
      <c r="LTF121" s="68"/>
      <c r="LTG121" s="68"/>
      <c r="LTH121" s="68"/>
      <c r="LTI121" s="68"/>
      <c r="LTJ121" s="68"/>
      <c r="LTK121" s="68"/>
      <c r="LTL121" s="68"/>
      <c r="LTM121" s="68"/>
      <c r="LTN121" s="68"/>
      <c r="LTO121" s="68"/>
      <c r="LTP121" s="68"/>
      <c r="LTQ121" s="68"/>
      <c r="LTR121" s="68"/>
      <c r="LTS121" s="68"/>
      <c r="LTT121" s="68"/>
      <c r="LTU121" s="68"/>
      <c r="LTV121" s="68"/>
      <c r="LTW121" s="68"/>
      <c r="LTX121" s="68"/>
      <c r="LTY121" s="68"/>
      <c r="LTZ121" s="68"/>
      <c r="LUA121" s="68"/>
      <c r="LUB121" s="68"/>
      <c r="LUC121" s="68"/>
      <c r="LUD121" s="68"/>
      <c r="LUE121" s="68"/>
      <c r="LUF121" s="68"/>
      <c r="LUG121" s="68"/>
      <c r="LUH121" s="68"/>
      <c r="LUI121" s="68"/>
      <c r="LUJ121" s="68"/>
      <c r="LUK121" s="68"/>
      <c r="LUL121" s="68"/>
      <c r="LUM121" s="68"/>
      <c r="LUN121" s="68"/>
      <c r="LUO121" s="68"/>
      <c r="LUP121" s="68"/>
      <c r="LUQ121" s="68"/>
      <c r="LUR121" s="68"/>
      <c r="LUS121" s="68"/>
      <c r="LUT121" s="68"/>
      <c r="LUU121" s="68"/>
      <c r="LUV121" s="68"/>
      <c r="LUW121" s="68"/>
      <c r="LUX121" s="68"/>
      <c r="LUY121" s="68"/>
      <c r="LUZ121" s="68"/>
      <c r="LVA121" s="68"/>
      <c r="LVB121" s="68"/>
      <c r="LVC121" s="68"/>
      <c r="LVD121" s="68"/>
      <c r="LVE121" s="68"/>
      <c r="LVF121" s="68"/>
      <c r="LVG121" s="68"/>
      <c r="LVH121" s="68"/>
      <c r="LVI121" s="68"/>
      <c r="LVJ121" s="68"/>
      <c r="LVK121" s="68"/>
      <c r="LVL121" s="68"/>
      <c r="LVM121" s="68"/>
      <c r="LVN121" s="68"/>
      <c r="LVO121" s="68"/>
      <c r="LVP121" s="68"/>
      <c r="LVQ121" s="68"/>
      <c r="LVR121" s="68"/>
      <c r="LVS121" s="68"/>
      <c r="LVT121" s="68"/>
      <c r="LVU121" s="68"/>
      <c r="LVV121" s="68"/>
      <c r="LVW121" s="68"/>
      <c r="LVX121" s="68"/>
      <c r="LVY121" s="68"/>
      <c r="LVZ121" s="68"/>
      <c r="LWA121" s="68"/>
      <c r="LWB121" s="68"/>
      <c r="LWC121" s="68"/>
      <c r="LWD121" s="68"/>
      <c r="LWE121" s="68"/>
      <c r="LWF121" s="68"/>
      <c r="LWG121" s="68"/>
      <c r="LWH121" s="68"/>
      <c r="LWI121" s="68"/>
      <c r="LWJ121" s="68"/>
      <c r="LWK121" s="68"/>
      <c r="LWL121" s="68"/>
      <c r="LWM121" s="68"/>
      <c r="LWN121" s="68"/>
      <c r="LWO121" s="68"/>
      <c r="LWP121" s="68"/>
      <c r="LWQ121" s="68"/>
      <c r="LWR121" s="68"/>
      <c r="LWS121" s="68"/>
      <c r="LWT121" s="68"/>
      <c r="LWU121" s="68"/>
      <c r="LWV121" s="68"/>
      <c r="LWW121" s="68"/>
      <c r="LWX121" s="68"/>
      <c r="LWY121" s="68"/>
      <c r="LWZ121" s="68"/>
      <c r="LXA121" s="68"/>
      <c r="LXB121" s="68"/>
      <c r="LXC121" s="68"/>
      <c r="LXD121" s="68"/>
      <c r="LXE121" s="68"/>
      <c r="LXF121" s="68"/>
      <c r="LXG121" s="68"/>
      <c r="LXH121" s="68"/>
      <c r="LXI121" s="68"/>
      <c r="LXJ121" s="68"/>
      <c r="LXK121" s="68"/>
      <c r="LXL121" s="68"/>
      <c r="LXM121" s="68"/>
      <c r="LXN121" s="68"/>
      <c r="LXO121" s="68"/>
      <c r="LXP121" s="68"/>
      <c r="LXQ121" s="68"/>
      <c r="LXR121" s="68"/>
      <c r="LXS121" s="68"/>
      <c r="LXT121" s="68"/>
      <c r="LXU121" s="68"/>
      <c r="LXV121" s="68"/>
      <c r="LXW121" s="68"/>
      <c r="LXX121" s="68"/>
      <c r="LXY121" s="68"/>
      <c r="LXZ121" s="68"/>
      <c r="LYA121" s="68"/>
      <c r="LYB121" s="68"/>
      <c r="LYC121" s="68"/>
      <c r="LYD121" s="68"/>
      <c r="LYE121" s="68"/>
      <c r="LYF121" s="68"/>
      <c r="LYG121" s="68"/>
      <c r="LYH121" s="68"/>
      <c r="LYI121" s="68"/>
      <c r="LYJ121" s="68"/>
      <c r="LYK121" s="68"/>
      <c r="LYL121" s="68"/>
      <c r="LYM121" s="68"/>
      <c r="LYN121" s="68"/>
      <c r="LYO121" s="68"/>
      <c r="LYP121" s="68"/>
      <c r="LYQ121" s="68"/>
      <c r="LYR121" s="68"/>
      <c r="LYS121" s="68"/>
      <c r="LYT121" s="68"/>
      <c r="LYU121" s="68"/>
      <c r="LYV121" s="68"/>
      <c r="LYW121" s="68"/>
      <c r="LYX121" s="68"/>
      <c r="LYY121" s="68"/>
      <c r="LYZ121" s="68"/>
      <c r="LZA121" s="68"/>
      <c r="LZB121" s="68"/>
      <c r="LZC121" s="68"/>
      <c r="LZD121" s="68"/>
      <c r="LZE121" s="68"/>
      <c r="LZF121" s="68"/>
      <c r="LZG121" s="68"/>
      <c r="LZH121" s="68"/>
      <c r="LZI121" s="68"/>
      <c r="LZJ121" s="68"/>
      <c r="LZK121" s="68"/>
      <c r="LZL121" s="68"/>
      <c r="LZM121" s="68"/>
      <c r="LZN121" s="68"/>
      <c r="LZO121" s="68"/>
      <c r="LZP121" s="68"/>
      <c r="LZQ121" s="68"/>
      <c r="LZR121" s="68"/>
      <c r="LZS121" s="68"/>
      <c r="LZT121" s="68"/>
      <c r="LZU121" s="68"/>
      <c r="LZV121" s="68"/>
      <c r="LZW121" s="68"/>
      <c r="LZX121" s="68"/>
      <c r="LZY121" s="68"/>
      <c r="LZZ121" s="68"/>
      <c r="MAA121" s="68"/>
      <c r="MAB121" s="68"/>
      <c r="MAC121" s="68"/>
      <c r="MAD121" s="68"/>
      <c r="MAE121" s="68"/>
      <c r="MAF121" s="68"/>
      <c r="MAG121" s="68"/>
      <c r="MAH121" s="68"/>
      <c r="MAI121" s="68"/>
      <c r="MAJ121" s="68"/>
      <c r="MAK121" s="68"/>
      <c r="MAL121" s="68"/>
      <c r="MAM121" s="68"/>
      <c r="MAN121" s="68"/>
      <c r="MAO121" s="68"/>
      <c r="MAP121" s="68"/>
      <c r="MAQ121" s="68"/>
      <c r="MAR121" s="68"/>
      <c r="MAS121" s="68"/>
      <c r="MAT121" s="68"/>
      <c r="MAU121" s="68"/>
      <c r="MAV121" s="68"/>
      <c r="MAW121" s="68"/>
      <c r="MAX121" s="68"/>
      <c r="MAY121" s="68"/>
      <c r="MAZ121" s="68"/>
      <c r="MBA121" s="68"/>
      <c r="MBB121" s="68"/>
      <c r="MBC121" s="68"/>
      <c r="MBD121" s="68"/>
      <c r="MBE121" s="68"/>
      <c r="MBF121" s="68"/>
      <c r="MBG121" s="68"/>
      <c r="MBH121" s="68"/>
      <c r="MBI121" s="68"/>
      <c r="MBJ121" s="68"/>
      <c r="MBK121" s="68"/>
      <c r="MBL121" s="68"/>
      <c r="MBM121" s="68"/>
      <c r="MBN121" s="68"/>
      <c r="MBO121" s="68"/>
      <c r="MBP121" s="68"/>
      <c r="MBQ121" s="68"/>
      <c r="MBR121" s="68"/>
      <c r="MBS121" s="68"/>
      <c r="MBT121" s="68"/>
      <c r="MBU121" s="68"/>
      <c r="MBV121" s="68"/>
      <c r="MBW121" s="68"/>
      <c r="MBX121" s="68"/>
      <c r="MBY121" s="68"/>
      <c r="MBZ121" s="68"/>
      <c r="MCA121" s="68"/>
      <c r="MCB121" s="68"/>
      <c r="MCC121" s="68"/>
      <c r="MCD121" s="68"/>
      <c r="MCE121" s="68"/>
      <c r="MCF121" s="68"/>
      <c r="MCG121" s="68"/>
      <c r="MCH121" s="68"/>
      <c r="MCI121" s="68"/>
      <c r="MCJ121" s="68"/>
      <c r="MCK121" s="68"/>
      <c r="MCL121" s="68"/>
      <c r="MCM121" s="68"/>
      <c r="MCN121" s="68"/>
      <c r="MCO121" s="68"/>
      <c r="MCP121" s="68"/>
      <c r="MCQ121" s="68"/>
      <c r="MCR121" s="68"/>
      <c r="MCS121" s="68"/>
      <c r="MCT121" s="68"/>
      <c r="MCU121" s="68"/>
      <c r="MCV121" s="68"/>
      <c r="MCW121" s="68"/>
      <c r="MCX121" s="68"/>
      <c r="MCY121" s="68"/>
      <c r="MCZ121" s="68"/>
      <c r="MDA121" s="68"/>
      <c r="MDB121" s="68"/>
      <c r="MDC121" s="68"/>
      <c r="MDD121" s="68"/>
      <c r="MDE121" s="68"/>
      <c r="MDF121" s="68"/>
      <c r="MDG121" s="68"/>
      <c r="MDH121" s="68"/>
      <c r="MDI121" s="68"/>
      <c r="MDJ121" s="68"/>
      <c r="MDK121" s="68"/>
      <c r="MDL121" s="68"/>
      <c r="MDM121" s="68"/>
      <c r="MDN121" s="68"/>
      <c r="MDO121" s="68"/>
      <c r="MDP121" s="68"/>
      <c r="MDQ121" s="68"/>
      <c r="MDR121" s="68"/>
      <c r="MDS121" s="68"/>
      <c r="MDT121" s="68"/>
      <c r="MDU121" s="68"/>
      <c r="MDV121" s="68"/>
      <c r="MDW121" s="68"/>
      <c r="MDX121" s="68"/>
      <c r="MDY121" s="68"/>
      <c r="MDZ121" s="68"/>
      <c r="MEA121" s="68"/>
      <c r="MEB121" s="68"/>
      <c r="MEC121" s="68"/>
      <c r="MED121" s="68"/>
      <c r="MEE121" s="68"/>
      <c r="MEF121" s="68"/>
      <c r="MEG121" s="68"/>
      <c r="MEH121" s="68"/>
      <c r="MEI121" s="68"/>
      <c r="MEJ121" s="68"/>
      <c r="MEK121" s="68"/>
      <c r="MEL121" s="68"/>
      <c r="MEM121" s="68"/>
      <c r="MEN121" s="68"/>
      <c r="MEO121" s="68"/>
      <c r="MEP121" s="68"/>
      <c r="MEQ121" s="68"/>
      <c r="MER121" s="68"/>
      <c r="MES121" s="68"/>
      <c r="MET121" s="68"/>
      <c r="MEU121" s="68"/>
      <c r="MEV121" s="68"/>
      <c r="MEW121" s="68"/>
      <c r="MEX121" s="68"/>
      <c r="MEY121" s="68"/>
      <c r="MEZ121" s="68"/>
      <c r="MFA121" s="68"/>
      <c r="MFB121" s="68"/>
      <c r="MFC121" s="68"/>
      <c r="MFD121" s="68"/>
      <c r="MFE121" s="68"/>
      <c r="MFF121" s="68"/>
      <c r="MFG121" s="68"/>
      <c r="MFH121" s="68"/>
      <c r="MFI121" s="68"/>
      <c r="MFJ121" s="68"/>
      <c r="MFK121" s="68"/>
      <c r="MFL121" s="68"/>
      <c r="MFM121" s="68"/>
      <c r="MFN121" s="68"/>
      <c r="MFO121" s="68"/>
      <c r="MFP121" s="68"/>
      <c r="MFQ121" s="68"/>
      <c r="MFR121" s="68"/>
      <c r="MFS121" s="68"/>
      <c r="MFT121" s="68"/>
      <c r="MFU121" s="68"/>
      <c r="MFV121" s="68"/>
      <c r="MFW121" s="68"/>
      <c r="MFX121" s="68"/>
      <c r="MFY121" s="68"/>
      <c r="MFZ121" s="68"/>
      <c r="MGA121" s="68"/>
      <c r="MGB121" s="68"/>
      <c r="MGC121" s="68"/>
      <c r="MGD121" s="68"/>
      <c r="MGE121" s="68"/>
      <c r="MGF121" s="68"/>
      <c r="MGG121" s="68"/>
      <c r="MGH121" s="68"/>
      <c r="MGI121" s="68"/>
      <c r="MGJ121" s="68"/>
      <c r="MGK121" s="68"/>
      <c r="MGL121" s="68"/>
      <c r="MGM121" s="68"/>
      <c r="MGN121" s="68"/>
      <c r="MGO121" s="68"/>
      <c r="MGP121" s="68"/>
      <c r="MGQ121" s="68"/>
      <c r="MGR121" s="68"/>
      <c r="MGS121" s="68"/>
      <c r="MGT121" s="68"/>
      <c r="MGU121" s="68"/>
      <c r="MGV121" s="68"/>
      <c r="MGW121" s="68"/>
      <c r="MGX121" s="68"/>
      <c r="MGY121" s="68"/>
      <c r="MGZ121" s="68"/>
      <c r="MHA121" s="68"/>
      <c r="MHB121" s="68"/>
      <c r="MHC121" s="68"/>
      <c r="MHD121" s="68"/>
      <c r="MHE121" s="68"/>
      <c r="MHF121" s="68"/>
      <c r="MHG121" s="68"/>
      <c r="MHH121" s="68"/>
      <c r="MHI121" s="68"/>
      <c r="MHJ121" s="68"/>
      <c r="MHK121" s="68"/>
      <c r="MHL121" s="68"/>
      <c r="MHM121" s="68"/>
      <c r="MHN121" s="68"/>
      <c r="MHO121" s="68"/>
      <c r="MHP121" s="68"/>
      <c r="MHQ121" s="68"/>
      <c r="MHR121" s="68"/>
      <c r="MHS121" s="68"/>
      <c r="MHT121" s="68"/>
      <c r="MHU121" s="68"/>
      <c r="MHV121" s="68"/>
      <c r="MHW121" s="68"/>
      <c r="MHX121" s="68"/>
      <c r="MHY121" s="68"/>
      <c r="MHZ121" s="68"/>
      <c r="MIA121" s="68"/>
      <c r="MIB121" s="68"/>
      <c r="MIC121" s="68"/>
      <c r="MID121" s="68"/>
      <c r="MIE121" s="68"/>
      <c r="MIF121" s="68"/>
      <c r="MIG121" s="68"/>
      <c r="MIH121" s="68"/>
      <c r="MII121" s="68"/>
      <c r="MIJ121" s="68"/>
      <c r="MIK121" s="68"/>
      <c r="MIL121" s="68"/>
      <c r="MIM121" s="68"/>
      <c r="MIN121" s="68"/>
      <c r="MIO121" s="68"/>
      <c r="MIP121" s="68"/>
      <c r="MIQ121" s="68"/>
      <c r="MIR121" s="68"/>
      <c r="MIS121" s="68"/>
      <c r="MIT121" s="68"/>
      <c r="MIU121" s="68"/>
      <c r="MIV121" s="68"/>
      <c r="MIW121" s="68"/>
      <c r="MIX121" s="68"/>
      <c r="MIY121" s="68"/>
      <c r="MIZ121" s="68"/>
      <c r="MJA121" s="68"/>
      <c r="MJB121" s="68"/>
      <c r="MJC121" s="68"/>
      <c r="MJD121" s="68"/>
      <c r="MJE121" s="68"/>
      <c r="MJF121" s="68"/>
      <c r="MJG121" s="68"/>
      <c r="MJH121" s="68"/>
      <c r="MJI121" s="68"/>
      <c r="MJJ121" s="68"/>
      <c r="MJK121" s="68"/>
      <c r="MJL121" s="68"/>
      <c r="MJM121" s="68"/>
      <c r="MJN121" s="68"/>
      <c r="MJO121" s="68"/>
      <c r="MJP121" s="68"/>
      <c r="MJQ121" s="68"/>
      <c r="MJR121" s="68"/>
      <c r="MJS121" s="68"/>
      <c r="MJT121" s="68"/>
      <c r="MJU121" s="68"/>
      <c r="MJV121" s="68"/>
      <c r="MJW121" s="68"/>
      <c r="MJX121" s="68"/>
      <c r="MJY121" s="68"/>
      <c r="MJZ121" s="68"/>
      <c r="MKA121" s="68"/>
      <c r="MKB121" s="68"/>
      <c r="MKC121" s="68"/>
      <c r="MKD121" s="68"/>
      <c r="MKE121" s="68"/>
      <c r="MKF121" s="68"/>
      <c r="MKG121" s="68"/>
      <c r="MKH121" s="68"/>
      <c r="MKI121" s="68"/>
      <c r="MKJ121" s="68"/>
      <c r="MKK121" s="68"/>
      <c r="MKL121" s="68"/>
      <c r="MKM121" s="68"/>
      <c r="MKN121" s="68"/>
      <c r="MKO121" s="68"/>
      <c r="MKP121" s="68"/>
      <c r="MKQ121" s="68"/>
      <c r="MKR121" s="68"/>
      <c r="MKS121" s="68"/>
      <c r="MKT121" s="68"/>
      <c r="MKU121" s="68"/>
      <c r="MKV121" s="68"/>
      <c r="MKW121" s="68"/>
      <c r="MKX121" s="68"/>
      <c r="MKY121" s="68"/>
      <c r="MKZ121" s="68"/>
      <c r="MLA121" s="68"/>
      <c r="MLB121" s="68"/>
      <c r="MLC121" s="68"/>
      <c r="MLD121" s="68"/>
      <c r="MLE121" s="68"/>
      <c r="MLF121" s="68"/>
      <c r="MLG121" s="68"/>
      <c r="MLH121" s="68"/>
      <c r="MLI121" s="68"/>
      <c r="MLJ121" s="68"/>
      <c r="MLK121" s="68"/>
      <c r="MLL121" s="68"/>
      <c r="MLM121" s="68"/>
      <c r="MLN121" s="68"/>
      <c r="MLO121" s="68"/>
      <c r="MLP121" s="68"/>
      <c r="MLQ121" s="68"/>
      <c r="MLR121" s="68"/>
      <c r="MLS121" s="68"/>
      <c r="MLT121" s="68"/>
      <c r="MLU121" s="68"/>
      <c r="MLV121" s="68"/>
      <c r="MLW121" s="68"/>
      <c r="MLX121" s="68"/>
      <c r="MLY121" s="68"/>
      <c r="MLZ121" s="68"/>
      <c r="MMA121" s="68"/>
      <c r="MMB121" s="68"/>
      <c r="MMC121" s="68"/>
      <c r="MMD121" s="68"/>
      <c r="MME121" s="68"/>
      <c r="MMF121" s="68"/>
      <c r="MMG121" s="68"/>
      <c r="MMH121" s="68"/>
      <c r="MMI121" s="68"/>
      <c r="MMJ121" s="68"/>
      <c r="MMK121" s="68"/>
      <c r="MML121" s="68"/>
      <c r="MMM121" s="68"/>
      <c r="MMN121" s="68"/>
      <c r="MMO121" s="68"/>
      <c r="MMP121" s="68"/>
      <c r="MMQ121" s="68"/>
      <c r="MMR121" s="68"/>
      <c r="MMS121" s="68"/>
      <c r="MMT121" s="68"/>
      <c r="MMU121" s="68"/>
      <c r="MMV121" s="68"/>
      <c r="MMW121" s="68"/>
      <c r="MMX121" s="68"/>
      <c r="MMY121" s="68"/>
      <c r="MMZ121" s="68"/>
      <c r="MNA121" s="68"/>
      <c r="MNB121" s="68"/>
      <c r="MNC121" s="68"/>
      <c r="MND121" s="68"/>
      <c r="MNE121" s="68"/>
      <c r="MNF121" s="68"/>
      <c r="MNG121" s="68"/>
      <c r="MNH121" s="68"/>
      <c r="MNI121" s="68"/>
      <c r="MNJ121" s="68"/>
      <c r="MNK121" s="68"/>
      <c r="MNL121" s="68"/>
      <c r="MNM121" s="68"/>
      <c r="MNN121" s="68"/>
      <c r="MNO121" s="68"/>
      <c r="MNP121" s="68"/>
      <c r="MNQ121" s="68"/>
      <c r="MNR121" s="68"/>
      <c r="MNS121" s="68"/>
      <c r="MNT121" s="68"/>
      <c r="MNU121" s="68"/>
      <c r="MNV121" s="68"/>
      <c r="MNW121" s="68"/>
      <c r="MNX121" s="68"/>
      <c r="MNY121" s="68"/>
      <c r="MNZ121" s="68"/>
      <c r="MOA121" s="68"/>
      <c r="MOB121" s="68"/>
      <c r="MOC121" s="68"/>
      <c r="MOD121" s="68"/>
      <c r="MOE121" s="68"/>
      <c r="MOF121" s="68"/>
      <c r="MOG121" s="68"/>
      <c r="MOH121" s="68"/>
      <c r="MOI121" s="68"/>
      <c r="MOJ121" s="68"/>
      <c r="MOK121" s="68"/>
      <c r="MOL121" s="68"/>
      <c r="MOM121" s="68"/>
      <c r="MON121" s="68"/>
      <c r="MOO121" s="68"/>
      <c r="MOP121" s="68"/>
      <c r="MOQ121" s="68"/>
      <c r="MOR121" s="68"/>
      <c r="MOS121" s="68"/>
      <c r="MOT121" s="68"/>
      <c r="MOU121" s="68"/>
      <c r="MOV121" s="68"/>
      <c r="MOW121" s="68"/>
      <c r="MOX121" s="68"/>
      <c r="MOY121" s="68"/>
      <c r="MOZ121" s="68"/>
      <c r="MPA121" s="68"/>
      <c r="MPB121" s="68"/>
      <c r="MPC121" s="68"/>
      <c r="MPD121" s="68"/>
      <c r="MPE121" s="68"/>
      <c r="MPF121" s="68"/>
      <c r="MPG121" s="68"/>
      <c r="MPH121" s="68"/>
      <c r="MPI121" s="68"/>
      <c r="MPJ121" s="68"/>
      <c r="MPK121" s="68"/>
      <c r="MPL121" s="68"/>
      <c r="MPM121" s="68"/>
      <c r="MPN121" s="68"/>
      <c r="MPO121" s="68"/>
      <c r="MPP121" s="68"/>
      <c r="MPQ121" s="68"/>
      <c r="MPR121" s="68"/>
      <c r="MPS121" s="68"/>
      <c r="MPT121" s="68"/>
      <c r="MPU121" s="68"/>
      <c r="MPV121" s="68"/>
      <c r="MPW121" s="68"/>
      <c r="MPX121" s="68"/>
      <c r="MPY121" s="68"/>
      <c r="MPZ121" s="68"/>
      <c r="MQA121" s="68"/>
      <c r="MQB121" s="68"/>
      <c r="MQC121" s="68"/>
      <c r="MQD121" s="68"/>
      <c r="MQE121" s="68"/>
      <c r="MQF121" s="68"/>
      <c r="MQG121" s="68"/>
      <c r="MQH121" s="68"/>
      <c r="MQI121" s="68"/>
      <c r="MQJ121" s="68"/>
      <c r="MQK121" s="68"/>
      <c r="MQL121" s="68"/>
      <c r="MQM121" s="68"/>
      <c r="MQN121" s="68"/>
      <c r="MQO121" s="68"/>
      <c r="MQP121" s="68"/>
      <c r="MQQ121" s="68"/>
      <c r="MQR121" s="68"/>
      <c r="MQS121" s="68"/>
      <c r="MQT121" s="68"/>
      <c r="MQU121" s="68"/>
      <c r="MQV121" s="68"/>
      <c r="MQW121" s="68"/>
      <c r="MQX121" s="68"/>
      <c r="MQY121" s="68"/>
      <c r="MQZ121" s="68"/>
      <c r="MRA121" s="68"/>
      <c r="MRB121" s="68"/>
      <c r="MRC121" s="68"/>
      <c r="MRD121" s="68"/>
      <c r="MRE121" s="68"/>
      <c r="MRF121" s="68"/>
      <c r="MRG121" s="68"/>
      <c r="MRH121" s="68"/>
      <c r="MRI121" s="68"/>
      <c r="MRJ121" s="68"/>
      <c r="MRK121" s="68"/>
      <c r="MRL121" s="68"/>
      <c r="MRM121" s="68"/>
      <c r="MRN121" s="68"/>
      <c r="MRO121" s="68"/>
      <c r="MRP121" s="68"/>
      <c r="MRQ121" s="68"/>
      <c r="MRR121" s="68"/>
      <c r="MRS121" s="68"/>
      <c r="MRT121" s="68"/>
      <c r="MRU121" s="68"/>
      <c r="MRV121" s="68"/>
      <c r="MRW121" s="68"/>
      <c r="MRX121" s="68"/>
      <c r="MRY121" s="68"/>
      <c r="MRZ121" s="68"/>
      <c r="MSA121" s="68"/>
      <c r="MSB121" s="68"/>
      <c r="MSC121" s="68"/>
      <c r="MSD121" s="68"/>
      <c r="MSE121" s="68"/>
      <c r="MSF121" s="68"/>
      <c r="MSG121" s="68"/>
      <c r="MSH121" s="68"/>
      <c r="MSI121" s="68"/>
      <c r="MSJ121" s="68"/>
      <c r="MSK121" s="68"/>
      <c r="MSL121" s="68"/>
      <c r="MSM121" s="68"/>
      <c r="MSN121" s="68"/>
      <c r="MSO121" s="68"/>
      <c r="MSP121" s="68"/>
      <c r="MSQ121" s="68"/>
      <c r="MSR121" s="68"/>
      <c r="MSS121" s="68"/>
      <c r="MST121" s="68"/>
      <c r="MSU121" s="68"/>
      <c r="MSV121" s="68"/>
      <c r="MSW121" s="68"/>
      <c r="MSX121" s="68"/>
      <c r="MSY121" s="68"/>
      <c r="MSZ121" s="68"/>
      <c r="MTA121" s="68"/>
      <c r="MTB121" s="68"/>
      <c r="MTC121" s="68"/>
      <c r="MTD121" s="68"/>
      <c r="MTE121" s="68"/>
      <c r="MTF121" s="68"/>
      <c r="MTG121" s="68"/>
      <c r="MTH121" s="68"/>
      <c r="MTI121" s="68"/>
      <c r="MTJ121" s="68"/>
      <c r="MTK121" s="68"/>
      <c r="MTL121" s="68"/>
      <c r="MTM121" s="68"/>
      <c r="MTN121" s="68"/>
      <c r="MTO121" s="68"/>
      <c r="MTP121" s="68"/>
      <c r="MTQ121" s="68"/>
      <c r="MTR121" s="68"/>
      <c r="MTS121" s="68"/>
      <c r="MTT121" s="68"/>
      <c r="MTU121" s="68"/>
      <c r="MTV121" s="68"/>
      <c r="MTW121" s="68"/>
      <c r="MTX121" s="68"/>
      <c r="MTY121" s="68"/>
      <c r="MTZ121" s="68"/>
      <c r="MUA121" s="68"/>
      <c r="MUB121" s="68"/>
      <c r="MUC121" s="68"/>
      <c r="MUD121" s="68"/>
      <c r="MUE121" s="68"/>
      <c r="MUF121" s="68"/>
      <c r="MUG121" s="68"/>
      <c r="MUH121" s="68"/>
      <c r="MUI121" s="68"/>
      <c r="MUJ121" s="68"/>
      <c r="MUK121" s="68"/>
      <c r="MUL121" s="68"/>
      <c r="MUM121" s="68"/>
      <c r="MUN121" s="68"/>
      <c r="MUO121" s="68"/>
      <c r="MUP121" s="68"/>
      <c r="MUQ121" s="68"/>
      <c r="MUR121" s="68"/>
      <c r="MUS121" s="68"/>
      <c r="MUT121" s="68"/>
      <c r="MUU121" s="68"/>
      <c r="MUV121" s="68"/>
      <c r="MUW121" s="68"/>
      <c r="MUX121" s="68"/>
      <c r="MUY121" s="68"/>
      <c r="MUZ121" s="68"/>
      <c r="MVA121" s="68"/>
      <c r="MVB121" s="68"/>
      <c r="MVC121" s="68"/>
      <c r="MVD121" s="68"/>
      <c r="MVE121" s="68"/>
      <c r="MVF121" s="68"/>
      <c r="MVG121" s="68"/>
      <c r="MVH121" s="68"/>
      <c r="MVI121" s="68"/>
      <c r="MVJ121" s="68"/>
      <c r="MVK121" s="68"/>
      <c r="MVL121" s="68"/>
      <c r="MVM121" s="68"/>
      <c r="MVN121" s="68"/>
      <c r="MVO121" s="68"/>
      <c r="MVP121" s="68"/>
      <c r="MVQ121" s="68"/>
      <c r="MVR121" s="68"/>
      <c r="MVS121" s="68"/>
      <c r="MVT121" s="68"/>
      <c r="MVU121" s="68"/>
      <c r="MVV121" s="68"/>
      <c r="MVW121" s="68"/>
      <c r="MVX121" s="68"/>
      <c r="MVY121" s="68"/>
      <c r="MVZ121" s="68"/>
      <c r="MWA121" s="68"/>
      <c r="MWB121" s="68"/>
      <c r="MWC121" s="68"/>
      <c r="MWD121" s="68"/>
      <c r="MWE121" s="68"/>
      <c r="MWF121" s="68"/>
      <c r="MWG121" s="68"/>
      <c r="MWH121" s="68"/>
      <c r="MWI121" s="68"/>
      <c r="MWJ121" s="68"/>
      <c r="MWK121" s="68"/>
      <c r="MWL121" s="68"/>
      <c r="MWM121" s="68"/>
      <c r="MWN121" s="68"/>
      <c r="MWO121" s="68"/>
      <c r="MWP121" s="68"/>
      <c r="MWQ121" s="68"/>
      <c r="MWR121" s="68"/>
      <c r="MWS121" s="68"/>
      <c r="MWT121" s="68"/>
      <c r="MWU121" s="68"/>
      <c r="MWV121" s="68"/>
      <c r="MWW121" s="68"/>
      <c r="MWX121" s="68"/>
      <c r="MWY121" s="68"/>
      <c r="MWZ121" s="68"/>
      <c r="MXA121" s="68"/>
      <c r="MXB121" s="68"/>
      <c r="MXC121" s="68"/>
      <c r="MXD121" s="68"/>
      <c r="MXE121" s="68"/>
      <c r="MXF121" s="68"/>
      <c r="MXG121" s="68"/>
      <c r="MXH121" s="68"/>
      <c r="MXI121" s="68"/>
      <c r="MXJ121" s="68"/>
      <c r="MXK121" s="68"/>
      <c r="MXL121" s="68"/>
      <c r="MXM121" s="68"/>
      <c r="MXN121" s="68"/>
      <c r="MXO121" s="68"/>
      <c r="MXP121" s="68"/>
      <c r="MXQ121" s="68"/>
      <c r="MXR121" s="68"/>
      <c r="MXS121" s="68"/>
      <c r="MXT121" s="68"/>
      <c r="MXU121" s="68"/>
      <c r="MXV121" s="68"/>
      <c r="MXW121" s="68"/>
      <c r="MXX121" s="68"/>
      <c r="MXY121" s="68"/>
      <c r="MXZ121" s="68"/>
      <c r="MYA121" s="68"/>
      <c r="MYB121" s="68"/>
      <c r="MYC121" s="68"/>
      <c r="MYD121" s="68"/>
      <c r="MYE121" s="68"/>
      <c r="MYF121" s="68"/>
      <c r="MYG121" s="68"/>
      <c r="MYH121" s="68"/>
      <c r="MYI121" s="68"/>
      <c r="MYJ121" s="68"/>
      <c r="MYK121" s="68"/>
      <c r="MYL121" s="68"/>
      <c r="MYM121" s="68"/>
      <c r="MYN121" s="68"/>
      <c r="MYO121" s="68"/>
      <c r="MYP121" s="68"/>
      <c r="MYQ121" s="68"/>
      <c r="MYR121" s="68"/>
      <c r="MYS121" s="68"/>
      <c r="MYT121" s="68"/>
      <c r="MYU121" s="68"/>
      <c r="MYV121" s="68"/>
      <c r="MYW121" s="68"/>
      <c r="MYX121" s="68"/>
      <c r="MYY121" s="68"/>
      <c r="MYZ121" s="68"/>
      <c r="MZA121" s="68"/>
      <c r="MZB121" s="68"/>
      <c r="MZC121" s="68"/>
      <c r="MZD121" s="68"/>
      <c r="MZE121" s="68"/>
      <c r="MZF121" s="68"/>
      <c r="MZG121" s="68"/>
      <c r="MZH121" s="68"/>
      <c r="MZI121" s="68"/>
      <c r="MZJ121" s="68"/>
      <c r="MZK121" s="68"/>
      <c r="MZL121" s="68"/>
      <c r="MZM121" s="68"/>
      <c r="MZN121" s="68"/>
      <c r="MZO121" s="68"/>
      <c r="MZP121" s="68"/>
      <c r="MZQ121" s="68"/>
      <c r="MZR121" s="68"/>
      <c r="MZS121" s="68"/>
      <c r="MZT121" s="68"/>
      <c r="MZU121" s="68"/>
      <c r="MZV121" s="68"/>
      <c r="MZW121" s="68"/>
      <c r="MZX121" s="68"/>
      <c r="MZY121" s="68"/>
      <c r="MZZ121" s="68"/>
      <c r="NAA121" s="68"/>
      <c r="NAB121" s="68"/>
      <c r="NAC121" s="68"/>
      <c r="NAD121" s="68"/>
      <c r="NAE121" s="68"/>
      <c r="NAF121" s="68"/>
      <c r="NAG121" s="68"/>
      <c r="NAH121" s="68"/>
      <c r="NAI121" s="68"/>
      <c r="NAJ121" s="68"/>
      <c r="NAK121" s="68"/>
      <c r="NAL121" s="68"/>
      <c r="NAM121" s="68"/>
      <c r="NAN121" s="68"/>
      <c r="NAO121" s="68"/>
      <c r="NAP121" s="68"/>
      <c r="NAQ121" s="68"/>
      <c r="NAR121" s="68"/>
      <c r="NAS121" s="68"/>
      <c r="NAT121" s="68"/>
      <c r="NAU121" s="68"/>
      <c r="NAV121" s="68"/>
      <c r="NAW121" s="68"/>
      <c r="NAX121" s="68"/>
      <c r="NAY121" s="68"/>
      <c r="NAZ121" s="68"/>
      <c r="NBA121" s="68"/>
      <c r="NBB121" s="68"/>
      <c r="NBC121" s="68"/>
      <c r="NBD121" s="68"/>
      <c r="NBE121" s="68"/>
      <c r="NBF121" s="68"/>
      <c r="NBG121" s="68"/>
      <c r="NBH121" s="68"/>
      <c r="NBI121" s="68"/>
      <c r="NBJ121" s="68"/>
      <c r="NBK121" s="68"/>
      <c r="NBL121" s="68"/>
      <c r="NBM121" s="68"/>
      <c r="NBN121" s="68"/>
      <c r="NBO121" s="68"/>
      <c r="NBP121" s="68"/>
      <c r="NBQ121" s="68"/>
      <c r="NBR121" s="68"/>
      <c r="NBS121" s="68"/>
      <c r="NBT121" s="68"/>
      <c r="NBU121" s="68"/>
      <c r="NBV121" s="68"/>
      <c r="NBW121" s="68"/>
      <c r="NBX121" s="68"/>
      <c r="NBY121" s="68"/>
      <c r="NBZ121" s="68"/>
      <c r="NCA121" s="68"/>
      <c r="NCB121" s="68"/>
      <c r="NCC121" s="68"/>
      <c r="NCD121" s="68"/>
      <c r="NCE121" s="68"/>
      <c r="NCF121" s="68"/>
      <c r="NCG121" s="68"/>
      <c r="NCH121" s="68"/>
      <c r="NCI121" s="68"/>
      <c r="NCJ121" s="68"/>
      <c r="NCK121" s="68"/>
      <c r="NCL121" s="68"/>
      <c r="NCM121" s="68"/>
      <c r="NCN121" s="68"/>
      <c r="NCO121" s="68"/>
      <c r="NCP121" s="68"/>
      <c r="NCQ121" s="68"/>
      <c r="NCR121" s="68"/>
      <c r="NCS121" s="68"/>
      <c r="NCT121" s="68"/>
      <c r="NCU121" s="68"/>
      <c r="NCV121" s="68"/>
      <c r="NCW121" s="68"/>
      <c r="NCX121" s="68"/>
      <c r="NCY121" s="68"/>
      <c r="NCZ121" s="68"/>
      <c r="NDA121" s="68"/>
      <c r="NDB121" s="68"/>
      <c r="NDC121" s="68"/>
      <c r="NDD121" s="68"/>
      <c r="NDE121" s="68"/>
      <c r="NDF121" s="68"/>
      <c r="NDG121" s="68"/>
      <c r="NDH121" s="68"/>
      <c r="NDI121" s="68"/>
      <c r="NDJ121" s="68"/>
      <c r="NDK121" s="68"/>
      <c r="NDL121" s="68"/>
      <c r="NDM121" s="68"/>
      <c r="NDN121" s="68"/>
      <c r="NDO121" s="68"/>
      <c r="NDP121" s="68"/>
      <c r="NDQ121" s="68"/>
      <c r="NDR121" s="68"/>
      <c r="NDS121" s="68"/>
      <c r="NDT121" s="68"/>
      <c r="NDU121" s="68"/>
      <c r="NDV121" s="68"/>
      <c r="NDW121" s="68"/>
      <c r="NDX121" s="68"/>
      <c r="NDY121" s="68"/>
      <c r="NDZ121" s="68"/>
      <c r="NEA121" s="68"/>
      <c r="NEB121" s="68"/>
      <c r="NEC121" s="68"/>
      <c r="NED121" s="68"/>
      <c r="NEE121" s="68"/>
      <c r="NEF121" s="68"/>
      <c r="NEG121" s="68"/>
      <c r="NEH121" s="68"/>
      <c r="NEI121" s="68"/>
      <c r="NEJ121" s="68"/>
      <c r="NEK121" s="68"/>
      <c r="NEL121" s="68"/>
      <c r="NEM121" s="68"/>
      <c r="NEN121" s="68"/>
      <c r="NEO121" s="68"/>
      <c r="NEP121" s="68"/>
      <c r="NEQ121" s="68"/>
      <c r="NER121" s="68"/>
      <c r="NES121" s="68"/>
      <c r="NET121" s="68"/>
      <c r="NEU121" s="68"/>
      <c r="NEV121" s="68"/>
      <c r="NEW121" s="68"/>
      <c r="NEX121" s="68"/>
      <c r="NEY121" s="68"/>
      <c r="NEZ121" s="68"/>
      <c r="NFA121" s="68"/>
      <c r="NFB121" s="68"/>
      <c r="NFC121" s="68"/>
      <c r="NFD121" s="68"/>
      <c r="NFE121" s="68"/>
      <c r="NFF121" s="68"/>
      <c r="NFG121" s="68"/>
      <c r="NFH121" s="68"/>
      <c r="NFI121" s="68"/>
      <c r="NFJ121" s="68"/>
      <c r="NFK121" s="68"/>
      <c r="NFL121" s="68"/>
      <c r="NFM121" s="68"/>
      <c r="NFN121" s="68"/>
      <c r="NFO121" s="68"/>
      <c r="NFP121" s="68"/>
      <c r="NFQ121" s="68"/>
      <c r="NFR121" s="68"/>
      <c r="NFS121" s="68"/>
      <c r="NFT121" s="68"/>
      <c r="NFU121" s="68"/>
      <c r="NFV121" s="68"/>
      <c r="NFW121" s="68"/>
      <c r="NFX121" s="68"/>
      <c r="NFY121" s="68"/>
      <c r="NFZ121" s="68"/>
      <c r="NGA121" s="68"/>
      <c r="NGB121" s="68"/>
      <c r="NGC121" s="68"/>
      <c r="NGD121" s="68"/>
      <c r="NGE121" s="68"/>
      <c r="NGF121" s="68"/>
      <c r="NGG121" s="68"/>
      <c r="NGH121" s="68"/>
      <c r="NGI121" s="68"/>
      <c r="NGJ121" s="68"/>
      <c r="NGK121" s="68"/>
      <c r="NGL121" s="68"/>
      <c r="NGM121" s="68"/>
      <c r="NGN121" s="68"/>
      <c r="NGO121" s="68"/>
      <c r="NGP121" s="68"/>
      <c r="NGQ121" s="68"/>
      <c r="NGR121" s="68"/>
      <c r="NGS121" s="68"/>
      <c r="NGT121" s="68"/>
      <c r="NGU121" s="68"/>
      <c r="NGV121" s="68"/>
      <c r="NGW121" s="68"/>
      <c r="NGX121" s="68"/>
      <c r="NGY121" s="68"/>
      <c r="NGZ121" s="68"/>
      <c r="NHA121" s="68"/>
      <c r="NHB121" s="68"/>
      <c r="NHC121" s="68"/>
      <c r="NHD121" s="68"/>
      <c r="NHE121" s="68"/>
      <c r="NHF121" s="68"/>
      <c r="NHG121" s="68"/>
      <c r="NHH121" s="68"/>
      <c r="NHI121" s="68"/>
      <c r="NHJ121" s="68"/>
      <c r="NHK121" s="68"/>
      <c r="NHL121" s="68"/>
      <c r="NHM121" s="68"/>
      <c r="NHN121" s="68"/>
      <c r="NHO121" s="68"/>
      <c r="NHP121" s="68"/>
      <c r="NHQ121" s="68"/>
      <c r="NHR121" s="68"/>
      <c r="NHS121" s="68"/>
      <c r="NHT121" s="68"/>
      <c r="NHU121" s="68"/>
      <c r="NHV121" s="68"/>
      <c r="NHW121" s="68"/>
      <c r="NHX121" s="68"/>
      <c r="NHY121" s="68"/>
      <c r="NHZ121" s="68"/>
      <c r="NIA121" s="68"/>
      <c r="NIB121" s="68"/>
      <c r="NIC121" s="68"/>
      <c r="NID121" s="68"/>
      <c r="NIE121" s="68"/>
      <c r="NIF121" s="68"/>
      <c r="NIG121" s="68"/>
      <c r="NIH121" s="68"/>
      <c r="NII121" s="68"/>
      <c r="NIJ121" s="68"/>
      <c r="NIK121" s="68"/>
      <c r="NIL121" s="68"/>
      <c r="NIM121" s="68"/>
      <c r="NIN121" s="68"/>
      <c r="NIO121" s="68"/>
      <c r="NIP121" s="68"/>
      <c r="NIQ121" s="68"/>
      <c r="NIR121" s="68"/>
      <c r="NIS121" s="68"/>
      <c r="NIT121" s="68"/>
      <c r="NIU121" s="68"/>
      <c r="NIV121" s="68"/>
      <c r="NIW121" s="68"/>
      <c r="NIX121" s="68"/>
      <c r="NIY121" s="68"/>
      <c r="NIZ121" s="68"/>
      <c r="NJA121" s="68"/>
      <c r="NJB121" s="68"/>
      <c r="NJC121" s="68"/>
      <c r="NJD121" s="68"/>
      <c r="NJE121" s="68"/>
      <c r="NJF121" s="68"/>
      <c r="NJG121" s="68"/>
      <c r="NJH121" s="68"/>
      <c r="NJI121" s="68"/>
      <c r="NJJ121" s="68"/>
      <c r="NJK121" s="68"/>
      <c r="NJL121" s="68"/>
      <c r="NJM121" s="68"/>
      <c r="NJN121" s="68"/>
      <c r="NJO121" s="68"/>
      <c r="NJP121" s="68"/>
      <c r="NJQ121" s="68"/>
      <c r="NJR121" s="68"/>
      <c r="NJS121" s="68"/>
      <c r="NJT121" s="68"/>
      <c r="NJU121" s="68"/>
      <c r="NJV121" s="68"/>
      <c r="NJW121" s="68"/>
      <c r="NJX121" s="68"/>
      <c r="NJY121" s="68"/>
      <c r="NJZ121" s="68"/>
      <c r="NKA121" s="68"/>
      <c r="NKB121" s="68"/>
      <c r="NKC121" s="68"/>
      <c r="NKD121" s="68"/>
      <c r="NKE121" s="68"/>
      <c r="NKF121" s="68"/>
      <c r="NKG121" s="68"/>
      <c r="NKH121" s="68"/>
      <c r="NKI121" s="68"/>
      <c r="NKJ121" s="68"/>
      <c r="NKK121" s="68"/>
      <c r="NKL121" s="68"/>
      <c r="NKM121" s="68"/>
      <c r="NKN121" s="68"/>
      <c r="NKO121" s="68"/>
      <c r="NKP121" s="68"/>
      <c r="NKQ121" s="68"/>
      <c r="NKR121" s="68"/>
      <c r="NKS121" s="68"/>
      <c r="NKT121" s="68"/>
      <c r="NKU121" s="68"/>
      <c r="NKV121" s="68"/>
      <c r="NKW121" s="68"/>
      <c r="NKX121" s="68"/>
      <c r="NKY121" s="68"/>
      <c r="NKZ121" s="68"/>
      <c r="NLA121" s="68"/>
      <c r="NLB121" s="68"/>
      <c r="NLC121" s="68"/>
      <c r="NLD121" s="68"/>
      <c r="NLE121" s="68"/>
      <c r="NLF121" s="68"/>
      <c r="NLG121" s="68"/>
      <c r="NLH121" s="68"/>
      <c r="NLI121" s="68"/>
      <c r="NLJ121" s="68"/>
      <c r="NLK121" s="68"/>
      <c r="NLL121" s="68"/>
      <c r="NLM121" s="68"/>
      <c r="NLN121" s="68"/>
      <c r="NLO121" s="68"/>
      <c r="NLP121" s="68"/>
      <c r="NLQ121" s="68"/>
      <c r="NLR121" s="68"/>
      <c r="NLS121" s="68"/>
      <c r="NLT121" s="68"/>
      <c r="NLU121" s="68"/>
      <c r="NLV121" s="68"/>
      <c r="NLW121" s="68"/>
      <c r="NLX121" s="68"/>
      <c r="NLY121" s="68"/>
      <c r="NLZ121" s="68"/>
      <c r="NMA121" s="68"/>
      <c r="NMB121" s="68"/>
      <c r="NMC121" s="68"/>
      <c r="NMD121" s="68"/>
      <c r="NME121" s="68"/>
      <c r="NMF121" s="68"/>
      <c r="NMG121" s="68"/>
      <c r="NMH121" s="68"/>
      <c r="NMI121" s="68"/>
      <c r="NMJ121" s="68"/>
      <c r="NMK121" s="68"/>
      <c r="NML121" s="68"/>
      <c r="NMM121" s="68"/>
      <c r="NMN121" s="68"/>
      <c r="NMO121" s="68"/>
      <c r="NMP121" s="68"/>
      <c r="NMQ121" s="68"/>
      <c r="NMR121" s="68"/>
      <c r="NMS121" s="68"/>
      <c r="NMT121" s="68"/>
      <c r="NMU121" s="68"/>
      <c r="NMV121" s="68"/>
      <c r="NMW121" s="68"/>
      <c r="NMX121" s="68"/>
      <c r="NMY121" s="68"/>
      <c r="NMZ121" s="68"/>
      <c r="NNA121" s="68"/>
      <c r="NNB121" s="68"/>
      <c r="NNC121" s="68"/>
      <c r="NND121" s="68"/>
      <c r="NNE121" s="68"/>
      <c r="NNF121" s="68"/>
      <c r="NNG121" s="68"/>
      <c r="NNH121" s="68"/>
      <c r="NNI121" s="68"/>
      <c r="NNJ121" s="68"/>
      <c r="NNK121" s="68"/>
      <c r="NNL121" s="68"/>
      <c r="NNM121" s="68"/>
      <c r="NNN121" s="68"/>
      <c r="NNO121" s="68"/>
      <c r="NNP121" s="68"/>
      <c r="NNQ121" s="68"/>
      <c r="NNR121" s="68"/>
      <c r="NNS121" s="68"/>
      <c r="NNT121" s="68"/>
      <c r="NNU121" s="68"/>
      <c r="NNV121" s="68"/>
      <c r="NNW121" s="68"/>
      <c r="NNX121" s="68"/>
      <c r="NNY121" s="68"/>
      <c r="NNZ121" s="68"/>
      <c r="NOA121" s="68"/>
      <c r="NOB121" s="68"/>
      <c r="NOC121" s="68"/>
      <c r="NOD121" s="68"/>
      <c r="NOE121" s="68"/>
      <c r="NOF121" s="68"/>
      <c r="NOG121" s="68"/>
      <c r="NOH121" s="68"/>
      <c r="NOI121" s="68"/>
      <c r="NOJ121" s="68"/>
      <c r="NOK121" s="68"/>
      <c r="NOL121" s="68"/>
      <c r="NOM121" s="68"/>
      <c r="NON121" s="68"/>
      <c r="NOO121" s="68"/>
      <c r="NOP121" s="68"/>
      <c r="NOQ121" s="68"/>
      <c r="NOR121" s="68"/>
      <c r="NOS121" s="68"/>
      <c r="NOT121" s="68"/>
      <c r="NOU121" s="68"/>
      <c r="NOV121" s="68"/>
      <c r="NOW121" s="68"/>
      <c r="NOX121" s="68"/>
      <c r="NOY121" s="68"/>
      <c r="NOZ121" s="68"/>
      <c r="NPA121" s="68"/>
      <c r="NPB121" s="68"/>
      <c r="NPC121" s="68"/>
      <c r="NPD121" s="68"/>
      <c r="NPE121" s="68"/>
      <c r="NPF121" s="68"/>
      <c r="NPG121" s="68"/>
      <c r="NPH121" s="68"/>
      <c r="NPI121" s="68"/>
      <c r="NPJ121" s="68"/>
      <c r="NPK121" s="68"/>
      <c r="NPL121" s="68"/>
      <c r="NPM121" s="68"/>
      <c r="NPN121" s="68"/>
      <c r="NPO121" s="68"/>
      <c r="NPP121" s="68"/>
      <c r="NPQ121" s="68"/>
      <c r="NPR121" s="68"/>
      <c r="NPS121" s="68"/>
      <c r="NPT121" s="68"/>
      <c r="NPU121" s="68"/>
      <c r="NPV121" s="68"/>
      <c r="NPW121" s="68"/>
      <c r="NPX121" s="68"/>
      <c r="NPY121" s="68"/>
      <c r="NPZ121" s="68"/>
      <c r="NQA121" s="68"/>
      <c r="NQB121" s="68"/>
      <c r="NQC121" s="68"/>
      <c r="NQD121" s="68"/>
      <c r="NQE121" s="68"/>
      <c r="NQF121" s="68"/>
      <c r="NQG121" s="68"/>
      <c r="NQH121" s="68"/>
      <c r="NQI121" s="68"/>
      <c r="NQJ121" s="68"/>
      <c r="NQK121" s="68"/>
      <c r="NQL121" s="68"/>
      <c r="NQM121" s="68"/>
      <c r="NQN121" s="68"/>
      <c r="NQO121" s="68"/>
      <c r="NQP121" s="68"/>
      <c r="NQQ121" s="68"/>
      <c r="NQR121" s="68"/>
      <c r="NQS121" s="68"/>
      <c r="NQT121" s="68"/>
      <c r="NQU121" s="68"/>
      <c r="NQV121" s="68"/>
      <c r="NQW121" s="68"/>
      <c r="NQX121" s="68"/>
      <c r="NQY121" s="68"/>
      <c r="NQZ121" s="68"/>
      <c r="NRA121" s="68"/>
      <c r="NRB121" s="68"/>
      <c r="NRC121" s="68"/>
      <c r="NRD121" s="68"/>
      <c r="NRE121" s="68"/>
      <c r="NRF121" s="68"/>
      <c r="NRG121" s="68"/>
      <c r="NRH121" s="68"/>
      <c r="NRI121" s="68"/>
      <c r="NRJ121" s="68"/>
      <c r="NRK121" s="68"/>
      <c r="NRL121" s="68"/>
      <c r="NRM121" s="68"/>
      <c r="NRN121" s="68"/>
      <c r="NRO121" s="68"/>
      <c r="NRP121" s="68"/>
      <c r="NRQ121" s="68"/>
      <c r="NRR121" s="68"/>
      <c r="NRS121" s="68"/>
      <c r="NRT121" s="68"/>
      <c r="NRU121" s="68"/>
      <c r="NRV121" s="68"/>
      <c r="NRW121" s="68"/>
      <c r="NRX121" s="68"/>
      <c r="NRY121" s="68"/>
      <c r="NRZ121" s="68"/>
      <c r="NSA121" s="68"/>
      <c r="NSB121" s="68"/>
      <c r="NSC121" s="68"/>
      <c r="NSD121" s="68"/>
      <c r="NSE121" s="68"/>
      <c r="NSF121" s="68"/>
      <c r="NSG121" s="68"/>
      <c r="NSH121" s="68"/>
      <c r="NSI121" s="68"/>
      <c r="NSJ121" s="68"/>
      <c r="NSK121" s="68"/>
      <c r="NSL121" s="68"/>
      <c r="NSM121" s="68"/>
      <c r="NSN121" s="68"/>
      <c r="NSO121" s="68"/>
      <c r="NSP121" s="68"/>
      <c r="NSQ121" s="68"/>
      <c r="NSR121" s="68"/>
      <c r="NSS121" s="68"/>
      <c r="NST121" s="68"/>
      <c r="NSU121" s="68"/>
      <c r="NSV121" s="68"/>
      <c r="NSW121" s="68"/>
      <c r="NSX121" s="68"/>
      <c r="NSY121" s="68"/>
      <c r="NSZ121" s="68"/>
      <c r="NTA121" s="68"/>
      <c r="NTB121" s="68"/>
      <c r="NTC121" s="68"/>
      <c r="NTD121" s="68"/>
      <c r="NTE121" s="68"/>
      <c r="NTF121" s="68"/>
      <c r="NTG121" s="68"/>
      <c r="NTH121" s="68"/>
      <c r="NTI121" s="68"/>
      <c r="NTJ121" s="68"/>
      <c r="NTK121" s="68"/>
      <c r="NTL121" s="68"/>
      <c r="NTM121" s="68"/>
      <c r="NTN121" s="68"/>
      <c r="NTO121" s="68"/>
      <c r="NTP121" s="68"/>
      <c r="NTQ121" s="68"/>
      <c r="NTR121" s="68"/>
      <c r="NTS121" s="68"/>
      <c r="NTT121" s="68"/>
      <c r="NTU121" s="68"/>
      <c r="NTV121" s="68"/>
      <c r="NTW121" s="68"/>
      <c r="NTX121" s="68"/>
      <c r="NTY121" s="68"/>
      <c r="NTZ121" s="68"/>
      <c r="NUA121" s="68"/>
      <c r="NUB121" s="68"/>
      <c r="NUC121" s="68"/>
      <c r="NUD121" s="68"/>
      <c r="NUE121" s="68"/>
      <c r="NUF121" s="68"/>
      <c r="NUG121" s="68"/>
      <c r="NUH121" s="68"/>
      <c r="NUI121" s="68"/>
      <c r="NUJ121" s="68"/>
      <c r="NUK121" s="68"/>
      <c r="NUL121" s="68"/>
      <c r="NUM121" s="68"/>
      <c r="NUN121" s="68"/>
      <c r="NUO121" s="68"/>
      <c r="NUP121" s="68"/>
      <c r="NUQ121" s="68"/>
      <c r="NUR121" s="68"/>
      <c r="NUS121" s="68"/>
      <c r="NUT121" s="68"/>
      <c r="NUU121" s="68"/>
      <c r="NUV121" s="68"/>
      <c r="NUW121" s="68"/>
      <c r="NUX121" s="68"/>
      <c r="NUY121" s="68"/>
      <c r="NUZ121" s="68"/>
      <c r="NVA121" s="68"/>
      <c r="NVB121" s="68"/>
      <c r="NVC121" s="68"/>
      <c r="NVD121" s="68"/>
      <c r="NVE121" s="68"/>
      <c r="NVF121" s="68"/>
      <c r="NVG121" s="68"/>
      <c r="NVH121" s="68"/>
      <c r="NVI121" s="68"/>
      <c r="NVJ121" s="68"/>
      <c r="NVK121" s="68"/>
      <c r="NVL121" s="68"/>
      <c r="NVM121" s="68"/>
      <c r="NVN121" s="68"/>
      <c r="NVO121" s="68"/>
      <c r="NVP121" s="68"/>
      <c r="NVQ121" s="68"/>
      <c r="NVR121" s="68"/>
      <c r="NVS121" s="68"/>
      <c r="NVT121" s="68"/>
      <c r="NVU121" s="68"/>
      <c r="NVV121" s="68"/>
      <c r="NVW121" s="68"/>
      <c r="NVX121" s="68"/>
      <c r="NVY121" s="68"/>
      <c r="NVZ121" s="68"/>
      <c r="NWA121" s="68"/>
      <c r="NWB121" s="68"/>
      <c r="NWC121" s="68"/>
      <c r="NWD121" s="68"/>
      <c r="NWE121" s="68"/>
      <c r="NWF121" s="68"/>
      <c r="NWG121" s="68"/>
      <c r="NWH121" s="68"/>
      <c r="NWI121" s="68"/>
      <c r="NWJ121" s="68"/>
      <c r="NWK121" s="68"/>
      <c r="NWL121" s="68"/>
      <c r="NWM121" s="68"/>
      <c r="NWN121" s="68"/>
      <c r="NWO121" s="68"/>
      <c r="NWP121" s="68"/>
      <c r="NWQ121" s="68"/>
      <c r="NWR121" s="68"/>
      <c r="NWS121" s="68"/>
      <c r="NWT121" s="68"/>
      <c r="NWU121" s="68"/>
      <c r="NWV121" s="68"/>
      <c r="NWW121" s="68"/>
      <c r="NWX121" s="68"/>
      <c r="NWY121" s="68"/>
      <c r="NWZ121" s="68"/>
      <c r="NXA121" s="68"/>
      <c r="NXB121" s="68"/>
      <c r="NXC121" s="68"/>
      <c r="NXD121" s="68"/>
      <c r="NXE121" s="68"/>
      <c r="NXF121" s="68"/>
      <c r="NXG121" s="68"/>
      <c r="NXH121" s="68"/>
      <c r="NXI121" s="68"/>
      <c r="NXJ121" s="68"/>
      <c r="NXK121" s="68"/>
      <c r="NXL121" s="68"/>
      <c r="NXM121" s="68"/>
      <c r="NXN121" s="68"/>
      <c r="NXO121" s="68"/>
      <c r="NXP121" s="68"/>
      <c r="NXQ121" s="68"/>
      <c r="NXR121" s="68"/>
      <c r="NXS121" s="68"/>
      <c r="NXT121" s="68"/>
      <c r="NXU121" s="68"/>
      <c r="NXV121" s="68"/>
      <c r="NXW121" s="68"/>
      <c r="NXX121" s="68"/>
      <c r="NXY121" s="68"/>
      <c r="NXZ121" s="68"/>
      <c r="NYA121" s="68"/>
      <c r="NYB121" s="68"/>
      <c r="NYC121" s="68"/>
      <c r="NYD121" s="68"/>
      <c r="NYE121" s="68"/>
      <c r="NYF121" s="68"/>
      <c r="NYG121" s="68"/>
      <c r="NYH121" s="68"/>
      <c r="NYI121" s="68"/>
      <c r="NYJ121" s="68"/>
      <c r="NYK121" s="68"/>
      <c r="NYL121" s="68"/>
      <c r="NYM121" s="68"/>
      <c r="NYN121" s="68"/>
      <c r="NYO121" s="68"/>
      <c r="NYP121" s="68"/>
      <c r="NYQ121" s="68"/>
      <c r="NYR121" s="68"/>
      <c r="NYS121" s="68"/>
      <c r="NYT121" s="68"/>
      <c r="NYU121" s="68"/>
      <c r="NYV121" s="68"/>
      <c r="NYW121" s="68"/>
      <c r="NYX121" s="68"/>
      <c r="NYY121" s="68"/>
      <c r="NYZ121" s="68"/>
      <c r="NZA121" s="68"/>
      <c r="NZB121" s="68"/>
      <c r="NZC121" s="68"/>
      <c r="NZD121" s="68"/>
      <c r="NZE121" s="68"/>
      <c r="NZF121" s="68"/>
      <c r="NZG121" s="68"/>
      <c r="NZH121" s="68"/>
      <c r="NZI121" s="68"/>
      <c r="NZJ121" s="68"/>
      <c r="NZK121" s="68"/>
      <c r="NZL121" s="68"/>
      <c r="NZM121" s="68"/>
      <c r="NZN121" s="68"/>
      <c r="NZO121" s="68"/>
      <c r="NZP121" s="68"/>
      <c r="NZQ121" s="68"/>
      <c r="NZR121" s="68"/>
      <c r="NZS121" s="68"/>
      <c r="NZT121" s="68"/>
      <c r="NZU121" s="68"/>
      <c r="NZV121" s="68"/>
      <c r="NZW121" s="68"/>
      <c r="NZX121" s="68"/>
      <c r="NZY121" s="68"/>
      <c r="NZZ121" s="68"/>
      <c r="OAA121" s="68"/>
      <c r="OAB121" s="68"/>
      <c r="OAC121" s="68"/>
      <c r="OAD121" s="68"/>
      <c r="OAE121" s="68"/>
      <c r="OAF121" s="68"/>
      <c r="OAG121" s="68"/>
      <c r="OAH121" s="68"/>
      <c r="OAI121" s="68"/>
      <c r="OAJ121" s="68"/>
      <c r="OAK121" s="68"/>
      <c r="OAL121" s="68"/>
      <c r="OAM121" s="68"/>
      <c r="OAN121" s="68"/>
      <c r="OAO121" s="68"/>
      <c r="OAP121" s="68"/>
      <c r="OAQ121" s="68"/>
      <c r="OAR121" s="68"/>
      <c r="OAS121" s="68"/>
      <c r="OAT121" s="68"/>
      <c r="OAU121" s="68"/>
      <c r="OAV121" s="68"/>
      <c r="OAW121" s="68"/>
      <c r="OAX121" s="68"/>
      <c r="OAY121" s="68"/>
      <c r="OAZ121" s="68"/>
      <c r="OBA121" s="68"/>
      <c r="OBB121" s="68"/>
      <c r="OBC121" s="68"/>
      <c r="OBD121" s="68"/>
      <c r="OBE121" s="68"/>
      <c r="OBF121" s="68"/>
      <c r="OBG121" s="68"/>
      <c r="OBH121" s="68"/>
      <c r="OBI121" s="68"/>
      <c r="OBJ121" s="68"/>
      <c r="OBK121" s="68"/>
      <c r="OBL121" s="68"/>
      <c r="OBM121" s="68"/>
      <c r="OBN121" s="68"/>
      <c r="OBO121" s="68"/>
      <c r="OBP121" s="68"/>
      <c r="OBQ121" s="68"/>
      <c r="OBR121" s="68"/>
      <c r="OBS121" s="68"/>
      <c r="OBT121" s="68"/>
      <c r="OBU121" s="68"/>
      <c r="OBV121" s="68"/>
      <c r="OBW121" s="68"/>
      <c r="OBX121" s="68"/>
      <c r="OBY121" s="68"/>
      <c r="OBZ121" s="68"/>
      <c r="OCA121" s="68"/>
      <c r="OCB121" s="68"/>
      <c r="OCC121" s="68"/>
      <c r="OCD121" s="68"/>
      <c r="OCE121" s="68"/>
      <c r="OCF121" s="68"/>
      <c r="OCG121" s="68"/>
      <c r="OCH121" s="68"/>
      <c r="OCI121" s="68"/>
      <c r="OCJ121" s="68"/>
      <c r="OCK121" s="68"/>
      <c r="OCL121" s="68"/>
      <c r="OCM121" s="68"/>
      <c r="OCN121" s="68"/>
      <c r="OCO121" s="68"/>
      <c r="OCP121" s="68"/>
      <c r="OCQ121" s="68"/>
      <c r="OCR121" s="68"/>
      <c r="OCS121" s="68"/>
      <c r="OCT121" s="68"/>
      <c r="OCU121" s="68"/>
      <c r="OCV121" s="68"/>
      <c r="OCW121" s="68"/>
      <c r="OCX121" s="68"/>
      <c r="OCY121" s="68"/>
      <c r="OCZ121" s="68"/>
      <c r="ODA121" s="68"/>
      <c r="ODB121" s="68"/>
      <c r="ODC121" s="68"/>
      <c r="ODD121" s="68"/>
      <c r="ODE121" s="68"/>
      <c r="ODF121" s="68"/>
      <c r="ODG121" s="68"/>
      <c r="ODH121" s="68"/>
      <c r="ODI121" s="68"/>
      <c r="ODJ121" s="68"/>
      <c r="ODK121" s="68"/>
      <c r="ODL121" s="68"/>
      <c r="ODM121" s="68"/>
      <c r="ODN121" s="68"/>
      <c r="ODO121" s="68"/>
      <c r="ODP121" s="68"/>
      <c r="ODQ121" s="68"/>
      <c r="ODR121" s="68"/>
      <c r="ODS121" s="68"/>
      <c r="ODT121" s="68"/>
      <c r="ODU121" s="68"/>
      <c r="ODV121" s="68"/>
      <c r="ODW121" s="68"/>
      <c r="ODX121" s="68"/>
      <c r="ODY121" s="68"/>
      <c r="ODZ121" s="68"/>
      <c r="OEA121" s="68"/>
      <c r="OEB121" s="68"/>
      <c r="OEC121" s="68"/>
      <c r="OED121" s="68"/>
      <c r="OEE121" s="68"/>
      <c r="OEF121" s="68"/>
      <c r="OEG121" s="68"/>
      <c r="OEH121" s="68"/>
      <c r="OEI121" s="68"/>
      <c r="OEJ121" s="68"/>
      <c r="OEK121" s="68"/>
      <c r="OEL121" s="68"/>
      <c r="OEM121" s="68"/>
      <c r="OEN121" s="68"/>
      <c r="OEO121" s="68"/>
      <c r="OEP121" s="68"/>
      <c r="OEQ121" s="68"/>
      <c r="OER121" s="68"/>
      <c r="OES121" s="68"/>
      <c r="OET121" s="68"/>
      <c r="OEU121" s="68"/>
      <c r="OEV121" s="68"/>
      <c r="OEW121" s="68"/>
      <c r="OEX121" s="68"/>
      <c r="OEY121" s="68"/>
      <c r="OEZ121" s="68"/>
      <c r="OFA121" s="68"/>
      <c r="OFB121" s="68"/>
      <c r="OFC121" s="68"/>
      <c r="OFD121" s="68"/>
      <c r="OFE121" s="68"/>
      <c r="OFF121" s="68"/>
      <c r="OFG121" s="68"/>
      <c r="OFH121" s="68"/>
      <c r="OFI121" s="68"/>
      <c r="OFJ121" s="68"/>
      <c r="OFK121" s="68"/>
      <c r="OFL121" s="68"/>
      <c r="OFM121" s="68"/>
      <c r="OFN121" s="68"/>
      <c r="OFO121" s="68"/>
      <c r="OFP121" s="68"/>
      <c r="OFQ121" s="68"/>
      <c r="OFR121" s="68"/>
      <c r="OFS121" s="68"/>
      <c r="OFT121" s="68"/>
      <c r="OFU121" s="68"/>
      <c r="OFV121" s="68"/>
      <c r="OFW121" s="68"/>
      <c r="OFX121" s="68"/>
      <c r="OFY121" s="68"/>
      <c r="OFZ121" s="68"/>
      <c r="OGA121" s="68"/>
      <c r="OGB121" s="68"/>
      <c r="OGC121" s="68"/>
      <c r="OGD121" s="68"/>
      <c r="OGE121" s="68"/>
      <c r="OGF121" s="68"/>
      <c r="OGG121" s="68"/>
      <c r="OGH121" s="68"/>
      <c r="OGI121" s="68"/>
      <c r="OGJ121" s="68"/>
      <c r="OGK121" s="68"/>
      <c r="OGL121" s="68"/>
      <c r="OGM121" s="68"/>
      <c r="OGN121" s="68"/>
      <c r="OGO121" s="68"/>
      <c r="OGP121" s="68"/>
      <c r="OGQ121" s="68"/>
      <c r="OGR121" s="68"/>
      <c r="OGS121" s="68"/>
      <c r="OGT121" s="68"/>
      <c r="OGU121" s="68"/>
      <c r="OGV121" s="68"/>
      <c r="OGW121" s="68"/>
      <c r="OGX121" s="68"/>
      <c r="OGY121" s="68"/>
      <c r="OGZ121" s="68"/>
      <c r="OHA121" s="68"/>
      <c r="OHB121" s="68"/>
      <c r="OHC121" s="68"/>
      <c r="OHD121" s="68"/>
      <c r="OHE121" s="68"/>
      <c r="OHF121" s="68"/>
      <c r="OHG121" s="68"/>
      <c r="OHH121" s="68"/>
      <c r="OHI121" s="68"/>
      <c r="OHJ121" s="68"/>
      <c r="OHK121" s="68"/>
      <c r="OHL121" s="68"/>
      <c r="OHM121" s="68"/>
      <c r="OHN121" s="68"/>
      <c r="OHO121" s="68"/>
      <c r="OHP121" s="68"/>
      <c r="OHQ121" s="68"/>
      <c r="OHR121" s="68"/>
      <c r="OHS121" s="68"/>
      <c r="OHT121" s="68"/>
      <c r="OHU121" s="68"/>
      <c r="OHV121" s="68"/>
      <c r="OHW121" s="68"/>
      <c r="OHX121" s="68"/>
      <c r="OHY121" s="68"/>
      <c r="OHZ121" s="68"/>
      <c r="OIA121" s="68"/>
      <c r="OIB121" s="68"/>
      <c r="OIC121" s="68"/>
      <c r="OID121" s="68"/>
      <c r="OIE121" s="68"/>
      <c r="OIF121" s="68"/>
      <c r="OIG121" s="68"/>
      <c r="OIH121" s="68"/>
      <c r="OII121" s="68"/>
      <c r="OIJ121" s="68"/>
      <c r="OIK121" s="68"/>
      <c r="OIL121" s="68"/>
      <c r="OIM121" s="68"/>
      <c r="OIN121" s="68"/>
      <c r="OIO121" s="68"/>
      <c r="OIP121" s="68"/>
      <c r="OIQ121" s="68"/>
      <c r="OIR121" s="68"/>
      <c r="OIS121" s="68"/>
      <c r="OIT121" s="68"/>
      <c r="OIU121" s="68"/>
      <c r="OIV121" s="68"/>
      <c r="OIW121" s="68"/>
      <c r="OIX121" s="68"/>
      <c r="OIY121" s="68"/>
      <c r="OIZ121" s="68"/>
      <c r="OJA121" s="68"/>
      <c r="OJB121" s="68"/>
      <c r="OJC121" s="68"/>
      <c r="OJD121" s="68"/>
      <c r="OJE121" s="68"/>
      <c r="OJF121" s="68"/>
      <c r="OJG121" s="68"/>
      <c r="OJH121" s="68"/>
      <c r="OJI121" s="68"/>
      <c r="OJJ121" s="68"/>
      <c r="OJK121" s="68"/>
      <c r="OJL121" s="68"/>
      <c r="OJM121" s="68"/>
      <c r="OJN121" s="68"/>
      <c r="OJO121" s="68"/>
      <c r="OJP121" s="68"/>
      <c r="OJQ121" s="68"/>
      <c r="OJR121" s="68"/>
      <c r="OJS121" s="68"/>
      <c r="OJT121" s="68"/>
      <c r="OJU121" s="68"/>
      <c r="OJV121" s="68"/>
      <c r="OJW121" s="68"/>
      <c r="OJX121" s="68"/>
      <c r="OJY121" s="68"/>
      <c r="OJZ121" s="68"/>
      <c r="OKA121" s="68"/>
      <c r="OKB121" s="68"/>
      <c r="OKC121" s="68"/>
      <c r="OKD121" s="68"/>
      <c r="OKE121" s="68"/>
      <c r="OKF121" s="68"/>
      <c r="OKG121" s="68"/>
      <c r="OKH121" s="68"/>
      <c r="OKI121" s="68"/>
      <c r="OKJ121" s="68"/>
      <c r="OKK121" s="68"/>
      <c r="OKL121" s="68"/>
      <c r="OKM121" s="68"/>
      <c r="OKN121" s="68"/>
      <c r="OKO121" s="68"/>
      <c r="OKP121" s="68"/>
      <c r="OKQ121" s="68"/>
      <c r="OKR121" s="68"/>
      <c r="OKS121" s="68"/>
      <c r="OKT121" s="68"/>
      <c r="OKU121" s="68"/>
      <c r="OKV121" s="68"/>
      <c r="OKW121" s="68"/>
      <c r="OKX121" s="68"/>
      <c r="OKY121" s="68"/>
      <c r="OKZ121" s="68"/>
      <c r="OLA121" s="68"/>
      <c r="OLB121" s="68"/>
      <c r="OLC121" s="68"/>
      <c r="OLD121" s="68"/>
      <c r="OLE121" s="68"/>
      <c r="OLF121" s="68"/>
      <c r="OLG121" s="68"/>
      <c r="OLH121" s="68"/>
      <c r="OLI121" s="68"/>
      <c r="OLJ121" s="68"/>
      <c r="OLK121" s="68"/>
      <c r="OLL121" s="68"/>
      <c r="OLM121" s="68"/>
      <c r="OLN121" s="68"/>
      <c r="OLO121" s="68"/>
      <c r="OLP121" s="68"/>
      <c r="OLQ121" s="68"/>
      <c r="OLR121" s="68"/>
      <c r="OLS121" s="68"/>
      <c r="OLT121" s="68"/>
      <c r="OLU121" s="68"/>
      <c r="OLV121" s="68"/>
      <c r="OLW121" s="68"/>
      <c r="OLX121" s="68"/>
      <c r="OLY121" s="68"/>
      <c r="OLZ121" s="68"/>
      <c r="OMA121" s="68"/>
      <c r="OMB121" s="68"/>
      <c r="OMC121" s="68"/>
      <c r="OMD121" s="68"/>
      <c r="OME121" s="68"/>
      <c r="OMF121" s="68"/>
      <c r="OMG121" s="68"/>
      <c r="OMH121" s="68"/>
      <c r="OMI121" s="68"/>
      <c r="OMJ121" s="68"/>
      <c r="OMK121" s="68"/>
      <c r="OML121" s="68"/>
      <c r="OMM121" s="68"/>
      <c r="OMN121" s="68"/>
      <c r="OMO121" s="68"/>
      <c r="OMP121" s="68"/>
      <c r="OMQ121" s="68"/>
      <c r="OMR121" s="68"/>
      <c r="OMS121" s="68"/>
      <c r="OMT121" s="68"/>
      <c r="OMU121" s="68"/>
      <c r="OMV121" s="68"/>
      <c r="OMW121" s="68"/>
      <c r="OMX121" s="68"/>
      <c r="OMY121" s="68"/>
      <c r="OMZ121" s="68"/>
      <c r="ONA121" s="68"/>
      <c r="ONB121" s="68"/>
      <c r="ONC121" s="68"/>
      <c r="OND121" s="68"/>
      <c r="ONE121" s="68"/>
      <c r="ONF121" s="68"/>
      <c r="ONG121" s="68"/>
      <c r="ONH121" s="68"/>
      <c r="ONI121" s="68"/>
      <c r="ONJ121" s="68"/>
      <c r="ONK121" s="68"/>
      <c r="ONL121" s="68"/>
      <c r="ONM121" s="68"/>
      <c r="ONN121" s="68"/>
      <c r="ONO121" s="68"/>
      <c r="ONP121" s="68"/>
      <c r="ONQ121" s="68"/>
      <c r="ONR121" s="68"/>
      <c r="ONS121" s="68"/>
      <c r="ONT121" s="68"/>
      <c r="ONU121" s="68"/>
      <c r="ONV121" s="68"/>
      <c r="ONW121" s="68"/>
      <c r="ONX121" s="68"/>
      <c r="ONY121" s="68"/>
      <c r="ONZ121" s="68"/>
      <c r="OOA121" s="68"/>
      <c r="OOB121" s="68"/>
      <c r="OOC121" s="68"/>
      <c r="OOD121" s="68"/>
      <c r="OOE121" s="68"/>
      <c r="OOF121" s="68"/>
      <c r="OOG121" s="68"/>
      <c r="OOH121" s="68"/>
      <c r="OOI121" s="68"/>
      <c r="OOJ121" s="68"/>
      <c r="OOK121" s="68"/>
      <c r="OOL121" s="68"/>
      <c r="OOM121" s="68"/>
      <c r="OON121" s="68"/>
      <c r="OOO121" s="68"/>
      <c r="OOP121" s="68"/>
      <c r="OOQ121" s="68"/>
      <c r="OOR121" s="68"/>
      <c r="OOS121" s="68"/>
      <c r="OOT121" s="68"/>
      <c r="OOU121" s="68"/>
      <c r="OOV121" s="68"/>
      <c r="OOW121" s="68"/>
      <c r="OOX121" s="68"/>
      <c r="OOY121" s="68"/>
      <c r="OOZ121" s="68"/>
      <c r="OPA121" s="68"/>
      <c r="OPB121" s="68"/>
      <c r="OPC121" s="68"/>
      <c r="OPD121" s="68"/>
      <c r="OPE121" s="68"/>
      <c r="OPF121" s="68"/>
      <c r="OPG121" s="68"/>
      <c r="OPH121" s="68"/>
      <c r="OPI121" s="68"/>
      <c r="OPJ121" s="68"/>
      <c r="OPK121" s="68"/>
      <c r="OPL121" s="68"/>
      <c r="OPM121" s="68"/>
      <c r="OPN121" s="68"/>
      <c r="OPO121" s="68"/>
      <c r="OPP121" s="68"/>
      <c r="OPQ121" s="68"/>
      <c r="OPR121" s="68"/>
      <c r="OPS121" s="68"/>
      <c r="OPT121" s="68"/>
      <c r="OPU121" s="68"/>
      <c r="OPV121" s="68"/>
      <c r="OPW121" s="68"/>
      <c r="OPX121" s="68"/>
      <c r="OPY121" s="68"/>
      <c r="OPZ121" s="68"/>
      <c r="OQA121" s="68"/>
      <c r="OQB121" s="68"/>
      <c r="OQC121" s="68"/>
      <c r="OQD121" s="68"/>
      <c r="OQE121" s="68"/>
      <c r="OQF121" s="68"/>
      <c r="OQG121" s="68"/>
      <c r="OQH121" s="68"/>
      <c r="OQI121" s="68"/>
      <c r="OQJ121" s="68"/>
      <c r="OQK121" s="68"/>
      <c r="OQL121" s="68"/>
      <c r="OQM121" s="68"/>
      <c r="OQN121" s="68"/>
      <c r="OQO121" s="68"/>
      <c r="OQP121" s="68"/>
      <c r="OQQ121" s="68"/>
      <c r="OQR121" s="68"/>
      <c r="OQS121" s="68"/>
      <c r="OQT121" s="68"/>
      <c r="OQU121" s="68"/>
      <c r="OQV121" s="68"/>
      <c r="OQW121" s="68"/>
      <c r="OQX121" s="68"/>
      <c r="OQY121" s="68"/>
      <c r="OQZ121" s="68"/>
      <c r="ORA121" s="68"/>
      <c r="ORB121" s="68"/>
      <c r="ORC121" s="68"/>
      <c r="ORD121" s="68"/>
      <c r="ORE121" s="68"/>
      <c r="ORF121" s="68"/>
      <c r="ORG121" s="68"/>
      <c r="ORH121" s="68"/>
      <c r="ORI121" s="68"/>
      <c r="ORJ121" s="68"/>
      <c r="ORK121" s="68"/>
      <c r="ORL121" s="68"/>
      <c r="ORM121" s="68"/>
      <c r="ORN121" s="68"/>
      <c r="ORO121" s="68"/>
      <c r="ORP121" s="68"/>
      <c r="ORQ121" s="68"/>
      <c r="ORR121" s="68"/>
      <c r="ORS121" s="68"/>
      <c r="ORT121" s="68"/>
      <c r="ORU121" s="68"/>
      <c r="ORV121" s="68"/>
      <c r="ORW121" s="68"/>
      <c r="ORX121" s="68"/>
      <c r="ORY121" s="68"/>
      <c r="ORZ121" s="68"/>
      <c r="OSA121" s="68"/>
      <c r="OSB121" s="68"/>
      <c r="OSC121" s="68"/>
      <c r="OSD121" s="68"/>
      <c r="OSE121" s="68"/>
      <c r="OSF121" s="68"/>
      <c r="OSG121" s="68"/>
      <c r="OSH121" s="68"/>
      <c r="OSI121" s="68"/>
      <c r="OSJ121" s="68"/>
      <c r="OSK121" s="68"/>
      <c r="OSL121" s="68"/>
      <c r="OSM121" s="68"/>
      <c r="OSN121" s="68"/>
      <c r="OSO121" s="68"/>
      <c r="OSP121" s="68"/>
      <c r="OSQ121" s="68"/>
      <c r="OSR121" s="68"/>
      <c r="OSS121" s="68"/>
      <c r="OST121" s="68"/>
      <c r="OSU121" s="68"/>
      <c r="OSV121" s="68"/>
      <c r="OSW121" s="68"/>
      <c r="OSX121" s="68"/>
      <c r="OSY121" s="68"/>
      <c r="OSZ121" s="68"/>
      <c r="OTA121" s="68"/>
      <c r="OTB121" s="68"/>
      <c r="OTC121" s="68"/>
      <c r="OTD121" s="68"/>
      <c r="OTE121" s="68"/>
      <c r="OTF121" s="68"/>
      <c r="OTG121" s="68"/>
      <c r="OTH121" s="68"/>
      <c r="OTI121" s="68"/>
      <c r="OTJ121" s="68"/>
      <c r="OTK121" s="68"/>
      <c r="OTL121" s="68"/>
      <c r="OTM121" s="68"/>
      <c r="OTN121" s="68"/>
      <c r="OTO121" s="68"/>
      <c r="OTP121" s="68"/>
      <c r="OTQ121" s="68"/>
      <c r="OTR121" s="68"/>
      <c r="OTS121" s="68"/>
      <c r="OTT121" s="68"/>
      <c r="OTU121" s="68"/>
      <c r="OTV121" s="68"/>
      <c r="OTW121" s="68"/>
      <c r="OTX121" s="68"/>
      <c r="OTY121" s="68"/>
      <c r="OTZ121" s="68"/>
      <c r="OUA121" s="68"/>
      <c r="OUB121" s="68"/>
      <c r="OUC121" s="68"/>
      <c r="OUD121" s="68"/>
      <c r="OUE121" s="68"/>
      <c r="OUF121" s="68"/>
      <c r="OUG121" s="68"/>
      <c r="OUH121" s="68"/>
      <c r="OUI121" s="68"/>
      <c r="OUJ121" s="68"/>
      <c r="OUK121" s="68"/>
      <c r="OUL121" s="68"/>
      <c r="OUM121" s="68"/>
      <c r="OUN121" s="68"/>
      <c r="OUO121" s="68"/>
      <c r="OUP121" s="68"/>
      <c r="OUQ121" s="68"/>
      <c r="OUR121" s="68"/>
      <c r="OUS121" s="68"/>
      <c r="OUT121" s="68"/>
      <c r="OUU121" s="68"/>
      <c r="OUV121" s="68"/>
      <c r="OUW121" s="68"/>
      <c r="OUX121" s="68"/>
      <c r="OUY121" s="68"/>
      <c r="OUZ121" s="68"/>
      <c r="OVA121" s="68"/>
      <c r="OVB121" s="68"/>
      <c r="OVC121" s="68"/>
      <c r="OVD121" s="68"/>
      <c r="OVE121" s="68"/>
      <c r="OVF121" s="68"/>
      <c r="OVG121" s="68"/>
      <c r="OVH121" s="68"/>
      <c r="OVI121" s="68"/>
      <c r="OVJ121" s="68"/>
      <c r="OVK121" s="68"/>
      <c r="OVL121" s="68"/>
      <c r="OVM121" s="68"/>
      <c r="OVN121" s="68"/>
      <c r="OVO121" s="68"/>
      <c r="OVP121" s="68"/>
      <c r="OVQ121" s="68"/>
      <c r="OVR121" s="68"/>
      <c r="OVS121" s="68"/>
      <c r="OVT121" s="68"/>
      <c r="OVU121" s="68"/>
      <c r="OVV121" s="68"/>
      <c r="OVW121" s="68"/>
      <c r="OVX121" s="68"/>
      <c r="OVY121" s="68"/>
      <c r="OVZ121" s="68"/>
      <c r="OWA121" s="68"/>
      <c r="OWB121" s="68"/>
      <c r="OWC121" s="68"/>
      <c r="OWD121" s="68"/>
      <c r="OWE121" s="68"/>
      <c r="OWF121" s="68"/>
      <c r="OWG121" s="68"/>
      <c r="OWH121" s="68"/>
      <c r="OWI121" s="68"/>
      <c r="OWJ121" s="68"/>
      <c r="OWK121" s="68"/>
      <c r="OWL121" s="68"/>
      <c r="OWM121" s="68"/>
      <c r="OWN121" s="68"/>
      <c r="OWO121" s="68"/>
      <c r="OWP121" s="68"/>
      <c r="OWQ121" s="68"/>
      <c r="OWR121" s="68"/>
      <c r="OWS121" s="68"/>
      <c r="OWT121" s="68"/>
      <c r="OWU121" s="68"/>
      <c r="OWV121" s="68"/>
      <c r="OWW121" s="68"/>
      <c r="OWX121" s="68"/>
      <c r="OWY121" s="68"/>
      <c r="OWZ121" s="68"/>
      <c r="OXA121" s="68"/>
      <c r="OXB121" s="68"/>
      <c r="OXC121" s="68"/>
      <c r="OXD121" s="68"/>
      <c r="OXE121" s="68"/>
      <c r="OXF121" s="68"/>
      <c r="OXG121" s="68"/>
      <c r="OXH121" s="68"/>
      <c r="OXI121" s="68"/>
      <c r="OXJ121" s="68"/>
      <c r="OXK121" s="68"/>
      <c r="OXL121" s="68"/>
      <c r="OXM121" s="68"/>
      <c r="OXN121" s="68"/>
      <c r="OXO121" s="68"/>
      <c r="OXP121" s="68"/>
      <c r="OXQ121" s="68"/>
      <c r="OXR121" s="68"/>
      <c r="OXS121" s="68"/>
      <c r="OXT121" s="68"/>
      <c r="OXU121" s="68"/>
      <c r="OXV121" s="68"/>
      <c r="OXW121" s="68"/>
      <c r="OXX121" s="68"/>
      <c r="OXY121" s="68"/>
      <c r="OXZ121" s="68"/>
      <c r="OYA121" s="68"/>
      <c r="OYB121" s="68"/>
      <c r="OYC121" s="68"/>
      <c r="OYD121" s="68"/>
      <c r="OYE121" s="68"/>
      <c r="OYF121" s="68"/>
      <c r="OYG121" s="68"/>
      <c r="OYH121" s="68"/>
      <c r="OYI121" s="68"/>
      <c r="OYJ121" s="68"/>
      <c r="OYK121" s="68"/>
      <c r="OYL121" s="68"/>
      <c r="OYM121" s="68"/>
      <c r="OYN121" s="68"/>
      <c r="OYO121" s="68"/>
      <c r="OYP121" s="68"/>
      <c r="OYQ121" s="68"/>
      <c r="OYR121" s="68"/>
      <c r="OYS121" s="68"/>
      <c r="OYT121" s="68"/>
      <c r="OYU121" s="68"/>
      <c r="OYV121" s="68"/>
      <c r="OYW121" s="68"/>
      <c r="OYX121" s="68"/>
      <c r="OYY121" s="68"/>
      <c r="OYZ121" s="68"/>
      <c r="OZA121" s="68"/>
      <c r="OZB121" s="68"/>
      <c r="OZC121" s="68"/>
      <c r="OZD121" s="68"/>
      <c r="OZE121" s="68"/>
      <c r="OZF121" s="68"/>
      <c r="OZG121" s="68"/>
      <c r="OZH121" s="68"/>
      <c r="OZI121" s="68"/>
      <c r="OZJ121" s="68"/>
      <c r="OZK121" s="68"/>
      <c r="OZL121" s="68"/>
      <c r="OZM121" s="68"/>
      <c r="OZN121" s="68"/>
      <c r="OZO121" s="68"/>
      <c r="OZP121" s="68"/>
      <c r="OZQ121" s="68"/>
      <c r="OZR121" s="68"/>
      <c r="OZS121" s="68"/>
      <c r="OZT121" s="68"/>
      <c r="OZU121" s="68"/>
      <c r="OZV121" s="68"/>
      <c r="OZW121" s="68"/>
      <c r="OZX121" s="68"/>
      <c r="OZY121" s="68"/>
      <c r="OZZ121" s="68"/>
      <c r="PAA121" s="68"/>
      <c r="PAB121" s="68"/>
      <c r="PAC121" s="68"/>
      <c r="PAD121" s="68"/>
      <c r="PAE121" s="68"/>
      <c r="PAF121" s="68"/>
      <c r="PAG121" s="68"/>
      <c r="PAH121" s="68"/>
      <c r="PAI121" s="68"/>
      <c r="PAJ121" s="68"/>
      <c r="PAK121" s="68"/>
      <c r="PAL121" s="68"/>
      <c r="PAM121" s="68"/>
      <c r="PAN121" s="68"/>
      <c r="PAO121" s="68"/>
      <c r="PAP121" s="68"/>
      <c r="PAQ121" s="68"/>
      <c r="PAR121" s="68"/>
      <c r="PAS121" s="68"/>
      <c r="PAT121" s="68"/>
      <c r="PAU121" s="68"/>
      <c r="PAV121" s="68"/>
      <c r="PAW121" s="68"/>
      <c r="PAX121" s="68"/>
      <c r="PAY121" s="68"/>
      <c r="PAZ121" s="68"/>
      <c r="PBA121" s="68"/>
      <c r="PBB121" s="68"/>
      <c r="PBC121" s="68"/>
      <c r="PBD121" s="68"/>
      <c r="PBE121" s="68"/>
      <c r="PBF121" s="68"/>
      <c r="PBG121" s="68"/>
      <c r="PBH121" s="68"/>
      <c r="PBI121" s="68"/>
      <c r="PBJ121" s="68"/>
      <c r="PBK121" s="68"/>
      <c r="PBL121" s="68"/>
      <c r="PBM121" s="68"/>
      <c r="PBN121" s="68"/>
      <c r="PBO121" s="68"/>
      <c r="PBP121" s="68"/>
      <c r="PBQ121" s="68"/>
      <c r="PBR121" s="68"/>
      <c r="PBS121" s="68"/>
      <c r="PBT121" s="68"/>
      <c r="PBU121" s="68"/>
      <c r="PBV121" s="68"/>
      <c r="PBW121" s="68"/>
      <c r="PBX121" s="68"/>
      <c r="PBY121" s="68"/>
      <c r="PBZ121" s="68"/>
      <c r="PCA121" s="68"/>
      <c r="PCB121" s="68"/>
      <c r="PCC121" s="68"/>
      <c r="PCD121" s="68"/>
      <c r="PCE121" s="68"/>
      <c r="PCF121" s="68"/>
      <c r="PCG121" s="68"/>
      <c r="PCH121" s="68"/>
      <c r="PCI121" s="68"/>
      <c r="PCJ121" s="68"/>
      <c r="PCK121" s="68"/>
      <c r="PCL121" s="68"/>
      <c r="PCM121" s="68"/>
      <c r="PCN121" s="68"/>
      <c r="PCO121" s="68"/>
      <c r="PCP121" s="68"/>
      <c r="PCQ121" s="68"/>
      <c r="PCR121" s="68"/>
      <c r="PCS121" s="68"/>
      <c r="PCT121" s="68"/>
      <c r="PCU121" s="68"/>
      <c r="PCV121" s="68"/>
      <c r="PCW121" s="68"/>
      <c r="PCX121" s="68"/>
      <c r="PCY121" s="68"/>
      <c r="PCZ121" s="68"/>
      <c r="PDA121" s="68"/>
      <c r="PDB121" s="68"/>
      <c r="PDC121" s="68"/>
      <c r="PDD121" s="68"/>
      <c r="PDE121" s="68"/>
      <c r="PDF121" s="68"/>
      <c r="PDG121" s="68"/>
      <c r="PDH121" s="68"/>
      <c r="PDI121" s="68"/>
      <c r="PDJ121" s="68"/>
      <c r="PDK121" s="68"/>
      <c r="PDL121" s="68"/>
      <c r="PDM121" s="68"/>
      <c r="PDN121" s="68"/>
      <c r="PDO121" s="68"/>
      <c r="PDP121" s="68"/>
      <c r="PDQ121" s="68"/>
      <c r="PDR121" s="68"/>
      <c r="PDS121" s="68"/>
      <c r="PDT121" s="68"/>
      <c r="PDU121" s="68"/>
      <c r="PDV121" s="68"/>
      <c r="PDW121" s="68"/>
      <c r="PDX121" s="68"/>
      <c r="PDY121" s="68"/>
      <c r="PDZ121" s="68"/>
      <c r="PEA121" s="68"/>
      <c r="PEB121" s="68"/>
      <c r="PEC121" s="68"/>
      <c r="PED121" s="68"/>
      <c r="PEE121" s="68"/>
      <c r="PEF121" s="68"/>
      <c r="PEG121" s="68"/>
      <c r="PEH121" s="68"/>
      <c r="PEI121" s="68"/>
      <c r="PEJ121" s="68"/>
      <c r="PEK121" s="68"/>
      <c r="PEL121" s="68"/>
      <c r="PEM121" s="68"/>
      <c r="PEN121" s="68"/>
      <c r="PEO121" s="68"/>
      <c r="PEP121" s="68"/>
      <c r="PEQ121" s="68"/>
      <c r="PER121" s="68"/>
      <c r="PES121" s="68"/>
      <c r="PET121" s="68"/>
      <c r="PEU121" s="68"/>
      <c r="PEV121" s="68"/>
      <c r="PEW121" s="68"/>
      <c r="PEX121" s="68"/>
      <c r="PEY121" s="68"/>
      <c r="PEZ121" s="68"/>
      <c r="PFA121" s="68"/>
      <c r="PFB121" s="68"/>
      <c r="PFC121" s="68"/>
      <c r="PFD121" s="68"/>
      <c r="PFE121" s="68"/>
      <c r="PFF121" s="68"/>
      <c r="PFG121" s="68"/>
      <c r="PFH121" s="68"/>
      <c r="PFI121" s="68"/>
      <c r="PFJ121" s="68"/>
      <c r="PFK121" s="68"/>
      <c r="PFL121" s="68"/>
      <c r="PFM121" s="68"/>
      <c r="PFN121" s="68"/>
      <c r="PFO121" s="68"/>
      <c r="PFP121" s="68"/>
      <c r="PFQ121" s="68"/>
      <c r="PFR121" s="68"/>
      <c r="PFS121" s="68"/>
      <c r="PFT121" s="68"/>
      <c r="PFU121" s="68"/>
      <c r="PFV121" s="68"/>
      <c r="PFW121" s="68"/>
      <c r="PFX121" s="68"/>
      <c r="PFY121" s="68"/>
      <c r="PFZ121" s="68"/>
      <c r="PGA121" s="68"/>
      <c r="PGB121" s="68"/>
      <c r="PGC121" s="68"/>
      <c r="PGD121" s="68"/>
      <c r="PGE121" s="68"/>
      <c r="PGF121" s="68"/>
      <c r="PGG121" s="68"/>
      <c r="PGH121" s="68"/>
      <c r="PGI121" s="68"/>
      <c r="PGJ121" s="68"/>
      <c r="PGK121" s="68"/>
      <c r="PGL121" s="68"/>
      <c r="PGM121" s="68"/>
      <c r="PGN121" s="68"/>
      <c r="PGO121" s="68"/>
      <c r="PGP121" s="68"/>
      <c r="PGQ121" s="68"/>
      <c r="PGR121" s="68"/>
      <c r="PGS121" s="68"/>
      <c r="PGT121" s="68"/>
      <c r="PGU121" s="68"/>
      <c r="PGV121" s="68"/>
      <c r="PGW121" s="68"/>
      <c r="PGX121" s="68"/>
      <c r="PGY121" s="68"/>
      <c r="PGZ121" s="68"/>
      <c r="PHA121" s="68"/>
      <c r="PHB121" s="68"/>
      <c r="PHC121" s="68"/>
      <c r="PHD121" s="68"/>
      <c r="PHE121" s="68"/>
      <c r="PHF121" s="68"/>
      <c r="PHG121" s="68"/>
      <c r="PHH121" s="68"/>
      <c r="PHI121" s="68"/>
      <c r="PHJ121" s="68"/>
      <c r="PHK121" s="68"/>
      <c r="PHL121" s="68"/>
      <c r="PHM121" s="68"/>
      <c r="PHN121" s="68"/>
      <c r="PHO121" s="68"/>
      <c r="PHP121" s="68"/>
      <c r="PHQ121" s="68"/>
      <c r="PHR121" s="68"/>
      <c r="PHS121" s="68"/>
      <c r="PHT121" s="68"/>
      <c r="PHU121" s="68"/>
      <c r="PHV121" s="68"/>
      <c r="PHW121" s="68"/>
      <c r="PHX121" s="68"/>
      <c r="PHY121" s="68"/>
      <c r="PHZ121" s="68"/>
      <c r="PIA121" s="68"/>
      <c r="PIB121" s="68"/>
      <c r="PIC121" s="68"/>
      <c r="PID121" s="68"/>
      <c r="PIE121" s="68"/>
      <c r="PIF121" s="68"/>
      <c r="PIG121" s="68"/>
      <c r="PIH121" s="68"/>
      <c r="PII121" s="68"/>
      <c r="PIJ121" s="68"/>
      <c r="PIK121" s="68"/>
      <c r="PIL121" s="68"/>
      <c r="PIM121" s="68"/>
      <c r="PIN121" s="68"/>
      <c r="PIO121" s="68"/>
      <c r="PIP121" s="68"/>
      <c r="PIQ121" s="68"/>
      <c r="PIR121" s="68"/>
      <c r="PIS121" s="68"/>
      <c r="PIT121" s="68"/>
      <c r="PIU121" s="68"/>
      <c r="PIV121" s="68"/>
      <c r="PIW121" s="68"/>
      <c r="PIX121" s="68"/>
      <c r="PIY121" s="68"/>
      <c r="PIZ121" s="68"/>
      <c r="PJA121" s="68"/>
      <c r="PJB121" s="68"/>
      <c r="PJC121" s="68"/>
      <c r="PJD121" s="68"/>
      <c r="PJE121" s="68"/>
      <c r="PJF121" s="68"/>
      <c r="PJG121" s="68"/>
      <c r="PJH121" s="68"/>
      <c r="PJI121" s="68"/>
      <c r="PJJ121" s="68"/>
      <c r="PJK121" s="68"/>
      <c r="PJL121" s="68"/>
      <c r="PJM121" s="68"/>
      <c r="PJN121" s="68"/>
      <c r="PJO121" s="68"/>
      <c r="PJP121" s="68"/>
      <c r="PJQ121" s="68"/>
      <c r="PJR121" s="68"/>
      <c r="PJS121" s="68"/>
      <c r="PJT121" s="68"/>
      <c r="PJU121" s="68"/>
      <c r="PJV121" s="68"/>
      <c r="PJW121" s="68"/>
      <c r="PJX121" s="68"/>
      <c r="PJY121" s="68"/>
      <c r="PJZ121" s="68"/>
      <c r="PKA121" s="68"/>
      <c r="PKB121" s="68"/>
      <c r="PKC121" s="68"/>
      <c r="PKD121" s="68"/>
      <c r="PKE121" s="68"/>
      <c r="PKF121" s="68"/>
      <c r="PKG121" s="68"/>
      <c r="PKH121" s="68"/>
      <c r="PKI121" s="68"/>
      <c r="PKJ121" s="68"/>
      <c r="PKK121" s="68"/>
      <c r="PKL121" s="68"/>
      <c r="PKM121" s="68"/>
      <c r="PKN121" s="68"/>
      <c r="PKO121" s="68"/>
      <c r="PKP121" s="68"/>
      <c r="PKQ121" s="68"/>
      <c r="PKR121" s="68"/>
      <c r="PKS121" s="68"/>
      <c r="PKT121" s="68"/>
      <c r="PKU121" s="68"/>
      <c r="PKV121" s="68"/>
      <c r="PKW121" s="68"/>
      <c r="PKX121" s="68"/>
      <c r="PKY121" s="68"/>
      <c r="PKZ121" s="68"/>
      <c r="PLA121" s="68"/>
      <c r="PLB121" s="68"/>
      <c r="PLC121" s="68"/>
      <c r="PLD121" s="68"/>
      <c r="PLE121" s="68"/>
      <c r="PLF121" s="68"/>
      <c r="PLG121" s="68"/>
      <c r="PLH121" s="68"/>
      <c r="PLI121" s="68"/>
      <c r="PLJ121" s="68"/>
      <c r="PLK121" s="68"/>
      <c r="PLL121" s="68"/>
      <c r="PLM121" s="68"/>
      <c r="PLN121" s="68"/>
      <c r="PLO121" s="68"/>
      <c r="PLP121" s="68"/>
      <c r="PLQ121" s="68"/>
      <c r="PLR121" s="68"/>
      <c r="PLS121" s="68"/>
      <c r="PLT121" s="68"/>
      <c r="PLU121" s="68"/>
      <c r="PLV121" s="68"/>
      <c r="PLW121" s="68"/>
      <c r="PLX121" s="68"/>
      <c r="PLY121" s="68"/>
      <c r="PLZ121" s="68"/>
      <c r="PMA121" s="68"/>
      <c r="PMB121" s="68"/>
      <c r="PMC121" s="68"/>
      <c r="PMD121" s="68"/>
      <c r="PME121" s="68"/>
      <c r="PMF121" s="68"/>
      <c r="PMG121" s="68"/>
      <c r="PMH121" s="68"/>
      <c r="PMI121" s="68"/>
      <c r="PMJ121" s="68"/>
      <c r="PMK121" s="68"/>
      <c r="PML121" s="68"/>
      <c r="PMM121" s="68"/>
      <c r="PMN121" s="68"/>
      <c r="PMO121" s="68"/>
      <c r="PMP121" s="68"/>
      <c r="PMQ121" s="68"/>
      <c r="PMR121" s="68"/>
      <c r="PMS121" s="68"/>
      <c r="PMT121" s="68"/>
      <c r="PMU121" s="68"/>
      <c r="PMV121" s="68"/>
      <c r="PMW121" s="68"/>
      <c r="PMX121" s="68"/>
      <c r="PMY121" s="68"/>
      <c r="PMZ121" s="68"/>
      <c r="PNA121" s="68"/>
      <c r="PNB121" s="68"/>
      <c r="PNC121" s="68"/>
      <c r="PND121" s="68"/>
      <c r="PNE121" s="68"/>
      <c r="PNF121" s="68"/>
      <c r="PNG121" s="68"/>
      <c r="PNH121" s="68"/>
      <c r="PNI121" s="68"/>
      <c r="PNJ121" s="68"/>
      <c r="PNK121" s="68"/>
      <c r="PNL121" s="68"/>
      <c r="PNM121" s="68"/>
      <c r="PNN121" s="68"/>
      <c r="PNO121" s="68"/>
      <c r="PNP121" s="68"/>
      <c r="PNQ121" s="68"/>
      <c r="PNR121" s="68"/>
      <c r="PNS121" s="68"/>
      <c r="PNT121" s="68"/>
      <c r="PNU121" s="68"/>
      <c r="PNV121" s="68"/>
      <c r="PNW121" s="68"/>
      <c r="PNX121" s="68"/>
      <c r="PNY121" s="68"/>
      <c r="PNZ121" s="68"/>
      <c r="POA121" s="68"/>
      <c r="POB121" s="68"/>
      <c r="POC121" s="68"/>
      <c r="POD121" s="68"/>
      <c r="POE121" s="68"/>
      <c r="POF121" s="68"/>
      <c r="POG121" s="68"/>
      <c r="POH121" s="68"/>
      <c r="POI121" s="68"/>
      <c r="POJ121" s="68"/>
      <c r="POK121" s="68"/>
      <c r="POL121" s="68"/>
      <c r="POM121" s="68"/>
      <c r="PON121" s="68"/>
      <c r="POO121" s="68"/>
      <c r="POP121" s="68"/>
      <c r="POQ121" s="68"/>
      <c r="POR121" s="68"/>
      <c r="POS121" s="68"/>
      <c r="POT121" s="68"/>
      <c r="POU121" s="68"/>
      <c r="POV121" s="68"/>
      <c r="POW121" s="68"/>
      <c r="POX121" s="68"/>
      <c r="POY121" s="68"/>
      <c r="POZ121" s="68"/>
      <c r="PPA121" s="68"/>
      <c r="PPB121" s="68"/>
      <c r="PPC121" s="68"/>
      <c r="PPD121" s="68"/>
      <c r="PPE121" s="68"/>
      <c r="PPF121" s="68"/>
      <c r="PPG121" s="68"/>
      <c r="PPH121" s="68"/>
      <c r="PPI121" s="68"/>
      <c r="PPJ121" s="68"/>
      <c r="PPK121" s="68"/>
      <c r="PPL121" s="68"/>
      <c r="PPM121" s="68"/>
      <c r="PPN121" s="68"/>
      <c r="PPO121" s="68"/>
      <c r="PPP121" s="68"/>
      <c r="PPQ121" s="68"/>
      <c r="PPR121" s="68"/>
      <c r="PPS121" s="68"/>
      <c r="PPT121" s="68"/>
      <c r="PPU121" s="68"/>
      <c r="PPV121" s="68"/>
      <c r="PPW121" s="68"/>
      <c r="PPX121" s="68"/>
      <c r="PPY121" s="68"/>
      <c r="PPZ121" s="68"/>
      <c r="PQA121" s="68"/>
      <c r="PQB121" s="68"/>
      <c r="PQC121" s="68"/>
      <c r="PQD121" s="68"/>
      <c r="PQE121" s="68"/>
      <c r="PQF121" s="68"/>
      <c r="PQG121" s="68"/>
      <c r="PQH121" s="68"/>
      <c r="PQI121" s="68"/>
      <c r="PQJ121" s="68"/>
      <c r="PQK121" s="68"/>
      <c r="PQL121" s="68"/>
      <c r="PQM121" s="68"/>
      <c r="PQN121" s="68"/>
      <c r="PQO121" s="68"/>
      <c r="PQP121" s="68"/>
      <c r="PQQ121" s="68"/>
      <c r="PQR121" s="68"/>
      <c r="PQS121" s="68"/>
      <c r="PQT121" s="68"/>
      <c r="PQU121" s="68"/>
      <c r="PQV121" s="68"/>
      <c r="PQW121" s="68"/>
      <c r="PQX121" s="68"/>
      <c r="PQY121" s="68"/>
      <c r="PQZ121" s="68"/>
      <c r="PRA121" s="68"/>
      <c r="PRB121" s="68"/>
      <c r="PRC121" s="68"/>
      <c r="PRD121" s="68"/>
      <c r="PRE121" s="68"/>
      <c r="PRF121" s="68"/>
      <c r="PRG121" s="68"/>
      <c r="PRH121" s="68"/>
      <c r="PRI121" s="68"/>
      <c r="PRJ121" s="68"/>
      <c r="PRK121" s="68"/>
      <c r="PRL121" s="68"/>
      <c r="PRM121" s="68"/>
      <c r="PRN121" s="68"/>
      <c r="PRO121" s="68"/>
      <c r="PRP121" s="68"/>
      <c r="PRQ121" s="68"/>
      <c r="PRR121" s="68"/>
      <c r="PRS121" s="68"/>
      <c r="PRT121" s="68"/>
      <c r="PRU121" s="68"/>
      <c r="PRV121" s="68"/>
      <c r="PRW121" s="68"/>
      <c r="PRX121" s="68"/>
      <c r="PRY121" s="68"/>
      <c r="PRZ121" s="68"/>
      <c r="PSA121" s="68"/>
      <c r="PSB121" s="68"/>
      <c r="PSC121" s="68"/>
      <c r="PSD121" s="68"/>
      <c r="PSE121" s="68"/>
      <c r="PSF121" s="68"/>
      <c r="PSG121" s="68"/>
      <c r="PSH121" s="68"/>
      <c r="PSI121" s="68"/>
      <c r="PSJ121" s="68"/>
      <c r="PSK121" s="68"/>
      <c r="PSL121" s="68"/>
      <c r="PSM121" s="68"/>
      <c r="PSN121" s="68"/>
      <c r="PSO121" s="68"/>
      <c r="PSP121" s="68"/>
      <c r="PSQ121" s="68"/>
      <c r="PSR121" s="68"/>
      <c r="PSS121" s="68"/>
      <c r="PST121" s="68"/>
      <c r="PSU121" s="68"/>
      <c r="PSV121" s="68"/>
      <c r="PSW121" s="68"/>
      <c r="PSX121" s="68"/>
      <c r="PSY121" s="68"/>
      <c r="PSZ121" s="68"/>
      <c r="PTA121" s="68"/>
      <c r="PTB121" s="68"/>
      <c r="PTC121" s="68"/>
      <c r="PTD121" s="68"/>
      <c r="PTE121" s="68"/>
      <c r="PTF121" s="68"/>
      <c r="PTG121" s="68"/>
      <c r="PTH121" s="68"/>
      <c r="PTI121" s="68"/>
      <c r="PTJ121" s="68"/>
      <c r="PTK121" s="68"/>
      <c r="PTL121" s="68"/>
      <c r="PTM121" s="68"/>
      <c r="PTN121" s="68"/>
      <c r="PTO121" s="68"/>
      <c r="PTP121" s="68"/>
      <c r="PTQ121" s="68"/>
      <c r="PTR121" s="68"/>
      <c r="PTS121" s="68"/>
      <c r="PTT121" s="68"/>
      <c r="PTU121" s="68"/>
      <c r="PTV121" s="68"/>
      <c r="PTW121" s="68"/>
      <c r="PTX121" s="68"/>
      <c r="PTY121" s="68"/>
      <c r="PTZ121" s="68"/>
      <c r="PUA121" s="68"/>
      <c r="PUB121" s="68"/>
      <c r="PUC121" s="68"/>
      <c r="PUD121" s="68"/>
      <c r="PUE121" s="68"/>
      <c r="PUF121" s="68"/>
      <c r="PUG121" s="68"/>
      <c r="PUH121" s="68"/>
      <c r="PUI121" s="68"/>
      <c r="PUJ121" s="68"/>
      <c r="PUK121" s="68"/>
      <c r="PUL121" s="68"/>
      <c r="PUM121" s="68"/>
      <c r="PUN121" s="68"/>
      <c r="PUO121" s="68"/>
      <c r="PUP121" s="68"/>
      <c r="PUQ121" s="68"/>
      <c r="PUR121" s="68"/>
      <c r="PUS121" s="68"/>
      <c r="PUT121" s="68"/>
      <c r="PUU121" s="68"/>
      <c r="PUV121" s="68"/>
      <c r="PUW121" s="68"/>
      <c r="PUX121" s="68"/>
      <c r="PUY121" s="68"/>
      <c r="PUZ121" s="68"/>
      <c r="PVA121" s="68"/>
      <c r="PVB121" s="68"/>
      <c r="PVC121" s="68"/>
      <c r="PVD121" s="68"/>
      <c r="PVE121" s="68"/>
      <c r="PVF121" s="68"/>
      <c r="PVG121" s="68"/>
      <c r="PVH121" s="68"/>
      <c r="PVI121" s="68"/>
      <c r="PVJ121" s="68"/>
      <c r="PVK121" s="68"/>
      <c r="PVL121" s="68"/>
      <c r="PVM121" s="68"/>
      <c r="PVN121" s="68"/>
      <c r="PVO121" s="68"/>
      <c r="PVP121" s="68"/>
      <c r="PVQ121" s="68"/>
      <c r="PVR121" s="68"/>
      <c r="PVS121" s="68"/>
      <c r="PVT121" s="68"/>
      <c r="PVU121" s="68"/>
      <c r="PVV121" s="68"/>
      <c r="PVW121" s="68"/>
      <c r="PVX121" s="68"/>
      <c r="PVY121" s="68"/>
      <c r="PVZ121" s="68"/>
      <c r="PWA121" s="68"/>
      <c r="PWB121" s="68"/>
      <c r="PWC121" s="68"/>
      <c r="PWD121" s="68"/>
      <c r="PWE121" s="68"/>
      <c r="PWF121" s="68"/>
      <c r="PWG121" s="68"/>
      <c r="PWH121" s="68"/>
      <c r="PWI121" s="68"/>
      <c r="PWJ121" s="68"/>
      <c r="PWK121" s="68"/>
      <c r="PWL121" s="68"/>
      <c r="PWM121" s="68"/>
      <c r="PWN121" s="68"/>
      <c r="PWO121" s="68"/>
      <c r="PWP121" s="68"/>
      <c r="PWQ121" s="68"/>
      <c r="PWR121" s="68"/>
      <c r="PWS121" s="68"/>
      <c r="PWT121" s="68"/>
      <c r="PWU121" s="68"/>
      <c r="PWV121" s="68"/>
      <c r="PWW121" s="68"/>
      <c r="PWX121" s="68"/>
      <c r="PWY121" s="68"/>
      <c r="PWZ121" s="68"/>
      <c r="PXA121" s="68"/>
      <c r="PXB121" s="68"/>
      <c r="PXC121" s="68"/>
      <c r="PXD121" s="68"/>
      <c r="PXE121" s="68"/>
      <c r="PXF121" s="68"/>
      <c r="PXG121" s="68"/>
      <c r="PXH121" s="68"/>
      <c r="PXI121" s="68"/>
      <c r="PXJ121" s="68"/>
      <c r="PXK121" s="68"/>
      <c r="PXL121" s="68"/>
      <c r="PXM121" s="68"/>
      <c r="PXN121" s="68"/>
      <c r="PXO121" s="68"/>
      <c r="PXP121" s="68"/>
      <c r="PXQ121" s="68"/>
      <c r="PXR121" s="68"/>
      <c r="PXS121" s="68"/>
      <c r="PXT121" s="68"/>
      <c r="PXU121" s="68"/>
      <c r="PXV121" s="68"/>
      <c r="PXW121" s="68"/>
      <c r="PXX121" s="68"/>
      <c r="PXY121" s="68"/>
      <c r="PXZ121" s="68"/>
      <c r="PYA121" s="68"/>
      <c r="PYB121" s="68"/>
      <c r="PYC121" s="68"/>
      <c r="PYD121" s="68"/>
      <c r="PYE121" s="68"/>
      <c r="PYF121" s="68"/>
      <c r="PYG121" s="68"/>
      <c r="PYH121" s="68"/>
      <c r="PYI121" s="68"/>
      <c r="PYJ121" s="68"/>
      <c r="PYK121" s="68"/>
      <c r="PYL121" s="68"/>
      <c r="PYM121" s="68"/>
      <c r="PYN121" s="68"/>
      <c r="PYO121" s="68"/>
      <c r="PYP121" s="68"/>
      <c r="PYQ121" s="68"/>
      <c r="PYR121" s="68"/>
      <c r="PYS121" s="68"/>
      <c r="PYT121" s="68"/>
      <c r="PYU121" s="68"/>
      <c r="PYV121" s="68"/>
      <c r="PYW121" s="68"/>
      <c r="PYX121" s="68"/>
      <c r="PYY121" s="68"/>
      <c r="PYZ121" s="68"/>
      <c r="PZA121" s="68"/>
      <c r="PZB121" s="68"/>
      <c r="PZC121" s="68"/>
      <c r="PZD121" s="68"/>
      <c r="PZE121" s="68"/>
      <c r="PZF121" s="68"/>
      <c r="PZG121" s="68"/>
      <c r="PZH121" s="68"/>
      <c r="PZI121" s="68"/>
      <c r="PZJ121" s="68"/>
      <c r="PZK121" s="68"/>
      <c r="PZL121" s="68"/>
      <c r="PZM121" s="68"/>
      <c r="PZN121" s="68"/>
      <c r="PZO121" s="68"/>
      <c r="PZP121" s="68"/>
      <c r="PZQ121" s="68"/>
      <c r="PZR121" s="68"/>
      <c r="PZS121" s="68"/>
      <c r="PZT121" s="68"/>
      <c r="PZU121" s="68"/>
      <c r="PZV121" s="68"/>
      <c r="PZW121" s="68"/>
      <c r="PZX121" s="68"/>
      <c r="PZY121" s="68"/>
      <c r="PZZ121" s="68"/>
      <c r="QAA121" s="68"/>
      <c r="QAB121" s="68"/>
      <c r="QAC121" s="68"/>
      <c r="QAD121" s="68"/>
      <c r="QAE121" s="68"/>
      <c r="QAF121" s="68"/>
      <c r="QAG121" s="68"/>
      <c r="QAH121" s="68"/>
      <c r="QAI121" s="68"/>
      <c r="QAJ121" s="68"/>
      <c r="QAK121" s="68"/>
      <c r="QAL121" s="68"/>
      <c r="QAM121" s="68"/>
      <c r="QAN121" s="68"/>
      <c r="QAO121" s="68"/>
      <c r="QAP121" s="68"/>
      <c r="QAQ121" s="68"/>
      <c r="QAR121" s="68"/>
      <c r="QAS121" s="68"/>
      <c r="QAT121" s="68"/>
      <c r="QAU121" s="68"/>
      <c r="QAV121" s="68"/>
      <c r="QAW121" s="68"/>
      <c r="QAX121" s="68"/>
      <c r="QAY121" s="68"/>
      <c r="QAZ121" s="68"/>
      <c r="QBA121" s="68"/>
      <c r="QBB121" s="68"/>
      <c r="QBC121" s="68"/>
      <c r="QBD121" s="68"/>
      <c r="QBE121" s="68"/>
      <c r="QBF121" s="68"/>
      <c r="QBG121" s="68"/>
      <c r="QBH121" s="68"/>
      <c r="QBI121" s="68"/>
      <c r="QBJ121" s="68"/>
      <c r="QBK121" s="68"/>
      <c r="QBL121" s="68"/>
      <c r="QBM121" s="68"/>
      <c r="QBN121" s="68"/>
      <c r="QBO121" s="68"/>
      <c r="QBP121" s="68"/>
      <c r="QBQ121" s="68"/>
      <c r="QBR121" s="68"/>
      <c r="QBS121" s="68"/>
      <c r="QBT121" s="68"/>
      <c r="QBU121" s="68"/>
      <c r="QBV121" s="68"/>
      <c r="QBW121" s="68"/>
      <c r="QBX121" s="68"/>
      <c r="QBY121" s="68"/>
      <c r="QBZ121" s="68"/>
      <c r="QCA121" s="68"/>
      <c r="QCB121" s="68"/>
      <c r="QCC121" s="68"/>
      <c r="QCD121" s="68"/>
      <c r="QCE121" s="68"/>
      <c r="QCF121" s="68"/>
      <c r="QCG121" s="68"/>
      <c r="QCH121" s="68"/>
      <c r="QCI121" s="68"/>
      <c r="QCJ121" s="68"/>
      <c r="QCK121" s="68"/>
      <c r="QCL121" s="68"/>
      <c r="QCM121" s="68"/>
      <c r="QCN121" s="68"/>
      <c r="QCO121" s="68"/>
      <c r="QCP121" s="68"/>
      <c r="QCQ121" s="68"/>
      <c r="QCR121" s="68"/>
      <c r="QCS121" s="68"/>
      <c r="QCT121" s="68"/>
      <c r="QCU121" s="68"/>
      <c r="QCV121" s="68"/>
      <c r="QCW121" s="68"/>
      <c r="QCX121" s="68"/>
      <c r="QCY121" s="68"/>
      <c r="QCZ121" s="68"/>
      <c r="QDA121" s="68"/>
      <c r="QDB121" s="68"/>
      <c r="QDC121" s="68"/>
      <c r="QDD121" s="68"/>
      <c r="QDE121" s="68"/>
      <c r="QDF121" s="68"/>
      <c r="QDG121" s="68"/>
      <c r="QDH121" s="68"/>
      <c r="QDI121" s="68"/>
      <c r="QDJ121" s="68"/>
      <c r="QDK121" s="68"/>
      <c r="QDL121" s="68"/>
      <c r="QDM121" s="68"/>
      <c r="QDN121" s="68"/>
      <c r="QDO121" s="68"/>
      <c r="QDP121" s="68"/>
      <c r="QDQ121" s="68"/>
      <c r="QDR121" s="68"/>
      <c r="QDS121" s="68"/>
      <c r="QDT121" s="68"/>
      <c r="QDU121" s="68"/>
      <c r="QDV121" s="68"/>
      <c r="QDW121" s="68"/>
      <c r="QDX121" s="68"/>
      <c r="QDY121" s="68"/>
      <c r="QDZ121" s="68"/>
      <c r="QEA121" s="68"/>
      <c r="QEB121" s="68"/>
      <c r="QEC121" s="68"/>
      <c r="QED121" s="68"/>
      <c r="QEE121" s="68"/>
      <c r="QEF121" s="68"/>
      <c r="QEG121" s="68"/>
      <c r="QEH121" s="68"/>
      <c r="QEI121" s="68"/>
      <c r="QEJ121" s="68"/>
      <c r="QEK121" s="68"/>
      <c r="QEL121" s="68"/>
      <c r="QEM121" s="68"/>
      <c r="QEN121" s="68"/>
      <c r="QEO121" s="68"/>
      <c r="QEP121" s="68"/>
      <c r="QEQ121" s="68"/>
      <c r="QER121" s="68"/>
      <c r="QES121" s="68"/>
      <c r="QET121" s="68"/>
      <c r="QEU121" s="68"/>
      <c r="QEV121" s="68"/>
      <c r="QEW121" s="68"/>
      <c r="QEX121" s="68"/>
      <c r="QEY121" s="68"/>
      <c r="QEZ121" s="68"/>
      <c r="QFA121" s="68"/>
      <c r="QFB121" s="68"/>
      <c r="QFC121" s="68"/>
      <c r="QFD121" s="68"/>
      <c r="QFE121" s="68"/>
      <c r="QFF121" s="68"/>
      <c r="QFG121" s="68"/>
      <c r="QFH121" s="68"/>
      <c r="QFI121" s="68"/>
      <c r="QFJ121" s="68"/>
      <c r="QFK121" s="68"/>
      <c r="QFL121" s="68"/>
      <c r="QFM121" s="68"/>
      <c r="QFN121" s="68"/>
      <c r="QFO121" s="68"/>
      <c r="QFP121" s="68"/>
      <c r="QFQ121" s="68"/>
      <c r="QFR121" s="68"/>
      <c r="QFS121" s="68"/>
      <c r="QFT121" s="68"/>
      <c r="QFU121" s="68"/>
      <c r="QFV121" s="68"/>
      <c r="QFW121" s="68"/>
      <c r="QFX121" s="68"/>
      <c r="QFY121" s="68"/>
      <c r="QFZ121" s="68"/>
      <c r="QGA121" s="68"/>
      <c r="QGB121" s="68"/>
      <c r="QGC121" s="68"/>
      <c r="QGD121" s="68"/>
      <c r="QGE121" s="68"/>
      <c r="QGF121" s="68"/>
      <c r="QGG121" s="68"/>
      <c r="QGH121" s="68"/>
      <c r="QGI121" s="68"/>
      <c r="QGJ121" s="68"/>
      <c r="QGK121" s="68"/>
      <c r="QGL121" s="68"/>
      <c r="QGM121" s="68"/>
      <c r="QGN121" s="68"/>
      <c r="QGO121" s="68"/>
      <c r="QGP121" s="68"/>
      <c r="QGQ121" s="68"/>
      <c r="QGR121" s="68"/>
      <c r="QGS121" s="68"/>
      <c r="QGT121" s="68"/>
      <c r="QGU121" s="68"/>
      <c r="QGV121" s="68"/>
      <c r="QGW121" s="68"/>
      <c r="QGX121" s="68"/>
      <c r="QGY121" s="68"/>
      <c r="QGZ121" s="68"/>
      <c r="QHA121" s="68"/>
      <c r="QHB121" s="68"/>
      <c r="QHC121" s="68"/>
      <c r="QHD121" s="68"/>
      <c r="QHE121" s="68"/>
      <c r="QHF121" s="68"/>
      <c r="QHG121" s="68"/>
      <c r="QHH121" s="68"/>
      <c r="QHI121" s="68"/>
      <c r="QHJ121" s="68"/>
      <c r="QHK121" s="68"/>
      <c r="QHL121" s="68"/>
      <c r="QHM121" s="68"/>
      <c r="QHN121" s="68"/>
      <c r="QHO121" s="68"/>
      <c r="QHP121" s="68"/>
      <c r="QHQ121" s="68"/>
      <c r="QHR121" s="68"/>
      <c r="QHS121" s="68"/>
      <c r="QHT121" s="68"/>
      <c r="QHU121" s="68"/>
      <c r="QHV121" s="68"/>
      <c r="QHW121" s="68"/>
      <c r="QHX121" s="68"/>
      <c r="QHY121" s="68"/>
      <c r="QHZ121" s="68"/>
      <c r="QIA121" s="68"/>
      <c r="QIB121" s="68"/>
      <c r="QIC121" s="68"/>
      <c r="QID121" s="68"/>
      <c r="QIE121" s="68"/>
      <c r="QIF121" s="68"/>
      <c r="QIG121" s="68"/>
      <c r="QIH121" s="68"/>
      <c r="QII121" s="68"/>
      <c r="QIJ121" s="68"/>
      <c r="QIK121" s="68"/>
      <c r="QIL121" s="68"/>
      <c r="QIM121" s="68"/>
      <c r="QIN121" s="68"/>
      <c r="QIO121" s="68"/>
      <c r="QIP121" s="68"/>
      <c r="QIQ121" s="68"/>
      <c r="QIR121" s="68"/>
      <c r="QIS121" s="68"/>
      <c r="QIT121" s="68"/>
      <c r="QIU121" s="68"/>
      <c r="QIV121" s="68"/>
      <c r="QIW121" s="68"/>
      <c r="QIX121" s="68"/>
      <c r="QIY121" s="68"/>
      <c r="QIZ121" s="68"/>
      <c r="QJA121" s="68"/>
      <c r="QJB121" s="68"/>
      <c r="QJC121" s="68"/>
      <c r="QJD121" s="68"/>
      <c r="QJE121" s="68"/>
      <c r="QJF121" s="68"/>
      <c r="QJG121" s="68"/>
      <c r="QJH121" s="68"/>
      <c r="QJI121" s="68"/>
      <c r="QJJ121" s="68"/>
      <c r="QJK121" s="68"/>
      <c r="QJL121" s="68"/>
      <c r="QJM121" s="68"/>
      <c r="QJN121" s="68"/>
      <c r="QJO121" s="68"/>
      <c r="QJP121" s="68"/>
      <c r="QJQ121" s="68"/>
      <c r="QJR121" s="68"/>
      <c r="QJS121" s="68"/>
      <c r="QJT121" s="68"/>
      <c r="QJU121" s="68"/>
      <c r="QJV121" s="68"/>
      <c r="QJW121" s="68"/>
      <c r="QJX121" s="68"/>
      <c r="QJY121" s="68"/>
      <c r="QJZ121" s="68"/>
      <c r="QKA121" s="68"/>
      <c r="QKB121" s="68"/>
      <c r="QKC121" s="68"/>
      <c r="QKD121" s="68"/>
      <c r="QKE121" s="68"/>
      <c r="QKF121" s="68"/>
      <c r="QKG121" s="68"/>
      <c r="QKH121" s="68"/>
      <c r="QKI121" s="68"/>
      <c r="QKJ121" s="68"/>
      <c r="QKK121" s="68"/>
      <c r="QKL121" s="68"/>
      <c r="QKM121" s="68"/>
      <c r="QKN121" s="68"/>
      <c r="QKO121" s="68"/>
      <c r="QKP121" s="68"/>
      <c r="QKQ121" s="68"/>
      <c r="QKR121" s="68"/>
      <c r="QKS121" s="68"/>
      <c r="QKT121" s="68"/>
      <c r="QKU121" s="68"/>
      <c r="QKV121" s="68"/>
      <c r="QKW121" s="68"/>
      <c r="QKX121" s="68"/>
      <c r="QKY121" s="68"/>
      <c r="QKZ121" s="68"/>
      <c r="QLA121" s="68"/>
      <c r="QLB121" s="68"/>
      <c r="QLC121" s="68"/>
      <c r="QLD121" s="68"/>
      <c r="QLE121" s="68"/>
      <c r="QLF121" s="68"/>
      <c r="QLG121" s="68"/>
      <c r="QLH121" s="68"/>
      <c r="QLI121" s="68"/>
      <c r="QLJ121" s="68"/>
      <c r="QLK121" s="68"/>
      <c r="QLL121" s="68"/>
      <c r="QLM121" s="68"/>
      <c r="QLN121" s="68"/>
      <c r="QLO121" s="68"/>
      <c r="QLP121" s="68"/>
      <c r="QLQ121" s="68"/>
      <c r="QLR121" s="68"/>
      <c r="QLS121" s="68"/>
      <c r="QLT121" s="68"/>
      <c r="QLU121" s="68"/>
      <c r="QLV121" s="68"/>
      <c r="QLW121" s="68"/>
      <c r="QLX121" s="68"/>
      <c r="QLY121" s="68"/>
      <c r="QLZ121" s="68"/>
      <c r="QMA121" s="68"/>
      <c r="QMB121" s="68"/>
      <c r="QMC121" s="68"/>
      <c r="QMD121" s="68"/>
      <c r="QME121" s="68"/>
      <c r="QMF121" s="68"/>
      <c r="QMG121" s="68"/>
      <c r="QMH121" s="68"/>
      <c r="QMI121" s="68"/>
      <c r="QMJ121" s="68"/>
      <c r="QMK121" s="68"/>
      <c r="QML121" s="68"/>
      <c r="QMM121" s="68"/>
      <c r="QMN121" s="68"/>
      <c r="QMO121" s="68"/>
      <c r="QMP121" s="68"/>
      <c r="QMQ121" s="68"/>
      <c r="QMR121" s="68"/>
      <c r="QMS121" s="68"/>
      <c r="QMT121" s="68"/>
      <c r="QMU121" s="68"/>
      <c r="QMV121" s="68"/>
      <c r="QMW121" s="68"/>
      <c r="QMX121" s="68"/>
      <c r="QMY121" s="68"/>
      <c r="QMZ121" s="68"/>
      <c r="QNA121" s="68"/>
      <c r="QNB121" s="68"/>
      <c r="QNC121" s="68"/>
      <c r="QND121" s="68"/>
      <c r="QNE121" s="68"/>
      <c r="QNF121" s="68"/>
      <c r="QNG121" s="68"/>
      <c r="QNH121" s="68"/>
      <c r="QNI121" s="68"/>
      <c r="QNJ121" s="68"/>
      <c r="QNK121" s="68"/>
      <c r="QNL121" s="68"/>
      <c r="QNM121" s="68"/>
      <c r="QNN121" s="68"/>
      <c r="QNO121" s="68"/>
      <c r="QNP121" s="68"/>
      <c r="QNQ121" s="68"/>
      <c r="QNR121" s="68"/>
      <c r="QNS121" s="68"/>
      <c r="QNT121" s="68"/>
      <c r="QNU121" s="68"/>
      <c r="QNV121" s="68"/>
      <c r="QNW121" s="68"/>
      <c r="QNX121" s="68"/>
      <c r="QNY121" s="68"/>
      <c r="QNZ121" s="68"/>
      <c r="QOA121" s="68"/>
      <c r="QOB121" s="68"/>
      <c r="QOC121" s="68"/>
      <c r="QOD121" s="68"/>
      <c r="QOE121" s="68"/>
      <c r="QOF121" s="68"/>
      <c r="QOG121" s="68"/>
      <c r="QOH121" s="68"/>
      <c r="QOI121" s="68"/>
      <c r="QOJ121" s="68"/>
      <c r="QOK121" s="68"/>
      <c r="QOL121" s="68"/>
      <c r="QOM121" s="68"/>
      <c r="QON121" s="68"/>
      <c r="QOO121" s="68"/>
      <c r="QOP121" s="68"/>
      <c r="QOQ121" s="68"/>
      <c r="QOR121" s="68"/>
      <c r="QOS121" s="68"/>
      <c r="QOT121" s="68"/>
      <c r="QOU121" s="68"/>
      <c r="QOV121" s="68"/>
      <c r="QOW121" s="68"/>
      <c r="QOX121" s="68"/>
      <c r="QOY121" s="68"/>
      <c r="QOZ121" s="68"/>
      <c r="QPA121" s="68"/>
      <c r="QPB121" s="68"/>
      <c r="QPC121" s="68"/>
      <c r="QPD121" s="68"/>
      <c r="QPE121" s="68"/>
      <c r="QPF121" s="68"/>
      <c r="QPG121" s="68"/>
      <c r="QPH121" s="68"/>
      <c r="QPI121" s="68"/>
      <c r="QPJ121" s="68"/>
      <c r="QPK121" s="68"/>
      <c r="QPL121" s="68"/>
      <c r="QPM121" s="68"/>
      <c r="QPN121" s="68"/>
      <c r="QPO121" s="68"/>
      <c r="QPP121" s="68"/>
      <c r="QPQ121" s="68"/>
      <c r="QPR121" s="68"/>
      <c r="QPS121" s="68"/>
      <c r="QPT121" s="68"/>
      <c r="QPU121" s="68"/>
      <c r="QPV121" s="68"/>
      <c r="QPW121" s="68"/>
      <c r="QPX121" s="68"/>
      <c r="QPY121" s="68"/>
      <c r="QPZ121" s="68"/>
      <c r="QQA121" s="68"/>
      <c r="QQB121" s="68"/>
      <c r="QQC121" s="68"/>
      <c r="QQD121" s="68"/>
      <c r="QQE121" s="68"/>
      <c r="QQF121" s="68"/>
      <c r="QQG121" s="68"/>
      <c r="QQH121" s="68"/>
      <c r="QQI121" s="68"/>
      <c r="QQJ121" s="68"/>
      <c r="QQK121" s="68"/>
      <c r="QQL121" s="68"/>
      <c r="QQM121" s="68"/>
      <c r="QQN121" s="68"/>
      <c r="QQO121" s="68"/>
      <c r="QQP121" s="68"/>
      <c r="QQQ121" s="68"/>
      <c r="QQR121" s="68"/>
      <c r="QQS121" s="68"/>
      <c r="QQT121" s="68"/>
      <c r="QQU121" s="68"/>
      <c r="QQV121" s="68"/>
      <c r="QQW121" s="68"/>
      <c r="QQX121" s="68"/>
      <c r="QQY121" s="68"/>
      <c r="QQZ121" s="68"/>
      <c r="QRA121" s="68"/>
      <c r="QRB121" s="68"/>
      <c r="QRC121" s="68"/>
      <c r="QRD121" s="68"/>
      <c r="QRE121" s="68"/>
      <c r="QRF121" s="68"/>
      <c r="QRG121" s="68"/>
      <c r="QRH121" s="68"/>
      <c r="QRI121" s="68"/>
      <c r="QRJ121" s="68"/>
      <c r="QRK121" s="68"/>
      <c r="QRL121" s="68"/>
      <c r="QRM121" s="68"/>
      <c r="QRN121" s="68"/>
      <c r="QRO121" s="68"/>
      <c r="QRP121" s="68"/>
      <c r="QRQ121" s="68"/>
      <c r="QRR121" s="68"/>
      <c r="QRS121" s="68"/>
      <c r="QRT121" s="68"/>
      <c r="QRU121" s="68"/>
      <c r="QRV121" s="68"/>
      <c r="QRW121" s="68"/>
      <c r="QRX121" s="68"/>
      <c r="QRY121" s="68"/>
      <c r="QRZ121" s="68"/>
      <c r="QSA121" s="68"/>
      <c r="QSB121" s="68"/>
      <c r="QSC121" s="68"/>
      <c r="QSD121" s="68"/>
      <c r="QSE121" s="68"/>
      <c r="QSF121" s="68"/>
      <c r="QSG121" s="68"/>
      <c r="QSH121" s="68"/>
      <c r="QSI121" s="68"/>
      <c r="QSJ121" s="68"/>
      <c r="QSK121" s="68"/>
      <c r="QSL121" s="68"/>
      <c r="QSM121" s="68"/>
      <c r="QSN121" s="68"/>
      <c r="QSO121" s="68"/>
      <c r="QSP121" s="68"/>
      <c r="QSQ121" s="68"/>
      <c r="QSR121" s="68"/>
      <c r="QSS121" s="68"/>
      <c r="QST121" s="68"/>
      <c r="QSU121" s="68"/>
      <c r="QSV121" s="68"/>
      <c r="QSW121" s="68"/>
      <c r="QSX121" s="68"/>
      <c r="QSY121" s="68"/>
      <c r="QSZ121" s="68"/>
      <c r="QTA121" s="68"/>
      <c r="QTB121" s="68"/>
      <c r="QTC121" s="68"/>
      <c r="QTD121" s="68"/>
      <c r="QTE121" s="68"/>
      <c r="QTF121" s="68"/>
      <c r="QTG121" s="68"/>
      <c r="QTH121" s="68"/>
      <c r="QTI121" s="68"/>
      <c r="QTJ121" s="68"/>
      <c r="QTK121" s="68"/>
      <c r="QTL121" s="68"/>
      <c r="QTM121" s="68"/>
      <c r="QTN121" s="68"/>
      <c r="QTO121" s="68"/>
      <c r="QTP121" s="68"/>
      <c r="QTQ121" s="68"/>
      <c r="QTR121" s="68"/>
      <c r="QTS121" s="68"/>
      <c r="QTT121" s="68"/>
      <c r="QTU121" s="68"/>
      <c r="QTV121" s="68"/>
      <c r="QTW121" s="68"/>
      <c r="QTX121" s="68"/>
      <c r="QTY121" s="68"/>
      <c r="QTZ121" s="68"/>
      <c r="QUA121" s="68"/>
      <c r="QUB121" s="68"/>
      <c r="QUC121" s="68"/>
      <c r="QUD121" s="68"/>
      <c r="QUE121" s="68"/>
      <c r="QUF121" s="68"/>
      <c r="QUG121" s="68"/>
      <c r="QUH121" s="68"/>
      <c r="QUI121" s="68"/>
      <c r="QUJ121" s="68"/>
      <c r="QUK121" s="68"/>
      <c r="QUL121" s="68"/>
      <c r="QUM121" s="68"/>
      <c r="QUN121" s="68"/>
      <c r="QUO121" s="68"/>
      <c r="QUP121" s="68"/>
      <c r="QUQ121" s="68"/>
      <c r="QUR121" s="68"/>
      <c r="QUS121" s="68"/>
      <c r="QUT121" s="68"/>
      <c r="QUU121" s="68"/>
      <c r="QUV121" s="68"/>
      <c r="QUW121" s="68"/>
      <c r="QUX121" s="68"/>
      <c r="QUY121" s="68"/>
      <c r="QUZ121" s="68"/>
      <c r="QVA121" s="68"/>
      <c r="QVB121" s="68"/>
      <c r="QVC121" s="68"/>
      <c r="QVD121" s="68"/>
      <c r="QVE121" s="68"/>
      <c r="QVF121" s="68"/>
      <c r="QVG121" s="68"/>
      <c r="QVH121" s="68"/>
      <c r="QVI121" s="68"/>
      <c r="QVJ121" s="68"/>
      <c r="QVK121" s="68"/>
      <c r="QVL121" s="68"/>
      <c r="QVM121" s="68"/>
      <c r="QVN121" s="68"/>
      <c r="QVO121" s="68"/>
      <c r="QVP121" s="68"/>
      <c r="QVQ121" s="68"/>
      <c r="QVR121" s="68"/>
      <c r="QVS121" s="68"/>
      <c r="QVT121" s="68"/>
      <c r="QVU121" s="68"/>
      <c r="QVV121" s="68"/>
      <c r="QVW121" s="68"/>
      <c r="QVX121" s="68"/>
      <c r="QVY121" s="68"/>
      <c r="QVZ121" s="68"/>
      <c r="QWA121" s="68"/>
      <c r="QWB121" s="68"/>
      <c r="QWC121" s="68"/>
      <c r="QWD121" s="68"/>
      <c r="QWE121" s="68"/>
      <c r="QWF121" s="68"/>
      <c r="QWG121" s="68"/>
      <c r="QWH121" s="68"/>
      <c r="QWI121" s="68"/>
      <c r="QWJ121" s="68"/>
      <c r="QWK121" s="68"/>
      <c r="QWL121" s="68"/>
      <c r="QWM121" s="68"/>
      <c r="QWN121" s="68"/>
      <c r="QWO121" s="68"/>
      <c r="QWP121" s="68"/>
      <c r="QWQ121" s="68"/>
      <c r="QWR121" s="68"/>
      <c r="QWS121" s="68"/>
      <c r="QWT121" s="68"/>
      <c r="QWU121" s="68"/>
      <c r="QWV121" s="68"/>
      <c r="QWW121" s="68"/>
      <c r="QWX121" s="68"/>
      <c r="QWY121" s="68"/>
      <c r="QWZ121" s="68"/>
      <c r="QXA121" s="68"/>
      <c r="QXB121" s="68"/>
      <c r="QXC121" s="68"/>
      <c r="QXD121" s="68"/>
      <c r="QXE121" s="68"/>
      <c r="QXF121" s="68"/>
      <c r="QXG121" s="68"/>
      <c r="QXH121" s="68"/>
      <c r="QXI121" s="68"/>
      <c r="QXJ121" s="68"/>
      <c r="QXK121" s="68"/>
      <c r="QXL121" s="68"/>
      <c r="QXM121" s="68"/>
      <c r="QXN121" s="68"/>
      <c r="QXO121" s="68"/>
      <c r="QXP121" s="68"/>
      <c r="QXQ121" s="68"/>
      <c r="QXR121" s="68"/>
      <c r="QXS121" s="68"/>
      <c r="QXT121" s="68"/>
      <c r="QXU121" s="68"/>
      <c r="QXV121" s="68"/>
      <c r="QXW121" s="68"/>
      <c r="QXX121" s="68"/>
      <c r="QXY121" s="68"/>
      <c r="QXZ121" s="68"/>
      <c r="QYA121" s="68"/>
      <c r="QYB121" s="68"/>
      <c r="QYC121" s="68"/>
      <c r="QYD121" s="68"/>
      <c r="QYE121" s="68"/>
      <c r="QYF121" s="68"/>
      <c r="QYG121" s="68"/>
      <c r="QYH121" s="68"/>
      <c r="QYI121" s="68"/>
      <c r="QYJ121" s="68"/>
      <c r="QYK121" s="68"/>
      <c r="QYL121" s="68"/>
      <c r="QYM121" s="68"/>
      <c r="QYN121" s="68"/>
      <c r="QYO121" s="68"/>
      <c r="QYP121" s="68"/>
      <c r="QYQ121" s="68"/>
      <c r="QYR121" s="68"/>
      <c r="QYS121" s="68"/>
      <c r="QYT121" s="68"/>
      <c r="QYU121" s="68"/>
      <c r="QYV121" s="68"/>
      <c r="QYW121" s="68"/>
      <c r="QYX121" s="68"/>
      <c r="QYY121" s="68"/>
      <c r="QYZ121" s="68"/>
      <c r="QZA121" s="68"/>
      <c r="QZB121" s="68"/>
      <c r="QZC121" s="68"/>
      <c r="QZD121" s="68"/>
      <c r="QZE121" s="68"/>
      <c r="QZF121" s="68"/>
      <c r="QZG121" s="68"/>
      <c r="QZH121" s="68"/>
      <c r="QZI121" s="68"/>
      <c r="QZJ121" s="68"/>
      <c r="QZK121" s="68"/>
      <c r="QZL121" s="68"/>
      <c r="QZM121" s="68"/>
      <c r="QZN121" s="68"/>
      <c r="QZO121" s="68"/>
      <c r="QZP121" s="68"/>
      <c r="QZQ121" s="68"/>
      <c r="QZR121" s="68"/>
      <c r="QZS121" s="68"/>
      <c r="QZT121" s="68"/>
      <c r="QZU121" s="68"/>
      <c r="QZV121" s="68"/>
      <c r="QZW121" s="68"/>
      <c r="QZX121" s="68"/>
      <c r="QZY121" s="68"/>
      <c r="QZZ121" s="68"/>
      <c r="RAA121" s="68"/>
      <c r="RAB121" s="68"/>
      <c r="RAC121" s="68"/>
      <c r="RAD121" s="68"/>
      <c r="RAE121" s="68"/>
      <c r="RAF121" s="68"/>
      <c r="RAG121" s="68"/>
      <c r="RAH121" s="68"/>
      <c r="RAI121" s="68"/>
      <c r="RAJ121" s="68"/>
      <c r="RAK121" s="68"/>
      <c r="RAL121" s="68"/>
      <c r="RAM121" s="68"/>
      <c r="RAN121" s="68"/>
      <c r="RAO121" s="68"/>
      <c r="RAP121" s="68"/>
      <c r="RAQ121" s="68"/>
      <c r="RAR121" s="68"/>
      <c r="RAS121" s="68"/>
      <c r="RAT121" s="68"/>
      <c r="RAU121" s="68"/>
      <c r="RAV121" s="68"/>
      <c r="RAW121" s="68"/>
      <c r="RAX121" s="68"/>
      <c r="RAY121" s="68"/>
      <c r="RAZ121" s="68"/>
      <c r="RBA121" s="68"/>
      <c r="RBB121" s="68"/>
      <c r="RBC121" s="68"/>
      <c r="RBD121" s="68"/>
      <c r="RBE121" s="68"/>
      <c r="RBF121" s="68"/>
      <c r="RBG121" s="68"/>
      <c r="RBH121" s="68"/>
      <c r="RBI121" s="68"/>
      <c r="RBJ121" s="68"/>
      <c r="RBK121" s="68"/>
      <c r="RBL121" s="68"/>
      <c r="RBM121" s="68"/>
      <c r="RBN121" s="68"/>
      <c r="RBO121" s="68"/>
      <c r="RBP121" s="68"/>
      <c r="RBQ121" s="68"/>
      <c r="RBR121" s="68"/>
      <c r="RBS121" s="68"/>
      <c r="RBT121" s="68"/>
      <c r="RBU121" s="68"/>
      <c r="RBV121" s="68"/>
      <c r="RBW121" s="68"/>
      <c r="RBX121" s="68"/>
      <c r="RBY121" s="68"/>
      <c r="RBZ121" s="68"/>
      <c r="RCA121" s="68"/>
      <c r="RCB121" s="68"/>
      <c r="RCC121" s="68"/>
      <c r="RCD121" s="68"/>
      <c r="RCE121" s="68"/>
      <c r="RCF121" s="68"/>
      <c r="RCG121" s="68"/>
      <c r="RCH121" s="68"/>
      <c r="RCI121" s="68"/>
      <c r="RCJ121" s="68"/>
      <c r="RCK121" s="68"/>
      <c r="RCL121" s="68"/>
      <c r="RCM121" s="68"/>
      <c r="RCN121" s="68"/>
      <c r="RCO121" s="68"/>
      <c r="RCP121" s="68"/>
      <c r="RCQ121" s="68"/>
      <c r="RCR121" s="68"/>
      <c r="RCS121" s="68"/>
      <c r="RCT121" s="68"/>
      <c r="RCU121" s="68"/>
      <c r="RCV121" s="68"/>
      <c r="RCW121" s="68"/>
      <c r="RCX121" s="68"/>
      <c r="RCY121" s="68"/>
      <c r="RCZ121" s="68"/>
      <c r="RDA121" s="68"/>
      <c r="RDB121" s="68"/>
      <c r="RDC121" s="68"/>
      <c r="RDD121" s="68"/>
      <c r="RDE121" s="68"/>
      <c r="RDF121" s="68"/>
      <c r="RDG121" s="68"/>
      <c r="RDH121" s="68"/>
      <c r="RDI121" s="68"/>
      <c r="RDJ121" s="68"/>
      <c r="RDK121" s="68"/>
      <c r="RDL121" s="68"/>
      <c r="RDM121" s="68"/>
      <c r="RDN121" s="68"/>
      <c r="RDO121" s="68"/>
      <c r="RDP121" s="68"/>
      <c r="RDQ121" s="68"/>
      <c r="RDR121" s="68"/>
      <c r="RDS121" s="68"/>
      <c r="RDT121" s="68"/>
      <c r="RDU121" s="68"/>
      <c r="RDV121" s="68"/>
      <c r="RDW121" s="68"/>
      <c r="RDX121" s="68"/>
      <c r="RDY121" s="68"/>
      <c r="RDZ121" s="68"/>
      <c r="REA121" s="68"/>
      <c r="REB121" s="68"/>
      <c r="REC121" s="68"/>
      <c r="RED121" s="68"/>
      <c r="REE121" s="68"/>
      <c r="REF121" s="68"/>
      <c r="REG121" s="68"/>
      <c r="REH121" s="68"/>
      <c r="REI121" s="68"/>
      <c r="REJ121" s="68"/>
      <c r="REK121" s="68"/>
      <c r="REL121" s="68"/>
      <c r="REM121" s="68"/>
      <c r="REN121" s="68"/>
      <c r="REO121" s="68"/>
      <c r="REP121" s="68"/>
      <c r="REQ121" s="68"/>
      <c r="RER121" s="68"/>
      <c r="RES121" s="68"/>
      <c r="RET121" s="68"/>
      <c r="REU121" s="68"/>
      <c r="REV121" s="68"/>
      <c r="REW121" s="68"/>
      <c r="REX121" s="68"/>
      <c r="REY121" s="68"/>
      <c r="REZ121" s="68"/>
      <c r="RFA121" s="68"/>
      <c r="RFB121" s="68"/>
      <c r="RFC121" s="68"/>
      <c r="RFD121" s="68"/>
      <c r="RFE121" s="68"/>
      <c r="RFF121" s="68"/>
      <c r="RFG121" s="68"/>
      <c r="RFH121" s="68"/>
      <c r="RFI121" s="68"/>
      <c r="RFJ121" s="68"/>
      <c r="RFK121" s="68"/>
      <c r="RFL121" s="68"/>
      <c r="RFM121" s="68"/>
      <c r="RFN121" s="68"/>
      <c r="RFO121" s="68"/>
      <c r="RFP121" s="68"/>
      <c r="RFQ121" s="68"/>
      <c r="RFR121" s="68"/>
      <c r="RFS121" s="68"/>
      <c r="RFT121" s="68"/>
      <c r="RFU121" s="68"/>
      <c r="RFV121" s="68"/>
      <c r="RFW121" s="68"/>
      <c r="RFX121" s="68"/>
      <c r="RFY121" s="68"/>
      <c r="RFZ121" s="68"/>
      <c r="RGA121" s="68"/>
      <c r="RGB121" s="68"/>
      <c r="RGC121" s="68"/>
      <c r="RGD121" s="68"/>
      <c r="RGE121" s="68"/>
      <c r="RGF121" s="68"/>
      <c r="RGG121" s="68"/>
      <c r="RGH121" s="68"/>
      <c r="RGI121" s="68"/>
      <c r="RGJ121" s="68"/>
      <c r="RGK121" s="68"/>
      <c r="RGL121" s="68"/>
      <c r="RGM121" s="68"/>
      <c r="RGN121" s="68"/>
      <c r="RGO121" s="68"/>
      <c r="RGP121" s="68"/>
      <c r="RGQ121" s="68"/>
      <c r="RGR121" s="68"/>
      <c r="RGS121" s="68"/>
      <c r="RGT121" s="68"/>
      <c r="RGU121" s="68"/>
      <c r="RGV121" s="68"/>
      <c r="RGW121" s="68"/>
      <c r="RGX121" s="68"/>
      <c r="RGY121" s="68"/>
      <c r="RGZ121" s="68"/>
      <c r="RHA121" s="68"/>
      <c r="RHB121" s="68"/>
      <c r="RHC121" s="68"/>
      <c r="RHD121" s="68"/>
      <c r="RHE121" s="68"/>
      <c r="RHF121" s="68"/>
      <c r="RHG121" s="68"/>
      <c r="RHH121" s="68"/>
      <c r="RHI121" s="68"/>
      <c r="RHJ121" s="68"/>
      <c r="RHK121" s="68"/>
      <c r="RHL121" s="68"/>
      <c r="RHM121" s="68"/>
      <c r="RHN121" s="68"/>
      <c r="RHO121" s="68"/>
      <c r="RHP121" s="68"/>
      <c r="RHQ121" s="68"/>
      <c r="RHR121" s="68"/>
      <c r="RHS121" s="68"/>
      <c r="RHT121" s="68"/>
      <c r="RHU121" s="68"/>
      <c r="RHV121" s="68"/>
      <c r="RHW121" s="68"/>
      <c r="RHX121" s="68"/>
      <c r="RHY121" s="68"/>
      <c r="RHZ121" s="68"/>
      <c r="RIA121" s="68"/>
      <c r="RIB121" s="68"/>
      <c r="RIC121" s="68"/>
      <c r="RID121" s="68"/>
      <c r="RIE121" s="68"/>
      <c r="RIF121" s="68"/>
      <c r="RIG121" s="68"/>
      <c r="RIH121" s="68"/>
      <c r="RII121" s="68"/>
      <c r="RIJ121" s="68"/>
      <c r="RIK121" s="68"/>
      <c r="RIL121" s="68"/>
      <c r="RIM121" s="68"/>
      <c r="RIN121" s="68"/>
      <c r="RIO121" s="68"/>
      <c r="RIP121" s="68"/>
      <c r="RIQ121" s="68"/>
      <c r="RIR121" s="68"/>
      <c r="RIS121" s="68"/>
      <c r="RIT121" s="68"/>
      <c r="RIU121" s="68"/>
      <c r="RIV121" s="68"/>
      <c r="RIW121" s="68"/>
      <c r="RIX121" s="68"/>
      <c r="RIY121" s="68"/>
      <c r="RIZ121" s="68"/>
      <c r="RJA121" s="68"/>
      <c r="RJB121" s="68"/>
      <c r="RJC121" s="68"/>
      <c r="RJD121" s="68"/>
      <c r="RJE121" s="68"/>
      <c r="RJF121" s="68"/>
      <c r="RJG121" s="68"/>
      <c r="RJH121" s="68"/>
      <c r="RJI121" s="68"/>
      <c r="RJJ121" s="68"/>
      <c r="RJK121" s="68"/>
      <c r="RJL121" s="68"/>
      <c r="RJM121" s="68"/>
      <c r="RJN121" s="68"/>
      <c r="RJO121" s="68"/>
      <c r="RJP121" s="68"/>
      <c r="RJQ121" s="68"/>
      <c r="RJR121" s="68"/>
      <c r="RJS121" s="68"/>
      <c r="RJT121" s="68"/>
      <c r="RJU121" s="68"/>
      <c r="RJV121" s="68"/>
      <c r="RJW121" s="68"/>
      <c r="RJX121" s="68"/>
      <c r="RJY121" s="68"/>
      <c r="RJZ121" s="68"/>
      <c r="RKA121" s="68"/>
      <c r="RKB121" s="68"/>
      <c r="RKC121" s="68"/>
      <c r="RKD121" s="68"/>
      <c r="RKE121" s="68"/>
      <c r="RKF121" s="68"/>
      <c r="RKG121" s="68"/>
      <c r="RKH121" s="68"/>
      <c r="RKI121" s="68"/>
      <c r="RKJ121" s="68"/>
      <c r="RKK121" s="68"/>
      <c r="RKL121" s="68"/>
      <c r="RKM121" s="68"/>
      <c r="RKN121" s="68"/>
      <c r="RKO121" s="68"/>
      <c r="RKP121" s="68"/>
      <c r="RKQ121" s="68"/>
      <c r="RKR121" s="68"/>
      <c r="RKS121" s="68"/>
      <c r="RKT121" s="68"/>
      <c r="RKU121" s="68"/>
      <c r="RKV121" s="68"/>
      <c r="RKW121" s="68"/>
      <c r="RKX121" s="68"/>
      <c r="RKY121" s="68"/>
      <c r="RKZ121" s="68"/>
      <c r="RLA121" s="68"/>
      <c r="RLB121" s="68"/>
      <c r="RLC121" s="68"/>
      <c r="RLD121" s="68"/>
      <c r="RLE121" s="68"/>
      <c r="RLF121" s="68"/>
      <c r="RLG121" s="68"/>
      <c r="RLH121" s="68"/>
      <c r="RLI121" s="68"/>
      <c r="RLJ121" s="68"/>
      <c r="RLK121" s="68"/>
      <c r="RLL121" s="68"/>
      <c r="RLM121" s="68"/>
      <c r="RLN121" s="68"/>
      <c r="RLO121" s="68"/>
      <c r="RLP121" s="68"/>
      <c r="RLQ121" s="68"/>
      <c r="RLR121" s="68"/>
      <c r="RLS121" s="68"/>
      <c r="RLT121" s="68"/>
      <c r="RLU121" s="68"/>
      <c r="RLV121" s="68"/>
      <c r="RLW121" s="68"/>
      <c r="RLX121" s="68"/>
      <c r="RLY121" s="68"/>
      <c r="RLZ121" s="68"/>
      <c r="RMA121" s="68"/>
      <c r="RMB121" s="68"/>
      <c r="RMC121" s="68"/>
      <c r="RMD121" s="68"/>
      <c r="RME121" s="68"/>
      <c r="RMF121" s="68"/>
      <c r="RMG121" s="68"/>
      <c r="RMH121" s="68"/>
      <c r="RMI121" s="68"/>
      <c r="RMJ121" s="68"/>
      <c r="RMK121" s="68"/>
      <c r="RML121" s="68"/>
      <c r="RMM121" s="68"/>
      <c r="RMN121" s="68"/>
      <c r="RMO121" s="68"/>
      <c r="RMP121" s="68"/>
      <c r="RMQ121" s="68"/>
      <c r="RMR121" s="68"/>
      <c r="RMS121" s="68"/>
      <c r="RMT121" s="68"/>
      <c r="RMU121" s="68"/>
      <c r="RMV121" s="68"/>
      <c r="RMW121" s="68"/>
      <c r="RMX121" s="68"/>
      <c r="RMY121" s="68"/>
      <c r="RMZ121" s="68"/>
      <c r="RNA121" s="68"/>
      <c r="RNB121" s="68"/>
      <c r="RNC121" s="68"/>
      <c r="RND121" s="68"/>
      <c r="RNE121" s="68"/>
      <c r="RNF121" s="68"/>
      <c r="RNG121" s="68"/>
      <c r="RNH121" s="68"/>
      <c r="RNI121" s="68"/>
      <c r="RNJ121" s="68"/>
      <c r="RNK121" s="68"/>
      <c r="RNL121" s="68"/>
      <c r="RNM121" s="68"/>
      <c r="RNN121" s="68"/>
      <c r="RNO121" s="68"/>
      <c r="RNP121" s="68"/>
      <c r="RNQ121" s="68"/>
      <c r="RNR121" s="68"/>
      <c r="RNS121" s="68"/>
      <c r="RNT121" s="68"/>
      <c r="RNU121" s="68"/>
      <c r="RNV121" s="68"/>
      <c r="RNW121" s="68"/>
      <c r="RNX121" s="68"/>
      <c r="RNY121" s="68"/>
      <c r="RNZ121" s="68"/>
      <c r="ROA121" s="68"/>
      <c r="ROB121" s="68"/>
      <c r="ROC121" s="68"/>
      <c r="ROD121" s="68"/>
      <c r="ROE121" s="68"/>
      <c r="ROF121" s="68"/>
      <c r="ROG121" s="68"/>
      <c r="ROH121" s="68"/>
      <c r="ROI121" s="68"/>
      <c r="ROJ121" s="68"/>
      <c r="ROK121" s="68"/>
      <c r="ROL121" s="68"/>
      <c r="ROM121" s="68"/>
      <c r="RON121" s="68"/>
      <c r="ROO121" s="68"/>
      <c r="ROP121" s="68"/>
      <c r="ROQ121" s="68"/>
      <c r="ROR121" s="68"/>
      <c r="ROS121" s="68"/>
      <c r="ROT121" s="68"/>
      <c r="ROU121" s="68"/>
      <c r="ROV121" s="68"/>
      <c r="ROW121" s="68"/>
      <c r="ROX121" s="68"/>
      <c r="ROY121" s="68"/>
      <c r="ROZ121" s="68"/>
      <c r="RPA121" s="68"/>
      <c r="RPB121" s="68"/>
      <c r="RPC121" s="68"/>
      <c r="RPD121" s="68"/>
      <c r="RPE121" s="68"/>
      <c r="RPF121" s="68"/>
      <c r="RPG121" s="68"/>
      <c r="RPH121" s="68"/>
      <c r="RPI121" s="68"/>
      <c r="RPJ121" s="68"/>
      <c r="RPK121" s="68"/>
      <c r="RPL121" s="68"/>
      <c r="RPM121" s="68"/>
      <c r="RPN121" s="68"/>
      <c r="RPO121" s="68"/>
      <c r="RPP121" s="68"/>
      <c r="RPQ121" s="68"/>
      <c r="RPR121" s="68"/>
      <c r="RPS121" s="68"/>
      <c r="RPT121" s="68"/>
      <c r="RPU121" s="68"/>
      <c r="RPV121" s="68"/>
      <c r="RPW121" s="68"/>
      <c r="RPX121" s="68"/>
      <c r="RPY121" s="68"/>
      <c r="RPZ121" s="68"/>
      <c r="RQA121" s="68"/>
      <c r="RQB121" s="68"/>
      <c r="RQC121" s="68"/>
      <c r="RQD121" s="68"/>
      <c r="RQE121" s="68"/>
      <c r="RQF121" s="68"/>
      <c r="RQG121" s="68"/>
      <c r="RQH121" s="68"/>
      <c r="RQI121" s="68"/>
      <c r="RQJ121" s="68"/>
      <c r="RQK121" s="68"/>
      <c r="RQL121" s="68"/>
      <c r="RQM121" s="68"/>
      <c r="RQN121" s="68"/>
      <c r="RQO121" s="68"/>
      <c r="RQP121" s="68"/>
      <c r="RQQ121" s="68"/>
      <c r="RQR121" s="68"/>
      <c r="RQS121" s="68"/>
      <c r="RQT121" s="68"/>
      <c r="RQU121" s="68"/>
      <c r="RQV121" s="68"/>
      <c r="RQW121" s="68"/>
      <c r="RQX121" s="68"/>
      <c r="RQY121" s="68"/>
      <c r="RQZ121" s="68"/>
      <c r="RRA121" s="68"/>
      <c r="RRB121" s="68"/>
      <c r="RRC121" s="68"/>
      <c r="RRD121" s="68"/>
      <c r="RRE121" s="68"/>
      <c r="RRF121" s="68"/>
      <c r="RRG121" s="68"/>
      <c r="RRH121" s="68"/>
      <c r="RRI121" s="68"/>
      <c r="RRJ121" s="68"/>
      <c r="RRK121" s="68"/>
      <c r="RRL121" s="68"/>
      <c r="RRM121" s="68"/>
      <c r="RRN121" s="68"/>
      <c r="RRO121" s="68"/>
      <c r="RRP121" s="68"/>
      <c r="RRQ121" s="68"/>
      <c r="RRR121" s="68"/>
      <c r="RRS121" s="68"/>
      <c r="RRT121" s="68"/>
      <c r="RRU121" s="68"/>
      <c r="RRV121" s="68"/>
      <c r="RRW121" s="68"/>
      <c r="RRX121" s="68"/>
      <c r="RRY121" s="68"/>
      <c r="RRZ121" s="68"/>
      <c r="RSA121" s="68"/>
      <c r="RSB121" s="68"/>
      <c r="RSC121" s="68"/>
      <c r="RSD121" s="68"/>
      <c r="RSE121" s="68"/>
      <c r="RSF121" s="68"/>
      <c r="RSG121" s="68"/>
      <c r="RSH121" s="68"/>
      <c r="RSI121" s="68"/>
      <c r="RSJ121" s="68"/>
      <c r="RSK121" s="68"/>
      <c r="RSL121" s="68"/>
      <c r="RSM121" s="68"/>
      <c r="RSN121" s="68"/>
      <c r="RSO121" s="68"/>
      <c r="RSP121" s="68"/>
      <c r="RSQ121" s="68"/>
      <c r="RSR121" s="68"/>
      <c r="RSS121" s="68"/>
      <c r="RST121" s="68"/>
      <c r="RSU121" s="68"/>
      <c r="RSV121" s="68"/>
      <c r="RSW121" s="68"/>
      <c r="RSX121" s="68"/>
      <c r="RSY121" s="68"/>
      <c r="RSZ121" s="68"/>
      <c r="RTA121" s="68"/>
      <c r="RTB121" s="68"/>
      <c r="RTC121" s="68"/>
      <c r="RTD121" s="68"/>
      <c r="RTE121" s="68"/>
      <c r="RTF121" s="68"/>
      <c r="RTG121" s="68"/>
      <c r="RTH121" s="68"/>
      <c r="RTI121" s="68"/>
      <c r="RTJ121" s="68"/>
      <c r="RTK121" s="68"/>
      <c r="RTL121" s="68"/>
      <c r="RTM121" s="68"/>
      <c r="RTN121" s="68"/>
      <c r="RTO121" s="68"/>
      <c r="RTP121" s="68"/>
      <c r="RTQ121" s="68"/>
      <c r="RTR121" s="68"/>
      <c r="RTS121" s="68"/>
      <c r="RTT121" s="68"/>
      <c r="RTU121" s="68"/>
      <c r="RTV121" s="68"/>
      <c r="RTW121" s="68"/>
      <c r="RTX121" s="68"/>
      <c r="RTY121" s="68"/>
      <c r="RTZ121" s="68"/>
      <c r="RUA121" s="68"/>
      <c r="RUB121" s="68"/>
      <c r="RUC121" s="68"/>
      <c r="RUD121" s="68"/>
      <c r="RUE121" s="68"/>
      <c r="RUF121" s="68"/>
      <c r="RUG121" s="68"/>
      <c r="RUH121" s="68"/>
      <c r="RUI121" s="68"/>
      <c r="RUJ121" s="68"/>
      <c r="RUK121" s="68"/>
      <c r="RUL121" s="68"/>
      <c r="RUM121" s="68"/>
      <c r="RUN121" s="68"/>
      <c r="RUO121" s="68"/>
      <c r="RUP121" s="68"/>
      <c r="RUQ121" s="68"/>
      <c r="RUR121" s="68"/>
      <c r="RUS121" s="68"/>
      <c r="RUT121" s="68"/>
      <c r="RUU121" s="68"/>
      <c r="RUV121" s="68"/>
      <c r="RUW121" s="68"/>
      <c r="RUX121" s="68"/>
      <c r="RUY121" s="68"/>
      <c r="RUZ121" s="68"/>
      <c r="RVA121" s="68"/>
      <c r="RVB121" s="68"/>
      <c r="RVC121" s="68"/>
      <c r="RVD121" s="68"/>
      <c r="RVE121" s="68"/>
      <c r="RVF121" s="68"/>
      <c r="RVG121" s="68"/>
      <c r="RVH121" s="68"/>
      <c r="RVI121" s="68"/>
      <c r="RVJ121" s="68"/>
      <c r="RVK121" s="68"/>
      <c r="RVL121" s="68"/>
      <c r="RVM121" s="68"/>
      <c r="RVN121" s="68"/>
      <c r="RVO121" s="68"/>
      <c r="RVP121" s="68"/>
      <c r="RVQ121" s="68"/>
      <c r="RVR121" s="68"/>
      <c r="RVS121" s="68"/>
      <c r="RVT121" s="68"/>
      <c r="RVU121" s="68"/>
      <c r="RVV121" s="68"/>
      <c r="RVW121" s="68"/>
      <c r="RVX121" s="68"/>
      <c r="RVY121" s="68"/>
      <c r="RVZ121" s="68"/>
      <c r="RWA121" s="68"/>
      <c r="RWB121" s="68"/>
      <c r="RWC121" s="68"/>
      <c r="RWD121" s="68"/>
      <c r="RWE121" s="68"/>
      <c r="RWF121" s="68"/>
      <c r="RWG121" s="68"/>
      <c r="RWH121" s="68"/>
      <c r="RWI121" s="68"/>
      <c r="RWJ121" s="68"/>
      <c r="RWK121" s="68"/>
      <c r="RWL121" s="68"/>
      <c r="RWM121" s="68"/>
      <c r="RWN121" s="68"/>
      <c r="RWO121" s="68"/>
      <c r="RWP121" s="68"/>
      <c r="RWQ121" s="68"/>
      <c r="RWR121" s="68"/>
      <c r="RWS121" s="68"/>
      <c r="RWT121" s="68"/>
      <c r="RWU121" s="68"/>
      <c r="RWV121" s="68"/>
      <c r="RWW121" s="68"/>
      <c r="RWX121" s="68"/>
      <c r="RWY121" s="68"/>
      <c r="RWZ121" s="68"/>
      <c r="RXA121" s="68"/>
      <c r="RXB121" s="68"/>
      <c r="RXC121" s="68"/>
      <c r="RXD121" s="68"/>
      <c r="RXE121" s="68"/>
      <c r="RXF121" s="68"/>
      <c r="RXG121" s="68"/>
      <c r="RXH121" s="68"/>
      <c r="RXI121" s="68"/>
      <c r="RXJ121" s="68"/>
      <c r="RXK121" s="68"/>
      <c r="RXL121" s="68"/>
      <c r="RXM121" s="68"/>
      <c r="RXN121" s="68"/>
      <c r="RXO121" s="68"/>
      <c r="RXP121" s="68"/>
      <c r="RXQ121" s="68"/>
      <c r="RXR121" s="68"/>
      <c r="RXS121" s="68"/>
      <c r="RXT121" s="68"/>
      <c r="RXU121" s="68"/>
      <c r="RXV121" s="68"/>
      <c r="RXW121" s="68"/>
      <c r="RXX121" s="68"/>
      <c r="RXY121" s="68"/>
      <c r="RXZ121" s="68"/>
      <c r="RYA121" s="68"/>
      <c r="RYB121" s="68"/>
      <c r="RYC121" s="68"/>
      <c r="RYD121" s="68"/>
      <c r="RYE121" s="68"/>
      <c r="RYF121" s="68"/>
      <c r="RYG121" s="68"/>
      <c r="RYH121" s="68"/>
      <c r="RYI121" s="68"/>
      <c r="RYJ121" s="68"/>
      <c r="RYK121" s="68"/>
      <c r="RYL121" s="68"/>
      <c r="RYM121" s="68"/>
      <c r="RYN121" s="68"/>
      <c r="RYO121" s="68"/>
      <c r="RYP121" s="68"/>
      <c r="RYQ121" s="68"/>
      <c r="RYR121" s="68"/>
      <c r="RYS121" s="68"/>
      <c r="RYT121" s="68"/>
      <c r="RYU121" s="68"/>
      <c r="RYV121" s="68"/>
      <c r="RYW121" s="68"/>
      <c r="RYX121" s="68"/>
      <c r="RYY121" s="68"/>
      <c r="RYZ121" s="68"/>
      <c r="RZA121" s="68"/>
      <c r="RZB121" s="68"/>
      <c r="RZC121" s="68"/>
      <c r="RZD121" s="68"/>
      <c r="RZE121" s="68"/>
      <c r="RZF121" s="68"/>
      <c r="RZG121" s="68"/>
      <c r="RZH121" s="68"/>
      <c r="RZI121" s="68"/>
      <c r="RZJ121" s="68"/>
      <c r="RZK121" s="68"/>
      <c r="RZL121" s="68"/>
      <c r="RZM121" s="68"/>
      <c r="RZN121" s="68"/>
      <c r="RZO121" s="68"/>
      <c r="RZP121" s="68"/>
      <c r="RZQ121" s="68"/>
      <c r="RZR121" s="68"/>
      <c r="RZS121" s="68"/>
      <c r="RZT121" s="68"/>
      <c r="RZU121" s="68"/>
      <c r="RZV121" s="68"/>
      <c r="RZW121" s="68"/>
      <c r="RZX121" s="68"/>
      <c r="RZY121" s="68"/>
      <c r="RZZ121" s="68"/>
      <c r="SAA121" s="68"/>
      <c r="SAB121" s="68"/>
      <c r="SAC121" s="68"/>
      <c r="SAD121" s="68"/>
      <c r="SAE121" s="68"/>
      <c r="SAF121" s="68"/>
      <c r="SAG121" s="68"/>
      <c r="SAH121" s="68"/>
      <c r="SAI121" s="68"/>
      <c r="SAJ121" s="68"/>
      <c r="SAK121" s="68"/>
      <c r="SAL121" s="68"/>
      <c r="SAM121" s="68"/>
      <c r="SAN121" s="68"/>
      <c r="SAO121" s="68"/>
      <c r="SAP121" s="68"/>
      <c r="SAQ121" s="68"/>
      <c r="SAR121" s="68"/>
      <c r="SAS121" s="68"/>
      <c r="SAT121" s="68"/>
      <c r="SAU121" s="68"/>
      <c r="SAV121" s="68"/>
      <c r="SAW121" s="68"/>
      <c r="SAX121" s="68"/>
      <c r="SAY121" s="68"/>
      <c r="SAZ121" s="68"/>
      <c r="SBA121" s="68"/>
      <c r="SBB121" s="68"/>
      <c r="SBC121" s="68"/>
      <c r="SBD121" s="68"/>
      <c r="SBE121" s="68"/>
      <c r="SBF121" s="68"/>
      <c r="SBG121" s="68"/>
      <c r="SBH121" s="68"/>
      <c r="SBI121" s="68"/>
      <c r="SBJ121" s="68"/>
      <c r="SBK121" s="68"/>
      <c r="SBL121" s="68"/>
      <c r="SBM121" s="68"/>
      <c r="SBN121" s="68"/>
      <c r="SBO121" s="68"/>
      <c r="SBP121" s="68"/>
      <c r="SBQ121" s="68"/>
      <c r="SBR121" s="68"/>
      <c r="SBS121" s="68"/>
      <c r="SBT121" s="68"/>
      <c r="SBU121" s="68"/>
      <c r="SBV121" s="68"/>
      <c r="SBW121" s="68"/>
      <c r="SBX121" s="68"/>
      <c r="SBY121" s="68"/>
      <c r="SBZ121" s="68"/>
      <c r="SCA121" s="68"/>
      <c r="SCB121" s="68"/>
      <c r="SCC121" s="68"/>
      <c r="SCD121" s="68"/>
      <c r="SCE121" s="68"/>
      <c r="SCF121" s="68"/>
      <c r="SCG121" s="68"/>
      <c r="SCH121" s="68"/>
      <c r="SCI121" s="68"/>
      <c r="SCJ121" s="68"/>
      <c r="SCK121" s="68"/>
      <c r="SCL121" s="68"/>
      <c r="SCM121" s="68"/>
      <c r="SCN121" s="68"/>
      <c r="SCO121" s="68"/>
      <c r="SCP121" s="68"/>
      <c r="SCQ121" s="68"/>
      <c r="SCR121" s="68"/>
      <c r="SCS121" s="68"/>
      <c r="SCT121" s="68"/>
      <c r="SCU121" s="68"/>
      <c r="SCV121" s="68"/>
      <c r="SCW121" s="68"/>
      <c r="SCX121" s="68"/>
      <c r="SCY121" s="68"/>
      <c r="SCZ121" s="68"/>
      <c r="SDA121" s="68"/>
      <c r="SDB121" s="68"/>
      <c r="SDC121" s="68"/>
      <c r="SDD121" s="68"/>
      <c r="SDE121" s="68"/>
      <c r="SDF121" s="68"/>
      <c r="SDG121" s="68"/>
      <c r="SDH121" s="68"/>
      <c r="SDI121" s="68"/>
      <c r="SDJ121" s="68"/>
      <c r="SDK121" s="68"/>
      <c r="SDL121" s="68"/>
      <c r="SDM121" s="68"/>
      <c r="SDN121" s="68"/>
      <c r="SDO121" s="68"/>
      <c r="SDP121" s="68"/>
      <c r="SDQ121" s="68"/>
      <c r="SDR121" s="68"/>
      <c r="SDS121" s="68"/>
      <c r="SDT121" s="68"/>
      <c r="SDU121" s="68"/>
      <c r="SDV121" s="68"/>
      <c r="SDW121" s="68"/>
      <c r="SDX121" s="68"/>
      <c r="SDY121" s="68"/>
      <c r="SDZ121" s="68"/>
      <c r="SEA121" s="68"/>
      <c r="SEB121" s="68"/>
      <c r="SEC121" s="68"/>
      <c r="SED121" s="68"/>
      <c r="SEE121" s="68"/>
      <c r="SEF121" s="68"/>
      <c r="SEG121" s="68"/>
      <c r="SEH121" s="68"/>
      <c r="SEI121" s="68"/>
      <c r="SEJ121" s="68"/>
      <c r="SEK121" s="68"/>
      <c r="SEL121" s="68"/>
      <c r="SEM121" s="68"/>
      <c r="SEN121" s="68"/>
      <c r="SEO121" s="68"/>
      <c r="SEP121" s="68"/>
      <c r="SEQ121" s="68"/>
      <c r="SER121" s="68"/>
      <c r="SES121" s="68"/>
      <c r="SET121" s="68"/>
      <c r="SEU121" s="68"/>
      <c r="SEV121" s="68"/>
      <c r="SEW121" s="68"/>
      <c r="SEX121" s="68"/>
      <c r="SEY121" s="68"/>
      <c r="SEZ121" s="68"/>
      <c r="SFA121" s="68"/>
      <c r="SFB121" s="68"/>
      <c r="SFC121" s="68"/>
      <c r="SFD121" s="68"/>
      <c r="SFE121" s="68"/>
      <c r="SFF121" s="68"/>
      <c r="SFG121" s="68"/>
      <c r="SFH121" s="68"/>
      <c r="SFI121" s="68"/>
      <c r="SFJ121" s="68"/>
      <c r="SFK121" s="68"/>
      <c r="SFL121" s="68"/>
      <c r="SFM121" s="68"/>
      <c r="SFN121" s="68"/>
      <c r="SFO121" s="68"/>
      <c r="SFP121" s="68"/>
      <c r="SFQ121" s="68"/>
      <c r="SFR121" s="68"/>
      <c r="SFS121" s="68"/>
      <c r="SFT121" s="68"/>
      <c r="SFU121" s="68"/>
      <c r="SFV121" s="68"/>
      <c r="SFW121" s="68"/>
      <c r="SFX121" s="68"/>
      <c r="SFY121" s="68"/>
      <c r="SFZ121" s="68"/>
      <c r="SGA121" s="68"/>
      <c r="SGB121" s="68"/>
      <c r="SGC121" s="68"/>
      <c r="SGD121" s="68"/>
      <c r="SGE121" s="68"/>
      <c r="SGF121" s="68"/>
      <c r="SGG121" s="68"/>
      <c r="SGH121" s="68"/>
      <c r="SGI121" s="68"/>
      <c r="SGJ121" s="68"/>
      <c r="SGK121" s="68"/>
      <c r="SGL121" s="68"/>
      <c r="SGM121" s="68"/>
      <c r="SGN121" s="68"/>
      <c r="SGO121" s="68"/>
      <c r="SGP121" s="68"/>
      <c r="SGQ121" s="68"/>
      <c r="SGR121" s="68"/>
      <c r="SGS121" s="68"/>
      <c r="SGT121" s="68"/>
      <c r="SGU121" s="68"/>
      <c r="SGV121" s="68"/>
      <c r="SGW121" s="68"/>
      <c r="SGX121" s="68"/>
      <c r="SGY121" s="68"/>
      <c r="SGZ121" s="68"/>
      <c r="SHA121" s="68"/>
      <c r="SHB121" s="68"/>
      <c r="SHC121" s="68"/>
      <c r="SHD121" s="68"/>
      <c r="SHE121" s="68"/>
      <c r="SHF121" s="68"/>
      <c r="SHG121" s="68"/>
      <c r="SHH121" s="68"/>
      <c r="SHI121" s="68"/>
      <c r="SHJ121" s="68"/>
      <c r="SHK121" s="68"/>
      <c r="SHL121" s="68"/>
      <c r="SHM121" s="68"/>
      <c r="SHN121" s="68"/>
      <c r="SHO121" s="68"/>
      <c r="SHP121" s="68"/>
      <c r="SHQ121" s="68"/>
      <c r="SHR121" s="68"/>
      <c r="SHS121" s="68"/>
      <c r="SHT121" s="68"/>
      <c r="SHU121" s="68"/>
      <c r="SHV121" s="68"/>
      <c r="SHW121" s="68"/>
      <c r="SHX121" s="68"/>
      <c r="SHY121" s="68"/>
      <c r="SHZ121" s="68"/>
      <c r="SIA121" s="68"/>
      <c r="SIB121" s="68"/>
      <c r="SIC121" s="68"/>
      <c r="SID121" s="68"/>
      <c r="SIE121" s="68"/>
      <c r="SIF121" s="68"/>
      <c r="SIG121" s="68"/>
      <c r="SIH121" s="68"/>
      <c r="SII121" s="68"/>
      <c r="SIJ121" s="68"/>
      <c r="SIK121" s="68"/>
      <c r="SIL121" s="68"/>
      <c r="SIM121" s="68"/>
      <c r="SIN121" s="68"/>
      <c r="SIO121" s="68"/>
      <c r="SIP121" s="68"/>
      <c r="SIQ121" s="68"/>
      <c r="SIR121" s="68"/>
      <c r="SIS121" s="68"/>
      <c r="SIT121" s="68"/>
      <c r="SIU121" s="68"/>
      <c r="SIV121" s="68"/>
      <c r="SIW121" s="68"/>
      <c r="SIX121" s="68"/>
      <c r="SIY121" s="68"/>
      <c r="SIZ121" s="68"/>
      <c r="SJA121" s="68"/>
      <c r="SJB121" s="68"/>
      <c r="SJC121" s="68"/>
      <c r="SJD121" s="68"/>
      <c r="SJE121" s="68"/>
      <c r="SJF121" s="68"/>
      <c r="SJG121" s="68"/>
      <c r="SJH121" s="68"/>
      <c r="SJI121" s="68"/>
      <c r="SJJ121" s="68"/>
      <c r="SJK121" s="68"/>
      <c r="SJL121" s="68"/>
      <c r="SJM121" s="68"/>
      <c r="SJN121" s="68"/>
      <c r="SJO121" s="68"/>
      <c r="SJP121" s="68"/>
      <c r="SJQ121" s="68"/>
      <c r="SJR121" s="68"/>
      <c r="SJS121" s="68"/>
      <c r="SJT121" s="68"/>
      <c r="SJU121" s="68"/>
      <c r="SJV121" s="68"/>
      <c r="SJW121" s="68"/>
      <c r="SJX121" s="68"/>
      <c r="SJY121" s="68"/>
      <c r="SJZ121" s="68"/>
      <c r="SKA121" s="68"/>
      <c r="SKB121" s="68"/>
      <c r="SKC121" s="68"/>
      <c r="SKD121" s="68"/>
      <c r="SKE121" s="68"/>
      <c r="SKF121" s="68"/>
      <c r="SKG121" s="68"/>
      <c r="SKH121" s="68"/>
      <c r="SKI121" s="68"/>
      <c r="SKJ121" s="68"/>
      <c r="SKK121" s="68"/>
      <c r="SKL121" s="68"/>
      <c r="SKM121" s="68"/>
      <c r="SKN121" s="68"/>
      <c r="SKO121" s="68"/>
      <c r="SKP121" s="68"/>
      <c r="SKQ121" s="68"/>
      <c r="SKR121" s="68"/>
      <c r="SKS121" s="68"/>
      <c r="SKT121" s="68"/>
      <c r="SKU121" s="68"/>
      <c r="SKV121" s="68"/>
      <c r="SKW121" s="68"/>
      <c r="SKX121" s="68"/>
      <c r="SKY121" s="68"/>
      <c r="SKZ121" s="68"/>
      <c r="SLA121" s="68"/>
      <c r="SLB121" s="68"/>
      <c r="SLC121" s="68"/>
      <c r="SLD121" s="68"/>
      <c r="SLE121" s="68"/>
      <c r="SLF121" s="68"/>
      <c r="SLG121" s="68"/>
      <c r="SLH121" s="68"/>
      <c r="SLI121" s="68"/>
      <c r="SLJ121" s="68"/>
      <c r="SLK121" s="68"/>
      <c r="SLL121" s="68"/>
      <c r="SLM121" s="68"/>
      <c r="SLN121" s="68"/>
      <c r="SLO121" s="68"/>
      <c r="SLP121" s="68"/>
      <c r="SLQ121" s="68"/>
      <c r="SLR121" s="68"/>
      <c r="SLS121" s="68"/>
      <c r="SLT121" s="68"/>
      <c r="SLU121" s="68"/>
      <c r="SLV121" s="68"/>
      <c r="SLW121" s="68"/>
      <c r="SLX121" s="68"/>
      <c r="SLY121" s="68"/>
      <c r="SLZ121" s="68"/>
      <c r="SMA121" s="68"/>
      <c r="SMB121" s="68"/>
      <c r="SMC121" s="68"/>
      <c r="SMD121" s="68"/>
      <c r="SME121" s="68"/>
      <c r="SMF121" s="68"/>
      <c r="SMG121" s="68"/>
      <c r="SMH121" s="68"/>
      <c r="SMI121" s="68"/>
      <c r="SMJ121" s="68"/>
      <c r="SMK121" s="68"/>
      <c r="SML121" s="68"/>
      <c r="SMM121" s="68"/>
      <c r="SMN121" s="68"/>
      <c r="SMO121" s="68"/>
      <c r="SMP121" s="68"/>
      <c r="SMQ121" s="68"/>
      <c r="SMR121" s="68"/>
      <c r="SMS121" s="68"/>
      <c r="SMT121" s="68"/>
      <c r="SMU121" s="68"/>
      <c r="SMV121" s="68"/>
      <c r="SMW121" s="68"/>
      <c r="SMX121" s="68"/>
      <c r="SMY121" s="68"/>
      <c r="SMZ121" s="68"/>
      <c r="SNA121" s="68"/>
      <c r="SNB121" s="68"/>
      <c r="SNC121" s="68"/>
      <c r="SND121" s="68"/>
      <c r="SNE121" s="68"/>
      <c r="SNF121" s="68"/>
      <c r="SNG121" s="68"/>
      <c r="SNH121" s="68"/>
      <c r="SNI121" s="68"/>
      <c r="SNJ121" s="68"/>
      <c r="SNK121" s="68"/>
      <c r="SNL121" s="68"/>
      <c r="SNM121" s="68"/>
      <c r="SNN121" s="68"/>
      <c r="SNO121" s="68"/>
      <c r="SNP121" s="68"/>
      <c r="SNQ121" s="68"/>
      <c r="SNR121" s="68"/>
      <c r="SNS121" s="68"/>
      <c r="SNT121" s="68"/>
      <c r="SNU121" s="68"/>
      <c r="SNV121" s="68"/>
      <c r="SNW121" s="68"/>
      <c r="SNX121" s="68"/>
      <c r="SNY121" s="68"/>
      <c r="SNZ121" s="68"/>
      <c r="SOA121" s="68"/>
      <c r="SOB121" s="68"/>
      <c r="SOC121" s="68"/>
      <c r="SOD121" s="68"/>
      <c r="SOE121" s="68"/>
      <c r="SOF121" s="68"/>
      <c r="SOG121" s="68"/>
      <c r="SOH121" s="68"/>
      <c r="SOI121" s="68"/>
      <c r="SOJ121" s="68"/>
      <c r="SOK121" s="68"/>
      <c r="SOL121" s="68"/>
      <c r="SOM121" s="68"/>
      <c r="SON121" s="68"/>
      <c r="SOO121" s="68"/>
      <c r="SOP121" s="68"/>
      <c r="SOQ121" s="68"/>
      <c r="SOR121" s="68"/>
      <c r="SOS121" s="68"/>
      <c r="SOT121" s="68"/>
      <c r="SOU121" s="68"/>
      <c r="SOV121" s="68"/>
      <c r="SOW121" s="68"/>
      <c r="SOX121" s="68"/>
      <c r="SOY121" s="68"/>
      <c r="SOZ121" s="68"/>
      <c r="SPA121" s="68"/>
      <c r="SPB121" s="68"/>
      <c r="SPC121" s="68"/>
      <c r="SPD121" s="68"/>
      <c r="SPE121" s="68"/>
      <c r="SPF121" s="68"/>
      <c r="SPG121" s="68"/>
      <c r="SPH121" s="68"/>
      <c r="SPI121" s="68"/>
      <c r="SPJ121" s="68"/>
      <c r="SPK121" s="68"/>
      <c r="SPL121" s="68"/>
      <c r="SPM121" s="68"/>
      <c r="SPN121" s="68"/>
      <c r="SPO121" s="68"/>
      <c r="SPP121" s="68"/>
      <c r="SPQ121" s="68"/>
      <c r="SPR121" s="68"/>
      <c r="SPS121" s="68"/>
      <c r="SPT121" s="68"/>
      <c r="SPU121" s="68"/>
      <c r="SPV121" s="68"/>
      <c r="SPW121" s="68"/>
      <c r="SPX121" s="68"/>
      <c r="SPY121" s="68"/>
      <c r="SPZ121" s="68"/>
      <c r="SQA121" s="68"/>
      <c r="SQB121" s="68"/>
      <c r="SQC121" s="68"/>
      <c r="SQD121" s="68"/>
      <c r="SQE121" s="68"/>
      <c r="SQF121" s="68"/>
      <c r="SQG121" s="68"/>
      <c r="SQH121" s="68"/>
      <c r="SQI121" s="68"/>
      <c r="SQJ121" s="68"/>
      <c r="SQK121" s="68"/>
      <c r="SQL121" s="68"/>
      <c r="SQM121" s="68"/>
      <c r="SQN121" s="68"/>
      <c r="SQO121" s="68"/>
      <c r="SQP121" s="68"/>
      <c r="SQQ121" s="68"/>
      <c r="SQR121" s="68"/>
      <c r="SQS121" s="68"/>
      <c r="SQT121" s="68"/>
      <c r="SQU121" s="68"/>
      <c r="SQV121" s="68"/>
      <c r="SQW121" s="68"/>
      <c r="SQX121" s="68"/>
      <c r="SQY121" s="68"/>
      <c r="SQZ121" s="68"/>
      <c r="SRA121" s="68"/>
      <c r="SRB121" s="68"/>
      <c r="SRC121" s="68"/>
      <c r="SRD121" s="68"/>
      <c r="SRE121" s="68"/>
      <c r="SRF121" s="68"/>
      <c r="SRG121" s="68"/>
      <c r="SRH121" s="68"/>
      <c r="SRI121" s="68"/>
      <c r="SRJ121" s="68"/>
      <c r="SRK121" s="68"/>
      <c r="SRL121" s="68"/>
      <c r="SRM121" s="68"/>
      <c r="SRN121" s="68"/>
      <c r="SRO121" s="68"/>
      <c r="SRP121" s="68"/>
      <c r="SRQ121" s="68"/>
      <c r="SRR121" s="68"/>
      <c r="SRS121" s="68"/>
      <c r="SRT121" s="68"/>
      <c r="SRU121" s="68"/>
      <c r="SRV121" s="68"/>
      <c r="SRW121" s="68"/>
      <c r="SRX121" s="68"/>
      <c r="SRY121" s="68"/>
      <c r="SRZ121" s="68"/>
      <c r="SSA121" s="68"/>
      <c r="SSB121" s="68"/>
      <c r="SSC121" s="68"/>
      <c r="SSD121" s="68"/>
      <c r="SSE121" s="68"/>
      <c r="SSF121" s="68"/>
      <c r="SSG121" s="68"/>
      <c r="SSH121" s="68"/>
      <c r="SSI121" s="68"/>
      <c r="SSJ121" s="68"/>
      <c r="SSK121" s="68"/>
      <c r="SSL121" s="68"/>
      <c r="SSM121" s="68"/>
      <c r="SSN121" s="68"/>
      <c r="SSO121" s="68"/>
      <c r="SSP121" s="68"/>
      <c r="SSQ121" s="68"/>
      <c r="SSR121" s="68"/>
      <c r="SSS121" s="68"/>
      <c r="SST121" s="68"/>
      <c r="SSU121" s="68"/>
      <c r="SSV121" s="68"/>
      <c r="SSW121" s="68"/>
      <c r="SSX121" s="68"/>
      <c r="SSY121" s="68"/>
      <c r="SSZ121" s="68"/>
      <c r="STA121" s="68"/>
      <c r="STB121" s="68"/>
      <c r="STC121" s="68"/>
      <c r="STD121" s="68"/>
      <c r="STE121" s="68"/>
      <c r="STF121" s="68"/>
      <c r="STG121" s="68"/>
      <c r="STH121" s="68"/>
      <c r="STI121" s="68"/>
      <c r="STJ121" s="68"/>
      <c r="STK121" s="68"/>
      <c r="STL121" s="68"/>
      <c r="STM121" s="68"/>
      <c r="STN121" s="68"/>
      <c r="STO121" s="68"/>
      <c r="STP121" s="68"/>
      <c r="STQ121" s="68"/>
      <c r="STR121" s="68"/>
      <c r="STS121" s="68"/>
      <c r="STT121" s="68"/>
      <c r="STU121" s="68"/>
      <c r="STV121" s="68"/>
      <c r="STW121" s="68"/>
      <c r="STX121" s="68"/>
      <c r="STY121" s="68"/>
      <c r="STZ121" s="68"/>
      <c r="SUA121" s="68"/>
      <c r="SUB121" s="68"/>
      <c r="SUC121" s="68"/>
      <c r="SUD121" s="68"/>
      <c r="SUE121" s="68"/>
      <c r="SUF121" s="68"/>
      <c r="SUG121" s="68"/>
      <c r="SUH121" s="68"/>
      <c r="SUI121" s="68"/>
      <c r="SUJ121" s="68"/>
      <c r="SUK121" s="68"/>
      <c r="SUL121" s="68"/>
      <c r="SUM121" s="68"/>
      <c r="SUN121" s="68"/>
      <c r="SUO121" s="68"/>
      <c r="SUP121" s="68"/>
      <c r="SUQ121" s="68"/>
      <c r="SUR121" s="68"/>
      <c r="SUS121" s="68"/>
      <c r="SUT121" s="68"/>
      <c r="SUU121" s="68"/>
      <c r="SUV121" s="68"/>
      <c r="SUW121" s="68"/>
      <c r="SUX121" s="68"/>
      <c r="SUY121" s="68"/>
      <c r="SUZ121" s="68"/>
      <c r="SVA121" s="68"/>
      <c r="SVB121" s="68"/>
      <c r="SVC121" s="68"/>
      <c r="SVD121" s="68"/>
      <c r="SVE121" s="68"/>
      <c r="SVF121" s="68"/>
      <c r="SVG121" s="68"/>
      <c r="SVH121" s="68"/>
      <c r="SVI121" s="68"/>
      <c r="SVJ121" s="68"/>
      <c r="SVK121" s="68"/>
      <c r="SVL121" s="68"/>
      <c r="SVM121" s="68"/>
      <c r="SVN121" s="68"/>
      <c r="SVO121" s="68"/>
      <c r="SVP121" s="68"/>
      <c r="SVQ121" s="68"/>
      <c r="SVR121" s="68"/>
      <c r="SVS121" s="68"/>
      <c r="SVT121" s="68"/>
      <c r="SVU121" s="68"/>
      <c r="SVV121" s="68"/>
      <c r="SVW121" s="68"/>
      <c r="SVX121" s="68"/>
      <c r="SVY121" s="68"/>
      <c r="SVZ121" s="68"/>
      <c r="SWA121" s="68"/>
      <c r="SWB121" s="68"/>
      <c r="SWC121" s="68"/>
      <c r="SWD121" s="68"/>
      <c r="SWE121" s="68"/>
      <c r="SWF121" s="68"/>
      <c r="SWG121" s="68"/>
      <c r="SWH121" s="68"/>
      <c r="SWI121" s="68"/>
      <c r="SWJ121" s="68"/>
      <c r="SWK121" s="68"/>
      <c r="SWL121" s="68"/>
      <c r="SWM121" s="68"/>
      <c r="SWN121" s="68"/>
      <c r="SWO121" s="68"/>
      <c r="SWP121" s="68"/>
      <c r="SWQ121" s="68"/>
      <c r="SWR121" s="68"/>
      <c r="SWS121" s="68"/>
      <c r="SWT121" s="68"/>
      <c r="SWU121" s="68"/>
      <c r="SWV121" s="68"/>
      <c r="SWW121" s="68"/>
      <c r="SWX121" s="68"/>
      <c r="SWY121" s="68"/>
      <c r="SWZ121" s="68"/>
      <c r="SXA121" s="68"/>
      <c r="SXB121" s="68"/>
      <c r="SXC121" s="68"/>
      <c r="SXD121" s="68"/>
      <c r="SXE121" s="68"/>
      <c r="SXF121" s="68"/>
      <c r="SXG121" s="68"/>
      <c r="SXH121" s="68"/>
      <c r="SXI121" s="68"/>
      <c r="SXJ121" s="68"/>
      <c r="SXK121" s="68"/>
      <c r="SXL121" s="68"/>
      <c r="SXM121" s="68"/>
      <c r="SXN121" s="68"/>
      <c r="SXO121" s="68"/>
      <c r="SXP121" s="68"/>
      <c r="SXQ121" s="68"/>
      <c r="SXR121" s="68"/>
      <c r="SXS121" s="68"/>
      <c r="SXT121" s="68"/>
      <c r="SXU121" s="68"/>
      <c r="SXV121" s="68"/>
      <c r="SXW121" s="68"/>
      <c r="SXX121" s="68"/>
      <c r="SXY121" s="68"/>
      <c r="SXZ121" s="68"/>
      <c r="SYA121" s="68"/>
      <c r="SYB121" s="68"/>
      <c r="SYC121" s="68"/>
      <c r="SYD121" s="68"/>
      <c r="SYE121" s="68"/>
      <c r="SYF121" s="68"/>
      <c r="SYG121" s="68"/>
      <c r="SYH121" s="68"/>
      <c r="SYI121" s="68"/>
      <c r="SYJ121" s="68"/>
      <c r="SYK121" s="68"/>
      <c r="SYL121" s="68"/>
      <c r="SYM121" s="68"/>
      <c r="SYN121" s="68"/>
      <c r="SYO121" s="68"/>
      <c r="SYP121" s="68"/>
      <c r="SYQ121" s="68"/>
      <c r="SYR121" s="68"/>
      <c r="SYS121" s="68"/>
      <c r="SYT121" s="68"/>
      <c r="SYU121" s="68"/>
      <c r="SYV121" s="68"/>
      <c r="SYW121" s="68"/>
      <c r="SYX121" s="68"/>
      <c r="SYY121" s="68"/>
      <c r="SYZ121" s="68"/>
      <c r="SZA121" s="68"/>
      <c r="SZB121" s="68"/>
      <c r="SZC121" s="68"/>
      <c r="SZD121" s="68"/>
      <c r="SZE121" s="68"/>
      <c r="SZF121" s="68"/>
      <c r="SZG121" s="68"/>
      <c r="SZH121" s="68"/>
      <c r="SZI121" s="68"/>
      <c r="SZJ121" s="68"/>
      <c r="SZK121" s="68"/>
      <c r="SZL121" s="68"/>
      <c r="SZM121" s="68"/>
      <c r="SZN121" s="68"/>
      <c r="SZO121" s="68"/>
      <c r="SZP121" s="68"/>
      <c r="SZQ121" s="68"/>
      <c r="SZR121" s="68"/>
      <c r="SZS121" s="68"/>
      <c r="SZT121" s="68"/>
      <c r="SZU121" s="68"/>
      <c r="SZV121" s="68"/>
      <c r="SZW121" s="68"/>
      <c r="SZX121" s="68"/>
      <c r="SZY121" s="68"/>
      <c r="SZZ121" s="68"/>
      <c r="TAA121" s="68"/>
      <c r="TAB121" s="68"/>
      <c r="TAC121" s="68"/>
      <c r="TAD121" s="68"/>
      <c r="TAE121" s="68"/>
      <c r="TAF121" s="68"/>
      <c r="TAG121" s="68"/>
      <c r="TAH121" s="68"/>
      <c r="TAI121" s="68"/>
      <c r="TAJ121" s="68"/>
      <c r="TAK121" s="68"/>
      <c r="TAL121" s="68"/>
      <c r="TAM121" s="68"/>
      <c r="TAN121" s="68"/>
      <c r="TAO121" s="68"/>
      <c r="TAP121" s="68"/>
      <c r="TAQ121" s="68"/>
      <c r="TAR121" s="68"/>
      <c r="TAS121" s="68"/>
      <c r="TAT121" s="68"/>
      <c r="TAU121" s="68"/>
      <c r="TAV121" s="68"/>
      <c r="TAW121" s="68"/>
      <c r="TAX121" s="68"/>
      <c r="TAY121" s="68"/>
      <c r="TAZ121" s="68"/>
      <c r="TBA121" s="68"/>
      <c r="TBB121" s="68"/>
      <c r="TBC121" s="68"/>
      <c r="TBD121" s="68"/>
      <c r="TBE121" s="68"/>
      <c r="TBF121" s="68"/>
      <c r="TBG121" s="68"/>
      <c r="TBH121" s="68"/>
      <c r="TBI121" s="68"/>
      <c r="TBJ121" s="68"/>
      <c r="TBK121" s="68"/>
      <c r="TBL121" s="68"/>
      <c r="TBM121" s="68"/>
      <c r="TBN121" s="68"/>
      <c r="TBO121" s="68"/>
      <c r="TBP121" s="68"/>
      <c r="TBQ121" s="68"/>
      <c r="TBR121" s="68"/>
      <c r="TBS121" s="68"/>
      <c r="TBT121" s="68"/>
      <c r="TBU121" s="68"/>
      <c r="TBV121" s="68"/>
      <c r="TBW121" s="68"/>
      <c r="TBX121" s="68"/>
      <c r="TBY121" s="68"/>
      <c r="TBZ121" s="68"/>
      <c r="TCA121" s="68"/>
      <c r="TCB121" s="68"/>
      <c r="TCC121" s="68"/>
      <c r="TCD121" s="68"/>
      <c r="TCE121" s="68"/>
      <c r="TCF121" s="68"/>
      <c r="TCG121" s="68"/>
      <c r="TCH121" s="68"/>
      <c r="TCI121" s="68"/>
      <c r="TCJ121" s="68"/>
      <c r="TCK121" s="68"/>
      <c r="TCL121" s="68"/>
      <c r="TCM121" s="68"/>
      <c r="TCN121" s="68"/>
      <c r="TCO121" s="68"/>
      <c r="TCP121" s="68"/>
      <c r="TCQ121" s="68"/>
      <c r="TCR121" s="68"/>
      <c r="TCS121" s="68"/>
      <c r="TCT121" s="68"/>
      <c r="TCU121" s="68"/>
      <c r="TCV121" s="68"/>
      <c r="TCW121" s="68"/>
      <c r="TCX121" s="68"/>
      <c r="TCY121" s="68"/>
      <c r="TCZ121" s="68"/>
      <c r="TDA121" s="68"/>
      <c r="TDB121" s="68"/>
      <c r="TDC121" s="68"/>
      <c r="TDD121" s="68"/>
      <c r="TDE121" s="68"/>
      <c r="TDF121" s="68"/>
      <c r="TDG121" s="68"/>
      <c r="TDH121" s="68"/>
      <c r="TDI121" s="68"/>
      <c r="TDJ121" s="68"/>
      <c r="TDK121" s="68"/>
      <c r="TDL121" s="68"/>
      <c r="TDM121" s="68"/>
      <c r="TDN121" s="68"/>
      <c r="TDO121" s="68"/>
      <c r="TDP121" s="68"/>
      <c r="TDQ121" s="68"/>
      <c r="TDR121" s="68"/>
      <c r="TDS121" s="68"/>
      <c r="TDT121" s="68"/>
      <c r="TDU121" s="68"/>
      <c r="TDV121" s="68"/>
      <c r="TDW121" s="68"/>
      <c r="TDX121" s="68"/>
      <c r="TDY121" s="68"/>
      <c r="TDZ121" s="68"/>
      <c r="TEA121" s="68"/>
      <c r="TEB121" s="68"/>
      <c r="TEC121" s="68"/>
      <c r="TED121" s="68"/>
      <c r="TEE121" s="68"/>
      <c r="TEF121" s="68"/>
      <c r="TEG121" s="68"/>
      <c r="TEH121" s="68"/>
      <c r="TEI121" s="68"/>
      <c r="TEJ121" s="68"/>
      <c r="TEK121" s="68"/>
      <c r="TEL121" s="68"/>
      <c r="TEM121" s="68"/>
      <c r="TEN121" s="68"/>
      <c r="TEO121" s="68"/>
      <c r="TEP121" s="68"/>
      <c r="TEQ121" s="68"/>
      <c r="TER121" s="68"/>
      <c r="TES121" s="68"/>
      <c r="TET121" s="68"/>
      <c r="TEU121" s="68"/>
      <c r="TEV121" s="68"/>
      <c r="TEW121" s="68"/>
      <c r="TEX121" s="68"/>
      <c r="TEY121" s="68"/>
      <c r="TEZ121" s="68"/>
      <c r="TFA121" s="68"/>
      <c r="TFB121" s="68"/>
      <c r="TFC121" s="68"/>
      <c r="TFD121" s="68"/>
      <c r="TFE121" s="68"/>
      <c r="TFF121" s="68"/>
      <c r="TFG121" s="68"/>
      <c r="TFH121" s="68"/>
      <c r="TFI121" s="68"/>
      <c r="TFJ121" s="68"/>
      <c r="TFK121" s="68"/>
      <c r="TFL121" s="68"/>
      <c r="TFM121" s="68"/>
      <c r="TFN121" s="68"/>
      <c r="TFO121" s="68"/>
      <c r="TFP121" s="68"/>
      <c r="TFQ121" s="68"/>
      <c r="TFR121" s="68"/>
      <c r="TFS121" s="68"/>
      <c r="TFT121" s="68"/>
      <c r="TFU121" s="68"/>
      <c r="TFV121" s="68"/>
      <c r="TFW121" s="68"/>
      <c r="TFX121" s="68"/>
      <c r="TFY121" s="68"/>
      <c r="TFZ121" s="68"/>
      <c r="TGA121" s="68"/>
      <c r="TGB121" s="68"/>
      <c r="TGC121" s="68"/>
      <c r="TGD121" s="68"/>
      <c r="TGE121" s="68"/>
      <c r="TGF121" s="68"/>
      <c r="TGG121" s="68"/>
      <c r="TGH121" s="68"/>
      <c r="TGI121" s="68"/>
      <c r="TGJ121" s="68"/>
      <c r="TGK121" s="68"/>
      <c r="TGL121" s="68"/>
      <c r="TGM121" s="68"/>
      <c r="TGN121" s="68"/>
      <c r="TGO121" s="68"/>
      <c r="TGP121" s="68"/>
      <c r="TGQ121" s="68"/>
      <c r="TGR121" s="68"/>
      <c r="TGS121" s="68"/>
      <c r="TGT121" s="68"/>
      <c r="TGU121" s="68"/>
      <c r="TGV121" s="68"/>
      <c r="TGW121" s="68"/>
      <c r="TGX121" s="68"/>
      <c r="TGY121" s="68"/>
      <c r="TGZ121" s="68"/>
      <c r="THA121" s="68"/>
      <c r="THB121" s="68"/>
      <c r="THC121" s="68"/>
      <c r="THD121" s="68"/>
      <c r="THE121" s="68"/>
      <c r="THF121" s="68"/>
      <c r="THG121" s="68"/>
      <c r="THH121" s="68"/>
      <c r="THI121" s="68"/>
      <c r="THJ121" s="68"/>
      <c r="THK121" s="68"/>
      <c r="THL121" s="68"/>
      <c r="THM121" s="68"/>
      <c r="THN121" s="68"/>
      <c r="THO121" s="68"/>
      <c r="THP121" s="68"/>
      <c r="THQ121" s="68"/>
      <c r="THR121" s="68"/>
      <c r="THS121" s="68"/>
      <c r="THT121" s="68"/>
      <c r="THU121" s="68"/>
      <c r="THV121" s="68"/>
      <c r="THW121" s="68"/>
      <c r="THX121" s="68"/>
      <c r="THY121" s="68"/>
      <c r="THZ121" s="68"/>
      <c r="TIA121" s="68"/>
      <c r="TIB121" s="68"/>
      <c r="TIC121" s="68"/>
      <c r="TID121" s="68"/>
      <c r="TIE121" s="68"/>
      <c r="TIF121" s="68"/>
      <c r="TIG121" s="68"/>
      <c r="TIH121" s="68"/>
      <c r="TII121" s="68"/>
      <c r="TIJ121" s="68"/>
      <c r="TIK121" s="68"/>
      <c r="TIL121" s="68"/>
      <c r="TIM121" s="68"/>
      <c r="TIN121" s="68"/>
      <c r="TIO121" s="68"/>
      <c r="TIP121" s="68"/>
      <c r="TIQ121" s="68"/>
      <c r="TIR121" s="68"/>
      <c r="TIS121" s="68"/>
      <c r="TIT121" s="68"/>
      <c r="TIU121" s="68"/>
      <c r="TIV121" s="68"/>
      <c r="TIW121" s="68"/>
      <c r="TIX121" s="68"/>
      <c r="TIY121" s="68"/>
      <c r="TIZ121" s="68"/>
      <c r="TJA121" s="68"/>
      <c r="TJB121" s="68"/>
      <c r="TJC121" s="68"/>
      <c r="TJD121" s="68"/>
      <c r="TJE121" s="68"/>
      <c r="TJF121" s="68"/>
      <c r="TJG121" s="68"/>
      <c r="TJH121" s="68"/>
      <c r="TJI121" s="68"/>
      <c r="TJJ121" s="68"/>
      <c r="TJK121" s="68"/>
      <c r="TJL121" s="68"/>
      <c r="TJM121" s="68"/>
      <c r="TJN121" s="68"/>
      <c r="TJO121" s="68"/>
      <c r="TJP121" s="68"/>
      <c r="TJQ121" s="68"/>
      <c r="TJR121" s="68"/>
      <c r="TJS121" s="68"/>
      <c r="TJT121" s="68"/>
      <c r="TJU121" s="68"/>
      <c r="TJV121" s="68"/>
      <c r="TJW121" s="68"/>
      <c r="TJX121" s="68"/>
      <c r="TJY121" s="68"/>
      <c r="TJZ121" s="68"/>
      <c r="TKA121" s="68"/>
      <c r="TKB121" s="68"/>
      <c r="TKC121" s="68"/>
      <c r="TKD121" s="68"/>
      <c r="TKE121" s="68"/>
      <c r="TKF121" s="68"/>
      <c r="TKG121" s="68"/>
      <c r="TKH121" s="68"/>
      <c r="TKI121" s="68"/>
      <c r="TKJ121" s="68"/>
      <c r="TKK121" s="68"/>
      <c r="TKL121" s="68"/>
      <c r="TKM121" s="68"/>
      <c r="TKN121" s="68"/>
      <c r="TKO121" s="68"/>
      <c r="TKP121" s="68"/>
      <c r="TKQ121" s="68"/>
      <c r="TKR121" s="68"/>
      <c r="TKS121" s="68"/>
      <c r="TKT121" s="68"/>
      <c r="TKU121" s="68"/>
      <c r="TKV121" s="68"/>
      <c r="TKW121" s="68"/>
      <c r="TKX121" s="68"/>
      <c r="TKY121" s="68"/>
      <c r="TKZ121" s="68"/>
      <c r="TLA121" s="68"/>
      <c r="TLB121" s="68"/>
      <c r="TLC121" s="68"/>
      <c r="TLD121" s="68"/>
      <c r="TLE121" s="68"/>
      <c r="TLF121" s="68"/>
      <c r="TLG121" s="68"/>
      <c r="TLH121" s="68"/>
      <c r="TLI121" s="68"/>
      <c r="TLJ121" s="68"/>
      <c r="TLK121" s="68"/>
      <c r="TLL121" s="68"/>
      <c r="TLM121" s="68"/>
      <c r="TLN121" s="68"/>
      <c r="TLO121" s="68"/>
      <c r="TLP121" s="68"/>
      <c r="TLQ121" s="68"/>
      <c r="TLR121" s="68"/>
      <c r="TLS121" s="68"/>
      <c r="TLT121" s="68"/>
      <c r="TLU121" s="68"/>
      <c r="TLV121" s="68"/>
      <c r="TLW121" s="68"/>
      <c r="TLX121" s="68"/>
      <c r="TLY121" s="68"/>
      <c r="TLZ121" s="68"/>
      <c r="TMA121" s="68"/>
      <c r="TMB121" s="68"/>
      <c r="TMC121" s="68"/>
      <c r="TMD121" s="68"/>
      <c r="TME121" s="68"/>
      <c r="TMF121" s="68"/>
      <c r="TMG121" s="68"/>
      <c r="TMH121" s="68"/>
      <c r="TMI121" s="68"/>
      <c r="TMJ121" s="68"/>
      <c r="TMK121" s="68"/>
      <c r="TML121" s="68"/>
      <c r="TMM121" s="68"/>
      <c r="TMN121" s="68"/>
      <c r="TMO121" s="68"/>
      <c r="TMP121" s="68"/>
      <c r="TMQ121" s="68"/>
      <c r="TMR121" s="68"/>
      <c r="TMS121" s="68"/>
      <c r="TMT121" s="68"/>
      <c r="TMU121" s="68"/>
      <c r="TMV121" s="68"/>
      <c r="TMW121" s="68"/>
      <c r="TMX121" s="68"/>
      <c r="TMY121" s="68"/>
      <c r="TMZ121" s="68"/>
      <c r="TNA121" s="68"/>
      <c r="TNB121" s="68"/>
      <c r="TNC121" s="68"/>
      <c r="TND121" s="68"/>
      <c r="TNE121" s="68"/>
      <c r="TNF121" s="68"/>
      <c r="TNG121" s="68"/>
      <c r="TNH121" s="68"/>
      <c r="TNI121" s="68"/>
      <c r="TNJ121" s="68"/>
      <c r="TNK121" s="68"/>
      <c r="TNL121" s="68"/>
      <c r="TNM121" s="68"/>
      <c r="TNN121" s="68"/>
      <c r="TNO121" s="68"/>
      <c r="TNP121" s="68"/>
      <c r="TNQ121" s="68"/>
      <c r="TNR121" s="68"/>
      <c r="TNS121" s="68"/>
      <c r="TNT121" s="68"/>
      <c r="TNU121" s="68"/>
      <c r="TNV121" s="68"/>
      <c r="TNW121" s="68"/>
      <c r="TNX121" s="68"/>
      <c r="TNY121" s="68"/>
      <c r="TNZ121" s="68"/>
      <c r="TOA121" s="68"/>
      <c r="TOB121" s="68"/>
      <c r="TOC121" s="68"/>
      <c r="TOD121" s="68"/>
      <c r="TOE121" s="68"/>
      <c r="TOF121" s="68"/>
      <c r="TOG121" s="68"/>
      <c r="TOH121" s="68"/>
      <c r="TOI121" s="68"/>
      <c r="TOJ121" s="68"/>
      <c r="TOK121" s="68"/>
      <c r="TOL121" s="68"/>
      <c r="TOM121" s="68"/>
      <c r="TON121" s="68"/>
      <c r="TOO121" s="68"/>
      <c r="TOP121" s="68"/>
      <c r="TOQ121" s="68"/>
      <c r="TOR121" s="68"/>
      <c r="TOS121" s="68"/>
      <c r="TOT121" s="68"/>
      <c r="TOU121" s="68"/>
      <c r="TOV121" s="68"/>
      <c r="TOW121" s="68"/>
      <c r="TOX121" s="68"/>
      <c r="TOY121" s="68"/>
      <c r="TOZ121" s="68"/>
      <c r="TPA121" s="68"/>
      <c r="TPB121" s="68"/>
      <c r="TPC121" s="68"/>
      <c r="TPD121" s="68"/>
      <c r="TPE121" s="68"/>
      <c r="TPF121" s="68"/>
      <c r="TPG121" s="68"/>
      <c r="TPH121" s="68"/>
      <c r="TPI121" s="68"/>
      <c r="TPJ121" s="68"/>
      <c r="TPK121" s="68"/>
      <c r="TPL121" s="68"/>
      <c r="TPM121" s="68"/>
      <c r="TPN121" s="68"/>
      <c r="TPO121" s="68"/>
      <c r="TPP121" s="68"/>
      <c r="TPQ121" s="68"/>
      <c r="TPR121" s="68"/>
      <c r="TPS121" s="68"/>
      <c r="TPT121" s="68"/>
      <c r="TPU121" s="68"/>
      <c r="TPV121" s="68"/>
      <c r="TPW121" s="68"/>
      <c r="TPX121" s="68"/>
      <c r="TPY121" s="68"/>
      <c r="TPZ121" s="68"/>
      <c r="TQA121" s="68"/>
      <c r="TQB121" s="68"/>
      <c r="TQC121" s="68"/>
      <c r="TQD121" s="68"/>
      <c r="TQE121" s="68"/>
      <c r="TQF121" s="68"/>
      <c r="TQG121" s="68"/>
      <c r="TQH121" s="68"/>
      <c r="TQI121" s="68"/>
      <c r="TQJ121" s="68"/>
      <c r="TQK121" s="68"/>
      <c r="TQL121" s="68"/>
      <c r="TQM121" s="68"/>
      <c r="TQN121" s="68"/>
      <c r="TQO121" s="68"/>
      <c r="TQP121" s="68"/>
      <c r="TQQ121" s="68"/>
      <c r="TQR121" s="68"/>
      <c r="TQS121" s="68"/>
      <c r="TQT121" s="68"/>
      <c r="TQU121" s="68"/>
      <c r="TQV121" s="68"/>
      <c r="TQW121" s="68"/>
      <c r="TQX121" s="68"/>
      <c r="TQY121" s="68"/>
      <c r="TQZ121" s="68"/>
      <c r="TRA121" s="68"/>
      <c r="TRB121" s="68"/>
      <c r="TRC121" s="68"/>
      <c r="TRD121" s="68"/>
      <c r="TRE121" s="68"/>
      <c r="TRF121" s="68"/>
      <c r="TRG121" s="68"/>
      <c r="TRH121" s="68"/>
      <c r="TRI121" s="68"/>
      <c r="TRJ121" s="68"/>
      <c r="TRK121" s="68"/>
      <c r="TRL121" s="68"/>
      <c r="TRM121" s="68"/>
      <c r="TRN121" s="68"/>
      <c r="TRO121" s="68"/>
      <c r="TRP121" s="68"/>
      <c r="TRQ121" s="68"/>
      <c r="TRR121" s="68"/>
      <c r="TRS121" s="68"/>
      <c r="TRT121" s="68"/>
      <c r="TRU121" s="68"/>
      <c r="TRV121" s="68"/>
      <c r="TRW121" s="68"/>
      <c r="TRX121" s="68"/>
      <c r="TRY121" s="68"/>
      <c r="TRZ121" s="68"/>
      <c r="TSA121" s="68"/>
      <c r="TSB121" s="68"/>
      <c r="TSC121" s="68"/>
      <c r="TSD121" s="68"/>
      <c r="TSE121" s="68"/>
      <c r="TSF121" s="68"/>
      <c r="TSG121" s="68"/>
      <c r="TSH121" s="68"/>
      <c r="TSI121" s="68"/>
      <c r="TSJ121" s="68"/>
      <c r="TSK121" s="68"/>
      <c r="TSL121" s="68"/>
      <c r="TSM121" s="68"/>
      <c r="TSN121" s="68"/>
      <c r="TSO121" s="68"/>
      <c r="TSP121" s="68"/>
      <c r="TSQ121" s="68"/>
      <c r="TSR121" s="68"/>
      <c r="TSS121" s="68"/>
      <c r="TST121" s="68"/>
      <c r="TSU121" s="68"/>
      <c r="TSV121" s="68"/>
      <c r="TSW121" s="68"/>
      <c r="TSX121" s="68"/>
      <c r="TSY121" s="68"/>
      <c r="TSZ121" s="68"/>
      <c r="TTA121" s="68"/>
      <c r="TTB121" s="68"/>
      <c r="TTC121" s="68"/>
      <c r="TTD121" s="68"/>
      <c r="TTE121" s="68"/>
      <c r="TTF121" s="68"/>
      <c r="TTG121" s="68"/>
      <c r="TTH121" s="68"/>
      <c r="TTI121" s="68"/>
      <c r="TTJ121" s="68"/>
      <c r="TTK121" s="68"/>
      <c r="TTL121" s="68"/>
      <c r="TTM121" s="68"/>
      <c r="TTN121" s="68"/>
      <c r="TTO121" s="68"/>
      <c r="TTP121" s="68"/>
      <c r="TTQ121" s="68"/>
      <c r="TTR121" s="68"/>
      <c r="TTS121" s="68"/>
      <c r="TTT121" s="68"/>
      <c r="TTU121" s="68"/>
      <c r="TTV121" s="68"/>
      <c r="TTW121" s="68"/>
      <c r="TTX121" s="68"/>
      <c r="TTY121" s="68"/>
      <c r="TTZ121" s="68"/>
      <c r="TUA121" s="68"/>
      <c r="TUB121" s="68"/>
      <c r="TUC121" s="68"/>
      <c r="TUD121" s="68"/>
      <c r="TUE121" s="68"/>
      <c r="TUF121" s="68"/>
      <c r="TUG121" s="68"/>
      <c r="TUH121" s="68"/>
      <c r="TUI121" s="68"/>
      <c r="TUJ121" s="68"/>
      <c r="TUK121" s="68"/>
      <c r="TUL121" s="68"/>
      <c r="TUM121" s="68"/>
      <c r="TUN121" s="68"/>
      <c r="TUO121" s="68"/>
      <c r="TUP121" s="68"/>
      <c r="TUQ121" s="68"/>
      <c r="TUR121" s="68"/>
      <c r="TUS121" s="68"/>
      <c r="TUT121" s="68"/>
      <c r="TUU121" s="68"/>
      <c r="TUV121" s="68"/>
      <c r="TUW121" s="68"/>
      <c r="TUX121" s="68"/>
      <c r="TUY121" s="68"/>
      <c r="TUZ121" s="68"/>
      <c r="TVA121" s="68"/>
      <c r="TVB121" s="68"/>
      <c r="TVC121" s="68"/>
      <c r="TVD121" s="68"/>
      <c r="TVE121" s="68"/>
      <c r="TVF121" s="68"/>
      <c r="TVG121" s="68"/>
      <c r="TVH121" s="68"/>
      <c r="TVI121" s="68"/>
      <c r="TVJ121" s="68"/>
      <c r="TVK121" s="68"/>
      <c r="TVL121" s="68"/>
      <c r="TVM121" s="68"/>
      <c r="TVN121" s="68"/>
      <c r="TVO121" s="68"/>
      <c r="TVP121" s="68"/>
      <c r="TVQ121" s="68"/>
      <c r="TVR121" s="68"/>
      <c r="TVS121" s="68"/>
      <c r="TVT121" s="68"/>
      <c r="TVU121" s="68"/>
      <c r="TVV121" s="68"/>
      <c r="TVW121" s="68"/>
      <c r="TVX121" s="68"/>
      <c r="TVY121" s="68"/>
      <c r="TVZ121" s="68"/>
      <c r="TWA121" s="68"/>
      <c r="TWB121" s="68"/>
      <c r="TWC121" s="68"/>
      <c r="TWD121" s="68"/>
      <c r="TWE121" s="68"/>
      <c r="TWF121" s="68"/>
      <c r="TWG121" s="68"/>
      <c r="TWH121" s="68"/>
      <c r="TWI121" s="68"/>
      <c r="TWJ121" s="68"/>
      <c r="TWK121" s="68"/>
      <c r="TWL121" s="68"/>
      <c r="TWM121" s="68"/>
      <c r="TWN121" s="68"/>
      <c r="TWO121" s="68"/>
      <c r="TWP121" s="68"/>
      <c r="TWQ121" s="68"/>
      <c r="TWR121" s="68"/>
      <c r="TWS121" s="68"/>
      <c r="TWT121" s="68"/>
      <c r="TWU121" s="68"/>
      <c r="TWV121" s="68"/>
      <c r="TWW121" s="68"/>
      <c r="TWX121" s="68"/>
      <c r="TWY121" s="68"/>
      <c r="TWZ121" s="68"/>
      <c r="TXA121" s="68"/>
      <c r="TXB121" s="68"/>
      <c r="TXC121" s="68"/>
      <c r="TXD121" s="68"/>
      <c r="TXE121" s="68"/>
      <c r="TXF121" s="68"/>
      <c r="TXG121" s="68"/>
      <c r="TXH121" s="68"/>
      <c r="TXI121" s="68"/>
      <c r="TXJ121" s="68"/>
      <c r="TXK121" s="68"/>
      <c r="TXL121" s="68"/>
      <c r="TXM121" s="68"/>
      <c r="TXN121" s="68"/>
      <c r="TXO121" s="68"/>
      <c r="TXP121" s="68"/>
      <c r="TXQ121" s="68"/>
      <c r="TXR121" s="68"/>
      <c r="TXS121" s="68"/>
      <c r="TXT121" s="68"/>
      <c r="TXU121" s="68"/>
      <c r="TXV121" s="68"/>
      <c r="TXW121" s="68"/>
      <c r="TXX121" s="68"/>
      <c r="TXY121" s="68"/>
      <c r="TXZ121" s="68"/>
      <c r="TYA121" s="68"/>
      <c r="TYB121" s="68"/>
      <c r="TYC121" s="68"/>
      <c r="TYD121" s="68"/>
      <c r="TYE121" s="68"/>
      <c r="TYF121" s="68"/>
      <c r="TYG121" s="68"/>
      <c r="TYH121" s="68"/>
      <c r="TYI121" s="68"/>
      <c r="TYJ121" s="68"/>
      <c r="TYK121" s="68"/>
      <c r="TYL121" s="68"/>
      <c r="TYM121" s="68"/>
      <c r="TYN121" s="68"/>
      <c r="TYO121" s="68"/>
      <c r="TYP121" s="68"/>
      <c r="TYQ121" s="68"/>
      <c r="TYR121" s="68"/>
      <c r="TYS121" s="68"/>
      <c r="TYT121" s="68"/>
      <c r="TYU121" s="68"/>
      <c r="TYV121" s="68"/>
      <c r="TYW121" s="68"/>
      <c r="TYX121" s="68"/>
      <c r="TYY121" s="68"/>
      <c r="TYZ121" s="68"/>
      <c r="TZA121" s="68"/>
      <c r="TZB121" s="68"/>
      <c r="TZC121" s="68"/>
      <c r="TZD121" s="68"/>
      <c r="TZE121" s="68"/>
      <c r="TZF121" s="68"/>
      <c r="TZG121" s="68"/>
      <c r="TZH121" s="68"/>
      <c r="TZI121" s="68"/>
      <c r="TZJ121" s="68"/>
      <c r="TZK121" s="68"/>
      <c r="TZL121" s="68"/>
      <c r="TZM121" s="68"/>
      <c r="TZN121" s="68"/>
      <c r="TZO121" s="68"/>
      <c r="TZP121" s="68"/>
      <c r="TZQ121" s="68"/>
      <c r="TZR121" s="68"/>
      <c r="TZS121" s="68"/>
      <c r="TZT121" s="68"/>
      <c r="TZU121" s="68"/>
      <c r="TZV121" s="68"/>
      <c r="TZW121" s="68"/>
      <c r="TZX121" s="68"/>
      <c r="TZY121" s="68"/>
      <c r="TZZ121" s="68"/>
      <c r="UAA121" s="68"/>
      <c r="UAB121" s="68"/>
      <c r="UAC121" s="68"/>
      <c r="UAD121" s="68"/>
      <c r="UAE121" s="68"/>
      <c r="UAF121" s="68"/>
      <c r="UAG121" s="68"/>
      <c r="UAH121" s="68"/>
      <c r="UAI121" s="68"/>
      <c r="UAJ121" s="68"/>
      <c r="UAK121" s="68"/>
      <c r="UAL121" s="68"/>
      <c r="UAM121" s="68"/>
      <c r="UAN121" s="68"/>
      <c r="UAO121" s="68"/>
      <c r="UAP121" s="68"/>
      <c r="UAQ121" s="68"/>
      <c r="UAR121" s="68"/>
      <c r="UAS121" s="68"/>
      <c r="UAT121" s="68"/>
      <c r="UAU121" s="68"/>
      <c r="UAV121" s="68"/>
      <c r="UAW121" s="68"/>
      <c r="UAX121" s="68"/>
      <c r="UAY121" s="68"/>
      <c r="UAZ121" s="68"/>
      <c r="UBA121" s="68"/>
      <c r="UBB121" s="68"/>
      <c r="UBC121" s="68"/>
      <c r="UBD121" s="68"/>
      <c r="UBE121" s="68"/>
      <c r="UBF121" s="68"/>
      <c r="UBG121" s="68"/>
      <c r="UBH121" s="68"/>
      <c r="UBI121" s="68"/>
      <c r="UBJ121" s="68"/>
      <c r="UBK121" s="68"/>
      <c r="UBL121" s="68"/>
      <c r="UBM121" s="68"/>
      <c r="UBN121" s="68"/>
      <c r="UBO121" s="68"/>
      <c r="UBP121" s="68"/>
      <c r="UBQ121" s="68"/>
      <c r="UBR121" s="68"/>
      <c r="UBS121" s="68"/>
      <c r="UBT121" s="68"/>
      <c r="UBU121" s="68"/>
      <c r="UBV121" s="68"/>
      <c r="UBW121" s="68"/>
      <c r="UBX121" s="68"/>
      <c r="UBY121" s="68"/>
      <c r="UBZ121" s="68"/>
      <c r="UCA121" s="68"/>
      <c r="UCB121" s="68"/>
      <c r="UCC121" s="68"/>
      <c r="UCD121" s="68"/>
      <c r="UCE121" s="68"/>
      <c r="UCF121" s="68"/>
      <c r="UCG121" s="68"/>
      <c r="UCH121" s="68"/>
      <c r="UCI121" s="68"/>
      <c r="UCJ121" s="68"/>
      <c r="UCK121" s="68"/>
      <c r="UCL121" s="68"/>
      <c r="UCM121" s="68"/>
      <c r="UCN121" s="68"/>
      <c r="UCO121" s="68"/>
      <c r="UCP121" s="68"/>
      <c r="UCQ121" s="68"/>
      <c r="UCR121" s="68"/>
      <c r="UCS121" s="68"/>
      <c r="UCT121" s="68"/>
      <c r="UCU121" s="68"/>
      <c r="UCV121" s="68"/>
      <c r="UCW121" s="68"/>
      <c r="UCX121" s="68"/>
      <c r="UCY121" s="68"/>
      <c r="UCZ121" s="68"/>
      <c r="UDA121" s="68"/>
      <c r="UDB121" s="68"/>
      <c r="UDC121" s="68"/>
      <c r="UDD121" s="68"/>
      <c r="UDE121" s="68"/>
      <c r="UDF121" s="68"/>
      <c r="UDG121" s="68"/>
      <c r="UDH121" s="68"/>
      <c r="UDI121" s="68"/>
      <c r="UDJ121" s="68"/>
      <c r="UDK121" s="68"/>
      <c r="UDL121" s="68"/>
      <c r="UDM121" s="68"/>
      <c r="UDN121" s="68"/>
      <c r="UDO121" s="68"/>
      <c r="UDP121" s="68"/>
      <c r="UDQ121" s="68"/>
      <c r="UDR121" s="68"/>
      <c r="UDS121" s="68"/>
      <c r="UDT121" s="68"/>
      <c r="UDU121" s="68"/>
      <c r="UDV121" s="68"/>
      <c r="UDW121" s="68"/>
      <c r="UDX121" s="68"/>
      <c r="UDY121" s="68"/>
      <c r="UDZ121" s="68"/>
      <c r="UEA121" s="68"/>
      <c r="UEB121" s="68"/>
      <c r="UEC121" s="68"/>
      <c r="UED121" s="68"/>
      <c r="UEE121" s="68"/>
      <c r="UEF121" s="68"/>
      <c r="UEG121" s="68"/>
      <c r="UEH121" s="68"/>
      <c r="UEI121" s="68"/>
      <c r="UEJ121" s="68"/>
      <c r="UEK121" s="68"/>
      <c r="UEL121" s="68"/>
      <c r="UEM121" s="68"/>
      <c r="UEN121" s="68"/>
      <c r="UEO121" s="68"/>
      <c r="UEP121" s="68"/>
      <c r="UEQ121" s="68"/>
      <c r="UER121" s="68"/>
      <c r="UES121" s="68"/>
      <c r="UET121" s="68"/>
      <c r="UEU121" s="68"/>
      <c r="UEV121" s="68"/>
      <c r="UEW121" s="68"/>
      <c r="UEX121" s="68"/>
      <c r="UEY121" s="68"/>
      <c r="UEZ121" s="68"/>
      <c r="UFA121" s="68"/>
      <c r="UFB121" s="68"/>
      <c r="UFC121" s="68"/>
      <c r="UFD121" s="68"/>
      <c r="UFE121" s="68"/>
      <c r="UFF121" s="68"/>
      <c r="UFG121" s="68"/>
      <c r="UFH121" s="68"/>
      <c r="UFI121" s="68"/>
      <c r="UFJ121" s="68"/>
      <c r="UFK121" s="68"/>
      <c r="UFL121" s="68"/>
      <c r="UFM121" s="68"/>
      <c r="UFN121" s="68"/>
      <c r="UFO121" s="68"/>
      <c r="UFP121" s="68"/>
      <c r="UFQ121" s="68"/>
      <c r="UFR121" s="68"/>
      <c r="UFS121" s="68"/>
      <c r="UFT121" s="68"/>
      <c r="UFU121" s="68"/>
      <c r="UFV121" s="68"/>
      <c r="UFW121" s="68"/>
      <c r="UFX121" s="68"/>
      <c r="UFY121" s="68"/>
      <c r="UFZ121" s="68"/>
      <c r="UGA121" s="68"/>
      <c r="UGB121" s="68"/>
      <c r="UGC121" s="68"/>
      <c r="UGD121" s="68"/>
      <c r="UGE121" s="68"/>
      <c r="UGF121" s="68"/>
      <c r="UGG121" s="68"/>
      <c r="UGH121" s="68"/>
      <c r="UGI121" s="68"/>
      <c r="UGJ121" s="68"/>
      <c r="UGK121" s="68"/>
      <c r="UGL121" s="68"/>
      <c r="UGM121" s="68"/>
      <c r="UGN121" s="68"/>
      <c r="UGO121" s="68"/>
      <c r="UGP121" s="68"/>
      <c r="UGQ121" s="68"/>
      <c r="UGR121" s="68"/>
      <c r="UGS121" s="68"/>
      <c r="UGT121" s="68"/>
      <c r="UGU121" s="68"/>
      <c r="UGV121" s="68"/>
      <c r="UGW121" s="68"/>
      <c r="UGX121" s="68"/>
      <c r="UGY121" s="68"/>
      <c r="UGZ121" s="68"/>
      <c r="UHA121" s="68"/>
      <c r="UHB121" s="68"/>
      <c r="UHC121" s="68"/>
      <c r="UHD121" s="68"/>
      <c r="UHE121" s="68"/>
      <c r="UHF121" s="68"/>
      <c r="UHG121" s="68"/>
      <c r="UHH121" s="68"/>
      <c r="UHI121" s="68"/>
      <c r="UHJ121" s="68"/>
      <c r="UHK121" s="68"/>
      <c r="UHL121" s="68"/>
      <c r="UHM121" s="68"/>
      <c r="UHN121" s="68"/>
      <c r="UHO121" s="68"/>
      <c r="UHP121" s="68"/>
      <c r="UHQ121" s="68"/>
      <c r="UHR121" s="68"/>
      <c r="UHS121" s="68"/>
      <c r="UHT121" s="68"/>
      <c r="UHU121" s="68"/>
      <c r="UHV121" s="68"/>
      <c r="UHW121" s="68"/>
      <c r="UHX121" s="68"/>
      <c r="UHY121" s="68"/>
      <c r="UHZ121" s="68"/>
      <c r="UIA121" s="68"/>
      <c r="UIB121" s="68"/>
      <c r="UIC121" s="68"/>
      <c r="UID121" s="68"/>
      <c r="UIE121" s="68"/>
      <c r="UIF121" s="68"/>
      <c r="UIG121" s="68"/>
      <c r="UIH121" s="68"/>
      <c r="UII121" s="68"/>
      <c r="UIJ121" s="68"/>
      <c r="UIK121" s="68"/>
      <c r="UIL121" s="68"/>
      <c r="UIM121" s="68"/>
      <c r="UIN121" s="68"/>
      <c r="UIO121" s="68"/>
      <c r="UIP121" s="68"/>
      <c r="UIQ121" s="68"/>
      <c r="UIR121" s="68"/>
      <c r="UIS121" s="68"/>
      <c r="UIT121" s="68"/>
      <c r="UIU121" s="68"/>
      <c r="UIV121" s="68"/>
      <c r="UIW121" s="68"/>
      <c r="UIX121" s="68"/>
      <c r="UIY121" s="68"/>
      <c r="UIZ121" s="68"/>
      <c r="UJA121" s="68"/>
      <c r="UJB121" s="68"/>
      <c r="UJC121" s="68"/>
      <c r="UJD121" s="68"/>
      <c r="UJE121" s="68"/>
      <c r="UJF121" s="68"/>
      <c r="UJG121" s="68"/>
      <c r="UJH121" s="68"/>
      <c r="UJI121" s="68"/>
      <c r="UJJ121" s="68"/>
      <c r="UJK121" s="68"/>
      <c r="UJL121" s="68"/>
      <c r="UJM121" s="68"/>
      <c r="UJN121" s="68"/>
      <c r="UJO121" s="68"/>
      <c r="UJP121" s="68"/>
      <c r="UJQ121" s="68"/>
      <c r="UJR121" s="68"/>
      <c r="UJS121" s="68"/>
      <c r="UJT121" s="68"/>
      <c r="UJU121" s="68"/>
      <c r="UJV121" s="68"/>
      <c r="UJW121" s="68"/>
      <c r="UJX121" s="68"/>
      <c r="UJY121" s="68"/>
      <c r="UJZ121" s="68"/>
      <c r="UKA121" s="68"/>
      <c r="UKB121" s="68"/>
      <c r="UKC121" s="68"/>
      <c r="UKD121" s="68"/>
      <c r="UKE121" s="68"/>
      <c r="UKF121" s="68"/>
      <c r="UKG121" s="68"/>
      <c r="UKH121" s="68"/>
      <c r="UKI121" s="68"/>
      <c r="UKJ121" s="68"/>
      <c r="UKK121" s="68"/>
      <c r="UKL121" s="68"/>
      <c r="UKM121" s="68"/>
      <c r="UKN121" s="68"/>
      <c r="UKO121" s="68"/>
      <c r="UKP121" s="68"/>
      <c r="UKQ121" s="68"/>
      <c r="UKR121" s="68"/>
      <c r="UKS121" s="68"/>
      <c r="UKT121" s="68"/>
      <c r="UKU121" s="68"/>
      <c r="UKV121" s="68"/>
      <c r="UKW121" s="68"/>
      <c r="UKX121" s="68"/>
      <c r="UKY121" s="68"/>
      <c r="UKZ121" s="68"/>
      <c r="ULA121" s="68"/>
      <c r="ULB121" s="68"/>
      <c r="ULC121" s="68"/>
      <c r="ULD121" s="68"/>
      <c r="ULE121" s="68"/>
      <c r="ULF121" s="68"/>
      <c r="ULG121" s="68"/>
      <c r="ULH121" s="68"/>
      <c r="ULI121" s="68"/>
      <c r="ULJ121" s="68"/>
      <c r="ULK121" s="68"/>
      <c r="ULL121" s="68"/>
      <c r="ULM121" s="68"/>
      <c r="ULN121" s="68"/>
      <c r="ULO121" s="68"/>
      <c r="ULP121" s="68"/>
      <c r="ULQ121" s="68"/>
      <c r="ULR121" s="68"/>
      <c r="ULS121" s="68"/>
      <c r="ULT121" s="68"/>
      <c r="ULU121" s="68"/>
      <c r="ULV121" s="68"/>
      <c r="ULW121" s="68"/>
      <c r="ULX121" s="68"/>
      <c r="ULY121" s="68"/>
      <c r="ULZ121" s="68"/>
      <c r="UMA121" s="68"/>
      <c r="UMB121" s="68"/>
      <c r="UMC121" s="68"/>
      <c r="UMD121" s="68"/>
      <c r="UME121" s="68"/>
      <c r="UMF121" s="68"/>
      <c r="UMG121" s="68"/>
      <c r="UMH121" s="68"/>
      <c r="UMI121" s="68"/>
      <c r="UMJ121" s="68"/>
      <c r="UMK121" s="68"/>
      <c r="UML121" s="68"/>
      <c r="UMM121" s="68"/>
      <c r="UMN121" s="68"/>
      <c r="UMO121" s="68"/>
      <c r="UMP121" s="68"/>
      <c r="UMQ121" s="68"/>
      <c r="UMR121" s="68"/>
      <c r="UMS121" s="68"/>
      <c r="UMT121" s="68"/>
      <c r="UMU121" s="68"/>
      <c r="UMV121" s="68"/>
      <c r="UMW121" s="68"/>
      <c r="UMX121" s="68"/>
      <c r="UMY121" s="68"/>
      <c r="UMZ121" s="68"/>
      <c r="UNA121" s="68"/>
      <c r="UNB121" s="68"/>
      <c r="UNC121" s="68"/>
      <c r="UND121" s="68"/>
      <c r="UNE121" s="68"/>
      <c r="UNF121" s="68"/>
      <c r="UNG121" s="68"/>
      <c r="UNH121" s="68"/>
      <c r="UNI121" s="68"/>
      <c r="UNJ121" s="68"/>
      <c r="UNK121" s="68"/>
      <c r="UNL121" s="68"/>
      <c r="UNM121" s="68"/>
      <c r="UNN121" s="68"/>
      <c r="UNO121" s="68"/>
      <c r="UNP121" s="68"/>
      <c r="UNQ121" s="68"/>
      <c r="UNR121" s="68"/>
      <c r="UNS121" s="68"/>
      <c r="UNT121" s="68"/>
      <c r="UNU121" s="68"/>
      <c r="UNV121" s="68"/>
      <c r="UNW121" s="68"/>
      <c r="UNX121" s="68"/>
      <c r="UNY121" s="68"/>
      <c r="UNZ121" s="68"/>
      <c r="UOA121" s="68"/>
      <c r="UOB121" s="68"/>
      <c r="UOC121" s="68"/>
      <c r="UOD121" s="68"/>
      <c r="UOE121" s="68"/>
      <c r="UOF121" s="68"/>
      <c r="UOG121" s="68"/>
      <c r="UOH121" s="68"/>
      <c r="UOI121" s="68"/>
      <c r="UOJ121" s="68"/>
      <c r="UOK121" s="68"/>
      <c r="UOL121" s="68"/>
      <c r="UOM121" s="68"/>
      <c r="UON121" s="68"/>
      <c r="UOO121" s="68"/>
      <c r="UOP121" s="68"/>
      <c r="UOQ121" s="68"/>
      <c r="UOR121" s="68"/>
      <c r="UOS121" s="68"/>
      <c r="UOT121" s="68"/>
      <c r="UOU121" s="68"/>
      <c r="UOV121" s="68"/>
      <c r="UOW121" s="68"/>
      <c r="UOX121" s="68"/>
      <c r="UOY121" s="68"/>
      <c r="UOZ121" s="68"/>
      <c r="UPA121" s="68"/>
      <c r="UPB121" s="68"/>
      <c r="UPC121" s="68"/>
      <c r="UPD121" s="68"/>
      <c r="UPE121" s="68"/>
      <c r="UPF121" s="68"/>
      <c r="UPG121" s="68"/>
      <c r="UPH121" s="68"/>
      <c r="UPI121" s="68"/>
      <c r="UPJ121" s="68"/>
      <c r="UPK121" s="68"/>
      <c r="UPL121" s="68"/>
      <c r="UPM121" s="68"/>
      <c r="UPN121" s="68"/>
      <c r="UPO121" s="68"/>
      <c r="UPP121" s="68"/>
      <c r="UPQ121" s="68"/>
      <c r="UPR121" s="68"/>
      <c r="UPS121" s="68"/>
      <c r="UPT121" s="68"/>
      <c r="UPU121" s="68"/>
      <c r="UPV121" s="68"/>
      <c r="UPW121" s="68"/>
      <c r="UPX121" s="68"/>
      <c r="UPY121" s="68"/>
      <c r="UPZ121" s="68"/>
      <c r="UQA121" s="68"/>
      <c r="UQB121" s="68"/>
      <c r="UQC121" s="68"/>
      <c r="UQD121" s="68"/>
      <c r="UQE121" s="68"/>
      <c r="UQF121" s="68"/>
      <c r="UQG121" s="68"/>
      <c r="UQH121" s="68"/>
      <c r="UQI121" s="68"/>
      <c r="UQJ121" s="68"/>
      <c r="UQK121" s="68"/>
      <c r="UQL121" s="68"/>
      <c r="UQM121" s="68"/>
      <c r="UQN121" s="68"/>
      <c r="UQO121" s="68"/>
      <c r="UQP121" s="68"/>
      <c r="UQQ121" s="68"/>
      <c r="UQR121" s="68"/>
      <c r="UQS121" s="68"/>
      <c r="UQT121" s="68"/>
      <c r="UQU121" s="68"/>
      <c r="UQV121" s="68"/>
      <c r="UQW121" s="68"/>
      <c r="UQX121" s="68"/>
      <c r="UQY121" s="68"/>
      <c r="UQZ121" s="68"/>
      <c r="URA121" s="68"/>
      <c r="URB121" s="68"/>
      <c r="URC121" s="68"/>
      <c r="URD121" s="68"/>
      <c r="URE121" s="68"/>
      <c r="URF121" s="68"/>
      <c r="URG121" s="68"/>
      <c r="URH121" s="68"/>
      <c r="URI121" s="68"/>
      <c r="URJ121" s="68"/>
      <c r="URK121" s="68"/>
      <c r="URL121" s="68"/>
      <c r="URM121" s="68"/>
      <c r="URN121" s="68"/>
      <c r="URO121" s="68"/>
      <c r="URP121" s="68"/>
      <c r="URQ121" s="68"/>
      <c r="URR121" s="68"/>
      <c r="URS121" s="68"/>
      <c r="URT121" s="68"/>
      <c r="URU121" s="68"/>
      <c r="URV121" s="68"/>
      <c r="URW121" s="68"/>
      <c r="URX121" s="68"/>
      <c r="URY121" s="68"/>
      <c r="URZ121" s="68"/>
      <c r="USA121" s="68"/>
      <c r="USB121" s="68"/>
      <c r="USC121" s="68"/>
      <c r="USD121" s="68"/>
      <c r="USE121" s="68"/>
      <c r="USF121" s="68"/>
      <c r="USG121" s="68"/>
      <c r="USH121" s="68"/>
      <c r="USI121" s="68"/>
      <c r="USJ121" s="68"/>
      <c r="USK121" s="68"/>
      <c r="USL121" s="68"/>
      <c r="USM121" s="68"/>
      <c r="USN121" s="68"/>
      <c r="USO121" s="68"/>
      <c r="USP121" s="68"/>
      <c r="USQ121" s="68"/>
      <c r="USR121" s="68"/>
      <c r="USS121" s="68"/>
      <c r="UST121" s="68"/>
      <c r="USU121" s="68"/>
      <c r="USV121" s="68"/>
      <c r="USW121" s="68"/>
      <c r="USX121" s="68"/>
      <c r="USY121" s="68"/>
      <c r="USZ121" s="68"/>
      <c r="UTA121" s="68"/>
      <c r="UTB121" s="68"/>
      <c r="UTC121" s="68"/>
      <c r="UTD121" s="68"/>
      <c r="UTE121" s="68"/>
      <c r="UTF121" s="68"/>
      <c r="UTG121" s="68"/>
      <c r="UTH121" s="68"/>
      <c r="UTI121" s="68"/>
      <c r="UTJ121" s="68"/>
      <c r="UTK121" s="68"/>
      <c r="UTL121" s="68"/>
      <c r="UTM121" s="68"/>
      <c r="UTN121" s="68"/>
      <c r="UTO121" s="68"/>
      <c r="UTP121" s="68"/>
      <c r="UTQ121" s="68"/>
      <c r="UTR121" s="68"/>
      <c r="UTS121" s="68"/>
      <c r="UTT121" s="68"/>
      <c r="UTU121" s="68"/>
      <c r="UTV121" s="68"/>
      <c r="UTW121" s="68"/>
      <c r="UTX121" s="68"/>
      <c r="UTY121" s="68"/>
      <c r="UTZ121" s="68"/>
      <c r="UUA121" s="68"/>
      <c r="UUB121" s="68"/>
      <c r="UUC121" s="68"/>
      <c r="UUD121" s="68"/>
      <c r="UUE121" s="68"/>
      <c r="UUF121" s="68"/>
      <c r="UUG121" s="68"/>
      <c r="UUH121" s="68"/>
      <c r="UUI121" s="68"/>
      <c r="UUJ121" s="68"/>
      <c r="UUK121" s="68"/>
      <c r="UUL121" s="68"/>
      <c r="UUM121" s="68"/>
      <c r="UUN121" s="68"/>
      <c r="UUO121" s="68"/>
      <c r="UUP121" s="68"/>
      <c r="UUQ121" s="68"/>
      <c r="UUR121" s="68"/>
      <c r="UUS121" s="68"/>
      <c r="UUT121" s="68"/>
      <c r="UUU121" s="68"/>
      <c r="UUV121" s="68"/>
      <c r="UUW121" s="68"/>
      <c r="UUX121" s="68"/>
      <c r="UUY121" s="68"/>
      <c r="UUZ121" s="68"/>
      <c r="UVA121" s="68"/>
      <c r="UVB121" s="68"/>
      <c r="UVC121" s="68"/>
      <c r="UVD121" s="68"/>
      <c r="UVE121" s="68"/>
      <c r="UVF121" s="68"/>
      <c r="UVG121" s="68"/>
      <c r="UVH121" s="68"/>
      <c r="UVI121" s="68"/>
      <c r="UVJ121" s="68"/>
      <c r="UVK121" s="68"/>
      <c r="UVL121" s="68"/>
      <c r="UVM121" s="68"/>
      <c r="UVN121" s="68"/>
      <c r="UVO121" s="68"/>
      <c r="UVP121" s="68"/>
      <c r="UVQ121" s="68"/>
      <c r="UVR121" s="68"/>
      <c r="UVS121" s="68"/>
      <c r="UVT121" s="68"/>
      <c r="UVU121" s="68"/>
      <c r="UVV121" s="68"/>
      <c r="UVW121" s="68"/>
      <c r="UVX121" s="68"/>
      <c r="UVY121" s="68"/>
      <c r="UVZ121" s="68"/>
      <c r="UWA121" s="68"/>
      <c r="UWB121" s="68"/>
      <c r="UWC121" s="68"/>
      <c r="UWD121" s="68"/>
      <c r="UWE121" s="68"/>
      <c r="UWF121" s="68"/>
      <c r="UWG121" s="68"/>
      <c r="UWH121" s="68"/>
      <c r="UWI121" s="68"/>
      <c r="UWJ121" s="68"/>
      <c r="UWK121" s="68"/>
      <c r="UWL121" s="68"/>
      <c r="UWM121" s="68"/>
      <c r="UWN121" s="68"/>
      <c r="UWO121" s="68"/>
      <c r="UWP121" s="68"/>
      <c r="UWQ121" s="68"/>
      <c r="UWR121" s="68"/>
      <c r="UWS121" s="68"/>
      <c r="UWT121" s="68"/>
      <c r="UWU121" s="68"/>
      <c r="UWV121" s="68"/>
      <c r="UWW121" s="68"/>
      <c r="UWX121" s="68"/>
      <c r="UWY121" s="68"/>
      <c r="UWZ121" s="68"/>
      <c r="UXA121" s="68"/>
      <c r="UXB121" s="68"/>
      <c r="UXC121" s="68"/>
      <c r="UXD121" s="68"/>
      <c r="UXE121" s="68"/>
      <c r="UXF121" s="68"/>
      <c r="UXG121" s="68"/>
      <c r="UXH121" s="68"/>
      <c r="UXI121" s="68"/>
      <c r="UXJ121" s="68"/>
      <c r="UXK121" s="68"/>
      <c r="UXL121" s="68"/>
      <c r="UXM121" s="68"/>
      <c r="UXN121" s="68"/>
      <c r="UXO121" s="68"/>
      <c r="UXP121" s="68"/>
      <c r="UXQ121" s="68"/>
      <c r="UXR121" s="68"/>
      <c r="UXS121" s="68"/>
      <c r="UXT121" s="68"/>
      <c r="UXU121" s="68"/>
      <c r="UXV121" s="68"/>
      <c r="UXW121" s="68"/>
      <c r="UXX121" s="68"/>
      <c r="UXY121" s="68"/>
      <c r="UXZ121" s="68"/>
      <c r="UYA121" s="68"/>
      <c r="UYB121" s="68"/>
      <c r="UYC121" s="68"/>
      <c r="UYD121" s="68"/>
      <c r="UYE121" s="68"/>
      <c r="UYF121" s="68"/>
      <c r="UYG121" s="68"/>
      <c r="UYH121" s="68"/>
      <c r="UYI121" s="68"/>
      <c r="UYJ121" s="68"/>
      <c r="UYK121" s="68"/>
      <c r="UYL121" s="68"/>
      <c r="UYM121" s="68"/>
      <c r="UYN121" s="68"/>
      <c r="UYO121" s="68"/>
      <c r="UYP121" s="68"/>
      <c r="UYQ121" s="68"/>
      <c r="UYR121" s="68"/>
      <c r="UYS121" s="68"/>
      <c r="UYT121" s="68"/>
      <c r="UYU121" s="68"/>
      <c r="UYV121" s="68"/>
      <c r="UYW121" s="68"/>
      <c r="UYX121" s="68"/>
      <c r="UYY121" s="68"/>
      <c r="UYZ121" s="68"/>
      <c r="UZA121" s="68"/>
      <c r="UZB121" s="68"/>
      <c r="UZC121" s="68"/>
      <c r="UZD121" s="68"/>
      <c r="UZE121" s="68"/>
      <c r="UZF121" s="68"/>
      <c r="UZG121" s="68"/>
      <c r="UZH121" s="68"/>
      <c r="UZI121" s="68"/>
      <c r="UZJ121" s="68"/>
      <c r="UZK121" s="68"/>
      <c r="UZL121" s="68"/>
      <c r="UZM121" s="68"/>
      <c r="UZN121" s="68"/>
      <c r="UZO121" s="68"/>
      <c r="UZP121" s="68"/>
      <c r="UZQ121" s="68"/>
      <c r="UZR121" s="68"/>
      <c r="UZS121" s="68"/>
      <c r="UZT121" s="68"/>
      <c r="UZU121" s="68"/>
      <c r="UZV121" s="68"/>
      <c r="UZW121" s="68"/>
      <c r="UZX121" s="68"/>
      <c r="UZY121" s="68"/>
      <c r="UZZ121" s="68"/>
      <c r="VAA121" s="68"/>
      <c r="VAB121" s="68"/>
      <c r="VAC121" s="68"/>
      <c r="VAD121" s="68"/>
      <c r="VAE121" s="68"/>
      <c r="VAF121" s="68"/>
      <c r="VAG121" s="68"/>
      <c r="VAH121" s="68"/>
      <c r="VAI121" s="68"/>
      <c r="VAJ121" s="68"/>
      <c r="VAK121" s="68"/>
      <c r="VAL121" s="68"/>
      <c r="VAM121" s="68"/>
      <c r="VAN121" s="68"/>
      <c r="VAO121" s="68"/>
      <c r="VAP121" s="68"/>
      <c r="VAQ121" s="68"/>
      <c r="VAR121" s="68"/>
      <c r="VAS121" s="68"/>
      <c r="VAT121" s="68"/>
      <c r="VAU121" s="68"/>
      <c r="VAV121" s="68"/>
      <c r="VAW121" s="68"/>
      <c r="VAX121" s="68"/>
      <c r="VAY121" s="68"/>
      <c r="VAZ121" s="68"/>
      <c r="VBA121" s="68"/>
      <c r="VBB121" s="68"/>
      <c r="VBC121" s="68"/>
      <c r="VBD121" s="68"/>
      <c r="VBE121" s="68"/>
      <c r="VBF121" s="68"/>
      <c r="VBG121" s="68"/>
      <c r="VBH121" s="68"/>
      <c r="VBI121" s="68"/>
      <c r="VBJ121" s="68"/>
      <c r="VBK121" s="68"/>
      <c r="VBL121" s="68"/>
      <c r="VBM121" s="68"/>
      <c r="VBN121" s="68"/>
      <c r="VBO121" s="68"/>
      <c r="VBP121" s="68"/>
      <c r="VBQ121" s="68"/>
      <c r="VBR121" s="68"/>
      <c r="VBS121" s="68"/>
      <c r="VBT121" s="68"/>
      <c r="VBU121" s="68"/>
      <c r="VBV121" s="68"/>
      <c r="VBW121" s="68"/>
      <c r="VBX121" s="68"/>
      <c r="VBY121" s="68"/>
      <c r="VBZ121" s="68"/>
      <c r="VCA121" s="68"/>
      <c r="VCB121" s="68"/>
      <c r="VCC121" s="68"/>
      <c r="VCD121" s="68"/>
      <c r="VCE121" s="68"/>
      <c r="VCF121" s="68"/>
      <c r="VCG121" s="68"/>
      <c r="VCH121" s="68"/>
      <c r="VCI121" s="68"/>
      <c r="VCJ121" s="68"/>
      <c r="VCK121" s="68"/>
      <c r="VCL121" s="68"/>
      <c r="VCM121" s="68"/>
      <c r="VCN121" s="68"/>
      <c r="VCO121" s="68"/>
      <c r="VCP121" s="68"/>
      <c r="VCQ121" s="68"/>
      <c r="VCR121" s="68"/>
      <c r="VCS121" s="68"/>
      <c r="VCT121" s="68"/>
      <c r="VCU121" s="68"/>
      <c r="VCV121" s="68"/>
      <c r="VCW121" s="68"/>
      <c r="VCX121" s="68"/>
      <c r="VCY121" s="68"/>
      <c r="VCZ121" s="68"/>
      <c r="VDA121" s="68"/>
      <c r="VDB121" s="68"/>
      <c r="VDC121" s="68"/>
      <c r="VDD121" s="68"/>
      <c r="VDE121" s="68"/>
      <c r="VDF121" s="68"/>
      <c r="VDG121" s="68"/>
      <c r="VDH121" s="68"/>
      <c r="VDI121" s="68"/>
      <c r="VDJ121" s="68"/>
      <c r="VDK121" s="68"/>
      <c r="VDL121" s="68"/>
      <c r="VDM121" s="68"/>
      <c r="VDN121" s="68"/>
      <c r="VDO121" s="68"/>
      <c r="VDP121" s="68"/>
      <c r="VDQ121" s="68"/>
      <c r="VDR121" s="68"/>
      <c r="VDS121" s="68"/>
      <c r="VDT121" s="68"/>
      <c r="VDU121" s="68"/>
      <c r="VDV121" s="68"/>
      <c r="VDW121" s="68"/>
      <c r="VDX121" s="68"/>
      <c r="VDY121" s="68"/>
      <c r="VDZ121" s="68"/>
      <c r="VEA121" s="68"/>
      <c r="VEB121" s="68"/>
      <c r="VEC121" s="68"/>
      <c r="VED121" s="68"/>
      <c r="VEE121" s="68"/>
      <c r="VEF121" s="68"/>
      <c r="VEG121" s="68"/>
      <c r="VEH121" s="68"/>
      <c r="VEI121" s="68"/>
      <c r="VEJ121" s="68"/>
      <c r="VEK121" s="68"/>
      <c r="VEL121" s="68"/>
      <c r="VEM121" s="68"/>
      <c r="VEN121" s="68"/>
      <c r="VEO121" s="68"/>
      <c r="VEP121" s="68"/>
      <c r="VEQ121" s="68"/>
      <c r="VER121" s="68"/>
      <c r="VES121" s="68"/>
      <c r="VET121" s="68"/>
      <c r="VEU121" s="68"/>
      <c r="VEV121" s="68"/>
      <c r="VEW121" s="68"/>
      <c r="VEX121" s="68"/>
      <c r="VEY121" s="68"/>
      <c r="VEZ121" s="68"/>
      <c r="VFA121" s="68"/>
      <c r="VFB121" s="68"/>
      <c r="VFC121" s="68"/>
      <c r="VFD121" s="68"/>
      <c r="VFE121" s="68"/>
      <c r="VFF121" s="68"/>
      <c r="VFG121" s="68"/>
      <c r="VFH121" s="68"/>
      <c r="VFI121" s="68"/>
      <c r="VFJ121" s="68"/>
      <c r="VFK121" s="68"/>
      <c r="VFL121" s="68"/>
      <c r="VFM121" s="68"/>
      <c r="VFN121" s="68"/>
      <c r="VFO121" s="68"/>
      <c r="VFP121" s="68"/>
      <c r="VFQ121" s="68"/>
      <c r="VFR121" s="68"/>
      <c r="VFS121" s="68"/>
      <c r="VFT121" s="68"/>
      <c r="VFU121" s="68"/>
      <c r="VFV121" s="68"/>
      <c r="VFW121" s="68"/>
      <c r="VFX121" s="68"/>
      <c r="VFY121" s="68"/>
      <c r="VFZ121" s="68"/>
      <c r="VGA121" s="68"/>
      <c r="VGB121" s="68"/>
      <c r="VGC121" s="68"/>
      <c r="VGD121" s="68"/>
      <c r="VGE121" s="68"/>
      <c r="VGF121" s="68"/>
      <c r="VGG121" s="68"/>
      <c r="VGH121" s="68"/>
      <c r="VGI121" s="68"/>
      <c r="VGJ121" s="68"/>
      <c r="VGK121" s="68"/>
      <c r="VGL121" s="68"/>
      <c r="VGM121" s="68"/>
      <c r="VGN121" s="68"/>
      <c r="VGO121" s="68"/>
      <c r="VGP121" s="68"/>
      <c r="VGQ121" s="68"/>
      <c r="VGR121" s="68"/>
      <c r="VGS121" s="68"/>
      <c r="VGT121" s="68"/>
      <c r="VGU121" s="68"/>
      <c r="VGV121" s="68"/>
      <c r="VGW121" s="68"/>
      <c r="VGX121" s="68"/>
      <c r="VGY121" s="68"/>
      <c r="VGZ121" s="68"/>
      <c r="VHA121" s="68"/>
      <c r="VHB121" s="68"/>
      <c r="VHC121" s="68"/>
      <c r="VHD121" s="68"/>
      <c r="VHE121" s="68"/>
      <c r="VHF121" s="68"/>
      <c r="VHG121" s="68"/>
      <c r="VHH121" s="68"/>
      <c r="VHI121" s="68"/>
      <c r="VHJ121" s="68"/>
      <c r="VHK121" s="68"/>
      <c r="VHL121" s="68"/>
      <c r="VHM121" s="68"/>
      <c r="VHN121" s="68"/>
      <c r="VHO121" s="68"/>
      <c r="VHP121" s="68"/>
      <c r="VHQ121" s="68"/>
      <c r="VHR121" s="68"/>
      <c r="VHS121" s="68"/>
      <c r="VHT121" s="68"/>
      <c r="VHU121" s="68"/>
      <c r="VHV121" s="68"/>
      <c r="VHW121" s="68"/>
      <c r="VHX121" s="68"/>
      <c r="VHY121" s="68"/>
      <c r="VHZ121" s="68"/>
      <c r="VIA121" s="68"/>
      <c r="VIB121" s="68"/>
      <c r="VIC121" s="68"/>
      <c r="VID121" s="68"/>
      <c r="VIE121" s="68"/>
      <c r="VIF121" s="68"/>
      <c r="VIG121" s="68"/>
      <c r="VIH121" s="68"/>
      <c r="VII121" s="68"/>
      <c r="VIJ121" s="68"/>
      <c r="VIK121" s="68"/>
      <c r="VIL121" s="68"/>
      <c r="VIM121" s="68"/>
      <c r="VIN121" s="68"/>
      <c r="VIO121" s="68"/>
      <c r="VIP121" s="68"/>
      <c r="VIQ121" s="68"/>
      <c r="VIR121" s="68"/>
      <c r="VIS121" s="68"/>
      <c r="VIT121" s="68"/>
      <c r="VIU121" s="68"/>
      <c r="VIV121" s="68"/>
      <c r="VIW121" s="68"/>
      <c r="VIX121" s="68"/>
      <c r="VIY121" s="68"/>
      <c r="VIZ121" s="68"/>
      <c r="VJA121" s="68"/>
      <c r="VJB121" s="68"/>
      <c r="VJC121" s="68"/>
      <c r="VJD121" s="68"/>
      <c r="VJE121" s="68"/>
      <c r="VJF121" s="68"/>
      <c r="VJG121" s="68"/>
      <c r="VJH121" s="68"/>
      <c r="VJI121" s="68"/>
      <c r="VJJ121" s="68"/>
      <c r="VJK121" s="68"/>
      <c r="VJL121" s="68"/>
      <c r="VJM121" s="68"/>
      <c r="VJN121" s="68"/>
      <c r="VJO121" s="68"/>
      <c r="VJP121" s="68"/>
      <c r="VJQ121" s="68"/>
      <c r="VJR121" s="68"/>
      <c r="VJS121" s="68"/>
      <c r="VJT121" s="68"/>
      <c r="VJU121" s="68"/>
      <c r="VJV121" s="68"/>
      <c r="VJW121" s="68"/>
      <c r="VJX121" s="68"/>
      <c r="VJY121" s="68"/>
      <c r="VJZ121" s="68"/>
      <c r="VKA121" s="68"/>
      <c r="VKB121" s="68"/>
      <c r="VKC121" s="68"/>
      <c r="VKD121" s="68"/>
      <c r="VKE121" s="68"/>
      <c r="VKF121" s="68"/>
      <c r="VKG121" s="68"/>
      <c r="VKH121" s="68"/>
      <c r="VKI121" s="68"/>
      <c r="VKJ121" s="68"/>
      <c r="VKK121" s="68"/>
      <c r="VKL121" s="68"/>
      <c r="VKM121" s="68"/>
      <c r="VKN121" s="68"/>
      <c r="VKO121" s="68"/>
      <c r="VKP121" s="68"/>
      <c r="VKQ121" s="68"/>
      <c r="VKR121" s="68"/>
      <c r="VKS121" s="68"/>
      <c r="VKT121" s="68"/>
      <c r="VKU121" s="68"/>
      <c r="VKV121" s="68"/>
      <c r="VKW121" s="68"/>
      <c r="VKX121" s="68"/>
      <c r="VKY121" s="68"/>
      <c r="VKZ121" s="68"/>
      <c r="VLA121" s="68"/>
      <c r="VLB121" s="68"/>
      <c r="VLC121" s="68"/>
      <c r="VLD121" s="68"/>
      <c r="VLE121" s="68"/>
      <c r="VLF121" s="68"/>
      <c r="VLG121" s="68"/>
      <c r="VLH121" s="68"/>
      <c r="VLI121" s="68"/>
      <c r="VLJ121" s="68"/>
      <c r="VLK121" s="68"/>
      <c r="VLL121" s="68"/>
      <c r="VLM121" s="68"/>
      <c r="VLN121" s="68"/>
      <c r="VLO121" s="68"/>
      <c r="VLP121" s="68"/>
      <c r="VLQ121" s="68"/>
      <c r="VLR121" s="68"/>
      <c r="VLS121" s="68"/>
      <c r="VLT121" s="68"/>
      <c r="VLU121" s="68"/>
      <c r="VLV121" s="68"/>
      <c r="VLW121" s="68"/>
      <c r="VLX121" s="68"/>
      <c r="VLY121" s="68"/>
      <c r="VLZ121" s="68"/>
      <c r="VMA121" s="68"/>
      <c r="VMB121" s="68"/>
      <c r="VMC121" s="68"/>
      <c r="VMD121" s="68"/>
      <c r="VME121" s="68"/>
      <c r="VMF121" s="68"/>
      <c r="VMG121" s="68"/>
      <c r="VMH121" s="68"/>
      <c r="VMI121" s="68"/>
      <c r="VMJ121" s="68"/>
      <c r="VMK121" s="68"/>
      <c r="VML121" s="68"/>
      <c r="VMM121" s="68"/>
      <c r="VMN121" s="68"/>
      <c r="VMO121" s="68"/>
      <c r="VMP121" s="68"/>
      <c r="VMQ121" s="68"/>
      <c r="VMR121" s="68"/>
      <c r="VMS121" s="68"/>
      <c r="VMT121" s="68"/>
      <c r="VMU121" s="68"/>
      <c r="VMV121" s="68"/>
      <c r="VMW121" s="68"/>
      <c r="VMX121" s="68"/>
      <c r="VMY121" s="68"/>
      <c r="VMZ121" s="68"/>
      <c r="VNA121" s="68"/>
      <c r="VNB121" s="68"/>
      <c r="VNC121" s="68"/>
      <c r="VND121" s="68"/>
      <c r="VNE121" s="68"/>
      <c r="VNF121" s="68"/>
      <c r="VNG121" s="68"/>
      <c r="VNH121" s="68"/>
      <c r="VNI121" s="68"/>
      <c r="VNJ121" s="68"/>
      <c r="VNK121" s="68"/>
      <c r="VNL121" s="68"/>
      <c r="VNM121" s="68"/>
      <c r="VNN121" s="68"/>
      <c r="VNO121" s="68"/>
      <c r="VNP121" s="68"/>
      <c r="VNQ121" s="68"/>
      <c r="VNR121" s="68"/>
      <c r="VNS121" s="68"/>
      <c r="VNT121" s="68"/>
      <c r="VNU121" s="68"/>
      <c r="VNV121" s="68"/>
      <c r="VNW121" s="68"/>
      <c r="VNX121" s="68"/>
      <c r="VNY121" s="68"/>
      <c r="VNZ121" s="68"/>
      <c r="VOA121" s="68"/>
      <c r="VOB121" s="68"/>
      <c r="VOC121" s="68"/>
      <c r="VOD121" s="68"/>
      <c r="VOE121" s="68"/>
      <c r="VOF121" s="68"/>
      <c r="VOG121" s="68"/>
      <c r="VOH121" s="68"/>
      <c r="VOI121" s="68"/>
      <c r="VOJ121" s="68"/>
      <c r="VOK121" s="68"/>
      <c r="VOL121" s="68"/>
      <c r="VOM121" s="68"/>
      <c r="VON121" s="68"/>
      <c r="VOO121" s="68"/>
      <c r="VOP121" s="68"/>
      <c r="VOQ121" s="68"/>
      <c r="VOR121" s="68"/>
      <c r="VOS121" s="68"/>
      <c r="VOT121" s="68"/>
      <c r="VOU121" s="68"/>
      <c r="VOV121" s="68"/>
      <c r="VOW121" s="68"/>
      <c r="VOX121" s="68"/>
      <c r="VOY121" s="68"/>
      <c r="VOZ121" s="68"/>
      <c r="VPA121" s="68"/>
      <c r="VPB121" s="68"/>
      <c r="VPC121" s="68"/>
      <c r="VPD121" s="68"/>
      <c r="VPE121" s="68"/>
      <c r="VPF121" s="68"/>
      <c r="VPG121" s="68"/>
      <c r="VPH121" s="68"/>
      <c r="VPI121" s="68"/>
      <c r="VPJ121" s="68"/>
      <c r="VPK121" s="68"/>
      <c r="VPL121" s="68"/>
      <c r="VPM121" s="68"/>
      <c r="VPN121" s="68"/>
      <c r="VPO121" s="68"/>
      <c r="VPP121" s="68"/>
      <c r="VPQ121" s="68"/>
      <c r="VPR121" s="68"/>
      <c r="VPS121" s="68"/>
      <c r="VPT121" s="68"/>
      <c r="VPU121" s="68"/>
      <c r="VPV121" s="68"/>
      <c r="VPW121" s="68"/>
      <c r="VPX121" s="68"/>
      <c r="VPY121" s="68"/>
      <c r="VPZ121" s="68"/>
      <c r="VQA121" s="68"/>
      <c r="VQB121" s="68"/>
      <c r="VQC121" s="68"/>
      <c r="VQD121" s="68"/>
      <c r="VQE121" s="68"/>
      <c r="VQF121" s="68"/>
      <c r="VQG121" s="68"/>
      <c r="VQH121" s="68"/>
      <c r="VQI121" s="68"/>
      <c r="VQJ121" s="68"/>
      <c r="VQK121" s="68"/>
      <c r="VQL121" s="68"/>
      <c r="VQM121" s="68"/>
      <c r="VQN121" s="68"/>
      <c r="VQO121" s="68"/>
      <c r="VQP121" s="68"/>
      <c r="VQQ121" s="68"/>
      <c r="VQR121" s="68"/>
      <c r="VQS121" s="68"/>
      <c r="VQT121" s="68"/>
      <c r="VQU121" s="68"/>
      <c r="VQV121" s="68"/>
      <c r="VQW121" s="68"/>
      <c r="VQX121" s="68"/>
      <c r="VQY121" s="68"/>
      <c r="VQZ121" s="68"/>
      <c r="VRA121" s="68"/>
      <c r="VRB121" s="68"/>
      <c r="VRC121" s="68"/>
      <c r="VRD121" s="68"/>
      <c r="VRE121" s="68"/>
      <c r="VRF121" s="68"/>
      <c r="VRG121" s="68"/>
      <c r="VRH121" s="68"/>
      <c r="VRI121" s="68"/>
      <c r="VRJ121" s="68"/>
      <c r="VRK121" s="68"/>
      <c r="VRL121" s="68"/>
      <c r="VRM121" s="68"/>
      <c r="VRN121" s="68"/>
      <c r="VRO121" s="68"/>
      <c r="VRP121" s="68"/>
      <c r="VRQ121" s="68"/>
      <c r="VRR121" s="68"/>
      <c r="VRS121" s="68"/>
      <c r="VRT121" s="68"/>
      <c r="VRU121" s="68"/>
      <c r="VRV121" s="68"/>
      <c r="VRW121" s="68"/>
      <c r="VRX121" s="68"/>
      <c r="VRY121" s="68"/>
      <c r="VRZ121" s="68"/>
      <c r="VSA121" s="68"/>
      <c r="VSB121" s="68"/>
      <c r="VSC121" s="68"/>
      <c r="VSD121" s="68"/>
      <c r="VSE121" s="68"/>
      <c r="VSF121" s="68"/>
      <c r="VSG121" s="68"/>
      <c r="VSH121" s="68"/>
      <c r="VSI121" s="68"/>
      <c r="VSJ121" s="68"/>
      <c r="VSK121" s="68"/>
      <c r="VSL121" s="68"/>
      <c r="VSM121" s="68"/>
      <c r="VSN121" s="68"/>
      <c r="VSO121" s="68"/>
      <c r="VSP121" s="68"/>
      <c r="VSQ121" s="68"/>
      <c r="VSR121" s="68"/>
      <c r="VSS121" s="68"/>
      <c r="VST121" s="68"/>
      <c r="VSU121" s="68"/>
      <c r="VSV121" s="68"/>
      <c r="VSW121" s="68"/>
      <c r="VSX121" s="68"/>
      <c r="VSY121" s="68"/>
      <c r="VSZ121" s="68"/>
      <c r="VTA121" s="68"/>
      <c r="VTB121" s="68"/>
      <c r="VTC121" s="68"/>
      <c r="VTD121" s="68"/>
      <c r="VTE121" s="68"/>
      <c r="VTF121" s="68"/>
      <c r="VTG121" s="68"/>
      <c r="VTH121" s="68"/>
      <c r="VTI121" s="68"/>
      <c r="VTJ121" s="68"/>
      <c r="VTK121" s="68"/>
      <c r="VTL121" s="68"/>
      <c r="VTM121" s="68"/>
      <c r="VTN121" s="68"/>
      <c r="VTO121" s="68"/>
      <c r="VTP121" s="68"/>
      <c r="VTQ121" s="68"/>
      <c r="VTR121" s="68"/>
      <c r="VTS121" s="68"/>
      <c r="VTT121" s="68"/>
      <c r="VTU121" s="68"/>
      <c r="VTV121" s="68"/>
      <c r="VTW121" s="68"/>
      <c r="VTX121" s="68"/>
      <c r="VTY121" s="68"/>
      <c r="VTZ121" s="68"/>
      <c r="VUA121" s="68"/>
      <c r="VUB121" s="68"/>
      <c r="VUC121" s="68"/>
      <c r="VUD121" s="68"/>
      <c r="VUE121" s="68"/>
      <c r="VUF121" s="68"/>
      <c r="VUG121" s="68"/>
      <c r="VUH121" s="68"/>
      <c r="VUI121" s="68"/>
      <c r="VUJ121" s="68"/>
      <c r="VUK121" s="68"/>
      <c r="VUL121" s="68"/>
      <c r="VUM121" s="68"/>
      <c r="VUN121" s="68"/>
      <c r="VUO121" s="68"/>
      <c r="VUP121" s="68"/>
      <c r="VUQ121" s="68"/>
      <c r="VUR121" s="68"/>
      <c r="VUS121" s="68"/>
      <c r="VUT121" s="68"/>
      <c r="VUU121" s="68"/>
      <c r="VUV121" s="68"/>
      <c r="VUW121" s="68"/>
      <c r="VUX121" s="68"/>
      <c r="VUY121" s="68"/>
      <c r="VUZ121" s="68"/>
      <c r="VVA121" s="68"/>
      <c r="VVB121" s="68"/>
      <c r="VVC121" s="68"/>
      <c r="VVD121" s="68"/>
      <c r="VVE121" s="68"/>
      <c r="VVF121" s="68"/>
      <c r="VVG121" s="68"/>
      <c r="VVH121" s="68"/>
      <c r="VVI121" s="68"/>
      <c r="VVJ121" s="68"/>
      <c r="VVK121" s="68"/>
      <c r="VVL121" s="68"/>
      <c r="VVM121" s="68"/>
      <c r="VVN121" s="68"/>
      <c r="VVO121" s="68"/>
      <c r="VVP121" s="68"/>
      <c r="VVQ121" s="68"/>
      <c r="VVR121" s="68"/>
      <c r="VVS121" s="68"/>
      <c r="VVT121" s="68"/>
      <c r="VVU121" s="68"/>
      <c r="VVV121" s="68"/>
      <c r="VVW121" s="68"/>
      <c r="VVX121" s="68"/>
      <c r="VVY121" s="68"/>
      <c r="VVZ121" s="68"/>
      <c r="VWA121" s="68"/>
      <c r="VWB121" s="68"/>
      <c r="VWC121" s="68"/>
      <c r="VWD121" s="68"/>
      <c r="VWE121" s="68"/>
      <c r="VWF121" s="68"/>
      <c r="VWG121" s="68"/>
      <c r="VWH121" s="68"/>
      <c r="VWI121" s="68"/>
      <c r="VWJ121" s="68"/>
      <c r="VWK121" s="68"/>
      <c r="VWL121" s="68"/>
      <c r="VWM121" s="68"/>
      <c r="VWN121" s="68"/>
      <c r="VWO121" s="68"/>
      <c r="VWP121" s="68"/>
      <c r="VWQ121" s="68"/>
      <c r="VWR121" s="68"/>
      <c r="VWS121" s="68"/>
      <c r="VWT121" s="68"/>
      <c r="VWU121" s="68"/>
      <c r="VWV121" s="68"/>
      <c r="VWW121" s="68"/>
      <c r="VWX121" s="68"/>
      <c r="VWY121" s="68"/>
      <c r="VWZ121" s="68"/>
      <c r="VXA121" s="68"/>
      <c r="VXB121" s="68"/>
      <c r="VXC121" s="68"/>
      <c r="VXD121" s="68"/>
      <c r="VXE121" s="68"/>
      <c r="VXF121" s="68"/>
      <c r="VXG121" s="68"/>
      <c r="VXH121" s="68"/>
      <c r="VXI121" s="68"/>
      <c r="VXJ121" s="68"/>
      <c r="VXK121" s="68"/>
      <c r="VXL121" s="68"/>
      <c r="VXM121" s="68"/>
      <c r="VXN121" s="68"/>
      <c r="VXO121" s="68"/>
      <c r="VXP121" s="68"/>
      <c r="VXQ121" s="68"/>
      <c r="VXR121" s="68"/>
      <c r="VXS121" s="68"/>
      <c r="VXT121" s="68"/>
      <c r="VXU121" s="68"/>
      <c r="VXV121" s="68"/>
      <c r="VXW121" s="68"/>
      <c r="VXX121" s="68"/>
      <c r="VXY121" s="68"/>
      <c r="VXZ121" s="68"/>
      <c r="VYA121" s="68"/>
      <c r="VYB121" s="68"/>
      <c r="VYC121" s="68"/>
      <c r="VYD121" s="68"/>
      <c r="VYE121" s="68"/>
      <c r="VYF121" s="68"/>
      <c r="VYG121" s="68"/>
      <c r="VYH121" s="68"/>
      <c r="VYI121" s="68"/>
      <c r="VYJ121" s="68"/>
      <c r="VYK121" s="68"/>
      <c r="VYL121" s="68"/>
      <c r="VYM121" s="68"/>
      <c r="VYN121" s="68"/>
      <c r="VYO121" s="68"/>
      <c r="VYP121" s="68"/>
      <c r="VYQ121" s="68"/>
      <c r="VYR121" s="68"/>
      <c r="VYS121" s="68"/>
      <c r="VYT121" s="68"/>
      <c r="VYU121" s="68"/>
      <c r="VYV121" s="68"/>
      <c r="VYW121" s="68"/>
      <c r="VYX121" s="68"/>
      <c r="VYY121" s="68"/>
      <c r="VYZ121" s="68"/>
      <c r="VZA121" s="68"/>
      <c r="VZB121" s="68"/>
      <c r="VZC121" s="68"/>
      <c r="VZD121" s="68"/>
      <c r="VZE121" s="68"/>
      <c r="VZF121" s="68"/>
      <c r="VZG121" s="68"/>
      <c r="VZH121" s="68"/>
      <c r="VZI121" s="68"/>
      <c r="VZJ121" s="68"/>
      <c r="VZK121" s="68"/>
      <c r="VZL121" s="68"/>
      <c r="VZM121" s="68"/>
      <c r="VZN121" s="68"/>
      <c r="VZO121" s="68"/>
      <c r="VZP121" s="68"/>
      <c r="VZQ121" s="68"/>
      <c r="VZR121" s="68"/>
      <c r="VZS121" s="68"/>
      <c r="VZT121" s="68"/>
      <c r="VZU121" s="68"/>
      <c r="VZV121" s="68"/>
      <c r="VZW121" s="68"/>
      <c r="VZX121" s="68"/>
      <c r="VZY121" s="68"/>
      <c r="VZZ121" s="68"/>
      <c r="WAA121" s="68"/>
      <c r="WAB121" s="68"/>
      <c r="WAC121" s="68"/>
      <c r="WAD121" s="68"/>
      <c r="WAE121" s="68"/>
      <c r="WAF121" s="68"/>
      <c r="WAG121" s="68"/>
      <c r="WAH121" s="68"/>
      <c r="WAI121" s="68"/>
      <c r="WAJ121" s="68"/>
      <c r="WAK121" s="68"/>
      <c r="WAL121" s="68"/>
      <c r="WAM121" s="68"/>
      <c r="WAN121" s="68"/>
      <c r="WAO121" s="68"/>
      <c r="WAP121" s="68"/>
      <c r="WAQ121" s="68"/>
      <c r="WAR121" s="68"/>
      <c r="WAS121" s="68"/>
      <c r="WAT121" s="68"/>
      <c r="WAU121" s="68"/>
      <c r="WAV121" s="68"/>
      <c r="WAW121" s="68"/>
      <c r="WAX121" s="68"/>
      <c r="WAY121" s="68"/>
      <c r="WAZ121" s="68"/>
      <c r="WBA121" s="68"/>
      <c r="WBB121" s="68"/>
      <c r="WBC121" s="68"/>
      <c r="WBD121" s="68"/>
      <c r="WBE121" s="68"/>
      <c r="WBF121" s="68"/>
      <c r="WBG121" s="68"/>
      <c r="WBH121" s="68"/>
      <c r="WBI121" s="68"/>
      <c r="WBJ121" s="68"/>
      <c r="WBK121" s="68"/>
      <c r="WBL121" s="68"/>
      <c r="WBM121" s="68"/>
      <c r="WBN121" s="68"/>
      <c r="WBO121" s="68"/>
      <c r="WBP121" s="68"/>
      <c r="WBQ121" s="68"/>
      <c r="WBR121" s="68"/>
      <c r="WBS121" s="68"/>
      <c r="WBT121" s="68"/>
      <c r="WBU121" s="68"/>
      <c r="WBV121" s="68"/>
      <c r="WBW121" s="68"/>
      <c r="WBX121" s="68"/>
      <c r="WBY121" s="68"/>
      <c r="WBZ121" s="68"/>
      <c r="WCA121" s="68"/>
      <c r="WCB121" s="68"/>
      <c r="WCC121" s="68"/>
      <c r="WCD121" s="68"/>
      <c r="WCE121" s="68"/>
      <c r="WCF121" s="68"/>
      <c r="WCG121" s="68"/>
      <c r="WCH121" s="68"/>
      <c r="WCI121" s="68"/>
      <c r="WCJ121" s="68"/>
      <c r="WCK121" s="68"/>
      <c r="WCL121" s="68"/>
      <c r="WCM121" s="68"/>
      <c r="WCN121" s="68"/>
      <c r="WCO121" s="68"/>
      <c r="WCP121" s="68"/>
      <c r="WCQ121" s="68"/>
      <c r="WCR121" s="68"/>
      <c r="WCS121" s="68"/>
      <c r="WCT121" s="68"/>
      <c r="WCU121" s="68"/>
      <c r="WCV121" s="68"/>
      <c r="WCW121" s="68"/>
      <c r="WCX121" s="68"/>
      <c r="WCY121" s="68"/>
      <c r="WCZ121" s="68"/>
      <c r="WDA121" s="68"/>
      <c r="WDB121" s="68"/>
      <c r="WDC121" s="68"/>
      <c r="WDD121" s="68"/>
      <c r="WDE121" s="68"/>
      <c r="WDF121" s="68"/>
      <c r="WDG121" s="68"/>
      <c r="WDH121" s="68"/>
      <c r="WDI121" s="68"/>
      <c r="WDJ121" s="68"/>
      <c r="WDK121" s="68"/>
      <c r="WDL121" s="68"/>
      <c r="WDM121" s="68"/>
      <c r="WDN121" s="68"/>
      <c r="WDO121" s="68"/>
      <c r="WDP121" s="68"/>
      <c r="WDQ121" s="68"/>
      <c r="WDR121" s="68"/>
      <c r="WDS121" s="68"/>
      <c r="WDT121" s="68"/>
      <c r="WDU121" s="68"/>
      <c r="WDV121" s="68"/>
      <c r="WDW121" s="68"/>
      <c r="WDX121" s="68"/>
      <c r="WDY121" s="68"/>
      <c r="WDZ121" s="68"/>
      <c r="WEA121" s="68"/>
      <c r="WEB121" s="68"/>
      <c r="WEC121" s="68"/>
      <c r="WED121" s="68"/>
      <c r="WEE121" s="68"/>
      <c r="WEF121" s="68"/>
      <c r="WEG121" s="68"/>
      <c r="WEH121" s="68"/>
      <c r="WEI121" s="68"/>
      <c r="WEJ121" s="68"/>
      <c r="WEK121" s="68"/>
      <c r="WEL121" s="68"/>
      <c r="WEM121" s="68"/>
      <c r="WEN121" s="68"/>
      <c r="WEO121" s="68"/>
      <c r="WEP121" s="68"/>
      <c r="WEQ121" s="68"/>
      <c r="WER121" s="68"/>
      <c r="WES121" s="68"/>
      <c r="WET121" s="68"/>
      <c r="WEU121" s="68"/>
      <c r="WEV121" s="68"/>
      <c r="WEW121" s="68"/>
      <c r="WEX121" s="68"/>
      <c r="WEY121" s="68"/>
      <c r="WEZ121" s="68"/>
      <c r="WFA121" s="68"/>
      <c r="WFB121" s="68"/>
      <c r="WFC121" s="68"/>
      <c r="WFD121" s="68"/>
      <c r="WFE121" s="68"/>
      <c r="WFF121" s="68"/>
      <c r="WFG121" s="68"/>
      <c r="WFH121" s="68"/>
      <c r="WFI121" s="68"/>
      <c r="WFJ121" s="68"/>
      <c r="WFK121" s="68"/>
      <c r="WFL121" s="68"/>
      <c r="WFM121" s="68"/>
      <c r="WFN121" s="68"/>
      <c r="WFO121" s="68"/>
      <c r="WFP121" s="68"/>
      <c r="WFQ121" s="68"/>
      <c r="WFR121" s="68"/>
      <c r="WFS121" s="68"/>
      <c r="WFT121" s="68"/>
      <c r="WFU121" s="68"/>
      <c r="WFV121" s="68"/>
      <c r="WFW121" s="68"/>
      <c r="WFX121" s="68"/>
      <c r="WFY121" s="68"/>
      <c r="WFZ121" s="68"/>
      <c r="WGA121" s="68"/>
      <c r="WGB121" s="68"/>
      <c r="WGC121" s="68"/>
      <c r="WGD121" s="68"/>
      <c r="WGE121" s="68"/>
      <c r="WGF121" s="68"/>
      <c r="WGG121" s="68"/>
      <c r="WGH121" s="68"/>
      <c r="WGI121" s="68"/>
      <c r="WGJ121" s="68"/>
      <c r="WGK121" s="68"/>
      <c r="WGL121" s="68"/>
      <c r="WGM121" s="68"/>
      <c r="WGN121" s="68"/>
      <c r="WGO121" s="68"/>
      <c r="WGP121" s="68"/>
      <c r="WGQ121" s="68"/>
      <c r="WGR121" s="68"/>
      <c r="WGS121" s="68"/>
      <c r="WGT121" s="68"/>
      <c r="WGU121" s="68"/>
      <c r="WGV121" s="68"/>
      <c r="WGW121" s="68"/>
      <c r="WGX121" s="68"/>
      <c r="WGY121" s="68"/>
      <c r="WGZ121" s="68"/>
      <c r="WHA121" s="68"/>
      <c r="WHB121" s="68"/>
      <c r="WHC121" s="68"/>
      <c r="WHD121" s="68"/>
      <c r="WHE121" s="68"/>
      <c r="WHF121" s="68"/>
      <c r="WHG121" s="68"/>
      <c r="WHH121" s="68"/>
      <c r="WHI121" s="68"/>
      <c r="WHJ121" s="68"/>
      <c r="WHK121" s="68"/>
      <c r="WHL121" s="68"/>
      <c r="WHM121" s="68"/>
      <c r="WHN121" s="68"/>
      <c r="WHO121" s="68"/>
      <c r="WHP121" s="68"/>
      <c r="WHQ121" s="68"/>
      <c r="WHR121" s="68"/>
      <c r="WHS121" s="68"/>
      <c r="WHT121" s="68"/>
      <c r="WHU121" s="68"/>
      <c r="WHV121" s="68"/>
      <c r="WHW121" s="68"/>
      <c r="WHX121" s="68"/>
      <c r="WHY121" s="68"/>
      <c r="WHZ121" s="68"/>
      <c r="WIA121" s="68"/>
      <c r="WIB121" s="68"/>
      <c r="WIC121" s="68"/>
      <c r="WID121" s="68"/>
      <c r="WIE121" s="68"/>
      <c r="WIF121" s="68"/>
      <c r="WIG121" s="68"/>
      <c r="WIH121" s="68"/>
      <c r="WII121" s="68"/>
      <c r="WIJ121" s="68"/>
      <c r="WIK121" s="68"/>
      <c r="WIL121" s="68"/>
      <c r="WIM121" s="68"/>
      <c r="WIN121" s="68"/>
      <c r="WIO121" s="68"/>
      <c r="WIP121" s="68"/>
      <c r="WIQ121" s="68"/>
      <c r="WIR121" s="68"/>
      <c r="WIS121" s="68"/>
      <c r="WIT121" s="68"/>
      <c r="WIU121" s="68"/>
      <c r="WIV121" s="68"/>
      <c r="WIW121" s="68"/>
      <c r="WIX121" s="68"/>
      <c r="WIY121" s="68"/>
      <c r="WIZ121" s="68"/>
      <c r="WJA121" s="68"/>
      <c r="WJB121" s="68"/>
      <c r="WJC121" s="68"/>
      <c r="WJD121" s="68"/>
      <c r="WJE121" s="68"/>
      <c r="WJF121" s="68"/>
      <c r="WJG121" s="68"/>
      <c r="WJH121" s="68"/>
      <c r="WJI121" s="68"/>
      <c r="WJJ121" s="68"/>
      <c r="WJK121" s="68"/>
      <c r="WJL121" s="68"/>
      <c r="WJM121" s="68"/>
      <c r="WJN121" s="68"/>
      <c r="WJO121" s="68"/>
      <c r="WJP121" s="68"/>
      <c r="WJQ121" s="68"/>
      <c r="WJR121" s="68"/>
      <c r="WJS121" s="68"/>
      <c r="WJT121" s="68"/>
      <c r="WJU121" s="68"/>
      <c r="WJV121" s="68"/>
      <c r="WJW121" s="68"/>
      <c r="WJX121" s="68"/>
      <c r="WJY121" s="68"/>
      <c r="WJZ121" s="68"/>
      <c r="WKA121" s="68"/>
      <c r="WKB121" s="68"/>
      <c r="WKC121" s="68"/>
      <c r="WKD121" s="68"/>
      <c r="WKE121" s="68"/>
      <c r="WKF121" s="68"/>
      <c r="WKG121" s="68"/>
      <c r="WKH121" s="68"/>
      <c r="WKI121" s="68"/>
      <c r="WKJ121" s="68"/>
      <c r="WKK121" s="68"/>
      <c r="WKL121" s="68"/>
      <c r="WKM121" s="68"/>
      <c r="WKN121" s="68"/>
      <c r="WKO121" s="68"/>
      <c r="WKP121" s="68"/>
      <c r="WKQ121" s="68"/>
      <c r="WKR121" s="68"/>
      <c r="WKS121" s="68"/>
      <c r="WKT121" s="68"/>
      <c r="WKU121" s="68"/>
      <c r="WKV121" s="68"/>
      <c r="WKW121" s="68"/>
      <c r="WKX121" s="68"/>
      <c r="WKY121" s="68"/>
      <c r="WKZ121" s="68"/>
      <c r="WLA121" s="68"/>
      <c r="WLB121" s="68"/>
      <c r="WLC121" s="68"/>
      <c r="WLD121" s="68"/>
      <c r="WLE121" s="68"/>
      <c r="WLF121" s="68"/>
      <c r="WLG121" s="68"/>
      <c r="WLH121" s="68"/>
      <c r="WLI121" s="68"/>
      <c r="WLJ121" s="68"/>
      <c r="WLK121" s="68"/>
      <c r="WLL121" s="68"/>
      <c r="WLM121" s="68"/>
      <c r="WLN121" s="68"/>
      <c r="WLO121" s="68"/>
      <c r="WLP121" s="68"/>
      <c r="WLQ121" s="68"/>
      <c r="WLR121" s="68"/>
      <c r="WLS121" s="68"/>
      <c r="WLT121" s="68"/>
      <c r="WLU121" s="68"/>
      <c r="WLV121" s="68"/>
      <c r="WLW121" s="68"/>
      <c r="WLX121" s="68"/>
      <c r="WLY121" s="68"/>
      <c r="WLZ121" s="68"/>
      <c r="WMA121" s="68"/>
      <c r="WMB121" s="68"/>
      <c r="WMC121" s="68"/>
      <c r="WMD121" s="68"/>
      <c r="WME121" s="68"/>
      <c r="WMF121" s="68"/>
      <c r="WMG121" s="68"/>
      <c r="WMH121" s="68"/>
      <c r="WMI121" s="68"/>
      <c r="WMJ121" s="68"/>
      <c r="WMK121" s="68"/>
      <c r="WML121" s="68"/>
      <c r="WMM121" s="68"/>
      <c r="WMN121" s="68"/>
      <c r="WMO121" s="68"/>
      <c r="WMP121" s="68"/>
      <c r="WMQ121" s="68"/>
      <c r="WMR121" s="68"/>
      <c r="WMS121" s="68"/>
      <c r="WMT121" s="68"/>
      <c r="WMU121" s="68"/>
      <c r="WMV121" s="68"/>
      <c r="WMW121" s="68"/>
      <c r="WMX121" s="68"/>
      <c r="WMY121" s="68"/>
      <c r="WMZ121" s="68"/>
      <c r="WNA121" s="68"/>
      <c r="WNB121" s="68"/>
      <c r="WNC121" s="68"/>
      <c r="WND121" s="68"/>
      <c r="WNE121" s="68"/>
      <c r="WNF121" s="68"/>
      <c r="WNG121" s="68"/>
      <c r="WNH121" s="68"/>
      <c r="WNI121" s="68"/>
      <c r="WNJ121" s="68"/>
      <c r="WNK121" s="68"/>
      <c r="WNL121" s="68"/>
      <c r="WNM121" s="68"/>
      <c r="WNN121" s="68"/>
      <c r="WNO121" s="68"/>
      <c r="WNP121" s="68"/>
      <c r="WNQ121" s="68"/>
      <c r="WNR121" s="68"/>
      <c r="WNS121" s="68"/>
      <c r="WNT121" s="68"/>
      <c r="WNU121" s="68"/>
      <c r="WNV121" s="68"/>
      <c r="WNW121" s="68"/>
      <c r="WNX121" s="68"/>
      <c r="WNY121" s="68"/>
      <c r="WNZ121" s="68"/>
      <c r="WOA121" s="68"/>
      <c r="WOB121" s="68"/>
      <c r="WOC121" s="68"/>
      <c r="WOD121" s="68"/>
      <c r="WOE121" s="68"/>
      <c r="WOF121" s="68"/>
      <c r="WOG121" s="68"/>
      <c r="WOH121" s="68"/>
      <c r="WOI121" s="68"/>
      <c r="WOJ121" s="68"/>
      <c r="WOK121" s="68"/>
      <c r="WOL121" s="68"/>
      <c r="WOM121" s="68"/>
      <c r="WON121" s="68"/>
      <c r="WOO121" s="68"/>
      <c r="WOP121" s="68"/>
      <c r="WOQ121" s="68"/>
      <c r="WOR121" s="68"/>
      <c r="WOS121" s="68"/>
      <c r="WOT121" s="68"/>
      <c r="WOU121" s="68"/>
      <c r="WOV121" s="68"/>
      <c r="WOW121" s="68"/>
      <c r="WOX121" s="68"/>
      <c r="WOY121" s="68"/>
      <c r="WOZ121" s="68"/>
      <c r="WPA121" s="68"/>
      <c r="WPB121" s="68"/>
      <c r="WPC121" s="68"/>
      <c r="WPD121" s="68"/>
      <c r="WPE121" s="68"/>
      <c r="WPF121" s="68"/>
      <c r="WPG121" s="68"/>
      <c r="WPH121" s="68"/>
      <c r="WPI121" s="68"/>
      <c r="WPJ121" s="68"/>
      <c r="WPK121" s="68"/>
      <c r="WPL121" s="68"/>
      <c r="WPM121" s="68"/>
      <c r="WPN121" s="68"/>
      <c r="WPO121" s="68"/>
      <c r="WPP121" s="68"/>
      <c r="WPQ121" s="68"/>
      <c r="WPR121" s="68"/>
      <c r="WPS121" s="68"/>
      <c r="WPT121" s="68"/>
      <c r="WPU121" s="68"/>
      <c r="WPV121" s="68"/>
      <c r="WPW121" s="68"/>
      <c r="WPX121" s="68"/>
      <c r="WPY121" s="68"/>
      <c r="WPZ121" s="68"/>
      <c r="WQA121" s="68"/>
      <c r="WQB121" s="68"/>
      <c r="WQC121" s="68"/>
      <c r="WQD121" s="68"/>
      <c r="WQE121" s="68"/>
      <c r="WQF121" s="68"/>
      <c r="WQG121" s="68"/>
      <c r="WQH121" s="68"/>
      <c r="WQI121" s="68"/>
      <c r="WQJ121" s="68"/>
      <c r="WQK121" s="68"/>
      <c r="WQL121" s="68"/>
      <c r="WQM121" s="68"/>
      <c r="WQN121" s="68"/>
      <c r="WQO121" s="68"/>
      <c r="WQP121" s="68"/>
      <c r="WQQ121" s="68"/>
      <c r="WQR121" s="68"/>
      <c r="WQS121" s="68"/>
      <c r="WQT121" s="68"/>
      <c r="WQU121" s="68"/>
      <c r="WQV121" s="68"/>
      <c r="WQW121" s="68"/>
      <c r="WQX121" s="68"/>
      <c r="WQY121" s="68"/>
      <c r="WQZ121" s="68"/>
      <c r="WRA121" s="68"/>
      <c r="WRB121" s="68"/>
      <c r="WRC121" s="68"/>
      <c r="WRD121" s="68"/>
      <c r="WRE121" s="68"/>
      <c r="WRF121" s="68"/>
      <c r="WRG121" s="68"/>
      <c r="WRH121" s="68"/>
      <c r="WRI121" s="68"/>
      <c r="WRJ121" s="68"/>
      <c r="WRK121" s="68"/>
      <c r="WRL121" s="68"/>
      <c r="WRM121" s="68"/>
      <c r="WRN121" s="68"/>
      <c r="WRO121" s="68"/>
      <c r="WRP121" s="68"/>
      <c r="WRQ121" s="68"/>
      <c r="WRR121" s="68"/>
      <c r="WRS121" s="68"/>
      <c r="WRT121" s="68"/>
      <c r="WRU121" s="68"/>
      <c r="WRV121" s="68"/>
      <c r="WRW121" s="68"/>
      <c r="WRX121" s="68"/>
      <c r="WRY121" s="68"/>
      <c r="WRZ121" s="68"/>
      <c r="WSA121" s="68"/>
      <c r="WSB121" s="68"/>
      <c r="WSC121" s="68"/>
      <c r="WSD121" s="68"/>
      <c r="WSE121" s="68"/>
      <c r="WSF121" s="68"/>
      <c r="WSG121" s="68"/>
      <c r="WSH121" s="68"/>
      <c r="WSI121" s="68"/>
      <c r="WSJ121" s="68"/>
      <c r="WSK121" s="68"/>
      <c r="WSL121" s="68"/>
      <c r="WSM121" s="68"/>
      <c r="WSN121" s="68"/>
      <c r="WSO121" s="68"/>
      <c r="WSP121" s="68"/>
      <c r="WSQ121" s="68"/>
      <c r="WSR121" s="68"/>
      <c r="WSS121" s="68"/>
      <c r="WST121" s="68"/>
      <c r="WSU121" s="68"/>
      <c r="WSV121" s="68"/>
      <c r="WSW121" s="68"/>
      <c r="WSX121" s="68"/>
      <c r="WSY121" s="68"/>
      <c r="WSZ121" s="68"/>
      <c r="WTA121" s="68"/>
      <c r="WTB121" s="68"/>
      <c r="WTC121" s="68"/>
      <c r="WTD121" s="68"/>
      <c r="WTE121" s="68"/>
      <c r="WTF121" s="68"/>
      <c r="WTG121" s="68"/>
      <c r="WTH121" s="68"/>
      <c r="WTI121" s="68"/>
      <c r="WTJ121" s="68"/>
      <c r="WTK121" s="68"/>
      <c r="WTL121" s="68"/>
      <c r="WTM121" s="68"/>
      <c r="WTN121" s="68"/>
      <c r="WTO121" s="68"/>
      <c r="WTP121" s="68"/>
      <c r="WTQ121" s="68"/>
      <c r="WTR121" s="68"/>
      <c r="WTS121" s="68"/>
      <c r="WTT121" s="68"/>
      <c r="WTU121" s="68"/>
      <c r="WTV121" s="68"/>
      <c r="WTW121" s="68"/>
      <c r="WTX121" s="68"/>
      <c r="WTY121" s="68"/>
      <c r="WTZ121" s="68"/>
      <c r="WUA121" s="68"/>
      <c r="WUB121" s="68"/>
      <c r="WUC121" s="68"/>
      <c r="WUD121" s="68"/>
      <c r="WUE121" s="68"/>
      <c r="WUF121" s="68"/>
      <c r="WUG121" s="68"/>
      <c r="WUH121" s="68"/>
      <c r="WUI121" s="68"/>
      <c r="WUJ121" s="68"/>
      <c r="WUK121" s="68"/>
      <c r="WUL121" s="68"/>
      <c r="WUM121" s="68"/>
      <c r="WUN121" s="68"/>
      <c r="WUO121" s="68"/>
      <c r="WUP121" s="68"/>
      <c r="WUQ121" s="68"/>
      <c r="WUR121" s="68"/>
      <c r="WUS121" s="68"/>
      <c r="WUT121" s="68"/>
      <c r="WUU121" s="68"/>
      <c r="WUV121" s="68"/>
      <c r="WUW121" s="68"/>
      <c r="WUX121" s="68"/>
      <c r="WUY121" s="68"/>
      <c r="WUZ121" s="68"/>
      <c r="WVA121" s="68"/>
      <c r="WVB121" s="68"/>
      <c r="WVC121" s="68"/>
      <c r="WVD121" s="68"/>
      <c r="WVE121" s="68"/>
      <c r="WVF121" s="68"/>
      <c r="WVG121" s="68"/>
      <c r="WVH121" s="68"/>
      <c r="WVI121" s="68"/>
      <c r="WVJ121" s="68"/>
      <c r="WVK121" s="68"/>
      <c r="WVL121" s="68"/>
      <c r="WVM121" s="68"/>
      <c r="WVN121" s="68"/>
      <c r="WVO121" s="68"/>
      <c r="WVP121" s="68"/>
      <c r="WVQ121" s="68"/>
      <c r="WVR121" s="68"/>
      <c r="WVS121" s="68"/>
      <c r="WVT121" s="68"/>
      <c r="WVU121" s="68"/>
      <c r="WVV121" s="68"/>
      <c r="WVW121" s="68"/>
      <c r="WVX121" s="68"/>
      <c r="WVY121" s="68"/>
      <c r="WVZ121" s="68"/>
      <c r="WWA121" s="68"/>
      <c r="WWB121" s="68"/>
      <c r="WWC121" s="68"/>
      <c r="WWD121" s="68"/>
      <c r="WWE121" s="68"/>
      <c r="WWF121" s="68"/>
      <c r="WWG121" s="68"/>
      <c r="WWH121" s="68"/>
      <c r="WWI121" s="68"/>
      <c r="WWJ121" s="68"/>
      <c r="WWK121" s="68"/>
      <c r="WWL121" s="68"/>
      <c r="WWM121" s="68"/>
      <c r="WWN121" s="68"/>
      <c r="WWO121" s="68"/>
      <c r="WWP121" s="68"/>
      <c r="WWQ121" s="68"/>
      <c r="WWR121" s="68"/>
      <c r="WWS121" s="68"/>
      <c r="WWT121" s="68"/>
      <c r="WWU121" s="68"/>
      <c r="WWV121" s="68"/>
      <c r="WWW121" s="68"/>
      <c r="WWX121" s="68"/>
      <c r="WWY121" s="68"/>
      <c r="WWZ121" s="68"/>
      <c r="WXA121" s="68"/>
      <c r="WXB121" s="68"/>
      <c r="WXC121" s="68"/>
      <c r="WXD121" s="68"/>
      <c r="WXE121" s="68"/>
      <c r="WXF121" s="68"/>
      <c r="WXG121" s="68"/>
      <c r="WXH121" s="68"/>
      <c r="WXI121" s="68"/>
      <c r="WXJ121" s="68"/>
      <c r="WXK121" s="68"/>
      <c r="WXL121" s="68"/>
      <c r="WXM121" s="68"/>
      <c r="WXN121" s="68"/>
      <c r="WXO121" s="68"/>
      <c r="WXP121" s="68"/>
      <c r="WXQ121" s="68"/>
      <c r="WXR121" s="68"/>
      <c r="WXS121" s="68"/>
      <c r="WXT121" s="68"/>
      <c r="WXU121" s="68"/>
      <c r="WXV121" s="68"/>
      <c r="WXW121" s="68"/>
      <c r="WXX121" s="68"/>
      <c r="WXY121" s="68"/>
      <c r="WXZ121" s="68"/>
      <c r="WYA121" s="68"/>
      <c r="WYB121" s="68"/>
      <c r="WYC121" s="68"/>
      <c r="WYD121" s="68"/>
      <c r="WYE121" s="68"/>
      <c r="WYF121" s="68"/>
      <c r="WYG121" s="68"/>
      <c r="WYH121" s="68"/>
      <c r="WYI121" s="68"/>
      <c r="WYJ121" s="68"/>
      <c r="WYK121" s="68"/>
      <c r="WYL121" s="68"/>
      <c r="WYM121" s="68"/>
      <c r="WYN121" s="68"/>
      <c r="WYO121" s="68"/>
      <c r="WYP121" s="68"/>
      <c r="WYQ121" s="68"/>
      <c r="WYR121" s="68"/>
      <c r="WYS121" s="68"/>
      <c r="WYT121" s="68"/>
      <c r="WYU121" s="68"/>
      <c r="WYV121" s="68"/>
      <c r="WYW121" s="68"/>
      <c r="WYX121" s="68"/>
      <c r="WYY121" s="68"/>
      <c r="WYZ121" s="68"/>
      <c r="WZA121" s="68"/>
      <c r="WZB121" s="68"/>
      <c r="WZC121" s="68"/>
      <c r="WZD121" s="68"/>
      <c r="WZE121" s="68"/>
      <c r="WZF121" s="68"/>
      <c r="WZG121" s="68"/>
      <c r="WZH121" s="68"/>
      <c r="WZI121" s="68"/>
      <c r="WZJ121" s="68"/>
      <c r="WZK121" s="68"/>
      <c r="WZL121" s="68"/>
      <c r="WZM121" s="68"/>
      <c r="WZN121" s="68"/>
      <c r="WZO121" s="68"/>
      <c r="WZP121" s="68"/>
      <c r="WZQ121" s="68"/>
      <c r="WZR121" s="68"/>
      <c r="WZS121" s="68"/>
      <c r="WZT121" s="68"/>
      <c r="WZU121" s="68"/>
      <c r="WZV121" s="68"/>
      <c r="WZW121" s="68"/>
      <c r="WZX121" s="68"/>
      <c r="WZY121" s="68"/>
      <c r="WZZ121" s="68"/>
      <c r="XAA121" s="68"/>
      <c r="XAB121" s="68"/>
      <c r="XAC121" s="68"/>
      <c r="XAD121" s="68"/>
      <c r="XAE121" s="68"/>
      <c r="XAF121" s="68"/>
      <c r="XAG121" s="68"/>
      <c r="XAH121" s="68"/>
      <c r="XAI121" s="68"/>
      <c r="XAJ121" s="68"/>
      <c r="XAK121" s="68"/>
      <c r="XAL121" s="68"/>
      <c r="XAM121" s="68"/>
      <c r="XAN121" s="68"/>
      <c r="XAO121" s="68"/>
      <c r="XAP121" s="68"/>
      <c r="XAQ121" s="68"/>
      <c r="XAR121" s="68"/>
      <c r="XAS121" s="68"/>
      <c r="XAT121" s="68"/>
      <c r="XAU121" s="68"/>
      <c r="XAV121" s="68"/>
      <c r="XAW121" s="68"/>
      <c r="XAX121" s="68"/>
      <c r="XAY121" s="68"/>
      <c r="XAZ121" s="68"/>
      <c r="XBA121" s="68"/>
      <c r="XBB121" s="68"/>
      <c r="XBC121" s="68"/>
      <c r="XBD121" s="68"/>
      <c r="XBE121" s="68"/>
      <c r="XBF121" s="68"/>
      <c r="XBG121" s="68"/>
      <c r="XBH121" s="68"/>
      <c r="XBI121" s="68"/>
      <c r="XBJ121" s="68"/>
      <c r="XBK121" s="68"/>
      <c r="XBL121" s="68"/>
      <c r="XBM121" s="68"/>
      <c r="XBN121" s="68"/>
      <c r="XBO121" s="68"/>
      <c r="XBP121" s="68"/>
      <c r="XBQ121" s="68"/>
      <c r="XBR121" s="68"/>
      <c r="XBS121" s="68"/>
      <c r="XBT121" s="68"/>
      <c r="XBU121" s="68"/>
      <c r="XBV121" s="68"/>
      <c r="XBW121" s="68"/>
      <c r="XBX121" s="68"/>
      <c r="XBY121" s="68"/>
      <c r="XBZ121" s="68"/>
      <c r="XCA121" s="68"/>
      <c r="XCB121" s="68"/>
      <c r="XCC121" s="68"/>
      <c r="XCD121" s="68"/>
      <c r="XCE121" s="68"/>
      <c r="XCF121" s="68"/>
      <c r="XCG121" s="68"/>
      <c r="XCH121" s="68"/>
      <c r="XCI121" s="68"/>
      <c r="XCJ121" s="68"/>
      <c r="XCK121" s="68"/>
      <c r="XCL121" s="68"/>
      <c r="XCM121" s="68"/>
      <c r="XCN121" s="68"/>
      <c r="XCO121" s="68"/>
      <c r="XCP121" s="68"/>
      <c r="XCQ121" s="68"/>
      <c r="XCR121" s="68"/>
      <c r="XCS121" s="68"/>
      <c r="XCT121" s="68"/>
      <c r="XCU121" s="68"/>
      <c r="XCV121" s="68"/>
      <c r="XCW121" s="68"/>
      <c r="XCX121" s="68"/>
      <c r="XCY121" s="68"/>
      <c r="XCZ121" s="68"/>
      <c r="XDA121" s="68"/>
      <c r="XDB121" s="68"/>
      <c r="XDC121" s="68"/>
      <c r="XDD121" s="68"/>
      <c r="XDE121" s="68"/>
      <c r="XDF121" s="68"/>
      <c r="XDG121" s="68"/>
      <c r="XDH121" s="68"/>
      <c r="XDI121" s="68"/>
      <c r="XDJ121" s="68"/>
      <c r="XDK121" s="68"/>
      <c r="XDL121" s="68"/>
      <c r="XDM121" s="68"/>
      <c r="XDN121" s="68"/>
      <c r="XDO121" s="68"/>
      <c r="XDP121" s="68"/>
      <c r="XDQ121" s="68"/>
      <c r="XDR121" s="68"/>
      <c r="XDS121" s="68"/>
      <c r="XDT121" s="68"/>
      <c r="XDU121" s="68"/>
      <c r="XDV121" s="68"/>
      <c r="XDW121" s="68"/>
      <c r="XDX121" s="68"/>
      <c r="XDY121" s="68"/>
      <c r="XDZ121" s="68"/>
      <c r="XEA121" s="68"/>
      <c r="XEB121" s="68"/>
      <c r="XEC121" s="68"/>
      <c r="XED121" s="68"/>
      <c r="XEE121" s="68"/>
      <c r="XEF121" s="68"/>
      <c r="XEG121" s="68"/>
      <c r="XEH121" s="68"/>
      <c r="XEI121" s="68"/>
      <c r="XEJ121" s="68"/>
      <c r="XEK121" s="68"/>
      <c r="XEL121" s="68"/>
      <c r="XEM121" s="68"/>
      <c r="XEN121" s="68"/>
      <c r="XEO121" s="68"/>
      <c r="XEP121" s="68"/>
      <c r="XEQ121" s="68"/>
      <c r="XER121" s="68"/>
      <c r="XES121" s="68"/>
      <c r="XET121" s="68"/>
      <c r="XEU121" s="68"/>
      <c r="XEV121" s="68"/>
      <c r="XEW121" s="68"/>
      <c r="XEX121" s="68"/>
      <c r="XEY121" s="68"/>
      <c r="XEZ121" s="68"/>
      <c r="XFA121" s="68"/>
      <c r="XFB121" s="68"/>
      <c r="XFC121" s="68"/>
      <c r="XFD121" s="68"/>
    </row>
    <row r="122" spans="1:16384" outlineLevel="1">
      <c r="A122" s="3937" t="s">
        <v>34</v>
      </c>
      <c r="B122" s="3876"/>
      <c r="C122" s="3876"/>
      <c r="D122" s="3876"/>
      <c r="E122" s="3876"/>
      <c r="F122" s="3876"/>
      <c r="G122" s="3876"/>
      <c r="H122" s="3876"/>
      <c r="I122" s="3876"/>
      <c r="J122" s="3876"/>
      <c r="K122" s="3876"/>
      <c r="L122" s="3876"/>
      <c r="M122" s="3938"/>
      <c r="N122" s="3939"/>
      <c r="O122" s="3938"/>
      <c r="P122" s="3938">
        <f t="shared" ref="P122:AF122" si="249">+P121/O121-1</f>
        <v>8.2265114452795274E-3</v>
      </c>
      <c r="Q122" s="3938">
        <f t="shared" si="249"/>
        <v>-8.0305927342261274E-4</v>
      </c>
      <c r="R122" s="3938">
        <f t="shared" si="249"/>
        <v>-1.8638294615178519E-2</v>
      </c>
      <c r="S122" s="3938">
        <f t="shared" si="249"/>
        <v>-4.1611418766086872E-2</v>
      </c>
      <c r="T122" s="3938">
        <f t="shared" ca="1" si="249"/>
        <v>-3.3494085816096364E-2</v>
      </c>
      <c r="U122" s="3938">
        <f t="shared" ca="1" si="249"/>
        <v>-1.0195970246961394E-2</v>
      </c>
      <c r="V122" s="3938">
        <f t="shared" ca="1" si="249"/>
        <v>-9.5439388591509466E-3</v>
      </c>
      <c r="W122" s="3938">
        <f t="shared" ca="1" si="249"/>
        <v>-6.7868478114186948E-3</v>
      </c>
      <c r="X122" s="3938">
        <f t="shared" ca="1" si="249"/>
        <v>-4.2978459574087857E-3</v>
      </c>
      <c r="Y122" s="3938">
        <f t="shared" ca="1" si="249"/>
        <v>-2.4707509366098668E-3</v>
      </c>
      <c r="Z122" s="3938">
        <f t="shared" ca="1" si="249"/>
        <v>-6.2742561637640915E-4</v>
      </c>
      <c r="AA122" s="3938">
        <f t="shared" ca="1" si="249"/>
        <v>1.3108186886718887E-3</v>
      </c>
      <c r="AB122" s="3938">
        <f t="shared" ca="1" si="249"/>
        <v>3.3691059051985661E-3</v>
      </c>
      <c r="AC122" s="3938">
        <f t="shared" ca="1" si="249"/>
        <v>5.0783793310480441E-3</v>
      </c>
      <c r="AD122" s="3938">
        <f t="shared" ca="1" si="249"/>
        <v>6.6569210990381489E-3</v>
      </c>
      <c r="AE122" s="3938">
        <f t="shared" ca="1" si="249"/>
        <v>8.1129222096141262E-3</v>
      </c>
      <c r="AF122" s="3938">
        <f t="shared" ca="1" si="249"/>
        <v>9.4546677549036673E-3</v>
      </c>
      <c r="AG122" s="3920"/>
      <c r="AH122" s="3921"/>
      <c r="AI122" s="3876"/>
      <c r="AJ122" s="3876"/>
      <c r="AK122" s="3876"/>
      <c r="AL122" s="3876"/>
      <c r="AM122" s="3876"/>
      <c r="AN122" s="3876"/>
      <c r="AO122" s="3876"/>
      <c r="AP122" s="3876"/>
      <c r="AQ122" s="3876"/>
      <c r="AR122" s="3876"/>
      <c r="AS122" s="3876"/>
      <c r="AT122" s="3876"/>
      <c r="AU122" s="3876"/>
      <c r="AV122" s="3876"/>
      <c r="AW122" s="3876"/>
      <c r="AX122" s="3876"/>
      <c r="AY122" s="3876"/>
      <c r="AZ122" s="3876"/>
      <c r="BA122" s="3876"/>
      <c r="BB122" s="3876"/>
      <c r="BC122" s="3940"/>
      <c r="BD122" s="3934"/>
      <c r="BE122" s="3934"/>
      <c r="BF122" s="3934"/>
      <c r="BG122" s="3940"/>
      <c r="BH122" s="3934"/>
      <c r="BI122" s="3934"/>
      <c r="BJ122" s="3934"/>
      <c r="BK122" s="3941"/>
      <c r="BL122" s="3942"/>
      <c r="BM122" s="3942"/>
      <c r="BN122" s="3942"/>
      <c r="BO122" s="3942"/>
      <c r="BP122" s="3942"/>
      <c r="BQ122" s="3942"/>
      <c r="BR122" s="3943"/>
      <c r="BS122" s="3942" t="e">
        <f>+BS121/BO121-1</f>
        <v>#DIV/0!</v>
      </c>
      <c r="BT122" s="3942" t="e">
        <f>+BT121/BP121-1</f>
        <v>#DIV/0!</v>
      </c>
      <c r="BU122" s="3942" t="e">
        <f>+BU121/BQ121-1</f>
        <v>#DIV/0!</v>
      </c>
      <c r="BV122" s="3943" t="e">
        <f>+BV121/BR121-1</f>
        <v>#DIV/0!</v>
      </c>
      <c r="BW122" s="3942"/>
      <c r="BX122" s="3942"/>
      <c r="BY122" s="3942"/>
      <c r="BZ122" s="3943"/>
      <c r="CA122" s="3942">
        <f t="shared" ref="CA122:CO122" si="250">+CA121/BW121-1</f>
        <v>1.1840279287098854E-2</v>
      </c>
      <c r="CB122" s="3942">
        <f t="shared" si="250"/>
        <v>1.5027191759647618E-2</v>
      </c>
      <c r="CC122" s="3942">
        <f t="shared" si="250"/>
        <v>1.2450467047063096E-2</v>
      </c>
      <c r="CD122" s="3943">
        <f t="shared" si="250"/>
        <v>-6.279675294838416E-3</v>
      </c>
      <c r="CE122" s="3942">
        <f t="shared" si="250"/>
        <v>-5.6566274269989059E-3</v>
      </c>
      <c r="CF122" s="3942">
        <f t="shared" si="250"/>
        <v>-1.3698630136986356E-2</v>
      </c>
      <c r="CG122" s="3942">
        <f t="shared" si="250"/>
        <v>9.9221492901846453E-3</v>
      </c>
      <c r="CH122" s="3943">
        <f t="shared" si="250"/>
        <v>6.3193588162762104E-3</v>
      </c>
      <c r="CI122" s="3942">
        <f t="shared" si="250"/>
        <v>-7.9950799507995107E-3</v>
      </c>
      <c r="CJ122" s="3942">
        <f t="shared" si="250"/>
        <v>-4.0123456790123191E-3</v>
      </c>
      <c r="CK122" s="3942">
        <f t="shared" si="250"/>
        <v>-3.0380894800483671E-2</v>
      </c>
      <c r="CL122" s="3943">
        <f t="shared" si="250"/>
        <v>-3.1857864910399769E-2</v>
      </c>
      <c r="CM122" s="3942">
        <f t="shared" si="250"/>
        <v>-3.0223186608803521E-2</v>
      </c>
      <c r="CN122" s="3942">
        <f t="shared" si="250"/>
        <v>-4.6947629377130484E-2</v>
      </c>
      <c r="CO122" s="3942">
        <f t="shared" si="250"/>
        <v>-5.019485580670302E-2</v>
      </c>
      <c r="CP122" s="3943">
        <f t="shared" ref="CP122" si="251">+CP121/CL121-1</f>
        <v>-3.9076095554500867E-2</v>
      </c>
      <c r="CQ122" s="3942">
        <f ca="1">+CQ121/CM121-1</f>
        <v>-4.8259185565224239E-2</v>
      </c>
      <c r="CR122" s="3942">
        <f ca="1">+CR121/CN121-1</f>
        <v>-3.6278876035407692E-2</v>
      </c>
      <c r="CS122" s="3942">
        <f ca="1">+CS121/CO121-1</f>
        <v>-2.6925176839836529E-2</v>
      </c>
      <c r="CT122" s="3944">
        <f ca="1">+CT121/CP121-1</f>
        <v>-2.2053501131056974E-2</v>
      </c>
    </row>
    <row r="123" spans="1:16384" outlineLevel="1">
      <c r="A123" s="2092" t="s">
        <v>1985</v>
      </c>
      <c r="B123" s="3925"/>
      <c r="C123" s="3925"/>
      <c r="D123" s="3925"/>
      <c r="E123" s="3925"/>
      <c r="F123" s="3925"/>
      <c r="G123" s="3925"/>
      <c r="H123" s="3925"/>
      <c r="I123" s="3925"/>
      <c r="J123" s="3925"/>
      <c r="K123" s="3925"/>
      <c r="L123" s="3925"/>
      <c r="M123" s="3925"/>
      <c r="N123" s="3925"/>
      <c r="O123" s="3925"/>
      <c r="P123" s="3925"/>
      <c r="Q123" s="3925"/>
      <c r="R123" s="3925"/>
      <c r="S123" s="3925"/>
      <c r="T123" s="3925"/>
      <c r="U123" s="3925"/>
      <c r="V123" s="3925"/>
      <c r="W123" s="3925"/>
      <c r="X123" s="3925"/>
      <c r="Y123" s="3925"/>
      <c r="Z123" s="3925"/>
      <c r="AA123" s="3925"/>
      <c r="AB123" s="3925"/>
      <c r="AC123" s="3925"/>
      <c r="AD123" s="3925"/>
      <c r="AE123" s="3925"/>
      <c r="AF123" s="3925"/>
      <c r="AG123" s="3926"/>
      <c r="AH123" s="3927"/>
      <c r="AI123" s="3925"/>
      <c r="AJ123" s="3925"/>
      <c r="AK123" s="3925"/>
      <c r="AL123" s="3925"/>
      <c r="AM123" s="3925"/>
      <c r="AN123" s="3925"/>
      <c r="AO123" s="3925"/>
      <c r="AP123" s="3925"/>
      <c r="AQ123" s="3925"/>
      <c r="AR123" s="3925"/>
      <c r="AS123" s="3925"/>
      <c r="AT123" s="3925"/>
      <c r="AU123" s="3925"/>
      <c r="AV123" s="3925"/>
      <c r="AW123" s="3925"/>
      <c r="AX123" s="3925"/>
      <c r="AY123" s="3925"/>
      <c r="AZ123" s="3925"/>
      <c r="BA123" s="3925"/>
      <c r="BB123" s="3925"/>
      <c r="BC123" s="3928"/>
      <c r="BD123" s="3929"/>
      <c r="BE123" s="3929"/>
      <c r="BF123" s="3929"/>
      <c r="BG123" s="3928"/>
      <c r="BH123" s="3929"/>
      <c r="BI123" s="3929"/>
      <c r="BJ123" s="3930"/>
      <c r="BK123" s="3925"/>
      <c r="BL123" s="3925"/>
      <c r="BM123" s="3925"/>
      <c r="BN123" s="3925"/>
      <c r="BO123" s="3931"/>
      <c r="BP123" s="3925"/>
      <c r="BQ123" s="3925"/>
      <c r="BR123" s="3932"/>
      <c r="BS123" s="3931"/>
      <c r="BT123" s="3925"/>
      <c r="BU123" s="3925"/>
      <c r="BV123" s="3925"/>
      <c r="BW123" s="3931"/>
      <c r="BX123" s="3925"/>
      <c r="BY123" s="3925"/>
      <c r="BZ123" s="3932"/>
      <c r="CA123" s="3931"/>
      <c r="CB123" s="3925"/>
      <c r="CC123" s="3925"/>
      <c r="CD123" s="3932"/>
      <c r="CE123" s="3925"/>
      <c r="CF123" s="3925"/>
      <c r="CG123" s="3925"/>
      <c r="CH123" s="3932"/>
      <c r="CI123" s="3925"/>
      <c r="CJ123" s="3925"/>
      <c r="CK123" s="3925"/>
      <c r="CL123" s="3932"/>
      <c r="CM123" s="3925"/>
      <c r="CN123" s="3925"/>
      <c r="CO123" s="3925"/>
      <c r="CP123" s="3932"/>
      <c r="CQ123" s="3925"/>
      <c r="CR123" s="3925"/>
      <c r="CS123" s="3925"/>
      <c r="CT123" s="3932"/>
    </row>
    <row r="124" spans="1:16384" outlineLevel="1">
      <c r="A124" s="3933"/>
      <c r="B124" s="3876"/>
      <c r="C124" s="3876"/>
      <c r="D124" s="3876"/>
      <c r="E124" s="3876"/>
      <c r="F124" s="3876"/>
      <c r="G124" s="3876"/>
      <c r="H124" s="3876"/>
      <c r="I124" s="3876"/>
      <c r="J124" s="3876"/>
      <c r="K124" s="3876"/>
      <c r="L124" s="3876"/>
      <c r="N124" s="3876"/>
      <c r="O124" s="3876"/>
      <c r="P124" s="3876"/>
      <c r="Q124" s="3876"/>
      <c r="R124" s="3876"/>
      <c r="S124" s="3876"/>
      <c r="T124" s="3876"/>
      <c r="U124" s="3876"/>
      <c r="V124" s="3876"/>
      <c r="W124" s="3876"/>
      <c r="X124" s="3876"/>
      <c r="Y124" s="3876"/>
      <c r="Z124" s="3876"/>
      <c r="AA124" s="3876"/>
      <c r="AB124" s="3876"/>
      <c r="AC124" s="3876"/>
      <c r="AD124" s="3876"/>
      <c r="AE124" s="3876"/>
      <c r="AF124" s="3876"/>
      <c r="AG124" s="3920"/>
      <c r="AH124" s="3921"/>
      <c r="AI124" s="3876"/>
      <c r="AJ124" s="3876"/>
      <c r="AK124" s="3876"/>
      <c r="AL124" s="3876"/>
      <c r="AM124" s="3876"/>
      <c r="AN124" s="3876"/>
      <c r="AO124" s="3876"/>
      <c r="AP124" s="3876"/>
      <c r="AQ124" s="3876"/>
      <c r="AR124" s="3876"/>
      <c r="AS124" s="3876"/>
      <c r="AT124" s="3876"/>
      <c r="AU124" s="3876"/>
      <c r="AV124" s="3876"/>
      <c r="AW124" s="3876"/>
      <c r="AX124" s="3876"/>
      <c r="AY124" s="3876"/>
      <c r="AZ124" s="3876"/>
      <c r="BA124" s="3876"/>
      <c r="BB124" s="3876"/>
      <c r="BC124" s="3934"/>
      <c r="BD124" s="3934"/>
      <c r="BE124" s="3934"/>
      <c r="BF124" s="3934"/>
      <c r="BG124" s="3934"/>
      <c r="BH124" s="3934"/>
      <c r="BI124" s="3934"/>
      <c r="BJ124" s="3934"/>
      <c r="BK124" s="3876"/>
      <c r="BL124" s="3876"/>
      <c r="BM124" s="3876"/>
      <c r="BN124" s="3876"/>
      <c r="BO124" s="3876"/>
      <c r="BP124" s="3876"/>
      <c r="BQ124" s="3876"/>
      <c r="BR124" s="3935"/>
      <c r="BS124" s="3876"/>
      <c r="BT124" s="3876"/>
      <c r="BU124" s="3876"/>
      <c r="BV124" s="3876"/>
      <c r="BW124" s="3933"/>
      <c r="BX124" s="3876"/>
      <c r="BY124" s="3876"/>
      <c r="BZ124" s="3935"/>
      <c r="CA124" s="3933"/>
      <c r="CB124" s="3876"/>
      <c r="CC124" s="3876"/>
      <c r="CD124" s="3935"/>
      <c r="CF124" s="3876"/>
      <c r="CH124" s="3935"/>
      <c r="CJ124" s="3876"/>
      <c r="CK124" s="3876"/>
      <c r="CL124" s="3935"/>
      <c r="CN124" s="3876"/>
      <c r="CO124" s="3876"/>
      <c r="CP124" s="3935"/>
      <c r="CT124" s="3935"/>
    </row>
    <row r="125" spans="1:16384" outlineLevel="1">
      <c r="A125" s="940" t="s">
        <v>1676</v>
      </c>
      <c r="B125" s="115"/>
      <c r="C125" s="115"/>
      <c r="D125" s="115"/>
      <c r="E125" s="115"/>
      <c r="F125" s="115"/>
      <c r="G125" s="115"/>
      <c r="H125" s="115"/>
      <c r="I125" s="115"/>
      <c r="J125" s="115"/>
      <c r="K125" s="115"/>
      <c r="L125" s="134"/>
      <c r="M125" s="2578"/>
      <c r="N125" s="2033"/>
      <c r="O125" s="134">
        <f>+SUM(BW125:BZ125)</f>
        <v>4796.0309999999999</v>
      </c>
      <c r="P125" s="2033">
        <f>SUM(CA125:CD125)</f>
        <v>5356</v>
      </c>
      <c r="Q125" s="2033">
        <f>SUM(CE125:CH125)</f>
        <v>5594</v>
      </c>
      <c r="R125" s="2033">
        <f>SUM(CI125:CL125)</f>
        <v>5685</v>
      </c>
      <c r="S125" s="2033">
        <f>SUM(CM125:CP125)</f>
        <v>5906</v>
      </c>
      <c r="T125" s="2033">
        <f ca="1">SUM(CQ125:CT125)</f>
        <v>6113.2980158255523</v>
      </c>
      <c r="U125" s="2033">
        <f ca="1">'LVLT Rev Build'!W21</f>
        <v>6336.8907504469253</v>
      </c>
      <c r="V125" s="2033">
        <f ca="1">'LVLT Rev Build'!X21</f>
        <v>6556.8102608369054</v>
      </c>
      <c r="W125" s="2033">
        <f ca="1">'LVLT Rev Build'!Y21</f>
        <v>6774.4751022475812</v>
      </c>
      <c r="X125" s="2033">
        <f ca="1">'LVLT Rev Build'!Z21</f>
        <v>6988.5325684104737</v>
      </c>
      <c r="Y125" s="2033">
        <f ca="1">'LVLT Rev Build'!AA21</f>
        <v>7189.2765928687513</v>
      </c>
      <c r="Z125" s="2033">
        <f ca="1">'LVLT Rev Build'!AB21</f>
        <v>7381.6070623379883</v>
      </c>
      <c r="AA125" s="2033">
        <f ca="1">'LVLT Rev Build'!AC21</f>
        <v>7571.8893864323254</v>
      </c>
      <c r="AB125" s="2033">
        <f ca="1">'LVLT Rev Build'!AD21</f>
        <v>7766.8093498289554</v>
      </c>
      <c r="AC125" s="2033">
        <f ca="1">+AB125*(1+AC126)</f>
        <v>7966.7470558511741</v>
      </c>
      <c r="AD125" s="2033">
        <f ca="1">+AC125*(1+AD126)</f>
        <v>8171.8316741367025</v>
      </c>
      <c r="AE125" s="2033">
        <f ca="1">+AD125*(1+AE126)</f>
        <v>8382.1956994829125</v>
      </c>
      <c r="AF125" s="2033">
        <f ca="1">+AE125*(1+AF126)</f>
        <v>8597.9750374450086</v>
      </c>
      <c r="AG125" s="2553"/>
      <c r="AH125" s="2714"/>
      <c r="AI125" s="115"/>
      <c r="AJ125" s="115"/>
      <c r="AK125" s="115"/>
      <c r="AL125" s="115"/>
      <c r="AM125" s="115"/>
      <c r="AN125" s="115"/>
      <c r="AO125" s="115"/>
      <c r="AP125" s="115"/>
      <c r="AQ125" s="115"/>
      <c r="AR125" s="115"/>
      <c r="AS125" s="115"/>
      <c r="AT125" s="115"/>
      <c r="AU125" s="115"/>
      <c r="AV125" s="115"/>
      <c r="AW125" s="115"/>
      <c r="AX125" s="115"/>
      <c r="AY125" s="115"/>
      <c r="AZ125" s="115"/>
      <c r="BA125" s="115"/>
      <c r="BB125" s="115"/>
      <c r="BC125" s="1985"/>
      <c r="BD125" s="2062"/>
      <c r="BE125" s="2062"/>
      <c r="BF125" s="2062"/>
      <c r="BG125" s="1985"/>
      <c r="BH125" s="2062"/>
      <c r="BI125" s="2062"/>
      <c r="BJ125" s="2062"/>
      <c r="BK125" s="1897"/>
      <c r="BL125" s="2033"/>
      <c r="BM125" s="2033"/>
      <c r="BN125" s="2033"/>
      <c r="BO125" s="2033">
        <f>'LVLT Rev Build'!BU21</f>
        <v>1048.5</v>
      </c>
      <c r="BP125" s="2033">
        <f>'LVLT Rev Build'!BV21</f>
        <v>1087.115</v>
      </c>
      <c r="BQ125" s="2033">
        <f>'LVLT Rev Build'!BW21</f>
        <v>1112.8499999999999</v>
      </c>
      <c r="BR125" s="2580">
        <f>'LVLT Rev Build'!BX21</f>
        <v>1124.7</v>
      </c>
      <c r="BS125" s="2033">
        <f>'LVLT Rev Build'!BY21</f>
        <v>1097.8879999999999</v>
      </c>
      <c r="BT125" s="2033">
        <f>'LVLT Rev Build'!BZ21</f>
        <v>1112.627</v>
      </c>
      <c r="BU125" s="2033">
        <f>'LVLT Rev Build'!CA21</f>
        <v>1126.9100000000001</v>
      </c>
      <c r="BV125" s="2580">
        <f>'LVLT Rev Build'!CB21</f>
        <v>1153.165</v>
      </c>
      <c r="BW125" s="2033">
        <f>'LVLT Rev Build'!CC21</f>
        <v>1155.8530000000001</v>
      </c>
      <c r="BX125" s="2033">
        <f>'LVLT Rev Build'!CD21</f>
        <v>1176.6469999999999</v>
      </c>
      <c r="BY125" s="2033">
        <f>'LVLT Rev Build'!CE21</f>
        <v>1203.5309999999999</v>
      </c>
      <c r="BZ125" s="2580">
        <f>'LVLT Rev Build'!CF21</f>
        <v>1260</v>
      </c>
      <c r="CA125" s="2033">
        <f>'LVLT Rev Build'!CG21</f>
        <v>1301</v>
      </c>
      <c r="CB125" s="2033">
        <f>'LVLT Rev Build'!CH21</f>
        <v>1333</v>
      </c>
      <c r="CC125" s="2033">
        <f>'LVLT Rev Build'!CI21</f>
        <v>1345</v>
      </c>
      <c r="CD125" s="2580">
        <f>'LVLT Rev Build'!CJ21</f>
        <v>1377</v>
      </c>
      <c r="CE125" s="2033">
        <f>'LVLT Rev Build'!CK21</f>
        <v>1380</v>
      </c>
      <c r="CF125" s="2033">
        <f>'LVLT Rev Build'!CL21</f>
        <v>1383</v>
      </c>
      <c r="CG125" s="2033">
        <f>'LVLT Rev Build'!CM21</f>
        <v>1417</v>
      </c>
      <c r="CH125" s="2580">
        <f>'LVLT Rev Build'!CN21</f>
        <v>1414</v>
      </c>
      <c r="CI125" s="2033">
        <f>'LVLT Rev Build'!CO21</f>
        <v>1409</v>
      </c>
      <c r="CJ125" s="2033">
        <f>'LVLT Rev Build'!CP21</f>
        <v>1415</v>
      </c>
      <c r="CK125" s="2033">
        <f>'LVLT Rev Build'!CQ21</f>
        <v>1422</v>
      </c>
      <c r="CL125" s="2580">
        <f>'LVLT Rev Build'!CR21</f>
        <v>1439</v>
      </c>
      <c r="CM125" s="2033">
        <f>'LVLT Rev Build'!CS21</f>
        <v>1452</v>
      </c>
      <c r="CN125" s="2033">
        <f>'LVLT Rev Build'!CT21</f>
        <v>1459</v>
      </c>
      <c r="CO125" s="2033">
        <f>'LVLT Rev Build'!CU21</f>
        <v>1467</v>
      </c>
      <c r="CP125" s="2580">
        <f>'LVLT Rev Build'!CV21</f>
        <v>1528</v>
      </c>
      <c r="CQ125" s="2033">
        <f ca="1">'LVLT Rev Build'!CW21</f>
        <v>1486.0996383058778</v>
      </c>
      <c r="CR125" s="2033">
        <f ca="1">'LVLT Rev Build'!CX21</f>
        <v>1500.215782202396</v>
      </c>
      <c r="CS125" s="2033">
        <f ca="1">'LVLT Rev Build'!CY21</f>
        <v>1526.9729909944108</v>
      </c>
      <c r="CT125" s="2580">
        <f ca="1">'LVLT Rev Build'!CZ21</f>
        <v>1600.009604322868</v>
      </c>
    </row>
    <row r="126" spans="1:16384" outlineLevel="1">
      <c r="A126" s="3937" t="s">
        <v>34</v>
      </c>
      <c r="B126" s="3876"/>
      <c r="C126" s="3876"/>
      <c r="D126" s="3876"/>
      <c r="E126" s="3876"/>
      <c r="F126" s="3876"/>
      <c r="G126" s="3876"/>
      <c r="H126" s="3876"/>
      <c r="I126" s="3876"/>
      <c r="J126" s="3876"/>
      <c r="K126" s="3876"/>
      <c r="L126" s="3876"/>
      <c r="M126" s="3938"/>
      <c r="N126" s="3939" t="s">
        <v>1089</v>
      </c>
      <c r="O126" s="3938" t="e">
        <f>+O125/N125-1</f>
        <v>#DIV/0!</v>
      </c>
      <c r="P126" s="3499">
        <v>4.159582908307824E-2</v>
      </c>
      <c r="Q126" s="3945" t="s">
        <v>441</v>
      </c>
      <c r="R126" s="3938">
        <f>+R125/Q125-1</f>
        <v>1.6267429388630683E-2</v>
      </c>
      <c r="S126" s="3669">
        <f>'LVLT Rev Build'!U22</f>
        <v>3.8874230430958612E-2</v>
      </c>
      <c r="T126" s="3669">
        <f ca="1">'LVLT Rev Build'!V22</f>
        <v>3.5099562449297794E-2</v>
      </c>
      <c r="U126" s="3938">
        <f t="shared" ref="U126:AB126" ca="1" si="252">+U125/T125-1</f>
        <v>3.6574813470986678E-2</v>
      </c>
      <c r="V126" s="3938">
        <f t="shared" ca="1" si="252"/>
        <v>3.4704639712223262E-2</v>
      </c>
      <c r="W126" s="3938">
        <f t="shared" ca="1" si="252"/>
        <v>3.3196757684260447E-2</v>
      </c>
      <c r="X126" s="3938">
        <f t="shared" ca="1" si="252"/>
        <v>3.1597646006828572E-2</v>
      </c>
      <c r="Y126" s="3938">
        <f t="shared" ca="1" si="252"/>
        <v>2.8724774835518385E-2</v>
      </c>
      <c r="Z126" s="3938">
        <f t="shared" ca="1" si="252"/>
        <v>2.6752409228490981E-2</v>
      </c>
      <c r="AA126" s="3938">
        <f t="shared" ca="1" si="252"/>
        <v>2.5777899377113167E-2</v>
      </c>
      <c r="AB126" s="3938">
        <f t="shared" ca="1" si="252"/>
        <v>2.5742579354882889E-2</v>
      </c>
      <c r="AC126" s="3629">
        <f ca="1">+AB126</f>
        <v>2.5742579354882889E-2</v>
      </c>
      <c r="AD126" s="3629">
        <f ca="1">+AC126</f>
        <v>2.5742579354882889E-2</v>
      </c>
      <c r="AE126" s="3629">
        <f ca="1">+AD126</f>
        <v>2.5742579354882889E-2</v>
      </c>
      <c r="AF126" s="3629">
        <f ca="1">+AE126</f>
        <v>2.5742579354882889E-2</v>
      </c>
      <c r="AG126" s="3920"/>
      <c r="AH126" s="3921"/>
      <c r="AI126" s="3876"/>
      <c r="AJ126" s="3876"/>
      <c r="AK126" s="3876"/>
      <c r="AL126" s="3876"/>
      <c r="AM126" s="3876"/>
      <c r="AN126" s="3876"/>
      <c r="AO126" s="3876"/>
      <c r="AP126" s="3876"/>
      <c r="AQ126" s="3876"/>
      <c r="AR126" s="3876"/>
      <c r="AS126" s="3876"/>
      <c r="AT126" s="3876"/>
      <c r="AU126" s="3876"/>
      <c r="AV126" s="3876"/>
      <c r="AW126" s="3876"/>
      <c r="AX126" s="3876"/>
      <c r="AY126" s="3876"/>
      <c r="AZ126" s="3876"/>
      <c r="BA126" s="3876"/>
      <c r="BB126" s="3876"/>
      <c r="BC126" s="3940"/>
      <c r="BD126" s="3934"/>
      <c r="BE126" s="3934"/>
      <c r="BF126" s="3934"/>
      <c r="BG126" s="3940"/>
      <c r="BH126" s="3934"/>
      <c r="BI126" s="3934"/>
      <c r="BJ126" s="3934"/>
      <c r="BK126" s="3941"/>
      <c r="BL126" s="3942"/>
      <c r="BM126" s="3942"/>
      <c r="BN126" s="3942"/>
      <c r="BO126" s="3942"/>
      <c r="BP126" s="3942"/>
      <c r="BQ126" s="3942"/>
      <c r="BR126" s="3943"/>
      <c r="BS126" s="3942">
        <f t="shared" ref="BS126:CO126" si="253">+BS125/BO125-1</f>
        <v>4.7103481163566885E-2</v>
      </c>
      <c r="BT126" s="3942">
        <f t="shared" si="253"/>
        <v>2.3467618421234127E-2</v>
      </c>
      <c r="BU126" s="3942">
        <f t="shared" si="253"/>
        <v>1.2634227434065837E-2</v>
      </c>
      <c r="BV126" s="3943">
        <f t="shared" si="253"/>
        <v>2.5308971281230441E-2</v>
      </c>
      <c r="BW126" s="3942">
        <f t="shared" si="253"/>
        <v>5.2796824448395618E-2</v>
      </c>
      <c r="BX126" s="3942">
        <f t="shared" si="253"/>
        <v>5.7539498861703064E-2</v>
      </c>
      <c r="BY126" s="3942">
        <f t="shared" si="253"/>
        <v>6.7992120045078819E-2</v>
      </c>
      <c r="BZ126" s="3943">
        <f t="shared" si="253"/>
        <v>9.2645024779628216E-2</v>
      </c>
      <c r="CA126" s="3942">
        <f t="shared" si="253"/>
        <v>0.12557565711210672</v>
      </c>
      <c r="CB126" s="3942">
        <f t="shared" si="253"/>
        <v>0.1328801246253124</v>
      </c>
      <c r="CC126" s="3942">
        <f t="shared" si="253"/>
        <v>0.11754495729648839</v>
      </c>
      <c r="CD126" s="3943">
        <f t="shared" si="253"/>
        <v>9.2857142857142749E-2</v>
      </c>
      <c r="CE126" s="3942">
        <f t="shared" si="253"/>
        <v>6.0722521137586583E-2</v>
      </c>
      <c r="CF126" s="3942">
        <f t="shared" si="253"/>
        <v>3.7509377344336015E-2</v>
      </c>
      <c r="CG126" s="3942">
        <f t="shared" si="253"/>
        <v>5.3531598513011147E-2</v>
      </c>
      <c r="CH126" s="3943">
        <f t="shared" si="253"/>
        <v>2.6870007262164153E-2</v>
      </c>
      <c r="CI126" s="3942">
        <f t="shared" si="253"/>
        <v>2.1014492753623104E-2</v>
      </c>
      <c r="CJ126" s="3942">
        <f t="shared" si="253"/>
        <v>2.3138105567606759E-2</v>
      </c>
      <c r="CK126" s="3942">
        <f t="shared" si="253"/>
        <v>3.5285815102328311E-3</v>
      </c>
      <c r="CL126" s="3943">
        <f t="shared" si="253"/>
        <v>1.7680339462517791E-2</v>
      </c>
      <c r="CM126" s="3942">
        <f t="shared" si="253"/>
        <v>3.0518097941802713E-2</v>
      </c>
      <c r="CN126" s="3942">
        <f t="shared" si="253"/>
        <v>3.1095406360424072E-2</v>
      </c>
      <c r="CO126" s="3942">
        <f t="shared" si="253"/>
        <v>3.1645569620253111E-2</v>
      </c>
      <c r="CP126" s="3943">
        <f t="shared" ref="CP126" si="254">+CP125/CL125-1</f>
        <v>6.1848505906879847E-2</v>
      </c>
      <c r="CQ126" s="3914">
        <f ca="1">+CQ125/CM125-1</f>
        <v>2.3484599384213434E-2</v>
      </c>
      <c r="CR126" s="3914">
        <f ca="1">+CR125/CN125-1</f>
        <v>2.8249336670593594E-2</v>
      </c>
      <c r="CS126" s="3914">
        <f ca="1">+CS125/CO125-1</f>
        <v>4.08813844542677E-2</v>
      </c>
      <c r="CT126" s="3944">
        <f ca="1">+CT125/CP125-1</f>
        <v>4.7126704399782726E-2</v>
      </c>
    </row>
    <row r="127" spans="1:16384" outlineLevel="1">
      <c r="A127" s="3937" t="s">
        <v>947</v>
      </c>
      <c r="B127" s="3876"/>
      <c r="C127" s="3876"/>
      <c r="D127" s="3876"/>
      <c r="E127" s="3876"/>
      <c r="F127" s="3876"/>
      <c r="G127" s="3876"/>
      <c r="H127" s="3876"/>
      <c r="I127" s="3876"/>
      <c r="J127" s="3876"/>
      <c r="K127" s="3876"/>
      <c r="L127" s="3876"/>
      <c r="N127" s="3876"/>
      <c r="O127" s="3876"/>
      <c r="P127" s="3876"/>
      <c r="Q127" s="3876"/>
      <c r="R127" s="3876"/>
      <c r="S127" s="3876"/>
      <c r="T127" s="3876"/>
      <c r="U127" s="3876"/>
      <c r="V127" s="3876"/>
      <c r="W127" s="3876"/>
      <c r="X127" s="3876"/>
      <c r="Y127" s="3876"/>
      <c r="Z127" s="3876"/>
      <c r="AA127" s="3876"/>
      <c r="AB127" s="3876"/>
      <c r="AC127" s="3876"/>
      <c r="AD127" s="3876"/>
      <c r="AE127" s="3876"/>
      <c r="AF127" s="3876"/>
      <c r="AG127" s="3920"/>
      <c r="AH127" s="3921"/>
      <c r="AI127" s="3876"/>
      <c r="AJ127" s="3876"/>
      <c r="AK127" s="3876"/>
      <c r="AL127" s="3876"/>
      <c r="AM127" s="3876"/>
      <c r="AN127" s="3876"/>
      <c r="AO127" s="3876"/>
      <c r="AP127" s="3876"/>
      <c r="AQ127" s="3876"/>
      <c r="AR127" s="3876"/>
      <c r="AS127" s="3876"/>
      <c r="AT127" s="3876"/>
      <c r="AU127" s="3876"/>
      <c r="AV127" s="3876"/>
      <c r="AW127" s="3876"/>
      <c r="AX127" s="3876"/>
      <c r="AY127" s="3876"/>
      <c r="AZ127" s="3876"/>
      <c r="BA127" s="3876"/>
      <c r="BB127" s="3876"/>
      <c r="BC127" s="3940"/>
      <c r="BD127" s="3934"/>
      <c r="BE127" s="3934"/>
      <c r="BF127" s="3934"/>
      <c r="BG127" s="3940"/>
      <c r="BH127" s="3934"/>
      <c r="BI127" s="3934"/>
      <c r="BJ127" s="3934"/>
      <c r="BK127" s="3941"/>
      <c r="BL127" s="3942"/>
      <c r="BM127" s="3942"/>
      <c r="BN127" s="3942"/>
      <c r="BO127" s="3942"/>
      <c r="BP127" s="3942"/>
      <c r="BQ127" s="3942"/>
      <c r="BR127" s="3943"/>
      <c r="BS127" s="3942">
        <f t="shared" ref="BS127:CO127" si="255">+BS125/BR125-1</f>
        <v>-2.3839246021161276E-2</v>
      </c>
      <c r="BT127" s="3942">
        <f t="shared" si="255"/>
        <v>1.3424866653064749E-2</v>
      </c>
      <c r="BU127" s="3942">
        <f t="shared" si="255"/>
        <v>1.2837186226830832E-2</v>
      </c>
      <c r="BV127" s="3943">
        <f t="shared" si="255"/>
        <v>2.329822257323122E-2</v>
      </c>
      <c r="BW127" s="3942">
        <f t="shared" si="255"/>
        <v>2.330976052863365E-3</v>
      </c>
      <c r="BX127" s="3942">
        <f t="shared" si="255"/>
        <v>1.7990176951567349E-2</v>
      </c>
      <c r="BY127" s="3942">
        <f t="shared" si="255"/>
        <v>2.2847973946306777E-2</v>
      </c>
      <c r="BZ127" s="3943">
        <f t="shared" si="255"/>
        <v>4.6919439549126807E-2</v>
      </c>
      <c r="CA127" s="3942">
        <f t="shared" si="255"/>
        <v>3.2539682539682646E-2</v>
      </c>
      <c r="CB127" s="3942">
        <f t="shared" si="255"/>
        <v>2.4596464258262785E-2</v>
      </c>
      <c r="CC127" s="3942">
        <f t="shared" si="255"/>
        <v>9.0022505626405902E-3</v>
      </c>
      <c r="CD127" s="3943">
        <f t="shared" si="255"/>
        <v>2.3791821561338189E-2</v>
      </c>
      <c r="CE127" s="3942">
        <f t="shared" si="255"/>
        <v>2.1786492374726851E-3</v>
      </c>
      <c r="CF127" s="3942">
        <f t="shared" si="255"/>
        <v>2.1739130434783593E-3</v>
      </c>
      <c r="CG127" s="3942">
        <f t="shared" si="255"/>
        <v>2.4584237165582001E-2</v>
      </c>
      <c r="CH127" s="3943">
        <f t="shared" si="255"/>
        <v>-2.1171489061396764E-3</v>
      </c>
      <c r="CI127" s="3942">
        <f t="shared" si="255"/>
        <v>-3.5360678925034916E-3</v>
      </c>
      <c r="CJ127" s="3942">
        <f t="shared" si="255"/>
        <v>4.2583392476933657E-3</v>
      </c>
      <c r="CK127" s="3942">
        <f t="shared" si="255"/>
        <v>4.9469964664310417E-3</v>
      </c>
      <c r="CL127" s="3943">
        <f t="shared" si="255"/>
        <v>1.1954992967651235E-2</v>
      </c>
      <c r="CM127" s="3942">
        <f t="shared" si="255"/>
        <v>9.0340514246003423E-3</v>
      </c>
      <c r="CN127" s="3942">
        <f t="shared" si="255"/>
        <v>4.8209366391185338E-3</v>
      </c>
      <c r="CO127" s="3942">
        <f t="shared" si="255"/>
        <v>5.4832076764907978E-3</v>
      </c>
      <c r="CP127" s="3943">
        <f t="shared" ref="CP127" si="256">+CP125/CO125-1</f>
        <v>4.1581458759372802E-2</v>
      </c>
      <c r="CQ127" s="3914" t="s">
        <v>441</v>
      </c>
      <c r="CR127" s="3914">
        <f ca="1">+CR125/CQ125-1</f>
        <v>9.49878698080453E-3</v>
      </c>
      <c r="CS127" s="3914">
        <f ca="1">+CS125/CR125-1</f>
        <v>1.7835573461794763E-2</v>
      </c>
      <c r="CT127" s="3944">
        <f ca="1">+CT125/CS125-1</f>
        <v>4.7830979171997967E-2</v>
      </c>
    </row>
    <row r="128" spans="1:16384" outlineLevel="1">
      <c r="A128" s="940" t="s">
        <v>279</v>
      </c>
      <c r="B128" s="115"/>
      <c r="C128" s="115"/>
      <c r="D128" s="115"/>
      <c r="E128" s="115"/>
      <c r="F128" s="115"/>
      <c r="G128" s="115"/>
      <c r="H128" s="115"/>
      <c r="I128" s="115"/>
      <c r="J128" s="115"/>
      <c r="K128" s="115"/>
      <c r="L128" s="134"/>
      <c r="M128" s="2304">
        <f>+SUM(BO128:BR128)</f>
        <v>2384.7259999999997</v>
      </c>
      <c r="N128" s="134">
        <f>+SUM(BS128:BV128)</f>
        <v>2415.665</v>
      </c>
      <c r="O128" s="134">
        <f>+SUM(BW128:BZ128)</f>
        <v>2323.6010000000001</v>
      </c>
      <c r="P128" s="2033">
        <f>SUM(CA128:CD128)</f>
        <v>2196</v>
      </c>
      <c r="Q128" s="2033">
        <f>SUM(CE128:CH128)</f>
        <v>2163</v>
      </c>
      <c r="R128" s="2033">
        <f>SUM(CI128:CL128)</f>
        <v>2077</v>
      </c>
      <c r="S128" s="2033">
        <f>SUM(CM128:CP128)</f>
        <v>1985</v>
      </c>
      <c r="T128" s="2033">
        <f ca="1">SUM(CQ128:CT128)</f>
        <v>1903.8884919105503</v>
      </c>
      <c r="U128" s="2033">
        <f ca="1">'LVLT Rev Build'!W18</f>
        <v>1825.6505637874516</v>
      </c>
      <c r="V128" s="2033">
        <f ca="1">'LVLT Rev Build'!X18</f>
        <v>1753.4748014627987</v>
      </c>
      <c r="W128" s="2033">
        <f ca="1">'LVLT Rev Build'!Y18</f>
        <v>1686.9369010548712</v>
      </c>
      <c r="X128" s="2033">
        <f ca="1">'LVLT Rev Build'!Z18</f>
        <v>1625.6608175920021</v>
      </c>
      <c r="Y128" s="2033">
        <f ca="1">'LVLT Rev Build'!AA18</f>
        <v>1568.4833468513223</v>
      </c>
      <c r="Z128" s="2033">
        <f ca="1">'LVLT Rev Build'!AB18</f>
        <v>1515.1281550037088</v>
      </c>
      <c r="AA128" s="2033">
        <f ca="1">'LVLT Rev Build'!AC18</f>
        <v>1465.34171515815</v>
      </c>
      <c r="AB128" s="2033">
        <f ca="1">'LVLT Rev Build'!AD18</f>
        <v>1418.8913657523649</v>
      </c>
      <c r="AC128" s="3628">
        <f ca="1">+AB128-AA128+AB128</f>
        <v>1372.4410163465798</v>
      </c>
      <c r="AD128" s="3628">
        <f ca="1">+AC128-AB128+AC128</f>
        <v>1325.9906669407947</v>
      </c>
      <c r="AE128" s="3628">
        <f ca="1">+AD128-AC128+AD128</f>
        <v>1279.5403175350095</v>
      </c>
      <c r="AF128" s="3628">
        <f ca="1">+AE128-AD128+AE128</f>
        <v>1233.0899681292244</v>
      </c>
      <c r="AG128" s="2553"/>
      <c r="AH128" s="2714"/>
      <c r="AI128" s="115"/>
      <c r="AJ128" s="115"/>
      <c r="AK128" s="115"/>
      <c r="AL128" s="115"/>
      <c r="AM128" s="115"/>
      <c r="AN128" s="115"/>
      <c r="AO128" s="115"/>
      <c r="AP128" s="115"/>
      <c r="AQ128" s="115"/>
      <c r="AR128" s="115"/>
      <c r="AS128" s="115"/>
      <c r="AT128" s="115"/>
      <c r="AU128" s="115"/>
      <c r="AV128" s="115"/>
      <c r="AW128" s="115"/>
      <c r="AX128" s="115"/>
      <c r="AY128" s="115"/>
      <c r="AZ128" s="115"/>
      <c r="BA128" s="115"/>
      <c r="BB128" s="115"/>
      <c r="BC128" s="1985"/>
      <c r="BD128" s="2062"/>
      <c r="BE128" s="2062"/>
      <c r="BF128" s="2062"/>
      <c r="BG128" s="1985"/>
      <c r="BH128" s="2062"/>
      <c r="BI128" s="2062"/>
      <c r="BJ128" s="2062"/>
      <c r="BK128" s="1897"/>
      <c r="BL128" s="2033"/>
      <c r="BM128" s="2033"/>
      <c r="BN128" s="2033"/>
      <c r="BO128" s="2033">
        <f>'LVLT Rev Build'!BU18</f>
        <v>585.29199999999992</v>
      </c>
      <c r="BP128" s="2033">
        <f>'LVLT Rev Build'!BV18</f>
        <v>605.52099999999996</v>
      </c>
      <c r="BQ128" s="2033">
        <f>'LVLT Rev Build'!BW18</f>
        <v>605.85599999999999</v>
      </c>
      <c r="BR128" s="2580">
        <f>'LVLT Rev Build'!BX18</f>
        <v>588.05700000000002</v>
      </c>
      <c r="BS128" s="2033">
        <f>'LVLT Rev Build'!BY18</f>
        <v>604.28700000000003</v>
      </c>
      <c r="BT128" s="2033">
        <f>'LVLT Rev Build'!BZ18</f>
        <v>602.12599999999998</v>
      </c>
      <c r="BU128" s="2033">
        <f>'LVLT Rev Build'!CA18</f>
        <v>600.274</v>
      </c>
      <c r="BV128" s="2580">
        <f>'LVLT Rev Build'!CB18</f>
        <v>608.97800000000007</v>
      </c>
      <c r="BW128" s="2033">
        <f>'LVLT Rev Build'!CC18</f>
        <v>590.60599999999999</v>
      </c>
      <c r="BX128" s="2033">
        <f>'LVLT Rev Build'!CD18</f>
        <v>585.08600000000001</v>
      </c>
      <c r="BY128" s="2033">
        <f>'LVLT Rev Build'!CE18</f>
        <v>579.90899999999999</v>
      </c>
      <c r="BZ128" s="2580">
        <f>'LVLT Rev Build'!CF18</f>
        <v>568</v>
      </c>
      <c r="CA128" s="2033">
        <f>'LVLT Rev Build'!CG18</f>
        <v>553</v>
      </c>
      <c r="CB128" s="2033">
        <f>'LVLT Rev Build'!CH18</f>
        <v>553</v>
      </c>
      <c r="CC128" s="2033">
        <f>'LVLT Rev Build'!CI18</f>
        <v>549</v>
      </c>
      <c r="CD128" s="2580">
        <f>'LVLT Rev Build'!CJ18</f>
        <v>541</v>
      </c>
      <c r="CE128" s="2033">
        <f>'LVLT Rev Build'!CK18</f>
        <v>547</v>
      </c>
      <c r="CF128" s="2033">
        <f>'LVLT Rev Build'!CL18</f>
        <v>558</v>
      </c>
      <c r="CG128" s="2033">
        <f>'LVLT Rev Build'!CM18</f>
        <v>529</v>
      </c>
      <c r="CH128" s="2580">
        <f>'LVLT Rev Build'!CN18</f>
        <v>529</v>
      </c>
      <c r="CI128" s="2033">
        <f>'LVLT Rev Build'!CO18</f>
        <v>536</v>
      </c>
      <c r="CJ128" s="2033">
        <f>'LVLT Rev Build'!CP18</f>
        <v>540</v>
      </c>
      <c r="CK128" s="2033">
        <f>'LVLT Rev Build'!CQ18</f>
        <v>507</v>
      </c>
      <c r="CL128" s="2580">
        <f>'LVLT Rev Build'!CR18</f>
        <v>494</v>
      </c>
      <c r="CM128" s="2033">
        <f>'LVLT Rev Build'!CS18</f>
        <v>494</v>
      </c>
      <c r="CN128" s="2033">
        <f>'LVLT Rev Build'!CT18</f>
        <v>506</v>
      </c>
      <c r="CO128" s="2033">
        <f>'LVLT Rev Build'!CU18</f>
        <v>496</v>
      </c>
      <c r="CP128" s="2580">
        <f>'LVLT Rev Build'!CV18</f>
        <v>489</v>
      </c>
      <c r="CQ128" s="2033">
        <f ca="1">'LVLT Rev Build'!CW18</f>
        <v>480.15930427918119</v>
      </c>
      <c r="CR128" s="2033">
        <f ca="1">'LVLT Rev Build'!CX18</f>
        <v>478.29651797047836</v>
      </c>
      <c r="CS128" s="2033">
        <f ca="1">'LVLT Rev Build'!CY18</f>
        <v>474.97857318713255</v>
      </c>
      <c r="CT128" s="2580">
        <f ca="1">'LVLT Rev Build'!CZ18</f>
        <v>470.45409647375811</v>
      </c>
    </row>
    <row r="129" spans="1:98" outlineLevel="1">
      <c r="A129" s="3937" t="s">
        <v>34</v>
      </c>
      <c r="B129" s="3876"/>
      <c r="C129" s="3876"/>
      <c r="D129" s="3876"/>
      <c r="E129" s="3876"/>
      <c r="F129" s="3876"/>
      <c r="G129" s="3876"/>
      <c r="H129" s="3876"/>
      <c r="I129" s="3876"/>
      <c r="J129" s="3876"/>
      <c r="K129" s="3876"/>
      <c r="L129" s="3876"/>
      <c r="M129" s="3938"/>
      <c r="N129" s="3939" t="s">
        <v>1089</v>
      </c>
      <c r="O129" s="3938">
        <f>+O128/N128-1</f>
        <v>-3.8111244729712057E-2</v>
      </c>
      <c r="P129" s="3945" t="s">
        <v>441</v>
      </c>
      <c r="Q129" s="3945" t="s">
        <v>441</v>
      </c>
      <c r="R129" s="3938">
        <f>+R128/Q128-1</f>
        <v>-3.9759593157651429E-2</v>
      </c>
      <c r="S129" s="3669">
        <f>'LVLT Rev Build'!U19</f>
        <v>-4.4294655753490564E-2</v>
      </c>
      <c r="T129" s="3669">
        <f ca="1">'LVLT Rev Build'!V19</f>
        <v>-4.0862220699974805E-2</v>
      </c>
      <c r="U129" s="3938">
        <f t="shared" ref="U129:AF129" ca="1" si="257">+U128/T128-1</f>
        <v>-4.1093755467047854E-2</v>
      </c>
      <c r="V129" s="3938">
        <f t="shared" ca="1" si="257"/>
        <v>-3.9534270005602168E-2</v>
      </c>
      <c r="W129" s="3938">
        <f t="shared" ca="1" si="257"/>
        <v>-3.7946311148822742E-2</v>
      </c>
      <c r="X129" s="3938">
        <f t="shared" ca="1" si="257"/>
        <v>-3.6323874013635016E-2</v>
      </c>
      <c r="Y129" s="3938">
        <f t="shared" ca="1" si="257"/>
        <v>-3.5171832969052907E-2</v>
      </c>
      <c r="Z129" s="3938">
        <f t="shared" ca="1" si="257"/>
        <v>-3.4017059827075813E-2</v>
      </c>
      <c r="AA129" s="3938">
        <f t="shared" ca="1" si="257"/>
        <v>-3.2859556916778998E-2</v>
      </c>
      <c r="AB129" s="3938">
        <f t="shared" ca="1" si="257"/>
        <v>-3.1699329190783221E-2</v>
      </c>
      <c r="AC129" s="3938">
        <f t="shared" ca="1" si="257"/>
        <v>-3.2737072426369251E-2</v>
      </c>
      <c r="AD129" s="3938">
        <f t="shared" ca="1" si="257"/>
        <v>-3.3845060627403334E-2</v>
      </c>
      <c r="AE129" s="3938">
        <f t="shared" ca="1" si="257"/>
        <v>-3.5030675979757175E-2</v>
      </c>
      <c r="AF129" s="3938">
        <f t="shared" ca="1" si="257"/>
        <v>-3.630237263275149E-2</v>
      </c>
      <c r="AG129" s="3920"/>
      <c r="AH129" s="3921"/>
      <c r="AI129" s="3876"/>
      <c r="AJ129" s="3876"/>
      <c r="AK129" s="3876"/>
      <c r="AL129" s="3876"/>
      <c r="AM129" s="3876"/>
      <c r="AN129" s="3876"/>
      <c r="AO129" s="3876"/>
      <c r="AP129" s="3876"/>
      <c r="AQ129" s="3876"/>
      <c r="AR129" s="3876"/>
      <c r="AS129" s="3876"/>
      <c r="AT129" s="3876"/>
      <c r="AU129" s="3876"/>
      <c r="AV129" s="3876"/>
      <c r="AW129" s="3876"/>
      <c r="AX129" s="3876"/>
      <c r="AY129" s="3876"/>
      <c r="AZ129" s="3876"/>
      <c r="BA129" s="3876"/>
      <c r="BB129" s="3876"/>
      <c r="BC129" s="3940"/>
      <c r="BD129" s="3934"/>
      <c r="BE129" s="3934"/>
      <c r="BF129" s="3934"/>
      <c r="BG129" s="3940"/>
      <c r="BH129" s="3934"/>
      <c r="BI129" s="3934"/>
      <c r="BJ129" s="3934"/>
      <c r="BK129" s="3941"/>
      <c r="BL129" s="3942"/>
      <c r="BM129" s="3942"/>
      <c r="BN129" s="3942"/>
      <c r="BO129" s="3942"/>
      <c r="BP129" s="3942"/>
      <c r="BQ129" s="3942"/>
      <c r="BR129" s="3943"/>
      <c r="BS129" s="3942">
        <f t="shared" ref="BS129:CO129" si="258">+BS128/BO128-1</f>
        <v>3.2453886265317422E-2</v>
      </c>
      <c r="BT129" s="3942">
        <f t="shared" si="258"/>
        <v>-5.6067419627064963E-3</v>
      </c>
      <c r="BU129" s="3942">
        <f t="shared" si="258"/>
        <v>-9.2134104473670098E-3</v>
      </c>
      <c r="BV129" s="3943">
        <f t="shared" si="258"/>
        <v>3.5576483232067746E-2</v>
      </c>
      <c r="BW129" s="3942">
        <f t="shared" si="258"/>
        <v>-2.263990454866649E-2</v>
      </c>
      <c r="BX129" s="3942">
        <f t="shared" si="258"/>
        <v>-2.8299724642350532E-2</v>
      </c>
      <c r="BY129" s="3942">
        <f t="shared" si="258"/>
        <v>-3.3926173714003971E-2</v>
      </c>
      <c r="BZ129" s="3943">
        <f t="shared" si="258"/>
        <v>-6.7289787151588509E-2</v>
      </c>
      <c r="CA129" s="3942">
        <f t="shared" si="258"/>
        <v>-6.3673582726894051E-2</v>
      </c>
      <c r="CB129" s="3942">
        <f t="shared" si="258"/>
        <v>-5.4839801328351756E-2</v>
      </c>
      <c r="CC129" s="3942">
        <f t="shared" si="258"/>
        <v>-5.3299741856049798E-2</v>
      </c>
      <c r="CD129" s="3943">
        <f t="shared" si="258"/>
        <v>-4.7535211267605626E-2</v>
      </c>
      <c r="CE129" s="3942">
        <f t="shared" si="258"/>
        <v>-1.0849909584086825E-2</v>
      </c>
      <c r="CF129" s="3942">
        <f t="shared" si="258"/>
        <v>9.0415913200723175E-3</v>
      </c>
      <c r="CG129" s="3942">
        <f t="shared" si="258"/>
        <v>-3.6429872495446269E-2</v>
      </c>
      <c r="CH129" s="3943">
        <f t="shared" si="258"/>
        <v>-2.2181146025877951E-2</v>
      </c>
      <c r="CI129" s="3942">
        <f t="shared" si="258"/>
        <v>-2.0109689213894E-2</v>
      </c>
      <c r="CJ129" s="3942">
        <f t="shared" si="258"/>
        <v>-3.2258064516129004E-2</v>
      </c>
      <c r="CK129" s="3942">
        <f t="shared" si="258"/>
        <v>-4.1587901701323204E-2</v>
      </c>
      <c r="CL129" s="3943">
        <f t="shared" si="258"/>
        <v>-6.6162570888468775E-2</v>
      </c>
      <c r="CM129" s="3942">
        <f t="shared" si="258"/>
        <v>-7.8358208955223829E-2</v>
      </c>
      <c r="CN129" s="3942">
        <f t="shared" si="258"/>
        <v>-6.2962962962962998E-2</v>
      </c>
      <c r="CO129" s="3942">
        <f t="shared" si="258"/>
        <v>-2.1696252465483234E-2</v>
      </c>
      <c r="CP129" s="3943">
        <f t="shared" ref="CP129" si="259">+CP128/CL128-1</f>
        <v>-1.0121457489878583E-2</v>
      </c>
      <c r="CQ129" s="3914">
        <f ca="1">+CQ128/CM128-1</f>
        <v>-2.801760267372233E-2</v>
      </c>
      <c r="CR129" s="3914">
        <f ca="1">+CR128/CN128-1</f>
        <v>-5.4749964485220626E-2</v>
      </c>
      <c r="CS129" s="3914">
        <f ca="1">+CS128/CO128-1</f>
        <v>-4.2381908896910181E-2</v>
      </c>
      <c r="CT129" s="3944">
        <f ca="1">+CT128/CP128-1</f>
        <v>-3.7926183080249309E-2</v>
      </c>
    </row>
    <row r="130" spans="1:98" outlineLevel="1">
      <c r="A130" s="3937" t="s">
        <v>947</v>
      </c>
      <c r="B130" s="3876"/>
      <c r="C130" s="3876"/>
      <c r="D130" s="3876"/>
      <c r="E130" s="3876"/>
      <c r="F130" s="3876"/>
      <c r="G130" s="3876"/>
      <c r="H130" s="3876"/>
      <c r="I130" s="3876"/>
      <c r="J130" s="3876"/>
      <c r="K130" s="3876"/>
      <c r="L130" s="3876"/>
      <c r="N130" s="3876"/>
      <c r="O130" s="3876"/>
      <c r="P130" s="3876"/>
      <c r="Q130" s="3876"/>
      <c r="R130" s="3876"/>
      <c r="S130" s="3876"/>
      <c r="T130" s="3876"/>
      <c r="U130" s="3876"/>
      <c r="V130" s="3876"/>
      <c r="W130" s="3876"/>
      <c r="X130" s="3876"/>
      <c r="Y130" s="3876"/>
      <c r="Z130" s="3876"/>
      <c r="AA130" s="3876"/>
      <c r="AB130" s="3876"/>
      <c r="AC130" s="3876"/>
      <c r="AD130" s="3876"/>
      <c r="AE130" s="3876"/>
      <c r="AF130" s="3876"/>
      <c r="AG130" s="3920"/>
      <c r="AH130" s="3921"/>
      <c r="AI130" s="3876"/>
      <c r="AJ130" s="3876"/>
      <c r="AK130" s="3876"/>
      <c r="AL130" s="3876"/>
      <c r="AM130" s="3876"/>
      <c r="AN130" s="3876"/>
      <c r="AO130" s="3876"/>
      <c r="AP130" s="3876"/>
      <c r="AQ130" s="3876"/>
      <c r="AR130" s="3876"/>
      <c r="AS130" s="3876"/>
      <c r="AT130" s="3876"/>
      <c r="AU130" s="3876"/>
      <c r="AV130" s="3876"/>
      <c r="AW130" s="3876"/>
      <c r="AX130" s="3876"/>
      <c r="AY130" s="3876"/>
      <c r="AZ130" s="3876"/>
      <c r="BA130" s="3876"/>
      <c r="BB130" s="3876"/>
      <c r="BC130" s="3940"/>
      <c r="BD130" s="3934"/>
      <c r="BE130" s="3934"/>
      <c r="BF130" s="3934"/>
      <c r="BG130" s="3940"/>
      <c r="BH130" s="3934"/>
      <c r="BI130" s="3934"/>
      <c r="BJ130" s="3934"/>
      <c r="BK130" s="3941"/>
      <c r="BL130" s="3942"/>
      <c r="BM130" s="3942"/>
      <c r="BN130" s="3942"/>
      <c r="BO130" s="3942"/>
      <c r="BP130" s="3942"/>
      <c r="BQ130" s="3942"/>
      <c r="BR130" s="3943"/>
      <c r="BS130" s="3942">
        <f t="shared" ref="BS130:CO130" si="260">+BS128/BR128-1</f>
        <v>2.7599365367642958E-2</v>
      </c>
      <c r="BT130" s="3942">
        <f t="shared" si="260"/>
        <v>-3.5761153226862019E-3</v>
      </c>
      <c r="BU130" s="3942">
        <f t="shared" si="260"/>
        <v>-3.075768194696793E-3</v>
      </c>
      <c r="BV130" s="3943">
        <f t="shared" si="260"/>
        <v>1.4500044979459448E-2</v>
      </c>
      <c r="BW130" s="3942">
        <f t="shared" si="260"/>
        <v>-3.0168577518399742E-2</v>
      </c>
      <c r="BX130" s="3942">
        <f t="shared" si="260"/>
        <v>-9.346332411116709E-3</v>
      </c>
      <c r="BY130" s="3942">
        <f t="shared" si="260"/>
        <v>-8.8482718779803182E-3</v>
      </c>
      <c r="BZ130" s="3943">
        <f t="shared" si="260"/>
        <v>-2.0535980645239205E-2</v>
      </c>
      <c r="CA130" s="3942">
        <f t="shared" si="260"/>
        <v>-2.6408450704225372E-2</v>
      </c>
      <c r="CB130" s="3942">
        <f t="shared" si="260"/>
        <v>0</v>
      </c>
      <c r="CC130" s="3942">
        <f t="shared" si="260"/>
        <v>-7.2332730560579206E-3</v>
      </c>
      <c r="CD130" s="3943">
        <f t="shared" si="260"/>
        <v>-1.4571948998178486E-2</v>
      </c>
      <c r="CE130" s="3942">
        <f t="shared" si="260"/>
        <v>1.109057301293892E-2</v>
      </c>
      <c r="CF130" s="3942">
        <f t="shared" si="260"/>
        <v>2.0109689213893889E-2</v>
      </c>
      <c r="CG130" s="3942">
        <f t="shared" si="260"/>
        <v>-5.1971326164874543E-2</v>
      </c>
      <c r="CH130" s="3943">
        <f t="shared" si="260"/>
        <v>0</v>
      </c>
      <c r="CI130" s="3942">
        <f t="shared" si="260"/>
        <v>1.3232514177693666E-2</v>
      </c>
      <c r="CJ130" s="3942">
        <f t="shared" si="260"/>
        <v>7.4626865671640896E-3</v>
      </c>
      <c r="CK130" s="3942">
        <f t="shared" si="260"/>
        <v>-6.1111111111111116E-2</v>
      </c>
      <c r="CL130" s="3943">
        <f t="shared" si="260"/>
        <v>-2.5641025641025661E-2</v>
      </c>
      <c r="CM130" s="3942">
        <f t="shared" si="260"/>
        <v>0</v>
      </c>
      <c r="CN130" s="3942">
        <f t="shared" si="260"/>
        <v>2.4291497975708509E-2</v>
      </c>
      <c r="CO130" s="3942">
        <f t="shared" si="260"/>
        <v>-1.9762845849802368E-2</v>
      </c>
      <c r="CP130" s="3943">
        <f t="shared" ref="CP130" si="261">+CP128/CO128-1</f>
        <v>-1.4112903225806495E-2</v>
      </c>
      <c r="CQ130" s="3914" t="s">
        <v>441</v>
      </c>
      <c r="CR130" s="3914">
        <f ca="1">+CR128/CQ128-1</f>
        <v>-3.8795172604210171E-3</v>
      </c>
      <c r="CS130" s="3914">
        <f ca="1">+CS128/CR128-1</f>
        <v>-6.9370038431904035E-3</v>
      </c>
      <c r="CT130" s="3944">
        <f ca="1">+CT128/CS128-1</f>
        <v>-9.5256438264466059E-3</v>
      </c>
    </row>
    <row r="131" spans="1:98" outlineLevel="1">
      <c r="A131" s="940" t="s">
        <v>1986</v>
      </c>
      <c r="B131" s="115"/>
      <c r="C131" s="115"/>
      <c r="D131" s="115"/>
      <c r="E131" s="115"/>
      <c r="F131" s="115"/>
      <c r="G131" s="115"/>
      <c r="H131" s="115"/>
      <c r="I131" s="115"/>
      <c r="J131" s="115"/>
      <c r="K131" s="115"/>
      <c r="L131" s="134"/>
      <c r="M131" s="134">
        <f>+SUM(BO131:BR131)</f>
        <v>900</v>
      </c>
      <c r="N131" s="134">
        <f>+SUM(BS131:BV131)</f>
        <v>913</v>
      </c>
      <c r="O131" s="134">
        <f>+SUM(BW131:BZ131)</f>
        <v>722</v>
      </c>
      <c r="P131" s="2033">
        <f>SUM(CA131:CD131)</f>
        <v>571</v>
      </c>
      <c r="Q131" s="2033">
        <f>SUM(CE131:CH131)</f>
        <v>472</v>
      </c>
      <c r="R131" s="2033">
        <f>SUM(CI131:CL131)</f>
        <v>410</v>
      </c>
      <c r="S131" s="2033">
        <f>SUM(CM131:CP131)</f>
        <v>387</v>
      </c>
      <c r="T131" s="2033">
        <f ca="1">SUM(CQ131:CT131)</f>
        <v>352.05</v>
      </c>
      <c r="U131" s="2231">
        <f ca="1">'LVLT Rev Build'!W28</f>
        <v>322.01658720930237</v>
      </c>
      <c r="V131" s="2231">
        <f ca="1">'LVLT Rev Build'!X28</f>
        <v>296.15541012799719</v>
      </c>
      <c r="W131" s="2231">
        <f ca="1">'LVLT Rev Build'!Y28</f>
        <v>273.851923233474</v>
      </c>
      <c r="X131" s="2231">
        <f ca="1">'LVLT Rev Build'!Z28</f>
        <v>254.59737328209721</v>
      </c>
      <c r="Y131" s="2231">
        <f ca="1">'LVLT Rev Build'!AA28</f>
        <v>237.96959909681297</v>
      </c>
      <c r="Z131" s="2231">
        <f ca="1">'LVLT Rev Build'!AB28</f>
        <v>223.61763412802844</v>
      </c>
      <c r="AA131" s="2231">
        <f ca="1">'LVLT Rev Build'!AC28</f>
        <v>211.24932544970687</v>
      </c>
      <c r="AB131" s="2231">
        <f ca="1">'LVLT Rev Build'!AD28</f>
        <v>200.62135551041544</v>
      </c>
      <c r="AC131" s="3628">
        <f ca="1">+AB131-AA131+AB131</f>
        <v>189.99338557112401</v>
      </c>
      <c r="AD131" s="3628">
        <f ca="1">+AC131-AB131+AC131</f>
        <v>179.36541563183258</v>
      </c>
      <c r="AE131" s="3628">
        <f ca="1">+AD131-AC131+AD131</f>
        <v>168.73744569254114</v>
      </c>
      <c r="AF131" s="3628">
        <f ca="1">+AE131-AD131+AE131</f>
        <v>158.10947575324971</v>
      </c>
      <c r="AG131" s="2553"/>
      <c r="AH131" s="2714"/>
      <c r="AI131" s="115"/>
      <c r="AJ131" s="115"/>
      <c r="AK131" s="115"/>
      <c r="AL131" s="115"/>
      <c r="AM131" s="115"/>
      <c r="AN131" s="115"/>
      <c r="AO131" s="115"/>
      <c r="AP131" s="115"/>
      <c r="AQ131" s="115"/>
      <c r="AR131" s="115"/>
      <c r="AS131" s="115"/>
      <c r="AT131" s="115"/>
      <c r="AU131" s="115"/>
      <c r="AV131" s="115"/>
      <c r="AW131" s="115"/>
      <c r="AX131" s="115"/>
      <c r="AY131" s="115"/>
      <c r="AZ131" s="115"/>
      <c r="BA131" s="115"/>
      <c r="BB131" s="115"/>
      <c r="BC131" s="1985"/>
      <c r="BD131" s="2062"/>
      <c r="BE131" s="2062"/>
      <c r="BF131" s="2062"/>
      <c r="BG131" s="1985"/>
      <c r="BH131" s="2062"/>
      <c r="BI131" s="2062"/>
      <c r="BJ131" s="2062"/>
      <c r="BK131" s="1897"/>
      <c r="BL131" s="2033"/>
      <c r="BM131" s="2033"/>
      <c r="BN131" s="2033"/>
      <c r="BO131" s="2231">
        <f>'LVLT Rev Build'!BU28</f>
        <v>240</v>
      </c>
      <c r="BP131" s="2231">
        <f>'LVLT Rev Build'!BV28</f>
        <v>224</v>
      </c>
      <c r="BQ131" s="2231">
        <f>'LVLT Rev Build'!BW28</f>
        <v>225</v>
      </c>
      <c r="BR131" s="2580">
        <f>'LVLT Rev Build'!BX28</f>
        <v>211</v>
      </c>
      <c r="BS131" s="2231">
        <f>'LVLT Rev Build'!BY28</f>
        <v>236</v>
      </c>
      <c r="BT131" s="2231">
        <f>'LVLT Rev Build'!BZ28</f>
        <v>229</v>
      </c>
      <c r="BU131" s="2231">
        <f>'LVLT Rev Build'!CA28</f>
        <v>225</v>
      </c>
      <c r="BV131" s="2580">
        <f>'LVLT Rev Build'!CB28</f>
        <v>223</v>
      </c>
      <c r="BW131" s="2231">
        <f>'LVLT Rev Build'!CC28</f>
        <v>205</v>
      </c>
      <c r="BX131" s="2231">
        <f>'LVLT Rev Build'!CD28</f>
        <v>186</v>
      </c>
      <c r="BY131" s="2231">
        <f>'LVLT Rev Build'!CE28</f>
        <v>172</v>
      </c>
      <c r="BZ131" s="2580">
        <f>'LVLT Rev Build'!CF28</f>
        <v>159</v>
      </c>
      <c r="CA131" s="2231">
        <f>'LVLT Rev Build'!CG28</f>
        <v>149</v>
      </c>
      <c r="CB131" s="2231">
        <f>'LVLT Rev Build'!CH28</f>
        <v>144</v>
      </c>
      <c r="CC131" s="2231">
        <f>'LVLT Rev Build'!CI28</f>
        <v>144</v>
      </c>
      <c r="CD131" s="2580">
        <f>'LVLT Rev Build'!CJ28</f>
        <v>134</v>
      </c>
      <c r="CE131" s="2231">
        <f>'LVLT Rev Build'!CK28</f>
        <v>126</v>
      </c>
      <c r="CF131" s="2231">
        <f>'LVLT Rev Build'!CL28</f>
        <v>120</v>
      </c>
      <c r="CG131" s="2231">
        <f>'LVLT Rev Build'!CM28</f>
        <v>116</v>
      </c>
      <c r="CH131" s="2580">
        <f>'LVLT Rev Build'!CN28</f>
        <v>110</v>
      </c>
      <c r="CI131" s="2231">
        <f>'LVLT Rev Build'!CO28</f>
        <v>106</v>
      </c>
      <c r="CJ131" s="2231">
        <f>'LVLT Rev Build'!CP28</f>
        <v>101</v>
      </c>
      <c r="CK131" s="2231">
        <f>'LVLT Rev Build'!CQ28</f>
        <v>104</v>
      </c>
      <c r="CL131" s="2580">
        <f>'LVLT Rev Build'!CR28</f>
        <v>99</v>
      </c>
      <c r="CM131" s="2231">
        <f>'LVLT Rev Build'!CS28</f>
        <v>102</v>
      </c>
      <c r="CN131" s="2231">
        <f>'LVLT Rev Build'!CT28</f>
        <v>96</v>
      </c>
      <c r="CO131" s="2231">
        <f>'LVLT Rev Build'!CU28</f>
        <v>96</v>
      </c>
      <c r="CP131" s="2580">
        <f>'LVLT Rev Build'!CV28</f>
        <v>93</v>
      </c>
      <c r="CQ131" s="2231">
        <f ca="1">'LVLT Rev Build'!CW28</f>
        <v>90.78</v>
      </c>
      <c r="CR131" s="2231">
        <f ca="1">'LVLT Rev Build'!CX28</f>
        <v>89.28</v>
      </c>
      <c r="CS131" s="2231">
        <f ca="1">'LVLT Rev Build'!CY28</f>
        <v>87.36</v>
      </c>
      <c r="CT131" s="2232">
        <f ca="1">'LVLT Rev Build'!CZ28</f>
        <v>84.63000000000001</v>
      </c>
    </row>
    <row r="132" spans="1:98" outlineLevel="1">
      <c r="A132" s="3937" t="s">
        <v>34</v>
      </c>
      <c r="B132" s="3876"/>
      <c r="C132" s="3876"/>
      <c r="D132" s="3876"/>
      <c r="E132" s="3876"/>
      <c r="F132" s="3876"/>
      <c r="G132" s="3876"/>
      <c r="H132" s="3876"/>
      <c r="I132" s="3876"/>
      <c r="J132" s="3876"/>
      <c r="K132" s="3876"/>
      <c r="L132" s="3876"/>
      <c r="M132" s="3938"/>
      <c r="N132" s="3938">
        <f>+N131/M131-1</f>
        <v>1.4444444444444482E-2</v>
      </c>
      <c r="O132" s="3938">
        <f>+O131/N131-1</f>
        <v>-0.20920043811610078</v>
      </c>
      <c r="P132" s="3938">
        <f>+P131/O131-1</f>
        <v>-0.20914127423822715</v>
      </c>
      <c r="Q132" s="3938">
        <f>+Q131/P131-1</f>
        <v>-0.17338003502626975</v>
      </c>
      <c r="R132" s="3938">
        <f>+R131/Q131-1</f>
        <v>-0.13135593220338981</v>
      </c>
      <c r="S132" s="3669">
        <f>'LVLT Rev Build'!U82</f>
        <v>-5.6097560975609806E-2</v>
      </c>
      <c r="T132" s="3669">
        <f ca="1">'LVLT Rev Build'!V82</f>
        <v>-9.0310077519379806E-2</v>
      </c>
      <c r="U132" s="3938">
        <f t="shared" ref="U132:AF132" ca="1" si="262">+U131/T131-1</f>
        <v>-8.531007751937969E-2</v>
      </c>
      <c r="V132" s="3938">
        <f t="shared" ca="1" si="262"/>
        <v>-8.0310077519379797E-2</v>
      </c>
      <c r="W132" s="3938">
        <f t="shared" ca="1" si="262"/>
        <v>-7.5310077519379792E-2</v>
      </c>
      <c r="X132" s="3938">
        <f t="shared" ca="1" si="262"/>
        <v>-7.0310077519379788E-2</v>
      </c>
      <c r="Y132" s="3938">
        <f t="shared" ca="1" si="262"/>
        <v>-6.5310077519379783E-2</v>
      </c>
      <c r="Z132" s="3938">
        <f t="shared" ca="1" si="262"/>
        <v>-6.0310077519379779E-2</v>
      </c>
      <c r="AA132" s="3938">
        <f t="shared" ca="1" si="262"/>
        <v>-5.5310077519379774E-2</v>
      </c>
      <c r="AB132" s="3938">
        <f t="shared" ca="1" si="262"/>
        <v>-5.031007751937977E-2</v>
      </c>
      <c r="AC132" s="3938">
        <f t="shared" ca="1" si="262"/>
        <v>-5.2975267325116149E-2</v>
      </c>
      <c r="AD132" s="3938">
        <f t="shared" ca="1" si="262"/>
        <v>-5.5938631270470496E-2</v>
      </c>
      <c r="AE132" s="3938">
        <f t="shared" ca="1" si="262"/>
        <v>-5.925317264676333E-2</v>
      </c>
      <c r="AF132" s="3938">
        <f t="shared" ca="1" si="262"/>
        <v>-6.2985248447204767E-2</v>
      </c>
      <c r="AG132" s="3920"/>
      <c r="AH132" s="3921"/>
      <c r="AI132" s="3876"/>
      <c r="AJ132" s="3876"/>
      <c r="AK132" s="3876"/>
      <c r="AL132" s="3876"/>
      <c r="AM132" s="3876"/>
      <c r="AN132" s="3876"/>
      <c r="AO132" s="3876"/>
      <c r="AP132" s="3876"/>
      <c r="AQ132" s="3876"/>
      <c r="AR132" s="3876"/>
      <c r="AS132" s="3876"/>
      <c r="AT132" s="3876"/>
      <c r="AU132" s="3876"/>
      <c r="AV132" s="3876"/>
      <c r="AW132" s="3876"/>
      <c r="AX132" s="3876"/>
      <c r="AY132" s="3876"/>
      <c r="AZ132" s="3876"/>
      <c r="BA132" s="3876"/>
      <c r="BB132" s="3876"/>
      <c r="BC132" s="3940"/>
      <c r="BD132" s="3934"/>
      <c r="BE132" s="3934"/>
      <c r="BF132" s="3934"/>
      <c r="BG132" s="3940"/>
      <c r="BH132" s="3934"/>
      <c r="BI132" s="3934"/>
      <c r="BJ132" s="3934"/>
      <c r="BK132" s="3933"/>
      <c r="BL132" s="3942"/>
      <c r="BM132" s="3942"/>
      <c r="BN132" s="3942"/>
      <c r="BO132" s="3942"/>
      <c r="BP132" s="3942"/>
      <c r="BQ132" s="3942"/>
      <c r="BR132" s="3943"/>
      <c r="BS132" s="3942">
        <f t="shared" ref="BS132:CO132" si="263">+BS131/BO131-1</f>
        <v>-1.6666666666666718E-2</v>
      </c>
      <c r="BT132" s="3942">
        <f t="shared" si="263"/>
        <v>2.2321428571428603E-2</v>
      </c>
      <c r="BU132" s="3942">
        <f t="shared" si="263"/>
        <v>0</v>
      </c>
      <c r="BV132" s="3943">
        <f t="shared" si="263"/>
        <v>5.6872037914691864E-2</v>
      </c>
      <c r="BW132" s="3942">
        <f t="shared" si="263"/>
        <v>-0.13135593220338981</v>
      </c>
      <c r="BX132" s="3942">
        <f t="shared" si="263"/>
        <v>-0.18777292576419213</v>
      </c>
      <c r="BY132" s="3942">
        <f t="shared" si="263"/>
        <v>-0.23555555555555552</v>
      </c>
      <c r="BZ132" s="3943">
        <f t="shared" si="263"/>
        <v>-0.28699551569506732</v>
      </c>
      <c r="CA132" s="3942">
        <f t="shared" si="263"/>
        <v>-0.27317073170731709</v>
      </c>
      <c r="CB132" s="3942">
        <f t="shared" si="263"/>
        <v>-0.22580645161290325</v>
      </c>
      <c r="CC132" s="3942">
        <f t="shared" si="263"/>
        <v>-0.16279069767441856</v>
      </c>
      <c r="CD132" s="3943">
        <f t="shared" si="263"/>
        <v>-0.15723270440251569</v>
      </c>
      <c r="CE132" s="3942">
        <f t="shared" si="263"/>
        <v>-0.15436241610738255</v>
      </c>
      <c r="CF132" s="3942">
        <f t="shared" si="263"/>
        <v>-0.16666666666666663</v>
      </c>
      <c r="CG132" s="3942">
        <f t="shared" si="263"/>
        <v>-0.19444444444444442</v>
      </c>
      <c r="CH132" s="3943">
        <f t="shared" si="263"/>
        <v>-0.17910447761194026</v>
      </c>
      <c r="CI132" s="3942">
        <f t="shared" si="263"/>
        <v>-0.15873015873015872</v>
      </c>
      <c r="CJ132" s="3942">
        <f t="shared" si="263"/>
        <v>-0.15833333333333333</v>
      </c>
      <c r="CK132" s="3942">
        <f t="shared" si="263"/>
        <v>-0.10344827586206895</v>
      </c>
      <c r="CL132" s="3943">
        <f t="shared" si="263"/>
        <v>-9.9999999999999978E-2</v>
      </c>
      <c r="CM132" s="3942">
        <f t="shared" si="263"/>
        <v>-3.7735849056603765E-2</v>
      </c>
      <c r="CN132" s="3942">
        <f t="shared" si="263"/>
        <v>-4.9504950495049549E-2</v>
      </c>
      <c r="CO132" s="3942">
        <f t="shared" si="263"/>
        <v>-7.6923076923076872E-2</v>
      </c>
      <c r="CP132" s="3943">
        <f t="shared" ref="CP132" si="264">+CP131/CL131-1</f>
        <v>-6.0606060606060552E-2</v>
      </c>
      <c r="CQ132" s="3914">
        <f ca="1">+CQ131/CM131-1</f>
        <v>-0.10999999999999999</v>
      </c>
      <c r="CR132" s="3914">
        <f ca="1">+CR131/CN131-1</f>
        <v>-6.9999999999999951E-2</v>
      </c>
      <c r="CS132" s="3914">
        <f ca="1">+CS131/CO131-1</f>
        <v>-8.9999999999999969E-2</v>
      </c>
      <c r="CT132" s="3944">
        <f ca="1">+CT131/CP131-1</f>
        <v>-8.9999999999999858E-2</v>
      </c>
    </row>
    <row r="133" spans="1:98" outlineLevel="1">
      <c r="A133" s="3937" t="s">
        <v>947</v>
      </c>
      <c r="B133" s="3876"/>
      <c r="C133" s="3876"/>
      <c r="D133" s="3876"/>
      <c r="E133" s="3876"/>
      <c r="F133" s="3876"/>
      <c r="G133" s="3876"/>
      <c r="H133" s="3876"/>
      <c r="I133" s="3876"/>
      <c r="J133" s="3876"/>
      <c r="K133" s="3876"/>
      <c r="L133" s="3876"/>
      <c r="N133" s="3876"/>
      <c r="O133" s="3876"/>
      <c r="P133" s="3876"/>
      <c r="Q133" s="3876"/>
      <c r="R133" s="3876"/>
      <c r="S133" s="3876"/>
      <c r="T133" s="3876"/>
      <c r="U133" s="3876"/>
      <c r="V133" s="3876"/>
      <c r="W133" s="3876"/>
      <c r="X133" s="3876"/>
      <c r="Y133" s="3876"/>
      <c r="Z133" s="3876"/>
      <c r="AA133" s="3876"/>
      <c r="AB133" s="3876"/>
      <c r="AC133" s="3876"/>
      <c r="AD133" s="3876"/>
      <c r="AE133" s="3876"/>
      <c r="AF133" s="3876"/>
      <c r="AG133" s="3920"/>
      <c r="AH133" s="3921"/>
      <c r="AI133" s="3876"/>
      <c r="AJ133" s="3876"/>
      <c r="AK133" s="3876"/>
      <c r="AL133" s="3876"/>
      <c r="AM133" s="3876"/>
      <c r="AN133" s="3876"/>
      <c r="AO133" s="3876"/>
      <c r="AP133" s="3876"/>
      <c r="AQ133" s="3876"/>
      <c r="AR133" s="3876"/>
      <c r="AS133" s="3876"/>
      <c r="AT133" s="3876"/>
      <c r="AU133" s="3876"/>
      <c r="AV133" s="3876"/>
      <c r="AW133" s="3876"/>
      <c r="AX133" s="3876"/>
      <c r="AY133" s="3876"/>
      <c r="AZ133" s="3876"/>
      <c r="BA133" s="3876"/>
      <c r="BB133" s="3876"/>
      <c r="BC133" s="3940"/>
      <c r="BD133" s="3934"/>
      <c r="BE133" s="3934"/>
      <c r="BF133" s="3934"/>
      <c r="BG133" s="3940"/>
      <c r="BH133" s="3934"/>
      <c r="BI133" s="3934"/>
      <c r="BJ133" s="3934"/>
      <c r="BK133" s="3933"/>
      <c r="BL133" s="3942"/>
      <c r="BM133" s="3942"/>
      <c r="BN133" s="3942"/>
      <c r="BO133" s="3942"/>
      <c r="BP133" s="3942"/>
      <c r="BQ133" s="3942"/>
      <c r="BR133" s="3943"/>
      <c r="BS133" s="3942">
        <f t="shared" ref="BS133:CO133" si="265">+BS131/BR131-1</f>
        <v>0.11848341232227488</v>
      </c>
      <c r="BT133" s="3942">
        <f t="shared" si="265"/>
        <v>-2.9661016949152574E-2</v>
      </c>
      <c r="BU133" s="3942">
        <f t="shared" si="265"/>
        <v>-1.7467248908296984E-2</v>
      </c>
      <c r="BV133" s="3943">
        <f t="shared" si="265"/>
        <v>-8.8888888888888351E-3</v>
      </c>
      <c r="BW133" s="3942">
        <f t="shared" si="265"/>
        <v>-8.0717488789237679E-2</v>
      </c>
      <c r="BX133" s="3942">
        <f t="shared" si="265"/>
        <v>-9.2682926829268264E-2</v>
      </c>
      <c r="BY133" s="3942">
        <f t="shared" si="265"/>
        <v>-7.5268817204301119E-2</v>
      </c>
      <c r="BZ133" s="3943">
        <f t="shared" si="265"/>
        <v>-7.5581395348837233E-2</v>
      </c>
      <c r="CA133" s="3942">
        <f t="shared" si="265"/>
        <v>-6.2893081761006275E-2</v>
      </c>
      <c r="CB133" s="3942">
        <f t="shared" si="265"/>
        <v>-3.3557046979865723E-2</v>
      </c>
      <c r="CC133" s="3942">
        <f t="shared" si="265"/>
        <v>0</v>
      </c>
      <c r="CD133" s="3943">
        <f t="shared" si="265"/>
        <v>-6.944444444444442E-2</v>
      </c>
      <c r="CE133" s="3942">
        <f t="shared" si="265"/>
        <v>-5.9701492537313383E-2</v>
      </c>
      <c r="CF133" s="3942">
        <f t="shared" si="265"/>
        <v>-4.7619047619047672E-2</v>
      </c>
      <c r="CG133" s="3942">
        <f t="shared" si="265"/>
        <v>-3.3333333333333326E-2</v>
      </c>
      <c r="CH133" s="3943">
        <f t="shared" si="265"/>
        <v>-5.1724137931034475E-2</v>
      </c>
      <c r="CI133" s="3942">
        <f t="shared" si="265"/>
        <v>-3.6363636363636376E-2</v>
      </c>
      <c r="CJ133" s="3942">
        <f t="shared" si="265"/>
        <v>-4.7169811320754707E-2</v>
      </c>
      <c r="CK133" s="3942">
        <f t="shared" si="265"/>
        <v>2.9702970297029729E-2</v>
      </c>
      <c r="CL133" s="3943">
        <f t="shared" si="265"/>
        <v>-4.8076923076923128E-2</v>
      </c>
      <c r="CM133" s="3942">
        <f t="shared" si="265"/>
        <v>3.0303030303030276E-2</v>
      </c>
      <c r="CN133" s="3942">
        <f t="shared" si="265"/>
        <v>-5.8823529411764719E-2</v>
      </c>
      <c r="CO133" s="3942">
        <f t="shared" si="265"/>
        <v>0</v>
      </c>
      <c r="CP133" s="3943">
        <f t="shared" ref="CP133" si="266">+CP131/CO131-1</f>
        <v>-3.125E-2</v>
      </c>
      <c r="CQ133" s="3914" t="s">
        <v>441</v>
      </c>
      <c r="CR133" s="3914">
        <f ca="1">+CR131/CQ131-1</f>
        <v>-1.6523463317911435E-2</v>
      </c>
      <c r="CS133" s="3914">
        <f ca="1">+CS131/CR131-1</f>
        <v>-2.1505376344086002E-2</v>
      </c>
      <c r="CT133" s="3944">
        <f ca="1">+CT131/CS131-1</f>
        <v>-3.1249999999999889E-2</v>
      </c>
    </row>
    <row r="134" spans="1:98" outlineLevel="1">
      <c r="A134" s="940" t="s">
        <v>1987</v>
      </c>
      <c r="B134" s="115"/>
      <c r="C134" s="115"/>
      <c r="D134" s="115"/>
      <c r="E134" s="115"/>
      <c r="F134" s="115"/>
      <c r="G134" s="115"/>
      <c r="H134" s="115"/>
      <c r="I134" s="115"/>
      <c r="J134" s="115"/>
      <c r="K134" s="115"/>
      <c r="L134" s="134"/>
      <c r="M134" s="134">
        <f>+SUM(BO134:BR134)</f>
        <v>7657.8909999999996</v>
      </c>
      <c r="N134" s="134">
        <f>+SUM(BS134:BV134)</f>
        <v>7819.2550000000001</v>
      </c>
      <c r="O134" s="134">
        <f>+SUM(BW134:BZ134)</f>
        <v>7841.6319999999996</v>
      </c>
      <c r="P134" s="2033">
        <f>SUM(CA134:CD134)</f>
        <v>8123</v>
      </c>
      <c r="Q134" s="2033">
        <f>+Q125+Q128+Q131</f>
        <v>8229</v>
      </c>
      <c r="R134" s="2033">
        <f>+R125+R128+R131</f>
        <v>8172</v>
      </c>
      <c r="S134" s="2033">
        <f>+S125+S128+S131</f>
        <v>8278</v>
      </c>
      <c r="T134" s="2033">
        <f ca="1">SUM(CQ134:CT134)</f>
        <v>8369.2365077361028</v>
      </c>
      <c r="U134" s="134">
        <f t="shared" ref="U134:AF134" ca="1" si="267">+U125+U128+U131</f>
        <v>8484.5579014436789</v>
      </c>
      <c r="V134" s="134">
        <f t="shared" ca="1" si="267"/>
        <v>8606.4404724277028</v>
      </c>
      <c r="W134" s="134">
        <f t="shared" ca="1" si="267"/>
        <v>8735.2639265359267</v>
      </c>
      <c r="X134" s="134">
        <f t="shared" ca="1" si="267"/>
        <v>8868.7907592845731</v>
      </c>
      <c r="Y134" s="134">
        <f t="shared" ca="1" si="267"/>
        <v>8995.7295388168859</v>
      </c>
      <c r="Z134" s="134">
        <f t="shared" ca="1" si="267"/>
        <v>9120.3528514697246</v>
      </c>
      <c r="AA134" s="134">
        <f t="shared" ca="1" si="267"/>
        <v>9248.4804270401837</v>
      </c>
      <c r="AB134" s="134">
        <f t="shared" ca="1" si="267"/>
        <v>9386.3220710917358</v>
      </c>
      <c r="AC134" s="134">
        <f t="shared" ca="1" si="267"/>
        <v>9529.1814577688783</v>
      </c>
      <c r="AD134" s="134">
        <f t="shared" ca="1" si="267"/>
        <v>9677.1877567093306</v>
      </c>
      <c r="AE134" s="134">
        <f t="shared" ca="1" si="267"/>
        <v>9830.4734627104626</v>
      </c>
      <c r="AF134" s="134">
        <f t="shared" ca="1" si="267"/>
        <v>9989.1744813274836</v>
      </c>
      <c r="AG134" s="2553"/>
      <c r="AH134" s="2714"/>
      <c r="AI134" s="115"/>
      <c r="AJ134" s="115"/>
      <c r="AK134" s="115"/>
      <c r="AL134" s="115"/>
      <c r="AM134" s="115"/>
      <c r="AN134" s="115"/>
      <c r="AO134" s="115"/>
      <c r="AP134" s="115"/>
      <c r="AQ134" s="115"/>
      <c r="AR134" s="115"/>
      <c r="AS134" s="115"/>
      <c r="AT134" s="115"/>
      <c r="AU134" s="115"/>
      <c r="AV134" s="115"/>
      <c r="AW134" s="115"/>
      <c r="AX134" s="115"/>
      <c r="AY134" s="115"/>
      <c r="AZ134" s="115"/>
      <c r="BA134" s="115"/>
      <c r="BB134" s="115"/>
      <c r="BC134" s="1985"/>
      <c r="BD134" s="2062"/>
      <c r="BE134" s="2062"/>
      <c r="BF134" s="2062"/>
      <c r="BG134" s="1985"/>
      <c r="BH134" s="2062"/>
      <c r="BI134" s="2062"/>
      <c r="BJ134" s="2062"/>
      <c r="BK134" s="1891"/>
      <c r="BL134" s="2034"/>
      <c r="BM134" s="2034"/>
      <c r="BN134" s="2034"/>
      <c r="BO134" s="2231">
        <f t="shared" ref="BO134:BZ134" si="268">+BO131+BO128+BO125</f>
        <v>1873.7919999999999</v>
      </c>
      <c r="BP134" s="2231">
        <f t="shared" si="268"/>
        <v>1916.636</v>
      </c>
      <c r="BQ134" s="2231">
        <f t="shared" si="268"/>
        <v>1943.7059999999999</v>
      </c>
      <c r="BR134" s="2580">
        <f t="shared" si="268"/>
        <v>1923.7570000000001</v>
      </c>
      <c r="BS134" s="2231">
        <f t="shared" si="268"/>
        <v>1938.175</v>
      </c>
      <c r="BT134" s="2231">
        <f t="shared" si="268"/>
        <v>1943.7529999999999</v>
      </c>
      <c r="BU134" s="2231">
        <f t="shared" si="268"/>
        <v>1952.1840000000002</v>
      </c>
      <c r="BV134" s="2580">
        <f t="shared" si="268"/>
        <v>1985.143</v>
      </c>
      <c r="BW134" s="2231">
        <f t="shared" si="268"/>
        <v>1951.4590000000001</v>
      </c>
      <c r="BX134" s="2231">
        <f t="shared" si="268"/>
        <v>1947.7329999999999</v>
      </c>
      <c r="BY134" s="2231">
        <f t="shared" si="268"/>
        <v>1955.44</v>
      </c>
      <c r="BZ134" s="2580">
        <f t="shared" si="268"/>
        <v>1987</v>
      </c>
      <c r="CA134" s="2231">
        <f t="shared" ref="CA134:CT134" si="269">+CA131+CA128+CA125</f>
        <v>2003</v>
      </c>
      <c r="CB134" s="2231">
        <f t="shared" si="269"/>
        <v>2030</v>
      </c>
      <c r="CC134" s="2231">
        <f t="shared" si="269"/>
        <v>2038</v>
      </c>
      <c r="CD134" s="2580">
        <f t="shared" si="269"/>
        <v>2052</v>
      </c>
      <c r="CE134" s="2231">
        <f t="shared" si="269"/>
        <v>2053</v>
      </c>
      <c r="CF134" s="2231">
        <f t="shared" si="269"/>
        <v>2061</v>
      </c>
      <c r="CG134" s="2231">
        <f t="shared" si="269"/>
        <v>2062</v>
      </c>
      <c r="CH134" s="2580">
        <f t="shared" si="269"/>
        <v>2053</v>
      </c>
      <c r="CI134" s="2231">
        <f t="shared" si="269"/>
        <v>2051</v>
      </c>
      <c r="CJ134" s="2231">
        <f t="shared" si="269"/>
        <v>2056</v>
      </c>
      <c r="CK134" s="2231">
        <f t="shared" si="269"/>
        <v>2033</v>
      </c>
      <c r="CL134" s="2580">
        <f t="shared" si="269"/>
        <v>2032</v>
      </c>
      <c r="CM134" s="134">
        <f t="shared" si="269"/>
        <v>2048</v>
      </c>
      <c r="CN134" s="2231">
        <f t="shared" si="269"/>
        <v>2061</v>
      </c>
      <c r="CO134" s="2231">
        <f t="shared" si="269"/>
        <v>2059</v>
      </c>
      <c r="CP134" s="2580">
        <f t="shared" ref="CP134" si="270">+CP131+CP128+CP125</f>
        <v>2110</v>
      </c>
      <c r="CQ134" s="134">
        <f t="shared" ca="1" si="269"/>
        <v>2057.038942585059</v>
      </c>
      <c r="CR134" s="134">
        <f t="shared" ca="1" si="269"/>
        <v>2067.7923001728741</v>
      </c>
      <c r="CS134" s="134">
        <f t="shared" ca="1" si="269"/>
        <v>2089.3115641815434</v>
      </c>
      <c r="CT134" s="131">
        <f t="shared" ca="1" si="269"/>
        <v>2155.0937007966259</v>
      </c>
    </row>
    <row r="135" spans="1:98" outlineLevel="1">
      <c r="A135" s="3937" t="s">
        <v>34</v>
      </c>
      <c r="B135" s="3876"/>
      <c r="C135" s="3876"/>
      <c r="D135" s="3876"/>
      <c r="E135" s="3876"/>
      <c r="F135" s="3876"/>
      <c r="G135" s="3876"/>
      <c r="H135" s="3876"/>
      <c r="I135" s="3876"/>
      <c r="J135" s="3876"/>
      <c r="K135" s="3876"/>
      <c r="L135" s="3876"/>
      <c r="M135" s="3938"/>
      <c r="N135" s="3938">
        <f>+N134/M134-1</f>
        <v>2.1071597911226592E-2</v>
      </c>
      <c r="O135" s="3938">
        <f>+O134/N134-1</f>
        <v>2.8617815891667231E-3</v>
      </c>
      <c r="P135" s="3938">
        <f>+P134/O134-1</f>
        <v>3.5881306340312946E-2</v>
      </c>
      <c r="Q135" s="3938">
        <f>+Q134/P134-1</f>
        <v>1.3049365997784168E-2</v>
      </c>
      <c r="R135" s="3938">
        <f>+R134/Q134-1</f>
        <v>-6.926722566533039E-3</v>
      </c>
      <c r="S135" s="3669">
        <f>'LVLT Rev Build'!U30</f>
        <v>1.2971120900636235E-2</v>
      </c>
      <c r="T135" s="3669">
        <f ca="1">'LVLT Rev Build'!V30</f>
        <v>1.1021564114049642E-2</v>
      </c>
      <c r="U135" s="3938">
        <f t="shared" ref="U135:AF135" ca="1" si="271">+U134/T134-1</f>
        <v>1.377920119726328E-2</v>
      </c>
      <c r="V135" s="3938">
        <f t="shared" ca="1" si="271"/>
        <v>1.4365223550809381E-2</v>
      </c>
      <c r="W135" s="3938">
        <f t="shared" ca="1" si="271"/>
        <v>1.4968261794284565E-2</v>
      </c>
      <c r="X135" s="3938">
        <f t="shared" ca="1" si="271"/>
        <v>1.5285952876938236E-2</v>
      </c>
      <c r="Y135" s="3938">
        <f t="shared" ca="1" si="271"/>
        <v>1.4312974900148934E-2</v>
      </c>
      <c r="Z135" s="3938">
        <f t="shared" ca="1" si="271"/>
        <v>1.3853608216552571E-2</v>
      </c>
      <c r="AA135" s="3938">
        <f t="shared" ca="1" si="271"/>
        <v>1.4048532733008434E-2</v>
      </c>
      <c r="AB135" s="3938">
        <f t="shared" ca="1" si="271"/>
        <v>1.4904247799296666E-2</v>
      </c>
      <c r="AC135" s="3938">
        <f t="shared" ca="1" si="271"/>
        <v>1.5219953629880711E-2</v>
      </c>
      <c r="AD135" s="3938">
        <f t="shared" ca="1" si="271"/>
        <v>1.5531900572612889E-2</v>
      </c>
      <c r="AE135" s="3938">
        <f t="shared" ca="1" si="271"/>
        <v>1.5839902030923891E-2</v>
      </c>
      <c r="AF135" s="3938">
        <f t="shared" ca="1" si="271"/>
        <v>1.6143781804509816E-2</v>
      </c>
      <c r="AG135" s="3920"/>
      <c r="AH135" s="3921"/>
      <c r="AI135" s="3876"/>
      <c r="AJ135" s="3876"/>
      <c r="AK135" s="3876"/>
      <c r="AL135" s="3876"/>
      <c r="AM135" s="3876"/>
      <c r="AN135" s="3876"/>
      <c r="AO135" s="3876"/>
      <c r="AP135" s="3876"/>
      <c r="AQ135" s="3876"/>
      <c r="AR135" s="3876"/>
      <c r="AS135" s="3876"/>
      <c r="AT135" s="3876"/>
      <c r="AU135" s="3876"/>
      <c r="AV135" s="3876"/>
      <c r="AW135" s="3876"/>
      <c r="AX135" s="3876"/>
      <c r="AY135" s="3876"/>
      <c r="AZ135" s="3876"/>
      <c r="BA135" s="3876"/>
      <c r="BB135" s="3876"/>
      <c r="BC135" s="3940"/>
      <c r="BD135" s="3934"/>
      <c r="BE135" s="3934"/>
      <c r="BF135" s="3934"/>
      <c r="BG135" s="3940"/>
      <c r="BH135" s="3934"/>
      <c r="BI135" s="3934"/>
      <c r="BJ135" s="3934"/>
      <c r="BK135" s="3933"/>
      <c r="BL135" s="3942"/>
      <c r="BM135" s="3942"/>
      <c r="BN135" s="3942"/>
      <c r="BO135" s="3942"/>
      <c r="BP135" s="3942"/>
      <c r="BQ135" s="3942"/>
      <c r="BR135" s="3943"/>
      <c r="BS135" s="3942">
        <f t="shared" ref="BS135:CO135" si="272">+BS134/BO134-1</f>
        <v>3.4359736833116994E-2</v>
      </c>
      <c r="BT135" s="3942">
        <f t="shared" si="272"/>
        <v>1.4148226371621941E-2</v>
      </c>
      <c r="BU135" s="3942">
        <f t="shared" si="272"/>
        <v>4.3617707616276924E-3</v>
      </c>
      <c r="BV135" s="3943">
        <f t="shared" si="272"/>
        <v>3.190943554721315E-2</v>
      </c>
      <c r="BW135" s="3942">
        <f t="shared" si="272"/>
        <v>6.8538702645530858E-3</v>
      </c>
      <c r="BX135" s="3942">
        <f t="shared" si="272"/>
        <v>2.047585264177032E-3</v>
      </c>
      <c r="BY135" s="3942">
        <f t="shared" si="272"/>
        <v>1.6678755691061919E-3</v>
      </c>
      <c r="BZ135" s="3943">
        <f t="shared" si="272"/>
        <v>9.3544898276842758E-4</v>
      </c>
      <c r="CA135" s="3942">
        <f t="shared" si="272"/>
        <v>2.6411520815963874E-2</v>
      </c>
      <c r="CB135" s="3942">
        <f t="shared" si="272"/>
        <v>4.2237308707096854E-2</v>
      </c>
      <c r="CC135" s="3942">
        <f t="shared" si="272"/>
        <v>4.22206766763491E-2</v>
      </c>
      <c r="CD135" s="3943">
        <f t="shared" si="272"/>
        <v>3.2712632108706563E-2</v>
      </c>
      <c r="CE135" s="3942">
        <f t="shared" si="272"/>
        <v>2.4962556165751382E-2</v>
      </c>
      <c r="CF135" s="3942">
        <f t="shared" si="272"/>
        <v>1.5270935960591148E-2</v>
      </c>
      <c r="CG135" s="3942">
        <f t="shared" si="272"/>
        <v>1.1776251226692791E-2</v>
      </c>
      <c r="CH135" s="3943">
        <f t="shared" si="272"/>
        <v>4.873294346978696E-4</v>
      </c>
      <c r="CI135" s="3942">
        <f t="shared" si="272"/>
        <v>-9.7418412079885996E-4</v>
      </c>
      <c r="CJ135" s="3942">
        <f t="shared" si="272"/>
        <v>-2.4260067928190132E-3</v>
      </c>
      <c r="CK135" s="3942">
        <f t="shared" si="272"/>
        <v>-1.4064015518913675E-2</v>
      </c>
      <c r="CL135" s="3943">
        <f t="shared" si="272"/>
        <v>-1.0228933268387697E-2</v>
      </c>
      <c r="CM135" s="3942">
        <f t="shared" si="272"/>
        <v>-1.4627011214042307E-3</v>
      </c>
      <c r="CN135" s="3942">
        <f t="shared" si="272"/>
        <v>2.4319066147859836E-3</v>
      </c>
      <c r="CO135" s="3942">
        <f t="shared" si="272"/>
        <v>1.2788981800295085E-2</v>
      </c>
      <c r="CP135" s="3943">
        <f t="shared" ref="CP135" si="273">+CP134/CL134-1</f>
        <v>3.8385826771653475E-2</v>
      </c>
      <c r="CQ135" s="3914">
        <f ca="1">+CQ134/CM134-1</f>
        <v>4.4135461841108281E-3</v>
      </c>
      <c r="CR135" s="3914">
        <f ca="1">+CR134/CN134-1</f>
        <v>3.2956332716516101E-3</v>
      </c>
      <c r="CS135" s="3914">
        <f ca="1">+CS134/CO134-1</f>
        <v>1.4721497902643765E-2</v>
      </c>
      <c r="CT135" s="3944">
        <f ca="1">+CT134/CP134-1</f>
        <v>2.1371422178495747E-2</v>
      </c>
    </row>
    <row r="136" spans="1:98" outlineLevel="1">
      <c r="A136" s="3937" t="s">
        <v>947</v>
      </c>
      <c r="B136" s="3876"/>
      <c r="C136" s="3876"/>
      <c r="D136" s="3876"/>
      <c r="E136" s="3876"/>
      <c r="F136" s="3876"/>
      <c r="G136" s="3876"/>
      <c r="H136" s="3876"/>
      <c r="I136" s="3876"/>
      <c r="J136" s="3876"/>
      <c r="K136" s="3876"/>
      <c r="L136" s="3876"/>
      <c r="N136" s="3876"/>
      <c r="O136" s="3876"/>
      <c r="P136" s="3876"/>
      <c r="Q136" s="3876"/>
      <c r="R136" s="3876"/>
      <c r="S136" s="3876"/>
      <c r="T136" s="3876"/>
      <c r="U136" s="3876"/>
      <c r="V136" s="3876"/>
      <c r="W136" s="3876"/>
      <c r="X136" s="3876"/>
      <c r="Y136" s="3876"/>
      <c r="Z136" s="3876"/>
      <c r="AA136" s="3876"/>
      <c r="AB136" s="3876"/>
      <c r="AC136" s="3876"/>
      <c r="AD136" s="3876"/>
      <c r="AE136" s="3876"/>
      <c r="AF136" s="3876"/>
      <c r="AG136" s="3920"/>
      <c r="AH136" s="3921"/>
      <c r="AI136" s="3876"/>
      <c r="AJ136" s="3876"/>
      <c r="AK136" s="3876"/>
      <c r="AL136" s="3876"/>
      <c r="AM136" s="3876"/>
      <c r="AN136" s="3876"/>
      <c r="AO136" s="3876"/>
      <c r="AP136" s="3876"/>
      <c r="AQ136" s="3876"/>
      <c r="AR136" s="3876"/>
      <c r="AS136" s="3876"/>
      <c r="AT136" s="3876"/>
      <c r="AU136" s="3876"/>
      <c r="AV136" s="3876"/>
      <c r="AW136" s="3876"/>
      <c r="AX136" s="3876"/>
      <c r="AY136" s="3876"/>
      <c r="AZ136" s="3876"/>
      <c r="BA136" s="3876"/>
      <c r="BB136" s="3876"/>
      <c r="BC136" s="3940"/>
      <c r="BD136" s="3934"/>
      <c r="BE136" s="3934"/>
      <c r="BF136" s="3934"/>
      <c r="BG136" s="3940"/>
      <c r="BH136" s="3934"/>
      <c r="BI136" s="3934"/>
      <c r="BJ136" s="3934"/>
      <c r="BK136" s="3933"/>
      <c r="BL136" s="3942"/>
      <c r="BM136" s="3942"/>
      <c r="BN136" s="3942"/>
      <c r="BO136" s="3942"/>
      <c r="BP136" s="3942"/>
      <c r="BQ136" s="3942"/>
      <c r="BR136" s="3943"/>
      <c r="BS136" s="3942">
        <f t="shared" ref="BS136:CO136" si="274">+BS134/BR134-1</f>
        <v>7.4947095709072542E-3</v>
      </c>
      <c r="BT136" s="3942">
        <f t="shared" si="274"/>
        <v>2.8779650960311098E-3</v>
      </c>
      <c r="BU136" s="3942">
        <f t="shared" si="274"/>
        <v>4.3374852669038066E-3</v>
      </c>
      <c r="BV136" s="3943">
        <f t="shared" si="274"/>
        <v>1.6883142162828824E-2</v>
      </c>
      <c r="BW136" s="3942">
        <f t="shared" si="274"/>
        <v>-1.6968047138165798E-2</v>
      </c>
      <c r="BX136" s="3942">
        <f t="shared" si="274"/>
        <v>-1.9093406523017498E-3</v>
      </c>
      <c r="BY136" s="3942">
        <f t="shared" si="274"/>
        <v>3.9569078513328471E-3</v>
      </c>
      <c r="BZ136" s="3943">
        <f t="shared" si="274"/>
        <v>1.6139590066685638E-2</v>
      </c>
      <c r="CA136" s="3942">
        <f t="shared" si="274"/>
        <v>8.0523402113739095E-3</v>
      </c>
      <c r="CB136" s="3942">
        <f t="shared" si="274"/>
        <v>1.3479780329505697E-2</v>
      </c>
      <c r="CC136" s="3942">
        <f t="shared" si="274"/>
        <v>3.9408866995074288E-3</v>
      </c>
      <c r="CD136" s="3943">
        <f t="shared" si="274"/>
        <v>6.8694798822375169E-3</v>
      </c>
      <c r="CE136" s="3942">
        <f t="shared" si="274"/>
        <v>4.873294346978696E-4</v>
      </c>
      <c r="CF136" s="3942">
        <f t="shared" si="274"/>
        <v>3.8967364831952178E-3</v>
      </c>
      <c r="CG136" s="3942">
        <f t="shared" si="274"/>
        <v>4.8520135856389146E-4</v>
      </c>
      <c r="CH136" s="3943">
        <f t="shared" si="274"/>
        <v>-4.3646944713869873E-3</v>
      </c>
      <c r="CI136" s="3942">
        <f t="shared" si="274"/>
        <v>-9.7418412079885996E-4</v>
      </c>
      <c r="CJ136" s="3942">
        <f t="shared" si="274"/>
        <v>2.4378352023404215E-3</v>
      </c>
      <c r="CK136" s="3942">
        <f t="shared" si="274"/>
        <v>-1.1186770428015524E-2</v>
      </c>
      <c r="CL136" s="3943">
        <f t="shared" si="274"/>
        <v>-4.9188391539600751E-4</v>
      </c>
      <c r="CM136" s="3942">
        <f t="shared" si="274"/>
        <v>7.8740157480314821E-3</v>
      </c>
      <c r="CN136" s="3942">
        <f t="shared" si="274"/>
        <v>6.34765625E-3</v>
      </c>
      <c r="CO136" s="3942">
        <f t="shared" si="274"/>
        <v>-9.7040271712756088E-4</v>
      </c>
      <c r="CP136" s="3943">
        <f t="shared" ref="CP136" si="275">+CP134/CO134-1</f>
        <v>2.4769305488101079E-2</v>
      </c>
      <c r="CQ136" s="3914" t="s">
        <v>441</v>
      </c>
      <c r="CR136" s="3914">
        <f ca="1">+CR134/CQ134-1</f>
        <v>5.2275906718137755E-3</v>
      </c>
      <c r="CS136" s="3914">
        <f ca="1">+CS134/CR134-1</f>
        <v>1.0406878876021652E-2</v>
      </c>
      <c r="CT136" s="3944">
        <f ca="1">+CT134/CS134-1</f>
        <v>3.148507754555574E-2</v>
      </c>
    </row>
    <row r="137" spans="1:98" outlineLevel="1">
      <c r="A137" s="2092" t="s">
        <v>1982</v>
      </c>
      <c r="B137" s="3925"/>
      <c r="C137" s="3925"/>
      <c r="D137" s="3925"/>
      <c r="E137" s="3925"/>
      <c r="F137" s="3925"/>
      <c r="G137" s="3925"/>
      <c r="H137" s="3925"/>
      <c r="I137" s="3925"/>
      <c r="J137" s="3925"/>
      <c r="K137" s="3925"/>
      <c r="L137" s="3925"/>
      <c r="M137" s="3925"/>
      <c r="N137" s="3925"/>
      <c r="O137" s="3925"/>
      <c r="P137" s="3925"/>
      <c r="Q137" s="3925"/>
      <c r="R137" s="3925"/>
      <c r="S137" s="3925"/>
      <c r="T137" s="3925"/>
      <c r="U137" s="3925"/>
      <c r="V137" s="3925"/>
      <c r="W137" s="3925"/>
      <c r="X137" s="3925"/>
      <c r="Y137" s="3925"/>
      <c r="Z137" s="3925"/>
      <c r="AA137" s="3925"/>
      <c r="AB137" s="3925"/>
      <c r="AC137" s="3925"/>
      <c r="AD137" s="3925"/>
      <c r="AE137" s="3925"/>
      <c r="AF137" s="3925"/>
      <c r="AG137" s="3926"/>
      <c r="AH137" s="3927"/>
      <c r="AI137" s="3925"/>
      <c r="AJ137" s="3925"/>
      <c r="AK137" s="3925"/>
      <c r="AL137" s="3925"/>
      <c r="AM137" s="3925"/>
      <c r="AN137" s="3925"/>
      <c r="AO137" s="3925"/>
      <c r="AP137" s="3925"/>
      <c r="AQ137" s="3925"/>
      <c r="AR137" s="3925"/>
      <c r="AS137" s="3925"/>
      <c r="AT137" s="3925"/>
      <c r="AU137" s="3925"/>
      <c r="AV137" s="3925"/>
      <c r="AW137" s="3925"/>
      <c r="AX137" s="3925"/>
      <c r="AY137" s="3925"/>
      <c r="AZ137" s="3925"/>
      <c r="BA137" s="3925"/>
      <c r="BB137" s="3925"/>
      <c r="BC137" s="3928"/>
      <c r="BD137" s="3929"/>
      <c r="BE137" s="3929"/>
      <c r="BF137" s="3929"/>
      <c r="BG137" s="3928"/>
      <c r="BH137" s="3929"/>
      <c r="BI137" s="3929"/>
      <c r="BJ137" s="3930"/>
      <c r="BK137" s="3925"/>
      <c r="BL137" s="3925"/>
      <c r="BM137" s="3925"/>
      <c r="BN137" s="3925"/>
      <c r="BO137" s="3931"/>
      <c r="BP137" s="3925"/>
      <c r="BQ137" s="3925"/>
      <c r="BR137" s="3932"/>
      <c r="BS137" s="3931"/>
      <c r="BT137" s="3925"/>
      <c r="BU137" s="3925"/>
      <c r="BV137" s="3925"/>
      <c r="BW137" s="3931"/>
      <c r="BX137" s="3925"/>
      <c r="BY137" s="3925"/>
      <c r="BZ137" s="3932"/>
      <c r="CA137" s="3931"/>
      <c r="CB137" s="3925"/>
      <c r="CC137" s="3925"/>
      <c r="CD137" s="3932"/>
      <c r="CE137" s="3925"/>
      <c r="CF137" s="3925"/>
      <c r="CG137" s="3925"/>
      <c r="CH137" s="3932"/>
      <c r="CI137" s="3925"/>
      <c r="CJ137" s="3925"/>
      <c r="CK137" s="3925"/>
      <c r="CL137" s="3932"/>
      <c r="CM137" s="3925"/>
      <c r="CN137" s="3925"/>
      <c r="CO137" s="3925"/>
      <c r="CP137" s="3932"/>
      <c r="CQ137" s="3925"/>
      <c r="CR137" s="3925"/>
      <c r="CS137" s="3925"/>
      <c r="CT137" s="3932"/>
    </row>
    <row r="138" spans="1:98" outlineLevel="1">
      <c r="A138" s="3933"/>
      <c r="B138" s="3876"/>
      <c r="C138" s="3876"/>
      <c r="D138" s="3876"/>
      <c r="E138" s="3876"/>
      <c r="F138" s="3876"/>
      <c r="G138" s="3876"/>
      <c r="H138" s="3876"/>
      <c r="I138" s="3876"/>
      <c r="J138" s="3876"/>
      <c r="K138" s="3876"/>
      <c r="L138" s="3876"/>
      <c r="M138" s="3876" t="s">
        <v>1091</v>
      </c>
      <c r="N138" s="3876"/>
      <c r="O138" s="3876"/>
      <c r="P138" s="3876"/>
      <c r="Q138" s="3876"/>
      <c r="R138" s="3876"/>
      <c r="S138" s="3876"/>
      <c r="T138" s="3876"/>
      <c r="U138" s="3876"/>
      <c r="V138" s="3876"/>
      <c r="W138" s="3876"/>
      <c r="X138" s="3876"/>
      <c r="Y138" s="3876"/>
      <c r="Z138" s="3876"/>
      <c r="AA138" s="3876"/>
      <c r="AB138" s="3876"/>
      <c r="AC138" s="3876"/>
      <c r="AD138" s="3876"/>
      <c r="AE138" s="3876"/>
      <c r="AF138" s="3876"/>
      <c r="AG138" s="3920"/>
      <c r="AH138" s="3921"/>
      <c r="AI138" s="3876"/>
      <c r="AJ138" s="3876"/>
      <c r="AK138" s="3876"/>
      <c r="AL138" s="3876"/>
      <c r="AM138" s="3876"/>
      <c r="AN138" s="3876"/>
      <c r="AO138" s="3876"/>
      <c r="AP138" s="3876"/>
      <c r="AQ138" s="3876"/>
      <c r="AR138" s="3876"/>
      <c r="AS138" s="3876"/>
      <c r="AT138" s="3876"/>
      <c r="AU138" s="3876"/>
      <c r="AV138" s="3876"/>
      <c r="AW138" s="3876"/>
      <c r="AX138" s="3876"/>
      <c r="AY138" s="3876"/>
      <c r="AZ138" s="3876"/>
      <c r="BA138" s="3876"/>
      <c r="BB138" s="3876"/>
      <c r="BC138" s="3940"/>
      <c r="BD138" s="3934"/>
      <c r="BE138" s="3934"/>
      <c r="BF138" s="3934"/>
      <c r="BG138" s="3940"/>
      <c r="BH138" s="3934"/>
      <c r="BI138" s="3934"/>
      <c r="BJ138" s="3934"/>
      <c r="BK138" s="3933"/>
      <c r="BL138" s="3876"/>
      <c r="BM138" s="3876"/>
      <c r="BN138" s="3876"/>
      <c r="BO138" s="3933" t="s">
        <v>1090</v>
      </c>
      <c r="BP138" s="3876"/>
      <c r="BQ138" s="3876"/>
      <c r="BR138" s="3935"/>
      <c r="BS138" s="3876"/>
      <c r="BT138" s="3876"/>
      <c r="BU138" s="3876"/>
      <c r="BV138" s="3876"/>
      <c r="BW138" s="3933"/>
      <c r="BX138" s="3876"/>
      <c r="BY138" s="3876"/>
      <c r="BZ138" s="3935"/>
      <c r="CA138" s="3933"/>
      <c r="CB138" s="3876"/>
      <c r="CC138" s="3876"/>
      <c r="CD138" s="3935"/>
      <c r="CF138" s="3876"/>
      <c r="CH138" s="3935"/>
      <c r="CJ138" s="3876"/>
      <c r="CK138" s="3876"/>
      <c r="CL138" s="3935"/>
      <c r="CN138" s="3876"/>
      <c r="CO138" s="3876"/>
      <c r="CP138" s="3935"/>
      <c r="CT138" s="3935"/>
    </row>
    <row r="139" spans="1:98" outlineLevel="1">
      <c r="A139" s="940" t="s">
        <v>659</v>
      </c>
      <c r="B139" s="115"/>
      <c r="C139" s="115"/>
      <c r="D139" s="115"/>
      <c r="E139" s="115"/>
      <c r="F139" s="115"/>
      <c r="G139" s="115"/>
      <c r="H139" s="115"/>
      <c r="I139" s="115"/>
      <c r="J139" s="115"/>
      <c r="K139" s="115"/>
      <c r="L139" s="134"/>
      <c r="M139" s="2578">
        <f>+M161+M215+M197+M232</f>
        <v>8004</v>
      </c>
      <c r="N139" s="2033">
        <f>+N161+N215+N197+N232</f>
        <v>8428</v>
      </c>
      <c r="O139" s="134">
        <f>+SUM(BW139:BZ139)</f>
        <v>8823</v>
      </c>
      <c r="P139" s="2033">
        <f>SUM(CA139:CD139)</f>
        <v>7795</v>
      </c>
      <c r="Q139" s="2033">
        <f>SUM(CE139:CH139)</f>
        <v>7777</v>
      </c>
      <c r="R139" s="2033">
        <f>SUM(CI139:CL139)</f>
        <v>8098</v>
      </c>
      <c r="S139" s="2033">
        <f>SUM(CM139:CP139)</f>
        <v>7725</v>
      </c>
      <c r="T139" s="2033">
        <f>SUM(CQ139:CT139)</f>
        <v>7700.9079999999994</v>
      </c>
      <c r="U139" s="2033">
        <f>+U367</f>
        <v>7957.1366849999995</v>
      </c>
      <c r="V139" s="2033">
        <f>+V367</f>
        <v>8158.6167315749999</v>
      </c>
      <c r="W139" s="2033">
        <f>+W367</f>
        <v>8365.8523635821239</v>
      </c>
      <c r="X139" s="2033">
        <f t="shared" ref="X139:AF139" si="276">+X367</f>
        <v>8579.019102187538</v>
      </c>
      <c r="Y139" s="2033">
        <f t="shared" si="276"/>
        <v>8798.2980933117415</v>
      </c>
      <c r="Z139" s="2033">
        <f t="shared" si="276"/>
        <v>9023.8762941262466</v>
      </c>
      <c r="AA139" s="2033">
        <f t="shared" si="276"/>
        <v>9255.9466658702295</v>
      </c>
      <c r="AB139" s="2033">
        <f t="shared" si="276"/>
        <v>9494.7083732042447</v>
      </c>
      <c r="AC139" s="2033">
        <f t="shared" si="276"/>
        <v>9740.3669903255213</v>
      </c>
      <c r="AD139" s="2033">
        <f t="shared" si="276"/>
        <v>9993.134714077225</v>
      </c>
      <c r="AE139" s="2033">
        <f t="shared" si="276"/>
        <v>10253.230584292043</v>
      </c>
      <c r="AF139" s="2033">
        <f t="shared" si="276"/>
        <v>10520.880711618824</v>
      </c>
      <c r="AG139" s="2553"/>
      <c r="AH139" s="2714"/>
      <c r="AI139" s="115"/>
      <c r="AJ139" s="115"/>
      <c r="AK139" s="115"/>
      <c r="AL139" s="115"/>
      <c r="AM139" s="115"/>
      <c r="AN139" s="115"/>
      <c r="AO139" s="115"/>
      <c r="AP139" s="115"/>
      <c r="AQ139" s="115"/>
      <c r="AR139" s="115"/>
      <c r="AS139" s="115"/>
      <c r="AT139" s="115"/>
      <c r="AU139" s="115"/>
      <c r="AV139" s="115"/>
      <c r="AW139" s="115"/>
      <c r="AX139" s="115"/>
      <c r="AY139" s="115"/>
      <c r="AZ139" s="115"/>
      <c r="BA139" s="115"/>
      <c r="BB139" s="115"/>
      <c r="BC139" s="1985"/>
      <c r="BD139" s="2062"/>
      <c r="BE139" s="2062"/>
      <c r="BF139" s="2062"/>
      <c r="BG139" s="1985"/>
      <c r="BH139" s="2062"/>
      <c r="BI139" s="2062"/>
      <c r="BJ139" s="2062"/>
      <c r="BK139" s="1897"/>
      <c r="BL139" s="2033"/>
      <c r="BM139" s="2033"/>
      <c r="BN139" s="2033"/>
      <c r="BO139" s="2300">
        <f>+BO161+BO215+BO197+BO232</f>
        <v>1984</v>
      </c>
      <c r="BP139" s="2578">
        <f>+BP161+BP215+BP197+BP232</f>
        <v>1991</v>
      </c>
      <c r="BQ139" s="2578">
        <f>+BQ161+BQ215+BQ197+BQ232</f>
        <v>1996</v>
      </c>
      <c r="BR139" s="2579">
        <f>+BR161+BR215+BR197+BR232</f>
        <v>2033</v>
      </c>
      <c r="BS139" s="1897">
        <f t="shared" ref="BS139:CD139" si="277">+BS161+BS240</f>
        <v>2070</v>
      </c>
      <c r="BT139" s="2033">
        <f t="shared" si="277"/>
        <v>2094</v>
      </c>
      <c r="BU139" s="2033">
        <f t="shared" si="277"/>
        <v>2119</v>
      </c>
      <c r="BV139" s="2033">
        <f t="shared" si="277"/>
        <v>2145</v>
      </c>
      <c r="BW139" s="1897">
        <f t="shared" si="277"/>
        <v>2164</v>
      </c>
      <c r="BX139" s="2033">
        <f t="shared" si="277"/>
        <v>2186</v>
      </c>
      <c r="BY139" s="2033">
        <f t="shared" si="277"/>
        <v>2212</v>
      </c>
      <c r="BZ139" s="2580">
        <f t="shared" si="277"/>
        <v>2261</v>
      </c>
      <c r="CA139" s="1897">
        <f>+CA161+CA240</f>
        <v>2271</v>
      </c>
      <c r="CB139" s="2033">
        <f>+CB161+CB240</f>
        <v>1814</v>
      </c>
      <c r="CC139" s="2033">
        <f t="shared" si="277"/>
        <v>1845</v>
      </c>
      <c r="CD139" s="2580">
        <f t="shared" si="277"/>
        <v>1865</v>
      </c>
      <c r="CE139" s="2033">
        <f>+CE367</f>
        <v>1903</v>
      </c>
      <c r="CF139" s="2033">
        <f t="shared" ref="CF139:CL139" si="278">+CF367</f>
        <v>1929</v>
      </c>
      <c r="CG139" s="2033">
        <f t="shared" si="278"/>
        <v>1941</v>
      </c>
      <c r="CH139" s="2580">
        <f t="shared" si="278"/>
        <v>2004</v>
      </c>
      <c r="CI139" s="2033">
        <f t="shared" si="278"/>
        <v>2001</v>
      </c>
      <c r="CJ139" s="2033">
        <f t="shared" si="278"/>
        <v>2042</v>
      </c>
      <c r="CK139" s="2033">
        <f t="shared" si="278"/>
        <v>2027</v>
      </c>
      <c r="CL139" s="2580">
        <f t="shared" si="278"/>
        <v>2028</v>
      </c>
      <c r="CM139" s="2033">
        <f>+CM367</f>
        <v>2013</v>
      </c>
      <c r="CN139" s="2033">
        <f>+CN367</f>
        <v>1915</v>
      </c>
      <c r="CO139" s="2033">
        <f>+CO367</f>
        <v>1892</v>
      </c>
      <c r="CP139" s="2580">
        <f t="shared" ref="CP139" si="279">+CP367</f>
        <v>1905</v>
      </c>
      <c r="CQ139" s="2033">
        <f>+CQ367</f>
        <v>1910.075</v>
      </c>
      <c r="CR139" s="2033">
        <f>+CR367</f>
        <v>1917.3229999999996</v>
      </c>
      <c r="CS139" s="2033">
        <f>+CS367</f>
        <v>1930.7649999999999</v>
      </c>
      <c r="CT139" s="2580">
        <f>+CT367</f>
        <v>1942.7449999999999</v>
      </c>
    </row>
    <row r="140" spans="1:98" outlineLevel="1">
      <c r="A140" s="3937" t="s">
        <v>34</v>
      </c>
      <c r="B140" s="3876"/>
      <c r="C140" s="3876"/>
      <c r="D140" s="3876"/>
      <c r="E140" s="3876"/>
      <c r="F140" s="3876"/>
      <c r="G140" s="3876"/>
      <c r="H140" s="3876"/>
      <c r="I140" s="3876"/>
      <c r="J140" s="3876"/>
      <c r="K140" s="3876"/>
      <c r="L140" s="3876"/>
      <c r="M140" s="3938"/>
      <c r="N140" s="3939" t="s">
        <v>1089</v>
      </c>
      <c r="O140" s="3938">
        <f>+O139/N139-1</f>
        <v>4.6867584242999527E-2</v>
      </c>
      <c r="P140" s="3499">
        <v>4.159582908307824E-2</v>
      </c>
      <c r="Q140" s="3945" t="s">
        <v>441</v>
      </c>
      <c r="R140" s="3938">
        <f t="shared" ref="R140:W140" si="280">+R139/Q139-1</f>
        <v>4.1275556127041257E-2</v>
      </c>
      <c r="S140" s="3938">
        <f t="shared" si="280"/>
        <v>-4.606075574215851E-2</v>
      </c>
      <c r="T140" s="3938">
        <f t="shared" si="280"/>
        <v>-3.1187055016181908E-3</v>
      </c>
      <c r="U140" s="3938">
        <f t="shared" si="280"/>
        <v>3.3272529031641573E-2</v>
      </c>
      <c r="V140" s="3938">
        <f t="shared" si="280"/>
        <v>2.53206718133685E-2</v>
      </c>
      <c r="W140" s="3938">
        <f t="shared" si="280"/>
        <v>2.5400829432898009E-2</v>
      </c>
      <c r="X140" s="3938">
        <f t="shared" ref="X140:AF140" si="281">+X139/W139-1</f>
        <v>2.5480576197275839E-2</v>
      </c>
      <c r="Y140" s="3938">
        <f t="shared" si="281"/>
        <v>2.5559914077856627E-2</v>
      </c>
      <c r="Z140" s="3938">
        <f t="shared" si="281"/>
        <v>2.5638844970027108E-2</v>
      </c>
      <c r="AA140" s="3938">
        <f t="shared" si="281"/>
        <v>2.5717370693018049E-2</v>
      </c>
      <c r="AB140" s="3938">
        <f t="shared" si="281"/>
        <v>2.5795492989864499E-2</v>
      </c>
      <c r="AC140" s="3938">
        <f t="shared" si="281"/>
        <v>2.5873213527502159E-2</v>
      </c>
      <c r="AD140" s="3938">
        <f t="shared" si="281"/>
        <v>2.5950533897004302E-2</v>
      </c>
      <c r="AE140" s="3938">
        <f t="shared" si="281"/>
        <v>2.6027455613945039E-2</v>
      </c>
      <c r="AF140" s="3938">
        <f t="shared" si="281"/>
        <v>2.6103980118892478E-2</v>
      </c>
      <c r="AG140" s="3920"/>
      <c r="AH140" s="3921"/>
      <c r="AI140" s="3876"/>
      <c r="AJ140" s="3876"/>
      <c r="AK140" s="3876"/>
      <c r="AL140" s="3876"/>
      <c r="AM140" s="3876"/>
      <c r="AN140" s="3876"/>
      <c r="AO140" s="3876"/>
      <c r="AP140" s="3876"/>
      <c r="AQ140" s="3876"/>
      <c r="AR140" s="3876"/>
      <c r="AS140" s="3876"/>
      <c r="AT140" s="3876"/>
      <c r="AU140" s="3876"/>
      <c r="AV140" s="3876"/>
      <c r="AW140" s="3876"/>
      <c r="AX140" s="3876"/>
      <c r="AY140" s="3876"/>
      <c r="AZ140" s="3876"/>
      <c r="BA140" s="3876"/>
      <c r="BB140" s="3876"/>
      <c r="BC140" s="3940"/>
      <c r="BD140" s="3934"/>
      <c r="BE140" s="3934"/>
      <c r="BF140" s="3934"/>
      <c r="BG140" s="3940"/>
      <c r="BH140" s="3934"/>
      <c r="BI140" s="3934"/>
      <c r="BJ140" s="3934"/>
      <c r="BK140" s="3941"/>
      <c r="BL140" s="3942"/>
      <c r="BM140" s="3942"/>
      <c r="BN140" s="3942"/>
      <c r="BO140" s="3946"/>
      <c r="BP140" s="3942"/>
      <c r="BQ140" s="3942"/>
      <c r="BR140" s="3943"/>
      <c r="BS140" s="3947" t="s">
        <v>1089</v>
      </c>
      <c r="BT140" s="3948" t="s">
        <v>1089</v>
      </c>
      <c r="BU140" s="3948" t="s">
        <v>1089</v>
      </c>
      <c r="BV140" s="3948" t="s">
        <v>1089</v>
      </c>
      <c r="BW140" s="3946">
        <f>+BW139/BS139-1</f>
        <v>4.5410628019323607E-2</v>
      </c>
      <c r="BX140" s="3942">
        <f>+BX139/BT139-1</f>
        <v>4.393505253104113E-2</v>
      </c>
      <c r="BY140" s="3942">
        <f>+BY139/BU139-1</f>
        <v>4.3888626710712586E-2</v>
      </c>
      <c r="BZ140" s="3943">
        <f>+BZ139/BV139-1</f>
        <v>5.4079254079254069E-2</v>
      </c>
      <c r="CA140" s="3946">
        <f>+CA139/BW139-1</f>
        <v>4.9445471349353065E-2</v>
      </c>
      <c r="CB140" s="3499">
        <v>5.1235132662396987E-2</v>
      </c>
      <c r="CC140" s="3499">
        <v>4.4303797468354444E-2</v>
      </c>
      <c r="CD140" s="3500">
        <v>2.21141088014154E-2</v>
      </c>
      <c r="CE140" s="3501">
        <v>2.1576398062527424E-2</v>
      </c>
      <c r="CF140" s="3942">
        <f t="shared" ref="CF140:CM140" si="282">+CF139/CB139-1</f>
        <v>6.3395810363836791E-2</v>
      </c>
      <c r="CG140" s="3942">
        <f t="shared" si="282"/>
        <v>5.2032520325203224E-2</v>
      </c>
      <c r="CH140" s="3943">
        <f t="shared" si="282"/>
        <v>7.4530831099195671E-2</v>
      </c>
      <c r="CI140" s="3942">
        <f t="shared" si="282"/>
        <v>5.1497635312664158E-2</v>
      </c>
      <c r="CJ140" s="3942">
        <f t="shared" si="282"/>
        <v>5.8579574909279453E-2</v>
      </c>
      <c r="CK140" s="3942">
        <f t="shared" si="282"/>
        <v>4.4307058217413653E-2</v>
      </c>
      <c r="CL140" s="3943">
        <f t="shared" si="282"/>
        <v>1.1976047904191711E-2</v>
      </c>
      <c r="CM140" s="3942">
        <f t="shared" si="282"/>
        <v>5.9970014992503096E-3</v>
      </c>
      <c r="CN140" s="3942">
        <f>+CN139/CJ139-1</f>
        <v>-6.2193927522037229E-2</v>
      </c>
      <c r="CO140" s="3942">
        <f>+CO139/CK139-1</f>
        <v>-6.6600888011840165E-2</v>
      </c>
      <c r="CP140" s="3943">
        <f t="shared" ref="CP140" si="283">+CP139/CL139-1</f>
        <v>-6.0650887573964529E-2</v>
      </c>
      <c r="CQ140" s="3942">
        <f>+CQ139/CM139-1</f>
        <v>-5.1130153999006445E-2</v>
      </c>
      <c r="CR140" s="3942">
        <f>+CR139/CN139-1</f>
        <v>1.213054830287108E-3</v>
      </c>
      <c r="CS140" s="3942">
        <f>+CS139/CO139-1</f>
        <v>2.0488900634249463E-2</v>
      </c>
      <c r="CT140" s="3943">
        <f>+CT139/CP139-1</f>
        <v>1.981364829396326E-2</v>
      </c>
    </row>
    <row r="141" spans="1:98" outlineLevel="1">
      <c r="A141" s="3937" t="s">
        <v>947</v>
      </c>
      <c r="B141" s="3876"/>
      <c r="C141" s="3876"/>
      <c r="D141" s="3876"/>
      <c r="E141" s="3876"/>
      <c r="F141" s="3876"/>
      <c r="G141" s="3876"/>
      <c r="H141" s="3876"/>
      <c r="I141" s="3876"/>
      <c r="J141" s="3876"/>
      <c r="K141" s="3876"/>
      <c r="L141" s="3876"/>
      <c r="N141" s="3876"/>
      <c r="O141" s="3876"/>
      <c r="P141" s="3876"/>
      <c r="Q141" s="3876"/>
      <c r="R141" s="3876"/>
      <c r="S141" s="3876"/>
      <c r="T141" s="3876"/>
      <c r="U141" s="3876"/>
      <c r="V141" s="3876"/>
      <c r="W141" s="3876"/>
      <c r="X141" s="3876"/>
      <c r="Y141" s="3876"/>
      <c r="Z141" s="3876"/>
      <c r="AA141" s="3876"/>
      <c r="AB141" s="3876"/>
      <c r="AC141" s="3876"/>
      <c r="AD141" s="3876"/>
      <c r="AE141" s="3876"/>
      <c r="AF141" s="3876"/>
      <c r="AG141" s="3920"/>
      <c r="AH141" s="3921"/>
      <c r="AI141" s="3876"/>
      <c r="AJ141" s="3876"/>
      <c r="AK141" s="3876"/>
      <c r="AL141" s="3876"/>
      <c r="AM141" s="3876"/>
      <c r="AN141" s="3876"/>
      <c r="AO141" s="3876"/>
      <c r="AP141" s="3876"/>
      <c r="AQ141" s="3876"/>
      <c r="AR141" s="3876"/>
      <c r="AS141" s="3876"/>
      <c r="AT141" s="3876"/>
      <c r="AU141" s="3876"/>
      <c r="AV141" s="3876"/>
      <c r="AW141" s="3876"/>
      <c r="AX141" s="3876"/>
      <c r="AY141" s="3876"/>
      <c r="AZ141" s="3876"/>
      <c r="BA141" s="3876"/>
      <c r="BB141" s="3876"/>
      <c r="BC141" s="3940"/>
      <c r="BD141" s="3934"/>
      <c r="BE141" s="3934"/>
      <c r="BF141" s="3934"/>
      <c r="BG141" s="3940"/>
      <c r="BH141" s="3934"/>
      <c r="BI141" s="3934"/>
      <c r="BJ141" s="3934"/>
      <c r="BK141" s="3941"/>
      <c r="BL141" s="3942"/>
      <c r="BM141" s="3942"/>
      <c r="BN141" s="3942"/>
      <c r="BO141" s="3946"/>
      <c r="BP141" s="3942">
        <f>+BP139/BO139-1</f>
        <v>3.5282258064515126E-3</v>
      </c>
      <c r="BQ141" s="3942">
        <f>+BQ139/BP139-1</f>
        <v>2.5113008538422132E-3</v>
      </c>
      <c r="BR141" s="3943">
        <f>+BR139/BQ139-1</f>
        <v>1.8537074148296639E-2</v>
      </c>
      <c r="BS141" s="3947" t="s">
        <v>1089</v>
      </c>
      <c r="BT141" s="3942">
        <f>+BT139/BS139-1</f>
        <v>1.1594202898550732E-2</v>
      </c>
      <c r="BU141" s="3942">
        <f t="shared" ref="BU141:CC141" si="284">+BU139/BT139-1</f>
        <v>1.1938872970391534E-2</v>
      </c>
      <c r="BV141" s="3942">
        <f t="shared" si="284"/>
        <v>1.2269938650306678E-2</v>
      </c>
      <c r="BW141" s="3946">
        <f t="shared" si="284"/>
        <v>8.8578088578088465E-3</v>
      </c>
      <c r="BX141" s="3942">
        <f t="shared" si="284"/>
        <v>1.0166358595194103E-2</v>
      </c>
      <c r="BY141" s="3942">
        <f t="shared" si="284"/>
        <v>1.1893870082342106E-2</v>
      </c>
      <c r="BZ141" s="3943">
        <f t="shared" si="284"/>
        <v>2.2151898734177111E-2</v>
      </c>
      <c r="CA141" s="3946">
        <f t="shared" si="284"/>
        <v>4.4228217602830799E-3</v>
      </c>
      <c r="CB141" s="3949" t="s">
        <v>441</v>
      </c>
      <c r="CC141" s="3942">
        <f t="shared" si="284"/>
        <v>1.7089305402425481E-2</v>
      </c>
      <c r="CD141" s="3943">
        <f>+CD139/CC139-1</f>
        <v>1.084010840108407E-2</v>
      </c>
      <c r="CE141" s="3942">
        <f>+CE139/CD139-1</f>
        <v>2.037533512064349E-2</v>
      </c>
      <c r="CF141" s="3942">
        <f>+CF139/CE139-1</f>
        <v>1.3662637940094591E-2</v>
      </c>
      <c r="CG141" s="3942">
        <f>+CG139/CF139-1</f>
        <v>6.2208398133747345E-3</v>
      </c>
      <c r="CH141" s="3943">
        <f t="shared" ref="CH141:CM141" si="285">+CH139/CG139-1</f>
        <v>3.2457496136012454E-2</v>
      </c>
      <c r="CI141" s="3942">
        <f t="shared" si="285"/>
        <v>-1.4970059880239361E-3</v>
      </c>
      <c r="CJ141" s="3942">
        <f t="shared" si="285"/>
        <v>2.048975512243878E-2</v>
      </c>
      <c r="CK141" s="3942">
        <f t="shared" si="285"/>
        <v>-7.345739471106727E-3</v>
      </c>
      <c r="CL141" s="3943">
        <f t="shared" si="285"/>
        <v>4.9333991119882015E-4</v>
      </c>
      <c r="CM141" s="3942">
        <f t="shared" si="285"/>
        <v>-7.3964497041419941E-3</v>
      </c>
      <c r="CN141" s="3942">
        <f>+CN139/CM139-1</f>
        <v>-4.8683556880278145E-2</v>
      </c>
      <c r="CO141" s="3942">
        <f>+CO139/CN139-1</f>
        <v>-1.2010443864229781E-2</v>
      </c>
      <c r="CP141" s="3943">
        <f t="shared" ref="CP141" si="286">+CP139/CO139-1</f>
        <v>6.8710359408032939E-3</v>
      </c>
      <c r="CQ141" s="3942">
        <f>+CQ139/CP139-1</f>
        <v>2.6640419947507876E-3</v>
      </c>
      <c r="CR141" s="3942">
        <f>+CR139/CQ139-1</f>
        <v>3.7946153946832872E-3</v>
      </c>
      <c r="CS141" s="3942">
        <f>+CS139/CR139-1</f>
        <v>7.0108166438311859E-3</v>
      </c>
      <c r="CT141" s="3943">
        <f>+CT139/CS139-1</f>
        <v>6.2047944726573157E-3</v>
      </c>
    </row>
    <row r="142" spans="1:98" outlineLevel="1">
      <c r="A142" s="3937" t="s">
        <v>1216</v>
      </c>
      <c r="B142" s="3876"/>
      <c r="C142" s="3876"/>
      <c r="D142" s="3876"/>
      <c r="E142" s="3876"/>
      <c r="F142" s="3876"/>
      <c r="G142" s="3876"/>
      <c r="H142" s="3876"/>
      <c r="I142" s="3876"/>
      <c r="J142" s="3876"/>
      <c r="K142" s="3876"/>
      <c r="L142" s="3876"/>
      <c r="N142" s="3939">
        <f t="shared" ref="N142:W142" si="287">N139/N157</f>
        <v>0.50621658958496007</v>
      </c>
      <c r="O142" s="3938">
        <f t="shared" si="287"/>
        <v>0.5367114788004137</v>
      </c>
      <c r="P142" s="3938">
        <f t="shared" si="287"/>
        <v>0.47722541937063795</v>
      </c>
      <c r="Q142" s="3938">
        <f t="shared" si="287"/>
        <v>0.48331365359517742</v>
      </c>
      <c r="R142" s="3938">
        <f t="shared" si="287"/>
        <v>0.51507441801297549</v>
      </c>
      <c r="S142" s="3938">
        <f t="shared" si="287"/>
        <v>0.52936339340779826</v>
      </c>
      <c r="T142" s="3938">
        <f>T139/T157</f>
        <v>0.55325345439103213</v>
      </c>
      <c r="U142" s="3938">
        <f t="shared" si="287"/>
        <v>0.58540362587223571</v>
      </c>
      <c r="V142" s="3938">
        <f t="shared" si="287"/>
        <v>0.61479045157588563</v>
      </c>
      <c r="W142" s="3938">
        <f t="shared" si="287"/>
        <v>0.64315669314093371</v>
      </c>
      <c r="X142" s="3938">
        <f t="shared" ref="X142:AF142" si="288">X139/X157</f>
        <v>0.67034727533172411</v>
      </c>
      <c r="Y142" s="3938">
        <f t="shared" si="288"/>
        <v>0.6962393194529336</v>
      </c>
      <c r="Z142" s="3938">
        <f t="shared" si="288"/>
        <v>0.7207424558722435</v>
      </c>
      <c r="AA142" s="3938">
        <f t="shared" si="288"/>
        <v>0.74379771051537424</v>
      </c>
      <c r="AB142" s="3938">
        <f t="shared" si="288"/>
        <v>0.76537524472761309</v>
      </c>
      <c r="AC142" s="3938">
        <f t="shared" si="288"/>
        <v>0.78547126464875416</v>
      </c>
      <c r="AD142" s="3938">
        <f t="shared" si="288"/>
        <v>0.80410441596171922</v>
      </c>
      <c r="AE142" s="3938">
        <f t="shared" si="288"/>
        <v>0.82131195114394906</v>
      </c>
      <c r="AF142" s="3938">
        <f t="shared" si="288"/>
        <v>0.83714590932966659</v>
      </c>
      <c r="AG142" s="3920"/>
      <c r="AH142" s="3921"/>
      <c r="AI142" s="3876"/>
      <c r="AJ142" s="3876"/>
      <c r="AK142" s="3876"/>
      <c r="AL142" s="3876"/>
      <c r="AM142" s="3876"/>
      <c r="AN142" s="3876"/>
      <c r="AO142" s="3876"/>
      <c r="AP142" s="3876"/>
      <c r="AQ142" s="3876"/>
      <c r="AR142" s="3876"/>
      <c r="AS142" s="3876"/>
      <c r="AT142" s="3876"/>
      <c r="AU142" s="3876"/>
      <c r="AV142" s="3876"/>
      <c r="AW142" s="3876"/>
      <c r="AX142" s="3876"/>
      <c r="AY142" s="3876"/>
      <c r="AZ142" s="3876"/>
      <c r="BA142" s="3876"/>
      <c r="BB142" s="3876"/>
      <c r="BC142" s="3940"/>
      <c r="BD142" s="3934"/>
      <c r="BE142" s="3934"/>
      <c r="BF142" s="3934"/>
      <c r="BG142" s="3940"/>
      <c r="BH142" s="3934"/>
      <c r="BI142" s="3934"/>
      <c r="BJ142" s="3934"/>
      <c r="BK142" s="3941"/>
      <c r="BL142" s="3942"/>
      <c r="BM142" s="3942"/>
      <c r="BN142" s="3942"/>
      <c r="BO142" s="3946"/>
      <c r="BP142" s="3942"/>
      <c r="BQ142" s="3942"/>
      <c r="BR142" s="3943"/>
      <c r="BS142" s="3947"/>
      <c r="BT142" s="3948"/>
      <c r="BU142" s="3948"/>
      <c r="BV142" s="3948"/>
      <c r="BW142" s="3946">
        <f t="shared" ref="BW142:CD142" si="289">BW139/BW157</f>
        <v>0.52575315840621961</v>
      </c>
      <c r="BX142" s="3942">
        <f t="shared" si="289"/>
        <v>0.53200292041859332</v>
      </c>
      <c r="BY142" s="3942">
        <f t="shared" si="289"/>
        <v>0.53898635477582846</v>
      </c>
      <c r="BZ142" s="3943">
        <f t="shared" si="289"/>
        <v>0.55012165450121653</v>
      </c>
      <c r="CA142" s="3946">
        <f t="shared" si="289"/>
        <v>0.55255474452554743</v>
      </c>
      <c r="CB142" s="3942">
        <f t="shared" si="289"/>
        <v>0.44243902439024391</v>
      </c>
      <c r="CC142" s="3942">
        <f>CC139/CC157</f>
        <v>0.45242766061794998</v>
      </c>
      <c r="CD142" s="3943">
        <f t="shared" si="289"/>
        <v>0.46094908551655955</v>
      </c>
      <c r="CE142" s="3942">
        <f t="shared" ref="CE142:CM142" si="290">CE139/CE157</f>
        <v>0.46941292550567343</v>
      </c>
      <c r="CF142" s="3942">
        <f t="shared" si="290"/>
        <v>0.4800895968143355</v>
      </c>
      <c r="CG142" s="3942">
        <f t="shared" si="290"/>
        <v>0.48634427461789026</v>
      </c>
      <c r="CH142" s="3943">
        <f t="shared" si="290"/>
        <v>0.49751737835153925</v>
      </c>
      <c r="CI142" s="3942">
        <f t="shared" si="290"/>
        <v>0.50314307266784009</v>
      </c>
      <c r="CJ142" s="3942">
        <f t="shared" si="290"/>
        <v>0.514616935483871</v>
      </c>
      <c r="CK142" s="3942">
        <f t="shared" si="290"/>
        <v>0.51775223499361434</v>
      </c>
      <c r="CL142" s="3943">
        <f t="shared" si="290"/>
        <v>0.52511651993785602</v>
      </c>
      <c r="CM142" s="3942">
        <f t="shared" si="290"/>
        <v>0.52931895871680257</v>
      </c>
      <c r="CN142" s="3942">
        <f>CN139/CN157</f>
        <v>0.5239398084815321</v>
      </c>
      <c r="CO142" s="3942">
        <f>CO139/CO157</f>
        <v>0.52599388379204892</v>
      </c>
      <c r="CP142" s="3943">
        <f t="shared" ref="CP142" si="291">CP139/CP157</f>
        <v>0.53843979649519502</v>
      </c>
      <c r="CQ142" s="3942">
        <f>CQ139/CQ157</f>
        <v>0.54099505193065334</v>
      </c>
      <c r="CR142" s="3942">
        <f>CR139/CR157</f>
        <v>0.54879078850841911</v>
      </c>
      <c r="CS142" s="3942">
        <f>CS139/CS157</f>
        <v>0.55572777250093541</v>
      </c>
      <c r="CT142" s="3943">
        <f>CT139/CT157</f>
        <v>0.56795113166618916</v>
      </c>
    </row>
    <row r="143" spans="1:98" outlineLevel="1">
      <c r="A143" s="940" t="s">
        <v>658</v>
      </c>
      <c r="B143" s="115"/>
      <c r="C143" s="115"/>
      <c r="D143" s="115"/>
      <c r="E143" s="115"/>
      <c r="F143" s="115"/>
      <c r="G143" s="115"/>
      <c r="H143" s="115"/>
      <c r="I143" s="115"/>
      <c r="J143" s="115"/>
      <c r="K143" s="115"/>
      <c r="L143" s="134"/>
      <c r="M143" s="2304">
        <f>+SUM(BO143:BR143)</f>
        <v>9028</v>
      </c>
      <c r="N143" s="134">
        <f>+SUM(BS143:BV143)</f>
        <v>8221</v>
      </c>
      <c r="O143" s="134">
        <f>+SUM(BW143:BZ143)</f>
        <v>7616</v>
      </c>
      <c r="P143" s="2033">
        <f>SUM(CA143:CD143)</f>
        <v>8539</v>
      </c>
      <c r="Q143" s="2033">
        <f>SUM(CE143:CH143)</f>
        <v>8314</v>
      </c>
      <c r="R143" s="2033">
        <f>SUM(CI143:CL143)</f>
        <v>7624</v>
      </c>
      <c r="S143" s="2033">
        <f>SUM(CM143:CP143)</f>
        <v>6868</v>
      </c>
      <c r="T143" s="2033">
        <f>SUM(CQ143:CT143)</f>
        <v>6218.4049999999997</v>
      </c>
      <c r="U143" s="2033">
        <f>+U385</f>
        <v>5635.4280572222224</v>
      </c>
      <c r="V143" s="2033">
        <f>+V385</f>
        <v>5111.948402711173</v>
      </c>
      <c r="W143" s="2033">
        <f>+W385</f>
        <v>4641.6346964163795</v>
      </c>
      <c r="X143" s="2033">
        <f t="shared" ref="X143:AF143" si="292">+X385</f>
        <v>4218.8536092994673</v>
      </c>
      <c r="Y143" s="2033">
        <f t="shared" si="292"/>
        <v>3838.5896082115787</v>
      </c>
      <c r="Z143" s="2033">
        <f t="shared" si="292"/>
        <v>3496.3744842263877</v>
      </c>
      <c r="AA143" s="2033">
        <f t="shared" si="292"/>
        <v>3188.225365066548</v>
      </c>
      <c r="AB143" s="2033">
        <f t="shared" si="292"/>
        <v>2910.5901239836103</v>
      </c>
      <c r="AC143" s="2033">
        <f t="shared" si="292"/>
        <v>2660.2992449710737</v>
      </c>
      <c r="AD143" s="2033">
        <f t="shared" si="292"/>
        <v>2434.5233309607538</v>
      </c>
      <c r="AE143" s="2033">
        <f t="shared" si="292"/>
        <v>2230.7355506351582</v>
      </c>
      <c r="AF143" s="2033">
        <f t="shared" si="292"/>
        <v>2046.6784132215275</v>
      </c>
      <c r="AG143" s="2553"/>
      <c r="AH143" s="2714"/>
      <c r="AI143" s="115"/>
      <c r="AJ143" s="115"/>
      <c r="AK143" s="115"/>
      <c r="AL143" s="115"/>
      <c r="AM143" s="115"/>
      <c r="AN143" s="115"/>
      <c r="AO143" s="115"/>
      <c r="AP143" s="115"/>
      <c r="AQ143" s="115"/>
      <c r="AR143" s="115"/>
      <c r="AS143" s="115"/>
      <c r="AT143" s="115"/>
      <c r="AU143" s="115"/>
      <c r="AV143" s="115"/>
      <c r="AW143" s="115"/>
      <c r="AX143" s="115"/>
      <c r="AY143" s="115"/>
      <c r="AZ143" s="115"/>
      <c r="BA143" s="115"/>
      <c r="BB143" s="115"/>
      <c r="BC143" s="1985"/>
      <c r="BD143" s="2062"/>
      <c r="BE143" s="2062"/>
      <c r="BF143" s="2062"/>
      <c r="BG143" s="1985"/>
      <c r="BH143" s="2062"/>
      <c r="BI143" s="2062"/>
      <c r="BJ143" s="2062"/>
      <c r="BK143" s="1897"/>
      <c r="BL143" s="2033"/>
      <c r="BM143" s="2033"/>
      <c r="BN143" s="2033"/>
      <c r="BO143" s="2300">
        <f>+BO166+BO219+BO201</f>
        <v>2345</v>
      </c>
      <c r="BP143" s="2578">
        <f>+BP166+BP219+BP201</f>
        <v>2280</v>
      </c>
      <c r="BQ143" s="2578">
        <f>+BQ166+BQ219+BQ201</f>
        <v>2225</v>
      </c>
      <c r="BR143" s="2579">
        <f>+BR166+BR219+BR201</f>
        <v>2178</v>
      </c>
      <c r="BS143" s="1897">
        <f t="shared" ref="BS143:CD143" si="293">+BS166+BS244</f>
        <v>2129</v>
      </c>
      <c r="BT143" s="2033">
        <f t="shared" si="293"/>
        <v>2082</v>
      </c>
      <c r="BU143" s="2033">
        <f t="shared" si="293"/>
        <v>2027</v>
      </c>
      <c r="BV143" s="2033">
        <f t="shared" si="293"/>
        <v>1983</v>
      </c>
      <c r="BW143" s="1897">
        <f t="shared" si="293"/>
        <v>1952</v>
      </c>
      <c r="BX143" s="2033">
        <f t="shared" si="293"/>
        <v>1923</v>
      </c>
      <c r="BY143" s="2033">
        <f t="shared" si="293"/>
        <v>1892</v>
      </c>
      <c r="BZ143" s="2580">
        <f t="shared" si="293"/>
        <v>1849</v>
      </c>
      <c r="CA143" s="1897">
        <f t="shared" si="293"/>
        <v>1839</v>
      </c>
      <c r="CB143" s="2033">
        <f t="shared" si="293"/>
        <v>2286</v>
      </c>
      <c r="CC143" s="2033">
        <f t="shared" si="293"/>
        <v>2233</v>
      </c>
      <c r="CD143" s="2580">
        <f t="shared" si="293"/>
        <v>2181</v>
      </c>
      <c r="CE143" s="2033">
        <f>+CE385</f>
        <v>2151</v>
      </c>
      <c r="CF143" s="2033">
        <f t="shared" ref="CF143:CM143" si="294">+CF385</f>
        <v>2089</v>
      </c>
      <c r="CG143" s="2033">
        <f t="shared" si="294"/>
        <v>2050</v>
      </c>
      <c r="CH143" s="2580">
        <f t="shared" si="294"/>
        <v>2024</v>
      </c>
      <c r="CI143" s="2033">
        <f t="shared" si="294"/>
        <v>1976</v>
      </c>
      <c r="CJ143" s="2033">
        <f t="shared" si="294"/>
        <v>1926</v>
      </c>
      <c r="CK143" s="2033">
        <f t="shared" si="294"/>
        <v>1888</v>
      </c>
      <c r="CL143" s="2580">
        <f t="shared" si="294"/>
        <v>1834</v>
      </c>
      <c r="CM143" s="2033">
        <f t="shared" si="294"/>
        <v>1790</v>
      </c>
      <c r="CN143" s="2033">
        <f>+CN385</f>
        <v>1740</v>
      </c>
      <c r="CO143" s="2033">
        <f>+CO385</f>
        <v>1705</v>
      </c>
      <c r="CP143" s="2580">
        <f t="shared" ref="CP143" si="295">+CP385</f>
        <v>1633</v>
      </c>
      <c r="CQ143" s="2033">
        <f>+CQ385</f>
        <v>1620.595</v>
      </c>
      <c r="CR143" s="2033">
        <f>+CR385</f>
        <v>1576.4</v>
      </c>
      <c r="CS143" s="2033">
        <f>+CS385</f>
        <v>1543.5350000000001</v>
      </c>
      <c r="CT143" s="2580">
        <f>+CT385</f>
        <v>1477.875</v>
      </c>
    </row>
    <row r="144" spans="1:98" outlineLevel="1">
      <c r="A144" s="3937" t="s">
        <v>34</v>
      </c>
      <c r="B144" s="3876"/>
      <c r="C144" s="3876"/>
      <c r="D144" s="3876"/>
      <c r="E144" s="3876"/>
      <c r="F144" s="3876"/>
      <c r="G144" s="3876"/>
      <c r="H144" s="3876"/>
      <c r="I144" s="3876"/>
      <c r="J144" s="3876"/>
      <c r="K144" s="3876"/>
      <c r="L144" s="3876"/>
      <c r="M144" s="3938"/>
      <c r="N144" s="3939" t="s">
        <v>1089</v>
      </c>
      <c r="O144" s="3938">
        <f>+O143/N143-1</f>
        <v>-7.3592020435470085E-2</v>
      </c>
      <c r="P144" s="3945" t="s">
        <v>441</v>
      </c>
      <c r="Q144" s="3945" t="s">
        <v>441</v>
      </c>
      <c r="R144" s="3938">
        <f t="shared" ref="R144:W144" si="296">+R143/Q143-1</f>
        <v>-8.2992542699061866E-2</v>
      </c>
      <c r="S144" s="3938">
        <f t="shared" si="296"/>
        <v>-9.91605456453305E-2</v>
      </c>
      <c r="T144" s="3938">
        <f t="shared" si="296"/>
        <v>-9.4582847990681507E-2</v>
      </c>
      <c r="U144" s="3938">
        <f t="shared" si="296"/>
        <v>-9.3750237042742879E-2</v>
      </c>
      <c r="V144" s="3938">
        <f t="shared" si="296"/>
        <v>-9.2890841511173439E-2</v>
      </c>
      <c r="W144" s="3938">
        <f t="shared" si="296"/>
        <v>-9.2002827345705973E-2</v>
      </c>
      <c r="X144" s="3938">
        <f t="shared" ref="X144:AF144" si="297">+X143/W143-1</f>
        <v>-9.1084524045661031E-2</v>
      </c>
      <c r="Y144" s="3938">
        <f t="shared" si="297"/>
        <v>-9.0134438476292766E-2</v>
      </c>
      <c r="Z144" s="3938">
        <f t="shared" si="297"/>
        <v>-8.9151266197646795E-2</v>
      </c>
      <c r="AA144" s="3938">
        <f t="shared" si="297"/>
        <v>-8.8133900001281296E-2</v>
      </c>
      <c r="AB144" s="3938">
        <f t="shared" si="297"/>
        <v>-8.7081435373105309E-2</v>
      </c>
      <c r="AC144" s="3938">
        <f t="shared" si="297"/>
        <v>-8.5993172638809567E-2</v>
      </c>
      <c r="AD144" s="3938">
        <f t="shared" si="297"/>
        <v>-8.4868615602969433E-2</v>
      </c>
      <c r="AE144" s="3938">
        <f t="shared" si="297"/>
        <v>-8.3707466563967325E-2</v>
      </c>
      <c r="AF144" s="3938">
        <f t="shared" si="297"/>
        <v>-8.250961767351761E-2</v>
      </c>
      <c r="AG144" s="3920"/>
      <c r="AH144" s="3921"/>
      <c r="AI144" s="3876"/>
      <c r="AJ144" s="3876"/>
      <c r="AK144" s="3876"/>
      <c r="AL144" s="3876"/>
      <c r="AM144" s="3876"/>
      <c r="AN144" s="3876"/>
      <c r="AO144" s="3876"/>
      <c r="AP144" s="3876"/>
      <c r="AQ144" s="3876"/>
      <c r="AR144" s="3876"/>
      <c r="AS144" s="3876"/>
      <c r="AT144" s="3876"/>
      <c r="AU144" s="3876"/>
      <c r="AV144" s="3876"/>
      <c r="AW144" s="3876"/>
      <c r="AX144" s="3876"/>
      <c r="AY144" s="3876"/>
      <c r="AZ144" s="3876"/>
      <c r="BA144" s="3876"/>
      <c r="BB144" s="3876"/>
      <c r="BC144" s="3940"/>
      <c r="BD144" s="3934"/>
      <c r="BE144" s="3934"/>
      <c r="BF144" s="3934"/>
      <c r="BG144" s="3940"/>
      <c r="BH144" s="3934"/>
      <c r="BI144" s="3934"/>
      <c r="BJ144" s="3934"/>
      <c r="BK144" s="3941"/>
      <c r="BL144" s="3942"/>
      <c r="BM144" s="3942"/>
      <c r="BN144" s="3942"/>
      <c r="BO144" s="3946"/>
      <c r="BP144" s="3942"/>
      <c r="BQ144" s="3942"/>
      <c r="BR144" s="3943"/>
      <c r="BS144" s="3947" t="s">
        <v>1089</v>
      </c>
      <c r="BT144" s="3948" t="s">
        <v>1089</v>
      </c>
      <c r="BU144" s="3948" t="s">
        <v>1089</v>
      </c>
      <c r="BV144" s="3948" t="s">
        <v>1089</v>
      </c>
      <c r="BW144" s="3946">
        <f>+BW143/BS143-1</f>
        <v>-8.313762329732266E-2</v>
      </c>
      <c r="BX144" s="3942">
        <f>+BX143/BT143-1</f>
        <v>-7.636887608069165E-2</v>
      </c>
      <c r="BY144" s="3942">
        <f>+BY143/BU143-1</f>
        <v>-6.6600888011840165E-2</v>
      </c>
      <c r="BZ144" s="3943">
        <f>+BZ143/BV143-1</f>
        <v>-6.7574382249117493E-2</v>
      </c>
      <c r="CA144" s="3946">
        <f>+CA143/BW143-1</f>
        <v>-5.7889344262295084E-2</v>
      </c>
      <c r="CB144" s="3949" t="s">
        <v>441</v>
      </c>
      <c r="CC144" s="3949" t="s">
        <v>441</v>
      </c>
      <c r="CD144" s="3950" t="s">
        <v>441</v>
      </c>
      <c r="CE144" s="3951" t="s">
        <v>441</v>
      </c>
      <c r="CF144" s="3942">
        <f t="shared" ref="CF144:CM144" si="298">+CF143/CB143-1</f>
        <v>-8.6176727909011319E-2</v>
      </c>
      <c r="CG144" s="3942">
        <f t="shared" si="298"/>
        <v>-8.1952530228392328E-2</v>
      </c>
      <c r="CH144" s="3943">
        <f t="shared" si="298"/>
        <v>-7.1985327831270096E-2</v>
      </c>
      <c r="CI144" s="3942">
        <f t="shared" si="298"/>
        <v>-8.1357508135750822E-2</v>
      </c>
      <c r="CJ144" s="3942">
        <f t="shared" si="298"/>
        <v>-7.8027764480612771E-2</v>
      </c>
      <c r="CK144" s="3942">
        <f t="shared" si="298"/>
        <v>-7.9024390243902398E-2</v>
      </c>
      <c r="CL144" s="3943">
        <f t="shared" si="298"/>
        <v>-9.3873517786561278E-2</v>
      </c>
      <c r="CM144" s="3942">
        <f t="shared" si="298"/>
        <v>-9.4129554655870473E-2</v>
      </c>
      <c r="CN144" s="3942">
        <f>+CN143/CJ143-1</f>
        <v>-9.6573208722741444E-2</v>
      </c>
      <c r="CO144" s="3942">
        <f>+CO143/CK143-1</f>
        <v>-9.6927966101694962E-2</v>
      </c>
      <c r="CP144" s="3943">
        <f t="shared" ref="CP144" si="299">+CP143/CL143-1</f>
        <v>-0.10959651035986917</v>
      </c>
      <c r="CQ144" s="3942">
        <f>+CQ143/CM143-1</f>
        <v>-9.4639664804469281E-2</v>
      </c>
      <c r="CR144" s="3942">
        <f>+CR143/CN143-1</f>
        <v>-9.4022988505747085E-2</v>
      </c>
      <c r="CS144" s="3942">
        <f>+CS143/CO143-1</f>
        <v>-9.4700879765395873E-2</v>
      </c>
      <c r="CT144" s="3943">
        <f>+CT143/CP143-1</f>
        <v>-9.4993876301285973E-2</v>
      </c>
    </row>
    <row r="145" spans="1:98" outlineLevel="1">
      <c r="A145" s="3937" t="s">
        <v>947</v>
      </c>
      <c r="B145" s="3876"/>
      <c r="C145" s="3876"/>
      <c r="D145" s="3876"/>
      <c r="E145" s="3876"/>
      <c r="F145" s="3876"/>
      <c r="G145" s="3876"/>
      <c r="H145" s="3876"/>
      <c r="I145" s="3876"/>
      <c r="J145" s="3876"/>
      <c r="K145" s="3876"/>
      <c r="L145" s="3876"/>
      <c r="N145" s="3876"/>
      <c r="O145" s="3876"/>
      <c r="P145" s="3876"/>
      <c r="Q145" s="3876"/>
      <c r="R145" s="3876"/>
      <c r="S145" s="3876"/>
      <c r="T145" s="3876"/>
      <c r="U145" s="3876"/>
      <c r="V145" s="3876"/>
      <c r="W145" s="3876"/>
      <c r="X145" s="3876"/>
      <c r="Y145" s="3876"/>
      <c r="Z145" s="3876"/>
      <c r="AA145" s="3876"/>
      <c r="AB145" s="3876"/>
      <c r="AC145" s="3876"/>
      <c r="AD145" s="3876"/>
      <c r="AE145" s="3876"/>
      <c r="AF145" s="3876"/>
      <c r="AG145" s="3920"/>
      <c r="AH145" s="3921"/>
      <c r="AI145" s="3876"/>
      <c r="AJ145" s="3876"/>
      <c r="AK145" s="3876"/>
      <c r="AL145" s="3876"/>
      <c r="AM145" s="3876"/>
      <c r="AN145" s="3876"/>
      <c r="AO145" s="3876"/>
      <c r="AP145" s="3876"/>
      <c r="AQ145" s="3876"/>
      <c r="AR145" s="3876"/>
      <c r="AS145" s="3876"/>
      <c r="AT145" s="3876"/>
      <c r="AU145" s="3876"/>
      <c r="AV145" s="3876"/>
      <c r="AW145" s="3876"/>
      <c r="AX145" s="3876"/>
      <c r="AY145" s="3876"/>
      <c r="AZ145" s="3876"/>
      <c r="BA145" s="3876"/>
      <c r="BB145" s="3876"/>
      <c r="BC145" s="3940"/>
      <c r="BD145" s="3934"/>
      <c r="BE145" s="3934"/>
      <c r="BF145" s="3934"/>
      <c r="BG145" s="3940"/>
      <c r="BH145" s="3934"/>
      <c r="BI145" s="3934"/>
      <c r="BJ145" s="3934"/>
      <c r="BK145" s="3941"/>
      <c r="BL145" s="3942"/>
      <c r="BM145" s="3942"/>
      <c r="BN145" s="3942"/>
      <c r="BO145" s="3946"/>
      <c r="BP145" s="3942">
        <f>+BP143/BO143-1</f>
        <v>-2.7718550106609841E-2</v>
      </c>
      <c r="BQ145" s="3942">
        <f>+BQ143/BP143-1</f>
        <v>-2.4122807017543879E-2</v>
      </c>
      <c r="BR145" s="3943">
        <f>+BR143/BQ143-1</f>
        <v>-2.1123595505617931E-2</v>
      </c>
      <c r="BS145" s="3947" t="s">
        <v>1089</v>
      </c>
      <c r="BT145" s="3942">
        <f t="shared" ref="BT145:CD145" si="300">+BT143/BS143-1</f>
        <v>-2.2076092062000896E-2</v>
      </c>
      <c r="BU145" s="3942">
        <f t="shared" si="300"/>
        <v>-2.6416906820365016E-2</v>
      </c>
      <c r="BV145" s="3942">
        <f t="shared" si="300"/>
        <v>-2.1706956092747864E-2</v>
      </c>
      <c r="BW145" s="3946">
        <f t="shared" si="300"/>
        <v>-1.563287947554215E-2</v>
      </c>
      <c r="BX145" s="3942">
        <f t="shared" si="300"/>
        <v>-1.4856557377049162E-2</v>
      </c>
      <c r="BY145" s="3942">
        <f t="shared" si="300"/>
        <v>-1.6120644825793007E-2</v>
      </c>
      <c r="BZ145" s="3943">
        <f t="shared" si="300"/>
        <v>-2.2727272727272707E-2</v>
      </c>
      <c r="CA145" s="3946">
        <f t="shared" si="300"/>
        <v>-5.4083288263926388E-3</v>
      </c>
      <c r="CB145" s="3942">
        <f t="shared" si="300"/>
        <v>0.24306688417618272</v>
      </c>
      <c r="CC145" s="3942">
        <f t="shared" si="300"/>
        <v>-2.3184601924759352E-2</v>
      </c>
      <c r="CD145" s="3943">
        <f t="shared" si="300"/>
        <v>-2.3287057769816433E-2</v>
      </c>
      <c r="CE145" s="3942">
        <f t="shared" ref="CE145:CM145" si="301">+CE143/CD143-1</f>
        <v>-1.3755158184319161E-2</v>
      </c>
      <c r="CF145" s="3942">
        <f t="shared" si="301"/>
        <v>-2.8823802882380289E-2</v>
      </c>
      <c r="CG145" s="3942">
        <f t="shared" si="301"/>
        <v>-1.8669219722355246E-2</v>
      </c>
      <c r="CH145" s="3943">
        <f t="shared" si="301"/>
        <v>-1.2682926829268304E-2</v>
      </c>
      <c r="CI145" s="3942">
        <f t="shared" si="301"/>
        <v>-2.371541501976282E-2</v>
      </c>
      <c r="CJ145" s="3942">
        <f t="shared" si="301"/>
        <v>-2.5303643724696401E-2</v>
      </c>
      <c r="CK145" s="3942">
        <f t="shared" si="301"/>
        <v>-1.9730010384215957E-2</v>
      </c>
      <c r="CL145" s="3943">
        <f t="shared" si="301"/>
        <v>-2.8601694915254217E-2</v>
      </c>
      <c r="CM145" s="3942">
        <f t="shared" si="301"/>
        <v>-2.399127589967287E-2</v>
      </c>
      <c r="CN145" s="3942">
        <f>+CN143/CM143-1</f>
        <v>-2.7932960893854775E-2</v>
      </c>
      <c r="CO145" s="3942">
        <f>+CO143/CN143-1</f>
        <v>-2.011494252873558E-2</v>
      </c>
      <c r="CP145" s="3943">
        <f t="shared" ref="CP145" si="302">+CP143/CO143-1</f>
        <v>-4.2228739002932558E-2</v>
      </c>
      <c r="CQ145" s="3942">
        <f>+CQ143/CP143-1</f>
        <v>-7.5964482547458134E-3</v>
      </c>
      <c r="CR145" s="3942">
        <f>+CR143/CQ143-1</f>
        <v>-2.7270848052721286E-2</v>
      </c>
      <c r="CS145" s="3942">
        <f>+CS143/CR143-1</f>
        <v>-2.0848134991119038E-2</v>
      </c>
      <c r="CT145" s="3943">
        <f>+CT143/CS143-1</f>
        <v>-4.253871794290387E-2</v>
      </c>
    </row>
    <row r="146" spans="1:98" outlineLevel="1">
      <c r="A146" s="3937" t="s">
        <v>1216</v>
      </c>
      <c r="B146" s="3876"/>
      <c r="C146" s="3876"/>
      <c r="D146" s="3876"/>
      <c r="E146" s="3876"/>
      <c r="F146" s="3876"/>
      <c r="G146" s="3876"/>
      <c r="H146" s="3876"/>
      <c r="I146" s="3876"/>
      <c r="J146" s="3876"/>
      <c r="K146" s="3876"/>
      <c r="L146" s="3876"/>
      <c r="N146" s="3939">
        <f t="shared" ref="N146:W146" si="303">N143/N157</f>
        <v>0.49378341041503993</v>
      </c>
      <c r="O146" s="3938">
        <f t="shared" si="303"/>
        <v>0.46328852119958636</v>
      </c>
      <c r="P146" s="3938">
        <f t="shared" si="303"/>
        <v>0.52277458062936211</v>
      </c>
      <c r="Q146" s="3938">
        <f t="shared" si="303"/>
        <v>0.51668634640482258</v>
      </c>
      <c r="R146" s="3938">
        <f t="shared" si="303"/>
        <v>0.48492558198702457</v>
      </c>
      <c r="S146" s="3938">
        <f t="shared" si="303"/>
        <v>0.47063660659220174</v>
      </c>
      <c r="T146" s="3938">
        <f>T143/T157</f>
        <v>0.44674654560896793</v>
      </c>
      <c r="U146" s="3938">
        <f t="shared" si="303"/>
        <v>0.41459637412776434</v>
      </c>
      <c r="V146" s="3938">
        <f t="shared" si="303"/>
        <v>0.38520954842411437</v>
      </c>
      <c r="W146" s="3938">
        <f t="shared" si="303"/>
        <v>0.35684330685906623</v>
      </c>
      <c r="X146" s="3938">
        <f t="shared" ref="X146:AF146" si="304">X143/X157</f>
        <v>0.32965272466827589</v>
      </c>
      <c r="Y146" s="3938">
        <f t="shared" si="304"/>
        <v>0.30376068054706651</v>
      </c>
      <c r="Z146" s="3938">
        <f t="shared" si="304"/>
        <v>0.27925754412775644</v>
      </c>
      <c r="AA146" s="3938">
        <f t="shared" si="304"/>
        <v>0.25620228948462581</v>
      </c>
      <c r="AB146" s="3938">
        <f t="shared" si="304"/>
        <v>0.23462475527238699</v>
      </c>
      <c r="AC146" s="3938">
        <f t="shared" si="304"/>
        <v>0.21452873535124589</v>
      </c>
      <c r="AD146" s="3938">
        <f t="shared" si="304"/>
        <v>0.19589558403828081</v>
      </c>
      <c r="AE146" s="3938">
        <f t="shared" si="304"/>
        <v>0.17868804885605102</v>
      </c>
      <c r="AF146" s="3938">
        <f t="shared" si="304"/>
        <v>0.16285409067033349</v>
      </c>
      <c r="AG146" s="3920"/>
      <c r="AH146" s="3921"/>
      <c r="AI146" s="3876"/>
      <c r="AJ146" s="3876"/>
      <c r="AK146" s="3876"/>
      <c r="AL146" s="3876"/>
      <c r="AM146" s="3876"/>
      <c r="AN146" s="3876"/>
      <c r="AO146" s="3876"/>
      <c r="AP146" s="3876"/>
      <c r="AQ146" s="3876"/>
      <c r="AR146" s="3876"/>
      <c r="AS146" s="3876"/>
      <c r="AT146" s="3876"/>
      <c r="AU146" s="3876"/>
      <c r="AV146" s="3876"/>
      <c r="AW146" s="3876"/>
      <c r="AX146" s="3876"/>
      <c r="AY146" s="3876"/>
      <c r="AZ146" s="3876"/>
      <c r="BA146" s="3876"/>
      <c r="BB146" s="3876"/>
      <c r="BC146" s="3940"/>
      <c r="BD146" s="3934"/>
      <c r="BE146" s="3934"/>
      <c r="BF146" s="3934"/>
      <c r="BG146" s="3940"/>
      <c r="BH146" s="3934"/>
      <c r="BI146" s="3934"/>
      <c r="BJ146" s="3934"/>
      <c r="BK146" s="3941"/>
      <c r="BL146" s="3942"/>
      <c r="BM146" s="3942"/>
      <c r="BN146" s="3942"/>
      <c r="BO146" s="3946"/>
      <c r="BP146" s="3942"/>
      <c r="BQ146" s="3942"/>
      <c r="BR146" s="3943"/>
      <c r="BS146" s="3947"/>
      <c r="BT146" s="3942"/>
      <c r="BU146" s="3942"/>
      <c r="BV146" s="3942"/>
      <c r="BW146" s="3946">
        <f t="shared" ref="BW146:CD146" si="305">BW143/BW157</f>
        <v>0.47424684159378039</v>
      </c>
      <c r="BX146" s="3942">
        <f t="shared" si="305"/>
        <v>0.46799707958140668</v>
      </c>
      <c r="BY146" s="3942">
        <f t="shared" si="305"/>
        <v>0.46101364522417154</v>
      </c>
      <c r="BZ146" s="3943">
        <f t="shared" si="305"/>
        <v>0.44987834549878347</v>
      </c>
      <c r="CA146" s="3946">
        <f t="shared" si="305"/>
        <v>0.44744525547445257</v>
      </c>
      <c r="CB146" s="3942">
        <f t="shared" si="305"/>
        <v>0.55756097560975615</v>
      </c>
      <c r="CC146" s="3942">
        <f>CC143/CC157</f>
        <v>0.54757233938205008</v>
      </c>
      <c r="CD146" s="3943">
        <f t="shared" si="305"/>
        <v>0.53905091448344045</v>
      </c>
      <c r="CE146" s="3942">
        <f t="shared" ref="CE146:CM146" si="306">CE143/CE157</f>
        <v>0.53058707449432663</v>
      </c>
      <c r="CF146" s="3942">
        <f t="shared" si="306"/>
        <v>0.5199104031856645</v>
      </c>
      <c r="CG146" s="3942">
        <f t="shared" si="306"/>
        <v>0.5136557253821098</v>
      </c>
      <c r="CH146" s="3943">
        <f t="shared" si="306"/>
        <v>0.5024826216484608</v>
      </c>
      <c r="CI146" s="3942">
        <f t="shared" si="306"/>
        <v>0.49685692733215991</v>
      </c>
      <c r="CJ146" s="3942">
        <f t="shared" si="306"/>
        <v>0.48538306451612906</v>
      </c>
      <c r="CK146" s="3942">
        <f t="shared" si="306"/>
        <v>0.48224776500638572</v>
      </c>
      <c r="CL146" s="3943">
        <f t="shared" si="306"/>
        <v>0.47488348006214398</v>
      </c>
      <c r="CM146" s="3942">
        <f t="shared" si="306"/>
        <v>0.47068104128319749</v>
      </c>
      <c r="CN146" s="3942">
        <f>CN143/CN157</f>
        <v>0.47606019151846785</v>
      </c>
      <c r="CO146" s="3942">
        <f>CO143/CO157</f>
        <v>0.47400611620795108</v>
      </c>
      <c r="CP146" s="3943">
        <f t="shared" ref="CP146" si="307">CP143/CP157</f>
        <v>0.46156020350480498</v>
      </c>
      <c r="CQ146" s="3942">
        <f>CQ143/CQ157</f>
        <v>0.45900494806934661</v>
      </c>
      <c r="CR146" s="3942">
        <f>CR143/CR157</f>
        <v>0.45120921149158078</v>
      </c>
      <c r="CS146" s="3942">
        <f>CS143/CS157</f>
        <v>0.44427222749906459</v>
      </c>
      <c r="CT146" s="3943">
        <f>CT143/CT157</f>
        <v>0.43204886833381084</v>
      </c>
    </row>
    <row r="147" spans="1:98" outlineLevel="1">
      <c r="A147" s="940" t="s">
        <v>660</v>
      </c>
      <c r="B147" s="115"/>
      <c r="C147" s="115"/>
      <c r="D147" s="115"/>
      <c r="E147" s="115"/>
      <c r="F147" s="115"/>
      <c r="G147" s="115"/>
      <c r="H147" s="115"/>
      <c r="I147" s="115"/>
      <c r="J147" s="115"/>
      <c r="K147" s="115"/>
      <c r="L147" s="134"/>
      <c r="M147" s="134">
        <f>+SUM(BO147:BR147)</f>
        <v>658</v>
      </c>
      <c r="N147" s="134">
        <f>+SUM(BS147:BV147)</f>
        <v>672</v>
      </c>
      <c r="O147" s="134">
        <f>+SUM(BW147:BZ147)</f>
        <v>656</v>
      </c>
      <c r="P147" s="2033">
        <f>SUM(CA147:CD147)</f>
        <v>690</v>
      </c>
      <c r="Q147" s="2033">
        <f>SUM(CE147:CH147)</f>
        <v>577</v>
      </c>
      <c r="R147" s="2033">
        <f>SUM(CI147:CL147)</f>
        <v>533</v>
      </c>
      <c r="S147" s="2033">
        <f>SUM(CM147:CP147)</f>
        <v>498</v>
      </c>
      <c r="T147" s="2033">
        <f>SUM(CQ147:CT147)</f>
        <v>608</v>
      </c>
      <c r="U147" s="2231">
        <f>+U391</f>
        <v>590</v>
      </c>
      <c r="V147" s="2231">
        <f>+V391</f>
        <v>578.24</v>
      </c>
      <c r="W147" s="2231">
        <f>+W391</f>
        <v>566.71519999999998</v>
      </c>
      <c r="X147" s="2231">
        <f t="shared" ref="X147:AF147" si="308">+X391</f>
        <v>555.42089599999997</v>
      </c>
      <c r="Y147" s="2231">
        <f t="shared" si="308"/>
        <v>544.35247807999997</v>
      </c>
      <c r="Z147" s="2231">
        <f t="shared" si="308"/>
        <v>533.50542851839998</v>
      </c>
      <c r="AA147" s="2231">
        <f t="shared" si="308"/>
        <v>522.87531994803192</v>
      </c>
      <c r="AB147" s="2231">
        <f t="shared" si="308"/>
        <v>512.45781354907126</v>
      </c>
      <c r="AC147" s="2231">
        <f t="shared" si="308"/>
        <v>502.24865727808981</v>
      </c>
      <c r="AD147" s="2231">
        <f t="shared" si="308"/>
        <v>492.24368413252802</v>
      </c>
      <c r="AE147" s="2231">
        <f t="shared" si="308"/>
        <v>482.43881044987745</v>
      </c>
      <c r="AF147" s="2231">
        <f t="shared" si="308"/>
        <v>472.83003424087991</v>
      </c>
      <c r="AG147" s="2553"/>
      <c r="AH147" s="2714"/>
      <c r="AI147" s="115"/>
      <c r="AJ147" s="115"/>
      <c r="AK147" s="115"/>
      <c r="AL147" s="115"/>
      <c r="AM147" s="115"/>
      <c r="AN147" s="115"/>
      <c r="AO147" s="115"/>
      <c r="AP147" s="115"/>
      <c r="AQ147" s="115"/>
      <c r="AR147" s="115"/>
      <c r="AS147" s="115"/>
      <c r="AT147" s="115"/>
      <c r="AU147" s="115"/>
      <c r="AV147" s="115"/>
      <c r="AW147" s="115"/>
      <c r="AX147" s="115"/>
      <c r="AY147" s="115"/>
      <c r="AZ147" s="115"/>
      <c r="BA147" s="115"/>
      <c r="BB147" s="115"/>
      <c r="BC147" s="1985"/>
      <c r="BD147" s="2062"/>
      <c r="BE147" s="2062"/>
      <c r="BF147" s="2062"/>
      <c r="BG147" s="1985"/>
      <c r="BH147" s="2062"/>
      <c r="BI147" s="2062"/>
      <c r="BJ147" s="2062"/>
      <c r="BK147" s="1897"/>
      <c r="BL147" s="2033"/>
      <c r="BM147" s="2033"/>
      <c r="BN147" s="2033"/>
      <c r="BO147" s="2230">
        <f>+BO171+BO223+BO205</f>
        <v>153</v>
      </c>
      <c r="BP147" s="2231">
        <f>+BP171+BP223+BP205</f>
        <v>151</v>
      </c>
      <c r="BQ147" s="2231">
        <f>+BQ171+BQ223+BQ205</f>
        <v>166</v>
      </c>
      <c r="BR147" s="2232">
        <f>+BR171+BR223+BR205</f>
        <v>188</v>
      </c>
      <c r="BS147" s="2230">
        <f t="shared" ref="BS147:CD147" si="309">+BS171+BS248</f>
        <v>145</v>
      </c>
      <c r="BT147" s="2231">
        <f t="shared" si="309"/>
        <v>170</v>
      </c>
      <c r="BU147" s="2231">
        <f t="shared" si="309"/>
        <v>168</v>
      </c>
      <c r="BV147" s="2231">
        <f t="shared" si="309"/>
        <v>189</v>
      </c>
      <c r="BW147" s="2230">
        <f t="shared" si="309"/>
        <v>140</v>
      </c>
      <c r="BX147" s="2231">
        <f t="shared" si="309"/>
        <v>167</v>
      </c>
      <c r="BY147" s="2231">
        <f t="shared" si="309"/>
        <v>163</v>
      </c>
      <c r="BZ147" s="2232">
        <f t="shared" si="309"/>
        <v>186</v>
      </c>
      <c r="CA147" s="2230">
        <f t="shared" si="309"/>
        <v>174</v>
      </c>
      <c r="CB147" s="2231">
        <f t="shared" si="309"/>
        <v>187</v>
      </c>
      <c r="CC147" s="2231">
        <f t="shared" si="309"/>
        <v>185</v>
      </c>
      <c r="CD147" s="2232">
        <f t="shared" si="309"/>
        <v>144</v>
      </c>
      <c r="CE147" s="2231">
        <f>+CE391</f>
        <v>140</v>
      </c>
      <c r="CF147" s="2231">
        <f t="shared" ref="CF147:CM147" si="310">+CF391</f>
        <v>143</v>
      </c>
      <c r="CG147" s="2922">
        <f t="shared" si="310"/>
        <v>154</v>
      </c>
      <c r="CH147" s="2923">
        <f t="shared" si="310"/>
        <v>140</v>
      </c>
      <c r="CI147" s="2231">
        <f t="shared" si="310"/>
        <v>116</v>
      </c>
      <c r="CJ147" s="2231">
        <f t="shared" si="310"/>
        <v>123</v>
      </c>
      <c r="CK147" s="2231">
        <f t="shared" si="310"/>
        <v>163</v>
      </c>
      <c r="CL147" s="2580">
        <f t="shared" si="310"/>
        <v>131</v>
      </c>
      <c r="CM147" s="2231">
        <f t="shared" si="310"/>
        <v>118</v>
      </c>
      <c r="CN147" s="2231">
        <f>+CN391</f>
        <v>133</v>
      </c>
      <c r="CO147" s="2231">
        <f>+CO391</f>
        <v>134</v>
      </c>
      <c r="CP147" s="2580">
        <f t="shared" ref="CP147" si="311">+CP391</f>
        <v>113</v>
      </c>
      <c r="CQ147" s="2231">
        <f>+CQ391</f>
        <v>152</v>
      </c>
      <c r="CR147" s="2231">
        <f>+CR391</f>
        <v>152</v>
      </c>
      <c r="CS147" s="2231">
        <f>+CS391</f>
        <v>152</v>
      </c>
      <c r="CT147" s="2232">
        <f>+CT391</f>
        <v>152</v>
      </c>
    </row>
    <row r="148" spans="1:98" outlineLevel="1">
      <c r="A148" s="3937" t="s">
        <v>34</v>
      </c>
      <c r="B148" s="3876"/>
      <c r="C148" s="3876"/>
      <c r="D148" s="3876"/>
      <c r="E148" s="3876"/>
      <c r="F148" s="3876"/>
      <c r="G148" s="3876"/>
      <c r="H148" s="3876"/>
      <c r="I148" s="3876"/>
      <c r="J148" s="3876"/>
      <c r="K148" s="3876"/>
      <c r="L148" s="3876"/>
      <c r="M148" s="3938"/>
      <c r="N148" s="3938">
        <f t="shared" ref="N148:W148" si="312">+N147/M147-1</f>
        <v>2.1276595744680771E-2</v>
      </c>
      <c r="O148" s="3938">
        <f t="shared" si="312"/>
        <v>-2.3809523809523836E-2</v>
      </c>
      <c r="P148" s="3938">
        <f t="shared" si="312"/>
        <v>5.1829268292682862E-2</v>
      </c>
      <c r="Q148" s="3938">
        <f t="shared" si="312"/>
        <v>-0.163768115942029</v>
      </c>
      <c r="R148" s="3938">
        <f t="shared" si="312"/>
        <v>-7.6256499133448896E-2</v>
      </c>
      <c r="S148" s="3938">
        <f t="shared" si="312"/>
        <v>-6.5666041275797338E-2</v>
      </c>
      <c r="T148" s="3938">
        <f t="shared" si="312"/>
        <v>0.22088353413654627</v>
      </c>
      <c r="U148" s="3938">
        <f t="shared" si="312"/>
        <v>-2.960526315789469E-2</v>
      </c>
      <c r="V148" s="3938">
        <f t="shared" si="312"/>
        <v>-1.9932203389830483E-2</v>
      </c>
      <c r="W148" s="3938">
        <f t="shared" si="312"/>
        <v>-1.9930824571112393E-2</v>
      </c>
      <c r="X148" s="3938">
        <f t="shared" ref="X148:AF148" si="313">+X147/W147-1</f>
        <v>-1.9929417809862904E-2</v>
      </c>
      <c r="Y148" s="3938">
        <f t="shared" si="313"/>
        <v>-1.9927982543890499E-2</v>
      </c>
      <c r="Z148" s="3938">
        <f t="shared" si="313"/>
        <v>-1.9926518199859911E-2</v>
      </c>
      <c r="AA148" s="3938">
        <f t="shared" si="313"/>
        <v>-1.9925024193078955E-2</v>
      </c>
      <c r="AB148" s="3938">
        <f t="shared" si="313"/>
        <v>-1.9923499927279154E-2</v>
      </c>
      <c r="AC148" s="3938">
        <f t="shared" si="313"/>
        <v>-1.9921944794395907E-2</v>
      </c>
      <c r="AD148" s="3938">
        <f t="shared" si="313"/>
        <v>-1.992035817434179E-2</v>
      </c>
      <c r="AE148" s="3938">
        <f t="shared" si="313"/>
        <v>-1.9918739434777177E-2</v>
      </c>
      <c r="AF148" s="3938">
        <f t="shared" si="313"/>
        <v>-1.9917087930876209E-2</v>
      </c>
      <c r="AG148" s="3920"/>
      <c r="AH148" s="3921"/>
      <c r="AI148" s="3876"/>
      <c r="AJ148" s="3876"/>
      <c r="AK148" s="3876"/>
      <c r="AL148" s="3876"/>
      <c r="AM148" s="3876"/>
      <c r="AN148" s="3876"/>
      <c r="AO148" s="3876"/>
      <c r="AP148" s="3876"/>
      <c r="AQ148" s="3876"/>
      <c r="AR148" s="3876"/>
      <c r="AS148" s="3876"/>
      <c r="AT148" s="3876"/>
      <c r="AU148" s="3876"/>
      <c r="AV148" s="3876"/>
      <c r="AW148" s="3876"/>
      <c r="AX148" s="3876"/>
      <c r="AY148" s="3876"/>
      <c r="AZ148" s="3876"/>
      <c r="BA148" s="3876"/>
      <c r="BB148" s="3876"/>
      <c r="BC148" s="3940"/>
      <c r="BD148" s="3934"/>
      <c r="BE148" s="3934"/>
      <c r="BF148" s="3934"/>
      <c r="BG148" s="3940"/>
      <c r="BH148" s="3934"/>
      <c r="BI148" s="3934"/>
      <c r="BJ148" s="3934"/>
      <c r="BK148" s="3933"/>
      <c r="BL148" s="3942"/>
      <c r="BM148" s="3942"/>
      <c r="BN148" s="3942"/>
      <c r="BO148" s="3946"/>
      <c r="BP148" s="3942"/>
      <c r="BQ148" s="3942"/>
      <c r="BR148" s="3943"/>
      <c r="BS148" s="3946">
        <f t="shared" ref="BS148:CD148" si="314">+BS147/BO147-1</f>
        <v>-5.2287581699346442E-2</v>
      </c>
      <c r="BT148" s="3942">
        <f t="shared" si="314"/>
        <v>0.1258278145695364</v>
      </c>
      <c r="BU148" s="3942">
        <f t="shared" si="314"/>
        <v>1.2048192771084265E-2</v>
      </c>
      <c r="BV148" s="3942">
        <f t="shared" si="314"/>
        <v>5.3191489361701372E-3</v>
      </c>
      <c r="BW148" s="3946">
        <f t="shared" si="314"/>
        <v>-3.4482758620689613E-2</v>
      </c>
      <c r="BX148" s="3942">
        <f t="shared" si="314"/>
        <v>-1.764705882352946E-2</v>
      </c>
      <c r="BY148" s="3942">
        <f t="shared" si="314"/>
        <v>-2.9761904761904767E-2</v>
      </c>
      <c r="BZ148" s="3943">
        <f t="shared" si="314"/>
        <v>-1.5873015873015928E-2</v>
      </c>
      <c r="CA148" s="3946">
        <f t="shared" si="314"/>
        <v>0.24285714285714288</v>
      </c>
      <c r="CB148" s="3942">
        <f t="shared" si="314"/>
        <v>0.11976047904191622</v>
      </c>
      <c r="CC148" s="3942">
        <f t="shared" si="314"/>
        <v>0.13496932515337434</v>
      </c>
      <c r="CD148" s="3943">
        <f t="shared" si="314"/>
        <v>-0.22580645161290325</v>
      </c>
      <c r="CE148" s="3942">
        <f t="shared" ref="CE148:CM148" si="315">+CE147/CA147-1</f>
        <v>-0.1954022988505747</v>
      </c>
      <c r="CF148" s="3942">
        <f t="shared" si="315"/>
        <v>-0.23529411764705888</v>
      </c>
      <c r="CG148" s="3942">
        <f t="shared" si="315"/>
        <v>-0.16756756756756752</v>
      </c>
      <c r="CH148" s="3943">
        <f t="shared" si="315"/>
        <v>-2.777777777777779E-2</v>
      </c>
      <c r="CI148" s="3942">
        <f t="shared" si="315"/>
        <v>-0.17142857142857137</v>
      </c>
      <c r="CJ148" s="3942">
        <f t="shared" si="315"/>
        <v>-0.1398601398601399</v>
      </c>
      <c r="CK148" s="3942">
        <f t="shared" si="315"/>
        <v>5.8441558441558517E-2</v>
      </c>
      <c r="CL148" s="3943">
        <f t="shared" si="315"/>
        <v>-6.4285714285714279E-2</v>
      </c>
      <c r="CM148" s="3942">
        <f t="shared" si="315"/>
        <v>1.7241379310344751E-2</v>
      </c>
      <c r="CN148" s="3942">
        <f>+CN147/CJ147-1</f>
        <v>8.1300813008130079E-2</v>
      </c>
      <c r="CO148" s="3942">
        <f>+CO147/CK147-1</f>
        <v>-0.17791411042944782</v>
      </c>
      <c r="CP148" s="3943">
        <f t="shared" ref="CP148" si="316">+CP147/CL147-1</f>
        <v>-0.13740458015267176</v>
      </c>
      <c r="CQ148" s="3942">
        <f>+CQ147/CM147-1</f>
        <v>0.28813559322033888</v>
      </c>
      <c r="CR148" s="3942">
        <f>+CR147/CN147-1</f>
        <v>0.14285714285714279</v>
      </c>
      <c r="CS148" s="3942">
        <f>+CS147/CO147-1</f>
        <v>0.13432835820895517</v>
      </c>
      <c r="CT148" s="3943">
        <f>+CT147/CP147-1</f>
        <v>0.34513274336283195</v>
      </c>
    </row>
    <row r="149" spans="1:98" outlineLevel="1">
      <c r="A149" s="3937" t="s">
        <v>947</v>
      </c>
      <c r="B149" s="3876"/>
      <c r="C149" s="3876"/>
      <c r="D149" s="3876"/>
      <c r="E149" s="3876"/>
      <c r="F149" s="3876"/>
      <c r="G149" s="3876"/>
      <c r="H149" s="3876"/>
      <c r="I149" s="3876"/>
      <c r="J149" s="3876"/>
      <c r="K149" s="3876"/>
      <c r="L149" s="3876"/>
      <c r="N149" s="3876"/>
      <c r="O149" s="3876"/>
      <c r="P149" s="3876"/>
      <c r="Q149" s="3876"/>
      <c r="R149" s="3876"/>
      <c r="S149" s="3876"/>
      <c r="T149" s="3876"/>
      <c r="U149" s="3876"/>
      <c r="V149" s="3876"/>
      <c r="W149" s="3876"/>
      <c r="X149" s="3876"/>
      <c r="Y149" s="3876"/>
      <c r="Z149" s="3876"/>
      <c r="AA149" s="3876"/>
      <c r="AB149" s="3876"/>
      <c r="AC149" s="3876"/>
      <c r="AD149" s="3876"/>
      <c r="AE149" s="3876"/>
      <c r="AF149" s="3876"/>
      <c r="AG149" s="3920"/>
      <c r="AH149" s="3921"/>
      <c r="AI149" s="3876"/>
      <c r="AJ149" s="3876"/>
      <c r="AK149" s="3876"/>
      <c r="AL149" s="3876"/>
      <c r="AM149" s="3876"/>
      <c r="AN149" s="3876"/>
      <c r="AO149" s="3876"/>
      <c r="AP149" s="3876"/>
      <c r="AQ149" s="3876"/>
      <c r="AR149" s="3876"/>
      <c r="AS149" s="3876"/>
      <c r="AT149" s="3876"/>
      <c r="AU149" s="3876"/>
      <c r="AV149" s="3876"/>
      <c r="AW149" s="3876"/>
      <c r="AX149" s="3876"/>
      <c r="AY149" s="3876"/>
      <c r="AZ149" s="3876"/>
      <c r="BA149" s="3876"/>
      <c r="BB149" s="3876"/>
      <c r="BC149" s="3940"/>
      <c r="BD149" s="3934"/>
      <c r="BE149" s="3934"/>
      <c r="BF149" s="3934"/>
      <c r="BG149" s="3940"/>
      <c r="BH149" s="3934"/>
      <c r="BI149" s="3934"/>
      <c r="BJ149" s="3934"/>
      <c r="BK149" s="3933"/>
      <c r="BL149" s="3942"/>
      <c r="BM149" s="3942"/>
      <c r="BN149" s="3942"/>
      <c r="BO149" s="3946"/>
      <c r="BP149" s="3942">
        <f>+BP147/BO147-1</f>
        <v>-1.3071895424836555E-2</v>
      </c>
      <c r="BQ149" s="3942">
        <f>+BQ147/BP147-1</f>
        <v>9.9337748344370924E-2</v>
      </c>
      <c r="BR149" s="3943">
        <f>+BR147/BQ147-1</f>
        <v>0.1325301204819278</v>
      </c>
      <c r="BS149" s="3946">
        <f>+BS147/BR147-1</f>
        <v>-0.22872340425531912</v>
      </c>
      <c r="BT149" s="3942">
        <f>+BT147/BS147-1</f>
        <v>0.17241379310344818</v>
      </c>
      <c r="BU149" s="3942">
        <f t="shared" ref="BU149:CC149" si="317">+BU147/BT147-1</f>
        <v>-1.1764705882352899E-2</v>
      </c>
      <c r="BV149" s="3942">
        <f t="shared" si="317"/>
        <v>0.125</v>
      </c>
      <c r="BW149" s="3946">
        <f t="shared" si="317"/>
        <v>-0.2592592592592593</v>
      </c>
      <c r="BX149" s="3942">
        <f t="shared" si="317"/>
        <v>0.19285714285714284</v>
      </c>
      <c r="BY149" s="3942">
        <f t="shared" si="317"/>
        <v>-2.39520958083832E-2</v>
      </c>
      <c r="BZ149" s="3943">
        <f t="shared" si="317"/>
        <v>0.14110429447852768</v>
      </c>
      <c r="CA149" s="3946">
        <f t="shared" si="317"/>
        <v>-6.4516129032258118E-2</v>
      </c>
      <c r="CB149" s="3942">
        <f t="shared" si="317"/>
        <v>7.4712643678160884E-2</v>
      </c>
      <c r="CC149" s="3942">
        <f t="shared" si="317"/>
        <v>-1.0695187165775444E-2</v>
      </c>
      <c r="CD149" s="3943">
        <f>+CD147/CC147-1</f>
        <v>-0.22162162162162158</v>
      </c>
      <c r="CE149" s="3942">
        <f>+CE147/CD147-1</f>
        <v>-2.777777777777779E-2</v>
      </c>
      <c r="CF149" s="3942">
        <f>+CF147/CE147-1</f>
        <v>2.1428571428571352E-2</v>
      </c>
      <c r="CG149" s="3942">
        <f>+CG147/CF147-1</f>
        <v>7.6923076923076872E-2</v>
      </c>
      <c r="CH149" s="3943">
        <f t="shared" ref="CH149:CM149" si="318">+CH147/CG147-1</f>
        <v>-9.0909090909090939E-2</v>
      </c>
      <c r="CI149" s="3942">
        <f t="shared" si="318"/>
        <v>-0.17142857142857137</v>
      </c>
      <c r="CJ149" s="3942">
        <f t="shared" si="318"/>
        <v>6.0344827586206851E-2</v>
      </c>
      <c r="CK149" s="3942">
        <f t="shared" si="318"/>
        <v>0.32520325203252032</v>
      </c>
      <c r="CL149" s="3943">
        <f t="shared" si="318"/>
        <v>-0.19631901840490795</v>
      </c>
      <c r="CM149" s="3942">
        <f t="shared" si="318"/>
        <v>-9.92366412213741E-2</v>
      </c>
      <c r="CN149" s="3942">
        <f>+CN147/CM147-1</f>
        <v>0.12711864406779672</v>
      </c>
      <c r="CO149" s="3942">
        <f>+CO147/CN147-1</f>
        <v>7.5187969924812581E-3</v>
      </c>
      <c r="CP149" s="3943">
        <f t="shared" ref="CP149" si="319">+CP147/CO147-1</f>
        <v>-0.15671641791044777</v>
      </c>
      <c r="CQ149" s="3942">
        <f>+CQ147/CP147-1</f>
        <v>0.34513274336283195</v>
      </c>
      <c r="CR149" s="3942">
        <f>+CR147/CQ147-1</f>
        <v>0</v>
      </c>
      <c r="CS149" s="3942">
        <f>+CS147/CR147-1</f>
        <v>0</v>
      </c>
      <c r="CT149" s="3943">
        <f>+CT147/CS147-1</f>
        <v>0</v>
      </c>
    </row>
    <row r="150" spans="1:98" outlineLevel="1">
      <c r="A150" s="940" t="s">
        <v>792</v>
      </c>
      <c r="B150" s="115"/>
      <c r="C150" s="115"/>
      <c r="D150" s="115"/>
      <c r="E150" s="115"/>
      <c r="F150" s="115"/>
      <c r="G150" s="115"/>
      <c r="H150" s="115"/>
      <c r="I150" s="115"/>
      <c r="J150" s="115"/>
      <c r="K150" s="115"/>
      <c r="L150" s="134"/>
      <c r="M150" s="134">
        <f ca="1">+SUM(BO150:BR150)</f>
        <v>1001.8000000000002</v>
      </c>
      <c r="N150" s="134">
        <f>+SUM(BS150:BV150)</f>
        <v>1056</v>
      </c>
      <c r="O150" s="134">
        <f>+SUM(BW150:BZ150)</f>
        <v>1000</v>
      </c>
      <c r="P150" s="2033">
        <f>SUM(CA150:CD150)</f>
        <v>1003</v>
      </c>
      <c r="Q150" s="2033">
        <f>SUM(CE150:CH150)</f>
        <v>1232</v>
      </c>
      <c r="R150" s="2033">
        <f>SUM(CI150:CL150)</f>
        <v>1215</v>
      </c>
      <c r="S150" s="2033">
        <f>SUM(CM150:CP150)</f>
        <v>1206</v>
      </c>
      <c r="T150" s="2033">
        <f>SUM(CQ150:CT150)</f>
        <v>1242</v>
      </c>
      <c r="U150" s="134">
        <f>+U400</f>
        <v>1229.2533733133432</v>
      </c>
      <c r="V150" s="134">
        <f>+V400</f>
        <v>1216.755181629575</v>
      </c>
      <c r="W150" s="134">
        <f>+W400</f>
        <v>1204.5005828871695</v>
      </c>
      <c r="X150" s="134">
        <f t="shared" ref="X150:AF150" si="320">+X400</f>
        <v>1192.4848293976142</v>
      </c>
      <c r="Y150" s="134">
        <f t="shared" si="320"/>
        <v>1180.7032660060563</v>
      </c>
      <c r="Z150" s="134">
        <f t="shared" si="320"/>
        <v>1169.1513282877972</v>
      </c>
      <c r="AA150" s="134">
        <f t="shared" si="320"/>
        <v>1157.8245407799391</v>
      </c>
      <c r="AB150" s="134">
        <f t="shared" si="320"/>
        <v>1146.7185152474965</v>
      </c>
      <c r="AC150" s="134">
        <f t="shared" si="320"/>
        <v>1135.8289489833023</v>
      </c>
      <c r="AD150" s="134">
        <f t="shared" si="320"/>
        <v>1125.151623141049</v>
      </c>
      <c r="AE150" s="134">
        <f t="shared" si="320"/>
        <v>1114.6824011008184</v>
      </c>
      <c r="AF150" s="134">
        <f t="shared" si="320"/>
        <v>1104.4172268664697</v>
      </c>
      <c r="AG150" s="2553"/>
      <c r="AH150" s="2714"/>
      <c r="AI150" s="115"/>
      <c r="AJ150" s="115"/>
      <c r="AK150" s="115"/>
      <c r="AL150" s="115"/>
      <c r="AM150" s="115"/>
      <c r="AN150" s="115"/>
      <c r="AO150" s="115"/>
      <c r="AP150" s="115"/>
      <c r="AQ150" s="115"/>
      <c r="AR150" s="115"/>
      <c r="AS150" s="115"/>
      <c r="AT150" s="115"/>
      <c r="AU150" s="115"/>
      <c r="AV150" s="115"/>
      <c r="AW150" s="115"/>
      <c r="AX150" s="115"/>
      <c r="AY150" s="115"/>
      <c r="AZ150" s="115"/>
      <c r="BA150" s="115"/>
      <c r="BB150" s="115"/>
      <c r="BC150" s="1985"/>
      <c r="BD150" s="2062"/>
      <c r="BE150" s="2062"/>
      <c r="BF150" s="2062"/>
      <c r="BG150" s="1985"/>
      <c r="BH150" s="2062"/>
      <c r="BI150" s="2062"/>
      <c r="BJ150" s="2062"/>
      <c r="BK150" s="1891"/>
      <c r="BL150" s="2034"/>
      <c r="BM150" s="2034"/>
      <c r="BN150" s="2034"/>
      <c r="BO150" s="2056">
        <f ca="1">IS!BG25-Subscribers!BO139-Subscribers!BO143-Subscribers!BO147</f>
        <v>254.80000000000018</v>
      </c>
      <c r="BP150" s="2034">
        <v>247</v>
      </c>
      <c r="BQ150" s="2047">
        <v>246</v>
      </c>
      <c r="BR150" s="2046">
        <v>254</v>
      </c>
      <c r="BS150" s="1891">
        <v>266</v>
      </c>
      <c r="BT150" s="2034">
        <v>266</v>
      </c>
      <c r="BU150" s="2034">
        <v>257</v>
      </c>
      <c r="BV150" s="2034">
        <v>267</v>
      </c>
      <c r="BW150" s="1891">
        <v>257</v>
      </c>
      <c r="BX150" s="2034">
        <v>249</v>
      </c>
      <c r="BY150" s="2034">
        <v>248</v>
      </c>
      <c r="BZ150" s="2046">
        <v>246</v>
      </c>
      <c r="CA150" s="1891">
        <v>254</v>
      </c>
      <c r="CB150" s="2034">
        <v>253</v>
      </c>
      <c r="CC150" s="2034">
        <v>250</v>
      </c>
      <c r="CD150" s="2046">
        <v>246</v>
      </c>
      <c r="CE150" s="2921">
        <f>+CE400</f>
        <v>257</v>
      </c>
      <c r="CF150" s="2922">
        <f t="shared" ref="CF150:CM150" si="321">+CF400</f>
        <v>258</v>
      </c>
      <c r="CG150" s="2922">
        <f t="shared" si="321"/>
        <v>409</v>
      </c>
      <c r="CH150" s="2923">
        <f t="shared" si="321"/>
        <v>308</v>
      </c>
      <c r="CI150" s="2231">
        <f t="shared" si="321"/>
        <v>308</v>
      </c>
      <c r="CJ150" s="2231">
        <f t="shared" si="321"/>
        <v>307</v>
      </c>
      <c r="CK150" s="2231">
        <f t="shared" si="321"/>
        <v>304</v>
      </c>
      <c r="CL150" s="2580">
        <f t="shared" si="321"/>
        <v>296</v>
      </c>
      <c r="CM150" s="134">
        <f t="shared" si="321"/>
        <v>288</v>
      </c>
      <c r="CN150" s="2231">
        <f>+CN400</f>
        <v>302</v>
      </c>
      <c r="CO150" s="2231">
        <f>+CO400</f>
        <v>303</v>
      </c>
      <c r="CP150" s="2580">
        <f t="shared" ref="CP150" si="322">+CP400</f>
        <v>313</v>
      </c>
      <c r="CQ150" s="134">
        <f>+CQ400</f>
        <v>312</v>
      </c>
      <c r="CR150" s="134">
        <f>+CR400</f>
        <v>311</v>
      </c>
      <c r="CS150" s="134">
        <f>+CS400</f>
        <v>310</v>
      </c>
      <c r="CT150" s="131">
        <f>+CT400</f>
        <v>309</v>
      </c>
    </row>
    <row r="151" spans="1:98" outlineLevel="1">
      <c r="A151" s="3937" t="s">
        <v>34</v>
      </c>
      <c r="B151" s="3876"/>
      <c r="C151" s="3876"/>
      <c r="D151" s="3876"/>
      <c r="E151" s="3876"/>
      <c r="F151" s="3876"/>
      <c r="G151" s="3876"/>
      <c r="H151" s="3876"/>
      <c r="I151" s="3876"/>
      <c r="J151" s="3876"/>
      <c r="K151" s="3876"/>
      <c r="L151" s="3876"/>
      <c r="M151" s="3938"/>
      <c r="N151" s="3938">
        <f t="shared" ref="N151:W151" ca="1" si="323">+N150/M150-1</f>
        <v>5.4102615292473288E-2</v>
      </c>
      <c r="O151" s="3938">
        <f t="shared" si="323"/>
        <v>-5.3030303030302983E-2</v>
      </c>
      <c r="P151" s="3938">
        <f t="shared" si="323"/>
        <v>2.9999999999998916E-3</v>
      </c>
      <c r="Q151" s="3938">
        <f t="shared" si="323"/>
        <v>0.22831505483549352</v>
      </c>
      <c r="R151" s="3938">
        <f t="shared" si="323"/>
        <v>-1.379870129870131E-2</v>
      </c>
      <c r="S151" s="3938">
        <f t="shared" si="323"/>
        <v>-7.4074074074074181E-3</v>
      </c>
      <c r="T151" s="3938">
        <f>+T150/S150-1</f>
        <v>2.9850746268656803E-2</v>
      </c>
      <c r="U151" s="3938">
        <f t="shared" si="323"/>
        <v>-1.0262984449804224E-2</v>
      </c>
      <c r="V151" s="3938">
        <f t="shared" si="323"/>
        <v>-1.0167303141158324E-2</v>
      </c>
      <c r="W151" s="3938">
        <f t="shared" si="323"/>
        <v>-1.007154021402501E-2</v>
      </c>
      <c r="X151" s="3938">
        <f t="shared" ref="X151:AF151" si="324">+X150/W150-1</f>
        <v>-9.975714134362379E-3</v>
      </c>
      <c r="Y151" s="3938">
        <f t="shared" si="324"/>
        <v>-9.8798434169677929E-3</v>
      </c>
      <c r="Z151" s="3938">
        <f t="shared" si="324"/>
        <v>-9.783946611188421E-3</v>
      </c>
      <c r="AA151" s="3938">
        <f t="shared" si="324"/>
        <v>-9.6880422865756044E-3</v>
      </c>
      <c r="AB151" s="3938">
        <f t="shared" si="324"/>
        <v>-9.592149018504359E-3</v>
      </c>
      <c r="AC151" s="3938">
        <f t="shared" si="324"/>
        <v>-9.4962853737857733E-3</v>
      </c>
      <c r="AD151" s="3938">
        <f t="shared" si="324"/>
        <v>-9.4004698962909528E-3</v>
      </c>
      <c r="AE151" s="3938">
        <f t="shared" si="324"/>
        <v>-9.3047210926150425E-3</v>
      </c>
      <c r="AF151" s="3938">
        <f t="shared" si="324"/>
        <v>-9.2090574178000928E-3</v>
      </c>
      <c r="AG151" s="3920"/>
      <c r="AH151" s="3921"/>
      <c r="AI151" s="3876"/>
      <c r="AJ151" s="3876"/>
      <c r="AK151" s="3876"/>
      <c r="AL151" s="3876"/>
      <c r="AM151" s="3876"/>
      <c r="AN151" s="3876"/>
      <c r="AO151" s="3876"/>
      <c r="AP151" s="3876"/>
      <c r="AQ151" s="3876"/>
      <c r="AR151" s="3876"/>
      <c r="AS151" s="3876"/>
      <c r="AT151" s="3876"/>
      <c r="AU151" s="3876"/>
      <c r="AV151" s="3876"/>
      <c r="AW151" s="3876"/>
      <c r="AX151" s="3876"/>
      <c r="AY151" s="3876"/>
      <c r="AZ151" s="3876"/>
      <c r="BA151" s="3876"/>
      <c r="BB151" s="3876"/>
      <c r="BC151" s="3940"/>
      <c r="BD151" s="3934"/>
      <c r="BE151" s="3934"/>
      <c r="BF151" s="3934"/>
      <c r="BG151" s="3940"/>
      <c r="BH151" s="3934"/>
      <c r="BI151" s="3934"/>
      <c r="BJ151" s="3934"/>
      <c r="BK151" s="3933"/>
      <c r="BL151" s="3952"/>
      <c r="BM151" s="3952"/>
      <c r="BN151" s="3876"/>
      <c r="BO151" s="3946"/>
      <c r="BP151" s="3942"/>
      <c r="BQ151" s="3942"/>
      <c r="BR151" s="3943"/>
      <c r="BS151" s="3946">
        <f t="shared" ref="BS151:CC151" ca="1" si="325">+BS150/BO150-1</f>
        <v>4.3956043956043134E-2</v>
      </c>
      <c r="BT151" s="3942">
        <f t="shared" si="325"/>
        <v>7.6923076923076872E-2</v>
      </c>
      <c r="BU151" s="3942">
        <f t="shared" si="325"/>
        <v>4.471544715447151E-2</v>
      </c>
      <c r="BV151" s="3942">
        <f t="shared" si="325"/>
        <v>5.1181102362204633E-2</v>
      </c>
      <c r="BW151" s="3946">
        <f t="shared" si="325"/>
        <v>-3.3834586466165439E-2</v>
      </c>
      <c r="BX151" s="3942">
        <f t="shared" si="325"/>
        <v>-6.390977443609025E-2</v>
      </c>
      <c r="BY151" s="3942">
        <f t="shared" si="325"/>
        <v>-3.5019455252918275E-2</v>
      </c>
      <c r="BZ151" s="3943">
        <f t="shared" si="325"/>
        <v>-7.8651685393258397E-2</v>
      </c>
      <c r="CA151" s="3946">
        <f t="shared" si="325"/>
        <v>-1.1673151750972721E-2</v>
      </c>
      <c r="CB151" s="3942">
        <f t="shared" si="325"/>
        <v>1.6064257028112428E-2</v>
      </c>
      <c r="CC151" s="3942">
        <f t="shared" si="325"/>
        <v>8.0645161290322509E-3</v>
      </c>
      <c r="CD151" s="3943">
        <f>+CD150/BZ150-1</f>
        <v>0</v>
      </c>
      <c r="CE151" s="3942">
        <f>+CE150/CA150-1</f>
        <v>1.1811023622047223E-2</v>
      </c>
      <c r="CF151" s="3942">
        <f>+CF150/CB150-1</f>
        <v>1.9762845849802479E-2</v>
      </c>
      <c r="CG151" s="3942">
        <f>+CG150/CC150-1</f>
        <v>0.6359999999999999</v>
      </c>
      <c r="CH151" s="3943">
        <f t="shared" ref="CH151:CM151" si="326">+CH150/CD150-1</f>
        <v>0.25203252032520318</v>
      </c>
      <c r="CI151" s="3942">
        <f t="shared" si="326"/>
        <v>0.19844357976653693</v>
      </c>
      <c r="CJ151" s="3942">
        <f t="shared" si="326"/>
        <v>0.18992248062015493</v>
      </c>
      <c r="CK151" s="3942">
        <f t="shared" si="326"/>
        <v>-0.25672371638141811</v>
      </c>
      <c r="CL151" s="3943">
        <f t="shared" si="326"/>
        <v>-3.8961038961038974E-2</v>
      </c>
      <c r="CM151" s="3942">
        <f t="shared" si="326"/>
        <v>-6.4935064935064957E-2</v>
      </c>
      <c r="CN151" s="3942">
        <f>+CN150/CJ150-1</f>
        <v>-1.6286644951140072E-2</v>
      </c>
      <c r="CO151" s="3942">
        <f>+CO150/CK150-1</f>
        <v>-3.2894736842105088E-3</v>
      </c>
      <c r="CP151" s="3943">
        <f t="shared" ref="CP151" si="327">+CP150/CL150-1</f>
        <v>5.7432432432432456E-2</v>
      </c>
      <c r="CQ151" s="3942">
        <f>+CQ150/CM150-1</f>
        <v>8.3333333333333259E-2</v>
      </c>
      <c r="CR151" s="3942">
        <f>+CR150/CN150-1</f>
        <v>2.9801324503311299E-2</v>
      </c>
      <c r="CS151" s="3942">
        <f>+CS150/CO150-1</f>
        <v>2.3102310231023049E-2</v>
      </c>
      <c r="CT151" s="3943">
        <f>+CT150/CP150-1</f>
        <v>-1.2779552715655007E-2</v>
      </c>
    </row>
    <row r="152" spans="1:98" outlineLevel="1">
      <c r="A152" s="3937" t="s">
        <v>947</v>
      </c>
      <c r="B152" s="3876"/>
      <c r="C152" s="3876"/>
      <c r="D152" s="3876"/>
      <c r="E152" s="3876"/>
      <c r="F152" s="3876"/>
      <c r="G152" s="3876"/>
      <c r="H152" s="3876"/>
      <c r="I152" s="3876"/>
      <c r="J152" s="3876"/>
      <c r="K152" s="3876"/>
      <c r="L152" s="3876"/>
      <c r="N152" s="3876"/>
      <c r="O152" s="3881"/>
      <c r="P152" s="3876"/>
      <c r="Q152" s="3876"/>
      <c r="R152" s="3876"/>
      <c r="S152" s="3876"/>
      <c r="T152" s="3876"/>
      <c r="U152" s="3876"/>
      <c r="V152" s="3876"/>
      <c r="W152" s="3876"/>
      <c r="X152" s="3876"/>
      <c r="Y152" s="3876"/>
      <c r="Z152" s="3876"/>
      <c r="AA152" s="3876"/>
      <c r="AB152" s="3876"/>
      <c r="AC152" s="3876"/>
      <c r="AD152" s="3876"/>
      <c r="AE152" s="3876"/>
      <c r="AF152" s="3876"/>
      <c r="AG152" s="3920"/>
      <c r="AH152" s="3921"/>
      <c r="AI152" s="3876"/>
      <c r="AJ152" s="3876"/>
      <c r="AK152" s="3876"/>
      <c r="AL152" s="3876"/>
      <c r="AM152" s="3876"/>
      <c r="AN152" s="3876"/>
      <c r="AO152" s="3876"/>
      <c r="AP152" s="3876"/>
      <c r="AQ152" s="3876"/>
      <c r="AR152" s="3876"/>
      <c r="AS152" s="3876"/>
      <c r="AT152" s="3876"/>
      <c r="AU152" s="3876"/>
      <c r="AV152" s="3876"/>
      <c r="AW152" s="3876"/>
      <c r="AX152" s="3876"/>
      <c r="AY152" s="3876"/>
      <c r="AZ152" s="3876"/>
      <c r="BA152" s="3876"/>
      <c r="BB152" s="3876"/>
      <c r="BC152" s="3940"/>
      <c r="BD152" s="3934"/>
      <c r="BE152" s="3934"/>
      <c r="BF152" s="3934"/>
      <c r="BG152" s="3940"/>
      <c r="BH152" s="3934"/>
      <c r="BI152" s="3934"/>
      <c r="BJ152" s="3934"/>
      <c r="BK152" s="3933"/>
      <c r="BL152" s="3942"/>
      <c r="BM152" s="3942"/>
      <c r="BN152" s="3942"/>
      <c r="BO152" s="3946"/>
      <c r="BP152" s="3942">
        <f ca="1">+BP150/BO150-1</f>
        <v>-3.0612244897959884E-2</v>
      </c>
      <c r="BQ152" s="3942">
        <f>+BQ150/BP150-1</f>
        <v>-4.0485829959514552E-3</v>
      </c>
      <c r="BR152" s="3943">
        <f>+BR150/BQ150-1</f>
        <v>3.2520325203251987E-2</v>
      </c>
      <c r="BS152" s="3946">
        <f>+BS150/BR150-1</f>
        <v>4.7244094488188892E-2</v>
      </c>
      <c r="BT152" s="3942">
        <f>+BT150/BS150-1</f>
        <v>0</v>
      </c>
      <c r="BU152" s="3942">
        <f t="shared" ref="BU152:CC152" si="328">+BU150/BT150-1</f>
        <v>-3.3834586466165439E-2</v>
      </c>
      <c r="BV152" s="3942">
        <f t="shared" si="328"/>
        <v>3.8910505836575959E-2</v>
      </c>
      <c r="BW152" s="3946">
        <f t="shared" si="328"/>
        <v>-3.7453183520599231E-2</v>
      </c>
      <c r="BX152" s="3942">
        <f t="shared" si="328"/>
        <v>-3.1128404669260701E-2</v>
      </c>
      <c r="BY152" s="3942">
        <f t="shared" si="328"/>
        <v>-4.0160642570281624E-3</v>
      </c>
      <c r="BZ152" s="3943">
        <f t="shared" si="328"/>
        <v>-8.0645161290322509E-3</v>
      </c>
      <c r="CA152" s="3946">
        <f t="shared" si="328"/>
        <v>3.2520325203251987E-2</v>
      </c>
      <c r="CB152" s="3942">
        <f t="shared" si="328"/>
        <v>-3.937007874015741E-3</v>
      </c>
      <c r="CC152" s="3942">
        <f t="shared" si="328"/>
        <v>-1.1857707509881465E-2</v>
      </c>
      <c r="CD152" s="3943">
        <f>+CD150/CC150-1</f>
        <v>-1.6000000000000014E-2</v>
      </c>
      <c r="CE152" s="3942">
        <f>+CE150/CD150-1</f>
        <v>4.471544715447151E-2</v>
      </c>
      <c r="CF152" s="3942">
        <f>+CF150/CE150-1</f>
        <v>3.8910505836575737E-3</v>
      </c>
      <c r="CG152" s="3942">
        <f>+CG150/CF150-1</f>
        <v>0.58527131782945729</v>
      </c>
      <c r="CH152" s="3943">
        <f t="shared" ref="CH152:CM152" si="329">+CH150/CG150-1</f>
        <v>-0.24694376528117357</v>
      </c>
      <c r="CI152" s="3942">
        <f t="shared" si="329"/>
        <v>0</v>
      </c>
      <c r="CJ152" s="3942">
        <f t="shared" si="329"/>
        <v>-3.2467532467532756E-3</v>
      </c>
      <c r="CK152" s="3942">
        <f t="shared" si="329"/>
        <v>-9.7719869706840434E-3</v>
      </c>
      <c r="CL152" s="3943">
        <f t="shared" si="329"/>
        <v>-2.6315789473684181E-2</v>
      </c>
      <c r="CM152" s="3942">
        <f t="shared" si="329"/>
        <v>-2.7027027027026973E-2</v>
      </c>
      <c r="CN152" s="3942">
        <f>+CN150/CM150-1</f>
        <v>4.861111111111116E-2</v>
      </c>
      <c r="CO152" s="3942">
        <f>+CO150/CN150-1</f>
        <v>3.3112582781456013E-3</v>
      </c>
      <c r="CP152" s="3943">
        <f t="shared" ref="CP152" si="330">+CP150/CO150-1</f>
        <v>3.3003300330032959E-2</v>
      </c>
      <c r="CQ152" s="3942">
        <f>+CQ150/CP150-1</f>
        <v>-3.1948881789137795E-3</v>
      </c>
      <c r="CR152" s="3942">
        <f>+CR150/CQ150-1</f>
        <v>-3.2051282051281937E-3</v>
      </c>
      <c r="CS152" s="3942">
        <f>+CS150/CR150-1</f>
        <v>-3.215434083601254E-3</v>
      </c>
      <c r="CT152" s="3943">
        <f>+CT150/CS150-1</f>
        <v>-3.225806451612856E-3</v>
      </c>
    </row>
    <row r="153" spans="1:98" outlineLevel="1">
      <c r="A153" s="986"/>
      <c r="B153" s="3876"/>
      <c r="C153" s="3876"/>
      <c r="D153" s="3876"/>
      <c r="E153" s="3876"/>
      <c r="F153" s="3876"/>
      <c r="G153" s="3876"/>
      <c r="H153" s="3876"/>
      <c r="I153" s="3876"/>
      <c r="J153" s="3876"/>
      <c r="K153" s="3876"/>
      <c r="L153" s="3876"/>
      <c r="N153" s="3876"/>
      <c r="O153" s="3876"/>
      <c r="P153" s="3876"/>
      <c r="Q153" s="3876"/>
      <c r="R153" s="3876"/>
      <c r="S153" s="3876"/>
      <c r="T153" s="3876"/>
      <c r="U153" s="3876"/>
      <c r="V153" s="3876"/>
      <c r="W153" s="3876"/>
      <c r="X153" s="3876"/>
      <c r="Y153" s="3876"/>
      <c r="Z153" s="3876"/>
      <c r="AA153" s="3876"/>
      <c r="AB153" s="3876"/>
      <c r="AC153" s="3876"/>
      <c r="AD153" s="3876"/>
      <c r="AE153" s="3876"/>
      <c r="AF153" s="3876"/>
      <c r="AG153" s="3920"/>
      <c r="AH153" s="3921"/>
      <c r="AI153" s="3876"/>
      <c r="AJ153" s="3876"/>
      <c r="AK153" s="3876"/>
      <c r="AL153" s="3876"/>
      <c r="AM153" s="3876"/>
      <c r="AN153" s="3876"/>
      <c r="AO153" s="3876"/>
      <c r="AP153" s="3876"/>
      <c r="AQ153" s="3876"/>
      <c r="AR153" s="3876"/>
      <c r="AS153" s="3876"/>
      <c r="AT153" s="3876"/>
      <c r="AU153" s="3876"/>
      <c r="AV153" s="3876"/>
      <c r="AW153" s="3876"/>
      <c r="AX153" s="3876"/>
      <c r="AY153" s="3876"/>
      <c r="AZ153" s="3876"/>
      <c r="BA153" s="3876"/>
      <c r="BB153" s="3876"/>
      <c r="BC153" s="3940"/>
      <c r="BD153" s="3934"/>
      <c r="BE153" s="3934"/>
      <c r="BF153" s="3934"/>
      <c r="BG153" s="3940"/>
      <c r="BH153" s="3934"/>
      <c r="BI153" s="3934"/>
      <c r="BJ153" s="3934"/>
      <c r="BK153" s="3933"/>
      <c r="BL153" s="2063"/>
      <c r="BM153" s="2063"/>
      <c r="BN153" s="3876"/>
      <c r="BO153" s="1848"/>
      <c r="BP153" s="2063"/>
      <c r="BQ153" s="3876"/>
      <c r="BR153" s="3935"/>
      <c r="BS153" s="3933"/>
      <c r="BT153" s="3876"/>
      <c r="BU153" s="3876"/>
      <c r="BV153" s="3876"/>
      <c r="BW153" s="3933"/>
      <c r="BX153" s="3876"/>
      <c r="BY153" s="3876"/>
      <c r="BZ153" s="3935"/>
      <c r="CA153" s="3933"/>
      <c r="CB153" s="3876"/>
      <c r="CC153" s="3876"/>
      <c r="CD153" s="3935"/>
      <c r="CF153" s="3876"/>
      <c r="CH153" s="3935"/>
      <c r="CJ153" s="3876"/>
      <c r="CK153" s="3876"/>
      <c r="CL153" s="3935"/>
      <c r="CN153" s="3876"/>
      <c r="CO153" s="3876"/>
      <c r="CP153" s="3935"/>
      <c r="CT153" s="3935"/>
    </row>
    <row r="154" spans="1:98" outlineLevel="1">
      <c r="A154" s="2064" t="s">
        <v>489</v>
      </c>
      <c r="B154" s="3876"/>
      <c r="C154" s="3876"/>
      <c r="D154" s="3876"/>
      <c r="E154" s="3876"/>
      <c r="F154" s="3876"/>
      <c r="G154" s="3876"/>
      <c r="H154" s="3876"/>
      <c r="I154" s="3876"/>
      <c r="J154" s="3876"/>
      <c r="K154" s="3876"/>
      <c r="L154" s="134"/>
      <c r="M154" s="134">
        <f t="shared" ref="M154:W154" ca="1" si="331">+M150+M147+M143+M139</f>
        <v>18691.8</v>
      </c>
      <c r="N154" s="134">
        <f t="shared" si="331"/>
        <v>18377</v>
      </c>
      <c r="O154" s="134">
        <f t="shared" si="331"/>
        <v>18095</v>
      </c>
      <c r="P154" s="134">
        <f t="shared" si="331"/>
        <v>18027</v>
      </c>
      <c r="Q154" s="134">
        <f t="shared" si="331"/>
        <v>17900</v>
      </c>
      <c r="R154" s="134">
        <f t="shared" si="331"/>
        <v>17470</v>
      </c>
      <c r="S154" s="134">
        <f t="shared" si="331"/>
        <v>16297</v>
      </c>
      <c r="T154" s="134">
        <f t="shared" si="331"/>
        <v>15769.312999999998</v>
      </c>
      <c r="U154" s="134">
        <f t="shared" si="331"/>
        <v>15411.818115535565</v>
      </c>
      <c r="V154" s="134">
        <f t="shared" si="331"/>
        <v>15065.560315915747</v>
      </c>
      <c r="W154" s="134">
        <f t="shared" si="331"/>
        <v>14778.702842885672</v>
      </c>
      <c r="X154" s="134">
        <f t="shared" ref="X154:AF154" si="332">+X150+X147+X143+X139</f>
        <v>14545.778436884619</v>
      </c>
      <c r="Y154" s="134">
        <f t="shared" si="332"/>
        <v>14361.943445609377</v>
      </c>
      <c r="Z154" s="134">
        <f t="shared" si="332"/>
        <v>14222.907535158833</v>
      </c>
      <c r="AA154" s="134">
        <f t="shared" si="332"/>
        <v>14124.871891664749</v>
      </c>
      <c r="AB154" s="134">
        <f t="shared" si="332"/>
        <v>14064.474825984424</v>
      </c>
      <c r="AC154" s="134">
        <f t="shared" si="332"/>
        <v>14038.743841557987</v>
      </c>
      <c r="AD154" s="134">
        <f t="shared" si="332"/>
        <v>14045.053352311555</v>
      </c>
      <c r="AE154" s="134">
        <f t="shared" si="332"/>
        <v>14081.087346477898</v>
      </c>
      <c r="AF154" s="134">
        <f t="shared" si="332"/>
        <v>14144.806385947701</v>
      </c>
      <c r="AG154" s="3920"/>
      <c r="AH154" s="3921"/>
      <c r="AI154" s="3876"/>
      <c r="AJ154" s="3876"/>
      <c r="AK154" s="3876"/>
      <c r="AL154" s="3876"/>
      <c r="AM154" s="3876"/>
      <c r="AN154" s="3876"/>
      <c r="AO154" s="3876"/>
      <c r="AP154" s="3876"/>
      <c r="AQ154" s="3876"/>
      <c r="AR154" s="3876"/>
      <c r="AS154" s="3876"/>
      <c r="AT154" s="3876"/>
      <c r="AU154" s="3876"/>
      <c r="AV154" s="3876"/>
      <c r="AW154" s="3876"/>
      <c r="AX154" s="3876"/>
      <c r="AY154" s="3876"/>
      <c r="AZ154" s="3876"/>
      <c r="BA154" s="3876"/>
      <c r="BB154" s="3876"/>
      <c r="BC154" s="3940"/>
      <c r="BD154" s="3934"/>
      <c r="BE154" s="3934"/>
      <c r="BF154" s="3934"/>
      <c r="BG154" s="3940"/>
      <c r="BH154" s="3934"/>
      <c r="BI154" s="3934"/>
      <c r="BJ154" s="3934"/>
      <c r="BK154" s="140"/>
      <c r="BL154" s="134"/>
      <c r="BM154" s="134"/>
      <c r="BN154" s="134"/>
      <c r="BO154" s="140">
        <f t="shared" ref="BO154:CD154" ca="1" si="333">+BO150+BO147+BO143+BO139</f>
        <v>4736.8</v>
      </c>
      <c r="BP154" s="134">
        <f t="shared" si="333"/>
        <v>4669</v>
      </c>
      <c r="BQ154" s="134">
        <f t="shared" si="333"/>
        <v>4633</v>
      </c>
      <c r="BR154" s="131">
        <f>+BR150+BR147+BR143+BR139</f>
        <v>4653</v>
      </c>
      <c r="BS154" s="140">
        <f t="shared" si="333"/>
        <v>4610</v>
      </c>
      <c r="BT154" s="134">
        <f t="shared" si="333"/>
        <v>4612</v>
      </c>
      <c r="BU154" s="134">
        <f t="shared" si="333"/>
        <v>4571</v>
      </c>
      <c r="BV154" s="134">
        <f t="shared" si="333"/>
        <v>4584</v>
      </c>
      <c r="BW154" s="140">
        <f t="shared" si="333"/>
        <v>4513</v>
      </c>
      <c r="BX154" s="134">
        <f t="shared" si="333"/>
        <v>4525</v>
      </c>
      <c r="BY154" s="134">
        <f t="shared" si="333"/>
        <v>4515</v>
      </c>
      <c r="BZ154" s="131">
        <f t="shared" si="333"/>
        <v>4542</v>
      </c>
      <c r="CA154" s="140">
        <f>+CA150+CA147+CA143+CA139</f>
        <v>4538</v>
      </c>
      <c r="CB154" s="134">
        <f>+CB150+CB147+CB143+CB139</f>
        <v>4540</v>
      </c>
      <c r="CC154" s="134">
        <f>+CC150+CC147+CC143+CC139</f>
        <v>4513</v>
      </c>
      <c r="CD154" s="131">
        <f t="shared" si="333"/>
        <v>4436</v>
      </c>
      <c r="CE154" s="134">
        <f t="shared" ref="CE154:CM154" si="334">+CE150+CE147+CE143+CE139</f>
        <v>4451</v>
      </c>
      <c r="CF154" s="134">
        <f t="shared" si="334"/>
        <v>4419</v>
      </c>
      <c r="CG154" s="134">
        <f t="shared" si="334"/>
        <v>4554</v>
      </c>
      <c r="CH154" s="131">
        <f t="shared" si="334"/>
        <v>4476</v>
      </c>
      <c r="CI154" s="134">
        <f t="shared" si="334"/>
        <v>4401</v>
      </c>
      <c r="CJ154" s="134">
        <f t="shared" si="334"/>
        <v>4398</v>
      </c>
      <c r="CK154" s="134">
        <f t="shared" si="334"/>
        <v>4382</v>
      </c>
      <c r="CL154" s="131">
        <f t="shared" si="334"/>
        <v>4289</v>
      </c>
      <c r="CM154" s="134">
        <f t="shared" si="334"/>
        <v>4209</v>
      </c>
      <c r="CN154" s="134">
        <f>+CN150+CN147+CN143+CN139</f>
        <v>4090</v>
      </c>
      <c r="CO154" s="134">
        <f>+CO150+CO147+CO143+CO139</f>
        <v>4034</v>
      </c>
      <c r="CP154" s="131">
        <f t="shared" ref="CP154" si="335">+CP150+CP147+CP143+CP139</f>
        <v>3964</v>
      </c>
      <c r="CQ154" s="134">
        <f>+CQ150+CQ147+CQ143+CQ139</f>
        <v>3994.67</v>
      </c>
      <c r="CR154" s="134">
        <f>+CR150+CR147+CR143+CR139</f>
        <v>3956.723</v>
      </c>
      <c r="CS154" s="134">
        <f>+CS150+CS147+CS143+CS139</f>
        <v>3936.3</v>
      </c>
      <c r="CT154" s="131">
        <f>+CT150+CT147+CT143+CT139</f>
        <v>3881.62</v>
      </c>
    </row>
    <row r="155" spans="1:98" outlineLevel="1">
      <c r="A155" s="3953" t="s">
        <v>34</v>
      </c>
      <c r="B155" s="3876"/>
      <c r="C155" s="3876"/>
      <c r="D155" s="3876"/>
      <c r="E155" s="3876"/>
      <c r="F155" s="3876"/>
      <c r="G155" s="3876"/>
      <c r="H155" s="3876"/>
      <c r="I155" s="3876"/>
      <c r="J155" s="3876"/>
      <c r="K155" s="3876"/>
      <c r="L155" s="3876"/>
      <c r="M155" s="3938"/>
      <c r="N155" s="3938">
        <f t="shared" ref="N155:W155" ca="1" si="336">+N154/M154-1</f>
        <v>-1.6841609689810522E-2</v>
      </c>
      <c r="O155" s="3938">
        <f t="shared" si="336"/>
        <v>-1.5345268542199531E-2</v>
      </c>
      <c r="P155" s="3938">
        <f t="shared" si="336"/>
        <v>-3.7579441834760807E-3</v>
      </c>
      <c r="Q155" s="3938">
        <f t="shared" si="336"/>
        <v>-7.0449880734453352E-3</v>
      </c>
      <c r="R155" s="3938">
        <f t="shared" si="336"/>
        <v>-2.4022346368715031E-2</v>
      </c>
      <c r="S155" s="3938">
        <f t="shared" si="336"/>
        <v>-6.7143674871207759E-2</v>
      </c>
      <c r="T155" s="3938">
        <f t="shared" si="336"/>
        <v>-3.2379394980671439E-2</v>
      </c>
      <c r="U155" s="3938">
        <f t="shared" si="336"/>
        <v>-2.267028909023705E-2</v>
      </c>
      <c r="V155" s="3938">
        <f t="shared" si="336"/>
        <v>-2.2467031275873905E-2</v>
      </c>
      <c r="W155" s="3938">
        <f t="shared" si="336"/>
        <v>-1.9040610970640692E-2</v>
      </c>
      <c r="X155" s="3938">
        <f t="shared" ref="X155:AF155" si="337">+X154/W154-1</f>
        <v>-1.5760815308170306E-2</v>
      </c>
      <c r="Y155" s="3938">
        <f t="shared" si="337"/>
        <v>-1.2638374224722138E-2</v>
      </c>
      <c r="Z155" s="3938">
        <f t="shared" si="337"/>
        <v>-9.6808562836284695E-3</v>
      </c>
      <c r="AA155" s="3938">
        <f t="shared" si="337"/>
        <v>-6.8927990463090172E-3</v>
      </c>
      <c r="AB155" s="3938">
        <f t="shared" si="337"/>
        <v>-4.2759372363557757E-3</v>
      </c>
      <c r="AC155" s="3938">
        <f t="shared" si="337"/>
        <v>-1.8295019717976535E-3</v>
      </c>
      <c r="AD155" s="3938">
        <f t="shared" si="337"/>
        <v>4.4943556380672156E-4</v>
      </c>
      <c r="AE155" s="3938">
        <f t="shared" si="337"/>
        <v>2.565600376335464E-3</v>
      </c>
      <c r="AF155" s="3938">
        <f t="shared" si="337"/>
        <v>4.5251505016579152E-3</v>
      </c>
      <c r="AG155" s="3920"/>
      <c r="AH155" s="3921"/>
      <c r="AI155" s="3876"/>
      <c r="AJ155" s="3876"/>
      <c r="AK155" s="3876"/>
      <c r="AL155" s="3876"/>
      <c r="AM155" s="3876"/>
      <c r="AN155" s="3876"/>
      <c r="AO155" s="3876"/>
      <c r="AP155" s="3876"/>
      <c r="AQ155" s="3876"/>
      <c r="AR155" s="3876"/>
      <c r="AS155" s="3876"/>
      <c r="AT155" s="3876"/>
      <c r="AU155" s="3876"/>
      <c r="AV155" s="3876"/>
      <c r="AW155" s="3876"/>
      <c r="AX155" s="3876"/>
      <c r="AY155" s="3876"/>
      <c r="AZ155" s="3876"/>
      <c r="BA155" s="3876"/>
      <c r="BB155" s="3876"/>
      <c r="BC155" s="3940"/>
      <c r="BD155" s="3934"/>
      <c r="BE155" s="3934"/>
      <c r="BF155" s="3934"/>
      <c r="BG155" s="3940"/>
      <c r="BH155" s="3934"/>
      <c r="BI155" s="3934"/>
      <c r="BJ155" s="3934"/>
      <c r="BK155" s="3933"/>
      <c r="BL155" s="3881"/>
      <c r="BM155" s="3881"/>
      <c r="BN155" s="3876"/>
      <c r="BO155" s="3946"/>
      <c r="BP155" s="3942"/>
      <c r="BQ155" s="3942"/>
      <c r="BR155" s="3943"/>
      <c r="BS155" s="3946">
        <f t="shared" ref="BS155:CD155" ca="1" si="338">+BS154/BO154-1</f>
        <v>-2.6769126836682977E-2</v>
      </c>
      <c r="BT155" s="3942">
        <f t="shared" si="338"/>
        <v>-1.2208181623473924E-2</v>
      </c>
      <c r="BU155" s="3942">
        <f t="shared" si="338"/>
        <v>-1.3382257716382462E-2</v>
      </c>
      <c r="BV155" s="3942">
        <f t="shared" si="338"/>
        <v>-1.4829142488716918E-2</v>
      </c>
      <c r="BW155" s="3946">
        <f t="shared" si="338"/>
        <v>-2.1041214750542325E-2</v>
      </c>
      <c r="BX155" s="3942">
        <f t="shared" si="338"/>
        <v>-1.8863833477883785E-2</v>
      </c>
      <c r="BY155" s="3942">
        <f t="shared" si="338"/>
        <v>-1.225114854517606E-2</v>
      </c>
      <c r="BZ155" s="3943">
        <f t="shared" si="338"/>
        <v>-9.162303664921434E-3</v>
      </c>
      <c r="CA155" s="3946">
        <f t="shared" si="338"/>
        <v>5.539552404165704E-3</v>
      </c>
      <c r="CB155" s="3942">
        <f t="shared" si="338"/>
        <v>3.3149171270718814E-3</v>
      </c>
      <c r="CC155" s="3942">
        <f t="shared" si="338"/>
        <v>-4.4296788482833804E-4</v>
      </c>
      <c r="CD155" s="3943">
        <f t="shared" si="338"/>
        <v>-2.3337736679876708E-2</v>
      </c>
      <c r="CE155" s="3942">
        <f t="shared" ref="CE155:CM155" si="339">+CE154/CA154-1</f>
        <v>-1.9171441163508107E-2</v>
      </c>
      <c r="CF155" s="3942">
        <f t="shared" si="339"/>
        <v>-2.6651982378854577E-2</v>
      </c>
      <c r="CG155" s="3942">
        <f t="shared" si="339"/>
        <v>9.0848659428317546E-3</v>
      </c>
      <c r="CH155" s="3943">
        <f t="shared" si="339"/>
        <v>9.0171325518484391E-3</v>
      </c>
      <c r="CI155" s="3942">
        <f t="shared" si="339"/>
        <v>-1.1233430689732593E-2</v>
      </c>
      <c r="CJ155" s="3942">
        <f t="shared" si="339"/>
        <v>-4.7522063815342852E-3</v>
      </c>
      <c r="CK155" s="3942">
        <f t="shared" si="339"/>
        <v>-3.7768994290733438E-2</v>
      </c>
      <c r="CL155" s="3943">
        <f t="shared" si="339"/>
        <v>-4.1778373547810554E-2</v>
      </c>
      <c r="CM155" s="3942">
        <f t="shared" si="339"/>
        <v>-4.3626448534423989E-2</v>
      </c>
      <c r="CN155" s="3942">
        <f>+CN154/CJ154-1</f>
        <v>-7.003183265120505E-2</v>
      </c>
      <c r="CO155" s="3942">
        <f>+CO154/CK154-1</f>
        <v>-7.941579187585579E-2</v>
      </c>
      <c r="CP155" s="3943">
        <f t="shared" ref="CP155" si="340">+CP154/CL154-1</f>
        <v>-7.5775238983446069E-2</v>
      </c>
      <c r="CQ155" s="3942">
        <f>+CQ154/CM154-1</f>
        <v>-5.0921834164884716E-2</v>
      </c>
      <c r="CR155" s="3942">
        <f>+CR154/CN154-1</f>
        <v>-3.2586063569682189E-2</v>
      </c>
      <c r="CS155" s="3942">
        <f>+CS154/CO154-1</f>
        <v>-2.4219137332672225E-2</v>
      </c>
      <c r="CT155" s="3943">
        <f>+CT154/CP154-1</f>
        <v>-2.0782038345105946E-2</v>
      </c>
    </row>
    <row r="156" spans="1:98" outlineLevel="1">
      <c r="A156" s="3953" t="s">
        <v>947</v>
      </c>
      <c r="B156" s="3876"/>
      <c r="C156" s="3876"/>
      <c r="D156" s="3876"/>
      <c r="E156" s="3876"/>
      <c r="F156" s="3876"/>
      <c r="G156" s="3876"/>
      <c r="H156" s="3876"/>
      <c r="I156" s="3876"/>
      <c r="J156" s="3876"/>
      <c r="K156" s="3876"/>
      <c r="L156" s="3876"/>
      <c r="N156" s="3876"/>
      <c r="O156" s="3876"/>
      <c r="P156" s="3876"/>
      <c r="Q156" s="3876"/>
      <c r="R156" s="3876"/>
      <c r="S156" s="3876"/>
      <c r="T156" s="3876"/>
      <c r="U156" s="3876"/>
      <c r="V156" s="3876"/>
      <c r="W156" s="3876"/>
      <c r="X156" s="3876"/>
      <c r="Y156" s="3876"/>
      <c r="Z156" s="3876"/>
      <c r="AA156" s="3876"/>
      <c r="AB156" s="3876"/>
      <c r="AC156" s="3876"/>
      <c r="AD156" s="3876"/>
      <c r="AE156" s="3876"/>
      <c r="AF156" s="3876"/>
      <c r="AG156" s="3920"/>
      <c r="AH156" s="3921"/>
      <c r="AI156" s="3876"/>
      <c r="AJ156" s="3876"/>
      <c r="AK156" s="3876"/>
      <c r="AL156" s="3876"/>
      <c r="AM156" s="3876"/>
      <c r="AN156" s="3876"/>
      <c r="AO156" s="3876"/>
      <c r="AP156" s="3876"/>
      <c r="AQ156" s="3876"/>
      <c r="AR156" s="3876"/>
      <c r="AS156" s="3876"/>
      <c r="AT156" s="3876"/>
      <c r="AU156" s="3876"/>
      <c r="AV156" s="3876"/>
      <c r="AW156" s="3876"/>
      <c r="AX156" s="3876"/>
      <c r="AY156" s="3876"/>
      <c r="AZ156" s="3876"/>
      <c r="BA156" s="3876"/>
      <c r="BB156" s="3876"/>
      <c r="BC156" s="3940"/>
      <c r="BD156" s="3934"/>
      <c r="BE156" s="3934"/>
      <c r="BF156" s="3934"/>
      <c r="BG156" s="3940"/>
      <c r="BH156" s="3934"/>
      <c r="BI156" s="3934"/>
      <c r="BJ156" s="3934"/>
      <c r="BK156" s="3933"/>
      <c r="BL156" s="3942"/>
      <c r="BM156" s="3942"/>
      <c r="BN156" s="3943"/>
      <c r="BO156" s="3942"/>
      <c r="BP156" s="3942">
        <f ca="1">+BP154/BO154-1</f>
        <v>-1.4313460564093994E-2</v>
      </c>
      <c r="BQ156" s="3942">
        <f>+BQ154/BP154-1</f>
        <v>-7.7104304990361916E-3</v>
      </c>
      <c r="BR156" s="3943">
        <f>+BR154/BQ154-1</f>
        <v>4.3168573278653533E-3</v>
      </c>
      <c r="BS156" s="3946">
        <f>+BS154/BR154-1</f>
        <v>-9.2413496668816153E-3</v>
      </c>
      <c r="BT156" s="3942">
        <f>+BT154/BS154-1</f>
        <v>4.3383947939257261E-4</v>
      </c>
      <c r="BU156" s="3942">
        <f t="shared" ref="BU156:CC156" si="341">+BU154/BT154-1</f>
        <v>-8.88985255854291E-3</v>
      </c>
      <c r="BV156" s="3942">
        <f t="shared" si="341"/>
        <v>2.8440166265586431E-3</v>
      </c>
      <c r="BW156" s="3946">
        <f t="shared" si="341"/>
        <v>-1.5488656195462469E-2</v>
      </c>
      <c r="BX156" s="3942">
        <f t="shared" si="341"/>
        <v>2.6589851539995379E-3</v>
      </c>
      <c r="BY156" s="3942">
        <f t="shared" si="341"/>
        <v>-2.2099447513812542E-3</v>
      </c>
      <c r="BZ156" s="3943">
        <f t="shared" si="341"/>
        <v>5.9800664451827856E-3</v>
      </c>
      <c r="CA156" s="3946">
        <f t="shared" si="341"/>
        <v>-8.8066930867458648E-4</v>
      </c>
      <c r="CB156" s="3942">
        <f t="shared" si="341"/>
        <v>4.4072278536799736E-4</v>
      </c>
      <c r="CC156" s="3942">
        <f t="shared" si="341"/>
        <v>-5.9471365638766871E-3</v>
      </c>
      <c r="CD156" s="3943">
        <f>+CD154/CC154-1</f>
        <v>-1.7061821404830479E-2</v>
      </c>
      <c r="CE156" s="3942">
        <f>+CE154/CD154-1</f>
        <v>3.3814247069432479E-3</v>
      </c>
      <c r="CF156" s="3942">
        <f>+CF154/CE154-1</f>
        <v>-7.1893956414288418E-3</v>
      </c>
      <c r="CG156" s="3942">
        <f>+CG154/CF154-1</f>
        <v>3.054989816700604E-2</v>
      </c>
      <c r="CH156" s="3943">
        <f t="shared" ref="CH156:CM156" si="342">+CH154/CG154-1</f>
        <v>-1.7127799736495364E-2</v>
      </c>
      <c r="CI156" s="3942">
        <f t="shared" si="342"/>
        <v>-1.6756032171581725E-2</v>
      </c>
      <c r="CJ156" s="3942">
        <f t="shared" si="342"/>
        <v>-6.8166325835039565E-4</v>
      </c>
      <c r="CK156" s="3942">
        <f t="shared" si="342"/>
        <v>-3.6380172805821065E-3</v>
      </c>
      <c r="CL156" s="3943">
        <f t="shared" si="342"/>
        <v>-2.1223185759926988E-2</v>
      </c>
      <c r="CM156" s="3942">
        <f t="shared" si="342"/>
        <v>-1.865236651900215E-2</v>
      </c>
      <c r="CN156" s="3942">
        <f>+CN154/CM154-1</f>
        <v>-2.8272748871465914E-2</v>
      </c>
      <c r="CO156" s="3942">
        <f>+CO154/CN154-1</f>
        <v>-1.3691931540342317E-2</v>
      </c>
      <c r="CP156" s="3943">
        <f t="shared" ref="CP156" si="343">+CP154/CO154-1</f>
        <v>-1.7352503718393697E-2</v>
      </c>
      <c r="CQ156" s="3942">
        <f>+CQ154/CP154-1</f>
        <v>7.7371342078709215E-3</v>
      </c>
      <c r="CR156" s="3942">
        <f>+CR154/CQ154-1</f>
        <v>-9.4994079611081528E-3</v>
      </c>
      <c r="CS156" s="3942">
        <f>+CS154/CR154-1</f>
        <v>-5.1615945821832376E-3</v>
      </c>
      <c r="CT156" s="3943">
        <f>+CT154/CS154-1</f>
        <v>-1.389121764093193E-2</v>
      </c>
    </row>
    <row r="157" spans="1:98" outlineLevel="1">
      <c r="A157" s="2260" t="s">
        <v>558</v>
      </c>
      <c r="B157" s="2261"/>
      <c r="C157" s="2261"/>
      <c r="D157" s="2261"/>
      <c r="E157" s="2261"/>
      <c r="F157" s="2261"/>
      <c r="G157" s="2261"/>
      <c r="H157" s="2261"/>
      <c r="I157" s="2261"/>
      <c r="J157" s="2261"/>
      <c r="K157" s="2261"/>
      <c r="L157" s="2261"/>
      <c r="M157" s="2262">
        <f t="shared" ref="M157:W157" si="344">M139+M143</f>
        <v>17032</v>
      </c>
      <c r="N157" s="2262">
        <f t="shared" si="344"/>
        <v>16649</v>
      </c>
      <c r="O157" s="2262">
        <f t="shared" si="344"/>
        <v>16439</v>
      </c>
      <c r="P157" s="2262">
        <f t="shared" si="344"/>
        <v>16334</v>
      </c>
      <c r="Q157" s="2262">
        <f t="shared" si="344"/>
        <v>16091</v>
      </c>
      <c r="R157" s="2262">
        <f t="shared" si="344"/>
        <v>15722</v>
      </c>
      <c r="S157" s="2262">
        <f t="shared" si="344"/>
        <v>14593</v>
      </c>
      <c r="T157" s="2262">
        <f t="shared" si="344"/>
        <v>13919.312999999998</v>
      </c>
      <c r="U157" s="2262">
        <f t="shared" si="344"/>
        <v>13592.564742222221</v>
      </c>
      <c r="V157" s="2262">
        <f t="shared" si="344"/>
        <v>13270.565134286173</v>
      </c>
      <c r="W157" s="2262">
        <f t="shared" si="344"/>
        <v>13007.487059998504</v>
      </c>
      <c r="X157" s="2262">
        <f t="shared" ref="X157:AF157" si="345">X139+X143</f>
        <v>12797.872711487005</v>
      </c>
      <c r="Y157" s="2262">
        <f t="shared" si="345"/>
        <v>12636.887701523319</v>
      </c>
      <c r="Z157" s="2262">
        <f t="shared" si="345"/>
        <v>12520.250778352634</v>
      </c>
      <c r="AA157" s="2262">
        <f t="shared" si="345"/>
        <v>12444.172030936777</v>
      </c>
      <c r="AB157" s="2262">
        <f t="shared" si="345"/>
        <v>12405.298497187854</v>
      </c>
      <c r="AC157" s="2262">
        <f t="shared" si="345"/>
        <v>12400.666235296594</v>
      </c>
      <c r="AD157" s="2262">
        <f t="shared" si="345"/>
        <v>12427.658045037979</v>
      </c>
      <c r="AE157" s="2262">
        <f t="shared" si="345"/>
        <v>12483.966134927201</v>
      </c>
      <c r="AF157" s="2262">
        <f t="shared" si="345"/>
        <v>12567.559124840351</v>
      </c>
      <c r="AG157" s="2554"/>
      <c r="AH157" s="2766"/>
      <c r="AI157" s="2261"/>
      <c r="AJ157" s="2261"/>
      <c r="AK157" s="2261"/>
      <c r="AL157" s="2261"/>
      <c r="AM157" s="2261"/>
      <c r="AN157" s="2261"/>
      <c r="AO157" s="2261"/>
      <c r="AP157" s="2261"/>
      <c r="AQ157" s="2261"/>
      <c r="AR157" s="2261"/>
      <c r="AS157" s="2261"/>
      <c r="AT157" s="2261"/>
      <c r="AU157" s="2261"/>
      <c r="AV157" s="2261"/>
      <c r="AW157" s="2261"/>
      <c r="AX157" s="2261"/>
      <c r="AY157" s="2261"/>
      <c r="AZ157" s="2261"/>
      <c r="BA157" s="2261"/>
      <c r="BB157" s="2261"/>
      <c r="BC157" s="2265"/>
      <c r="BD157" s="2266"/>
      <c r="BE157" s="2266"/>
      <c r="BF157" s="2266"/>
      <c r="BG157" s="2265"/>
      <c r="BH157" s="2266"/>
      <c r="BI157" s="2266"/>
      <c r="BJ157" s="2266"/>
      <c r="BK157" s="2267"/>
      <c r="BL157" s="2262"/>
      <c r="BM157" s="2262"/>
      <c r="BN157" s="2264"/>
      <c r="BO157" s="2262">
        <f t="shared" ref="BO157:CD157" si="346">BO139+BO143</f>
        <v>4329</v>
      </c>
      <c r="BP157" s="2262">
        <f t="shared" si="346"/>
        <v>4271</v>
      </c>
      <c r="BQ157" s="2262">
        <f t="shared" si="346"/>
        <v>4221</v>
      </c>
      <c r="BR157" s="2263">
        <f t="shared" si="346"/>
        <v>4211</v>
      </c>
      <c r="BS157" s="2262">
        <f t="shared" si="346"/>
        <v>4199</v>
      </c>
      <c r="BT157" s="2262">
        <f t="shared" si="346"/>
        <v>4176</v>
      </c>
      <c r="BU157" s="2262">
        <f t="shared" si="346"/>
        <v>4146</v>
      </c>
      <c r="BV157" s="2263">
        <f t="shared" si="346"/>
        <v>4128</v>
      </c>
      <c r="BW157" s="2262">
        <f t="shared" si="346"/>
        <v>4116</v>
      </c>
      <c r="BX157" s="2262">
        <f t="shared" si="346"/>
        <v>4109</v>
      </c>
      <c r="BY157" s="2262">
        <f t="shared" si="346"/>
        <v>4104</v>
      </c>
      <c r="BZ157" s="2263">
        <f t="shared" si="346"/>
        <v>4110</v>
      </c>
      <c r="CA157" s="2262">
        <f>CA139+CA143</f>
        <v>4110</v>
      </c>
      <c r="CB157" s="2262">
        <f>CB139+CB143</f>
        <v>4100</v>
      </c>
      <c r="CC157" s="2262">
        <f>CC139+CC143</f>
        <v>4078</v>
      </c>
      <c r="CD157" s="2263">
        <f t="shared" si="346"/>
        <v>4046</v>
      </c>
      <c r="CE157" s="2262">
        <f t="shared" ref="CE157:CN157" si="347">CE139+CE143</f>
        <v>4054</v>
      </c>
      <c r="CF157" s="2262">
        <f t="shared" si="347"/>
        <v>4018</v>
      </c>
      <c r="CG157" s="2262">
        <f t="shared" si="347"/>
        <v>3991</v>
      </c>
      <c r="CH157" s="2263">
        <f t="shared" si="347"/>
        <v>4028</v>
      </c>
      <c r="CI157" s="2262">
        <f t="shared" si="347"/>
        <v>3977</v>
      </c>
      <c r="CJ157" s="2262">
        <f t="shared" si="347"/>
        <v>3968</v>
      </c>
      <c r="CK157" s="2262">
        <f t="shared" si="347"/>
        <v>3915</v>
      </c>
      <c r="CL157" s="2263">
        <f t="shared" si="347"/>
        <v>3862</v>
      </c>
      <c r="CM157" s="2262">
        <f>CM139+CM143</f>
        <v>3803</v>
      </c>
      <c r="CN157" s="2262">
        <f t="shared" si="347"/>
        <v>3655</v>
      </c>
      <c r="CO157" s="2262">
        <f>CO139+CO143</f>
        <v>3597</v>
      </c>
      <c r="CP157" s="2263">
        <f t="shared" ref="CP157" si="348">CP139+CP143</f>
        <v>3538</v>
      </c>
      <c r="CQ157" s="2262">
        <f>CQ139+CQ143</f>
        <v>3530.67</v>
      </c>
      <c r="CR157" s="2262">
        <f>CR139+CR143</f>
        <v>3493.723</v>
      </c>
      <c r="CS157" s="2262">
        <f>CS139+CS143</f>
        <v>3474.3</v>
      </c>
      <c r="CT157" s="2263">
        <f>CT139+CT143</f>
        <v>3420.62</v>
      </c>
    </row>
    <row r="158" spans="1:98" outlineLevel="1">
      <c r="A158" s="3953" t="s">
        <v>7</v>
      </c>
      <c r="B158" s="3876"/>
      <c r="C158" s="3876"/>
      <c r="D158" s="3876"/>
      <c r="E158" s="3876"/>
      <c r="F158" s="3876"/>
      <c r="G158" s="3876"/>
      <c r="H158" s="3876"/>
      <c r="I158" s="3876"/>
      <c r="J158" s="3876"/>
      <c r="K158" s="3876"/>
      <c r="L158" s="3876"/>
      <c r="M158" s="3938"/>
      <c r="N158" s="3938">
        <f t="shared" ref="N158:W158" si="349">+N157/M157-1</f>
        <v>-2.2487083137623265E-2</v>
      </c>
      <c r="O158" s="3938">
        <f t="shared" si="349"/>
        <v>-1.2613370172382732E-2</v>
      </c>
      <c r="P158" s="3938">
        <f t="shared" si="349"/>
        <v>-6.3872498327148808E-3</v>
      </c>
      <c r="Q158" s="3938">
        <f t="shared" si="349"/>
        <v>-1.4876943798212361E-2</v>
      </c>
      <c r="R158" s="3938">
        <f t="shared" si="349"/>
        <v>-2.2932073830091326E-2</v>
      </c>
      <c r="S158" s="3938">
        <f t="shared" si="349"/>
        <v>-7.1810202264342982E-2</v>
      </c>
      <c r="T158" s="3938">
        <f t="shared" si="349"/>
        <v>-4.6165079147536647E-2</v>
      </c>
      <c r="U158" s="3938">
        <f t="shared" si="349"/>
        <v>-2.347445292578576E-2</v>
      </c>
      <c r="V158" s="3938">
        <f t="shared" si="349"/>
        <v>-2.3689392991142366E-2</v>
      </c>
      <c r="W158" s="3938">
        <f t="shared" si="349"/>
        <v>-1.9824180178127704E-2</v>
      </c>
      <c r="X158" s="3938">
        <f t="shared" ref="X158:AF158" si="350">+X157/W157-1</f>
        <v>-1.6114899637772351E-2</v>
      </c>
      <c r="Y158" s="3938">
        <f t="shared" si="350"/>
        <v>-1.2579044470350964E-2</v>
      </c>
      <c r="Z158" s="3938">
        <f t="shared" si="350"/>
        <v>-9.2298773183387972E-3</v>
      </c>
      <c r="AA158" s="3938">
        <f t="shared" si="350"/>
        <v>-6.0764555568963985E-3</v>
      </c>
      <c r="AB158" s="3938">
        <f t="shared" si="350"/>
        <v>-3.1238344867204892E-3</v>
      </c>
      <c r="AC158" s="3938">
        <f t="shared" si="350"/>
        <v>-3.7340994997503429E-4</v>
      </c>
      <c r="AD158" s="3938">
        <f t="shared" si="350"/>
        <v>2.1766419020743388E-3</v>
      </c>
      <c r="AE158" s="3938">
        <f t="shared" si="350"/>
        <v>4.5308689445076045E-3</v>
      </c>
      <c r="AF158" s="3938">
        <f t="shared" si="350"/>
        <v>6.6960282501309365E-3</v>
      </c>
      <c r="AG158" s="3920"/>
      <c r="AH158" s="3921"/>
      <c r="AI158" s="3876"/>
      <c r="AJ158" s="3876"/>
      <c r="AK158" s="3876"/>
      <c r="AL158" s="3876"/>
      <c r="AM158" s="3876"/>
      <c r="AN158" s="3876"/>
      <c r="AO158" s="3876"/>
      <c r="AP158" s="3876"/>
      <c r="AQ158" s="3876"/>
      <c r="AR158" s="3876"/>
      <c r="AS158" s="3876"/>
      <c r="AT158" s="3876"/>
      <c r="AU158" s="3876"/>
      <c r="AV158" s="3876"/>
      <c r="AW158" s="3876"/>
      <c r="AX158" s="3876"/>
      <c r="AY158" s="3876"/>
      <c r="AZ158" s="3876"/>
      <c r="BA158" s="3876"/>
      <c r="BB158" s="3876"/>
      <c r="BC158" s="3940"/>
      <c r="BD158" s="3934"/>
      <c r="BE158" s="3934"/>
      <c r="BF158" s="3934"/>
      <c r="BG158" s="3940"/>
      <c r="BH158" s="3934"/>
      <c r="BI158" s="3934"/>
      <c r="BJ158" s="3934"/>
      <c r="BK158" s="3933"/>
      <c r="BL158" s="3881"/>
      <c r="BM158" s="3881"/>
      <c r="BN158" s="3935"/>
      <c r="BO158" s="3942"/>
      <c r="BP158" s="3942"/>
      <c r="BQ158" s="3942"/>
      <c r="BR158" s="3943"/>
      <c r="BS158" s="3942">
        <f t="shared" ref="BS158:CC158" si="351">+BS157/BO157-1</f>
        <v>-3.0030030030030019E-2</v>
      </c>
      <c r="BT158" s="3942">
        <f t="shared" si="351"/>
        <v>-2.2243034418168994E-2</v>
      </c>
      <c r="BU158" s="3942">
        <f t="shared" si="351"/>
        <v>-1.7768301350390869E-2</v>
      </c>
      <c r="BV158" s="3942">
        <f t="shared" si="351"/>
        <v>-1.9710282593208284E-2</v>
      </c>
      <c r="BW158" s="3946">
        <f t="shared" si="351"/>
        <v>-1.9766611097880471E-2</v>
      </c>
      <c r="BX158" s="3942">
        <f t="shared" si="351"/>
        <v>-1.6044061302681989E-2</v>
      </c>
      <c r="BY158" s="3942">
        <f t="shared" si="351"/>
        <v>-1.0130246020260469E-2</v>
      </c>
      <c r="BZ158" s="3943">
        <f t="shared" si="351"/>
        <v>-4.3604651162790775E-3</v>
      </c>
      <c r="CA158" s="3946">
        <f t="shared" si="351"/>
        <v>-1.4577259475219151E-3</v>
      </c>
      <c r="CB158" s="3942">
        <f t="shared" si="351"/>
        <v>-2.1903139449988007E-3</v>
      </c>
      <c r="CC158" s="3942">
        <f t="shared" si="351"/>
        <v>-6.3352826510720828E-3</v>
      </c>
      <c r="CD158" s="3943">
        <f>+CD157/BZ157-1</f>
        <v>-1.5571776155717809E-2</v>
      </c>
      <c r="CE158" s="3942">
        <f>+CE157/CA157-1</f>
        <v>-1.3625304136253069E-2</v>
      </c>
      <c r="CF158" s="3942">
        <f>+CF157/CB157-1</f>
        <v>-2.0000000000000018E-2</v>
      </c>
      <c r="CG158" s="3942">
        <f>+CG157/CC157-1</f>
        <v>-2.133398724865132E-2</v>
      </c>
      <c r="CH158" s="3943">
        <f t="shared" ref="CH158:CM158" si="352">+CH157/CD157-1</f>
        <v>-4.4488383588729974E-3</v>
      </c>
      <c r="CI158" s="3942">
        <f t="shared" si="352"/>
        <v>-1.8993586581154465E-2</v>
      </c>
      <c r="CJ158" s="3942">
        <f t="shared" si="352"/>
        <v>-1.2444001991040343E-2</v>
      </c>
      <c r="CK158" s="3942">
        <f t="shared" si="352"/>
        <v>-1.9042846404409897E-2</v>
      </c>
      <c r="CL158" s="3943">
        <f t="shared" si="352"/>
        <v>-4.121151936444889E-2</v>
      </c>
      <c r="CM158" s="3942">
        <f t="shared" si="352"/>
        <v>-4.3751571536333911E-2</v>
      </c>
      <c r="CN158" s="3942">
        <f>+CN157/CJ157-1</f>
        <v>-7.8881048387096753E-2</v>
      </c>
      <c r="CO158" s="3942">
        <f>+CO157/CK157-1</f>
        <v>-8.1226053639846696E-2</v>
      </c>
      <c r="CP158" s="3943">
        <f t="shared" ref="CP158" si="353">+CP157/CL157-1</f>
        <v>-8.3894355256343811E-2</v>
      </c>
      <c r="CQ158" s="3942">
        <f>+CQ157/CM157-1</f>
        <v>-7.160925585064426E-2</v>
      </c>
      <c r="CR158" s="3942">
        <f>+CR157/CN157-1</f>
        <v>-4.4125034199726465E-2</v>
      </c>
      <c r="CS158" s="3942">
        <f>+CS157/CO157-1</f>
        <v>-3.4111759799833163E-2</v>
      </c>
      <c r="CT158" s="3943">
        <f>+CT157/CP157-1</f>
        <v>-3.3176936122102929E-2</v>
      </c>
    </row>
    <row r="159" spans="1:98" outlineLevel="1">
      <c r="A159" s="2065" t="s">
        <v>1983</v>
      </c>
      <c r="B159" s="3954"/>
      <c r="C159" s="3954"/>
      <c r="D159" s="3954"/>
      <c r="E159" s="3954"/>
      <c r="F159" s="3954"/>
      <c r="G159" s="3954"/>
      <c r="H159" s="3954"/>
      <c r="I159" s="3954"/>
      <c r="J159" s="3954"/>
      <c r="K159" s="3954"/>
      <c r="L159" s="3954"/>
      <c r="M159" s="3954"/>
      <c r="N159" s="3954"/>
      <c r="O159" s="3954"/>
      <c r="P159" s="3954"/>
      <c r="Q159" s="3954"/>
      <c r="R159" s="3954"/>
      <c r="S159" s="3954"/>
      <c r="T159" s="3954"/>
      <c r="U159" s="3954"/>
      <c r="V159" s="3954"/>
      <c r="W159" s="3954"/>
      <c r="X159" s="3954"/>
      <c r="Y159" s="3954"/>
      <c r="Z159" s="3954"/>
      <c r="AA159" s="3954"/>
      <c r="AB159" s="3954"/>
      <c r="AC159" s="3954"/>
      <c r="AD159" s="3954"/>
      <c r="AE159" s="3954"/>
      <c r="AF159" s="3954"/>
      <c r="AG159" s="3920"/>
      <c r="AH159" s="3921"/>
      <c r="AI159" s="3954"/>
      <c r="AJ159" s="3954"/>
      <c r="AK159" s="3954"/>
      <c r="AL159" s="3954"/>
      <c r="AM159" s="3954"/>
      <c r="AN159" s="3954"/>
      <c r="AO159" s="3954"/>
      <c r="AP159" s="3954"/>
      <c r="AQ159" s="3954"/>
      <c r="AR159" s="3954"/>
      <c r="AS159" s="3954"/>
      <c r="AT159" s="3954"/>
      <c r="AU159" s="3954"/>
      <c r="AV159" s="3954"/>
      <c r="AW159" s="3954"/>
      <c r="AX159" s="3954"/>
      <c r="AY159" s="3954"/>
      <c r="AZ159" s="3954"/>
      <c r="BA159" s="3954"/>
      <c r="BB159" s="3954"/>
      <c r="BC159" s="3955"/>
      <c r="BD159" s="3956"/>
      <c r="BE159" s="3956"/>
      <c r="BF159" s="3956"/>
      <c r="BG159" s="3955"/>
      <c r="BH159" s="3956"/>
      <c r="BI159" s="3956"/>
      <c r="BJ159" s="3956"/>
      <c r="BK159" s="3957"/>
      <c r="BL159" s="3954"/>
      <c r="BM159" s="3954"/>
      <c r="BN159" s="3954"/>
      <c r="BO159" s="3957"/>
      <c r="BP159" s="3954"/>
      <c r="BQ159" s="3954"/>
      <c r="BR159" s="3958"/>
      <c r="BS159" s="3957"/>
      <c r="BT159" s="3954"/>
      <c r="BU159" s="3954"/>
      <c r="BV159" s="3954"/>
      <c r="BW159" s="3957"/>
      <c r="BX159" s="3954"/>
      <c r="BY159" s="3954"/>
      <c r="BZ159" s="3958"/>
      <c r="CA159" s="3957"/>
      <c r="CB159" s="3954"/>
      <c r="CC159" s="3954"/>
      <c r="CD159" s="3958"/>
      <c r="CE159" s="3954"/>
      <c r="CF159" s="3954"/>
      <c r="CG159" s="3954"/>
      <c r="CH159" s="3958"/>
      <c r="CI159" s="3954"/>
      <c r="CJ159" s="3954"/>
      <c r="CK159" s="3954"/>
      <c r="CL159" s="3958"/>
      <c r="CM159" s="3954"/>
      <c r="CN159" s="3954"/>
      <c r="CO159" s="3954"/>
      <c r="CP159" s="3958"/>
      <c r="CQ159" s="3954"/>
      <c r="CR159" s="3954"/>
      <c r="CS159" s="3954"/>
      <c r="CT159" s="3958"/>
    </row>
    <row r="160" spans="1:98" outlineLevel="1">
      <c r="A160" s="3959" t="s">
        <v>790</v>
      </c>
      <c r="B160" s="3960"/>
      <c r="C160" s="3960"/>
      <c r="D160" s="3960"/>
      <c r="E160" s="3960"/>
      <c r="F160" s="3960"/>
      <c r="G160" s="3960"/>
      <c r="H160" s="3960"/>
      <c r="I160" s="3960"/>
      <c r="J160" s="3960"/>
      <c r="K160" s="3960"/>
      <c r="L160" s="3960"/>
      <c r="M160" s="3876" t="s">
        <v>1091</v>
      </c>
      <c r="N160" s="3960"/>
      <c r="O160" s="3960"/>
      <c r="P160" s="3960"/>
      <c r="Q160" s="3960"/>
      <c r="R160" s="3960"/>
      <c r="S160" s="3960"/>
      <c r="T160" s="3960"/>
      <c r="U160" s="3960"/>
      <c r="V160" s="3960"/>
      <c r="W160" s="3960"/>
      <c r="X160" s="3960"/>
      <c r="Y160" s="3960"/>
      <c r="Z160" s="3960"/>
      <c r="AA160" s="3960"/>
      <c r="AB160" s="3960"/>
      <c r="AC160" s="3960"/>
      <c r="AD160" s="3960"/>
      <c r="AE160" s="3960"/>
      <c r="AF160" s="3960"/>
      <c r="AG160" s="3920"/>
      <c r="AH160" s="3921"/>
      <c r="AI160" s="3960"/>
      <c r="AJ160" s="3960"/>
      <c r="AK160" s="3960"/>
      <c r="AL160" s="3960"/>
      <c r="AM160" s="3960"/>
      <c r="AN160" s="3960"/>
      <c r="AO160" s="3960"/>
      <c r="AP160" s="3960"/>
      <c r="AQ160" s="3960"/>
      <c r="AR160" s="3960"/>
      <c r="AS160" s="3960"/>
      <c r="AT160" s="3960"/>
      <c r="AU160" s="3960"/>
      <c r="AV160" s="3960"/>
      <c r="AW160" s="3960"/>
      <c r="AX160" s="3960"/>
      <c r="AY160" s="3960"/>
      <c r="AZ160" s="3960"/>
      <c r="BA160" s="3960"/>
      <c r="BB160" s="3960"/>
      <c r="BC160" s="3961"/>
      <c r="BD160" s="3962"/>
      <c r="BE160" s="3962"/>
      <c r="BF160" s="3962"/>
      <c r="BG160" s="3961"/>
      <c r="BH160" s="3962"/>
      <c r="BI160" s="3962"/>
      <c r="BJ160" s="3962"/>
      <c r="BK160" s="3959"/>
      <c r="BL160" s="3960"/>
      <c r="BM160" s="3960"/>
      <c r="BN160" s="3960"/>
      <c r="BO160" s="3933" t="s">
        <v>1090</v>
      </c>
      <c r="BP160" s="3960"/>
      <c r="BQ160" s="3960"/>
      <c r="BR160" s="3963"/>
      <c r="BS160" s="3959"/>
      <c r="BT160" s="3960"/>
      <c r="BU160" s="3960"/>
      <c r="BV160" s="3960"/>
      <c r="BW160" s="3959"/>
      <c r="BX160" s="3960"/>
      <c r="BY160" s="3960"/>
      <c r="BZ160" s="3963"/>
      <c r="CA160" s="3964"/>
      <c r="CB160" s="3964"/>
      <c r="CC160" s="3960"/>
      <c r="CD160" s="3963"/>
      <c r="CE160" s="3960"/>
      <c r="CF160" s="3960"/>
      <c r="CG160" s="3960"/>
      <c r="CH160" s="3963"/>
      <c r="CI160" s="3960"/>
      <c r="CJ160" s="3960"/>
      <c r="CK160" s="3960"/>
      <c r="CL160" s="3963"/>
      <c r="CM160" s="3960"/>
      <c r="CN160" s="3960"/>
      <c r="CO160" s="3960"/>
      <c r="CP160" s="3963"/>
      <c r="CQ160" s="3960"/>
      <c r="CR160" s="3960"/>
      <c r="CS160" s="3960"/>
      <c r="CT160" s="3963"/>
    </row>
    <row r="161" spans="1:98" outlineLevel="1">
      <c r="A161" s="2066" t="s">
        <v>659</v>
      </c>
      <c r="B161" s="114"/>
      <c r="C161" s="114"/>
      <c r="D161" s="114"/>
      <c r="E161" s="114"/>
      <c r="F161" s="114"/>
      <c r="G161" s="114"/>
      <c r="H161" s="114"/>
      <c r="I161" s="114"/>
      <c r="J161" s="114"/>
      <c r="K161" s="114"/>
      <c r="L161" s="150"/>
      <c r="M161" s="2304">
        <f>+SUM(BO161:BR161)</f>
        <v>2230</v>
      </c>
      <c r="N161" s="150">
        <f>+SUM(BS161:BV161)</f>
        <v>2475</v>
      </c>
      <c r="O161" s="150">
        <f>+SUM(BW161:BZ161)</f>
        <v>2650</v>
      </c>
      <c r="P161" s="2033">
        <f>SUM(CA161:CD161)</f>
        <v>2850</v>
      </c>
      <c r="Q161" s="2033">
        <f>SUM(CE161:CH161)</f>
        <v>3033</v>
      </c>
      <c r="R161" s="2033">
        <f>SUM(CI161:CL161)</f>
        <v>3147</v>
      </c>
      <c r="S161" s="2033">
        <f>SUM(CM161:CP161)</f>
        <v>3088</v>
      </c>
      <c r="T161" s="2033">
        <f>SUM(CQ161:CT161)</f>
        <v>3100.7730000000001</v>
      </c>
      <c r="U161" s="150">
        <f>+U361+U364</f>
        <v>3152.2179599999999</v>
      </c>
      <c r="V161" s="150">
        <f>+V361+V364</f>
        <v>3208.2857892000002</v>
      </c>
      <c r="W161" s="150">
        <f>+W361+W364</f>
        <v>3265.4749749840003</v>
      </c>
      <c r="X161" s="150">
        <f t="shared" ref="X161:AF161" si="354">+X361+X364</f>
        <v>3323.8079444836803</v>
      </c>
      <c r="Y161" s="150">
        <f t="shared" si="354"/>
        <v>3383.307573373354</v>
      </c>
      <c r="Z161" s="150">
        <f t="shared" si="354"/>
        <v>3443.9971948408211</v>
      </c>
      <c r="AA161" s="150">
        <f t="shared" si="354"/>
        <v>3505.9006087376374</v>
      </c>
      <c r="AB161" s="150">
        <f t="shared" si="354"/>
        <v>3569.04209091239</v>
      </c>
      <c r="AC161" s="150">
        <f t="shared" si="354"/>
        <v>3633.4464027306381</v>
      </c>
      <c r="AD161" s="150">
        <f t="shared" si="354"/>
        <v>3699.1388007852511</v>
      </c>
      <c r="AE161" s="150">
        <f t="shared" si="354"/>
        <v>3766.1450468009562</v>
      </c>
      <c r="AF161" s="150">
        <f t="shared" si="354"/>
        <v>3834.4914177369751</v>
      </c>
      <c r="AG161" s="2553"/>
      <c r="AH161" s="2714"/>
      <c r="AI161" s="114"/>
      <c r="AJ161" s="114"/>
      <c r="AK161" s="114"/>
      <c r="AL161" s="114"/>
      <c r="AM161" s="114"/>
      <c r="AN161" s="114"/>
      <c r="AO161" s="114"/>
      <c r="AP161" s="114"/>
      <c r="AQ161" s="114"/>
      <c r="AR161" s="114"/>
      <c r="AS161" s="114"/>
      <c r="AT161" s="114"/>
      <c r="AU161" s="114"/>
      <c r="AV161" s="114"/>
      <c r="AW161" s="114"/>
      <c r="AX161" s="114"/>
      <c r="AY161" s="114"/>
      <c r="AZ161" s="114"/>
      <c r="BA161" s="114"/>
      <c r="BB161" s="114"/>
      <c r="BC161" s="2050"/>
      <c r="BD161" s="2067"/>
      <c r="BE161" s="2067"/>
      <c r="BF161" s="2067"/>
      <c r="BG161" s="2050"/>
      <c r="BH161" s="2067"/>
      <c r="BI161" s="2067"/>
      <c r="BJ161" s="2067"/>
      <c r="BK161" s="2045"/>
      <c r="BL161" s="2047"/>
      <c r="BM161" s="2047"/>
      <c r="BN161" s="2047"/>
      <c r="BO161" s="2301">
        <v>551</v>
      </c>
      <c r="BP161" s="2302">
        <v>544</v>
      </c>
      <c r="BQ161" s="2302">
        <v>550</v>
      </c>
      <c r="BR161" s="2303">
        <v>585</v>
      </c>
      <c r="BS161" s="2045">
        <v>605</v>
      </c>
      <c r="BT161" s="2047">
        <v>611</v>
      </c>
      <c r="BU161" s="2047">
        <v>624</v>
      </c>
      <c r="BV161" s="2047">
        <v>635</v>
      </c>
      <c r="BW161" s="2045">
        <v>645</v>
      </c>
      <c r="BX161" s="2047">
        <v>653</v>
      </c>
      <c r="BY161" s="2047">
        <v>669</v>
      </c>
      <c r="BZ161" s="2046">
        <v>683</v>
      </c>
      <c r="CA161" s="2045">
        <v>702</v>
      </c>
      <c r="CB161" s="2047">
        <v>709</v>
      </c>
      <c r="CC161" s="2047">
        <v>712</v>
      </c>
      <c r="CD161" s="2046">
        <v>727</v>
      </c>
      <c r="CE161" s="2230">
        <f t="shared" ref="CE161:CM161" si="355">+CE361+CE364</f>
        <v>738</v>
      </c>
      <c r="CF161" s="2231">
        <f t="shared" si="355"/>
        <v>758</v>
      </c>
      <c r="CG161" s="2231">
        <f t="shared" si="355"/>
        <v>764</v>
      </c>
      <c r="CH161" s="2232">
        <f t="shared" si="355"/>
        <v>773</v>
      </c>
      <c r="CI161" s="2231">
        <f t="shared" si="355"/>
        <v>774</v>
      </c>
      <c r="CJ161" s="2231">
        <f t="shared" si="355"/>
        <v>800</v>
      </c>
      <c r="CK161" s="2231">
        <f t="shared" si="355"/>
        <v>789</v>
      </c>
      <c r="CL161" s="2232">
        <f t="shared" si="355"/>
        <v>784</v>
      </c>
      <c r="CM161" s="2231">
        <f t="shared" si="355"/>
        <v>764</v>
      </c>
      <c r="CN161" s="2231">
        <f>+CN361+CN364</f>
        <v>768</v>
      </c>
      <c r="CO161" s="2231">
        <f>+CO361+CO364</f>
        <v>774</v>
      </c>
      <c r="CP161" s="2232">
        <f t="shared" ref="CP161" si="356">+CP361+CP364</f>
        <v>782</v>
      </c>
      <c r="CQ161" s="2231">
        <f>+CQ361+CQ364</f>
        <v>770.44</v>
      </c>
      <c r="CR161" s="2231">
        <f>+CR361+CR364</f>
        <v>775.90300000000002</v>
      </c>
      <c r="CS161" s="2231">
        <f>+CS361+CS364</f>
        <v>774.33</v>
      </c>
      <c r="CT161" s="2232">
        <f>+CT361+CT364</f>
        <v>780.09999999999991</v>
      </c>
    </row>
    <row r="162" spans="1:98" outlineLevel="1">
      <c r="A162" s="3965" t="s">
        <v>34</v>
      </c>
      <c r="B162" s="3960"/>
      <c r="C162" s="3960"/>
      <c r="D162" s="3960"/>
      <c r="E162" s="3960"/>
      <c r="F162" s="3960"/>
      <c r="G162" s="3960"/>
      <c r="H162" s="3960"/>
      <c r="I162" s="3960"/>
      <c r="J162" s="3960"/>
      <c r="K162" s="3960"/>
      <c r="L162" s="3960"/>
      <c r="M162" s="3966"/>
      <c r="N162" s="3939" t="s">
        <v>1089</v>
      </c>
      <c r="O162" s="3966">
        <f t="shared" ref="O162:W162" si="357">+O161/N161-1</f>
        <v>7.0707070707070718E-2</v>
      </c>
      <c r="P162" s="3966">
        <f t="shared" si="357"/>
        <v>7.547169811320753E-2</v>
      </c>
      <c r="Q162" s="3966">
        <f t="shared" si="357"/>
        <v>6.4210526315789496E-2</v>
      </c>
      <c r="R162" s="3938">
        <f t="shared" si="357"/>
        <v>3.758654797230454E-2</v>
      </c>
      <c r="S162" s="3938">
        <f t="shared" si="357"/>
        <v>-1.8748013981569778E-2</v>
      </c>
      <c r="T162" s="3938">
        <f>+T161/S161-1</f>
        <v>4.1363341968911893E-3</v>
      </c>
      <c r="U162" s="3938">
        <f t="shared" si="357"/>
        <v>1.6591011338140449E-2</v>
      </c>
      <c r="V162" s="3938">
        <f t="shared" si="357"/>
        <v>1.7786786926371034E-2</v>
      </c>
      <c r="W162" s="3938">
        <f t="shared" si="357"/>
        <v>1.782546491852921E-2</v>
      </c>
      <c r="X162" s="3938">
        <f t="shared" ref="X162:AF162" si="358">+X161/W161-1</f>
        <v>1.7863548165750753E-2</v>
      </c>
      <c r="Y162" s="3938">
        <f t="shared" si="358"/>
        <v>1.7901042985477345E-2</v>
      </c>
      <c r="Z162" s="3938">
        <f t="shared" si="358"/>
        <v>1.793795572861745E-2</v>
      </c>
      <c r="AA162" s="3938">
        <f t="shared" si="358"/>
        <v>1.7974292775136069E-2</v>
      </c>
      <c r="AB162" s="3938">
        <f t="shared" si="358"/>
        <v>1.8010060529778604E-2</v>
      </c>
      <c r="AC162" s="3938">
        <f t="shared" si="358"/>
        <v>1.804526541792173E-2</v>
      </c>
      <c r="AD162" s="3938">
        <f t="shared" si="358"/>
        <v>1.8079913881554166E-2</v>
      </c>
      <c r="AE162" s="3938">
        <f t="shared" si="358"/>
        <v>1.8114012375388899E-2</v>
      </c>
      <c r="AF162" s="3938">
        <f t="shared" si="358"/>
        <v>1.8147567363098194E-2</v>
      </c>
      <c r="AG162" s="3920"/>
      <c r="AH162" s="3921"/>
      <c r="AI162" s="3960"/>
      <c r="AJ162" s="3960"/>
      <c r="AK162" s="3960"/>
      <c r="AL162" s="3960"/>
      <c r="AM162" s="3960"/>
      <c r="AN162" s="3960"/>
      <c r="AO162" s="3960"/>
      <c r="AP162" s="3960"/>
      <c r="AQ162" s="3960"/>
      <c r="AR162" s="3960"/>
      <c r="AS162" s="3960"/>
      <c r="AT162" s="3960"/>
      <c r="AU162" s="3960"/>
      <c r="AV162" s="3960"/>
      <c r="AW162" s="3960"/>
      <c r="AX162" s="3960"/>
      <c r="AY162" s="3960"/>
      <c r="AZ162" s="3960"/>
      <c r="BA162" s="3960"/>
      <c r="BB162" s="3960"/>
      <c r="BC162" s="3961"/>
      <c r="BD162" s="3962"/>
      <c r="BE162" s="3962"/>
      <c r="BF162" s="3962"/>
      <c r="BG162" s="3961"/>
      <c r="BH162" s="3962"/>
      <c r="BI162" s="3962"/>
      <c r="BJ162" s="3962"/>
      <c r="BK162" s="2051"/>
      <c r="BL162" s="3967"/>
      <c r="BM162" s="3967"/>
      <c r="BN162" s="3967"/>
      <c r="BO162" s="3968"/>
      <c r="BP162" s="3969"/>
      <c r="BQ162" s="3969"/>
      <c r="BR162" s="3970"/>
      <c r="BS162" s="3968" t="s">
        <v>1089</v>
      </c>
      <c r="BT162" s="3969" t="s">
        <v>1089</v>
      </c>
      <c r="BU162" s="3969" t="s">
        <v>1089</v>
      </c>
      <c r="BV162" s="3969" t="s">
        <v>1089</v>
      </c>
      <c r="BW162" s="3971">
        <f t="shared" ref="BW162:CG162" si="359">+BW161/BS161-1</f>
        <v>6.6115702479338845E-2</v>
      </c>
      <c r="BX162" s="3967">
        <f t="shared" si="359"/>
        <v>6.8739770867430439E-2</v>
      </c>
      <c r="BY162" s="3967">
        <f t="shared" si="359"/>
        <v>7.2115384615384581E-2</v>
      </c>
      <c r="BZ162" s="3972">
        <f t="shared" si="359"/>
        <v>7.5590551181102361E-2</v>
      </c>
      <c r="CA162" s="3971">
        <f t="shared" si="359"/>
        <v>8.8372093023255882E-2</v>
      </c>
      <c r="CB162" s="3967">
        <f t="shared" si="359"/>
        <v>8.5758039816232756E-2</v>
      </c>
      <c r="CC162" s="3967">
        <f t="shared" si="359"/>
        <v>6.427503736920781E-2</v>
      </c>
      <c r="CD162" s="3972">
        <f t="shared" si="359"/>
        <v>6.4421669106881296E-2</v>
      </c>
      <c r="CE162" s="3971">
        <f t="shared" si="359"/>
        <v>5.1282051282051322E-2</v>
      </c>
      <c r="CF162" s="3967">
        <f t="shared" si="359"/>
        <v>6.9111424541607791E-2</v>
      </c>
      <c r="CG162" s="3967">
        <f t="shared" si="359"/>
        <v>7.3033707865168607E-2</v>
      </c>
      <c r="CH162" s="3972">
        <f t="shared" ref="CH162:CM162" si="360">+CH161/CD161-1</f>
        <v>6.3273727647867872E-2</v>
      </c>
      <c r="CI162" s="3967">
        <f t="shared" si="360"/>
        <v>4.8780487804878092E-2</v>
      </c>
      <c r="CJ162" s="3967">
        <f t="shared" si="360"/>
        <v>5.5408970976253302E-2</v>
      </c>
      <c r="CK162" s="3967">
        <f t="shared" si="360"/>
        <v>3.2722513089005201E-2</v>
      </c>
      <c r="CL162" s="3972">
        <f t="shared" si="360"/>
        <v>1.4230271668822736E-2</v>
      </c>
      <c r="CM162" s="3967">
        <f t="shared" si="360"/>
        <v>-1.2919896640826822E-2</v>
      </c>
      <c r="CN162" s="3967">
        <f>+CN161/CJ161-1</f>
        <v>-4.0000000000000036E-2</v>
      </c>
      <c r="CO162" s="3967">
        <f>+CO161/CK161-1</f>
        <v>-1.9011406844106515E-2</v>
      </c>
      <c r="CP162" s="3972">
        <f t="shared" ref="CP162" si="361">+CP161/CL161-1</f>
        <v>-2.5510204081632404E-3</v>
      </c>
      <c r="CQ162" s="3967">
        <f>+CQ161/CM161-1</f>
        <v>8.4293193717277504E-3</v>
      </c>
      <c r="CR162" s="3967">
        <f>+CR161/CN161-1</f>
        <v>1.0290364583333433E-2</v>
      </c>
      <c r="CS162" s="3967">
        <f>+CS161/CO161-1</f>
        <v>4.2635658914735863E-4</v>
      </c>
      <c r="CT162" s="3972">
        <f>+CT161/CP161-1</f>
        <v>-2.4296675191817219E-3</v>
      </c>
    </row>
    <row r="163" spans="1:98" outlineLevel="1">
      <c r="A163" s="3965" t="s">
        <v>947</v>
      </c>
      <c r="B163" s="3960"/>
      <c r="C163" s="3960"/>
      <c r="D163" s="3960"/>
      <c r="E163" s="3960"/>
      <c r="F163" s="3960"/>
      <c r="G163" s="3960"/>
      <c r="H163" s="3960"/>
      <c r="I163" s="3960"/>
      <c r="J163" s="3960"/>
      <c r="K163" s="3960"/>
      <c r="L163" s="3960"/>
      <c r="M163" s="3960"/>
      <c r="N163" s="3960"/>
      <c r="O163" s="3960"/>
      <c r="P163" s="3960"/>
      <c r="Q163" s="3960"/>
      <c r="R163" s="3960"/>
      <c r="S163" s="3960"/>
      <c r="T163" s="3960"/>
      <c r="U163" s="3960"/>
      <c r="V163" s="3960"/>
      <c r="W163" s="3960"/>
      <c r="X163" s="3960"/>
      <c r="Y163" s="3960"/>
      <c r="Z163" s="3960"/>
      <c r="AA163" s="3960"/>
      <c r="AB163" s="3960"/>
      <c r="AC163" s="3960"/>
      <c r="AD163" s="3960"/>
      <c r="AE163" s="3960"/>
      <c r="AF163" s="3960"/>
      <c r="AG163" s="3920"/>
      <c r="AH163" s="3921"/>
      <c r="AI163" s="3960"/>
      <c r="AJ163" s="3960"/>
      <c r="AK163" s="3960"/>
      <c r="AL163" s="3960"/>
      <c r="AM163" s="3960"/>
      <c r="AN163" s="3960"/>
      <c r="AO163" s="3960"/>
      <c r="AP163" s="3960"/>
      <c r="AQ163" s="3960"/>
      <c r="AR163" s="3960"/>
      <c r="AS163" s="3960"/>
      <c r="AT163" s="3960"/>
      <c r="AU163" s="3960"/>
      <c r="AV163" s="3960"/>
      <c r="AW163" s="3960"/>
      <c r="AX163" s="3960"/>
      <c r="AY163" s="3960"/>
      <c r="AZ163" s="3960"/>
      <c r="BA163" s="3960"/>
      <c r="BB163" s="3960"/>
      <c r="BC163" s="3961"/>
      <c r="BD163" s="3962"/>
      <c r="BE163" s="3962"/>
      <c r="BF163" s="3962"/>
      <c r="BG163" s="3961"/>
      <c r="BH163" s="3962"/>
      <c r="BI163" s="3962"/>
      <c r="BJ163" s="3962"/>
      <c r="BK163" s="2051"/>
      <c r="BL163" s="3966"/>
      <c r="BM163" s="3966"/>
      <c r="BN163" s="3966"/>
      <c r="BO163" s="3968"/>
      <c r="BP163" s="3966">
        <f>+BP161/BO161-1</f>
        <v>-1.2704174228675091E-2</v>
      </c>
      <c r="BQ163" s="3966">
        <f>+BQ161/BP161-1</f>
        <v>1.1029411764705843E-2</v>
      </c>
      <c r="BR163" s="3973">
        <f>+BR161/BQ161-1</f>
        <v>6.3636363636363713E-2</v>
      </c>
      <c r="BS163" s="3974" t="s">
        <v>1089</v>
      </c>
      <c r="BT163" s="3966">
        <f>+BT161/BS161-1</f>
        <v>9.917355371900749E-3</v>
      </c>
      <c r="BU163" s="3966">
        <f t="shared" ref="BU163:CG163" si="362">+BU161/BT161-1</f>
        <v>2.1276595744680771E-2</v>
      </c>
      <c r="BV163" s="3966">
        <f t="shared" si="362"/>
        <v>1.7628205128205066E-2</v>
      </c>
      <c r="BW163" s="3975">
        <f t="shared" si="362"/>
        <v>1.5748031496062964E-2</v>
      </c>
      <c r="BX163" s="3966">
        <f t="shared" si="362"/>
        <v>1.2403100775193909E-2</v>
      </c>
      <c r="BY163" s="3966">
        <f t="shared" si="362"/>
        <v>2.4502297090352121E-2</v>
      </c>
      <c r="BZ163" s="3973">
        <f t="shared" si="362"/>
        <v>2.0926756352765308E-2</v>
      </c>
      <c r="CA163" s="3975">
        <f t="shared" si="362"/>
        <v>2.7818448023426035E-2</v>
      </c>
      <c r="CB163" s="3966">
        <f t="shared" si="362"/>
        <v>9.9715099715098621E-3</v>
      </c>
      <c r="CC163" s="3966">
        <f t="shared" si="362"/>
        <v>4.2313117066290484E-3</v>
      </c>
      <c r="CD163" s="3973">
        <f t="shared" si="362"/>
        <v>2.1067415730336991E-2</v>
      </c>
      <c r="CE163" s="3975">
        <f t="shared" si="362"/>
        <v>1.5130674002751032E-2</v>
      </c>
      <c r="CF163" s="3966">
        <f t="shared" si="362"/>
        <v>2.7100271002709952E-2</v>
      </c>
      <c r="CG163" s="3966">
        <f t="shared" si="362"/>
        <v>7.9155672823219003E-3</v>
      </c>
      <c r="CH163" s="3973">
        <f t="shared" ref="CH163:CM163" si="363">+CH161/CG161-1</f>
        <v>1.1780104712041828E-2</v>
      </c>
      <c r="CI163" s="3966">
        <f t="shared" si="363"/>
        <v>1.2936610608020871E-3</v>
      </c>
      <c r="CJ163" s="3966">
        <f t="shared" si="363"/>
        <v>3.3591731266149782E-2</v>
      </c>
      <c r="CK163" s="3966">
        <f t="shared" si="363"/>
        <v>-1.375000000000004E-2</v>
      </c>
      <c r="CL163" s="3973">
        <f t="shared" si="363"/>
        <v>-6.3371356147021718E-3</v>
      </c>
      <c r="CM163" s="3966">
        <f t="shared" si="363"/>
        <v>-2.5510204081632626E-2</v>
      </c>
      <c r="CN163" s="3966">
        <f>+CN161/CM161-1</f>
        <v>5.2356020942407877E-3</v>
      </c>
      <c r="CO163" s="3966">
        <f>+CO161/CN161-1</f>
        <v>7.8125E-3</v>
      </c>
      <c r="CP163" s="3973">
        <f t="shared" ref="CP163" si="364">+CP161/CO161-1</f>
        <v>1.0335917312661591E-2</v>
      </c>
      <c r="CQ163" s="3966">
        <f>+CQ161/CP161-1</f>
        <v>-1.4782608695652066E-2</v>
      </c>
      <c r="CR163" s="3966">
        <f>+CR161/CQ161-1</f>
        <v>7.0907533357560393E-3</v>
      </c>
      <c r="CS163" s="3966">
        <f>+CS161/CR161-1</f>
        <v>-2.0273152700788222E-3</v>
      </c>
      <c r="CT163" s="3973">
        <f>+CT161/CS161-1</f>
        <v>7.4516033215810129E-3</v>
      </c>
    </row>
    <row r="164" spans="1:98" outlineLevel="1">
      <c r="A164" s="3965" t="s">
        <v>948</v>
      </c>
      <c r="B164" s="3960"/>
      <c r="C164" s="3960"/>
      <c r="D164" s="3960"/>
      <c r="E164" s="3960"/>
      <c r="F164" s="3960"/>
      <c r="G164" s="3960"/>
      <c r="H164" s="3960"/>
      <c r="I164" s="3960"/>
      <c r="J164" s="3960"/>
      <c r="K164" s="3960"/>
      <c r="L164" s="3967"/>
      <c r="M164" s="3967">
        <f t="shared" ref="M164:W164" si="365">+M161/M$139</f>
        <v>0.27861069465267368</v>
      </c>
      <c r="N164" s="3967">
        <f t="shared" si="365"/>
        <v>0.2936639772187945</v>
      </c>
      <c r="O164" s="3967">
        <f t="shared" si="365"/>
        <v>0.3003513544145982</v>
      </c>
      <c r="P164" s="3967">
        <f t="shared" si="365"/>
        <v>0.36561898652982683</v>
      </c>
      <c r="Q164" s="3967">
        <f t="shared" si="365"/>
        <v>0.38999614247138997</v>
      </c>
      <c r="R164" s="3967">
        <f t="shared" si="365"/>
        <v>0.38861447270931093</v>
      </c>
      <c r="S164" s="3967">
        <f t="shared" si="365"/>
        <v>0.39974110032362459</v>
      </c>
      <c r="T164" s="3967">
        <f t="shared" si="365"/>
        <v>0.40265031084646125</v>
      </c>
      <c r="U164" s="3967">
        <f t="shared" si="365"/>
        <v>0.3961497816095389</v>
      </c>
      <c r="V164" s="3967">
        <f t="shared" si="365"/>
        <v>0.3932389392411928</v>
      </c>
      <c r="W164" s="3967">
        <f t="shared" si="365"/>
        <v>0.39033380378538934</v>
      </c>
      <c r="X164" s="3967">
        <f t="shared" ref="X164:AF164" si="366">+X161/X$139</f>
        <v>0.38743449628596266</v>
      </c>
      <c r="Y164" s="3967">
        <f t="shared" si="366"/>
        <v>0.38454113937617829</v>
      </c>
      <c r="Z164" s="3967">
        <f t="shared" si="366"/>
        <v>0.38165385723234724</v>
      </c>
      <c r="AA164" s="3967">
        <f t="shared" si="366"/>
        <v>0.37877277552441668</v>
      </c>
      <c r="AB164" s="3967">
        <f t="shared" si="366"/>
        <v>0.37589802136365363</v>
      </c>
      <c r="AC164" s="3967">
        <f t="shared" si="366"/>
        <v>0.37302972324754358</v>
      </c>
      <c r="AD164" s="3967">
        <f t="shared" si="366"/>
        <v>0.37016801100202451</v>
      </c>
      <c r="AE164" s="3967">
        <f t="shared" si="366"/>
        <v>0.36731301572118091</v>
      </c>
      <c r="AF164" s="3967">
        <f t="shared" si="366"/>
        <v>0.36446486970452219</v>
      </c>
      <c r="AG164" s="3920"/>
      <c r="AH164" s="3921"/>
      <c r="AI164" s="3960"/>
      <c r="AJ164" s="3960"/>
      <c r="AK164" s="3960"/>
      <c r="AL164" s="3960"/>
      <c r="AM164" s="3960"/>
      <c r="AN164" s="3960"/>
      <c r="AO164" s="3960"/>
      <c r="AP164" s="3960"/>
      <c r="AQ164" s="3960"/>
      <c r="AR164" s="3960"/>
      <c r="AS164" s="3960"/>
      <c r="AT164" s="3960"/>
      <c r="AU164" s="3960"/>
      <c r="AV164" s="3960"/>
      <c r="AW164" s="3960"/>
      <c r="AX164" s="3960"/>
      <c r="AY164" s="3960"/>
      <c r="AZ164" s="3960"/>
      <c r="BA164" s="3960"/>
      <c r="BB164" s="3960"/>
      <c r="BC164" s="3961"/>
      <c r="BD164" s="3962"/>
      <c r="BE164" s="3962"/>
      <c r="BF164" s="3962"/>
      <c r="BG164" s="3961"/>
      <c r="BH164" s="3962"/>
      <c r="BI164" s="3962"/>
      <c r="BJ164" s="3962"/>
      <c r="BK164" s="2051"/>
      <c r="BL164" s="3967"/>
      <c r="BM164" s="3967"/>
      <c r="BN164" s="3967"/>
      <c r="BO164" s="3971">
        <f t="shared" ref="BO164:BZ164" si="367">+BO161/BO$139</f>
        <v>0.27772177419354838</v>
      </c>
      <c r="BP164" s="3967">
        <f t="shared" si="367"/>
        <v>0.27322953289804119</v>
      </c>
      <c r="BQ164" s="3967">
        <f t="shared" si="367"/>
        <v>0.27555110220440882</v>
      </c>
      <c r="BR164" s="3972">
        <f t="shared" si="367"/>
        <v>0.28775209050664041</v>
      </c>
      <c r="BS164" s="3971">
        <f t="shared" si="367"/>
        <v>0.2922705314009662</v>
      </c>
      <c r="BT164" s="3967">
        <f t="shared" si="367"/>
        <v>0.29178605539637059</v>
      </c>
      <c r="BU164" s="3967">
        <f t="shared" si="367"/>
        <v>0.29447852760736198</v>
      </c>
      <c r="BV164" s="3967">
        <f t="shared" si="367"/>
        <v>0.29603729603729606</v>
      </c>
      <c r="BW164" s="3971">
        <f t="shared" si="367"/>
        <v>0.29805914972273567</v>
      </c>
      <c r="BX164" s="3967">
        <f t="shared" si="367"/>
        <v>0.29871912168344006</v>
      </c>
      <c r="BY164" s="3967">
        <f t="shared" si="367"/>
        <v>0.30244122965641951</v>
      </c>
      <c r="BZ164" s="3972">
        <f t="shared" si="367"/>
        <v>0.30207872622733306</v>
      </c>
      <c r="CA164" s="3971">
        <f t="shared" ref="CA164:CH164" si="368">+CA161/CA$139</f>
        <v>0.30911492734478202</v>
      </c>
      <c r="CB164" s="3967">
        <f t="shared" si="368"/>
        <v>0.3908489525909592</v>
      </c>
      <c r="CC164" s="3967">
        <f t="shared" si="368"/>
        <v>0.38590785907859076</v>
      </c>
      <c r="CD164" s="3972">
        <f t="shared" si="368"/>
        <v>0.38981233243967828</v>
      </c>
      <c r="CE164" s="3971">
        <f t="shared" si="368"/>
        <v>0.38780872306883868</v>
      </c>
      <c r="CF164" s="3967">
        <f t="shared" si="368"/>
        <v>0.3929497148781752</v>
      </c>
      <c r="CG164" s="3967">
        <f t="shared" si="368"/>
        <v>0.39361154044307056</v>
      </c>
      <c r="CH164" s="3972">
        <f t="shared" si="368"/>
        <v>0.38572854291417163</v>
      </c>
      <c r="CI164" s="3967">
        <f t="shared" ref="CI164:CM164" si="369">+CI161/CI$139</f>
        <v>0.38680659670164919</v>
      </c>
      <c r="CJ164" s="3967">
        <f t="shared" si="369"/>
        <v>0.39177277179236042</v>
      </c>
      <c r="CK164" s="3967">
        <f t="shared" si="369"/>
        <v>0.38924518993586582</v>
      </c>
      <c r="CL164" s="3972">
        <f t="shared" si="369"/>
        <v>0.38658777120315579</v>
      </c>
      <c r="CM164" s="3967">
        <f t="shared" si="369"/>
        <v>0.37953303527074017</v>
      </c>
      <c r="CN164" s="3967">
        <f>+CN161/CN$139</f>
        <v>0.40104438642297652</v>
      </c>
      <c r="CO164" s="3967">
        <f>+CO161/CO$139</f>
        <v>0.40909090909090912</v>
      </c>
      <c r="CP164" s="3972">
        <f t="shared" ref="CP164" si="370">+CP161/CP$139</f>
        <v>0.41049868766404202</v>
      </c>
      <c r="CQ164" s="3967">
        <f>+CQ161/CQ$139</f>
        <v>0.40335588916665577</v>
      </c>
      <c r="CR164" s="3967">
        <f>+CR161/CR$139</f>
        <v>0.40468037988382771</v>
      </c>
      <c r="CS164" s="3967">
        <f>+CS161/CS$139</f>
        <v>0.40104828914963764</v>
      </c>
      <c r="CT164" s="3972">
        <f>+CT161/CT$139</f>
        <v>0.40154523625076888</v>
      </c>
    </row>
    <row r="165" spans="1:98" outlineLevel="1">
      <c r="A165" s="3965" t="s">
        <v>1299</v>
      </c>
      <c r="B165" s="3960"/>
      <c r="C165" s="3960"/>
      <c r="D165" s="3960"/>
      <c r="E165" s="3960"/>
      <c r="F165" s="3960"/>
      <c r="G165" s="3960"/>
      <c r="H165" s="3960"/>
      <c r="I165" s="3960"/>
      <c r="J165" s="3960"/>
      <c r="K165" s="3960"/>
      <c r="L165" s="3976"/>
      <c r="M165" s="3977"/>
      <c r="N165" s="3977"/>
      <c r="O165" s="3978">
        <f t="shared" ref="O165:T165" si="371">+O161/O$174</f>
        <v>0.44137241838774149</v>
      </c>
      <c r="P165" s="3978">
        <f t="shared" si="371"/>
        <v>0.47547547547547547</v>
      </c>
      <c r="Q165" s="3978">
        <f t="shared" si="371"/>
        <v>0.50340248962655598</v>
      </c>
      <c r="R165" s="3978">
        <f t="shared" si="371"/>
        <v>0.53302845528455289</v>
      </c>
      <c r="S165" s="3978">
        <f t="shared" si="371"/>
        <v>0.5545977011494253</v>
      </c>
      <c r="T165" s="3978">
        <f t="shared" si="371"/>
        <v>0.58145711707045677</v>
      </c>
      <c r="U165" s="3976"/>
      <c r="V165" s="3976"/>
      <c r="W165" s="3976"/>
      <c r="X165" s="3976"/>
      <c r="Y165" s="3976"/>
      <c r="Z165" s="3976"/>
      <c r="AA165" s="3976"/>
      <c r="AB165" s="3976"/>
      <c r="AC165" s="3976"/>
      <c r="AD165" s="3976"/>
      <c r="AE165" s="3976"/>
      <c r="AF165" s="3976"/>
      <c r="AG165" s="3920"/>
      <c r="AH165" s="3921"/>
      <c r="AI165" s="3960"/>
      <c r="AJ165" s="3960"/>
      <c r="AK165" s="3960"/>
      <c r="AL165" s="3960"/>
      <c r="AM165" s="3960"/>
      <c r="AN165" s="3960"/>
      <c r="AO165" s="3960"/>
      <c r="AP165" s="3960"/>
      <c r="AQ165" s="3960"/>
      <c r="AR165" s="3960"/>
      <c r="AS165" s="3960"/>
      <c r="AT165" s="3960"/>
      <c r="AU165" s="3960"/>
      <c r="AV165" s="3960"/>
      <c r="AW165" s="3960"/>
      <c r="AX165" s="3960"/>
      <c r="AY165" s="3960"/>
      <c r="AZ165" s="3960"/>
      <c r="BA165" s="3960"/>
      <c r="BB165" s="3960"/>
      <c r="BC165" s="3961"/>
      <c r="BD165" s="3962"/>
      <c r="BE165" s="3962"/>
      <c r="BF165" s="3962"/>
      <c r="BG165" s="3961"/>
      <c r="BH165" s="3962"/>
      <c r="BI165" s="3962"/>
      <c r="BJ165" s="3962"/>
      <c r="BK165" s="3979"/>
      <c r="BL165" s="3976"/>
      <c r="BM165" s="3976"/>
      <c r="BN165" s="3976"/>
      <c r="BO165" s="3980"/>
      <c r="BP165" s="3977"/>
      <c r="BQ165" s="3977"/>
      <c r="BR165" s="3981"/>
      <c r="BS165" s="3980"/>
      <c r="BT165" s="3977"/>
      <c r="BU165" s="3977"/>
      <c r="BV165" s="3977"/>
      <c r="BW165" s="3980"/>
      <c r="BX165" s="3977"/>
      <c r="BY165" s="3977"/>
      <c r="BZ165" s="3981"/>
      <c r="CA165" s="3980"/>
      <c r="CB165" s="3977"/>
      <c r="CC165" s="3977"/>
      <c r="CD165" s="3981"/>
      <c r="CE165" s="3980"/>
      <c r="CF165" s="3977"/>
      <c r="CG165" s="3977"/>
      <c r="CH165" s="3981"/>
      <c r="CI165" s="3977"/>
      <c r="CJ165" s="3977"/>
      <c r="CK165" s="3977"/>
      <c r="CL165" s="3981"/>
      <c r="CM165" s="3977"/>
      <c r="CN165" s="3977"/>
      <c r="CO165" s="3977"/>
      <c r="CP165" s="3981"/>
      <c r="CQ165" s="3977"/>
      <c r="CR165" s="3977"/>
      <c r="CS165" s="3977"/>
      <c r="CT165" s="3981"/>
    </row>
    <row r="166" spans="1:98" outlineLevel="1">
      <c r="A166" s="2066" t="s">
        <v>658</v>
      </c>
      <c r="B166" s="114"/>
      <c r="C166" s="114"/>
      <c r="D166" s="114"/>
      <c r="E166" s="114"/>
      <c r="F166" s="114"/>
      <c r="G166" s="114"/>
      <c r="H166" s="114"/>
      <c r="I166" s="114"/>
      <c r="J166" s="114"/>
      <c r="K166" s="114"/>
      <c r="L166" s="150"/>
      <c r="M166" s="2304">
        <f>+SUM(BO166:BR166)</f>
        <v>4033</v>
      </c>
      <c r="N166" s="150">
        <f>+SUM(BS166:BV166)</f>
        <v>3682</v>
      </c>
      <c r="O166" s="150">
        <f>+SUM(BW166:BZ166)</f>
        <v>3349</v>
      </c>
      <c r="P166" s="2033">
        <f>SUM(CA166:CD166)</f>
        <v>3140</v>
      </c>
      <c r="Q166" s="2033">
        <f>SUM(CE166:CH166)</f>
        <v>2990</v>
      </c>
      <c r="R166" s="2033">
        <f>SUM(CI166:CL166)</f>
        <v>2755</v>
      </c>
      <c r="S166" s="2033">
        <f>SUM(CM166:CP166)</f>
        <v>2479</v>
      </c>
      <c r="T166" s="2033">
        <f>SUM(CQ166:CT166)</f>
        <v>2227.9899999999998</v>
      </c>
      <c r="U166" s="2231">
        <f>+U379+U382</f>
        <v>2002.1663322222223</v>
      </c>
      <c r="V166" s="2231">
        <f>+V379+V382</f>
        <v>1799.219713686173</v>
      </c>
      <c r="W166" s="2231">
        <f t="shared" ref="W166:AE166" si="372">+W379+W382</f>
        <v>1617.0267143348037</v>
      </c>
      <c r="X166" s="2231">
        <f t="shared" si="372"/>
        <v>1453.6377463471456</v>
      </c>
      <c r="Y166" s="2231">
        <f t="shared" si="372"/>
        <v>1307.265514928913</v>
      </c>
      <c r="Z166" s="2231">
        <f t="shared" si="372"/>
        <v>1176.27394805727</v>
      </c>
      <c r="AA166" s="2231">
        <f t="shared" si="372"/>
        <v>1059.1676175108323</v>
      </c>
      <c r="AB166" s="2231">
        <f t="shared" si="372"/>
        <v>954.58165882318997</v>
      </c>
      <c r="AC166" s="2231">
        <f t="shared" si="372"/>
        <v>861.27219355206944</v>
      </c>
      <c r="AD166" s="2231">
        <f t="shared" si="372"/>
        <v>778.10725344699495</v>
      </c>
      <c r="AE166" s="2231">
        <f t="shared" si="372"/>
        <v>704.05820271271568</v>
      </c>
      <c r="AF166" s="2232">
        <f>+AF379+AF382</f>
        <v>638.19165158759347</v>
      </c>
      <c r="AG166" s="2553"/>
      <c r="AH166" s="2714"/>
      <c r="AI166" s="114"/>
      <c r="AJ166" s="114"/>
      <c r="AK166" s="114"/>
      <c r="AL166" s="114"/>
      <c r="AM166" s="114"/>
      <c r="AN166" s="114"/>
      <c r="AO166" s="114"/>
      <c r="AP166" s="114"/>
      <c r="AQ166" s="114"/>
      <c r="AR166" s="114"/>
      <c r="AS166" s="114"/>
      <c r="AT166" s="114"/>
      <c r="AU166" s="114"/>
      <c r="AV166" s="114"/>
      <c r="AW166" s="114"/>
      <c r="AX166" s="114"/>
      <c r="AY166" s="114"/>
      <c r="AZ166" s="114"/>
      <c r="BA166" s="114"/>
      <c r="BB166" s="114"/>
      <c r="BC166" s="2050"/>
      <c r="BD166" s="2067"/>
      <c r="BE166" s="2067"/>
      <c r="BF166" s="2067"/>
      <c r="BG166" s="2050"/>
      <c r="BH166" s="2067"/>
      <c r="BI166" s="2067"/>
      <c r="BJ166" s="2067"/>
      <c r="BK166" s="2045"/>
      <c r="BL166" s="2047"/>
      <c r="BM166" s="2047"/>
      <c r="BN166" s="2047"/>
      <c r="BO166" s="2301">
        <v>1035</v>
      </c>
      <c r="BP166" s="2302">
        <v>1004</v>
      </c>
      <c r="BQ166" s="2302">
        <v>1002</v>
      </c>
      <c r="BR166" s="2303">
        <v>992</v>
      </c>
      <c r="BS166" s="2045">
        <v>957</v>
      </c>
      <c r="BT166" s="2047">
        <v>926</v>
      </c>
      <c r="BU166" s="2047">
        <v>912</v>
      </c>
      <c r="BV166" s="2047">
        <v>887</v>
      </c>
      <c r="BW166" s="2045">
        <v>864</v>
      </c>
      <c r="BX166" s="2047">
        <v>840</v>
      </c>
      <c r="BY166" s="2047">
        <v>833</v>
      </c>
      <c r="BZ166" s="2046">
        <v>812</v>
      </c>
      <c r="CA166" s="2045">
        <v>806</v>
      </c>
      <c r="CB166" s="2047">
        <v>790</v>
      </c>
      <c r="CC166" s="2047">
        <v>778</v>
      </c>
      <c r="CD166" s="2046">
        <v>766</v>
      </c>
      <c r="CE166" s="2230">
        <f t="shared" ref="CE166:CM166" si="373">+CE379+CE382</f>
        <v>759</v>
      </c>
      <c r="CF166" s="2231">
        <f t="shared" si="373"/>
        <v>745</v>
      </c>
      <c r="CG166" s="2231">
        <f t="shared" si="373"/>
        <v>745</v>
      </c>
      <c r="CH166" s="2232">
        <f t="shared" si="373"/>
        <v>741</v>
      </c>
      <c r="CI166" s="2231">
        <f t="shared" si="373"/>
        <v>714</v>
      </c>
      <c r="CJ166" s="2231">
        <f t="shared" si="373"/>
        <v>694</v>
      </c>
      <c r="CK166" s="2231">
        <f t="shared" si="373"/>
        <v>683</v>
      </c>
      <c r="CL166" s="2232">
        <f t="shared" si="373"/>
        <v>664</v>
      </c>
      <c r="CM166" s="2231">
        <f t="shared" si="373"/>
        <v>648</v>
      </c>
      <c r="CN166" s="2231">
        <f>+CN379+CN382</f>
        <v>633</v>
      </c>
      <c r="CO166" s="2231">
        <f>+CO379+CO382</f>
        <v>613</v>
      </c>
      <c r="CP166" s="2232">
        <f t="shared" ref="CP166" si="374">+CP379+CP382</f>
        <v>585</v>
      </c>
      <c r="CQ166" s="2231">
        <f>+CQ379+CQ382</f>
        <v>582.75</v>
      </c>
      <c r="CR166" s="2231">
        <f>+CR379+CR382</f>
        <v>570.18000000000006</v>
      </c>
      <c r="CS166" s="2231">
        <f>+CS379+CS382</f>
        <v>550.49</v>
      </c>
      <c r="CT166" s="2232">
        <f>+CT379+CT382</f>
        <v>524.56999999999994</v>
      </c>
    </row>
    <row r="167" spans="1:98" outlineLevel="1">
      <c r="A167" s="3965" t="s">
        <v>34</v>
      </c>
      <c r="B167" s="3960"/>
      <c r="C167" s="3960"/>
      <c r="D167" s="3960"/>
      <c r="E167" s="3960"/>
      <c r="F167" s="3960"/>
      <c r="G167" s="3960"/>
      <c r="H167" s="3960"/>
      <c r="I167" s="3960"/>
      <c r="J167" s="3960"/>
      <c r="K167" s="3960"/>
      <c r="L167" s="3960"/>
      <c r="M167" s="3966"/>
      <c r="N167" s="3939" t="s">
        <v>1089</v>
      </c>
      <c r="O167" s="3966">
        <f t="shared" ref="O167:W167" si="375">+O166/N166-1</f>
        <v>-9.0439978272677912E-2</v>
      </c>
      <c r="P167" s="3966">
        <f t="shared" si="375"/>
        <v>-6.2406688563750423E-2</v>
      </c>
      <c r="Q167" s="3966">
        <f t="shared" si="375"/>
        <v>-4.7770700636942665E-2</v>
      </c>
      <c r="R167" s="3966">
        <f t="shared" si="375"/>
        <v>-7.8595317725752456E-2</v>
      </c>
      <c r="S167" s="3982">
        <f t="shared" si="375"/>
        <v>-0.10018148820326678</v>
      </c>
      <c r="T167" s="3982">
        <f>+T166/S166-1</f>
        <v>-0.1012545381202099</v>
      </c>
      <c r="U167" s="3982">
        <f t="shared" si="375"/>
        <v>-0.10135757690913227</v>
      </c>
      <c r="V167" s="3982">
        <f t="shared" si="375"/>
        <v>-0.10136351574286884</v>
      </c>
      <c r="W167" s="3982">
        <f t="shared" si="375"/>
        <v>-0.10126222937947871</v>
      </c>
      <c r="X167" s="3982">
        <f t="shared" ref="X167:AF167" si="376">+X166/W166-1</f>
        <v>-0.10104283778321588</v>
      </c>
      <c r="Y167" s="3982">
        <f t="shared" si="376"/>
        <v>-0.10069374697104017</v>
      </c>
      <c r="Z167" s="3982">
        <f t="shared" si="376"/>
        <v>-0.10020272498258787</v>
      </c>
      <c r="AA167" s="3982">
        <f t="shared" si="376"/>
        <v>-9.9557021338311569E-2</v>
      </c>
      <c r="AB167" s="3982">
        <f t="shared" si="376"/>
        <v>-9.874353875492492E-2</v>
      </c>
      <c r="AC167" s="3982">
        <f t="shared" si="376"/>
        <v>-9.7749065686169367E-2</v>
      </c>
      <c r="AD167" s="3982">
        <f t="shared" si="376"/>
        <v>-9.6560577164443884E-2</v>
      </c>
      <c r="AE167" s="3982">
        <f t="shared" si="376"/>
        <v>-9.5165609119107764E-2</v>
      </c>
      <c r="AF167" s="3982">
        <f t="shared" si="376"/>
        <v>-9.3552707533752666E-2</v>
      </c>
      <c r="AG167" s="3920"/>
      <c r="AH167" s="3921"/>
      <c r="AI167" s="3960"/>
      <c r="AJ167" s="3960"/>
      <c r="AK167" s="3960"/>
      <c r="AL167" s="3960"/>
      <c r="AM167" s="3960"/>
      <c r="AN167" s="3960"/>
      <c r="AO167" s="3960"/>
      <c r="AP167" s="3960"/>
      <c r="AQ167" s="3960"/>
      <c r="AR167" s="3960"/>
      <c r="AS167" s="3960"/>
      <c r="AT167" s="3960"/>
      <c r="AU167" s="3960"/>
      <c r="AV167" s="3960"/>
      <c r="AW167" s="3960"/>
      <c r="AX167" s="3960"/>
      <c r="AY167" s="3960"/>
      <c r="AZ167" s="3960"/>
      <c r="BA167" s="3960"/>
      <c r="BB167" s="3960"/>
      <c r="BC167" s="3961"/>
      <c r="BD167" s="3962"/>
      <c r="BE167" s="3962"/>
      <c r="BF167" s="3962"/>
      <c r="BG167" s="3961"/>
      <c r="BH167" s="3962"/>
      <c r="BI167" s="3962"/>
      <c r="BJ167" s="3962"/>
      <c r="BK167" s="2051"/>
      <c r="BL167" s="2069"/>
      <c r="BM167" s="2069"/>
      <c r="BN167" s="2069"/>
      <c r="BO167" s="3968"/>
      <c r="BP167" s="3969"/>
      <c r="BQ167" s="3969"/>
      <c r="BR167" s="3970"/>
      <c r="BS167" s="3968" t="s">
        <v>1089</v>
      </c>
      <c r="BT167" s="3969" t="s">
        <v>1089</v>
      </c>
      <c r="BU167" s="3969" t="s">
        <v>1089</v>
      </c>
      <c r="BV167" s="3969" t="s">
        <v>1089</v>
      </c>
      <c r="BW167" s="3971">
        <f t="shared" ref="BW167:CG167" si="377">+BW166/BS166-1</f>
        <v>-9.7178683385579889E-2</v>
      </c>
      <c r="BX167" s="3967">
        <f t="shared" si="377"/>
        <v>-9.2872570194384441E-2</v>
      </c>
      <c r="BY167" s="3967">
        <f t="shared" si="377"/>
        <v>-8.6622807017543879E-2</v>
      </c>
      <c r="BZ167" s="3972">
        <f t="shared" si="377"/>
        <v>-8.4554678692220997E-2</v>
      </c>
      <c r="CA167" s="3971">
        <f t="shared" si="377"/>
        <v>-6.712962962962965E-2</v>
      </c>
      <c r="CB167" s="3967">
        <f t="shared" si="377"/>
        <v>-5.9523809523809534E-2</v>
      </c>
      <c r="CC167" s="3967">
        <f t="shared" si="377"/>
        <v>-6.6026410564225646E-2</v>
      </c>
      <c r="CD167" s="3972">
        <f t="shared" si="377"/>
        <v>-5.6650246305418706E-2</v>
      </c>
      <c r="CE167" s="3971">
        <f t="shared" si="377"/>
        <v>-5.8312655086848686E-2</v>
      </c>
      <c r="CF167" s="3967">
        <f t="shared" si="377"/>
        <v>-5.6962025316455667E-2</v>
      </c>
      <c r="CG167" s="3967">
        <f t="shared" si="377"/>
        <v>-4.2416452442159414E-2</v>
      </c>
      <c r="CH167" s="3972">
        <f t="shared" ref="CH167:CM167" si="378">+CH166/CD166-1</f>
        <v>-3.2637075718015662E-2</v>
      </c>
      <c r="CI167" s="3967">
        <f t="shared" si="378"/>
        <v>-5.9288537549407105E-2</v>
      </c>
      <c r="CJ167" s="3967">
        <f t="shared" si="378"/>
        <v>-6.8456375838926165E-2</v>
      </c>
      <c r="CK167" s="3967">
        <f t="shared" si="378"/>
        <v>-8.3221476510067061E-2</v>
      </c>
      <c r="CL167" s="3972">
        <f t="shared" si="378"/>
        <v>-0.10391363022941968</v>
      </c>
      <c r="CM167" s="3967">
        <f t="shared" si="378"/>
        <v>-9.2436974789915971E-2</v>
      </c>
      <c r="CN167" s="3967">
        <f>+CN166/CJ166-1</f>
        <v>-8.7896253602305463E-2</v>
      </c>
      <c r="CO167" s="3967">
        <f>+CO166/CK166-1</f>
        <v>-0.10248901903367491</v>
      </c>
      <c r="CP167" s="3972">
        <f t="shared" ref="CP167" si="379">+CP166/CL166-1</f>
        <v>-0.11897590361445787</v>
      </c>
      <c r="CQ167" s="3967">
        <f>+CQ166/CM166-1</f>
        <v>-0.10069444444444442</v>
      </c>
      <c r="CR167" s="3967">
        <f>+CR166/CN166-1</f>
        <v>-9.9241706161137366E-2</v>
      </c>
      <c r="CS167" s="3967">
        <f>+CS166/CO166-1</f>
        <v>-0.10197389885807506</v>
      </c>
      <c r="CT167" s="3972">
        <f>+CT166/CP166-1</f>
        <v>-0.10329914529914541</v>
      </c>
    </row>
    <row r="168" spans="1:98" outlineLevel="1">
      <c r="A168" s="3965" t="s">
        <v>947</v>
      </c>
      <c r="B168" s="3960"/>
      <c r="C168" s="3960"/>
      <c r="D168" s="3960"/>
      <c r="E168" s="3960"/>
      <c r="F168" s="3960"/>
      <c r="G168" s="3960"/>
      <c r="H168" s="3960"/>
      <c r="I168" s="3960"/>
      <c r="J168" s="3960"/>
      <c r="K168" s="3960"/>
      <c r="L168" s="3960"/>
      <c r="M168" s="3960"/>
      <c r="N168" s="3960"/>
      <c r="O168" s="3960"/>
      <c r="P168" s="3960"/>
      <c r="Q168" s="3960"/>
      <c r="R168" s="3960"/>
      <c r="S168" s="3960"/>
      <c r="T168" s="3960"/>
      <c r="U168" s="3960"/>
      <c r="V168" s="3960"/>
      <c r="W168" s="3960"/>
      <c r="X168" s="3960"/>
      <c r="Y168" s="3960"/>
      <c r="Z168" s="3960"/>
      <c r="AA168" s="3960"/>
      <c r="AB168" s="3960"/>
      <c r="AC168" s="3960"/>
      <c r="AD168" s="3960"/>
      <c r="AE168" s="3960"/>
      <c r="AF168" s="3960"/>
      <c r="AG168" s="3920"/>
      <c r="AH168" s="3921"/>
      <c r="AI168" s="3960"/>
      <c r="AJ168" s="3960"/>
      <c r="AK168" s="3960"/>
      <c r="AL168" s="3960"/>
      <c r="AM168" s="3960"/>
      <c r="AN168" s="3960"/>
      <c r="AO168" s="3960"/>
      <c r="AP168" s="3960"/>
      <c r="AQ168" s="3960"/>
      <c r="AR168" s="3960"/>
      <c r="AS168" s="3960"/>
      <c r="AT168" s="3960"/>
      <c r="AU168" s="3960"/>
      <c r="AV168" s="3960"/>
      <c r="AW168" s="3960"/>
      <c r="AX168" s="3960"/>
      <c r="AY168" s="3960"/>
      <c r="AZ168" s="3960"/>
      <c r="BA168" s="3960"/>
      <c r="BB168" s="3960"/>
      <c r="BC168" s="3961"/>
      <c r="BD168" s="3962"/>
      <c r="BE168" s="3962"/>
      <c r="BF168" s="3962"/>
      <c r="BG168" s="3961"/>
      <c r="BH168" s="3962"/>
      <c r="BI168" s="3962"/>
      <c r="BJ168" s="3962"/>
      <c r="BK168" s="2051"/>
      <c r="BL168" s="3966"/>
      <c r="BM168" s="3966"/>
      <c r="BN168" s="3966"/>
      <c r="BO168" s="3968"/>
      <c r="BP168" s="3966">
        <f>+BP166/BO166-1</f>
        <v>-2.9951690821256038E-2</v>
      </c>
      <c r="BQ168" s="3966">
        <f>+BQ166/BP166-1</f>
        <v>-1.9920318725099584E-3</v>
      </c>
      <c r="BR168" s="3973">
        <f>+BR166/BQ166-1</f>
        <v>-9.9800399201597223E-3</v>
      </c>
      <c r="BS168" s="3974" t="s">
        <v>1089</v>
      </c>
      <c r="BT168" s="3966">
        <f>+BT166/BS166-1</f>
        <v>-3.239289446186E-2</v>
      </c>
      <c r="BU168" s="3966">
        <f t="shared" ref="BU168:CG168" si="380">+BU166/BT166-1</f>
        <v>-1.5118790496760237E-2</v>
      </c>
      <c r="BV168" s="3966">
        <f t="shared" si="380"/>
        <v>-2.7412280701754388E-2</v>
      </c>
      <c r="BW168" s="3975">
        <f t="shared" si="380"/>
        <v>-2.5930101465614475E-2</v>
      </c>
      <c r="BX168" s="3966">
        <f t="shared" si="380"/>
        <v>-2.777777777777779E-2</v>
      </c>
      <c r="BY168" s="3966">
        <f t="shared" si="380"/>
        <v>-8.3333333333333037E-3</v>
      </c>
      <c r="BZ168" s="3973">
        <f t="shared" si="380"/>
        <v>-2.5210084033613467E-2</v>
      </c>
      <c r="CA168" s="3975">
        <f t="shared" si="380"/>
        <v>-7.3891625615764012E-3</v>
      </c>
      <c r="CB168" s="3966">
        <f t="shared" si="380"/>
        <v>-1.9851116625310139E-2</v>
      </c>
      <c r="CC168" s="3966">
        <f t="shared" si="380"/>
        <v>-1.5189873417721489E-2</v>
      </c>
      <c r="CD168" s="3973">
        <f t="shared" si="380"/>
        <v>-1.5424164524421635E-2</v>
      </c>
      <c r="CE168" s="3975">
        <f t="shared" si="380"/>
        <v>-9.1383812010443766E-3</v>
      </c>
      <c r="CF168" s="3966">
        <f t="shared" si="380"/>
        <v>-1.8445322793148922E-2</v>
      </c>
      <c r="CG168" s="3966">
        <f t="shared" si="380"/>
        <v>0</v>
      </c>
      <c r="CH168" s="3973">
        <f t="shared" ref="CH168:CM168" si="381">+CH166/CG166-1</f>
        <v>-5.3691275167785379E-3</v>
      </c>
      <c r="CI168" s="3966">
        <f t="shared" si="381"/>
        <v>-3.6437246963562764E-2</v>
      </c>
      <c r="CJ168" s="3966">
        <f t="shared" si="381"/>
        <v>-2.8011204481792729E-2</v>
      </c>
      <c r="CK168" s="3966">
        <f t="shared" si="381"/>
        <v>-1.5850144092218965E-2</v>
      </c>
      <c r="CL168" s="3973">
        <f t="shared" si="381"/>
        <v>-2.7818448023426035E-2</v>
      </c>
      <c r="CM168" s="3966">
        <f t="shared" si="381"/>
        <v>-2.4096385542168641E-2</v>
      </c>
      <c r="CN168" s="3966">
        <f>+CN166/CM166-1</f>
        <v>-2.314814814814814E-2</v>
      </c>
      <c r="CO168" s="3966">
        <f>+CO166/CN166-1</f>
        <v>-3.1595576619273258E-2</v>
      </c>
      <c r="CP168" s="3973">
        <f t="shared" ref="CP168" si="382">+CP166/CO166-1</f>
        <v>-4.5676998368678667E-2</v>
      </c>
      <c r="CQ168" s="3966">
        <f>+CQ166/CP166-1</f>
        <v>-3.8461538461538325E-3</v>
      </c>
      <c r="CR168" s="3966">
        <f>+CR166/CQ166-1</f>
        <v>-2.1570141570141477E-2</v>
      </c>
      <c r="CS168" s="3966">
        <f>+CS166/CR166-1</f>
        <v>-3.4532954505594793E-2</v>
      </c>
      <c r="CT168" s="3973">
        <f>+CT166/CS166-1</f>
        <v>-4.7085323984087046E-2</v>
      </c>
    </row>
    <row r="169" spans="1:98" outlineLevel="1">
      <c r="A169" s="3965" t="s">
        <v>949</v>
      </c>
      <c r="B169" s="3960"/>
      <c r="C169" s="3960"/>
      <c r="D169" s="3960"/>
      <c r="E169" s="3960"/>
      <c r="F169" s="3960"/>
      <c r="G169" s="3960"/>
      <c r="H169" s="3960"/>
      <c r="I169" s="3960"/>
      <c r="J169" s="3960"/>
      <c r="K169" s="3960"/>
      <c r="L169" s="3967"/>
      <c r="M169" s="3967">
        <f t="shared" ref="M169:W169" si="383">+M166/M$143</f>
        <v>0.44672131147540983</v>
      </c>
      <c r="N169" s="3967">
        <f t="shared" si="383"/>
        <v>0.4478773871791753</v>
      </c>
      <c r="O169" s="3967">
        <f t="shared" si="383"/>
        <v>0.43973214285714285</v>
      </c>
      <c r="P169" s="3967">
        <f t="shared" si="383"/>
        <v>0.36772455791076236</v>
      </c>
      <c r="Q169" s="3967">
        <f t="shared" si="383"/>
        <v>0.35963435169593455</v>
      </c>
      <c r="R169" s="3967">
        <f t="shared" si="383"/>
        <v>0.36135886673662121</v>
      </c>
      <c r="S169" s="3967">
        <f t="shared" si="383"/>
        <v>0.36094933022714037</v>
      </c>
      <c r="T169" s="3967">
        <f t="shared" si="383"/>
        <v>0.3582896257159191</v>
      </c>
      <c r="U169" s="3967">
        <f t="shared" si="383"/>
        <v>0.35528203215304938</v>
      </c>
      <c r="V169" s="3967">
        <f t="shared" si="383"/>
        <v>0.35196359038599428</v>
      </c>
      <c r="W169" s="3967">
        <f t="shared" si="383"/>
        <v>0.34837440257486124</v>
      </c>
      <c r="X169" s="3967">
        <f t="shared" ref="X169:AF169" si="384">+X166/X$143</f>
        <v>0.34455752224797376</v>
      </c>
      <c r="Y169" s="3967">
        <f t="shared" si="384"/>
        <v>0.34055881153129458</v>
      </c>
      <c r="Z169" s="3967">
        <f t="shared" si="384"/>
        <v>0.33642676245463271</v>
      </c>
      <c r="AA169" s="3967">
        <f t="shared" si="384"/>
        <v>0.3322122799461274</v>
      </c>
      <c r="AB169" s="3967">
        <f t="shared" si="384"/>
        <v>0.32796842501365037</v>
      </c>
      <c r="AC169" s="3967">
        <f t="shared" si="384"/>
        <v>0.3237501176531869</v>
      </c>
      <c r="AD169" s="3967">
        <f t="shared" si="384"/>
        <v>0.3196138001848291</v>
      </c>
      <c r="AE169" s="3967">
        <f t="shared" si="384"/>
        <v>0.31561706295138792</v>
      </c>
      <c r="AF169" s="3967">
        <f t="shared" si="384"/>
        <v>0.31181823556885152</v>
      </c>
      <c r="AG169" s="3920"/>
      <c r="AH169" s="3921"/>
      <c r="AI169" s="3960"/>
      <c r="AJ169" s="3960"/>
      <c r="AK169" s="3960"/>
      <c r="AL169" s="3960"/>
      <c r="AM169" s="3960"/>
      <c r="AN169" s="3960"/>
      <c r="AO169" s="3960"/>
      <c r="AP169" s="3960"/>
      <c r="AQ169" s="3960"/>
      <c r="AR169" s="3960"/>
      <c r="AS169" s="3960"/>
      <c r="AT169" s="3960"/>
      <c r="AU169" s="3960"/>
      <c r="AV169" s="3960"/>
      <c r="AW169" s="3960"/>
      <c r="AX169" s="3960"/>
      <c r="AY169" s="3960"/>
      <c r="AZ169" s="3960"/>
      <c r="BA169" s="3960"/>
      <c r="BB169" s="3960"/>
      <c r="BC169" s="3961"/>
      <c r="BD169" s="3962"/>
      <c r="BE169" s="3962"/>
      <c r="BF169" s="3962"/>
      <c r="BG169" s="3961"/>
      <c r="BH169" s="3962"/>
      <c r="BI169" s="3962"/>
      <c r="BJ169" s="3962"/>
      <c r="BK169" s="3971"/>
      <c r="BL169" s="3967"/>
      <c r="BM169" s="3967"/>
      <c r="BN169" s="3967"/>
      <c r="BO169" s="3971">
        <f t="shared" ref="BO169:BZ169" si="385">+BO166/BO$143</f>
        <v>0.44136460554371004</v>
      </c>
      <c r="BP169" s="3967">
        <f t="shared" si="385"/>
        <v>0.44035087719298244</v>
      </c>
      <c r="BQ169" s="3967">
        <f t="shared" si="385"/>
        <v>0.45033707865168537</v>
      </c>
      <c r="BR169" s="3972">
        <f t="shared" si="385"/>
        <v>0.45546372819100089</v>
      </c>
      <c r="BS169" s="3971">
        <f t="shared" si="385"/>
        <v>0.44950681070925319</v>
      </c>
      <c r="BT169" s="3967">
        <f t="shared" si="385"/>
        <v>0.4447646493756004</v>
      </c>
      <c r="BU169" s="3967">
        <f t="shared" si="385"/>
        <v>0.4499259990133202</v>
      </c>
      <c r="BV169" s="3967">
        <f t="shared" si="385"/>
        <v>0.44730206757438223</v>
      </c>
      <c r="BW169" s="3971">
        <f t="shared" si="385"/>
        <v>0.44262295081967212</v>
      </c>
      <c r="BX169" s="3967">
        <f t="shared" si="385"/>
        <v>0.43681747269890797</v>
      </c>
      <c r="BY169" s="3967">
        <f t="shared" si="385"/>
        <v>0.44027484143763213</v>
      </c>
      <c r="BZ169" s="3972">
        <f t="shared" si="385"/>
        <v>0.43915630070308276</v>
      </c>
      <c r="CA169" s="3971">
        <f t="shared" ref="CA169:CH169" si="386">+CA166/CA$143</f>
        <v>0.43828167482327351</v>
      </c>
      <c r="CB169" s="3967">
        <f t="shared" si="386"/>
        <v>0.34558180227471569</v>
      </c>
      <c r="CC169" s="3967">
        <f t="shared" si="386"/>
        <v>0.34841021047917597</v>
      </c>
      <c r="CD169" s="3972">
        <f t="shared" si="386"/>
        <v>0.3512150389729482</v>
      </c>
      <c r="CE169" s="3971">
        <f t="shared" si="386"/>
        <v>0.35285913528591351</v>
      </c>
      <c r="CF169" s="3967">
        <f t="shared" si="386"/>
        <v>0.35662996649114409</v>
      </c>
      <c r="CG169" s="3967">
        <f t="shared" si="386"/>
        <v>0.36341463414634145</v>
      </c>
      <c r="CH169" s="3972">
        <f t="shared" si="386"/>
        <v>0.36610671936758893</v>
      </c>
      <c r="CI169" s="3967">
        <f t="shared" ref="CI169:CM169" si="387">+CI166/CI$143</f>
        <v>0.36133603238866396</v>
      </c>
      <c r="CJ169" s="3967">
        <f t="shared" si="387"/>
        <v>0.36033229491173419</v>
      </c>
      <c r="CK169" s="3967">
        <f t="shared" si="387"/>
        <v>0.36175847457627119</v>
      </c>
      <c r="CL169" s="3972">
        <f t="shared" si="387"/>
        <v>0.36205016357688113</v>
      </c>
      <c r="CM169" s="3967">
        <f t="shared" si="387"/>
        <v>0.36201117318435755</v>
      </c>
      <c r="CN169" s="3967">
        <f>+CN166/CN$143</f>
        <v>0.36379310344827587</v>
      </c>
      <c r="CO169" s="3967">
        <f>+CO166/CO$143</f>
        <v>0.35953079178885633</v>
      </c>
      <c r="CP169" s="3972">
        <f t="shared" ref="CP169" si="388">+CP166/CP$143</f>
        <v>0.3582363747703613</v>
      </c>
      <c r="CQ169" s="3967">
        <f>+CQ166/CQ$143</f>
        <v>0.35959015053113208</v>
      </c>
      <c r="CR169" s="3967">
        <f>+CR166/CR$143</f>
        <v>0.36169753869576254</v>
      </c>
      <c r="CS169" s="3967">
        <f>+CS166/CS$143</f>
        <v>0.35664238258283742</v>
      </c>
      <c r="CT169" s="3972">
        <f>+CT166/CT$143</f>
        <v>0.35494882855451237</v>
      </c>
    </row>
    <row r="170" spans="1:98" outlineLevel="1">
      <c r="A170" s="3965" t="s">
        <v>1299</v>
      </c>
      <c r="B170" s="3960"/>
      <c r="C170" s="3960"/>
      <c r="D170" s="3960"/>
      <c r="E170" s="3960"/>
      <c r="F170" s="3960"/>
      <c r="G170" s="3960"/>
      <c r="H170" s="3960"/>
      <c r="I170" s="3960"/>
      <c r="J170" s="3960"/>
      <c r="K170" s="3960"/>
      <c r="L170" s="3976"/>
      <c r="M170" s="3977"/>
      <c r="N170" s="3977"/>
      <c r="O170" s="3978">
        <f t="shared" ref="O170:T170" si="389">+O166/O$174</f>
        <v>0.55779480346435706</v>
      </c>
      <c r="P170" s="3978">
        <f t="shared" si="389"/>
        <v>0.52385719052385715</v>
      </c>
      <c r="Q170" s="3978">
        <f t="shared" si="389"/>
        <v>0.49626556016597512</v>
      </c>
      <c r="R170" s="3978">
        <f t="shared" si="389"/>
        <v>0.4666327913279133</v>
      </c>
      <c r="S170" s="3978">
        <f t="shared" si="389"/>
        <v>0.4452227011494253</v>
      </c>
      <c r="T170" s="3978">
        <f t="shared" si="389"/>
        <v>0.41779280271784058</v>
      </c>
      <c r="U170" s="3976"/>
      <c r="V170" s="3976"/>
      <c r="W170" s="3976"/>
      <c r="X170" s="3976"/>
      <c r="Y170" s="3976"/>
      <c r="Z170" s="3976"/>
      <c r="AA170" s="3976"/>
      <c r="AB170" s="3976"/>
      <c r="AC170" s="3976"/>
      <c r="AD170" s="3976"/>
      <c r="AE170" s="3976"/>
      <c r="AF170" s="3976"/>
      <c r="AG170" s="3920"/>
      <c r="AH170" s="3921"/>
      <c r="AI170" s="3960"/>
      <c r="AJ170" s="3960"/>
      <c r="AK170" s="3960"/>
      <c r="AL170" s="3960"/>
      <c r="AM170" s="3960"/>
      <c r="AN170" s="3960"/>
      <c r="AO170" s="3960"/>
      <c r="AP170" s="3960"/>
      <c r="AQ170" s="3960"/>
      <c r="AR170" s="3960"/>
      <c r="AS170" s="3960"/>
      <c r="AT170" s="3960"/>
      <c r="AU170" s="3960"/>
      <c r="AV170" s="3960"/>
      <c r="AW170" s="3960"/>
      <c r="AX170" s="3960"/>
      <c r="AY170" s="3960"/>
      <c r="AZ170" s="3960"/>
      <c r="BA170" s="3960"/>
      <c r="BB170" s="3960"/>
      <c r="BC170" s="3961"/>
      <c r="BD170" s="3962"/>
      <c r="BE170" s="3962"/>
      <c r="BF170" s="3962"/>
      <c r="BG170" s="3961"/>
      <c r="BH170" s="3962"/>
      <c r="BI170" s="3962"/>
      <c r="BJ170" s="3962"/>
      <c r="BK170" s="3979"/>
      <c r="BL170" s="3976"/>
      <c r="BM170" s="3976"/>
      <c r="BN170" s="3976"/>
      <c r="BO170" s="3980"/>
      <c r="BP170" s="3977"/>
      <c r="BQ170" s="3977"/>
      <c r="BR170" s="3981"/>
      <c r="BS170" s="3980"/>
      <c r="BT170" s="3977"/>
      <c r="BU170" s="3977"/>
      <c r="BV170" s="3977"/>
      <c r="BW170" s="3980"/>
      <c r="BX170" s="3977"/>
      <c r="BY170" s="3977"/>
      <c r="BZ170" s="3981"/>
      <c r="CA170" s="3980"/>
      <c r="CB170" s="3977"/>
      <c r="CC170" s="3977"/>
      <c r="CD170" s="3981"/>
      <c r="CE170" s="3980"/>
      <c r="CF170" s="3977"/>
      <c r="CG170" s="3977"/>
      <c r="CH170" s="3981"/>
      <c r="CI170" s="3977"/>
      <c r="CJ170" s="3977"/>
      <c r="CK170" s="3977"/>
      <c r="CL170" s="3981"/>
      <c r="CM170" s="3977"/>
      <c r="CN170" s="3977"/>
      <c r="CO170" s="3977"/>
      <c r="CP170" s="3981"/>
      <c r="CQ170" s="3977"/>
      <c r="CR170" s="3977"/>
      <c r="CS170" s="3977"/>
      <c r="CT170" s="3981"/>
    </row>
    <row r="171" spans="1:98" outlineLevel="1">
      <c r="A171" s="2066" t="s">
        <v>660</v>
      </c>
      <c r="B171" s="114"/>
      <c r="C171" s="114"/>
      <c r="D171" s="114"/>
      <c r="E171" s="114"/>
      <c r="F171" s="114"/>
      <c r="G171" s="114"/>
      <c r="H171" s="114"/>
      <c r="I171" s="114"/>
      <c r="J171" s="114"/>
      <c r="K171" s="114"/>
      <c r="L171" s="150"/>
      <c r="M171" s="150">
        <f>+SUM(BO171:BR171)</f>
        <v>7</v>
      </c>
      <c r="N171" s="150">
        <f>+SUM(BS171:BV171)</f>
        <v>7</v>
      </c>
      <c r="O171" s="150">
        <f>+SUM(BW171:BZ171)</f>
        <v>5</v>
      </c>
      <c r="P171" s="2033">
        <f>SUM(CA171:CD171)</f>
        <v>4</v>
      </c>
      <c r="Q171" s="2033">
        <f>SUM(CE171:CH171)</f>
        <v>2</v>
      </c>
      <c r="R171" s="2033">
        <f>SUM(CI171:CL171)</f>
        <v>2</v>
      </c>
      <c r="S171" s="2033">
        <f>SUM(CM171:CP171)</f>
        <v>1</v>
      </c>
      <c r="T171" s="2033">
        <f>SUM(CQ171:CT171)</f>
        <v>4</v>
      </c>
      <c r="U171" s="150">
        <f>+U390</f>
        <v>1</v>
      </c>
      <c r="V171" s="150">
        <f>+V390</f>
        <v>1</v>
      </c>
      <c r="W171" s="150">
        <f>+W390</f>
        <v>1</v>
      </c>
      <c r="X171" s="150">
        <f t="shared" ref="X171:AF171" si="390">+X390</f>
        <v>1</v>
      </c>
      <c r="Y171" s="150">
        <f t="shared" si="390"/>
        <v>1</v>
      </c>
      <c r="Z171" s="150">
        <f t="shared" si="390"/>
        <v>1</v>
      </c>
      <c r="AA171" s="150">
        <f t="shared" si="390"/>
        <v>1</v>
      </c>
      <c r="AB171" s="150">
        <f t="shared" si="390"/>
        <v>1</v>
      </c>
      <c r="AC171" s="150">
        <f t="shared" si="390"/>
        <v>1</v>
      </c>
      <c r="AD171" s="150">
        <f t="shared" si="390"/>
        <v>1</v>
      </c>
      <c r="AE171" s="150">
        <f t="shared" si="390"/>
        <v>1</v>
      </c>
      <c r="AF171" s="150">
        <f t="shared" si="390"/>
        <v>1</v>
      </c>
      <c r="AG171" s="2553"/>
      <c r="AH171" s="2714"/>
      <c r="AI171" s="114"/>
      <c r="AJ171" s="114"/>
      <c r="AK171" s="114"/>
      <c r="AL171" s="114"/>
      <c r="AM171" s="114"/>
      <c r="AN171" s="114"/>
      <c r="AO171" s="114"/>
      <c r="AP171" s="114"/>
      <c r="AQ171" s="114"/>
      <c r="AR171" s="114"/>
      <c r="AS171" s="114"/>
      <c r="AT171" s="114"/>
      <c r="AU171" s="114"/>
      <c r="AV171" s="114"/>
      <c r="AW171" s="114"/>
      <c r="AX171" s="114"/>
      <c r="AY171" s="114"/>
      <c r="AZ171" s="114"/>
      <c r="BA171" s="114"/>
      <c r="BB171" s="114"/>
      <c r="BC171" s="2050"/>
      <c r="BD171" s="2067"/>
      <c r="BE171" s="2067"/>
      <c r="BF171" s="2067"/>
      <c r="BG171" s="2050"/>
      <c r="BH171" s="2067"/>
      <c r="BI171" s="2067"/>
      <c r="BJ171" s="2067"/>
      <c r="BK171" s="2045"/>
      <c r="BL171" s="2047"/>
      <c r="BM171" s="2047"/>
      <c r="BN171" s="2047"/>
      <c r="BO171" s="2045">
        <v>1</v>
      </c>
      <c r="BP171" s="2047">
        <v>2</v>
      </c>
      <c r="BQ171" s="2047">
        <v>2</v>
      </c>
      <c r="BR171" s="2046">
        <v>2</v>
      </c>
      <c r="BS171" s="2045">
        <v>2</v>
      </c>
      <c r="BT171" s="2047">
        <v>3</v>
      </c>
      <c r="BU171" s="2047">
        <v>0</v>
      </c>
      <c r="BV171" s="2047">
        <v>2</v>
      </c>
      <c r="BW171" s="2045">
        <v>2</v>
      </c>
      <c r="BX171" s="2047">
        <v>1</v>
      </c>
      <c r="BY171" s="2047">
        <v>1</v>
      </c>
      <c r="BZ171" s="2046">
        <v>1</v>
      </c>
      <c r="CA171" s="2650">
        <v>1</v>
      </c>
      <c r="CB171" s="2651">
        <v>1</v>
      </c>
      <c r="CC171" s="2651">
        <v>1</v>
      </c>
      <c r="CD171" s="2652">
        <v>1</v>
      </c>
      <c r="CE171" s="3128">
        <f t="shared" ref="CE171:CK171" si="391">+CE390</f>
        <v>1</v>
      </c>
      <c r="CF171" s="3129">
        <f t="shared" si="391"/>
        <v>0</v>
      </c>
      <c r="CG171" s="3129">
        <f t="shared" si="391"/>
        <v>1</v>
      </c>
      <c r="CH171" s="3130">
        <f t="shared" si="391"/>
        <v>0</v>
      </c>
      <c r="CI171" s="3129">
        <f t="shared" si="391"/>
        <v>1</v>
      </c>
      <c r="CJ171" s="3129">
        <f t="shared" si="391"/>
        <v>0</v>
      </c>
      <c r="CK171" s="3129">
        <f t="shared" si="391"/>
        <v>0</v>
      </c>
      <c r="CL171" s="3130">
        <f t="shared" ref="CL171:CT171" si="392">+CL390</f>
        <v>1</v>
      </c>
      <c r="CM171" s="3129">
        <f t="shared" si="392"/>
        <v>0</v>
      </c>
      <c r="CN171" s="3129">
        <f t="shared" si="392"/>
        <v>1</v>
      </c>
      <c r="CO171" s="3129">
        <f t="shared" si="392"/>
        <v>0</v>
      </c>
      <c r="CP171" s="3130">
        <f t="shared" ref="CP171" si="393">+CP390</f>
        <v>0</v>
      </c>
      <c r="CQ171" s="3129">
        <f t="shared" si="392"/>
        <v>1</v>
      </c>
      <c r="CR171" s="3129">
        <f t="shared" si="392"/>
        <v>1</v>
      </c>
      <c r="CS171" s="3129">
        <f t="shared" si="392"/>
        <v>1</v>
      </c>
      <c r="CT171" s="3130">
        <f t="shared" si="392"/>
        <v>1</v>
      </c>
    </row>
    <row r="172" spans="1:98" outlineLevel="1">
      <c r="A172" s="3965" t="s">
        <v>34</v>
      </c>
      <c r="B172" s="3960"/>
      <c r="C172" s="3960"/>
      <c r="D172" s="3960"/>
      <c r="E172" s="3960"/>
      <c r="F172" s="3960"/>
      <c r="G172" s="3960"/>
      <c r="H172" s="3960"/>
      <c r="I172" s="3960"/>
      <c r="J172" s="3960"/>
      <c r="K172" s="3960"/>
      <c r="L172" s="3960"/>
      <c r="M172" s="3966"/>
      <c r="N172" s="3966">
        <f>+N171/M171-1</f>
        <v>0</v>
      </c>
      <c r="O172" s="3966">
        <f>+O171/N171-1</f>
        <v>-0.2857142857142857</v>
      </c>
      <c r="P172" s="3966">
        <f>+P171/O171-1</f>
        <v>-0.19999999999999996</v>
      </c>
      <c r="Q172" s="2653" t="s">
        <v>1145</v>
      </c>
      <c r="R172" s="2653" t="s">
        <v>1145</v>
      </c>
      <c r="S172" s="2653" t="s">
        <v>1145</v>
      </c>
      <c r="T172" s="2653" t="s">
        <v>1145</v>
      </c>
      <c r="U172" s="2653" t="s">
        <v>1145</v>
      </c>
      <c r="V172" s="2653" t="s">
        <v>1145</v>
      </c>
      <c r="W172" s="2653" t="s">
        <v>1145</v>
      </c>
      <c r="X172" s="2653" t="s">
        <v>1145</v>
      </c>
      <c r="Y172" s="2653" t="s">
        <v>1145</v>
      </c>
      <c r="Z172" s="2653" t="s">
        <v>1145</v>
      </c>
      <c r="AA172" s="2653" t="s">
        <v>1145</v>
      </c>
      <c r="AB172" s="2653" t="s">
        <v>1145</v>
      </c>
      <c r="AC172" s="2653" t="s">
        <v>1145</v>
      </c>
      <c r="AD172" s="2653" t="s">
        <v>1145</v>
      </c>
      <c r="AE172" s="2653" t="s">
        <v>1145</v>
      </c>
      <c r="AF172" s="2653" t="s">
        <v>1145</v>
      </c>
      <c r="AG172" s="3920"/>
      <c r="AH172" s="3921"/>
      <c r="AI172" s="3960"/>
      <c r="AJ172" s="3960"/>
      <c r="AK172" s="3960"/>
      <c r="AL172" s="3960"/>
      <c r="AM172" s="3960"/>
      <c r="AN172" s="3960"/>
      <c r="AO172" s="3960"/>
      <c r="AP172" s="3960"/>
      <c r="AQ172" s="3960"/>
      <c r="AR172" s="3960"/>
      <c r="AS172" s="3960"/>
      <c r="AT172" s="3960"/>
      <c r="AU172" s="3960"/>
      <c r="AV172" s="3960"/>
      <c r="AW172" s="3960"/>
      <c r="AX172" s="3960"/>
      <c r="AY172" s="3960"/>
      <c r="AZ172" s="3960"/>
      <c r="BA172" s="3960"/>
      <c r="BB172" s="3960"/>
      <c r="BC172" s="3961"/>
      <c r="BD172" s="3962"/>
      <c r="BE172" s="3962"/>
      <c r="BF172" s="3962"/>
      <c r="BG172" s="3961"/>
      <c r="BH172" s="3962"/>
      <c r="BI172" s="3962"/>
      <c r="BJ172" s="3962"/>
      <c r="BK172" s="3959"/>
      <c r="BL172" s="2069"/>
      <c r="BM172" s="3960"/>
      <c r="BN172" s="3960"/>
      <c r="BO172" s="3968"/>
      <c r="BP172" s="3969"/>
      <c r="BQ172" s="3969"/>
      <c r="BR172" s="3970"/>
      <c r="BS172" s="3971">
        <f>+BS171/BO171-1</f>
        <v>1</v>
      </c>
      <c r="BT172" s="3967">
        <f>+BT171/BP171-1</f>
        <v>0.5</v>
      </c>
      <c r="BU172" s="3967">
        <f>+BU171/BQ171-1</f>
        <v>-1</v>
      </c>
      <c r="BV172" s="3967">
        <f>+BV171/BR171-1</f>
        <v>0</v>
      </c>
      <c r="BW172" s="3971">
        <f>+BW171/BS171-1</f>
        <v>0</v>
      </c>
      <c r="BX172" s="2256" t="s">
        <v>1145</v>
      </c>
      <c r="BY172" s="2256" t="s">
        <v>1145</v>
      </c>
      <c r="BZ172" s="2257" t="s">
        <v>1145</v>
      </c>
      <c r="CA172" s="3951" t="s">
        <v>1145</v>
      </c>
      <c r="CB172" s="2653" t="s">
        <v>1145</v>
      </c>
      <c r="CC172" s="2653" t="s">
        <v>1145</v>
      </c>
      <c r="CD172" s="2654" t="s">
        <v>1145</v>
      </c>
      <c r="CE172" s="3951" t="s">
        <v>1145</v>
      </c>
      <c r="CF172" s="2653" t="s">
        <v>1145</v>
      </c>
      <c r="CG172" s="2653" t="s">
        <v>1145</v>
      </c>
      <c r="CH172" s="2654" t="s">
        <v>1145</v>
      </c>
      <c r="CI172" s="2653" t="s">
        <v>1145</v>
      </c>
      <c r="CJ172" s="2653" t="s">
        <v>1145</v>
      </c>
      <c r="CK172" s="2653" t="s">
        <v>1145</v>
      </c>
      <c r="CL172" s="2654" t="s">
        <v>1145</v>
      </c>
      <c r="CM172" s="2653" t="s">
        <v>1145</v>
      </c>
      <c r="CN172" s="2653" t="s">
        <v>1145</v>
      </c>
      <c r="CO172" s="2653" t="s">
        <v>1145</v>
      </c>
      <c r="CP172" s="2654" t="s">
        <v>1145</v>
      </c>
      <c r="CQ172" s="2653" t="s">
        <v>1145</v>
      </c>
      <c r="CR172" s="2653" t="s">
        <v>1145</v>
      </c>
      <c r="CS172" s="2653" t="s">
        <v>1145</v>
      </c>
      <c r="CT172" s="2654" t="s">
        <v>1145</v>
      </c>
    </row>
    <row r="173" spans="1:98" outlineLevel="1">
      <c r="A173" s="3965"/>
      <c r="B173" s="3960"/>
      <c r="C173" s="3960"/>
      <c r="D173" s="3960"/>
      <c r="E173" s="3960"/>
      <c r="F173" s="3960"/>
      <c r="G173" s="3960"/>
      <c r="H173" s="3960"/>
      <c r="I173" s="3960"/>
      <c r="J173" s="3960"/>
      <c r="K173" s="3960"/>
      <c r="L173" s="3967"/>
      <c r="M173" s="3967"/>
      <c r="N173" s="3967"/>
      <c r="O173" s="3967"/>
      <c r="P173" s="3967"/>
      <c r="Q173" s="3967"/>
      <c r="R173" s="3967"/>
      <c r="S173" s="3967"/>
      <c r="T173" s="3967"/>
      <c r="U173" s="3967"/>
      <c r="V173" s="3967"/>
      <c r="W173" s="3967"/>
      <c r="X173" s="3967"/>
      <c r="Y173" s="3967"/>
      <c r="Z173" s="3967"/>
      <c r="AA173" s="3967"/>
      <c r="AB173" s="3967"/>
      <c r="AC173" s="3967"/>
      <c r="AD173" s="3967"/>
      <c r="AE173" s="3967"/>
      <c r="AF173" s="3967"/>
      <c r="AG173" s="3920"/>
      <c r="AH173" s="3921"/>
      <c r="AI173" s="3960"/>
      <c r="AJ173" s="3960"/>
      <c r="AK173" s="3960"/>
      <c r="AL173" s="3960"/>
      <c r="AM173" s="3960"/>
      <c r="AN173" s="3960"/>
      <c r="AO173" s="3960"/>
      <c r="AP173" s="3960"/>
      <c r="AQ173" s="3960"/>
      <c r="AR173" s="3960"/>
      <c r="AS173" s="3960"/>
      <c r="AT173" s="3960"/>
      <c r="AU173" s="3960"/>
      <c r="AV173" s="3960"/>
      <c r="AW173" s="3960"/>
      <c r="AX173" s="3960"/>
      <c r="AY173" s="3960"/>
      <c r="AZ173" s="3960"/>
      <c r="BA173" s="3960"/>
      <c r="BB173" s="3960"/>
      <c r="BC173" s="3961"/>
      <c r="BD173" s="3962"/>
      <c r="BE173" s="3962"/>
      <c r="BF173" s="3962"/>
      <c r="BG173" s="3961"/>
      <c r="BH173" s="3962"/>
      <c r="BI173" s="3962"/>
      <c r="BJ173" s="3962"/>
      <c r="BK173" s="3971"/>
      <c r="BL173" s="3967"/>
      <c r="BM173" s="3967"/>
      <c r="BN173" s="3967"/>
      <c r="BO173" s="3971"/>
      <c r="BP173" s="3967"/>
      <c r="BQ173" s="3967"/>
      <c r="BR173" s="3972"/>
      <c r="BS173" s="3971"/>
      <c r="BT173" s="3967"/>
      <c r="BU173" s="3967"/>
      <c r="BV173" s="3967"/>
      <c r="BW173" s="3971"/>
      <c r="BX173" s="3967"/>
      <c r="BY173" s="3967"/>
      <c r="BZ173" s="3972"/>
      <c r="CA173" s="3971"/>
      <c r="CB173" s="3967"/>
      <c r="CC173" s="3967"/>
      <c r="CD173" s="3972"/>
      <c r="CE173" s="3971"/>
      <c r="CF173" s="3967"/>
      <c r="CG173" s="3967"/>
      <c r="CH173" s="3972"/>
      <c r="CI173" s="3967"/>
      <c r="CJ173" s="3967"/>
      <c r="CK173" s="3967"/>
      <c r="CL173" s="3972"/>
      <c r="CM173" s="3967"/>
      <c r="CN173" s="3967"/>
      <c r="CO173" s="3967"/>
      <c r="CP173" s="3972"/>
      <c r="CQ173" s="3967"/>
      <c r="CR173" s="3967"/>
      <c r="CS173" s="3967"/>
      <c r="CT173" s="3972"/>
    </row>
    <row r="174" spans="1:98" outlineLevel="1">
      <c r="A174" s="2070" t="s">
        <v>1221</v>
      </c>
      <c r="B174" s="3960"/>
      <c r="C174" s="3960"/>
      <c r="D174" s="3960"/>
      <c r="E174" s="3960"/>
      <c r="F174" s="3960"/>
      <c r="G174" s="3960"/>
      <c r="H174" s="3960"/>
      <c r="I174" s="3960"/>
      <c r="J174" s="3960"/>
      <c r="K174" s="3960"/>
      <c r="L174" s="150"/>
      <c r="M174" s="150">
        <f t="shared" ref="M174:W174" si="394">+M171+M166+M161</f>
        <v>6270</v>
      </c>
      <c r="N174" s="150">
        <f t="shared" si="394"/>
        <v>6164</v>
      </c>
      <c r="O174" s="150">
        <f t="shared" si="394"/>
        <v>6004</v>
      </c>
      <c r="P174" s="150">
        <f t="shared" si="394"/>
        <v>5994</v>
      </c>
      <c r="Q174" s="150">
        <f t="shared" si="394"/>
        <v>6025</v>
      </c>
      <c r="R174" s="150">
        <f t="shared" si="394"/>
        <v>5904</v>
      </c>
      <c r="S174" s="150">
        <f t="shared" si="394"/>
        <v>5568</v>
      </c>
      <c r="T174" s="150">
        <f t="shared" si="394"/>
        <v>5332.7629999999999</v>
      </c>
      <c r="U174" s="150">
        <f t="shared" si="394"/>
        <v>5155.384292222222</v>
      </c>
      <c r="V174" s="150">
        <f t="shared" si="394"/>
        <v>5008.5055028861734</v>
      </c>
      <c r="W174" s="150">
        <f t="shared" si="394"/>
        <v>4883.501689318804</v>
      </c>
      <c r="X174" s="150">
        <f t="shared" ref="X174:AF174" si="395">+X171+X166+X161</f>
        <v>4778.4456908308257</v>
      </c>
      <c r="Y174" s="150">
        <f t="shared" si="395"/>
        <v>4691.573088302267</v>
      </c>
      <c r="Z174" s="150">
        <f t="shared" si="395"/>
        <v>4621.2711428980911</v>
      </c>
      <c r="AA174" s="150">
        <f t="shared" si="395"/>
        <v>4566.0682262484697</v>
      </c>
      <c r="AB174" s="150">
        <f t="shared" si="395"/>
        <v>4524.6237497355796</v>
      </c>
      <c r="AC174" s="150">
        <f t="shared" si="395"/>
        <v>4495.7185962827079</v>
      </c>
      <c r="AD174" s="150">
        <f t="shared" si="395"/>
        <v>4478.246054232246</v>
      </c>
      <c r="AE174" s="150">
        <f t="shared" si="395"/>
        <v>4471.2032495136718</v>
      </c>
      <c r="AF174" s="150">
        <f t="shared" si="395"/>
        <v>4473.6830693245684</v>
      </c>
      <c r="AG174" s="3920"/>
      <c r="AH174" s="3921"/>
      <c r="AI174" s="3960"/>
      <c r="AJ174" s="3960"/>
      <c r="AK174" s="3960"/>
      <c r="AL174" s="3960"/>
      <c r="AM174" s="3960"/>
      <c r="AN174" s="3960"/>
      <c r="AO174" s="3960"/>
      <c r="AP174" s="3960"/>
      <c r="AQ174" s="3960"/>
      <c r="AR174" s="3960"/>
      <c r="AS174" s="3960"/>
      <c r="AT174" s="3960"/>
      <c r="AU174" s="3960"/>
      <c r="AV174" s="3960"/>
      <c r="AW174" s="3960"/>
      <c r="AX174" s="3960"/>
      <c r="AY174" s="3960"/>
      <c r="AZ174" s="3960"/>
      <c r="BA174" s="3960"/>
      <c r="BB174" s="3960"/>
      <c r="BC174" s="3961"/>
      <c r="BD174" s="3962"/>
      <c r="BE174" s="3962"/>
      <c r="BF174" s="3962"/>
      <c r="BG174" s="3961"/>
      <c r="BH174" s="3962"/>
      <c r="BI174" s="3962"/>
      <c r="BJ174" s="3962"/>
      <c r="BK174" s="139"/>
      <c r="BL174" s="150"/>
      <c r="BM174" s="150"/>
      <c r="BN174" s="150"/>
      <c r="BO174" s="139">
        <f t="shared" ref="BO174:CD174" si="396">+BO171+BO166+BO161</f>
        <v>1587</v>
      </c>
      <c r="BP174" s="150">
        <f t="shared" si="396"/>
        <v>1550</v>
      </c>
      <c r="BQ174" s="150">
        <f t="shared" si="396"/>
        <v>1554</v>
      </c>
      <c r="BR174" s="360">
        <f t="shared" si="396"/>
        <v>1579</v>
      </c>
      <c r="BS174" s="139">
        <f t="shared" si="396"/>
        <v>1564</v>
      </c>
      <c r="BT174" s="150">
        <f t="shared" si="396"/>
        <v>1540</v>
      </c>
      <c r="BU174" s="150">
        <f t="shared" si="396"/>
        <v>1536</v>
      </c>
      <c r="BV174" s="150">
        <f t="shared" si="396"/>
        <v>1524</v>
      </c>
      <c r="BW174" s="139">
        <f t="shared" si="396"/>
        <v>1511</v>
      </c>
      <c r="BX174" s="150">
        <f t="shared" si="396"/>
        <v>1494</v>
      </c>
      <c r="BY174" s="150">
        <f t="shared" si="396"/>
        <v>1503</v>
      </c>
      <c r="BZ174" s="360">
        <f t="shared" si="396"/>
        <v>1496</v>
      </c>
      <c r="CA174" s="139">
        <f t="shared" si="396"/>
        <v>1509</v>
      </c>
      <c r="CB174" s="150">
        <f t="shared" si="396"/>
        <v>1500</v>
      </c>
      <c r="CC174" s="150">
        <f t="shared" si="396"/>
        <v>1491</v>
      </c>
      <c r="CD174" s="360">
        <f t="shared" si="396"/>
        <v>1494</v>
      </c>
      <c r="CE174" s="139">
        <f>+CE171+CE166+CE161</f>
        <v>1498</v>
      </c>
      <c r="CF174" s="150">
        <f>+CF171+CF166+CF161</f>
        <v>1503</v>
      </c>
      <c r="CG174" s="150">
        <f>+CG171+CG166+CG161</f>
        <v>1510</v>
      </c>
      <c r="CH174" s="360">
        <f>+CH171+CH166+CH161</f>
        <v>1514</v>
      </c>
      <c r="CI174" s="150">
        <f t="shared" ref="CI174:CM174" si="397">+CI171+CI166+CI161</f>
        <v>1489</v>
      </c>
      <c r="CJ174" s="150">
        <f t="shared" si="397"/>
        <v>1494</v>
      </c>
      <c r="CK174" s="150">
        <f t="shared" si="397"/>
        <v>1472</v>
      </c>
      <c r="CL174" s="360">
        <f>+CL171+CL166+CL161</f>
        <v>1449</v>
      </c>
      <c r="CM174" s="150">
        <f t="shared" si="397"/>
        <v>1412</v>
      </c>
      <c r="CN174" s="150">
        <f>+CN171+CN166+CN161</f>
        <v>1402</v>
      </c>
      <c r="CO174" s="150">
        <f>+CO171+CO166+CO161</f>
        <v>1387</v>
      </c>
      <c r="CP174" s="360">
        <f t="shared" ref="CP174" si="398">+CP171+CP166+CP161</f>
        <v>1367</v>
      </c>
      <c r="CQ174" s="150">
        <f>+CQ171+CQ166+CQ161</f>
        <v>1354.19</v>
      </c>
      <c r="CR174" s="150">
        <f>+CR171+CR166+CR161</f>
        <v>1347.0830000000001</v>
      </c>
      <c r="CS174" s="150">
        <f>+CS171+CS166+CS161</f>
        <v>1325.8200000000002</v>
      </c>
      <c r="CT174" s="360">
        <f>+CT171+CT166+CT161</f>
        <v>1305.6699999999998</v>
      </c>
    </row>
    <row r="175" spans="1:98" outlineLevel="1">
      <c r="A175" s="3965" t="s">
        <v>34</v>
      </c>
      <c r="B175" s="3960"/>
      <c r="C175" s="3960"/>
      <c r="D175" s="3960"/>
      <c r="E175" s="3960"/>
      <c r="F175" s="3960"/>
      <c r="G175" s="3960"/>
      <c r="H175" s="3960"/>
      <c r="I175" s="3960"/>
      <c r="J175" s="3960"/>
      <c r="K175" s="3960"/>
      <c r="L175" s="3960"/>
      <c r="M175" s="3966"/>
      <c r="N175" s="3966">
        <f t="shared" ref="N175:W175" si="399">+N174/M174-1</f>
        <v>-1.6905901116427424E-2</v>
      </c>
      <c r="O175" s="3966">
        <f t="shared" si="399"/>
        <v>-2.5957170668397089E-2</v>
      </c>
      <c r="P175" s="3966">
        <f t="shared" si="399"/>
        <v>-1.6655562958027836E-3</v>
      </c>
      <c r="Q175" s="3966">
        <f t="shared" si="399"/>
        <v>5.1718385051717775E-3</v>
      </c>
      <c r="R175" s="3966">
        <f t="shared" si="399"/>
        <v>-2.0082987551867215E-2</v>
      </c>
      <c r="S175" s="3966">
        <f t="shared" si="399"/>
        <v>-5.6910569105691033E-2</v>
      </c>
      <c r="T175" s="3966">
        <f t="shared" si="399"/>
        <v>-4.2248024425287412E-2</v>
      </c>
      <c r="U175" s="3966">
        <f t="shared" si="399"/>
        <v>-3.326206467037407E-2</v>
      </c>
      <c r="V175" s="3966">
        <f t="shared" si="399"/>
        <v>-2.8490366772005782E-2</v>
      </c>
      <c r="W175" s="3966">
        <f t="shared" si="399"/>
        <v>-2.4958306124518659E-2</v>
      </c>
      <c r="X175" s="3966">
        <f t="shared" ref="X175:AF175" si="400">+X174/W174-1</f>
        <v>-2.1512432097188894E-2</v>
      </c>
      <c r="Y175" s="3966">
        <f t="shared" si="400"/>
        <v>-1.8180096238250676E-2</v>
      </c>
      <c r="Z175" s="3966">
        <f t="shared" si="400"/>
        <v>-1.4984727740779191E-2</v>
      </c>
      <c r="AA175" s="3966">
        <f t="shared" si="400"/>
        <v>-1.1945396611158898E-2</v>
      </c>
      <c r="AB175" s="3966">
        <f t="shared" si="400"/>
        <v>-9.0766222621559978E-3</v>
      </c>
      <c r="AC175" s="3966">
        <f t="shared" si="400"/>
        <v>-6.3884104075087045E-3</v>
      </c>
      <c r="AD175" s="3966">
        <f t="shared" si="400"/>
        <v>-3.8864848135533592E-3</v>
      </c>
      <c r="AE175" s="3966">
        <f t="shared" si="400"/>
        <v>-1.5726703341631953E-3</v>
      </c>
      <c r="AF175" s="3966">
        <f t="shared" si="400"/>
        <v>5.5462023811281291E-4</v>
      </c>
      <c r="AG175" s="3920"/>
      <c r="AH175" s="3921"/>
      <c r="AI175" s="3960"/>
      <c r="AJ175" s="3960"/>
      <c r="AK175" s="3960"/>
      <c r="AL175" s="3960"/>
      <c r="AM175" s="3960"/>
      <c r="AN175" s="3960"/>
      <c r="AO175" s="3960"/>
      <c r="AP175" s="3960"/>
      <c r="AQ175" s="3960"/>
      <c r="AR175" s="3960"/>
      <c r="AS175" s="3960"/>
      <c r="AT175" s="3960"/>
      <c r="AU175" s="3960"/>
      <c r="AV175" s="3960"/>
      <c r="AW175" s="3960"/>
      <c r="AX175" s="3960"/>
      <c r="AY175" s="3960"/>
      <c r="AZ175" s="3960"/>
      <c r="BA175" s="3960"/>
      <c r="BB175" s="3960"/>
      <c r="BC175" s="3961"/>
      <c r="BD175" s="3962"/>
      <c r="BE175" s="3962"/>
      <c r="BF175" s="3962"/>
      <c r="BG175" s="3961"/>
      <c r="BH175" s="3962"/>
      <c r="BI175" s="3962"/>
      <c r="BJ175" s="3962"/>
      <c r="BK175" s="3983"/>
      <c r="BL175" s="3964"/>
      <c r="BM175" s="3964"/>
      <c r="BN175" s="3964"/>
      <c r="BO175" s="3971"/>
      <c r="BP175" s="3967"/>
      <c r="BQ175" s="3967"/>
      <c r="BR175" s="3972"/>
      <c r="BS175" s="3974" t="s">
        <v>1089</v>
      </c>
      <c r="BT175" s="3984" t="s">
        <v>1089</v>
      </c>
      <c r="BU175" s="3984" t="s">
        <v>1089</v>
      </c>
      <c r="BV175" s="3984" t="s">
        <v>1089</v>
      </c>
      <c r="BW175" s="3971">
        <f t="shared" ref="BW175:CG175" si="401">+BW174/BS174-1</f>
        <v>-3.3887468030690537E-2</v>
      </c>
      <c r="BX175" s="3967">
        <f t="shared" si="401"/>
        <v>-2.9870129870129825E-2</v>
      </c>
      <c r="BY175" s="3967">
        <f t="shared" si="401"/>
        <v>-2.1484375E-2</v>
      </c>
      <c r="BZ175" s="3972">
        <f t="shared" si="401"/>
        <v>-1.8372703412073532E-2</v>
      </c>
      <c r="CA175" s="3971">
        <f t="shared" si="401"/>
        <v>-1.323626737260053E-3</v>
      </c>
      <c r="CB175" s="3967">
        <f t="shared" si="401"/>
        <v>4.0160642570281624E-3</v>
      </c>
      <c r="CC175" s="3967">
        <f t="shared" si="401"/>
        <v>-7.9840319361277334E-3</v>
      </c>
      <c r="CD175" s="3972">
        <f t="shared" si="401"/>
        <v>-1.3368983957219305E-3</v>
      </c>
      <c r="CE175" s="3971">
        <f t="shared" si="401"/>
        <v>-7.2895957587806315E-3</v>
      </c>
      <c r="CF175" s="3967">
        <f t="shared" si="401"/>
        <v>2.0000000000000018E-3</v>
      </c>
      <c r="CG175" s="3967">
        <f t="shared" si="401"/>
        <v>1.2743125419181656E-2</v>
      </c>
      <c r="CH175" s="3972">
        <f t="shared" ref="CH175:CM175" si="402">+CH174/CD174-1</f>
        <v>1.3386880856760319E-2</v>
      </c>
      <c r="CI175" s="3967">
        <f t="shared" si="402"/>
        <v>-6.0080106809078382E-3</v>
      </c>
      <c r="CJ175" s="3967">
        <f t="shared" si="402"/>
        <v>-5.9880239520958556E-3</v>
      </c>
      <c r="CK175" s="3967">
        <f t="shared" si="402"/>
        <v>-2.5165562913907258E-2</v>
      </c>
      <c r="CL175" s="3972">
        <f>+CL174/CH174-1</f>
        <v>-4.2932628797886396E-2</v>
      </c>
      <c r="CM175" s="3967">
        <f t="shared" si="402"/>
        <v>-5.1712558764271277E-2</v>
      </c>
      <c r="CN175" s="3967">
        <f>+CN174/CJ174-1</f>
        <v>-6.1579651941097713E-2</v>
      </c>
      <c r="CO175" s="3967">
        <f>+CO174/CK174-1</f>
        <v>-5.7744565217391353E-2</v>
      </c>
      <c r="CP175" s="3972">
        <f t="shared" ref="CP175" si="403">+CP174/CL174-1</f>
        <v>-5.6590752242926201E-2</v>
      </c>
      <c r="CQ175" s="3967">
        <f>+CQ174/CM174-1</f>
        <v>-4.0941926345609003E-2</v>
      </c>
      <c r="CR175" s="3967">
        <f>+CR174/CN174-1</f>
        <v>-3.9170470756062725E-2</v>
      </c>
      <c r="CS175" s="3967">
        <f>+CS174/CO174-1</f>
        <v>-4.4109589041095743E-2</v>
      </c>
      <c r="CT175" s="3972">
        <f>+CT174/CP174-1</f>
        <v>-4.4864667154352667E-2</v>
      </c>
    </row>
    <row r="176" spans="1:98" outlineLevel="1">
      <c r="A176" s="3965" t="s">
        <v>947</v>
      </c>
      <c r="B176" s="3960"/>
      <c r="C176" s="3960"/>
      <c r="D176" s="3960"/>
      <c r="E176" s="3960"/>
      <c r="F176" s="3960"/>
      <c r="G176" s="3960"/>
      <c r="H176" s="3960"/>
      <c r="I176" s="3960"/>
      <c r="J176" s="3960"/>
      <c r="K176" s="3960"/>
      <c r="L176" s="3960"/>
      <c r="M176" s="3960"/>
      <c r="N176" s="3960"/>
      <c r="O176" s="3960"/>
      <c r="P176" s="3960"/>
      <c r="Q176" s="3960"/>
      <c r="R176" s="3960"/>
      <c r="S176" s="3960"/>
      <c r="T176" s="3960"/>
      <c r="U176" s="3960"/>
      <c r="V176" s="3960"/>
      <c r="W176" s="3960"/>
      <c r="X176" s="3960"/>
      <c r="Y176" s="3960"/>
      <c r="Z176" s="3960"/>
      <c r="AA176" s="3960"/>
      <c r="AB176" s="3960"/>
      <c r="AC176" s="3960"/>
      <c r="AD176" s="3960"/>
      <c r="AE176" s="3960"/>
      <c r="AF176" s="3960"/>
      <c r="AG176" s="3920"/>
      <c r="AH176" s="3921"/>
      <c r="AI176" s="3960"/>
      <c r="AJ176" s="3960"/>
      <c r="AK176" s="3960"/>
      <c r="AL176" s="3960"/>
      <c r="AM176" s="3960"/>
      <c r="AN176" s="3960"/>
      <c r="AO176" s="3960"/>
      <c r="AP176" s="3960"/>
      <c r="AQ176" s="3960"/>
      <c r="AR176" s="3960"/>
      <c r="AS176" s="3960"/>
      <c r="AT176" s="3960"/>
      <c r="AU176" s="3960"/>
      <c r="AV176" s="3960"/>
      <c r="AW176" s="3960"/>
      <c r="AX176" s="3960"/>
      <c r="AY176" s="3960"/>
      <c r="AZ176" s="3960"/>
      <c r="BA176" s="3960"/>
      <c r="BB176" s="3960"/>
      <c r="BC176" s="3961"/>
      <c r="BD176" s="3962"/>
      <c r="BE176" s="3962"/>
      <c r="BF176" s="3962"/>
      <c r="BG176" s="3961"/>
      <c r="BH176" s="3962"/>
      <c r="BI176" s="3962"/>
      <c r="BJ176" s="3962"/>
      <c r="BK176" s="3983"/>
      <c r="BL176" s="3966"/>
      <c r="BM176" s="3966"/>
      <c r="BN176" s="3966"/>
      <c r="BO176" s="3975"/>
      <c r="BP176" s="3966">
        <f>+BP174/BO174-1</f>
        <v>-2.3314429741650877E-2</v>
      </c>
      <c r="BQ176" s="3966">
        <f>+BQ174/BP174-1</f>
        <v>2.580645161290418E-3</v>
      </c>
      <c r="BR176" s="3973">
        <f>+BR174/BQ174-1</f>
        <v>1.6087516087516018E-2</v>
      </c>
      <c r="BS176" s="3974" t="s">
        <v>1089</v>
      </c>
      <c r="BT176" s="3966">
        <f>+BT174/BS174-1</f>
        <v>-1.5345268542199531E-2</v>
      </c>
      <c r="BU176" s="3966">
        <f t="shared" ref="BU176:CG176" si="404">+BU174/BT174-1</f>
        <v>-2.5974025974025983E-3</v>
      </c>
      <c r="BV176" s="3966">
        <f t="shared" si="404"/>
        <v>-7.8125E-3</v>
      </c>
      <c r="BW176" s="3975">
        <f t="shared" si="404"/>
        <v>-8.5301837270340686E-3</v>
      </c>
      <c r="BX176" s="3966">
        <f t="shared" si="404"/>
        <v>-1.1250827266710783E-2</v>
      </c>
      <c r="BY176" s="3966">
        <f t="shared" si="404"/>
        <v>6.0240963855422436E-3</v>
      </c>
      <c r="BZ176" s="3973">
        <f t="shared" si="404"/>
        <v>-4.6573519627411963E-3</v>
      </c>
      <c r="CA176" s="3975">
        <f t="shared" si="404"/>
        <v>8.6898395721926036E-3</v>
      </c>
      <c r="CB176" s="3966">
        <f t="shared" si="404"/>
        <v>-5.9642147117295874E-3</v>
      </c>
      <c r="CC176" s="3966">
        <f t="shared" si="404"/>
        <v>-6.0000000000000053E-3</v>
      </c>
      <c r="CD176" s="3973">
        <f t="shared" si="404"/>
        <v>2.012072434607548E-3</v>
      </c>
      <c r="CE176" s="3975">
        <f t="shared" si="404"/>
        <v>2.6773761713521083E-3</v>
      </c>
      <c r="CF176" s="3966">
        <f t="shared" si="404"/>
        <v>3.3377837116155273E-3</v>
      </c>
      <c r="CG176" s="3966">
        <f t="shared" si="404"/>
        <v>4.6573519627410853E-3</v>
      </c>
      <c r="CH176" s="3973">
        <f t="shared" ref="CH176:CM176" si="405">+CH174/CG174-1</f>
        <v>2.6490066225166586E-3</v>
      </c>
      <c r="CI176" s="3966">
        <f t="shared" si="405"/>
        <v>-1.651254953764858E-2</v>
      </c>
      <c r="CJ176" s="3966">
        <f t="shared" si="405"/>
        <v>3.3579583613163599E-3</v>
      </c>
      <c r="CK176" s="3966">
        <f t="shared" si="405"/>
        <v>-1.4725568942436373E-2</v>
      </c>
      <c r="CL176" s="3973">
        <f>+CL174/CK174-1</f>
        <v>-1.5625E-2</v>
      </c>
      <c r="CM176" s="3966">
        <f t="shared" si="405"/>
        <v>-2.553485162180813E-2</v>
      </c>
      <c r="CN176" s="3966">
        <f>+CN174/CM174-1</f>
        <v>-7.0821529745042078E-3</v>
      </c>
      <c r="CO176" s="3966">
        <f>+CO174/CN174-1</f>
        <v>-1.0699001426533572E-2</v>
      </c>
      <c r="CP176" s="3973">
        <f t="shared" ref="CP176" si="406">+CP174/CO174-1</f>
        <v>-1.4419610670511895E-2</v>
      </c>
      <c r="CQ176" s="3966">
        <f>+CQ174/CP174-1</f>
        <v>-9.370885149963426E-3</v>
      </c>
      <c r="CR176" s="3966">
        <f>+CR174/CQ174-1</f>
        <v>-5.24815572408599E-3</v>
      </c>
      <c r="CS176" s="3966">
        <f>+CS174/CR174-1</f>
        <v>-1.5784476531883973E-2</v>
      </c>
      <c r="CT176" s="3973">
        <f>+CT174/CS174-1</f>
        <v>-1.5198141527507758E-2</v>
      </c>
    </row>
    <row r="177" spans="1:98" outlineLevel="1">
      <c r="A177" s="3965" t="s">
        <v>1217</v>
      </c>
      <c r="B177" s="3876"/>
      <c r="C177" s="3876"/>
      <c r="D177" s="3876"/>
      <c r="E177" s="3876"/>
      <c r="F177" s="3876"/>
      <c r="G177" s="3876"/>
      <c r="H177" s="3876"/>
      <c r="I177" s="3876"/>
      <c r="J177" s="3876"/>
      <c r="K177" s="3876"/>
      <c r="L177" s="3876"/>
      <c r="N177" s="3966">
        <f t="shared" ref="N177:W177" si="407">N174/N$154</f>
        <v>0.33541927409261579</v>
      </c>
      <c r="O177" s="3966">
        <f t="shared" si="407"/>
        <v>0.33180436584691902</v>
      </c>
      <c r="P177" s="3966">
        <f t="shared" si="407"/>
        <v>0.33250124812780829</v>
      </c>
      <c r="Q177" s="3966">
        <f t="shared" si="407"/>
        <v>0.33659217877094971</v>
      </c>
      <c r="R177" s="3966">
        <f t="shared" si="407"/>
        <v>0.33795077275329138</v>
      </c>
      <c r="S177" s="3966">
        <f t="shared" si="407"/>
        <v>0.34165797386021968</v>
      </c>
      <c r="T177" s="3966">
        <f t="shared" si="407"/>
        <v>0.33817345118332043</v>
      </c>
      <c r="U177" s="3966">
        <f t="shared" si="407"/>
        <v>0.33450850857274544</v>
      </c>
      <c r="V177" s="3966">
        <f t="shared" si="407"/>
        <v>0.33244734333545001</v>
      </c>
      <c r="W177" s="3966">
        <f t="shared" si="407"/>
        <v>0.33044183520272047</v>
      </c>
      <c r="X177" s="3966">
        <f t="shared" ref="X177:AF177" si="408">X174/X$154</f>
        <v>0.32851082611803223</v>
      </c>
      <c r="Y177" s="3966">
        <f t="shared" si="408"/>
        <v>0.32666700757247019</v>
      </c>
      <c r="Z177" s="3966">
        <f t="shared" si="408"/>
        <v>0.32491747074037935</v>
      </c>
      <c r="AA177" s="3966">
        <f t="shared" si="408"/>
        <v>0.32326439922920364</v>
      </c>
      <c r="AB177" s="3966">
        <f t="shared" si="408"/>
        <v>0.32170584438575967</v>
      </c>
      <c r="AC177" s="3966">
        <f t="shared" si="408"/>
        <v>0.32023652878217795</v>
      </c>
      <c r="AD177" s="3966">
        <f t="shared" si="408"/>
        <v>0.3188486324614217</v>
      </c>
      <c r="AE177" s="3966">
        <f t="shared" si="408"/>
        <v>0.31753252710502172</v>
      </c>
      <c r="AF177" s="3966">
        <f t="shared" si="408"/>
        <v>0.3162774340813172</v>
      </c>
      <c r="AG177" s="3920"/>
      <c r="AH177" s="3921"/>
      <c r="AI177" s="3876"/>
      <c r="AJ177" s="3876"/>
      <c r="AK177" s="3876"/>
      <c r="AL177" s="3876"/>
      <c r="AM177" s="3876"/>
      <c r="AN177" s="3876"/>
      <c r="AO177" s="3876"/>
      <c r="AP177" s="3876"/>
      <c r="AQ177" s="3876"/>
      <c r="AR177" s="3876"/>
      <c r="AS177" s="3876"/>
      <c r="AT177" s="3876"/>
      <c r="AU177" s="3876"/>
      <c r="AV177" s="3876"/>
      <c r="AW177" s="3876"/>
      <c r="AX177" s="3876"/>
      <c r="AY177" s="3876"/>
      <c r="AZ177" s="3876"/>
      <c r="BA177" s="3876"/>
      <c r="BB177" s="3876"/>
      <c r="BC177" s="3940"/>
      <c r="BD177" s="3934"/>
      <c r="BE177" s="3934"/>
      <c r="BF177" s="3934"/>
      <c r="BG177" s="3940"/>
      <c r="BH177" s="3934"/>
      <c r="BI177" s="3934"/>
      <c r="BJ177" s="3934"/>
      <c r="BK177" s="3933"/>
      <c r="BL177" s="3876"/>
      <c r="BM177" s="3876"/>
      <c r="BN177" s="3876"/>
      <c r="BO177" s="3933"/>
      <c r="BP177" s="3876"/>
      <c r="BQ177" s="3876"/>
      <c r="BR177" s="3935"/>
      <c r="BS177" s="3933"/>
      <c r="BT177" s="3876"/>
      <c r="BU177" s="3876"/>
      <c r="BV177" s="3876"/>
      <c r="BW177" s="3975">
        <f t="shared" ref="BW177:CB177" si="409">BW174/BW$154</f>
        <v>0.33481054730777754</v>
      </c>
      <c r="BX177" s="3966">
        <f t="shared" si="409"/>
        <v>0.33016574585635361</v>
      </c>
      <c r="BY177" s="3966">
        <f t="shared" si="409"/>
        <v>0.33289036544850498</v>
      </c>
      <c r="BZ177" s="3973">
        <f t="shared" si="409"/>
        <v>0.32937032144429768</v>
      </c>
      <c r="CA177" s="3975">
        <f t="shared" si="409"/>
        <v>0.33252534156015867</v>
      </c>
      <c r="CB177" s="3966">
        <f t="shared" si="409"/>
        <v>0.33039647577092512</v>
      </c>
      <c r="CC177" s="3966">
        <f t="shared" ref="CC177:CH177" si="410">CC174/CC$154</f>
        <v>0.33037890538444492</v>
      </c>
      <c r="CD177" s="3973">
        <f t="shared" si="410"/>
        <v>0.33678990081154192</v>
      </c>
      <c r="CE177" s="3975">
        <f t="shared" si="410"/>
        <v>0.33655358346439002</v>
      </c>
      <c r="CF177" s="3966">
        <f t="shared" si="410"/>
        <v>0.34012219959266804</v>
      </c>
      <c r="CG177" s="3966">
        <f t="shared" si="410"/>
        <v>0.33157663592446202</v>
      </c>
      <c r="CH177" s="3973">
        <f t="shared" si="410"/>
        <v>0.33824843610366401</v>
      </c>
      <c r="CI177" s="3966">
        <f t="shared" ref="CI177:CM177" si="411">CI174/CI$154</f>
        <v>0.33833219722790275</v>
      </c>
      <c r="CJ177" s="3966">
        <f t="shared" si="411"/>
        <v>0.339699863574352</v>
      </c>
      <c r="CK177" s="3966">
        <f t="shared" si="411"/>
        <v>0.33591967138293016</v>
      </c>
      <c r="CL177" s="3973">
        <f t="shared" si="411"/>
        <v>0.33784098857542549</v>
      </c>
      <c r="CM177" s="3966">
        <f t="shared" si="411"/>
        <v>0.33547160845806606</v>
      </c>
      <c r="CN177" s="3966">
        <f>CN174/CN$154</f>
        <v>0.34278728606356967</v>
      </c>
      <c r="CO177" s="3966">
        <f>CO174/CO$154</f>
        <v>0.34382746653445712</v>
      </c>
      <c r="CP177" s="3973">
        <f t="shared" ref="CP177" si="412">CP174/CP$154</f>
        <v>0.34485368314833503</v>
      </c>
      <c r="CQ177" s="3966">
        <f>CQ174/CQ$154</f>
        <v>0.33899921645592751</v>
      </c>
      <c r="CR177" s="3966">
        <f>CR174/CR$154</f>
        <v>0.34045420920291869</v>
      </c>
      <c r="CS177" s="3966">
        <f>CS174/CS$154</f>
        <v>0.33681884002743695</v>
      </c>
      <c r="CT177" s="3973">
        <f>CT174/CT$154</f>
        <v>0.33637244243382913</v>
      </c>
    </row>
    <row r="178" spans="1:98" outlineLevel="1">
      <c r="A178" s="2065" t="s">
        <v>1984</v>
      </c>
      <c r="B178" s="3954"/>
      <c r="C178" s="3954"/>
      <c r="D178" s="3954"/>
      <c r="E178" s="3954"/>
      <c r="F178" s="3954"/>
      <c r="G178" s="3954"/>
      <c r="H178" s="3954"/>
      <c r="I178" s="3954"/>
      <c r="J178" s="3954"/>
      <c r="K178" s="3954"/>
      <c r="L178" s="3954"/>
      <c r="M178" s="3954"/>
      <c r="N178" s="3954"/>
      <c r="O178" s="3954"/>
      <c r="P178" s="3954"/>
      <c r="Q178" s="3954"/>
      <c r="R178" s="3954"/>
      <c r="S178" s="3954"/>
      <c r="T178" s="3954"/>
      <c r="U178" s="3954"/>
      <c r="V178" s="3954"/>
      <c r="W178" s="3954"/>
      <c r="X178" s="3954"/>
      <c r="Y178" s="3954"/>
      <c r="Z178" s="3954"/>
      <c r="AA178" s="3954"/>
      <c r="AB178" s="3954"/>
      <c r="AC178" s="3954"/>
      <c r="AD178" s="3954"/>
      <c r="AE178" s="3954"/>
      <c r="AF178" s="3954"/>
      <c r="AG178" s="3920"/>
      <c r="AH178" s="3921"/>
      <c r="AI178" s="3954"/>
      <c r="AJ178" s="3954"/>
      <c r="AK178" s="3954"/>
      <c r="AL178" s="3954"/>
      <c r="AM178" s="3954"/>
      <c r="AN178" s="3954"/>
      <c r="AO178" s="3954"/>
      <c r="AP178" s="3954"/>
      <c r="AQ178" s="3954"/>
      <c r="AR178" s="3954"/>
      <c r="AS178" s="3954"/>
      <c r="AT178" s="3954"/>
      <c r="AU178" s="3954"/>
      <c r="AV178" s="3954"/>
      <c r="AW178" s="3954"/>
      <c r="AX178" s="3954"/>
      <c r="AY178" s="3954"/>
      <c r="AZ178" s="3954"/>
      <c r="BA178" s="3954"/>
      <c r="BB178" s="3954"/>
      <c r="BC178" s="3955"/>
      <c r="BD178" s="3956"/>
      <c r="BE178" s="3956"/>
      <c r="BF178" s="3956"/>
      <c r="BG178" s="3955"/>
      <c r="BH178" s="3956"/>
      <c r="BI178" s="3956"/>
      <c r="BJ178" s="3956"/>
      <c r="BK178" s="3957"/>
      <c r="BL178" s="3954"/>
      <c r="BM178" s="3954"/>
      <c r="BN178" s="3954"/>
      <c r="BO178" s="3957"/>
      <c r="BP178" s="3954"/>
      <c r="BQ178" s="3954"/>
      <c r="BR178" s="3958"/>
      <c r="BS178" s="3957"/>
      <c r="BT178" s="3954"/>
      <c r="BU178" s="3954"/>
      <c r="BV178" s="3954"/>
      <c r="BW178" s="3957"/>
      <c r="BX178" s="3954"/>
      <c r="BY178" s="3954"/>
      <c r="BZ178" s="3958"/>
      <c r="CA178" s="3957"/>
      <c r="CB178" s="3954"/>
      <c r="CC178" s="3954"/>
      <c r="CD178" s="3958"/>
      <c r="CE178" s="3954"/>
      <c r="CF178" s="3954"/>
      <c r="CG178" s="3954"/>
      <c r="CH178" s="3958"/>
      <c r="CI178" s="3954"/>
      <c r="CJ178" s="3954"/>
      <c r="CK178" s="3954"/>
      <c r="CL178" s="3958"/>
      <c r="CM178" s="3954"/>
      <c r="CN178" s="3954"/>
      <c r="CO178" s="3954"/>
      <c r="CP178" s="3958"/>
      <c r="CQ178" s="3954"/>
      <c r="CR178" s="3954"/>
      <c r="CS178" s="3954"/>
      <c r="CT178" s="3958"/>
    </row>
    <row r="179" spans="1:98" outlineLevel="1">
      <c r="A179" s="2053" t="s">
        <v>659</v>
      </c>
      <c r="B179" s="3960"/>
      <c r="C179" s="3960"/>
      <c r="D179" s="3960"/>
      <c r="E179" s="3960"/>
      <c r="F179" s="3960"/>
      <c r="G179" s="3960"/>
      <c r="H179" s="3960"/>
      <c r="I179" s="3960"/>
      <c r="J179" s="3960"/>
      <c r="K179" s="3960"/>
      <c r="L179" s="3960"/>
      <c r="N179" s="150"/>
      <c r="O179" s="150"/>
      <c r="P179" s="2033"/>
      <c r="Q179" s="2033">
        <f>SUM(CE179:CH179)</f>
        <v>4057</v>
      </c>
      <c r="R179" s="2033">
        <f>SUM(CI179:CL179)</f>
        <v>4310</v>
      </c>
      <c r="S179" s="2033">
        <f>SUM(CM179:CP179)</f>
        <v>3985</v>
      </c>
      <c r="T179" s="2033">
        <f>SUM(CQ179:CT179)</f>
        <v>3876.4149999999995</v>
      </c>
      <c r="U179" s="2067">
        <f t="shared" ref="U179:AF179" si="413">+U352+U355</f>
        <v>4001.5895249999994</v>
      </c>
      <c r="V179" s="2067">
        <f t="shared" si="413"/>
        <v>4130.9351583749994</v>
      </c>
      <c r="W179" s="2067">
        <f t="shared" si="413"/>
        <v>4264.5936889181239</v>
      </c>
      <c r="X179" s="2067">
        <f t="shared" si="413"/>
        <v>4402.7117840302581</v>
      </c>
      <c r="Y179" s="2067">
        <f t="shared" si="413"/>
        <v>4545.4411587913164</v>
      </c>
      <c r="Z179" s="2067">
        <f t="shared" si="413"/>
        <v>4692.9387509154121</v>
      </c>
      <c r="AA179" s="2067">
        <f t="shared" si="413"/>
        <v>4845.3669017951788</v>
      </c>
      <c r="AB179" s="2067">
        <f t="shared" si="413"/>
        <v>5002.8935438476929</v>
      </c>
      <c r="AC179" s="2067">
        <f t="shared" si="413"/>
        <v>5165.6923943818383</v>
      </c>
      <c r="AD179" s="2067">
        <f t="shared" si="413"/>
        <v>5333.9431562146683</v>
      </c>
      <c r="AE179" s="2067">
        <f t="shared" si="413"/>
        <v>5507.8317252722363</v>
      </c>
      <c r="AF179" s="2067">
        <f t="shared" si="413"/>
        <v>5687.5504054186204</v>
      </c>
      <c r="AG179" s="3920"/>
      <c r="AH179" s="3921"/>
      <c r="AI179" s="3960"/>
      <c r="AJ179" s="3960"/>
      <c r="AK179" s="3960"/>
      <c r="AL179" s="3960"/>
      <c r="AM179" s="3960"/>
      <c r="AN179" s="3960"/>
      <c r="AO179" s="3960"/>
      <c r="AP179" s="3960"/>
      <c r="AQ179" s="3960"/>
      <c r="AR179" s="3960"/>
      <c r="AS179" s="3960"/>
      <c r="AT179" s="3960"/>
      <c r="AU179" s="3960"/>
      <c r="AV179" s="3960"/>
      <c r="AW179" s="3960"/>
      <c r="AX179" s="3960"/>
      <c r="AY179" s="3960"/>
      <c r="AZ179" s="3960"/>
      <c r="BA179" s="3960"/>
      <c r="BB179" s="3960"/>
      <c r="BC179" s="3961"/>
      <c r="BD179" s="3962"/>
      <c r="BE179" s="3962"/>
      <c r="BF179" s="3962"/>
      <c r="BG179" s="3961"/>
      <c r="BH179" s="3962"/>
      <c r="BI179" s="3962"/>
      <c r="BJ179" s="3962"/>
      <c r="BK179" s="3959"/>
      <c r="BL179" s="3960"/>
      <c r="BM179" s="3960"/>
      <c r="BN179" s="3960"/>
      <c r="BO179" s="2581"/>
      <c r="BP179" s="114"/>
      <c r="BQ179" s="114"/>
      <c r="BR179" s="2242"/>
      <c r="BS179" s="2053"/>
      <c r="BT179" s="114"/>
      <c r="BU179" s="114"/>
      <c r="BV179" s="114"/>
      <c r="BW179" s="2053"/>
      <c r="BX179" s="114"/>
      <c r="BY179" s="114"/>
      <c r="BZ179" s="2242"/>
      <c r="CA179" s="139"/>
      <c r="CB179" s="2047"/>
      <c r="CC179" s="2047"/>
      <c r="CD179" s="2046"/>
      <c r="CE179" s="2230">
        <f t="shared" ref="CE179:CT179" si="414">+CE352+CE355</f>
        <v>994</v>
      </c>
      <c r="CF179" s="2231">
        <f t="shared" si="414"/>
        <v>997</v>
      </c>
      <c r="CG179" s="2231">
        <f t="shared" si="414"/>
        <v>1008</v>
      </c>
      <c r="CH179" s="2232">
        <f t="shared" si="414"/>
        <v>1058</v>
      </c>
      <c r="CI179" s="2231">
        <f t="shared" si="414"/>
        <v>1065</v>
      </c>
      <c r="CJ179" s="2231">
        <f t="shared" si="414"/>
        <v>1081</v>
      </c>
      <c r="CK179" s="2231">
        <f t="shared" si="414"/>
        <v>1078</v>
      </c>
      <c r="CL179" s="2232">
        <f t="shared" si="414"/>
        <v>1086</v>
      </c>
      <c r="CM179" s="2231">
        <f t="shared" si="414"/>
        <v>1097</v>
      </c>
      <c r="CN179" s="2231">
        <f t="shared" si="414"/>
        <v>985</v>
      </c>
      <c r="CO179" s="2231">
        <f t="shared" si="414"/>
        <v>949</v>
      </c>
      <c r="CP179" s="2232">
        <f t="shared" ref="CP179" si="415">+CP352+CP355</f>
        <v>954</v>
      </c>
      <c r="CQ179" s="2231">
        <f t="shared" si="414"/>
        <v>970.91499999999996</v>
      </c>
      <c r="CR179" s="2231">
        <f t="shared" si="414"/>
        <v>961.59999999999991</v>
      </c>
      <c r="CS179" s="2231">
        <f t="shared" si="414"/>
        <v>968.84499999999991</v>
      </c>
      <c r="CT179" s="2232">
        <f t="shared" si="414"/>
        <v>975.05499999999995</v>
      </c>
    </row>
    <row r="180" spans="1:98" outlineLevel="1">
      <c r="A180" s="3965" t="s">
        <v>34</v>
      </c>
      <c r="B180" s="114"/>
      <c r="C180" s="114"/>
      <c r="D180" s="114"/>
      <c r="E180" s="114"/>
      <c r="F180" s="114"/>
      <c r="G180" s="114"/>
      <c r="H180" s="114"/>
      <c r="I180" s="114"/>
      <c r="J180" s="114"/>
      <c r="K180" s="114"/>
      <c r="L180" s="150"/>
      <c r="M180" s="3966"/>
      <c r="N180" s="150"/>
      <c r="O180" s="3966"/>
      <c r="P180" s="3966"/>
      <c r="Q180" s="3966"/>
      <c r="R180" s="3966">
        <f t="shared" ref="R180:W180" si="416">+R179/Q179-1</f>
        <v>6.2361350751787059E-2</v>
      </c>
      <c r="S180" s="3966">
        <f t="shared" si="416"/>
        <v>-7.5406032482598584E-2</v>
      </c>
      <c r="T180" s="3966">
        <f>+T179/S179-1</f>
        <v>-2.7248431618569713E-2</v>
      </c>
      <c r="U180" s="3966">
        <f t="shared" si="416"/>
        <v>3.229131168876398E-2</v>
      </c>
      <c r="V180" s="3966">
        <f t="shared" si="416"/>
        <v>3.23235635656558E-2</v>
      </c>
      <c r="W180" s="3966">
        <f t="shared" si="416"/>
        <v>3.235551404677639E-2</v>
      </c>
      <c r="X180" s="3966">
        <f t="shared" ref="X180:AF180" si="417">+X179/W179-1</f>
        <v>3.2387163980250877E-2</v>
      </c>
      <c r="Y180" s="3966">
        <f t="shared" si="417"/>
        <v>3.2418514261772335E-2</v>
      </c>
      <c r="Z180" s="3966">
        <f t="shared" si="417"/>
        <v>3.2449565833411187E-2</v>
      </c>
      <c r="AA180" s="3966">
        <f t="shared" si="417"/>
        <v>3.2480319682423708E-2</v>
      </c>
      <c r="AB180" s="3966">
        <f t="shared" si="417"/>
        <v>3.2510776840067868E-2</v>
      </c>
      <c r="AC180" s="3966">
        <f t="shared" si="417"/>
        <v>3.2540938380419382E-2</v>
      </c>
      <c r="AD180" s="3966">
        <f t="shared" si="417"/>
        <v>3.257080541919577E-2</v>
      </c>
      <c r="AE180" s="3966">
        <f t="shared" si="417"/>
        <v>3.2600379112583511E-2</v>
      </c>
      <c r="AF180" s="3966">
        <f t="shared" si="417"/>
        <v>3.2629660656072534E-2</v>
      </c>
      <c r="AG180" s="2553"/>
      <c r="AH180" s="2714"/>
      <c r="AI180" s="114"/>
      <c r="AJ180" s="114"/>
      <c r="AK180" s="114"/>
      <c r="AL180" s="114"/>
      <c r="AM180" s="114"/>
      <c r="AN180" s="114"/>
      <c r="AO180" s="114"/>
      <c r="AP180" s="114"/>
      <c r="AQ180" s="114"/>
      <c r="AR180" s="114"/>
      <c r="AS180" s="114"/>
      <c r="AT180" s="114"/>
      <c r="AU180" s="114"/>
      <c r="AV180" s="114"/>
      <c r="AW180" s="114"/>
      <c r="AX180" s="114"/>
      <c r="AY180" s="114"/>
      <c r="AZ180" s="114"/>
      <c r="BA180" s="114"/>
      <c r="BB180" s="114"/>
      <c r="BC180" s="2050"/>
      <c r="BD180" s="2067"/>
      <c r="BE180" s="2067"/>
      <c r="BF180" s="2067"/>
      <c r="BG180" s="2050"/>
      <c r="BH180" s="2067"/>
      <c r="BI180" s="2067"/>
      <c r="BJ180" s="2067"/>
      <c r="BK180" s="2045"/>
      <c r="BL180" s="2047"/>
      <c r="BM180" s="2047"/>
      <c r="BN180" s="2047"/>
      <c r="BO180" s="2301"/>
      <c r="BP180" s="2302"/>
      <c r="BQ180" s="2302"/>
      <c r="BR180" s="2303"/>
      <c r="BS180" s="3971"/>
      <c r="BT180" s="3967"/>
      <c r="BU180" s="3967"/>
      <c r="BV180" s="3967"/>
      <c r="BW180" s="3971"/>
      <c r="BX180" s="3967"/>
      <c r="BY180" s="3967"/>
      <c r="BZ180" s="3972"/>
      <c r="CA180" s="3971"/>
      <c r="CB180" s="3949"/>
      <c r="CC180" s="3949"/>
      <c r="CD180" s="3950"/>
      <c r="CE180" s="3951"/>
      <c r="CF180" s="3967"/>
      <c r="CG180" s="3967"/>
      <c r="CH180" s="3972"/>
      <c r="CI180" s="3967">
        <f t="shared" ref="CI180:CM180" si="418">+CI179/CE179-1</f>
        <v>7.1428571428571397E-2</v>
      </c>
      <c r="CJ180" s="3967">
        <f t="shared" si="418"/>
        <v>8.425275827482448E-2</v>
      </c>
      <c r="CK180" s="3967">
        <f t="shared" si="418"/>
        <v>6.944444444444442E-2</v>
      </c>
      <c r="CL180" s="3972">
        <f t="shared" si="418"/>
        <v>2.6465028355387554E-2</v>
      </c>
      <c r="CM180" s="3967">
        <f t="shared" si="418"/>
        <v>3.0046948356807546E-2</v>
      </c>
      <c r="CN180" s="3967">
        <f>+CN179/CJ179-1</f>
        <v>-8.8806660499537449E-2</v>
      </c>
      <c r="CO180" s="3967">
        <f>+CO179/CK179-1</f>
        <v>-0.11966604823747684</v>
      </c>
      <c r="CP180" s="3972">
        <f t="shared" ref="CP180" si="419">+CP179/CL179-1</f>
        <v>-0.12154696132596687</v>
      </c>
      <c r="CQ180" s="3967">
        <f>+CQ179/CM179-1</f>
        <v>-0.11493618960802188</v>
      </c>
      <c r="CR180" s="3967">
        <f>+CR179/CN179-1</f>
        <v>-2.3756345177665117E-2</v>
      </c>
      <c r="CS180" s="3967">
        <f>+CS179/CO179-1</f>
        <v>2.0911485774499416E-2</v>
      </c>
      <c r="CT180" s="3972">
        <f>+CT179/CP179-1</f>
        <v>2.2070230607966312E-2</v>
      </c>
    </row>
    <row r="181" spans="1:98" outlineLevel="1">
      <c r="A181" s="3965" t="s">
        <v>947</v>
      </c>
      <c r="B181" s="3960"/>
      <c r="C181" s="3960"/>
      <c r="D181" s="3960"/>
      <c r="E181" s="3960"/>
      <c r="F181" s="3960"/>
      <c r="G181" s="3960"/>
      <c r="H181" s="3960"/>
      <c r="I181" s="3960"/>
      <c r="J181" s="3960"/>
      <c r="K181" s="3960"/>
      <c r="L181" s="3960"/>
      <c r="M181" s="3966"/>
      <c r="N181" s="3939"/>
      <c r="O181" s="3966"/>
      <c r="P181" s="3966"/>
      <c r="Q181" s="3966"/>
      <c r="R181" s="3966"/>
      <c r="S181" s="3966"/>
      <c r="T181" s="3966"/>
      <c r="U181" s="2068"/>
      <c r="V181" s="2068"/>
      <c r="W181" s="2068"/>
      <c r="X181" s="2068"/>
      <c r="Y181" s="2068"/>
      <c r="Z181" s="2068"/>
      <c r="AA181" s="2068"/>
      <c r="AB181" s="2068"/>
      <c r="AC181" s="2068"/>
      <c r="AD181" s="2068"/>
      <c r="AE181" s="2068"/>
      <c r="AF181" s="2068"/>
      <c r="AG181" s="3920"/>
      <c r="AH181" s="3921"/>
      <c r="AI181" s="3960"/>
      <c r="AJ181" s="3960"/>
      <c r="AK181" s="3960"/>
      <c r="AL181" s="3960"/>
      <c r="AM181" s="3960"/>
      <c r="AN181" s="3960"/>
      <c r="AO181" s="3960"/>
      <c r="AP181" s="3960"/>
      <c r="AQ181" s="3960"/>
      <c r="AR181" s="3960"/>
      <c r="AS181" s="3960"/>
      <c r="AT181" s="3960"/>
      <c r="AU181" s="3960"/>
      <c r="AV181" s="3960"/>
      <c r="AW181" s="3960"/>
      <c r="AX181" s="3960"/>
      <c r="AY181" s="3960"/>
      <c r="AZ181" s="3960"/>
      <c r="BA181" s="3960"/>
      <c r="BB181" s="3960"/>
      <c r="BC181" s="3961"/>
      <c r="BD181" s="3962"/>
      <c r="BE181" s="3962"/>
      <c r="BF181" s="3962"/>
      <c r="BG181" s="3961"/>
      <c r="BH181" s="3962"/>
      <c r="BI181" s="3962"/>
      <c r="BJ181" s="3962"/>
      <c r="BK181" s="2051"/>
      <c r="BL181" s="3967"/>
      <c r="BM181" s="3967"/>
      <c r="BN181" s="3967"/>
      <c r="BO181" s="3968"/>
      <c r="BP181" s="3969"/>
      <c r="BQ181" s="3969"/>
      <c r="BR181" s="3970"/>
      <c r="BS181" s="3968"/>
      <c r="BT181" s="3969"/>
      <c r="BU181" s="3969"/>
      <c r="BV181" s="3969"/>
      <c r="BW181" s="3971"/>
      <c r="BX181" s="3967"/>
      <c r="BY181" s="3967"/>
      <c r="BZ181" s="3972"/>
      <c r="CA181" s="3971"/>
      <c r="CB181" s="3967"/>
      <c r="CC181" s="3967"/>
      <c r="CD181" s="3972"/>
      <c r="CE181" s="3971"/>
      <c r="CF181" s="3967">
        <f t="shared" ref="CF181:CM181" si="420">+CF179/CE179-1</f>
        <v>3.0181086519114331E-3</v>
      </c>
      <c r="CG181" s="3967">
        <f t="shared" si="420"/>
        <v>1.1033099297893756E-2</v>
      </c>
      <c r="CH181" s="3972">
        <f t="shared" si="420"/>
        <v>4.9603174603174649E-2</v>
      </c>
      <c r="CI181" s="3967">
        <f t="shared" si="420"/>
        <v>6.6162570888468331E-3</v>
      </c>
      <c r="CJ181" s="3967">
        <f t="shared" si="420"/>
        <v>1.5023474178403662E-2</v>
      </c>
      <c r="CK181" s="3967">
        <f t="shared" si="420"/>
        <v>-2.7752081406104967E-3</v>
      </c>
      <c r="CL181" s="3972">
        <f t="shared" si="420"/>
        <v>7.4211502782930427E-3</v>
      </c>
      <c r="CM181" s="3967">
        <f t="shared" si="420"/>
        <v>1.012891344383049E-2</v>
      </c>
      <c r="CN181" s="3967">
        <f>+CN179/CM179-1</f>
        <v>-0.10209662716499546</v>
      </c>
      <c r="CO181" s="3967">
        <f>+CO179/CN179-1</f>
        <v>-3.6548223350253761E-2</v>
      </c>
      <c r="CP181" s="3972">
        <f t="shared" ref="CP181" si="421">+CP179/CO179-1</f>
        <v>5.2687038988408208E-3</v>
      </c>
      <c r="CQ181" s="3967">
        <f>+CQ179/CP179-1</f>
        <v>1.7730607966456979E-2</v>
      </c>
      <c r="CR181" s="3967">
        <f>+CR179/CQ179-1</f>
        <v>-9.594042732885999E-3</v>
      </c>
      <c r="CS181" s="3967">
        <f>+CS179/CR179-1</f>
        <v>7.5343178036606506E-3</v>
      </c>
      <c r="CT181" s="3972">
        <f>+CT179/CS179-1</f>
        <v>6.409694017102785E-3</v>
      </c>
    </row>
    <row r="182" spans="1:98" outlineLevel="1">
      <c r="A182" s="3965" t="s">
        <v>948</v>
      </c>
      <c r="B182" s="3960"/>
      <c r="C182" s="3960"/>
      <c r="D182" s="3960"/>
      <c r="E182" s="3960"/>
      <c r="F182" s="3960"/>
      <c r="G182" s="3960"/>
      <c r="H182" s="3960"/>
      <c r="I182" s="3960"/>
      <c r="J182" s="3960"/>
      <c r="K182" s="3960"/>
      <c r="L182" s="3960"/>
      <c r="M182" s="3966"/>
      <c r="N182" s="3960"/>
      <c r="O182" s="3967"/>
      <c r="P182" s="3967"/>
      <c r="Q182" s="3967">
        <f t="shared" ref="Q182:AF182" si="422">+Q179/Q$139</f>
        <v>0.52166645235952169</v>
      </c>
      <c r="R182" s="3967">
        <f t="shared" si="422"/>
        <v>0.53223018029142999</v>
      </c>
      <c r="S182" s="3967">
        <f t="shared" si="422"/>
        <v>0.51585760517799351</v>
      </c>
      <c r="T182" s="3967">
        <f t="shared" si="422"/>
        <v>0.5033711609072592</v>
      </c>
      <c r="U182" s="3967">
        <f t="shared" si="422"/>
        <v>0.50289314905742377</v>
      </c>
      <c r="V182" s="3967">
        <f t="shared" si="422"/>
        <v>0.50632788550878927</v>
      </c>
      <c r="W182" s="3967">
        <f t="shared" si="422"/>
        <v>0.50976200673616634</v>
      </c>
      <c r="X182" s="3967">
        <f t="shared" si="422"/>
        <v>0.51319524197208322</v>
      </c>
      <c r="Y182" s="3967">
        <f t="shared" si="422"/>
        <v>0.51662731935016537</v>
      </c>
      <c r="Z182" s="3967">
        <f t="shared" si="422"/>
        <v>0.52005796599517928</v>
      </c>
      <c r="AA182" s="3967">
        <f t="shared" si="422"/>
        <v>0.52348690811515441</v>
      </c>
      <c r="AB182" s="3967">
        <f t="shared" si="422"/>
        <v>0.5269138710954776</v>
      </c>
      <c r="AC182" s="3967">
        <f t="shared" si="422"/>
        <v>0.53033857959485387</v>
      </c>
      <c r="AD182" s="3967">
        <f t="shared" si="422"/>
        <v>0.53376075764302444</v>
      </c>
      <c r="AE182" s="3967">
        <f t="shared" si="422"/>
        <v>0.53718012874012988</v>
      </c>
      <c r="AF182" s="3967">
        <f t="shared" si="422"/>
        <v>0.54059641595760377</v>
      </c>
      <c r="AG182" s="3920"/>
      <c r="AH182" s="3921"/>
      <c r="AI182" s="3960"/>
      <c r="AJ182" s="3960"/>
      <c r="AK182" s="3960"/>
      <c r="AL182" s="3960"/>
      <c r="AM182" s="3960"/>
      <c r="AN182" s="3960"/>
      <c r="AO182" s="3960"/>
      <c r="AP182" s="3960"/>
      <c r="AQ182" s="3960"/>
      <c r="AR182" s="3960"/>
      <c r="AS182" s="3960"/>
      <c r="AT182" s="3960"/>
      <c r="AU182" s="3960"/>
      <c r="AV182" s="3960"/>
      <c r="AW182" s="3960"/>
      <c r="AX182" s="3960"/>
      <c r="AY182" s="3960"/>
      <c r="AZ182" s="3960"/>
      <c r="BA182" s="3960"/>
      <c r="BB182" s="3960"/>
      <c r="BC182" s="3961"/>
      <c r="BD182" s="3962"/>
      <c r="BE182" s="3962"/>
      <c r="BF182" s="3962"/>
      <c r="BG182" s="3961"/>
      <c r="BH182" s="3962"/>
      <c r="BI182" s="3962"/>
      <c r="BJ182" s="3962"/>
      <c r="BK182" s="2051"/>
      <c r="BL182" s="3966"/>
      <c r="BM182" s="3966"/>
      <c r="BN182" s="3966"/>
      <c r="BO182" s="3968"/>
      <c r="BP182" s="3966"/>
      <c r="BQ182" s="3966"/>
      <c r="BR182" s="3973"/>
      <c r="BS182" s="3974"/>
      <c r="BT182" s="3966"/>
      <c r="BU182" s="3966"/>
      <c r="BV182" s="3973"/>
      <c r="BW182" s="3975"/>
      <c r="BX182" s="3966"/>
      <c r="BY182" s="3966"/>
      <c r="BZ182" s="3973"/>
      <c r="CA182" s="3975"/>
      <c r="CB182" s="3966"/>
      <c r="CC182" s="3966"/>
      <c r="CD182" s="3973"/>
      <c r="CE182" s="3975">
        <f t="shared" ref="CE182:CT182" si="423">+CE179/CE$139</f>
        <v>0.52233315817130843</v>
      </c>
      <c r="CF182" s="3966">
        <f t="shared" si="423"/>
        <v>0.51684810782789015</v>
      </c>
      <c r="CG182" s="3966">
        <f t="shared" si="423"/>
        <v>0.51931993817619782</v>
      </c>
      <c r="CH182" s="3973">
        <f t="shared" si="423"/>
        <v>0.52794411177644707</v>
      </c>
      <c r="CI182" s="3966">
        <f t="shared" si="423"/>
        <v>0.53223388305847075</v>
      </c>
      <c r="CJ182" s="3966">
        <f t="shared" si="423"/>
        <v>0.52938295788442702</v>
      </c>
      <c r="CK182" s="3966">
        <f t="shared" si="423"/>
        <v>0.53182042427232368</v>
      </c>
      <c r="CL182" s="3973">
        <f t="shared" si="423"/>
        <v>0.53550295857988162</v>
      </c>
      <c r="CM182" s="3966">
        <f t="shared" si="423"/>
        <v>0.54495777446597116</v>
      </c>
      <c r="CN182" s="3966">
        <f t="shared" si="423"/>
        <v>0.51436031331592691</v>
      </c>
      <c r="CO182" s="3966">
        <f t="shared" si="423"/>
        <v>0.5015856236786469</v>
      </c>
      <c r="CP182" s="3973">
        <f t="shared" ref="CP182" si="424">+CP179/CP$139</f>
        <v>0.50078740157480317</v>
      </c>
      <c r="CQ182" s="3966">
        <f t="shared" si="423"/>
        <v>0.5083125008180307</v>
      </c>
      <c r="CR182" s="3966">
        <f t="shared" si="423"/>
        <v>0.50153260561731128</v>
      </c>
      <c r="CS182" s="3966">
        <f t="shared" si="423"/>
        <v>0.50179333062283604</v>
      </c>
      <c r="CT182" s="3973">
        <f t="shared" si="423"/>
        <v>0.50189551382193753</v>
      </c>
    </row>
    <row r="183" spans="1:98" outlineLevel="1">
      <c r="A183" s="2053" t="s">
        <v>658</v>
      </c>
      <c r="B183" s="3960"/>
      <c r="C183" s="3960"/>
      <c r="D183" s="3960"/>
      <c r="E183" s="3960"/>
      <c r="F183" s="3960"/>
      <c r="G183" s="3960"/>
      <c r="H183" s="3960"/>
      <c r="I183" s="3960"/>
      <c r="J183" s="3960"/>
      <c r="K183" s="3960"/>
      <c r="L183" s="3967"/>
      <c r="M183" s="3966"/>
      <c r="N183" s="150"/>
      <c r="O183" s="150"/>
      <c r="P183" s="150"/>
      <c r="Q183" s="150">
        <f>SUM(CE183:CH183)</f>
        <v>5324</v>
      </c>
      <c r="R183" s="150">
        <f>SUM(CI183:CL183)</f>
        <v>4869</v>
      </c>
      <c r="S183" s="150">
        <f>SUM(CM183:CP183)</f>
        <v>4389</v>
      </c>
      <c r="T183" s="150">
        <f>SUM(CQ183:CT183)</f>
        <v>3990.415</v>
      </c>
      <c r="U183" s="150">
        <f t="shared" ref="U183:AF183" si="425">+U370+U373+U376</f>
        <v>3633.2617250000003</v>
      </c>
      <c r="V183" s="150">
        <f t="shared" si="425"/>
        <v>3312.7286890250002</v>
      </c>
      <c r="W183" s="150">
        <f t="shared" si="425"/>
        <v>3024.6079820815753</v>
      </c>
      <c r="X183" s="150">
        <f t="shared" si="425"/>
        <v>2765.2158629523219</v>
      </c>
      <c r="Y183" s="150">
        <f t="shared" si="425"/>
        <v>2531.3240932826657</v>
      </c>
      <c r="Z183" s="150">
        <f t="shared" si="425"/>
        <v>2320.1005361691177</v>
      </c>
      <c r="AA183" s="150">
        <f t="shared" si="425"/>
        <v>2129.0577475557157</v>
      </c>
      <c r="AB183" s="150">
        <f t="shared" si="425"/>
        <v>1956.0084651604204</v>
      </c>
      <c r="AC183" s="150">
        <f t="shared" si="425"/>
        <v>1799.0270514190042</v>
      </c>
      <c r="AD183" s="150">
        <f t="shared" si="425"/>
        <v>1656.4160775137591</v>
      </c>
      <c r="AE183" s="150">
        <f t="shared" si="425"/>
        <v>1526.6773479224426</v>
      </c>
      <c r="AF183" s="150">
        <f t="shared" si="425"/>
        <v>1408.4867616339341</v>
      </c>
      <c r="AG183" s="3920"/>
      <c r="AH183" s="3921"/>
      <c r="AI183" s="3960"/>
      <c r="AJ183" s="3960"/>
      <c r="AK183" s="3960"/>
      <c r="AL183" s="3960"/>
      <c r="AM183" s="3960"/>
      <c r="AN183" s="3960"/>
      <c r="AO183" s="3960"/>
      <c r="AP183" s="3960"/>
      <c r="AQ183" s="3960"/>
      <c r="AR183" s="3960"/>
      <c r="AS183" s="3960"/>
      <c r="AT183" s="3960"/>
      <c r="AU183" s="3960"/>
      <c r="AV183" s="3960"/>
      <c r="AW183" s="3960"/>
      <c r="AX183" s="3960"/>
      <c r="AY183" s="3960"/>
      <c r="AZ183" s="3960"/>
      <c r="BA183" s="3960"/>
      <c r="BB183" s="3960"/>
      <c r="BC183" s="3961"/>
      <c r="BD183" s="3962"/>
      <c r="BE183" s="3962"/>
      <c r="BF183" s="3962"/>
      <c r="BG183" s="3961"/>
      <c r="BH183" s="3962"/>
      <c r="BI183" s="3962"/>
      <c r="BJ183" s="3962"/>
      <c r="BK183" s="2051"/>
      <c r="BL183" s="3967"/>
      <c r="BM183" s="3967"/>
      <c r="BN183" s="3967"/>
      <c r="BO183" s="3933"/>
      <c r="BP183" s="3960"/>
      <c r="BQ183" s="3960"/>
      <c r="BR183" s="3963"/>
      <c r="BS183" s="2053"/>
      <c r="BT183" s="114"/>
      <c r="BU183" s="114"/>
      <c r="BV183" s="2242"/>
      <c r="BW183" s="2053"/>
      <c r="BX183" s="114"/>
      <c r="BY183" s="114"/>
      <c r="BZ183" s="2242"/>
      <c r="CA183" s="139"/>
      <c r="CB183" s="2047"/>
      <c r="CC183" s="2047"/>
      <c r="CD183" s="2046"/>
      <c r="CE183" s="2230">
        <f t="shared" ref="CE183:CT183" si="426">+CE370+CE373+CE376</f>
        <v>1392</v>
      </c>
      <c r="CF183" s="2231">
        <f t="shared" si="426"/>
        <v>1344</v>
      </c>
      <c r="CG183" s="2231">
        <f t="shared" si="426"/>
        <v>1305</v>
      </c>
      <c r="CH183" s="2232">
        <f t="shared" si="426"/>
        <v>1283</v>
      </c>
      <c r="CI183" s="2231">
        <f t="shared" si="426"/>
        <v>1262</v>
      </c>
      <c r="CJ183" s="2231">
        <f t="shared" si="426"/>
        <v>1232</v>
      </c>
      <c r="CK183" s="2231">
        <f t="shared" si="426"/>
        <v>1205</v>
      </c>
      <c r="CL183" s="2232">
        <f t="shared" si="426"/>
        <v>1170</v>
      </c>
      <c r="CM183" s="2231">
        <f t="shared" si="426"/>
        <v>1142</v>
      </c>
      <c r="CN183" s="2231">
        <f t="shared" si="426"/>
        <v>1107</v>
      </c>
      <c r="CO183" s="2231">
        <f t="shared" si="426"/>
        <v>1092</v>
      </c>
      <c r="CP183" s="2232">
        <f t="shared" ref="CP183" si="427">+CP370+CP373+CP376</f>
        <v>1048</v>
      </c>
      <c r="CQ183" s="2231">
        <f t="shared" si="426"/>
        <v>1037.845</v>
      </c>
      <c r="CR183" s="2231">
        <f t="shared" si="426"/>
        <v>1006.22</v>
      </c>
      <c r="CS183" s="2231">
        <f t="shared" si="426"/>
        <v>993.04500000000007</v>
      </c>
      <c r="CT183" s="2232">
        <f t="shared" si="426"/>
        <v>953.30500000000006</v>
      </c>
    </row>
    <row r="184" spans="1:98" outlineLevel="1">
      <c r="A184" s="3965" t="s">
        <v>34</v>
      </c>
      <c r="B184" s="114"/>
      <c r="C184" s="114"/>
      <c r="D184" s="114"/>
      <c r="E184" s="114"/>
      <c r="F184" s="114"/>
      <c r="G184" s="114"/>
      <c r="H184" s="114"/>
      <c r="I184" s="114"/>
      <c r="J184" s="114"/>
      <c r="K184" s="114"/>
      <c r="L184" s="150"/>
      <c r="M184" s="3966"/>
      <c r="N184" s="150"/>
      <c r="O184" s="3966"/>
      <c r="P184" s="3966"/>
      <c r="Q184" s="3966"/>
      <c r="R184" s="3966">
        <f t="shared" ref="R184:W184" si="428">+R183/Q183-1</f>
        <v>-8.5462058602554514E-2</v>
      </c>
      <c r="S184" s="3966">
        <f t="shared" si="428"/>
        <v>-9.8582871226124413E-2</v>
      </c>
      <c r="T184" s="3966">
        <f>+T183/S183-1</f>
        <v>-9.0814536340852126E-2</v>
      </c>
      <c r="U184" s="3966">
        <f t="shared" si="428"/>
        <v>-8.9502789810082306E-2</v>
      </c>
      <c r="V184" s="3966">
        <f t="shared" si="428"/>
        <v>-8.822184038365688E-2</v>
      </c>
      <c r="W184" s="3966">
        <f t="shared" si="428"/>
        <v>-8.6973831541943825E-2</v>
      </c>
      <c r="X184" s="3966">
        <f t="shared" ref="X184:AF184" si="429">+X183/W183-1</f>
        <v>-8.5760574813644519E-2</v>
      </c>
      <c r="Y184" s="3966">
        <f t="shared" si="429"/>
        <v>-8.4583548359923877E-2</v>
      </c>
      <c r="Z184" s="3966">
        <f t="shared" si="429"/>
        <v>-8.3443901029531697E-2</v>
      </c>
      <c r="AA184" s="3966">
        <f t="shared" si="429"/>
        <v>-8.2342461300770387E-2</v>
      </c>
      <c r="AB184" s="3966">
        <f t="shared" si="429"/>
        <v>-8.1279750440760079E-2</v>
      </c>
      <c r="AC184" s="3966">
        <f t="shared" si="429"/>
        <v>-8.0255999162325398E-2</v>
      </c>
      <c r="AD184" s="3966">
        <f t="shared" si="429"/>
        <v>-7.927116704151782E-2</v>
      </c>
      <c r="AE184" s="3966">
        <f t="shared" si="429"/>
        <v>-7.8324963970436312E-2</v>
      </c>
      <c r="AF184" s="3966">
        <f t="shared" si="429"/>
        <v>-7.7416872955733851E-2</v>
      </c>
      <c r="AG184" s="2553"/>
      <c r="AH184" s="2714"/>
      <c r="AI184" s="114"/>
      <c r="AJ184" s="114"/>
      <c r="AK184" s="114"/>
      <c r="AL184" s="114"/>
      <c r="AM184" s="114"/>
      <c r="AN184" s="114"/>
      <c r="AO184" s="114"/>
      <c r="AP184" s="114"/>
      <c r="AQ184" s="114"/>
      <c r="AR184" s="114"/>
      <c r="AS184" s="114"/>
      <c r="AT184" s="114"/>
      <c r="AU184" s="114"/>
      <c r="AV184" s="114"/>
      <c r="AW184" s="114"/>
      <c r="AX184" s="114"/>
      <c r="AY184" s="114"/>
      <c r="AZ184" s="114"/>
      <c r="BA184" s="114"/>
      <c r="BB184" s="114"/>
      <c r="BC184" s="2050"/>
      <c r="BD184" s="2067"/>
      <c r="BE184" s="2067"/>
      <c r="BF184" s="2067"/>
      <c r="BG184" s="2050"/>
      <c r="BH184" s="2067"/>
      <c r="BI184" s="2067"/>
      <c r="BJ184" s="2067"/>
      <c r="BK184" s="2045"/>
      <c r="BL184" s="2047"/>
      <c r="BM184" s="2047"/>
      <c r="BN184" s="2047"/>
      <c r="BO184" s="2301"/>
      <c r="BP184" s="2302"/>
      <c r="BQ184" s="2302"/>
      <c r="BR184" s="2303"/>
      <c r="BS184" s="3967"/>
      <c r="BT184" s="3967"/>
      <c r="BU184" s="3967"/>
      <c r="BV184" s="3972"/>
      <c r="BW184" s="3971"/>
      <c r="BX184" s="3967"/>
      <c r="BY184" s="3967"/>
      <c r="BZ184" s="3972"/>
      <c r="CA184" s="3967"/>
      <c r="CB184" s="3949"/>
      <c r="CC184" s="3949"/>
      <c r="CD184" s="3950"/>
      <c r="CE184" s="3951"/>
      <c r="CF184" s="3967"/>
      <c r="CG184" s="3967"/>
      <c r="CH184" s="3972"/>
      <c r="CI184" s="3967">
        <f t="shared" ref="CI184:CM184" si="430">+CI183/CE183-1</f>
        <v>-9.3390804597701105E-2</v>
      </c>
      <c r="CJ184" s="3967">
        <f t="shared" si="430"/>
        <v>-8.333333333333337E-2</v>
      </c>
      <c r="CK184" s="3967">
        <f t="shared" si="430"/>
        <v>-7.6628352490421436E-2</v>
      </c>
      <c r="CL184" s="3972">
        <f t="shared" si="430"/>
        <v>-8.8074824629774007E-2</v>
      </c>
      <c r="CM184" s="3967">
        <f t="shared" si="430"/>
        <v>-9.5087163232963512E-2</v>
      </c>
      <c r="CN184" s="3967">
        <f>+CN183/CJ183-1</f>
        <v>-0.10146103896103897</v>
      </c>
      <c r="CO184" s="3967">
        <f>+CO183/CK183-1</f>
        <v>-9.3775933609958506E-2</v>
      </c>
      <c r="CP184" s="3972">
        <f t="shared" ref="CP184" si="431">+CP183/CL183-1</f>
        <v>-0.10427350427350424</v>
      </c>
      <c r="CQ184" s="3967">
        <f>+CQ183/CM183-1</f>
        <v>-9.1204028021015793E-2</v>
      </c>
      <c r="CR184" s="3967">
        <f>+CR183/CN183-1</f>
        <v>-9.1038843721770513E-2</v>
      </c>
      <c r="CS184" s="3967">
        <f>+CS183/CO183-1</f>
        <v>-9.0618131868131835E-2</v>
      </c>
      <c r="CT184" s="3972">
        <f>+CT183/CP183-1</f>
        <v>-9.035782442748086E-2</v>
      </c>
    </row>
    <row r="185" spans="1:98" outlineLevel="1">
      <c r="A185" s="3965" t="s">
        <v>947</v>
      </c>
      <c r="B185" s="3960"/>
      <c r="C185" s="3960"/>
      <c r="D185" s="3960"/>
      <c r="E185" s="3960"/>
      <c r="F185" s="3960"/>
      <c r="G185" s="3960"/>
      <c r="H185" s="3960"/>
      <c r="I185" s="3960"/>
      <c r="J185" s="3960"/>
      <c r="K185" s="3960"/>
      <c r="L185" s="3960"/>
      <c r="M185" s="3966"/>
      <c r="N185" s="3939"/>
      <c r="O185" s="3966"/>
      <c r="P185" s="3966"/>
      <c r="Q185" s="3966"/>
      <c r="R185" s="3966"/>
      <c r="S185" s="3966"/>
      <c r="T185" s="3966"/>
      <c r="U185" s="355"/>
      <c r="V185" s="355"/>
      <c r="W185" s="355"/>
      <c r="X185" s="355"/>
      <c r="Y185" s="355"/>
      <c r="Z185" s="355"/>
      <c r="AA185" s="355"/>
      <c r="AB185" s="355"/>
      <c r="AC185" s="355"/>
      <c r="AD185" s="355"/>
      <c r="AE185" s="355"/>
      <c r="AF185" s="355"/>
      <c r="AG185" s="3920"/>
      <c r="AH185" s="3921"/>
      <c r="AI185" s="3960"/>
      <c r="AJ185" s="3960"/>
      <c r="AK185" s="3960"/>
      <c r="AL185" s="3960"/>
      <c r="AM185" s="3960"/>
      <c r="AN185" s="3960"/>
      <c r="AO185" s="3960"/>
      <c r="AP185" s="3960"/>
      <c r="AQ185" s="3960"/>
      <c r="AR185" s="3960"/>
      <c r="AS185" s="3960"/>
      <c r="AT185" s="3960"/>
      <c r="AU185" s="3960"/>
      <c r="AV185" s="3960"/>
      <c r="AW185" s="3960"/>
      <c r="AX185" s="3960"/>
      <c r="AY185" s="3960"/>
      <c r="AZ185" s="3960"/>
      <c r="BA185" s="3960"/>
      <c r="BB185" s="3960"/>
      <c r="BC185" s="3961"/>
      <c r="BD185" s="3962"/>
      <c r="BE185" s="3962"/>
      <c r="BF185" s="3962"/>
      <c r="BG185" s="3961"/>
      <c r="BH185" s="3962"/>
      <c r="BI185" s="3962"/>
      <c r="BJ185" s="3962"/>
      <c r="BK185" s="2051"/>
      <c r="BL185" s="2069"/>
      <c r="BM185" s="2069"/>
      <c r="BN185" s="2069"/>
      <c r="BO185" s="3968"/>
      <c r="BP185" s="3969"/>
      <c r="BQ185" s="3969"/>
      <c r="BR185" s="3970"/>
      <c r="BS185" s="3967"/>
      <c r="BT185" s="3967"/>
      <c r="BU185" s="3967"/>
      <c r="BV185" s="3972"/>
      <c r="BW185" s="3971"/>
      <c r="BX185" s="3967"/>
      <c r="BY185" s="3967"/>
      <c r="BZ185" s="3972"/>
      <c r="CA185" s="3967"/>
      <c r="CB185" s="3967"/>
      <c r="CC185" s="3967"/>
      <c r="CD185" s="3972"/>
      <c r="CE185" s="3971"/>
      <c r="CF185" s="3967">
        <f t="shared" ref="CF185:CM185" si="432">+CF183/CE183-1</f>
        <v>-3.4482758620689613E-2</v>
      </c>
      <c r="CG185" s="3967">
        <f t="shared" si="432"/>
        <v>-2.9017857142857095E-2</v>
      </c>
      <c r="CH185" s="3972">
        <f t="shared" si="432"/>
        <v>-1.6858237547892729E-2</v>
      </c>
      <c r="CI185" s="3967">
        <f t="shared" si="432"/>
        <v>-1.6367887763055311E-2</v>
      </c>
      <c r="CJ185" s="3967">
        <f t="shared" si="432"/>
        <v>-2.3771790808240878E-2</v>
      </c>
      <c r="CK185" s="3967">
        <f t="shared" si="432"/>
        <v>-2.1915584415584388E-2</v>
      </c>
      <c r="CL185" s="3972">
        <f t="shared" si="432"/>
        <v>-2.9045643153526979E-2</v>
      </c>
      <c r="CM185" s="3967">
        <f t="shared" si="432"/>
        <v>-2.3931623931623958E-2</v>
      </c>
      <c r="CN185" s="3967">
        <f>+CN183/CM183-1</f>
        <v>-3.0647985989492144E-2</v>
      </c>
      <c r="CO185" s="3967">
        <f>+CO183/CN183-1</f>
        <v>-1.3550135501354976E-2</v>
      </c>
      <c r="CP185" s="3972">
        <f t="shared" ref="CP185" si="433">+CP183/CO183-1</f>
        <v>-4.0293040293040261E-2</v>
      </c>
      <c r="CQ185" s="3967">
        <f>+CQ183/CP183-1</f>
        <v>-9.6898854961832148E-3</v>
      </c>
      <c r="CR185" s="3967">
        <f>+CR183/CQ183-1</f>
        <v>-3.0471794921206885E-2</v>
      </c>
      <c r="CS185" s="3967">
        <f>+CS183/CR183-1</f>
        <v>-1.3093558068811961E-2</v>
      </c>
      <c r="CT185" s="3972">
        <f>+CT183/CS183-1</f>
        <v>-4.0018327467536752E-2</v>
      </c>
    </row>
    <row r="186" spans="1:98" outlineLevel="1">
      <c r="A186" s="3965" t="s">
        <v>949</v>
      </c>
      <c r="B186" s="3960"/>
      <c r="C186" s="3960"/>
      <c r="D186" s="3960"/>
      <c r="E186" s="3960"/>
      <c r="F186" s="3960"/>
      <c r="G186" s="3960"/>
      <c r="H186" s="3960"/>
      <c r="I186" s="3960"/>
      <c r="J186" s="3960"/>
      <c r="K186" s="3960"/>
      <c r="L186" s="3960"/>
      <c r="M186" s="3960"/>
      <c r="N186" s="3960"/>
      <c r="O186" s="3967"/>
      <c r="P186" s="3967"/>
      <c r="Q186" s="3967">
        <f t="shared" ref="Q186:AF186" si="434">+Q183/Q$143</f>
        <v>0.64036564830406539</v>
      </c>
      <c r="R186" s="3967">
        <f t="shared" si="434"/>
        <v>0.63864113326337879</v>
      </c>
      <c r="S186" s="3967">
        <f t="shared" si="434"/>
        <v>0.63905066977285963</v>
      </c>
      <c r="T186" s="3967">
        <f t="shared" si="434"/>
        <v>0.64171037428408095</v>
      </c>
      <c r="U186" s="3967">
        <f t="shared" si="434"/>
        <v>0.64471796784695068</v>
      </c>
      <c r="V186" s="3967">
        <f t="shared" si="434"/>
        <v>0.64803640961400577</v>
      </c>
      <c r="W186" s="3967">
        <f t="shared" si="434"/>
        <v>0.65162559742513859</v>
      </c>
      <c r="X186" s="3967">
        <f t="shared" si="434"/>
        <v>0.65544247775202624</v>
      </c>
      <c r="Y186" s="3967">
        <f t="shared" si="434"/>
        <v>0.65944118846870536</v>
      </c>
      <c r="Z186" s="3967">
        <f t="shared" si="434"/>
        <v>0.66357323754536723</v>
      </c>
      <c r="AA186" s="3967">
        <f t="shared" si="434"/>
        <v>0.66778772005387255</v>
      </c>
      <c r="AB186" s="3967">
        <f t="shared" si="434"/>
        <v>0.67203157498634969</v>
      </c>
      <c r="AC186" s="3967">
        <f t="shared" si="434"/>
        <v>0.67624988234681305</v>
      </c>
      <c r="AD186" s="3967">
        <f t="shared" si="434"/>
        <v>0.68038619981517101</v>
      </c>
      <c r="AE186" s="3967">
        <f t="shared" si="434"/>
        <v>0.68438293704861208</v>
      </c>
      <c r="AF186" s="3967">
        <f t="shared" si="434"/>
        <v>0.68818176443114853</v>
      </c>
      <c r="AG186" s="3920"/>
      <c r="AH186" s="3921"/>
      <c r="AI186" s="3960"/>
      <c r="AJ186" s="3960"/>
      <c r="AK186" s="3960"/>
      <c r="AL186" s="3960"/>
      <c r="AM186" s="3960"/>
      <c r="AN186" s="3960"/>
      <c r="AO186" s="3960"/>
      <c r="AP186" s="3960"/>
      <c r="AQ186" s="3960"/>
      <c r="AR186" s="3960"/>
      <c r="AS186" s="3960"/>
      <c r="AT186" s="3960"/>
      <c r="AU186" s="3960"/>
      <c r="AV186" s="3960"/>
      <c r="AW186" s="3960"/>
      <c r="AX186" s="3960"/>
      <c r="AY186" s="3960"/>
      <c r="AZ186" s="3960"/>
      <c r="BA186" s="3960"/>
      <c r="BB186" s="3960"/>
      <c r="BC186" s="3961"/>
      <c r="BD186" s="3962"/>
      <c r="BE186" s="3962"/>
      <c r="BF186" s="3962"/>
      <c r="BG186" s="3961"/>
      <c r="BH186" s="3962"/>
      <c r="BI186" s="3962"/>
      <c r="BJ186" s="3962"/>
      <c r="BK186" s="2051"/>
      <c r="BL186" s="3966"/>
      <c r="BM186" s="3966"/>
      <c r="BN186" s="3966"/>
      <c r="BO186" s="3968"/>
      <c r="BP186" s="3966"/>
      <c r="BQ186" s="3966"/>
      <c r="BR186" s="3973"/>
      <c r="BS186" s="3966"/>
      <c r="BT186" s="3966"/>
      <c r="BU186" s="3966"/>
      <c r="BV186" s="3973"/>
      <c r="BW186" s="3975"/>
      <c r="BX186" s="3966"/>
      <c r="BY186" s="3966"/>
      <c r="BZ186" s="3973"/>
      <c r="CA186" s="3966"/>
      <c r="CB186" s="3966"/>
      <c r="CC186" s="3966"/>
      <c r="CD186" s="3973"/>
      <c r="CE186" s="3975">
        <f t="shared" ref="CE186:CT186" si="435">+CE183/CE$139</f>
        <v>0.73147661586967949</v>
      </c>
      <c r="CF186" s="3966">
        <f t="shared" si="435"/>
        <v>0.69673405909797825</v>
      </c>
      <c r="CG186" s="3966">
        <f t="shared" si="435"/>
        <v>0.67233384853168465</v>
      </c>
      <c r="CH186" s="3973">
        <f t="shared" si="435"/>
        <v>0.6402195608782435</v>
      </c>
      <c r="CI186" s="3966">
        <f t="shared" si="435"/>
        <v>0.63068465767116444</v>
      </c>
      <c r="CJ186" s="3966">
        <f t="shared" si="435"/>
        <v>0.60333006856023508</v>
      </c>
      <c r="CK186" s="3966">
        <f t="shared" si="435"/>
        <v>0.59447459299457328</v>
      </c>
      <c r="CL186" s="3973">
        <f t="shared" si="435"/>
        <v>0.57692307692307687</v>
      </c>
      <c r="CM186" s="3966">
        <f t="shared" si="435"/>
        <v>0.5673124689518132</v>
      </c>
      <c r="CN186" s="3966">
        <f t="shared" si="435"/>
        <v>0.57806788511749352</v>
      </c>
      <c r="CO186" s="3966">
        <f t="shared" si="435"/>
        <v>0.57716701902748413</v>
      </c>
      <c r="CP186" s="3973">
        <f t="shared" ref="CP186" si="436">+CP183/CP$139</f>
        <v>0.55013123359580052</v>
      </c>
      <c r="CQ186" s="3966">
        <f t="shared" si="435"/>
        <v>0.54335300969857203</v>
      </c>
      <c r="CR186" s="3966">
        <f t="shared" si="435"/>
        <v>0.52480463646448727</v>
      </c>
      <c r="CS186" s="3966">
        <f t="shared" si="435"/>
        <v>0.51432722262937236</v>
      </c>
      <c r="CT186" s="3973">
        <f t="shared" si="435"/>
        <v>0.49070001466996449</v>
      </c>
    </row>
    <row r="187" spans="1:98" outlineLevel="1">
      <c r="A187" s="2053" t="s">
        <v>660</v>
      </c>
      <c r="B187" s="3960"/>
      <c r="C187" s="3960"/>
      <c r="D187" s="3960"/>
      <c r="E187" s="3960"/>
      <c r="F187" s="3960"/>
      <c r="G187" s="3960"/>
      <c r="H187" s="3960"/>
      <c r="I187" s="3960"/>
      <c r="J187" s="3960"/>
      <c r="K187" s="3960"/>
      <c r="L187" s="3967"/>
      <c r="M187" s="3967"/>
      <c r="N187" s="150"/>
      <c r="O187" s="150"/>
      <c r="P187" s="2033"/>
      <c r="Q187" s="2033">
        <f>SUM(CE187:CH187)</f>
        <v>575</v>
      </c>
      <c r="R187" s="2033">
        <f>SUM(CI187:CL187)</f>
        <v>528</v>
      </c>
      <c r="S187" s="2033">
        <f>SUM(CM187:CP187)</f>
        <v>479</v>
      </c>
      <c r="T187" s="2033">
        <f>SUM(CQ187:CT187)</f>
        <v>600</v>
      </c>
      <c r="U187" s="2067">
        <f t="shared" ref="U187:AF187" si="437">+U388</f>
        <v>588</v>
      </c>
      <c r="V187" s="2067">
        <f t="shared" si="437"/>
        <v>576.24</v>
      </c>
      <c r="W187" s="2067">
        <f t="shared" si="437"/>
        <v>564.71519999999998</v>
      </c>
      <c r="X187" s="2067">
        <f t="shared" si="437"/>
        <v>553.42089599999997</v>
      </c>
      <c r="Y187" s="2067">
        <f t="shared" si="437"/>
        <v>542.35247807999997</v>
      </c>
      <c r="Z187" s="2067">
        <f t="shared" si="437"/>
        <v>531.50542851839998</v>
      </c>
      <c r="AA187" s="2067">
        <f t="shared" si="437"/>
        <v>520.87531994803192</v>
      </c>
      <c r="AB187" s="2067">
        <f t="shared" si="437"/>
        <v>510.45781354907126</v>
      </c>
      <c r="AC187" s="2067">
        <f t="shared" si="437"/>
        <v>500.24865727808981</v>
      </c>
      <c r="AD187" s="2067">
        <f t="shared" si="437"/>
        <v>490.24368413252802</v>
      </c>
      <c r="AE187" s="2067">
        <f t="shared" si="437"/>
        <v>480.43881044987745</v>
      </c>
      <c r="AF187" s="2067">
        <f t="shared" si="437"/>
        <v>470.83003424087991</v>
      </c>
      <c r="AG187" s="3920"/>
      <c r="AH187" s="3921"/>
      <c r="AI187" s="3960"/>
      <c r="AJ187" s="3960"/>
      <c r="AK187" s="3960"/>
      <c r="AL187" s="3960"/>
      <c r="AM187" s="3960"/>
      <c r="AN187" s="3960"/>
      <c r="AO187" s="3960"/>
      <c r="AP187" s="3960"/>
      <c r="AQ187" s="3960"/>
      <c r="AR187" s="3960"/>
      <c r="AS187" s="3960"/>
      <c r="AT187" s="3960"/>
      <c r="AU187" s="3960"/>
      <c r="AV187" s="3960"/>
      <c r="AW187" s="3960"/>
      <c r="AX187" s="3960"/>
      <c r="AY187" s="3960"/>
      <c r="AZ187" s="3960"/>
      <c r="BA187" s="3960"/>
      <c r="BB187" s="3960"/>
      <c r="BC187" s="3961"/>
      <c r="BD187" s="3962"/>
      <c r="BE187" s="3962"/>
      <c r="BF187" s="3962"/>
      <c r="BG187" s="3961"/>
      <c r="BH187" s="3962"/>
      <c r="BI187" s="3962"/>
      <c r="BJ187" s="3962"/>
      <c r="BK187" s="3971"/>
      <c r="BL187" s="3967"/>
      <c r="BM187" s="3967"/>
      <c r="BN187" s="3967"/>
      <c r="BO187" s="2583"/>
      <c r="BP187" s="2584"/>
      <c r="BQ187" s="2584"/>
      <c r="BR187" s="2585"/>
      <c r="BS187" s="2583"/>
      <c r="BT187" s="2584"/>
      <c r="BU187" s="2584"/>
      <c r="BV187" s="2585"/>
      <c r="BW187" s="2583"/>
      <c r="BX187" s="2584"/>
      <c r="BY187" s="2584"/>
      <c r="BZ187" s="2585"/>
      <c r="CA187" s="2584"/>
      <c r="CB187" s="2584"/>
      <c r="CC187" s="2584"/>
      <c r="CD187" s="2046"/>
      <c r="CE187" s="2230">
        <f t="shared" ref="CE187:CT187" si="438">+CE388</f>
        <v>139</v>
      </c>
      <c r="CF187" s="2231">
        <f t="shared" si="438"/>
        <v>143</v>
      </c>
      <c r="CG187" s="2231">
        <f t="shared" si="438"/>
        <v>153</v>
      </c>
      <c r="CH187" s="2232">
        <f t="shared" si="438"/>
        <v>140</v>
      </c>
      <c r="CI187" s="2231">
        <f t="shared" si="438"/>
        <v>115</v>
      </c>
      <c r="CJ187" s="2231">
        <f t="shared" si="438"/>
        <v>122</v>
      </c>
      <c r="CK187" s="2231">
        <f t="shared" si="438"/>
        <v>161</v>
      </c>
      <c r="CL187" s="2232">
        <f t="shared" si="438"/>
        <v>130</v>
      </c>
      <c r="CM187" s="2231">
        <f t="shared" si="438"/>
        <v>117</v>
      </c>
      <c r="CN187" s="2231">
        <f t="shared" si="438"/>
        <v>123</v>
      </c>
      <c r="CO187" s="2231">
        <f t="shared" si="438"/>
        <v>130</v>
      </c>
      <c r="CP187" s="2232">
        <f t="shared" ref="CP187" si="439">+CP388</f>
        <v>109</v>
      </c>
      <c r="CQ187" s="2231">
        <f t="shared" si="438"/>
        <v>150</v>
      </c>
      <c r="CR187" s="2231">
        <f t="shared" si="438"/>
        <v>150</v>
      </c>
      <c r="CS187" s="2231">
        <f t="shared" si="438"/>
        <v>150</v>
      </c>
      <c r="CT187" s="2232">
        <f t="shared" si="438"/>
        <v>150</v>
      </c>
    </row>
    <row r="188" spans="1:98" outlineLevel="1">
      <c r="A188" s="3965" t="s">
        <v>34</v>
      </c>
      <c r="B188" s="3960"/>
      <c r="C188" s="3960"/>
      <c r="D188" s="3960"/>
      <c r="E188" s="3960"/>
      <c r="F188" s="3960"/>
      <c r="G188" s="3960"/>
      <c r="H188" s="3960"/>
      <c r="I188" s="3960"/>
      <c r="J188" s="3960"/>
      <c r="K188" s="3960"/>
      <c r="L188" s="3967"/>
      <c r="M188" s="3967"/>
      <c r="N188" s="3967"/>
      <c r="O188" s="3966"/>
      <c r="P188" s="3966"/>
      <c r="Q188" s="3966"/>
      <c r="R188" s="3966">
        <f t="shared" ref="R188:W188" si="440">+R187/Q187-1</f>
        <v>-8.1739130434782648E-2</v>
      </c>
      <c r="S188" s="3966">
        <f t="shared" si="440"/>
        <v>-9.2803030303030276E-2</v>
      </c>
      <c r="T188" s="3966">
        <f>+T187/S187-1</f>
        <v>0.25260960334029225</v>
      </c>
      <c r="U188" s="3966">
        <f t="shared" si="440"/>
        <v>-2.0000000000000018E-2</v>
      </c>
      <c r="V188" s="3966">
        <f t="shared" si="440"/>
        <v>-2.0000000000000018E-2</v>
      </c>
      <c r="W188" s="3966">
        <f t="shared" si="440"/>
        <v>-2.0000000000000018E-2</v>
      </c>
      <c r="X188" s="3966">
        <f t="shared" ref="X188:AF188" si="441">+X187/W187-1</f>
        <v>-2.0000000000000018E-2</v>
      </c>
      <c r="Y188" s="3966">
        <f t="shared" si="441"/>
        <v>-2.0000000000000018E-2</v>
      </c>
      <c r="Z188" s="3966">
        <f t="shared" si="441"/>
        <v>-2.0000000000000018E-2</v>
      </c>
      <c r="AA188" s="3966">
        <f t="shared" si="441"/>
        <v>-2.0000000000000129E-2</v>
      </c>
      <c r="AB188" s="3966">
        <f t="shared" si="441"/>
        <v>-2.0000000000000018E-2</v>
      </c>
      <c r="AC188" s="3966">
        <f t="shared" si="441"/>
        <v>-2.0000000000000018E-2</v>
      </c>
      <c r="AD188" s="3966">
        <f t="shared" si="441"/>
        <v>-2.0000000000000018E-2</v>
      </c>
      <c r="AE188" s="3966">
        <f t="shared" si="441"/>
        <v>-2.0000000000000018E-2</v>
      </c>
      <c r="AF188" s="3966">
        <f t="shared" si="441"/>
        <v>-2.0000000000000018E-2</v>
      </c>
      <c r="AG188" s="3920"/>
      <c r="AH188" s="3921"/>
      <c r="AI188" s="3960"/>
      <c r="AJ188" s="3960"/>
      <c r="AK188" s="3960"/>
      <c r="AL188" s="3960"/>
      <c r="AM188" s="3960"/>
      <c r="AN188" s="3960"/>
      <c r="AO188" s="3960"/>
      <c r="AP188" s="3960"/>
      <c r="AQ188" s="3960"/>
      <c r="AR188" s="3960"/>
      <c r="AS188" s="3960"/>
      <c r="AT188" s="3960"/>
      <c r="AU188" s="3960"/>
      <c r="AV188" s="3960"/>
      <c r="AW188" s="3960"/>
      <c r="AX188" s="3960"/>
      <c r="AY188" s="3960"/>
      <c r="AZ188" s="3960"/>
      <c r="BA188" s="3960"/>
      <c r="BB188" s="3960"/>
      <c r="BC188" s="3961"/>
      <c r="BD188" s="3962"/>
      <c r="BE188" s="3962"/>
      <c r="BF188" s="3962"/>
      <c r="BG188" s="3961"/>
      <c r="BH188" s="3962"/>
      <c r="BI188" s="3962"/>
      <c r="BJ188" s="3962"/>
      <c r="BK188" s="3971"/>
      <c r="BL188" s="3967"/>
      <c r="BM188" s="3967"/>
      <c r="BN188" s="3967"/>
      <c r="BO188" s="3971"/>
      <c r="BP188" s="3967"/>
      <c r="BQ188" s="3967"/>
      <c r="BR188" s="3972"/>
      <c r="BS188" s="3967"/>
      <c r="BT188" s="3967"/>
      <c r="BU188" s="3967"/>
      <c r="BV188" s="3972"/>
      <c r="BW188" s="3971"/>
      <c r="BX188" s="3967"/>
      <c r="BY188" s="3967"/>
      <c r="BZ188" s="3972"/>
      <c r="CA188" s="3967"/>
      <c r="CB188" s="3967"/>
      <c r="CC188" s="3967"/>
      <c r="CD188" s="3972"/>
      <c r="CE188" s="3971"/>
      <c r="CF188" s="3967"/>
      <c r="CG188" s="3967"/>
      <c r="CH188" s="3972"/>
      <c r="CI188" s="3967">
        <f t="shared" ref="CI188:CM188" si="442">+CI187/CE187-1</f>
        <v>-0.17266187050359716</v>
      </c>
      <c r="CJ188" s="3967">
        <f t="shared" si="442"/>
        <v>-0.14685314685314688</v>
      </c>
      <c r="CK188" s="3967">
        <f t="shared" si="442"/>
        <v>5.2287581699346442E-2</v>
      </c>
      <c r="CL188" s="3972">
        <f t="shared" si="442"/>
        <v>-7.1428571428571397E-2</v>
      </c>
      <c r="CM188" s="3967">
        <f t="shared" si="442"/>
        <v>1.7391304347825987E-2</v>
      </c>
      <c r="CN188" s="3967">
        <f>+CN187/CJ187-1</f>
        <v>8.1967213114753079E-3</v>
      </c>
      <c r="CO188" s="3967">
        <f>+CO187/CK187-1</f>
        <v>-0.19254658385093171</v>
      </c>
      <c r="CP188" s="3972">
        <f t="shared" ref="CP188" si="443">+CP187/CL187-1</f>
        <v>-0.16153846153846152</v>
      </c>
      <c r="CQ188" s="3967">
        <f>+CQ187/CM187-1</f>
        <v>0.28205128205128216</v>
      </c>
      <c r="CR188" s="3967">
        <f>+CR187/CN187-1</f>
        <v>0.21951219512195119</v>
      </c>
      <c r="CS188" s="3967">
        <f>+CS187/CO187-1</f>
        <v>0.15384615384615374</v>
      </c>
      <c r="CT188" s="3972">
        <f>+CT187/CP187-1</f>
        <v>0.37614678899082565</v>
      </c>
    </row>
    <row r="189" spans="1:98" outlineLevel="1">
      <c r="A189" s="3965" t="s">
        <v>947</v>
      </c>
      <c r="B189" s="3960"/>
      <c r="C189" s="3960"/>
      <c r="D189" s="3960"/>
      <c r="E189" s="3960"/>
      <c r="F189" s="3960"/>
      <c r="G189" s="3960"/>
      <c r="H189" s="3960"/>
      <c r="I189" s="3960"/>
      <c r="J189" s="3960"/>
      <c r="K189" s="3960"/>
      <c r="L189" s="3967"/>
      <c r="M189" s="3967"/>
      <c r="N189" s="3967"/>
      <c r="O189" s="3967"/>
      <c r="P189" s="3967"/>
      <c r="Q189" s="3967"/>
      <c r="R189" s="3967"/>
      <c r="S189" s="3967"/>
      <c r="T189" s="3967"/>
      <c r="U189" s="3967"/>
      <c r="V189" s="3967"/>
      <c r="W189" s="3967"/>
      <c r="X189" s="3967"/>
      <c r="Y189" s="3967"/>
      <c r="Z189" s="3967"/>
      <c r="AA189" s="3967"/>
      <c r="AB189" s="3967"/>
      <c r="AC189" s="3967"/>
      <c r="AD189" s="3967"/>
      <c r="AE189" s="3967"/>
      <c r="AF189" s="3967"/>
      <c r="AG189" s="3920"/>
      <c r="AH189" s="3921"/>
      <c r="AI189" s="3960"/>
      <c r="AJ189" s="3960"/>
      <c r="AK189" s="3960"/>
      <c r="AL189" s="3960"/>
      <c r="AM189" s="3960"/>
      <c r="AN189" s="3960"/>
      <c r="AO189" s="3960"/>
      <c r="AP189" s="3960"/>
      <c r="AQ189" s="3960"/>
      <c r="AR189" s="3960"/>
      <c r="AS189" s="3960"/>
      <c r="AT189" s="3960"/>
      <c r="AU189" s="3960"/>
      <c r="AV189" s="3960"/>
      <c r="AW189" s="3960"/>
      <c r="AX189" s="3960"/>
      <c r="AY189" s="3960"/>
      <c r="AZ189" s="3960"/>
      <c r="BA189" s="3960"/>
      <c r="BB189" s="3960"/>
      <c r="BC189" s="3961"/>
      <c r="BD189" s="3962"/>
      <c r="BE189" s="3962"/>
      <c r="BF189" s="3962"/>
      <c r="BG189" s="3961"/>
      <c r="BH189" s="3962"/>
      <c r="BI189" s="3962"/>
      <c r="BJ189" s="3962"/>
      <c r="BK189" s="3971"/>
      <c r="BL189" s="3967"/>
      <c r="BM189" s="3967"/>
      <c r="BN189" s="3967"/>
      <c r="BO189" s="3971"/>
      <c r="BP189" s="3967"/>
      <c r="BQ189" s="3967"/>
      <c r="BR189" s="3972"/>
      <c r="BS189" s="3967"/>
      <c r="BT189" s="3967"/>
      <c r="BU189" s="3967"/>
      <c r="BV189" s="3972"/>
      <c r="BW189" s="3971"/>
      <c r="BX189" s="3967"/>
      <c r="BY189" s="3967"/>
      <c r="BZ189" s="3972"/>
      <c r="CA189" s="3967"/>
      <c r="CB189" s="3967"/>
      <c r="CC189" s="3967"/>
      <c r="CD189" s="3972"/>
      <c r="CE189" s="3971"/>
      <c r="CF189" s="3967">
        <f t="shared" ref="CF189:CM189" si="444">+CF187/CE187-1</f>
        <v>2.877697841726623E-2</v>
      </c>
      <c r="CG189" s="3967">
        <f t="shared" si="444"/>
        <v>6.9930069930070005E-2</v>
      </c>
      <c r="CH189" s="3972">
        <f t="shared" si="444"/>
        <v>-8.496732026143794E-2</v>
      </c>
      <c r="CI189" s="3967">
        <f t="shared" si="444"/>
        <v>-0.1785714285714286</v>
      </c>
      <c r="CJ189" s="3967">
        <f t="shared" si="444"/>
        <v>6.0869565217391397E-2</v>
      </c>
      <c r="CK189" s="3967">
        <f t="shared" si="444"/>
        <v>0.31967213114754101</v>
      </c>
      <c r="CL189" s="3972">
        <f t="shared" si="444"/>
        <v>-0.19254658385093171</v>
      </c>
      <c r="CM189" s="3967">
        <f t="shared" si="444"/>
        <v>-9.9999999999999978E-2</v>
      </c>
      <c r="CN189" s="3967">
        <f>+CN187/CM187-1</f>
        <v>5.1282051282051322E-2</v>
      </c>
      <c r="CO189" s="3967">
        <f>+CO187/CN187-1</f>
        <v>5.6910569105691033E-2</v>
      </c>
      <c r="CP189" s="3972">
        <f t="shared" ref="CP189" si="445">+CP187/CO187-1</f>
        <v>-0.16153846153846152</v>
      </c>
      <c r="CQ189" s="3967">
        <f>+CQ187/CP187-1</f>
        <v>0.37614678899082565</v>
      </c>
      <c r="CR189" s="3967">
        <f>+CR187/CQ187-1</f>
        <v>0</v>
      </c>
      <c r="CS189" s="3967">
        <f>+CS187/CR187-1</f>
        <v>0</v>
      </c>
      <c r="CT189" s="3972">
        <f>+CT187/CS187-1</f>
        <v>0</v>
      </c>
    </row>
    <row r="190" spans="1:98" outlineLevel="1">
      <c r="A190" s="3965"/>
      <c r="B190" s="3960"/>
      <c r="C190" s="3960"/>
      <c r="D190" s="3960"/>
      <c r="E190" s="3960"/>
      <c r="F190" s="3960"/>
      <c r="G190" s="3960"/>
      <c r="H190" s="3960"/>
      <c r="I190" s="3960"/>
      <c r="J190" s="3960"/>
      <c r="K190" s="3960"/>
      <c r="L190" s="3976"/>
      <c r="M190" s="3977"/>
      <c r="N190" s="3977"/>
      <c r="O190" s="3977"/>
      <c r="P190" s="3977"/>
      <c r="Q190" s="3977"/>
      <c r="R190" s="3977"/>
      <c r="S190" s="3977"/>
      <c r="T190" s="3977"/>
      <c r="U190" s="3976"/>
      <c r="V190" s="3976"/>
      <c r="W190" s="3976"/>
      <c r="X190" s="3976"/>
      <c r="Y190" s="3976"/>
      <c r="Z190" s="3976"/>
      <c r="AA190" s="3976"/>
      <c r="AB190" s="3976"/>
      <c r="AC190" s="3976"/>
      <c r="AD190" s="3976"/>
      <c r="AE190" s="3976"/>
      <c r="AF190" s="3976"/>
      <c r="AG190" s="3920"/>
      <c r="AH190" s="3921"/>
      <c r="AI190" s="3960"/>
      <c r="AJ190" s="3960"/>
      <c r="AK190" s="3960"/>
      <c r="AL190" s="3960"/>
      <c r="AM190" s="3960"/>
      <c r="AN190" s="3960"/>
      <c r="AO190" s="3960"/>
      <c r="AP190" s="3960"/>
      <c r="AQ190" s="3960"/>
      <c r="AR190" s="3960"/>
      <c r="AS190" s="3960"/>
      <c r="AT190" s="3960"/>
      <c r="AU190" s="3960"/>
      <c r="AV190" s="3960"/>
      <c r="AW190" s="3960"/>
      <c r="AX190" s="3960"/>
      <c r="AY190" s="3960"/>
      <c r="AZ190" s="3960"/>
      <c r="BA190" s="3960"/>
      <c r="BB190" s="3960"/>
      <c r="BC190" s="3961"/>
      <c r="BD190" s="3962"/>
      <c r="BE190" s="3962"/>
      <c r="BF190" s="3962"/>
      <c r="BG190" s="3961"/>
      <c r="BH190" s="3962"/>
      <c r="BI190" s="3962"/>
      <c r="BJ190" s="3962"/>
      <c r="BK190" s="3979"/>
      <c r="BL190" s="3976"/>
      <c r="BM190" s="3976"/>
      <c r="BN190" s="3976"/>
      <c r="BO190" s="3980"/>
      <c r="BP190" s="3977"/>
      <c r="BQ190" s="3977"/>
      <c r="BR190" s="3981"/>
      <c r="BS190" s="3966"/>
      <c r="BT190" s="3966"/>
      <c r="BU190" s="3966"/>
      <c r="BV190" s="3973"/>
      <c r="BW190" s="3975"/>
      <c r="BX190" s="3966"/>
      <c r="BY190" s="3966"/>
      <c r="BZ190" s="3973"/>
      <c r="CA190" s="3966"/>
      <c r="CB190" s="3966"/>
      <c r="CC190" s="3966"/>
      <c r="CD190" s="3973"/>
      <c r="CE190" s="3975">
        <f t="shared" ref="CE190:CT190" si="446">+CE187/CE$139</f>
        <v>7.3042564372044136E-2</v>
      </c>
      <c r="CF190" s="3966">
        <f t="shared" si="446"/>
        <v>7.4131674442716428E-2</v>
      </c>
      <c r="CG190" s="3966">
        <f t="shared" si="446"/>
        <v>7.8825347758887165E-2</v>
      </c>
      <c r="CH190" s="3973">
        <f t="shared" si="446"/>
        <v>6.9860279441117765E-2</v>
      </c>
      <c r="CI190" s="3966">
        <f t="shared" si="446"/>
        <v>5.7471264367816091E-2</v>
      </c>
      <c r="CJ190" s="3966">
        <f t="shared" si="446"/>
        <v>5.9745347698334964E-2</v>
      </c>
      <c r="CK190" s="3966">
        <f t="shared" si="446"/>
        <v>7.9427725703009378E-2</v>
      </c>
      <c r="CL190" s="3973">
        <f t="shared" si="446"/>
        <v>6.4102564102564097E-2</v>
      </c>
      <c r="CM190" s="3966">
        <f t="shared" si="446"/>
        <v>5.8122205663189271E-2</v>
      </c>
      <c r="CN190" s="3966">
        <f t="shared" si="446"/>
        <v>6.4229765013054829E-2</v>
      </c>
      <c r="CO190" s="3966">
        <f t="shared" si="446"/>
        <v>6.8710359408033828E-2</v>
      </c>
      <c r="CP190" s="3973">
        <f t="shared" ref="CP190" si="447">+CP187/CP$139</f>
        <v>5.7217847769028871E-2</v>
      </c>
      <c r="CQ190" s="3966">
        <f t="shared" si="446"/>
        <v>7.8530947737654275E-2</v>
      </c>
      <c r="CR190" s="3966">
        <f t="shared" si="446"/>
        <v>7.8234079495212869E-2</v>
      </c>
      <c r="CS190" s="3966">
        <f t="shared" si="446"/>
        <v>7.7689413263654569E-2</v>
      </c>
      <c r="CT190" s="3973">
        <f t="shared" si="446"/>
        <v>7.7210338979124896E-2</v>
      </c>
    </row>
    <row r="191" spans="1:98" outlineLevel="1">
      <c r="A191" s="2070" t="s">
        <v>1683</v>
      </c>
      <c r="B191" s="3960"/>
      <c r="C191" s="3960"/>
      <c r="D191" s="3960"/>
      <c r="E191" s="3960"/>
      <c r="F191" s="3960"/>
      <c r="G191" s="3960"/>
      <c r="H191" s="3960"/>
      <c r="I191" s="3960"/>
      <c r="J191" s="3960"/>
      <c r="K191" s="3960"/>
      <c r="L191" s="3960"/>
      <c r="M191" s="150"/>
      <c r="N191" s="150"/>
      <c r="O191" s="150"/>
      <c r="P191" s="2033"/>
      <c r="Q191" s="2033">
        <f>Q187+Q183+Q179</f>
        <v>9956</v>
      </c>
      <c r="R191" s="2033">
        <f>R187+R183+R179</f>
        <v>9707</v>
      </c>
      <c r="S191" s="2033">
        <f>S179+S183+S187</f>
        <v>8853</v>
      </c>
      <c r="T191" s="2033">
        <f>T179+T183+T187</f>
        <v>8466.83</v>
      </c>
      <c r="U191" s="150">
        <f>U179+U183+U187</f>
        <v>8222.8512499999997</v>
      </c>
      <c r="V191" s="150">
        <f>V179+V183+V187</f>
        <v>8019.903847399999</v>
      </c>
      <c r="W191" s="150">
        <f>W179+W183+W187</f>
        <v>7853.9168709996984</v>
      </c>
      <c r="X191" s="150">
        <f t="shared" ref="X191:AF191" si="448">X179+X183+X187</f>
        <v>7721.3485429825796</v>
      </c>
      <c r="Y191" s="150">
        <f t="shared" si="448"/>
        <v>7619.1177301539819</v>
      </c>
      <c r="Z191" s="150">
        <f t="shared" si="448"/>
        <v>7544.5447156029295</v>
      </c>
      <c r="AA191" s="150">
        <f t="shared" si="448"/>
        <v>7495.299969298926</v>
      </c>
      <c r="AB191" s="150">
        <f t="shared" si="448"/>
        <v>7469.3598225571841</v>
      </c>
      <c r="AC191" s="150">
        <f t="shared" si="448"/>
        <v>7464.9681030789325</v>
      </c>
      <c r="AD191" s="150">
        <f t="shared" si="448"/>
        <v>7480.6029178609551</v>
      </c>
      <c r="AE191" s="150">
        <f t="shared" si="448"/>
        <v>7514.947883644556</v>
      </c>
      <c r="AF191" s="150">
        <f t="shared" si="448"/>
        <v>7566.8672012934348</v>
      </c>
      <c r="AG191" s="3920"/>
      <c r="AH191" s="3921"/>
      <c r="AI191" s="3960"/>
      <c r="AJ191" s="3960"/>
      <c r="AK191" s="3960"/>
      <c r="AL191" s="3960"/>
      <c r="AM191" s="3960"/>
      <c r="AN191" s="3960"/>
      <c r="AO191" s="3960"/>
      <c r="AP191" s="3960"/>
      <c r="AQ191" s="3960"/>
      <c r="AR191" s="3960"/>
      <c r="AS191" s="3960"/>
      <c r="AT191" s="3960"/>
      <c r="AU191" s="3960"/>
      <c r="AV191" s="3960"/>
      <c r="AW191" s="3960"/>
      <c r="AX191" s="3960"/>
      <c r="AY191" s="3960"/>
      <c r="AZ191" s="3960"/>
      <c r="BA191" s="3960"/>
      <c r="BB191" s="3960"/>
      <c r="BC191" s="3961"/>
      <c r="BD191" s="3962"/>
      <c r="BE191" s="3962"/>
      <c r="BF191" s="3962"/>
      <c r="BG191" s="3961"/>
      <c r="BH191" s="3962"/>
      <c r="BI191" s="3962"/>
      <c r="BJ191" s="3962"/>
      <c r="BK191" s="2051"/>
      <c r="BL191" s="2069"/>
      <c r="BM191" s="2069"/>
      <c r="BN191" s="2069"/>
      <c r="BO191" s="2045"/>
      <c r="BP191" s="2047"/>
      <c r="BQ191" s="2047"/>
      <c r="BR191" s="2046"/>
      <c r="BS191" s="2047"/>
      <c r="BT191" s="2047"/>
      <c r="BU191" s="2047"/>
      <c r="BV191" s="2046"/>
      <c r="BW191" s="2045"/>
      <c r="BX191" s="2047"/>
      <c r="BY191" s="2047"/>
      <c r="BZ191" s="2046"/>
      <c r="CA191" s="150"/>
      <c r="CB191" s="150"/>
      <c r="CC191" s="150"/>
      <c r="CD191" s="360"/>
      <c r="CE191" s="139">
        <f t="shared" ref="CE191:CK191" si="449">CE179+CE183+CE187</f>
        <v>2525</v>
      </c>
      <c r="CF191" s="150">
        <f t="shared" si="449"/>
        <v>2484</v>
      </c>
      <c r="CG191" s="150">
        <f t="shared" si="449"/>
        <v>2466</v>
      </c>
      <c r="CH191" s="360">
        <f t="shared" si="449"/>
        <v>2481</v>
      </c>
      <c r="CI191" s="150">
        <f t="shared" si="449"/>
        <v>2442</v>
      </c>
      <c r="CJ191" s="150">
        <f t="shared" si="449"/>
        <v>2435</v>
      </c>
      <c r="CK191" s="150">
        <f t="shared" si="449"/>
        <v>2444</v>
      </c>
      <c r="CL191" s="360">
        <f t="shared" ref="CL191:CT191" si="450">CL179+CL183+CL187</f>
        <v>2386</v>
      </c>
      <c r="CM191" s="150">
        <f t="shared" si="450"/>
        <v>2356</v>
      </c>
      <c r="CN191" s="150">
        <f t="shared" si="450"/>
        <v>2215</v>
      </c>
      <c r="CO191" s="150">
        <f t="shared" si="450"/>
        <v>2171</v>
      </c>
      <c r="CP191" s="360">
        <f t="shared" ref="CP191" si="451">CP179+CP183+CP187</f>
        <v>2111</v>
      </c>
      <c r="CQ191" s="150">
        <f t="shared" si="450"/>
        <v>2158.7600000000002</v>
      </c>
      <c r="CR191" s="150">
        <f t="shared" si="450"/>
        <v>2117.8199999999997</v>
      </c>
      <c r="CS191" s="150">
        <f t="shared" si="450"/>
        <v>2111.89</v>
      </c>
      <c r="CT191" s="360">
        <f t="shared" si="450"/>
        <v>2078.36</v>
      </c>
    </row>
    <row r="192" spans="1:98" outlineLevel="1">
      <c r="A192" s="3965" t="s">
        <v>34</v>
      </c>
      <c r="B192" s="114"/>
      <c r="C192" s="114"/>
      <c r="D192" s="114"/>
      <c r="E192" s="114"/>
      <c r="F192" s="114"/>
      <c r="G192" s="114"/>
      <c r="H192" s="114"/>
      <c r="I192" s="114"/>
      <c r="J192" s="114"/>
      <c r="K192" s="114"/>
      <c r="L192" s="150"/>
      <c r="N192" s="3966"/>
      <c r="O192" s="3938"/>
      <c r="P192" s="3938"/>
      <c r="Q192" s="3938"/>
      <c r="R192" s="3938">
        <f t="shared" ref="R192:W192" si="452">+R191/Q191-1</f>
        <v>-2.5010044194455627E-2</v>
      </c>
      <c r="S192" s="3938">
        <f t="shared" si="452"/>
        <v>-8.7977748016895063E-2</v>
      </c>
      <c r="T192" s="3938">
        <f>+T191/S191-1</f>
        <v>-4.3620241725968567E-2</v>
      </c>
      <c r="U192" s="3938">
        <f t="shared" si="452"/>
        <v>-2.8815831899305921E-2</v>
      </c>
      <c r="V192" s="3938">
        <f t="shared" si="452"/>
        <v>-2.4680904035567997E-2</v>
      </c>
      <c r="W192" s="3938">
        <f t="shared" si="452"/>
        <v>-2.0696878610846792E-2</v>
      </c>
      <c r="X192" s="3938">
        <f t="shared" ref="X192:AF192" si="453">+X191/W191-1</f>
        <v>-1.6879262945425633E-2</v>
      </c>
      <c r="Y192" s="3938">
        <f t="shared" si="453"/>
        <v>-1.3240020478224368E-2</v>
      </c>
      <c r="Z192" s="3938">
        <f t="shared" si="453"/>
        <v>-9.7876180933543777E-3</v>
      </c>
      <c r="AA192" s="3938">
        <f t="shared" si="453"/>
        <v>-6.527199209537482E-3</v>
      </c>
      <c r="AB192" s="3938">
        <f t="shared" si="453"/>
        <v>-3.4608550488964829E-3</v>
      </c>
      <c r="AC192" s="3938">
        <f t="shared" si="453"/>
        <v>-5.8796464256394287E-4</v>
      </c>
      <c r="AD192" s="3938">
        <f t="shared" si="453"/>
        <v>2.0944248610486049E-3</v>
      </c>
      <c r="AE192" s="3938">
        <f t="shared" si="453"/>
        <v>4.5912028964401053E-3</v>
      </c>
      <c r="AF192" s="3938">
        <f t="shared" si="453"/>
        <v>6.9088060825910347E-3</v>
      </c>
      <c r="AG192" s="3920"/>
      <c r="AH192" s="2714"/>
      <c r="AI192" s="114"/>
      <c r="AJ192" s="114"/>
      <c r="AK192" s="114"/>
      <c r="AL192" s="114"/>
      <c r="AM192" s="114"/>
      <c r="AN192" s="114"/>
      <c r="AO192" s="114"/>
      <c r="AP192" s="114"/>
      <c r="AQ192" s="114"/>
      <c r="AR192" s="114"/>
      <c r="AS192" s="114"/>
      <c r="AT192" s="114"/>
      <c r="AU192" s="114"/>
      <c r="AV192" s="114"/>
      <c r="AW192" s="114"/>
      <c r="AX192" s="114"/>
      <c r="AY192" s="114"/>
      <c r="AZ192" s="114"/>
      <c r="BA192" s="114"/>
      <c r="BB192" s="114"/>
      <c r="BC192" s="2050"/>
      <c r="BD192" s="2067"/>
      <c r="BE192" s="2067"/>
      <c r="BF192" s="2067"/>
      <c r="BG192" s="2050"/>
      <c r="BH192" s="2067"/>
      <c r="BI192" s="2067"/>
      <c r="BJ192" s="2067"/>
      <c r="BK192" s="2045"/>
      <c r="BL192" s="2047"/>
      <c r="BM192" s="2047"/>
      <c r="BN192" s="2047"/>
      <c r="BO192" s="3971"/>
      <c r="BP192" s="3967"/>
      <c r="BQ192" s="3967"/>
      <c r="BR192" s="3972"/>
      <c r="BS192" s="3967"/>
      <c r="BT192" s="3967"/>
      <c r="BU192" s="3967"/>
      <c r="BV192" s="3972"/>
      <c r="BW192" s="3971"/>
      <c r="BX192" s="3967"/>
      <c r="BY192" s="3967"/>
      <c r="BZ192" s="3972"/>
      <c r="CA192" s="3967"/>
      <c r="CB192" s="3967"/>
      <c r="CC192" s="3967"/>
      <c r="CD192" s="3972"/>
      <c r="CE192" s="3971"/>
      <c r="CF192" s="3967"/>
      <c r="CG192" s="3967"/>
      <c r="CH192" s="3972"/>
      <c r="CI192" s="3967">
        <f t="shared" ref="CI192:CM192" si="454">+CI191/CE191-1</f>
        <v>-3.28712871287129E-2</v>
      </c>
      <c r="CJ192" s="3967">
        <f t="shared" si="454"/>
        <v>-1.9726247987117529E-2</v>
      </c>
      <c r="CK192" s="3967">
        <f t="shared" si="454"/>
        <v>-8.921330089213253E-3</v>
      </c>
      <c r="CL192" s="3972">
        <f t="shared" si="454"/>
        <v>-3.8291011688835197E-2</v>
      </c>
      <c r="CM192" s="3967">
        <f t="shared" si="454"/>
        <v>-3.5217035217035231E-2</v>
      </c>
      <c r="CN192" s="3967">
        <f>+CN191/CJ191-1</f>
        <v>-9.034907597535935E-2</v>
      </c>
      <c r="CO192" s="3967">
        <f>+CO191/CK191-1</f>
        <v>-0.11170212765957444</v>
      </c>
      <c r="CP192" s="3972">
        <f t="shared" ref="CP192" si="455">+CP191/CL191-1</f>
        <v>-0.11525565800502935</v>
      </c>
      <c r="CQ192" s="3967">
        <f>+CQ191/CM191-1</f>
        <v>-8.3718166383701109E-2</v>
      </c>
      <c r="CR192" s="3967">
        <f>+CR191/CN191-1</f>
        <v>-4.3873589164785676E-2</v>
      </c>
      <c r="CS192" s="3967">
        <f>+CS191/CO191-1</f>
        <v>-2.7227084292952619E-2</v>
      </c>
      <c r="CT192" s="3972">
        <f>+CT191/CP191-1</f>
        <v>-1.5461866414021697E-2</v>
      </c>
    </row>
    <row r="193" spans="1:98" outlineLevel="1">
      <c r="A193" s="3965" t="s">
        <v>947</v>
      </c>
      <c r="B193" s="3960"/>
      <c r="C193" s="3960"/>
      <c r="D193" s="3960"/>
      <c r="E193" s="3960"/>
      <c r="F193" s="3960"/>
      <c r="G193" s="3960"/>
      <c r="H193" s="3960"/>
      <c r="I193" s="3960"/>
      <c r="J193" s="3960"/>
      <c r="K193" s="3960"/>
      <c r="L193" s="3960"/>
      <c r="M193" s="3966"/>
      <c r="N193" s="3876"/>
      <c r="O193" s="3876"/>
      <c r="P193" s="3876"/>
      <c r="Q193" s="3876"/>
      <c r="R193" s="3876"/>
      <c r="S193" s="3876"/>
      <c r="T193" s="3876"/>
      <c r="U193" s="3876"/>
      <c r="V193" s="3876"/>
      <c r="W193" s="3876"/>
      <c r="X193" s="3876"/>
      <c r="Y193" s="3876"/>
      <c r="Z193" s="3876"/>
      <c r="AA193" s="3876"/>
      <c r="AB193" s="3876"/>
      <c r="AC193" s="3876"/>
      <c r="AD193" s="3876"/>
      <c r="AE193" s="3876"/>
      <c r="AF193" s="3876"/>
      <c r="AG193" s="3920"/>
      <c r="AH193" s="3921"/>
      <c r="AI193" s="3960"/>
      <c r="AJ193" s="3960"/>
      <c r="AK193" s="3960"/>
      <c r="AL193" s="3960"/>
      <c r="AM193" s="3960"/>
      <c r="AN193" s="3960"/>
      <c r="AO193" s="3960"/>
      <c r="AP193" s="3960"/>
      <c r="AQ193" s="3960"/>
      <c r="AR193" s="3960"/>
      <c r="AS193" s="3960"/>
      <c r="AT193" s="3960"/>
      <c r="AU193" s="3960"/>
      <c r="AV193" s="3960"/>
      <c r="AW193" s="3960"/>
      <c r="AX193" s="3960"/>
      <c r="AY193" s="3960"/>
      <c r="AZ193" s="3960"/>
      <c r="BA193" s="3960"/>
      <c r="BB193" s="3960"/>
      <c r="BC193" s="3961"/>
      <c r="BD193" s="3962"/>
      <c r="BE193" s="3962"/>
      <c r="BF193" s="3962"/>
      <c r="BG193" s="3961"/>
      <c r="BH193" s="3962"/>
      <c r="BI193" s="3962"/>
      <c r="BJ193" s="3962"/>
      <c r="BK193" s="2051"/>
      <c r="BL193" s="3967"/>
      <c r="BM193" s="3967"/>
      <c r="BN193" s="3967"/>
      <c r="BO193" s="3975"/>
      <c r="BP193" s="3966"/>
      <c r="BQ193" s="3966"/>
      <c r="BR193" s="3966"/>
      <c r="BS193" s="3975"/>
      <c r="BT193" s="3966"/>
      <c r="BU193" s="3966"/>
      <c r="BV193" s="3973"/>
      <c r="BW193" s="3975"/>
      <c r="BX193" s="3966"/>
      <c r="BY193" s="3966"/>
      <c r="BZ193" s="3973"/>
      <c r="CA193" s="3966"/>
      <c r="CB193" s="3966"/>
      <c r="CC193" s="3966"/>
      <c r="CD193" s="3973"/>
      <c r="CE193" s="3975"/>
      <c r="CF193" s="3966">
        <f t="shared" ref="CF193:CM193" si="456">+CF191/CE191-1</f>
        <v>-1.6237623762376252E-2</v>
      </c>
      <c r="CG193" s="3966">
        <f t="shared" si="456"/>
        <v>-7.2463768115942351E-3</v>
      </c>
      <c r="CH193" s="3973">
        <f t="shared" si="456"/>
        <v>6.0827250608272987E-3</v>
      </c>
      <c r="CI193" s="3966">
        <f t="shared" si="456"/>
        <v>-1.5719467956469169E-2</v>
      </c>
      <c r="CJ193" s="3966">
        <f t="shared" si="456"/>
        <v>-2.866502866502918E-3</v>
      </c>
      <c r="CK193" s="3966">
        <f t="shared" si="456"/>
        <v>3.6960985626284248E-3</v>
      </c>
      <c r="CL193" s="3973">
        <f t="shared" si="456"/>
        <v>-2.3731587561374834E-2</v>
      </c>
      <c r="CM193" s="3966">
        <f t="shared" si="456"/>
        <v>-1.2573344509639539E-2</v>
      </c>
      <c r="CN193" s="3966">
        <f>+CN191/CM191-1</f>
        <v>-5.9847198641765686E-2</v>
      </c>
      <c r="CO193" s="3966">
        <f>+CO191/CN191-1</f>
        <v>-1.9864559819413041E-2</v>
      </c>
      <c r="CP193" s="3973">
        <f t="shared" ref="CP193" si="457">+CP191/CO191-1</f>
        <v>-2.7637033625057539E-2</v>
      </c>
      <c r="CQ193" s="3966">
        <f>+CQ191/CP191-1</f>
        <v>2.2624348649929127E-2</v>
      </c>
      <c r="CR193" s="3966">
        <f>+CR191/CQ191-1</f>
        <v>-1.8964590783598245E-2</v>
      </c>
      <c r="CS193" s="3966">
        <f>+CS191/CR191-1</f>
        <v>-2.8000491071006328E-3</v>
      </c>
      <c r="CT193" s="3973">
        <f>+CT191/CS191-1</f>
        <v>-1.5876773885003415E-2</v>
      </c>
    </row>
    <row r="194" spans="1:98" outlineLevel="1">
      <c r="A194" s="3985" t="s">
        <v>1217</v>
      </c>
      <c r="B194" s="3986"/>
      <c r="C194" s="3986"/>
      <c r="D194" s="3986"/>
      <c r="E194" s="3986"/>
      <c r="F194" s="3986"/>
      <c r="G194" s="3986"/>
      <c r="H194" s="3986"/>
      <c r="I194" s="3986"/>
      <c r="J194" s="3986"/>
      <c r="K194" s="3986"/>
      <c r="L194" s="3986"/>
      <c r="M194" s="3986"/>
      <c r="N194" s="3986"/>
      <c r="O194" s="3987"/>
      <c r="P194" s="3987"/>
      <c r="Q194" s="3987">
        <f t="shared" ref="Q194:AF194" si="458">Q191/Q$154</f>
        <v>0.5562011173184358</v>
      </c>
      <c r="R194" s="3987">
        <f t="shared" si="458"/>
        <v>0.555638236977676</v>
      </c>
      <c r="S194" s="3987">
        <f t="shared" si="458"/>
        <v>0.54322881511934706</v>
      </c>
      <c r="T194" s="3987">
        <f t="shared" si="458"/>
        <v>0.5369181269976695</v>
      </c>
      <c r="U194" s="3987">
        <f t="shared" si="458"/>
        <v>0.53354193440105058</v>
      </c>
      <c r="V194" s="3987">
        <f t="shared" si="458"/>
        <v>0.53233359259313517</v>
      </c>
      <c r="W194" s="3987">
        <f t="shared" si="458"/>
        <v>0.53143479197705767</v>
      </c>
      <c r="X194" s="3987">
        <f t="shared" si="458"/>
        <v>0.5308308920341509</v>
      </c>
      <c r="Y194" s="3987">
        <f t="shared" si="458"/>
        <v>0.53050743160273617</v>
      </c>
      <c r="Z194" s="3987">
        <f t="shared" si="458"/>
        <v>0.53045024000563301</v>
      </c>
      <c r="AA194" s="3987">
        <f t="shared" si="458"/>
        <v>0.5306455185425073</v>
      </c>
      <c r="AB194" s="3987">
        <f t="shared" si="458"/>
        <v>0.5310798956216537</v>
      </c>
      <c r="AC194" s="3987">
        <f t="shared" si="458"/>
        <v>0.53174045964004768</v>
      </c>
      <c r="AD194" s="3987">
        <f t="shared" si="458"/>
        <v>0.53261477405707303</v>
      </c>
      <c r="AE194" s="3987">
        <f t="shared" si="458"/>
        <v>0.53369087903032364</v>
      </c>
      <c r="AF194" s="3987">
        <f t="shared" si="458"/>
        <v>0.53495728360133754</v>
      </c>
      <c r="AG194" s="3920"/>
      <c r="AH194" s="3988"/>
      <c r="AI194" s="3989"/>
      <c r="AJ194" s="3989"/>
      <c r="AK194" s="3989"/>
      <c r="AL194" s="3989"/>
      <c r="AM194" s="3989"/>
      <c r="AN194" s="3989"/>
      <c r="AO194" s="3989"/>
      <c r="AP194" s="3989"/>
      <c r="AQ194" s="3989"/>
      <c r="AR194" s="3989"/>
      <c r="AS194" s="3989"/>
      <c r="AT194" s="3989"/>
      <c r="AU194" s="3989"/>
      <c r="AV194" s="3989"/>
      <c r="AW194" s="3989"/>
      <c r="AX194" s="3989"/>
      <c r="AY194" s="3989"/>
      <c r="AZ194" s="3989"/>
      <c r="BA194" s="3989"/>
      <c r="BB194" s="3989"/>
      <c r="BC194" s="3990"/>
      <c r="BD194" s="3991"/>
      <c r="BE194" s="3991"/>
      <c r="BF194" s="3991"/>
      <c r="BG194" s="3990"/>
      <c r="BH194" s="3991"/>
      <c r="BI194" s="3991"/>
      <c r="BJ194" s="3991"/>
      <c r="BK194" s="3992"/>
      <c r="BL194" s="3989"/>
      <c r="BM194" s="3989"/>
      <c r="BN194" s="3989"/>
      <c r="BO194" s="3992"/>
      <c r="BP194" s="3989"/>
      <c r="BQ194" s="3989"/>
      <c r="BR194" s="3989"/>
      <c r="BS194" s="3992"/>
      <c r="BT194" s="3989"/>
      <c r="BU194" s="3989"/>
      <c r="BV194" s="3989"/>
      <c r="BW194" s="3993"/>
      <c r="BX194" s="3987"/>
      <c r="BY194" s="3987"/>
      <c r="BZ194" s="3994"/>
      <c r="CA194" s="3993"/>
      <c r="CB194" s="3987"/>
      <c r="CC194" s="3987"/>
      <c r="CD194" s="3994"/>
      <c r="CE194" s="3993">
        <f t="shared" ref="CE194:CT194" si="459">CE191/CE$154</f>
        <v>0.5672882498314985</v>
      </c>
      <c r="CF194" s="3987">
        <f t="shared" si="459"/>
        <v>0.56211812627291247</v>
      </c>
      <c r="CG194" s="3987">
        <f t="shared" si="459"/>
        <v>0.54150197628458496</v>
      </c>
      <c r="CH194" s="3994">
        <f t="shared" si="459"/>
        <v>0.55428954423592491</v>
      </c>
      <c r="CI194" s="3987">
        <f t="shared" si="459"/>
        <v>0.55487389229720518</v>
      </c>
      <c r="CJ194" s="3987">
        <f t="shared" si="459"/>
        <v>0.55366075488858568</v>
      </c>
      <c r="CK194" s="3987">
        <f t="shared" si="459"/>
        <v>0.5577361935189411</v>
      </c>
      <c r="CL194" s="3994">
        <f t="shared" si="459"/>
        <v>0.55630683142923754</v>
      </c>
      <c r="CM194" s="3987">
        <f t="shared" si="459"/>
        <v>0.55975291043003084</v>
      </c>
      <c r="CN194" s="3987">
        <f t="shared" si="459"/>
        <v>0.54156479217603914</v>
      </c>
      <c r="CO194" s="3987">
        <f t="shared" si="459"/>
        <v>0.538175508180466</v>
      </c>
      <c r="CP194" s="3994">
        <f t="shared" ref="CP194" si="460">CP191/CP$154</f>
        <v>0.53254288597376387</v>
      </c>
      <c r="CQ194" s="3993">
        <f t="shared" si="459"/>
        <v>0.54041009645352434</v>
      </c>
      <c r="CR194" s="3987">
        <f t="shared" si="459"/>
        <v>0.53524595985111911</v>
      </c>
      <c r="CS194" s="3987">
        <f t="shared" si="459"/>
        <v>0.53651652567131569</v>
      </c>
      <c r="CT194" s="3994">
        <f t="shared" si="459"/>
        <v>0.53543623538625629</v>
      </c>
    </row>
    <row r="195" spans="1:98" hidden="1" outlineLevel="2">
      <c r="A195" s="2065" t="s">
        <v>278</v>
      </c>
      <c r="B195" s="3954"/>
      <c r="C195" s="3954"/>
      <c r="D195" s="3954"/>
      <c r="E195" s="3954"/>
      <c r="F195" s="3954"/>
      <c r="G195" s="3954"/>
      <c r="H195" s="3954"/>
      <c r="I195" s="3954"/>
      <c r="J195" s="3954"/>
      <c r="K195" s="3954"/>
      <c r="L195" s="3954"/>
      <c r="M195" s="3954"/>
      <c r="N195" s="3954"/>
      <c r="O195" s="3954"/>
      <c r="P195" s="3954"/>
      <c r="Q195" s="3954"/>
      <c r="R195" s="3954"/>
      <c r="S195" s="3954"/>
      <c r="T195" s="3954"/>
      <c r="U195" s="3954"/>
      <c r="V195" s="3954"/>
      <c r="W195" s="3954"/>
      <c r="X195" s="3954"/>
      <c r="Y195" s="3954"/>
      <c r="Z195" s="3954"/>
      <c r="AA195" s="3954"/>
      <c r="AB195" s="3954"/>
      <c r="AC195" s="3954"/>
      <c r="AD195" s="3954"/>
      <c r="AE195" s="3954"/>
      <c r="AF195" s="3954"/>
      <c r="AG195" s="3920"/>
      <c r="AH195" s="3921"/>
      <c r="AI195" s="3954"/>
      <c r="AJ195" s="3954"/>
      <c r="AK195" s="3954"/>
      <c r="AL195" s="3954"/>
      <c r="AM195" s="3954"/>
      <c r="AN195" s="3954"/>
      <c r="AO195" s="3954"/>
      <c r="AP195" s="3954"/>
      <c r="AQ195" s="3954"/>
      <c r="AR195" s="3954"/>
      <c r="AS195" s="3954"/>
      <c r="AT195" s="3954"/>
      <c r="AU195" s="3954"/>
      <c r="AV195" s="3954"/>
      <c r="AW195" s="3954"/>
      <c r="AX195" s="3954"/>
      <c r="AY195" s="3954"/>
      <c r="AZ195" s="3954"/>
      <c r="BA195" s="3954"/>
      <c r="BB195" s="3954"/>
      <c r="BC195" s="3955"/>
      <c r="BD195" s="3956"/>
      <c r="BE195" s="3956"/>
      <c r="BF195" s="3956"/>
      <c r="BG195" s="3955"/>
      <c r="BH195" s="3956"/>
      <c r="BI195" s="3956"/>
      <c r="BJ195" s="3956"/>
      <c r="BK195" s="3957"/>
      <c r="BL195" s="3954"/>
      <c r="BM195" s="3954"/>
      <c r="BN195" s="3954"/>
      <c r="BO195" s="3957"/>
      <c r="BP195" s="3954"/>
      <c r="BQ195" s="3954"/>
      <c r="BR195" s="3958"/>
      <c r="BS195" s="3957"/>
      <c r="BT195" s="3954"/>
      <c r="BU195" s="3954"/>
      <c r="BV195" s="3954"/>
      <c r="BW195" s="3957"/>
      <c r="BX195" s="3954"/>
      <c r="BY195" s="3954"/>
      <c r="BZ195" s="3958"/>
      <c r="CA195" s="3957"/>
      <c r="CB195" s="3954"/>
      <c r="CC195" s="3954"/>
      <c r="CD195" s="3958"/>
      <c r="CE195" s="3954"/>
      <c r="CF195" s="3954"/>
      <c r="CG195" s="3954"/>
      <c r="CH195" s="3958"/>
      <c r="CI195" s="3954"/>
      <c r="CJ195" s="3954"/>
      <c r="CK195" s="3954"/>
      <c r="CL195" s="3958"/>
      <c r="CM195" s="3954"/>
      <c r="CN195" s="3954"/>
      <c r="CO195" s="3954"/>
      <c r="CP195" s="3958"/>
      <c r="CQ195" s="3957"/>
      <c r="CR195" s="3954"/>
      <c r="CS195" s="3954"/>
      <c r="CT195" s="3958"/>
    </row>
    <row r="196" spans="1:98" hidden="1" outlineLevel="2">
      <c r="A196" s="3959" t="s">
        <v>790</v>
      </c>
      <c r="B196" s="3960"/>
      <c r="C196" s="3960"/>
      <c r="D196" s="3960"/>
      <c r="E196" s="3960"/>
      <c r="F196" s="3960"/>
      <c r="G196" s="3960"/>
      <c r="H196" s="3960"/>
      <c r="I196" s="3960"/>
      <c r="J196" s="3960"/>
      <c r="K196" s="3960"/>
      <c r="L196" s="150"/>
      <c r="M196" s="3876" t="s">
        <v>1091</v>
      </c>
      <c r="N196" s="150"/>
      <c r="O196" s="150"/>
      <c r="P196" s="3960"/>
      <c r="Q196" s="3960"/>
      <c r="R196" s="3960"/>
      <c r="S196" s="3960"/>
      <c r="T196" s="3960"/>
      <c r="U196" s="3960"/>
      <c r="V196" s="3960"/>
      <c r="W196" s="3960"/>
      <c r="X196" s="3960"/>
      <c r="Y196" s="3960"/>
      <c r="Z196" s="3960"/>
      <c r="AA196" s="3960"/>
      <c r="AB196" s="3960"/>
      <c r="AC196" s="3960"/>
      <c r="AD196" s="3960"/>
      <c r="AE196" s="3960"/>
      <c r="AF196" s="3960"/>
      <c r="AG196" s="3920"/>
      <c r="AH196" s="3921"/>
      <c r="AI196" s="3960"/>
      <c r="AJ196" s="3960"/>
      <c r="AK196" s="3960"/>
      <c r="AL196" s="3960"/>
      <c r="AM196" s="3960"/>
      <c r="AN196" s="3960"/>
      <c r="AO196" s="3960"/>
      <c r="AP196" s="3960"/>
      <c r="AQ196" s="3960"/>
      <c r="AR196" s="3960"/>
      <c r="AS196" s="3960"/>
      <c r="AT196" s="3960"/>
      <c r="AU196" s="3960"/>
      <c r="AV196" s="3960"/>
      <c r="AW196" s="3960"/>
      <c r="AX196" s="3960"/>
      <c r="AY196" s="3960"/>
      <c r="AZ196" s="3960"/>
      <c r="BA196" s="3960"/>
      <c r="BB196" s="3960"/>
      <c r="BC196" s="3961"/>
      <c r="BD196" s="3962"/>
      <c r="BE196" s="3962"/>
      <c r="BF196" s="3962"/>
      <c r="BG196" s="3961"/>
      <c r="BH196" s="3962"/>
      <c r="BI196" s="3962"/>
      <c r="BJ196" s="3962"/>
      <c r="BK196" s="3959"/>
      <c r="BL196" s="3960"/>
      <c r="BM196" s="3960"/>
      <c r="BN196" s="3960"/>
      <c r="BO196" s="3933" t="s">
        <v>1090</v>
      </c>
      <c r="BP196" s="3995"/>
      <c r="BQ196" s="3995"/>
      <c r="BR196" s="3996"/>
      <c r="BS196" s="3997"/>
      <c r="BT196" s="3995"/>
      <c r="BU196" s="3995"/>
      <c r="BV196" s="3995"/>
      <c r="BW196" s="3997"/>
      <c r="BX196" s="3995"/>
      <c r="BY196" s="3995"/>
      <c r="BZ196" s="3996"/>
      <c r="CA196" s="3997"/>
      <c r="CB196" s="3995"/>
      <c r="CC196" s="3995"/>
      <c r="CD196" s="3996"/>
      <c r="CE196" s="3960"/>
      <c r="CF196" s="3995"/>
      <c r="CG196" s="3995"/>
      <c r="CH196" s="3996"/>
      <c r="CI196" s="3995"/>
      <c r="CJ196" s="3995"/>
      <c r="CK196" s="3995"/>
      <c r="CL196" s="3996"/>
      <c r="CM196" s="3960"/>
      <c r="CN196" s="3995"/>
      <c r="CO196" s="3995"/>
      <c r="CP196" s="3996"/>
      <c r="CQ196" s="3959"/>
      <c r="CR196" s="3960"/>
      <c r="CS196" s="3960"/>
      <c r="CT196" s="3963"/>
    </row>
    <row r="197" spans="1:98" hidden="1" outlineLevel="2">
      <c r="A197" s="2066" t="s">
        <v>659</v>
      </c>
      <c r="B197" s="114"/>
      <c r="C197" s="114"/>
      <c r="D197" s="114"/>
      <c r="E197" s="114"/>
      <c r="F197" s="114"/>
      <c r="G197" s="114"/>
      <c r="H197" s="114"/>
      <c r="I197" s="114"/>
      <c r="J197" s="114"/>
      <c r="K197" s="114"/>
      <c r="L197" s="150"/>
      <c r="M197" s="2304">
        <f>+SUM(BO197:BR197)</f>
        <v>2290</v>
      </c>
      <c r="N197" s="150">
        <f>+SUM(BS197:BV197)</f>
        <v>2359</v>
      </c>
      <c r="O197" s="150">
        <f>+SUM(BW197:BZ197)</f>
        <v>2511</v>
      </c>
      <c r="P197" s="2033">
        <f>SUM(CA197:CD197)</f>
        <v>2677.64</v>
      </c>
      <c r="Q197" s="2033">
        <f>SUM(CE197:CH197)</f>
        <v>2851.6865999999995</v>
      </c>
      <c r="R197" s="2033">
        <f>SUM(CF197:CI197)</f>
        <v>2897.0289749999997</v>
      </c>
      <c r="S197" s="2033"/>
      <c r="T197" s="2033"/>
      <c r="U197" s="150"/>
      <c r="V197" s="150"/>
      <c r="W197" s="150"/>
      <c r="X197" s="150"/>
      <c r="Y197" s="150"/>
      <c r="Z197" s="150"/>
      <c r="AA197" s="150"/>
      <c r="AB197" s="150"/>
      <c r="AC197" s="150"/>
      <c r="AD197" s="150"/>
      <c r="AE197" s="150"/>
      <c r="AF197" s="150"/>
      <c r="AG197" s="2553"/>
      <c r="AH197" s="2714"/>
      <c r="AI197" s="114"/>
      <c r="AJ197" s="114"/>
      <c r="AK197" s="114"/>
      <c r="AL197" s="114"/>
      <c r="AM197" s="114"/>
      <c r="AN197" s="114"/>
      <c r="AO197" s="114"/>
      <c r="AP197" s="114"/>
      <c r="AQ197" s="114"/>
      <c r="AR197" s="114"/>
      <c r="AS197" s="114"/>
      <c r="AT197" s="114"/>
      <c r="AU197" s="114"/>
      <c r="AV197" s="114"/>
      <c r="AW197" s="114"/>
      <c r="AX197" s="114"/>
      <c r="AY197" s="114"/>
      <c r="AZ197" s="114"/>
      <c r="BA197" s="114"/>
      <c r="BB197" s="114"/>
      <c r="BC197" s="2050"/>
      <c r="BD197" s="2067"/>
      <c r="BE197" s="2067"/>
      <c r="BF197" s="2067"/>
      <c r="BG197" s="2050"/>
      <c r="BH197" s="2067"/>
      <c r="BI197" s="2067"/>
      <c r="BJ197" s="2067"/>
      <c r="BK197" s="2045"/>
      <c r="BL197" s="2047"/>
      <c r="BM197" s="2047"/>
      <c r="BN197" s="2047"/>
      <c r="BO197" s="2301">
        <v>572</v>
      </c>
      <c r="BP197" s="2302">
        <v>578</v>
      </c>
      <c r="BQ197" s="2302">
        <v>567</v>
      </c>
      <c r="BR197" s="2303">
        <v>573</v>
      </c>
      <c r="BS197" s="2045">
        <v>573</v>
      </c>
      <c r="BT197" s="2047">
        <v>587</v>
      </c>
      <c r="BU197" s="2047">
        <v>600</v>
      </c>
      <c r="BV197" s="2047">
        <v>599</v>
      </c>
      <c r="BW197" s="2045">
        <v>614</v>
      </c>
      <c r="BX197" s="2047">
        <v>615</v>
      </c>
      <c r="BY197" s="2047">
        <v>638</v>
      </c>
      <c r="BZ197" s="2046">
        <v>644</v>
      </c>
      <c r="CA197" s="2045">
        <v>655</v>
      </c>
      <c r="CB197" s="2047">
        <v>663</v>
      </c>
      <c r="CC197" s="2047">
        <v>677</v>
      </c>
      <c r="CD197" s="2046">
        <f t="shared" ref="CD197:CL197" si="461">+BZ197*(1+CD198)</f>
        <v>682.64</v>
      </c>
      <c r="CE197" s="150">
        <f t="shared" si="461"/>
        <v>697.57499999999993</v>
      </c>
      <c r="CF197" s="2047">
        <f t="shared" si="461"/>
        <v>706.09499999999991</v>
      </c>
      <c r="CG197" s="2047">
        <f t="shared" si="461"/>
        <v>721.005</v>
      </c>
      <c r="CH197" s="2046">
        <f t="shared" si="461"/>
        <v>727.01159999999993</v>
      </c>
      <c r="CI197" s="2047">
        <f t="shared" si="461"/>
        <v>742.91737499999988</v>
      </c>
      <c r="CJ197" s="2047">
        <f t="shared" si="461"/>
        <v>751.99117499999988</v>
      </c>
      <c r="CK197" s="2047">
        <f t="shared" si="461"/>
        <v>767.87032499999998</v>
      </c>
      <c r="CL197" s="2046">
        <f t="shared" si="461"/>
        <v>774.26735399999984</v>
      </c>
      <c r="CM197" s="150"/>
      <c r="CN197" s="2047"/>
      <c r="CO197" s="2047"/>
      <c r="CP197" s="2046"/>
      <c r="CQ197" s="139"/>
      <c r="CR197" s="150"/>
      <c r="CS197" s="150"/>
      <c r="CT197" s="360"/>
    </row>
    <row r="198" spans="1:98" hidden="1" outlineLevel="2">
      <c r="A198" s="3965" t="s">
        <v>34</v>
      </c>
      <c r="B198" s="3960"/>
      <c r="C198" s="3960"/>
      <c r="D198" s="3960"/>
      <c r="E198" s="3960"/>
      <c r="F198" s="3960"/>
      <c r="G198" s="3960"/>
      <c r="H198" s="3960"/>
      <c r="I198" s="3960"/>
      <c r="J198" s="3960"/>
      <c r="K198" s="3960"/>
      <c r="L198" s="3960"/>
      <c r="M198" s="3966"/>
      <c r="N198" s="3939" t="s">
        <v>1089</v>
      </c>
      <c r="O198" s="3966">
        <f>+O197/N197-1</f>
        <v>6.4434082238236545E-2</v>
      </c>
      <c r="P198" s="3966">
        <f>+P197/O197-1</f>
        <v>6.6363998407009017E-2</v>
      </c>
      <c r="Q198" s="3966">
        <f>+Q197/P197-1</f>
        <v>6.4999999999999947E-2</v>
      </c>
      <c r="R198" s="3966">
        <f>+R197/Q197-1</f>
        <v>1.5900195694716235E-2</v>
      </c>
      <c r="S198" s="3966"/>
      <c r="T198" s="3966"/>
      <c r="U198" s="2068"/>
      <c r="V198" s="2068"/>
      <c r="W198" s="2068"/>
      <c r="X198" s="2068"/>
      <c r="Y198" s="2068"/>
      <c r="Z198" s="2068"/>
      <c r="AA198" s="2068"/>
      <c r="AB198" s="2068"/>
      <c r="AC198" s="2068"/>
      <c r="AD198" s="2068"/>
      <c r="AE198" s="2068"/>
      <c r="AF198" s="2068"/>
      <c r="AG198" s="3920"/>
      <c r="AH198" s="3921"/>
      <c r="AI198" s="3960"/>
      <c r="AJ198" s="3960"/>
      <c r="AK198" s="3960"/>
      <c r="AL198" s="3960"/>
      <c r="AM198" s="3960"/>
      <c r="AN198" s="3960"/>
      <c r="AO198" s="3960"/>
      <c r="AP198" s="3960"/>
      <c r="AQ198" s="3960"/>
      <c r="AR198" s="3960"/>
      <c r="AS198" s="3960"/>
      <c r="AT198" s="3960"/>
      <c r="AU198" s="3960"/>
      <c r="AV198" s="3960"/>
      <c r="AW198" s="3960"/>
      <c r="AX198" s="3960"/>
      <c r="AY198" s="3960"/>
      <c r="AZ198" s="3960"/>
      <c r="BA198" s="3960"/>
      <c r="BB198" s="3960"/>
      <c r="BC198" s="3961"/>
      <c r="BD198" s="3962"/>
      <c r="BE198" s="3962"/>
      <c r="BF198" s="3962"/>
      <c r="BG198" s="3961"/>
      <c r="BH198" s="3962"/>
      <c r="BI198" s="3962"/>
      <c r="BJ198" s="3962"/>
      <c r="BK198" s="3971"/>
      <c r="BL198" s="3967"/>
      <c r="BM198" s="3967"/>
      <c r="BN198" s="3967"/>
      <c r="BO198" s="3968"/>
      <c r="BP198" s="3969"/>
      <c r="BQ198" s="3969"/>
      <c r="BR198" s="3970"/>
      <c r="BS198" s="3968" t="s">
        <v>1089</v>
      </c>
      <c r="BT198" s="3969" t="s">
        <v>1089</v>
      </c>
      <c r="BU198" s="3969" t="s">
        <v>1089</v>
      </c>
      <c r="BV198" s="3969" t="s">
        <v>1089</v>
      </c>
      <c r="BW198" s="3971">
        <f t="shared" ref="BW198:CC198" si="462">+BW197/BS197-1</f>
        <v>7.1553228621291431E-2</v>
      </c>
      <c r="BX198" s="3967">
        <f t="shared" si="462"/>
        <v>4.7700170357751315E-2</v>
      </c>
      <c r="BY198" s="3967">
        <f t="shared" si="462"/>
        <v>6.3333333333333242E-2</v>
      </c>
      <c r="BZ198" s="3972">
        <f t="shared" si="462"/>
        <v>7.5125208681135147E-2</v>
      </c>
      <c r="CA198" s="3971">
        <f t="shared" si="462"/>
        <v>6.6775244299674297E-2</v>
      </c>
      <c r="CB198" s="3967">
        <f t="shared" si="462"/>
        <v>7.8048780487804947E-2</v>
      </c>
      <c r="CC198" s="3967">
        <f t="shared" si="462"/>
        <v>6.1128526645767955E-2</v>
      </c>
      <c r="CD198" s="3972">
        <v>0.06</v>
      </c>
      <c r="CE198" s="355">
        <v>6.5000000000000002E-2</v>
      </c>
      <c r="CF198" s="3967">
        <v>6.5000000000000002E-2</v>
      </c>
      <c r="CG198" s="3967">
        <v>6.5000000000000002E-2</v>
      </c>
      <c r="CH198" s="3972">
        <v>6.5000000000000002E-2</v>
      </c>
      <c r="CI198" s="3967">
        <v>6.5000000000000002E-2</v>
      </c>
      <c r="CJ198" s="3967">
        <v>6.5000000000000002E-2</v>
      </c>
      <c r="CK198" s="3967">
        <v>6.5000000000000002E-2</v>
      </c>
      <c r="CL198" s="3972">
        <v>6.5000000000000002E-2</v>
      </c>
      <c r="CM198" s="355"/>
      <c r="CN198" s="3967"/>
      <c r="CO198" s="3967"/>
      <c r="CP198" s="3972"/>
      <c r="CQ198" s="3828"/>
      <c r="CR198" s="355"/>
      <c r="CS198" s="355"/>
      <c r="CT198" s="2049"/>
    </row>
    <row r="199" spans="1:98" hidden="1" outlineLevel="2">
      <c r="A199" s="3965" t="s">
        <v>947</v>
      </c>
      <c r="B199" s="3960"/>
      <c r="C199" s="3960"/>
      <c r="D199" s="3960"/>
      <c r="E199" s="3960"/>
      <c r="F199" s="3960"/>
      <c r="G199" s="3960"/>
      <c r="H199" s="3960"/>
      <c r="I199" s="3960"/>
      <c r="J199" s="3960"/>
      <c r="K199" s="3960"/>
      <c r="L199" s="3960"/>
      <c r="M199" s="3960"/>
      <c r="N199" s="3960"/>
      <c r="O199" s="3960"/>
      <c r="P199" s="3960"/>
      <c r="Q199" s="3960"/>
      <c r="R199" s="3960"/>
      <c r="S199" s="3960"/>
      <c r="T199" s="3960"/>
      <c r="U199" s="3960"/>
      <c r="V199" s="3960"/>
      <c r="W199" s="3960"/>
      <c r="X199" s="3960"/>
      <c r="Y199" s="3960"/>
      <c r="Z199" s="3960"/>
      <c r="AA199" s="3960"/>
      <c r="AB199" s="3960"/>
      <c r="AC199" s="3960"/>
      <c r="AD199" s="3960"/>
      <c r="AE199" s="3960"/>
      <c r="AF199" s="3960"/>
      <c r="AG199" s="3920"/>
      <c r="AH199" s="3921"/>
      <c r="AI199" s="3960"/>
      <c r="AJ199" s="3960"/>
      <c r="AK199" s="3960"/>
      <c r="AL199" s="3960"/>
      <c r="AM199" s="3960"/>
      <c r="AN199" s="3960"/>
      <c r="AO199" s="3960"/>
      <c r="AP199" s="3960"/>
      <c r="AQ199" s="3960"/>
      <c r="AR199" s="3960"/>
      <c r="AS199" s="3960"/>
      <c r="AT199" s="3960"/>
      <c r="AU199" s="3960"/>
      <c r="AV199" s="3960"/>
      <c r="AW199" s="3960"/>
      <c r="AX199" s="3960"/>
      <c r="AY199" s="3960"/>
      <c r="AZ199" s="3960"/>
      <c r="BA199" s="3960"/>
      <c r="BB199" s="3960"/>
      <c r="BC199" s="3961"/>
      <c r="BD199" s="3962"/>
      <c r="BE199" s="3962"/>
      <c r="BF199" s="3962"/>
      <c r="BG199" s="3961"/>
      <c r="BH199" s="3962"/>
      <c r="BI199" s="3962"/>
      <c r="BJ199" s="3962"/>
      <c r="BK199" s="3975"/>
      <c r="BL199" s="3966"/>
      <c r="BM199" s="3966"/>
      <c r="BN199" s="3966"/>
      <c r="BO199" s="3974"/>
      <c r="BP199" s="3966">
        <f>+BP197/BO197-1</f>
        <v>1.0489510489510412E-2</v>
      </c>
      <c r="BQ199" s="3966">
        <f>+BQ197/BP197-1</f>
        <v>-1.9031141868512069E-2</v>
      </c>
      <c r="BR199" s="3973">
        <f>+BR197/BQ197-1</f>
        <v>1.0582010582010692E-2</v>
      </c>
      <c r="BS199" s="3974" t="s">
        <v>1089</v>
      </c>
      <c r="BT199" s="3966">
        <f>+BT197/BS197-1</f>
        <v>2.4432809773123898E-2</v>
      </c>
      <c r="BU199" s="3966">
        <f t="shared" ref="BU199:CC199" si="463">+BU197/BT197-1</f>
        <v>2.2146507666098714E-2</v>
      </c>
      <c r="BV199" s="3966">
        <f t="shared" si="463"/>
        <v>-1.6666666666667052E-3</v>
      </c>
      <c r="BW199" s="3975">
        <f t="shared" si="463"/>
        <v>2.5041736227044975E-2</v>
      </c>
      <c r="BX199" s="3966">
        <f t="shared" si="463"/>
        <v>1.6286644951140072E-3</v>
      </c>
      <c r="BY199" s="3966">
        <f t="shared" si="463"/>
        <v>3.7398373983739797E-2</v>
      </c>
      <c r="BZ199" s="3973">
        <f t="shared" si="463"/>
        <v>9.4043887147334804E-3</v>
      </c>
      <c r="CA199" s="3975">
        <f t="shared" si="463"/>
        <v>1.7080745341614856E-2</v>
      </c>
      <c r="CB199" s="3966">
        <f t="shared" si="463"/>
        <v>1.2213740458015376E-2</v>
      </c>
      <c r="CC199" s="3966">
        <f t="shared" si="463"/>
        <v>2.1116138763197512E-2</v>
      </c>
      <c r="CD199" s="3973">
        <f t="shared" ref="CD199:CL199" si="464">+CD197/CC197-1</f>
        <v>8.3308714918759463E-3</v>
      </c>
      <c r="CE199" s="3966">
        <f t="shared" si="464"/>
        <v>2.1878296027188382E-2</v>
      </c>
      <c r="CF199" s="3966">
        <f t="shared" si="464"/>
        <v>1.2213740458015154E-2</v>
      </c>
      <c r="CG199" s="3966">
        <f t="shared" si="464"/>
        <v>2.1116138763197734E-2</v>
      </c>
      <c r="CH199" s="3973">
        <f t="shared" si="464"/>
        <v>8.3308714918757243E-3</v>
      </c>
      <c r="CI199" s="3966">
        <f t="shared" si="464"/>
        <v>2.1878296027188604E-2</v>
      </c>
      <c r="CJ199" s="3966">
        <f t="shared" si="464"/>
        <v>1.2213740458015376E-2</v>
      </c>
      <c r="CK199" s="3966">
        <f t="shared" si="464"/>
        <v>2.1116138763197734E-2</v>
      </c>
      <c r="CL199" s="3973">
        <f t="shared" si="464"/>
        <v>8.3308714918757243E-3</v>
      </c>
      <c r="CM199" s="3966"/>
      <c r="CN199" s="3966"/>
      <c r="CO199" s="3966"/>
      <c r="CP199" s="3973"/>
      <c r="CQ199" s="3975"/>
      <c r="CR199" s="3966"/>
      <c r="CS199" s="3966"/>
      <c r="CT199" s="3973"/>
    </row>
    <row r="200" spans="1:98" hidden="1" outlineLevel="2">
      <c r="A200" s="3965" t="s">
        <v>948</v>
      </c>
      <c r="B200" s="3960"/>
      <c r="C200" s="3960"/>
      <c r="D200" s="3960"/>
      <c r="E200" s="3960"/>
      <c r="F200" s="3960"/>
      <c r="G200" s="3960"/>
      <c r="H200" s="3960"/>
      <c r="I200" s="3960"/>
      <c r="J200" s="3960"/>
      <c r="K200" s="3960"/>
      <c r="L200" s="3967"/>
      <c r="M200" s="3967">
        <f t="shared" ref="M200:R200" si="465">+M197/M$139</f>
        <v>0.28610694652673663</v>
      </c>
      <c r="N200" s="3967">
        <f t="shared" si="465"/>
        <v>0.2799003322259136</v>
      </c>
      <c r="O200" s="3967">
        <f t="shared" si="465"/>
        <v>0.28459707582454946</v>
      </c>
      <c r="P200" s="3967">
        <f t="shared" si="465"/>
        <v>0.3435073765234124</v>
      </c>
      <c r="Q200" s="3967">
        <f t="shared" si="465"/>
        <v>0.36668208820882081</v>
      </c>
      <c r="R200" s="3967">
        <f t="shared" si="465"/>
        <v>0.35774623055075322</v>
      </c>
      <c r="S200" s="3967"/>
      <c r="T200" s="3967"/>
      <c r="U200" s="3967"/>
      <c r="V200" s="3967"/>
      <c r="W200" s="3967"/>
      <c r="X200" s="3967"/>
      <c r="Y200" s="3967"/>
      <c r="Z200" s="3967"/>
      <c r="AA200" s="3967"/>
      <c r="AB200" s="3967"/>
      <c r="AC200" s="3967"/>
      <c r="AD200" s="3967"/>
      <c r="AE200" s="3967"/>
      <c r="AF200" s="3967"/>
      <c r="AG200" s="3920"/>
      <c r="AH200" s="3921"/>
      <c r="AI200" s="3960"/>
      <c r="AJ200" s="3960"/>
      <c r="AK200" s="3960"/>
      <c r="AL200" s="3960"/>
      <c r="AM200" s="3960"/>
      <c r="AN200" s="3960"/>
      <c r="AO200" s="3960"/>
      <c r="AP200" s="3960"/>
      <c r="AQ200" s="3960"/>
      <c r="AR200" s="3960"/>
      <c r="AS200" s="3960"/>
      <c r="AT200" s="3960"/>
      <c r="AU200" s="3960"/>
      <c r="AV200" s="3960"/>
      <c r="AW200" s="3960"/>
      <c r="AX200" s="3960"/>
      <c r="AY200" s="3960"/>
      <c r="AZ200" s="3960"/>
      <c r="BA200" s="3960"/>
      <c r="BB200" s="3960"/>
      <c r="BC200" s="3961"/>
      <c r="BD200" s="3962"/>
      <c r="BE200" s="3962"/>
      <c r="BF200" s="3962"/>
      <c r="BG200" s="3961"/>
      <c r="BH200" s="3962"/>
      <c r="BI200" s="3962"/>
      <c r="BJ200" s="3962"/>
      <c r="BK200" s="3971"/>
      <c r="BL200" s="3967"/>
      <c r="BM200" s="3967"/>
      <c r="BN200" s="3967"/>
      <c r="BO200" s="3971">
        <f t="shared" ref="BO200:CD200" si="466">+BO197/BO$139</f>
        <v>0.28830645161290325</v>
      </c>
      <c r="BP200" s="3967">
        <f t="shared" si="466"/>
        <v>0.29030637870416875</v>
      </c>
      <c r="BQ200" s="3967">
        <f t="shared" si="466"/>
        <v>0.28406813627254507</v>
      </c>
      <c r="BR200" s="3972">
        <f t="shared" si="466"/>
        <v>0.28184948352188882</v>
      </c>
      <c r="BS200" s="3971">
        <f t="shared" si="466"/>
        <v>0.27681159420289853</v>
      </c>
      <c r="BT200" s="3967">
        <f t="shared" si="466"/>
        <v>0.28032473734479463</v>
      </c>
      <c r="BU200" s="3967">
        <f t="shared" si="466"/>
        <v>0.28315243039169419</v>
      </c>
      <c r="BV200" s="3967">
        <f t="shared" si="466"/>
        <v>0.27925407925407925</v>
      </c>
      <c r="BW200" s="3971">
        <f t="shared" si="466"/>
        <v>0.28373382624768945</v>
      </c>
      <c r="BX200" s="3967">
        <f t="shared" si="466"/>
        <v>0.28133577310155533</v>
      </c>
      <c r="BY200" s="3967">
        <f t="shared" si="466"/>
        <v>0.2884267631103074</v>
      </c>
      <c r="BZ200" s="3972">
        <f t="shared" si="466"/>
        <v>0.28482972136222912</v>
      </c>
      <c r="CA200" s="3971">
        <f>+CA197/CA$139</f>
        <v>0.28841919859092913</v>
      </c>
      <c r="CB200" s="3967">
        <f>+CB197/CB$139</f>
        <v>0.36549062844542446</v>
      </c>
      <c r="CC200" s="3967">
        <f>+CC197/CC$139</f>
        <v>0.36693766937669375</v>
      </c>
      <c r="CD200" s="3972">
        <f t="shared" si="466"/>
        <v>0.36602680965147455</v>
      </c>
      <c r="CE200" s="3967">
        <f t="shared" ref="CE200:CL200" si="467">+CE197/CE$139</f>
        <v>0.36656594850236462</v>
      </c>
      <c r="CF200" s="3967">
        <f t="shared" si="467"/>
        <v>0.36604199066874021</v>
      </c>
      <c r="CG200" s="3967">
        <f t="shared" si="467"/>
        <v>0.37146058732612053</v>
      </c>
      <c r="CH200" s="3972">
        <f t="shared" si="467"/>
        <v>0.36278023952095806</v>
      </c>
      <c r="CI200" s="3967">
        <f t="shared" si="467"/>
        <v>0.37127305097451269</v>
      </c>
      <c r="CJ200" s="3967">
        <f t="shared" si="467"/>
        <v>0.36826208374142994</v>
      </c>
      <c r="CK200" s="3967">
        <f t="shared" si="467"/>
        <v>0.37882107794770598</v>
      </c>
      <c r="CL200" s="3972">
        <f t="shared" si="467"/>
        <v>0.38178863609467451</v>
      </c>
      <c r="CM200" s="3967"/>
      <c r="CN200" s="3967"/>
      <c r="CO200" s="3967"/>
      <c r="CP200" s="3972"/>
      <c r="CQ200" s="3971"/>
      <c r="CR200" s="3967"/>
      <c r="CS200" s="3967"/>
      <c r="CT200" s="3972"/>
    </row>
    <row r="201" spans="1:98" hidden="1" outlineLevel="2">
      <c r="A201" s="2066" t="s">
        <v>658</v>
      </c>
      <c r="B201" s="114"/>
      <c r="C201" s="114"/>
      <c r="D201" s="114"/>
      <c r="E201" s="114"/>
      <c r="F201" s="114"/>
      <c r="G201" s="114"/>
      <c r="H201" s="114"/>
      <c r="I201" s="114"/>
      <c r="J201" s="114"/>
      <c r="K201" s="114"/>
      <c r="L201" s="150"/>
      <c r="M201" s="2304">
        <f>+SUM(BO201:BR201)</f>
        <v>3328</v>
      </c>
      <c r="N201" s="150">
        <f>+SUM(BS201:BV201)</f>
        <v>3111</v>
      </c>
      <c r="O201" s="150">
        <f>+SUM(BW201:BZ201)</f>
        <v>2975</v>
      </c>
      <c r="P201" s="2033">
        <f>SUM(CA201:CD201)</f>
        <v>2869.65</v>
      </c>
      <c r="Q201" s="2033">
        <f>SUM(CE201:CH201)</f>
        <v>2797.9087499999996</v>
      </c>
      <c r="R201" s="2033">
        <f>SUM(CF201:CI201)</f>
        <v>2780.0906250000003</v>
      </c>
      <c r="S201" s="2033"/>
      <c r="T201" s="2033"/>
      <c r="U201" s="150"/>
      <c r="V201" s="150"/>
      <c r="W201" s="150"/>
      <c r="X201" s="150"/>
      <c r="Y201" s="150"/>
      <c r="Z201" s="150"/>
      <c r="AA201" s="150"/>
      <c r="AB201" s="150"/>
      <c r="AC201" s="150"/>
      <c r="AD201" s="150"/>
      <c r="AE201" s="150"/>
      <c r="AF201" s="150"/>
      <c r="AG201" s="2553"/>
      <c r="AH201" s="2714"/>
      <c r="AI201" s="114"/>
      <c r="AJ201" s="114"/>
      <c r="AK201" s="114"/>
      <c r="AL201" s="114"/>
      <c r="AM201" s="114"/>
      <c r="AN201" s="114"/>
      <c r="AO201" s="114"/>
      <c r="AP201" s="114"/>
      <c r="AQ201" s="114"/>
      <c r="AR201" s="114"/>
      <c r="AS201" s="114"/>
      <c r="AT201" s="114"/>
      <c r="AU201" s="114"/>
      <c r="AV201" s="114"/>
      <c r="AW201" s="114"/>
      <c r="AX201" s="114"/>
      <c r="AY201" s="114"/>
      <c r="AZ201" s="114"/>
      <c r="BA201" s="114"/>
      <c r="BB201" s="114"/>
      <c r="BC201" s="2050"/>
      <c r="BD201" s="2067"/>
      <c r="BE201" s="2067"/>
      <c r="BF201" s="2067"/>
      <c r="BG201" s="2050"/>
      <c r="BH201" s="2067"/>
      <c r="BI201" s="2067"/>
      <c r="BJ201" s="2067"/>
      <c r="BK201" s="2045"/>
      <c r="BL201" s="2047"/>
      <c r="BM201" s="2047"/>
      <c r="BN201" s="2047"/>
      <c r="BO201" s="2301">
        <v>866</v>
      </c>
      <c r="BP201" s="2302">
        <v>853</v>
      </c>
      <c r="BQ201" s="2302">
        <v>813</v>
      </c>
      <c r="BR201" s="2303">
        <v>796</v>
      </c>
      <c r="BS201" s="2045">
        <v>792</v>
      </c>
      <c r="BT201" s="2047">
        <v>784</v>
      </c>
      <c r="BU201" s="2047">
        <v>774</v>
      </c>
      <c r="BV201" s="2047">
        <v>761</v>
      </c>
      <c r="BW201" s="2045">
        <v>753</v>
      </c>
      <c r="BX201" s="2047">
        <v>744</v>
      </c>
      <c r="BY201" s="2047">
        <v>744</v>
      </c>
      <c r="BZ201" s="2046">
        <v>734</v>
      </c>
      <c r="CA201" s="2045">
        <v>731</v>
      </c>
      <c r="CB201" s="2047">
        <v>715</v>
      </c>
      <c r="CC201" s="2047">
        <v>708</v>
      </c>
      <c r="CD201" s="2046">
        <f t="shared" ref="CD201:CL201" si="468">+BZ201*(1+CD202)</f>
        <v>715.65</v>
      </c>
      <c r="CE201" s="150">
        <f t="shared" si="468"/>
        <v>712.72500000000002</v>
      </c>
      <c r="CF201" s="2047">
        <f t="shared" si="468"/>
        <v>697.125</v>
      </c>
      <c r="CG201" s="2047">
        <f t="shared" si="468"/>
        <v>690.3</v>
      </c>
      <c r="CH201" s="2046">
        <f t="shared" si="468"/>
        <v>697.75874999999996</v>
      </c>
      <c r="CI201" s="2047">
        <f t="shared" si="468"/>
        <v>694.90687500000001</v>
      </c>
      <c r="CJ201" s="2047">
        <f t="shared" si="468"/>
        <v>679.69687499999998</v>
      </c>
      <c r="CK201" s="2047">
        <f t="shared" si="468"/>
        <v>673.0424999999999</v>
      </c>
      <c r="CL201" s="2046">
        <f t="shared" si="468"/>
        <v>680.3147812499999</v>
      </c>
      <c r="CM201" s="150"/>
      <c r="CN201" s="2047"/>
      <c r="CO201" s="2047"/>
      <c r="CP201" s="2046"/>
      <c r="CQ201" s="139"/>
      <c r="CR201" s="150"/>
      <c r="CS201" s="150"/>
      <c r="CT201" s="360"/>
    </row>
    <row r="202" spans="1:98" hidden="1" outlineLevel="2">
      <c r="A202" s="3965" t="s">
        <v>34</v>
      </c>
      <c r="B202" s="3960"/>
      <c r="C202" s="3960"/>
      <c r="D202" s="3960"/>
      <c r="E202" s="3960"/>
      <c r="F202" s="3960"/>
      <c r="G202" s="3960"/>
      <c r="H202" s="3960"/>
      <c r="I202" s="3960"/>
      <c r="J202" s="3960"/>
      <c r="K202" s="3960"/>
      <c r="L202" s="3960"/>
      <c r="M202" s="3966"/>
      <c r="N202" s="3939" t="s">
        <v>1089</v>
      </c>
      <c r="O202" s="3966">
        <f>+O201/N201-1</f>
        <v>-4.3715846994535568E-2</v>
      </c>
      <c r="P202" s="3966">
        <f>+P201/O201-1</f>
        <v>-3.5411764705882365E-2</v>
      </c>
      <c r="Q202" s="3966">
        <f>+Q201/P201-1</f>
        <v>-2.5000000000000133E-2</v>
      </c>
      <c r="R202" s="3966">
        <f>+R201/Q201-1</f>
        <v>-6.3683724496016447E-3</v>
      </c>
      <c r="S202" s="3966"/>
      <c r="T202" s="3966"/>
      <c r="U202" s="2068"/>
      <c r="V202" s="2068"/>
      <c r="W202" s="2068"/>
      <c r="X202" s="2068"/>
      <c r="Y202" s="2068"/>
      <c r="Z202" s="2068"/>
      <c r="AA202" s="2068"/>
      <c r="AB202" s="2068"/>
      <c r="AC202" s="2068"/>
      <c r="AD202" s="2068"/>
      <c r="AE202" s="2068"/>
      <c r="AF202" s="2068"/>
      <c r="AG202" s="3920"/>
      <c r="AH202" s="3921"/>
      <c r="AI202" s="3960"/>
      <c r="AJ202" s="3960"/>
      <c r="AK202" s="3960"/>
      <c r="AL202" s="3960"/>
      <c r="AM202" s="3960"/>
      <c r="AN202" s="3960"/>
      <c r="AO202" s="3960"/>
      <c r="AP202" s="3960"/>
      <c r="AQ202" s="3960"/>
      <c r="AR202" s="3960"/>
      <c r="AS202" s="3960"/>
      <c r="AT202" s="3960"/>
      <c r="AU202" s="3960"/>
      <c r="AV202" s="3960"/>
      <c r="AW202" s="3960"/>
      <c r="AX202" s="3960"/>
      <c r="AY202" s="3960"/>
      <c r="AZ202" s="3960"/>
      <c r="BA202" s="3960"/>
      <c r="BB202" s="3960"/>
      <c r="BC202" s="3961"/>
      <c r="BD202" s="3962"/>
      <c r="BE202" s="3962"/>
      <c r="BF202" s="3962"/>
      <c r="BG202" s="3961"/>
      <c r="BH202" s="3962"/>
      <c r="BI202" s="3962"/>
      <c r="BJ202" s="3962"/>
      <c r="BK202" s="3971"/>
      <c r="BL202" s="3967"/>
      <c r="BM202" s="3967"/>
      <c r="BN202" s="3967"/>
      <c r="BO202" s="3968"/>
      <c r="BP202" s="3969"/>
      <c r="BQ202" s="3969"/>
      <c r="BR202" s="3970"/>
      <c r="BS202" s="3968" t="s">
        <v>1089</v>
      </c>
      <c r="BT202" s="3969" t="s">
        <v>1089</v>
      </c>
      <c r="BU202" s="3969" t="s">
        <v>1089</v>
      </c>
      <c r="BV202" s="3969" t="s">
        <v>1089</v>
      </c>
      <c r="BW202" s="3971">
        <f t="shared" ref="BW202:CC202" si="469">+BW201/BS201-1</f>
        <v>-4.9242424242424199E-2</v>
      </c>
      <c r="BX202" s="3967">
        <f t="shared" si="469"/>
        <v>-5.1020408163265252E-2</v>
      </c>
      <c r="BY202" s="3967">
        <f t="shared" si="469"/>
        <v>-3.8759689922480578E-2</v>
      </c>
      <c r="BZ202" s="3972">
        <f t="shared" si="469"/>
        <v>-3.5479632063074917E-2</v>
      </c>
      <c r="CA202" s="3971">
        <f t="shared" si="469"/>
        <v>-2.921646746347939E-2</v>
      </c>
      <c r="CB202" s="3967">
        <f t="shared" si="469"/>
        <v>-3.8978494623655879E-2</v>
      </c>
      <c r="CC202" s="3967">
        <f t="shared" si="469"/>
        <v>-4.8387096774193505E-2</v>
      </c>
      <c r="CD202" s="3972">
        <v>-2.5000000000000001E-2</v>
      </c>
      <c r="CE202" s="355">
        <v>-2.5000000000000001E-2</v>
      </c>
      <c r="CF202" s="3967">
        <v>-2.5000000000000001E-2</v>
      </c>
      <c r="CG202" s="3967">
        <v>-2.5000000000000001E-2</v>
      </c>
      <c r="CH202" s="3972">
        <v>-2.5000000000000001E-2</v>
      </c>
      <c r="CI202" s="3967">
        <v>-2.5000000000000001E-2</v>
      </c>
      <c r="CJ202" s="3967">
        <v>-2.5000000000000001E-2</v>
      </c>
      <c r="CK202" s="3967">
        <v>-2.5000000000000001E-2</v>
      </c>
      <c r="CL202" s="3972">
        <v>-2.5000000000000001E-2</v>
      </c>
      <c r="CM202" s="355"/>
      <c r="CN202" s="3967"/>
      <c r="CO202" s="3967"/>
      <c r="CP202" s="3972"/>
      <c r="CQ202" s="3828"/>
      <c r="CR202" s="355"/>
      <c r="CS202" s="355"/>
      <c r="CT202" s="2049"/>
    </row>
    <row r="203" spans="1:98" hidden="1" outlineLevel="2">
      <c r="A203" s="3965" t="s">
        <v>947</v>
      </c>
      <c r="B203" s="3960"/>
      <c r="C203" s="3960"/>
      <c r="D203" s="3960"/>
      <c r="E203" s="3960"/>
      <c r="F203" s="3960"/>
      <c r="G203" s="3960"/>
      <c r="H203" s="3960"/>
      <c r="I203" s="3960"/>
      <c r="J203" s="3960"/>
      <c r="K203" s="3960"/>
      <c r="L203" s="3960"/>
      <c r="M203" s="3960"/>
      <c r="N203" s="3960"/>
      <c r="O203" s="3960"/>
      <c r="P203" s="3960"/>
      <c r="Q203" s="3960"/>
      <c r="R203" s="3960"/>
      <c r="S203" s="3960"/>
      <c r="T203" s="3960"/>
      <c r="U203" s="3960"/>
      <c r="V203" s="3960"/>
      <c r="W203" s="3960"/>
      <c r="X203" s="3960"/>
      <c r="Y203" s="3960"/>
      <c r="Z203" s="3960"/>
      <c r="AA203" s="3960"/>
      <c r="AB203" s="3960"/>
      <c r="AC203" s="3960"/>
      <c r="AD203" s="3960"/>
      <c r="AE203" s="3960"/>
      <c r="AF203" s="3960"/>
      <c r="AG203" s="3920"/>
      <c r="AH203" s="3921"/>
      <c r="AI203" s="3960"/>
      <c r="AJ203" s="3960"/>
      <c r="AK203" s="3960"/>
      <c r="AL203" s="3960"/>
      <c r="AM203" s="3960"/>
      <c r="AN203" s="3960"/>
      <c r="AO203" s="3960"/>
      <c r="AP203" s="3960"/>
      <c r="AQ203" s="3960"/>
      <c r="AR203" s="3960"/>
      <c r="AS203" s="3960"/>
      <c r="AT203" s="3960"/>
      <c r="AU203" s="3960"/>
      <c r="AV203" s="3960"/>
      <c r="AW203" s="3960"/>
      <c r="AX203" s="3960"/>
      <c r="AY203" s="3960"/>
      <c r="AZ203" s="3960"/>
      <c r="BA203" s="3960"/>
      <c r="BB203" s="3960"/>
      <c r="BC203" s="3961"/>
      <c r="BD203" s="3962"/>
      <c r="BE203" s="3962"/>
      <c r="BF203" s="3962"/>
      <c r="BG203" s="3961"/>
      <c r="BH203" s="3962"/>
      <c r="BI203" s="3962"/>
      <c r="BJ203" s="3962"/>
      <c r="BK203" s="3975"/>
      <c r="BL203" s="3966"/>
      <c r="BM203" s="3966"/>
      <c r="BN203" s="3966"/>
      <c r="BO203" s="3974"/>
      <c r="BP203" s="3966">
        <f>+BP201/BO201-1</f>
        <v>-1.5011547344110809E-2</v>
      </c>
      <c r="BQ203" s="3966">
        <f>+BQ201/BP201-1</f>
        <v>-4.6893317702227377E-2</v>
      </c>
      <c r="BR203" s="3973">
        <f>+BR201/BQ201-1</f>
        <v>-2.0910209102091071E-2</v>
      </c>
      <c r="BS203" s="3974" t="s">
        <v>1089</v>
      </c>
      <c r="BT203" s="3966">
        <f>+BT201/BS201-1</f>
        <v>-1.0101010101010055E-2</v>
      </c>
      <c r="BU203" s="3966">
        <f t="shared" ref="BU203:CC203" si="470">+BU201/BT201-1</f>
        <v>-1.2755102040816313E-2</v>
      </c>
      <c r="BV203" s="3966">
        <f t="shared" si="470"/>
        <v>-1.6795865633074891E-2</v>
      </c>
      <c r="BW203" s="3975">
        <f t="shared" si="470"/>
        <v>-1.0512483574244391E-2</v>
      </c>
      <c r="BX203" s="3966">
        <f t="shared" si="470"/>
        <v>-1.195219123505975E-2</v>
      </c>
      <c r="BY203" s="3966">
        <f t="shared" si="470"/>
        <v>0</v>
      </c>
      <c r="BZ203" s="3973">
        <f t="shared" si="470"/>
        <v>-1.3440860215053752E-2</v>
      </c>
      <c r="CA203" s="3975">
        <f t="shared" si="470"/>
        <v>-4.0871934604904681E-3</v>
      </c>
      <c r="CB203" s="3966">
        <f t="shared" si="470"/>
        <v>-2.188782489740082E-2</v>
      </c>
      <c r="CC203" s="3966">
        <f t="shared" si="470"/>
        <v>-9.7902097902098362E-3</v>
      </c>
      <c r="CD203" s="3973">
        <f t="shared" ref="CD203:CL203" si="471">+CD201/CC201-1</f>
        <v>1.0805084745762583E-2</v>
      </c>
      <c r="CE203" s="3966">
        <f t="shared" si="471"/>
        <v>-4.087193460490357E-3</v>
      </c>
      <c r="CF203" s="3966">
        <f t="shared" si="471"/>
        <v>-2.188782489740082E-2</v>
      </c>
      <c r="CG203" s="3966">
        <f t="shared" si="471"/>
        <v>-9.7902097902098362E-3</v>
      </c>
      <c r="CH203" s="3973">
        <f t="shared" si="471"/>
        <v>1.0805084745762805E-2</v>
      </c>
      <c r="CI203" s="3966">
        <f t="shared" si="471"/>
        <v>-4.087193460490357E-3</v>
      </c>
      <c r="CJ203" s="3966">
        <f t="shared" si="471"/>
        <v>-2.188782489740082E-2</v>
      </c>
      <c r="CK203" s="3966">
        <f t="shared" si="471"/>
        <v>-9.7902097902099472E-3</v>
      </c>
      <c r="CL203" s="3973">
        <f t="shared" si="471"/>
        <v>1.0805084745762805E-2</v>
      </c>
      <c r="CM203" s="3966"/>
      <c r="CN203" s="3966"/>
      <c r="CO203" s="3966"/>
      <c r="CP203" s="3973"/>
      <c r="CQ203" s="3975"/>
      <c r="CR203" s="3966"/>
      <c r="CS203" s="3966"/>
      <c r="CT203" s="3973"/>
    </row>
    <row r="204" spans="1:98" hidden="1" outlineLevel="2">
      <c r="A204" s="3965" t="s">
        <v>949</v>
      </c>
      <c r="B204" s="3960"/>
      <c r="C204" s="3960"/>
      <c r="D204" s="3960"/>
      <c r="E204" s="3960"/>
      <c r="F204" s="3960"/>
      <c r="G204" s="3960"/>
      <c r="H204" s="3960"/>
      <c r="I204" s="3960"/>
      <c r="J204" s="3960"/>
      <c r="K204" s="3960"/>
      <c r="L204" s="3960"/>
      <c r="M204" s="3960"/>
      <c r="N204" s="3960"/>
      <c r="O204" s="3960"/>
      <c r="P204" s="3960"/>
      <c r="Q204" s="3960"/>
      <c r="R204" s="3960"/>
      <c r="S204" s="3960"/>
      <c r="T204" s="3960"/>
      <c r="U204" s="3960"/>
      <c r="V204" s="3960"/>
      <c r="W204" s="3960"/>
      <c r="X204" s="3960"/>
      <c r="Y204" s="3960"/>
      <c r="Z204" s="3960"/>
      <c r="AA204" s="3960"/>
      <c r="AB204" s="3960"/>
      <c r="AC204" s="3960"/>
      <c r="AD204" s="3960"/>
      <c r="AE204" s="3960"/>
      <c r="AF204" s="3960"/>
      <c r="AG204" s="3920"/>
      <c r="AH204" s="3921"/>
      <c r="AI204" s="3960"/>
      <c r="AJ204" s="3960"/>
      <c r="AK204" s="3960"/>
      <c r="AL204" s="3960"/>
      <c r="AM204" s="3960"/>
      <c r="AN204" s="3960"/>
      <c r="AO204" s="3960"/>
      <c r="AP204" s="3960"/>
      <c r="AQ204" s="3960"/>
      <c r="AR204" s="3960"/>
      <c r="AS204" s="3960"/>
      <c r="AT204" s="3960"/>
      <c r="AU204" s="3960"/>
      <c r="AV204" s="3960"/>
      <c r="AW204" s="3960"/>
      <c r="AX204" s="3960"/>
      <c r="AY204" s="3960"/>
      <c r="AZ204" s="3960"/>
      <c r="BA204" s="3960"/>
      <c r="BB204" s="3960"/>
      <c r="BC204" s="3961"/>
      <c r="BD204" s="3962"/>
      <c r="BE204" s="3962"/>
      <c r="BF204" s="3962"/>
      <c r="BG204" s="3961"/>
      <c r="BH204" s="3962"/>
      <c r="BI204" s="3962"/>
      <c r="BJ204" s="3962"/>
      <c r="BK204" s="3971"/>
      <c r="BL204" s="3967"/>
      <c r="BM204" s="3967"/>
      <c r="BN204" s="3967"/>
      <c r="BO204" s="3971">
        <f t="shared" ref="BO204:CD204" si="472">+BO201/BO$143</f>
        <v>0.36929637526652453</v>
      </c>
      <c r="BP204" s="3967">
        <f t="shared" si="472"/>
        <v>0.37412280701754386</v>
      </c>
      <c r="BQ204" s="3967">
        <f t="shared" si="472"/>
        <v>0.36539325842696629</v>
      </c>
      <c r="BR204" s="3972">
        <f t="shared" si="472"/>
        <v>0.36547291092745637</v>
      </c>
      <c r="BS204" s="3971">
        <f t="shared" si="472"/>
        <v>0.37200563644903711</v>
      </c>
      <c r="BT204" s="3967">
        <f t="shared" si="472"/>
        <v>0.37656099903938522</v>
      </c>
      <c r="BU204" s="3967">
        <f t="shared" si="472"/>
        <v>0.38184509126788357</v>
      </c>
      <c r="BV204" s="3967">
        <f t="shared" si="472"/>
        <v>0.38376197680282398</v>
      </c>
      <c r="BW204" s="3971">
        <f t="shared" si="472"/>
        <v>0.38575819672131145</v>
      </c>
      <c r="BX204" s="3967">
        <f t="shared" si="472"/>
        <v>0.38689547581903277</v>
      </c>
      <c r="BY204" s="3967">
        <f t="shared" si="472"/>
        <v>0.39323467230443976</v>
      </c>
      <c r="BZ204" s="3972">
        <f t="shared" si="472"/>
        <v>0.39697133585722011</v>
      </c>
      <c r="CA204" s="3971">
        <f>+CA201/CA$143</f>
        <v>0.39749864056552475</v>
      </c>
      <c r="CB204" s="3967">
        <f>+CB201/CB$143</f>
        <v>0.31277340332458442</v>
      </c>
      <c r="CC204" s="3967">
        <f>+CC201/CC$143</f>
        <v>0.31706224809673084</v>
      </c>
      <c r="CD204" s="3972">
        <f t="shared" si="472"/>
        <v>0.32812929848693256</v>
      </c>
      <c r="CE204" s="3967">
        <f t="shared" ref="CE204:CL204" si="473">+CE201/CE$143</f>
        <v>0.33134588563458856</v>
      </c>
      <c r="CF204" s="3967">
        <f t="shared" si="473"/>
        <v>0.3337123025370991</v>
      </c>
      <c r="CG204" s="3967">
        <f t="shared" si="473"/>
        <v>0.33673170731707314</v>
      </c>
      <c r="CH204" s="3972">
        <f t="shared" si="473"/>
        <v>0.34474246541501974</v>
      </c>
      <c r="CI204" s="3967">
        <f t="shared" si="473"/>
        <v>0.35167351973684213</v>
      </c>
      <c r="CJ204" s="3967">
        <f t="shared" si="473"/>
        <v>0.35290595794392521</v>
      </c>
      <c r="CK204" s="3967">
        <f t="shared" si="473"/>
        <v>0.35648437499999996</v>
      </c>
      <c r="CL204" s="3972">
        <f t="shared" si="473"/>
        <v>0.37094590035441655</v>
      </c>
      <c r="CM204" s="3967"/>
      <c r="CN204" s="3967"/>
      <c r="CO204" s="3967"/>
      <c r="CP204" s="3972"/>
      <c r="CQ204" s="3971"/>
      <c r="CR204" s="3967"/>
      <c r="CS204" s="3967"/>
      <c r="CT204" s="3972"/>
    </row>
    <row r="205" spans="1:98" hidden="1" outlineLevel="2">
      <c r="A205" s="2066" t="s">
        <v>660</v>
      </c>
      <c r="B205" s="114"/>
      <c r="C205" s="114"/>
      <c r="D205" s="114"/>
      <c r="E205" s="114"/>
      <c r="F205" s="114"/>
      <c r="G205" s="114"/>
      <c r="H205" s="114"/>
      <c r="I205" s="114"/>
      <c r="J205" s="114"/>
      <c r="K205" s="114"/>
      <c r="L205" s="150"/>
      <c r="M205" s="150">
        <f>+SUM(BO205:BR205)</f>
        <v>649</v>
      </c>
      <c r="N205" s="150">
        <f>+SUM(BS205:BV205)</f>
        <v>665</v>
      </c>
      <c r="O205" s="150">
        <f>+SUM(BW205:BZ205)</f>
        <v>651</v>
      </c>
      <c r="P205" s="2033">
        <f>SUM(CA205:CD205)</f>
        <v>687.3</v>
      </c>
      <c r="Q205" s="2033">
        <f>SUM(CE205:CH205)</f>
        <v>618.57000000000005</v>
      </c>
      <c r="R205" s="2033">
        <f>SUM(CF205:CI205)</f>
        <v>603</v>
      </c>
      <c r="S205" s="2033"/>
      <c r="T205" s="2033"/>
      <c r="U205" s="150"/>
      <c r="V205" s="150"/>
      <c r="W205" s="150"/>
      <c r="X205" s="150"/>
      <c r="Y205" s="150"/>
      <c r="Z205" s="150"/>
      <c r="AA205" s="150"/>
      <c r="AB205" s="150"/>
      <c r="AC205" s="150"/>
      <c r="AD205" s="150"/>
      <c r="AE205" s="150"/>
      <c r="AF205" s="150"/>
      <c r="AG205" s="2553"/>
      <c r="AH205" s="2714"/>
      <c r="AI205" s="114"/>
      <c r="AJ205" s="114"/>
      <c r="AK205" s="114"/>
      <c r="AL205" s="114"/>
      <c r="AM205" s="114"/>
      <c r="AN205" s="114"/>
      <c r="AO205" s="114"/>
      <c r="AP205" s="114"/>
      <c r="AQ205" s="114"/>
      <c r="AR205" s="114"/>
      <c r="AS205" s="114"/>
      <c r="AT205" s="114"/>
      <c r="AU205" s="114"/>
      <c r="AV205" s="114"/>
      <c r="AW205" s="114"/>
      <c r="AX205" s="114"/>
      <c r="AY205" s="114"/>
      <c r="AZ205" s="114"/>
      <c r="BA205" s="114"/>
      <c r="BB205" s="114"/>
      <c r="BC205" s="2050"/>
      <c r="BD205" s="2067"/>
      <c r="BE205" s="2067"/>
      <c r="BF205" s="2067"/>
      <c r="BG205" s="2050"/>
      <c r="BH205" s="2067"/>
      <c r="BI205" s="2067"/>
      <c r="BJ205" s="2067"/>
      <c r="BK205" s="2045"/>
      <c r="BL205" s="2047"/>
      <c r="BM205" s="2047"/>
      <c r="BN205" s="2047"/>
      <c r="BO205" s="2045">
        <v>152</v>
      </c>
      <c r="BP205" s="2047">
        <v>149</v>
      </c>
      <c r="BQ205" s="2047">
        <v>164</v>
      </c>
      <c r="BR205" s="2046">
        <v>184</v>
      </c>
      <c r="BS205" s="2045">
        <v>143</v>
      </c>
      <c r="BT205" s="2047">
        <v>167</v>
      </c>
      <c r="BU205" s="2047">
        <v>168</v>
      </c>
      <c r="BV205" s="2047">
        <v>187</v>
      </c>
      <c r="BW205" s="2045">
        <v>138</v>
      </c>
      <c r="BX205" s="2047">
        <v>166</v>
      </c>
      <c r="BY205" s="2047">
        <v>162</v>
      </c>
      <c r="BZ205" s="2046">
        <v>185</v>
      </c>
      <c r="CA205" s="2045">
        <v>173</v>
      </c>
      <c r="CB205" s="2047">
        <v>186</v>
      </c>
      <c r="CC205" s="2047">
        <v>184</v>
      </c>
      <c r="CD205" s="2046">
        <f t="shared" ref="CD205:CL205" si="474">+BZ205*(1+CD206)</f>
        <v>144.30000000000001</v>
      </c>
      <c r="CE205" s="150">
        <f t="shared" si="474"/>
        <v>155.70000000000002</v>
      </c>
      <c r="CF205" s="2047">
        <f t="shared" si="474"/>
        <v>167.4</v>
      </c>
      <c r="CG205" s="2047">
        <f t="shared" si="474"/>
        <v>165.6</v>
      </c>
      <c r="CH205" s="2046">
        <f t="shared" si="474"/>
        <v>129.87</v>
      </c>
      <c r="CI205" s="2047">
        <f t="shared" si="474"/>
        <v>140.13000000000002</v>
      </c>
      <c r="CJ205" s="2047">
        <f t="shared" si="474"/>
        <v>150.66</v>
      </c>
      <c r="CK205" s="2047">
        <f t="shared" si="474"/>
        <v>149.04</v>
      </c>
      <c r="CL205" s="2046">
        <f t="shared" si="474"/>
        <v>116.88300000000001</v>
      </c>
      <c r="CM205" s="150"/>
      <c r="CN205" s="2047"/>
      <c r="CO205" s="2047"/>
      <c r="CP205" s="2046"/>
      <c r="CQ205" s="139"/>
      <c r="CR205" s="150"/>
      <c r="CS205" s="150"/>
      <c r="CT205" s="360"/>
    </row>
    <row r="206" spans="1:98" hidden="1" outlineLevel="2">
      <c r="A206" s="3965" t="s">
        <v>34</v>
      </c>
      <c r="B206" s="3960"/>
      <c r="C206" s="3960"/>
      <c r="D206" s="3960"/>
      <c r="E206" s="3960"/>
      <c r="F206" s="3960"/>
      <c r="G206" s="3960"/>
      <c r="H206" s="3960"/>
      <c r="I206" s="3960"/>
      <c r="J206" s="3960"/>
      <c r="K206" s="3960"/>
      <c r="L206" s="3960"/>
      <c r="M206" s="3966"/>
      <c r="N206" s="3966">
        <f>+N205/M205-1</f>
        <v>2.4653312788905923E-2</v>
      </c>
      <c r="O206" s="3966">
        <f>+O205/N205-1</f>
        <v>-2.1052631578947323E-2</v>
      </c>
      <c r="P206" s="3966">
        <f>+P205/O205-1</f>
        <v>5.5760368663594351E-2</v>
      </c>
      <c r="Q206" s="3966">
        <f>+Q205/P205-1</f>
        <v>-9.9999999999999867E-2</v>
      </c>
      <c r="R206" s="3966">
        <f>+R205/Q205-1</f>
        <v>-2.5170958824385359E-2</v>
      </c>
      <c r="S206" s="3966"/>
      <c r="T206" s="3966"/>
      <c r="U206" s="2068"/>
      <c r="V206" s="2068"/>
      <c r="W206" s="2068"/>
      <c r="X206" s="2068"/>
      <c r="Y206" s="2068"/>
      <c r="Z206" s="2068"/>
      <c r="AA206" s="2068"/>
      <c r="AB206" s="2068"/>
      <c r="AC206" s="2068"/>
      <c r="AD206" s="2068"/>
      <c r="AE206" s="2068"/>
      <c r="AF206" s="2068"/>
      <c r="AG206" s="3920"/>
      <c r="AH206" s="3921"/>
      <c r="AI206" s="3960"/>
      <c r="AJ206" s="3960"/>
      <c r="AK206" s="3960"/>
      <c r="AL206" s="3960"/>
      <c r="AM206" s="3960"/>
      <c r="AN206" s="3960"/>
      <c r="AO206" s="3960"/>
      <c r="AP206" s="3960"/>
      <c r="AQ206" s="3960"/>
      <c r="AR206" s="3960"/>
      <c r="AS206" s="3960"/>
      <c r="AT206" s="3960"/>
      <c r="AU206" s="3960"/>
      <c r="AV206" s="3960"/>
      <c r="AW206" s="3960"/>
      <c r="AX206" s="3960"/>
      <c r="AY206" s="3960"/>
      <c r="AZ206" s="3960"/>
      <c r="BA206" s="3960"/>
      <c r="BB206" s="3960"/>
      <c r="BC206" s="3961"/>
      <c r="BD206" s="3962"/>
      <c r="BE206" s="3962"/>
      <c r="BF206" s="3962"/>
      <c r="BG206" s="3961"/>
      <c r="BH206" s="3962"/>
      <c r="BI206" s="3962"/>
      <c r="BJ206" s="3962"/>
      <c r="BK206" s="3971"/>
      <c r="BL206" s="3967"/>
      <c r="BM206" s="3967"/>
      <c r="BN206" s="3967"/>
      <c r="BO206" s="3971"/>
      <c r="BP206" s="3967"/>
      <c r="BQ206" s="3967"/>
      <c r="BR206" s="3972"/>
      <c r="BS206" s="3971">
        <f t="shared" ref="BS206:CC206" si="475">+BS205/BO205-1</f>
        <v>-5.9210526315789491E-2</v>
      </c>
      <c r="BT206" s="3967">
        <f t="shared" si="475"/>
        <v>0.12080536912751683</v>
      </c>
      <c r="BU206" s="3967">
        <f t="shared" si="475"/>
        <v>2.4390243902439046E-2</v>
      </c>
      <c r="BV206" s="3967">
        <f t="shared" si="475"/>
        <v>1.6304347826086918E-2</v>
      </c>
      <c r="BW206" s="3971">
        <f t="shared" si="475"/>
        <v>-3.4965034965035002E-2</v>
      </c>
      <c r="BX206" s="3967">
        <f t="shared" si="475"/>
        <v>-5.9880239520958556E-3</v>
      </c>
      <c r="BY206" s="3967">
        <f t="shared" si="475"/>
        <v>-3.5714285714285698E-2</v>
      </c>
      <c r="BZ206" s="3972">
        <f t="shared" si="475"/>
        <v>-1.0695187165775444E-2</v>
      </c>
      <c r="CA206" s="3971">
        <f t="shared" si="475"/>
        <v>0.25362318840579712</v>
      </c>
      <c r="CB206" s="3967">
        <f t="shared" si="475"/>
        <v>0.12048192771084332</v>
      </c>
      <c r="CC206" s="3967">
        <f t="shared" si="475"/>
        <v>0.13580246913580241</v>
      </c>
      <c r="CD206" s="3972">
        <v>-0.22</v>
      </c>
      <c r="CE206" s="355">
        <v>-0.1</v>
      </c>
      <c r="CF206" s="3967">
        <v>-0.1</v>
      </c>
      <c r="CG206" s="3967">
        <v>-0.1</v>
      </c>
      <c r="CH206" s="3972">
        <v>-0.1</v>
      </c>
      <c r="CI206" s="3967">
        <v>-0.1</v>
      </c>
      <c r="CJ206" s="3967">
        <v>-0.1</v>
      </c>
      <c r="CK206" s="3967">
        <v>-0.1</v>
      </c>
      <c r="CL206" s="3972">
        <v>-0.1</v>
      </c>
      <c r="CM206" s="355"/>
      <c r="CN206" s="3967"/>
      <c r="CO206" s="3967"/>
      <c r="CP206" s="3972"/>
      <c r="CQ206" s="3828"/>
      <c r="CR206" s="355"/>
      <c r="CS206" s="355"/>
      <c r="CT206" s="2049"/>
    </row>
    <row r="207" spans="1:98" hidden="1" outlineLevel="2">
      <c r="A207" s="3965"/>
      <c r="B207" s="3960"/>
      <c r="C207" s="3960"/>
      <c r="D207" s="3960"/>
      <c r="E207" s="3960"/>
      <c r="F207" s="3960"/>
      <c r="G207" s="3960"/>
      <c r="H207" s="3960"/>
      <c r="I207" s="3960"/>
      <c r="J207" s="3960"/>
      <c r="K207" s="3960"/>
      <c r="L207" s="3960"/>
      <c r="M207" s="3960"/>
      <c r="N207" s="3960"/>
      <c r="O207" s="3960"/>
      <c r="P207" s="3960"/>
      <c r="Q207" s="3960"/>
      <c r="R207" s="3960"/>
      <c r="S207" s="3960"/>
      <c r="T207" s="3960"/>
      <c r="U207" s="3960"/>
      <c r="V207" s="3960"/>
      <c r="W207" s="3960"/>
      <c r="X207" s="3960"/>
      <c r="Y207" s="3960"/>
      <c r="Z207" s="3960"/>
      <c r="AA207" s="3960"/>
      <c r="AB207" s="3960"/>
      <c r="AC207" s="3960"/>
      <c r="AD207" s="3960"/>
      <c r="AE207" s="3960"/>
      <c r="AF207" s="3960"/>
      <c r="AG207" s="3920"/>
      <c r="AH207" s="3921"/>
      <c r="AI207" s="3960"/>
      <c r="AJ207" s="3960"/>
      <c r="AK207" s="3960"/>
      <c r="AL207" s="3960"/>
      <c r="AM207" s="3960"/>
      <c r="AN207" s="3960"/>
      <c r="AO207" s="3960"/>
      <c r="AP207" s="3960"/>
      <c r="AQ207" s="3960"/>
      <c r="AR207" s="3960"/>
      <c r="AS207" s="3960"/>
      <c r="AT207" s="3960"/>
      <c r="AU207" s="3960"/>
      <c r="AV207" s="3960"/>
      <c r="AW207" s="3960"/>
      <c r="AX207" s="3960"/>
      <c r="AY207" s="3960"/>
      <c r="AZ207" s="3960"/>
      <c r="BA207" s="3960"/>
      <c r="BB207" s="3960"/>
      <c r="BC207" s="3961"/>
      <c r="BD207" s="3962"/>
      <c r="BE207" s="3962"/>
      <c r="BF207" s="3962"/>
      <c r="BG207" s="3961"/>
      <c r="BH207" s="3962"/>
      <c r="BI207" s="3962"/>
      <c r="BJ207" s="3962"/>
      <c r="BK207" s="3975"/>
      <c r="BL207" s="3966"/>
      <c r="BM207" s="3966"/>
      <c r="BN207" s="3966"/>
      <c r="BO207" s="3975"/>
      <c r="BP207" s="3966"/>
      <c r="BQ207" s="3966"/>
      <c r="BR207" s="3973"/>
      <c r="BS207" s="3975"/>
      <c r="BT207" s="3966"/>
      <c r="BU207" s="3966"/>
      <c r="BV207" s="3966"/>
      <c r="BW207" s="3975"/>
      <c r="BX207" s="3966"/>
      <c r="BY207" s="3966"/>
      <c r="BZ207" s="3973"/>
      <c r="CA207" s="3975"/>
      <c r="CB207" s="3966"/>
      <c r="CC207" s="3966"/>
      <c r="CD207" s="3973"/>
      <c r="CE207" s="3966"/>
      <c r="CF207" s="3966"/>
      <c r="CG207" s="3966"/>
      <c r="CH207" s="3973"/>
      <c r="CI207" s="3966"/>
      <c r="CJ207" s="3966"/>
      <c r="CK207" s="3966"/>
      <c r="CL207" s="3973"/>
      <c r="CM207" s="3966"/>
      <c r="CN207" s="3966"/>
      <c r="CO207" s="3966"/>
      <c r="CP207" s="3973"/>
      <c r="CQ207" s="3975"/>
      <c r="CR207" s="3966"/>
      <c r="CS207" s="3966"/>
      <c r="CT207" s="3973"/>
    </row>
    <row r="208" spans="1:98" hidden="1" outlineLevel="2">
      <c r="A208" s="3965"/>
      <c r="B208" s="3960"/>
      <c r="C208" s="3960"/>
      <c r="D208" s="3960"/>
      <c r="E208" s="3960"/>
      <c r="F208" s="3960"/>
      <c r="G208" s="3960"/>
      <c r="H208" s="3960"/>
      <c r="I208" s="3960"/>
      <c r="J208" s="3960"/>
      <c r="K208" s="3960"/>
      <c r="L208" s="3967"/>
      <c r="M208" s="3967"/>
      <c r="N208" s="3967"/>
      <c r="O208" s="3967"/>
      <c r="P208" s="3967"/>
      <c r="Q208" s="3967"/>
      <c r="R208" s="3967"/>
      <c r="S208" s="3967"/>
      <c r="T208" s="3967"/>
      <c r="U208" s="3967"/>
      <c r="V208" s="3967"/>
      <c r="W208" s="3967"/>
      <c r="X208" s="3967"/>
      <c r="Y208" s="3967"/>
      <c r="Z208" s="3967"/>
      <c r="AA208" s="3967"/>
      <c r="AB208" s="3967"/>
      <c r="AC208" s="3967"/>
      <c r="AD208" s="3967"/>
      <c r="AE208" s="3967"/>
      <c r="AF208" s="3967"/>
      <c r="AG208" s="3920"/>
      <c r="AH208" s="3921"/>
      <c r="AI208" s="3960"/>
      <c r="AJ208" s="3960"/>
      <c r="AK208" s="3960"/>
      <c r="AL208" s="3960"/>
      <c r="AM208" s="3960"/>
      <c r="AN208" s="3960"/>
      <c r="AO208" s="3960"/>
      <c r="AP208" s="3960"/>
      <c r="AQ208" s="3960"/>
      <c r="AR208" s="3960"/>
      <c r="AS208" s="3960"/>
      <c r="AT208" s="3960"/>
      <c r="AU208" s="3960"/>
      <c r="AV208" s="3960"/>
      <c r="AW208" s="3960"/>
      <c r="AX208" s="3960"/>
      <c r="AY208" s="3960"/>
      <c r="AZ208" s="3960"/>
      <c r="BA208" s="3960"/>
      <c r="BB208" s="3960"/>
      <c r="BC208" s="3961"/>
      <c r="BD208" s="3962"/>
      <c r="BE208" s="3962"/>
      <c r="BF208" s="3962"/>
      <c r="BG208" s="3961"/>
      <c r="BH208" s="3962"/>
      <c r="BI208" s="3962"/>
      <c r="BJ208" s="3962"/>
      <c r="BK208" s="3971"/>
      <c r="BL208" s="3967"/>
      <c r="BM208" s="3967"/>
      <c r="BN208" s="3967"/>
      <c r="BO208" s="3971"/>
      <c r="BP208" s="3967"/>
      <c r="BQ208" s="3967"/>
      <c r="BR208" s="3972"/>
      <c r="BS208" s="3971"/>
      <c r="BT208" s="3967"/>
      <c r="BU208" s="3967"/>
      <c r="BV208" s="3967"/>
      <c r="BW208" s="3971"/>
      <c r="BX208" s="3967"/>
      <c r="BY208" s="150"/>
      <c r="BZ208" s="3972"/>
      <c r="CA208" s="3971"/>
      <c r="CB208" s="3967"/>
      <c r="CC208" s="150"/>
      <c r="CD208" s="3972"/>
      <c r="CE208" s="3967"/>
      <c r="CF208" s="3967"/>
      <c r="CG208" s="3967"/>
      <c r="CH208" s="3972"/>
      <c r="CI208" s="3967"/>
      <c r="CJ208" s="3967"/>
      <c r="CK208" s="3967"/>
      <c r="CL208" s="3972"/>
      <c r="CM208" s="3967"/>
      <c r="CN208" s="3967"/>
      <c r="CO208" s="3967"/>
      <c r="CP208" s="3972"/>
      <c r="CQ208" s="3971"/>
      <c r="CR208" s="3967"/>
      <c r="CS208" s="3967"/>
      <c r="CT208" s="3972"/>
    </row>
    <row r="209" spans="1:98" hidden="1" outlineLevel="2">
      <c r="A209" s="2070" t="s">
        <v>1220</v>
      </c>
      <c r="B209" s="3960"/>
      <c r="C209" s="3960"/>
      <c r="D209" s="3960"/>
      <c r="E209" s="3960"/>
      <c r="F209" s="3960"/>
      <c r="G209" s="3960"/>
      <c r="H209" s="3960"/>
      <c r="I209" s="3960"/>
      <c r="J209" s="3960"/>
      <c r="K209" s="3960"/>
      <c r="L209" s="150"/>
      <c r="M209" s="150">
        <f t="shared" ref="M209:R209" si="476">++M201+M197+M205</f>
        <v>6267</v>
      </c>
      <c r="N209" s="150">
        <f t="shared" si="476"/>
        <v>6135</v>
      </c>
      <c r="O209" s="150">
        <f t="shared" si="476"/>
        <v>6137</v>
      </c>
      <c r="P209" s="150">
        <f t="shared" si="476"/>
        <v>6234.59</v>
      </c>
      <c r="Q209" s="150">
        <f t="shared" si="476"/>
        <v>6268.1653499999993</v>
      </c>
      <c r="R209" s="150">
        <f t="shared" si="476"/>
        <v>6280.1196</v>
      </c>
      <c r="S209" s="150"/>
      <c r="T209" s="150"/>
      <c r="U209" s="150"/>
      <c r="V209" s="150"/>
      <c r="W209" s="150"/>
      <c r="X209" s="150"/>
      <c r="Y209" s="150"/>
      <c r="Z209" s="150"/>
      <c r="AA209" s="150"/>
      <c r="AB209" s="150"/>
      <c r="AC209" s="150"/>
      <c r="AD209" s="150"/>
      <c r="AE209" s="150"/>
      <c r="AF209" s="150"/>
      <c r="AG209" s="3920"/>
      <c r="AH209" s="3921"/>
      <c r="AI209" s="3960"/>
      <c r="AJ209" s="3960"/>
      <c r="AK209" s="3960"/>
      <c r="AL209" s="3960"/>
      <c r="AM209" s="3960"/>
      <c r="AN209" s="3960"/>
      <c r="AO209" s="3960"/>
      <c r="AP209" s="3960"/>
      <c r="AQ209" s="3960"/>
      <c r="AR209" s="3960"/>
      <c r="AS209" s="3960"/>
      <c r="AT209" s="3960"/>
      <c r="AU209" s="3960"/>
      <c r="AV209" s="3960"/>
      <c r="AW209" s="3960"/>
      <c r="AX209" s="3960"/>
      <c r="AY209" s="3960"/>
      <c r="AZ209" s="3960"/>
      <c r="BA209" s="3960"/>
      <c r="BB209" s="3960"/>
      <c r="BC209" s="3961"/>
      <c r="BD209" s="3962"/>
      <c r="BE209" s="3962"/>
      <c r="BF209" s="3962"/>
      <c r="BG209" s="3961"/>
      <c r="BH209" s="3962"/>
      <c r="BI209" s="3962"/>
      <c r="BJ209" s="3962"/>
      <c r="BK209" s="139"/>
      <c r="BL209" s="150"/>
      <c r="BM209" s="150"/>
      <c r="BN209" s="150"/>
      <c r="BO209" s="139">
        <f>++BO201+BO197+BO205</f>
        <v>1590</v>
      </c>
      <c r="BP209" s="150">
        <f t="shared" ref="BP209:CD209" si="477">++BP201+BP197+BP205</f>
        <v>1580</v>
      </c>
      <c r="BQ209" s="150">
        <f t="shared" si="477"/>
        <v>1544</v>
      </c>
      <c r="BR209" s="360">
        <f t="shared" si="477"/>
        <v>1553</v>
      </c>
      <c r="BS209" s="139">
        <f t="shared" si="477"/>
        <v>1508</v>
      </c>
      <c r="BT209" s="150">
        <f t="shared" si="477"/>
        <v>1538</v>
      </c>
      <c r="BU209" s="150">
        <f t="shared" si="477"/>
        <v>1542</v>
      </c>
      <c r="BV209" s="150">
        <f t="shared" si="477"/>
        <v>1547</v>
      </c>
      <c r="BW209" s="139">
        <f t="shared" si="477"/>
        <v>1505</v>
      </c>
      <c r="BX209" s="150">
        <f t="shared" si="477"/>
        <v>1525</v>
      </c>
      <c r="BY209" s="150">
        <f t="shared" si="477"/>
        <v>1544</v>
      </c>
      <c r="BZ209" s="360">
        <f t="shared" si="477"/>
        <v>1563</v>
      </c>
      <c r="CA209" s="139">
        <f>++CA201+CA197+CA205</f>
        <v>1559</v>
      </c>
      <c r="CB209" s="150">
        <f>++CB201+CB197+CB205</f>
        <v>1564</v>
      </c>
      <c r="CC209" s="150">
        <f>++CC201+CC197+CC205</f>
        <v>1569</v>
      </c>
      <c r="CD209" s="360">
        <f t="shared" si="477"/>
        <v>1542.59</v>
      </c>
      <c r="CE209" s="150">
        <f t="shared" ref="CE209:CL209" si="478">++CE201+CE197+CE205</f>
        <v>1566</v>
      </c>
      <c r="CF209" s="150">
        <f t="shared" si="478"/>
        <v>1570.62</v>
      </c>
      <c r="CG209" s="150">
        <f t="shared" si="478"/>
        <v>1576.9049999999997</v>
      </c>
      <c r="CH209" s="360">
        <f t="shared" si="478"/>
        <v>1554.6403499999997</v>
      </c>
      <c r="CI209" s="150">
        <f t="shared" si="478"/>
        <v>1577.95425</v>
      </c>
      <c r="CJ209" s="150">
        <f t="shared" si="478"/>
        <v>1582.3480499999998</v>
      </c>
      <c r="CK209" s="150">
        <f t="shared" si="478"/>
        <v>1589.9528249999998</v>
      </c>
      <c r="CL209" s="360">
        <f t="shared" si="478"/>
        <v>1571.4651352499998</v>
      </c>
      <c r="CM209" s="150"/>
      <c r="CN209" s="150"/>
      <c r="CO209" s="150"/>
      <c r="CP209" s="360"/>
      <c r="CQ209" s="139"/>
      <c r="CR209" s="150"/>
      <c r="CS209" s="150"/>
      <c r="CT209" s="360"/>
    </row>
    <row r="210" spans="1:98" hidden="1" outlineLevel="2">
      <c r="A210" s="3965" t="s">
        <v>34</v>
      </c>
      <c r="B210" s="3960"/>
      <c r="C210" s="3960"/>
      <c r="D210" s="3960"/>
      <c r="E210" s="3960"/>
      <c r="F210" s="3960"/>
      <c r="G210" s="3960"/>
      <c r="H210" s="3960"/>
      <c r="I210" s="3960"/>
      <c r="J210" s="3960"/>
      <c r="K210" s="3960"/>
      <c r="L210" s="3960"/>
      <c r="M210" s="3966"/>
      <c r="N210" s="3966">
        <f>+N209/M209-1</f>
        <v>-2.1062709430349491E-2</v>
      </c>
      <c r="O210" s="3966">
        <f>+O209/N209-1</f>
        <v>3.2599837000812926E-4</v>
      </c>
      <c r="P210" s="3966">
        <f>+P209/O209-1</f>
        <v>1.5901906468958726E-2</v>
      </c>
      <c r="Q210" s="3966">
        <f>+Q209/P209-1</f>
        <v>5.3853340797067606E-3</v>
      </c>
      <c r="R210" s="3966">
        <f>+R209/Q209-1</f>
        <v>1.907136990251912E-3</v>
      </c>
      <c r="S210" s="3966"/>
      <c r="T210" s="3966"/>
      <c r="U210" s="3966"/>
      <c r="V210" s="3966"/>
      <c r="W210" s="3966"/>
      <c r="X210" s="3966"/>
      <c r="Y210" s="3966"/>
      <c r="Z210" s="3966"/>
      <c r="AA210" s="3966"/>
      <c r="AB210" s="3966"/>
      <c r="AC210" s="3966"/>
      <c r="AD210" s="3966"/>
      <c r="AE210" s="3966"/>
      <c r="AF210" s="3966"/>
      <c r="AG210" s="3920"/>
      <c r="AH210" s="3921"/>
      <c r="AI210" s="3960"/>
      <c r="AJ210" s="3960"/>
      <c r="AK210" s="3960"/>
      <c r="AL210" s="3960"/>
      <c r="AM210" s="3960"/>
      <c r="AN210" s="3960"/>
      <c r="AO210" s="3960"/>
      <c r="AP210" s="3960"/>
      <c r="AQ210" s="3960"/>
      <c r="AR210" s="3960"/>
      <c r="AS210" s="3960"/>
      <c r="AT210" s="3960"/>
      <c r="AU210" s="3960"/>
      <c r="AV210" s="3960"/>
      <c r="AW210" s="3960"/>
      <c r="AX210" s="3960"/>
      <c r="AY210" s="3960"/>
      <c r="AZ210" s="3960"/>
      <c r="BA210" s="3960"/>
      <c r="BB210" s="3960"/>
      <c r="BC210" s="3961"/>
      <c r="BD210" s="3962"/>
      <c r="BE210" s="3962"/>
      <c r="BF210" s="3962"/>
      <c r="BG210" s="3961"/>
      <c r="BH210" s="3962"/>
      <c r="BI210" s="3962"/>
      <c r="BJ210" s="3962"/>
      <c r="BK210" s="2052"/>
      <c r="BL210" s="2071"/>
      <c r="BM210" s="2071"/>
      <c r="BN210" s="2071"/>
      <c r="BO210" s="3968"/>
      <c r="BP210" s="3969"/>
      <c r="BQ210" s="3969"/>
      <c r="BR210" s="3970"/>
      <c r="BS210" s="3974" t="s">
        <v>1089</v>
      </c>
      <c r="BT210" s="3984" t="s">
        <v>1089</v>
      </c>
      <c r="BU210" s="3984" t="s">
        <v>1089</v>
      </c>
      <c r="BV210" s="3984" t="s">
        <v>1089</v>
      </c>
      <c r="BW210" s="3971">
        <f t="shared" ref="BW210:CD210" si="479">+BW209/BS209-1</f>
        <v>-1.9893899204244114E-3</v>
      </c>
      <c r="BX210" s="3967">
        <f t="shared" si="479"/>
        <v>-8.4525357607282414E-3</v>
      </c>
      <c r="BY210" s="3967">
        <f t="shared" si="479"/>
        <v>1.2970168612191912E-3</v>
      </c>
      <c r="BZ210" s="3972">
        <f t="shared" si="479"/>
        <v>1.0342598577892659E-2</v>
      </c>
      <c r="CA210" s="3971">
        <f t="shared" si="479"/>
        <v>3.588039867109627E-2</v>
      </c>
      <c r="CB210" s="3967">
        <f t="shared" si="479"/>
        <v>2.5573770491803316E-2</v>
      </c>
      <c r="CC210" s="3967">
        <f t="shared" si="479"/>
        <v>1.6191709844559643E-2</v>
      </c>
      <c r="CD210" s="3972">
        <f t="shared" si="479"/>
        <v>-1.3058221369161904E-2</v>
      </c>
      <c r="CE210" s="3967">
        <f t="shared" ref="CE210:CL210" si="480">+CE209/CA209-1</f>
        <v>4.4900577293136568E-3</v>
      </c>
      <c r="CF210" s="3967">
        <f t="shared" si="480"/>
        <v>4.2327365728900279E-3</v>
      </c>
      <c r="CG210" s="3967">
        <f t="shared" si="480"/>
        <v>5.0382409177818221E-3</v>
      </c>
      <c r="CH210" s="3972">
        <f t="shared" si="480"/>
        <v>7.8117646296163024E-3</v>
      </c>
      <c r="CI210" s="3967">
        <f t="shared" si="480"/>
        <v>7.6336206896552294E-3</v>
      </c>
      <c r="CJ210" s="3967">
        <f t="shared" si="480"/>
        <v>7.4671467318638829E-3</v>
      </c>
      <c r="CK210" s="3967">
        <f t="shared" si="480"/>
        <v>8.2743253398271932E-3</v>
      </c>
      <c r="CL210" s="3972">
        <f t="shared" si="480"/>
        <v>1.0822300636928794E-2</v>
      </c>
      <c r="CM210" s="3967"/>
      <c r="CN210" s="3967"/>
      <c r="CO210" s="3967"/>
      <c r="CP210" s="3972"/>
      <c r="CQ210" s="3971"/>
      <c r="CR210" s="3967"/>
      <c r="CS210" s="3967"/>
      <c r="CT210" s="3972"/>
    </row>
    <row r="211" spans="1:98" hidden="1" outlineLevel="2">
      <c r="A211" s="3965" t="s">
        <v>947</v>
      </c>
      <c r="B211" s="3960"/>
      <c r="C211" s="3960"/>
      <c r="D211" s="3960"/>
      <c r="E211" s="3960"/>
      <c r="F211" s="3960"/>
      <c r="G211" s="3960"/>
      <c r="H211" s="3960"/>
      <c r="I211" s="3960"/>
      <c r="J211" s="3960"/>
      <c r="K211" s="3960"/>
      <c r="L211" s="3960"/>
      <c r="M211" s="3960"/>
      <c r="N211" s="3960"/>
      <c r="O211" s="3964"/>
      <c r="P211" s="3960"/>
      <c r="Q211" s="3960"/>
      <c r="R211" s="3960"/>
      <c r="S211" s="3960"/>
      <c r="T211" s="3960"/>
      <c r="U211" s="3960"/>
      <c r="V211" s="3960"/>
      <c r="W211" s="3960"/>
      <c r="X211" s="3960"/>
      <c r="Y211" s="3960"/>
      <c r="Z211" s="3960"/>
      <c r="AA211" s="3960"/>
      <c r="AB211" s="3960"/>
      <c r="AC211" s="3960"/>
      <c r="AD211" s="3960"/>
      <c r="AE211" s="3960"/>
      <c r="AF211" s="3960"/>
      <c r="AG211" s="3920"/>
      <c r="AH211" s="3921"/>
      <c r="AI211" s="3960"/>
      <c r="AJ211" s="3960"/>
      <c r="AK211" s="3960"/>
      <c r="AL211" s="3960"/>
      <c r="AM211" s="3960"/>
      <c r="AN211" s="3960"/>
      <c r="AO211" s="3960"/>
      <c r="AP211" s="3960"/>
      <c r="AQ211" s="3960"/>
      <c r="AR211" s="3960"/>
      <c r="AS211" s="3960"/>
      <c r="AT211" s="3960"/>
      <c r="AU211" s="3960"/>
      <c r="AV211" s="3960"/>
      <c r="AW211" s="3960"/>
      <c r="AX211" s="3960"/>
      <c r="AY211" s="3960"/>
      <c r="AZ211" s="3960"/>
      <c r="BA211" s="3960"/>
      <c r="BB211" s="3960"/>
      <c r="BC211" s="3961"/>
      <c r="BD211" s="3962"/>
      <c r="BE211" s="3962"/>
      <c r="BF211" s="3962"/>
      <c r="BG211" s="3961"/>
      <c r="BH211" s="3962"/>
      <c r="BI211" s="3962"/>
      <c r="BJ211" s="3962"/>
      <c r="BK211" s="3959"/>
      <c r="BL211" s="3966"/>
      <c r="BM211" s="3966"/>
      <c r="BN211" s="3966"/>
      <c r="BO211" s="3974"/>
      <c r="BP211" s="3966">
        <f>+BP209/BO209-1</f>
        <v>-6.2893081761006275E-3</v>
      </c>
      <c r="BQ211" s="3966">
        <f>+BQ209/BP209-1</f>
        <v>-2.2784810126582289E-2</v>
      </c>
      <c r="BR211" s="3973">
        <f>+BR209/BQ209-1</f>
        <v>5.8290155440414715E-3</v>
      </c>
      <c r="BS211" s="3975">
        <f>+BS209/BR209-1</f>
        <v>-2.8976175144880822E-2</v>
      </c>
      <c r="BT211" s="3966">
        <f>+BT209/BS209-1</f>
        <v>1.9893899204244114E-2</v>
      </c>
      <c r="BU211" s="3966">
        <f t="shared" ref="BU211:CC211" si="481">+BU209/BT209-1</f>
        <v>2.6007802340701769E-3</v>
      </c>
      <c r="BV211" s="3966">
        <f t="shared" si="481"/>
        <v>3.2425421530479781E-3</v>
      </c>
      <c r="BW211" s="3975">
        <f t="shared" si="481"/>
        <v>-2.714932126696834E-2</v>
      </c>
      <c r="BX211" s="3966">
        <f t="shared" si="481"/>
        <v>1.3289036544850585E-2</v>
      </c>
      <c r="BY211" s="3966">
        <f t="shared" si="481"/>
        <v>1.2459016393442601E-2</v>
      </c>
      <c r="BZ211" s="3973">
        <f t="shared" si="481"/>
        <v>1.2305699481865329E-2</v>
      </c>
      <c r="CA211" s="3975">
        <f t="shared" si="481"/>
        <v>-2.5591810620601008E-3</v>
      </c>
      <c r="CB211" s="3966">
        <f t="shared" si="481"/>
        <v>3.207184092366866E-3</v>
      </c>
      <c r="CC211" s="3966">
        <f t="shared" si="481"/>
        <v>3.1969309462915874E-3</v>
      </c>
      <c r="CD211" s="3973">
        <f t="shared" ref="CD211:CL211" si="482">+CD209/CC209-1</f>
        <v>-1.683237731038878E-2</v>
      </c>
      <c r="CE211" s="3966">
        <f t="shared" si="482"/>
        <v>1.517577580562568E-2</v>
      </c>
      <c r="CF211" s="3966">
        <f t="shared" si="482"/>
        <v>2.9501915708811666E-3</v>
      </c>
      <c r="CG211" s="3966">
        <f t="shared" si="482"/>
        <v>4.0016044619322066E-3</v>
      </c>
      <c r="CH211" s="3973">
        <f t="shared" si="482"/>
        <v>-1.4119208195801369E-2</v>
      </c>
      <c r="CI211" s="3966">
        <f t="shared" si="482"/>
        <v>1.4996330180160555E-2</v>
      </c>
      <c r="CJ211" s="3966">
        <f t="shared" si="482"/>
        <v>2.7844913754628831E-3</v>
      </c>
      <c r="CK211" s="3966">
        <f t="shared" si="482"/>
        <v>4.8060064914290379E-3</v>
      </c>
      <c r="CL211" s="3973">
        <f t="shared" si="482"/>
        <v>-1.1627822825498013E-2</v>
      </c>
      <c r="CM211" s="3966"/>
      <c r="CN211" s="3966"/>
      <c r="CO211" s="3966"/>
      <c r="CP211" s="3973"/>
      <c r="CQ211" s="3975"/>
      <c r="CR211" s="3966"/>
      <c r="CS211" s="3966"/>
      <c r="CT211" s="3973"/>
    </row>
    <row r="212" spans="1:98" hidden="1" outlineLevel="2">
      <c r="A212" s="3965" t="s">
        <v>1217</v>
      </c>
      <c r="B212" s="3960"/>
      <c r="C212" s="3960"/>
      <c r="D212" s="3960"/>
      <c r="E212" s="3960"/>
      <c r="F212" s="3960"/>
      <c r="G212" s="3960"/>
      <c r="H212" s="3960"/>
      <c r="I212" s="3960"/>
      <c r="J212" s="3960"/>
      <c r="K212" s="3960"/>
      <c r="L212" s="3960"/>
      <c r="M212" s="3960"/>
      <c r="N212" s="3966">
        <f>N209/N$154</f>
        <v>0.33384121456168037</v>
      </c>
      <c r="O212" s="3966">
        <f>O209/O$154</f>
        <v>0.3391544625587179</v>
      </c>
      <c r="P212" s="3966">
        <f>P209/P$154</f>
        <v>0.34584734010095969</v>
      </c>
      <c r="Q212" s="3966">
        <f>Q209/Q$154</f>
        <v>0.35017683519553067</v>
      </c>
      <c r="R212" s="3966">
        <f>R209/R$154</f>
        <v>0.35948022896393816</v>
      </c>
      <c r="S212" s="3966"/>
      <c r="T212" s="3966"/>
      <c r="U212" s="3960"/>
      <c r="V212" s="3960"/>
      <c r="W212" s="3960"/>
      <c r="X212" s="3960"/>
      <c r="Y212" s="3960"/>
      <c r="Z212" s="3960"/>
      <c r="AA212" s="3960"/>
      <c r="AB212" s="3960"/>
      <c r="AC212" s="3960"/>
      <c r="AD212" s="3960"/>
      <c r="AE212" s="3960"/>
      <c r="AF212" s="3960"/>
      <c r="AG212" s="3920"/>
      <c r="AH212" s="3921"/>
      <c r="AI212" s="3960"/>
      <c r="AJ212" s="3960"/>
      <c r="AK212" s="3960"/>
      <c r="AL212" s="3960"/>
      <c r="AM212" s="3960"/>
      <c r="AN212" s="3960"/>
      <c r="AO212" s="3960"/>
      <c r="AP212" s="3960"/>
      <c r="AQ212" s="3960"/>
      <c r="AR212" s="3960"/>
      <c r="AS212" s="3960"/>
      <c r="AT212" s="3960"/>
      <c r="AU212" s="3960"/>
      <c r="AV212" s="3960"/>
      <c r="AW212" s="3960"/>
      <c r="AX212" s="3960"/>
      <c r="AY212" s="3960"/>
      <c r="AZ212" s="3960"/>
      <c r="BA212" s="3960"/>
      <c r="BB212" s="3960"/>
      <c r="BC212" s="3961"/>
      <c r="BD212" s="3962"/>
      <c r="BE212" s="3962"/>
      <c r="BF212" s="3962"/>
      <c r="BG212" s="3961"/>
      <c r="BH212" s="3962"/>
      <c r="BI212" s="3962"/>
      <c r="BJ212" s="3962"/>
      <c r="BK212" s="3959"/>
      <c r="BL212" s="3966"/>
      <c r="BM212" s="3966"/>
      <c r="BN212" s="3966"/>
      <c r="BO212" s="3974"/>
      <c r="BP212" s="3966"/>
      <c r="BQ212" s="3966"/>
      <c r="BR212" s="3973"/>
      <c r="BS212" s="3975"/>
      <c r="BT212" s="3966"/>
      <c r="BU212" s="3966"/>
      <c r="BV212" s="3966"/>
      <c r="BW212" s="3975">
        <f t="shared" ref="BW212:CD212" si="483">BW209/BW$154</f>
        <v>0.33348105473077777</v>
      </c>
      <c r="BX212" s="3966">
        <f t="shared" si="483"/>
        <v>0.33701657458563539</v>
      </c>
      <c r="BY212" s="3966">
        <f t="shared" si="483"/>
        <v>0.34197120708748618</v>
      </c>
      <c r="BZ212" s="3973">
        <f t="shared" si="483"/>
        <v>0.34412153236459708</v>
      </c>
      <c r="CA212" s="3975">
        <f t="shared" si="483"/>
        <v>0.34354341119435877</v>
      </c>
      <c r="CB212" s="3966">
        <f t="shared" si="483"/>
        <v>0.34449339207048457</v>
      </c>
      <c r="CC212" s="3966">
        <f>CC209/CC$154</f>
        <v>0.34766230888544208</v>
      </c>
      <c r="CD212" s="3973">
        <f t="shared" si="483"/>
        <v>0.34774346257889988</v>
      </c>
      <c r="CE212" s="3966">
        <f t="shared" ref="CE212:CL212" si="484">CE209/CE$154</f>
        <v>0.35183104920242642</v>
      </c>
      <c r="CF212" s="3966">
        <f t="shared" si="484"/>
        <v>0.3554243041412084</v>
      </c>
      <c r="CG212" s="3966">
        <f t="shared" si="484"/>
        <v>0.34626811594202894</v>
      </c>
      <c r="CH212" s="3973">
        <f t="shared" si="484"/>
        <v>0.34732804959785518</v>
      </c>
      <c r="CI212" s="3966">
        <f t="shared" si="484"/>
        <v>0.35854447852760735</v>
      </c>
      <c r="CJ212" s="3966">
        <f t="shared" si="484"/>
        <v>0.35978809686221008</v>
      </c>
      <c r="CK212" s="3966">
        <f t="shared" si="484"/>
        <v>0.36283724897307162</v>
      </c>
      <c r="CL212" s="3973">
        <f t="shared" si="484"/>
        <v>0.36639429593145251</v>
      </c>
      <c r="CM212" s="3966"/>
      <c r="CN212" s="3966"/>
      <c r="CO212" s="3966"/>
      <c r="CP212" s="3973"/>
      <c r="CQ212" s="3975"/>
      <c r="CR212" s="3966"/>
      <c r="CS212" s="3966"/>
      <c r="CT212" s="3973"/>
    </row>
    <row r="213" spans="1:98" hidden="1" outlineLevel="2">
      <c r="A213" s="2065" t="s">
        <v>279</v>
      </c>
      <c r="B213" s="3954"/>
      <c r="C213" s="3954"/>
      <c r="D213" s="3954"/>
      <c r="E213" s="3954"/>
      <c r="F213" s="3954"/>
      <c r="G213" s="3954"/>
      <c r="H213" s="3954"/>
      <c r="I213" s="3954"/>
      <c r="J213" s="3954"/>
      <c r="K213" s="3954"/>
      <c r="L213" s="3954"/>
      <c r="M213" s="3954"/>
      <c r="N213" s="3954"/>
      <c r="O213" s="3954"/>
      <c r="P213" s="3954"/>
      <c r="Q213" s="3954"/>
      <c r="R213" s="3954"/>
      <c r="S213" s="3954"/>
      <c r="T213" s="3954"/>
      <c r="U213" s="3954"/>
      <c r="V213" s="3954"/>
      <c r="W213" s="3954"/>
      <c r="X213" s="3954"/>
      <c r="Y213" s="3954"/>
      <c r="Z213" s="3954"/>
      <c r="AA213" s="3954"/>
      <c r="AB213" s="3954"/>
      <c r="AC213" s="3954"/>
      <c r="AD213" s="3954"/>
      <c r="AE213" s="3954"/>
      <c r="AF213" s="3954"/>
      <c r="AG213" s="3920"/>
      <c r="AH213" s="3921"/>
      <c r="AI213" s="3954"/>
      <c r="AJ213" s="3954"/>
      <c r="AK213" s="3954"/>
      <c r="AL213" s="3954"/>
      <c r="AM213" s="3954"/>
      <c r="AN213" s="3954"/>
      <c r="AO213" s="3954"/>
      <c r="AP213" s="3954"/>
      <c r="AQ213" s="3954"/>
      <c r="AR213" s="3954"/>
      <c r="AS213" s="3954"/>
      <c r="AT213" s="3954"/>
      <c r="AU213" s="3954"/>
      <c r="AV213" s="3954"/>
      <c r="AW213" s="3954"/>
      <c r="AX213" s="3954"/>
      <c r="AY213" s="3954"/>
      <c r="AZ213" s="3954"/>
      <c r="BA213" s="3954"/>
      <c r="BB213" s="3954"/>
      <c r="BC213" s="3955"/>
      <c r="BD213" s="3956"/>
      <c r="BE213" s="3956"/>
      <c r="BF213" s="3956"/>
      <c r="BG213" s="3955"/>
      <c r="BH213" s="3956"/>
      <c r="BI213" s="3956"/>
      <c r="BJ213" s="3956"/>
      <c r="BK213" s="3957"/>
      <c r="BL213" s="3954"/>
      <c r="BM213" s="3954"/>
      <c r="BN213" s="3954"/>
      <c r="BO213" s="3957"/>
      <c r="BP213" s="3954"/>
      <c r="BQ213" s="3954"/>
      <c r="BR213" s="3958"/>
      <c r="BS213" s="3957"/>
      <c r="BT213" s="3954"/>
      <c r="BU213" s="3954"/>
      <c r="BV213" s="3954"/>
      <c r="BW213" s="3957"/>
      <c r="BX213" s="3954"/>
      <c r="BY213" s="3954"/>
      <c r="BZ213" s="3958"/>
      <c r="CA213" s="3957"/>
      <c r="CB213" s="3954"/>
      <c r="CC213" s="3954"/>
      <c r="CD213" s="3958"/>
      <c r="CE213" s="3954"/>
      <c r="CF213" s="3954"/>
      <c r="CG213" s="3954"/>
      <c r="CH213" s="3958"/>
      <c r="CI213" s="3954"/>
      <c r="CJ213" s="3954"/>
      <c r="CK213" s="3954"/>
      <c r="CL213" s="3958"/>
      <c r="CM213" s="3954"/>
      <c r="CN213" s="3954"/>
      <c r="CO213" s="3954"/>
      <c r="CP213" s="3958"/>
      <c r="CQ213" s="3957"/>
      <c r="CR213" s="3954"/>
      <c r="CS213" s="3954"/>
      <c r="CT213" s="3958"/>
    </row>
    <row r="214" spans="1:98" hidden="1" outlineLevel="2">
      <c r="A214" s="3959" t="s">
        <v>790</v>
      </c>
      <c r="B214" s="3960"/>
      <c r="C214" s="3960"/>
      <c r="D214" s="3960"/>
      <c r="E214" s="3960"/>
      <c r="F214" s="3960"/>
      <c r="G214" s="3960"/>
      <c r="H214" s="3960"/>
      <c r="I214" s="3960"/>
      <c r="J214" s="3960"/>
      <c r="K214" s="3960"/>
      <c r="L214" s="3960"/>
      <c r="M214" s="3876" t="s">
        <v>1091</v>
      </c>
      <c r="N214" s="3960"/>
      <c r="O214" s="3960"/>
      <c r="P214" s="3960"/>
      <c r="Q214" s="3960"/>
      <c r="R214" s="3960"/>
      <c r="S214" s="3960"/>
      <c r="T214" s="3960"/>
      <c r="U214" s="3960"/>
      <c r="V214" s="3960"/>
      <c r="W214" s="3960"/>
      <c r="X214" s="3960"/>
      <c r="Y214" s="3960"/>
      <c r="Z214" s="3960"/>
      <c r="AA214" s="3960"/>
      <c r="AB214" s="3960"/>
      <c r="AC214" s="3960"/>
      <c r="AD214" s="3960"/>
      <c r="AE214" s="3960"/>
      <c r="AF214" s="3960"/>
      <c r="AG214" s="3920"/>
      <c r="AH214" s="3921"/>
      <c r="AI214" s="3960"/>
      <c r="AJ214" s="3960"/>
      <c r="AK214" s="3960"/>
      <c r="AL214" s="3960"/>
      <c r="AM214" s="3960"/>
      <c r="AN214" s="3960"/>
      <c r="AO214" s="3960"/>
      <c r="AP214" s="3960"/>
      <c r="AQ214" s="3960"/>
      <c r="AR214" s="3960"/>
      <c r="AS214" s="3960"/>
      <c r="AT214" s="3960"/>
      <c r="AU214" s="3960"/>
      <c r="AV214" s="3960"/>
      <c r="AW214" s="3960"/>
      <c r="AX214" s="3960"/>
      <c r="AY214" s="3960"/>
      <c r="AZ214" s="3960"/>
      <c r="BA214" s="3960"/>
      <c r="BB214" s="3960"/>
      <c r="BC214" s="3961"/>
      <c r="BD214" s="3962"/>
      <c r="BE214" s="3962"/>
      <c r="BF214" s="3962"/>
      <c r="BG214" s="3961"/>
      <c r="BH214" s="3962"/>
      <c r="BI214" s="3962"/>
      <c r="BJ214" s="3962"/>
      <c r="BK214" s="3959"/>
      <c r="BL214" s="3960"/>
      <c r="BM214" s="3960"/>
      <c r="BN214" s="3960"/>
      <c r="BO214" s="3933" t="s">
        <v>1090</v>
      </c>
      <c r="BP214" s="3995"/>
      <c r="BQ214" s="3960"/>
      <c r="BR214" s="3963"/>
      <c r="BS214" s="3959"/>
      <c r="BT214" s="3960"/>
      <c r="BU214" s="3960"/>
      <c r="BV214" s="3960"/>
      <c r="BW214" s="3959"/>
      <c r="BX214" s="3960"/>
      <c r="BY214" s="3960"/>
      <c r="BZ214" s="3963"/>
      <c r="CA214" s="3959"/>
      <c r="CB214" s="3960"/>
      <c r="CC214" s="3960"/>
      <c r="CD214" s="3963"/>
      <c r="CE214" s="3960"/>
      <c r="CF214" s="3960"/>
      <c r="CG214" s="3960"/>
      <c r="CH214" s="3963"/>
      <c r="CI214" s="3960"/>
      <c r="CJ214" s="3960"/>
      <c r="CK214" s="3960"/>
      <c r="CL214" s="3963"/>
      <c r="CM214" s="3960"/>
      <c r="CN214" s="3960"/>
      <c r="CO214" s="3960"/>
      <c r="CP214" s="3963"/>
      <c r="CQ214" s="3959"/>
      <c r="CR214" s="3960"/>
      <c r="CS214" s="3960"/>
      <c r="CT214" s="3963"/>
    </row>
    <row r="215" spans="1:98" hidden="1" outlineLevel="2">
      <c r="A215" s="2066" t="s">
        <v>659</v>
      </c>
      <c r="B215" s="114"/>
      <c r="C215" s="114"/>
      <c r="D215" s="114"/>
      <c r="E215" s="114"/>
      <c r="F215" s="114"/>
      <c r="G215" s="114"/>
      <c r="H215" s="114"/>
      <c r="I215" s="114"/>
      <c r="J215" s="114"/>
      <c r="K215" s="114"/>
      <c r="L215" s="150"/>
      <c r="M215" s="2304">
        <f>+SUM(BO215:BR215)</f>
        <v>2266</v>
      </c>
      <c r="N215" s="150">
        <f>+SUM(BS215:BV215)</f>
        <v>2294</v>
      </c>
      <c r="O215" s="150">
        <f>+SUM(BW215:BZ215)</f>
        <v>2286</v>
      </c>
      <c r="P215" s="2033">
        <f>SUM(CA215:CD215)</f>
        <v>2273.19</v>
      </c>
      <c r="Q215" s="2033">
        <f>SUM(CE215:CH215)</f>
        <v>2227.7262000000001</v>
      </c>
      <c r="R215" s="2033">
        <f>SUM(CF215:CI215)</f>
        <v>2216.5542</v>
      </c>
      <c r="S215" s="2033"/>
      <c r="T215" s="2033"/>
      <c r="U215" s="150"/>
      <c r="V215" s="150"/>
      <c r="W215" s="150"/>
      <c r="X215" s="150"/>
      <c r="Y215" s="150"/>
      <c r="Z215" s="150"/>
      <c r="AA215" s="150"/>
      <c r="AB215" s="150"/>
      <c r="AC215" s="150"/>
      <c r="AD215" s="150"/>
      <c r="AE215" s="150"/>
      <c r="AF215" s="150"/>
      <c r="AG215" s="2553"/>
      <c r="AH215" s="2714"/>
      <c r="AI215" s="114"/>
      <c r="AJ215" s="114"/>
      <c r="AK215" s="114"/>
      <c r="AL215" s="114"/>
      <c r="AM215" s="114"/>
      <c r="AN215" s="114"/>
      <c r="AO215" s="114"/>
      <c r="AP215" s="114"/>
      <c r="AQ215" s="114"/>
      <c r="AR215" s="114"/>
      <c r="AS215" s="114"/>
      <c r="AT215" s="114"/>
      <c r="AU215" s="114"/>
      <c r="AV215" s="114"/>
      <c r="AW215" s="114"/>
      <c r="AX215" s="114"/>
      <c r="AY215" s="114"/>
      <c r="AZ215" s="114"/>
      <c r="BA215" s="114"/>
      <c r="BB215" s="114"/>
      <c r="BC215" s="2050"/>
      <c r="BD215" s="2067"/>
      <c r="BE215" s="2067"/>
      <c r="BF215" s="2067"/>
      <c r="BG215" s="2050"/>
      <c r="BH215" s="2067"/>
      <c r="BI215" s="2067"/>
      <c r="BJ215" s="2067"/>
      <c r="BK215" s="2045"/>
      <c r="BL215" s="2047"/>
      <c r="BM215" s="2047"/>
      <c r="BN215" s="2047"/>
      <c r="BO215" s="2301">
        <v>559</v>
      </c>
      <c r="BP215" s="2302">
        <v>562</v>
      </c>
      <c r="BQ215" s="2302">
        <v>573</v>
      </c>
      <c r="BR215" s="2303">
        <v>572</v>
      </c>
      <c r="BS215" s="2045">
        <v>582</v>
      </c>
      <c r="BT215" s="2047">
        <v>573</v>
      </c>
      <c r="BU215" s="2047">
        <v>568</v>
      </c>
      <c r="BV215" s="2047">
        <v>571</v>
      </c>
      <c r="BW215" s="2045">
        <v>571</v>
      </c>
      <c r="BX215" s="2047">
        <v>571</v>
      </c>
      <c r="BY215" s="2047">
        <v>563</v>
      </c>
      <c r="BZ215" s="2046">
        <v>581</v>
      </c>
      <c r="CA215" s="2045">
        <v>570</v>
      </c>
      <c r="CB215" s="2047">
        <v>568</v>
      </c>
      <c r="CC215" s="2047">
        <v>560</v>
      </c>
      <c r="CD215" s="2046">
        <f t="shared" ref="CD215:CL215" si="485">+BZ215*(1+CD216)</f>
        <v>575.18999999999994</v>
      </c>
      <c r="CE215" s="150">
        <f t="shared" si="485"/>
        <v>558.6</v>
      </c>
      <c r="CF215" s="2047">
        <f t="shared" si="485"/>
        <v>556.64</v>
      </c>
      <c r="CG215" s="2047">
        <f t="shared" si="485"/>
        <v>548.79999999999995</v>
      </c>
      <c r="CH215" s="2046">
        <f t="shared" si="485"/>
        <v>563.68619999999999</v>
      </c>
      <c r="CI215" s="2047">
        <f t="shared" si="485"/>
        <v>547.428</v>
      </c>
      <c r="CJ215" s="2047">
        <f t="shared" si="485"/>
        <v>545.50720000000001</v>
      </c>
      <c r="CK215" s="2047">
        <f t="shared" si="485"/>
        <v>537.82399999999996</v>
      </c>
      <c r="CL215" s="2046">
        <f t="shared" si="485"/>
        <v>552.41247599999997</v>
      </c>
      <c r="CM215" s="150"/>
      <c r="CN215" s="2047"/>
      <c r="CO215" s="2047"/>
      <c r="CP215" s="2046"/>
      <c r="CQ215" s="139"/>
      <c r="CR215" s="150"/>
      <c r="CS215" s="150"/>
      <c r="CT215" s="360"/>
    </row>
    <row r="216" spans="1:98" hidden="1" outlineLevel="2">
      <c r="A216" s="3965" t="s">
        <v>34</v>
      </c>
      <c r="B216" s="3960"/>
      <c r="C216" s="3960"/>
      <c r="D216" s="3960"/>
      <c r="E216" s="3960"/>
      <c r="F216" s="3960"/>
      <c r="G216" s="3960"/>
      <c r="H216" s="3960"/>
      <c r="I216" s="3960"/>
      <c r="J216" s="3960"/>
      <c r="K216" s="3960"/>
      <c r="L216" s="3960"/>
      <c r="M216" s="3966"/>
      <c r="N216" s="3939" t="s">
        <v>1089</v>
      </c>
      <c r="O216" s="3966">
        <f>+O215/N215-1</f>
        <v>-3.4873583260680574E-3</v>
      </c>
      <c r="P216" s="3966">
        <f>+P215/O215-1</f>
        <v>-5.6036745406824462E-3</v>
      </c>
      <c r="Q216" s="3966">
        <f>+Q215/P215-1</f>
        <v>-2.0000000000000018E-2</v>
      </c>
      <c r="R216" s="3966">
        <f>+R215/Q215-1</f>
        <v>-5.0149789502856867E-3</v>
      </c>
      <c r="S216" s="3966"/>
      <c r="T216" s="3966"/>
      <c r="U216" s="2068"/>
      <c r="V216" s="2068"/>
      <c r="W216" s="2068"/>
      <c r="X216" s="2068"/>
      <c r="Y216" s="2068"/>
      <c r="Z216" s="2068"/>
      <c r="AA216" s="2068"/>
      <c r="AB216" s="2068"/>
      <c r="AC216" s="2068"/>
      <c r="AD216" s="2068"/>
      <c r="AE216" s="2068"/>
      <c r="AF216" s="2068"/>
      <c r="AG216" s="3920"/>
      <c r="AH216" s="3921"/>
      <c r="AI216" s="3960"/>
      <c r="AJ216" s="3960"/>
      <c r="AK216" s="3960"/>
      <c r="AL216" s="3960"/>
      <c r="AM216" s="3960"/>
      <c r="AN216" s="3960"/>
      <c r="AO216" s="3960"/>
      <c r="AP216" s="3960"/>
      <c r="AQ216" s="3960"/>
      <c r="AR216" s="3960"/>
      <c r="AS216" s="3960"/>
      <c r="AT216" s="3960"/>
      <c r="AU216" s="3960"/>
      <c r="AV216" s="3960"/>
      <c r="AW216" s="3960"/>
      <c r="AX216" s="3960"/>
      <c r="AY216" s="3960"/>
      <c r="AZ216" s="3960"/>
      <c r="BA216" s="3960"/>
      <c r="BB216" s="3960"/>
      <c r="BC216" s="3961"/>
      <c r="BD216" s="3962"/>
      <c r="BE216" s="3962"/>
      <c r="BF216" s="3962"/>
      <c r="BG216" s="3961"/>
      <c r="BH216" s="3962"/>
      <c r="BI216" s="3962"/>
      <c r="BJ216" s="3962"/>
      <c r="BK216" s="2051"/>
      <c r="BL216" s="3967"/>
      <c r="BM216" s="3967"/>
      <c r="BN216" s="3967"/>
      <c r="BO216" s="3971"/>
      <c r="BP216" s="3967"/>
      <c r="BQ216" s="3967"/>
      <c r="BR216" s="3972"/>
      <c r="BS216" s="3968" t="s">
        <v>1089</v>
      </c>
      <c r="BT216" s="3969" t="s">
        <v>1089</v>
      </c>
      <c r="BU216" s="3969" t="s">
        <v>1089</v>
      </c>
      <c r="BV216" s="3969" t="s">
        <v>1089</v>
      </c>
      <c r="BW216" s="3971">
        <f t="shared" ref="BW216:CC216" si="486">+BW215/BS215-1</f>
        <v>-1.8900343642611728E-2</v>
      </c>
      <c r="BX216" s="3967">
        <f t="shared" si="486"/>
        <v>-3.4904013961605251E-3</v>
      </c>
      <c r="BY216" s="3967">
        <f t="shared" si="486"/>
        <v>-8.8028169014084945E-3</v>
      </c>
      <c r="BZ216" s="3972">
        <f t="shared" si="486"/>
        <v>1.7513134851138368E-2</v>
      </c>
      <c r="CA216" s="3971">
        <f t="shared" si="486"/>
        <v>-1.7513134851138146E-3</v>
      </c>
      <c r="CB216" s="3967">
        <f t="shared" si="486"/>
        <v>-5.2539404553415547E-3</v>
      </c>
      <c r="CC216" s="3967">
        <f t="shared" si="486"/>
        <v>-5.3285968028419228E-3</v>
      </c>
      <c r="CD216" s="3972">
        <v>-0.01</v>
      </c>
      <c r="CE216" s="2068">
        <v>-0.02</v>
      </c>
      <c r="CF216" s="3967">
        <v>-0.02</v>
      </c>
      <c r="CG216" s="3967">
        <v>-0.02</v>
      </c>
      <c r="CH216" s="3972">
        <v>-0.02</v>
      </c>
      <c r="CI216" s="3967">
        <v>-0.02</v>
      </c>
      <c r="CJ216" s="3967">
        <v>-0.02</v>
      </c>
      <c r="CK216" s="3967">
        <v>-0.02</v>
      </c>
      <c r="CL216" s="3972">
        <v>-0.02</v>
      </c>
      <c r="CM216" s="2068"/>
      <c r="CN216" s="3967"/>
      <c r="CO216" s="3967"/>
      <c r="CP216" s="3972"/>
      <c r="CQ216" s="3829"/>
      <c r="CR216" s="2068"/>
      <c r="CS216" s="2068"/>
      <c r="CT216" s="2048"/>
    </row>
    <row r="217" spans="1:98" hidden="1" outlineLevel="2">
      <c r="A217" s="3965" t="s">
        <v>947</v>
      </c>
      <c r="B217" s="3960"/>
      <c r="C217" s="3960"/>
      <c r="D217" s="3960"/>
      <c r="E217" s="3960"/>
      <c r="F217" s="3960"/>
      <c r="G217" s="3960"/>
      <c r="H217" s="3960"/>
      <c r="I217" s="3960"/>
      <c r="J217" s="3960"/>
      <c r="K217" s="3960"/>
      <c r="L217" s="3960"/>
      <c r="M217" s="3960"/>
      <c r="N217" s="3960"/>
      <c r="O217" s="3960"/>
      <c r="P217" s="3960"/>
      <c r="Q217" s="3960"/>
      <c r="R217" s="3960"/>
      <c r="S217" s="3960"/>
      <c r="T217" s="3960"/>
      <c r="U217" s="3960"/>
      <c r="V217" s="3960"/>
      <c r="W217" s="3960"/>
      <c r="X217" s="3960"/>
      <c r="Y217" s="3960"/>
      <c r="Z217" s="3960"/>
      <c r="AA217" s="3960"/>
      <c r="AB217" s="3960"/>
      <c r="AC217" s="3960"/>
      <c r="AD217" s="3960"/>
      <c r="AE217" s="3960"/>
      <c r="AF217" s="3960"/>
      <c r="AG217" s="3920"/>
      <c r="AH217" s="3921"/>
      <c r="AI217" s="3960"/>
      <c r="AJ217" s="3960"/>
      <c r="AK217" s="3960"/>
      <c r="AL217" s="3960"/>
      <c r="AM217" s="3960"/>
      <c r="AN217" s="3960"/>
      <c r="AO217" s="3960"/>
      <c r="AP217" s="3960"/>
      <c r="AQ217" s="3960"/>
      <c r="AR217" s="3960"/>
      <c r="AS217" s="3960"/>
      <c r="AT217" s="3960"/>
      <c r="AU217" s="3960"/>
      <c r="AV217" s="3960"/>
      <c r="AW217" s="3960"/>
      <c r="AX217" s="3960"/>
      <c r="AY217" s="3960"/>
      <c r="AZ217" s="3960"/>
      <c r="BA217" s="3960"/>
      <c r="BB217" s="3960"/>
      <c r="BC217" s="3961"/>
      <c r="BD217" s="3962"/>
      <c r="BE217" s="3962"/>
      <c r="BF217" s="3962"/>
      <c r="BG217" s="3961"/>
      <c r="BH217" s="3962"/>
      <c r="BI217" s="3962"/>
      <c r="BJ217" s="3962"/>
      <c r="BK217" s="2051"/>
      <c r="BL217" s="3966"/>
      <c r="BM217" s="3966"/>
      <c r="BN217" s="3966"/>
      <c r="BO217" s="3975"/>
      <c r="BP217" s="3966">
        <f>+BP215/BO215-1</f>
        <v>5.3667262969587792E-3</v>
      </c>
      <c r="BQ217" s="3966">
        <f>+BQ215/BP215-1</f>
        <v>1.9572953736654908E-2</v>
      </c>
      <c r="BR217" s="3973">
        <f>+BR215/BQ215-1</f>
        <v>-1.7452006980802626E-3</v>
      </c>
      <c r="BS217" s="3974" t="s">
        <v>1089</v>
      </c>
      <c r="BT217" s="3966">
        <f>+BT215/BS215-1</f>
        <v>-1.5463917525773141E-2</v>
      </c>
      <c r="BU217" s="3966">
        <f t="shared" ref="BU217:CC217" si="487">+BU215/BT215-1</f>
        <v>-8.7260034904014239E-3</v>
      </c>
      <c r="BV217" s="3966">
        <f t="shared" si="487"/>
        <v>5.2816901408450079E-3</v>
      </c>
      <c r="BW217" s="3975">
        <f t="shared" si="487"/>
        <v>0</v>
      </c>
      <c r="BX217" s="3966">
        <f t="shared" si="487"/>
        <v>0</v>
      </c>
      <c r="BY217" s="3966">
        <f t="shared" si="487"/>
        <v>-1.4010507880910628E-2</v>
      </c>
      <c r="BZ217" s="3973">
        <f t="shared" si="487"/>
        <v>3.1971580817051537E-2</v>
      </c>
      <c r="CA217" s="3975">
        <f t="shared" si="487"/>
        <v>-1.8932874354561147E-2</v>
      </c>
      <c r="CB217" s="3966">
        <f t="shared" si="487"/>
        <v>-3.5087719298245723E-3</v>
      </c>
      <c r="CC217" s="3966">
        <f t="shared" si="487"/>
        <v>-1.4084507042253502E-2</v>
      </c>
      <c r="CD217" s="3973">
        <f t="shared" ref="CD217:CL217" si="488">+CD215/CC215-1</f>
        <v>2.7124999999999844E-2</v>
      </c>
      <c r="CE217" s="3966">
        <f t="shared" si="488"/>
        <v>-2.884264330047448E-2</v>
      </c>
      <c r="CF217" s="3966">
        <f t="shared" si="488"/>
        <v>-3.5087719298245723E-3</v>
      </c>
      <c r="CG217" s="3966">
        <f t="shared" si="488"/>
        <v>-1.4084507042253613E-2</v>
      </c>
      <c r="CH217" s="3973">
        <f t="shared" si="488"/>
        <v>2.7125000000000066E-2</v>
      </c>
      <c r="CI217" s="3966">
        <f t="shared" si="488"/>
        <v>-2.8842643300474591E-2</v>
      </c>
      <c r="CJ217" s="3966">
        <f t="shared" si="488"/>
        <v>-3.5087719298245723E-3</v>
      </c>
      <c r="CK217" s="3966">
        <f t="shared" si="488"/>
        <v>-1.4084507042253613E-2</v>
      </c>
      <c r="CL217" s="3973">
        <f t="shared" si="488"/>
        <v>2.7125000000000066E-2</v>
      </c>
      <c r="CM217" s="3966"/>
      <c r="CN217" s="3966"/>
      <c r="CO217" s="3966"/>
      <c r="CP217" s="3973"/>
      <c r="CQ217" s="3975"/>
      <c r="CR217" s="3966"/>
      <c r="CS217" s="3966"/>
      <c r="CT217" s="3973"/>
    </row>
    <row r="218" spans="1:98" hidden="1" outlineLevel="2">
      <c r="A218" s="3965" t="s">
        <v>948</v>
      </c>
      <c r="B218" s="3960"/>
      <c r="C218" s="3960"/>
      <c r="D218" s="3960"/>
      <c r="E218" s="3960"/>
      <c r="F218" s="3960"/>
      <c r="G218" s="3960"/>
      <c r="H218" s="3960"/>
      <c r="I218" s="3960"/>
      <c r="J218" s="3960"/>
      <c r="K218" s="3960"/>
      <c r="L218" s="3967"/>
      <c r="M218" s="3967">
        <f t="shared" ref="M218:R218" si="489">+M215/M$139</f>
        <v>0.28310844577711142</v>
      </c>
      <c r="N218" s="3967">
        <f t="shared" si="489"/>
        <v>0.27218794494542004</v>
      </c>
      <c r="O218" s="3967">
        <f t="shared" si="489"/>
        <v>0.25909554573274396</v>
      </c>
      <c r="P218" s="3967">
        <f t="shared" si="489"/>
        <v>0.29162155227710074</v>
      </c>
      <c r="Q218" s="3967">
        <f t="shared" si="489"/>
        <v>0.28645058505850585</v>
      </c>
      <c r="R218" s="3967">
        <f t="shared" si="489"/>
        <v>0.27371625092615459</v>
      </c>
      <c r="S218" s="3967"/>
      <c r="T218" s="3967"/>
      <c r="U218" s="3967"/>
      <c r="V218" s="3967"/>
      <c r="W218" s="3967"/>
      <c r="X218" s="3967"/>
      <c r="Y218" s="3967"/>
      <c r="Z218" s="3967"/>
      <c r="AA218" s="3967"/>
      <c r="AB218" s="3967"/>
      <c r="AC218" s="3967"/>
      <c r="AD218" s="3967"/>
      <c r="AE218" s="3967"/>
      <c r="AF218" s="3967"/>
      <c r="AG218" s="3920"/>
      <c r="AH218" s="3921"/>
      <c r="AI218" s="3960"/>
      <c r="AJ218" s="3960"/>
      <c r="AK218" s="3960"/>
      <c r="AL218" s="3960"/>
      <c r="AM218" s="3960"/>
      <c r="AN218" s="3960"/>
      <c r="AO218" s="3960"/>
      <c r="AP218" s="3960"/>
      <c r="AQ218" s="3960"/>
      <c r="AR218" s="3960"/>
      <c r="AS218" s="3960"/>
      <c r="AT218" s="3960"/>
      <c r="AU218" s="3960"/>
      <c r="AV218" s="3960"/>
      <c r="AW218" s="3960"/>
      <c r="AX218" s="3960"/>
      <c r="AY218" s="3960"/>
      <c r="AZ218" s="3960"/>
      <c r="BA218" s="3960"/>
      <c r="BB218" s="3960"/>
      <c r="BC218" s="3961"/>
      <c r="BD218" s="3962"/>
      <c r="BE218" s="3962"/>
      <c r="BF218" s="3962"/>
      <c r="BG218" s="3961"/>
      <c r="BH218" s="3962"/>
      <c r="BI218" s="3962"/>
      <c r="BJ218" s="3962"/>
      <c r="BK218" s="3971"/>
      <c r="BL218" s="3967"/>
      <c r="BM218" s="3967"/>
      <c r="BN218" s="3967"/>
      <c r="BO218" s="3971">
        <f t="shared" ref="BO218:CD218" si="490">+BO215/BO$139</f>
        <v>0.2817540322580645</v>
      </c>
      <c r="BP218" s="3967">
        <f t="shared" si="490"/>
        <v>0.28227021597187341</v>
      </c>
      <c r="BQ218" s="3967">
        <f t="shared" si="490"/>
        <v>0.28707414829659317</v>
      </c>
      <c r="BR218" s="3972">
        <f t="shared" si="490"/>
        <v>0.28135759960649287</v>
      </c>
      <c r="BS218" s="3971">
        <f t="shared" si="490"/>
        <v>0.28115942028985508</v>
      </c>
      <c r="BT218" s="3967">
        <f t="shared" si="490"/>
        <v>0.27363896848137537</v>
      </c>
      <c r="BU218" s="3967">
        <f t="shared" si="490"/>
        <v>0.26805096743747048</v>
      </c>
      <c r="BV218" s="3967">
        <f t="shared" si="490"/>
        <v>0.26620046620046622</v>
      </c>
      <c r="BW218" s="3971">
        <f t="shared" si="490"/>
        <v>0.26386321626617376</v>
      </c>
      <c r="BX218" s="3967">
        <f t="shared" si="490"/>
        <v>0.26120768526989935</v>
      </c>
      <c r="BY218" s="3967">
        <f t="shared" si="490"/>
        <v>0.25452079566003616</v>
      </c>
      <c r="BZ218" s="3972">
        <f t="shared" si="490"/>
        <v>0.25696594427244585</v>
      </c>
      <c r="CA218" s="3971">
        <f>+CA215/CA$139</f>
        <v>0.25099075297225892</v>
      </c>
      <c r="CB218" s="3967">
        <f>+CB215/CB$139</f>
        <v>0.3131201764057332</v>
      </c>
      <c r="CC218" s="3967">
        <f>+CC215/CC$139</f>
        <v>0.30352303523035229</v>
      </c>
      <c r="CD218" s="3972">
        <f t="shared" si="490"/>
        <v>0.30841286863270773</v>
      </c>
      <c r="CE218" s="3967">
        <f t="shared" ref="CE218:CL218" si="491">+CE215/CE$139</f>
        <v>0.29353652128218605</v>
      </c>
      <c r="CF218" s="3967">
        <f t="shared" si="491"/>
        <v>0.28856402280974597</v>
      </c>
      <c r="CG218" s="3967">
        <f t="shared" si="491"/>
        <v>0.28274085522926323</v>
      </c>
      <c r="CH218" s="3972">
        <f t="shared" si="491"/>
        <v>0.28128053892215565</v>
      </c>
      <c r="CI218" s="3967">
        <f t="shared" si="491"/>
        <v>0.27357721139430285</v>
      </c>
      <c r="CJ218" s="3967">
        <f t="shared" si="491"/>
        <v>0.26714358472086192</v>
      </c>
      <c r="CK218" s="3967">
        <f t="shared" si="491"/>
        <v>0.26533004440059199</v>
      </c>
      <c r="CL218" s="3972">
        <f t="shared" si="491"/>
        <v>0.27239273964497041</v>
      </c>
      <c r="CM218" s="3967"/>
      <c r="CN218" s="3967"/>
      <c r="CO218" s="3967"/>
      <c r="CP218" s="3972"/>
      <c r="CQ218" s="3971"/>
      <c r="CR218" s="3967"/>
      <c r="CS218" s="3967"/>
      <c r="CT218" s="3972"/>
    </row>
    <row r="219" spans="1:98" hidden="1" outlineLevel="2">
      <c r="A219" s="2066" t="s">
        <v>658</v>
      </c>
      <c r="B219" s="114"/>
      <c r="C219" s="114"/>
      <c r="D219" s="114"/>
      <c r="E219" s="114"/>
      <c r="F219" s="114"/>
      <c r="G219" s="114"/>
      <c r="H219" s="114"/>
      <c r="I219" s="114"/>
      <c r="J219" s="114"/>
      <c r="K219" s="114"/>
      <c r="L219" s="150"/>
      <c r="M219" s="2304">
        <f>+SUM(BO219:BR219)</f>
        <v>1667</v>
      </c>
      <c r="N219" s="150">
        <f>+SUM(BS219:BV219)</f>
        <v>1428</v>
      </c>
      <c r="O219" s="150">
        <f>+SUM(BW219:BZ219)</f>
        <v>1292</v>
      </c>
      <c r="P219" s="2033">
        <f>SUM(CA219:CD219)</f>
        <v>1135.095</v>
      </c>
      <c r="Q219" s="2033">
        <f>SUM(CE219:CH219)</f>
        <v>987.53264999999999</v>
      </c>
      <c r="R219" s="2033">
        <f>SUM(CF219:CI219)</f>
        <v>954.50745000000006</v>
      </c>
      <c r="S219" s="2033"/>
      <c r="T219" s="2033"/>
      <c r="U219" s="150"/>
      <c r="V219" s="150"/>
      <c r="W219" s="150"/>
      <c r="X219" s="150"/>
      <c r="Y219" s="150"/>
      <c r="Z219" s="150"/>
      <c r="AA219" s="150"/>
      <c r="AB219" s="150"/>
      <c r="AC219" s="150"/>
      <c r="AD219" s="150"/>
      <c r="AE219" s="150"/>
      <c r="AF219" s="150"/>
      <c r="AG219" s="2553"/>
      <c r="AH219" s="2714"/>
      <c r="AI219" s="114"/>
      <c r="AJ219" s="114"/>
      <c r="AK219" s="114"/>
      <c r="AL219" s="114"/>
      <c r="AM219" s="114"/>
      <c r="AN219" s="114"/>
      <c r="AO219" s="114"/>
      <c r="AP219" s="114"/>
      <c r="AQ219" s="114"/>
      <c r="AR219" s="114"/>
      <c r="AS219" s="114"/>
      <c r="AT219" s="114"/>
      <c r="AU219" s="114"/>
      <c r="AV219" s="114"/>
      <c r="AW219" s="114"/>
      <c r="AX219" s="114"/>
      <c r="AY219" s="114"/>
      <c r="AZ219" s="114"/>
      <c r="BA219" s="114"/>
      <c r="BB219" s="114"/>
      <c r="BC219" s="2050"/>
      <c r="BD219" s="2067"/>
      <c r="BE219" s="2067"/>
      <c r="BF219" s="2067"/>
      <c r="BG219" s="2050"/>
      <c r="BH219" s="2067"/>
      <c r="BI219" s="2067"/>
      <c r="BJ219" s="2067"/>
      <c r="BK219" s="2045"/>
      <c r="BL219" s="2047"/>
      <c r="BM219" s="2047"/>
      <c r="BN219" s="2047"/>
      <c r="BO219" s="2301">
        <v>444</v>
      </c>
      <c r="BP219" s="2302">
        <v>423</v>
      </c>
      <c r="BQ219" s="2302">
        <v>410</v>
      </c>
      <c r="BR219" s="2303">
        <v>390</v>
      </c>
      <c r="BS219" s="2045">
        <v>380</v>
      </c>
      <c r="BT219" s="2047">
        <v>372</v>
      </c>
      <c r="BU219" s="2047">
        <v>341</v>
      </c>
      <c r="BV219" s="2047">
        <v>335</v>
      </c>
      <c r="BW219" s="2045">
        <v>335</v>
      </c>
      <c r="BX219" s="2047">
        <v>339</v>
      </c>
      <c r="BY219" s="2047">
        <v>315</v>
      </c>
      <c r="BZ219" s="2046">
        <v>303</v>
      </c>
      <c r="CA219" s="2045">
        <v>292</v>
      </c>
      <c r="CB219" s="2047">
        <v>298</v>
      </c>
      <c r="CC219" s="2047">
        <v>283</v>
      </c>
      <c r="CD219" s="2046">
        <f t="shared" ref="CD219:CL219" si="492">+BZ219*(1+CD220)</f>
        <v>262.09499999999997</v>
      </c>
      <c r="CE219" s="150">
        <f t="shared" si="492"/>
        <v>254.04</v>
      </c>
      <c r="CF219" s="2047">
        <f t="shared" si="492"/>
        <v>259.26</v>
      </c>
      <c r="CG219" s="2047">
        <f t="shared" si="492"/>
        <v>246.21</v>
      </c>
      <c r="CH219" s="2046">
        <f t="shared" si="492"/>
        <v>228.02264999999997</v>
      </c>
      <c r="CI219" s="2047">
        <f t="shared" si="492"/>
        <v>221.01479999999998</v>
      </c>
      <c r="CJ219" s="2047">
        <f t="shared" si="492"/>
        <v>225.55619999999999</v>
      </c>
      <c r="CK219" s="2047">
        <f t="shared" si="492"/>
        <v>214.20269999999999</v>
      </c>
      <c r="CL219" s="2046">
        <f t="shared" si="492"/>
        <v>198.37970549999997</v>
      </c>
      <c r="CM219" s="150"/>
      <c r="CN219" s="2047"/>
      <c r="CO219" s="2047"/>
      <c r="CP219" s="2046"/>
      <c r="CQ219" s="139"/>
      <c r="CR219" s="150"/>
      <c r="CS219" s="150"/>
      <c r="CT219" s="360"/>
    </row>
    <row r="220" spans="1:98" hidden="1" outlineLevel="2">
      <c r="A220" s="3965" t="s">
        <v>34</v>
      </c>
      <c r="B220" s="3960"/>
      <c r="C220" s="3960"/>
      <c r="D220" s="3960"/>
      <c r="E220" s="3960"/>
      <c r="F220" s="3960"/>
      <c r="G220" s="3960"/>
      <c r="H220" s="3960"/>
      <c r="I220" s="3960"/>
      <c r="J220" s="3960"/>
      <c r="K220" s="3960"/>
      <c r="L220" s="3960"/>
      <c r="M220" s="3966"/>
      <c r="N220" s="3939" t="s">
        <v>1089</v>
      </c>
      <c r="O220" s="3966">
        <f>+O219/N219-1</f>
        <v>-9.5238095238095233E-2</v>
      </c>
      <c r="P220" s="3966">
        <f>+P219/O219-1</f>
        <v>-0.12144349845201241</v>
      </c>
      <c r="Q220" s="3966">
        <f>+Q219/P219-1</f>
        <v>-0.13</v>
      </c>
      <c r="R220" s="3966">
        <f>+R219/Q219-1</f>
        <v>-3.3442134799289813E-2</v>
      </c>
      <c r="S220" s="3966"/>
      <c r="T220" s="3966"/>
      <c r="U220" s="2068"/>
      <c r="V220" s="2068"/>
      <c r="W220" s="2068"/>
      <c r="X220" s="2068"/>
      <c r="Y220" s="2068"/>
      <c r="Z220" s="2068"/>
      <c r="AA220" s="2068"/>
      <c r="AB220" s="2068"/>
      <c r="AC220" s="2068"/>
      <c r="AD220" s="2068"/>
      <c r="AE220" s="2068"/>
      <c r="AF220" s="2068"/>
      <c r="AG220" s="3920"/>
      <c r="AH220" s="3921"/>
      <c r="AI220" s="3960"/>
      <c r="AJ220" s="3960"/>
      <c r="AK220" s="3960"/>
      <c r="AL220" s="3960"/>
      <c r="AM220" s="3960"/>
      <c r="AN220" s="3960"/>
      <c r="AO220" s="3960"/>
      <c r="AP220" s="3960"/>
      <c r="AQ220" s="3960"/>
      <c r="AR220" s="3960"/>
      <c r="AS220" s="3960"/>
      <c r="AT220" s="3960"/>
      <c r="AU220" s="3960"/>
      <c r="AV220" s="3960"/>
      <c r="AW220" s="3960"/>
      <c r="AX220" s="3960"/>
      <c r="AY220" s="3960"/>
      <c r="AZ220" s="3960"/>
      <c r="BA220" s="3960"/>
      <c r="BB220" s="3960"/>
      <c r="BC220" s="3961"/>
      <c r="BD220" s="3962"/>
      <c r="BE220" s="3962"/>
      <c r="BF220" s="3962"/>
      <c r="BG220" s="3961"/>
      <c r="BH220" s="3962"/>
      <c r="BI220" s="3962"/>
      <c r="BJ220" s="3962"/>
      <c r="BK220" s="2051"/>
      <c r="BL220" s="3967"/>
      <c r="BM220" s="3967"/>
      <c r="BN220" s="3967"/>
      <c r="BO220" s="3971"/>
      <c r="BP220" s="3967"/>
      <c r="BQ220" s="3967"/>
      <c r="BR220" s="3972"/>
      <c r="BS220" s="3968" t="s">
        <v>1089</v>
      </c>
      <c r="BT220" s="3969" t="s">
        <v>1089</v>
      </c>
      <c r="BU220" s="3969" t="s">
        <v>1089</v>
      </c>
      <c r="BV220" s="3969" t="s">
        <v>1089</v>
      </c>
      <c r="BW220" s="3971">
        <f t="shared" ref="BW220:CC220" si="493">+BW219/BS219-1</f>
        <v>-0.11842105263157898</v>
      </c>
      <c r="BX220" s="3967">
        <f t="shared" si="493"/>
        <v>-8.8709677419354871E-2</v>
      </c>
      <c r="BY220" s="3967">
        <f t="shared" si="493"/>
        <v>-7.6246334310850483E-2</v>
      </c>
      <c r="BZ220" s="3972">
        <f t="shared" si="493"/>
        <v>-9.552238805970148E-2</v>
      </c>
      <c r="CA220" s="3971">
        <f t="shared" si="493"/>
        <v>-0.12835820895522387</v>
      </c>
      <c r="CB220" s="3967">
        <f t="shared" si="493"/>
        <v>-0.12094395280235992</v>
      </c>
      <c r="CC220" s="3967">
        <f t="shared" si="493"/>
        <v>-0.10158730158730156</v>
      </c>
      <c r="CD220" s="3972">
        <v>-0.13500000000000001</v>
      </c>
      <c r="CE220" s="355">
        <v>-0.13</v>
      </c>
      <c r="CF220" s="3967">
        <v>-0.13</v>
      </c>
      <c r="CG220" s="3967">
        <v>-0.13</v>
      </c>
      <c r="CH220" s="3972">
        <v>-0.13</v>
      </c>
      <c r="CI220" s="3967">
        <v>-0.13</v>
      </c>
      <c r="CJ220" s="3967">
        <v>-0.13</v>
      </c>
      <c r="CK220" s="3967">
        <v>-0.13</v>
      </c>
      <c r="CL220" s="3972">
        <v>-0.13</v>
      </c>
      <c r="CM220" s="355"/>
      <c r="CN220" s="3967"/>
      <c r="CO220" s="3967"/>
      <c r="CP220" s="3972"/>
      <c r="CQ220" s="3828"/>
      <c r="CR220" s="355"/>
      <c r="CS220" s="355"/>
      <c r="CT220" s="2049"/>
    </row>
    <row r="221" spans="1:98" hidden="1" outlineLevel="2">
      <c r="A221" s="3965" t="s">
        <v>947</v>
      </c>
      <c r="B221" s="3960"/>
      <c r="C221" s="3960"/>
      <c r="D221" s="3960"/>
      <c r="E221" s="3960"/>
      <c r="F221" s="3960"/>
      <c r="G221" s="3960"/>
      <c r="H221" s="3960"/>
      <c r="I221" s="3960"/>
      <c r="J221" s="3960"/>
      <c r="K221" s="3960"/>
      <c r="L221" s="3960"/>
      <c r="M221" s="3960"/>
      <c r="N221" s="3960"/>
      <c r="O221" s="3960"/>
      <c r="P221" s="3960"/>
      <c r="Q221" s="3960"/>
      <c r="R221" s="3960"/>
      <c r="S221" s="3960"/>
      <c r="T221" s="3960"/>
      <c r="U221" s="3960"/>
      <c r="V221" s="3960"/>
      <c r="W221" s="3960"/>
      <c r="X221" s="3960"/>
      <c r="Y221" s="3960"/>
      <c r="Z221" s="3960"/>
      <c r="AA221" s="3960"/>
      <c r="AB221" s="3960"/>
      <c r="AC221" s="3960"/>
      <c r="AD221" s="3960"/>
      <c r="AE221" s="3960"/>
      <c r="AF221" s="3960"/>
      <c r="AG221" s="3920"/>
      <c r="AH221" s="3921"/>
      <c r="AI221" s="3960"/>
      <c r="AJ221" s="3960"/>
      <c r="AK221" s="3960"/>
      <c r="AL221" s="3960"/>
      <c r="AM221" s="3960"/>
      <c r="AN221" s="3960"/>
      <c r="AO221" s="3960"/>
      <c r="AP221" s="3960"/>
      <c r="AQ221" s="3960"/>
      <c r="AR221" s="3960"/>
      <c r="AS221" s="3960"/>
      <c r="AT221" s="3960"/>
      <c r="AU221" s="3960"/>
      <c r="AV221" s="3960"/>
      <c r="AW221" s="3960"/>
      <c r="AX221" s="3960"/>
      <c r="AY221" s="3960"/>
      <c r="AZ221" s="3960"/>
      <c r="BA221" s="3960"/>
      <c r="BB221" s="3960"/>
      <c r="BC221" s="3961"/>
      <c r="BD221" s="3962"/>
      <c r="BE221" s="3962"/>
      <c r="BF221" s="3962"/>
      <c r="BG221" s="3961"/>
      <c r="BH221" s="3962"/>
      <c r="BI221" s="3962"/>
      <c r="BJ221" s="3962"/>
      <c r="BK221" s="2051"/>
      <c r="BL221" s="3966"/>
      <c r="BM221" s="3966"/>
      <c r="BN221" s="3966"/>
      <c r="BO221" s="3975"/>
      <c r="BP221" s="3966">
        <f>+BP219/BO219-1</f>
        <v>-4.7297297297297258E-2</v>
      </c>
      <c r="BQ221" s="3966">
        <f>+BQ219/BP219-1</f>
        <v>-3.0732860520094607E-2</v>
      </c>
      <c r="BR221" s="3973">
        <f>+BR219/BQ219-1</f>
        <v>-4.8780487804878092E-2</v>
      </c>
      <c r="BS221" s="3974" t="s">
        <v>1089</v>
      </c>
      <c r="BT221" s="3966">
        <f>+BT219/BS219-1</f>
        <v>-2.1052631578947323E-2</v>
      </c>
      <c r="BU221" s="3966">
        <f t="shared" ref="BU221:CC221" si="494">+BU219/BT219-1</f>
        <v>-8.333333333333337E-2</v>
      </c>
      <c r="BV221" s="3966">
        <f t="shared" si="494"/>
        <v>-1.7595307917888547E-2</v>
      </c>
      <c r="BW221" s="3975">
        <f t="shared" si="494"/>
        <v>0</v>
      </c>
      <c r="BX221" s="3966">
        <f t="shared" si="494"/>
        <v>1.1940298507462588E-2</v>
      </c>
      <c r="BY221" s="3966">
        <f t="shared" si="494"/>
        <v>-7.0796460176991149E-2</v>
      </c>
      <c r="BZ221" s="3973">
        <f t="shared" si="494"/>
        <v>-3.8095238095238071E-2</v>
      </c>
      <c r="CA221" s="3975">
        <f t="shared" si="494"/>
        <v>-3.6303630363036299E-2</v>
      </c>
      <c r="CB221" s="3966">
        <f t="shared" si="494"/>
        <v>2.0547945205479534E-2</v>
      </c>
      <c r="CC221" s="3966">
        <f t="shared" si="494"/>
        <v>-5.0335570469798641E-2</v>
      </c>
      <c r="CD221" s="3973">
        <f t="shared" ref="CD221:CL221" si="495">+CD219/CC219-1</f>
        <v>-7.3869257950530121E-2</v>
      </c>
      <c r="CE221" s="3966">
        <f t="shared" si="495"/>
        <v>-3.0733131116579826E-2</v>
      </c>
      <c r="CF221" s="3966">
        <f t="shared" si="495"/>
        <v>2.0547945205479534E-2</v>
      </c>
      <c r="CG221" s="3966">
        <f t="shared" si="495"/>
        <v>-5.0335570469798641E-2</v>
      </c>
      <c r="CH221" s="3973">
        <f t="shared" si="495"/>
        <v>-7.3869257950530232E-2</v>
      </c>
      <c r="CI221" s="3966">
        <f t="shared" si="495"/>
        <v>-3.0733131116579826E-2</v>
      </c>
      <c r="CJ221" s="3966">
        <f t="shared" si="495"/>
        <v>2.0547945205479534E-2</v>
      </c>
      <c r="CK221" s="3966">
        <f t="shared" si="495"/>
        <v>-5.0335570469798641E-2</v>
      </c>
      <c r="CL221" s="3973">
        <f t="shared" si="495"/>
        <v>-7.3869257950530121E-2</v>
      </c>
      <c r="CM221" s="3966"/>
      <c r="CN221" s="3966"/>
      <c r="CO221" s="3966"/>
      <c r="CP221" s="3973"/>
      <c r="CQ221" s="3975"/>
      <c r="CR221" s="3966"/>
      <c r="CS221" s="3966"/>
      <c r="CT221" s="3973"/>
    </row>
    <row r="222" spans="1:98" hidden="1" outlineLevel="2">
      <c r="A222" s="3965" t="s">
        <v>949</v>
      </c>
      <c r="B222" s="3960"/>
      <c r="C222" s="3960"/>
      <c r="D222" s="3960"/>
      <c r="E222" s="3960"/>
      <c r="F222" s="3960"/>
      <c r="G222" s="3960"/>
      <c r="H222" s="3960"/>
      <c r="I222" s="3960"/>
      <c r="J222" s="3960"/>
      <c r="K222" s="3960"/>
      <c r="L222" s="3967"/>
      <c r="M222" s="3967">
        <f t="shared" ref="M222:R222" si="496">+M219/M$143</f>
        <v>0.18464776251661497</v>
      </c>
      <c r="N222" s="3967">
        <f t="shared" si="496"/>
        <v>0.17370149616834935</v>
      </c>
      <c r="O222" s="3967">
        <f t="shared" si="496"/>
        <v>0.16964285714285715</v>
      </c>
      <c r="P222" s="3967">
        <f t="shared" si="496"/>
        <v>0.13293067103876333</v>
      </c>
      <c r="Q222" s="3967">
        <f t="shared" si="496"/>
        <v>0.11877948640846764</v>
      </c>
      <c r="R222" s="3967">
        <f t="shared" si="496"/>
        <v>0.12519772429171039</v>
      </c>
      <c r="S222" s="3967"/>
      <c r="T222" s="3967"/>
      <c r="U222" s="3967"/>
      <c r="V222" s="3967"/>
      <c r="W222" s="3967"/>
      <c r="X222" s="3967"/>
      <c r="Y222" s="3967"/>
      <c r="Z222" s="3967"/>
      <c r="AA222" s="3967"/>
      <c r="AB222" s="3967"/>
      <c r="AC222" s="3967"/>
      <c r="AD222" s="3967"/>
      <c r="AE222" s="3967"/>
      <c r="AF222" s="3967"/>
      <c r="AG222" s="3920"/>
      <c r="AH222" s="3921"/>
      <c r="AI222" s="3960"/>
      <c r="AJ222" s="3960"/>
      <c r="AK222" s="3960"/>
      <c r="AL222" s="3960"/>
      <c r="AM222" s="3960"/>
      <c r="AN222" s="3960"/>
      <c r="AO222" s="3960"/>
      <c r="AP222" s="3960"/>
      <c r="AQ222" s="3960"/>
      <c r="AR222" s="3960"/>
      <c r="AS222" s="3960"/>
      <c r="AT222" s="3960"/>
      <c r="AU222" s="3960"/>
      <c r="AV222" s="3960"/>
      <c r="AW222" s="3960"/>
      <c r="AX222" s="3960"/>
      <c r="AY222" s="3960"/>
      <c r="AZ222" s="3960"/>
      <c r="BA222" s="3960"/>
      <c r="BB222" s="3960"/>
      <c r="BC222" s="3961"/>
      <c r="BD222" s="3962"/>
      <c r="BE222" s="3962"/>
      <c r="BF222" s="3962"/>
      <c r="BG222" s="3961"/>
      <c r="BH222" s="3962"/>
      <c r="BI222" s="3962"/>
      <c r="BJ222" s="3962"/>
      <c r="BK222" s="3971"/>
      <c r="BL222" s="3967"/>
      <c r="BM222" s="3967"/>
      <c r="BN222" s="3967"/>
      <c r="BO222" s="3971">
        <f t="shared" ref="BO222:CD222" si="497">+BO219/BO$143</f>
        <v>0.18933901918976545</v>
      </c>
      <c r="BP222" s="3967">
        <f t="shared" si="497"/>
        <v>0.18552631578947368</v>
      </c>
      <c r="BQ222" s="3967">
        <f t="shared" si="497"/>
        <v>0.1842696629213483</v>
      </c>
      <c r="BR222" s="3972">
        <f t="shared" si="497"/>
        <v>0.1790633608815427</v>
      </c>
      <c r="BS222" s="3971">
        <f t="shared" si="497"/>
        <v>0.17848755284170972</v>
      </c>
      <c r="BT222" s="3967">
        <f t="shared" si="497"/>
        <v>0.17867435158501441</v>
      </c>
      <c r="BU222" s="3967">
        <f t="shared" si="497"/>
        <v>0.16822890971879625</v>
      </c>
      <c r="BV222" s="3967">
        <f t="shared" si="497"/>
        <v>0.16893595562279376</v>
      </c>
      <c r="BW222" s="3971">
        <f t="shared" si="497"/>
        <v>0.1716188524590164</v>
      </c>
      <c r="BX222" s="3967">
        <f t="shared" si="497"/>
        <v>0.17628705148205928</v>
      </c>
      <c r="BY222" s="3967">
        <f t="shared" si="497"/>
        <v>0.16649048625792812</v>
      </c>
      <c r="BZ222" s="3972">
        <f t="shared" si="497"/>
        <v>0.16387236343969713</v>
      </c>
      <c r="CA222" s="3971">
        <f>+CA219/CA$143</f>
        <v>0.15878194671016857</v>
      </c>
      <c r="CB222" s="3967">
        <f>+CB219/CB$143</f>
        <v>0.13035870516185477</v>
      </c>
      <c r="CC222" s="3967">
        <f>+CC219/CC$143</f>
        <v>0.12673533363188536</v>
      </c>
      <c r="CD222" s="3972">
        <f t="shared" si="497"/>
        <v>0.12017193947730398</v>
      </c>
      <c r="CE222" s="3967">
        <f t="shared" ref="CE222:CL222" si="498">+CE219/CE$143</f>
        <v>0.11810320781032077</v>
      </c>
      <c r="CF222" s="3967">
        <f t="shared" si="498"/>
        <v>0.12410722833891814</v>
      </c>
      <c r="CG222" s="3967">
        <f t="shared" si="498"/>
        <v>0.12010243902439025</v>
      </c>
      <c r="CH222" s="3972">
        <f t="shared" si="498"/>
        <v>0.11265941205533596</v>
      </c>
      <c r="CI222" s="3967">
        <f t="shared" si="498"/>
        <v>0.1118495951417004</v>
      </c>
      <c r="CJ222" s="3967">
        <f t="shared" si="498"/>
        <v>0.11711121495327102</v>
      </c>
      <c r="CK222" s="3967">
        <f t="shared" si="498"/>
        <v>0.11345481991525423</v>
      </c>
      <c r="CL222" s="3972">
        <f t="shared" si="498"/>
        <v>0.10816777835332604</v>
      </c>
      <c r="CM222" s="3967"/>
      <c r="CN222" s="3967"/>
      <c r="CO222" s="3967"/>
      <c r="CP222" s="3972"/>
      <c r="CQ222" s="3971"/>
      <c r="CR222" s="3967"/>
      <c r="CS222" s="3967"/>
      <c r="CT222" s="3972"/>
    </row>
    <row r="223" spans="1:98" hidden="1" outlineLevel="2">
      <c r="A223" s="2066" t="s">
        <v>660</v>
      </c>
      <c r="B223" s="114"/>
      <c r="C223" s="114"/>
      <c r="D223" s="114"/>
      <c r="E223" s="114"/>
      <c r="F223" s="114"/>
      <c r="G223" s="114"/>
      <c r="H223" s="114"/>
      <c r="I223" s="114"/>
      <c r="J223" s="114"/>
      <c r="K223" s="114"/>
      <c r="L223" s="150"/>
      <c r="M223" s="150">
        <f>+SUM(BO223:BR223)</f>
        <v>2</v>
      </c>
      <c r="N223" s="150">
        <f>+SUM(BS223:BV223)</f>
        <v>0</v>
      </c>
      <c r="O223" s="150">
        <f>+SUM(BW223:BZ223)</f>
        <v>0</v>
      </c>
      <c r="P223" s="150">
        <f>SUM(CA223:CD223)</f>
        <v>0</v>
      </c>
      <c r="Q223" s="150">
        <f>SUM(CE223:CH223)</f>
        <v>0</v>
      </c>
      <c r="R223" s="150">
        <f>SUM(CF223:CI223)</f>
        <v>0</v>
      </c>
      <c r="S223" s="150"/>
      <c r="T223" s="150"/>
      <c r="U223" s="150"/>
      <c r="V223" s="150"/>
      <c r="W223" s="150"/>
      <c r="X223" s="150"/>
      <c r="Y223" s="150"/>
      <c r="Z223" s="150"/>
      <c r="AA223" s="150"/>
      <c r="AB223" s="150"/>
      <c r="AC223" s="150"/>
      <c r="AD223" s="150"/>
      <c r="AE223" s="150"/>
      <c r="AF223" s="150"/>
      <c r="AG223" s="2553"/>
      <c r="AH223" s="2714"/>
      <c r="AI223" s="114"/>
      <c r="AJ223" s="114"/>
      <c r="AK223" s="114"/>
      <c r="AL223" s="114"/>
      <c r="AM223" s="114"/>
      <c r="AN223" s="114"/>
      <c r="AO223" s="114"/>
      <c r="AP223" s="114"/>
      <c r="AQ223" s="114"/>
      <c r="AR223" s="114"/>
      <c r="AS223" s="114"/>
      <c r="AT223" s="114"/>
      <c r="AU223" s="114"/>
      <c r="AV223" s="114"/>
      <c r="AW223" s="114"/>
      <c r="AX223" s="114"/>
      <c r="AY223" s="114"/>
      <c r="AZ223" s="114"/>
      <c r="BA223" s="114"/>
      <c r="BB223" s="114"/>
      <c r="BC223" s="2050"/>
      <c r="BD223" s="2067"/>
      <c r="BE223" s="2067"/>
      <c r="BF223" s="2067"/>
      <c r="BG223" s="2050"/>
      <c r="BH223" s="2067"/>
      <c r="BI223" s="2067"/>
      <c r="BJ223" s="2067"/>
      <c r="BK223" s="2045"/>
      <c r="BL223" s="2047"/>
      <c r="BM223" s="2047"/>
      <c r="BN223" s="2047"/>
      <c r="BO223" s="2045">
        <v>0</v>
      </c>
      <c r="BP223" s="2047">
        <v>0</v>
      </c>
      <c r="BQ223" s="2047">
        <v>0</v>
      </c>
      <c r="BR223" s="2046">
        <v>2</v>
      </c>
      <c r="BS223" s="2045">
        <v>0</v>
      </c>
      <c r="BT223" s="2047">
        <v>0</v>
      </c>
      <c r="BU223" s="2047">
        <v>0</v>
      </c>
      <c r="BV223" s="2047">
        <v>0</v>
      </c>
      <c r="BW223" s="2045">
        <v>0</v>
      </c>
      <c r="BX223" s="2047">
        <v>0</v>
      </c>
      <c r="BY223" s="2047">
        <v>0</v>
      </c>
      <c r="BZ223" s="2046">
        <v>0</v>
      </c>
      <c r="CA223" s="2045">
        <v>0</v>
      </c>
      <c r="CB223" s="2047">
        <v>0</v>
      </c>
      <c r="CC223" s="2047">
        <v>0</v>
      </c>
      <c r="CD223" s="2046">
        <f t="shared" ref="CD223:CL223" si="499">+BZ223*(1+CD224)</f>
        <v>0</v>
      </c>
      <c r="CE223" s="150">
        <f t="shared" si="499"/>
        <v>0</v>
      </c>
      <c r="CF223" s="2047">
        <f t="shared" si="499"/>
        <v>0</v>
      </c>
      <c r="CG223" s="2047">
        <f t="shared" si="499"/>
        <v>0</v>
      </c>
      <c r="CH223" s="2046">
        <f t="shared" si="499"/>
        <v>0</v>
      </c>
      <c r="CI223" s="2047">
        <f t="shared" si="499"/>
        <v>0</v>
      </c>
      <c r="CJ223" s="2047">
        <f t="shared" si="499"/>
        <v>0</v>
      </c>
      <c r="CK223" s="2047">
        <f t="shared" si="499"/>
        <v>0</v>
      </c>
      <c r="CL223" s="2046">
        <f t="shared" si="499"/>
        <v>0</v>
      </c>
      <c r="CM223" s="150"/>
      <c r="CN223" s="2047"/>
      <c r="CO223" s="2047"/>
      <c r="CP223" s="2046"/>
      <c r="CQ223" s="139"/>
      <c r="CR223" s="150"/>
      <c r="CS223" s="150"/>
      <c r="CT223" s="360"/>
    </row>
    <row r="224" spans="1:98" hidden="1" outlineLevel="2">
      <c r="A224" s="3965" t="s">
        <v>34</v>
      </c>
      <c r="B224" s="3960"/>
      <c r="C224" s="3960"/>
      <c r="D224" s="3960"/>
      <c r="E224" s="3960"/>
      <c r="F224" s="3960"/>
      <c r="G224" s="3960"/>
      <c r="H224" s="3960"/>
      <c r="I224" s="3960"/>
      <c r="J224" s="3960"/>
      <c r="K224" s="3960"/>
      <c r="L224" s="3960"/>
      <c r="M224" s="3966"/>
      <c r="N224" s="3966"/>
      <c r="O224" s="3966"/>
      <c r="P224" s="2068"/>
      <c r="Q224" s="2068"/>
      <c r="R224" s="2068"/>
      <c r="S224" s="2068"/>
      <c r="T224" s="2068"/>
      <c r="U224" s="2068"/>
      <c r="V224" s="2068"/>
      <c r="W224" s="2068"/>
      <c r="X224" s="2068"/>
      <c r="Y224" s="2068"/>
      <c r="Z224" s="2068"/>
      <c r="AA224" s="2068"/>
      <c r="AB224" s="2068"/>
      <c r="AC224" s="2068"/>
      <c r="AD224" s="2068"/>
      <c r="AE224" s="2068"/>
      <c r="AF224" s="2068"/>
      <c r="AG224" s="3920"/>
      <c r="AH224" s="3921"/>
      <c r="AI224" s="3960"/>
      <c r="AJ224" s="3960"/>
      <c r="AK224" s="3960"/>
      <c r="AL224" s="3960"/>
      <c r="AM224" s="3960"/>
      <c r="AN224" s="3960"/>
      <c r="AO224" s="3960"/>
      <c r="AP224" s="3960"/>
      <c r="AQ224" s="3960"/>
      <c r="AR224" s="3960"/>
      <c r="AS224" s="3960"/>
      <c r="AT224" s="3960"/>
      <c r="AU224" s="3960"/>
      <c r="AV224" s="3960"/>
      <c r="AW224" s="3960"/>
      <c r="AX224" s="3960"/>
      <c r="AY224" s="3960"/>
      <c r="AZ224" s="3960"/>
      <c r="BA224" s="3960"/>
      <c r="BB224" s="3960"/>
      <c r="BC224" s="3961"/>
      <c r="BD224" s="3962"/>
      <c r="BE224" s="3962"/>
      <c r="BF224" s="3962"/>
      <c r="BG224" s="3961"/>
      <c r="BH224" s="3962"/>
      <c r="BI224" s="3962"/>
      <c r="BJ224" s="3962"/>
      <c r="BK224" s="3971"/>
      <c r="BL224" s="3967"/>
      <c r="BM224" s="3967"/>
      <c r="BN224" s="3967"/>
      <c r="BO224" s="3971"/>
      <c r="BP224" s="3967"/>
      <c r="BQ224" s="3967"/>
      <c r="BR224" s="3972"/>
      <c r="BS224" s="3971"/>
      <c r="BT224" s="3967"/>
      <c r="BU224" s="3967"/>
      <c r="BV224" s="3967"/>
      <c r="BW224" s="3971"/>
      <c r="BX224" s="3967"/>
      <c r="BY224" s="3967"/>
      <c r="BZ224" s="3972"/>
      <c r="CA224" s="3971"/>
      <c r="CB224" s="3967"/>
      <c r="CC224" s="3967"/>
      <c r="CD224" s="3972"/>
      <c r="CE224" s="355"/>
      <c r="CF224" s="3967"/>
      <c r="CG224" s="3967"/>
      <c r="CH224" s="3972"/>
      <c r="CI224" s="3967"/>
      <c r="CJ224" s="3967"/>
      <c r="CK224" s="3967"/>
      <c r="CL224" s="3972"/>
      <c r="CM224" s="355"/>
      <c r="CN224" s="3967"/>
      <c r="CO224" s="3967"/>
      <c r="CP224" s="3972"/>
      <c r="CQ224" s="3828"/>
      <c r="CR224" s="355"/>
      <c r="CS224" s="355"/>
      <c r="CT224" s="2049"/>
    </row>
    <row r="225" spans="1:98" hidden="1" outlineLevel="2">
      <c r="A225" s="3965" t="s">
        <v>947</v>
      </c>
      <c r="B225" s="3960"/>
      <c r="C225" s="3960"/>
      <c r="D225" s="3960"/>
      <c r="E225" s="3960"/>
      <c r="F225" s="3960"/>
      <c r="G225" s="3960"/>
      <c r="H225" s="3960"/>
      <c r="I225" s="3960"/>
      <c r="J225" s="3960"/>
      <c r="K225" s="3960"/>
      <c r="L225" s="3960"/>
      <c r="M225" s="3960"/>
      <c r="N225" s="3960"/>
      <c r="O225" s="3960"/>
      <c r="P225" s="3960"/>
      <c r="Q225" s="3960"/>
      <c r="R225" s="3960"/>
      <c r="S225" s="3960"/>
      <c r="T225" s="3960"/>
      <c r="U225" s="3960"/>
      <c r="V225" s="3960"/>
      <c r="W225" s="3960"/>
      <c r="X225" s="3960"/>
      <c r="Y225" s="3960"/>
      <c r="Z225" s="3960"/>
      <c r="AA225" s="3960"/>
      <c r="AB225" s="3960"/>
      <c r="AC225" s="3960"/>
      <c r="AD225" s="3960"/>
      <c r="AE225" s="3960"/>
      <c r="AF225" s="3960"/>
      <c r="AG225" s="3920"/>
      <c r="AH225" s="3921"/>
      <c r="AI225" s="3960"/>
      <c r="AJ225" s="3960"/>
      <c r="AK225" s="3960"/>
      <c r="AL225" s="3960"/>
      <c r="AM225" s="3960"/>
      <c r="AN225" s="3960"/>
      <c r="AO225" s="3960"/>
      <c r="AP225" s="3960"/>
      <c r="AQ225" s="3960"/>
      <c r="AR225" s="3960"/>
      <c r="AS225" s="3960"/>
      <c r="AT225" s="3960"/>
      <c r="AU225" s="3960"/>
      <c r="AV225" s="3960"/>
      <c r="AW225" s="3960"/>
      <c r="AX225" s="3960"/>
      <c r="AY225" s="3960"/>
      <c r="AZ225" s="3960"/>
      <c r="BA225" s="3960"/>
      <c r="BB225" s="3960"/>
      <c r="BC225" s="3961"/>
      <c r="BD225" s="3962"/>
      <c r="BE225" s="3962"/>
      <c r="BF225" s="3962"/>
      <c r="BG225" s="3961"/>
      <c r="BH225" s="3962"/>
      <c r="BI225" s="3962"/>
      <c r="BJ225" s="3962"/>
      <c r="BK225" s="3975"/>
      <c r="BL225" s="3966"/>
      <c r="BM225" s="3966"/>
      <c r="BN225" s="3966"/>
      <c r="BO225" s="3975"/>
      <c r="BP225" s="3966"/>
      <c r="BQ225" s="3966"/>
      <c r="BR225" s="3973"/>
      <c r="BS225" s="3975"/>
      <c r="BT225" s="3966"/>
      <c r="BU225" s="3966"/>
      <c r="BV225" s="3966"/>
      <c r="BW225" s="3975"/>
      <c r="BX225" s="3966"/>
      <c r="BY225" s="3966"/>
      <c r="BZ225" s="3973"/>
      <c r="CA225" s="3975"/>
      <c r="CB225" s="3966"/>
      <c r="CC225" s="3966"/>
      <c r="CD225" s="3973"/>
      <c r="CE225" s="3966"/>
      <c r="CF225" s="3966"/>
      <c r="CG225" s="3966"/>
      <c r="CH225" s="3973"/>
      <c r="CI225" s="3966"/>
      <c r="CJ225" s="3966"/>
      <c r="CK225" s="3966"/>
      <c r="CL225" s="3973"/>
      <c r="CM225" s="3966"/>
      <c r="CN225" s="3966"/>
      <c r="CO225" s="3966"/>
      <c r="CP225" s="3973"/>
      <c r="CQ225" s="3975"/>
      <c r="CR225" s="3966"/>
      <c r="CS225" s="3966"/>
      <c r="CT225" s="3973"/>
    </row>
    <row r="226" spans="1:98" hidden="1" outlineLevel="2">
      <c r="A226" s="3965"/>
      <c r="B226" s="3960"/>
      <c r="C226" s="3960"/>
      <c r="D226" s="3960"/>
      <c r="E226" s="3960"/>
      <c r="F226" s="3960"/>
      <c r="G226" s="3960"/>
      <c r="H226" s="3960"/>
      <c r="I226" s="3960"/>
      <c r="J226" s="3960"/>
      <c r="K226" s="3960"/>
      <c r="L226" s="3967"/>
      <c r="M226" s="3967"/>
      <c r="N226" s="3967"/>
      <c r="O226" s="3967"/>
      <c r="P226" s="3967"/>
      <c r="Q226" s="3967"/>
      <c r="R226" s="3967"/>
      <c r="S226" s="3967"/>
      <c r="T226" s="3967"/>
      <c r="U226" s="3967"/>
      <c r="V226" s="3967"/>
      <c r="W226" s="3967"/>
      <c r="X226" s="3967"/>
      <c r="Y226" s="3967"/>
      <c r="Z226" s="3967"/>
      <c r="AA226" s="3967"/>
      <c r="AB226" s="3967"/>
      <c r="AC226" s="3967"/>
      <c r="AD226" s="3967"/>
      <c r="AE226" s="3967"/>
      <c r="AF226" s="3967"/>
      <c r="AG226" s="3920"/>
      <c r="AH226" s="3921"/>
      <c r="AI226" s="3960"/>
      <c r="AJ226" s="3960"/>
      <c r="AK226" s="3960"/>
      <c r="AL226" s="3960"/>
      <c r="AM226" s="3960"/>
      <c r="AN226" s="3960"/>
      <c r="AO226" s="3960"/>
      <c r="AP226" s="3960"/>
      <c r="AQ226" s="3960"/>
      <c r="AR226" s="3960"/>
      <c r="AS226" s="3960"/>
      <c r="AT226" s="3960"/>
      <c r="AU226" s="3960"/>
      <c r="AV226" s="3960"/>
      <c r="AW226" s="3960"/>
      <c r="AX226" s="3960"/>
      <c r="AY226" s="3960"/>
      <c r="AZ226" s="3960"/>
      <c r="BA226" s="3960"/>
      <c r="BB226" s="3960"/>
      <c r="BC226" s="3961"/>
      <c r="BD226" s="3962"/>
      <c r="BE226" s="3962"/>
      <c r="BF226" s="3962"/>
      <c r="BG226" s="3961"/>
      <c r="BH226" s="3962"/>
      <c r="BI226" s="3962"/>
      <c r="BJ226" s="3962"/>
      <c r="BK226" s="3971"/>
      <c r="BL226" s="3967"/>
      <c r="BM226" s="3967"/>
      <c r="BN226" s="3967"/>
      <c r="BO226" s="3971"/>
      <c r="BP226" s="3967"/>
      <c r="BQ226" s="3967"/>
      <c r="BR226" s="3972"/>
      <c r="BS226" s="3971"/>
      <c r="BT226" s="3967"/>
      <c r="BU226" s="3967"/>
      <c r="BV226" s="3967"/>
      <c r="BW226" s="3971"/>
      <c r="BX226" s="3967"/>
      <c r="BY226" s="3967"/>
      <c r="BZ226" s="3972"/>
      <c r="CA226" s="3971"/>
      <c r="CB226" s="3967"/>
      <c r="CC226" s="3967"/>
      <c r="CD226" s="3972"/>
      <c r="CE226" s="3967"/>
      <c r="CF226" s="3967"/>
      <c r="CG226" s="3967"/>
      <c r="CH226" s="3972"/>
      <c r="CI226" s="3967"/>
      <c r="CJ226" s="3967"/>
      <c r="CK226" s="3967"/>
      <c r="CL226" s="3972"/>
      <c r="CM226" s="3967"/>
      <c r="CN226" s="3967"/>
      <c r="CO226" s="3967"/>
      <c r="CP226" s="3972"/>
      <c r="CQ226" s="3971"/>
      <c r="CR226" s="3967"/>
      <c r="CS226" s="3967"/>
      <c r="CT226" s="3972"/>
    </row>
    <row r="227" spans="1:98" hidden="1" outlineLevel="2">
      <c r="A227" s="2070" t="s">
        <v>1218</v>
      </c>
      <c r="B227" s="3960"/>
      <c r="C227" s="3960"/>
      <c r="D227" s="3960"/>
      <c r="E227" s="3960"/>
      <c r="F227" s="3960"/>
      <c r="G227" s="3960"/>
      <c r="H227" s="3960"/>
      <c r="I227" s="3960"/>
      <c r="J227" s="3960"/>
      <c r="K227" s="3960"/>
      <c r="L227" s="150"/>
      <c r="M227" s="150">
        <f t="shared" ref="M227:R227" si="500">+M223+M219+M215</f>
        <v>3935</v>
      </c>
      <c r="N227" s="150">
        <f t="shared" si="500"/>
        <v>3722</v>
      </c>
      <c r="O227" s="150">
        <f t="shared" si="500"/>
        <v>3578</v>
      </c>
      <c r="P227" s="150">
        <f t="shared" si="500"/>
        <v>3408.2849999999999</v>
      </c>
      <c r="Q227" s="150">
        <f t="shared" si="500"/>
        <v>3215.2588500000002</v>
      </c>
      <c r="R227" s="150">
        <f t="shared" si="500"/>
        <v>3171.0616500000001</v>
      </c>
      <c r="S227" s="150"/>
      <c r="T227" s="150"/>
      <c r="U227" s="150"/>
      <c r="V227" s="150"/>
      <c r="W227" s="150"/>
      <c r="X227" s="150"/>
      <c r="Y227" s="150"/>
      <c r="Z227" s="150"/>
      <c r="AA227" s="150"/>
      <c r="AB227" s="150"/>
      <c r="AC227" s="150"/>
      <c r="AD227" s="150"/>
      <c r="AE227" s="150"/>
      <c r="AF227" s="150"/>
      <c r="AG227" s="3920"/>
      <c r="AH227" s="3921"/>
      <c r="AI227" s="3960"/>
      <c r="AJ227" s="3960"/>
      <c r="AK227" s="3960"/>
      <c r="AL227" s="3960"/>
      <c r="AM227" s="3960"/>
      <c r="AN227" s="3960"/>
      <c r="AO227" s="3960"/>
      <c r="AP227" s="3960"/>
      <c r="AQ227" s="3960"/>
      <c r="AR227" s="3960"/>
      <c r="AS227" s="3960"/>
      <c r="AT227" s="3960"/>
      <c r="AU227" s="3960"/>
      <c r="AV227" s="3960"/>
      <c r="AW227" s="3960"/>
      <c r="AX227" s="3960"/>
      <c r="AY227" s="3960"/>
      <c r="AZ227" s="3960"/>
      <c r="BA227" s="3960"/>
      <c r="BB227" s="3960"/>
      <c r="BC227" s="3961"/>
      <c r="BD227" s="3962"/>
      <c r="BE227" s="3962"/>
      <c r="BF227" s="3962"/>
      <c r="BG227" s="3961"/>
      <c r="BH227" s="3962"/>
      <c r="BI227" s="3962"/>
      <c r="BJ227" s="3962"/>
      <c r="BK227" s="139"/>
      <c r="BL227" s="150"/>
      <c r="BM227" s="150"/>
      <c r="BN227" s="150"/>
      <c r="BO227" s="139">
        <f t="shared" ref="BO227:CD227" si="501">+BO223+BO219+BO215</f>
        <v>1003</v>
      </c>
      <c r="BP227" s="150">
        <f t="shared" si="501"/>
        <v>985</v>
      </c>
      <c r="BQ227" s="150">
        <f t="shared" si="501"/>
        <v>983</v>
      </c>
      <c r="BR227" s="360">
        <f t="shared" si="501"/>
        <v>964</v>
      </c>
      <c r="BS227" s="139">
        <f t="shared" si="501"/>
        <v>962</v>
      </c>
      <c r="BT227" s="150">
        <f t="shared" si="501"/>
        <v>945</v>
      </c>
      <c r="BU227" s="150">
        <f t="shared" si="501"/>
        <v>909</v>
      </c>
      <c r="BV227" s="150">
        <f t="shared" si="501"/>
        <v>906</v>
      </c>
      <c r="BW227" s="139">
        <f t="shared" si="501"/>
        <v>906</v>
      </c>
      <c r="BX227" s="150">
        <f t="shared" si="501"/>
        <v>910</v>
      </c>
      <c r="BY227" s="150">
        <f t="shared" si="501"/>
        <v>878</v>
      </c>
      <c r="BZ227" s="360">
        <f t="shared" si="501"/>
        <v>884</v>
      </c>
      <c r="CA227" s="139">
        <f>+CA223+CA219+CA215</f>
        <v>862</v>
      </c>
      <c r="CB227" s="150">
        <f>+CB223+CB219+CB215</f>
        <v>866</v>
      </c>
      <c r="CC227" s="150">
        <f>+CC223+CC219+CC215</f>
        <v>843</v>
      </c>
      <c r="CD227" s="360">
        <f t="shared" si="501"/>
        <v>837.28499999999985</v>
      </c>
      <c r="CE227" s="150">
        <f t="shared" ref="CE227:CL227" si="502">+CE223+CE219+CE215</f>
        <v>812.64</v>
      </c>
      <c r="CF227" s="150">
        <f t="shared" si="502"/>
        <v>815.9</v>
      </c>
      <c r="CG227" s="150">
        <f t="shared" si="502"/>
        <v>795.01</v>
      </c>
      <c r="CH227" s="360">
        <f t="shared" si="502"/>
        <v>791.70884999999998</v>
      </c>
      <c r="CI227" s="150">
        <f t="shared" si="502"/>
        <v>768.44280000000003</v>
      </c>
      <c r="CJ227" s="150">
        <f t="shared" si="502"/>
        <v>771.0634</v>
      </c>
      <c r="CK227" s="150">
        <f t="shared" si="502"/>
        <v>752.02669999999989</v>
      </c>
      <c r="CL227" s="360">
        <f t="shared" si="502"/>
        <v>750.79218149999997</v>
      </c>
      <c r="CM227" s="150"/>
      <c r="CN227" s="150"/>
      <c r="CO227" s="150"/>
      <c r="CP227" s="360"/>
      <c r="CQ227" s="139"/>
      <c r="CR227" s="150"/>
      <c r="CS227" s="150"/>
      <c r="CT227" s="360"/>
    </row>
    <row r="228" spans="1:98" hidden="1" outlineLevel="2">
      <c r="A228" s="3965" t="s">
        <v>34</v>
      </c>
      <c r="B228" s="3960"/>
      <c r="C228" s="3960"/>
      <c r="D228" s="3960"/>
      <c r="E228" s="3960"/>
      <c r="F228" s="3960"/>
      <c r="G228" s="3960"/>
      <c r="H228" s="3960"/>
      <c r="I228" s="3960"/>
      <c r="J228" s="3960"/>
      <c r="K228" s="3960"/>
      <c r="L228" s="3960"/>
      <c r="M228" s="3966"/>
      <c r="N228" s="3966">
        <f>+N227/M227-1</f>
        <v>-5.412960609911055E-2</v>
      </c>
      <c r="O228" s="3966">
        <f>+O227/N227-1</f>
        <v>-3.8688876947877482E-2</v>
      </c>
      <c r="P228" s="3966">
        <f>+P227/O227-1</f>
        <v>-4.7432923420905548E-2</v>
      </c>
      <c r="Q228" s="3966">
        <f>+Q227/P227-1</f>
        <v>-5.6634392370356279E-2</v>
      </c>
      <c r="R228" s="3966">
        <f>+R227/Q227-1</f>
        <v>-1.3746078328965683E-2</v>
      </c>
      <c r="S228" s="3966"/>
      <c r="T228" s="3966"/>
      <c r="U228" s="3966"/>
      <c r="V228" s="3966"/>
      <c r="W228" s="3966"/>
      <c r="X228" s="3966"/>
      <c r="Y228" s="3966"/>
      <c r="Z228" s="3966"/>
      <c r="AA228" s="3966"/>
      <c r="AB228" s="3966"/>
      <c r="AC228" s="3966"/>
      <c r="AD228" s="3966"/>
      <c r="AE228" s="3966"/>
      <c r="AF228" s="3966"/>
      <c r="AG228" s="3920"/>
      <c r="AH228" s="3921"/>
      <c r="AI228" s="3960"/>
      <c r="AJ228" s="3960"/>
      <c r="AK228" s="3960"/>
      <c r="AL228" s="3960"/>
      <c r="AM228" s="3960"/>
      <c r="AN228" s="3960"/>
      <c r="AO228" s="3960"/>
      <c r="AP228" s="3960"/>
      <c r="AQ228" s="3960"/>
      <c r="AR228" s="3960"/>
      <c r="AS228" s="3960"/>
      <c r="AT228" s="3960"/>
      <c r="AU228" s="3960"/>
      <c r="AV228" s="3960"/>
      <c r="AW228" s="3960"/>
      <c r="AX228" s="3960"/>
      <c r="AY228" s="3960"/>
      <c r="AZ228" s="3960"/>
      <c r="BA228" s="3960"/>
      <c r="BB228" s="3960"/>
      <c r="BC228" s="3961"/>
      <c r="BD228" s="3962"/>
      <c r="BE228" s="3962"/>
      <c r="BF228" s="3962"/>
      <c r="BG228" s="3961"/>
      <c r="BH228" s="3962"/>
      <c r="BI228" s="3962"/>
      <c r="BJ228" s="3962"/>
      <c r="BK228" s="3971"/>
      <c r="BL228" s="3967"/>
      <c r="BM228" s="3967"/>
      <c r="BN228" s="3967"/>
      <c r="BO228" s="3971"/>
      <c r="BP228" s="3967"/>
      <c r="BQ228" s="3967"/>
      <c r="BR228" s="3972"/>
      <c r="BS228" s="3974" t="s">
        <v>1089</v>
      </c>
      <c r="BT228" s="3984" t="s">
        <v>1089</v>
      </c>
      <c r="BU228" s="3984" t="s">
        <v>1089</v>
      </c>
      <c r="BV228" s="3984" t="s">
        <v>1089</v>
      </c>
      <c r="BW228" s="3971">
        <f t="shared" ref="BW228:CD228" si="503">+BW227/BS227-1</f>
        <v>-5.8212058212058215E-2</v>
      </c>
      <c r="BX228" s="3967">
        <f t="shared" si="503"/>
        <v>-3.703703703703709E-2</v>
      </c>
      <c r="BY228" s="3967">
        <f t="shared" si="503"/>
        <v>-3.4103410341034146E-2</v>
      </c>
      <c r="BZ228" s="3972">
        <f t="shared" si="503"/>
        <v>-2.4282560706401779E-2</v>
      </c>
      <c r="CA228" s="3971">
        <f t="shared" si="503"/>
        <v>-4.8565121412803558E-2</v>
      </c>
      <c r="CB228" s="3967">
        <f t="shared" si="503"/>
        <v>-4.8351648351648402E-2</v>
      </c>
      <c r="CC228" s="3967">
        <f t="shared" si="503"/>
        <v>-3.9863325740318922E-2</v>
      </c>
      <c r="CD228" s="3972">
        <f t="shared" si="503"/>
        <v>-5.2845022624434579E-2</v>
      </c>
      <c r="CE228" s="3967">
        <f t="shared" ref="CE228:CL228" si="504">+CE227/CA227-1</f>
        <v>-5.7262180974477994E-2</v>
      </c>
      <c r="CF228" s="3967">
        <f t="shared" si="504"/>
        <v>-5.7852193995381107E-2</v>
      </c>
      <c r="CG228" s="3967">
        <f t="shared" si="504"/>
        <v>-5.6927639383155371E-2</v>
      </c>
      <c r="CH228" s="3972">
        <f t="shared" si="504"/>
        <v>-5.4433257492968234E-2</v>
      </c>
      <c r="CI228" s="3967">
        <f t="shared" si="504"/>
        <v>-5.4387182516243304E-2</v>
      </c>
      <c r="CJ228" s="3967">
        <f t="shared" si="504"/>
        <v>-5.49535482289496E-2</v>
      </c>
      <c r="CK228" s="3967">
        <f t="shared" si="504"/>
        <v>-5.4066363945107776E-2</v>
      </c>
      <c r="CL228" s="3972">
        <f t="shared" si="504"/>
        <v>-5.1681459036361677E-2</v>
      </c>
      <c r="CM228" s="3967"/>
      <c r="CN228" s="3967"/>
      <c r="CO228" s="3967"/>
      <c r="CP228" s="3972"/>
      <c r="CQ228" s="3971"/>
      <c r="CR228" s="3967"/>
      <c r="CS228" s="3967"/>
      <c r="CT228" s="3972"/>
    </row>
    <row r="229" spans="1:98" hidden="1" outlineLevel="2">
      <c r="A229" s="3965" t="s">
        <v>1217</v>
      </c>
      <c r="B229" s="3960"/>
      <c r="C229" s="3960"/>
      <c r="D229" s="3960"/>
      <c r="E229" s="3960"/>
      <c r="F229" s="3960"/>
      <c r="G229" s="3960"/>
      <c r="H229" s="3960"/>
      <c r="I229" s="3960"/>
      <c r="J229" s="3960"/>
      <c r="K229" s="3960"/>
      <c r="L229" s="3960"/>
      <c r="M229" s="3966"/>
      <c r="N229" s="3966">
        <f>N227/N$154</f>
        <v>0.20253577841867551</v>
      </c>
      <c r="O229" s="3966">
        <f>O227/O$154</f>
        <v>0.19773418071290411</v>
      </c>
      <c r="P229" s="3966">
        <f>P227/P$154</f>
        <v>0.18906556831419535</v>
      </c>
      <c r="Q229" s="3966">
        <f>Q227/Q$154</f>
        <v>0.17962339944134079</v>
      </c>
      <c r="R229" s="3966">
        <f>R227/R$154</f>
        <v>0.18151469089868347</v>
      </c>
      <c r="S229" s="3966"/>
      <c r="T229" s="3966"/>
      <c r="U229" s="3966"/>
      <c r="V229" s="3966"/>
      <c r="W229" s="3966"/>
      <c r="X229" s="3966"/>
      <c r="Y229" s="3966"/>
      <c r="Z229" s="3966"/>
      <c r="AA229" s="3966"/>
      <c r="AB229" s="3966"/>
      <c r="AC229" s="3966"/>
      <c r="AD229" s="3966"/>
      <c r="AE229" s="3966"/>
      <c r="AF229" s="3966"/>
      <c r="AG229" s="3920"/>
      <c r="AH229" s="3921"/>
      <c r="AI229" s="3960"/>
      <c r="AJ229" s="3960"/>
      <c r="AK229" s="3960"/>
      <c r="AL229" s="3960"/>
      <c r="AM229" s="3960"/>
      <c r="AN229" s="3960"/>
      <c r="AO229" s="3960"/>
      <c r="AP229" s="3960"/>
      <c r="AQ229" s="3960"/>
      <c r="AR229" s="3960"/>
      <c r="AS229" s="3960"/>
      <c r="AT229" s="3960"/>
      <c r="AU229" s="3960"/>
      <c r="AV229" s="3960"/>
      <c r="AW229" s="3960"/>
      <c r="AX229" s="3960"/>
      <c r="AY229" s="3960"/>
      <c r="AZ229" s="3960"/>
      <c r="BA229" s="3960"/>
      <c r="BB229" s="3960"/>
      <c r="BC229" s="3961"/>
      <c r="BD229" s="3962"/>
      <c r="BE229" s="3962"/>
      <c r="BF229" s="3962"/>
      <c r="BG229" s="3961"/>
      <c r="BH229" s="3962"/>
      <c r="BI229" s="3962"/>
      <c r="BJ229" s="3962"/>
      <c r="BK229" s="3971"/>
      <c r="BL229" s="3967"/>
      <c r="BM229" s="3967"/>
      <c r="BN229" s="3967"/>
      <c r="BO229" s="3971"/>
      <c r="BP229" s="3967"/>
      <c r="BQ229" s="3967"/>
      <c r="BR229" s="3972"/>
      <c r="BS229" s="3971"/>
      <c r="BT229" s="3967"/>
      <c r="BU229" s="3967"/>
      <c r="BV229" s="3967"/>
      <c r="BW229" s="3971">
        <f t="shared" ref="BW229:CD229" si="505">BW227/BW$154</f>
        <v>0.20075337912696653</v>
      </c>
      <c r="BX229" s="3967">
        <f t="shared" si="505"/>
        <v>0.20110497237569061</v>
      </c>
      <c r="BY229" s="3967">
        <f>BY227/BY$154</f>
        <v>0.19446290143964562</v>
      </c>
      <c r="BZ229" s="3972">
        <f t="shared" si="505"/>
        <v>0.19462791721708497</v>
      </c>
      <c r="CA229" s="3971">
        <f t="shared" si="505"/>
        <v>0.18995152049360953</v>
      </c>
      <c r="CB229" s="3967">
        <f t="shared" si="505"/>
        <v>0.1907488986784141</v>
      </c>
      <c r="CC229" s="3967">
        <f>CC227/CC$154</f>
        <v>0.18679370706846887</v>
      </c>
      <c r="CD229" s="3972">
        <f t="shared" si="505"/>
        <v>0.18874774571686201</v>
      </c>
      <c r="CE229" s="3967">
        <f t="shared" ref="CE229:CL229" si="506">CE227/CE$154</f>
        <v>0.18257470231408671</v>
      </c>
      <c r="CF229" s="3967">
        <f t="shared" si="506"/>
        <v>0.18463453269970581</v>
      </c>
      <c r="CG229" s="3967">
        <f t="shared" si="506"/>
        <v>0.17457400087834871</v>
      </c>
      <c r="CH229" s="3972">
        <f t="shared" si="506"/>
        <v>0.17687865281501339</v>
      </c>
      <c r="CI229" s="3967">
        <f t="shared" si="506"/>
        <v>0.17460640763462851</v>
      </c>
      <c r="CJ229" s="3967">
        <f t="shared" si="506"/>
        <v>0.17532137335152342</v>
      </c>
      <c r="CK229" s="3967">
        <f t="shared" si="506"/>
        <v>0.17161722957553627</v>
      </c>
      <c r="CL229" s="3972">
        <f t="shared" si="506"/>
        <v>0.17505063686173933</v>
      </c>
      <c r="CM229" s="3967"/>
      <c r="CN229" s="3967"/>
      <c r="CO229" s="3967"/>
      <c r="CP229" s="3972"/>
      <c r="CQ229" s="3971"/>
      <c r="CR229" s="3967"/>
      <c r="CS229" s="3967"/>
      <c r="CT229" s="3972"/>
    </row>
    <row r="230" spans="1:98" hidden="1" outlineLevel="2">
      <c r="A230" s="2065" t="s">
        <v>280</v>
      </c>
      <c r="B230" s="3954"/>
      <c r="C230" s="3954"/>
      <c r="D230" s="3954"/>
      <c r="E230" s="3954"/>
      <c r="F230" s="3954"/>
      <c r="G230" s="3954"/>
      <c r="H230" s="3954"/>
      <c r="I230" s="3954"/>
      <c r="J230" s="3954"/>
      <c r="K230" s="3954"/>
      <c r="L230" s="3954"/>
      <c r="M230" s="3954"/>
      <c r="N230" s="3954"/>
      <c r="O230" s="3954"/>
      <c r="P230" s="3954"/>
      <c r="Q230" s="3954"/>
      <c r="R230" s="3954"/>
      <c r="S230" s="3954"/>
      <c r="T230" s="3954"/>
      <c r="U230" s="3954"/>
      <c r="V230" s="3954"/>
      <c r="W230" s="3954"/>
      <c r="X230" s="3954"/>
      <c r="Y230" s="3954"/>
      <c r="Z230" s="3954"/>
      <c r="AA230" s="3954"/>
      <c r="AB230" s="3954"/>
      <c r="AC230" s="3954"/>
      <c r="AD230" s="3954"/>
      <c r="AE230" s="3954"/>
      <c r="AF230" s="3954"/>
      <c r="AG230" s="3920"/>
      <c r="AH230" s="3921"/>
      <c r="AI230" s="3954"/>
      <c r="AJ230" s="3954"/>
      <c r="AK230" s="3954"/>
      <c r="AL230" s="3954"/>
      <c r="AM230" s="3954"/>
      <c r="AN230" s="3954"/>
      <c r="AO230" s="3954"/>
      <c r="AP230" s="3954"/>
      <c r="AQ230" s="3954"/>
      <c r="AR230" s="3954"/>
      <c r="AS230" s="3954"/>
      <c r="AT230" s="3954"/>
      <c r="AU230" s="3954"/>
      <c r="AV230" s="3954"/>
      <c r="AW230" s="3954"/>
      <c r="AX230" s="3954"/>
      <c r="AY230" s="3954"/>
      <c r="AZ230" s="3954"/>
      <c r="BA230" s="3954"/>
      <c r="BB230" s="3954"/>
      <c r="BC230" s="3955"/>
      <c r="BD230" s="3956"/>
      <c r="BE230" s="3956"/>
      <c r="BF230" s="3956"/>
      <c r="BG230" s="3955"/>
      <c r="BH230" s="3956"/>
      <c r="BI230" s="3956"/>
      <c r="BJ230" s="3956"/>
      <c r="BK230" s="3957"/>
      <c r="BL230" s="3954"/>
      <c r="BM230" s="3954"/>
      <c r="BN230" s="3954"/>
      <c r="BO230" s="3957"/>
      <c r="BP230" s="3954"/>
      <c r="BQ230" s="3954"/>
      <c r="BR230" s="3958"/>
      <c r="BS230" s="3957"/>
      <c r="BT230" s="3954"/>
      <c r="BU230" s="3954"/>
      <c r="BV230" s="3954"/>
      <c r="BW230" s="3957"/>
      <c r="BX230" s="3954"/>
      <c r="BY230" s="3954"/>
      <c r="BZ230" s="3958"/>
      <c r="CA230" s="3957"/>
      <c r="CB230" s="3954"/>
      <c r="CC230" s="3954"/>
      <c r="CD230" s="3958"/>
      <c r="CE230" s="3954"/>
      <c r="CF230" s="3954"/>
      <c r="CG230" s="3954"/>
      <c r="CH230" s="3958"/>
      <c r="CI230" s="3954"/>
      <c r="CJ230" s="3954"/>
      <c r="CK230" s="3954"/>
      <c r="CL230" s="3958"/>
      <c r="CM230" s="3954"/>
      <c r="CN230" s="3954"/>
      <c r="CO230" s="3954"/>
      <c r="CP230" s="3958"/>
      <c r="CQ230" s="3957"/>
      <c r="CR230" s="3954"/>
      <c r="CS230" s="3954"/>
      <c r="CT230" s="3958"/>
    </row>
    <row r="231" spans="1:98" hidden="1" outlineLevel="2">
      <c r="A231" s="3959" t="s">
        <v>790</v>
      </c>
      <c r="B231" s="3960"/>
      <c r="C231" s="3960"/>
      <c r="D231" s="3960"/>
      <c r="E231" s="3960"/>
      <c r="F231" s="3960"/>
      <c r="G231" s="3960"/>
      <c r="H231" s="3960"/>
      <c r="I231" s="3960"/>
      <c r="J231" s="3960"/>
      <c r="K231" s="3960"/>
      <c r="L231" s="3960"/>
      <c r="M231" s="3960"/>
      <c r="N231" s="3960"/>
      <c r="O231" s="3960"/>
      <c r="P231" s="3960"/>
      <c r="Q231" s="3960"/>
      <c r="R231" s="3960"/>
      <c r="S231" s="3960"/>
      <c r="T231" s="3960"/>
      <c r="U231" s="3960"/>
      <c r="V231" s="3960"/>
      <c r="W231" s="3960"/>
      <c r="X231" s="3960"/>
      <c r="Y231" s="3960"/>
      <c r="Z231" s="3960"/>
      <c r="AA231" s="3960"/>
      <c r="AB231" s="3960"/>
      <c r="AC231" s="3960"/>
      <c r="AD231" s="3960"/>
      <c r="AE231" s="3960"/>
      <c r="AF231" s="3960"/>
      <c r="AG231" s="3920"/>
      <c r="AH231" s="3921"/>
      <c r="AI231" s="3960"/>
      <c r="AJ231" s="3960"/>
      <c r="AK231" s="3960"/>
      <c r="AL231" s="3960"/>
      <c r="AM231" s="3960"/>
      <c r="AN231" s="3960"/>
      <c r="AO231" s="3960"/>
      <c r="AP231" s="3960"/>
      <c r="AQ231" s="3960"/>
      <c r="AR231" s="3960"/>
      <c r="AS231" s="3960"/>
      <c r="AT231" s="3960"/>
      <c r="AU231" s="3960"/>
      <c r="AV231" s="3960"/>
      <c r="AW231" s="3960"/>
      <c r="AX231" s="3960"/>
      <c r="AY231" s="3960"/>
      <c r="AZ231" s="3960"/>
      <c r="BA231" s="3960"/>
      <c r="BB231" s="3960"/>
      <c r="BC231" s="3961"/>
      <c r="BD231" s="3962"/>
      <c r="BE231" s="3962"/>
      <c r="BF231" s="3962"/>
      <c r="BG231" s="3961"/>
      <c r="BH231" s="3962"/>
      <c r="BI231" s="3962"/>
      <c r="BJ231" s="3962"/>
      <c r="BK231" s="3959"/>
      <c r="BL231" s="3960"/>
      <c r="BM231" s="3960"/>
      <c r="BN231" s="3960"/>
      <c r="BO231" s="3959"/>
      <c r="BP231" s="3995"/>
      <c r="BQ231" s="3960"/>
      <c r="BR231" s="3963"/>
      <c r="BS231" s="3959"/>
      <c r="BT231" s="3960"/>
      <c r="BU231" s="3960"/>
      <c r="BV231" s="3960"/>
      <c r="BW231" s="3959"/>
      <c r="BX231" s="3960"/>
      <c r="BY231" s="3960"/>
      <c r="BZ231" s="3963"/>
      <c r="CA231" s="3959"/>
      <c r="CB231" s="3960"/>
      <c r="CC231" s="3960"/>
      <c r="CD231" s="3963"/>
      <c r="CE231" s="3960"/>
      <c r="CF231" s="3960"/>
      <c r="CG231" s="3960"/>
      <c r="CH231" s="3963"/>
      <c r="CI231" s="3960"/>
      <c r="CJ231" s="3960"/>
      <c r="CK231" s="3960"/>
      <c r="CL231" s="3963"/>
      <c r="CM231" s="3960"/>
      <c r="CN231" s="3960"/>
      <c r="CO231" s="3960"/>
      <c r="CP231" s="3963"/>
      <c r="CQ231" s="3959"/>
      <c r="CR231" s="3960"/>
      <c r="CS231" s="3960"/>
      <c r="CT231" s="3963"/>
    </row>
    <row r="232" spans="1:98" hidden="1" outlineLevel="2">
      <c r="A232" s="2066" t="s">
        <v>659</v>
      </c>
      <c r="B232" s="114"/>
      <c r="C232" s="114"/>
      <c r="D232" s="114"/>
      <c r="E232" s="114"/>
      <c r="F232" s="114"/>
      <c r="G232" s="114"/>
      <c r="H232" s="114"/>
      <c r="I232" s="114"/>
      <c r="J232" s="114"/>
      <c r="K232" s="114"/>
      <c r="L232" s="150"/>
      <c r="M232" s="150">
        <f>+SUM(BO232:BR232)</f>
        <v>1218</v>
      </c>
      <c r="N232" s="150">
        <f>+SUM(BS232:BV232)</f>
        <v>1300</v>
      </c>
      <c r="O232" s="150">
        <f>+SUM(BW232:BZ232)</f>
        <v>1376</v>
      </c>
      <c r="P232" s="2033">
        <f>SUM(CA232:CD232)</f>
        <v>1445.415</v>
      </c>
      <c r="Q232" s="2033">
        <f>SUM(CE232:CH232)</f>
        <v>1524.9128249999999</v>
      </c>
      <c r="R232" s="2033">
        <f>SUM(CF232:CI232)</f>
        <v>1545.4536749999997</v>
      </c>
      <c r="S232" s="2033"/>
      <c r="T232" s="2033"/>
      <c r="U232" s="150"/>
      <c r="V232" s="150"/>
      <c r="W232" s="150"/>
      <c r="X232" s="150"/>
      <c r="Y232" s="150"/>
      <c r="Z232" s="150"/>
      <c r="AA232" s="150"/>
      <c r="AB232" s="150"/>
      <c r="AC232" s="150"/>
      <c r="AD232" s="150"/>
      <c r="AE232" s="150"/>
      <c r="AF232" s="150"/>
      <c r="AG232" s="2553"/>
      <c r="AH232" s="2714"/>
      <c r="AI232" s="114"/>
      <c r="AJ232" s="114"/>
      <c r="AK232" s="114"/>
      <c r="AL232" s="114"/>
      <c r="AM232" s="114"/>
      <c r="AN232" s="114"/>
      <c r="AO232" s="114"/>
      <c r="AP232" s="114"/>
      <c r="AQ232" s="114"/>
      <c r="AR232" s="114"/>
      <c r="AS232" s="114"/>
      <c r="AT232" s="114"/>
      <c r="AU232" s="114"/>
      <c r="AV232" s="114"/>
      <c r="AW232" s="114"/>
      <c r="AX232" s="114"/>
      <c r="AY232" s="114"/>
      <c r="AZ232" s="114"/>
      <c r="BA232" s="114"/>
      <c r="BB232" s="114"/>
      <c r="BC232" s="2050"/>
      <c r="BD232" s="2067"/>
      <c r="BE232" s="2067"/>
      <c r="BF232" s="2067"/>
      <c r="BG232" s="2050"/>
      <c r="BH232" s="2067"/>
      <c r="BI232" s="2067"/>
      <c r="BJ232" s="2067"/>
      <c r="BK232" s="2045"/>
      <c r="BL232" s="2047"/>
      <c r="BM232" s="2047"/>
      <c r="BN232" s="2047"/>
      <c r="BO232" s="2045">
        <v>302</v>
      </c>
      <c r="BP232" s="2047">
        <v>307</v>
      </c>
      <c r="BQ232" s="2047">
        <v>306</v>
      </c>
      <c r="BR232" s="2046">
        <v>303</v>
      </c>
      <c r="BS232" s="2045">
        <v>310</v>
      </c>
      <c r="BT232" s="2047">
        <v>323</v>
      </c>
      <c r="BU232" s="2047">
        <v>327</v>
      </c>
      <c r="BV232" s="2047">
        <v>340</v>
      </c>
      <c r="BW232" s="2045">
        <v>334</v>
      </c>
      <c r="BX232" s="2047">
        <v>347</v>
      </c>
      <c r="BY232" s="2047">
        <v>342</v>
      </c>
      <c r="BZ232" s="2046">
        <v>353</v>
      </c>
      <c r="CA232" s="2045">
        <v>354</v>
      </c>
      <c r="CB232" s="2047">
        <v>358</v>
      </c>
      <c r="CC232" s="2047">
        <v>361</v>
      </c>
      <c r="CD232" s="2046">
        <f t="shared" ref="CD232:CL232" si="507">+BZ232*(1+CD233)</f>
        <v>372.41499999999996</v>
      </c>
      <c r="CE232" s="150">
        <f t="shared" si="507"/>
        <v>373.46999999999997</v>
      </c>
      <c r="CF232" s="2047">
        <f t="shared" si="507"/>
        <v>377.69</v>
      </c>
      <c r="CG232" s="2047">
        <f t="shared" si="507"/>
        <v>380.85499999999996</v>
      </c>
      <c r="CH232" s="2046">
        <f t="shared" si="507"/>
        <v>392.89782499999995</v>
      </c>
      <c r="CI232" s="2047">
        <f t="shared" si="507"/>
        <v>394.01084999999995</v>
      </c>
      <c r="CJ232" s="2047">
        <f t="shared" si="507"/>
        <v>398.46294999999998</v>
      </c>
      <c r="CK232" s="2047">
        <f t="shared" si="507"/>
        <v>401.80202499999996</v>
      </c>
      <c r="CL232" s="2046">
        <f t="shared" si="507"/>
        <v>414.50720537499996</v>
      </c>
      <c r="CM232" s="150"/>
      <c r="CN232" s="2047"/>
      <c r="CO232" s="2047"/>
      <c r="CP232" s="2046"/>
      <c r="CQ232" s="139"/>
      <c r="CR232" s="150"/>
      <c r="CS232" s="150"/>
      <c r="CT232" s="360"/>
    </row>
    <row r="233" spans="1:98" hidden="1" outlineLevel="2">
      <c r="A233" s="3965" t="s">
        <v>34</v>
      </c>
      <c r="B233" s="3960"/>
      <c r="C233" s="3960"/>
      <c r="D233" s="3960"/>
      <c r="E233" s="3960"/>
      <c r="F233" s="3960"/>
      <c r="G233" s="3960"/>
      <c r="H233" s="3960"/>
      <c r="I233" s="3960"/>
      <c r="J233" s="3960"/>
      <c r="K233" s="3960"/>
      <c r="L233" s="3960"/>
      <c r="M233" s="3966"/>
      <c r="N233" s="3966">
        <f>+N232/M232-1</f>
        <v>6.7323481116584594E-2</v>
      </c>
      <c r="O233" s="3966">
        <f>+O232/N232-1</f>
        <v>5.8461538461538565E-2</v>
      </c>
      <c r="P233" s="3966">
        <f>+P232/O232-1</f>
        <v>5.0446947674418485E-2</v>
      </c>
      <c r="Q233" s="3966">
        <f>+Q232/P232-1</f>
        <v>5.4999999999999938E-2</v>
      </c>
      <c r="R233" s="3966">
        <f>+R232/Q232-1</f>
        <v>1.3470179844542907E-2</v>
      </c>
      <c r="S233" s="3966"/>
      <c r="T233" s="3966"/>
      <c r="U233" s="2068"/>
      <c r="V233" s="2068"/>
      <c r="W233" s="2068"/>
      <c r="X233" s="2068"/>
      <c r="Y233" s="2068"/>
      <c r="Z233" s="2068"/>
      <c r="AA233" s="2068"/>
      <c r="AB233" s="2068"/>
      <c r="AC233" s="2068"/>
      <c r="AD233" s="2068"/>
      <c r="AE233" s="2068"/>
      <c r="AF233" s="2068"/>
      <c r="AG233" s="3920"/>
      <c r="AH233" s="3921"/>
      <c r="AI233" s="3960"/>
      <c r="AJ233" s="3960"/>
      <c r="AK233" s="3960"/>
      <c r="AL233" s="3960"/>
      <c r="AM233" s="3960"/>
      <c r="AN233" s="3960"/>
      <c r="AO233" s="3960"/>
      <c r="AP233" s="3960"/>
      <c r="AQ233" s="3960"/>
      <c r="AR233" s="3960"/>
      <c r="AS233" s="3960"/>
      <c r="AT233" s="3960"/>
      <c r="AU233" s="3960"/>
      <c r="AV233" s="3960"/>
      <c r="AW233" s="3960"/>
      <c r="AX233" s="3960"/>
      <c r="AY233" s="3960"/>
      <c r="AZ233" s="3960"/>
      <c r="BA233" s="3960"/>
      <c r="BB233" s="3960"/>
      <c r="BC233" s="3961"/>
      <c r="BD233" s="3962"/>
      <c r="BE233" s="3962"/>
      <c r="BF233" s="3962"/>
      <c r="BG233" s="3961"/>
      <c r="BH233" s="3962"/>
      <c r="BI233" s="3962"/>
      <c r="BJ233" s="3962"/>
      <c r="BK233" s="2051"/>
      <c r="BL233" s="3967"/>
      <c r="BM233" s="3967"/>
      <c r="BN233" s="3967"/>
      <c r="BO233" s="3971"/>
      <c r="BP233" s="3967"/>
      <c r="BQ233" s="3967"/>
      <c r="BR233" s="3972"/>
      <c r="BS233" s="3971">
        <f t="shared" ref="BS233:CC233" si="508">+BS232/BO232-1</f>
        <v>2.6490066225165476E-2</v>
      </c>
      <c r="BT233" s="3967">
        <f t="shared" si="508"/>
        <v>5.2117263843648232E-2</v>
      </c>
      <c r="BU233" s="3967">
        <f t="shared" si="508"/>
        <v>6.8627450980392135E-2</v>
      </c>
      <c r="BV233" s="3967">
        <f t="shared" si="508"/>
        <v>0.12211221122112215</v>
      </c>
      <c r="BW233" s="3971">
        <f t="shared" si="508"/>
        <v>7.7419354838709653E-2</v>
      </c>
      <c r="BX233" s="3967">
        <f t="shared" si="508"/>
        <v>7.4303405572755388E-2</v>
      </c>
      <c r="BY233" s="3967">
        <f t="shared" si="508"/>
        <v>4.587155963302747E-2</v>
      </c>
      <c r="BZ233" s="3972">
        <f t="shared" si="508"/>
        <v>3.8235294117647145E-2</v>
      </c>
      <c r="CA233" s="3971">
        <f t="shared" si="508"/>
        <v>5.9880239520958112E-2</v>
      </c>
      <c r="CB233" s="3967">
        <f t="shared" si="508"/>
        <v>3.170028818443793E-2</v>
      </c>
      <c r="CC233" s="3967">
        <f t="shared" si="508"/>
        <v>5.555555555555558E-2</v>
      </c>
      <c r="CD233" s="3972">
        <v>5.5E-2</v>
      </c>
      <c r="CE233" s="2068">
        <v>5.5E-2</v>
      </c>
      <c r="CF233" s="3967">
        <v>5.5E-2</v>
      </c>
      <c r="CG233" s="3967">
        <v>5.5E-2</v>
      </c>
      <c r="CH233" s="3972">
        <v>5.5E-2</v>
      </c>
      <c r="CI233" s="3967">
        <v>5.5E-2</v>
      </c>
      <c r="CJ233" s="3967">
        <v>5.5E-2</v>
      </c>
      <c r="CK233" s="3967">
        <v>5.5E-2</v>
      </c>
      <c r="CL233" s="3972">
        <v>5.5E-2</v>
      </c>
      <c r="CM233" s="2068"/>
      <c r="CN233" s="3967"/>
      <c r="CO233" s="3967"/>
      <c r="CP233" s="3972"/>
      <c r="CQ233" s="3829"/>
      <c r="CR233" s="2068"/>
      <c r="CS233" s="2068"/>
      <c r="CT233" s="2048"/>
    </row>
    <row r="234" spans="1:98" hidden="1" outlineLevel="2">
      <c r="A234" s="3965" t="s">
        <v>947</v>
      </c>
      <c r="B234" s="3960"/>
      <c r="C234" s="3960"/>
      <c r="D234" s="3960"/>
      <c r="E234" s="3960"/>
      <c r="F234" s="3960"/>
      <c r="G234" s="3960"/>
      <c r="H234" s="3960"/>
      <c r="I234" s="3960"/>
      <c r="J234" s="3960"/>
      <c r="K234" s="3960"/>
      <c r="L234" s="3960"/>
      <c r="M234" s="3960"/>
      <c r="N234" s="3960"/>
      <c r="O234" s="3960"/>
      <c r="P234" s="3960"/>
      <c r="Q234" s="3960"/>
      <c r="R234" s="3960"/>
      <c r="S234" s="3960"/>
      <c r="T234" s="3960"/>
      <c r="U234" s="3960"/>
      <c r="V234" s="3960"/>
      <c r="W234" s="3960"/>
      <c r="X234" s="3960"/>
      <c r="Y234" s="3960"/>
      <c r="Z234" s="3960"/>
      <c r="AA234" s="3960"/>
      <c r="AB234" s="3960"/>
      <c r="AC234" s="3960"/>
      <c r="AD234" s="3960"/>
      <c r="AE234" s="3960"/>
      <c r="AF234" s="3960"/>
      <c r="AG234" s="3920"/>
      <c r="AH234" s="3921"/>
      <c r="AI234" s="3960"/>
      <c r="AJ234" s="3960"/>
      <c r="AK234" s="3960"/>
      <c r="AL234" s="3960"/>
      <c r="AM234" s="3960"/>
      <c r="AN234" s="3960"/>
      <c r="AO234" s="3960"/>
      <c r="AP234" s="3960"/>
      <c r="AQ234" s="3960"/>
      <c r="AR234" s="3960"/>
      <c r="AS234" s="3960"/>
      <c r="AT234" s="3960"/>
      <c r="AU234" s="3960"/>
      <c r="AV234" s="3960"/>
      <c r="AW234" s="3960"/>
      <c r="AX234" s="3960"/>
      <c r="AY234" s="3960"/>
      <c r="AZ234" s="3960"/>
      <c r="BA234" s="3960"/>
      <c r="BB234" s="3960"/>
      <c r="BC234" s="3961"/>
      <c r="BD234" s="3962"/>
      <c r="BE234" s="3962"/>
      <c r="BF234" s="3962"/>
      <c r="BG234" s="3961"/>
      <c r="BH234" s="3962"/>
      <c r="BI234" s="3962"/>
      <c r="BJ234" s="3962"/>
      <c r="BK234" s="2051"/>
      <c r="BL234" s="3966"/>
      <c r="BM234" s="3966"/>
      <c r="BN234" s="3966"/>
      <c r="BO234" s="3975"/>
      <c r="BP234" s="3966">
        <f>+BP232/BO232-1</f>
        <v>1.655629139072845E-2</v>
      </c>
      <c r="BQ234" s="3966">
        <f>+BQ232/BP232-1</f>
        <v>-3.2573289902280145E-3</v>
      </c>
      <c r="BR234" s="3973">
        <f>+BR232/BQ232-1</f>
        <v>-9.8039215686274161E-3</v>
      </c>
      <c r="BS234" s="3975">
        <f>+BS232/BR232-1</f>
        <v>2.3102310231023049E-2</v>
      </c>
      <c r="BT234" s="3966">
        <f>+BT232/BS232-1</f>
        <v>4.1935483870967794E-2</v>
      </c>
      <c r="BU234" s="3966">
        <f t="shared" ref="BU234:CC234" si="509">+BU232/BT232-1</f>
        <v>1.2383900928792491E-2</v>
      </c>
      <c r="BV234" s="3966">
        <f t="shared" si="509"/>
        <v>3.9755351681957096E-2</v>
      </c>
      <c r="BW234" s="3975">
        <f t="shared" si="509"/>
        <v>-1.764705882352946E-2</v>
      </c>
      <c r="BX234" s="3966">
        <f t="shared" si="509"/>
        <v>3.8922155688622784E-2</v>
      </c>
      <c r="BY234" s="3966">
        <f t="shared" si="509"/>
        <v>-1.4409221902017322E-2</v>
      </c>
      <c r="BZ234" s="3973">
        <f t="shared" si="509"/>
        <v>3.2163742690058506E-2</v>
      </c>
      <c r="CA234" s="3975">
        <f t="shared" si="509"/>
        <v>2.8328611898016387E-3</v>
      </c>
      <c r="CB234" s="3966">
        <f t="shared" si="509"/>
        <v>1.1299435028248483E-2</v>
      </c>
      <c r="CC234" s="3966">
        <f t="shared" si="509"/>
        <v>8.379888268156499E-3</v>
      </c>
      <c r="CD234" s="3973">
        <f t="shared" ref="CD234:CL234" si="510">+CD232/CC232-1</f>
        <v>3.1620498614958414E-2</v>
      </c>
      <c r="CE234" s="3966">
        <f t="shared" si="510"/>
        <v>2.8328611898016387E-3</v>
      </c>
      <c r="CF234" s="3966">
        <f t="shared" si="510"/>
        <v>1.1299435028248705E-2</v>
      </c>
      <c r="CG234" s="3966">
        <f t="shared" si="510"/>
        <v>8.379888268156277E-3</v>
      </c>
      <c r="CH234" s="3973">
        <f t="shared" si="510"/>
        <v>3.1620498614958414E-2</v>
      </c>
      <c r="CI234" s="3966">
        <f t="shared" si="510"/>
        <v>2.8328611898016387E-3</v>
      </c>
      <c r="CJ234" s="3966">
        <f t="shared" si="510"/>
        <v>1.1299435028248705E-2</v>
      </c>
      <c r="CK234" s="3966">
        <f t="shared" si="510"/>
        <v>8.379888268156277E-3</v>
      </c>
      <c r="CL234" s="3973">
        <f t="shared" si="510"/>
        <v>3.1620498614958414E-2</v>
      </c>
      <c r="CM234" s="3966"/>
      <c r="CN234" s="3966"/>
      <c r="CO234" s="3966"/>
      <c r="CP234" s="3973"/>
      <c r="CQ234" s="3975"/>
      <c r="CR234" s="3966"/>
      <c r="CS234" s="3966"/>
      <c r="CT234" s="3973"/>
    </row>
    <row r="235" spans="1:98" hidden="1" outlineLevel="2">
      <c r="A235" s="3965" t="s">
        <v>948</v>
      </c>
      <c r="B235" s="3960"/>
      <c r="C235" s="3960"/>
      <c r="D235" s="3960"/>
      <c r="E235" s="3960"/>
      <c r="F235" s="3960"/>
      <c r="G235" s="3960"/>
      <c r="H235" s="3960"/>
      <c r="I235" s="3960"/>
      <c r="J235" s="3960"/>
      <c r="K235" s="3960"/>
      <c r="L235" s="3967"/>
      <c r="M235" s="3967">
        <f t="shared" ref="M235:R235" si="511">+M232/M$139</f>
        <v>0.15217391304347827</v>
      </c>
      <c r="N235" s="3967">
        <f t="shared" si="511"/>
        <v>0.15424774560987187</v>
      </c>
      <c r="O235" s="3967">
        <f t="shared" si="511"/>
        <v>0.15595602402810835</v>
      </c>
      <c r="P235" s="3967">
        <f t="shared" si="511"/>
        <v>0.18542847979474023</v>
      </c>
      <c r="Q235" s="3967">
        <f t="shared" si="511"/>
        <v>0.19607982833997684</v>
      </c>
      <c r="R235" s="3967">
        <f t="shared" si="511"/>
        <v>0.19084387194368976</v>
      </c>
      <c r="S235" s="3967"/>
      <c r="T235" s="3967"/>
      <c r="U235" s="3967"/>
      <c r="V235" s="3967"/>
      <c r="W235" s="3967"/>
      <c r="X235" s="3967"/>
      <c r="Y235" s="3967"/>
      <c r="Z235" s="3967"/>
      <c r="AA235" s="3967"/>
      <c r="AB235" s="3967"/>
      <c r="AC235" s="3967"/>
      <c r="AD235" s="3967"/>
      <c r="AE235" s="3967"/>
      <c r="AF235" s="3967"/>
      <c r="AG235" s="3920"/>
      <c r="AH235" s="3921"/>
      <c r="AI235" s="3960"/>
      <c r="AJ235" s="3960"/>
      <c r="AK235" s="3960"/>
      <c r="AL235" s="3960"/>
      <c r="AM235" s="3960"/>
      <c r="AN235" s="3960"/>
      <c r="AO235" s="3960"/>
      <c r="AP235" s="3960"/>
      <c r="AQ235" s="3960"/>
      <c r="AR235" s="3960"/>
      <c r="AS235" s="3960"/>
      <c r="AT235" s="3960"/>
      <c r="AU235" s="3960"/>
      <c r="AV235" s="3960"/>
      <c r="AW235" s="3960"/>
      <c r="AX235" s="3960"/>
      <c r="AY235" s="3960"/>
      <c r="AZ235" s="3960"/>
      <c r="BA235" s="3960"/>
      <c r="BB235" s="3960"/>
      <c r="BC235" s="3961"/>
      <c r="BD235" s="3962"/>
      <c r="BE235" s="3962"/>
      <c r="BF235" s="3962"/>
      <c r="BG235" s="3961"/>
      <c r="BH235" s="3962"/>
      <c r="BI235" s="3962"/>
      <c r="BJ235" s="3962"/>
      <c r="BK235" s="3971"/>
      <c r="BL235" s="3967"/>
      <c r="BM235" s="3967"/>
      <c r="BN235" s="3967"/>
      <c r="BO235" s="3971">
        <f t="shared" ref="BO235:CD235" si="512">+BO232/BO$139</f>
        <v>0.15221774193548387</v>
      </c>
      <c r="BP235" s="3967">
        <f t="shared" si="512"/>
        <v>0.15419387242591662</v>
      </c>
      <c r="BQ235" s="3967">
        <f t="shared" si="512"/>
        <v>0.15330661322645289</v>
      </c>
      <c r="BR235" s="3972">
        <f t="shared" si="512"/>
        <v>0.14904082636497787</v>
      </c>
      <c r="BS235" s="3971">
        <f t="shared" si="512"/>
        <v>0.14975845410628019</v>
      </c>
      <c r="BT235" s="3967">
        <f t="shared" si="512"/>
        <v>0.15425023877745941</v>
      </c>
      <c r="BU235" s="3967">
        <f t="shared" si="512"/>
        <v>0.15431807456347332</v>
      </c>
      <c r="BV235" s="3967">
        <f t="shared" si="512"/>
        <v>0.1585081585081585</v>
      </c>
      <c r="BW235" s="3971">
        <f t="shared" si="512"/>
        <v>0.15434380776340112</v>
      </c>
      <c r="BX235" s="3967">
        <f t="shared" si="512"/>
        <v>0.15873741994510521</v>
      </c>
      <c r="BY235" s="3967">
        <f t="shared" si="512"/>
        <v>0.1546112115732369</v>
      </c>
      <c r="BZ235" s="3972">
        <f t="shared" si="512"/>
        <v>0.15612560813799203</v>
      </c>
      <c r="CA235" s="3971">
        <f>+CA232/CA$139</f>
        <v>0.15587846763540292</v>
      </c>
      <c r="CB235" s="3967">
        <f>+CB232/CB$139</f>
        <v>0.19735391400220506</v>
      </c>
      <c r="CC235" s="3967">
        <f>+CC232/CC$139</f>
        <v>0.1956639566395664</v>
      </c>
      <c r="CD235" s="3972">
        <f t="shared" si="512"/>
        <v>0.19968632707774797</v>
      </c>
      <c r="CE235" s="3967">
        <f t="shared" ref="CE235:CL235" si="513">+CE232/CE$139</f>
        <v>0.19625328428796635</v>
      </c>
      <c r="CF235" s="3967">
        <f t="shared" si="513"/>
        <v>0.19579574909279418</v>
      </c>
      <c r="CG235" s="3967">
        <f t="shared" si="513"/>
        <v>0.19621586810922204</v>
      </c>
      <c r="CH235" s="3972">
        <f t="shared" si="513"/>
        <v>0.19605679890219557</v>
      </c>
      <c r="CI235" s="3967">
        <f t="shared" si="513"/>
        <v>0.19690697151424286</v>
      </c>
      <c r="CJ235" s="3967">
        <f t="shared" si="513"/>
        <v>0.19513366797257589</v>
      </c>
      <c r="CK235" s="3967">
        <f t="shared" si="513"/>
        <v>0.19822497533300443</v>
      </c>
      <c r="CL235" s="3972">
        <f t="shared" si="513"/>
        <v>0.20439211310404337</v>
      </c>
      <c r="CM235" s="3967"/>
      <c r="CN235" s="3967"/>
      <c r="CO235" s="3967"/>
      <c r="CP235" s="3972"/>
      <c r="CQ235" s="3971"/>
      <c r="CR235" s="3967"/>
      <c r="CS235" s="3967"/>
      <c r="CT235" s="3972"/>
    </row>
    <row r="236" spans="1:98" hidden="1" outlineLevel="2">
      <c r="A236" s="2070" t="s">
        <v>1219</v>
      </c>
      <c r="B236" s="3960"/>
      <c r="C236" s="3960"/>
      <c r="D236" s="3960"/>
      <c r="E236" s="3960"/>
      <c r="F236" s="3960"/>
      <c r="G236" s="3960"/>
      <c r="H236" s="3960"/>
      <c r="I236" s="3960"/>
      <c r="J236" s="3960"/>
      <c r="K236" s="3960"/>
      <c r="L236" s="150"/>
      <c r="M236" s="150">
        <f t="shared" ref="M236:R236" si="514">+M232</f>
        <v>1218</v>
      </c>
      <c r="N236" s="150">
        <f t="shared" si="514"/>
        <v>1300</v>
      </c>
      <c r="O236" s="150">
        <f t="shared" si="514"/>
        <v>1376</v>
      </c>
      <c r="P236" s="150">
        <f t="shared" si="514"/>
        <v>1445.415</v>
      </c>
      <c r="Q236" s="150">
        <f t="shared" si="514"/>
        <v>1524.9128249999999</v>
      </c>
      <c r="R236" s="150">
        <f t="shared" si="514"/>
        <v>1545.4536749999997</v>
      </c>
      <c r="S236" s="150"/>
      <c r="T236" s="150"/>
      <c r="U236" s="150"/>
      <c r="V236" s="150"/>
      <c r="W236" s="150"/>
      <c r="X236" s="150"/>
      <c r="Y236" s="150"/>
      <c r="Z236" s="150"/>
      <c r="AA236" s="150"/>
      <c r="AB236" s="150"/>
      <c r="AC236" s="150"/>
      <c r="AD236" s="150"/>
      <c r="AE236" s="150"/>
      <c r="AF236" s="150"/>
      <c r="AG236" s="3920"/>
      <c r="AH236" s="3921"/>
      <c r="AI236" s="3960"/>
      <c r="AJ236" s="3960"/>
      <c r="AK236" s="3960"/>
      <c r="AL236" s="3960"/>
      <c r="AM236" s="3960"/>
      <c r="AN236" s="3960"/>
      <c r="AO236" s="3960"/>
      <c r="AP236" s="3960"/>
      <c r="AQ236" s="3960"/>
      <c r="AR236" s="3960"/>
      <c r="AS236" s="3960"/>
      <c r="AT236" s="3960"/>
      <c r="AU236" s="3960"/>
      <c r="AV236" s="3960"/>
      <c r="AW236" s="3960"/>
      <c r="AX236" s="3960"/>
      <c r="AY236" s="3960"/>
      <c r="AZ236" s="3960"/>
      <c r="BA236" s="3960"/>
      <c r="BB236" s="3960"/>
      <c r="BC236" s="3961"/>
      <c r="BD236" s="3962"/>
      <c r="BE236" s="3962"/>
      <c r="BF236" s="3962"/>
      <c r="BG236" s="3961"/>
      <c r="BH236" s="3962"/>
      <c r="BI236" s="3962"/>
      <c r="BJ236" s="3962"/>
      <c r="BK236" s="139"/>
      <c r="BL236" s="150"/>
      <c r="BM236" s="150"/>
      <c r="BN236" s="150"/>
      <c r="BO236" s="139">
        <f t="shared" ref="BO236:CD236" si="515">+BO232</f>
        <v>302</v>
      </c>
      <c r="BP236" s="150">
        <f t="shared" si="515"/>
        <v>307</v>
      </c>
      <c r="BQ236" s="150">
        <f t="shared" si="515"/>
        <v>306</v>
      </c>
      <c r="BR236" s="360">
        <f t="shared" si="515"/>
        <v>303</v>
      </c>
      <c r="BS236" s="139">
        <f t="shared" si="515"/>
        <v>310</v>
      </c>
      <c r="BT236" s="150">
        <f t="shared" si="515"/>
        <v>323</v>
      </c>
      <c r="BU236" s="150">
        <f t="shared" si="515"/>
        <v>327</v>
      </c>
      <c r="BV236" s="150">
        <f t="shared" si="515"/>
        <v>340</v>
      </c>
      <c r="BW236" s="139">
        <f t="shared" si="515"/>
        <v>334</v>
      </c>
      <c r="BX236" s="150">
        <f t="shared" si="515"/>
        <v>347</v>
      </c>
      <c r="BY236" s="150">
        <f t="shared" si="515"/>
        <v>342</v>
      </c>
      <c r="BZ236" s="360">
        <f>+BZ232</f>
        <v>353</v>
      </c>
      <c r="CA236" s="139">
        <f>+CA232</f>
        <v>354</v>
      </c>
      <c r="CB236" s="150">
        <f>+CB232</f>
        <v>358</v>
      </c>
      <c r="CC236" s="150">
        <f>+CC232</f>
        <v>361</v>
      </c>
      <c r="CD236" s="360">
        <f t="shared" si="515"/>
        <v>372.41499999999996</v>
      </c>
      <c r="CE236" s="150">
        <f t="shared" ref="CE236:CL236" si="516">+CE232</f>
        <v>373.46999999999997</v>
      </c>
      <c r="CF236" s="150">
        <f t="shared" si="516"/>
        <v>377.69</v>
      </c>
      <c r="CG236" s="150">
        <f t="shared" si="516"/>
        <v>380.85499999999996</v>
      </c>
      <c r="CH236" s="360">
        <f t="shared" si="516"/>
        <v>392.89782499999995</v>
      </c>
      <c r="CI236" s="150">
        <f t="shared" si="516"/>
        <v>394.01084999999995</v>
      </c>
      <c r="CJ236" s="150">
        <f t="shared" si="516"/>
        <v>398.46294999999998</v>
      </c>
      <c r="CK236" s="150">
        <f t="shared" si="516"/>
        <v>401.80202499999996</v>
      </c>
      <c r="CL236" s="360">
        <f t="shared" si="516"/>
        <v>414.50720537499996</v>
      </c>
      <c r="CM236" s="150"/>
      <c r="CN236" s="150"/>
      <c r="CO236" s="150"/>
      <c r="CP236" s="360"/>
      <c r="CQ236" s="139"/>
      <c r="CR236" s="150"/>
      <c r="CS236" s="150"/>
      <c r="CT236" s="360"/>
    </row>
    <row r="237" spans="1:98" hidden="1" outlineLevel="2">
      <c r="A237" s="3965" t="s">
        <v>34</v>
      </c>
      <c r="B237" s="3960"/>
      <c r="C237" s="3960"/>
      <c r="D237" s="3960"/>
      <c r="E237" s="3960"/>
      <c r="F237" s="3960"/>
      <c r="G237" s="3960"/>
      <c r="H237" s="3960"/>
      <c r="I237" s="3960"/>
      <c r="J237" s="3960"/>
      <c r="K237" s="3960"/>
      <c r="L237" s="3960"/>
      <c r="M237" s="3966"/>
      <c r="N237" s="3966">
        <f>+N236/M236-1</f>
        <v>6.7323481116584594E-2</v>
      </c>
      <c r="O237" s="3966">
        <f>+O236/N236-1</f>
        <v>5.8461538461538565E-2</v>
      </c>
      <c r="P237" s="3966">
        <f>+P236/O236-1</f>
        <v>5.0446947674418485E-2</v>
      </c>
      <c r="Q237" s="3966">
        <f>+Q236/P236-1</f>
        <v>5.4999999999999938E-2</v>
      </c>
      <c r="R237" s="3966">
        <f>+R236/Q236-1</f>
        <v>1.3470179844542907E-2</v>
      </c>
      <c r="S237" s="3966"/>
      <c r="T237" s="3966"/>
      <c r="U237" s="3966"/>
      <c r="V237" s="3966"/>
      <c r="W237" s="3966"/>
      <c r="X237" s="3966"/>
      <c r="Y237" s="3966"/>
      <c r="Z237" s="3966"/>
      <c r="AA237" s="3966"/>
      <c r="AB237" s="3966"/>
      <c r="AC237" s="3966"/>
      <c r="AD237" s="3966"/>
      <c r="AE237" s="3966"/>
      <c r="AF237" s="3966"/>
      <c r="AG237" s="3920"/>
      <c r="AH237" s="3921"/>
      <c r="AI237" s="3960"/>
      <c r="AJ237" s="3960"/>
      <c r="AK237" s="3960"/>
      <c r="AL237" s="3960"/>
      <c r="AM237" s="3960"/>
      <c r="AN237" s="3960"/>
      <c r="AO237" s="3960"/>
      <c r="AP237" s="3960"/>
      <c r="AQ237" s="3960"/>
      <c r="AR237" s="3960"/>
      <c r="AS237" s="3960"/>
      <c r="AT237" s="3960"/>
      <c r="AU237" s="3960"/>
      <c r="AV237" s="3960"/>
      <c r="AW237" s="3960"/>
      <c r="AX237" s="3960"/>
      <c r="AY237" s="3960"/>
      <c r="AZ237" s="3960"/>
      <c r="BA237" s="3960"/>
      <c r="BB237" s="3960"/>
      <c r="BC237" s="3961"/>
      <c r="BD237" s="3962"/>
      <c r="BE237" s="3962"/>
      <c r="BF237" s="3962"/>
      <c r="BG237" s="3961"/>
      <c r="BH237" s="3962"/>
      <c r="BI237" s="3962"/>
      <c r="BJ237" s="3962"/>
      <c r="BK237" s="3971"/>
      <c r="BL237" s="3967"/>
      <c r="BM237" s="3967"/>
      <c r="BN237" s="3967"/>
      <c r="BO237" s="3971"/>
      <c r="BP237" s="3967"/>
      <c r="BQ237" s="3967"/>
      <c r="BR237" s="3972"/>
      <c r="BS237" s="3971">
        <f t="shared" ref="BS237:CD237" si="517">+BS236/BO236-1</f>
        <v>2.6490066225165476E-2</v>
      </c>
      <c r="BT237" s="3967">
        <f t="shared" si="517"/>
        <v>5.2117263843648232E-2</v>
      </c>
      <c r="BU237" s="3967">
        <f t="shared" si="517"/>
        <v>6.8627450980392135E-2</v>
      </c>
      <c r="BV237" s="3967">
        <f t="shared" si="517"/>
        <v>0.12211221122112215</v>
      </c>
      <c r="BW237" s="3971">
        <f t="shared" si="517"/>
        <v>7.7419354838709653E-2</v>
      </c>
      <c r="BX237" s="3967">
        <f t="shared" si="517"/>
        <v>7.4303405572755388E-2</v>
      </c>
      <c r="BY237" s="3967">
        <f t="shared" si="517"/>
        <v>4.587155963302747E-2</v>
      </c>
      <c r="BZ237" s="3972">
        <f t="shared" si="517"/>
        <v>3.8235294117647145E-2</v>
      </c>
      <c r="CA237" s="3971">
        <f t="shared" si="517"/>
        <v>5.9880239520958112E-2</v>
      </c>
      <c r="CB237" s="3967">
        <f t="shared" si="517"/>
        <v>3.170028818443793E-2</v>
      </c>
      <c r="CC237" s="3967">
        <f t="shared" si="517"/>
        <v>5.555555555555558E-2</v>
      </c>
      <c r="CD237" s="3972">
        <f t="shared" si="517"/>
        <v>5.4999999999999938E-2</v>
      </c>
      <c r="CE237" s="3967">
        <f t="shared" ref="CE237:CL237" si="518">+CE236/CA236-1</f>
        <v>5.4999999999999938E-2</v>
      </c>
      <c r="CF237" s="3967">
        <f t="shared" si="518"/>
        <v>5.4999999999999938E-2</v>
      </c>
      <c r="CG237" s="3967">
        <f t="shared" si="518"/>
        <v>5.4999999999999938E-2</v>
      </c>
      <c r="CH237" s="3972">
        <f t="shared" si="518"/>
        <v>5.4999999999999938E-2</v>
      </c>
      <c r="CI237" s="3967">
        <f t="shared" si="518"/>
        <v>5.4999999999999938E-2</v>
      </c>
      <c r="CJ237" s="3967">
        <f t="shared" si="518"/>
        <v>5.4999999999999938E-2</v>
      </c>
      <c r="CK237" s="3967">
        <f t="shared" si="518"/>
        <v>5.4999999999999938E-2</v>
      </c>
      <c r="CL237" s="3972">
        <f t="shared" si="518"/>
        <v>5.4999999999999938E-2</v>
      </c>
      <c r="CM237" s="3967"/>
      <c r="CN237" s="3967"/>
      <c r="CO237" s="3967"/>
      <c r="CP237" s="3972"/>
      <c r="CQ237" s="3971"/>
      <c r="CR237" s="3967"/>
      <c r="CS237" s="3967"/>
      <c r="CT237" s="3972"/>
    </row>
    <row r="238" spans="1:98" hidden="1" outlineLevel="2">
      <c r="A238" s="3985" t="s">
        <v>1217</v>
      </c>
      <c r="B238" s="3986"/>
      <c r="C238" s="3986"/>
      <c r="D238" s="3986"/>
      <c r="E238" s="3986"/>
      <c r="F238" s="3986"/>
      <c r="G238" s="3986"/>
      <c r="H238" s="3986"/>
      <c r="I238" s="3986"/>
      <c r="J238" s="3986"/>
      <c r="K238" s="3986"/>
      <c r="L238" s="3986"/>
      <c r="M238" s="3987"/>
      <c r="N238" s="3987">
        <f>N236/N154</f>
        <v>7.074059966262175E-2</v>
      </c>
      <c r="O238" s="3987">
        <f>O236/O154</f>
        <v>7.6043105830339866E-2</v>
      </c>
      <c r="P238" s="3987">
        <f>P236/P154</f>
        <v>8.0180562489598928E-2</v>
      </c>
      <c r="Q238" s="3987">
        <f>Q236/Q154</f>
        <v>8.5190660614525127E-2</v>
      </c>
      <c r="R238" s="3987">
        <f>R236/R154</f>
        <v>8.8463289925586705E-2</v>
      </c>
      <c r="S238" s="3987"/>
      <c r="T238" s="3987"/>
      <c r="U238" s="3987"/>
      <c r="V238" s="3987"/>
      <c r="W238" s="3987"/>
      <c r="X238" s="3987"/>
      <c r="Y238" s="3987"/>
      <c r="Z238" s="3987"/>
      <c r="AA238" s="3987"/>
      <c r="AB238" s="3987"/>
      <c r="AC238" s="3987"/>
      <c r="AD238" s="3987"/>
      <c r="AE238" s="3987"/>
      <c r="AF238" s="3987"/>
      <c r="AG238" s="3998"/>
      <c r="AH238" s="3988"/>
      <c r="AI238" s="3986"/>
      <c r="AJ238" s="3986"/>
      <c r="AK238" s="3986"/>
      <c r="AL238" s="3986"/>
      <c r="AM238" s="3986"/>
      <c r="AN238" s="3986"/>
      <c r="AO238" s="3986"/>
      <c r="AP238" s="3986"/>
      <c r="AQ238" s="3986"/>
      <c r="AR238" s="3986"/>
      <c r="AS238" s="3986"/>
      <c r="AT238" s="3986"/>
      <c r="AU238" s="3986"/>
      <c r="AV238" s="3986"/>
      <c r="AW238" s="3986"/>
      <c r="AX238" s="3986"/>
      <c r="AY238" s="3986"/>
      <c r="AZ238" s="3986"/>
      <c r="BA238" s="3986"/>
      <c r="BB238" s="3986"/>
      <c r="BC238" s="3999"/>
      <c r="BD238" s="4000"/>
      <c r="BE238" s="4000"/>
      <c r="BF238" s="4000"/>
      <c r="BG238" s="3999"/>
      <c r="BH238" s="4000"/>
      <c r="BI238" s="4000"/>
      <c r="BJ238" s="4000"/>
      <c r="BK238" s="4001"/>
      <c r="BL238" s="4002"/>
      <c r="BM238" s="4002"/>
      <c r="BN238" s="4002"/>
      <c r="BO238" s="4001"/>
      <c r="BP238" s="4002"/>
      <c r="BQ238" s="4002"/>
      <c r="BR238" s="4003"/>
      <c r="BS238" s="4001"/>
      <c r="BT238" s="4002"/>
      <c r="BU238" s="4002"/>
      <c r="BV238" s="4002"/>
      <c r="BW238" s="4001">
        <f t="shared" ref="BW238:CE238" si="519">BW236/BW154</f>
        <v>7.4008420119654333E-2</v>
      </c>
      <c r="BX238" s="4002">
        <f t="shared" si="519"/>
        <v>7.6685082872928176E-2</v>
      </c>
      <c r="BY238" s="4002">
        <f t="shared" si="519"/>
        <v>7.5747508305647845E-2</v>
      </c>
      <c r="BZ238" s="4003">
        <f t="shared" si="519"/>
        <v>7.7719066490532798E-2</v>
      </c>
      <c r="CA238" s="4001">
        <f t="shared" si="519"/>
        <v>7.8007933010136629E-2</v>
      </c>
      <c r="CB238" s="4002">
        <f t="shared" si="519"/>
        <v>7.8854625550660792E-2</v>
      </c>
      <c r="CC238" s="4002">
        <f t="shared" si="519"/>
        <v>7.9991136716153335E-2</v>
      </c>
      <c r="CD238" s="4003">
        <f t="shared" si="519"/>
        <v>8.3952885482416584E-2</v>
      </c>
      <c r="CE238" s="4002">
        <f t="shared" si="519"/>
        <v>8.3906987193889004E-2</v>
      </c>
      <c r="CF238" s="4002">
        <f t="shared" ref="CF238:CL238" si="520">CF236/CF154</f>
        <v>8.5469563249603989E-2</v>
      </c>
      <c r="CG238" s="4002">
        <f t="shared" si="520"/>
        <v>8.3630873956960908E-2</v>
      </c>
      <c r="CH238" s="4003">
        <f t="shared" si="520"/>
        <v>8.777878127792671E-2</v>
      </c>
      <c r="CI238" s="4002">
        <f t="shared" si="520"/>
        <v>8.952757327880026E-2</v>
      </c>
      <c r="CJ238" s="4002">
        <f t="shared" si="520"/>
        <v>9.0600943610732149E-2</v>
      </c>
      <c r="CK238" s="4002">
        <f t="shared" si="520"/>
        <v>9.1693752852578719E-2</v>
      </c>
      <c r="CL238" s="4003">
        <f t="shared" si="520"/>
        <v>9.6644253992772197E-2</v>
      </c>
      <c r="CM238" s="4002"/>
      <c r="CN238" s="4002"/>
      <c r="CO238" s="4002"/>
      <c r="CP238" s="4003"/>
      <c r="CQ238" s="4001"/>
      <c r="CR238" s="4002"/>
      <c r="CS238" s="4002"/>
      <c r="CT238" s="4003"/>
    </row>
    <row r="239" spans="1:98" hidden="1" outlineLevel="2">
      <c r="A239" s="2065" t="s">
        <v>1676</v>
      </c>
      <c r="B239" s="3954"/>
      <c r="C239" s="3954"/>
      <c r="D239" s="3954"/>
      <c r="E239" s="3954"/>
      <c r="F239" s="3954"/>
      <c r="G239" s="3954"/>
      <c r="H239" s="3954"/>
      <c r="I239" s="3954"/>
      <c r="J239" s="3954"/>
      <c r="K239" s="3954"/>
      <c r="L239" s="3954"/>
      <c r="M239" s="3954"/>
      <c r="N239" s="3954"/>
      <c r="O239" s="3954"/>
      <c r="P239" s="3954"/>
      <c r="Q239" s="3954"/>
      <c r="R239" s="3954"/>
      <c r="S239" s="3954"/>
      <c r="T239" s="3954"/>
      <c r="U239" s="3954"/>
      <c r="V239" s="3954"/>
      <c r="W239" s="3954"/>
      <c r="X239" s="3954"/>
      <c r="Y239" s="3954"/>
      <c r="Z239" s="3954"/>
      <c r="AA239" s="3954"/>
      <c r="AB239" s="3954"/>
      <c r="AC239" s="3954"/>
      <c r="AD239" s="3954"/>
      <c r="AE239" s="3954"/>
      <c r="AF239" s="3954"/>
      <c r="AG239" s="3920"/>
      <c r="AH239" s="3921"/>
      <c r="AI239" s="3954"/>
      <c r="AJ239" s="3954"/>
      <c r="AK239" s="3954"/>
      <c r="AL239" s="3954"/>
      <c r="AM239" s="3954"/>
      <c r="AN239" s="3954"/>
      <c r="AO239" s="3954"/>
      <c r="AP239" s="3954"/>
      <c r="AQ239" s="3954"/>
      <c r="AR239" s="3954"/>
      <c r="AS239" s="3954"/>
      <c r="AT239" s="3954"/>
      <c r="AU239" s="3954"/>
      <c r="AV239" s="3954"/>
      <c r="AW239" s="3954"/>
      <c r="AX239" s="3954"/>
      <c r="AY239" s="3954"/>
      <c r="AZ239" s="3954"/>
      <c r="BA239" s="3954"/>
      <c r="BB239" s="3954"/>
      <c r="BC239" s="3955"/>
      <c r="BD239" s="3956"/>
      <c r="BE239" s="3956"/>
      <c r="BF239" s="3956"/>
      <c r="BG239" s="3955"/>
      <c r="BH239" s="3956"/>
      <c r="BI239" s="3956"/>
      <c r="BJ239" s="3956"/>
      <c r="BK239" s="3957"/>
      <c r="BL239" s="3954"/>
      <c r="BM239" s="3954"/>
      <c r="BN239" s="3954"/>
      <c r="BO239" s="3957"/>
      <c r="BP239" s="3954"/>
      <c r="BQ239" s="3954"/>
      <c r="BR239" s="3958"/>
      <c r="BS239" s="3957"/>
      <c r="BT239" s="3954"/>
      <c r="BU239" s="3954"/>
      <c r="BV239" s="3954"/>
      <c r="BW239" s="3957"/>
      <c r="BX239" s="3954"/>
      <c r="BY239" s="3954"/>
      <c r="BZ239" s="3958"/>
      <c r="CA239" s="3957"/>
      <c r="CB239" s="3954" t="s">
        <v>1584</v>
      </c>
      <c r="CC239" s="3954"/>
      <c r="CD239" s="3958"/>
      <c r="CE239" s="3954"/>
      <c r="CF239" s="3954"/>
      <c r="CG239" s="3954"/>
      <c r="CH239" s="3958"/>
      <c r="CI239" s="3954"/>
      <c r="CJ239" s="3954"/>
      <c r="CK239" s="3954"/>
      <c r="CL239" s="3958"/>
      <c r="CM239" s="3954"/>
      <c r="CN239" s="3954"/>
      <c r="CO239" s="3954"/>
      <c r="CP239" s="3958"/>
      <c r="CQ239" s="3957"/>
      <c r="CR239" s="3954"/>
      <c r="CS239" s="3954"/>
      <c r="CT239" s="3958"/>
    </row>
    <row r="240" spans="1:98" hidden="1" outlineLevel="2">
      <c r="A240" s="2053" t="s">
        <v>659</v>
      </c>
      <c r="B240" s="3960"/>
      <c r="C240" s="3960"/>
      <c r="D240" s="3960"/>
      <c r="E240" s="3960"/>
      <c r="F240" s="3960"/>
      <c r="G240" s="3960"/>
      <c r="H240" s="3960"/>
      <c r="I240" s="3960"/>
      <c r="J240" s="3960"/>
      <c r="K240" s="3960"/>
      <c r="L240" s="3960"/>
      <c r="N240" s="150">
        <f>+SUM(BS240:BV240)</f>
        <v>5953</v>
      </c>
      <c r="O240" s="150">
        <f>+SUM(BW240:BZ240)</f>
        <v>6173</v>
      </c>
      <c r="P240" s="2033">
        <f>SUM(CA240:CD240)</f>
        <v>4945</v>
      </c>
      <c r="Q240" s="2033">
        <f>SUM(CE240:CH240)</f>
        <v>4721</v>
      </c>
      <c r="R240" s="2033">
        <f>SUM(CI240:CL240)</f>
        <v>4757</v>
      </c>
      <c r="S240" s="2033"/>
      <c r="T240" s="2033"/>
      <c r="U240" s="2067"/>
      <c r="V240" s="2067"/>
      <c r="W240" s="2067"/>
      <c r="X240" s="2067"/>
      <c r="Y240" s="2067"/>
      <c r="Z240" s="2067"/>
      <c r="AA240" s="2067"/>
      <c r="AB240" s="2067"/>
      <c r="AC240" s="2067"/>
      <c r="AD240" s="2067"/>
      <c r="AE240" s="2067"/>
      <c r="AF240" s="2067"/>
      <c r="AG240" s="3920"/>
      <c r="AH240" s="3921"/>
      <c r="AI240" s="3960"/>
      <c r="AJ240" s="3960"/>
      <c r="AK240" s="3960"/>
      <c r="AL240" s="3960"/>
      <c r="AM240" s="3960"/>
      <c r="AN240" s="3960"/>
      <c r="AO240" s="3960"/>
      <c r="AP240" s="3960"/>
      <c r="AQ240" s="3960"/>
      <c r="AR240" s="3960"/>
      <c r="AS240" s="3960"/>
      <c r="AT240" s="3960"/>
      <c r="AU240" s="3960"/>
      <c r="AV240" s="3960"/>
      <c r="AW240" s="3960"/>
      <c r="AX240" s="3960"/>
      <c r="AY240" s="3960"/>
      <c r="AZ240" s="3960"/>
      <c r="BA240" s="3960"/>
      <c r="BB240" s="3960"/>
      <c r="BC240" s="3961"/>
      <c r="BD240" s="3962"/>
      <c r="BE240" s="3962"/>
      <c r="BF240" s="3962"/>
      <c r="BG240" s="3961"/>
      <c r="BH240" s="3962"/>
      <c r="BI240" s="3962"/>
      <c r="BJ240" s="3962"/>
      <c r="BK240" s="3959"/>
      <c r="BL240" s="3960"/>
      <c r="BM240" s="3960"/>
      <c r="BN240" s="3960"/>
      <c r="BO240" s="2581">
        <f t="shared" ref="BO240:BZ240" si="521">BO232+BO215+BO197</f>
        <v>1433</v>
      </c>
      <c r="BP240" s="114">
        <f t="shared" si="521"/>
        <v>1447</v>
      </c>
      <c r="BQ240" s="114">
        <f t="shared" si="521"/>
        <v>1446</v>
      </c>
      <c r="BR240" s="2242">
        <f t="shared" si="521"/>
        <v>1448</v>
      </c>
      <c r="BS240" s="2053">
        <f t="shared" si="521"/>
        <v>1465</v>
      </c>
      <c r="BT240" s="114">
        <f t="shared" si="521"/>
        <v>1483</v>
      </c>
      <c r="BU240" s="114">
        <f t="shared" si="521"/>
        <v>1495</v>
      </c>
      <c r="BV240" s="114">
        <f t="shared" si="521"/>
        <v>1510</v>
      </c>
      <c r="BW240" s="2053">
        <f t="shared" si="521"/>
        <v>1519</v>
      </c>
      <c r="BX240" s="114">
        <f t="shared" si="521"/>
        <v>1533</v>
      </c>
      <c r="BY240" s="114">
        <f t="shared" si="521"/>
        <v>1543</v>
      </c>
      <c r="BZ240" s="2242">
        <f t="shared" si="521"/>
        <v>1578</v>
      </c>
      <c r="CA240" s="139">
        <f>CA232+CA215+CA197-10</f>
        <v>1569</v>
      </c>
      <c r="CB240" s="2047">
        <v>1105</v>
      </c>
      <c r="CC240" s="2047">
        <v>1133</v>
      </c>
      <c r="CD240" s="2046">
        <v>1138</v>
      </c>
      <c r="CE240" s="2925">
        <v>1165</v>
      </c>
      <c r="CF240" s="2924">
        <v>1171</v>
      </c>
      <c r="CG240" s="2924">
        <v>1166</v>
      </c>
      <c r="CH240" s="2923">
        <v>1219</v>
      </c>
      <c r="CI240" s="2924">
        <v>1215</v>
      </c>
      <c r="CJ240" s="2924">
        <f>1230</f>
        <v>1230</v>
      </c>
      <c r="CK240" s="2924">
        <v>1226</v>
      </c>
      <c r="CL240" s="2923">
        <f>+CL352+CL355</f>
        <v>1086</v>
      </c>
      <c r="CM240" s="2067"/>
      <c r="CN240" s="2924"/>
      <c r="CO240" s="2924"/>
      <c r="CP240" s="2923"/>
      <c r="CQ240" s="2050"/>
      <c r="CR240" s="2067"/>
      <c r="CS240" s="2067"/>
      <c r="CT240" s="2582"/>
    </row>
    <row r="241" spans="1:98" hidden="1" outlineLevel="2">
      <c r="A241" s="3965" t="s">
        <v>34</v>
      </c>
      <c r="B241" s="114"/>
      <c r="C241" s="114"/>
      <c r="D241" s="114"/>
      <c r="E241" s="114"/>
      <c r="F241" s="114"/>
      <c r="G241" s="114"/>
      <c r="H241" s="114"/>
      <c r="I241" s="114"/>
      <c r="J241" s="114"/>
      <c r="K241" s="114"/>
      <c r="L241" s="150"/>
      <c r="M241" s="2304"/>
      <c r="N241" s="150"/>
      <c r="O241" s="3966">
        <f>+O240/N240-1</f>
        <v>3.6956156559717845E-2</v>
      </c>
      <c r="P241" s="3966">
        <f>+P240/O240-1</f>
        <v>-0.19893082779847726</v>
      </c>
      <c r="Q241" s="3966">
        <f>+Q240/P240-1</f>
        <v>-4.5298281092012171E-2</v>
      </c>
      <c r="R241" s="3966">
        <f>+R240/Q240-1</f>
        <v>7.6255030713832106E-3</v>
      </c>
      <c r="S241" s="3966"/>
      <c r="T241" s="3966"/>
      <c r="U241" s="3966"/>
      <c r="V241" s="3966"/>
      <c r="W241" s="3966"/>
      <c r="X241" s="3966"/>
      <c r="Y241" s="3966"/>
      <c r="Z241" s="3966"/>
      <c r="AA241" s="3966"/>
      <c r="AB241" s="3966"/>
      <c r="AC241" s="3966"/>
      <c r="AD241" s="3966"/>
      <c r="AE241" s="3966"/>
      <c r="AF241" s="3966"/>
      <c r="AG241" s="2553"/>
      <c r="AH241" s="2714"/>
      <c r="AI241" s="114"/>
      <c r="AJ241" s="114"/>
      <c r="AK241" s="114"/>
      <c r="AL241" s="114"/>
      <c r="AM241" s="114"/>
      <c r="AN241" s="114"/>
      <c r="AO241" s="114"/>
      <c r="AP241" s="114"/>
      <c r="AQ241" s="114"/>
      <c r="AR241" s="114"/>
      <c r="AS241" s="114"/>
      <c r="AT241" s="114"/>
      <c r="AU241" s="114"/>
      <c r="AV241" s="114"/>
      <c r="AW241" s="114"/>
      <c r="AX241" s="114"/>
      <c r="AY241" s="114"/>
      <c r="AZ241" s="114"/>
      <c r="BA241" s="114"/>
      <c r="BB241" s="114"/>
      <c r="BC241" s="2050"/>
      <c r="BD241" s="2067"/>
      <c r="BE241" s="2067"/>
      <c r="BF241" s="2067"/>
      <c r="BG241" s="2050"/>
      <c r="BH241" s="2067"/>
      <c r="BI241" s="2067"/>
      <c r="BJ241" s="2067"/>
      <c r="BK241" s="2045"/>
      <c r="BL241" s="2047"/>
      <c r="BM241" s="2047"/>
      <c r="BN241" s="2047"/>
      <c r="BO241" s="2301"/>
      <c r="BP241" s="2302"/>
      <c r="BQ241" s="2302"/>
      <c r="BR241" s="2303"/>
      <c r="BS241" s="3971">
        <f t="shared" ref="BS241:CG241" si="522">+BS240/BO240-1</f>
        <v>2.2330774598743997E-2</v>
      </c>
      <c r="BT241" s="3967">
        <f t="shared" si="522"/>
        <v>2.4879060124395336E-2</v>
      </c>
      <c r="BU241" s="3967">
        <f t="shared" si="522"/>
        <v>3.3886583679114901E-2</v>
      </c>
      <c r="BV241" s="3967">
        <f t="shared" si="522"/>
        <v>4.2817679558011079E-2</v>
      </c>
      <c r="BW241" s="3971">
        <f t="shared" si="522"/>
        <v>3.6860068259385592E-2</v>
      </c>
      <c r="BX241" s="3967">
        <f t="shared" si="522"/>
        <v>3.3715441672286017E-2</v>
      </c>
      <c r="BY241" s="3967">
        <f t="shared" si="522"/>
        <v>3.2107023411371172E-2</v>
      </c>
      <c r="BZ241" s="3972">
        <f t="shared" si="522"/>
        <v>4.503311258278142E-2</v>
      </c>
      <c r="CA241" s="3971">
        <f t="shared" si="522"/>
        <v>3.2916392363397051E-2</v>
      </c>
      <c r="CB241" s="3949" t="s">
        <v>441</v>
      </c>
      <c r="CC241" s="3949" t="s">
        <v>441</v>
      </c>
      <c r="CD241" s="3950" t="s">
        <v>441</v>
      </c>
      <c r="CE241" s="3951" t="s">
        <v>441</v>
      </c>
      <c r="CF241" s="3967">
        <f t="shared" si="522"/>
        <v>5.9728506787330327E-2</v>
      </c>
      <c r="CG241" s="3967">
        <f t="shared" si="522"/>
        <v>2.9126213592232997E-2</v>
      </c>
      <c r="CH241" s="3972">
        <f>+CH240/CD240-1</f>
        <v>7.1177504393673097E-2</v>
      </c>
      <c r="CI241" s="3967">
        <f>+CI240/CE240-1</f>
        <v>4.2918454935622297E-2</v>
      </c>
      <c r="CJ241" s="3967">
        <f>+CJ240/CF240-1</f>
        <v>5.0384286934244127E-2</v>
      </c>
      <c r="CK241" s="3967">
        <f>+CK240/CG240-1</f>
        <v>5.1457975986277882E-2</v>
      </c>
      <c r="CL241" s="3972">
        <f>+CL240/CH240-1</f>
        <v>-0.10910582444626749</v>
      </c>
      <c r="CM241" s="3967"/>
      <c r="CN241" s="3967"/>
      <c r="CO241" s="3967"/>
      <c r="CP241" s="3972"/>
      <c r="CQ241" s="3971"/>
      <c r="CR241" s="3967"/>
      <c r="CS241" s="3967"/>
      <c r="CT241" s="3972"/>
    </row>
    <row r="242" spans="1:98" hidden="1" outlineLevel="2">
      <c r="A242" s="3965" t="s">
        <v>947</v>
      </c>
      <c r="B242" s="3960"/>
      <c r="C242" s="3960"/>
      <c r="D242" s="3960"/>
      <c r="E242" s="3960"/>
      <c r="F242" s="3960"/>
      <c r="G242" s="3960"/>
      <c r="H242" s="3960"/>
      <c r="I242" s="3960"/>
      <c r="J242" s="3960"/>
      <c r="K242" s="3960"/>
      <c r="L242" s="3960"/>
      <c r="M242" s="3966"/>
      <c r="N242" s="3939"/>
      <c r="O242" s="3966"/>
      <c r="P242" s="3966"/>
      <c r="Q242" s="3966"/>
      <c r="R242" s="3966"/>
      <c r="S242" s="3966"/>
      <c r="T242" s="3966"/>
      <c r="U242" s="2068"/>
      <c r="V242" s="2068"/>
      <c r="W242" s="2068"/>
      <c r="X242" s="2068"/>
      <c r="Y242" s="2068"/>
      <c r="Z242" s="2068"/>
      <c r="AA242" s="2068"/>
      <c r="AB242" s="2068"/>
      <c r="AC242" s="2068"/>
      <c r="AD242" s="2068"/>
      <c r="AE242" s="2068"/>
      <c r="AF242" s="2068"/>
      <c r="AG242" s="3920"/>
      <c r="AH242" s="3921"/>
      <c r="AI242" s="3960"/>
      <c r="AJ242" s="3960"/>
      <c r="AK242" s="3960"/>
      <c r="AL242" s="3960"/>
      <c r="AM242" s="3960"/>
      <c r="AN242" s="3960"/>
      <c r="AO242" s="3960"/>
      <c r="AP242" s="3960"/>
      <c r="AQ242" s="3960"/>
      <c r="AR242" s="3960"/>
      <c r="AS242" s="3960"/>
      <c r="AT242" s="3960"/>
      <c r="AU242" s="3960"/>
      <c r="AV242" s="3960"/>
      <c r="AW242" s="3960"/>
      <c r="AX242" s="3960"/>
      <c r="AY242" s="3960"/>
      <c r="AZ242" s="3960"/>
      <c r="BA242" s="3960"/>
      <c r="BB242" s="3960"/>
      <c r="BC242" s="3961"/>
      <c r="BD242" s="3962"/>
      <c r="BE242" s="3962"/>
      <c r="BF242" s="3962"/>
      <c r="BG242" s="3961"/>
      <c r="BH242" s="3962"/>
      <c r="BI242" s="3962"/>
      <c r="BJ242" s="3962"/>
      <c r="BK242" s="2051"/>
      <c r="BL242" s="3967"/>
      <c r="BM242" s="3967"/>
      <c r="BN242" s="3967"/>
      <c r="BO242" s="3968" t="e">
        <f t="shared" ref="BO242:CG242" si="523">+BO240/BN240-1</f>
        <v>#DIV/0!</v>
      </c>
      <c r="BP242" s="3969">
        <f t="shared" si="523"/>
        <v>9.7697138869503597E-3</v>
      </c>
      <c r="BQ242" s="3969">
        <f t="shared" si="523"/>
        <v>-6.9108500345538282E-4</v>
      </c>
      <c r="BR242" s="3970">
        <f t="shared" si="523"/>
        <v>1.3831258644536604E-3</v>
      </c>
      <c r="BS242" s="3968">
        <f t="shared" si="523"/>
        <v>1.1740331491712608E-2</v>
      </c>
      <c r="BT242" s="3969">
        <f t="shared" si="523"/>
        <v>1.2286689419795271E-2</v>
      </c>
      <c r="BU242" s="3969">
        <f t="shared" si="523"/>
        <v>8.0917060013485642E-3</v>
      </c>
      <c r="BV242" s="3969">
        <f t="shared" si="523"/>
        <v>1.0033444816053505E-2</v>
      </c>
      <c r="BW242" s="3971">
        <f t="shared" si="523"/>
        <v>5.9602649006622599E-3</v>
      </c>
      <c r="BX242" s="3967">
        <f t="shared" si="523"/>
        <v>9.2165898617511122E-3</v>
      </c>
      <c r="BY242" s="3967">
        <f t="shared" si="523"/>
        <v>6.5231572080888256E-3</v>
      </c>
      <c r="BZ242" s="3972">
        <f t="shared" si="523"/>
        <v>2.2683084899546291E-2</v>
      </c>
      <c r="CA242" s="3971">
        <f t="shared" si="523"/>
        <v>-5.7034220532319324E-3</v>
      </c>
      <c r="CB242" s="3967">
        <f t="shared" si="523"/>
        <v>-0.29572976418100705</v>
      </c>
      <c r="CC242" s="3967">
        <f t="shared" si="523"/>
        <v>2.5339366515837014E-2</v>
      </c>
      <c r="CD242" s="3972">
        <f t="shared" si="523"/>
        <v>4.4130626654899086E-3</v>
      </c>
      <c r="CE242" s="3971">
        <f t="shared" si="523"/>
        <v>2.3725834797891032E-2</v>
      </c>
      <c r="CF242" s="3967">
        <f t="shared" si="523"/>
        <v>5.1502145922746045E-3</v>
      </c>
      <c r="CG242" s="3967">
        <f t="shared" si="523"/>
        <v>-4.2698548249359147E-3</v>
      </c>
      <c r="CH242" s="3972">
        <f>+CH240/CG240-1</f>
        <v>4.5454545454545414E-2</v>
      </c>
      <c r="CI242" s="3967">
        <f>+CI240/CH240-1</f>
        <v>-3.2813781788351148E-3</v>
      </c>
      <c r="CJ242" s="3967">
        <f>+CJ240/CI240-1</f>
        <v>1.2345679012345734E-2</v>
      </c>
      <c r="CK242" s="3967">
        <f>+CK240/CJ240-1</f>
        <v>-3.2520325203252431E-3</v>
      </c>
      <c r="CL242" s="3972">
        <f>+CL240/CK240-1</f>
        <v>-0.11419249592169656</v>
      </c>
      <c r="CM242" s="3966"/>
      <c r="CN242" s="3967"/>
      <c r="CO242" s="3967"/>
      <c r="CP242" s="3972"/>
      <c r="CQ242" s="3975"/>
      <c r="CR242" s="3966"/>
      <c r="CS242" s="3966"/>
      <c r="CT242" s="3973"/>
    </row>
    <row r="243" spans="1:98" hidden="1" outlineLevel="2">
      <c r="A243" s="3965" t="s">
        <v>948</v>
      </c>
      <c r="B243" s="3960"/>
      <c r="C243" s="3960"/>
      <c r="D243" s="3960"/>
      <c r="E243" s="3960"/>
      <c r="F243" s="3960"/>
      <c r="G243" s="3960"/>
      <c r="H243" s="3960"/>
      <c r="I243" s="3960"/>
      <c r="J243" s="3960"/>
      <c r="K243" s="3960"/>
      <c r="L243" s="3960"/>
      <c r="M243" s="3960"/>
      <c r="N243" s="3960"/>
      <c r="O243" s="3967">
        <f>+O240/O$139</f>
        <v>0.69964864558540174</v>
      </c>
      <c r="P243" s="3967">
        <f>+P240/P$139</f>
        <v>0.63438101347017317</v>
      </c>
      <c r="Q243" s="3967">
        <f>+Q240/Q$139</f>
        <v>0.60704641892760702</v>
      </c>
      <c r="R243" s="3967">
        <f>+R240/R$139</f>
        <v>0.58742899481353417</v>
      </c>
      <c r="S243" s="3967"/>
      <c r="T243" s="3967"/>
      <c r="U243" s="3967"/>
      <c r="V243" s="3967"/>
      <c r="W243" s="3967"/>
      <c r="X243" s="3967"/>
      <c r="Y243" s="3967"/>
      <c r="Z243" s="3967"/>
      <c r="AA243" s="3967"/>
      <c r="AB243" s="3967"/>
      <c r="AC243" s="3967"/>
      <c r="AD243" s="3967"/>
      <c r="AE243" s="3967"/>
      <c r="AF243" s="3967"/>
      <c r="AG243" s="3920"/>
      <c r="AH243" s="3921"/>
      <c r="AI243" s="3960"/>
      <c r="AJ243" s="3960"/>
      <c r="AK243" s="3960"/>
      <c r="AL243" s="3960"/>
      <c r="AM243" s="3960"/>
      <c r="AN243" s="3960"/>
      <c r="AO243" s="3960"/>
      <c r="AP243" s="3960"/>
      <c r="AQ243" s="3960"/>
      <c r="AR243" s="3960"/>
      <c r="AS243" s="3960"/>
      <c r="AT243" s="3960"/>
      <c r="AU243" s="3960"/>
      <c r="AV243" s="3960"/>
      <c r="AW243" s="3960"/>
      <c r="AX243" s="3960"/>
      <c r="AY243" s="3960"/>
      <c r="AZ243" s="3960"/>
      <c r="BA243" s="3960"/>
      <c r="BB243" s="3960"/>
      <c r="BC243" s="3961"/>
      <c r="BD243" s="3962"/>
      <c r="BE243" s="3962"/>
      <c r="BF243" s="3962"/>
      <c r="BG243" s="3961"/>
      <c r="BH243" s="3962"/>
      <c r="BI243" s="3962"/>
      <c r="BJ243" s="3962"/>
      <c r="BK243" s="2051"/>
      <c r="BL243" s="3966"/>
      <c r="BM243" s="3966"/>
      <c r="BN243" s="3966"/>
      <c r="BO243" s="3968">
        <f t="shared" ref="BO243:CB243" si="524">+BO240/BO$139</f>
        <v>0.72227822580645162</v>
      </c>
      <c r="BP243" s="3966">
        <f t="shared" si="524"/>
        <v>0.72677046710195881</v>
      </c>
      <c r="BQ243" s="3966">
        <f t="shared" si="524"/>
        <v>0.72444889779559118</v>
      </c>
      <c r="BR243" s="3973">
        <f t="shared" si="524"/>
        <v>0.71224790949335959</v>
      </c>
      <c r="BS243" s="3974">
        <f t="shared" si="524"/>
        <v>0.70772946859903385</v>
      </c>
      <c r="BT243" s="3966">
        <f t="shared" si="524"/>
        <v>0.70821394460362941</v>
      </c>
      <c r="BU243" s="3966">
        <f t="shared" si="524"/>
        <v>0.70552147239263807</v>
      </c>
      <c r="BV243" s="3973">
        <f t="shared" si="524"/>
        <v>0.703962703962704</v>
      </c>
      <c r="BW243" s="3975">
        <f t="shared" si="524"/>
        <v>0.70194085027726427</v>
      </c>
      <c r="BX243" s="3966">
        <f t="shared" si="524"/>
        <v>0.70128087831655994</v>
      </c>
      <c r="BY243" s="3966">
        <f t="shared" si="524"/>
        <v>0.69755877034358049</v>
      </c>
      <c r="BZ243" s="3973">
        <f t="shared" si="524"/>
        <v>0.69792127377266699</v>
      </c>
      <c r="CA243" s="3975">
        <f t="shared" si="524"/>
        <v>0.69088507265521792</v>
      </c>
      <c r="CB243" s="3966">
        <f t="shared" si="524"/>
        <v>0.6091510474090408</v>
      </c>
      <c r="CC243" s="3966">
        <f t="shared" ref="CC243:CH243" si="525">+CC240/CC$139</f>
        <v>0.61409214092140918</v>
      </c>
      <c r="CD243" s="3973">
        <f t="shared" si="525"/>
        <v>0.61018766756032172</v>
      </c>
      <c r="CE243" s="3975">
        <f t="shared" si="525"/>
        <v>0.61219127693116138</v>
      </c>
      <c r="CF243" s="3966">
        <f t="shared" si="525"/>
        <v>0.6070502851218248</v>
      </c>
      <c r="CG243" s="3966">
        <f t="shared" si="525"/>
        <v>0.60072127769191141</v>
      </c>
      <c r="CH243" s="3973">
        <f t="shared" si="525"/>
        <v>0.60828343313373257</v>
      </c>
      <c r="CI243" s="3966">
        <f>+CI240/CI$139</f>
        <v>0.6071964017991005</v>
      </c>
      <c r="CJ243" s="3966">
        <f>+CJ240/CJ$139</f>
        <v>0.60235063663075417</v>
      </c>
      <c r="CK243" s="3966">
        <f>+CK240/CK$139</f>
        <v>0.60483473112974839</v>
      </c>
      <c r="CL243" s="3973">
        <f>+CL240/CL$139</f>
        <v>0.53550295857988162</v>
      </c>
      <c r="CM243" s="3966"/>
      <c r="CN243" s="3966"/>
      <c r="CO243" s="3966"/>
      <c r="CP243" s="3973"/>
      <c r="CQ243" s="3975"/>
      <c r="CR243" s="3966"/>
      <c r="CS243" s="3966"/>
      <c r="CT243" s="3973"/>
    </row>
    <row r="244" spans="1:98" hidden="1" outlineLevel="2">
      <c r="A244" s="2053" t="s">
        <v>658</v>
      </c>
      <c r="B244" s="3960"/>
      <c r="C244" s="3960"/>
      <c r="D244" s="3960"/>
      <c r="E244" s="3960"/>
      <c r="F244" s="3960"/>
      <c r="G244" s="3960"/>
      <c r="H244" s="3960"/>
      <c r="I244" s="3960"/>
      <c r="J244" s="3960"/>
      <c r="K244" s="3960"/>
      <c r="L244" s="3967"/>
      <c r="M244" s="3967"/>
      <c r="N244" s="150">
        <f>+SUM(BS244:BV244)</f>
        <v>4539</v>
      </c>
      <c r="O244" s="150">
        <f>+SUM(BW244:BZ244)</f>
        <v>4267</v>
      </c>
      <c r="P244" s="150">
        <f>SUM(CA244:CD244)</f>
        <v>5399</v>
      </c>
      <c r="Q244" s="150">
        <f>SUM(CE244:CH244)</f>
        <v>5350</v>
      </c>
      <c r="R244" s="150">
        <f>SUM(CI244:CL244)</f>
        <v>4918</v>
      </c>
      <c r="S244" s="150"/>
      <c r="T244" s="150"/>
      <c r="U244" s="150"/>
      <c r="V244" s="150"/>
      <c r="W244" s="150"/>
      <c r="X244" s="150"/>
      <c r="Y244" s="150"/>
      <c r="Z244" s="150"/>
      <c r="AA244" s="150"/>
      <c r="AB244" s="150"/>
      <c r="AC244" s="150"/>
      <c r="AD244" s="150"/>
      <c r="AE244" s="150"/>
      <c r="AF244" s="150"/>
      <c r="AG244" s="3920"/>
      <c r="AH244" s="3921"/>
      <c r="AI244" s="3960"/>
      <c r="AJ244" s="3960"/>
      <c r="AK244" s="3960"/>
      <c r="AL244" s="3960"/>
      <c r="AM244" s="3960"/>
      <c r="AN244" s="3960"/>
      <c r="AO244" s="3960"/>
      <c r="AP244" s="3960"/>
      <c r="AQ244" s="3960"/>
      <c r="AR244" s="3960"/>
      <c r="AS244" s="3960"/>
      <c r="AT244" s="3960"/>
      <c r="AU244" s="3960"/>
      <c r="AV244" s="3960"/>
      <c r="AW244" s="3960"/>
      <c r="AX244" s="3960"/>
      <c r="AY244" s="3960"/>
      <c r="AZ244" s="3960"/>
      <c r="BA244" s="3960"/>
      <c r="BB244" s="3960"/>
      <c r="BC244" s="3961"/>
      <c r="BD244" s="3962"/>
      <c r="BE244" s="3962"/>
      <c r="BF244" s="3962"/>
      <c r="BG244" s="3961"/>
      <c r="BH244" s="3962"/>
      <c r="BI244" s="3962"/>
      <c r="BJ244" s="3962"/>
      <c r="BK244" s="2051"/>
      <c r="BL244" s="3967"/>
      <c r="BM244" s="3967"/>
      <c r="BN244" s="3967"/>
      <c r="BO244" s="3933">
        <f t="shared" ref="BO244:BZ244" si="526">BO219+BO201</f>
        <v>1310</v>
      </c>
      <c r="BP244" s="3960">
        <f t="shared" si="526"/>
        <v>1276</v>
      </c>
      <c r="BQ244" s="3960">
        <f t="shared" si="526"/>
        <v>1223</v>
      </c>
      <c r="BR244" s="3963">
        <f t="shared" si="526"/>
        <v>1186</v>
      </c>
      <c r="BS244" s="2053">
        <f t="shared" si="526"/>
        <v>1172</v>
      </c>
      <c r="BT244" s="114">
        <f t="shared" si="526"/>
        <v>1156</v>
      </c>
      <c r="BU244" s="114">
        <f t="shared" si="526"/>
        <v>1115</v>
      </c>
      <c r="BV244" s="2242">
        <f t="shared" si="526"/>
        <v>1096</v>
      </c>
      <c r="BW244" s="2053">
        <f t="shared" si="526"/>
        <v>1088</v>
      </c>
      <c r="BX244" s="114">
        <f t="shared" si="526"/>
        <v>1083</v>
      </c>
      <c r="BY244" s="114">
        <f t="shared" si="526"/>
        <v>1059</v>
      </c>
      <c r="BZ244" s="2242">
        <f t="shared" si="526"/>
        <v>1037</v>
      </c>
      <c r="CA244" s="139">
        <f>CA219+CA201+10</f>
        <v>1033</v>
      </c>
      <c r="CB244" s="2047">
        <v>1496</v>
      </c>
      <c r="CC244" s="2047">
        <v>1455</v>
      </c>
      <c r="CD244" s="2046">
        <v>1415</v>
      </c>
      <c r="CE244" s="2925">
        <v>1393</v>
      </c>
      <c r="CF244" s="2924">
        <v>1344</v>
      </c>
      <c r="CG244" s="2924">
        <v>1317</v>
      </c>
      <c r="CH244" s="2923">
        <v>1296</v>
      </c>
      <c r="CI244" s="2924">
        <v>1274</v>
      </c>
      <c r="CJ244" s="2924">
        <v>1244</v>
      </c>
      <c r="CK244" s="2924">
        <v>1217</v>
      </c>
      <c r="CL244" s="2923">
        <v>1183</v>
      </c>
      <c r="CM244" s="2067"/>
      <c r="CN244" s="2924"/>
      <c r="CO244" s="2924"/>
      <c r="CP244" s="2923"/>
      <c r="CQ244" s="2050"/>
      <c r="CR244" s="2067"/>
      <c r="CS244" s="2067"/>
      <c r="CT244" s="2582"/>
    </row>
    <row r="245" spans="1:98" hidden="1" outlineLevel="2">
      <c r="A245" s="3965" t="s">
        <v>34</v>
      </c>
      <c r="B245" s="114"/>
      <c r="C245" s="114"/>
      <c r="D245" s="114"/>
      <c r="E245" s="114"/>
      <c r="F245" s="114"/>
      <c r="G245" s="114"/>
      <c r="H245" s="114"/>
      <c r="I245" s="114"/>
      <c r="J245" s="114"/>
      <c r="K245" s="114"/>
      <c r="L245" s="150"/>
      <c r="M245" s="2304"/>
      <c r="N245" s="150"/>
      <c r="O245" s="3966">
        <f>+O244/N244-1</f>
        <v>-5.9925093632958837E-2</v>
      </c>
      <c r="P245" s="3966">
        <f>+P244/O244-1</f>
        <v>0.26529177408014992</v>
      </c>
      <c r="Q245" s="3966">
        <f>+Q244/P244-1</f>
        <v>-9.0757547694017005E-3</v>
      </c>
      <c r="R245" s="3966">
        <f>+R244/Q244-1</f>
        <v>-8.0747663551401838E-2</v>
      </c>
      <c r="S245" s="3966"/>
      <c r="T245" s="3966"/>
      <c r="U245" s="3966"/>
      <c r="V245" s="3966"/>
      <c r="W245" s="3966"/>
      <c r="X245" s="3966"/>
      <c r="Y245" s="3966"/>
      <c r="Z245" s="3966"/>
      <c r="AA245" s="3966"/>
      <c r="AB245" s="3966"/>
      <c r="AC245" s="3966"/>
      <c r="AD245" s="3966"/>
      <c r="AE245" s="3966"/>
      <c r="AF245" s="3966"/>
      <c r="AG245" s="2553"/>
      <c r="AH245" s="2714"/>
      <c r="AI245" s="114"/>
      <c r="AJ245" s="114"/>
      <c r="AK245" s="114"/>
      <c r="AL245" s="114"/>
      <c r="AM245" s="114"/>
      <c r="AN245" s="114"/>
      <c r="AO245" s="114"/>
      <c r="AP245" s="114"/>
      <c r="AQ245" s="114"/>
      <c r="AR245" s="114"/>
      <c r="AS245" s="114"/>
      <c r="AT245" s="114"/>
      <c r="AU245" s="114"/>
      <c r="AV245" s="114"/>
      <c r="AW245" s="114"/>
      <c r="AX245" s="114"/>
      <c r="AY245" s="114"/>
      <c r="AZ245" s="114"/>
      <c r="BA245" s="114"/>
      <c r="BB245" s="114"/>
      <c r="BC245" s="2050"/>
      <c r="BD245" s="2067"/>
      <c r="BE245" s="2067"/>
      <c r="BF245" s="2067"/>
      <c r="BG245" s="2050"/>
      <c r="BH245" s="2067"/>
      <c r="BI245" s="2067"/>
      <c r="BJ245" s="2067"/>
      <c r="BK245" s="2045"/>
      <c r="BL245" s="2047"/>
      <c r="BM245" s="2047"/>
      <c r="BN245" s="2047"/>
      <c r="BO245" s="2301"/>
      <c r="BP245" s="2302"/>
      <c r="BQ245" s="2302"/>
      <c r="BR245" s="2303"/>
      <c r="BS245" s="3967">
        <f t="shared" ref="BS245:CG245" si="527">+BS244/BO244-1</f>
        <v>-0.10534351145038168</v>
      </c>
      <c r="BT245" s="3967">
        <f t="shared" si="527"/>
        <v>-9.404388714733547E-2</v>
      </c>
      <c r="BU245" s="3967">
        <f t="shared" si="527"/>
        <v>-8.8307440719542107E-2</v>
      </c>
      <c r="BV245" s="3972">
        <f t="shared" si="527"/>
        <v>-7.5885328836424959E-2</v>
      </c>
      <c r="BW245" s="3971">
        <f t="shared" si="527"/>
        <v>-7.1672354948805417E-2</v>
      </c>
      <c r="BX245" s="3967">
        <f t="shared" si="527"/>
        <v>-6.3148788927335664E-2</v>
      </c>
      <c r="BY245" s="3967">
        <f t="shared" si="527"/>
        <v>-5.0224215246636783E-2</v>
      </c>
      <c r="BZ245" s="3972">
        <f t="shared" si="527"/>
        <v>-5.3832116788321116E-2</v>
      </c>
      <c r="CA245" s="3967">
        <f t="shared" si="527"/>
        <v>-5.0551470588235281E-2</v>
      </c>
      <c r="CB245" s="3949" t="s">
        <v>441</v>
      </c>
      <c r="CC245" s="3949" t="s">
        <v>441</v>
      </c>
      <c r="CD245" s="3950" t="s">
        <v>441</v>
      </c>
      <c r="CE245" s="3951" t="s">
        <v>441</v>
      </c>
      <c r="CF245" s="3967">
        <f t="shared" si="527"/>
        <v>-0.10160427807486627</v>
      </c>
      <c r="CG245" s="3967">
        <f t="shared" si="527"/>
        <v>-9.4845360824742264E-2</v>
      </c>
      <c r="CH245" s="3972">
        <f>+CH244/CD244-1</f>
        <v>-8.4098939929328598E-2</v>
      </c>
      <c r="CI245" s="3967">
        <f>+CI244/CE244-1</f>
        <v>-8.5427135678391997E-2</v>
      </c>
      <c r="CJ245" s="3967">
        <f>+CJ244/CF244-1</f>
        <v>-7.4404761904761862E-2</v>
      </c>
      <c r="CK245" s="3967">
        <f>+CK244/CG244-1</f>
        <v>-7.5930144267274069E-2</v>
      </c>
      <c r="CL245" s="3972">
        <f>+CL244/CH244-1</f>
        <v>-8.7191358024691357E-2</v>
      </c>
      <c r="CM245" s="3967"/>
      <c r="CN245" s="3967"/>
      <c r="CO245" s="3967"/>
      <c r="CP245" s="3972"/>
      <c r="CQ245" s="3971"/>
      <c r="CR245" s="3967"/>
      <c r="CS245" s="3967"/>
      <c r="CT245" s="3972"/>
    </row>
    <row r="246" spans="1:98" hidden="1" outlineLevel="2">
      <c r="A246" s="3965" t="s">
        <v>947</v>
      </c>
      <c r="B246" s="3960"/>
      <c r="C246" s="3960"/>
      <c r="D246" s="3960"/>
      <c r="E246" s="3960"/>
      <c r="F246" s="3960"/>
      <c r="G246" s="3960"/>
      <c r="H246" s="3960"/>
      <c r="I246" s="3960"/>
      <c r="J246" s="3960"/>
      <c r="K246" s="3960"/>
      <c r="L246" s="3960"/>
      <c r="M246" s="3966"/>
      <c r="N246" s="3939"/>
      <c r="O246" s="3966"/>
      <c r="P246" s="3966"/>
      <c r="Q246" s="3966"/>
      <c r="R246" s="3966"/>
      <c r="S246" s="3966"/>
      <c r="T246" s="3966"/>
      <c r="U246" s="355"/>
      <c r="V246" s="355"/>
      <c r="W246" s="355"/>
      <c r="X246" s="355"/>
      <c r="Y246" s="355"/>
      <c r="Z246" s="355"/>
      <c r="AA246" s="355"/>
      <c r="AB246" s="355"/>
      <c r="AC246" s="355"/>
      <c r="AD246" s="355"/>
      <c r="AE246" s="355"/>
      <c r="AF246" s="355"/>
      <c r="AG246" s="3920"/>
      <c r="AH246" s="3921"/>
      <c r="AI246" s="3960"/>
      <c r="AJ246" s="3960"/>
      <c r="AK246" s="3960"/>
      <c r="AL246" s="3960"/>
      <c r="AM246" s="3960"/>
      <c r="AN246" s="3960"/>
      <c r="AO246" s="3960"/>
      <c r="AP246" s="3960"/>
      <c r="AQ246" s="3960"/>
      <c r="AR246" s="3960"/>
      <c r="AS246" s="3960"/>
      <c r="AT246" s="3960"/>
      <c r="AU246" s="3960"/>
      <c r="AV246" s="3960"/>
      <c r="AW246" s="3960"/>
      <c r="AX246" s="3960"/>
      <c r="AY246" s="3960"/>
      <c r="AZ246" s="3960"/>
      <c r="BA246" s="3960"/>
      <c r="BB246" s="3960"/>
      <c r="BC246" s="3961"/>
      <c r="BD246" s="3962"/>
      <c r="BE246" s="3962"/>
      <c r="BF246" s="3962"/>
      <c r="BG246" s="3961"/>
      <c r="BH246" s="3962"/>
      <c r="BI246" s="3962"/>
      <c r="BJ246" s="3962"/>
      <c r="BK246" s="2051"/>
      <c r="BL246" s="2069"/>
      <c r="BM246" s="2069"/>
      <c r="BN246" s="2069"/>
      <c r="BO246" s="3968"/>
      <c r="BP246" s="3969"/>
      <c r="BQ246" s="3969"/>
      <c r="BR246" s="3970"/>
      <c r="BS246" s="3967">
        <f t="shared" ref="BS246:CG246" si="528">+BS244/BR244-1</f>
        <v>-1.180438448566612E-2</v>
      </c>
      <c r="BT246" s="3967">
        <f t="shared" si="528"/>
        <v>-1.3651877133105783E-2</v>
      </c>
      <c r="BU246" s="3967">
        <f t="shared" si="528"/>
        <v>-3.5467128027681705E-2</v>
      </c>
      <c r="BV246" s="3972">
        <f t="shared" si="528"/>
        <v>-1.7040358744394579E-2</v>
      </c>
      <c r="BW246" s="3971">
        <f t="shared" si="528"/>
        <v>-7.2992700729926918E-3</v>
      </c>
      <c r="BX246" s="3967">
        <f t="shared" si="528"/>
        <v>-4.5955882352941568E-3</v>
      </c>
      <c r="BY246" s="3967">
        <f t="shared" si="528"/>
        <v>-2.2160664819944609E-2</v>
      </c>
      <c r="BZ246" s="3972">
        <f t="shared" si="528"/>
        <v>-2.0774315391879128E-2</v>
      </c>
      <c r="CA246" s="3967">
        <f t="shared" si="528"/>
        <v>-3.8572806171649487E-3</v>
      </c>
      <c r="CB246" s="3967">
        <f t="shared" si="528"/>
        <v>0.44820909970958378</v>
      </c>
      <c r="CC246" s="3967">
        <f t="shared" si="528"/>
        <v>-2.7406417112299519E-2</v>
      </c>
      <c r="CD246" s="3972">
        <f t="shared" si="528"/>
        <v>-2.7491408934707917E-2</v>
      </c>
      <c r="CE246" s="3971">
        <f t="shared" si="528"/>
        <v>-1.5547703180212036E-2</v>
      </c>
      <c r="CF246" s="3967">
        <f t="shared" si="528"/>
        <v>-3.5175879396984966E-2</v>
      </c>
      <c r="CG246" s="3967">
        <f t="shared" si="528"/>
        <v>-2.0089285714285698E-2</v>
      </c>
      <c r="CH246" s="3972">
        <f>+CH244/CG244-1</f>
        <v>-1.5945330296127547E-2</v>
      </c>
      <c r="CI246" s="3967">
        <f>+CI244/CH244-1</f>
        <v>-1.6975308641975273E-2</v>
      </c>
      <c r="CJ246" s="3967">
        <f>+CJ244/CI244-1</f>
        <v>-2.3547880690737877E-2</v>
      </c>
      <c r="CK246" s="3967">
        <f>+CK244/CJ244-1</f>
        <v>-2.1704180064308631E-2</v>
      </c>
      <c r="CL246" s="3972">
        <f>+CL244/CK244-1</f>
        <v>-2.79375513557929E-2</v>
      </c>
      <c r="CM246" s="3967"/>
      <c r="CN246" s="3967"/>
      <c r="CO246" s="3967"/>
      <c r="CP246" s="3972"/>
      <c r="CQ246" s="3971"/>
      <c r="CR246" s="3967"/>
      <c r="CS246" s="3967"/>
      <c r="CT246" s="3972"/>
    </row>
    <row r="247" spans="1:98" hidden="1" outlineLevel="2">
      <c r="A247" s="3965" t="s">
        <v>949</v>
      </c>
      <c r="B247" s="3960"/>
      <c r="C247" s="3960"/>
      <c r="D247" s="3960"/>
      <c r="E247" s="3960"/>
      <c r="F247" s="3960"/>
      <c r="G247" s="3960"/>
      <c r="H247" s="3960"/>
      <c r="I247" s="3960"/>
      <c r="J247" s="3960"/>
      <c r="K247" s="3960"/>
      <c r="L247" s="3960"/>
      <c r="M247" s="3960"/>
      <c r="N247" s="3960"/>
      <c r="O247" s="3967">
        <f>+O244/O$143</f>
        <v>0.5602678571428571</v>
      </c>
      <c r="P247" s="3967">
        <f>+P244/P$143</f>
        <v>0.63227544208923758</v>
      </c>
      <c r="Q247" s="3967">
        <f>+Q244/Q$143</f>
        <v>0.64349290353620403</v>
      </c>
      <c r="R247" s="3967">
        <f>+R244/R$143</f>
        <v>0.64506820566631684</v>
      </c>
      <c r="S247" s="3967"/>
      <c r="T247" s="3967"/>
      <c r="U247" s="3967"/>
      <c r="V247" s="3967"/>
      <c r="W247" s="3967"/>
      <c r="X247" s="3967"/>
      <c r="Y247" s="3967"/>
      <c r="Z247" s="3967"/>
      <c r="AA247" s="3967"/>
      <c r="AB247" s="3967"/>
      <c r="AC247" s="3967"/>
      <c r="AD247" s="3967"/>
      <c r="AE247" s="3967"/>
      <c r="AF247" s="3967"/>
      <c r="AG247" s="3920"/>
      <c r="AH247" s="3921"/>
      <c r="AI247" s="3960"/>
      <c r="AJ247" s="3960"/>
      <c r="AK247" s="3960"/>
      <c r="AL247" s="3960"/>
      <c r="AM247" s="3960"/>
      <c r="AN247" s="3960"/>
      <c r="AO247" s="3960"/>
      <c r="AP247" s="3960"/>
      <c r="AQ247" s="3960"/>
      <c r="AR247" s="3960"/>
      <c r="AS247" s="3960"/>
      <c r="AT247" s="3960"/>
      <c r="AU247" s="3960"/>
      <c r="AV247" s="3960"/>
      <c r="AW247" s="3960"/>
      <c r="AX247" s="3960"/>
      <c r="AY247" s="3960"/>
      <c r="AZ247" s="3960"/>
      <c r="BA247" s="3960"/>
      <c r="BB247" s="3960"/>
      <c r="BC247" s="3961"/>
      <c r="BD247" s="3962"/>
      <c r="BE247" s="3962"/>
      <c r="BF247" s="3962"/>
      <c r="BG247" s="3961"/>
      <c r="BH247" s="3962"/>
      <c r="BI247" s="3962"/>
      <c r="BJ247" s="3962"/>
      <c r="BK247" s="2051"/>
      <c r="BL247" s="3966"/>
      <c r="BM247" s="3966"/>
      <c r="BN247" s="3966"/>
      <c r="BO247" s="3968"/>
      <c r="BP247" s="3966"/>
      <c r="BQ247" s="3966"/>
      <c r="BR247" s="3973"/>
      <c r="BS247" s="3966">
        <f t="shared" ref="BS247:CE247" si="529">+BS244/BS$139</f>
        <v>0.5661835748792271</v>
      </c>
      <c r="BT247" s="3966">
        <f t="shared" si="529"/>
        <v>0.55205348615090732</v>
      </c>
      <c r="BU247" s="3966">
        <f t="shared" si="529"/>
        <v>0.52619159981123176</v>
      </c>
      <c r="BV247" s="3973">
        <f t="shared" si="529"/>
        <v>0.51095571095571091</v>
      </c>
      <c r="BW247" s="3975">
        <f t="shared" si="529"/>
        <v>0.50277264325323479</v>
      </c>
      <c r="BX247" s="3966">
        <f t="shared" si="529"/>
        <v>0.49542543458371457</v>
      </c>
      <c r="BY247" s="3966">
        <f t="shared" si="529"/>
        <v>0.47875226039783003</v>
      </c>
      <c r="BZ247" s="3973">
        <f t="shared" si="529"/>
        <v>0.45864661654135336</v>
      </c>
      <c r="CA247" s="3966">
        <f t="shared" si="529"/>
        <v>0.45486569793042714</v>
      </c>
      <c r="CB247" s="3966">
        <f t="shared" si="529"/>
        <v>0.82469680264608602</v>
      </c>
      <c r="CC247" s="3966">
        <f t="shared" si="529"/>
        <v>0.78861788617886175</v>
      </c>
      <c r="CD247" s="3973">
        <f t="shared" si="529"/>
        <v>0.75871313672922247</v>
      </c>
      <c r="CE247" s="3975">
        <f t="shared" si="529"/>
        <v>0.73200210194429849</v>
      </c>
      <c r="CF247" s="3966">
        <f t="shared" ref="CF247:CL247" si="530">+CF244/CF$139</f>
        <v>0.69673405909797825</v>
      </c>
      <c r="CG247" s="3966">
        <f t="shared" si="530"/>
        <v>0.67851622874806805</v>
      </c>
      <c r="CH247" s="3973">
        <f t="shared" si="530"/>
        <v>0.6467065868263473</v>
      </c>
      <c r="CI247" s="3966">
        <f t="shared" si="530"/>
        <v>0.63668165917041475</v>
      </c>
      <c r="CJ247" s="3966">
        <f t="shared" si="530"/>
        <v>0.60920666013712044</v>
      </c>
      <c r="CK247" s="3966">
        <f t="shared" si="530"/>
        <v>0.60039467192895901</v>
      </c>
      <c r="CL247" s="3973">
        <f t="shared" si="530"/>
        <v>0.58333333333333337</v>
      </c>
      <c r="CM247" s="3966"/>
      <c r="CN247" s="3966"/>
      <c r="CO247" s="3966"/>
      <c r="CP247" s="3973"/>
      <c r="CQ247" s="3975"/>
      <c r="CR247" s="3966"/>
      <c r="CS247" s="3966"/>
      <c r="CT247" s="3973"/>
    </row>
    <row r="248" spans="1:98" hidden="1" outlineLevel="2">
      <c r="A248" s="2053" t="s">
        <v>660</v>
      </c>
      <c r="B248" s="3960"/>
      <c r="C248" s="3960"/>
      <c r="D248" s="3960"/>
      <c r="E248" s="3960"/>
      <c r="F248" s="3960"/>
      <c r="G248" s="3960"/>
      <c r="H248" s="3960"/>
      <c r="I248" s="3960"/>
      <c r="J248" s="3960"/>
      <c r="K248" s="3960"/>
      <c r="L248" s="3967"/>
      <c r="M248" s="3967"/>
      <c r="N248" s="150">
        <f>+SUM(BS248:BV248)</f>
        <v>665</v>
      </c>
      <c r="O248" s="150">
        <f>+SUM(BW248:BZ248)</f>
        <v>651</v>
      </c>
      <c r="P248" s="2033">
        <f>SUM(CA248:CD248)</f>
        <v>686</v>
      </c>
      <c r="Q248" s="2033">
        <f>SUM(CE248:CH248)</f>
        <v>574</v>
      </c>
      <c r="R248" s="2033">
        <f>SUM(CI248:CL248)</f>
        <v>531</v>
      </c>
      <c r="S248" s="2033"/>
      <c r="T248" s="2033"/>
      <c r="U248" s="2067"/>
      <c r="V248" s="2067"/>
      <c r="W248" s="2067"/>
      <c r="X248" s="2067"/>
      <c r="Y248" s="2067"/>
      <c r="Z248" s="2067"/>
      <c r="AA248" s="2067"/>
      <c r="AB248" s="2067"/>
      <c r="AC248" s="2067"/>
      <c r="AD248" s="2067"/>
      <c r="AE248" s="2067"/>
      <c r="AF248" s="2067"/>
      <c r="AG248" s="3920"/>
      <c r="AH248" s="3921"/>
      <c r="AI248" s="3960"/>
      <c r="AJ248" s="3960"/>
      <c r="AK248" s="3960"/>
      <c r="AL248" s="3960"/>
      <c r="AM248" s="3960"/>
      <c r="AN248" s="3960"/>
      <c r="AO248" s="3960"/>
      <c r="AP248" s="3960"/>
      <c r="AQ248" s="3960"/>
      <c r="AR248" s="3960"/>
      <c r="AS248" s="3960"/>
      <c r="AT248" s="3960"/>
      <c r="AU248" s="3960"/>
      <c r="AV248" s="3960"/>
      <c r="AW248" s="3960"/>
      <c r="AX248" s="3960"/>
      <c r="AY248" s="3960"/>
      <c r="AZ248" s="3960"/>
      <c r="BA248" s="3960"/>
      <c r="BB248" s="3960"/>
      <c r="BC248" s="3961"/>
      <c r="BD248" s="3962"/>
      <c r="BE248" s="3962"/>
      <c r="BF248" s="3962"/>
      <c r="BG248" s="3961"/>
      <c r="BH248" s="3962"/>
      <c r="BI248" s="3962"/>
      <c r="BJ248" s="3962"/>
      <c r="BK248" s="3971"/>
      <c r="BL248" s="3967"/>
      <c r="BM248" s="3967"/>
      <c r="BN248" s="3967"/>
      <c r="BO248" s="2583">
        <f t="shared" ref="BO248:CA248" si="531">BO205+BO223</f>
        <v>152</v>
      </c>
      <c r="BP248" s="2584">
        <f t="shared" si="531"/>
        <v>149</v>
      </c>
      <c r="BQ248" s="2584">
        <f t="shared" si="531"/>
        <v>164</v>
      </c>
      <c r="BR248" s="2585">
        <f t="shared" si="531"/>
        <v>186</v>
      </c>
      <c r="BS248" s="2583">
        <f t="shared" si="531"/>
        <v>143</v>
      </c>
      <c r="BT248" s="2584">
        <f t="shared" si="531"/>
        <v>167</v>
      </c>
      <c r="BU248" s="2584">
        <f t="shared" si="531"/>
        <v>168</v>
      </c>
      <c r="BV248" s="2585">
        <f t="shared" si="531"/>
        <v>187</v>
      </c>
      <c r="BW248" s="2583">
        <f t="shared" si="531"/>
        <v>138</v>
      </c>
      <c r="BX248" s="2584">
        <f t="shared" si="531"/>
        <v>166</v>
      </c>
      <c r="BY248" s="2584">
        <f t="shared" si="531"/>
        <v>162</v>
      </c>
      <c r="BZ248" s="2585">
        <f t="shared" si="531"/>
        <v>185</v>
      </c>
      <c r="CA248" s="2584">
        <f t="shared" si="531"/>
        <v>173</v>
      </c>
      <c r="CB248" s="2584">
        <f>CB205+CB223</f>
        <v>186</v>
      </c>
      <c r="CC248" s="2584">
        <f>CC205+CC223</f>
        <v>184</v>
      </c>
      <c r="CD248" s="2046">
        <v>143</v>
      </c>
      <c r="CE248" s="2925">
        <v>139</v>
      </c>
      <c r="CF248" s="2924">
        <v>143</v>
      </c>
      <c r="CG248" s="2924">
        <v>152</v>
      </c>
      <c r="CH248" s="2923">
        <v>140</v>
      </c>
      <c r="CI248" s="2924">
        <v>115</v>
      </c>
      <c r="CJ248" s="2924">
        <v>123</v>
      </c>
      <c r="CK248" s="2924">
        <v>163</v>
      </c>
      <c r="CL248" s="2923">
        <v>130</v>
      </c>
      <c r="CM248" s="2924"/>
      <c r="CN248" s="2924"/>
      <c r="CO248" s="2924"/>
      <c r="CP248" s="2923"/>
      <c r="CQ248" s="2925"/>
      <c r="CR248" s="2924"/>
      <c r="CS248" s="2924"/>
      <c r="CT248" s="2923"/>
    </row>
    <row r="249" spans="1:98" hidden="1" outlineLevel="2">
      <c r="A249" s="3965" t="s">
        <v>34</v>
      </c>
      <c r="B249" s="3960"/>
      <c r="C249" s="3960"/>
      <c r="D249" s="3960"/>
      <c r="E249" s="3960"/>
      <c r="F249" s="3960"/>
      <c r="G249" s="3960"/>
      <c r="H249" s="3960"/>
      <c r="I249" s="3960"/>
      <c r="J249" s="3960"/>
      <c r="K249" s="3960"/>
      <c r="L249" s="3967"/>
      <c r="M249" s="3967"/>
      <c r="N249" s="3967"/>
      <c r="O249" s="3966">
        <f>+O248/N248-1</f>
        <v>-2.1052631578947323E-2</v>
      </c>
      <c r="P249" s="3966">
        <f>+P248/O248-1</f>
        <v>5.3763440860215006E-2</v>
      </c>
      <c r="Q249" s="3966">
        <f>+Q248/P248-1</f>
        <v>-0.16326530612244894</v>
      </c>
      <c r="R249" s="3966">
        <f>+R248/Q248-1</f>
        <v>-7.4912891986062768E-2</v>
      </c>
      <c r="S249" s="3966"/>
      <c r="T249" s="3966"/>
      <c r="U249" s="3966"/>
      <c r="V249" s="3966"/>
      <c r="W249" s="3966"/>
      <c r="X249" s="3966"/>
      <c r="Y249" s="3966"/>
      <c r="Z249" s="3966"/>
      <c r="AA249" s="3966"/>
      <c r="AB249" s="3966"/>
      <c r="AC249" s="3966"/>
      <c r="AD249" s="3966"/>
      <c r="AE249" s="3966"/>
      <c r="AF249" s="3966"/>
      <c r="AG249" s="3920"/>
      <c r="AH249" s="3921"/>
      <c r="AI249" s="3960"/>
      <c r="AJ249" s="3960"/>
      <c r="AK249" s="3960"/>
      <c r="AL249" s="3960"/>
      <c r="AM249" s="3960"/>
      <c r="AN249" s="3960"/>
      <c r="AO249" s="3960"/>
      <c r="AP249" s="3960"/>
      <c r="AQ249" s="3960"/>
      <c r="AR249" s="3960"/>
      <c r="AS249" s="3960"/>
      <c r="AT249" s="3960"/>
      <c r="AU249" s="3960"/>
      <c r="AV249" s="3960"/>
      <c r="AW249" s="3960"/>
      <c r="AX249" s="3960"/>
      <c r="AY249" s="3960"/>
      <c r="AZ249" s="3960"/>
      <c r="BA249" s="3960"/>
      <c r="BB249" s="3960"/>
      <c r="BC249" s="3961"/>
      <c r="BD249" s="3962"/>
      <c r="BE249" s="3962"/>
      <c r="BF249" s="3962"/>
      <c r="BG249" s="3961"/>
      <c r="BH249" s="3962"/>
      <c r="BI249" s="3962"/>
      <c r="BJ249" s="3962"/>
      <c r="BK249" s="3971"/>
      <c r="BL249" s="3967"/>
      <c r="BM249" s="3967"/>
      <c r="BN249" s="3967"/>
      <c r="BO249" s="3971"/>
      <c r="BP249" s="3967"/>
      <c r="BQ249" s="3967"/>
      <c r="BR249" s="3972"/>
      <c r="BS249" s="3967">
        <f t="shared" ref="BS249:CG249" si="532">+BS248/BO248-1</f>
        <v>-5.9210526315789491E-2</v>
      </c>
      <c r="BT249" s="3967">
        <f t="shared" si="532"/>
        <v>0.12080536912751683</v>
      </c>
      <c r="BU249" s="3967">
        <f t="shared" si="532"/>
        <v>2.4390243902439046E-2</v>
      </c>
      <c r="BV249" s="3972">
        <f t="shared" si="532"/>
        <v>5.3763440860215006E-3</v>
      </c>
      <c r="BW249" s="3971">
        <f t="shared" si="532"/>
        <v>-3.4965034965035002E-2</v>
      </c>
      <c r="BX249" s="3967">
        <f t="shared" si="532"/>
        <v>-5.9880239520958556E-3</v>
      </c>
      <c r="BY249" s="3967">
        <f t="shared" si="532"/>
        <v>-3.5714285714285698E-2</v>
      </c>
      <c r="BZ249" s="3972">
        <f t="shared" si="532"/>
        <v>-1.0695187165775444E-2</v>
      </c>
      <c r="CA249" s="3967">
        <f t="shared" si="532"/>
        <v>0.25362318840579712</v>
      </c>
      <c r="CB249" s="3967">
        <f t="shared" si="532"/>
        <v>0.12048192771084332</v>
      </c>
      <c r="CC249" s="3967">
        <f t="shared" si="532"/>
        <v>0.13580246913580241</v>
      </c>
      <c r="CD249" s="3972">
        <f t="shared" si="532"/>
        <v>-0.22702702702702704</v>
      </c>
      <c r="CE249" s="3971">
        <f t="shared" si="532"/>
        <v>-0.19653179190751446</v>
      </c>
      <c r="CF249" s="3967">
        <f t="shared" si="532"/>
        <v>-0.23118279569892475</v>
      </c>
      <c r="CG249" s="3967">
        <f t="shared" si="532"/>
        <v>-0.17391304347826086</v>
      </c>
      <c r="CH249" s="3972">
        <f>+CH248/CD248-1</f>
        <v>-2.0979020979020935E-2</v>
      </c>
      <c r="CI249" s="3967">
        <f>+CI248/CE248-1</f>
        <v>-0.17266187050359716</v>
      </c>
      <c r="CJ249" s="3967">
        <f>+CJ248/CF248-1</f>
        <v>-0.1398601398601399</v>
      </c>
      <c r="CK249" s="3967">
        <f>+CK248/CG248-1</f>
        <v>7.2368421052631637E-2</v>
      </c>
      <c r="CL249" s="3972">
        <f>+CL248/CH248-1</f>
        <v>-7.1428571428571397E-2</v>
      </c>
      <c r="CM249" s="3967"/>
      <c r="CN249" s="3967"/>
      <c r="CO249" s="3967"/>
      <c r="CP249" s="3972"/>
      <c r="CQ249" s="3971"/>
      <c r="CR249" s="3967"/>
      <c r="CS249" s="3967"/>
      <c r="CT249" s="3972"/>
    </row>
    <row r="250" spans="1:98" hidden="1" outlineLevel="2">
      <c r="A250" s="3965" t="s">
        <v>947</v>
      </c>
      <c r="B250" s="3960"/>
      <c r="C250" s="3960"/>
      <c r="D250" s="3960"/>
      <c r="E250" s="3960"/>
      <c r="F250" s="3960"/>
      <c r="G250" s="3960"/>
      <c r="H250" s="3960"/>
      <c r="I250" s="3960"/>
      <c r="J250" s="3960"/>
      <c r="K250" s="3960"/>
      <c r="L250" s="3967"/>
      <c r="M250" s="3967"/>
      <c r="N250" s="3967"/>
      <c r="O250" s="3967"/>
      <c r="P250" s="3967"/>
      <c r="Q250" s="3967"/>
      <c r="R250" s="3967"/>
      <c r="S250" s="3967"/>
      <c r="T250" s="3967"/>
      <c r="U250" s="3967"/>
      <c r="V250" s="3967"/>
      <c r="W250" s="3967"/>
      <c r="X250" s="3967"/>
      <c r="Y250" s="3967"/>
      <c r="Z250" s="3967"/>
      <c r="AA250" s="3967"/>
      <c r="AB250" s="3967"/>
      <c r="AC250" s="3967"/>
      <c r="AD250" s="3967"/>
      <c r="AE250" s="3967"/>
      <c r="AF250" s="3967"/>
      <c r="AG250" s="3920"/>
      <c r="AH250" s="3921"/>
      <c r="AI250" s="3960"/>
      <c r="AJ250" s="3960"/>
      <c r="AK250" s="3960"/>
      <c r="AL250" s="3960"/>
      <c r="AM250" s="3960"/>
      <c r="AN250" s="3960"/>
      <c r="AO250" s="3960"/>
      <c r="AP250" s="3960"/>
      <c r="AQ250" s="3960"/>
      <c r="AR250" s="3960"/>
      <c r="AS250" s="3960"/>
      <c r="AT250" s="3960"/>
      <c r="AU250" s="3960"/>
      <c r="AV250" s="3960"/>
      <c r="AW250" s="3960"/>
      <c r="AX250" s="3960"/>
      <c r="AY250" s="3960"/>
      <c r="AZ250" s="3960"/>
      <c r="BA250" s="3960"/>
      <c r="BB250" s="3960"/>
      <c r="BC250" s="3961"/>
      <c r="BD250" s="3962"/>
      <c r="BE250" s="3962"/>
      <c r="BF250" s="3962"/>
      <c r="BG250" s="3961"/>
      <c r="BH250" s="3962"/>
      <c r="BI250" s="3962"/>
      <c r="BJ250" s="3962"/>
      <c r="BK250" s="3971"/>
      <c r="BL250" s="3967"/>
      <c r="BM250" s="3967"/>
      <c r="BN250" s="3967"/>
      <c r="BO250" s="3971"/>
      <c r="BP250" s="3967"/>
      <c r="BQ250" s="3967"/>
      <c r="BR250" s="3972"/>
      <c r="BS250" s="3967">
        <f t="shared" ref="BS250:CG250" si="533">+BS248/BR248-1</f>
        <v>-0.23118279569892475</v>
      </c>
      <c r="BT250" s="3967">
        <f t="shared" si="533"/>
        <v>0.16783216783216792</v>
      </c>
      <c r="BU250" s="3967">
        <f t="shared" si="533"/>
        <v>5.9880239520957446E-3</v>
      </c>
      <c r="BV250" s="3972">
        <f t="shared" si="533"/>
        <v>0.11309523809523814</v>
      </c>
      <c r="BW250" s="3971">
        <f t="shared" si="533"/>
        <v>-0.26203208556149737</v>
      </c>
      <c r="BX250" s="3967">
        <f t="shared" si="533"/>
        <v>0.20289855072463769</v>
      </c>
      <c r="BY250" s="3967">
        <f t="shared" si="533"/>
        <v>-2.4096385542168641E-2</v>
      </c>
      <c r="BZ250" s="3972">
        <f t="shared" si="533"/>
        <v>0.14197530864197527</v>
      </c>
      <c r="CA250" s="3967">
        <f t="shared" si="533"/>
        <v>-6.4864864864864868E-2</v>
      </c>
      <c r="CB250" s="3967">
        <f t="shared" si="533"/>
        <v>7.5144508670520249E-2</v>
      </c>
      <c r="CC250" s="3967">
        <f t="shared" si="533"/>
        <v>-1.0752688172043001E-2</v>
      </c>
      <c r="CD250" s="3972">
        <f t="shared" si="533"/>
        <v>-0.22282608695652173</v>
      </c>
      <c r="CE250" s="3971">
        <f t="shared" si="533"/>
        <v>-2.7972027972028024E-2</v>
      </c>
      <c r="CF250" s="3967">
        <f t="shared" si="533"/>
        <v>2.877697841726623E-2</v>
      </c>
      <c r="CG250" s="3967">
        <f t="shared" si="533"/>
        <v>6.2937062937062915E-2</v>
      </c>
      <c r="CH250" s="3972">
        <f>+CH248/CG248-1</f>
        <v>-7.8947368421052655E-2</v>
      </c>
      <c r="CI250" s="3967">
        <f>+CI248/CH248-1</f>
        <v>-0.1785714285714286</v>
      </c>
      <c r="CJ250" s="3967">
        <f>+CJ248/CI248-1</f>
        <v>6.956521739130439E-2</v>
      </c>
      <c r="CK250" s="3967">
        <f>+CK248/CJ248-1</f>
        <v>0.32520325203252032</v>
      </c>
      <c r="CL250" s="3972">
        <f>+CL248/CK248-1</f>
        <v>-0.2024539877300614</v>
      </c>
      <c r="CM250" s="3967"/>
      <c r="CN250" s="3967"/>
      <c r="CO250" s="3967"/>
      <c r="CP250" s="3972"/>
      <c r="CQ250" s="3971"/>
      <c r="CR250" s="3967"/>
      <c r="CS250" s="3967"/>
      <c r="CT250" s="3972"/>
    </row>
    <row r="251" spans="1:98" hidden="1" outlineLevel="2">
      <c r="A251" s="3965"/>
      <c r="B251" s="3960"/>
      <c r="C251" s="3960"/>
      <c r="D251" s="3960"/>
      <c r="E251" s="3960"/>
      <c r="F251" s="3960"/>
      <c r="G251" s="3960"/>
      <c r="H251" s="3960"/>
      <c r="I251" s="3960"/>
      <c r="J251" s="3960"/>
      <c r="K251" s="3960"/>
      <c r="L251" s="3976"/>
      <c r="M251" s="3977"/>
      <c r="N251" s="3977"/>
      <c r="O251" s="3977"/>
      <c r="P251" s="3977"/>
      <c r="Q251" s="3977"/>
      <c r="R251" s="3977"/>
      <c r="S251" s="3977"/>
      <c r="T251" s="3977"/>
      <c r="U251" s="3976"/>
      <c r="V251" s="3976"/>
      <c r="W251" s="3976"/>
      <c r="X251" s="3976"/>
      <c r="Y251" s="3976"/>
      <c r="Z251" s="3976"/>
      <c r="AA251" s="3976"/>
      <c r="AB251" s="3976"/>
      <c r="AC251" s="3976"/>
      <c r="AD251" s="3976"/>
      <c r="AE251" s="3976"/>
      <c r="AF251" s="3976"/>
      <c r="AG251" s="3920"/>
      <c r="AH251" s="3921"/>
      <c r="AI251" s="3960"/>
      <c r="AJ251" s="3960"/>
      <c r="AK251" s="3960"/>
      <c r="AL251" s="3960"/>
      <c r="AM251" s="3960"/>
      <c r="AN251" s="3960"/>
      <c r="AO251" s="3960"/>
      <c r="AP251" s="3960"/>
      <c r="AQ251" s="3960"/>
      <c r="AR251" s="3960"/>
      <c r="AS251" s="3960"/>
      <c r="AT251" s="3960"/>
      <c r="AU251" s="3960"/>
      <c r="AV251" s="3960"/>
      <c r="AW251" s="3960"/>
      <c r="AX251" s="3960"/>
      <c r="AY251" s="3960"/>
      <c r="AZ251" s="3960"/>
      <c r="BA251" s="3960"/>
      <c r="BB251" s="3960"/>
      <c r="BC251" s="3961"/>
      <c r="BD251" s="3962"/>
      <c r="BE251" s="3962"/>
      <c r="BF251" s="3962"/>
      <c r="BG251" s="3961"/>
      <c r="BH251" s="3962"/>
      <c r="BI251" s="3962"/>
      <c r="BJ251" s="3962"/>
      <c r="BK251" s="3979"/>
      <c r="BL251" s="3976"/>
      <c r="BM251" s="3976"/>
      <c r="BN251" s="3976"/>
      <c r="BO251" s="3980"/>
      <c r="BP251" s="3977"/>
      <c r="BQ251" s="3977"/>
      <c r="BR251" s="3981"/>
      <c r="BS251" s="3966">
        <f t="shared" ref="BS251:CE251" si="534">+BS248/BS$139</f>
        <v>6.908212560386473E-2</v>
      </c>
      <c r="BT251" s="3966">
        <f t="shared" si="534"/>
        <v>7.9751671442215857E-2</v>
      </c>
      <c r="BU251" s="3966">
        <f t="shared" si="534"/>
        <v>7.928268050967438E-2</v>
      </c>
      <c r="BV251" s="3973">
        <f t="shared" si="534"/>
        <v>8.7179487179487175E-2</v>
      </c>
      <c r="BW251" s="3975">
        <f t="shared" si="534"/>
        <v>6.3770794824399263E-2</v>
      </c>
      <c r="BX251" s="3966">
        <f t="shared" si="534"/>
        <v>7.5937785910338521E-2</v>
      </c>
      <c r="BY251" s="3966">
        <f t="shared" si="534"/>
        <v>7.3236889692585891E-2</v>
      </c>
      <c r="BZ251" s="3973">
        <f t="shared" si="534"/>
        <v>8.1822202565236618E-2</v>
      </c>
      <c r="CA251" s="3966">
        <f t="shared" si="534"/>
        <v>7.6177895200352272E-2</v>
      </c>
      <c r="CB251" s="3966">
        <f t="shared" si="534"/>
        <v>0.10253583241455347</v>
      </c>
      <c r="CC251" s="3966">
        <f t="shared" si="534"/>
        <v>9.9728997289972907E-2</v>
      </c>
      <c r="CD251" s="3973">
        <f t="shared" si="534"/>
        <v>7.6675603217158175E-2</v>
      </c>
      <c r="CE251" s="3975">
        <f t="shared" si="534"/>
        <v>7.3042564372044136E-2</v>
      </c>
      <c r="CF251" s="3966">
        <f t="shared" ref="CF251:CL251" si="535">+CF248/CF$139</f>
        <v>7.4131674442716428E-2</v>
      </c>
      <c r="CG251" s="3966">
        <f t="shared" si="535"/>
        <v>7.8310149407521901E-2</v>
      </c>
      <c r="CH251" s="3973">
        <f t="shared" si="535"/>
        <v>6.9860279441117765E-2</v>
      </c>
      <c r="CI251" s="3966">
        <f t="shared" si="535"/>
        <v>5.7471264367816091E-2</v>
      </c>
      <c r="CJ251" s="3966">
        <f t="shared" si="535"/>
        <v>6.0235063663075419E-2</v>
      </c>
      <c r="CK251" s="3966">
        <f t="shared" si="535"/>
        <v>8.0414405525407004E-2</v>
      </c>
      <c r="CL251" s="3973">
        <f t="shared" si="535"/>
        <v>6.4102564102564097E-2</v>
      </c>
      <c r="CM251" s="3966"/>
      <c r="CN251" s="3966"/>
      <c r="CO251" s="3966"/>
      <c r="CP251" s="3973"/>
      <c r="CQ251" s="3975"/>
      <c r="CR251" s="3966"/>
      <c r="CS251" s="3966"/>
      <c r="CT251" s="3973"/>
    </row>
    <row r="252" spans="1:98" hidden="1" outlineLevel="2">
      <c r="A252" s="2070" t="s">
        <v>1240</v>
      </c>
      <c r="B252" s="3960"/>
      <c r="C252" s="3960"/>
      <c r="D252" s="3960"/>
      <c r="E252" s="3960"/>
      <c r="F252" s="3960"/>
      <c r="G252" s="3960"/>
      <c r="H252" s="3960"/>
      <c r="I252" s="3960"/>
      <c r="J252" s="3960"/>
      <c r="K252" s="3960"/>
      <c r="L252" s="3960"/>
      <c r="M252" s="150">
        <f>M236+M227+M209</f>
        <v>11420</v>
      </c>
      <c r="N252" s="150">
        <f>N236+N227+N209</f>
        <v>11157</v>
      </c>
      <c r="O252" s="150">
        <f>O248++O244+O240</f>
        <v>11091</v>
      </c>
      <c r="P252" s="2033">
        <f>P248++P244+P240</f>
        <v>11030</v>
      </c>
      <c r="Q252" s="2033">
        <f>Q248+Q244+Q240</f>
        <v>10645</v>
      </c>
      <c r="R252" s="2033">
        <f>R248+R244+R240</f>
        <v>10206</v>
      </c>
      <c r="S252" s="2033"/>
      <c r="T252" s="2033"/>
      <c r="U252" s="150"/>
      <c r="V252" s="150"/>
      <c r="W252" s="150"/>
      <c r="X252" s="150"/>
      <c r="Y252" s="150"/>
      <c r="Z252" s="150"/>
      <c r="AA252" s="150"/>
      <c r="AB252" s="150"/>
      <c r="AC252" s="150"/>
      <c r="AD252" s="150"/>
      <c r="AE252" s="150"/>
      <c r="AF252" s="150"/>
      <c r="AG252" s="3920"/>
      <c r="AH252" s="3921"/>
      <c r="AI252" s="3960"/>
      <c r="AJ252" s="3960"/>
      <c r="AK252" s="3960"/>
      <c r="AL252" s="3960"/>
      <c r="AM252" s="3960"/>
      <c r="AN252" s="3960"/>
      <c r="AO252" s="3960"/>
      <c r="AP252" s="3960"/>
      <c r="AQ252" s="3960"/>
      <c r="AR252" s="3960"/>
      <c r="AS252" s="3960"/>
      <c r="AT252" s="3960"/>
      <c r="AU252" s="3960"/>
      <c r="AV252" s="3960"/>
      <c r="AW252" s="3960"/>
      <c r="AX252" s="3960"/>
      <c r="AY252" s="3960"/>
      <c r="AZ252" s="3960"/>
      <c r="BA252" s="3960"/>
      <c r="BB252" s="3960"/>
      <c r="BC252" s="3961"/>
      <c r="BD252" s="3962"/>
      <c r="BE252" s="3962"/>
      <c r="BF252" s="3962"/>
      <c r="BG252" s="3961"/>
      <c r="BH252" s="3962"/>
      <c r="BI252" s="3962"/>
      <c r="BJ252" s="3962"/>
      <c r="BK252" s="2051"/>
      <c r="BL252" s="2069"/>
      <c r="BM252" s="2069"/>
      <c r="BN252" s="2069"/>
      <c r="BO252" s="2045">
        <f t="shared" ref="BO252:BZ252" si="536">BO236+BO227+BO209</f>
        <v>2895</v>
      </c>
      <c r="BP252" s="2047">
        <f t="shared" si="536"/>
        <v>2872</v>
      </c>
      <c r="BQ252" s="2047">
        <f t="shared" si="536"/>
        <v>2833</v>
      </c>
      <c r="BR252" s="2046">
        <f t="shared" si="536"/>
        <v>2820</v>
      </c>
      <c r="BS252" s="2047">
        <f t="shared" si="536"/>
        <v>2780</v>
      </c>
      <c r="BT252" s="2047">
        <f t="shared" si="536"/>
        <v>2806</v>
      </c>
      <c r="BU252" s="2047">
        <f t="shared" si="536"/>
        <v>2778</v>
      </c>
      <c r="BV252" s="2046">
        <f t="shared" si="536"/>
        <v>2793</v>
      </c>
      <c r="BW252" s="2045">
        <f t="shared" si="536"/>
        <v>2745</v>
      </c>
      <c r="BX252" s="2047">
        <f t="shared" si="536"/>
        <v>2782</v>
      </c>
      <c r="BY252" s="2047">
        <f t="shared" si="536"/>
        <v>2764</v>
      </c>
      <c r="BZ252" s="2046">
        <f t="shared" si="536"/>
        <v>2800</v>
      </c>
      <c r="CA252" s="150">
        <f t="shared" ref="CA252:CH252" si="537">CA240+CA244+CA248</f>
        <v>2775</v>
      </c>
      <c r="CB252" s="150">
        <f t="shared" si="537"/>
        <v>2787</v>
      </c>
      <c r="CC252" s="150">
        <f t="shared" si="537"/>
        <v>2772</v>
      </c>
      <c r="CD252" s="360">
        <f t="shared" si="537"/>
        <v>2696</v>
      </c>
      <c r="CE252" s="139">
        <f t="shared" si="537"/>
        <v>2697</v>
      </c>
      <c r="CF252" s="150">
        <f t="shared" si="537"/>
        <v>2658</v>
      </c>
      <c r="CG252" s="150">
        <f t="shared" si="537"/>
        <v>2635</v>
      </c>
      <c r="CH252" s="360">
        <f t="shared" si="537"/>
        <v>2655</v>
      </c>
      <c r="CI252" s="150">
        <f>CI240+CI244+CI248</f>
        <v>2604</v>
      </c>
      <c r="CJ252" s="150">
        <f>CJ240+CJ244+CJ248</f>
        <v>2597</v>
      </c>
      <c r="CK252" s="150">
        <f>CK240+CK244+CK248</f>
        <v>2606</v>
      </c>
      <c r="CL252" s="360">
        <f>CL240+CL244+CL248</f>
        <v>2399</v>
      </c>
      <c r="CM252" s="150"/>
      <c r="CN252" s="150"/>
      <c r="CO252" s="150"/>
      <c r="CP252" s="360"/>
      <c r="CQ252" s="139"/>
      <c r="CR252" s="150"/>
      <c r="CS252" s="150"/>
      <c r="CT252" s="360"/>
    </row>
    <row r="253" spans="1:98" hidden="1" outlineLevel="2">
      <c r="A253" s="3965" t="s">
        <v>34</v>
      </c>
      <c r="B253" s="114"/>
      <c r="C253" s="114"/>
      <c r="D253" s="114"/>
      <c r="E253" s="114"/>
      <c r="F253" s="114"/>
      <c r="G253" s="114"/>
      <c r="H253" s="114"/>
      <c r="I253" s="114"/>
      <c r="J253" s="114"/>
      <c r="K253" s="114"/>
      <c r="L253" s="150"/>
      <c r="N253" s="3966">
        <f>+N252/M252-1</f>
        <v>-2.3029772329246967E-2</v>
      </c>
      <c r="O253" s="3938">
        <f>+O252/N252-1</f>
        <v>-5.9155687012637514E-3</v>
      </c>
      <c r="P253" s="3938">
        <f>+P252/O252-1</f>
        <v>-5.4999549184022722E-3</v>
      </c>
      <c r="Q253" s="3938">
        <f>+Q252/P252-1</f>
        <v>-3.4904805077062506E-2</v>
      </c>
      <c r="R253" s="3938">
        <f>+R252/Q252-1</f>
        <v>-4.1240018788163413E-2</v>
      </c>
      <c r="S253" s="3938"/>
      <c r="T253" s="3938"/>
      <c r="U253" s="3938"/>
      <c r="V253" s="3938"/>
      <c r="W253" s="3938"/>
      <c r="X253" s="3938"/>
      <c r="Y253" s="3938"/>
      <c r="Z253" s="3938"/>
      <c r="AA253" s="3938"/>
      <c r="AB253" s="3938"/>
      <c r="AC253" s="3938"/>
      <c r="AD253" s="3938"/>
      <c r="AE253" s="3938"/>
      <c r="AF253" s="3938"/>
      <c r="AG253" s="2553"/>
      <c r="AH253" s="2714"/>
      <c r="AI253" s="114"/>
      <c r="AJ253" s="114"/>
      <c r="AK253" s="114"/>
      <c r="AL253" s="114"/>
      <c r="AM253" s="114"/>
      <c r="AN253" s="114"/>
      <c r="AO253" s="114"/>
      <c r="AP253" s="114"/>
      <c r="AQ253" s="114"/>
      <c r="AR253" s="114"/>
      <c r="AS253" s="114"/>
      <c r="AT253" s="114"/>
      <c r="AU253" s="114"/>
      <c r="AV253" s="114"/>
      <c r="AW253" s="114"/>
      <c r="AX253" s="114"/>
      <c r="AY253" s="114"/>
      <c r="AZ253" s="114"/>
      <c r="BA253" s="114"/>
      <c r="BB253" s="114"/>
      <c r="BC253" s="2050"/>
      <c r="BD253" s="2067"/>
      <c r="BE253" s="2067"/>
      <c r="BF253" s="2067"/>
      <c r="BG253" s="2050"/>
      <c r="BH253" s="2067"/>
      <c r="BI253" s="2067"/>
      <c r="BJ253" s="2067"/>
      <c r="BK253" s="2045"/>
      <c r="BL253" s="2047"/>
      <c r="BM253" s="2047"/>
      <c r="BN253" s="2047"/>
      <c r="BO253" s="3971"/>
      <c r="BP253" s="3967"/>
      <c r="BQ253" s="3967"/>
      <c r="BR253" s="3972"/>
      <c r="BS253" s="3967">
        <f t="shared" ref="BS253:CG253" si="538">+BS252/BO252-1</f>
        <v>-3.9723661485319472E-2</v>
      </c>
      <c r="BT253" s="3967">
        <f t="shared" si="538"/>
        <v>-2.2980501392757646E-2</v>
      </c>
      <c r="BU253" s="3967">
        <f t="shared" si="538"/>
        <v>-1.9414048711613119E-2</v>
      </c>
      <c r="BV253" s="3972">
        <f t="shared" si="538"/>
        <v>-9.5744680851064246E-3</v>
      </c>
      <c r="BW253" s="3971">
        <f t="shared" si="538"/>
        <v>-1.258992805755399E-2</v>
      </c>
      <c r="BX253" s="3967">
        <f t="shared" si="538"/>
        <v>-8.5531004989308768E-3</v>
      </c>
      <c r="BY253" s="3967">
        <f t="shared" si="538"/>
        <v>-5.0395968322534124E-3</v>
      </c>
      <c r="BZ253" s="3972">
        <f t="shared" si="538"/>
        <v>2.5062656641603454E-3</v>
      </c>
      <c r="CA253" s="3967">
        <f t="shared" si="538"/>
        <v>1.0928961748633892E-2</v>
      </c>
      <c r="CB253" s="3967">
        <f t="shared" si="538"/>
        <v>1.7972681524083267E-3</v>
      </c>
      <c r="CC253" s="3967">
        <f t="shared" si="538"/>
        <v>2.8943560057888007E-3</v>
      </c>
      <c r="CD253" s="3972">
        <f t="shared" si="538"/>
        <v>-3.7142857142857144E-2</v>
      </c>
      <c r="CE253" s="3971">
        <f t="shared" si="538"/>
        <v>-2.8108108108108154E-2</v>
      </c>
      <c r="CF253" s="3967">
        <f t="shared" si="538"/>
        <v>-4.6286329386437064E-2</v>
      </c>
      <c r="CG253" s="3967">
        <f t="shared" si="538"/>
        <v>-4.9422799422799368E-2</v>
      </c>
      <c r="CH253" s="3972">
        <f>+CH252/CD252-1</f>
        <v>-1.5207715133531141E-2</v>
      </c>
      <c r="CI253" s="3967">
        <f>+CI252/CE252-1</f>
        <v>-3.4482758620689613E-2</v>
      </c>
      <c r="CJ253" s="3967">
        <f>+CJ252/CF252-1</f>
        <v>-2.2949586155003754E-2</v>
      </c>
      <c r="CK253" s="3967">
        <f>+CK252/CG252-1</f>
        <v>-1.1005692599620476E-2</v>
      </c>
      <c r="CL253" s="3972">
        <f>+CL252/CH252-1</f>
        <v>-9.6421845574387932E-2</v>
      </c>
      <c r="CM253" s="3967"/>
      <c r="CN253" s="3967"/>
      <c r="CO253" s="3967"/>
      <c r="CP253" s="3972"/>
      <c r="CQ253" s="3971"/>
      <c r="CR253" s="3967"/>
      <c r="CS253" s="3967"/>
      <c r="CT253" s="3972"/>
    </row>
    <row r="254" spans="1:98" hidden="1" outlineLevel="2">
      <c r="A254" s="3965" t="s">
        <v>947</v>
      </c>
      <c r="B254" s="3960"/>
      <c r="C254" s="3960"/>
      <c r="D254" s="3960"/>
      <c r="E254" s="3960"/>
      <c r="F254" s="3960"/>
      <c r="G254" s="3960"/>
      <c r="H254" s="3960"/>
      <c r="I254" s="3960"/>
      <c r="J254" s="3960"/>
      <c r="K254" s="3960"/>
      <c r="L254" s="3960"/>
      <c r="M254" s="3966"/>
      <c r="N254" s="3876"/>
      <c r="O254" s="3876"/>
      <c r="P254" s="3876"/>
      <c r="Q254" s="3876"/>
      <c r="R254" s="3876"/>
      <c r="S254" s="3876"/>
      <c r="T254" s="3876"/>
      <c r="U254" s="3876"/>
      <c r="V254" s="3876"/>
      <c r="W254" s="3876"/>
      <c r="X254" s="3876"/>
      <c r="Y254" s="3876"/>
      <c r="Z254" s="3876"/>
      <c r="AA254" s="3876"/>
      <c r="AB254" s="3876"/>
      <c r="AC254" s="3876"/>
      <c r="AD254" s="3876"/>
      <c r="AE254" s="3876"/>
      <c r="AF254" s="3876"/>
      <c r="AG254" s="3920"/>
      <c r="AH254" s="3921"/>
      <c r="AI254" s="3960"/>
      <c r="AJ254" s="3960"/>
      <c r="AK254" s="3960"/>
      <c r="AL254" s="3960"/>
      <c r="AM254" s="3960"/>
      <c r="AN254" s="3960"/>
      <c r="AO254" s="3960"/>
      <c r="AP254" s="3960"/>
      <c r="AQ254" s="3960"/>
      <c r="AR254" s="3960"/>
      <c r="AS254" s="3960"/>
      <c r="AT254" s="3960"/>
      <c r="AU254" s="3960"/>
      <c r="AV254" s="3960"/>
      <c r="AW254" s="3960"/>
      <c r="AX254" s="3960"/>
      <c r="AY254" s="3960"/>
      <c r="AZ254" s="3960"/>
      <c r="BA254" s="3960"/>
      <c r="BB254" s="3960"/>
      <c r="BC254" s="3961"/>
      <c r="BD254" s="3962"/>
      <c r="BE254" s="3962"/>
      <c r="BF254" s="3962"/>
      <c r="BG254" s="3961"/>
      <c r="BH254" s="3962"/>
      <c r="BI254" s="3962"/>
      <c r="BJ254" s="3962"/>
      <c r="BK254" s="2051"/>
      <c r="BL254" s="3967"/>
      <c r="BM254" s="3967"/>
      <c r="BN254" s="3967"/>
      <c r="BO254" s="3975"/>
      <c r="BP254" s="3966">
        <f>+BP252/BO252-1</f>
        <v>-7.9447322970639389E-3</v>
      </c>
      <c r="BQ254" s="3966">
        <f>+BQ252/BP252-1</f>
        <v>-1.3579387186629543E-2</v>
      </c>
      <c r="BR254" s="3966">
        <f>+BR252/BQ252-1</f>
        <v>-4.5887751500176543E-3</v>
      </c>
      <c r="BS254" s="3975">
        <f>+BS252/BR252-1</f>
        <v>-1.4184397163120588E-2</v>
      </c>
      <c r="BT254" s="3966">
        <f>+BT252/BS252-1</f>
        <v>9.3525179856115415E-3</v>
      </c>
      <c r="BU254" s="3966">
        <f t="shared" ref="BU254:CG254" si="539">+BU252/BT252-1</f>
        <v>-9.9786172487527081E-3</v>
      </c>
      <c r="BV254" s="3973">
        <f t="shared" si="539"/>
        <v>5.3995680345573227E-3</v>
      </c>
      <c r="BW254" s="3975">
        <f t="shared" si="539"/>
        <v>-1.7185821697099923E-2</v>
      </c>
      <c r="BX254" s="3966">
        <f t="shared" si="539"/>
        <v>1.3479052823315074E-2</v>
      </c>
      <c r="BY254" s="3966">
        <f t="shared" si="539"/>
        <v>-6.470165348670065E-3</v>
      </c>
      <c r="BZ254" s="3973">
        <f t="shared" si="539"/>
        <v>1.3024602026049159E-2</v>
      </c>
      <c r="CA254" s="3966">
        <f t="shared" si="539"/>
        <v>-8.9285714285713969E-3</v>
      </c>
      <c r="CB254" s="3966">
        <f t="shared" si="539"/>
        <v>4.3243243243242802E-3</v>
      </c>
      <c r="CC254" s="3966">
        <f t="shared" si="539"/>
        <v>-5.3821313240043356E-3</v>
      </c>
      <c r="CD254" s="3973">
        <f t="shared" si="539"/>
        <v>-2.7417027417027451E-2</v>
      </c>
      <c r="CE254" s="3975">
        <f t="shared" si="539"/>
        <v>3.7091988130555364E-4</v>
      </c>
      <c r="CF254" s="3966">
        <f t="shared" si="539"/>
        <v>-1.4460511679644017E-2</v>
      </c>
      <c r="CG254" s="3966">
        <f t="shared" si="539"/>
        <v>-8.6531226486079582E-3</v>
      </c>
      <c r="CH254" s="3973">
        <f>+CH252/CG252-1</f>
        <v>7.5901328273244584E-3</v>
      </c>
      <c r="CI254" s="3966">
        <f>+CI252/CH252-1</f>
        <v>-1.9209039548022555E-2</v>
      </c>
      <c r="CJ254" s="3966">
        <f>+CJ252/CI252-1</f>
        <v>-2.6881720430107503E-3</v>
      </c>
      <c r="CK254" s="3966">
        <f>+CK252/CJ252-1</f>
        <v>3.4655371582594796E-3</v>
      </c>
      <c r="CL254" s="3973">
        <f>+CL252/CK252-1</f>
        <v>-7.9432079815809686E-2</v>
      </c>
      <c r="CM254" s="3966"/>
      <c r="CN254" s="3966"/>
      <c r="CO254" s="3966"/>
      <c r="CP254" s="3973"/>
      <c r="CQ254" s="3975"/>
      <c r="CR254" s="3966"/>
      <c r="CS254" s="3966"/>
      <c r="CT254" s="3973"/>
    </row>
    <row r="255" spans="1:98" hidden="1" outlineLevel="2">
      <c r="A255" s="3985" t="s">
        <v>1217</v>
      </c>
      <c r="B255" s="3986"/>
      <c r="C255" s="3986"/>
      <c r="D255" s="3986"/>
      <c r="E255" s="3986"/>
      <c r="F255" s="3986"/>
      <c r="G255" s="3986"/>
      <c r="H255" s="3986"/>
      <c r="I255" s="3986"/>
      <c r="J255" s="3986"/>
      <c r="K255" s="3986"/>
      <c r="L255" s="3986"/>
      <c r="M255" s="3986"/>
      <c r="N255" s="3986"/>
      <c r="O255" s="3987">
        <f>O252/O$154</f>
        <v>0.61293174910196191</v>
      </c>
      <c r="P255" s="3987">
        <f>P252/P$154</f>
        <v>0.61185998779608364</v>
      </c>
      <c r="Q255" s="3987">
        <f>Q252/Q$154</f>
        <v>0.5946927374301676</v>
      </c>
      <c r="R255" s="3987">
        <f>R252/R$154</f>
        <v>0.58420148826559815</v>
      </c>
      <c r="S255" s="3987"/>
      <c r="T255" s="3987"/>
      <c r="U255" s="3987"/>
      <c r="V255" s="3987"/>
      <c r="W255" s="3987"/>
      <c r="X255" s="3987"/>
      <c r="Y255" s="3987"/>
      <c r="Z255" s="3987"/>
      <c r="AA255" s="3987"/>
      <c r="AB255" s="3987"/>
      <c r="AC255" s="3987"/>
      <c r="AD255" s="3987"/>
      <c r="AE255" s="3987"/>
      <c r="AF255" s="3987"/>
      <c r="AG255" s="3998"/>
      <c r="AH255" s="3988"/>
      <c r="AI255" s="3989"/>
      <c r="AJ255" s="3989"/>
      <c r="AK255" s="3989"/>
      <c r="AL255" s="3989"/>
      <c r="AM255" s="3989"/>
      <c r="AN255" s="3989"/>
      <c r="AO255" s="3989"/>
      <c r="AP255" s="3989"/>
      <c r="AQ255" s="3989"/>
      <c r="AR255" s="3989"/>
      <c r="AS255" s="3989"/>
      <c r="AT255" s="3989"/>
      <c r="AU255" s="3989"/>
      <c r="AV255" s="3989"/>
      <c r="AW255" s="3989"/>
      <c r="AX255" s="3989"/>
      <c r="AY255" s="3989"/>
      <c r="AZ255" s="3989"/>
      <c r="BA255" s="3989"/>
      <c r="BB255" s="3989"/>
      <c r="BC255" s="3990"/>
      <c r="BD255" s="3991"/>
      <c r="BE255" s="3991"/>
      <c r="BF255" s="3991"/>
      <c r="BG255" s="3990"/>
      <c r="BH255" s="3991"/>
      <c r="BI255" s="3991"/>
      <c r="BJ255" s="3991"/>
      <c r="BK255" s="3992"/>
      <c r="BL255" s="3989"/>
      <c r="BM255" s="3989"/>
      <c r="BN255" s="3989"/>
      <c r="BO255" s="3992"/>
      <c r="BP255" s="3989"/>
      <c r="BQ255" s="3989"/>
      <c r="BR255" s="3989"/>
      <c r="BS255" s="3992"/>
      <c r="BT255" s="3989"/>
      <c r="BU255" s="3989"/>
      <c r="BV255" s="3989"/>
      <c r="BW255" s="3993">
        <f t="shared" ref="BW255:CE255" si="540">BW252/BW$154</f>
        <v>0.60824285397739863</v>
      </c>
      <c r="BX255" s="3987">
        <f t="shared" si="540"/>
        <v>0.61480662983425416</v>
      </c>
      <c r="BY255" s="3987">
        <f t="shared" si="540"/>
        <v>0.61218161683277961</v>
      </c>
      <c r="BZ255" s="3994">
        <f t="shared" si="540"/>
        <v>0.61646851607221487</v>
      </c>
      <c r="CA255" s="3993">
        <f t="shared" si="540"/>
        <v>0.61150286469810489</v>
      </c>
      <c r="CB255" s="3987">
        <f t="shared" si="540"/>
        <v>0.61387665198237884</v>
      </c>
      <c r="CC255" s="3987">
        <f t="shared" si="540"/>
        <v>0.61422557057389759</v>
      </c>
      <c r="CD255" s="3994">
        <f t="shared" si="540"/>
        <v>0.60775473399458968</v>
      </c>
      <c r="CE255" s="3993">
        <f t="shared" si="540"/>
        <v>0.60593125140417881</v>
      </c>
      <c r="CF255" s="3987">
        <f t="shared" ref="CF255:CL255" si="541">CF252/CF$154</f>
        <v>0.60149355057705367</v>
      </c>
      <c r="CG255" s="3987">
        <f t="shared" si="541"/>
        <v>0.57861220904699162</v>
      </c>
      <c r="CH255" s="3994">
        <f t="shared" si="541"/>
        <v>0.59316353887399464</v>
      </c>
      <c r="CI255" s="3987">
        <f t="shared" si="541"/>
        <v>0.59168370824812544</v>
      </c>
      <c r="CJ255" s="3987">
        <f t="shared" si="541"/>
        <v>0.59049567985447926</v>
      </c>
      <c r="CK255" s="3987">
        <f t="shared" si="541"/>
        <v>0.59470561387494292</v>
      </c>
      <c r="CL255" s="3994">
        <f t="shared" si="541"/>
        <v>0.55933784098857542</v>
      </c>
      <c r="CM255" s="3987"/>
      <c r="CN255" s="3987"/>
      <c r="CO255" s="3987"/>
      <c r="CP255" s="3994"/>
      <c r="CQ255" s="3993"/>
      <c r="CR255" s="3987"/>
      <c r="CS255" s="3987"/>
      <c r="CT255" s="3994"/>
    </row>
    <row r="256" spans="1:98" hidden="1" outlineLevel="2">
      <c r="A256" s="2065" t="s">
        <v>1684</v>
      </c>
      <c r="B256" s="3954"/>
      <c r="C256" s="3954"/>
      <c r="D256" s="3954"/>
      <c r="E256" s="3954"/>
      <c r="F256" s="3954"/>
      <c r="G256" s="3954"/>
      <c r="H256" s="3954"/>
      <c r="I256" s="3954"/>
      <c r="J256" s="3954"/>
      <c r="K256" s="3954"/>
      <c r="L256" s="3954"/>
      <c r="M256" s="3954"/>
      <c r="N256" s="3954"/>
      <c r="O256" s="3954"/>
      <c r="P256" s="3954"/>
      <c r="Q256" s="3954"/>
      <c r="R256" s="3954"/>
      <c r="S256" s="3954"/>
      <c r="T256" s="3954"/>
      <c r="U256" s="3954"/>
      <c r="V256" s="3954"/>
      <c r="W256" s="3954"/>
      <c r="X256" s="3954"/>
      <c r="Y256" s="3954"/>
      <c r="Z256" s="3954"/>
      <c r="AA256" s="3954"/>
      <c r="AB256" s="3954"/>
      <c r="AC256" s="3954"/>
      <c r="AD256" s="3954"/>
      <c r="AE256" s="3954"/>
      <c r="AF256" s="3954"/>
      <c r="AG256" s="3920"/>
      <c r="AH256" s="3921"/>
      <c r="AI256" s="3954"/>
      <c r="AJ256" s="3954"/>
      <c r="AK256" s="3954"/>
      <c r="AL256" s="3954"/>
      <c r="AM256" s="3954"/>
      <c r="AN256" s="3954"/>
      <c r="AO256" s="3954"/>
      <c r="AP256" s="3954"/>
      <c r="AQ256" s="3954"/>
      <c r="AR256" s="3954"/>
      <c r="AS256" s="3954"/>
      <c r="AT256" s="3954"/>
      <c r="AU256" s="3954"/>
      <c r="AV256" s="3954"/>
      <c r="AW256" s="3954"/>
      <c r="AX256" s="3954"/>
      <c r="AY256" s="3954"/>
      <c r="AZ256" s="3954"/>
      <c r="BA256" s="3954"/>
      <c r="BB256" s="3954"/>
      <c r="BC256" s="3955"/>
      <c r="BD256" s="3956"/>
      <c r="BE256" s="3956"/>
      <c r="BF256" s="3956"/>
      <c r="BG256" s="3955"/>
      <c r="BH256" s="3956"/>
      <c r="BI256" s="3956"/>
      <c r="BJ256" s="3956"/>
      <c r="BK256" s="3957"/>
      <c r="BL256" s="3954"/>
      <c r="BM256" s="3954"/>
      <c r="BN256" s="3954"/>
      <c r="BO256" s="3957"/>
      <c r="BP256" s="3954"/>
      <c r="BQ256" s="3954"/>
      <c r="BR256" s="3958"/>
      <c r="BS256" s="3957"/>
      <c r="BT256" s="3954"/>
      <c r="BU256" s="3954"/>
      <c r="BV256" s="3954"/>
      <c r="BW256" s="3957"/>
      <c r="BX256" s="3954"/>
      <c r="BY256" s="3954"/>
      <c r="BZ256" s="3958"/>
      <c r="CA256" s="3957"/>
      <c r="CB256" s="3954"/>
      <c r="CC256" s="3954"/>
      <c r="CD256" s="3958"/>
      <c r="CE256" s="3954"/>
      <c r="CF256" s="3954"/>
      <c r="CG256" s="3954"/>
      <c r="CH256" s="3958"/>
      <c r="CI256" s="3954"/>
      <c r="CJ256" s="3954"/>
      <c r="CK256" s="3954"/>
      <c r="CL256" s="3958"/>
      <c r="CM256" s="3954"/>
      <c r="CN256" s="3954"/>
      <c r="CO256" s="3954"/>
      <c r="CP256" s="3958"/>
      <c r="CQ256" s="3957"/>
      <c r="CR256" s="3954"/>
      <c r="CS256" s="3954"/>
      <c r="CT256" s="3958"/>
    </row>
    <row r="257" spans="1:98" hidden="1" outlineLevel="2">
      <c r="A257" s="2053" t="s">
        <v>1685</v>
      </c>
      <c r="B257" s="3960"/>
      <c r="C257" s="3960"/>
      <c r="D257" s="3960"/>
      <c r="E257" s="3960"/>
      <c r="F257" s="3960"/>
      <c r="G257" s="3960"/>
      <c r="H257" s="3960"/>
      <c r="I257" s="3960"/>
      <c r="J257" s="3960"/>
      <c r="K257" s="3960"/>
      <c r="L257" s="3960"/>
      <c r="M257" s="3960"/>
      <c r="N257" s="150"/>
      <c r="O257" s="150"/>
      <c r="P257" s="2033"/>
      <c r="Q257" s="2033">
        <f>SUM(CE257:CH257)</f>
        <v>687</v>
      </c>
      <c r="R257" s="2033">
        <f>SUM(CI257:CL257)</f>
        <v>641</v>
      </c>
      <c r="S257" s="2033"/>
      <c r="T257" s="2033"/>
      <c r="U257" s="2067"/>
      <c r="V257" s="2067"/>
      <c r="W257" s="2067"/>
      <c r="X257" s="2067"/>
      <c r="Y257" s="2067"/>
      <c r="Z257" s="2067"/>
      <c r="AA257" s="2067"/>
      <c r="AB257" s="2067"/>
      <c r="AC257" s="2067"/>
      <c r="AD257" s="2067"/>
      <c r="AE257" s="2067"/>
      <c r="AF257" s="2067"/>
      <c r="AG257" s="3920"/>
      <c r="AH257" s="3921"/>
      <c r="AI257" s="3960"/>
      <c r="AJ257" s="3960"/>
      <c r="AK257" s="3960"/>
      <c r="AL257" s="3960"/>
      <c r="AM257" s="3960"/>
      <c r="AN257" s="3960"/>
      <c r="AO257" s="3960"/>
      <c r="AP257" s="3960"/>
      <c r="AQ257" s="3960"/>
      <c r="AR257" s="3960"/>
      <c r="AS257" s="3960"/>
      <c r="AT257" s="3960"/>
      <c r="AU257" s="3960"/>
      <c r="AV257" s="3960"/>
      <c r="AW257" s="3960"/>
      <c r="AX257" s="3960"/>
      <c r="AY257" s="3960"/>
      <c r="AZ257" s="3960"/>
      <c r="BA257" s="3960"/>
      <c r="BB257" s="3960"/>
      <c r="BC257" s="3961"/>
      <c r="BD257" s="3962"/>
      <c r="BE257" s="3962"/>
      <c r="BF257" s="3962"/>
      <c r="BG257" s="3961"/>
      <c r="BH257" s="3962"/>
      <c r="BI257" s="3962"/>
      <c r="BJ257" s="3962"/>
      <c r="BK257" s="3959"/>
      <c r="BL257" s="3960"/>
      <c r="BM257" s="3960"/>
      <c r="BN257" s="3960"/>
      <c r="BO257" s="2581"/>
      <c r="BP257" s="114"/>
      <c r="BQ257" s="114"/>
      <c r="BR257" s="2242"/>
      <c r="BS257" s="2053"/>
      <c r="BT257" s="114"/>
      <c r="BU257" s="114"/>
      <c r="BV257" s="114"/>
      <c r="BW257" s="2053"/>
      <c r="BX257" s="114"/>
      <c r="BY257" s="114"/>
      <c r="BZ257" s="2242"/>
      <c r="CA257" s="139"/>
      <c r="CB257" s="2047"/>
      <c r="CC257" s="2047"/>
      <c r="CD257" s="2046"/>
      <c r="CE257" s="2230">
        <f>+CE358</f>
        <v>171</v>
      </c>
      <c r="CF257" s="2231">
        <f t="shared" ref="CF257:CL257" si="542">+CF358</f>
        <v>174</v>
      </c>
      <c r="CG257" s="2231">
        <f t="shared" si="542"/>
        <v>169</v>
      </c>
      <c r="CH257" s="2232">
        <f t="shared" si="542"/>
        <v>173</v>
      </c>
      <c r="CI257" s="2231">
        <f t="shared" si="542"/>
        <v>162</v>
      </c>
      <c r="CJ257" s="2231">
        <f t="shared" si="542"/>
        <v>161</v>
      </c>
      <c r="CK257" s="2231">
        <f t="shared" si="542"/>
        <v>160</v>
      </c>
      <c r="CL257" s="2232">
        <f t="shared" si="542"/>
        <v>158</v>
      </c>
      <c r="CM257" s="2067"/>
      <c r="CN257" s="2231"/>
      <c r="CO257" s="2231"/>
      <c r="CP257" s="2232"/>
      <c r="CQ257" s="2050"/>
      <c r="CR257" s="2067"/>
      <c r="CS257" s="2067"/>
      <c r="CT257" s="2582"/>
    </row>
    <row r="258" spans="1:98" hidden="1" outlineLevel="2">
      <c r="A258" s="3965" t="s">
        <v>34</v>
      </c>
      <c r="B258" s="114"/>
      <c r="C258" s="114"/>
      <c r="D258" s="114"/>
      <c r="E258" s="114"/>
      <c r="F258" s="114"/>
      <c r="G258" s="114"/>
      <c r="H258" s="114"/>
      <c r="I258" s="114"/>
      <c r="J258" s="114"/>
      <c r="K258" s="114"/>
      <c r="L258" s="150"/>
      <c r="M258" s="150"/>
      <c r="N258" s="150"/>
      <c r="O258" s="3966"/>
      <c r="P258" s="3966"/>
      <c r="Q258" s="3966"/>
      <c r="R258" s="3966">
        <f>+R257/Q257-1</f>
        <v>-6.695778748180492E-2</v>
      </c>
      <c r="S258" s="3966"/>
      <c r="T258" s="3966"/>
      <c r="U258" s="3966"/>
      <c r="V258" s="3966"/>
      <c r="W258" s="3966"/>
      <c r="X258" s="3966"/>
      <c r="Y258" s="3966"/>
      <c r="Z258" s="3966"/>
      <c r="AA258" s="3966"/>
      <c r="AB258" s="3966"/>
      <c r="AC258" s="3966"/>
      <c r="AD258" s="3966"/>
      <c r="AE258" s="3966"/>
      <c r="AF258" s="3966"/>
      <c r="AG258" s="2553"/>
      <c r="AH258" s="2714"/>
      <c r="AI258" s="114"/>
      <c r="AJ258" s="114"/>
      <c r="AK258" s="114"/>
      <c r="AL258" s="114"/>
      <c r="AM258" s="114"/>
      <c r="AN258" s="114"/>
      <c r="AO258" s="114"/>
      <c r="AP258" s="114"/>
      <c r="AQ258" s="114"/>
      <c r="AR258" s="114"/>
      <c r="AS258" s="114"/>
      <c r="AT258" s="114"/>
      <c r="AU258" s="114"/>
      <c r="AV258" s="114"/>
      <c r="AW258" s="114"/>
      <c r="AX258" s="114"/>
      <c r="AY258" s="114"/>
      <c r="AZ258" s="114"/>
      <c r="BA258" s="114"/>
      <c r="BB258" s="114"/>
      <c r="BC258" s="2050"/>
      <c r="BD258" s="2067"/>
      <c r="BE258" s="2067"/>
      <c r="BF258" s="2067"/>
      <c r="BG258" s="2050"/>
      <c r="BH258" s="2067"/>
      <c r="BI258" s="2067"/>
      <c r="BJ258" s="2067"/>
      <c r="BK258" s="2045"/>
      <c r="BL258" s="2047"/>
      <c r="BM258" s="2047"/>
      <c r="BN258" s="2047"/>
      <c r="BO258" s="3971"/>
      <c r="BP258" s="3967"/>
      <c r="BQ258" s="3967"/>
      <c r="BR258" s="3967"/>
      <c r="BS258" s="3971"/>
      <c r="BT258" s="3967"/>
      <c r="BU258" s="3967"/>
      <c r="BV258" s="3967"/>
      <c r="BW258" s="3971"/>
      <c r="BX258" s="3967"/>
      <c r="BY258" s="3967"/>
      <c r="BZ258" s="3972"/>
      <c r="CA258" s="3971"/>
      <c r="CB258" s="3949"/>
      <c r="CC258" s="3949"/>
      <c r="CD258" s="3950"/>
      <c r="CE258" s="3951"/>
      <c r="CF258" s="3967"/>
      <c r="CG258" s="3967"/>
      <c r="CH258" s="3972"/>
      <c r="CI258" s="3967">
        <f>+CI257/CE257-1</f>
        <v>-5.2631578947368474E-2</v>
      </c>
      <c r="CJ258" s="3967">
        <f>+CJ257/CF257-1</f>
        <v>-7.4712643678160884E-2</v>
      </c>
      <c r="CK258" s="3967">
        <f>+CK257/CG257-1</f>
        <v>-5.3254437869822535E-2</v>
      </c>
      <c r="CL258" s="3972">
        <f>+CL257/CH257-1</f>
        <v>-8.6705202312138741E-2</v>
      </c>
      <c r="CM258" s="3967"/>
      <c r="CN258" s="3967"/>
      <c r="CO258" s="3967"/>
      <c r="CP258" s="3972"/>
      <c r="CQ258" s="3971"/>
      <c r="CR258" s="3967"/>
      <c r="CS258" s="3967"/>
      <c r="CT258" s="3972"/>
    </row>
    <row r="259" spans="1:98" hidden="1" outlineLevel="2">
      <c r="A259" s="3965" t="s">
        <v>947</v>
      </c>
      <c r="B259" s="3960"/>
      <c r="C259" s="3960"/>
      <c r="D259" s="3960"/>
      <c r="E259" s="3960"/>
      <c r="F259" s="3960"/>
      <c r="G259" s="3960"/>
      <c r="H259" s="3960"/>
      <c r="I259" s="3960"/>
      <c r="J259" s="3960"/>
      <c r="K259" s="3960"/>
      <c r="L259" s="3960"/>
      <c r="M259" s="3960"/>
      <c r="N259" s="3939"/>
      <c r="O259" s="3966"/>
      <c r="P259" s="3966"/>
      <c r="Q259" s="3966"/>
      <c r="R259" s="3966"/>
      <c r="S259" s="3966"/>
      <c r="T259" s="3966"/>
      <c r="U259" s="2068"/>
      <c r="V259" s="2068"/>
      <c r="W259" s="2068"/>
      <c r="X259" s="2068"/>
      <c r="Y259" s="2068"/>
      <c r="Z259" s="2068"/>
      <c r="AA259" s="2068"/>
      <c r="AB259" s="2068"/>
      <c r="AC259" s="2068"/>
      <c r="AD259" s="2068"/>
      <c r="AE259" s="2068"/>
      <c r="AF259" s="2068"/>
      <c r="AG259" s="3920"/>
      <c r="AH259" s="3921"/>
      <c r="AI259" s="3960"/>
      <c r="AJ259" s="3960"/>
      <c r="AK259" s="3960"/>
      <c r="AL259" s="3960"/>
      <c r="AM259" s="3960"/>
      <c r="AN259" s="3960"/>
      <c r="AO259" s="3960"/>
      <c r="AP259" s="3960"/>
      <c r="AQ259" s="3960"/>
      <c r="AR259" s="3960"/>
      <c r="AS259" s="3960"/>
      <c r="AT259" s="3960"/>
      <c r="AU259" s="3960"/>
      <c r="AV259" s="3960"/>
      <c r="AW259" s="3960"/>
      <c r="AX259" s="3960"/>
      <c r="AY259" s="3960"/>
      <c r="AZ259" s="3960"/>
      <c r="BA259" s="3960"/>
      <c r="BB259" s="3960"/>
      <c r="BC259" s="3961"/>
      <c r="BD259" s="3962"/>
      <c r="BE259" s="3962"/>
      <c r="BF259" s="3962"/>
      <c r="BG259" s="3961"/>
      <c r="BH259" s="3962"/>
      <c r="BI259" s="3962"/>
      <c r="BJ259" s="3962"/>
      <c r="BK259" s="2051"/>
      <c r="BL259" s="3967"/>
      <c r="BM259" s="3967"/>
      <c r="BN259" s="3967"/>
      <c r="BO259" s="3968"/>
      <c r="BP259" s="3969"/>
      <c r="BQ259" s="3969"/>
      <c r="BR259" s="3970"/>
      <c r="BS259" s="3968"/>
      <c r="BT259" s="3969"/>
      <c r="BU259" s="3969"/>
      <c r="BV259" s="3969"/>
      <c r="BW259" s="3971"/>
      <c r="BX259" s="3967"/>
      <c r="BY259" s="3967"/>
      <c r="BZ259" s="3972"/>
      <c r="CA259" s="3971"/>
      <c r="CB259" s="3967"/>
      <c r="CC259" s="3967"/>
      <c r="CD259" s="3972"/>
      <c r="CE259" s="3971"/>
      <c r="CF259" s="3967">
        <f t="shared" ref="CF259:CL259" si="543">+CF257/CE257-1</f>
        <v>1.7543859649122862E-2</v>
      </c>
      <c r="CG259" s="3967">
        <f t="shared" si="543"/>
        <v>-2.8735632183908066E-2</v>
      </c>
      <c r="CH259" s="3972">
        <f t="shared" si="543"/>
        <v>2.3668639053254337E-2</v>
      </c>
      <c r="CI259" s="3967">
        <f t="shared" si="543"/>
        <v>-6.3583815028901758E-2</v>
      </c>
      <c r="CJ259" s="3967">
        <f t="shared" si="543"/>
        <v>-6.1728395061728669E-3</v>
      </c>
      <c r="CK259" s="3967">
        <f t="shared" si="543"/>
        <v>-6.2111801242236142E-3</v>
      </c>
      <c r="CL259" s="3972">
        <f t="shared" si="543"/>
        <v>-1.2499999999999956E-2</v>
      </c>
      <c r="CM259" s="3966"/>
      <c r="CN259" s="3967"/>
      <c r="CO259" s="3967"/>
      <c r="CP259" s="3972"/>
      <c r="CQ259" s="3975"/>
      <c r="CR259" s="3966"/>
      <c r="CS259" s="3966"/>
      <c r="CT259" s="3973"/>
    </row>
    <row r="260" spans="1:98" hidden="1" outlineLevel="2">
      <c r="A260" s="2053" t="str">
        <f>+A187</f>
        <v>Data integration</v>
      </c>
      <c r="B260" s="3960"/>
      <c r="C260" s="3960"/>
      <c r="D260" s="3960"/>
      <c r="E260" s="3960"/>
      <c r="F260" s="3960"/>
      <c r="G260" s="3960"/>
      <c r="H260" s="3960"/>
      <c r="I260" s="3960"/>
      <c r="J260" s="3960"/>
      <c r="K260" s="3960"/>
      <c r="L260" s="3960"/>
      <c r="M260" s="3960"/>
      <c r="N260" s="3960"/>
      <c r="O260" s="3967"/>
      <c r="P260" s="3967"/>
      <c r="Q260" s="2231">
        <f>+Q389</f>
        <v>0</v>
      </c>
      <c r="R260" s="2231">
        <f>+R389</f>
        <v>3</v>
      </c>
      <c r="S260" s="2231"/>
      <c r="T260" s="2231"/>
      <c r="U260" s="2231"/>
      <c r="V260" s="2231"/>
      <c r="W260" s="2231"/>
      <c r="X260" s="2231"/>
      <c r="Y260" s="2231"/>
      <c r="Z260" s="2231"/>
      <c r="AA260" s="2231"/>
      <c r="AB260" s="2231"/>
      <c r="AC260" s="2231"/>
      <c r="AD260" s="2231"/>
      <c r="AE260" s="2231"/>
      <c r="AF260" s="2231"/>
      <c r="AG260" s="3920"/>
      <c r="AH260" s="3921"/>
      <c r="AI260" s="3960"/>
      <c r="AJ260" s="3960"/>
      <c r="AK260" s="3960"/>
      <c r="AL260" s="3960"/>
      <c r="AM260" s="3960"/>
      <c r="AN260" s="3960"/>
      <c r="AO260" s="3960"/>
      <c r="AP260" s="3960"/>
      <c r="AQ260" s="3960"/>
      <c r="AR260" s="3960"/>
      <c r="AS260" s="3960"/>
      <c r="AT260" s="3960"/>
      <c r="AU260" s="3960"/>
      <c r="AV260" s="3960"/>
      <c r="AW260" s="3960"/>
      <c r="AX260" s="3960"/>
      <c r="AY260" s="3960"/>
      <c r="AZ260" s="3960"/>
      <c r="BA260" s="3960"/>
      <c r="BB260" s="3960"/>
      <c r="BC260" s="3961"/>
      <c r="BD260" s="3962"/>
      <c r="BE260" s="3962"/>
      <c r="BF260" s="3962"/>
      <c r="BG260" s="3961"/>
      <c r="BH260" s="3962"/>
      <c r="BI260" s="3962"/>
      <c r="BJ260" s="3962"/>
      <c r="BK260" s="2051"/>
      <c r="BL260" s="3966"/>
      <c r="BM260" s="3966"/>
      <c r="BN260" s="3966"/>
      <c r="BO260" s="3968"/>
      <c r="BP260" s="3966"/>
      <c r="BQ260" s="3966"/>
      <c r="BR260" s="3973"/>
      <c r="BS260" s="3974"/>
      <c r="BT260" s="3966"/>
      <c r="BU260" s="3966"/>
      <c r="BV260" s="3973"/>
      <c r="BW260" s="3975"/>
      <c r="BX260" s="3966"/>
      <c r="BY260" s="3966"/>
      <c r="BZ260" s="3973"/>
      <c r="CA260" s="3975"/>
      <c r="CB260" s="3966"/>
      <c r="CC260" s="3966"/>
      <c r="CD260" s="3973"/>
      <c r="CE260" s="2230">
        <f t="shared" ref="CE260:CL260" si="544">+CE389</f>
        <v>0</v>
      </c>
      <c r="CF260" s="2231">
        <f t="shared" si="544"/>
        <v>0</v>
      </c>
      <c r="CG260" s="2231">
        <f t="shared" si="544"/>
        <v>0</v>
      </c>
      <c r="CH260" s="2232">
        <f t="shared" si="544"/>
        <v>0</v>
      </c>
      <c r="CI260" s="2231">
        <f t="shared" si="544"/>
        <v>0</v>
      </c>
      <c r="CJ260" s="2231">
        <f t="shared" si="544"/>
        <v>1</v>
      </c>
      <c r="CK260" s="2231">
        <f t="shared" si="544"/>
        <v>2</v>
      </c>
      <c r="CL260" s="2232">
        <f t="shared" si="544"/>
        <v>0</v>
      </c>
      <c r="CM260" s="2067"/>
      <c r="CN260" s="2231"/>
      <c r="CO260" s="2231"/>
      <c r="CP260" s="2232"/>
      <c r="CQ260" s="2050"/>
      <c r="CR260" s="2067"/>
      <c r="CS260" s="2067"/>
      <c r="CT260" s="2582"/>
    </row>
    <row r="261" spans="1:98" ht="6" hidden="1" customHeight="1" outlineLevel="2">
      <c r="A261" s="4004"/>
      <c r="B261" s="3960"/>
      <c r="C261" s="3960"/>
      <c r="D261" s="3960"/>
      <c r="E261" s="3960"/>
      <c r="F261" s="3960"/>
      <c r="G261" s="3960"/>
      <c r="H261" s="3960"/>
      <c r="I261" s="3960"/>
      <c r="J261" s="3960"/>
      <c r="K261" s="3960"/>
      <c r="L261" s="3960"/>
      <c r="M261" s="3960"/>
      <c r="N261" s="3960"/>
      <c r="O261" s="3967"/>
      <c r="P261" s="3967"/>
      <c r="Q261" s="2231"/>
      <c r="R261" s="2231"/>
      <c r="S261" s="2231"/>
      <c r="T261" s="2231"/>
      <c r="U261" s="2231"/>
      <c r="V261" s="2231"/>
      <c r="W261" s="2231"/>
      <c r="X261" s="2231"/>
      <c r="Y261" s="2231"/>
      <c r="Z261" s="2231"/>
      <c r="AA261" s="2231"/>
      <c r="AB261" s="2231"/>
      <c r="AC261" s="2231"/>
      <c r="AD261" s="2231"/>
      <c r="AE261" s="2231"/>
      <c r="AF261" s="2231"/>
      <c r="AG261" s="3920"/>
      <c r="AH261" s="3921"/>
      <c r="AI261" s="3960"/>
      <c r="AJ261" s="3960"/>
      <c r="AK261" s="3960"/>
      <c r="AL261" s="3960"/>
      <c r="AM261" s="3960"/>
      <c r="AN261" s="3960"/>
      <c r="AO261" s="3960"/>
      <c r="AP261" s="3960"/>
      <c r="AQ261" s="3960"/>
      <c r="AR261" s="3960"/>
      <c r="AS261" s="3960"/>
      <c r="AT261" s="3960"/>
      <c r="AU261" s="3960"/>
      <c r="AV261" s="3960"/>
      <c r="AW261" s="3960"/>
      <c r="AX261" s="3960"/>
      <c r="AY261" s="3960"/>
      <c r="AZ261" s="3960"/>
      <c r="BA261" s="3960"/>
      <c r="BB261" s="3960"/>
      <c r="BC261" s="3961"/>
      <c r="BD261" s="3962"/>
      <c r="BE261" s="3962"/>
      <c r="BF261" s="3962"/>
      <c r="BG261" s="3961"/>
      <c r="BH261" s="3962"/>
      <c r="BI261" s="3962"/>
      <c r="BJ261" s="3962"/>
      <c r="BK261" s="2051"/>
      <c r="BL261" s="3966"/>
      <c r="BM261" s="3966"/>
      <c r="BN261" s="3966"/>
      <c r="BO261" s="3968"/>
      <c r="BP261" s="3966"/>
      <c r="BQ261" s="3966"/>
      <c r="BR261" s="3966"/>
      <c r="BS261" s="3974"/>
      <c r="BT261" s="3966"/>
      <c r="BU261" s="3966"/>
      <c r="BV261" s="3973"/>
      <c r="BW261" s="3975"/>
      <c r="BX261" s="3966"/>
      <c r="BY261" s="3966"/>
      <c r="BZ261" s="3973"/>
      <c r="CA261" s="3966"/>
      <c r="CB261" s="3966"/>
      <c r="CC261" s="3966"/>
      <c r="CD261" s="3973"/>
      <c r="CE261" s="2231"/>
      <c r="CF261" s="2231"/>
      <c r="CG261" s="2231"/>
      <c r="CH261" s="2232"/>
      <c r="CI261" s="2231"/>
      <c r="CJ261" s="2231"/>
      <c r="CK261" s="2231"/>
      <c r="CL261" s="2232"/>
      <c r="CM261" s="2067"/>
      <c r="CN261" s="2231"/>
      <c r="CO261" s="2231"/>
      <c r="CP261" s="2232"/>
      <c r="CQ261" s="2050"/>
      <c r="CR261" s="2067"/>
      <c r="CS261" s="2067"/>
      <c r="CT261" s="2582"/>
    </row>
    <row r="262" spans="1:98" hidden="1" outlineLevel="2">
      <c r="A262" s="2053" t="s">
        <v>1686</v>
      </c>
      <c r="B262" s="3960"/>
      <c r="C262" s="3960"/>
      <c r="D262" s="3960"/>
      <c r="E262" s="3960"/>
      <c r="F262" s="3960"/>
      <c r="G262" s="3960"/>
      <c r="H262" s="3960"/>
      <c r="I262" s="3960"/>
      <c r="J262" s="3960"/>
      <c r="K262" s="3960"/>
      <c r="L262" s="3960"/>
      <c r="M262" s="3960"/>
      <c r="N262" s="3960"/>
      <c r="O262" s="3967"/>
      <c r="P262" s="3967"/>
      <c r="Q262" s="2231">
        <f>+Q260+Q257</f>
        <v>687</v>
      </c>
      <c r="R262" s="2231">
        <f>+R260+R257</f>
        <v>644</v>
      </c>
      <c r="S262" s="2231"/>
      <c r="T262" s="2231"/>
      <c r="U262" s="2231"/>
      <c r="V262" s="2231"/>
      <c r="W262" s="2231"/>
      <c r="X262" s="2231"/>
      <c r="Y262" s="2231"/>
      <c r="Z262" s="2231"/>
      <c r="AA262" s="2231"/>
      <c r="AB262" s="2231"/>
      <c r="AC262" s="2231"/>
      <c r="AD262" s="2231"/>
      <c r="AE262" s="2231"/>
      <c r="AF262" s="2231"/>
      <c r="AG262" s="3920"/>
      <c r="AH262" s="3921"/>
      <c r="AI262" s="3960"/>
      <c r="AJ262" s="3960"/>
      <c r="AK262" s="3960"/>
      <c r="AL262" s="3960"/>
      <c r="AM262" s="3960"/>
      <c r="AN262" s="3960"/>
      <c r="AO262" s="3960"/>
      <c r="AP262" s="3960"/>
      <c r="AQ262" s="3960"/>
      <c r="AR262" s="3960"/>
      <c r="AS262" s="3960"/>
      <c r="AT262" s="3960"/>
      <c r="AU262" s="3960"/>
      <c r="AV262" s="3960"/>
      <c r="AW262" s="3960"/>
      <c r="AX262" s="3960"/>
      <c r="AY262" s="3960"/>
      <c r="AZ262" s="3960"/>
      <c r="BA262" s="3960"/>
      <c r="BB262" s="3960"/>
      <c r="BC262" s="3961"/>
      <c r="BD262" s="3962"/>
      <c r="BE262" s="3962"/>
      <c r="BF262" s="3962"/>
      <c r="BG262" s="3961"/>
      <c r="BH262" s="3962"/>
      <c r="BI262" s="3962"/>
      <c r="BJ262" s="3962"/>
      <c r="BK262" s="2051"/>
      <c r="BL262" s="3966"/>
      <c r="BM262" s="3966"/>
      <c r="BN262" s="3966"/>
      <c r="BO262" s="3968"/>
      <c r="BP262" s="3966"/>
      <c r="BQ262" s="3966"/>
      <c r="BR262" s="3966"/>
      <c r="BS262" s="3974"/>
      <c r="BT262" s="3966"/>
      <c r="BU262" s="3966"/>
      <c r="BV262" s="3973"/>
      <c r="BW262" s="3975"/>
      <c r="BX262" s="3966"/>
      <c r="BY262" s="3966"/>
      <c r="BZ262" s="3973"/>
      <c r="CA262" s="3966"/>
      <c r="CB262" s="3966"/>
      <c r="CC262" s="3966"/>
      <c r="CD262" s="3973"/>
      <c r="CE262" s="2231">
        <f t="shared" ref="CE262:CL262" si="545">+CE260+CE257</f>
        <v>171</v>
      </c>
      <c r="CF262" s="2231">
        <f t="shared" si="545"/>
        <v>174</v>
      </c>
      <c r="CG262" s="2231">
        <f t="shared" si="545"/>
        <v>169</v>
      </c>
      <c r="CH262" s="2232">
        <f t="shared" si="545"/>
        <v>173</v>
      </c>
      <c r="CI262" s="2231">
        <f t="shared" si="545"/>
        <v>162</v>
      </c>
      <c r="CJ262" s="2231">
        <f t="shared" si="545"/>
        <v>162</v>
      </c>
      <c r="CK262" s="2231">
        <f t="shared" si="545"/>
        <v>162</v>
      </c>
      <c r="CL262" s="2232">
        <f t="shared" si="545"/>
        <v>158</v>
      </c>
      <c r="CM262" s="2067"/>
      <c r="CN262" s="2231"/>
      <c r="CO262" s="2231"/>
      <c r="CP262" s="2232"/>
      <c r="CQ262" s="2050"/>
      <c r="CR262" s="2067"/>
      <c r="CS262" s="2067"/>
      <c r="CT262" s="2582"/>
    </row>
    <row r="263" spans="1:98" hidden="1" outlineLevel="2">
      <c r="A263" s="3965" t="s">
        <v>34</v>
      </c>
      <c r="B263" s="114"/>
      <c r="C263" s="114"/>
      <c r="D263" s="114"/>
      <c r="E263" s="114"/>
      <c r="F263" s="114"/>
      <c r="G263" s="114"/>
      <c r="H263" s="114"/>
      <c r="I263" s="114"/>
      <c r="J263" s="114"/>
      <c r="K263" s="114"/>
      <c r="L263" s="150"/>
      <c r="M263" s="150"/>
      <c r="N263" s="150"/>
      <c r="O263" s="3966"/>
      <c r="P263" s="3966"/>
      <c r="Q263" s="3966"/>
      <c r="R263" s="3966">
        <f>+R262/Q262-1</f>
        <v>-6.2590975254730674E-2</v>
      </c>
      <c r="S263" s="3966"/>
      <c r="T263" s="3966"/>
      <c r="U263" s="3966"/>
      <c r="V263" s="3966"/>
      <c r="W263" s="3966"/>
      <c r="X263" s="3966"/>
      <c r="Y263" s="3966"/>
      <c r="Z263" s="3966"/>
      <c r="AA263" s="3966"/>
      <c r="AB263" s="3966"/>
      <c r="AC263" s="3966"/>
      <c r="AD263" s="3966"/>
      <c r="AE263" s="3966"/>
      <c r="AF263" s="3966"/>
      <c r="AG263" s="2553"/>
      <c r="AH263" s="2714"/>
      <c r="AI263" s="114"/>
      <c r="AJ263" s="114"/>
      <c r="AK263" s="114"/>
      <c r="AL263" s="114"/>
      <c r="AM263" s="114"/>
      <c r="AN263" s="114"/>
      <c r="AO263" s="114"/>
      <c r="AP263" s="114"/>
      <c r="AQ263" s="114"/>
      <c r="AR263" s="114"/>
      <c r="AS263" s="114"/>
      <c r="AT263" s="114"/>
      <c r="AU263" s="114"/>
      <c r="AV263" s="114"/>
      <c r="AW263" s="114"/>
      <c r="AX263" s="114"/>
      <c r="AY263" s="114"/>
      <c r="AZ263" s="114"/>
      <c r="BA263" s="114"/>
      <c r="BB263" s="114"/>
      <c r="BC263" s="2050"/>
      <c r="BD263" s="2067"/>
      <c r="BE263" s="2067"/>
      <c r="BF263" s="2067"/>
      <c r="BG263" s="2050"/>
      <c r="BH263" s="2067"/>
      <c r="BI263" s="2067"/>
      <c r="BJ263" s="2067"/>
      <c r="BK263" s="2045"/>
      <c r="BL263" s="2047"/>
      <c r="BM263" s="2047"/>
      <c r="BN263" s="2047"/>
      <c r="BO263" s="3971"/>
      <c r="BP263" s="3967"/>
      <c r="BQ263" s="3967"/>
      <c r="BR263" s="3967"/>
      <c r="BS263" s="3971"/>
      <c r="BT263" s="3967"/>
      <c r="BU263" s="3967"/>
      <c r="BV263" s="3967"/>
      <c r="BW263" s="3971"/>
      <c r="BX263" s="3967"/>
      <c r="BY263" s="3967"/>
      <c r="BZ263" s="3972"/>
      <c r="CA263" s="3971"/>
      <c r="CB263" s="3949"/>
      <c r="CC263" s="3949"/>
      <c r="CD263" s="3950"/>
      <c r="CE263" s="3951"/>
      <c r="CF263" s="3967"/>
      <c r="CG263" s="3967"/>
      <c r="CH263" s="3972"/>
      <c r="CI263" s="3967">
        <f>+CI262/CE262-1</f>
        <v>-5.2631578947368474E-2</v>
      </c>
      <c r="CJ263" s="3967">
        <f>+CJ262/CF262-1</f>
        <v>-6.8965517241379337E-2</v>
      </c>
      <c r="CK263" s="3967">
        <f>+CK262/CG262-1</f>
        <v>-4.1420118343195256E-2</v>
      </c>
      <c r="CL263" s="3972">
        <f>+CL262/CH262-1</f>
        <v>-8.6705202312138741E-2</v>
      </c>
      <c r="CM263" s="3967"/>
      <c r="CN263" s="3967"/>
      <c r="CO263" s="3967"/>
      <c r="CP263" s="3972"/>
      <c r="CQ263" s="3971"/>
      <c r="CR263" s="3967"/>
      <c r="CS263" s="3967"/>
      <c r="CT263" s="3972"/>
    </row>
    <row r="264" spans="1:98" hidden="1" outlineLevel="2">
      <c r="A264" s="3965" t="s">
        <v>947</v>
      </c>
      <c r="B264" s="3960"/>
      <c r="C264" s="3960"/>
      <c r="D264" s="3960"/>
      <c r="E264" s="3960"/>
      <c r="F264" s="3960"/>
      <c r="G264" s="3960"/>
      <c r="H264" s="3960"/>
      <c r="I264" s="3960"/>
      <c r="J264" s="3960"/>
      <c r="K264" s="3960"/>
      <c r="L264" s="3960"/>
      <c r="M264" s="3960"/>
      <c r="N264" s="3939"/>
      <c r="O264" s="3966"/>
      <c r="P264" s="3966"/>
      <c r="Q264" s="3966"/>
      <c r="R264" s="3966"/>
      <c r="S264" s="3966"/>
      <c r="T264" s="3966"/>
      <c r="U264" s="2068"/>
      <c r="V264" s="2068"/>
      <c r="W264" s="2068"/>
      <c r="X264" s="2068"/>
      <c r="Y264" s="2068"/>
      <c r="Z264" s="2068"/>
      <c r="AA264" s="2068"/>
      <c r="AB264" s="2068"/>
      <c r="AC264" s="2068"/>
      <c r="AD264" s="2068"/>
      <c r="AE264" s="2068"/>
      <c r="AF264" s="2068"/>
      <c r="AG264" s="2553"/>
      <c r="AH264" s="3921"/>
      <c r="AI264" s="3960"/>
      <c r="AJ264" s="3960"/>
      <c r="AK264" s="3960"/>
      <c r="AL264" s="3960"/>
      <c r="AM264" s="3960"/>
      <c r="AN264" s="3960"/>
      <c r="AO264" s="3960"/>
      <c r="AP264" s="3960"/>
      <c r="AQ264" s="3960"/>
      <c r="AR264" s="3960"/>
      <c r="AS264" s="3960"/>
      <c r="AT264" s="3960"/>
      <c r="AU264" s="3960"/>
      <c r="AV264" s="3960"/>
      <c r="AW264" s="3960"/>
      <c r="AX264" s="3960"/>
      <c r="AY264" s="3960"/>
      <c r="AZ264" s="3960"/>
      <c r="BA264" s="3960"/>
      <c r="BB264" s="3960"/>
      <c r="BC264" s="3961"/>
      <c r="BD264" s="3962"/>
      <c r="BE264" s="3962"/>
      <c r="BF264" s="3962"/>
      <c r="BG264" s="3961"/>
      <c r="BH264" s="3962"/>
      <c r="BI264" s="3962"/>
      <c r="BJ264" s="3962"/>
      <c r="BK264" s="2051"/>
      <c r="BL264" s="3967"/>
      <c r="BM264" s="3967"/>
      <c r="BN264" s="3967"/>
      <c r="BO264" s="3968"/>
      <c r="BP264" s="3969"/>
      <c r="BQ264" s="3969"/>
      <c r="BR264" s="3970"/>
      <c r="BS264" s="3968"/>
      <c r="BT264" s="3969"/>
      <c r="BU264" s="3969"/>
      <c r="BV264" s="3969"/>
      <c r="BW264" s="3971"/>
      <c r="BX264" s="3967"/>
      <c r="BY264" s="3967"/>
      <c r="BZ264" s="3972"/>
      <c r="CA264" s="3971"/>
      <c r="CB264" s="3967"/>
      <c r="CC264" s="3967"/>
      <c r="CD264" s="3972"/>
      <c r="CE264" s="3971"/>
      <c r="CF264" s="3967">
        <f t="shared" ref="CF264:CL264" si="546">+CF262/CE262-1</f>
        <v>1.7543859649122862E-2</v>
      </c>
      <c r="CG264" s="3967">
        <f t="shared" si="546"/>
        <v>-2.8735632183908066E-2</v>
      </c>
      <c r="CH264" s="3972">
        <f t="shared" si="546"/>
        <v>2.3668639053254337E-2</v>
      </c>
      <c r="CI264" s="3967">
        <f t="shared" si="546"/>
        <v>-6.3583815028901758E-2</v>
      </c>
      <c r="CJ264" s="3967">
        <f t="shared" si="546"/>
        <v>0</v>
      </c>
      <c r="CK264" s="3967">
        <f t="shared" si="546"/>
        <v>0</v>
      </c>
      <c r="CL264" s="3972">
        <f t="shared" si="546"/>
        <v>-2.4691358024691357E-2</v>
      </c>
      <c r="CM264" s="3966"/>
      <c r="CN264" s="3967"/>
      <c r="CO264" s="3967"/>
      <c r="CP264" s="3972"/>
      <c r="CQ264" s="3975"/>
      <c r="CR264" s="3966"/>
      <c r="CS264" s="3966"/>
      <c r="CT264" s="3973"/>
    </row>
    <row r="265" spans="1:98" ht="12.75" hidden="1" customHeight="1" outlineLevel="2">
      <c r="A265" s="342" t="s">
        <v>288</v>
      </c>
      <c r="B265" s="3954"/>
      <c r="C265" s="3954"/>
      <c r="D265" s="3954"/>
      <c r="E265" s="3954"/>
      <c r="F265" s="3954"/>
      <c r="G265" s="3954"/>
      <c r="H265" s="3954"/>
      <c r="I265" s="3954"/>
      <c r="J265" s="3954"/>
      <c r="K265" s="3954"/>
      <c r="L265" s="3954"/>
      <c r="M265" s="3954"/>
      <c r="N265" s="3954"/>
      <c r="O265" s="3954"/>
      <c r="P265" s="3954"/>
      <c r="Q265" s="3954"/>
      <c r="R265" s="3954"/>
      <c r="S265" s="3954"/>
      <c r="T265" s="3954"/>
      <c r="U265" s="3954"/>
      <c r="V265" s="3954"/>
      <c r="W265" s="3954"/>
      <c r="X265" s="3954"/>
      <c r="Y265" s="3954"/>
      <c r="Z265" s="3954"/>
      <c r="AA265" s="3954"/>
      <c r="AB265" s="3954"/>
      <c r="AC265" s="3954"/>
      <c r="AD265" s="3954"/>
      <c r="AE265" s="3954"/>
      <c r="AF265" s="3954"/>
      <c r="AG265" s="2553"/>
      <c r="AH265" s="3921"/>
      <c r="AI265" s="3954"/>
      <c r="AJ265" s="3954"/>
      <c r="AK265" s="3954"/>
      <c r="AL265" s="3954"/>
      <c r="AM265" s="3954"/>
      <c r="AN265" s="3954"/>
      <c r="AO265" s="3954"/>
      <c r="AP265" s="3954"/>
      <c r="AQ265" s="3954"/>
      <c r="AR265" s="3954"/>
      <c r="AS265" s="3954"/>
      <c r="AT265" s="3954"/>
      <c r="AU265" s="3954"/>
      <c r="AV265" s="3954"/>
      <c r="AW265" s="3954"/>
      <c r="AX265" s="3954"/>
      <c r="AY265" s="3954"/>
      <c r="AZ265" s="3954"/>
      <c r="BA265" s="3954"/>
      <c r="BB265" s="3954"/>
      <c r="BC265" s="3955"/>
      <c r="BD265" s="3956"/>
      <c r="BE265" s="3956"/>
      <c r="BF265" s="3956"/>
      <c r="BG265" s="3955"/>
      <c r="BH265" s="3956"/>
      <c r="BI265" s="3956"/>
      <c r="BJ265" s="3956"/>
      <c r="BK265" s="3957"/>
      <c r="BL265" s="3954"/>
      <c r="BM265" s="3954"/>
      <c r="BN265" s="3954"/>
      <c r="BO265" s="3957"/>
      <c r="BP265" s="3954"/>
      <c r="BQ265" s="3954"/>
      <c r="BR265" s="3954"/>
      <c r="BS265" s="2628"/>
      <c r="BT265" s="2516" t="s">
        <v>282</v>
      </c>
      <c r="BU265" s="3954"/>
      <c r="BV265" s="3954"/>
      <c r="BW265" s="3957"/>
      <c r="BX265" s="3954"/>
      <c r="BY265" s="3954"/>
      <c r="BZ265" s="3958"/>
      <c r="CA265" s="3954"/>
      <c r="CB265" s="3954"/>
      <c r="CC265" s="3954"/>
      <c r="CD265" s="3958"/>
      <c r="CE265" s="3954"/>
      <c r="CF265" s="3954"/>
      <c r="CG265" s="3954"/>
      <c r="CH265" s="3958"/>
      <c r="CI265" s="3954"/>
      <c r="CJ265" s="3954"/>
      <c r="CK265" s="3954"/>
      <c r="CL265" s="3958"/>
      <c r="CM265" s="3954"/>
      <c r="CN265" s="3954"/>
      <c r="CO265" s="3954"/>
      <c r="CP265" s="3958"/>
      <c r="CQ265" s="3957"/>
      <c r="CR265" s="3954"/>
      <c r="CS265" s="3954"/>
      <c r="CT265" s="3958"/>
    </row>
    <row r="266" spans="1:98" ht="12.75" hidden="1" customHeight="1" outlineLevel="2">
      <c r="A266" s="3959" t="s">
        <v>142</v>
      </c>
      <c r="B266" s="3960"/>
      <c r="C266" s="3960"/>
      <c r="D266" s="3960"/>
      <c r="E266" s="3960"/>
      <c r="F266" s="3960"/>
      <c r="G266" s="3960"/>
      <c r="H266" s="3960"/>
      <c r="I266" s="3960"/>
      <c r="J266" s="3960"/>
      <c r="K266" s="3960"/>
      <c r="L266" s="3960"/>
      <c r="M266" s="150">
        <f>+SUM(BO266:BR266)</f>
        <v>542</v>
      </c>
      <c r="N266" s="150">
        <f>+SUM(BS266:BV266)</f>
        <v>596</v>
      </c>
      <c r="O266" s="150">
        <f>+SUM(BW266:BZ266)</f>
        <v>621</v>
      </c>
      <c r="P266" s="3960"/>
      <c r="Q266" s="3960"/>
      <c r="R266" s="3960"/>
      <c r="S266" s="3960"/>
      <c r="T266" s="3960"/>
      <c r="U266" s="3960"/>
      <c r="V266" s="3960"/>
      <c r="W266" s="3960"/>
      <c r="X266" s="3960"/>
      <c r="Y266" s="3960"/>
      <c r="Z266" s="3960"/>
      <c r="AA266" s="3960"/>
      <c r="AB266" s="3960"/>
      <c r="AC266" s="3960"/>
      <c r="AD266" s="3960"/>
      <c r="AE266" s="3960"/>
      <c r="AF266" s="3960"/>
      <c r="AG266" s="2553"/>
      <c r="AH266" s="3921"/>
      <c r="AI266" s="3960"/>
      <c r="AJ266" s="3960"/>
      <c r="AK266" s="3960"/>
      <c r="AL266" s="3960"/>
      <c r="AM266" s="3960"/>
      <c r="AN266" s="3960"/>
      <c r="AO266" s="3960"/>
      <c r="AP266" s="3960"/>
      <c r="AQ266" s="3960"/>
      <c r="AR266" s="3960"/>
      <c r="AS266" s="3960"/>
      <c r="AT266" s="3960"/>
      <c r="AU266" s="3960"/>
      <c r="AV266" s="3960"/>
      <c r="AW266" s="3960"/>
      <c r="AX266" s="3960"/>
      <c r="AY266" s="3960"/>
      <c r="AZ266" s="3960"/>
      <c r="BA266" s="3960"/>
      <c r="BB266" s="3960"/>
      <c r="BC266" s="3961"/>
      <c r="BD266" s="3962"/>
      <c r="BE266" s="3962"/>
      <c r="BF266" s="3962"/>
      <c r="BG266" s="3961"/>
      <c r="BH266" s="3962"/>
      <c r="BI266" s="3962"/>
      <c r="BJ266" s="3962"/>
      <c r="BK266" s="3959"/>
      <c r="BL266" s="3960"/>
      <c r="BM266" s="3960"/>
      <c r="BN266" s="3960"/>
      <c r="BO266" s="2626">
        <v>137</v>
      </c>
      <c r="BP266" s="2054">
        <v>137</v>
      </c>
      <c r="BQ266" s="2054">
        <v>135</v>
      </c>
      <c r="BR266" s="2054">
        <v>133</v>
      </c>
      <c r="BS266" s="2618">
        <v>138</v>
      </c>
      <c r="BT266" s="2054">
        <v>151</v>
      </c>
      <c r="BU266" s="2054">
        <v>153</v>
      </c>
      <c r="BV266" s="2054">
        <v>154</v>
      </c>
      <c r="BW266" s="2618">
        <v>153</v>
      </c>
      <c r="BX266" s="2054">
        <v>155</v>
      </c>
      <c r="BY266" s="2054">
        <v>156</v>
      </c>
      <c r="BZ266" s="2586">
        <v>157</v>
      </c>
      <c r="CA266" s="2054">
        <v>158</v>
      </c>
      <c r="CB266" s="2054">
        <v>158</v>
      </c>
      <c r="CC266" s="2054">
        <v>158</v>
      </c>
      <c r="CD266" s="2586"/>
      <c r="CF266" s="2054"/>
      <c r="CH266" s="2586"/>
      <c r="CI266" s="2804"/>
      <c r="CJ266" s="2054"/>
      <c r="CK266" s="2054"/>
      <c r="CL266" s="2586"/>
      <c r="CN266" s="2054"/>
      <c r="CO266" s="2054"/>
      <c r="CP266" s="2586"/>
      <c r="CQ266" s="3933"/>
      <c r="CT266" s="3935"/>
    </row>
    <row r="267" spans="1:98" ht="12.75" hidden="1" customHeight="1" outlineLevel="2">
      <c r="A267" s="3965" t="s">
        <v>34</v>
      </c>
      <c r="B267" s="3960"/>
      <c r="C267" s="3960"/>
      <c r="D267" s="3960"/>
      <c r="E267" s="3960"/>
      <c r="F267" s="3960"/>
      <c r="G267" s="3960"/>
      <c r="H267" s="3960"/>
      <c r="I267" s="3960"/>
      <c r="J267" s="3960"/>
      <c r="K267" s="3960"/>
      <c r="L267" s="3960"/>
      <c r="M267" s="3960"/>
      <c r="N267" s="988">
        <f>N266/M266-1</f>
        <v>9.9630996309963082E-2</v>
      </c>
      <c r="O267" s="988">
        <f>O266/N266-1</f>
        <v>4.1946308724832182E-2</v>
      </c>
      <c r="P267" s="3960"/>
      <c r="Q267" s="3960"/>
      <c r="R267" s="3960"/>
      <c r="S267" s="3960"/>
      <c r="T267" s="3960"/>
      <c r="U267" s="3960"/>
      <c r="V267" s="3960"/>
      <c r="W267" s="3960"/>
      <c r="X267" s="3960"/>
      <c r="Y267" s="3960"/>
      <c r="Z267" s="3960"/>
      <c r="AA267" s="3960"/>
      <c r="AB267" s="3960"/>
      <c r="AC267" s="3960"/>
      <c r="AD267" s="3960"/>
      <c r="AE267" s="3960"/>
      <c r="AF267" s="3960"/>
      <c r="AG267" s="2553"/>
      <c r="AH267" s="3921"/>
      <c r="AI267" s="3960"/>
      <c r="AJ267" s="3960"/>
      <c r="AK267" s="3960"/>
      <c r="AL267" s="3960"/>
      <c r="AM267" s="3960"/>
      <c r="AN267" s="3960"/>
      <c r="AO267" s="3960"/>
      <c r="AP267" s="3960"/>
      <c r="AQ267" s="3960"/>
      <c r="AR267" s="3960"/>
      <c r="AS267" s="3960"/>
      <c r="AT267" s="3960"/>
      <c r="AU267" s="3960"/>
      <c r="AV267" s="3960"/>
      <c r="AW267" s="3960"/>
      <c r="AX267" s="3960"/>
      <c r="AY267" s="3960"/>
      <c r="AZ267" s="3960"/>
      <c r="BA267" s="3960"/>
      <c r="BB267" s="3960"/>
      <c r="BC267" s="3961"/>
      <c r="BD267" s="3962"/>
      <c r="BE267" s="3962"/>
      <c r="BF267" s="3962"/>
      <c r="BG267" s="3961"/>
      <c r="BH267" s="3962"/>
      <c r="BI267" s="3962"/>
      <c r="BJ267" s="3962"/>
      <c r="BK267" s="3959"/>
      <c r="BL267" s="3960"/>
      <c r="BM267" s="3960"/>
      <c r="BN267" s="3960"/>
      <c r="BO267" s="3959"/>
      <c r="BP267" s="3960"/>
      <c r="BQ267" s="3960"/>
      <c r="BR267" s="3960"/>
      <c r="BS267" s="990">
        <f t="shared" ref="BS267:CC267" si="547">BS266/BO266-1</f>
        <v>7.2992700729928028E-3</v>
      </c>
      <c r="BT267" s="988">
        <f t="shared" si="547"/>
        <v>0.10218978102189791</v>
      </c>
      <c r="BU267" s="988">
        <f t="shared" si="547"/>
        <v>0.1333333333333333</v>
      </c>
      <c r="BV267" s="988">
        <f t="shared" si="547"/>
        <v>0.15789473684210531</v>
      </c>
      <c r="BW267" s="990">
        <f t="shared" si="547"/>
        <v>0.10869565217391308</v>
      </c>
      <c r="BX267" s="988">
        <f t="shared" si="547"/>
        <v>2.6490066225165476E-2</v>
      </c>
      <c r="BY267" s="988">
        <f t="shared" si="547"/>
        <v>1.9607843137254832E-2</v>
      </c>
      <c r="BZ267" s="989">
        <f t="shared" si="547"/>
        <v>1.9480519480519431E-2</v>
      </c>
      <c r="CA267" s="988">
        <f t="shared" si="547"/>
        <v>3.2679738562091609E-2</v>
      </c>
      <c r="CB267" s="988">
        <f t="shared" si="547"/>
        <v>1.9354838709677358E-2</v>
      </c>
      <c r="CC267" s="988">
        <f t="shared" si="547"/>
        <v>1.2820512820512775E-2</v>
      </c>
      <c r="CD267" s="989"/>
      <c r="CF267" s="988"/>
      <c r="CH267" s="989"/>
      <c r="CI267" s="988"/>
      <c r="CJ267" s="988"/>
      <c r="CK267" s="988"/>
      <c r="CL267" s="989"/>
      <c r="CN267" s="988"/>
      <c r="CO267" s="988"/>
      <c r="CP267" s="989"/>
      <c r="CQ267" s="3933"/>
      <c r="CT267" s="3935"/>
    </row>
    <row r="268" spans="1:98" ht="12.75" hidden="1" customHeight="1" outlineLevel="2">
      <c r="A268" s="3965" t="s">
        <v>947</v>
      </c>
      <c r="B268" s="3960"/>
      <c r="C268" s="3960"/>
      <c r="D268" s="3960"/>
      <c r="E268" s="3960"/>
      <c r="F268" s="3960"/>
      <c r="G268" s="3960"/>
      <c r="H268" s="3960"/>
      <c r="I268" s="3960"/>
      <c r="J268" s="3960"/>
      <c r="K268" s="3960"/>
      <c r="L268" s="3960"/>
      <c r="M268" s="3960"/>
      <c r="N268" s="3960"/>
      <c r="O268" s="3960"/>
      <c r="P268" s="3960"/>
      <c r="Q268" s="3960"/>
      <c r="R268" s="3960"/>
      <c r="S268" s="3960"/>
      <c r="T268" s="3960"/>
      <c r="U268" s="3960"/>
      <c r="V268" s="3960"/>
      <c r="W268" s="3960"/>
      <c r="X268" s="3960"/>
      <c r="Y268" s="3960"/>
      <c r="Z268" s="3960"/>
      <c r="AA268" s="3960"/>
      <c r="AB268" s="3960"/>
      <c r="AC268" s="3960"/>
      <c r="AD268" s="3960"/>
      <c r="AE268" s="3960"/>
      <c r="AF268" s="3960"/>
      <c r="AG268" s="2553"/>
      <c r="AH268" s="3921"/>
      <c r="AI268" s="3960"/>
      <c r="AJ268" s="3960"/>
      <c r="AK268" s="3960"/>
      <c r="AL268" s="3960"/>
      <c r="AM268" s="3960"/>
      <c r="AN268" s="3960"/>
      <c r="AO268" s="3960"/>
      <c r="AP268" s="3960"/>
      <c r="AQ268" s="3960"/>
      <c r="AR268" s="3960"/>
      <c r="AS268" s="3960"/>
      <c r="AT268" s="3960"/>
      <c r="AU268" s="3960"/>
      <c r="AV268" s="3960"/>
      <c r="AW268" s="3960"/>
      <c r="AX268" s="3960"/>
      <c r="AY268" s="3960"/>
      <c r="AZ268" s="3960"/>
      <c r="BA268" s="3960"/>
      <c r="BB268" s="3960"/>
      <c r="BC268" s="3961"/>
      <c r="BD268" s="3962"/>
      <c r="BE268" s="3962"/>
      <c r="BF268" s="3962"/>
      <c r="BG268" s="3961"/>
      <c r="BH268" s="3962"/>
      <c r="BI268" s="3962"/>
      <c r="BJ268" s="3962"/>
      <c r="BK268" s="3959"/>
      <c r="BL268" s="3960"/>
      <c r="BM268" s="3960"/>
      <c r="BN268" s="3960"/>
      <c r="BO268" s="3959"/>
      <c r="BP268" s="3960"/>
      <c r="BQ268" s="3960"/>
      <c r="BR268" s="3960"/>
      <c r="BS268" s="990">
        <f t="shared" ref="BS268:CC268" si="548">BS266/BR266-1</f>
        <v>3.7593984962406068E-2</v>
      </c>
      <c r="BT268" s="988">
        <f t="shared" si="548"/>
        <v>9.4202898550724612E-2</v>
      </c>
      <c r="BU268" s="988">
        <f t="shared" si="548"/>
        <v>1.3245033112582849E-2</v>
      </c>
      <c r="BV268" s="988">
        <f t="shared" si="548"/>
        <v>6.5359477124182774E-3</v>
      </c>
      <c r="BW268" s="990">
        <f t="shared" si="548"/>
        <v>-6.4935064935064402E-3</v>
      </c>
      <c r="BX268" s="988">
        <f t="shared" si="548"/>
        <v>1.3071895424836555E-2</v>
      </c>
      <c r="BY268" s="988">
        <f t="shared" si="548"/>
        <v>6.4516129032257119E-3</v>
      </c>
      <c r="BZ268" s="989">
        <f t="shared" si="548"/>
        <v>6.4102564102563875E-3</v>
      </c>
      <c r="CA268" s="988">
        <f t="shared" si="548"/>
        <v>6.3694267515923553E-3</v>
      </c>
      <c r="CB268" s="988">
        <f t="shared" si="548"/>
        <v>0</v>
      </c>
      <c r="CC268" s="988">
        <f t="shared" si="548"/>
        <v>0</v>
      </c>
      <c r="CD268" s="989"/>
      <c r="CF268" s="988"/>
      <c r="CH268" s="989"/>
      <c r="CI268" s="988"/>
      <c r="CJ268" s="988"/>
      <c r="CK268" s="988"/>
      <c r="CL268" s="989"/>
      <c r="CN268" s="988"/>
      <c r="CO268" s="988"/>
      <c r="CP268" s="989"/>
      <c r="CQ268" s="3933"/>
      <c r="CT268" s="3935"/>
    </row>
    <row r="269" spans="1:98" ht="12.75" hidden="1" customHeight="1" outlineLevel="2">
      <c r="A269" s="3959" t="s">
        <v>143</v>
      </c>
      <c r="B269" s="3960"/>
      <c r="C269" s="3960"/>
      <c r="D269" s="3960"/>
      <c r="E269" s="3960"/>
      <c r="F269" s="3960"/>
      <c r="G269" s="3960"/>
      <c r="H269" s="3960"/>
      <c r="I269" s="3960"/>
      <c r="J269" s="3960"/>
      <c r="K269" s="3960"/>
      <c r="L269" s="3960"/>
      <c r="M269" s="150">
        <f>+SUM(BO269:BR269)</f>
        <v>406</v>
      </c>
      <c r="N269" s="150">
        <f>+SUM(BS269:BV269)</f>
        <v>454</v>
      </c>
      <c r="O269" s="150">
        <f>+SUM(BW269:BZ269)</f>
        <v>533</v>
      </c>
      <c r="P269" s="3960"/>
      <c r="Q269" s="3960"/>
      <c r="R269" s="3960"/>
      <c r="S269" s="3960"/>
      <c r="T269" s="3960"/>
      <c r="U269" s="3960"/>
      <c r="V269" s="3960"/>
      <c r="W269" s="3960"/>
      <c r="X269" s="3960"/>
      <c r="Y269" s="3960"/>
      <c r="Z269" s="3960"/>
      <c r="AA269" s="3960"/>
      <c r="AB269" s="3960"/>
      <c r="AC269" s="3960"/>
      <c r="AD269" s="3960"/>
      <c r="AE269" s="3960"/>
      <c r="AF269" s="3960"/>
      <c r="AG269" s="2553"/>
      <c r="AH269" s="3921"/>
      <c r="AI269" s="3960"/>
      <c r="AJ269" s="3960"/>
      <c r="AK269" s="3960"/>
      <c r="AL269" s="3960"/>
      <c r="AM269" s="3960"/>
      <c r="AN269" s="3960"/>
      <c r="AO269" s="3960"/>
      <c r="AP269" s="3960"/>
      <c r="AQ269" s="3960"/>
      <c r="AR269" s="3960"/>
      <c r="AS269" s="3960"/>
      <c r="AT269" s="3960"/>
      <c r="AU269" s="3960"/>
      <c r="AV269" s="3960"/>
      <c r="AW269" s="3960"/>
      <c r="AX269" s="3960"/>
      <c r="AY269" s="3960"/>
      <c r="AZ269" s="3960"/>
      <c r="BA269" s="3960"/>
      <c r="BB269" s="3960"/>
      <c r="BC269" s="3961"/>
      <c r="BD269" s="3962"/>
      <c r="BE269" s="3962"/>
      <c r="BF269" s="3962"/>
      <c r="BG269" s="3961"/>
      <c r="BH269" s="3962"/>
      <c r="BI269" s="3962"/>
      <c r="BJ269" s="3962"/>
      <c r="BK269" s="3959"/>
      <c r="BL269" s="3960"/>
      <c r="BM269" s="3960"/>
      <c r="BN269" s="3960"/>
      <c r="BO269" s="2626">
        <v>99</v>
      </c>
      <c r="BP269" s="2054">
        <v>101</v>
      </c>
      <c r="BQ269" s="2054">
        <v>103</v>
      </c>
      <c r="BR269" s="2054">
        <v>103</v>
      </c>
      <c r="BS269" s="2618">
        <v>104</v>
      </c>
      <c r="BT269" s="2054">
        <v>111</v>
      </c>
      <c r="BU269" s="2054">
        <v>113</v>
      </c>
      <c r="BV269" s="2054">
        <v>126</v>
      </c>
      <c r="BW269" s="2618">
        <v>126</v>
      </c>
      <c r="BX269" s="2054">
        <v>135</v>
      </c>
      <c r="BY269" s="2054">
        <v>129</v>
      </c>
      <c r="BZ269" s="2586">
        <v>143</v>
      </c>
      <c r="CA269" s="2054">
        <v>142</v>
      </c>
      <c r="CB269" s="2054">
        <v>142</v>
      </c>
      <c r="CC269" s="2054">
        <v>142</v>
      </c>
      <c r="CD269" s="2586"/>
      <c r="CF269" s="2054"/>
      <c r="CH269" s="2586"/>
      <c r="CI269" s="2804"/>
      <c r="CJ269" s="2054"/>
      <c r="CK269" s="2054"/>
      <c r="CL269" s="2586"/>
      <c r="CN269" s="2054"/>
      <c r="CO269" s="2054"/>
      <c r="CP269" s="2586"/>
      <c r="CQ269" s="3933"/>
      <c r="CT269" s="3935"/>
    </row>
    <row r="270" spans="1:98" ht="12.75" hidden="1" customHeight="1" outlineLevel="2">
      <c r="A270" s="3965" t="s">
        <v>34</v>
      </c>
      <c r="B270" s="3960"/>
      <c r="C270" s="3960"/>
      <c r="D270" s="3960"/>
      <c r="E270" s="3960"/>
      <c r="F270" s="3960"/>
      <c r="G270" s="3960"/>
      <c r="H270" s="3960"/>
      <c r="I270" s="3960"/>
      <c r="J270" s="3960"/>
      <c r="K270" s="3960"/>
      <c r="L270" s="3960"/>
      <c r="M270" s="3960"/>
      <c r="N270" s="988">
        <f>N269/M269-1</f>
        <v>0.11822660098522175</v>
      </c>
      <c r="O270" s="988">
        <f>O269/N269-1</f>
        <v>0.17400881057268713</v>
      </c>
      <c r="P270" s="3960"/>
      <c r="Q270" s="3960"/>
      <c r="R270" s="3960"/>
      <c r="S270" s="3960"/>
      <c r="T270" s="3960"/>
      <c r="U270" s="3960"/>
      <c r="V270" s="3960"/>
      <c r="W270" s="3960"/>
      <c r="X270" s="3960"/>
      <c r="Y270" s="3960"/>
      <c r="Z270" s="3960"/>
      <c r="AA270" s="3960"/>
      <c r="AB270" s="3960"/>
      <c r="AC270" s="3960"/>
      <c r="AD270" s="3960"/>
      <c r="AE270" s="3960"/>
      <c r="AF270" s="3960"/>
      <c r="AG270" s="2553"/>
      <c r="AH270" s="3921"/>
      <c r="AI270" s="3960"/>
      <c r="AJ270" s="3960"/>
      <c r="AK270" s="3960"/>
      <c r="AL270" s="3960"/>
      <c r="AM270" s="3960"/>
      <c r="AN270" s="3960"/>
      <c r="AO270" s="3960"/>
      <c r="AP270" s="3960"/>
      <c r="AQ270" s="3960"/>
      <c r="AR270" s="3960"/>
      <c r="AS270" s="3960"/>
      <c r="AT270" s="3960"/>
      <c r="AU270" s="3960"/>
      <c r="AV270" s="3960"/>
      <c r="AW270" s="3960"/>
      <c r="AX270" s="3960"/>
      <c r="AY270" s="3960"/>
      <c r="AZ270" s="3960"/>
      <c r="BA270" s="3960"/>
      <c r="BB270" s="3960"/>
      <c r="BC270" s="3961"/>
      <c r="BD270" s="3962"/>
      <c r="BE270" s="3962"/>
      <c r="BF270" s="3962"/>
      <c r="BG270" s="3961"/>
      <c r="BH270" s="3962"/>
      <c r="BI270" s="3962"/>
      <c r="BJ270" s="3962"/>
      <c r="BK270" s="3959"/>
      <c r="BL270" s="3960"/>
      <c r="BM270" s="3960"/>
      <c r="BN270" s="3960"/>
      <c r="BO270" s="3959"/>
      <c r="BP270" s="3960"/>
      <c r="BQ270" s="3960"/>
      <c r="BR270" s="3960"/>
      <c r="BS270" s="990">
        <f t="shared" ref="BS270:CC270" si="549">BS269/BO269-1</f>
        <v>5.0505050505050608E-2</v>
      </c>
      <c r="BT270" s="988">
        <f t="shared" si="549"/>
        <v>9.9009900990099098E-2</v>
      </c>
      <c r="BU270" s="988">
        <f t="shared" si="549"/>
        <v>9.7087378640776656E-2</v>
      </c>
      <c r="BV270" s="988">
        <f t="shared" si="549"/>
        <v>0.22330097087378631</v>
      </c>
      <c r="BW270" s="990">
        <f t="shared" si="549"/>
        <v>0.21153846153846145</v>
      </c>
      <c r="BX270" s="988">
        <f t="shared" si="549"/>
        <v>0.21621621621621623</v>
      </c>
      <c r="BY270" s="988">
        <f t="shared" si="549"/>
        <v>0.1415929203539823</v>
      </c>
      <c r="BZ270" s="989">
        <f t="shared" si="549"/>
        <v>0.13492063492063489</v>
      </c>
      <c r="CA270" s="988">
        <f t="shared" si="549"/>
        <v>0.12698412698412698</v>
      </c>
      <c r="CB270" s="988">
        <f t="shared" si="549"/>
        <v>5.1851851851851816E-2</v>
      </c>
      <c r="CC270" s="988">
        <f t="shared" si="549"/>
        <v>0.10077519379844957</v>
      </c>
      <c r="CD270" s="989"/>
      <c r="CF270" s="988"/>
      <c r="CH270" s="989"/>
      <c r="CI270" s="988"/>
      <c r="CJ270" s="988"/>
      <c r="CK270" s="988"/>
      <c r="CL270" s="989"/>
      <c r="CN270" s="988"/>
      <c r="CO270" s="988"/>
      <c r="CP270" s="989"/>
      <c r="CQ270" s="3933"/>
      <c r="CT270" s="3935"/>
    </row>
    <row r="271" spans="1:98" ht="12.75" hidden="1" customHeight="1" outlineLevel="2">
      <c r="A271" s="3965" t="s">
        <v>947</v>
      </c>
      <c r="B271" s="3960"/>
      <c r="C271" s="3960"/>
      <c r="D271" s="3960"/>
      <c r="E271" s="3960"/>
      <c r="F271" s="3960"/>
      <c r="G271" s="3960"/>
      <c r="H271" s="3960"/>
      <c r="I271" s="3960"/>
      <c r="J271" s="3960"/>
      <c r="K271" s="3960"/>
      <c r="L271" s="3960"/>
      <c r="M271" s="3960"/>
      <c r="N271" s="3960"/>
      <c r="O271" s="3960"/>
      <c r="P271" s="3960"/>
      <c r="Q271" s="3960"/>
      <c r="R271" s="3960"/>
      <c r="S271" s="3960"/>
      <c r="T271" s="3960"/>
      <c r="U271" s="3960"/>
      <c r="V271" s="3960"/>
      <c r="W271" s="3960"/>
      <c r="X271" s="3960"/>
      <c r="Y271" s="3960"/>
      <c r="Z271" s="3960"/>
      <c r="AA271" s="3960"/>
      <c r="AB271" s="3960"/>
      <c r="AC271" s="3960"/>
      <c r="AD271" s="3960"/>
      <c r="AE271" s="3960"/>
      <c r="AF271" s="3960"/>
      <c r="AG271" s="2553"/>
      <c r="AH271" s="3921"/>
      <c r="AI271" s="3960"/>
      <c r="AJ271" s="3960"/>
      <c r="AK271" s="3960"/>
      <c r="AL271" s="3960"/>
      <c r="AM271" s="3960"/>
      <c r="AN271" s="3960"/>
      <c r="AO271" s="3960"/>
      <c r="AP271" s="3960"/>
      <c r="AQ271" s="3960"/>
      <c r="AR271" s="3960"/>
      <c r="AS271" s="3960"/>
      <c r="AT271" s="3960"/>
      <c r="AU271" s="3960"/>
      <c r="AV271" s="3960"/>
      <c r="AW271" s="3960"/>
      <c r="AX271" s="3960"/>
      <c r="AY271" s="3960"/>
      <c r="AZ271" s="3960"/>
      <c r="BA271" s="3960"/>
      <c r="BB271" s="3960"/>
      <c r="BC271" s="3961"/>
      <c r="BD271" s="3962"/>
      <c r="BE271" s="3962"/>
      <c r="BF271" s="3962"/>
      <c r="BG271" s="3961"/>
      <c r="BH271" s="3962"/>
      <c r="BI271" s="3962"/>
      <c r="BJ271" s="3962"/>
      <c r="BK271" s="3959"/>
      <c r="BL271" s="3960"/>
      <c r="BM271" s="3960"/>
      <c r="BN271" s="3960"/>
      <c r="BO271" s="3959"/>
      <c r="BP271" s="3960"/>
      <c r="BQ271" s="3960"/>
      <c r="BR271" s="3960"/>
      <c r="BS271" s="990">
        <f t="shared" ref="BS271:CC271" si="550">BS269/BR269-1</f>
        <v>9.7087378640776656E-3</v>
      </c>
      <c r="BT271" s="988">
        <f t="shared" si="550"/>
        <v>6.7307692307692291E-2</v>
      </c>
      <c r="BU271" s="988">
        <f t="shared" si="550"/>
        <v>1.8018018018018056E-2</v>
      </c>
      <c r="BV271" s="988">
        <f t="shared" si="550"/>
        <v>0.11504424778761058</v>
      </c>
      <c r="BW271" s="990">
        <f t="shared" si="550"/>
        <v>0</v>
      </c>
      <c r="BX271" s="988">
        <f t="shared" si="550"/>
        <v>7.1428571428571397E-2</v>
      </c>
      <c r="BY271" s="988">
        <f t="shared" si="550"/>
        <v>-4.4444444444444398E-2</v>
      </c>
      <c r="BZ271" s="989">
        <f t="shared" si="550"/>
        <v>0.10852713178294571</v>
      </c>
      <c r="CA271" s="988">
        <f t="shared" si="550"/>
        <v>-6.9930069930069783E-3</v>
      </c>
      <c r="CB271" s="988">
        <f t="shared" si="550"/>
        <v>0</v>
      </c>
      <c r="CC271" s="988">
        <f t="shared" si="550"/>
        <v>0</v>
      </c>
      <c r="CD271" s="989"/>
      <c r="CF271" s="988"/>
      <c r="CH271" s="989"/>
      <c r="CI271" s="988"/>
      <c r="CJ271" s="988"/>
      <c r="CK271" s="988"/>
      <c r="CL271" s="989"/>
      <c r="CN271" s="988"/>
      <c r="CO271" s="988"/>
      <c r="CP271" s="989"/>
      <c r="CQ271" s="3933"/>
      <c r="CT271" s="3935"/>
    </row>
    <row r="272" spans="1:98" ht="12.75" hidden="1" customHeight="1" outlineLevel="2">
      <c r="A272" s="3959" t="s">
        <v>286</v>
      </c>
      <c r="B272" s="3960"/>
      <c r="C272" s="3960"/>
      <c r="D272" s="3960"/>
      <c r="E272" s="3960"/>
      <c r="F272" s="3960"/>
      <c r="G272" s="3960"/>
      <c r="H272" s="3960"/>
      <c r="I272" s="3960"/>
      <c r="J272" s="3960"/>
      <c r="K272" s="3960"/>
      <c r="L272" s="3960"/>
      <c r="M272" s="150">
        <f>+SUM(BO272:BR272)</f>
        <v>270</v>
      </c>
      <c r="N272" s="150">
        <f>+SUM(BS272:BV272)</f>
        <v>250</v>
      </c>
      <c r="O272" s="150">
        <f>+SUM(BW272:BZ272)</f>
        <v>222</v>
      </c>
      <c r="P272" s="3960"/>
      <c r="Q272" s="3960"/>
      <c r="R272" s="3960"/>
      <c r="S272" s="3960"/>
      <c r="T272" s="3960"/>
      <c r="U272" s="3960"/>
      <c r="V272" s="3960"/>
      <c r="W272" s="3960"/>
      <c r="X272" s="3960"/>
      <c r="Y272" s="3960"/>
      <c r="Z272" s="3960"/>
      <c r="AA272" s="3960"/>
      <c r="AB272" s="3960"/>
      <c r="AC272" s="3960"/>
      <c r="AD272" s="3960"/>
      <c r="AE272" s="3960"/>
      <c r="AF272" s="3960"/>
      <c r="AG272" s="2553"/>
      <c r="AH272" s="3921"/>
      <c r="AI272" s="3960"/>
      <c r="AJ272" s="3960"/>
      <c r="AK272" s="3960"/>
      <c r="AL272" s="3960"/>
      <c r="AM272" s="3960"/>
      <c r="AN272" s="3960"/>
      <c r="AO272" s="3960"/>
      <c r="AP272" s="3960"/>
      <c r="AQ272" s="3960"/>
      <c r="AR272" s="3960"/>
      <c r="AS272" s="3960"/>
      <c r="AT272" s="3960"/>
      <c r="AU272" s="3960"/>
      <c r="AV272" s="3960"/>
      <c r="AW272" s="3960"/>
      <c r="AX272" s="3960"/>
      <c r="AY272" s="3960"/>
      <c r="AZ272" s="3960"/>
      <c r="BA272" s="3960"/>
      <c r="BB272" s="3960"/>
      <c r="BC272" s="3961"/>
      <c r="BD272" s="3962"/>
      <c r="BE272" s="3962"/>
      <c r="BF272" s="3962"/>
      <c r="BG272" s="3961"/>
      <c r="BH272" s="3962"/>
      <c r="BI272" s="3962"/>
      <c r="BJ272" s="3962"/>
      <c r="BK272" s="3959"/>
      <c r="BL272" s="3960"/>
      <c r="BM272" s="3960"/>
      <c r="BN272" s="3960"/>
      <c r="BO272" s="2627">
        <f>+BO232-BO266-BO269</f>
        <v>66</v>
      </c>
      <c r="BP272" s="2054">
        <v>69</v>
      </c>
      <c r="BQ272" s="2054">
        <v>68</v>
      </c>
      <c r="BR272" s="2054">
        <v>67</v>
      </c>
      <c r="BS272" s="2618">
        <v>68</v>
      </c>
      <c r="BT272" s="2054">
        <v>61</v>
      </c>
      <c r="BU272" s="2054">
        <v>61</v>
      </c>
      <c r="BV272" s="2054">
        <v>60</v>
      </c>
      <c r="BW272" s="2618">
        <v>55</v>
      </c>
      <c r="BX272" s="2054">
        <v>57</v>
      </c>
      <c r="BY272" s="2258">
        <v>57</v>
      </c>
      <c r="BZ272" s="2259">
        <v>53</v>
      </c>
      <c r="CA272" s="2054">
        <v>54</v>
      </c>
      <c r="CB272" s="2054">
        <v>54</v>
      </c>
      <c r="CC272" s="2258">
        <v>54</v>
      </c>
      <c r="CD272" s="2259"/>
      <c r="CF272" s="2054"/>
      <c r="CH272" s="2259"/>
      <c r="CI272" s="2258"/>
      <c r="CJ272" s="2054"/>
      <c r="CK272" s="2054"/>
      <c r="CL272" s="2259"/>
      <c r="CN272" s="2054"/>
      <c r="CO272" s="2054"/>
      <c r="CP272" s="2259"/>
      <c r="CQ272" s="3933"/>
      <c r="CT272" s="3935"/>
    </row>
    <row r="273" spans="1:105" ht="12.75" hidden="1" customHeight="1" outlineLevel="2">
      <c r="A273" s="3965" t="s">
        <v>34</v>
      </c>
      <c r="B273" s="3960"/>
      <c r="C273" s="3960"/>
      <c r="D273" s="3960"/>
      <c r="E273" s="3960"/>
      <c r="F273" s="3960"/>
      <c r="G273" s="3960"/>
      <c r="H273" s="3960"/>
      <c r="I273" s="3960"/>
      <c r="J273" s="3960"/>
      <c r="K273" s="3960"/>
      <c r="L273" s="3960"/>
      <c r="M273" s="3960"/>
      <c r="N273" s="988">
        <f>N272/M272-1</f>
        <v>-7.407407407407407E-2</v>
      </c>
      <c r="O273" s="988">
        <f>O272/N272-1</f>
        <v>-0.11199999999999999</v>
      </c>
      <c r="P273" s="3960"/>
      <c r="Q273" s="3960"/>
      <c r="R273" s="3960"/>
      <c r="S273" s="3960"/>
      <c r="T273" s="3960"/>
      <c r="U273" s="3960"/>
      <c r="V273" s="3960"/>
      <c r="W273" s="3960"/>
      <c r="X273" s="3960"/>
      <c r="Y273" s="3960"/>
      <c r="Z273" s="3960"/>
      <c r="AA273" s="3960"/>
      <c r="AB273" s="3960"/>
      <c r="AC273" s="3960"/>
      <c r="AD273" s="3960"/>
      <c r="AE273" s="3960"/>
      <c r="AF273" s="3960"/>
      <c r="AG273" s="2553"/>
      <c r="AH273" s="3921"/>
      <c r="AI273" s="3960"/>
      <c r="AJ273" s="3960"/>
      <c r="AK273" s="3960"/>
      <c r="AL273" s="3960"/>
      <c r="AM273" s="3960"/>
      <c r="AN273" s="3960"/>
      <c r="AO273" s="3960"/>
      <c r="AP273" s="3960"/>
      <c r="AQ273" s="3960"/>
      <c r="AR273" s="3960"/>
      <c r="AS273" s="3960"/>
      <c r="AT273" s="3960"/>
      <c r="AU273" s="3960"/>
      <c r="AV273" s="3960"/>
      <c r="AW273" s="3960"/>
      <c r="AX273" s="3960"/>
      <c r="AY273" s="3960"/>
      <c r="AZ273" s="3960"/>
      <c r="BA273" s="3960"/>
      <c r="BB273" s="3960"/>
      <c r="BC273" s="3961"/>
      <c r="BD273" s="3962"/>
      <c r="BE273" s="3962"/>
      <c r="BF273" s="3962"/>
      <c r="BG273" s="3961"/>
      <c r="BH273" s="3962"/>
      <c r="BI273" s="3962"/>
      <c r="BJ273" s="3962"/>
      <c r="BK273" s="3959"/>
      <c r="BL273" s="3960"/>
      <c r="BM273" s="3960"/>
      <c r="BN273" s="3960"/>
      <c r="BO273" s="3959"/>
      <c r="BP273" s="3960"/>
      <c r="BQ273" s="3960"/>
      <c r="BR273" s="3960"/>
      <c r="BS273" s="990">
        <f t="shared" ref="BS273:CC273" si="551">BS272/BO272-1</f>
        <v>3.0303030303030276E-2</v>
      </c>
      <c r="BT273" s="988">
        <f t="shared" si="551"/>
        <v>-0.11594202898550721</v>
      </c>
      <c r="BU273" s="988">
        <f t="shared" si="551"/>
        <v>-0.1029411764705882</v>
      </c>
      <c r="BV273" s="988">
        <f t="shared" si="551"/>
        <v>-0.10447761194029848</v>
      </c>
      <c r="BW273" s="990">
        <f t="shared" si="551"/>
        <v>-0.19117647058823528</v>
      </c>
      <c r="BX273" s="988">
        <f t="shared" si="551"/>
        <v>-6.557377049180324E-2</v>
      </c>
      <c r="BY273" s="988">
        <f t="shared" si="551"/>
        <v>-6.557377049180324E-2</v>
      </c>
      <c r="BZ273" s="989">
        <f t="shared" si="551"/>
        <v>-0.1166666666666667</v>
      </c>
      <c r="CA273" s="988">
        <f t="shared" si="551"/>
        <v>-1.8181818181818188E-2</v>
      </c>
      <c r="CB273" s="988">
        <f t="shared" si="551"/>
        <v>-5.2631578947368474E-2</v>
      </c>
      <c r="CC273" s="988">
        <f t="shared" si="551"/>
        <v>-5.2631578947368474E-2</v>
      </c>
      <c r="CD273" s="989"/>
      <c r="CF273" s="988"/>
      <c r="CH273" s="989"/>
      <c r="CI273" s="988"/>
      <c r="CJ273" s="988"/>
      <c r="CK273" s="988"/>
      <c r="CL273" s="989"/>
      <c r="CN273" s="988"/>
      <c r="CO273" s="988"/>
      <c r="CP273" s="989"/>
      <c r="CQ273" s="3933"/>
      <c r="CT273" s="3935"/>
    </row>
    <row r="274" spans="1:105" ht="12.75" hidden="1" customHeight="1" outlineLevel="2">
      <c r="A274" s="3965" t="s">
        <v>947</v>
      </c>
      <c r="B274" s="3960"/>
      <c r="C274" s="3960"/>
      <c r="D274" s="3960"/>
      <c r="E274" s="3960"/>
      <c r="F274" s="3960"/>
      <c r="G274" s="3960"/>
      <c r="H274" s="3960"/>
      <c r="I274" s="3960"/>
      <c r="J274" s="3960"/>
      <c r="K274" s="3960"/>
      <c r="L274" s="3960"/>
      <c r="M274" s="3960"/>
      <c r="N274" s="3960"/>
      <c r="O274" s="3960"/>
      <c r="P274" s="3960"/>
      <c r="Q274" s="3960"/>
      <c r="R274" s="3960"/>
      <c r="S274" s="3960"/>
      <c r="T274" s="3960"/>
      <c r="U274" s="3960"/>
      <c r="V274" s="3960"/>
      <c r="W274" s="3960"/>
      <c r="X274" s="3960"/>
      <c r="Y274" s="3960"/>
      <c r="Z274" s="3960"/>
      <c r="AA274" s="3960"/>
      <c r="AB274" s="3960"/>
      <c r="AC274" s="3960"/>
      <c r="AD274" s="3960"/>
      <c r="AE274" s="3960"/>
      <c r="AF274" s="3960"/>
      <c r="AG274" s="2553"/>
      <c r="AH274" s="3921"/>
      <c r="AI274" s="3960"/>
      <c r="AJ274" s="3960"/>
      <c r="AK274" s="3960"/>
      <c r="AL274" s="3960"/>
      <c r="AM274" s="3960"/>
      <c r="AN274" s="3960"/>
      <c r="AO274" s="3960"/>
      <c r="AP274" s="3960"/>
      <c r="AQ274" s="3960"/>
      <c r="AR274" s="3960"/>
      <c r="AS274" s="3960"/>
      <c r="AT274" s="3960"/>
      <c r="AU274" s="3960"/>
      <c r="AV274" s="3960"/>
      <c r="AW274" s="3960"/>
      <c r="AX274" s="3960"/>
      <c r="AY274" s="3960"/>
      <c r="AZ274" s="3960"/>
      <c r="BA274" s="3960"/>
      <c r="BB274" s="3960"/>
      <c r="BC274" s="3961"/>
      <c r="BD274" s="3962"/>
      <c r="BE274" s="3962"/>
      <c r="BF274" s="3962"/>
      <c r="BG274" s="3961"/>
      <c r="BH274" s="3962"/>
      <c r="BI274" s="3962"/>
      <c r="BJ274" s="3962"/>
      <c r="BK274" s="3959"/>
      <c r="BL274" s="3960"/>
      <c r="BM274" s="3960"/>
      <c r="BN274" s="3960"/>
      <c r="BO274" s="3959"/>
      <c r="BP274" s="3960"/>
      <c r="BQ274" s="3960"/>
      <c r="BR274" s="3960"/>
      <c r="BS274" s="990">
        <f t="shared" ref="BS274:CC274" si="552">BS272/BR272-1</f>
        <v>1.4925373134328401E-2</v>
      </c>
      <c r="BT274" s="988">
        <f t="shared" si="552"/>
        <v>-0.1029411764705882</v>
      </c>
      <c r="BU274" s="988">
        <f t="shared" si="552"/>
        <v>0</v>
      </c>
      <c r="BV274" s="988">
        <f t="shared" si="552"/>
        <v>-1.6393442622950838E-2</v>
      </c>
      <c r="BW274" s="990">
        <f t="shared" si="552"/>
        <v>-8.333333333333337E-2</v>
      </c>
      <c r="BX274" s="988">
        <f t="shared" si="552"/>
        <v>3.6363636363636376E-2</v>
      </c>
      <c r="BY274" s="988">
        <f t="shared" si="552"/>
        <v>0</v>
      </c>
      <c r="BZ274" s="989">
        <f t="shared" si="552"/>
        <v>-7.0175438596491224E-2</v>
      </c>
      <c r="CA274" s="988">
        <f t="shared" si="552"/>
        <v>1.8867924528301883E-2</v>
      </c>
      <c r="CB274" s="988">
        <f t="shared" si="552"/>
        <v>0</v>
      </c>
      <c r="CC274" s="988">
        <f t="shared" si="552"/>
        <v>0</v>
      </c>
      <c r="CD274" s="989"/>
      <c r="CF274" s="988"/>
      <c r="CH274" s="989"/>
      <c r="CI274" s="988"/>
      <c r="CJ274" s="988"/>
      <c r="CK274" s="988"/>
      <c r="CL274" s="989"/>
      <c r="CN274" s="988"/>
      <c r="CO274" s="988"/>
      <c r="CP274" s="989"/>
      <c r="CQ274" s="3933"/>
      <c r="CT274" s="3935"/>
    </row>
    <row r="275" spans="1:105" ht="12.75" hidden="1" customHeight="1" outlineLevel="2">
      <c r="A275" s="3959" t="s">
        <v>287</v>
      </c>
      <c r="B275" s="3960"/>
      <c r="C275" s="3960"/>
      <c r="D275" s="3960"/>
      <c r="E275" s="3960"/>
      <c r="F275" s="3960"/>
      <c r="G275" s="3960"/>
      <c r="H275" s="3960"/>
      <c r="I275" s="3960"/>
      <c r="J275" s="3960"/>
      <c r="K275" s="3960"/>
      <c r="L275" s="3960"/>
      <c r="M275" s="150">
        <f>M266+M269+M272</f>
        <v>1218</v>
      </c>
      <c r="N275" s="150">
        <f>+SUM(BS275:BV275)</f>
        <v>1300</v>
      </c>
      <c r="O275" s="150">
        <f>+SUM(BW275:BZ275)</f>
        <v>1376</v>
      </c>
      <c r="P275" s="3960"/>
      <c r="Q275" s="3960"/>
      <c r="R275" s="3960"/>
      <c r="S275" s="3960"/>
      <c r="T275" s="3960"/>
      <c r="U275" s="3960"/>
      <c r="V275" s="3960"/>
      <c r="W275" s="3960"/>
      <c r="X275" s="3960"/>
      <c r="Y275" s="3960"/>
      <c r="Z275" s="3960"/>
      <c r="AA275" s="3960"/>
      <c r="AB275" s="3960"/>
      <c r="AC275" s="3960"/>
      <c r="AD275" s="3960"/>
      <c r="AE275" s="3960"/>
      <c r="AF275" s="3960"/>
      <c r="AG275" s="2553"/>
      <c r="AH275" s="3921"/>
      <c r="AI275" s="3960"/>
      <c r="AJ275" s="3960"/>
      <c r="AK275" s="3960"/>
      <c r="AL275" s="3960"/>
      <c r="AM275" s="3960"/>
      <c r="AN275" s="3960"/>
      <c r="AO275" s="3960"/>
      <c r="AP275" s="3960"/>
      <c r="AQ275" s="3960"/>
      <c r="AR275" s="3960"/>
      <c r="AS275" s="3960"/>
      <c r="AT275" s="3960"/>
      <c r="AU275" s="3960"/>
      <c r="AV275" s="3960"/>
      <c r="AW275" s="3960"/>
      <c r="AX275" s="3960"/>
      <c r="AY275" s="3960"/>
      <c r="AZ275" s="3960"/>
      <c r="BA275" s="3960"/>
      <c r="BB275" s="3960"/>
      <c r="BC275" s="3961"/>
      <c r="BD275" s="3962"/>
      <c r="BE275" s="3962"/>
      <c r="BF275" s="3962"/>
      <c r="BG275" s="3961"/>
      <c r="BH275" s="3962"/>
      <c r="BI275" s="3962"/>
      <c r="BJ275" s="3962"/>
      <c r="BK275" s="3959"/>
      <c r="BL275" s="3960"/>
      <c r="BM275" s="3960"/>
      <c r="BN275" s="3960"/>
      <c r="BO275" s="2053">
        <f t="shared" ref="BO275:CB275" si="553">+BO266+BO269+BO272</f>
        <v>302</v>
      </c>
      <c r="BP275" s="114">
        <f t="shared" si="553"/>
        <v>307</v>
      </c>
      <c r="BQ275" s="114">
        <f t="shared" si="553"/>
        <v>306</v>
      </c>
      <c r="BR275" s="114">
        <f t="shared" si="553"/>
        <v>303</v>
      </c>
      <c r="BS275" s="2053">
        <f t="shared" si="553"/>
        <v>310</v>
      </c>
      <c r="BT275" s="114">
        <f t="shared" si="553"/>
        <v>323</v>
      </c>
      <c r="BU275" s="114">
        <f t="shared" si="553"/>
        <v>327</v>
      </c>
      <c r="BV275" s="114">
        <f t="shared" si="553"/>
        <v>340</v>
      </c>
      <c r="BW275" s="2053">
        <f t="shared" si="553"/>
        <v>334</v>
      </c>
      <c r="BX275" s="114">
        <f t="shared" si="553"/>
        <v>347</v>
      </c>
      <c r="BY275" s="114">
        <f t="shared" si="553"/>
        <v>342</v>
      </c>
      <c r="BZ275" s="2582">
        <f t="shared" si="553"/>
        <v>353</v>
      </c>
      <c r="CA275" s="114">
        <f t="shared" si="553"/>
        <v>354</v>
      </c>
      <c r="CB275" s="114">
        <f t="shared" si="553"/>
        <v>354</v>
      </c>
      <c r="CC275" s="114">
        <f>+CC266+CC269+CC272</f>
        <v>354</v>
      </c>
      <c r="CD275" s="2582"/>
      <c r="CF275" s="114"/>
      <c r="CH275" s="2582"/>
      <c r="CI275" s="2067"/>
      <c r="CJ275" s="114"/>
      <c r="CK275" s="114"/>
      <c r="CL275" s="2582"/>
      <c r="CN275" s="114"/>
      <c r="CO275" s="114"/>
      <c r="CP275" s="2582"/>
      <c r="CQ275" s="3933"/>
      <c r="CT275" s="3935"/>
    </row>
    <row r="276" spans="1:105" ht="12.75" hidden="1" customHeight="1" outlineLevel="2">
      <c r="A276" s="3965" t="s">
        <v>34</v>
      </c>
      <c r="B276" s="3960"/>
      <c r="C276" s="3960"/>
      <c r="D276" s="3960"/>
      <c r="E276" s="3960"/>
      <c r="F276" s="3960"/>
      <c r="G276" s="3960"/>
      <c r="H276" s="3960"/>
      <c r="I276" s="3960"/>
      <c r="J276" s="3960"/>
      <c r="K276" s="3960"/>
      <c r="L276" s="3960"/>
      <c r="M276" s="3960"/>
      <c r="N276" s="988">
        <f>N275/M275-1</f>
        <v>6.7323481116584594E-2</v>
      </c>
      <c r="O276" s="988">
        <f>O275/N275-1</f>
        <v>5.8461538461538565E-2</v>
      </c>
      <c r="P276" s="3960"/>
      <c r="Q276" s="3960"/>
      <c r="R276" s="3960"/>
      <c r="S276" s="3960"/>
      <c r="T276" s="3960"/>
      <c r="U276" s="3960"/>
      <c r="V276" s="3960"/>
      <c r="W276" s="3960"/>
      <c r="X276" s="3960"/>
      <c r="Y276" s="3960"/>
      <c r="Z276" s="3960"/>
      <c r="AA276" s="3960"/>
      <c r="AB276" s="3960"/>
      <c r="AC276" s="3960"/>
      <c r="AD276" s="3960"/>
      <c r="AE276" s="3960"/>
      <c r="AF276" s="3960"/>
      <c r="AG276" s="2553"/>
      <c r="AH276" s="3921"/>
      <c r="AI276" s="3960"/>
      <c r="AJ276" s="3960"/>
      <c r="AK276" s="3960"/>
      <c r="AL276" s="3960"/>
      <c r="AM276" s="3960"/>
      <c r="AN276" s="3960"/>
      <c r="AO276" s="3960"/>
      <c r="AP276" s="3960"/>
      <c r="AQ276" s="3960"/>
      <c r="AR276" s="3960"/>
      <c r="AS276" s="3960"/>
      <c r="AT276" s="3960"/>
      <c r="AU276" s="3960"/>
      <c r="AV276" s="3960"/>
      <c r="AW276" s="3960"/>
      <c r="AX276" s="3960"/>
      <c r="AY276" s="3960"/>
      <c r="AZ276" s="3960"/>
      <c r="BA276" s="3960"/>
      <c r="BB276" s="3960"/>
      <c r="BC276" s="3961"/>
      <c r="BD276" s="3962"/>
      <c r="BE276" s="3962"/>
      <c r="BF276" s="3962"/>
      <c r="BG276" s="3961"/>
      <c r="BH276" s="3962"/>
      <c r="BI276" s="3962"/>
      <c r="BJ276" s="3962"/>
      <c r="BK276" s="3959"/>
      <c r="BL276" s="3960"/>
      <c r="BM276" s="3960"/>
      <c r="BN276" s="3960"/>
      <c r="BO276" s="3959"/>
      <c r="BP276" s="3960"/>
      <c r="BQ276" s="3960"/>
      <c r="BR276" s="3960"/>
      <c r="BS276" s="990">
        <f t="shared" ref="BS276:CC276" si="554">BS275/BO275-1</f>
        <v>2.6490066225165476E-2</v>
      </c>
      <c r="BT276" s="988">
        <f t="shared" si="554"/>
        <v>5.2117263843648232E-2</v>
      </c>
      <c r="BU276" s="988">
        <f t="shared" si="554"/>
        <v>6.8627450980392135E-2</v>
      </c>
      <c r="BV276" s="988">
        <f t="shared" si="554"/>
        <v>0.12211221122112215</v>
      </c>
      <c r="BW276" s="990">
        <f t="shared" si="554"/>
        <v>7.7419354838709653E-2</v>
      </c>
      <c r="BX276" s="988">
        <f t="shared" si="554"/>
        <v>7.4303405572755388E-2</v>
      </c>
      <c r="BY276" s="988">
        <f t="shared" si="554"/>
        <v>4.587155963302747E-2</v>
      </c>
      <c r="BZ276" s="989">
        <f t="shared" si="554"/>
        <v>3.8235294117647145E-2</v>
      </c>
      <c r="CA276" s="988">
        <f t="shared" si="554"/>
        <v>5.9880239520958112E-2</v>
      </c>
      <c r="CB276" s="988">
        <f t="shared" si="554"/>
        <v>2.0172910662824117E-2</v>
      </c>
      <c r="CC276" s="988">
        <f t="shared" si="554"/>
        <v>3.5087719298245723E-2</v>
      </c>
      <c r="CD276" s="989"/>
      <c r="CF276" s="988"/>
      <c r="CH276" s="989"/>
      <c r="CI276" s="988"/>
      <c r="CJ276" s="988"/>
      <c r="CK276" s="988"/>
      <c r="CL276" s="989"/>
      <c r="CN276" s="988"/>
      <c r="CO276" s="988"/>
      <c r="CP276" s="989"/>
      <c r="CQ276" s="3933"/>
      <c r="CT276" s="3935"/>
    </row>
    <row r="277" spans="1:105" ht="12.75" hidden="1" customHeight="1" outlineLevel="2">
      <c r="A277" s="3965" t="s">
        <v>947</v>
      </c>
      <c r="B277" s="3960"/>
      <c r="C277" s="3960"/>
      <c r="D277" s="3960"/>
      <c r="E277" s="3960"/>
      <c r="F277" s="3960"/>
      <c r="G277" s="3960"/>
      <c r="H277" s="3960"/>
      <c r="I277" s="3960"/>
      <c r="J277" s="3960"/>
      <c r="K277" s="3960"/>
      <c r="L277" s="3960"/>
      <c r="M277" s="3960"/>
      <c r="N277" s="3960"/>
      <c r="O277" s="3960"/>
      <c r="P277" s="3960"/>
      <c r="Q277" s="3960"/>
      <c r="R277" s="3960"/>
      <c r="S277" s="3960"/>
      <c r="T277" s="3960"/>
      <c r="U277" s="3960"/>
      <c r="V277" s="3960"/>
      <c r="W277" s="3960"/>
      <c r="X277" s="3960"/>
      <c r="Y277" s="3960"/>
      <c r="Z277" s="3960"/>
      <c r="AA277" s="3960"/>
      <c r="AB277" s="3960"/>
      <c r="AC277" s="3960"/>
      <c r="AD277" s="3960"/>
      <c r="AE277" s="3960"/>
      <c r="AF277" s="3960"/>
      <c r="AG277" s="2553"/>
      <c r="AH277" s="3921"/>
      <c r="AI277" s="3960"/>
      <c r="AJ277" s="3960"/>
      <c r="AK277" s="3960"/>
      <c r="AL277" s="3960"/>
      <c r="AM277" s="3960"/>
      <c r="AN277" s="3960"/>
      <c r="AO277" s="3960"/>
      <c r="AP277" s="3960"/>
      <c r="AQ277" s="3960"/>
      <c r="AR277" s="3960"/>
      <c r="AS277" s="3960"/>
      <c r="AT277" s="3960"/>
      <c r="AU277" s="3960"/>
      <c r="AV277" s="3960"/>
      <c r="AW277" s="3960"/>
      <c r="AX277" s="3960"/>
      <c r="AY277" s="3960"/>
      <c r="AZ277" s="3960"/>
      <c r="BA277" s="3960"/>
      <c r="BB277" s="3960"/>
      <c r="BC277" s="3961"/>
      <c r="BD277" s="3962"/>
      <c r="BE277" s="3962"/>
      <c r="BF277" s="3962"/>
      <c r="BG277" s="3961"/>
      <c r="BH277" s="3962"/>
      <c r="BI277" s="3962"/>
      <c r="BJ277" s="3962"/>
      <c r="BK277" s="3959"/>
      <c r="BL277" s="3960"/>
      <c r="BM277" s="3960"/>
      <c r="BN277" s="3960"/>
      <c r="BO277" s="3959"/>
      <c r="BP277" s="3960"/>
      <c r="BQ277" s="3960"/>
      <c r="BR277" s="3960"/>
      <c r="BS277" s="990">
        <f t="shared" ref="BS277:CC277" si="555">BS275/BR275-1</f>
        <v>2.3102310231023049E-2</v>
      </c>
      <c r="BT277" s="988">
        <f t="shared" si="555"/>
        <v>4.1935483870967794E-2</v>
      </c>
      <c r="BU277" s="988">
        <f t="shared" si="555"/>
        <v>1.2383900928792491E-2</v>
      </c>
      <c r="BV277" s="988">
        <f t="shared" si="555"/>
        <v>3.9755351681957096E-2</v>
      </c>
      <c r="BW277" s="990">
        <f t="shared" si="555"/>
        <v>-1.764705882352946E-2</v>
      </c>
      <c r="BX277" s="988">
        <f t="shared" si="555"/>
        <v>3.8922155688622784E-2</v>
      </c>
      <c r="BY277" s="988">
        <f t="shared" si="555"/>
        <v>-1.4409221902017322E-2</v>
      </c>
      <c r="BZ277" s="989">
        <f t="shared" si="555"/>
        <v>3.2163742690058506E-2</v>
      </c>
      <c r="CA277" s="988">
        <f t="shared" si="555"/>
        <v>2.8328611898016387E-3</v>
      </c>
      <c r="CB277" s="988">
        <f t="shared" si="555"/>
        <v>0</v>
      </c>
      <c r="CC277" s="988">
        <f t="shared" si="555"/>
        <v>0</v>
      </c>
      <c r="CD277" s="989"/>
      <c r="CF277" s="988"/>
      <c r="CH277" s="989"/>
      <c r="CI277" s="988"/>
      <c r="CJ277" s="988"/>
      <c r="CK277" s="988"/>
      <c r="CL277" s="989"/>
      <c r="CN277" s="988"/>
      <c r="CO277" s="988"/>
      <c r="CP277" s="989"/>
      <c r="CQ277" s="3933"/>
      <c r="CT277" s="3935"/>
    </row>
    <row r="278" spans="1:105" ht="12.75" hidden="1" customHeight="1" outlineLevel="2">
      <c r="A278" s="3959"/>
      <c r="B278" s="3960"/>
      <c r="C278" s="3960"/>
      <c r="D278" s="3960"/>
      <c r="E278" s="3960"/>
      <c r="F278" s="3960"/>
      <c r="G278" s="3960"/>
      <c r="H278" s="3960"/>
      <c r="I278" s="3960"/>
      <c r="J278" s="3960"/>
      <c r="K278" s="3960"/>
      <c r="L278" s="3960"/>
      <c r="M278" s="3960"/>
      <c r="N278" s="3960"/>
      <c r="O278" s="3960"/>
      <c r="P278" s="3960"/>
      <c r="Q278" s="3960"/>
      <c r="R278" s="3960"/>
      <c r="S278" s="3960"/>
      <c r="T278" s="3960"/>
      <c r="U278" s="3960"/>
      <c r="V278" s="3960"/>
      <c r="W278" s="3960"/>
      <c r="X278" s="3960"/>
      <c r="Y278" s="3960"/>
      <c r="Z278" s="3960"/>
      <c r="AA278" s="3960"/>
      <c r="AB278" s="3960"/>
      <c r="AC278" s="3960"/>
      <c r="AD278" s="3960"/>
      <c r="AE278" s="3960"/>
      <c r="AF278" s="3960"/>
      <c r="AG278" s="2553"/>
      <c r="AH278" s="3921"/>
      <c r="AI278" s="3960"/>
      <c r="AJ278" s="3960"/>
      <c r="AK278" s="3960"/>
      <c r="AL278" s="3960"/>
      <c r="AM278" s="3960"/>
      <c r="AN278" s="3960"/>
      <c r="AO278" s="3960"/>
      <c r="AP278" s="3960"/>
      <c r="AQ278" s="3960"/>
      <c r="AR278" s="3960"/>
      <c r="AS278" s="3960"/>
      <c r="AT278" s="3960"/>
      <c r="AU278" s="3960"/>
      <c r="AV278" s="3960"/>
      <c r="AW278" s="3960"/>
      <c r="AX278" s="3960"/>
      <c r="AY278" s="3960"/>
      <c r="AZ278" s="3960"/>
      <c r="BA278" s="3960"/>
      <c r="BB278" s="3960"/>
      <c r="BC278" s="3961"/>
      <c r="BD278" s="3962"/>
      <c r="BE278" s="3962"/>
      <c r="BF278" s="3962"/>
      <c r="BG278" s="3961"/>
      <c r="BH278" s="3962"/>
      <c r="BI278" s="3962"/>
      <c r="BJ278" s="3962"/>
      <c r="BK278" s="3959"/>
      <c r="BL278" s="3960"/>
      <c r="BM278" s="3960"/>
      <c r="BN278" s="3960"/>
      <c r="BO278" s="3959"/>
      <c r="BP278" s="271"/>
      <c r="BQ278" s="271"/>
      <c r="BR278" s="4005"/>
      <c r="BS278" s="940"/>
      <c r="BT278" s="271"/>
      <c r="BU278" s="271"/>
      <c r="BV278" s="271"/>
      <c r="BW278" s="940"/>
      <c r="BX278" s="271"/>
      <c r="BY278" s="271"/>
      <c r="BZ278" s="223"/>
      <c r="CA278" s="271"/>
      <c r="CB278" s="271"/>
      <c r="CC278" s="271"/>
      <c r="CD278" s="223"/>
      <c r="CF278" s="271"/>
      <c r="CH278" s="223"/>
      <c r="CI278" s="271"/>
      <c r="CJ278" s="271"/>
      <c r="CK278" s="271"/>
      <c r="CL278" s="223"/>
      <c r="CN278" s="271"/>
      <c r="CO278" s="271"/>
      <c r="CP278" s="223"/>
      <c r="CQ278" s="3933"/>
      <c r="CT278" s="3935"/>
    </row>
    <row r="279" spans="1:105" ht="12.75" hidden="1" customHeight="1" outlineLevel="2">
      <c r="A279" s="3965"/>
      <c r="B279" s="3960"/>
      <c r="C279" s="3960"/>
      <c r="D279" s="3960"/>
      <c r="E279" s="3960"/>
      <c r="F279" s="3960"/>
      <c r="G279" s="3960"/>
      <c r="H279" s="3960"/>
      <c r="I279" s="3960"/>
      <c r="J279" s="3960"/>
      <c r="K279" s="3960"/>
      <c r="L279" s="3960"/>
      <c r="M279" s="3960"/>
      <c r="N279" s="3960"/>
      <c r="O279" s="3960"/>
      <c r="P279" s="3960"/>
      <c r="Q279" s="3960"/>
      <c r="R279" s="3960"/>
      <c r="S279" s="3960"/>
      <c r="T279" s="3960"/>
      <c r="U279" s="3960"/>
      <c r="V279" s="3960"/>
      <c r="W279" s="3960"/>
      <c r="X279" s="3960"/>
      <c r="Y279" s="3960"/>
      <c r="Z279" s="3960"/>
      <c r="AA279" s="3960"/>
      <c r="AB279" s="3960"/>
      <c r="AC279" s="3960"/>
      <c r="AD279" s="3960"/>
      <c r="AE279" s="3960"/>
      <c r="AF279" s="3960"/>
      <c r="AG279" s="2553"/>
      <c r="AH279" s="3921"/>
      <c r="AI279" s="3960"/>
      <c r="AJ279" s="3960"/>
      <c r="AK279" s="3960"/>
      <c r="AL279" s="3960"/>
      <c r="AM279" s="3960"/>
      <c r="AN279" s="3960"/>
      <c r="AO279" s="3960"/>
      <c r="AP279" s="3960"/>
      <c r="AQ279" s="3960"/>
      <c r="AR279" s="3960"/>
      <c r="AS279" s="3960"/>
      <c r="AT279" s="3960"/>
      <c r="AU279" s="3960"/>
      <c r="AV279" s="3960"/>
      <c r="AW279" s="3960"/>
      <c r="AX279" s="3960"/>
      <c r="AY279" s="3960"/>
      <c r="AZ279" s="3960"/>
      <c r="BA279" s="3960"/>
      <c r="BB279" s="3960"/>
      <c r="BC279" s="3961"/>
      <c r="BD279" s="3962"/>
      <c r="BE279" s="3962"/>
      <c r="BF279" s="3962"/>
      <c r="BG279" s="3961"/>
      <c r="BH279" s="3962"/>
      <c r="BI279" s="3962"/>
      <c r="BJ279" s="3962"/>
      <c r="BK279" s="3959"/>
      <c r="BL279" s="3960"/>
      <c r="BM279" s="3960"/>
      <c r="BN279" s="3960"/>
      <c r="BO279" s="3959"/>
      <c r="BP279" s="3960"/>
      <c r="BQ279" s="3960"/>
      <c r="BR279" s="3960"/>
      <c r="BS279" s="3959"/>
      <c r="BT279" s="988"/>
      <c r="BU279" s="988"/>
      <c r="BV279" s="988"/>
      <c r="BW279" s="990"/>
      <c r="BX279" s="988"/>
      <c r="BY279" s="988"/>
      <c r="BZ279" s="989"/>
      <c r="CA279" s="988"/>
      <c r="CB279" s="988"/>
      <c r="CC279" s="988"/>
      <c r="CD279" s="989"/>
      <c r="CF279" s="988"/>
      <c r="CH279" s="989"/>
      <c r="CI279" s="988"/>
      <c r="CJ279" s="988"/>
      <c r="CK279" s="988"/>
      <c r="CL279" s="989"/>
      <c r="CN279" s="988"/>
      <c r="CO279" s="988"/>
      <c r="CP279" s="989"/>
      <c r="CQ279" s="3933"/>
      <c r="CT279" s="3935"/>
    </row>
    <row r="280" spans="1:105" hidden="1" outlineLevel="2">
      <c r="A280" s="3965"/>
      <c r="B280" s="3960"/>
      <c r="C280" s="3960"/>
      <c r="D280" s="3960"/>
      <c r="E280" s="3960"/>
      <c r="F280" s="3960"/>
      <c r="G280" s="3960"/>
      <c r="H280" s="3960"/>
      <c r="I280" s="3960"/>
      <c r="J280" s="3960"/>
      <c r="K280" s="3960"/>
      <c r="L280" s="3960"/>
      <c r="M280" s="3960"/>
      <c r="N280" s="3960"/>
      <c r="O280" s="3960"/>
      <c r="P280" s="3960"/>
      <c r="Q280" s="3960"/>
      <c r="R280" s="3960"/>
      <c r="S280" s="3960"/>
      <c r="T280" s="3960"/>
      <c r="U280" s="3960"/>
      <c r="V280" s="3960"/>
      <c r="W280" s="3960"/>
      <c r="X280" s="3960"/>
      <c r="Y280" s="3960"/>
      <c r="Z280" s="3960"/>
      <c r="AA280" s="3960"/>
      <c r="AB280" s="3960"/>
      <c r="AC280" s="3960"/>
      <c r="AD280" s="3960"/>
      <c r="AE280" s="3960"/>
      <c r="AF280" s="3960"/>
      <c r="AG280" s="2553"/>
      <c r="AH280" s="3921"/>
      <c r="AI280" s="3960"/>
      <c r="AJ280" s="3960"/>
      <c r="AK280" s="3960"/>
      <c r="AL280" s="3960"/>
      <c r="AM280" s="3960"/>
      <c r="AN280" s="3960"/>
      <c r="AO280" s="3960"/>
      <c r="AP280" s="3960"/>
      <c r="AQ280" s="3960"/>
      <c r="AR280" s="3960"/>
      <c r="AS280" s="3960"/>
      <c r="AT280" s="3960"/>
      <c r="AU280" s="3960"/>
      <c r="AV280" s="3960"/>
      <c r="AW280" s="3960"/>
      <c r="AX280" s="3960"/>
      <c r="AY280" s="3960"/>
      <c r="AZ280" s="3960"/>
      <c r="BA280" s="3960"/>
      <c r="BB280" s="3960"/>
      <c r="BC280" s="3961"/>
      <c r="BD280" s="3962"/>
      <c r="BE280" s="3962"/>
      <c r="BF280" s="3962"/>
      <c r="BG280" s="3961"/>
      <c r="BH280" s="3962"/>
      <c r="BI280" s="3962"/>
      <c r="BJ280" s="3962"/>
      <c r="BK280" s="3959"/>
      <c r="BL280" s="3960"/>
      <c r="BM280" s="3960"/>
      <c r="BN280" s="3960"/>
      <c r="BO280" s="3959"/>
      <c r="BP280" s="3960"/>
      <c r="BQ280" s="3960"/>
      <c r="BR280" s="3960"/>
      <c r="BS280" s="3959"/>
      <c r="BT280" s="988"/>
      <c r="BU280" s="988"/>
      <c r="BV280" s="988"/>
      <c r="BW280" s="990"/>
      <c r="BX280" s="988"/>
      <c r="BY280" s="988"/>
      <c r="BZ280" s="989"/>
      <c r="CA280" s="988"/>
      <c r="CB280" s="988"/>
      <c r="CC280" s="988"/>
      <c r="CD280" s="989"/>
      <c r="CE280" s="2230"/>
      <c r="CF280" s="2231"/>
      <c r="CG280" s="2231"/>
      <c r="CH280" s="2232"/>
      <c r="CI280" s="2231"/>
      <c r="CJ280" s="2231"/>
      <c r="CK280" s="2231"/>
      <c r="CL280" s="2232"/>
      <c r="CM280" s="2067"/>
      <c r="CN280" s="2231"/>
      <c r="CO280" s="2231"/>
      <c r="CP280" s="2232"/>
      <c r="CQ280" s="2050"/>
      <c r="CR280" s="2067"/>
      <c r="CS280" s="2067"/>
      <c r="CT280" s="2582"/>
    </row>
    <row r="281" spans="1:105" s="2060" customFormat="1" hidden="1" outlineLevel="2">
      <c r="A281" s="3960"/>
      <c r="B281" s="3960"/>
      <c r="C281" s="3960"/>
      <c r="D281" s="3960"/>
      <c r="E281" s="3960"/>
      <c r="F281" s="3960"/>
      <c r="G281" s="3960"/>
      <c r="H281" s="3960"/>
      <c r="I281" s="3960"/>
      <c r="J281" s="3960"/>
      <c r="K281" s="3960"/>
      <c r="L281" s="3960"/>
      <c r="M281" s="3960"/>
      <c r="N281" s="3960"/>
      <c r="O281" s="3960"/>
      <c r="P281" s="3960"/>
      <c r="Q281" s="3960"/>
      <c r="R281" s="3960"/>
      <c r="S281" s="3960"/>
      <c r="T281" s="3960"/>
      <c r="U281" s="3960"/>
      <c r="V281" s="3960"/>
      <c r="W281" s="3960"/>
      <c r="X281" s="3960"/>
      <c r="Y281" s="3960"/>
      <c r="Z281" s="3960"/>
      <c r="AA281" s="3960"/>
      <c r="AB281" s="3960"/>
      <c r="AC281" s="3960"/>
      <c r="AD281" s="3960"/>
      <c r="AE281" s="3960"/>
      <c r="AF281" s="3960"/>
      <c r="AG281" s="2553"/>
      <c r="AH281" s="3921"/>
      <c r="AI281" s="3960"/>
      <c r="AJ281" s="3960"/>
      <c r="AK281" s="3960"/>
      <c r="AL281" s="3960"/>
      <c r="AM281" s="3960"/>
      <c r="AN281" s="3960"/>
      <c r="AO281" s="3960"/>
      <c r="AP281" s="3960"/>
      <c r="AQ281" s="3960"/>
      <c r="AR281" s="3960"/>
      <c r="AS281" s="3960"/>
      <c r="AT281" s="3960"/>
      <c r="AU281" s="3960"/>
      <c r="AV281" s="3960"/>
      <c r="AW281" s="3960"/>
      <c r="AX281" s="3960"/>
      <c r="AY281" s="3960"/>
      <c r="AZ281" s="3960"/>
      <c r="BA281" s="3960"/>
      <c r="BB281" s="3960"/>
      <c r="BC281" s="3962"/>
      <c r="BD281" s="3962"/>
      <c r="BE281" s="3962"/>
      <c r="BF281" s="3962"/>
      <c r="BG281" s="3962"/>
      <c r="BH281" s="3962"/>
      <c r="BI281" s="3962"/>
      <c r="BJ281" s="3962"/>
      <c r="BK281" s="3960" t="s">
        <v>946</v>
      </c>
      <c r="BL281" s="3960" t="s">
        <v>946</v>
      </c>
      <c r="BM281" s="3960" t="s">
        <v>946</v>
      </c>
      <c r="BN281" s="3960" t="s">
        <v>946</v>
      </c>
      <c r="BO281" s="3959"/>
      <c r="BP281" s="3960"/>
      <c r="BQ281" s="3960"/>
      <c r="BR281" s="3960"/>
      <c r="BS281" s="3959"/>
      <c r="BT281" s="3960"/>
      <c r="BU281" s="3960"/>
      <c r="BV281" s="3960"/>
      <c r="BW281" s="3959"/>
      <c r="BX281" s="3960"/>
      <c r="BY281" s="3960"/>
      <c r="BZ281" s="3963"/>
      <c r="CA281" s="3960"/>
      <c r="CB281" s="3960"/>
      <c r="CC281" s="3960"/>
      <c r="CD281" s="3963"/>
      <c r="CE281" s="2061"/>
      <c r="CF281" s="3960"/>
      <c r="CG281" s="2061"/>
      <c r="CH281" s="3963"/>
      <c r="CI281" s="3960"/>
      <c r="CJ281" s="3960"/>
      <c r="CK281" s="3960"/>
      <c r="CL281" s="3963"/>
      <c r="CM281" s="2061"/>
      <c r="CN281" s="3960"/>
      <c r="CO281" s="3960"/>
      <c r="CP281" s="3963"/>
      <c r="CQ281" s="3830"/>
      <c r="CR281" s="2061"/>
      <c r="CS281" s="2061"/>
      <c r="CT281" s="2611"/>
      <c r="CU281" s="68"/>
      <c r="CV281" s="68"/>
      <c r="CW281" s="68"/>
      <c r="CX281" s="68"/>
      <c r="CY281" s="68"/>
      <c r="CZ281" s="68"/>
      <c r="DA281" s="68"/>
    </row>
    <row r="282" spans="1:105" s="2060" customFormat="1" hidden="1" outlineLevel="2">
      <c r="A282" s="2234" t="s">
        <v>442</v>
      </c>
      <c r="B282" s="2234"/>
      <c r="C282" s="2234"/>
      <c r="D282" s="2234"/>
      <c r="E282" s="2234"/>
      <c r="F282" s="2234"/>
      <c r="G282" s="2234"/>
      <c r="H282" s="2234"/>
      <c r="I282" s="2234"/>
      <c r="J282" s="2234"/>
      <c r="K282" s="2234"/>
      <c r="L282" s="2235">
        <f>+SUM(BK282:BN282)</f>
        <v>923</v>
      </c>
      <c r="M282" s="2235">
        <f>+SUM(BO282:BR282)</f>
        <v>1039</v>
      </c>
      <c r="N282" s="2235"/>
      <c r="O282" s="2235"/>
      <c r="P282" s="2235"/>
      <c r="Q282" s="2235"/>
      <c r="R282" s="2235"/>
      <c r="S282" s="2235"/>
      <c r="T282" s="2235"/>
      <c r="U282" s="2235"/>
      <c r="V282" s="2235"/>
      <c r="W282" s="2235"/>
      <c r="X282" s="2235"/>
      <c r="Y282" s="2235"/>
      <c r="Z282" s="2235"/>
      <c r="AA282" s="2235"/>
      <c r="AB282" s="2235"/>
      <c r="AC282" s="2235"/>
      <c r="AD282" s="2235"/>
      <c r="AE282" s="2235"/>
      <c r="AF282" s="2235"/>
      <c r="AG282" s="2553"/>
      <c r="AH282" s="2767"/>
      <c r="AI282" s="2234"/>
      <c r="AJ282" s="2234"/>
      <c r="AK282" s="2234"/>
      <c r="AL282" s="2234"/>
      <c r="AM282" s="2234"/>
      <c r="AN282" s="2234"/>
      <c r="AO282" s="2234"/>
      <c r="AP282" s="2234"/>
      <c r="AQ282" s="2234"/>
      <c r="AR282" s="2234"/>
      <c r="AS282" s="2234"/>
      <c r="AT282" s="2234"/>
      <c r="AU282" s="2234"/>
      <c r="AV282" s="2234"/>
      <c r="AW282" s="2234"/>
      <c r="AX282" s="2234"/>
      <c r="AY282" s="2234"/>
      <c r="AZ282" s="2234"/>
      <c r="BA282" s="2234"/>
      <c r="BB282" s="2234"/>
      <c r="BC282" s="2236">
        <v>203.28300000000002</v>
      </c>
      <c r="BD282" s="2236">
        <v>212.941</v>
      </c>
      <c r="BE282" s="2236">
        <v>218.363</v>
      </c>
      <c r="BF282" s="2236">
        <v>222.45400000000001</v>
      </c>
      <c r="BG282" s="2236">
        <v>221.52299999999997</v>
      </c>
      <c r="BH282" s="2236">
        <v>219.86099999999999</v>
      </c>
      <c r="BI282" s="2236">
        <v>213.21100000000001</v>
      </c>
      <c r="BJ282" s="2236">
        <v>219.81899999999999</v>
      </c>
      <c r="BK282" s="2236">
        <v>213</v>
      </c>
      <c r="BL282" s="2236">
        <v>219</v>
      </c>
      <c r="BM282" s="2236">
        <v>240</v>
      </c>
      <c r="BN282" s="2236">
        <v>251</v>
      </c>
      <c r="BO282" s="2237">
        <v>256</v>
      </c>
      <c r="BP282" s="2236">
        <v>263</v>
      </c>
      <c r="BQ282" s="2236">
        <v>260</v>
      </c>
      <c r="BR282" s="2236">
        <v>260</v>
      </c>
      <c r="BS282" s="2237">
        <v>266</v>
      </c>
      <c r="BT282" s="2236">
        <v>278</v>
      </c>
      <c r="BU282" s="2196"/>
      <c r="BV282" s="2196"/>
      <c r="BW282" s="2197"/>
      <c r="BX282" s="2196"/>
      <c r="BY282" s="2196"/>
      <c r="BZ282" s="2587"/>
      <c r="CA282" s="2196"/>
      <c r="CB282" s="2196"/>
      <c r="CC282" s="2196"/>
      <c r="CD282" s="2587"/>
      <c r="CE282" s="2196"/>
      <c r="CF282" s="2196"/>
      <c r="CG282" s="2196"/>
      <c r="CH282" s="2587"/>
      <c r="CI282" s="2196"/>
      <c r="CJ282" s="2196"/>
      <c r="CK282" s="2196"/>
      <c r="CL282" s="2587"/>
      <c r="CM282" s="2196"/>
      <c r="CN282" s="2196"/>
      <c r="CO282" s="2196"/>
      <c r="CP282" s="2587"/>
      <c r="CQ282" s="2197"/>
      <c r="CR282" s="2196"/>
      <c r="CS282" s="2196"/>
      <c r="CT282" s="2587"/>
      <c r="CU282" s="68"/>
      <c r="CV282" s="68"/>
      <c r="CW282" s="68"/>
      <c r="CX282" s="68"/>
      <c r="CY282" s="68"/>
      <c r="CZ282" s="68"/>
      <c r="DA282" s="68"/>
    </row>
    <row r="283" spans="1:105" s="2060" customFormat="1" hidden="1" outlineLevel="2">
      <c r="A283" s="2233" t="s">
        <v>34</v>
      </c>
      <c r="B283" s="2061"/>
      <c r="C283" s="2061"/>
      <c r="D283" s="2061"/>
      <c r="E283" s="2061"/>
      <c r="F283" s="2061"/>
      <c r="G283" s="2061"/>
      <c r="H283" s="2061"/>
      <c r="I283" s="2061"/>
      <c r="J283" s="2061"/>
      <c r="K283" s="2061"/>
      <c r="L283" s="2238"/>
      <c r="M283" s="2238">
        <f>+M282/L282-1</f>
        <v>0.12567713976164674</v>
      </c>
      <c r="N283" s="2061"/>
      <c r="O283" s="2061"/>
      <c r="P283" s="2061"/>
      <c r="Q283" s="2061"/>
      <c r="R283" s="2061"/>
      <c r="S283" s="2061"/>
      <c r="T283" s="2061"/>
      <c r="U283" s="2061"/>
      <c r="V283" s="2061"/>
      <c r="W283" s="2061"/>
      <c r="X283" s="2061"/>
      <c r="Y283" s="2061"/>
      <c r="Z283" s="2061"/>
      <c r="AA283" s="2061"/>
      <c r="AB283" s="2061"/>
      <c r="AC283" s="2061"/>
      <c r="AD283" s="2061"/>
      <c r="AE283" s="2061"/>
      <c r="AF283" s="2061"/>
      <c r="AG283" s="2553"/>
      <c r="AH283" s="2768"/>
      <c r="AI283" s="2061"/>
      <c r="AJ283" s="2061"/>
      <c r="AK283" s="2061"/>
      <c r="AL283" s="2061"/>
      <c r="AM283" s="2061"/>
      <c r="AN283" s="2061"/>
      <c r="AO283" s="2061"/>
      <c r="AP283" s="2061"/>
      <c r="AQ283" s="2061"/>
      <c r="AR283" s="2061"/>
      <c r="AS283" s="2061"/>
      <c r="AT283" s="2061"/>
      <c r="AU283" s="2061"/>
      <c r="AV283" s="2061"/>
      <c r="AW283" s="2061"/>
      <c r="AX283" s="2061"/>
      <c r="AY283" s="2061"/>
      <c r="AZ283" s="2061"/>
      <c r="BA283" s="2061"/>
      <c r="BB283" s="2061"/>
      <c r="BC283" s="2239"/>
      <c r="BD283" s="2239">
        <f t="shared" ref="BD283:BN283" si="556">+BD282/BC282-1</f>
        <v>4.7510121357909885E-2</v>
      </c>
      <c r="BE283" s="2239">
        <f t="shared" si="556"/>
        <v>2.5462452040706074E-2</v>
      </c>
      <c r="BF283" s="2239">
        <f t="shared" si="556"/>
        <v>1.8734858927565545E-2</v>
      </c>
      <c r="BG283" s="2239">
        <f t="shared" si="556"/>
        <v>-4.1851349042949515E-3</v>
      </c>
      <c r="BH283" s="2239">
        <f t="shared" si="556"/>
        <v>-7.5026069527768247E-3</v>
      </c>
      <c r="BI283" s="2239">
        <f t="shared" si="556"/>
        <v>-3.024638294194959E-2</v>
      </c>
      <c r="BJ283" s="2239">
        <f t="shared" si="556"/>
        <v>3.0992772417933301E-2</v>
      </c>
      <c r="BK283" s="2239">
        <f t="shared" si="556"/>
        <v>-3.102097634872325E-2</v>
      </c>
      <c r="BL283" s="2239">
        <f t="shared" si="556"/>
        <v>2.8169014084507005E-2</v>
      </c>
      <c r="BM283" s="2239">
        <f t="shared" si="556"/>
        <v>9.5890410958904049E-2</v>
      </c>
      <c r="BN283" s="2239">
        <f t="shared" si="556"/>
        <v>4.5833333333333393E-2</v>
      </c>
      <c r="BO283" s="2240">
        <f t="shared" ref="BO283:BT283" si="557">BO282/BK282-1</f>
        <v>0.2018779342723005</v>
      </c>
      <c r="BP283" s="2239">
        <f t="shared" si="557"/>
        <v>0.20091324200913241</v>
      </c>
      <c r="BQ283" s="2239">
        <f t="shared" si="557"/>
        <v>8.3333333333333259E-2</v>
      </c>
      <c r="BR283" s="2239">
        <f t="shared" si="557"/>
        <v>3.5856573705179251E-2</v>
      </c>
      <c r="BS283" s="2240">
        <f t="shared" si="557"/>
        <v>3.90625E-2</v>
      </c>
      <c r="BT283" s="2152">
        <f t="shared" si="557"/>
        <v>5.7034220532319324E-2</v>
      </c>
      <c r="BU283" s="988"/>
      <c r="BV283" s="988"/>
      <c r="BW283" s="990"/>
      <c r="BX283" s="988"/>
      <c r="BY283" s="988"/>
      <c r="BZ283" s="989"/>
      <c r="CA283" s="988"/>
      <c r="CB283" s="988"/>
      <c r="CC283" s="988"/>
      <c r="CD283" s="989"/>
      <c r="CE283" s="2061"/>
      <c r="CF283" s="988"/>
      <c r="CG283" s="2061"/>
      <c r="CH283" s="989"/>
      <c r="CI283" s="988"/>
      <c r="CJ283" s="988"/>
      <c r="CK283" s="988"/>
      <c r="CL283" s="989"/>
      <c r="CM283" s="2061"/>
      <c r="CN283" s="988"/>
      <c r="CO283" s="988"/>
      <c r="CP283" s="989"/>
      <c r="CQ283" s="3830"/>
      <c r="CR283" s="2061"/>
      <c r="CS283" s="2061"/>
      <c r="CT283" s="2611"/>
      <c r="CU283" s="68"/>
      <c r="CV283" s="68"/>
      <c r="CW283" s="68"/>
      <c r="CX283" s="68"/>
      <c r="CY283" s="68"/>
      <c r="CZ283" s="68"/>
      <c r="DA283" s="68"/>
    </row>
    <row r="284" spans="1:105" s="2060" customFormat="1" hidden="1" outlineLevel="2">
      <c r="A284" s="2233" t="s">
        <v>947</v>
      </c>
      <c r="B284" s="2061"/>
      <c r="C284" s="2061"/>
      <c r="D284" s="2061"/>
      <c r="E284" s="2061"/>
      <c r="F284" s="2061"/>
      <c r="G284" s="2061"/>
      <c r="H284" s="2061"/>
      <c r="I284" s="2061"/>
      <c r="J284" s="2061"/>
      <c r="K284" s="2061"/>
      <c r="L284" s="2061"/>
      <c r="M284" s="2061"/>
      <c r="N284" s="2238"/>
      <c r="O284" s="2238"/>
      <c r="P284" s="2238"/>
      <c r="Q284" s="2238"/>
      <c r="R284" s="2238"/>
      <c r="S284" s="2238"/>
      <c r="T284" s="2238"/>
      <c r="U284" s="2238"/>
      <c r="V284" s="2238"/>
      <c r="W284" s="2238"/>
      <c r="X284" s="2238"/>
      <c r="Y284" s="2238"/>
      <c r="Z284" s="2238"/>
      <c r="AA284" s="2238"/>
      <c r="AB284" s="2238"/>
      <c r="AC284" s="2238"/>
      <c r="AD284" s="2238"/>
      <c r="AE284" s="2238"/>
      <c r="AF284" s="2238"/>
      <c r="AG284" s="2553"/>
      <c r="AH284" s="2768"/>
      <c r="AI284" s="2061"/>
      <c r="AJ284" s="2061"/>
      <c r="AK284" s="2061"/>
      <c r="AL284" s="2061"/>
      <c r="AM284" s="2061"/>
      <c r="AN284" s="2061"/>
      <c r="AO284" s="2061"/>
      <c r="AP284" s="2061"/>
      <c r="AQ284" s="2061"/>
      <c r="AR284" s="2061"/>
      <c r="AS284" s="2061"/>
      <c r="AT284" s="2061"/>
      <c r="AU284" s="2061"/>
      <c r="AV284" s="2061"/>
      <c r="AW284" s="2061"/>
      <c r="AX284" s="2061"/>
      <c r="AY284" s="2061"/>
      <c r="AZ284" s="2061"/>
      <c r="BA284" s="2061"/>
      <c r="BB284" s="2061"/>
      <c r="BC284" s="2061"/>
      <c r="BD284" s="2061"/>
      <c r="BE284" s="2061"/>
      <c r="BF284" s="2061"/>
      <c r="BG284" s="2239">
        <f t="shared" ref="BG284:BN284" si="558">+BG282/BC282-1</f>
        <v>8.9727129174598685E-2</v>
      </c>
      <c r="BH284" s="2239">
        <f t="shared" si="558"/>
        <v>3.2497264500495282E-2</v>
      </c>
      <c r="BI284" s="2239">
        <f t="shared" si="558"/>
        <v>-2.3593740697828824E-2</v>
      </c>
      <c r="BJ284" s="2239">
        <f t="shared" si="558"/>
        <v>-1.1845145513229793E-2</v>
      </c>
      <c r="BK284" s="2239">
        <f t="shared" si="558"/>
        <v>-3.8474560203680785E-2</v>
      </c>
      <c r="BL284" s="2239">
        <f t="shared" si="558"/>
        <v>-3.9161106335365847E-3</v>
      </c>
      <c r="BM284" s="2239">
        <f t="shared" si="558"/>
        <v>0.12564548733414305</v>
      </c>
      <c r="BN284" s="2239">
        <f t="shared" si="558"/>
        <v>0.14184852082849986</v>
      </c>
      <c r="BO284" s="2240">
        <f t="shared" ref="BO284:BT284" si="559">BO282/BN282-1</f>
        <v>1.9920318725099584E-2</v>
      </c>
      <c r="BP284" s="2239">
        <f t="shared" si="559"/>
        <v>2.734375E-2</v>
      </c>
      <c r="BQ284" s="2239">
        <f t="shared" si="559"/>
        <v>-1.1406844106463865E-2</v>
      </c>
      <c r="BR284" s="2239">
        <f t="shared" si="559"/>
        <v>0</v>
      </c>
      <c r="BS284" s="2240">
        <f t="shared" si="559"/>
        <v>2.3076923076922995E-2</v>
      </c>
      <c r="BT284" s="2152">
        <f t="shared" si="559"/>
        <v>4.5112781954887327E-2</v>
      </c>
      <c r="BU284" s="988"/>
      <c r="BV284" s="988"/>
      <c r="BW284" s="990"/>
      <c r="BX284" s="988"/>
      <c r="BY284" s="988"/>
      <c r="BZ284" s="989"/>
      <c r="CA284" s="988"/>
      <c r="CB284" s="988"/>
      <c r="CC284" s="988"/>
      <c r="CD284" s="989"/>
      <c r="CE284" s="2061"/>
      <c r="CF284" s="988"/>
      <c r="CG284" s="2061"/>
      <c r="CH284" s="989"/>
      <c r="CI284" s="988"/>
      <c r="CJ284" s="988"/>
      <c r="CK284" s="988"/>
      <c r="CL284" s="989"/>
      <c r="CM284" s="2061"/>
      <c r="CN284" s="988"/>
      <c r="CO284" s="988"/>
      <c r="CP284" s="989"/>
      <c r="CQ284" s="3830"/>
      <c r="CR284" s="2061"/>
      <c r="CS284" s="2061"/>
      <c r="CT284" s="2611"/>
      <c r="CU284" s="68"/>
      <c r="CV284" s="68"/>
      <c r="CW284" s="68"/>
      <c r="CX284" s="68"/>
      <c r="CY284" s="68"/>
      <c r="CZ284" s="68"/>
      <c r="DA284" s="68"/>
    </row>
    <row r="285" spans="1:105" hidden="1" outlineLevel="2">
      <c r="A285" s="2072"/>
      <c r="B285" s="4006"/>
      <c r="C285" s="4006"/>
      <c r="D285" s="4006"/>
      <c r="E285" s="4006"/>
      <c r="F285" s="4006"/>
      <c r="G285" s="4006"/>
      <c r="H285" s="4006"/>
      <c r="I285" s="4006"/>
      <c r="J285" s="4006"/>
      <c r="K285" s="4006"/>
      <c r="L285" s="4006"/>
      <c r="M285" s="4006"/>
      <c r="N285" s="4006"/>
      <c r="O285" s="4006"/>
      <c r="P285" s="4006"/>
      <c r="Q285" s="4006"/>
      <c r="R285" s="4006"/>
      <c r="S285" s="4006"/>
      <c r="T285" s="4006"/>
      <c r="U285" s="4006"/>
      <c r="V285" s="4006"/>
      <c r="W285" s="4006"/>
      <c r="X285" s="4006"/>
      <c r="Y285" s="4006"/>
      <c r="Z285" s="4006"/>
      <c r="AA285" s="4006"/>
      <c r="AB285" s="4006"/>
      <c r="AC285" s="4006"/>
      <c r="AD285" s="4006"/>
      <c r="AE285" s="4006"/>
      <c r="AF285" s="4006"/>
      <c r="AG285" s="2553"/>
      <c r="AH285" s="3988"/>
      <c r="AI285" s="4006"/>
      <c r="AJ285" s="4006"/>
      <c r="AK285" s="4006"/>
      <c r="AL285" s="4006"/>
      <c r="AM285" s="4006"/>
      <c r="AN285" s="4006"/>
      <c r="AO285" s="4006"/>
      <c r="AP285" s="4006"/>
      <c r="AQ285" s="4006"/>
      <c r="AR285" s="4006"/>
      <c r="AS285" s="4006"/>
      <c r="AT285" s="4006"/>
      <c r="AU285" s="4006"/>
      <c r="AV285" s="4006"/>
      <c r="AW285" s="4006"/>
      <c r="AX285" s="4006"/>
      <c r="AY285" s="4006"/>
      <c r="AZ285" s="4006"/>
      <c r="BA285" s="4006"/>
      <c r="BB285" s="4006"/>
      <c r="BC285" s="4007"/>
      <c r="BD285" s="4008"/>
      <c r="BE285" s="4008"/>
      <c r="BF285" s="4008"/>
      <c r="BG285" s="4007"/>
      <c r="BH285" s="4008"/>
      <c r="BI285" s="4008"/>
      <c r="BJ285" s="4008"/>
      <c r="BK285" s="4009"/>
      <c r="BL285" s="4009"/>
      <c r="BM285" s="4009"/>
      <c r="BN285" s="4009"/>
      <c r="BO285" s="4010"/>
      <c r="BP285" s="4009"/>
      <c r="BQ285" s="4009"/>
      <c r="BR285" s="4009"/>
      <c r="BS285" s="4010"/>
      <c r="BT285" s="4009"/>
      <c r="BU285" s="4009"/>
      <c r="BV285" s="4009"/>
      <c r="BW285" s="4009"/>
      <c r="BX285" s="4009"/>
      <c r="BY285" s="4009"/>
      <c r="BZ285" s="4011"/>
      <c r="CA285" s="4009"/>
      <c r="CB285" s="4009"/>
      <c r="CC285" s="4009"/>
      <c r="CD285" s="4011"/>
      <c r="CE285" s="4009"/>
      <c r="CF285" s="4009"/>
      <c r="CG285" s="4009"/>
      <c r="CH285" s="4011"/>
      <c r="CI285" s="4009"/>
      <c r="CJ285" s="4009"/>
      <c r="CK285" s="4009"/>
      <c r="CL285" s="4011"/>
      <c r="CM285" s="4009"/>
      <c r="CN285" s="4009"/>
      <c r="CO285" s="4009"/>
      <c r="CP285" s="4011"/>
      <c r="CQ285" s="4010"/>
      <c r="CR285" s="4009"/>
      <c r="CS285" s="4009"/>
      <c r="CT285" s="4011"/>
    </row>
    <row r="286" spans="1:105" ht="13.5" hidden="1" customHeight="1" outlineLevel="2">
      <c r="A286" s="4012"/>
      <c r="B286" s="3876"/>
      <c r="C286" s="3876"/>
      <c r="D286" s="3876"/>
      <c r="E286" s="3876"/>
      <c r="F286" s="3876"/>
      <c r="G286" s="3876"/>
      <c r="H286" s="3876"/>
      <c r="I286" s="3876"/>
      <c r="J286" s="3876"/>
      <c r="K286" s="3876"/>
      <c r="L286" s="3876"/>
      <c r="M286" s="3938"/>
      <c r="N286" s="3938"/>
      <c r="O286" s="3938"/>
      <c r="P286" s="1899"/>
      <c r="Q286" s="1899"/>
      <c r="R286" s="1899"/>
      <c r="S286" s="1899"/>
      <c r="T286" s="1899"/>
      <c r="U286" s="1899"/>
      <c r="V286" s="1899"/>
      <c r="W286" s="1899"/>
      <c r="X286" s="1899"/>
      <c r="Y286" s="1899"/>
      <c r="Z286" s="1899"/>
      <c r="AA286" s="1899"/>
      <c r="AB286" s="1899"/>
      <c r="AC286" s="1899"/>
      <c r="AD286" s="1899"/>
      <c r="AE286" s="1899"/>
      <c r="AF286" s="1899"/>
      <c r="AG286" s="2553"/>
      <c r="AH286" s="3921"/>
      <c r="AI286" s="3876"/>
      <c r="AJ286" s="3876"/>
      <c r="AK286" s="3876"/>
      <c r="AL286" s="3876"/>
      <c r="AM286" s="3876"/>
      <c r="AN286" s="3876"/>
      <c r="AO286" s="3876"/>
      <c r="AP286" s="3876"/>
      <c r="AQ286" s="3876"/>
      <c r="AR286" s="3876"/>
      <c r="AS286" s="3876"/>
      <c r="AT286" s="3876"/>
      <c r="AU286" s="3876"/>
      <c r="AV286" s="3876"/>
      <c r="AW286" s="3876"/>
      <c r="AX286" s="3876"/>
      <c r="AY286" s="3876"/>
      <c r="AZ286" s="3876"/>
      <c r="BA286" s="3876"/>
      <c r="BB286" s="3876"/>
      <c r="BC286" s="3876"/>
      <c r="BD286" s="3876"/>
      <c r="BE286" s="3876"/>
      <c r="BF286" s="3876"/>
      <c r="BG286" s="3942"/>
      <c r="BH286" s="3942"/>
      <c r="BI286" s="3942"/>
      <c r="BJ286" s="3942"/>
      <c r="BK286" s="3942"/>
      <c r="BL286" s="3942"/>
      <c r="BM286" s="3942"/>
      <c r="BN286" s="3942"/>
      <c r="BO286" s="3946"/>
      <c r="BP286" s="3942"/>
      <c r="BQ286" s="3942"/>
      <c r="BR286" s="3942"/>
      <c r="BS286" s="3946"/>
      <c r="BT286" s="3942"/>
      <c r="BU286" s="3942"/>
      <c r="BV286" s="3942"/>
      <c r="BW286" s="4013"/>
      <c r="BX286" s="4014"/>
      <c r="BY286" s="4014"/>
      <c r="BZ286" s="4014"/>
      <c r="CA286" s="4014"/>
      <c r="CB286" s="4014"/>
      <c r="CC286" s="4014"/>
      <c r="CD286" s="4014"/>
      <c r="CE286" s="4014"/>
      <c r="CF286" s="4014"/>
      <c r="CG286" s="4014"/>
      <c r="CH286" s="4014"/>
      <c r="CI286" s="4015"/>
      <c r="CJ286" s="4015"/>
      <c r="CK286" s="4015"/>
      <c r="CL286" s="4015"/>
      <c r="CM286" s="4015"/>
      <c r="CN286" s="4015"/>
      <c r="CO286" s="4015"/>
      <c r="CP286" s="4015"/>
      <c r="CQ286" s="3933"/>
    </row>
    <row r="287" spans="1:105" hidden="1" outlineLevel="2">
      <c r="A287" s="3927" t="s">
        <v>1279</v>
      </c>
      <c r="B287" s="3876"/>
      <c r="C287" s="3876"/>
      <c r="D287" s="3876"/>
      <c r="E287" s="3876"/>
      <c r="F287" s="3876"/>
      <c r="G287" s="3876"/>
      <c r="H287" s="3876"/>
      <c r="I287" s="3876"/>
      <c r="J287" s="3876"/>
      <c r="K287" s="3876"/>
      <c r="L287" s="3876"/>
      <c r="N287" s="3938"/>
      <c r="O287" s="2710"/>
      <c r="P287" s="2711">
        <f>SUM(CA287:CD287)</f>
        <v>2579</v>
      </c>
      <c r="Q287" s="2711">
        <f>SUM(CE287:CH287)</f>
        <v>2816</v>
      </c>
      <c r="R287" s="2711">
        <f>SUM(CI287:CL287)</f>
        <v>2990</v>
      </c>
      <c r="S287" s="2711"/>
      <c r="T287" s="2711"/>
      <c r="U287" s="2711"/>
      <c r="V287" s="2711"/>
      <c r="W287" s="2711"/>
      <c r="X287" s="2711"/>
      <c r="Y287" s="2711"/>
      <c r="Z287" s="2711"/>
      <c r="AA287" s="2711"/>
      <c r="AB287" s="2711"/>
      <c r="AC287" s="2711"/>
      <c r="AD287" s="2711"/>
      <c r="AE287" s="2711"/>
      <c r="AF287" s="2711"/>
      <c r="AG287" s="2553"/>
      <c r="AH287" s="3921"/>
      <c r="AI287" s="3876"/>
      <c r="AJ287" s="3876"/>
      <c r="AK287" s="3876"/>
      <c r="AL287" s="3876"/>
      <c r="AM287" s="3876"/>
      <c r="AN287" s="3876"/>
      <c r="AO287" s="3876"/>
      <c r="AP287" s="3876"/>
      <c r="AQ287" s="3876"/>
      <c r="AR287" s="3876"/>
      <c r="AS287" s="3876"/>
      <c r="AT287" s="3876"/>
      <c r="AU287" s="3876"/>
      <c r="AV287" s="3876"/>
      <c r="AW287" s="3876"/>
      <c r="AX287" s="3876"/>
      <c r="AY287" s="3876"/>
      <c r="AZ287" s="3876"/>
      <c r="BA287" s="3876"/>
      <c r="BB287" s="3876"/>
      <c r="BC287" s="3876"/>
      <c r="BD287" s="3876"/>
      <c r="BE287" s="3876"/>
      <c r="BF287" s="3876"/>
      <c r="BG287" s="3942"/>
      <c r="BH287" s="3942"/>
      <c r="BI287" s="3942"/>
      <c r="BJ287" s="3942"/>
      <c r="BK287" s="3942"/>
      <c r="BL287" s="3942"/>
      <c r="BM287" s="3942"/>
      <c r="BN287" s="3942"/>
      <c r="BO287" s="3942"/>
      <c r="BP287" s="3942"/>
      <c r="BQ287" s="3942"/>
      <c r="BR287" s="3942"/>
      <c r="BS287" s="3942"/>
      <c r="BT287" s="3942"/>
      <c r="BU287" s="3942"/>
      <c r="BV287" s="3942"/>
      <c r="BW287" s="4016"/>
      <c r="BX287" s="4015"/>
      <c r="BY287" s="2697">
        <v>561</v>
      </c>
      <c r="BZ287" s="2698">
        <v>600</v>
      </c>
      <c r="CA287" s="2719">
        <v>617</v>
      </c>
      <c r="CB287" s="2720">
        <v>632</v>
      </c>
      <c r="CC287" s="2720">
        <v>655</v>
      </c>
      <c r="CD287" s="2722">
        <v>675</v>
      </c>
      <c r="CE287" s="2926">
        <v>687</v>
      </c>
      <c r="CF287" s="2926">
        <v>697</v>
      </c>
      <c r="CG287" s="2926">
        <v>699</v>
      </c>
      <c r="CH287" s="2927">
        <v>733</v>
      </c>
      <c r="CI287" s="2928">
        <v>738</v>
      </c>
      <c r="CJ287" s="2928">
        <v>753</v>
      </c>
      <c r="CK287" s="2928">
        <v>744</v>
      </c>
      <c r="CL287" s="2928">
        <v>755</v>
      </c>
      <c r="CM287" s="2695"/>
      <c r="CN287" s="2928"/>
      <c r="CO287" s="2928"/>
      <c r="CP287" s="2928"/>
      <c r="CQ287" s="3831"/>
      <c r="CR287" s="2695"/>
      <c r="CS287" s="2695"/>
      <c r="CT287" s="2696"/>
    </row>
    <row r="288" spans="1:105" hidden="1" outlineLevel="2">
      <c r="A288" s="4017" t="s">
        <v>34</v>
      </c>
      <c r="B288" s="114"/>
      <c r="C288" s="114"/>
      <c r="D288" s="114"/>
      <c r="E288" s="114"/>
      <c r="F288" s="114"/>
      <c r="G288" s="114"/>
      <c r="H288" s="114"/>
      <c r="I288" s="114"/>
      <c r="J288" s="114"/>
      <c r="K288" s="114"/>
      <c r="L288" s="150"/>
      <c r="M288" s="150"/>
      <c r="N288" s="150"/>
      <c r="O288" s="3975"/>
      <c r="P288" s="3966"/>
      <c r="Q288" s="3942">
        <f>+Q287/P287-1</f>
        <v>9.1896083753392865E-2</v>
      </c>
      <c r="R288" s="3942">
        <f>+R287/Q287-1</f>
        <v>6.1789772727272707E-2</v>
      </c>
      <c r="S288" s="3942"/>
      <c r="T288" s="3942"/>
      <c r="U288" s="4018"/>
      <c r="V288" s="4018"/>
      <c r="W288" s="4018"/>
      <c r="X288" s="4018"/>
      <c r="Y288" s="4018"/>
      <c r="Z288" s="4018"/>
      <c r="AA288" s="4018"/>
      <c r="AB288" s="4018"/>
      <c r="AC288" s="4018"/>
      <c r="AD288" s="4018"/>
      <c r="AE288" s="4018"/>
      <c r="AF288" s="4018"/>
      <c r="AG288" s="2553"/>
      <c r="AH288" s="2714"/>
      <c r="AI288" s="114"/>
      <c r="AJ288" s="114"/>
      <c r="AK288" s="114"/>
      <c r="AL288" s="114"/>
      <c r="AM288" s="114"/>
      <c r="AN288" s="114"/>
      <c r="AO288" s="114"/>
      <c r="AP288" s="114"/>
      <c r="AQ288" s="114"/>
      <c r="AR288" s="114"/>
      <c r="AS288" s="114"/>
      <c r="AT288" s="114"/>
      <c r="AU288" s="114"/>
      <c r="AV288" s="114"/>
      <c r="AW288" s="114"/>
      <c r="AX288" s="114"/>
      <c r="AY288" s="114"/>
      <c r="AZ288" s="114"/>
      <c r="BA288" s="114"/>
      <c r="BB288" s="114"/>
      <c r="BC288" s="2050"/>
      <c r="BD288" s="2067"/>
      <c r="BE288" s="2067"/>
      <c r="BF288" s="2067"/>
      <c r="BG288" s="2050"/>
      <c r="BH288" s="2067"/>
      <c r="BI288" s="2067"/>
      <c r="BJ288" s="2067"/>
      <c r="BK288" s="2045"/>
      <c r="BL288" s="2047"/>
      <c r="BM288" s="2047"/>
      <c r="BN288" s="2047"/>
      <c r="BO288" s="2301"/>
      <c r="BP288" s="2302"/>
      <c r="BQ288" s="2302"/>
      <c r="BR288" s="2303"/>
      <c r="BS288" s="3967" t="e">
        <f>+BS287/BO287-1</f>
        <v>#DIV/0!</v>
      </c>
      <c r="BT288" s="3967" t="e">
        <f>+BT287/BP287-1</f>
        <v>#DIV/0!</v>
      </c>
      <c r="BU288" s="3967" t="e">
        <f>+BU287/BQ287-1</f>
        <v>#DIV/0!</v>
      </c>
      <c r="BV288" s="3967" t="e">
        <f>+BV287/BR287-1</f>
        <v>#DIV/0!</v>
      </c>
      <c r="BW288" s="3971"/>
      <c r="BX288" s="3967"/>
      <c r="BY288" s="3967"/>
      <c r="BZ288" s="3972"/>
      <c r="CA288" s="3971"/>
      <c r="CB288" s="3967"/>
      <c r="CC288" s="3967">
        <f t="shared" ref="CC288:CH288" si="560">+CC287/BY287-1</f>
        <v>0.16755793226381455</v>
      </c>
      <c r="CD288" s="3972">
        <f t="shared" si="560"/>
        <v>0.125</v>
      </c>
      <c r="CE288" s="3967">
        <f t="shared" si="560"/>
        <v>0.11345218800648293</v>
      </c>
      <c r="CF288" s="3967">
        <f t="shared" si="560"/>
        <v>0.10284810126582289</v>
      </c>
      <c r="CG288" s="3967">
        <f t="shared" si="560"/>
        <v>6.7175572519083904E-2</v>
      </c>
      <c r="CH288" s="3972">
        <f t="shared" si="560"/>
        <v>8.5925925925925961E-2</v>
      </c>
      <c r="CI288" s="3967">
        <f>+CI287/CE287-1</f>
        <v>7.4235807860262071E-2</v>
      </c>
      <c r="CJ288" s="3967">
        <f>+CJ287/CF287-1</f>
        <v>8.0344332855093237E-2</v>
      </c>
      <c r="CK288" s="3967">
        <f>+CK287/CG287-1</f>
        <v>6.4377682403433445E-2</v>
      </c>
      <c r="CL288" s="3967">
        <f>+CL287/CH287-1</f>
        <v>3.0013642564802101E-2</v>
      </c>
      <c r="CM288" s="4018"/>
      <c r="CN288" s="3967"/>
      <c r="CO288" s="3967"/>
      <c r="CP288" s="3967"/>
      <c r="CQ288" s="4019"/>
      <c r="CR288" s="4018"/>
      <c r="CS288" s="4018"/>
      <c r="CT288" s="4020"/>
    </row>
    <row r="289" spans="1:98" hidden="1" outlineLevel="2">
      <c r="A289" s="4017" t="s">
        <v>947</v>
      </c>
      <c r="B289" s="3960"/>
      <c r="C289" s="3960"/>
      <c r="D289" s="3960"/>
      <c r="E289" s="3960"/>
      <c r="F289" s="3960"/>
      <c r="G289" s="3960"/>
      <c r="H289" s="3960"/>
      <c r="I289" s="3960"/>
      <c r="J289" s="3960"/>
      <c r="K289" s="3960"/>
      <c r="L289" s="3960"/>
      <c r="M289" s="3960"/>
      <c r="N289" s="3939"/>
      <c r="O289" s="3975"/>
      <c r="P289" s="3966"/>
      <c r="Q289" s="2033">
        <f>+Q290-P290</f>
        <v>-35</v>
      </c>
      <c r="R289" s="2033">
        <f>+R290-Q290</f>
        <v>-71</v>
      </c>
      <c r="S289" s="2033"/>
      <c r="T289" s="2033"/>
      <c r="U289" s="355"/>
      <c r="V289" s="355"/>
      <c r="W289" s="355"/>
      <c r="X289" s="355"/>
      <c r="Y289" s="355"/>
      <c r="Z289" s="355"/>
      <c r="AA289" s="355"/>
      <c r="AB289" s="355"/>
      <c r="AC289" s="355"/>
      <c r="AD289" s="355"/>
      <c r="AE289" s="355"/>
      <c r="AF289" s="355"/>
      <c r="AG289" s="2553"/>
      <c r="AH289" s="3921"/>
      <c r="AI289" s="3960"/>
      <c r="AJ289" s="3960"/>
      <c r="AK289" s="3960"/>
      <c r="AL289" s="3960"/>
      <c r="AM289" s="3960"/>
      <c r="AN289" s="3960"/>
      <c r="AO289" s="3960"/>
      <c r="AP289" s="3960"/>
      <c r="AQ289" s="3960"/>
      <c r="AR289" s="3960"/>
      <c r="AS289" s="3960"/>
      <c r="AT289" s="3960"/>
      <c r="AU289" s="3960"/>
      <c r="AV289" s="3960"/>
      <c r="AW289" s="3960"/>
      <c r="AX289" s="3960"/>
      <c r="AY289" s="3960"/>
      <c r="AZ289" s="3960"/>
      <c r="BA289" s="3960"/>
      <c r="BB289" s="3960"/>
      <c r="BC289" s="3961"/>
      <c r="BD289" s="3962"/>
      <c r="BE289" s="3962"/>
      <c r="BF289" s="3962"/>
      <c r="BG289" s="3961"/>
      <c r="BH289" s="3962"/>
      <c r="BI289" s="3962"/>
      <c r="BJ289" s="3962"/>
      <c r="BK289" s="2051"/>
      <c r="BL289" s="2069"/>
      <c r="BM289" s="2069"/>
      <c r="BN289" s="2069"/>
      <c r="BO289" s="3968"/>
      <c r="BP289" s="3969"/>
      <c r="BQ289" s="3969"/>
      <c r="BR289" s="3970"/>
      <c r="BS289" s="3967" t="e">
        <f>+BS287/BR287-1</f>
        <v>#DIV/0!</v>
      </c>
      <c r="BT289" s="3967" t="e">
        <f>+BT287/BS287-1</f>
        <v>#DIV/0!</v>
      </c>
      <c r="BU289" s="3967" t="e">
        <f>+BU287/BT287-1</f>
        <v>#DIV/0!</v>
      </c>
      <c r="BV289" s="3967" t="e">
        <f>+BV287/BU287-1</f>
        <v>#DIV/0!</v>
      </c>
      <c r="BW289" s="3971"/>
      <c r="BX289" s="3967"/>
      <c r="BY289" s="3967"/>
      <c r="BZ289" s="3972">
        <f t="shared" ref="BZ289:CF289" si="561">+BZ287/BY287-1</f>
        <v>6.9518716577540163E-2</v>
      </c>
      <c r="CA289" s="3971">
        <f t="shared" si="561"/>
        <v>2.8333333333333321E-2</v>
      </c>
      <c r="CB289" s="3967">
        <f t="shared" si="561"/>
        <v>2.4311183144246407E-2</v>
      </c>
      <c r="CC289" s="3967">
        <f t="shared" si="561"/>
        <v>3.6392405063291111E-2</v>
      </c>
      <c r="CD289" s="3972">
        <f t="shared" si="561"/>
        <v>3.0534351145038219E-2</v>
      </c>
      <c r="CE289" s="3967">
        <f t="shared" si="561"/>
        <v>1.777777777777767E-2</v>
      </c>
      <c r="CF289" s="3967">
        <f t="shared" si="561"/>
        <v>1.4556040756914079E-2</v>
      </c>
      <c r="CG289" s="3967">
        <f t="shared" ref="CG289:CL289" si="562">+CG287/CF287-1</f>
        <v>2.8694404591105283E-3</v>
      </c>
      <c r="CH289" s="3972">
        <f t="shared" si="562"/>
        <v>4.8640915593705314E-2</v>
      </c>
      <c r="CI289" s="3967">
        <f t="shared" si="562"/>
        <v>6.8212824010913664E-3</v>
      </c>
      <c r="CJ289" s="3967">
        <f t="shared" si="562"/>
        <v>2.0325203252032464E-2</v>
      </c>
      <c r="CK289" s="3967">
        <f t="shared" si="562"/>
        <v>-1.195219123505975E-2</v>
      </c>
      <c r="CL289" s="3967">
        <f t="shared" si="562"/>
        <v>1.4784946236559238E-2</v>
      </c>
      <c r="CM289" s="3967"/>
      <c r="CN289" s="3967"/>
      <c r="CO289" s="3967"/>
      <c r="CP289" s="3967"/>
      <c r="CQ289" s="3971"/>
      <c r="CR289" s="3967"/>
      <c r="CS289" s="3967"/>
      <c r="CT289" s="3972"/>
    </row>
    <row r="290" spans="1:98" hidden="1" outlineLevel="2">
      <c r="A290" s="3921" t="s">
        <v>1280</v>
      </c>
      <c r="B290" s="3876"/>
      <c r="C290" s="3876"/>
      <c r="D290" s="3876"/>
      <c r="E290" s="3876"/>
      <c r="F290" s="3876"/>
      <c r="G290" s="3876"/>
      <c r="H290" s="3876"/>
      <c r="I290" s="3876"/>
      <c r="J290" s="3876"/>
      <c r="K290" s="3876"/>
      <c r="L290" s="3876"/>
      <c r="N290" s="3938"/>
      <c r="O290" s="2712"/>
      <c r="P290" s="2033">
        <f>SUM(CA290:CD290)</f>
        <v>1316</v>
      </c>
      <c r="Q290" s="2033">
        <f>SUM(CE290:CH290)</f>
        <v>1281</v>
      </c>
      <c r="R290" s="2033">
        <f>SUM(CI290:CL290)</f>
        <v>1210</v>
      </c>
      <c r="S290" s="2033"/>
      <c r="T290" s="2033"/>
      <c r="U290" s="2033"/>
      <c r="V290" s="2033"/>
      <c r="W290" s="2033"/>
      <c r="X290" s="2033"/>
      <c r="Y290" s="2033"/>
      <c r="Z290" s="2033"/>
      <c r="AA290" s="2033"/>
      <c r="AB290" s="2033"/>
      <c r="AC290" s="2033"/>
      <c r="AD290" s="2033"/>
      <c r="AE290" s="2033"/>
      <c r="AF290" s="2033"/>
      <c r="AG290" s="2553"/>
      <c r="AH290" s="3921"/>
      <c r="AI290" s="3876"/>
      <c r="AJ290" s="3876"/>
      <c r="AK290" s="3876"/>
      <c r="AL290" s="3876"/>
      <c r="AM290" s="3876"/>
      <c r="AN290" s="3876"/>
      <c r="AO290" s="3876"/>
      <c r="AP290" s="3876"/>
      <c r="AQ290" s="3876"/>
      <c r="AR290" s="3876"/>
      <c r="AS290" s="3876"/>
      <c r="AT290" s="3876"/>
      <c r="AU290" s="3876"/>
      <c r="AV290" s="3876"/>
      <c r="AW290" s="3876"/>
      <c r="AX290" s="3876"/>
      <c r="AY290" s="3876"/>
      <c r="AZ290" s="3876"/>
      <c r="BA290" s="3876"/>
      <c r="BB290" s="3876"/>
      <c r="BC290" s="3876"/>
      <c r="BD290" s="3876"/>
      <c r="BE290" s="3876"/>
      <c r="BF290" s="3876"/>
      <c r="BG290" s="3942"/>
      <c r="BH290" s="3942"/>
      <c r="BI290" s="3942"/>
      <c r="BJ290" s="3942"/>
      <c r="BK290" s="3942"/>
      <c r="BL290" s="3942"/>
      <c r="BM290" s="3942"/>
      <c r="BN290" s="3942"/>
      <c r="BO290" s="3942"/>
      <c r="BP290" s="3942"/>
      <c r="BQ290" s="3942"/>
      <c r="BR290" s="3942"/>
      <c r="BS290" s="3942"/>
      <c r="BT290" s="3942"/>
      <c r="BU290" s="3942"/>
      <c r="BV290" s="3942"/>
      <c r="BW290" s="3946"/>
      <c r="BX290" s="3942"/>
      <c r="BY290" s="2695">
        <v>319</v>
      </c>
      <c r="BZ290" s="2696">
        <v>325</v>
      </c>
      <c r="CA290" s="2721">
        <v>328</v>
      </c>
      <c r="CB290" s="2718">
        <v>329</v>
      </c>
      <c r="CC290" s="2718">
        <v>331</v>
      </c>
      <c r="CD290" s="2723">
        <v>328</v>
      </c>
      <c r="CE290" s="2928">
        <v>318</v>
      </c>
      <c r="CF290" s="2928">
        <v>319</v>
      </c>
      <c r="CG290" s="2928">
        <v>324</v>
      </c>
      <c r="CH290" s="2929">
        <v>320</v>
      </c>
      <c r="CI290" s="2928">
        <v>307</v>
      </c>
      <c r="CJ290" s="2928">
        <v>305</v>
      </c>
      <c r="CK290" s="2928">
        <v>303</v>
      </c>
      <c r="CL290" s="2928">
        <v>295</v>
      </c>
      <c r="CM290" s="2695"/>
      <c r="CN290" s="2928"/>
      <c r="CO290" s="2928"/>
      <c r="CP290" s="2928"/>
      <c r="CQ290" s="3831"/>
      <c r="CR290" s="2695"/>
      <c r="CS290" s="2695"/>
      <c r="CT290" s="2696"/>
    </row>
    <row r="291" spans="1:98" hidden="1" outlineLevel="2">
      <c r="A291" s="4017" t="s">
        <v>34</v>
      </c>
      <c r="B291" s="114"/>
      <c r="C291" s="114"/>
      <c r="D291" s="114"/>
      <c r="E291" s="114"/>
      <c r="F291" s="114"/>
      <c r="G291" s="114"/>
      <c r="H291" s="114"/>
      <c r="I291" s="114"/>
      <c r="J291" s="114"/>
      <c r="K291" s="114"/>
      <c r="L291" s="150"/>
      <c r="M291" s="150"/>
      <c r="N291" s="150"/>
      <c r="O291" s="3975"/>
      <c r="P291" s="3966"/>
      <c r="Q291" s="3942">
        <f>+Q290/P290-1</f>
        <v>-2.6595744680851019E-2</v>
      </c>
      <c r="R291" s="3942">
        <f>+R290/Q290-1</f>
        <v>-5.5425448868071769E-2</v>
      </c>
      <c r="S291" s="3942"/>
      <c r="T291" s="3942"/>
      <c r="U291" s="4018"/>
      <c r="V291" s="4018"/>
      <c r="W291" s="4018"/>
      <c r="X291" s="4018"/>
      <c r="Y291" s="4018"/>
      <c r="Z291" s="4018"/>
      <c r="AA291" s="4018"/>
      <c r="AB291" s="4018"/>
      <c r="AC291" s="4018"/>
      <c r="AD291" s="4018"/>
      <c r="AE291" s="4018"/>
      <c r="AF291" s="4018"/>
      <c r="AG291" s="2553"/>
      <c r="AH291" s="2714"/>
      <c r="AI291" s="114"/>
      <c r="AJ291" s="114"/>
      <c r="AK291" s="114"/>
      <c r="AL291" s="114"/>
      <c r="AM291" s="114"/>
      <c r="AN291" s="114"/>
      <c r="AO291" s="114"/>
      <c r="AP291" s="114"/>
      <c r="AQ291" s="114"/>
      <c r="AR291" s="114"/>
      <c r="AS291" s="114"/>
      <c r="AT291" s="114"/>
      <c r="AU291" s="114"/>
      <c r="AV291" s="114"/>
      <c r="AW291" s="114"/>
      <c r="AX291" s="114"/>
      <c r="AY291" s="114"/>
      <c r="AZ291" s="114"/>
      <c r="BA291" s="114"/>
      <c r="BB291" s="114"/>
      <c r="BC291" s="2050"/>
      <c r="BD291" s="2067"/>
      <c r="BE291" s="2067"/>
      <c r="BF291" s="2067"/>
      <c r="BG291" s="2050"/>
      <c r="BH291" s="2067"/>
      <c r="BI291" s="2067"/>
      <c r="BJ291" s="2067"/>
      <c r="BK291" s="2045"/>
      <c r="BL291" s="2047"/>
      <c r="BM291" s="2047"/>
      <c r="BN291" s="2047"/>
      <c r="BO291" s="2301"/>
      <c r="BP291" s="2302"/>
      <c r="BQ291" s="2302"/>
      <c r="BR291" s="2303"/>
      <c r="BS291" s="3967" t="e">
        <f>+BS290/BO290-1</f>
        <v>#DIV/0!</v>
      </c>
      <c r="BT291" s="3967" t="e">
        <f>+BT290/BP290-1</f>
        <v>#DIV/0!</v>
      </c>
      <c r="BU291" s="3967" t="e">
        <f>+BU290/BQ290-1</f>
        <v>#DIV/0!</v>
      </c>
      <c r="BV291" s="3967" t="e">
        <f>+BV290/BR290-1</f>
        <v>#DIV/0!</v>
      </c>
      <c r="BW291" s="3971"/>
      <c r="BX291" s="3967"/>
      <c r="BY291" s="3967"/>
      <c r="BZ291" s="3972"/>
      <c r="CA291" s="3971"/>
      <c r="CB291" s="3967"/>
      <c r="CC291" s="3967">
        <f t="shared" ref="CC291:CH291" si="563">+CC290/BY290-1</f>
        <v>3.7617554858934144E-2</v>
      </c>
      <c r="CD291" s="3972">
        <f t="shared" si="563"/>
        <v>9.2307692307691536E-3</v>
      </c>
      <c r="CE291" s="3967">
        <f t="shared" si="563"/>
        <v>-3.0487804878048808E-2</v>
      </c>
      <c r="CF291" s="3967">
        <f t="shared" si="563"/>
        <v>-3.039513677811545E-2</v>
      </c>
      <c r="CG291" s="3967">
        <f t="shared" si="563"/>
        <v>-2.1148036253776481E-2</v>
      </c>
      <c r="CH291" s="3972">
        <f t="shared" si="563"/>
        <v>-2.4390243902439046E-2</v>
      </c>
      <c r="CI291" s="3967">
        <f>+CI290/CE290-1</f>
        <v>-3.4591194968553451E-2</v>
      </c>
      <c r="CJ291" s="3967">
        <f>+CJ290/CF290-1</f>
        <v>-4.3887147335423204E-2</v>
      </c>
      <c r="CK291" s="3967">
        <f>+CK290/CG290-1</f>
        <v>-6.481481481481477E-2</v>
      </c>
      <c r="CL291" s="3967">
        <f>+CL290/CH290-1</f>
        <v>-7.8125E-2</v>
      </c>
      <c r="CM291" s="4018"/>
      <c r="CN291" s="3967"/>
      <c r="CO291" s="3967"/>
      <c r="CP291" s="3967"/>
      <c r="CQ291" s="4019"/>
      <c r="CR291" s="4018"/>
      <c r="CS291" s="4018"/>
      <c r="CT291" s="4020"/>
    </row>
    <row r="292" spans="1:98" hidden="1" outlineLevel="2">
      <c r="A292" s="4017" t="s">
        <v>947</v>
      </c>
      <c r="B292" s="3960"/>
      <c r="C292" s="3960"/>
      <c r="D292" s="3960"/>
      <c r="E292" s="3960"/>
      <c r="F292" s="3960"/>
      <c r="G292" s="3960"/>
      <c r="H292" s="3960"/>
      <c r="I292" s="3960"/>
      <c r="J292" s="3960"/>
      <c r="K292" s="3960"/>
      <c r="L292" s="3960"/>
      <c r="M292" s="3960"/>
      <c r="N292" s="3939"/>
      <c r="O292" s="3975"/>
      <c r="P292" s="3966"/>
      <c r="Q292" s="2033"/>
      <c r="R292" s="2033"/>
      <c r="S292" s="2033"/>
      <c r="T292" s="2033"/>
      <c r="U292" s="355"/>
      <c r="V292" s="355"/>
      <c r="W292" s="355"/>
      <c r="X292" s="355"/>
      <c r="Y292" s="355"/>
      <c r="Z292" s="355"/>
      <c r="AA292" s="355"/>
      <c r="AB292" s="355"/>
      <c r="AC292" s="355"/>
      <c r="AD292" s="355"/>
      <c r="AE292" s="355"/>
      <c r="AF292" s="355"/>
      <c r="AG292" s="2553"/>
      <c r="AH292" s="3921"/>
      <c r="AI292" s="3960"/>
      <c r="AJ292" s="3960"/>
      <c r="AK292" s="3960"/>
      <c r="AL292" s="3960"/>
      <c r="AM292" s="3960"/>
      <c r="AN292" s="3960"/>
      <c r="AO292" s="3960"/>
      <c r="AP292" s="3960"/>
      <c r="AQ292" s="3960"/>
      <c r="AR292" s="3960"/>
      <c r="AS292" s="3960"/>
      <c r="AT292" s="3960"/>
      <c r="AU292" s="3960"/>
      <c r="AV292" s="3960"/>
      <c r="AW292" s="3960"/>
      <c r="AX292" s="3960"/>
      <c r="AY292" s="3960"/>
      <c r="AZ292" s="3960"/>
      <c r="BA292" s="3960"/>
      <c r="BB292" s="3960"/>
      <c r="BC292" s="3961"/>
      <c r="BD292" s="3962"/>
      <c r="BE292" s="3962"/>
      <c r="BF292" s="3962"/>
      <c r="BG292" s="3961"/>
      <c r="BH292" s="3962"/>
      <c r="BI292" s="3962"/>
      <c r="BJ292" s="3962"/>
      <c r="BK292" s="2051"/>
      <c r="BL292" s="2069"/>
      <c r="BM292" s="2069"/>
      <c r="BN292" s="2069"/>
      <c r="BO292" s="3968"/>
      <c r="BP292" s="3969"/>
      <c r="BQ292" s="3969"/>
      <c r="BR292" s="3970"/>
      <c r="BS292" s="3967" t="e">
        <f>+BS290/BR290-1</f>
        <v>#DIV/0!</v>
      </c>
      <c r="BT292" s="3967" t="e">
        <f>+BT290/BS290-1</f>
        <v>#DIV/0!</v>
      </c>
      <c r="BU292" s="3967" t="e">
        <f>+BU290/BT290-1</f>
        <v>#DIV/0!</v>
      </c>
      <c r="BV292" s="3967" t="e">
        <f>+BV290/BU290-1</f>
        <v>#DIV/0!</v>
      </c>
      <c r="BW292" s="3971"/>
      <c r="BX292" s="3967"/>
      <c r="BY292" s="3967"/>
      <c r="BZ292" s="3972">
        <f t="shared" ref="BZ292:CF292" si="564">+BZ290/BY290-1</f>
        <v>1.8808777429467183E-2</v>
      </c>
      <c r="CA292" s="3971">
        <f t="shared" si="564"/>
        <v>9.2307692307691536E-3</v>
      </c>
      <c r="CB292" s="3967">
        <f t="shared" si="564"/>
        <v>3.0487804878047697E-3</v>
      </c>
      <c r="CC292" s="3967">
        <f t="shared" si="564"/>
        <v>6.0790273556230456E-3</v>
      </c>
      <c r="CD292" s="3972">
        <f t="shared" si="564"/>
        <v>-9.0634441087613649E-3</v>
      </c>
      <c r="CE292" s="3967">
        <f t="shared" si="564"/>
        <v>-3.0487804878048808E-2</v>
      </c>
      <c r="CF292" s="3967">
        <f t="shared" si="564"/>
        <v>3.1446540880504248E-3</v>
      </c>
      <c r="CG292" s="3967">
        <f t="shared" ref="CG292:CL292" si="565">+CG290/CF290-1</f>
        <v>1.5673981191222541E-2</v>
      </c>
      <c r="CH292" s="3972">
        <f t="shared" si="565"/>
        <v>-1.2345679012345734E-2</v>
      </c>
      <c r="CI292" s="3967">
        <f t="shared" si="565"/>
        <v>-4.0625000000000022E-2</v>
      </c>
      <c r="CJ292" s="3967">
        <f t="shared" si="565"/>
        <v>-6.514657980456029E-3</v>
      </c>
      <c r="CK292" s="3967">
        <f t="shared" si="565"/>
        <v>-6.5573770491803574E-3</v>
      </c>
      <c r="CL292" s="3967">
        <f t="shared" si="565"/>
        <v>-2.6402640264026389E-2</v>
      </c>
      <c r="CM292" s="3967"/>
      <c r="CN292" s="3967"/>
      <c r="CO292" s="3967"/>
      <c r="CP292" s="3967"/>
      <c r="CQ292" s="3971"/>
      <c r="CR292" s="3967"/>
      <c r="CS292" s="3967"/>
      <c r="CT292" s="3972"/>
    </row>
    <row r="293" spans="1:98" hidden="1" outlineLevel="2">
      <c r="A293" s="3921" t="s">
        <v>1281</v>
      </c>
      <c r="B293" s="3876"/>
      <c r="C293" s="3876"/>
      <c r="D293" s="3876"/>
      <c r="E293" s="3876"/>
      <c r="F293" s="3876"/>
      <c r="G293" s="3876"/>
      <c r="H293" s="3876"/>
      <c r="I293" s="3876"/>
      <c r="J293" s="3876"/>
      <c r="K293" s="3876"/>
      <c r="L293" s="3876"/>
      <c r="N293" s="3938"/>
      <c r="O293" s="2712"/>
      <c r="P293" s="2033">
        <f>SUM(CA293:CD293)</f>
        <v>429</v>
      </c>
      <c r="Q293" s="2033">
        <f>SUM(CE293:CH293)</f>
        <v>624</v>
      </c>
      <c r="R293" s="2033">
        <f>SUM(CI293:CL293)</f>
        <v>703</v>
      </c>
      <c r="S293" s="2033"/>
      <c r="T293" s="2033"/>
      <c r="U293" s="2033"/>
      <c r="V293" s="2033"/>
      <c r="W293" s="2033"/>
      <c r="X293" s="2033"/>
      <c r="Y293" s="2033"/>
      <c r="Z293" s="2033"/>
      <c r="AA293" s="2033"/>
      <c r="AB293" s="2033"/>
      <c r="AC293" s="2033"/>
      <c r="AD293" s="2033"/>
      <c r="AE293" s="2033"/>
      <c r="AF293" s="2033"/>
      <c r="AG293" s="2553"/>
      <c r="AH293" s="3921"/>
      <c r="AI293" s="3876"/>
      <c r="AJ293" s="3876"/>
      <c r="AK293" s="3876"/>
      <c r="AL293" s="3876"/>
      <c r="AM293" s="3876"/>
      <c r="AN293" s="3876"/>
      <c r="AO293" s="3876"/>
      <c r="AP293" s="3876"/>
      <c r="AQ293" s="3876"/>
      <c r="AR293" s="3876"/>
      <c r="AS293" s="3876"/>
      <c r="AT293" s="3876"/>
      <c r="AU293" s="3876"/>
      <c r="AV293" s="3876"/>
      <c r="AW293" s="3876"/>
      <c r="AX293" s="3876"/>
      <c r="AY293" s="3876"/>
      <c r="AZ293" s="3876"/>
      <c r="BA293" s="3876"/>
      <c r="BB293" s="3876"/>
      <c r="BC293" s="3876"/>
      <c r="BD293" s="3876"/>
      <c r="BE293" s="3876"/>
      <c r="BF293" s="3876"/>
      <c r="BG293" s="3942"/>
      <c r="BH293" s="3942"/>
      <c r="BI293" s="3942"/>
      <c r="BJ293" s="3942"/>
      <c r="BK293" s="3942"/>
      <c r="BL293" s="3942"/>
      <c r="BM293" s="3942"/>
      <c r="BN293" s="3942"/>
      <c r="BO293" s="3942"/>
      <c r="BP293" s="3942"/>
      <c r="BQ293" s="3942"/>
      <c r="BR293" s="3942"/>
      <c r="BS293" s="3942"/>
      <c r="BT293" s="3942"/>
      <c r="BU293" s="3942"/>
      <c r="BV293" s="3942"/>
      <c r="BW293" s="3946"/>
      <c r="BX293" s="3942"/>
      <c r="BY293" s="2695">
        <v>16</v>
      </c>
      <c r="BZ293" s="2696">
        <v>14</v>
      </c>
      <c r="CA293" s="2721">
        <v>3</v>
      </c>
      <c r="CB293" s="2718">
        <v>144</v>
      </c>
      <c r="CC293" s="2718">
        <v>147</v>
      </c>
      <c r="CD293" s="2723">
        <v>135</v>
      </c>
      <c r="CE293" s="2928">
        <v>160</v>
      </c>
      <c r="CF293" s="2928">
        <v>155</v>
      </c>
      <c r="CG293" s="2928">
        <v>143</v>
      </c>
      <c r="CH293" s="2929">
        <v>166</v>
      </c>
      <c r="CI293" s="2928">
        <v>170</v>
      </c>
      <c r="CJ293" s="2928">
        <v>172</v>
      </c>
      <c r="CK293" s="2928">
        <v>179</v>
      </c>
      <c r="CL293" s="2928">
        <v>182</v>
      </c>
      <c r="CM293" s="2695"/>
      <c r="CN293" s="2928"/>
      <c r="CO293" s="2928"/>
      <c r="CP293" s="2928"/>
      <c r="CQ293" s="3831"/>
      <c r="CR293" s="2695"/>
      <c r="CS293" s="2695"/>
      <c r="CT293" s="2696"/>
    </row>
    <row r="294" spans="1:98" hidden="1" outlineLevel="2">
      <c r="A294" s="4017" t="s">
        <v>34</v>
      </c>
      <c r="B294" s="114"/>
      <c r="C294" s="114"/>
      <c r="D294" s="114"/>
      <c r="E294" s="114"/>
      <c r="F294" s="114"/>
      <c r="G294" s="114"/>
      <c r="H294" s="114"/>
      <c r="I294" s="114"/>
      <c r="J294" s="114"/>
      <c r="K294" s="114"/>
      <c r="L294" s="150"/>
      <c r="M294" s="150"/>
      <c r="N294" s="150"/>
      <c r="O294" s="3975"/>
      <c r="P294" s="3966"/>
      <c r="Q294" s="3942">
        <f>+Q293/P293-1</f>
        <v>0.45454545454545459</v>
      </c>
      <c r="R294" s="3942">
        <f>+R293/Q293-1</f>
        <v>0.1266025641025641</v>
      </c>
      <c r="S294" s="3942"/>
      <c r="T294" s="3942"/>
      <c r="U294" s="4018"/>
      <c r="V294" s="4018"/>
      <c r="W294" s="4018"/>
      <c r="X294" s="4018"/>
      <c r="Y294" s="4018"/>
      <c r="Z294" s="4018"/>
      <c r="AA294" s="4018"/>
      <c r="AB294" s="4018"/>
      <c r="AC294" s="4018"/>
      <c r="AD294" s="4018"/>
      <c r="AE294" s="4018"/>
      <c r="AF294" s="4018"/>
      <c r="AG294" s="2553"/>
      <c r="AH294" s="2714"/>
      <c r="AI294" s="114"/>
      <c r="AJ294" s="114"/>
      <c r="AK294" s="114"/>
      <c r="AL294" s="114"/>
      <c r="AM294" s="114"/>
      <c r="AN294" s="114"/>
      <c r="AO294" s="114"/>
      <c r="AP294" s="114"/>
      <c r="AQ294" s="114"/>
      <c r="AR294" s="114"/>
      <c r="AS294" s="114"/>
      <c r="AT294" s="114"/>
      <c r="AU294" s="114"/>
      <c r="AV294" s="114"/>
      <c r="AW294" s="114"/>
      <c r="AX294" s="114"/>
      <c r="AY294" s="114"/>
      <c r="AZ294" s="114"/>
      <c r="BA294" s="114"/>
      <c r="BB294" s="114"/>
      <c r="BC294" s="2050"/>
      <c r="BD294" s="2067"/>
      <c r="BE294" s="2067"/>
      <c r="BF294" s="2067"/>
      <c r="BG294" s="2050"/>
      <c r="BH294" s="2067"/>
      <c r="BI294" s="2067"/>
      <c r="BJ294" s="2067"/>
      <c r="BK294" s="2045"/>
      <c r="BL294" s="2047"/>
      <c r="BM294" s="2047"/>
      <c r="BN294" s="2047"/>
      <c r="BO294" s="2301"/>
      <c r="BP294" s="2302"/>
      <c r="BQ294" s="2302"/>
      <c r="BR294" s="2303"/>
      <c r="BS294" s="3967" t="e">
        <f>+BS293/BO293-1</f>
        <v>#DIV/0!</v>
      </c>
      <c r="BT294" s="3967" t="e">
        <f>+BT293/BP293-1</f>
        <v>#DIV/0!</v>
      </c>
      <c r="BU294" s="3967" t="e">
        <f>+BU293/BQ293-1</f>
        <v>#DIV/0!</v>
      </c>
      <c r="BV294" s="3967" t="e">
        <f>+BV293/BR293-1</f>
        <v>#DIV/0!</v>
      </c>
      <c r="BW294" s="3971"/>
      <c r="BX294" s="3967"/>
      <c r="BY294" s="3967"/>
      <c r="BZ294" s="3972"/>
      <c r="CA294" s="3971"/>
      <c r="CB294" s="3949"/>
      <c r="CC294" s="3949" t="s">
        <v>441</v>
      </c>
      <c r="CD294" s="3950" t="s">
        <v>441</v>
      </c>
      <c r="CE294" s="3951" t="s">
        <v>441</v>
      </c>
      <c r="CF294" s="3967">
        <f t="shared" ref="CF294:CL294" si="566">+CF293/CB293-1</f>
        <v>7.638888888888884E-2</v>
      </c>
      <c r="CG294" s="3967">
        <f t="shared" si="566"/>
        <v>-2.7210884353741527E-2</v>
      </c>
      <c r="CH294" s="3972">
        <f t="shared" si="566"/>
        <v>0.22962962962962963</v>
      </c>
      <c r="CI294" s="3967">
        <f t="shared" si="566"/>
        <v>6.25E-2</v>
      </c>
      <c r="CJ294" s="3967">
        <f t="shared" si="566"/>
        <v>0.10967741935483866</v>
      </c>
      <c r="CK294" s="3967">
        <f t="shared" si="566"/>
        <v>0.25174825174825166</v>
      </c>
      <c r="CL294" s="3967">
        <f t="shared" si="566"/>
        <v>9.6385542168674787E-2</v>
      </c>
      <c r="CM294" s="3967"/>
      <c r="CN294" s="3967"/>
      <c r="CO294" s="3967"/>
      <c r="CP294" s="3967"/>
      <c r="CQ294" s="3971"/>
      <c r="CR294" s="3967"/>
      <c r="CS294" s="3967"/>
      <c r="CT294" s="3972"/>
    </row>
    <row r="295" spans="1:98" hidden="1" outlineLevel="2">
      <c r="A295" s="4017" t="s">
        <v>947</v>
      </c>
      <c r="B295" s="3960"/>
      <c r="C295" s="3960"/>
      <c r="D295" s="3960"/>
      <c r="E295" s="3960"/>
      <c r="F295" s="3960"/>
      <c r="G295" s="3960"/>
      <c r="H295" s="3960"/>
      <c r="I295" s="3960"/>
      <c r="J295" s="3960"/>
      <c r="K295" s="3960"/>
      <c r="L295" s="3960"/>
      <c r="M295" s="3960"/>
      <c r="N295" s="3939"/>
      <c r="O295" s="3975"/>
      <c r="P295" s="3966"/>
      <c r="Q295" s="2033"/>
      <c r="R295" s="2033"/>
      <c r="S295" s="2033"/>
      <c r="T295" s="2033"/>
      <c r="U295" s="355"/>
      <c r="V295" s="355"/>
      <c r="W295" s="355"/>
      <c r="X295" s="355"/>
      <c r="Y295" s="355"/>
      <c r="Z295" s="355"/>
      <c r="AA295" s="355"/>
      <c r="AB295" s="355"/>
      <c r="AC295" s="355"/>
      <c r="AD295" s="355"/>
      <c r="AE295" s="355"/>
      <c r="AF295" s="355"/>
      <c r="AG295" s="2553"/>
      <c r="AH295" s="3921"/>
      <c r="AI295" s="3960"/>
      <c r="AJ295" s="3960"/>
      <c r="AK295" s="3960"/>
      <c r="AL295" s="3960"/>
      <c r="AM295" s="3960"/>
      <c r="AN295" s="3960"/>
      <c r="AO295" s="3960"/>
      <c r="AP295" s="3960"/>
      <c r="AQ295" s="3960"/>
      <c r="AR295" s="3960"/>
      <c r="AS295" s="3960"/>
      <c r="AT295" s="3960"/>
      <c r="AU295" s="3960"/>
      <c r="AV295" s="3960"/>
      <c r="AW295" s="3960"/>
      <c r="AX295" s="3960"/>
      <c r="AY295" s="3960"/>
      <c r="AZ295" s="3960"/>
      <c r="BA295" s="3960"/>
      <c r="BB295" s="3960"/>
      <c r="BC295" s="3961"/>
      <c r="BD295" s="3962"/>
      <c r="BE295" s="3962"/>
      <c r="BF295" s="3962"/>
      <c r="BG295" s="3961"/>
      <c r="BH295" s="3962"/>
      <c r="BI295" s="3962"/>
      <c r="BJ295" s="3962"/>
      <c r="BK295" s="2051"/>
      <c r="BL295" s="2069"/>
      <c r="BM295" s="2069"/>
      <c r="BN295" s="2069"/>
      <c r="BO295" s="3968"/>
      <c r="BP295" s="3969"/>
      <c r="BQ295" s="3969"/>
      <c r="BR295" s="3970"/>
      <c r="BS295" s="3967" t="e">
        <f>+BS293/BR293-1</f>
        <v>#DIV/0!</v>
      </c>
      <c r="BT295" s="3967" t="e">
        <f>+BT293/BS293-1</f>
        <v>#DIV/0!</v>
      </c>
      <c r="BU295" s="3967" t="e">
        <f>+BU293/BT293-1</f>
        <v>#DIV/0!</v>
      </c>
      <c r="BV295" s="3967" t="e">
        <f>+BV293/BU293-1</f>
        <v>#DIV/0!</v>
      </c>
      <c r="BW295" s="3971"/>
      <c r="BX295" s="3967"/>
      <c r="BY295" s="3967"/>
      <c r="BZ295" s="3972">
        <f t="shared" ref="BZ295:CF295" si="567">+BZ293/BY293-1</f>
        <v>-0.125</v>
      </c>
      <c r="CA295" s="3971">
        <f t="shared" si="567"/>
        <v>-0.7857142857142857</v>
      </c>
      <c r="CB295" s="3967">
        <f t="shared" si="567"/>
        <v>47</v>
      </c>
      <c r="CC295" s="3967">
        <f t="shared" si="567"/>
        <v>2.0833333333333259E-2</v>
      </c>
      <c r="CD295" s="3972">
        <f t="shared" si="567"/>
        <v>-8.1632653061224469E-2</v>
      </c>
      <c r="CE295" s="3967">
        <f t="shared" si="567"/>
        <v>0.18518518518518512</v>
      </c>
      <c r="CF295" s="3967">
        <f t="shared" si="567"/>
        <v>-3.125E-2</v>
      </c>
      <c r="CG295" s="3967">
        <f t="shared" ref="CG295:CL295" si="568">+CG293/CF293-1</f>
        <v>-7.7419354838709653E-2</v>
      </c>
      <c r="CH295" s="3972">
        <f t="shared" si="568"/>
        <v>0.16083916083916083</v>
      </c>
      <c r="CI295" s="3967">
        <f t="shared" si="568"/>
        <v>2.4096385542168752E-2</v>
      </c>
      <c r="CJ295" s="3967">
        <f t="shared" si="568"/>
        <v>1.1764705882352899E-2</v>
      </c>
      <c r="CK295" s="3967">
        <f t="shared" si="568"/>
        <v>4.0697674418604723E-2</v>
      </c>
      <c r="CL295" s="3967">
        <f t="shared" si="568"/>
        <v>1.6759776536312776E-2</v>
      </c>
      <c r="CM295" s="3967"/>
      <c r="CN295" s="3967"/>
      <c r="CO295" s="3967"/>
      <c r="CP295" s="3967"/>
      <c r="CQ295" s="3971"/>
      <c r="CR295" s="3967"/>
      <c r="CS295" s="3967"/>
      <c r="CT295" s="3972"/>
    </row>
    <row r="296" spans="1:98" hidden="1" outlineLevel="2">
      <c r="A296" s="3921" t="s">
        <v>1282</v>
      </c>
      <c r="B296" s="3876"/>
      <c r="C296" s="3876"/>
      <c r="D296" s="3876"/>
      <c r="E296" s="3876"/>
      <c r="F296" s="3876"/>
      <c r="G296" s="3876"/>
      <c r="H296" s="3876"/>
      <c r="I296" s="3876"/>
      <c r="J296" s="3876"/>
      <c r="K296" s="3876"/>
      <c r="L296" s="3876"/>
      <c r="N296" s="3938"/>
      <c r="O296" s="2712"/>
      <c r="P296" s="2033">
        <f>SUM(CA296:CD296)</f>
        <v>2005</v>
      </c>
      <c r="Q296" s="2033">
        <f>SUM(CE296:CH296)</f>
        <v>1594</v>
      </c>
      <c r="R296" s="2033">
        <f>SUM(CI296:CL296)</f>
        <v>1382</v>
      </c>
      <c r="S296" s="2033"/>
      <c r="T296" s="2033"/>
      <c r="U296" s="2033"/>
      <c r="V296" s="2033"/>
      <c r="W296" s="2033"/>
      <c r="X296" s="2033"/>
      <c r="Y296" s="2033"/>
      <c r="Z296" s="2033"/>
      <c r="AA296" s="2033"/>
      <c r="AB296" s="2033"/>
      <c r="AC296" s="2033"/>
      <c r="AD296" s="2033"/>
      <c r="AE296" s="2033"/>
      <c r="AF296" s="2033"/>
      <c r="AG296" s="2553"/>
      <c r="AH296" s="3921"/>
      <c r="AI296" s="3876"/>
      <c r="AJ296" s="3876"/>
      <c r="AK296" s="3876"/>
      <c r="AL296" s="3876"/>
      <c r="AM296" s="3876"/>
      <c r="AN296" s="3876"/>
      <c r="AO296" s="3876"/>
      <c r="AP296" s="3876"/>
      <c r="AQ296" s="3876"/>
      <c r="AR296" s="3876"/>
      <c r="AS296" s="3876"/>
      <c r="AT296" s="3876"/>
      <c r="AU296" s="3876"/>
      <c r="AV296" s="3876"/>
      <c r="AW296" s="3876"/>
      <c r="AX296" s="3876"/>
      <c r="AY296" s="3876"/>
      <c r="AZ296" s="3876"/>
      <c r="BA296" s="3876"/>
      <c r="BB296" s="3876"/>
      <c r="BC296" s="3876"/>
      <c r="BD296" s="3876"/>
      <c r="BE296" s="3876"/>
      <c r="BF296" s="3876"/>
      <c r="BG296" s="3942"/>
      <c r="BH296" s="3942"/>
      <c r="BI296" s="3942"/>
      <c r="BJ296" s="3942"/>
      <c r="BK296" s="3942"/>
      <c r="BL296" s="3942"/>
      <c r="BM296" s="3942"/>
      <c r="BN296" s="3942"/>
      <c r="BO296" s="3942"/>
      <c r="BP296" s="3942"/>
      <c r="BQ296" s="3942"/>
      <c r="BR296" s="3942"/>
      <c r="BS296" s="3942"/>
      <c r="BT296" s="3942"/>
      <c r="BU296" s="3942"/>
      <c r="BV296" s="3942"/>
      <c r="BW296" s="3946"/>
      <c r="BX296" s="3942"/>
      <c r="BY296" s="2695">
        <v>635</v>
      </c>
      <c r="BZ296" s="2696">
        <v>628</v>
      </c>
      <c r="CA296" s="2721">
        <v>621</v>
      </c>
      <c r="CB296" s="2718">
        <v>484</v>
      </c>
      <c r="CC296" s="2718">
        <v>460</v>
      </c>
      <c r="CD296" s="2723">
        <v>440</v>
      </c>
      <c r="CE296" s="2928">
        <v>419</v>
      </c>
      <c r="CF296" s="2928">
        <v>403</v>
      </c>
      <c r="CG296" s="2928">
        <v>391</v>
      </c>
      <c r="CH296" s="2929">
        <v>381</v>
      </c>
      <c r="CI296" s="2928">
        <v>366</v>
      </c>
      <c r="CJ296" s="2928">
        <v>352</v>
      </c>
      <c r="CK296" s="2928">
        <v>339</v>
      </c>
      <c r="CL296" s="2928">
        <v>325</v>
      </c>
      <c r="CM296" s="2695"/>
      <c r="CN296" s="2928"/>
      <c r="CO296" s="2928"/>
      <c r="CP296" s="2928"/>
      <c r="CQ296" s="3831"/>
      <c r="CR296" s="2695"/>
      <c r="CS296" s="2695"/>
      <c r="CT296" s="2696"/>
    </row>
    <row r="297" spans="1:98" hidden="1" outlineLevel="2">
      <c r="A297" s="4017" t="s">
        <v>34</v>
      </c>
      <c r="B297" s="114"/>
      <c r="C297" s="114"/>
      <c r="D297" s="114"/>
      <c r="E297" s="114"/>
      <c r="F297" s="114"/>
      <c r="G297" s="114"/>
      <c r="H297" s="114"/>
      <c r="I297" s="114"/>
      <c r="J297" s="114"/>
      <c r="K297" s="114"/>
      <c r="L297" s="150"/>
      <c r="M297" s="150"/>
      <c r="N297" s="150"/>
      <c r="O297" s="3975"/>
      <c r="P297" s="3966"/>
      <c r="Q297" s="3942">
        <f>+Q296/P296-1</f>
        <v>-0.2049875311720698</v>
      </c>
      <c r="R297" s="3942">
        <f>+R296/Q296-1</f>
        <v>-0.13299874529485567</v>
      </c>
      <c r="S297" s="3942"/>
      <c r="T297" s="3942"/>
      <c r="U297" s="4018"/>
      <c r="V297" s="4018"/>
      <c r="W297" s="4018"/>
      <c r="X297" s="4018"/>
      <c r="Y297" s="4018"/>
      <c r="Z297" s="4018"/>
      <c r="AA297" s="4018"/>
      <c r="AB297" s="4018"/>
      <c r="AC297" s="4018"/>
      <c r="AD297" s="4018"/>
      <c r="AE297" s="4018"/>
      <c r="AF297" s="4018"/>
      <c r="AG297" s="2553"/>
      <c r="AH297" s="2714"/>
      <c r="AI297" s="114"/>
      <c r="AJ297" s="114"/>
      <c r="AK297" s="114"/>
      <c r="AL297" s="114"/>
      <c r="AM297" s="114"/>
      <c r="AN297" s="114"/>
      <c r="AO297" s="114"/>
      <c r="AP297" s="114"/>
      <c r="AQ297" s="114"/>
      <c r="AR297" s="114"/>
      <c r="AS297" s="114"/>
      <c r="AT297" s="114"/>
      <c r="AU297" s="114"/>
      <c r="AV297" s="114"/>
      <c r="AW297" s="114"/>
      <c r="AX297" s="114"/>
      <c r="AY297" s="114"/>
      <c r="AZ297" s="114"/>
      <c r="BA297" s="114"/>
      <c r="BB297" s="114"/>
      <c r="BC297" s="2050"/>
      <c r="BD297" s="2067"/>
      <c r="BE297" s="2067"/>
      <c r="BF297" s="2067"/>
      <c r="BG297" s="2050"/>
      <c r="BH297" s="2067"/>
      <c r="BI297" s="2067"/>
      <c r="BJ297" s="2067"/>
      <c r="BK297" s="2045"/>
      <c r="BL297" s="2047"/>
      <c r="BM297" s="2047"/>
      <c r="BN297" s="2047"/>
      <c r="BO297" s="2301"/>
      <c r="BP297" s="2302"/>
      <c r="BQ297" s="2302"/>
      <c r="BR297" s="2303"/>
      <c r="BS297" s="3967" t="e">
        <f>+BS296/BO296-1</f>
        <v>#DIV/0!</v>
      </c>
      <c r="BT297" s="3967" t="e">
        <f>+BT296/BP296-1</f>
        <v>#DIV/0!</v>
      </c>
      <c r="BU297" s="3967" t="e">
        <f>+BU296/BQ296-1</f>
        <v>#DIV/0!</v>
      </c>
      <c r="BV297" s="3967" t="e">
        <f>+BV296/BR296-1</f>
        <v>#DIV/0!</v>
      </c>
      <c r="BW297" s="3971"/>
      <c r="BX297" s="3967"/>
      <c r="BY297" s="3967"/>
      <c r="BZ297" s="3972"/>
      <c r="CA297" s="3971"/>
      <c r="CB297" s="3967"/>
      <c r="CC297" s="3967">
        <f t="shared" ref="CC297:CH297" si="569">+CC296/BY296-1</f>
        <v>-0.27559055118110232</v>
      </c>
      <c r="CD297" s="3972">
        <f t="shared" si="569"/>
        <v>-0.29936305732484081</v>
      </c>
      <c r="CE297" s="3967">
        <f t="shared" si="569"/>
        <v>-0.32528180354267311</v>
      </c>
      <c r="CF297" s="3967">
        <f t="shared" si="569"/>
        <v>-0.1673553719008265</v>
      </c>
      <c r="CG297" s="3967">
        <f t="shared" si="569"/>
        <v>-0.15000000000000002</v>
      </c>
      <c r="CH297" s="3972">
        <f t="shared" si="569"/>
        <v>-0.13409090909090904</v>
      </c>
      <c r="CI297" s="3967">
        <f>+CI296/CE296-1</f>
        <v>-0.12649164677804292</v>
      </c>
      <c r="CJ297" s="3967">
        <f>+CJ296/CF296-1</f>
        <v>-0.12655086848635233</v>
      </c>
      <c r="CK297" s="3967">
        <f>+CK296/CG296-1</f>
        <v>-0.13299232736572886</v>
      </c>
      <c r="CL297" s="3967">
        <f>+CL296/CH296-1</f>
        <v>-0.14698162729658792</v>
      </c>
      <c r="CM297" s="4018"/>
      <c r="CN297" s="3967"/>
      <c r="CO297" s="3967"/>
      <c r="CP297" s="3967"/>
      <c r="CQ297" s="4019"/>
      <c r="CR297" s="4018"/>
      <c r="CS297" s="4018"/>
      <c r="CT297" s="4020"/>
    </row>
    <row r="298" spans="1:98" hidden="1" outlineLevel="2">
      <c r="A298" s="4017" t="s">
        <v>947</v>
      </c>
      <c r="B298" s="3960"/>
      <c r="C298" s="3960"/>
      <c r="D298" s="3960"/>
      <c r="E298" s="3960"/>
      <c r="F298" s="3960"/>
      <c r="G298" s="3960"/>
      <c r="H298" s="3960"/>
      <c r="I298" s="3960"/>
      <c r="J298" s="3960"/>
      <c r="K298" s="3960"/>
      <c r="L298" s="3960"/>
      <c r="M298" s="3960"/>
      <c r="N298" s="3939"/>
      <c r="O298" s="3975"/>
      <c r="P298" s="3966"/>
      <c r="Q298" s="2033"/>
      <c r="R298" s="2033"/>
      <c r="S298" s="2033"/>
      <c r="T298" s="2033"/>
      <c r="U298" s="355"/>
      <c r="V298" s="355"/>
      <c r="W298" s="355"/>
      <c r="X298" s="355"/>
      <c r="Y298" s="355"/>
      <c r="Z298" s="355"/>
      <c r="AA298" s="355"/>
      <c r="AB298" s="355"/>
      <c r="AC298" s="355"/>
      <c r="AD298" s="355"/>
      <c r="AE298" s="355"/>
      <c r="AF298" s="355"/>
      <c r="AG298" s="2553"/>
      <c r="AH298" s="3921"/>
      <c r="AI298" s="3960"/>
      <c r="AJ298" s="3960"/>
      <c r="AK298" s="3960"/>
      <c r="AL298" s="3960"/>
      <c r="AM298" s="3960"/>
      <c r="AN298" s="3960"/>
      <c r="AO298" s="3960"/>
      <c r="AP298" s="3960"/>
      <c r="AQ298" s="3960"/>
      <c r="AR298" s="3960"/>
      <c r="AS298" s="3960"/>
      <c r="AT298" s="3960"/>
      <c r="AU298" s="3960"/>
      <c r="AV298" s="3960"/>
      <c r="AW298" s="3960"/>
      <c r="AX298" s="3960"/>
      <c r="AY298" s="3960"/>
      <c r="AZ298" s="3960"/>
      <c r="BA298" s="3960"/>
      <c r="BB298" s="3960"/>
      <c r="BC298" s="3961"/>
      <c r="BD298" s="3962"/>
      <c r="BE298" s="3962"/>
      <c r="BF298" s="3962"/>
      <c r="BG298" s="3961"/>
      <c r="BH298" s="3962"/>
      <c r="BI298" s="3962"/>
      <c r="BJ298" s="3962"/>
      <c r="BK298" s="2051"/>
      <c r="BL298" s="2069"/>
      <c r="BM298" s="2069"/>
      <c r="BN298" s="2069"/>
      <c r="BO298" s="3968"/>
      <c r="BP298" s="3969"/>
      <c r="BQ298" s="3969"/>
      <c r="BR298" s="3970"/>
      <c r="BS298" s="3967" t="e">
        <f>+BS296/BR296-1</f>
        <v>#DIV/0!</v>
      </c>
      <c r="BT298" s="3967" t="e">
        <f>+BT296/BS296-1</f>
        <v>#DIV/0!</v>
      </c>
      <c r="BU298" s="3967" t="e">
        <f>+BU296/BT296-1</f>
        <v>#DIV/0!</v>
      </c>
      <c r="BV298" s="3967" t="e">
        <f>+BV296/BU296-1</f>
        <v>#DIV/0!</v>
      </c>
      <c r="BW298" s="3971"/>
      <c r="BX298" s="3967"/>
      <c r="BY298" s="3967"/>
      <c r="BZ298" s="3972">
        <f t="shared" ref="BZ298:CF298" si="570">+BZ296/BY296-1</f>
        <v>-1.1023622047244053E-2</v>
      </c>
      <c r="CA298" s="3971">
        <f t="shared" si="570"/>
        <v>-1.1146496815286677E-2</v>
      </c>
      <c r="CB298" s="3967">
        <f t="shared" si="570"/>
        <v>-0.22061191626409016</v>
      </c>
      <c r="CC298" s="3967">
        <f t="shared" si="570"/>
        <v>-4.9586776859504078E-2</v>
      </c>
      <c r="CD298" s="3972">
        <f t="shared" si="570"/>
        <v>-4.3478260869565188E-2</v>
      </c>
      <c r="CE298" s="3967">
        <f t="shared" si="570"/>
        <v>-4.7727272727272729E-2</v>
      </c>
      <c r="CF298" s="3967">
        <f t="shared" si="570"/>
        <v>-3.8186157517899777E-2</v>
      </c>
      <c r="CG298" s="3967">
        <f t="shared" ref="CG298:CL298" si="571">+CG296/CF296-1</f>
        <v>-2.9776674937965208E-2</v>
      </c>
      <c r="CH298" s="3972">
        <f t="shared" si="571"/>
        <v>-2.5575447570332477E-2</v>
      </c>
      <c r="CI298" s="3967">
        <f t="shared" si="571"/>
        <v>-3.9370078740157521E-2</v>
      </c>
      <c r="CJ298" s="3967">
        <f t="shared" si="571"/>
        <v>-3.8251366120218622E-2</v>
      </c>
      <c r="CK298" s="3967">
        <f t="shared" si="571"/>
        <v>-3.6931818181818232E-2</v>
      </c>
      <c r="CL298" s="3967">
        <f t="shared" si="571"/>
        <v>-4.1297935103244865E-2</v>
      </c>
      <c r="CM298" s="3967"/>
      <c r="CN298" s="3967"/>
      <c r="CO298" s="3967"/>
      <c r="CP298" s="3967"/>
      <c r="CQ298" s="3971"/>
      <c r="CR298" s="3967"/>
      <c r="CS298" s="3967"/>
      <c r="CT298" s="3972"/>
    </row>
    <row r="299" spans="1:98" hidden="1" outlineLevel="2">
      <c r="A299" s="3921" t="s">
        <v>1283</v>
      </c>
      <c r="B299" s="3876"/>
      <c r="C299" s="3876"/>
      <c r="D299" s="3876"/>
      <c r="E299" s="3876"/>
      <c r="F299" s="3876"/>
      <c r="G299" s="3876"/>
      <c r="H299" s="3876"/>
      <c r="I299" s="3876"/>
      <c r="J299" s="3876"/>
      <c r="K299" s="3876"/>
      <c r="L299" s="3876"/>
      <c r="N299" s="3938"/>
      <c r="O299" s="2712"/>
      <c r="P299" s="2033">
        <f>SUM(CA299:CD299)</f>
        <v>2778</v>
      </c>
      <c r="Q299" s="2033">
        <f>SUM(CE299:CH299)</f>
        <v>2588</v>
      </c>
      <c r="R299" s="2033">
        <f>SUM(CI299:CL299)</f>
        <v>2413</v>
      </c>
      <c r="S299" s="2033"/>
      <c r="T299" s="2033"/>
      <c r="U299" s="2033"/>
      <c r="V299" s="2033"/>
      <c r="W299" s="2033"/>
      <c r="X299" s="2033"/>
      <c r="Y299" s="2033"/>
      <c r="Z299" s="2033"/>
      <c r="AA299" s="2033"/>
      <c r="AB299" s="2033"/>
      <c r="AC299" s="2033"/>
      <c r="AD299" s="2033"/>
      <c r="AE299" s="2033"/>
      <c r="AF299" s="2033"/>
      <c r="AG299" s="2553"/>
      <c r="AH299" s="3921"/>
      <c r="AI299" s="3876"/>
      <c r="AJ299" s="3876"/>
      <c r="AK299" s="3876"/>
      <c r="AL299" s="3876"/>
      <c r="AM299" s="3876"/>
      <c r="AN299" s="3876"/>
      <c r="AO299" s="3876"/>
      <c r="AP299" s="3876"/>
      <c r="AQ299" s="3876"/>
      <c r="AR299" s="3876"/>
      <c r="AS299" s="3876"/>
      <c r="AT299" s="3876"/>
      <c r="AU299" s="3876"/>
      <c r="AV299" s="3876"/>
      <c r="AW299" s="3876"/>
      <c r="AX299" s="3876"/>
      <c r="AY299" s="3876"/>
      <c r="AZ299" s="3876"/>
      <c r="BA299" s="3876"/>
      <c r="BB299" s="3876"/>
      <c r="BC299" s="3876"/>
      <c r="BD299" s="3876"/>
      <c r="BE299" s="3876"/>
      <c r="BF299" s="3876"/>
      <c r="BG299" s="3942"/>
      <c r="BH299" s="3942"/>
      <c r="BI299" s="3942"/>
      <c r="BJ299" s="3942"/>
      <c r="BK299" s="3942"/>
      <c r="BL299" s="3942"/>
      <c r="BM299" s="3942"/>
      <c r="BN299" s="3942"/>
      <c r="BO299" s="3942"/>
      <c r="BP299" s="3942"/>
      <c r="BQ299" s="3942"/>
      <c r="BR299" s="3942"/>
      <c r="BS299" s="3942"/>
      <c r="BT299" s="3942"/>
      <c r="BU299" s="3942"/>
      <c r="BV299" s="3942"/>
      <c r="BW299" s="3946"/>
      <c r="BX299" s="3942"/>
      <c r="BY299" s="2695">
        <v>730</v>
      </c>
      <c r="BZ299" s="2696">
        <v>710</v>
      </c>
      <c r="CA299" s="2721">
        <v>711</v>
      </c>
      <c r="CB299" s="2718">
        <v>699</v>
      </c>
      <c r="CC299" s="2718">
        <v>691</v>
      </c>
      <c r="CD299" s="2723">
        <v>677</v>
      </c>
      <c r="CE299" s="2928">
        <v>670</v>
      </c>
      <c r="CF299" s="2928">
        <v>648</v>
      </c>
      <c r="CG299" s="2928">
        <v>638</v>
      </c>
      <c r="CH299" s="2929">
        <v>632</v>
      </c>
      <c r="CI299" s="2928">
        <v>622</v>
      </c>
      <c r="CJ299" s="2928">
        <v>611</v>
      </c>
      <c r="CK299" s="2928">
        <v>601</v>
      </c>
      <c r="CL299" s="2928">
        <v>579</v>
      </c>
      <c r="CM299" s="2695"/>
      <c r="CN299" s="2928"/>
      <c r="CO299" s="2928"/>
      <c r="CP299" s="2928"/>
      <c r="CQ299" s="3831"/>
      <c r="CR299" s="2695"/>
      <c r="CS299" s="2695"/>
      <c r="CT299" s="2696"/>
    </row>
    <row r="300" spans="1:98" hidden="1" outlineLevel="2">
      <c r="A300" s="4017" t="s">
        <v>34</v>
      </c>
      <c r="B300" s="114"/>
      <c r="C300" s="114"/>
      <c r="D300" s="114"/>
      <c r="E300" s="114"/>
      <c r="F300" s="114"/>
      <c r="G300" s="114"/>
      <c r="H300" s="114"/>
      <c r="I300" s="114"/>
      <c r="J300" s="114"/>
      <c r="K300" s="114"/>
      <c r="L300" s="150"/>
      <c r="M300" s="150"/>
      <c r="N300" s="150"/>
      <c r="O300" s="3975"/>
      <c r="P300" s="3966"/>
      <c r="Q300" s="3942">
        <f>+Q299/P299-1</f>
        <v>-6.8394528437724977E-2</v>
      </c>
      <c r="R300" s="3942">
        <f>+R299/Q299-1</f>
        <v>-6.7619783616692408E-2</v>
      </c>
      <c r="S300" s="3942"/>
      <c r="T300" s="3942"/>
      <c r="U300" s="4018"/>
      <c r="V300" s="4018"/>
      <c r="W300" s="4018"/>
      <c r="X300" s="4018"/>
      <c r="Y300" s="4018"/>
      <c r="Z300" s="4018"/>
      <c r="AA300" s="4018"/>
      <c r="AB300" s="4018"/>
      <c r="AC300" s="4018"/>
      <c r="AD300" s="4018"/>
      <c r="AE300" s="4018"/>
      <c r="AF300" s="4018"/>
      <c r="AG300" s="2553"/>
      <c r="AH300" s="2714"/>
      <c r="AI300" s="114"/>
      <c r="AJ300" s="114"/>
      <c r="AK300" s="114"/>
      <c r="AL300" s="114"/>
      <c r="AM300" s="114"/>
      <c r="AN300" s="114"/>
      <c r="AO300" s="114"/>
      <c r="AP300" s="114"/>
      <c r="AQ300" s="114"/>
      <c r="AR300" s="114"/>
      <c r="AS300" s="114"/>
      <c r="AT300" s="114"/>
      <c r="AU300" s="114"/>
      <c r="AV300" s="114"/>
      <c r="AW300" s="114"/>
      <c r="AX300" s="114"/>
      <c r="AY300" s="114"/>
      <c r="AZ300" s="114"/>
      <c r="BA300" s="114"/>
      <c r="BB300" s="114"/>
      <c r="BC300" s="2050"/>
      <c r="BD300" s="2067"/>
      <c r="BE300" s="2067"/>
      <c r="BF300" s="2067"/>
      <c r="BG300" s="2050"/>
      <c r="BH300" s="2067"/>
      <c r="BI300" s="2067"/>
      <c r="BJ300" s="2067"/>
      <c r="BK300" s="2045"/>
      <c r="BL300" s="2047"/>
      <c r="BM300" s="2047"/>
      <c r="BN300" s="2047"/>
      <c r="BO300" s="2301"/>
      <c r="BP300" s="2302"/>
      <c r="BQ300" s="2302"/>
      <c r="BR300" s="2303"/>
      <c r="BS300" s="3967" t="e">
        <f>+BS299/BO299-1</f>
        <v>#DIV/0!</v>
      </c>
      <c r="BT300" s="3967" t="e">
        <f>+BT299/BP299-1</f>
        <v>#DIV/0!</v>
      </c>
      <c r="BU300" s="3967" t="e">
        <f>+BU299/BQ299-1</f>
        <v>#DIV/0!</v>
      </c>
      <c r="BV300" s="3967" t="e">
        <f>+BV299/BR299-1</f>
        <v>#DIV/0!</v>
      </c>
      <c r="BW300" s="3971"/>
      <c r="BX300" s="3967"/>
      <c r="BY300" s="3967"/>
      <c r="BZ300" s="3972"/>
      <c r="CA300" s="3971"/>
      <c r="CB300" s="3967"/>
      <c r="CC300" s="3967">
        <f t="shared" ref="CC300:CH300" si="572">+CC299/BY299-1</f>
        <v>-5.3424657534246522E-2</v>
      </c>
      <c r="CD300" s="3972">
        <f t="shared" si="572"/>
        <v>-4.6478873239436669E-2</v>
      </c>
      <c r="CE300" s="3967">
        <f t="shared" si="572"/>
        <v>-5.7665260196905765E-2</v>
      </c>
      <c r="CF300" s="3967">
        <f t="shared" si="572"/>
        <v>-7.2961373390557971E-2</v>
      </c>
      <c r="CG300" s="3967">
        <f t="shared" si="572"/>
        <v>-7.6700434153400887E-2</v>
      </c>
      <c r="CH300" s="3972">
        <f t="shared" si="572"/>
        <v>-6.6469719350073841E-2</v>
      </c>
      <c r="CI300" s="3967">
        <f>+CI299/CE299-1</f>
        <v>-7.1641791044776082E-2</v>
      </c>
      <c r="CJ300" s="3967">
        <f>+CJ299/CF299-1</f>
        <v>-5.7098765432098797E-2</v>
      </c>
      <c r="CK300" s="3967">
        <f>+CK299/CG299-1</f>
        <v>-5.7993730407523536E-2</v>
      </c>
      <c r="CL300" s="3967">
        <f>+CL299/CH299-1</f>
        <v>-8.3860759493670889E-2</v>
      </c>
      <c r="CM300" s="4018"/>
      <c r="CN300" s="3967"/>
      <c r="CO300" s="3967"/>
      <c r="CP300" s="3967"/>
      <c r="CQ300" s="4019"/>
      <c r="CR300" s="4018"/>
      <c r="CS300" s="4018"/>
      <c r="CT300" s="4020"/>
    </row>
    <row r="301" spans="1:98" hidden="1" outlineLevel="2">
      <c r="A301" s="4017" t="s">
        <v>947</v>
      </c>
      <c r="B301" s="3960"/>
      <c r="C301" s="3960"/>
      <c r="D301" s="3960"/>
      <c r="E301" s="3960"/>
      <c r="F301" s="3960"/>
      <c r="G301" s="3960"/>
      <c r="H301" s="3960"/>
      <c r="I301" s="3960"/>
      <c r="J301" s="3960"/>
      <c r="K301" s="3960"/>
      <c r="L301" s="3960"/>
      <c r="M301" s="3960"/>
      <c r="N301" s="3939"/>
      <c r="O301" s="3975"/>
      <c r="P301" s="3966"/>
      <c r="Q301" s="2033"/>
      <c r="R301" s="2033"/>
      <c r="S301" s="2033"/>
      <c r="T301" s="2033"/>
      <c r="U301" s="355"/>
      <c r="V301" s="355"/>
      <c r="W301" s="355"/>
      <c r="X301" s="355"/>
      <c r="Y301" s="355"/>
      <c r="Z301" s="355"/>
      <c r="AA301" s="355"/>
      <c r="AB301" s="355"/>
      <c r="AC301" s="355"/>
      <c r="AD301" s="355"/>
      <c r="AE301" s="355"/>
      <c r="AF301" s="355"/>
      <c r="AG301" s="2553"/>
      <c r="AH301" s="3921"/>
      <c r="AI301" s="3960"/>
      <c r="AJ301" s="3960"/>
      <c r="AK301" s="3960"/>
      <c r="AL301" s="3960"/>
      <c r="AM301" s="3960"/>
      <c r="AN301" s="3960"/>
      <c r="AO301" s="3960"/>
      <c r="AP301" s="3960"/>
      <c r="AQ301" s="3960"/>
      <c r="AR301" s="3960"/>
      <c r="AS301" s="3960"/>
      <c r="AT301" s="3960"/>
      <c r="AU301" s="3960"/>
      <c r="AV301" s="3960"/>
      <c r="AW301" s="3960"/>
      <c r="AX301" s="3960"/>
      <c r="AY301" s="3960"/>
      <c r="AZ301" s="3960"/>
      <c r="BA301" s="3960"/>
      <c r="BB301" s="3960"/>
      <c r="BC301" s="3961"/>
      <c r="BD301" s="3962"/>
      <c r="BE301" s="3962"/>
      <c r="BF301" s="3962"/>
      <c r="BG301" s="3961"/>
      <c r="BH301" s="3962"/>
      <c r="BI301" s="3962"/>
      <c r="BJ301" s="3962"/>
      <c r="BK301" s="2051"/>
      <c r="BL301" s="2069"/>
      <c r="BM301" s="2069"/>
      <c r="BN301" s="2069"/>
      <c r="BO301" s="3968"/>
      <c r="BP301" s="3969"/>
      <c r="BQ301" s="3969"/>
      <c r="BR301" s="3970"/>
      <c r="BS301" s="3967" t="e">
        <f>+BS299/BR299-1</f>
        <v>#DIV/0!</v>
      </c>
      <c r="BT301" s="3967" t="e">
        <f>+BT299/BS299-1</f>
        <v>#DIV/0!</v>
      </c>
      <c r="BU301" s="3967" t="e">
        <f>+BU299/BT299-1</f>
        <v>#DIV/0!</v>
      </c>
      <c r="BV301" s="3967" t="e">
        <f>+BV299/BU299-1</f>
        <v>#DIV/0!</v>
      </c>
      <c r="BW301" s="3971"/>
      <c r="BX301" s="3967"/>
      <c r="BY301" s="3967"/>
      <c r="BZ301" s="3972">
        <f t="shared" ref="BZ301:CF301" si="573">+BZ299/BY299-1</f>
        <v>-2.7397260273972601E-2</v>
      </c>
      <c r="CA301" s="3971">
        <f t="shared" si="573"/>
        <v>1.4084507042253502E-3</v>
      </c>
      <c r="CB301" s="3967">
        <f t="shared" si="573"/>
        <v>-1.6877637130801704E-2</v>
      </c>
      <c r="CC301" s="3967">
        <f t="shared" si="573"/>
        <v>-1.1444921316165924E-2</v>
      </c>
      <c r="CD301" s="3972">
        <f t="shared" si="573"/>
        <v>-2.0260492040520939E-2</v>
      </c>
      <c r="CE301" s="3967">
        <f t="shared" si="573"/>
        <v>-1.0339734121122546E-2</v>
      </c>
      <c r="CF301" s="3967">
        <f t="shared" si="573"/>
        <v>-3.2835820895522394E-2</v>
      </c>
      <c r="CG301" s="3967">
        <f t="shared" ref="CG301:CL301" si="574">+CG299/CF299-1</f>
        <v>-1.5432098765432056E-2</v>
      </c>
      <c r="CH301" s="3972">
        <f t="shared" si="574"/>
        <v>-9.4043887147335914E-3</v>
      </c>
      <c r="CI301" s="3967">
        <f t="shared" si="574"/>
        <v>-1.5822784810126556E-2</v>
      </c>
      <c r="CJ301" s="3967">
        <f t="shared" si="574"/>
        <v>-1.7684887459807119E-2</v>
      </c>
      <c r="CK301" s="3967">
        <f t="shared" si="574"/>
        <v>-1.6366612111292977E-2</v>
      </c>
      <c r="CL301" s="3967">
        <f t="shared" si="574"/>
        <v>-3.660565723793674E-2</v>
      </c>
      <c r="CM301" s="3967"/>
      <c r="CN301" s="3967"/>
      <c r="CO301" s="3967"/>
      <c r="CP301" s="3967"/>
      <c r="CQ301" s="3971"/>
      <c r="CR301" s="3967"/>
      <c r="CS301" s="3967"/>
      <c r="CT301" s="3972"/>
    </row>
    <row r="302" spans="1:98" hidden="1" outlineLevel="2">
      <c r="A302" s="3921" t="s">
        <v>1284</v>
      </c>
      <c r="B302" s="3876"/>
      <c r="C302" s="3876"/>
      <c r="D302" s="3876"/>
      <c r="E302" s="3876"/>
      <c r="F302" s="3876"/>
      <c r="G302" s="3876"/>
      <c r="H302" s="3876"/>
      <c r="I302" s="3876"/>
      <c r="J302" s="3876"/>
      <c r="K302" s="3876"/>
      <c r="L302" s="3876"/>
      <c r="N302" s="3938"/>
      <c r="O302" s="2712"/>
      <c r="P302" s="2033">
        <f>SUM(CA302:CD302)</f>
        <v>1237</v>
      </c>
      <c r="Q302" s="2033">
        <f>SUM(CE302:CH302)</f>
        <v>1168</v>
      </c>
      <c r="R302" s="2033">
        <f>SUM(CI302:CL302)</f>
        <v>1123</v>
      </c>
      <c r="S302" s="2033"/>
      <c r="T302" s="2033"/>
      <c r="U302" s="2033"/>
      <c r="V302" s="2033"/>
      <c r="W302" s="2033"/>
      <c r="X302" s="2033"/>
      <c r="Y302" s="2033"/>
      <c r="Z302" s="2033"/>
      <c r="AA302" s="2033"/>
      <c r="AB302" s="2033"/>
      <c r="AC302" s="2033"/>
      <c r="AD302" s="2033"/>
      <c r="AE302" s="2033"/>
      <c r="AF302" s="2033"/>
      <c r="AG302" s="2553"/>
      <c r="AH302" s="3921"/>
      <c r="AI302" s="3876"/>
      <c r="AJ302" s="3876"/>
      <c r="AK302" s="3876"/>
      <c r="AL302" s="3876"/>
      <c r="AM302" s="3876"/>
      <c r="AN302" s="3876"/>
      <c r="AO302" s="3876"/>
      <c r="AP302" s="3876"/>
      <c r="AQ302" s="3876"/>
      <c r="AR302" s="3876"/>
      <c r="AS302" s="3876"/>
      <c r="AT302" s="3876"/>
      <c r="AU302" s="3876"/>
      <c r="AV302" s="3876"/>
      <c r="AW302" s="3876"/>
      <c r="AX302" s="3876"/>
      <c r="AY302" s="3876"/>
      <c r="AZ302" s="3876"/>
      <c r="BA302" s="3876"/>
      <c r="BB302" s="3876"/>
      <c r="BC302" s="3876"/>
      <c r="BD302" s="3876"/>
      <c r="BE302" s="3876"/>
      <c r="BF302" s="3876"/>
      <c r="BG302" s="3942"/>
      <c r="BH302" s="3942"/>
      <c r="BI302" s="3942"/>
      <c r="BJ302" s="3942"/>
      <c r="BK302" s="3942"/>
      <c r="BL302" s="3942"/>
      <c r="BM302" s="3942"/>
      <c r="BN302" s="3942"/>
      <c r="BO302" s="3942"/>
      <c r="BP302" s="3942"/>
      <c r="BQ302" s="3942"/>
      <c r="BR302" s="3942"/>
      <c r="BS302" s="3942"/>
      <c r="BT302" s="3942"/>
      <c r="BU302" s="3942"/>
      <c r="BV302" s="3942"/>
      <c r="BW302" s="3946"/>
      <c r="BX302" s="3942"/>
      <c r="BY302" s="2695">
        <v>341</v>
      </c>
      <c r="BZ302" s="2696">
        <v>338</v>
      </c>
      <c r="CA302" s="2721">
        <v>322</v>
      </c>
      <c r="CB302" s="2718">
        <v>313</v>
      </c>
      <c r="CC302" s="2718">
        <v>304</v>
      </c>
      <c r="CD302" s="2723">
        <v>298</v>
      </c>
      <c r="CE302" s="2928">
        <v>304</v>
      </c>
      <c r="CF302" s="2928">
        <v>293</v>
      </c>
      <c r="CG302" s="2928">
        <v>288</v>
      </c>
      <c r="CH302" s="2929">
        <v>283</v>
      </c>
      <c r="CI302" s="2928">
        <v>286</v>
      </c>
      <c r="CJ302" s="2928">
        <v>281</v>
      </c>
      <c r="CK302" s="2928">
        <v>277</v>
      </c>
      <c r="CL302" s="2928">
        <v>279</v>
      </c>
      <c r="CM302" s="2695"/>
      <c r="CN302" s="2928"/>
      <c r="CO302" s="2928"/>
      <c r="CP302" s="2928"/>
      <c r="CQ302" s="3831"/>
      <c r="CR302" s="2695"/>
      <c r="CS302" s="2695"/>
      <c r="CT302" s="2696"/>
    </row>
    <row r="303" spans="1:98" hidden="1" outlineLevel="2">
      <c r="A303" s="4017" t="s">
        <v>34</v>
      </c>
      <c r="B303" s="114"/>
      <c r="C303" s="114"/>
      <c r="D303" s="114"/>
      <c r="E303" s="114"/>
      <c r="F303" s="114"/>
      <c r="G303" s="114"/>
      <c r="H303" s="114"/>
      <c r="I303" s="114"/>
      <c r="J303" s="114"/>
      <c r="K303" s="114"/>
      <c r="L303" s="150"/>
      <c r="M303" s="150"/>
      <c r="N303" s="150"/>
      <c r="O303" s="3975"/>
      <c r="P303" s="3966"/>
      <c r="Q303" s="4021">
        <f>+Q302/P302-1</f>
        <v>-5.5780113177041235E-2</v>
      </c>
      <c r="R303" s="4021">
        <f>+R302/Q302-1</f>
        <v>-3.8527397260273988E-2</v>
      </c>
      <c r="S303" s="4021"/>
      <c r="T303" s="4021"/>
      <c r="U303" s="4018"/>
      <c r="V303" s="4018"/>
      <c r="W303" s="4018"/>
      <c r="X303" s="4018"/>
      <c r="Y303" s="4018"/>
      <c r="Z303" s="4018"/>
      <c r="AA303" s="4018"/>
      <c r="AB303" s="4018"/>
      <c r="AC303" s="4018"/>
      <c r="AD303" s="4018"/>
      <c r="AE303" s="4018"/>
      <c r="AF303" s="4018"/>
      <c r="AG303" s="2553"/>
      <c r="AH303" s="2714"/>
      <c r="AI303" s="114"/>
      <c r="AJ303" s="114"/>
      <c r="AK303" s="114"/>
      <c r="AL303" s="114"/>
      <c r="AM303" s="114"/>
      <c r="AN303" s="114"/>
      <c r="AO303" s="114"/>
      <c r="AP303" s="114"/>
      <c r="AQ303" s="114"/>
      <c r="AR303" s="114"/>
      <c r="AS303" s="114"/>
      <c r="AT303" s="114"/>
      <c r="AU303" s="114"/>
      <c r="AV303" s="114"/>
      <c r="AW303" s="114"/>
      <c r="AX303" s="114"/>
      <c r="AY303" s="114"/>
      <c r="AZ303" s="114"/>
      <c r="BA303" s="114"/>
      <c r="BB303" s="114"/>
      <c r="BC303" s="2050"/>
      <c r="BD303" s="2067"/>
      <c r="BE303" s="2067"/>
      <c r="BF303" s="2067"/>
      <c r="BG303" s="2050"/>
      <c r="BH303" s="2067"/>
      <c r="BI303" s="2067"/>
      <c r="BJ303" s="2067"/>
      <c r="BK303" s="2045"/>
      <c r="BL303" s="2047"/>
      <c r="BM303" s="2047"/>
      <c r="BN303" s="2047"/>
      <c r="BO303" s="2301"/>
      <c r="BP303" s="2302"/>
      <c r="BQ303" s="2302"/>
      <c r="BR303" s="2303"/>
      <c r="BS303" s="3967" t="e">
        <f>+BS302/BO302-1</f>
        <v>#DIV/0!</v>
      </c>
      <c r="BT303" s="3967" t="e">
        <f>+BT302/BP302-1</f>
        <v>#DIV/0!</v>
      </c>
      <c r="BU303" s="3967" t="e">
        <f>+BU302/BQ302-1</f>
        <v>#DIV/0!</v>
      </c>
      <c r="BV303" s="3967" t="e">
        <f>+BV302/BR302-1</f>
        <v>#DIV/0!</v>
      </c>
      <c r="BW303" s="3971"/>
      <c r="BX303" s="3967"/>
      <c r="BY303" s="3967"/>
      <c r="BZ303" s="3972"/>
      <c r="CA303" s="3971"/>
      <c r="CB303" s="3967"/>
      <c r="CC303" s="3967">
        <f t="shared" ref="CC303:CH303" si="575">+CC302/BY302-1</f>
        <v>-0.10850439882697949</v>
      </c>
      <c r="CD303" s="3972">
        <f t="shared" si="575"/>
        <v>-0.11834319526627224</v>
      </c>
      <c r="CE303" s="3967">
        <f t="shared" si="575"/>
        <v>-5.5900621118012417E-2</v>
      </c>
      <c r="CF303" s="3967">
        <f t="shared" si="575"/>
        <v>-6.3897763578274813E-2</v>
      </c>
      <c r="CG303" s="3967">
        <f t="shared" si="575"/>
        <v>-5.2631578947368474E-2</v>
      </c>
      <c r="CH303" s="3972">
        <f t="shared" si="575"/>
        <v>-5.0335570469798641E-2</v>
      </c>
      <c r="CI303" s="3967">
        <f>+CI302/CE302-1</f>
        <v>-5.9210526315789491E-2</v>
      </c>
      <c r="CJ303" s="3967">
        <f>+CJ302/CF302-1</f>
        <v>-4.095563139931746E-2</v>
      </c>
      <c r="CK303" s="3967">
        <f>+CK302/CG302-1</f>
        <v>-3.819444444444442E-2</v>
      </c>
      <c r="CL303" s="3967">
        <f>+CL302/CH302-1</f>
        <v>-1.4134275618374548E-2</v>
      </c>
      <c r="CM303" s="4018"/>
      <c r="CN303" s="3967"/>
      <c r="CO303" s="3967"/>
      <c r="CP303" s="3967"/>
      <c r="CQ303" s="4019"/>
      <c r="CR303" s="4018"/>
      <c r="CS303" s="4018"/>
      <c r="CT303" s="4020"/>
    </row>
    <row r="304" spans="1:98" hidden="1" outlineLevel="2">
      <c r="A304" s="4017" t="s">
        <v>947</v>
      </c>
      <c r="B304" s="3960"/>
      <c r="C304" s="3960"/>
      <c r="D304" s="3960"/>
      <c r="E304" s="3960"/>
      <c r="F304" s="3960"/>
      <c r="G304" s="3960"/>
      <c r="H304" s="3960"/>
      <c r="I304" s="3960"/>
      <c r="J304" s="3960"/>
      <c r="K304" s="3960"/>
      <c r="L304" s="3960"/>
      <c r="M304" s="3960"/>
      <c r="N304" s="3939"/>
      <c r="O304" s="3975"/>
      <c r="P304" s="3966"/>
      <c r="Q304" s="2033"/>
      <c r="R304" s="2033"/>
      <c r="S304" s="2033"/>
      <c r="T304" s="2033"/>
      <c r="U304" s="355"/>
      <c r="V304" s="355"/>
      <c r="W304" s="355"/>
      <c r="X304" s="355"/>
      <c r="Y304" s="355"/>
      <c r="Z304" s="355"/>
      <c r="AA304" s="355"/>
      <c r="AB304" s="355"/>
      <c r="AC304" s="355"/>
      <c r="AD304" s="355"/>
      <c r="AE304" s="355"/>
      <c r="AF304" s="355"/>
      <c r="AG304" s="2553"/>
      <c r="AH304" s="3921"/>
      <c r="AI304" s="3960"/>
      <c r="AJ304" s="3960"/>
      <c r="AK304" s="3960"/>
      <c r="AL304" s="3960"/>
      <c r="AM304" s="3960"/>
      <c r="AN304" s="3960"/>
      <c r="AO304" s="3960"/>
      <c r="AP304" s="3960"/>
      <c r="AQ304" s="3960"/>
      <c r="AR304" s="3960"/>
      <c r="AS304" s="3960"/>
      <c r="AT304" s="3960"/>
      <c r="AU304" s="3960"/>
      <c r="AV304" s="3960"/>
      <c r="AW304" s="3960"/>
      <c r="AX304" s="3960"/>
      <c r="AY304" s="3960"/>
      <c r="AZ304" s="3960"/>
      <c r="BA304" s="3960"/>
      <c r="BB304" s="3960"/>
      <c r="BC304" s="3961"/>
      <c r="BD304" s="3962"/>
      <c r="BE304" s="3962"/>
      <c r="BF304" s="3962"/>
      <c r="BG304" s="3961"/>
      <c r="BH304" s="3962"/>
      <c r="BI304" s="3962"/>
      <c r="BJ304" s="3962"/>
      <c r="BK304" s="2051"/>
      <c r="BL304" s="2069"/>
      <c r="BM304" s="2069"/>
      <c r="BN304" s="2069"/>
      <c r="BO304" s="3968"/>
      <c r="BP304" s="3969"/>
      <c r="BQ304" s="3969"/>
      <c r="BR304" s="3970"/>
      <c r="BS304" s="3967" t="e">
        <f>+BS302/BR302-1</f>
        <v>#DIV/0!</v>
      </c>
      <c r="BT304" s="3967" t="e">
        <f>+BT302/BS302-1</f>
        <v>#DIV/0!</v>
      </c>
      <c r="BU304" s="3967" t="e">
        <f>+BU302/BT302-1</f>
        <v>#DIV/0!</v>
      </c>
      <c r="BV304" s="3967" t="e">
        <f>+BV302/BU302-1</f>
        <v>#DIV/0!</v>
      </c>
      <c r="BW304" s="3971"/>
      <c r="BX304" s="3967"/>
      <c r="BY304" s="3967"/>
      <c r="BZ304" s="3972">
        <f t="shared" ref="BZ304:CF304" si="576">+BZ302/BY302-1</f>
        <v>-8.7976539589442737E-3</v>
      </c>
      <c r="CA304" s="3971">
        <f t="shared" si="576"/>
        <v>-4.7337278106508895E-2</v>
      </c>
      <c r="CB304" s="3967">
        <f t="shared" si="576"/>
        <v>-2.7950310559006208E-2</v>
      </c>
      <c r="CC304" s="3967">
        <f t="shared" si="576"/>
        <v>-2.8753993610223683E-2</v>
      </c>
      <c r="CD304" s="3972">
        <f t="shared" si="576"/>
        <v>-1.9736842105263164E-2</v>
      </c>
      <c r="CE304" s="3967">
        <f t="shared" si="576"/>
        <v>2.0134228187919545E-2</v>
      </c>
      <c r="CF304" s="3967">
        <f t="shared" si="576"/>
        <v>-3.6184210526315819E-2</v>
      </c>
      <c r="CG304" s="3967">
        <f t="shared" ref="CG304:CL304" si="577">+CG302/CF302-1</f>
        <v>-1.7064846416382284E-2</v>
      </c>
      <c r="CH304" s="3972">
        <f t="shared" si="577"/>
        <v>-1.736111111111116E-2</v>
      </c>
      <c r="CI304" s="3967">
        <f t="shared" si="577"/>
        <v>1.0600706713780994E-2</v>
      </c>
      <c r="CJ304" s="3967">
        <f t="shared" si="577"/>
        <v>-1.7482517482517501E-2</v>
      </c>
      <c r="CK304" s="3967">
        <f t="shared" si="577"/>
        <v>-1.4234875444839812E-2</v>
      </c>
      <c r="CL304" s="3967">
        <f t="shared" si="577"/>
        <v>7.2202166064982976E-3</v>
      </c>
      <c r="CM304" s="3967"/>
      <c r="CN304" s="3967"/>
      <c r="CO304" s="3967"/>
      <c r="CP304" s="3967"/>
      <c r="CQ304" s="3971"/>
      <c r="CR304" s="3967"/>
      <c r="CS304" s="3967"/>
      <c r="CT304" s="3972"/>
    </row>
    <row r="305" spans="1:98" hidden="1" outlineLevel="2">
      <c r="A305" s="3921" t="s">
        <v>1285</v>
      </c>
      <c r="B305" s="3876"/>
      <c r="C305" s="3876"/>
      <c r="D305" s="3876"/>
      <c r="E305" s="3876"/>
      <c r="F305" s="3876"/>
      <c r="G305" s="3876"/>
      <c r="H305" s="3876"/>
      <c r="I305" s="3876"/>
      <c r="J305" s="3876"/>
      <c r="K305" s="3876"/>
      <c r="L305" s="3876"/>
      <c r="N305" s="3938"/>
      <c r="O305" s="2712"/>
      <c r="P305" s="2033">
        <f>SUM(CA305:CD305)</f>
        <v>686</v>
      </c>
      <c r="Q305" s="2033">
        <f>SUM(CE305:CH305)</f>
        <v>573</v>
      </c>
      <c r="R305" s="2033">
        <f>SUM(CI305:CL305)</f>
        <v>531</v>
      </c>
      <c r="S305" s="2033"/>
      <c r="T305" s="2033"/>
      <c r="U305" s="2033"/>
      <c r="V305" s="2033"/>
      <c r="W305" s="2033"/>
      <c r="X305" s="2033"/>
      <c r="Y305" s="2033"/>
      <c r="Z305" s="2033"/>
      <c r="AA305" s="2033"/>
      <c r="AB305" s="2033"/>
      <c r="AC305" s="2033"/>
      <c r="AD305" s="2033"/>
      <c r="AE305" s="2033"/>
      <c r="AF305" s="2033"/>
      <c r="AG305" s="2553"/>
      <c r="AH305" s="3921"/>
      <c r="AI305" s="3876"/>
      <c r="AJ305" s="3876"/>
      <c r="AK305" s="3876"/>
      <c r="AL305" s="3876"/>
      <c r="AM305" s="3876"/>
      <c r="AN305" s="3876"/>
      <c r="AO305" s="3876"/>
      <c r="AP305" s="3876"/>
      <c r="AQ305" s="3876"/>
      <c r="AR305" s="3876"/>
      <c r="AS305" s="3876"/>
      <c r="AT305" s="3876"/>
      <c r="AU305" s="3876"/>
      <c r="AV305" s="3876"/>
      <c r="AW305" s="3876"/>
      <c r="AX305" s="3876"/>
      <c r="AY305" s="3876"/>
      <c r="AZ305" s="3876"/>
      <c r="BA305" s="3876"/>
      <c r="BB305" s="3876"/>
      <c r="BC305" s="3876"/>
      <c r="BD305" s="3876"/>
      <c r="BE305" s="3876"/>
      <c r="BF305" s="3876"/>
      <c r="BG305" s="3942"/>
      <c r="BH305" s="3942"/>
      <c r="BI305" s="3942"/>
      <c r="BJ305" s="3942"/>
      <c r="BK305" s="3942"/>
      <c r="BL305" s="3942"/>
      <c r="BM305" s="3942"/>
      <c r="BN305" s="3942"/>
      <c r="BO305" s="3942"/>
      <c r="BP305" s="3942"/>
      <c r="BQ305" s="3942"/>
      <c r="BR305" s="3942"/>
      <c r="BS305" s="3942"/>
      <c r="BT305" s="3942"/>
      <c r="BU305" s="3942"/>
      <c r="BV305" s="3942"/>
      <c r="BW305" s="4022"/>
      <c r="BX305" s="4023"/>
      <c r="BY305" s="2695">
        <v>162</v>
      </c>
      <c r="BZ305" s="2696">
        <v>185</v>
      </c>
      <c r="CA305" s="2721">
        <v>173</v>
      </c>
      <c r="CB305" s="2718">
        <v>186</v>
      </c>
      <c r="CC305" s="2718">
        <v>184</v>
      </c>
      <c r="CD305" s="2723">
        <v>143</v>
      </c>
      <c r="CE305" s="2928">
        <v>139</v>
      </c>
      <c r="CF305" s="2928">
        <v>142</v>
      </c>
      <c r="CG305" s="2928">
        <v>152</v>
      </c>
      <c r="CH305" s="2929">
        <v>140</v>
      </c>
      <c r="CI305" s="2928">
        <v>115</v>
      </c>
      <c r="CJ305" s="2928">
        <v>123</v>
      </c>
      <c r="CK305" s="2928">
        <v>163</v>
      </c>
      <c r="CL305" s="2928">
        <v>130</v>
      </c>
      <c r="CM305" s="2695"/>
      <c r="CN305" s="2928"/>
      <c r="CO305" s="2928"/>
      <c r="CP305" s="2928"/>
      <c r="CQ305" s="3831"/>
      <c r="CR305" s="2695"/>
      <c r="CS305" s="2695"/>
      <c r="CT305" s="2696"/>
    </row>
    <row r="306" spans="1:98" hidden="1" outlineLevel="2">
      <c r="A306" s="4017" t="s">
        <v>34</v>
      </c>
      <c r="B306" s="3876"/>
      <c r="C306" s="3876"/>
      <c r="D306" s="3876"/>
      <c r="E306" s="3876"/>
      <c r="F306" s="3876"/>
      <c r="G306" s="3876"/>
      <c r="H306" s="3876"/>
      <c r="I306" s="3876"/>
      <c r="J306" s="3876"/>
      <c r="K306" s="3876"/>
      <c r="L306" s="3876"/>
      <c r="N306" s="3938"/>
      <c r="O306" s="2712"/>
      <c r="P306" s="2033"/>
      <c r="Q306" s="4021">
        <f>+Q305/P305-1</f>
        <v>-0.16472303206997085</v>
      </c>
      <c r="R306" s="4021">
        <f>+R305/Q305-1</f>
        <v>-7.3298429319371694E-2</v>
      </c>
      <c r="S306" s="4021"/>
      <c r="T306" s="4021"/>
      <c r="U306" s="4018"/>
      <c r="V306" s="4018"/>
      <c r="W306" s="4018"/>
      <c r="X306" s="4018"/>
      <c r="Y306" s="4018"/>
      <c r="Z306" s="4018"/>
      <c r="AA306" s="4018"/>
      <c r="AB306" s="4018"/>
      <c r="AC306" s="4018"/>
      <c r="AD306" s="4018"/>
      <c r="AE306" s="4018"/>
      <c r="AF306" s="4018"/>
      <c r="AG306" s="2553"/>
      <c r="AH306" s="3921"/>
      <c r="AI306" s="3876"/>
      <c r="AJ306" s="3876"/>
      <c r="AK306" s="3876"/>
      <c r="AL306" s="3876"/>
      <c r="AM306" s="3876"/>
      <c r="AN306" s="3876"/>
      <c r="AO306" s="3876"/>
      <c r="AP306" s="3876"/>
      <c r="AQ306" s="3876"/>
      <c r="AR306" s="3876"/>
      <c r="AS306" s="3876"/>
      <c r="AT306" s="3876"/>
      <c r="AU306" s="3876"/>
      <c r="AV306" s="3876"/>
      <c r="AW306" s="3876"/>
      <c r="AX306" s="3876"/>
      <c r="AY306" s="3876"/>
      <c r="AZ306" s="3876"/>
      <c r="BA306" s="3876"/>
      <c r="BB306" s="3876"/>
      <c r="BC306" s="3876"/>
      <c r="BD306" s="3876"/>
      <c r="BE306" s="3876"/>
      <c r="BF306" s="3876"/>
      <c r="BG306" s="3942"/>
      <c r="BH306" s="3942"/>
      <c r="BI306" s="3942"/>
      <c r="BJ306" s="3942"/>
      <c r="BK306" s="3942"/>
      <c r="BL306" s="3942"/>
      <c r="BM306" s="3942"/>
      <c r="BN306" s="3942"/>
      <c r="BO306" s="3942"/>
      <c r="BP306" s="3942"/>
      <c r="BQ306" s="3942"/>
      <c r="BR306" s="3942"/>
      <c r="BS306" s="3942"/>
      <c r="BT306" s="3942"/>
      <c r="BU306" s="3942"/>
      <c r="BV306" s="3942"/>
      <c r="BW306" s="4022"/>
      <c r="BX306" s="4023"/>
      <c r="BY306" s="4024"/>
      <c r="BZ306" s="4025"/>
      <c r="CA306" s="3971"/>
      <c r="CB306" s="3967"/>
      <c r="CC306" s="3967">
        <f t="shared" ref="CC306:CH306" si="578">+CC305/BY305-1</f>
        <v>0.13580246913580241</v>
      </c>
      <c r="CD306" s="3972">
        <f t="shared" si="578"/>
        <v>-0.22702702702702704</v>
      </c>
      <c r="CE306" s="3967">
        <f t="shared" si="578"/>
        <v>-0.19653179190751446</v>
      </c>
      <c r="CF306" s="3967">
        <f t="shared" si="578"/>
        <v>-0.23655913978494625</v>
      </c>
      <c r="CG306" s="3967">
        <f t="shared" si="578"/>
        <v>-0.17391304347826086</v>
      </c>
      <c r="CH306" s="3972">
        <f t="shared" si="578"/>
        <v>-2.0979020979020935E-2</v>
      </c>
      <c r="CI306" s="3967">
        <f>+CI305/CE305-1</f>
        <v>-0.17266187050359716</v>
      </c>
      <c r="CJ306" s="3967">
        <f>+CJ305/CF305-1</f>
        <v>-0.13380281690140849</v>
      </c>
      <c r="CK306" s="3967">
        <f>+CK305/CG305-1</f>
        <v>7.2368421052631637E-2</v>
      </c>
      <c r="CL306" s="3967">
        <f>+CL305/CH305-1</f>
        <v>-7.1428571428571397E-2</v>
      </c>
      <c r="CM306" s="4018"/>
      <c r="CN306" s="3967"/>
      <c r="CO306" s="3967"/>
      <c r="CP306" s="3967"/>
      <c r="CQ306" s="4019"/>
      <c r="CR306" s="4018"/>
      <c r="CS306" s="4018"/>
      <c r="CT306" s="4020"/>
    </row>
    <row r="307" spans="1:98" hidden="1" outlineLevel="2">
      <c r="A307" s="4017" t="s">
        <v>947</v>
      </c>
      <c r="B307" s="3876"/>
      <c r="C307" s="3876"/>
      <c r="D307" s="3876"/>
      <c r="E307" s="3876"/>
      <c r="F307" s="3876"/>
      <c r="G307" s="3876"/>
      <c r="H307" s="3876"/>
      <c r="I307" s="3876"/>
      <c r="J307" s="3876"/>
      <c r="K307" s="3876"/>
      <c r="L307" s="3876"/>
      <c r="N307" s="3938"/>
      <c r="O307" s="2712"/>
      <c r="P307" s="2033"/>
      <c r="Q307" s="2033"/>
      <c r="R307" s="2033"/>
      <c r="S307" s="2033"/>
      <c r="T307" s="2033"/>
      <c r="U307" s="2033"/>
      <c r="V307" s="2033"/>
      <c r="W307" s="2033"/>
      <c r="X307" s="2033"/>
      <c r="Y307" s="2033"/>
      <c r="Z307" s="2033"/>
      <c r="AA307" s="2033"/>
      <c r="AB307" s="2033"/>
      <c r="AC307" s="2033"/>
      <c r="AD307" s="2033"/>
      <c r="AE307" s="2033"/>
      <c r="AF307" s="2033"/>
      <c r="AG307" s="2553"/>
      <c r="AH307" s="3921"/>
      <c r="AI307" s="3876"/>
      <c r="AJ307" s="3876"/>
      <c r="AK307" s="3876"/>
      <c r="AL307" s="3876"/>
      <c r="AM307" s="3876"/>
      <c r="AN307" s="3876"/>
      <c r="AO307" s="3876"/>
      <c r="AP307" s="3876"/>
      <c r="AQ307" s="3876"/>
      <c r="AR307" s="3876"/>
      <c r="AS307" s="3876"/>
      <c r="AT307" s="3876"/>
      <c r="AU307" s="3876"/>
      <c r="AV307" s="3876"/>
      <c r="AW307" s="3876"/>
      <c r="AX307" s="3876"/>
      <c r="AY307" s="3876"/>
      <c r="AZ307" s="3876"/>
      <c r="BA307" s="3876"/>
      <c r="BB307" s="3876"/>
      <c r="BC307" s="3876"/>
      <c r="BD307" s="3876"/>
      <c r="BE307" s="3876"/>
      <c r="BF307" s="3876"/>
      <c r="BG307" s="3942"/>
      <c r="BH307" s="3942"/>
      <c r="BI307" s="3942"/>
      <c r="BJ307" s="3942"/>
      <c r="BK307" s="3942"/>
      <c r="BL307" s="3942"/>
      <c r="BM307" s="3942"/>
      <c r="BN307" s="3942"/>
      <c r="BO307" s="3942"/>
      <c r="BP307" s="3942"/>
      <c r="BQ307" s="3942"/>
      <c r="BR307" s="3942"/>
      <c r="BS307" s="3942"/>
      <c r="BT307" s="3942"/>
      <c r="BU307" s="3942"/>
      <c r="BV307" s="3942"/>
      <c r="BW307" s="4022"/>
      <c r="BX307" s="4023"/>
      <c r="BY307" s="4024"/>
      <c r="BZ307" s="4025"/>
      <c r="CA307" s="3971">
        <f t="shared" ref="CA307:CF307" si="579">+CA305/BZ305-1</f>
        <v>-6.4864864864864868E-2</v>
      </c>
      <c r="CB307" s="3967">
        <f t="shared" si="579"/>
        <v>7.5144508670520249E-2</v>
      </c>
      <c r="CC307" s="3967">
        <f t="shared" si="579"/>
        <v>-1.0752688172043001E-2</v>
      </c>
      <c r="CD307" s="3972">
        <f t="shared" si="579"/>
        <v>-0.22282608695652173</v>
      </c>
      <c r="CE307" s="3967">
        <f t="shared" si="579"/>
        <v>-2.7972027972028024E-2</v>
      </c>
      <c r="CF307" s="3967">
        <f t="shared" si="579"/>
        <v>2.1582733812949728E-2</v>
      </c>
      <c r="CG307" s="3967">
        <f t="shared" ref="CG307:CL307" si="580">+CG305/CF305-1</f>
        <v>7.0422535211267512E-2</v>
      </c>
      <c r="CH307" s="3972">
        <f t="shared" si="580"/>
        <v>-7.8947368421052655E-2</v>
      </c>
      <c r="CI307" s="3967">
        <f t="shared" si="580"/>
        <v>-0.1785714285714286</v>
      </c>
      <c r="CJ307" s="3967">
        <f t="shared" si="580"/>
        <v>6.956521739130439E-2</v>
      </c>
      <c r="CK307" s="3967">
        <f t="shared" si="580"/>
        <v>0.32520325203252032</v>
      </c>
      <c r="CL307" s="3967">
        <f t="shared" si="580"/>
        <v>-0.2024539877300614</v>
      </c>
      <c r="CM307" s="3967"/>
      <c r="CN307" s="3967"/>
      <c r="CO307" s="3967"/>
      <c r="CP307" s="3967"/>
      <c r="CQ307" s="3971"/>
      <c r="CR307" s="3967"/>
      <c r="CS307" s="3967"/>
      <c r="CT307" s="3972"/>
    </row>
    <row r="308" spans="1:98" hidden="1" outlineLevel="2">
      <c r="A308" s="2714" t="s">
        <v>1143</v>
      </c>
      <c r="B308" s="3876"/>
      <c r="C308" s="3876"/>
      <c r="D308" s="3876"/>
      <c r="E308" s="3876"/>
      <c r="F308" s="3876"/>
      <c r="G308" s="3876"/>
      <c r="H308" s="3876"/>
      <c r="I308" s="3876"/>
      <c r="J308" s="3876"/>
      <c r="K308" s="3876"/>
      <c r="L308" s="3876"/>
      <c r="M308" s="3938"/>
      <c r="N308" s="3938"/>
      <c r="O308" s="2712"/>
      <c r="P308" s="2695">
        <f>+P287+P290+P293+P296+P299+P302+P305</f>
        <v>11030</v>
      </c>
      <c r="Q308" s="2695">
        <f>+Q287+Q290+Q293+Q296+Q299+Q302+Q305</f>
        <v>10644</v>
      </c>
      <c r="R308" s="2695">
        <f>+R287+R290+R293+R296+R299+R302+R305</f>
        <v>10352</v>
      </c>
      <c r="S308" s="2695"/>
      <c r="T308" s="2695"/>
      <c r="U308" s="2695"/>
      <c r="V308" s="2695"/>
      <c r="W308" s="2695"/>
      <c r="X308" s="2695"/>
      <c r="Y308" s="2695"/>
      <c r="Z308" s="2695"/>
      <c r="AA308" s="2695"/>
      <c r="AB308" s="2695"/>
      <c r="AC308" s="2695"/>
      <c r="AD308" s="2695"/>
      <c r="AE308" s="2695"/>
      <c r="AF308" s="2695"/>
      <c r="AG308" s="2553"/>
      <c r="AH308" s="3921"/>
      <c r="AI308" s="3876"/>
      <c r="AJ308" s="3876"/>
      <c r="AK308" s="3876"/>
      <c r="AL308" s="3876"/>
      <c r="AM308" s="3876"/>
      <c r="AN308" s="3876"/>
      <c r="AO308" s="3876"/>
      <c r="AP308" s="3876"/>
      <c r="AQ308" s="3876"/>
      <c r="AR308" s="3876"/>
      <c r="AS308" s="3876"/>
      <c r="AT308" s="3876"/>
      <c r="AU308" s="3876"/>
      <c r="AV308" s="3876"/>
      <c r="AW308" s="3876"/>
      <c r="AX308" s="3876"/>
      <c r="AY308" s="3876"/>
      <c r="AZ308" s="3876"/>
      <c r="BA308" s="3876"/>
      <c r="BB308" s="3876"/>
      <c r="BC308" s="3876"/>
      <c r="BD308" s="3876"/>
      <c r="BE308" s="3876"/>
      <c r="BF308" s="3876"/>
      <c r="BG308" s="3942"/>
      <c r="BH308" s="3942"/>
      <c r="BI308" s="3942"/>
      <c r="BJ308" s="3942"/>
      <c r="BK308" s="3942"/>
      <c r="BL308" s="3942"/>
      <c r="BM308" s="3942"/>
      <c r="BN308" s="3942"/>
      <c r="BO308" s="3942"/>
      <c r="BP308" s="3942"/>
      <c r="BQ308" s="3942"/>
      <c r="BR308" s="3942"/>
      <c r="BS308" s="3942"/>
      <c r="BT308" s="3942"/>
      <c r="BU308" s="3942" t="s">
        <v>1242</v>
      </c>
      <c r="BV308" s="3942" t="s">
        <v>1243</v>
      </c>
      <c r="BW308" s="4022"/>
      <c r="BX308" s="4023"/>
      <c r="BY308" s="2695">
        <f>+BY287+BY290+BY293+BY296+BY299+BY302+BY305</f>
        <v>2764</v>
      </c>
      <c r="BZ308" s="2696">
        <f t="shared" ref="BZ308:CE308" si="581">+BZ287+BZ290+BZ293+BZ296+BZ299+BZ302+BZ305</f>
        <v>2800</v>
      </c>
      <c r="CA308" s="2724">
        <f t="shared" si="581"/>
        <v>2775</v>
      </c>
      <c r="CB308" s="2725">
        <f t="shared" si="581"/>
        <v>2787</v>
      </c>
      <c r="CC308" s="2725">
        <f t="shared" si="581"/>
        <v>2772</v>
      </c>
      <c r="CD308" s="2726">
        <f t="shared" si="581"/>
        <v>2696</v>
      </c>
      <c r="CE308" s="2725">
        <f t="shared" si="581"/>
        <v>2697</v>
      </c>
      <c r="CF308" s="2725">
        <f t="shared" ref="CF308:CL308" si="582">+CF287+CF290+CF293+CF296+CF299+CF302+CF305</f>
        <v>2657</v>
      </c>
      <c r="CG308" s="2725">
        <f t="shared" si="582"/>
        <v>2635</v>
      </c>
      <c r="CH308" s="2726">
        <f t="shared" si="582"/>
        <v>2655</v>
      </c>
      <c r="CI308" s="2725">
        <f t="shared" si="582"/>
        <v>2604</v>
      </c>
      <c r="CJ308" s="2725">
        <f t="shared" si="582"/>
        <v>2597</v>
      </c>
      <c r="CK308" s="2725">
        <f t="shared" si="582"/>
        <v>2606</v>
      </c>
      <c r="CL308" s="2725">
        <f t="shared" si="582"/>
        <v>2545</v>
      </c>
      <c r="CM308" s="2062"/>
      <c r="CN308" s="2725"/>
      <c r="CO308" s="2725"/>
      <c r="CP308" s="2725"/>
      <c r="CQ308" s="1985"/>
      <c r="CR308" s="2062"/>
      <c r="CS308" s="2062"/>
      <c r="CT308" s="2699"/>
    </row>
    <row r="309" spans="1:98" hidden="1" outlineLevel="2">
      <c r="A309" s="2714"/>
      <c r="B309" s="3876"/>
      <c r="C309" s="3876"/>
      <c r="D309" s="3876"/>
      <c r="E309" s="3876"/>
      <c r="F309" s="3876"/>
      <c r="G309" s="3876"/>
      <c r="H309" s="3876"/>
      <c r="I309" s="3876"/>
      <c r="J309" s="3876"/>
      <c r="K309" s="3876"/>
      <c r="L309" s="3876"/>
      <c r="M309" s="3938"/>
      <c r="N309" s="3938"/>
      <c r="O309" s="2712"/>
      <c r="P309" s="1899"/>
      <c r="Q309" s="3942">
        <f>+Q308/P308-1</f>
        <v>-3.4995466908431583E-2</v>
      </c>
      <c r="R309" s="3942">
        <f>+R308/Q308-1</f>
        <v>-2.7433295753476084E-2</v>
      </c>
      <c r="S309" s="3942"/>
      <c r="T309" s="3942"/>
      <c r="U309" s="3942"/>
      <c r="V309" s="3942"/>
      <c r="W309" s="3942"/>
      <c r="X309" s="3942"/>
      <c r="Y309" s="3942"/>
      <c r="Z309" s="3942"/>
      <c r="AA309" s="3942"/>
      <c r="AB309" s="3942"/>
      <c r="AC309" s="3942"/>
      <c r="AD309" s="3942"/>
      <c r="AE309" s="3942"/>
      <c r="AF309" s="3942"/>
      <c r="AG309" s="2553"/>
      <c r="AH309" s="3921"/>
      <c r="AI309" s="3876"/>
      <c r="AJ309" s="3876"/>
      <c r="AK309" s="3876"/>
      <c r="AL309" s="3876"/>
      <c r="AM309" s="3876"/>
      <c r="AN309" s="3876"/>
      <c r="AO309" s="3876"/>
      <c r="AP309" s="3876"/>
      <c r="AQ309" s="3876"/>
      <c r="AR309" s="3876"/>
      <c r="AS309" s="3876"/>
      <c r="AT309" s="3876"/>
      <c r="AU309" s="3876"/>
      <c r="AV309" s="3876"/>
      <c r="AW309" s="3876"/>
      <c r="AX309" s="3876"/>
      <c r="AY309" s="3876"/>
      <c r="AZ309" s="3876"/>
      <c r="BA309" s="3876"/>
      <c r="BB309" s="3876"/>
      <c r="BC309" s="3876"/>
      <c r="BD309" s="3876"/>
      <c r="BE309" s="3876"/>
      <c r="BF309" s="3876"/>
      <c r="BG309" s="3942"/>
      <c r="BH309" s="3942"/>
      <c r="BI309" s="3942"/>
      <c r="BJ309" s="3942"/>
      <c r="BK309" s="3942"/>
      <c r="BL309" s="3942"/>
      <c r="BM309" s="3942"/>
      <c r="BN309" s="3942"/>
      <c r="BO309" s="3942"/>
      <c r="BP309" s="3942"/>
      <c r="BQ309" s="3942"/>
      <c r="BR309" s="3942"/>
      <c r="BS309" s="3942"/>
      <c r="BT309" s="3942"/>
      <c r="BU309" s="3942"/>
      <c r="BV309" s="3942"/>
      <c r="BW309" s="4022"/>
      <c r="BX309" s="4023"/>
      <c r="BY309" s="4024"/>
      <c r="BZ309" s="3972"/>
      <c r="CA309" s="3971"/>
      <c r="CB309" s="3967"/>
      <c r="CC309" s="3967">
        <f t="shared" ref="CC309:CH309" si="583">+CC308/BY308-1</f>
        <v>2.8943560057888007E-3</v>
      </c>
      <c r="CD309" s="3972">
        <f t="shared" si="583"/>
        <v>-3.7142857142857144E-2</v>
      </c>
      <c r="CE309" s="3967">
        <f t="shared" si="583"/>
        <v>-2.8108108108108154E-2</v>
      </c>
      <c r="CF309" s="3967">
        <f t="shared" si="583"/>
        <v>-4.6645138141370612E-2</v>
      </c>
      <c r="CG309" s="3967">
        <f t="shared" si="583"/>
        <v>-4.9422799422799368E-2</v>
      </c>
      <c r="CH309" s="3972">
        <f t="shared" si="583"/>
        <v>-1.5207715133531141E-2</v>
      </c>
      <c r="CI309" s="3967">
        <f>+CI308/CE308-1</f>
        <v>-3.4482758620689613E-2</v>
      </c>
      <c r="CJ309" s="3967">
        <f>+CJ308/CF308-1</f>
        <v>-2.2581859239744095E-2</v>
      </c>
      <c r="CK309" s="3967">
        <f>+CK308/CG308-1</f>
        <v>-1.1005692599620476E-2</v>
      </c>
      <c r="CL309" s="3967">
        <f>+CL308/CH308-1</f>
        <v>-4.1431261770244809E-2</v>
      </c>
      <c r="CM309" s="3967"/>
      <c r="CN309" s="3967"/>
      <c r="CO309" s="3967"/>
      <c r="CP309" s="3967"/>
      <c r="CQ309" s="3971"/>
      <c r="CR309" s="3967"/>
      <c r="CS309" s="3967"/>
      <c r="CT309" s="3972"/>
    </row>
    <row r="310" spans="1:98" hidden="1" outlineLevel="2">
      <c r="A310" s="2715"/>
      <c r="B310" s="3876"/>
      <c r="C310" s="3876"/>
      <c r="D310" s="3876"/>
      <c r="E310" s="3876"/>
      <c r="F310" s="3876"/>
      <c r="G310" s="3876"/>
      <c r="H310" s="3876"/>
      <c r="I310" s="3876"/>
      <c r="J310" s="3876"/>
      <c r="K310" s="3876"/>
      <c r="L310" s="3876"/>
      <c r="M310" s="3938"/>
      <c r="N310" s="3938"/>
      <c r="O310" s="2713"/>
      <c r="P310" s="2622"/>
      <c r="Q310" s="2622"/>
      <c r="R310" s="2622"/>
      <c r="S310" s="2622"/>
      <c r="T310" s="2622"/>
      <c r="U310" s="2622"/>
      <c r="V310" s="2622"/>
      <c r="W310" s="2622"/>
      <c r="X310" s="2622"/>
      <c r="Y310" s="2622"/>
      <c r="Z310" s="2622"/>
      <c r="AA310" s="2622"/>
      <c r="AB310" s="2622"/>
      <c r="AC310" s="2622"/>
      <c r="AD310" s="2622"/>
      <c r="AE310" s="2622"/>
      <c r="AF310" s="2622"/>
      <c r="AG310" s="2553"/>
      <c r="AH310" s="3921"/>
      <c r="AI310" s="3876"/>
      <c r="AJ310" s="3876"/>
      <c r="AK310" s="3876"/>
      <c r="AL310" s="3876"/>
      <c r="AM310" s="3876"/>
      <c r="AN310" s="3876"/>
      <c r="AO310" s="3876"/>
      <c r="AP310" s="3876"/>
      <c r="AQ310" s="3876"/>
      <c r="AR310" s="3876"/>
      <c r="AS310" s="3876"/>
      <c r="AT310" s="3876"/>
      <c r="AU310" s="3876"/>
      <c r="AV310" s="3876"/>
      <c r="AW310" s="3876"/>
      <c r="AX310" s="3876"/>
      <c r="AY310" s="3876"/>
      <c r="AZ310" s="3876"/>
      <c r="BA310" s="3876"/>
      <c r="BB310" s="3876"/>
      <c r="BC310" s="3876"/>
      <c r="BD310" s="3876"/>
      <c r="BE310" s="3876"/>
      <c r="BF310" s="3876"/>
      <c r="BG310" s="3942"/>
      <c r="BH310" s="3942"/>
      <c r="BI310" s="3942"/>
      <c r="BJ310" s="3942"/>
      <c r="BK310" s="3942"/>
      <c r="BL310" s="3942"/>
      <c r="BM310" s="3942"/>
      <c r="BN310" s="3942"/>
      <c r="BO310" s="3942"/>
      <c r="BP310" s="3942"/>
      <c r="BQ310" s="3942"/>
      <c r="BR310" s="3942"/>
      <c r="BS310" s="3942"/>
      <c r="BT310" s="3942"/>
      <c r="BU310" s="3942" t="s">
        <v>858</v>
      </c>
      <c r="BV310" s="3942" t="s">
        <v>1244</v>
      </c>
      <c r="BW310" s="4026"/>
      <c r="BX310" s="4027"/>
      <c r="BY310" s="4028"/>
      <c r="BZ310" s="4003">
        <f t="shared" ref="BZ310:CG310" si="584">+BZ308/BY308-1</f>
        <v>1.3024602026049159E-2</v>
      </c>
      <c r="CA310" s="4001">
        <f t="shared" si="584"/>
        <v>-8.9285714285713969E-3</v>
      </c>
      <c r="CB310" s="4002">
        <f t="shared" si="584"/>
        <v>4.3243243243242802E-3</v>
      </c>
      <c r="CC310" s="4002">
        <f t="shared" si="584"/>
        <v>-5.3821313240043356E-3</v>
      </c>
      <c r="CD310" s="4003">
        <f t="shared" si="584"/>
        <v>-2.7417027417027451E-2</v>
      </c>
      <c r="CE310" s="4002">
        <f t="shared" si="584"/>
        <v>3.7091988130555364E-4</v>
      </c>
      <c r="CF310" s="4002">
        <f t="shared" si="584"/>
        <v>-1.4831294030404174E-2</v>
      </c>
      <c r="CG310" s="4002">
        <f t="shared" si="584"/>
        <v>-8.2800150545728757E-3</v>
      </c>
      <c r="CH310" s="4003">
        <f>+CH308/CG308-1</f>
        <v>7.5901328273244584E-3</v>
      </c>
      <c r="CI310" s="3967">
        <f>+CI308/CH308-1</f>
        <v>-1.9209039548022555E-2</v>
      </c>
      <c r="CJ310" s="3967">
        <f>+CJ308/CI308-1</f>
        <v>-2.6881720430107503E-3</v>
      </c>
      <c r="CK310" s="3967">
        <f>+CK308/CJ308-1</f>
        <v>3.4655371582594796E-3</v>
      </c>
      <c r="CL310" s="3967">
        <f>+CL308/CK308-1</f>
        <v>-2.3407521105141993E-2</v>
      </c>
      <c r="CM310" s="3967"/>
      <c r="CN310" s="3967"/>
      <c r="CO310" s="3967"/>
      <c r="CP310" s="3967"/>
      <c r="CQ310" s="3971"/>
      <c r="CR310" s="3967"/>
      <c r="CS310" s="3967"/>
      <c r="CT310" s="3972"/>
    </row>
    <row r="311" spans="1:98" hidden="1" outlineLevel="2">
      <c r="A311" s="2053"/>
      <c r="B311" s="3876"/>
      <c r="C311" s="3876"/>
      <c r="D311" s="3876"/>
      <c r="E311" s="3876"/>
      <c r="F311" s="3876"/>
      <c r="G311" s="3876"/>
      <c r="H311" s="3876"/>
      <c r="I311" s="3876"/>
      <c r="J311" s="3876"/>
      <c r="K311" s="3876"/>
      <c r="L311" s="3876"/>
      <c r="M311" s="3938"/>
      <c r="N311" s="3938"/>
      <c r="O311" s="1899"/>
      <c r="P311" s="1899"/>
      <c r="Q311" s="1899"/>
      <c r="R311" s="1899"/>
      <c r="S311" s="1899"/>
      <c r="T311" s="1899"/>
      <c r="U311" s="1899"/>
      <c r="V311" s="1899"/>
      <c r="W311" s="1899"/>
      <c r="X311" s="1899"/>
      <c r="Y311" s="1899"/>
      <c r="Z311" s="1899"/>
      <c r="AA311" s="1899"/>
      <c r="AB311" s="1899"/>
      <c r="AC311" s="1899"/>
      <c r="AD311" s="1899"/>
      <c r="AE311" s="1899"/>
      <c r="AF311" s="1899"/>
      <c r="AG311" s="2553"/>
      <c r="AH311" s="3921"/>
      <c r="AI311" s="3876"/>
      <c r="AJ311" s="3876"/>
      <c r="AK311" s="3876"/>
      <c r="AL311" s="3876"/>
      <c r="AM311" s="3876"/>
      <c r="AN311" s="3876"/>
      <c r="AO311" s="3876"/>
      <c r="AP311" s="3876"/>
      <c r="AQ311" s="3876"/>
      <c r="AR311" s="3876"/>
      <c r="AS311" s="3876"/>
      <c r="AT311" s="3876"/>
      <c r="AU311" s="3876"/>
      <c r="AV311" s="3876"/>
      <c r="AW311" s="3876"/>
      <c r="AX311" s="3876"/>
      <c r="AY311" s="3876"/>
      <c r="AZ311" s="3876"/>
      <c r="BA311" s="3876"/>
      <c r="BB311" s="3876"/>
      <c r="BC311" s="3876"/>
      <c r="BD311" s="3876"/>
      <c r="BE311" s="3876"/>
      <c r="BF311" s="3876"/>
      <c r="BG311" s="3942"/>
      <c r="BH311" s="3942"/>
      <c r="BI311" s="3942"/>
      <c r="BJ311" s="3942"/>
      <c r="BK311" s="3942"/>
      <c r="BL311" s="3942"/>
      <c r="BM311" s="3942"/>
      <c r="BN311" s="3942"/>
      <c r="BO311" s="3942"/>
      <c r="BP311" s="3942"/>
      <c r="BQ311" s="3942"/>
      <c r="BR311" s="3942"/>
      <c r="BS311" s="3942"/>
      <c r="BT311" s="3942"/>
      <c r="BU311" s="3942" t="s">
        <v>1143</v>
      </c>
      <c r="BV311" s="3942" t="s">
        <v>1245</v>
      </c>
      <c r="BW311" s="4022"/>
      <c r="BX311" s="4023"/>
      <c r="BY311" s="4024"/>
      <c r="BZ311" s="4024"/>
      <c r="CA311" s="4024"/>
      <c r="CB311" s="4024"/>
      <c r="CC311" s="4024"/>
      <c r="CD311" s="4024"/>
      <c r="CE311" s="4024"/>
      <c r="CF311" s="4024"/>
      <c r="CH311" s="4024"/>
      <c r="CI311" s="4024"/>
      <c r="CJ311" s="4024"/>
      <c r="CK311" s="4024"/>
      <c r="CL311" s="4024"/>
      <c r="CN311" s="4024"/>
      <c r="CO311" s="4024"/>
      <c r="CP311" s="4024"/>
      <c r="CQ311" s="3933"/>
    </row>
    <row r="312" spans="1:98" hidden="1" outlineLevel="2">
      <c r="A312" s="114" t="s">
        <v>1286</v>
      </c>
      <c r="B312" s="3876"/>
      <c r="C312" s="3876"/>
      <c r="D312" s="3876"/>
      <c r="E312" s="3876"/>
      <c r="F312" s="3876"/>
      <c r="G312" s="3876"/>
      <c r="H312" s="3876"/>
      <c r="I312" s="3876"/>
      <c r="J312" s="3876"/>
      <c r="K312" s="3876"/>
      <c r="L312" s="3876"/>
      <c r="M312" s="3938"/>
      <c r="N312" s="3938"/>
      <c r="O312" s="1899"/>
      <c r="P312" s="1899"/>
      <c r="Q312" s="1899"/>
      <c r="R312" s="1899"/>
      <c r="S312" s="1899"/>
      <c r="T312" s="1899"/>
      <c r="U312" s="1899"/>
      <c r="V312" s="1899"/>
      <c r="W312" s="1899"/>
      <c r="X312" s="1899"/>
      <c r="Y312" s="1899"/>
      <c r="Z312" s="1899"/>
      <c r="AA312" s="1899"/>
      <c r="AB312" s="1899"/>
      <c r="AC312" s="1899"/>
      <c r="AD312" s="1899"/>
      <c r="AE312" s="1899"/>
      <c r="AF312" s="1899"/>
      <c r="AG312" s="2553"/>
      <c r="AH312" s="3921"/>
      <c r="AI312" s="3876"/>
      <c r="AJ312" s="3876"/>
      <c r="AK312" s="3876"/>
      <c r="AL312" s="3876"/>
      <c r="AM312" s="3876"/>
      <c r="AN312" s="3876"/>
      <c r="AO312" s="3876"/>
      <c r="AP312" s="3876"/>
      <c r="AQ312" s="3876"/>
      <c r="AR312" s="3876"/>
      <c r="AS312" s="3876"/>
      <c r="AT312" s="3876"/>
      <c r="AU312" s="3876"/>
      <c r="AV312" s="3876"/>
      <c r="AW312" s="3876"/>
      <c r="AX312" s="3876"/>
      <c r="AY312" s="3876"/>
      <c r="AZ312" s="3876"/>
      <c r="BA312" s="3876"/>
      <c r="BB312" s="3876"/>
      <c r="BC312" s="3876"/>
      <c r="BD312" s="3876"/>
      <c r="BE312" s="3876"/>
      <c r="BF312" s="3876"/>
      <c r="BG312" s="3942"/>
      <c r="BH312" s="3942"/>
      <c r="BI312" s="3942"/>
      <c r="BJ312" s="3942"/>
      <c r="BK312" s="3942"/>
      <c r="BL312" s="3942"/>
      <c r="BM312" s="3942"/>
      <c r="BN312" s="3942"/>
      <c r="BO312" s="3942"/>
      <c r="BP312" s="3942"/>
      <c r="BQ312" s="3942"/>
      <c r="BR312" s="3942"/>
      <c r="BS312" s="3942"/>
      <c r="BT312" s="3942"/>
      <c r="BU312" s="3942"/>
      <c r="BV312" s="3942"/>
      <c r="BW312" s="4022"/>
      <c r="BX312" s="4023"/>
      <c r="BY312" s="4024"/>
      <c r="BZ312" s="4024"/>
      <c r="CA312" s="4024"/>
      <c r="CB312" s="4024"/>
      <c r="CC312" s="4024"/>
      <c r="CD312" s="4024"/>
      <c r="CE312" s="4024"/>
      <c r="CF312" s="4024"/>
      <c r="CH312" s="4024"/>
      <c r="CI312" s="4024"/>
      <c r="CJ312" s="4024"/>
      <c r="CK312" s="4024"/>
      <c r="CL312" s="4024"/>
      <c r="CN312" s="4024"/>
      <c r="CO312" s="4024"/>
      <c r="CP312" s="4024"/>
      <c r="CQ312" s="3933"/>
    </row>
    <row r="313" spans="1:98" hidden="1" outlineLevel="2">
      <c r="A313" s="3927" t="s">
        <v>1279</v>
      </c>
      <c r="B313" s="3876"/>
      <c r="C313" s="3876"/>
      <c r="D313" s="3876"/>
      <c r="E313" s="3876"/>
      <c r="F313" s="3876"/>
      <c r="G313" s="3876"/>
      <c r="H313" s="3876"/>
      <c r="I313" s="3876"/>
      <c r="J313" s="3876"/>
      <c r="K313" s="3876"/>
      <c r="L313" s="3876"/>
      <c r="M313" s="3938"/>
      <c r="N313" s="3938"/>
      <c r="O313" s="2710"/>
      <c r="P313" s="4029">
        <f>+P287/P$308</f>
        <v>0.23381686310063463</v>
      </c>
      <c r="Q313" s="4029">
        <f>+Q287/Q$308</f>
        <v>0.26456219466366027</v>
      </c>
      <c r="R313" s="4029">
        <f>+R287/R$308</f>
        <v>0.28883307573415767</v>
      </c>
      <c r="S313" s="4029"/>
      <c r="T313" s="4029"/>
      <c r="U313" s="4029"/>
      <c r="V313" s="4029"/>
      <c r="W313" s="4029"/>
      <c r="X313" s="4029"/>
      <c r="Y313" s="4029"/>
      <c r="Z313" s="4029"/>
      <c r="AA313" s="4029"/>
      <c r="AB313" s="4029"/>
      <c r="AC313" s="4029"/>
      <c r="AD313" s="4029"/>
      <c r="AE313" s="4029"/>
      <c r="AF313" s="4029"/>
      <c r="AG313" s="2553"/>
      <c r="AH313" s="3921"/>
      <c r="AI313" s="3876"/>
      <c r="AJ313" s="3876"/>
      <c r="AK313" s="3876"/>
      <c r="AL313" s="3876"/>
      <c r="AM313" s="3876"/>
      <c r="AN313" s="3876"/>
      <c r="AO313" s="3876"/>
      <c r="AP313" s="3876"/>
      <c r="AQ313" s="3876"/>
      <c r="AR313" s="3876"/>
      <c r="AS313" s="3876"/>
      <c r="AT313" s="3876"/>
      <c r="AU313" s="3876"/>
      <c r="AV313" s="3876"/>
      <c r="AW313" s="3876"/>
      <c r="AX313" s="3876"/>
      <c r="AY313" s="3876"/>
      <c r="AZ313" s="3876"/>
      <c r="BA313" s="3876"/>
      <c r="BB313" s="3876"/>
      <c r="BC313" s="3876"/>
      <c r="BD313" s="3876"/>
      <c r="BE313" s="3876"/>
      <c r="BF313" s="3876"/>
      <c r="BG313" s="3942"/>
      <c r="BH313" s="3942"/>
      <c r="BI313" s="3942"/>
      <c r="BJ313" s="3942"/>
      <c r="BK313" s="3942"/>
      <c r="BL313" s="3942"/>
      <c r="BM313" s="3942"/>
      <c r="BN313" s="3942"/>
      <c r="BO313" s="3942"/>
      <c r="BP313" s="3942"/>
      <c r="BQ313" s="3942"/>
      <c r="BR313" s="3942"/>
      <c r="BS313" s="3942"/>
      <c r="BT313" s="3942"/>
      <c r="BU313" s="3942"/>
      <c r="BV313" s="3942"/>
      <c r="BW313" s="4030"/>
      <c r="BX313" s="4029"/>
      <c r="BY313" s="4029">
        <f>+BY287/BY$308</f>
        <v>0.20296671490593343</v>
      </c>
      <c r="BZ313" s="4031">
        <f t="shared" ref="BZ313:CG313" si="585">+BZ287/BZ$308</f>
        <v>0.21428571428571427</v>
      </c>
      <c r="CA313" s="4030">
        <f t="shared" si="585"/>
        <v>0.22234234234234235</v>
      </c>
      <c r="CB313" s="4029">
        <f t="shared" si="585"/>
        <v>0.22676713311804808</v>
      </c>
      <c r="CC313" s="4029">
        <f t="shared" si="585"/>
        <v>0.2362914862914863</v>
      </c>
      <c r="CD313" s="4031">
        <f t="shared" si="585"/>
        <v>0.25037091988130566</v>
      </c>
      <c r="CE313" s="4030">
        <f t="shared" si="585"/>
        <v>0.25472747497219134</v>
      </c>
      <c r="CF313" s="4029">
        <f t="shared" si="585"/>
        <v>0.26232593150169364</v>
      </c>
      <c r="CG313" s="4029">
        <f t="shared" si="585"/>
        <v>0.2652751423149905</v>
      </c>
      <c r="CH313" s="4031">
        <f>+CH287/CH$308</f>
        <v>0.27608286252354047</v>
      </c>
      <c r="CI313" s="4021">
        <f>+CI287/CI$308</f>
        <v>0.28341013824884792</v>
      </c>
      <c r="CJ313" s="4021">
        <f>+CJ287/CJ$308</f>
        <v>0.28994994224104736</v>
      </c>
      <c r="CK313" s="4021">
        <f>+CK287/CK$308</f>
        <v>0.2854950115118956</v>
      </c>
      <c r="CL313" s="4021">
        <f>+CL287/CL$308</f>
        <v>0.29666011787819252</v>
      </c>
      <c r="CM313" s="4021"/>
      <c r="CN313" s="4021"/>
      <c r="CO313" s="4021"/>
      <c r="CP313" s="4021"/>
      <c r="CQ313" s="4032"/>
      <c r="CR313" s="4021"/>
      <c r="CS313" s="4021"/>
      <c r="CT313" s="4033"/>
    </row>
    <row r="314" spans="1:98" hidden="1" outlineLevel="2">
      <c r="A314" s="3921" t="s">
        <v>1280</v>
      </c>
      <c r="B314" s="3876"/>
      <c r="C314" s="3876"/>
      <c r="D314" s="3876"/>
      <c r="E314" s="3876"/>
      <c r="F314" s="3876"/>
      <c r="G314" s="3876"/>
      <c r="H314" s="3876"/>
      <c r="I314" s="3876"/>
      <c r="J314" s="3876"/>
      <c r="K314" s="3876"/>
      <c r="L314" s="3876"/>
      <c r="M314" s="3938"/>
      <c r="N314" s="3938"/>
      <c r="O314" s="2712"/>
      <c r="P314" s="4021">
        <f>+P290/P$308</f>
        <v>0.11931097008159565</v>
      </c>
      <c r="Q314" s="4021">
        <f>+Q290/Q$308</f>
        <v>0.12034949267192785</v>
      </c>
      <c r="R314" s="4021">
        <f>+R290/R$308</f>
        <v>0.11688562596599691</v>
      </c>
      <c r="S314" s="4021"/>
      <c r="T314" s="4021"/>
      <c r="U314" s="4021"/>
      <c r="V314" s="4021"/>
      <c r="W314" s="4021"/>
      <c r="X314" s="4021"/>
      <c r="Y314" s="4021"/>
      <c r="Z314" s="4021"/>
      <c r="AA314" s="4021"/>
      <c r="AB314" s="4021"/>
      <c r="AC314" s="4021"/>
      <c r="AD314" s="4021"/>
      <c r="AE314" s="4021"/>
      <c r="AF314" s="4021"/>
      <c r="AG314" s="2553"/>
      <c r="AH314" s="3921"/>
      <c r="AI314" s="3876"/>
      <c r="AJ314" s="3876"/>
      <c r="AK314" s="3876"/>
      <c r="AL314" s="3876"/>
      <c r="AM314" s="3876"/>
      <c r="AN314" s="3876"/>
      <c r="AO314" s="3876"/>
      <c r="AP314" s="3876"/>
      <c r="AQ314" s="3876"/>
      <c r="AR314" s="3876"/>
      <c r="AS314" s="3876"/>
      <c r="AT314" s="3876"/>
      <c r="AU314" s="3876"/>
      <c r="AV314" s="3876"/>
      <c r="AW314" s="3876"/>
      <c r="AX314" s="3876"/>
      <c r="AY314" s="3876"/>
      <c r="AZ314" s="3876"/>
      <c r="BA314" s="3876"/>
      <c r="BB314" s="3876"/>
      <c r="BC314" s="3876"/>
      <c r="BD314" s="3876"/>
      <c r="BE314" s="3876"/>
      <c r="BF314" s="3876"/>
      <c r="BG314" s="3942"/>
      <c r="BH314" s="3942"/>
      <c r="BI314" s="3942"/>
      <c r="BJ314" s="3942"/>
      <c r="BK314" s="3942"/>
      <c r="BL314" s="3942"/>
      <c r="BM314" s="3942"/>
      <c r="BN314" s="3942"/>
      <c r="BO314" s="3942"/>
      <c r="BP314" s="3942"/>
      <c r="BQ314" s="3942"/>
      <c r="BR314" s="3942"/>
      <c r="BS314" s="3942"/>
      <c r="BT314" s="3942"/>
      <c r="BU314" s="3942"/>
      <c r="BV314" s="3942"/>
      <c r="BW314" s="4032"/>
      <c r="BX314" s="4021"/>
      <c r="BY314" s="4021">
        <f>+BY290/BY$308</f>
        <v>0.11541244573082489</v>
      </c>
      <c r="BZ314" s="4033">
        <f t="shared" ref="BZ314:CG314" si="586">+BZ290/BZ$308</f>
        <v>0.11607142857142858</v>
      </c>
      <c r="CA314" s="4032">
        <f t="shared" si="586"/>
        <v>0.1181981981981982</v>
      </c>
      <c r="CB314" s="4021">
        <f t="shared" si="586"/>
        <v>0.1180480803731611</v>
      </c>
      <c r="CC314" s="4021">
        <f t="shared" si="586"/>
        <v>0.11940836940836941</v>
      </c>
      <c r="CD314" s="4033">
        <f t="shared" si="586"/>
        <v>0.12166172106824925</v>
      </c>
      <c r="CE314" s="4032">
        <f t="shared" si="586"/>
        <v>0.11790878754171301</v>
      </c>
      <c r="CF314" s="4021">
        <f t="shared" si="586"/>
        <v>0.12006021829130599</v>
      </c>
      <c r="CG314" s="4021">
        <f t="shared" si="586"/>
        <v>0.12296015180265654</v>
      </c>
      <c r="CH314" s="4033">
        <f>+CH290/CH$308</f>
        <v>0.12052730696798493</v>
      </c>
      <c r="CI314" s="4021">
        <f>+CI290/CI$308</f>
        <v>0.11789554531490015</v>
      </c>
      <c r="CJ314" s="4021">
        <f>+CJ290/CJ$308</f>
        <v>0.11744320369657296</v>
      </c>
      <c r="CK314" s="4021">
        <f>+CK290/CK$308</f>
        <v>0.11627014581734459</v>
      </c>
      <c r="CL314" s="4021">
        <f>+CL290/CL$308</f>
        <v>0.11591355599214145</v>
      </c>
      <c r="CM314" s="4021"/>
      <c r="CN314" s="4021"/>
      <c r="CO314" s="4021"/>
      <c r="CP314" s="4021"/>
      <c r="CQ314" s="4032"/>
      <c r="CR314" s="4021"/>
      <c r="CS314" s="4021"/>
      <c r="CT314" s="4033"/>
    </row>
    <row r="315" spans="1:98" hidden="1" outlineLevel="2">
      <c r="A315" s="3921" t="s">
        <v>1281</v>
      </c>
      <c r="B315" s="3876"/>
      <c r="C315" s="3876"/>
      <c r="D315" s="3876"/>
      <c r="E315" s="3876"/>
      <c r="F315" s="3876"/>
      <c r="G315" s="3876"/>
      <c r="H315" s="3876"/>
      <c r="I315" s="3876"/>
      <c r="J315" s="3876"/>
      <c r="K315" s="3876"/>
      <c r="L315" s="3876"/>
      <c r="M315" s="3938"/>
      <c r="N315" s="3938"/>
      <c r="O315" s="2712"/>
      <c r="P315" s="4021">
        <f>+P293/P$308</f>
        <v>3.8893925657298274E-2</v>
      </c>
      <c r="Q315" s="4021">
        <f>+Q293/Q$308</f>
        <v>5.8624577226606536E-2</v>
      </c>
      <c r="R315" s="4021">
        <f>+R293/R$308</f>
        <v>6.790958268933539E-2</v>
      </c>
      <c r="S315" s="4021"/>
      <c r="T315" s="4021"/>
      <c r="U315" s="4021"/>
      <c r="V315" s="4021"/>
      <c r="W315" s="4021"/>
      <c r="X315" s="4021"/>
      <c r="Y315" s="4021"/>
      <c r="Z315" s="4021"/>
      <c r="AA315" s="4021"/>
      <c r="AB315" s="4021"/>
      <c r="AC315" s="4021"/>
      <c r="AD315" s="4021"/>
      <c r="AE315" s="4021"/>
      <c r="AF315" s="4021"/>
      <c r="AG315" s="2553"/>
      <c r="AH315" s="3921"/>
      <c r="AI315" s="3876"/>
      <c r="AJ315" s="3876"/>
      <c r="AK315" s="3876"/>
      <c r="AL315" s="3876"/>
      <c r="AM315" s="3876"/>
      <c r="AN315" s="3876"/>
      <c r="AO315" s="3876"/>
      <c r="AP315" s="3876"/>
      <c r="AQ315" s="3876"/>
      <c r="AR315" s="3876"/>
      <c r="AS315" s="3876"/>
      <c r="AT315" s="3876"/>
      <c r="AU315" s="3876"/>
      <c r="AV315" s="3876"/>
      <c r="AW315" s="3876"/>
      <c r="AX315" s="3876"/>
      <c r="AY315" s="3876"/>
      <c r="AZ315" s="3876"/>
      <c r="BA315" s="3876"/>
      <c r="BB315" s="3876"/>
      <c r="BC315" s="3876"/>
      <c r="BD315" s="3876"/>
      <c r="BE315" s="3876"/>
      <c r="BF315" s="3876"/>
      <c r="BG315" s="3942"/>
      <c r="BH315" s="3942"/>
      <c r="BI315" s="3942"/>
      <c r="BJ315" s="3942"/>
      <c r="BK315" s="3942"/>
      <c r="BL315" s="3942"/>
      <c r="BM315" s="3942"/>
      <c r="BN315" s="3942"/>
      <c r="BO315" s="3942"/>
      <c r="BP315" s="3942"/>
      <c r="BQ315" s="3942"/>
      <c r="BR315" s="3942"/>
      <c r="BS315" s="3942"/>
      <c r="BT315" s="3942"/>
      <c r="BU315" s="3942"/>
      <c r="BV315" s="3942"/>
      <c r="BW315" s="4032"/>
      <c r="BX315" s="4021"/>
      <c r="BY315" s="4021">
        <f>+BY293/BY$308</f>
        <v>5.7887120115774236E-3</v>
      </c>
      <c r="BZ315" s="4033">
        <f t="shared" ref="BZ315:CG315" si="587">+BZ293/BZ$308</f>
        <v>5.0000000000000001E-3</v>
      </c>
      <c r="CA315" s="4032">
        <f t="shared" si="587"/>
        <v>1.0810810810810811E-3</v>
      </c>
      <c r="CB315" s="4021">
        <f t="shared" si="587"/>
        <v>5.1668460710441337E-2</v>
      </c>
      <c r="CC315" s="4021">
        <f t="shared" si="587"/>
        <v>5.3030303030303032E-2</v>
      </c>
      <c r="CD315" s="4033">
        <f t="shared" si="587"/>
        <v>5.0074183976261129E-2</v>
      </c>
      <c r="CE315" s="4032">
        <f t="shared" si="587"/>
        <v>5.9325176121616613E-2</v>
      </c>
      <c r="CF315" s="4021">
        <f t="shared" si="587"/>
        <v>5.8336469702672186E-2</v>
      </c>
      <c r="CG315" s="4021">
        <f t="shared" si="587"/>
        <v>5.4269449715370018E-2</v>
      </c>
      <c r="CH315" s="4033">
        <f>+CH293/CH$308</f>
        <v>6.252354048964219E-2</v>
      </c>
      <c r="CI315" s="4021">
        <f>+CI293/CI$308</f>
        <v>6.5284178187403993E-2</v>
      </c>
      <c r="CJ315" s="4021">
        <f>+CJ293/CJ$308</f>
        <v>6.6230265691182136E-2</v>
      </c>
      <c r="CK315" s="4021">
        <f>+CK293/CK$308</f>
        <v>6.8687643898695319E-2</v>
      </c>
      <c r="CL315" s="4021">
        <f>+CL293/CL$308</f>
        <v>7.1512770137524564E-2</v>
      </c>
      <c r="CM315" s="4021"/>
      <c r="CN315" s="4021"/>
      <c r="CO315" s="4021"/>
      <c r="CP315" s="4021"/>
      <c r="CQ315" s="4032"/>
      <c r="CR315" s="4021"/>
      <c r="CS315" s="4021"/>
      <c r="CT315" s="4033"/>
    </row>
    <row r="316" spans="1:98" hidden="1" outlineLevel="2">
      <c r="A316" s="3921" t="s">
        <v>1282</v>
      </c>
      <c r="B316" s="3876"/>
      <c r="C316" s="3876"/>
      <c r="D316" s="3876"/>
      <c r="E316" s="3876"/>
      <c r="F316" s="3876"/>
      <c r="G316" s="3876"/>
      <c r="H316" s="3876"/>
      <c r="I316" s="3876"/>
      <c r="J316" s="3876"/>
      <c r="K316" s="3876"/>
      <c r="L316" s="3876"/>
      <c r="M316" s="3938"/>
      <c r="N316" s="3938"/>
      <c r="O316" s="2712"/>
      <c r="P316" s="4021">
        <f>+P296/P$308</f>
        <v>0.18177697189483227</v>
      </c>
      <c r="Q316" s="4021">
        <f>+Q296/Q$308</f>
        <v>0.14975573092822247</v>
      </c>
      <c r="R316" s="4021">
        <f>+R296/R$308</f>
        <v>0.13350077279752703</v>
      </c>
      <c r="S316" s="4021"/>
      <c r="T316" s="4021"/>
      <c r="U316" s="4021"/>
      <c r="V316" s="4021"/>
      <c r="W316" s="4021"/>
      <c r="X316" s="4021"/>
      <c r="Y316" s="4021"/>
      <c r="Z316" s="4021"/>
      <c r="AA316" s="4021"/>
      <c r="AB316" s="4021"/>
      <c r="AC316" s="4021"/>
      <c r="AD316" s="4021"/>
      <c r="AE316" s="4021"/>
      <c r="AF316" s="4021"/>
      <c r="AG316" s="2553"/>
      <c r="AH316" s="3921"/>
      <c r="AI316" s="3876"/>
      <c r="AJ316" s="3876"/>
      <c r="AK316" s="3876"/>
      <c r="AL316" s="3876"/>
      <c r="AM316" s="3876"/>
      <c r="AN316" s="3876"/>
      <c r="AO316" s="3876"/>
      <c r="AP316" s="3876"/>
      <c r="AQ316" s="3876"/>
      <c r="AR316" s="3876"/>
      <c r="AS316" s="3876"/>
      <c r="AT316" s="3876"/>
      <c r="AU316" s="3876"/>
      <c r="AV316" s="3876"/>
      <c r="AW316" s="3876"/>
      <c r="AX316" s="3876"/>
      <c r="AY316" s="3876"/>
      <c r="AZ316" s="3876"/>
      <c r="BA316" s="3876"/>
      <c r="BB316" s="3876"/>
      <c r="BC316" s="3876"/>
      <c r="BD316" s="3876"/>
      <c r="BE316" s="3876"/>
      <c r="BF316" s="3876"/>
      <c r="BG316" s="3942"/>
      <c r="BH316" s="3942"/>
      <c r="BI316" s="3942"/>
      <c r="BJ316" s="3942"/>
      <c r="BK316" s="3942"/>
      <c r="BL316" s="3942"/>
      <c r="BM316" s="3942"/>
      <c r="BN316" s="3942"/>
      <c r="BO316" s="3942"/>
      <c r="BP316" s="3942"/>
      <c r="BQ316" s="3942"/>
      <c r="BR316" s="3942"/>
      <c r="BS316" s="3942"/>
      <c r="BT316" s="3942"/>
      <c r="BU316" s="3942"/>
      <c r="BV316" s="3942"/>
      <c r="BW316" s="4032"/>
      <c r="BX316" s="4021"/>
      <c r="BY316" s="4021">
        <f>+BY296/BY$308</f>
        <v>0.22973950795947901</v>
      </c>
      <c r="BZ316" s="4033">
        <f t="shared" ref="BZ316:CG316" si="588">+BZ296/BZ$308</f>
        <v>0.22428571428571428</v>
      </c>
      <c r="CA316" s="4032">
        <f t="shared" si="588"/>
        <v>0.22378378378378377</v>
      </c>
      <c r="CB316" s="4021">
        <f t="shared" si="588"/>
        <v>0.17366343738787227</v>
      </c>
      <c r="CC316" s="4021">
        <f t="shared" si="588"/>
        <v>0.16594516594516595</v>
      </c>
      <c r="CD316" s="4033">
        <f t="shared" si="588"/>
        <v>0.16320474777448071</v>
      </c>
      <c r="CE316" s="4032">
        <f t="shared" si="588"/>
        <v>0.1553578049684835</v>
      </c>
      <c r="CF316" s="4021">
        <f t="shared" si="588"/>
        <v>0.1516748212269477</v>
      </c>
      <c r="CG316" s="4021">
        <f t="shared" si="588"/>
        <v>0.14838709677419354</v>
      </c>
      <c r="CH316" s="4033">
        <f>+CH296/CH$308</f>
        <v>0.14350282485875707</v>
      </c>
      <c r="CI316" s="4021">
        <f>+CI296/CI$308</f>
        <v>0.14055299539170507</v>
      </c>
      <c r="CJ316" s="4021">
        <f>+CJ296/CJ$308</f>
        <v>0.13554100885637274</v>
      </c>
      <c r="CK316" s="4021">
        <f>+CK296/CK$308</f>
        <v>0.13008442056792019</v>
      </c>
      <c r="CL316" s="4021">
        <f>+CL296/CL$308</f>
        <v>0.12770137524557956</v>
      </c>
      <c r="CM316" s="4021"/>
      <c r="CN316" s="4021"/>
      <c r="CO316" s="4021"/>
      <c r="CP316" s="4021"/>
      <c r="CQ316" s="4032"/>
      <c r="CR316" s="4021"/>
      <c r="CS316" s="4021"/>
      <c r="CT316" s="4033"/>
    </row>
    <row r="317" spans="1:98" hidden="1" outlineLevel="2">
      <c r="A317" s="3921" t="s">
        <v>1283</v>
      </c>
      <c r="B317" s="3876"/>
      <c r="C317" s="3876"/>
      <c r="D317" s="3876"/>
      <c r="E317" s="3876"/>
      <c r="F317" s="3876"/>
      <c r="G317" s="3876"/>
      <c r="H317" s="3876"/>
      <c r="I317" s="3876"/>
      <c r="J317" s="3876"/>
      <c r="K317" s="3876"/>
      <c r="L317" s="3876"/>
      <c r="M317" s="3938"/>
      <c r="N317" s="3938"/>
      <c r="O317" s="2712"/>
      <c r="P317" s="4021">
        <f>+P299/P$308</f>
        <v>0.25185856754306435</v>
      </c>
      <c r="Q317" s="4021">
        <f>+Q299/Q$308</f>
        <v>0.24314167606163098</v>
      </c>
      <c r="R317" s="4021">
        <f>+R299/R$308</f>
        <v>0.2330950540958269</v>
      </c>
      <c r="S317" s="4021"/>
      <c r="T317" s="4021"/>
      <c r="U317" s="4021"/>
      <c r="V317" s="4021"/>
      <c r="W317" s="4021"/>
      <c r="X317" s="4021"/>
      <c r="Y317" s="4021"/>
      <c r="Z317" s="4021"/>
      <c r="AA317" s="4021"/>
      <c r="AB317" s="4021"/>
      <c r="AC317" s="4021"/>
      <c r="AD317" s="4021"/>
      <c r="AE317" s="4021"/>
      <c r="AF317" s="4021"/>
      <c r="AG317" s="2553"/>
      <c r="AH317" s="3921"/>
      <c r="AI317" s="3876"/>
      <c r="AJ317" s="3876"/>
      <c r="AK317" s="3876"/>
      <c r="AL317" s="3876"/>
      <c r="AM317" s="3876"/>
      <c r="AN317" s="3876"/>
      <c r="AO317" s="3876"/>
      <c r="AP317" s="3876"/>
      <c r="AQ317" s="3876"/>
      <c r="AR317" s="3876"/>
      <c r="AS317" s="3876"/>
      <c r="AT317" s="3876"/>
      <c r="AU317" s="3876"/>
      <c r="AV317" s="3876"/>
      <c r="AW317" s="3876"/>
      <c r="AX317" s="3876"/>
      <c r="AY317" s="3876"/>
      <c r="AZ317" s="3876"/>
      <c r="BA317" s="3876"/>
      <c r="BB317" s="3876"/>
      <c r="BC317" s="3876"/>
      <c r="BD317" s="3876"/>
      <c r="BE317" s="3876"/>
      <c r="BF317" s="3876"/>
      <c r="BG317" s="3942"/>
      <c r="BH317" s="3942"/>
      <c r="BI317" s="3942"/>
      <c r="BJ317" s="3942"/>
      <c r="BK317" s="3942"/>
      <c r="BL317" s="3942"/>
      <c r="BM317" s="3942"/>
      <c r="BN317" s="3942"/>
      <c r="BO317" s="3942"/>
      <c r="BP317" s="3942"/>
      <c r="BQ317" s="3942"/>
      <c r="BR317" s="3942"/>
      <c r="BS317" s="3942"/>
      <c r="BT317" s="3942"/>
      <c r="BU317" s="3942"/>
      <c r="BV317" s="3942"/>
      <c r="BW317" s="4032"/>
      <c r="BX317" s="4021"/>
      <c r="BY317" s="4021">
        <f>+BY299/BY$308</f>
        <v>0.26410998552821996</v>
      </c>
      <c r="BZ317" s="4033">
        <f t="shared" ref="BZ317:CG317" si="589">+BZ299/BZ$308</f>
        <v>0.25357142857142856</v>
      </c>
      <c r="CA317" s="4032">
        <f t="shared" si="589"/>
        <v>0.25621621621621621</v>
      </c>
      <c r="CB317" s="4021">
        <f t="shared" si="589"/>
        <v>0.25080731969860065</v>
      </c>
      <c r="CC317" s="4021">
        <f t="shared" si="589"/>
        <v>0.24927849927849927</v>
      </c>
      <c r="CD317" s="4033">
        <f t="shared" si="589"/>
        <v>0.25111275964391694</v>
      </c>
      <c r="CE317" s="4032">
        <f t="shared" si="589"/>
        <v>0.24842417500926955</v>
      </c>
      <c r="CF317" s="4021">
        <f t="shared" si="589"/>
        <v>0.24388407978923599</v>
      </c>
      <c r="CG317" s="4021">
        <f t="shared" si="589"/>
        <v>0.24212523719165086</v>
      </c>
      <c r="CH317" s="4033">
        <f>+CH299/CH$308</f>
        <v>0.23804143126177024</v>
      </c>
      <c r="CI317" s="4021">
        <f>+CI299/CI$308</f>
        <v>0.23886328725038403</v>
      </c>
      <c r="CJ317" s="4021">
        <f>+CJ299/CJ$308</f>
        <v>0.23527146707739699</v>
      </c>
      <c r="CK317" s="4021">
        <f>+CK299/CK$308</f>
        <v>0.23062164236377591</v>
      </c>
      <c r="CL317" s="4021">
        <f>+CL299/CL$308</f>
        <v>0.22750491159135561</v>
      </c>
      <c r="CM317" s="4021"/>
      <c r="CN317" s="4021"/>
      <c r="CO317" s="4021"/>
      <c r="CP317" s="4021"/>
      <c r="CQ317" s="4032"/>
      <c r="CR317" s="4021"/>
      <c r="CS317" s="4021"/>
      <c r="CT317" s="4033"/>
    </row>
    <row r="318" spans="1:98" hidden="1" outlineLevel="2">
      <c r="A318" s="3921" t="s">
        <v>1284</v>
      </c>
      <c r="B318" s="3876"/>
      <c r="C318" s="3876"/>
      <c r="D318" s="3876"/>
      <c r="E318" s="3876"/>
      <c r="F318" s="3876"/>
      <c r="G318" s="3876"/>
      <c r="H318" s="3876"/>
      <c r="I318" s="3876"/>
      <c r="J318" s="3876"/>
      <c r="K318" s="3876"/>
      <c r="L318" s="3876"/>
      <c r="M318" s="3938"/>
      <c r="N318" s="3938"/>
      <c r="O318" s="2712"/>
      <c r="P318" s="4021">
        <f>+P302/P$308</f>
        <v>0.11214868540344515</v>
      </c>
      <c r="Q318" s="4021">
        <f>+Q302/Q$308</f>
        <v>0.10973318301390454</v>
      </c>
      <c r="R318" s="4021">
        <f>+R302/R$308</f>
        <v>0.10848145285935085</v>
      </c>
      <c r="S318" s="4021"/>
      <c r="T318" s="4021"/>
      <c r="U318" s="4021"/>
      <c r="V318" s="4021"/>
      <c r="W318" s="4021"/>
      <c r="X318" s="4021"/>
      <c r="Y318" s="4021"/>
      <c r="Z318" s="4021"/>
      <c r="AA318" s="4021"/>
      <c r="AB318" s="4021"/>
      <c r="AC318" s="4021"/>
      <c r="AD318" s="4021"/>
      <c r="AE318" s="4021"/>
      <c r="AF318" s="4021"/>
      <c r="AG318" s="2553"/>
      <c r="AH318" s="3921"/>
      <c r="AI318" s="3876"/>
      <c r="AJ318" s="3876"/>
      <c r="AK318" s="3876"/>
      <c r="AL318" s="3876"/>
      <c r="AM318" s="3876"/>
      <c r="AN318" s="3876"/>
      <c r="AO318" s="3876"/>
      <c r="AP318" s="3876"/>
      <c r="AQ318" s="3876"/>
      <c r="AR318" s="3876"/>
      <c r="AS318" s="3876"/>
      <c r="AT318" s="3876"/>
      <c r="AU318" s="3876"/>
      <c r="AV318" s="3876"/>
      <c r="AW318" s="3876"/>
      <c r="AX318" s="3876"/>
      <c r="AY318" s="3876"/>
      <c r="AZ318" s="3876"/>
      <c r="BA318" s="3876"/>
      <c r="BB318" s="3876"/>
      <c r="BC318" s="3876"/>
      <c r="BD318" s="3876"/>
      <c r="BE318" s="3876"/>
      <c r="BF318" s="3876"/>
      <c r="BG318" s="3942"/>
      <c r="BH318" s="3942"/>
      <c r="BI318" s="3942"/>
      <c r="BJ318" s="3942"/>
      <c r="BK318" s="3942"/>
      <c r="BL318" s="3942"/>
      <c r="BM318" s="3942"/>
      <c r="BN318" s="3942"/>
      <c r="BO318" s="3942"/>
      <c r="BP318" s="3942"/>
      <c r="BQ318" s="3942"/>
      <c r="BR318" s="3942"/>
      <c r="BS318" s="3942"/>
      <c r="BT318" s="3942"/>
      <c r="BU318" s="3942"/>
      <c r="BV318" s="3942"/>
      <c r="BW318" s="4032"/>
      <c r="BX318" s="4021"/>
      <c r="BY318" s="4021">
        <f>+BY302/BY$308</f>
        <v>0.12337192474674386</v>
      </c>
      <c r="BZ318" s="4033">
        <f t="shared" ref="BZ318:CG318" si="590">+BZ302/BZ$308</f>
        <v>0.12071428571428572</v>
      </c>
      <c r="CA318" s="4032">
        <f t="shared" si="590"/>
        <v>0.11603603603603603</v>
      </c>
      <c r="CB318" s="4021">
        <f t="shared" si="590"/>
        <v>0.11230714029422317</v>
      </c>
      <c r="CC318" s="4021">
        <f t="shared" si="590"/>
        <v>0.10966810966810966</v>
      </c>
      <c r="CD318" s="4033">
        <f t="shared" si="590"/>
        <v>0.11053412462908012</v>
      </c>
      <c r="CE318" s="4032">
        <f t="shared" si="590"/>
        <v>0.11271783463107156</v>
      </c>
      <c r="CF318" s="4021">
        <f t="shared" si="590"/>
        <v>0.11027474595408356</v>
      </c>
      <c r="CG318" s="4021">
        <f t="shared" si="590"/>
        <v>0.10929791271347249</v>
      </c>
      <c r="CH318" s="4033">
        <f>+CH302/CH$308</f>
        <v>0.10659133709981168</v>
      </c>
      <c r="CI318" s="4021">
        <f>+CI302/CI$308</f>
        <v>0.1098310291858679</v>
      </c>
      <c r="CJ318" s="4021">
        <f>+CJ302/CJ$308</f>
        <v>0.10820177127454755</v>
      </c>
      <c r="CK318" s="4021">
        <f>+CK302/CK$308</f>
        <v>0.10629316960859554</v>
      </c>
      <c r="CL318" s="4021">
        <f>+CL302/CL$308</f>
        <v>0.10962671905697446</v>
      </c>
      <c r="CM318" s="4021"/>
      <c r="CN318" s="4021"/>
      <c r="CO318" s="4021"/>
      <c r="CP318" s="4021"/>
      <c r="CQ318" s="4032"/>
      <c r="CR318" s="4021"/>
      <c r="CS318" s="4021"/>
      <c r="CT318" s="4033"/>
    </row>
    <row r="319" spans="1:98" hidden="1" outlineLevel="2">
      <c r="A319" s="3988" t="s">
        <v>1285</v>
      </c>
      <c r="B319" s="3876"/>
      <c r="C319" s="3876"/>
      <c r="D319" s="3876"/>
      <c r="E319" s="3876"/>
      <c r="F319" s="3876"/>
      <c r="G319" s="3876"/>
      <c r="H319" s="3876"/>
      <c r="I319" s="3876"/>
      <c r="J319" s="3876"/>
      <c r="K319" s="3876"/>
      <c r="L319" s="3876"/>
      <c r="M319" s="3938"/>
      <c r="N319" s="3938"/>
      <c r="O319" s="2713"/>
      <c r="P319" s="4034">
        <f>+P305/P$308</f>
        <v>6.2194016319129644E-2</v>
      </c>
      <c r="Q319" s="4034">
        <f>+Q305/Q$308</f>
        <v>5.3833145434047353E-2</v>
      </c>
      <c r="R319" s="4034">
        <f>+R305/R$308</f>
        <v>5.1294435857805257E-2</v>
      </c>
      <c r="S319" s="4034"/>
      <c r="T319" s="4034"/>
      <c r="U319" s="4034"/>
      <c r="V319" s="4034"/>
      <c r="W319" s="4034"/>
      <c r="X319" s="4034"/>
      <c r="Y319" s="4034"/>
      <c r="Z319" s="4034"/>
      <c r="AA319" s="4034"/>
      <c r="AB319" s="4034"/>
      <c r="AC319" s="4034"/>
      <c r="AD319" s="4034"/>
      <c r="AE319" s="4034"/>
      <c r="AF319" s="4034"/>
      <c r="AG319" s="2553"/>
      <c r="AH319" s="3988"/>
      <c r="AI319" s="3876"/>
      <c r="AJ319" s="3876"/>
      <c r="AK319" s="3876"/>
      <c r="AL319" s="3876"/>
      <c r="AM319" s="3876"/>
      <c r="AN319" s="3876"/>
      <c r="AO319" s="3876"/>
      <c r="AP319" s="3876"/>
      <c r="AQ319" s="3876"/>
      <c r="AR319" s="3876"/>
      <c r="AS319" s="3876"/>
      <c r="AT319" s="3876"/>
      <c r="AU319" s="3876"/>
      <c r="AV319" s="3876"/>
      <c r="AW319" s="3876"/>
      <c r="AX319" s="3876"/>
      <c r="AY319" s="3876"/>
      <c r="AZ319" s="3876"/>
      <c r="BA319" s="3876"/>
      <c r="BB319" s="3876"/>
      <c r="BC319" s="3876"/>
      <c r="BD319" s="3876"/>
      <c r="BE319" s="3876"/>
      <c r="BF319" s="3876"/>
      <c r="BG319" s="3942"/>
      <c r="BH319" s="3942"/>
      <c r="BI319" s="3942"/>
      <c r="BJ319" s="3942"/>
      <c r="BK319" s="3942"/>
      <c r="BL319" s="3942"/>
      <c r="BM319" s="3942"/>
      <c r="BN319" s="3942"/>
      <c r="BO319" s="3942"/>
      <c r="BP319" s="3942"/>
      <c r="BQ319" s="3942"/>
      <c r="BR319" s="3942"/>
      <c r="BS319" s="3942"/>
      <c r="BT319" s="3942"/>
      <c r="BU319" s="3942"/>
      <c r="BV319" s="3942"/>
      <c r="BW319" s="4035"/>
      <c r="BX319" s="4034"/>
      <c r="BY319" s="4034">
        <f>+BY305/BY$308</f>
        <v>5.8610709117221417E-2</v>
      </c>
      <c r="BZ319" s="4036">
        <f t="shared" ref="BZ319:CG319" si="591">+BZ305/BZ$308</f>
        <v>6.6071428571428573E-2</v>
      </c>
      <c r="CA319" s="4035">
        <f t="shared" si="591"/>
        <v>6.2342342342342344E-2</v>
      </c>
      <c r="CB319" s="4034">
        <f t="shared" si="591"/>
        <v>6.6738428417653387E-2</v>
      </c>
      <c r="CC319" s="4034">
        <f t="shared" si="591"/>
        <v>6.6378066378066383E-2</v>
      </c>
      <c r="CD319" s="4036">
        <f t="shared" si="591"/>
        <v>5.3041543026706231E-2</v>
      </c>
      <c r="CE319" s="4035">
        <f t="shared" si="591"/>
        <v>5.1538746755654431E-2</v>
      </c>
      <c r="CF319" s="4034">
        <f t="shared" si="591"/>
        <v>5.3443733534060969E-2</v>
      </c>
      <c r="CG319" s="4034">
        <f t="shared" si="591"/>
        <v>5.7685009487666035E-2</v>
      </c>
      <c r="CH319" s="4036">
        <f>+CH305/CH$308</f>
        <v>5.2730696798493411E-2</v>
      </c>
      <c r="CI319" s="4021">
        <f>+CI305/CI$308</f>
        <v>4.4162826420890935E-2</v>
      </c>
      <c r="CJ319" s="4021">
        <f>+CJ305/CJ$308</f>
        <v>4.7362341162880246E-2</v>
      </c>
      <c r="CK319" s="4021">
        <f>+CK305/CK$308</f>
        <v>6.2547966231772834E-2</v>
      </c>
      <c r="CL319" s="4021">
        <f>+CL305/CL$308</f>
        <v>5.1080550098231828E-2</v>
      </c>
      <c r="CM319" s="4021"/>
      <c r="CN319" s="4021"/>
      <c r="CO319" s="4021"/>
      <c r="CP319" s="4021"/>
      <c r="CQ319" s="4032"/>
      <c r="CR319" s="4021"/>
      <c r="CS319" s="4021"/>
      <c r="CT319" s="4033"/>
    </row>
    <row r="320" spans="1:98" hidden="1" outlineLevel="2">
      <c r="A320" s="4012"/>
      <c r="B320" s="3876"/>
      <c r="C320" s="3876"/>
      <c r="D320" s="3876"/>
      <c r="E320" s="3876"/>
      <c r="F320" s="3876"/>
      <c r="G320" s="3876"/>
      <c r="H320" s="3876"/>
      <c r="I320" s="3876"/>
      <c r="J320" s="3876"/>
      <c r="K320" s="3876"/>
      <c r="L320" s="3876"/>
      <c r="M320" s="3938"/>
      <c r="N320" s="3938"/>
      <c r="O320" s="1899"/>
      <c r="P320" s="1899"/>
      <c r="Q320" s="1899"/>
      <c r="R320" s="1899"/>
      <c r="S320" s="1899"/>
      <c r="T320" s="1899"/>
      <c r="U320" s="1899"/>
      <c r="V320" s="1899"/>
      <c r="W320" s="1899"/>
      <c r="X320" s="1899"/>
      <c r="Y320" s="1899"/>
      <c r="Z320" s="1899"/>
      <c r="AA320" s="1899"/>
      <c r="AB320" s="1899"/>
      <c r="AC320" s="1899"/>
      <c r="AD320" s="1899"/>
      <c r="AE320" s="1899"/>
      <c r="AF320" s="1899"/>
      <c r="AG320" s="2553"/>
      <c r="AH320" s="3960"/>
      <c r="AI320" s="3876"/>
      <c r="AJ320" s="3876"/>
      <c r="AK320" s="3876"/>
      <c r="AL320" s="3876"/>
      <c r="AM320" s="3876"/>
      <c r="AN320" s="3876"/>
      <c r="AO320" s="3876"/>
      <c r="AP320" s="3876"/>
      <c r="AQ320" s="3876"/>
      <c r="AR320" s="3876"/>
      <c r="AS320" s="3876"/>
      <c r="AT320" s="3876"/>
      <c r="AU320" s="3876"/>
      <c r="AV320" s="3876"/>
      <c r="AW320" s="3876"/>
      <c r="AX320" s="3876"/>
      <c r="AY320" s="3876"/>
      <c r="AZ320" s="3876"/>
      <c r="BA320" s="3876"/>
      <c r="BB320" s="3876"/>
      <c r="BC320" s="3876"/>
      <c r="BD320" s="3876"/>
      <c r="BE320" s="3876"/>
      <c r="BF320" s="3876"/>
      <c r="BG320" s="3942"/>
      <c r="BH320" s="3942"/>
      <c r="BI320" s="3942"/>
      <c r="BJ320" s="3942"/>
      <c r="BK320" s="3942"/>
      <c r="BL320" s="3942"/>
      <c r="BM320" s="3942"/>
      <c r="BN320" s="3942"/>
      <c r="BO320" s="3942"/>
      <c r="BP320" s="3942"/>
      <c r="BQ320" s="3942"/>
      <c r="BR320" s="3942"/>
      <c r="BS320" s="3942"/>
      <c r="BT320" s="3942"/>
      <c r="BU320" s="3942"/>
      <c r="BV320" s="3942"/>
      <c r="BW320" s="3946"/>
      <c r="BX320" s="3942"/>
      <c r="BY320" s="3942"/>
      <c r="BZ320" s="3942"/>
      <c r="CA320" s="3942"/>
      <c r="CB320" s="3942"/>
      <c r="CC320" s="3942"/>
      <c r="CD320" s="3942"/>
      <c r="CF320" s="3942"/>
      <c r="CH320" s="3942"/>
      <c r="CI320" s="3942"/>
      <c r="CJ320" s="3942"/>
      <c r="CK320" s="3942"/>
      <c r="CL320" s="3942"/>
      <c r="CN320" s="3942"/>
      <c r="CO320" s="3942"/>
      <c r="CP320" s="3942"/>
      <c r="CQ320" s="3933"/>
    </row>
    <row r="321" spans="1:95" hidden="1" outlineLevel="2">
      <c r="A321" s="4012"/>
      <c r="B321" s="3876"/>
      <c r="C321" s="3876"/>
      <c r="D321" s="3876"/>
      <c r="E321" s="3876"/>
      <c r="F321" s="3876"/>
      <c r="G321" s="3876"/>
      <c r="H321" s="3876"/>
      <c r="I321" s="3876"/>
      <c r="J321" s="3876"/>
      <c r="K321" s="3876"/>
      <c r="L321" s="3876"/>
      <c r="M321" s="3938"/>
      <c r="N321" s="3938"/>
      <c r="O321" s="1899"/>
      <c r="P321" s="1899"/>
      <c r="Q321" s="1899"/>
      <c r="R321" s="1899"/>
      <c r="S321" s="1899"/>
      <c r="T321" s="1899"/>
      <c r="U321" s="1899"/>
      <c r="V321" s="1899"/>
      <c r="W321" s="1899"/>
      <c r="X321" s="1899"/>
      <c r="Y321" s="1899"/>
      <c r="Z321" s="1899"/>
      <c r="AA321" s="1899"/>
      <c r="AB321" s="1899"/>
      <c r="AC321" s="1899"/>
      <c r="AD321" s="1899"/>
      <c r="AE321" s="1899"/>
      <c r="AF321" s="1899"/>
      <c r="AG321" s="2553"/>
      <c r="AH321" s="3960"/>
      <c r="AI321" s="3876"/>
      <c r="AJ321" s="3876"/>
      <c r="AK321" s="3876"/>
      <c r="AL321" s="3876"/>
      <c r="AM321" s="3876"/>
      <c r="AN321" s="3876"/>
      <c r="AO321" s="3876"/>
      <c r="AP321" s="3876"/>
      <c r="AQ321" s="3876"/>
      <c r="AR321" s="3876"/>
      <c r="AS321" s="3876"/>
      <c r="AT321" s="3876"/>
      <c r="AU321" s="3876"/>
      <c r="AV321" s="3876"/>
      <c r="AW321" s="3876"/>
      <c r="AX321" s="3876"/>
      <c r="AY321" s="3876"/>
      <c r="AZ321" s="3876"/>
      <c r="BA321" s="3876"/>
      <c r="BB321" s="3876"/>
      <c r="BC321" s="3876"/>
      <c r="BD321" s="3876"/>
      <c r="BE321" s="3876"/>
      <c r="BF321" s="3876"/>
      <c r="BG321" s="3942"/>
      <c r="BH321" s="3942"/>
      <c r="BI321" s="3942"/>
      <c r="BJ321" s="3942"/>
      <c r="BK321" s="3942"/>
      <c r="BL321" s="3942"/>
      <c r="BM321" s="3942"/>
      <c r="BN321" s="3942"/>
      <c r="BO321" s="3942"/>
      <c r="BP321" s="3942"/>
      <c r="BQ321" s="3942"/>
      <c r="BR321" s="3942"/>
      <c r="BS321" s="3942"/>
      <c r="BT321" s="3942"/>
      <c r="BU321" s="3942"/>
      <c r="BV321" s="3942"/>
      <c r="BW321" s="3946"/>
      <c r="BX321" s="3942"/>
      <c r="BY321" s="3942"/>
      <c r="BZ321" s="3942"/>
      <c r="CA321" s="3942"/>
      <c r="CB321" s="3942"/>
      <c r="CC321" s="3942"/>
      <c r="CD321" s="3942"/>
      <c r="CF321" s="3942"/>
      <c r="CH321" s="3942"/>
      <c r="CI321" s="3942"/>
      <c r="CJ321" s="3942"/>
      <c r="CK321" s="3942"/>
      <c r="CL321" s="3942"/>
      <c r="CN321" s="3942"/>
      <c r="CO321" s="3942"/>
      <c r="CP321" s="3942"/>
      <c r="CQ321" s="3933"/>
    </row>
    <row r="322" spans="1:95" hidden="1" outlineLevel="2">
      <c r="A322" s="1969" t="s">
        <v>1044</v>
      </c>
      <c r="B322" s="1970"/>
      <c r="C322" s="1970"/>
      <c r="D322" s="1970"/>
      <c r="E322" s="1970"/>
      <c r="F322" s="1970"/>
      <c r="G322" s="1970"/>
      <c r="H322" s="1970"/>
      <c r="I322" s="1970"/>
      <c r="J322" s="1970"/>
      <c r="K322" s="1970"/>
      <c r="L322" s="1971"/>
      <c r="M322" s="1971"/>
      <c r="N322" s="1970"/>
      <c r="O322" s="1970"/>
      <c r="P322" s="1971"/>
      <c r="Q322" s="1972"/>
      <c r="R322" s="1971"/>
      <c r="S322" s="1971"/>
      <c r="T322" s="1971"/>
      <c r="U322" s="1971"/>
      <c r="V322" s="1971"/>
      <c r="W322" s="1971"/>
      <c r="X322" s="1971"/>
      <c r="Y322" s="1971"/>
      <c r="Z322" s="1971"/>
      <c r="AA322" s="1971"/>
      <c r="AB322" s="1971"/>
      <c r="AC322" s="1971"/>
      <c r="AD322" s="1971"/>
      <c r="AE322" s="1971"/>
      <c r="AF322" s="1971"/>
      <c r="AG322" s="2553"/>
      <c r="AH322" s="1967"/>
      <c r="AI322" s="1970"/>
      <c r="AJ322" s="1970"/>
      <c r="AK322" s="1970"/>
      <c r="AL322" s="1970"/>
      <c r="AM322" s="1970"/>
      <c r="AN322" s="1970"/>
      <c r="AO322" s="1970"/>
      <c r="AP322" s="1970"/>
      <c r="AQ322" s="1970"/>
      <c r="AR322" s="1970"/>
      <c r="AS322" s="1970"/>
      <c r="AT322" s="1970"/>
      <c r="AU322" s="1970"/>
      <c r="AV322" s="1970"/>
      <c r="AW322" s="1970"/>
      <c r="AX322" s="1970"/>
      <c r="AY322" s="1970"/>
      <c r="AZ322" s="1970"/>
      <c r="BA322" s="1970"/>
      <c r="BB322" s="1970"/>
      <c r="BC322" s="1970"/>
      <c r="BD322" s="1970"/>
      <c r="BE322" s="1970"/>
      <c r="BF322" s="1970"/>
      <c r="BG322" s="1970"/>
      <c r="BH322" s="1970"/>
      <c r="BI322" s="1970"/>
      <c r="BJ322" s="1970"/>
      <c r="BK322" s="1970"/>
      <c r="BL322" s="1970"/>
      <c r="BM322" s="1970"/>
      <c r="BN322" s="1970"/>
      <c r="BO322" s="1973"/>
      <c r="BP322" s="1970"/>
      <c r="BQ322" s="1970"/>
      <c r="BR322" s="1970"/>
      <c r="BS322" s="1971"/>
      <c r="BT322" s="1970"/>
      <c r="BU322" s="1970"/>
      <c r="BV322" s="1970"/>
      <c r="BW322" s="1973"/>
      <c r="BX322" s="1970"/>
      <c r="BY322" s="1970"/>
      <c r="BZ322" s="1970"/>
      <c r="CA322" s="1970"/>
      <c r="CB322" s="1970"/>
      <c r="CC322" s="1970"/>
      <c r="CD322" s="1970"/>
      <c r="CF322" s="1970"/>
      <c r="CH322" s="1971"/>
      <c r="CI322" s="1971"/>
      <c r="CJ322" s="1971"/>
      <c r="CK322" s="1971"/>
      <c r="CL322" s="1971"/>
      <c r="CN322" s="1971"/>
      <c r="CO322" s="1971"/>
      <c r="CP322" s="1971"/>
      <c r="CQ322" s="3933"/>
    </row>
    <row r="323" spans="1:95" hidden="1" outlineLevel="2">
      <c r="A323" s="1922" t="s">
        <v>759</v>
      </c>
      <c r="B323" s="1970"/>
      <c r="C323" s="1970"/>
      <c r="D323" s="1970"/>
      <c r="E323" s="1970"/>
      <c r="F323" s="1970"/>
      <c r="G323" s="1970"/>
      <c r="H323" s="1970"/>
      <c r="I323" s="1970"/>
      <c r="J323" s="1970"/>
      <c r="K323" s="1970"/>
      <c r="L323" s="1971"/>
      <c r="M323" s="1971"/>
      <c r="N323" s="1970"/>
      <c r="O323" s="1970"/>
      <c r="P323" s="1971"/>
      <c r="Q323" s="1972"/>
      <c r="R323" s="1971"/>
      <c r="S323" s="1971"/>
      <c r="T323" s="1971"/>
      <c r="U323" s="1971"/>
      <c r="V323" s="1971"/>
      <c r="W323" s="1971"/>
      <c r="X323" s="1971"/>
      <c r="Y323" s="1971"/>
      <c r="Z323" s="1971"/>
      <c r="AA323" s="1971"/>
      <c r="AB323" s="1971"/>
      <c r="AC323" s="1971"/>
      <c r="AD323" s="1971"/>
      <c r="AE323" s="1971"/>
      <c r="AF323" s="1971"/>
      <c r="AG323" s="2553"/>
      <c r="AH323" s="1967"/>
      <c r="AI323" s="1970"/>
      <c r="AJ323" s="1970"/>
      <c r="AK323" s="1970"/>
      <c r="AL323" s="1970"/>
      <c r="AM323" s="1970"/>
      <c r="AN323" s="1970"/>
      <c r="AO323" s="1970"/>
      <c r="AP323" s="1970"/>
      <c r="AQ323" s="1970"/>
      <c r="AR323" s="1970"/>
      <c r="AS323" s="1970"/>
      <c r="AT323" s="1970"/>
      <c r="AU323" s="1970"/>
      <c r="AV323" s="1970"/>
      <c r="AW323" s="1970"/>
      <c r="AX323" s="1970"/>
      <c r="AY323" s="1970"/>
      <c r="AZ323" s="1970"/>
      <c r="BA323" s="1970"/>
      <c r="BB323" s="1970"/>
      <c r="BC323" s="1970"/>
      <c r="BD323" s="1970"/>
      <c r="BE323" s="1970"/>
      <c r="BF323" s="1970"/>
      <c r="BG323" s="1970"/>
      <c r="BH323" s="1970"/>
      <c r="BI323" s="1970"/>
      <c r="BJ323" s="1970"/>
      <c r="BK323" s="1974">
        <f t="shared" ref="BK323:CA323" si="592">+BK11/1000</f>
        <v>16627</v>
      </c>
      <c r="BL323" s="1974">
        <f t="shared" si="592"/>
        <v>16258</v>
      </c>
      <c r="BM323" s="1974">
        <f t="shared" si="592"/>
        <v>15936</v>
      </c>
      <c r="BN323" s="1974">
        <f t="shared" si="592"/>
        <v>15613</v>
      </c>
      <c r="BO323" s="1975">
        <f t="shared" si="592"/>
        <v>15357</v>
      </c>
      <c r="BP323" s="1974">
        <f t="shared" si="592"/>
        <v>15057</v>
      </c>
      <c r="BQ323" s="1974">
        <f t="shared" si="592"/>
        <v>14803</v>
      </c>
      <c r="BR323" s="1974">
        <f t="shared" si="592"/>
        <v>14584</v>
      </c>
      <c r="BS323" s="2035">
        <f t="shared" si="592"/>
        <v>14383</v>
      </c>
      <c r="BT323" s="1974">
        <f t="shared" si="592"/>
        <v>14149</v>
      </c>
      <c r="BU323" s="1974">
        <f t="shared" si="592"/>
        <v>13950</v>
      </c>
      <c r="BV323" s="1974">
        <f t="shared" si="592"/>
        <v>13751</v>
      </c>
      <c r="BW323" s="1975">
        <f t="shared" si="592"/>
        <v>13561</v>
      </c>
      <c r="BX323" s="1974">
        <f t="shared" si="592"/>
        <v>13331</v>
      </c>
      <c r="BY323" s="1974">
        <f t="shared" si="592"/>
        <v>13150</v>
      </c>
      <c r="BZ323" s="1974">
        <f t="shared" si="592"/>
        <v>13002</v>
      </c>
      <c r="CA323" s="1974">
        <f t="shared" si="592"/>
        <v>12882</v>
      </c>
      <c r="CB323" s="1974"/>
      <c r="CC323" s="1974"/>
      <c r="CD323" s="1974"/>
      <c r="CF323" s="1974"/>
      <c r="CH323" s="2035"/>
      <c r="CI323" s="2035"/>
      <c r="CJ323" s="2035"/>
      <c r="CK323" s="2035"/>
      <c r="CL323" s="2035"/>
      <c r="CN323" s="2035"/>
      <c r="CO323" s="2035"/>
      <c r="CP323" s="2035"/>
      <c r="CQ323" s="3933"/>
    </row>
    <row r="324" spans="1:95" hidden="1" outlineLevel="2">
      <c r="A324" s="1922" t="s">
        <v>1045</v>
      </c>
      <c r="B324" s="1970"/>
      <c r="C324" s="1970"/>
      <c r="D324" s="1970"/>
      <c r="E324" s="1970"/>
      <c r="F324" s="1970"/>
      <c r="G324" s="1970"/>
      <c r="H324" s="1970"/>
      <c r="I324" s="1970"/>
      <c r="J324" s="1970"/>
      <c r="K324" s="1970"/>
      <c r="L324" s="1971"/>
      <c r="M324" s="1971"/>
      <c r="N324" s="1970"/>
      <c r="O324" s="1970"/>
      <c r="P324" s="1971"/>
      <c r="Q324" s="1972"/>
      <c r="R324" s="1971"/>
      <c r="S324" s="1971"/>
      <c r="T324" s="1971"/>
      <c r="U324" s="1971"/>
      <c r="V324" s="1971"/>
      <c r="W324" s="1971"/>
      <c r="X324" s="1971"/>
      <c r="Y324" s="1971"/>
      <c r="Z324" s="1971"/>
      <c r="AA324" s="1971"/>
      <c r="AB324" s="1971"/>
      <c r="AC324" s="1971"/>
      <c r="AD324" s="1971"/>
      <c r="AE324" s="1971"/>
      <c r="AF324" s="1971"/>
      <c r="AG324" s="2553"/>
      <c r="AH324" s="1967"/>
      <c r="AI324" s="1970"/>
      <c r="AJ324" s="1970"/>
      <c r="AK324" s="1970"/>
      <c r="AL324" s="1970"/>
      <c r="AM324" s="1970"/>
      <c r="AN324" s="1970"/>
      <c r="AO324" s="1970"/>
      <c r="AP324" s="1970"/>
      <c r="AQ324" s="1970"/>
      <c r="AR324" s="1970"/>
      <c r="AS324" s="1970"/>
      <c r="AT324" s="1970"/>
      <c r="AU324" s="1970"/>
      <c r="AV324" s="1970"/>
      <c r="AW324" s="1970"/>
      <c r="AX324" s="1970"/>
      <c r="AY324" s="1970"/>
      <c r="AZ324" s="1970"/>
      <c r="BA324" s="1970"/>
      <c r="BB324" s="1970"/>
      <c r="BC324" s="1970"/>
      <c r="BD324" s="1970"/>
      <c r="BE324" s="1970"/>
      <c r="BF324" s="1970"/>
      <c r="BG324" s="1970"/>
      <c r="BH324" s="1970"/>
      <c r="BI324" s="1970"/>
      <c r="BJ324" s="1970"/>
      <c r="BK324" s="1974">
        <f t="shared" ref="BK324:CA324" si="593">+BK35/1000</f>
        <v>5249</v>
      </c>
      <c r="BL324" s="1974">
        <f t="shared" si="593"/>
        <v>5287</v>
      </c>
      <c r="BM324" s="1974">
        <f t="shared" si="593"/>
        <v>5359</v>
      </c>
      <c r="BN324" s="1974">
        <f t="shared" si="593"/>
        <v>5404</v>
      </c>
      <c r="BO324" s="1975">
        <f t="shared" si="593"/>
        <v>5505</v>
      </c>
      <c r="BP324" s="1974">
        <f t="shared" si="593"/>
        <v>5519</v>
      </c>
      <c r="BQ324" s="1974">
        <f t="shared" si="593"/>
        <v>5579</v>
      </c>
      <c r="BR324" s="1974">
        <f t="shared" si="593"/>
        <v>5656</v>
      </c>
      <c r="BS324" s="2035">
        <f t="shared" si="593"/>
        <v>5748</v>
      </c>
      <c r="BT324" s="1974">
        <f t="shared" si="593"/>
        <v>5766</v>
      </c>
      <c r="BU324" s="1974">
        <f t="shared" si="593"/>
        <v>5810</v>
      </c>
      <c r="BV324" s="1974">
        <f t="shared" si="593"/>
        <v>5851</v>
      </c>
      <c r="BW324" s="1975">
        <f t="shared" si="593"/>
        <v>5917</v>
      </c>
      <c r="BX324" s="1974">
        <f t="shared" si="593"/>
        <v>5909</v>
      </c>
      <c r="BY324" s="1974">
        <f t="shared" si="593"/>
        <v>5942</v>
      </c>
      <c r="BZ324" s="1974">
        <f t="shared" si="593"/>
        <v>5991</v>
      </c>
      <c r="CA324" s="1974">
        <f t="shared" si="593"/>
        <v>6057</v>
      </c>
      <c r="CB324" s="1974"/>
      <c r="CC324" s="1974"/>
      <c r="CD324" s="1974"/>
      <c r="CF324" s="1974"/>
      <c r="CH324" s="2035"/>
      <c r="CI324" s="2035"/>
      <c r="CJ324" s="2035"/>
      <c r="CK324" s="2035"/>
      <c r="CL324" s="2035"/>
      <c r="CN324" s="2035"/>
      <c r="CO324" s="2035"/>
      <c r="CP324" s="2035"/>
      <c r="CQ324" s="3933"/>
    </row>
    <row r="325" spans="1:95" hidden="1" outlineLevel="2">
      <c r="A325" s="1922" t="s">
        <v>1047</v>
      </c>
      <c r="B325" s="1970"/>
      <c r="C325" s="1970"/>
      <c r="D325" s="1970"/>
      <c r="E325" s="1970"/>
      <c r="F325" s="1970"/>
      <c r="G325" s="1970"/>
      <c r="H325" s="1970"/>
      <c r="I325" s="1970"/>
      <c r="J325" s="1970"/>
      <c r="K325" s="1970"/>
      <c r="L325" s="1971"/>
      <c r="M325" s="1971"/>
      <c r="N325" s="1970"/>
      <c r="O325" s="1970"/>
      <c r="P325" s="1971"/>
      <c r="Q325" s="1972"/>
      <c r="R325" s="1971"/>
      <c r="S325" s="1971"/>
      <c r="T325" s="1971"/>
      <c r="U325" s="1971"/>
      <c r="V325" s="1971"/>
      <c r="W325" s="1971"/>
      <c r="X325" s="1971"/>
      <c r="Y325" s="1971"/>
      <c r="Z325" s="1971"/>
      <c r="AA325" s="1971"/>
      <c r="AB325" s="1971"/>
      <c r="AC325" s="1971"/>
      <c r="AD325" s="1971"/>
      <c r="AE325" s="1971"/>
      <c r="AF325" s="1971"/>
      <c r="AG325" s="2553"/>
      <c r="AH325" s="1967"/>
      <c r="AI325" s="1970"/>
      <c r="AJ325" s="1970"/>
      <c r="AK325" s="1970"/>
      <c r="AL325" s="1970"/>
      <c r="AM325" s="1970"/>
      <c r="AN325" s="1970"/>
      <c r="AO325" s="1970"/>
      <c r="AP325" s="1970"/>
      <c r="AQ325" s="1970"/>
      <c r="AR325" s="1970"/>
      <c r="AS325" s="1970"/>
      <c r="AT325" s="1970"/>
      <c r="AU325" s="1970"/>
      <c r="AV325" s="1970"/>
      <c r="AW325" s="1970"/>
      <c r="AX325" s="1970"/>
      <c r="AY325" s="1970"/>
      <c r="AZ325" s="1970"/>
      <c r="BA325" s="1970"/>
      <c r="BB325" s="1970"/>
      <c r="BC325" s="1970"/>
      <c r="BD325" s="1970"/>
      <c r="BE325" s="1970"/>
      <c r="BF325" s="1970"/>
      <c r="BG325" s="1970"/>
      <c r="BH325" s="1970"/>
      <c r="BI325" s="1970"/>
      <c r="BJ325" s="1970"/>
      <c r="BK325" s="1970"/>
      <c r="BL325" s="1970"/>
      <c r="BM325" s="1970"/>
      <c r="BN325" s="1970"/>
      <c r="BO325" s="1973"/>
      <c r="BP325" s="1970"/>
      <c r="BQ325" s="1970"/>
      <c r="BR325" s="1970"/>
      <c r="BS325" s="1971"/>
      <c r="BT325" s="1970"/>
      <c r="BU325" s="1970"/>
      <c r="BV325" s="1970"/>
      <c r="BW325" s="1973"/>
      <c r="BX325" s="1970"/>
      <c r="BY325" s="1970"/>
      <c r="BZ325" s="1970"/>
      <c r="CA325" s="1970"/>
      <c r="CB325" s="1970"/>
      <c r="CC325" s="1970"/>
      <c r="CD325" s="1970"/>
      <c r="CF325" s="1970"/>
      <c r="CH325" s="1971"/>
      <c r="CI325" s="1971"/>
      <c r="CJ325" s="1971"/>
      <c r="CK325" s="1971"/>
      <c r="CL325" s="1971"/>
      <c r="CN325" s="1971"/>
      <c r="CO325" s="1971"/>
      <c r="CP325" s="1971"/>
      <c r="CQ325" s="3933"/>
    </row>
    <row r="326" spans="1:95" hidden="1" outlineLevel="2">
      <c r="A326" s="1922" t="s">
        <v>1048</v>
      </c>
      <c r="B326" s="1970"/>
      <c r="C326" s="1970"/>
      <c r="D326" s="1970"/>
      <c r="E326" s="1970"/>
      <c r="F326" s="1970"/>
      <c r="G326" s="1970"/>
      <c r="H326" s="1970"/>
      <c r="I326" s="1970"/>
      <c r="J326" s="1970"/>
      <c r="K326" s="1970"/>
      <c r="L326" s="1971"/>
      <c r="M326" s="1971"/>
      <c r="N326" s="1970"/>
      <c r="O326" s="1970"/>
      <c r="P326" s="1971"/>
      <c r="Q326" s="1972"/>
      <c r="R326" s="1971"/>
      <c r="S326" s="1971"/>
      <c r="T326" s="1971"/>
      <c r="U326" s="1971"/>
      <c r="V326" s="1971"/>
      <c r="W326" s="1971"/>
      <c r="X326" s="1971"/>
      <c r="Y326" s="1971"/>
      <c r="Z326" s="1971"/>
      <c r="AA326" s="1971"/>
      <c r="AB326" s="1971"/>
      <c r="AC326" s="1971"/>
      <c r="AD326" s="1971"/>
      <c r="AE326" s="1971"/>
      <c r="AF326" s="1971"/>
      <c r="AG326" s="2553"/>
      <c r="AH326" s="1967"/>
      <c r="AI326" s="1970"/>
      <c r="AJ326" s="1970"/>
      <c r="AK326" s="1970"/>
      <c r="AL326" s="1970"/>
      <c r="AM326" s="1970"/>
      <c r="AN326" s="1970"/>
      <c r="AO326" s="1970"/>
      <c r="AP326" s="1970"/>
      <c r="AQ326" s="1970"/>
      <c r="AR326" s="1970"/>
      <c r="AS326" s="1970"/>
      <c r="AT326" s="1970"/>
      <c r="AU326" s="1970"/>
      <c r="AV326" s="1970"/>
      <c r="AW326" s="1970"/>
      <c r="AX326" s="1970"/>
      <c r="AY326" s="1970"/>
      <c r="AZ326" s="1970"/>
      <c r="BA326" s="1970"/>
      <c r="BB326" s="1970"/>
      <c r="BC326" s="1970"/>
      <c r="BD326" s="1970"/>
      <c r="BE326" s="1970"/>
      <c r="BF326" s="1970"/>
      <c r="BG326" s="1970"/>
      <c r="BH326" s="1970"/>
      <c r="BI326" s="1970"/>
      <c r="BJ326" s="1970"/>
      <c r="BK326" s="1970"/>
      <c r="BL326" s="1970"/>
      <c r="BM326" s="1970"/>
      <c r="BN326" s="1970"/>
      <c r="BO326" s="1973"/>
      <c r="BP326" s="1970"/>
      <c r="BQ326" s="1970"/>
      <c r="BR326" s="1970"/>
      <c r="BS326" s="1971"/>
      <c r="BT326" s="1970"/>
      <c r="BU326" s="1970"/>
      <c r="BV326" s="1970"/>
      <c r="BW326" s="1973"/>
      <c r="BX326" s="1970"/>
      <c r="BY326" s="1970"/>
      <c r="BZ326" s="1970"/>
      <c r="CA326" s="1970"/>
      <c r="CB326" s="1970"/>
      <c r="CC326" s="1970"/>
      <c r="CD326" s="1970"/>
      <c r="CF326" s="1970"/>
      <c r="CH326" s="1971"/>
      <c r="CI326" s="1971"/>
      <c r="CJ326" s="1971"/>
      <c r="CK326" s="1971"/>
      <c r="CL326" s="1971"/>
      <c r="CN326" s="1971"/>
      <c r="CO326" s="1971"/>
      <c r="CP326" s="1971"/>
      <c r="CQ326" s="3933"/>
    </row>
    <row r="327" spans="1:95" hidden="1" outlineLevel="2">
      <c r="A327" s="1921" t="s">
        <v>598</v>
      </c>
      <c r="B327" s="1970"/>
      <c r="C327" s="1970"/>
      <c r="D327" s="1970"/>
      <c r="E327" s="1970"/>
      <c r="F327" s="1970"/>
      <c r="G327" s="1970"/>
      <c r="H327" s="1970"/>
      <c r="I327" s="1970"/>
      <c r="J327" s="1970"/>
      <c r="K327" s="1969"/>
      <c r="L327" s="1976"/>
      <c r="M327" s="1976"/>
      <c r="N327" s="1969"/>
      <c r="O327" s="1969"/>
      <c r="P327" s="1976"/>
      <c r="Q327" s="1977"/>
      <c r="R327" s="1976"/>
      <c r="S327" s="1976"/>
      <c r="T327" s="1976"/>
      <c r="U327" s="1976"/>
      <c r="V327" s="1976"/>
      <c r="W327" s="1976"/>
      <c r="X327" s="1976"/>
      <c r="Y327" s="1976"/>
      <c r="Z327" s="1976"/>
      <c r="AA327" s="1976"/>
      <c r="AB327" s="1976"/>
      <c r="AC327" s="1976"/>
      <c r="AD327" s="1976"/>
      <c r="AE327" s="1976"/>
      <c r="AF327" s="1976"/>
      <c r="AG327" s="2553"/>
      <c r="AH327" s="1986"/>
      <c r="AI327" s="1969"/>
      <c r="AJ327" s="1969"/>
      <c r="AK327" s="1969"/>
      <c r="AL327" s="1969"/>
      <c r="AM327" s="1969"/>
      <c r="AN327" s="1969"/>
      <c r="AO327" s="1969"/>
      <c r="AP327" s="1969"/>
      <c r="AQ327" s="1969"/>
      <c r="AR327" s="1969"/>
      <c r="AS327" s="1969"/>
      <c r="AT327" s="1969"/>
      <c r="AU327" s="1969"/>
      <c r="AV327" s="1969"/>
      <c r="AW327" s="1969"/>
      <c r="AX327" s="1969"/>
      <c r="AY327" s="1969"/>
      <c r="AZ327" s="1969"/>
      <c r="BA327" s="1969"/>
      <c r="BB327" s="1969"/>
      <c r="BC327" s="1969"/>
      <c r="BD327" s="1969"/>
      <c r="BE327" s="1969"/>
      <c r="BF327" s="1969"/>
      <c r="BG327" s="1969"/>
      <c r="BH327" s="1969"/>
      <c r="BI327" s="1969"/>
      <c r="BJ327" s="1969"/>
      <c r="BK327" s="1978">
        <f t="shared" ref="BK327:BV327" si="594">+SUM(BK323:BK326)</f>
        <v>21876</v>
      </c>
      <c r="BL327" s="1978">
        <f t="shared" si="594"/>
        <v>21545</v>
      </c>
      <c r="BM327" s="1978">
        <f t="shared" si="594"/>
        <v>21295</v>
      </c>
      <c r="BN327" s="1978">
        <f t="shared" si="594"/>
        <v>21017</v>
      </c>
      <c r="BO327" s="1979">
        <f t="shared" si="594"/>
        <v>20862</v>
      </c>
      <c r="BP327" s="1978">
        <f t="shared" si="594"/>
        <v>20576</v>
      </c>
      <c r="BQ327" s="1978">
        <f t="shared" si="594"/>
        <v>20382</v>
      </c>
      <c r="BR327" s="1978">
        <f t="shared" si="594"/>
        <v>20240</v>
      </c>
      <c r="BS327" s="2036">
        <f t="shared" si="594"/>
        <v>20131</v>
      </c>
      <c r="BT327" s="1978">
        <f t="shared" si="594"/>
        <v>19915</v>
      </c>
      <c r="BU327" s="1978">
        <f t="shared" si="594"/>
        <v>19760</v>
      </c>
      <c r="BV327" s="1978">
        <f t="shared" si="594"/>
        <v>19602</v>
      </c>
      <c r="BW327" s="1979">
        <f>+SUM(BW323:BW326)</f>
        <v>19478</v>
      </c>
      <c r="BX327" s="1978">
        <f>+SUM(BX323:BX326)</f>
        <v>19240</v>
      </c>
      <c r="BY327" s="1978">
        <f>+SUM(BY323:BY326)</f>
        <v>19092</v>
      </c>
      <c r="BZ327" s="1978">
        <f>+SUM(BZ323:BZ326)</f>
        <v>18993</v>
      </c>
      <c r="CA327" s="1978">
        <f>+SUM(CA323:CA326)</f>
        <v>18939</v>
      </c>
      <c r="CB327" s="1978"/>
      <c r="CC327" s="1978"/>
      <c r="CD327" s="1978"/>
      <c r="CF327" s="1978"/>
      <c r="CH327" s="2036"/>
      <c r="CI327" s="2036"/>
      <c r="CJ327" s="2036"/>
      <c r="CK327" s="2036"/>
      <c r="CL327" s="2036"/>
      <c r="CN327" s="2036"/>
      <c r="CO327" s="2036"/>
      <c r="CP327" s="2036"/>
      <c r="CQ327" s="3933"/>
    </row>
    <row r="328" spans="1:95" hidden="1" outlineLevel="2">
      <c r="A328" s="1922"/>
      <c r="B328" s="1970"/>
      <c r="C328" s="1970"/>
      <c r="D328" s="1970"/>
      <c r="E328" s="1970"/>
      <c r="F328" s="1970"/>
      <c r="G328" s="1970"/>
      <c r="H328" s="1970"/>
      <c r="I328" s="1970"/>
      <c r="J328" s="1970"/>
      <c r="K328" s="1970"/>
      <c r="L328" s="1971"/>
      <c r="M328" s="1971"/>
      <c r="N328" s="1970"/>
      <c r="O328" s="1970"/>
      <c r="P328" s="1971"/>
      <c r="Q328" s="1972"/>
      <c r="R328" s="1971"/>
      <c r="S328" s="1971"/>
      <c r="T328" s="1971"/>
      <c r="U328" s="1971"/>
      <c r="V328" s="1971"/>
      <c r="W328" s="1971"/>
      <c r="X328" s="1971"/>
      <c r="Y328" s="1971"/>
      <c r="Z328" s="1971"/>
      <c r="AA328" s="1971"/>
      <c r="AB328" s="1971"/>
      <c r="AC328" s="1971"/>
      <c r="AD328" s="1971"/>
      <c r="AE328" s="1971"/>
      <c r="AF328" s="1971"/>
      <c r="AG328" s="2553"/>
      <c r="AH328" s="1967"/>
      <c r="AI328" s="1970"/>
      <c r="AJ328" s="1970"/>
      <c r="AK328" s="1970"/>
      <c r="AL328" s="1970"/>
      <c r="AM328" s="1970"/>
      <c r="AN328" s="1970"/>
      <c r="AO328" s="1970"/>
      <c r="AP328" s="1970"/>
      <c r="AQ328" s="1970"/>
      <c r="AR328" s="1970"/>
      <c r="AS328" s="1970"/>
      <c r="AT328" s="1970"/>
      <c r="AU328" s="1970"/>
      <c r="AV328" s="1970"/>
      <c r="AW328" s="1970"/>
      <c r="AX328" s="1970"/>
      <c r="AY328" s="1970"/>
      <c r="AZ328" s="1970"/>
      <c r="BA328" s="1970"/>
      <c r="BB328" s="1970"/>
      <c r="BC328" s="1970"/>
      <c r="BD328" s="1970"/>
      <c r="BE328" s="1970"/>
      <c r="BF328" s="1970"/>
      <c r="BG328" s="1970"/>
      <c r="BH328" s="1970"/>
      <c r="BI328" s="1970"/>
      <c r="BJ328" s="1970"/>
      <c r="BK328" s="1970"/>
      <c r="BL328" s="1970"/>
      <c r="BM328" s="1970"/>
      <c r="BN328" s="1970"/>
      <c r="BO328" s="1973"/>
      <c r="BP328" s="1970"/>
      <c r="BQ328" s="1970"/>
      <c r="BR328" s="1970"/>
      <c r="BS328" s="1971"/>
      <c r="BT328" s="1970"/>
      <c r="BU328" s="1970"/>
      <c r="BV328" s="1970"/>
      <c r="BW328" s="1973"/>
      <c r="BX328" s="1970"/>
      <c r="BY328" s="1970"/>
      <c r="BZ328" s="1970"/>
      <c r="CA328" s="1970"/>
      <c r="CB328" s="1970"/>
      <c r="CC328" s="1970"/>
      <c r="CD328" s="1970"/>
      <c r="CF328" s="1970"/>
      <c r="CH328" s="1971"/>
      <c r="CI328" s="1971"/>
      <c r="CJ328" s="1971"/>
      <c r="CK328" s="1971"/>
      <c r="CL328" s="1971"/>
      <c r="CN328" s="1971"/>
      <c r="CO328" s="1971"/>
      <c r="CP328" s="1971"/>
      <c r="CQ328" s="3933"/>
    </row>
    <row r="329" spans="1:95" hidden="1" outlineLevel="2">
      <c r="A329" s="1921" t="s">
        <v>1046</v>
      </c>
      <c r="B329" s="1970"/>
      <c r="C329" s="1970"/>
      <c r="D329" s="1970"/>
      <c r="E329" s="1970"/>
      <c r="F329" s="1970"/>
      <c r="G329" s="1970"/>
      <c r="H329" s="1970"/>
      <c r="I329" s="1970"/>
      <c r="J329" s="1970"/>
      <c r="K329" s="1970"/>
      <c r="L329" s="1971"/>
      <c r="M329" s="1971"/>
      <c r="N329" s="1970"/>
      <c r="O329" s="1970"/>
      <c r="P329" s="1971"/>
      <c r="Q329" s="1972"/>
      <c r="R329" s="1971"/>
      <c r="S329" s="1971"/>
      <c r="T329" s="1971"/>
      <c r="U329" s="1971"/>
      <c r="V329" s="1971"/>
      <c r="W329" s="1971"/>
      <c r="X329" s="1971"/>
      <c r="Y329" s="1971"/>
      <c r="Z329" s="1971"/>
      <c r="AA329" s="1971"/>
      <c r="AB329" s="1971"/>
      <c r="AC329" s="1971"/>
      <c r="AD329" s="1971"/>
      <c r="AE329" s="1971"/>
      <c r="AF329" s="1971"/>
      <c r="AG329" s="2553"/>
      <c r="AH329" s="1967"/>
      <c r="AI329" s="1970"/>
      <c r="AJ329" s="1970"/>
      <c r="AK329" s="1970"/>
      <c r="AL329" s="1970"/>
      <c r="AM329" s="1970"/>
      <c r="AN329" s="1970"/>
      <c r="AO329" s="1970"/>
      <c r="AP329" s="1970"/>
      <c r="AQ329" s="1970"/>
      <c r="AR329" s="1970"/>
      <c r="AS329" s="1970"/>
      <c r="AT329" s="1970"/>
      <c r="AU329" s="1970"/>
      <c r="AV329" s="1970"/>
      <c r="AW329" s="1970"/>
      <c r="AX329" s="1970"/>
      <c r="AY329" s="1970"/>
      <c r="AZ329" s="1970"/>
      <c r="BA329" s="1970"/>
      <c r="BB329" s="1970"/>
      <c r="BC329" s="1970"/>
      <c r="BD329" s="1970"/>
      <c r="BE329" s="1970"/>
      <c r="BF329" s="1970"/>
      <c r="BG329" s="1970"/>
      <c r="BH329" s="1970"/>
      <c r="BI329" s="1970"/>
      <c r="BJ329" s="1970"/>
      <c r="BK329" s="1970"/>
      <c r="BL329" s="1970"/>
      <c r="BM329" s="1970"/>
      <c r="BN329" s="1970"/>
      <c r="BO329" s="1973"/>
      <c r="BP329" s="1970"/>
      <c r="BQ329" s="1970"/>
      <c r="BR329" s="1970"/>
      <c r="BS329" s="1971"/>
      <c r="BT329" s="1970"/>
      <c r="BU329" s="1970"/>
      <c r="BV329" s="1970"/>
      <c r="BW329" s="1973"/>
      <c r="BX329" s="1970"/>
      <c r="BY329" s="1970"/>
      <c r="BZ329" s="1970"/>
      <c r="CA329" s="1970"/>
      <c r="CB329" s="1970"/>
      <c r="CC329" s="1970"/>
      <c r="CD329" s="1970"/>
      <c r="CF329" s="1970"/>
      <c r="CH329" s="1971"/>
      <c r="CI329" s="1971"/>
      <c r="CJ329" s="1971"/>
      <c r="CK329" s="1971"/>
      <c r="CL329" s="1971"/>
      <c r="CN329" s="1971"/>
      <c r="CO329" s="1971"/>
      <c r="CP329" s="1971"/>
      <c r="CQ329" s="3933"/>
    </row>
    <row r="330" spans="1:95" hidden="1" outlineLevel="2">
      <c r="A330" s="1922" t="s">
        <v>759</v>
      </c>
      <c r="B330" s="1970"/>
      <c r="C330" s="1970"/>
      <c r="D330" s="1970"/>
      <c r="E330" s="1970"/>
      <c r="F330" s="1970"/>
      <c r="G330" s="1970"/>
      <c r="H330" s="1970"/>
      <c r="I330" s="1970"/>
      <c r="J330" s="1970"/>
      <c r="K330" s="1970"/>
      <c r="L330" s="1971"/>
      <c r="M330" s="1971"/>
      <c r="N330" s="1970"/>
      <c r="O330" s="1970"/>
      <c r="P330" s="1971"/>
      <c r="Q330" s="1972"/>
      <c r="R330" s="1971"/>
      <c r="S330" s="1971"/>
      <c r="T330" s="1971"/>
      <c r="U330" s="1971"/>
      <c r="V330" s="1971"/>
      <c r="W330" s="1971"/>
      <c r="X330" s="1971"/>
      <c r="Y330" s="1971"/>
      <c r="Z330" s="1971"/>
      <c r="AA330" s="1971"/>
      <c r="AB330" s="1971"/>
      <c r="AC330" s="1971"/>
      <c r="AD330" s="1971"/>
      <c r="AE330" s="1971"/>
      <c r="AF330" s="1971"/>
      <c r="AG330" s="2553"/>
      <c r="AH330" s="1967"/>
      <c r="AI330" s="1970"/>
      <c r="AJ330" s="1970"/>
      <c r="AK330" s="1970"/>
      <c r="AL330" s="1970"/>
      <c r="AM330" s="1970"/>
      <c r="AN330" s="1970"/>
      <c r="AO330" s="1970"/>
      <c r="AP330" s="1970"/>
      <c r="AQ330" s="1970"/>
      <c r="AR330" s="1970"/>
      <c r="AS330" s="1970"/>
      <c r="AT330" s="1970"/>
      <c r="AU330" s="1970"/>
      <c r="AV330" s="1970"/>
      <c r="AW330" s="1970"/>
      <c r="AX330" s="1970"/>
      <c r="AY330" s="1970"/>
      <c r="AZ330" s="1970"/>
      <c r="BA330" s="1970"/>
      <c r="BB330" s="1970"/>
      <c r="BC330" s="1970"/>
      <c r="BD330" s="1970"/>
      <c r="BE330" s="1970"/>
      <c r="BF330" s="1970"/>
      <c r="BG330" s="1970"/>
      <c r="BH330" s="1970"/>
      <c r="BI330" s="1970"/>
      <c r="BJ330" s="1970"/>
      <c r="BK330" s="1974">
        <f t="shared" ref="BK330:CA331" si="595">+BK323-BJ323</f>
        <v>16627</v>
      </c>
      <c r="BL330" s="1974">
        <f t="shared" si="595"/>
        <v>-369</v>
      </c>
      <c r="BM330" s="1974">
        <f t="shared" si="595"/>
        <v>-322</v>
      </c>
      <c r="BN330" s="1974">
        <f t="shared" si="595"/>
        <v>-323</v>
      </c>
      <c r="BO330" s="1975">
        <f t="shared" si="595"/>
        <v>-256</v>
      </c>
      <c r="BP330" s="1974">
        <f t="shared" si="595"/>
        <v>-300</v>
      </c>
      <c r="BQ330" s="1974">
        <f t="shared" si="595"/>
        <v>-254</v>
      </c>
      <c r="BR330" s="1974">
        <f t="shared" si="595"/>
        <v>-219</v>
      </c>
      <c r="BS330" s="2035">
        <f t="shared" si="595"/>
        <v>-201</v>
      </c>
      <c r="BT330" s="1974">
        <f t="shared" si="595"/>
        <v>-234</v>
      </c>
      <c r="BU330" s="1974">
        <f t="shared" si="595"/>
        <v>-199</v>
      </c>
      <c r="BV330" s="1974">
        <f t="shared" si="595"/>
        <v>-199</v>
      </c>
      <c r="BW330" s="1975">
        <f t="shared" si="595"/>
        <v>-190</v>
      </c>
      <c r="BX330" s="1974">
        <f t="shared" si="595"/>
        <v>-230</v>
      </c>
      <c r="BY330" s="1974">
        <f t="shared" si="595"/>
        <v>-181</v>
      </c>
      <c r="BZ330" s="1974">
        <f t="shared" si="595"/>
        <v>-148</v>
      </c>
      <c r="CA330" s="1974">
        <f t="shared" si="595"/>
        <v>-120</v>
      </c>
      <c r="CB330" s="1974"/>
      <c r="CC330" s="1974"/>
      <c r="CD330" s="1974"/>
      <c r="CF330" s="1974"/>
      <c r="CH330" s="2035"/>
      <c r="CI330" s="2035"/>
      <c r="CJ330" s="2035"/>
      <c r="CK330" s="2035"/>
      <c r="CL330" s="2035"/>
      <c r="CN330" s="2035"/>
      <c r="CO330" s="2035"/>
      <c r="CP330" s="2035"/>
      <c r="CQ330" s="3933"/>
    </row>
    <row r="331" spans="1:95" hidden="1" outlineLevel="2">
      <c r="A331" s="1922" t="s">
        <v>1045</v>
      </c>
      <c r="B331" s="1970"/>
      <c r="C331" s="1970"/>
      <c r="D331" s="1970"/>
      <c r="E331" s="1970"/>
      <c r="F331" s="1970"/>
      <c r="G331" s="1970"/>
      <c r="H331" s="1970"/>
      <c r="I331" s="1970"/>
      <c r="J331" s="1970"/>
      <c r="K331" s="1970"/>
      <c r="L331" s="1971"/>
      <c r="M331" s="1971"/>
      <c r="N331" s="1970"/>
      <c r="O331" s="1970"/>
      <c r="P331" s="1971"/>
      <c r="Q331" s="1972"/>
      <c r="R331" s="1971"/>
      <c r="S331" s="1971"/>
      <c r="T331" s="1971"/>
      <c r="U331" s="1971"/>
      <c r="V331" s="1971"/>
      <c r="W331" s="1971"/>
      <c r="X331" s="1971"/>
      <c r="Y331" s="1971"/>
      <c r="Z331" s="1971"/>
      <c r="AA331" s="1971"/>
      <c r="AB331" s="1971"/>
      <c r="AC331" s="1971"/>
      <c r="AD331" s="1971"/>
      <c r="AE331" s="1971"/>
      <c r="AF331" s="1971"/>
      <c r="AG331" s="2553"/>
      <c r="AH331" s="1967"/>
      <c r="AI331" s="1970"/>
      <c r="AJ331" s="1970"/>
      <c r="AK331" s="1970"/>
      <c r="AL331" s="1970"/>
      <c r="AM331" s="1970"/>
      <c r="AN331" s="1970"/>
      <c r="AO331" s="1970"/>
      <c r="AP331" s="1970"/>
      <c r="AQ331" s="1970"/>
      <c r="AR331" s="1970"/>
      <c r="AS331" s="1970"/>
      <c r="AT331" s="1970"/>
      <c r="AU331" s="1970"/>
      <c r="AV331" s="1970"/>
      <c r="AW331" s="1970"/>
      <c r="AX331" s="1970"/>
      <c r="AY331" s="1970"/>
      <c r="AZ331" s="1970"/>
      <c r="BA331" s="1970"/>
      <c r="BB331" s="1970"/>
      <c r="BC331" s="1970"/>
      <c r="BD331" s="1970"/>
      <c r="BE331" s="1970"/>
      <c r="BF331" s="1970"/>
      <c r="BG331" s="1970"/>
      <c r="BH331" s="1970"/>
      <c r="BI331" s="1970"/>
      <c r="BJ331" s="1970"/>
      <c r="BK331" s="1974">
        <f t="shared" si="595"/>
        <v>5249</v>
      </c>
      <c r="BL331" s="1974">
        <f t="shared" si="595"/>
        <v>38</v>
      </c>
      <c r="BM331" s="1974">
        <f t="shared" si="595"/>
        <v>72</v>
      </c>
      <c r="BN331" s="1974">
        <f t="shared" si="595"/>
        <v>45</v>
      </c>
      <c r="BO331" s="1975">
        <f t="shared" si="595"/>
        <v>101</v>
      </c>
      <c r="BP331" s="1974">
        <f t="shared" si="595"/>
        <v>14</v>
      </c>
      <c r="BQ331" s="1974">
        <f t="shared" si="595"/>
        <v>60</v>
      </c>
      <c r="BR331" s="1974">
        <f t="shared" si="595"/>
        <v>77</v>
      </c>
      <c r="BS331" s="2035">
        <f t="shared" si="595"/>
        <v>92</v>
      </c>
      <c r="BT331" s="1974">
        <f t="shared" si="595"/>
        <v>18</v>
      </c>
      <c r="BU331" s="1974">
        <f t="shared" si="595"/>
        <v>44</v>
      </c>
      <c r="BV331" s="1974">
        <f t="shared" si="595"/>
        <v>41</v>
      </c>
      <c r="BW331" s="1975">
        <f t="shared" si="595"/>
        <v>66</v>
      </c>
      <c r="BX331" s="1974">
        <f t="shared" si="595"/>
        <v>-8</v>
      </c>
      <c r="BY331" s="1974">
        <f t="shared" si="595"/>
        <v>33</v>
      </c>
      <c r="BZ331" s="1974">
        <f t="shared" si="595"/>
        <v>49</v>
      </c>
      <c r="CA331" s="1974">
        <f t="shared" si="595"/>
        <v>66</v>
      </c>
      <c r="CB331" s="1974"/>
      <c r="CC331" s="1974"/>
      <c r="CD331" s="1974"/>
      <c r="CF331" s="1974"/>
      <c r="CH331" s="2035"/>
      <c r="CI331" s="2035"/>
      <c r="CJ331" s="2035"/>
      <c r="CK331" s="2035"/>
      <c r="CL331" s="2035"/>
      <c r="CN331" s="2035"/>
      <c r="CO331" s="2035"/>
      <c r="CP331" s="2035"/>
      <c r="CQ331" s="3933"/>
    </row>
    <row r="332" spans="1:95" hidden="1" outlineLevel="2">
      <c r="A332" s="1922" t="s">
        <v>1047</v>
      </c>
      <c r="B332" s="1970"/>
      <c r="C332" s="1970"/>
      <c r="D332" s="1970"/>
      <c r="E332" s="1970"/>
      <c r="F332" s="1970"/>
      <c r="G332" s="1970"/>
      <c r="H332" s="1970"/>
      <c r="I332" s="1970"/>
      <c r="J332" s="1970"/>
      <c r="K332" s="1970"/>
      <c r="L332" s="1971"/>
      <c r="M332" s="1971"/>
      <c r="N332" s="1970"/>
      <c r="O332" s="1970"/>
      <c r="P332" s="1971"/>
      <c r="Q332" s="1972"/>
      <c r="R332" s="1971"/>
      <c r="S332" s="1971"/>
      <c r="T332" s="1971"/>
      <c r="U332" s="1971"/>
      <c r="V332" s="1971"/>
      <c r="W332" s="1971"/>
      <c r="X332" s="1971"/>
      <c r="Y332" s="1971"/>
      <c r="Z332" s="1971"/>
      <c r="AA332" s="1971"/>
      <c r="AB332" s="1971"/>
      <c r="AC332" s="1971"/>
      <c r="AD332" s="1971"/>
      <c r="AE332" s="1971"/>
      <c r="AF332" s="1971"/>
      <c r="AG332" s="2553"/>
      <c r="AH332" s="1967"/>
      <c r="AI332" s="1970"/>
      <c r="AJ332" s="1970"/>
      <c r="AK332" s="1970"/>
      <c r="AL332" s="1970"/>
      <c r="AM332" s="1970"/>
      <c r="AN332" s="1970"/>
      <c r="AO332" s="1970"/>
      <c r="AP332" s="1970"/>
      <c r="AQ332" s="1970"/>
      <c r="AR332" s="1970"/>
      <c r="AS332" s="1970"/>
      <c r="AT332" s="1970"/>
      <c r="AU332" s="1970"/>
      <c r="AV332" s="1970"/>
      <c r="AW332" s="1970"/>
      <c r="AX332" s="1970"/>
      <c r="AY332" s="1970"/>
      <c r="AZ332" s="1970"/>
      <c r="BA332" s="1970"/>
      <c r="BB332" s="1970"/>
      <c r="BC332" s="1970"/>
      <c r="BD332" s="1970"/>
      <c r="BE332" s="1970"/>
      <c r="BF332" s="1970"/>
      <c r="BG332" s="1970"/>
      <c r="BH332" s="1970"/>
      <c r="BI332" s="1970"/>
      <c r="BJ332" s="1970"/>
      <c r="BK332" s="1970"/>
      <c r="BL332" s="1970"/>
      <c r="BM332" s="1970"/>
      <c r="BN332" s="1970"/>
      <c r="BO332" s="1973"/>
      <c r="BP332" s="1970"/>
      <c r="BQ332" s="1970"/>
      <c r="BR332" s="1970"/>
      <c r="BS332" s="1971"/>
      <c r="BT332" s="1970"/>
      <c r="BU332" s="1970"/>
      <c r="BV332" s="1970"/>
      <c r="BW332" s="1973"/>
      <c r="BX332" s="1970"/>
      <c r="BY332" s="1970"/>
      <c r="BZ332" s="1970"/>
      <c r="CA332" s="1970"/>
      <c r="CB332" s="1970"/>
      <c r="CC332" s="1970"/>
      <c r="CD332" s="1970"/>
      <c r="CF332" s="1970"/>
      <c r="CH332" s="1971"/>
      <c r="CI332" s="1971"/>
      <c r="CJ332" s="1971"/>
      <c r="CK332" s="1971"/>
      <c r="CL332" s="1971"/>
      <c r="CN332" s="1971"/>
      <c r="CO332" s="1971"/>
      <c r="CP332" s="1971"/>
      <c r="CQ332" s="3933"/>
    </row>
    <row r="333" spans="1:95" hidden="1" outlineLevel="2">
      <c r="A333" s="1922" t="s">
        <v>1048</v>
      </c>
      <c r="B333" s="1970"/>
      <c r="C333" s="1970"/>
      <c r="D333" s="1970"/>
      <c r="E333" s="1970"/>
      <c r="F333" s="1970"/>
      <c r="G333" s="1970"/>
      <c r="H333" s="1970"/>
      <c r="I333" s="1970"/>
      <c r="J333" s="1970"/>
      <c r="K333" s="1970"/>
      <c r="L333" s="1971"/>
      <c r="M333" s="1971"/>
      <c r="N333" s="1970"/>
      <c r="O333" s="1970"/>
      <c r="P333" s="1971"/>
      <c r="Q333" s="1972"/>
      <c r="R333" s="1971"/>
      <c r="S333" s="1971"/>
      <c r="T333" s="1971"/>
      <c r="U333" s="1971"/>
      <c r="V333" s="1971"/>
      <c r="W333" s="1971"/>
      <c r="X333" s="1971"/>
      <c r="Y333" s="1971"/>
      <c r="Z333" s="1971"/>
      <c r="AA333" s="1971"/>
      <c r="AB333" s="1971"/>
      <c r="AC333" s="1971"/>
      <c r="AD333" s="1971"/>
      <c r="AE333" s="1971"/>
      <c r="AF333" s="1971"/>
      <c r="AG333" s="2553"/>
      <c r="AH333" s="1967"/>
      <c r="AI333" s="1970"/>
      <c r="AJ333" s="1970"/>
      <c r="AK333" s="1970"/>
      <c r="AL333" s="1970"/>
      <c r="AM333" s="1970"/>
      <c r="AN333" s="1970"/>
      <c r="AO333" s="1970"/>
      <c r="AP333" s="1970"/>
      <c r="AQ333" s="1970"/>
      <c r="AR333" s="1970"/>
      <c r="AS333" s="1970"/>
      <c r="AT333" s="1970"/>
      <c r="AU333" s="1970"/>
      <c r="AV333" s="1970"/>
      <c r="AW333" s="1970"/>
      <c r="AX333" s="1970"/>
      <c r="AY333" s="1970"/>
      <c r="AZ333" s="1970"/>
      <c r="BA333" s="1970"/>
      <c r="BB333" s="1970"/>
      <c r="BC333" s="1970"/>
      <c r="BD333" s="1970"/>
      <c r="BE333" s="1970"/>
      <c r="BF333" s="1970"/>
      <c r="BG333" s="1970"/>
      <c r="BH333" s="1970"/>
      <c r="BI333" s="1970"/>
      <c r="BJ333" s="1970"/>
      <c r="BK333" s="1970"/>
      <c r="BL333" s="1970"/>
      <c r="BM333" s="1970"/>
      <c r="BN333" s="1970"/>
      <c r="BO333" s="1973"/>
      <c r="BP333" s="1970"/>
      <c r="BQ333" s="1970"/>
      <c r="BR333" s="1970"/>
      <c r="BS333" s="1971"/>
      <c r="BT333" s="1970"/>
      <c r="BU333" s="1970"/>
      <c r="BV333" s="1970"/>
      <c r="BW333" s="1973"/>
      <c r="BX333" s="1970"/>
      <c r="BY333" s="1970"/>
      <c r="BZ333" s="1970"/>
      <c r="CA333" s="1970"/>
      <c r="CB333" s="1970"/>
      <c r="CC333" s="1970"/>
      <c r="CD333" s="1970"/>
      <c r="CF333" s="1970"/>
      <c r="CH333" s="1971"/>
      <c r="CI333" s="1971"/>
      <c r="CJ333" s="1971"/>
      <c r="CK333" s="1971"/>
      <c r="CL333" s="1971"/>
      <c r="CN333" s="1971"/>
      <c r="CO333" s="1971"/>
      <c r="CP333" s="1971"/>
      <c r="CQ333" s="3933"/>
    </row>
    <row r="334" spans="1:95" hidden="1" outlineLevel="2">
      <c r="A334" s="1921" t="s">
        <v>598</v>
      </c>
      <c r="B334" s="1970"/>
      <c r="C334" s="1970"/>
      <c r="D334" s="1970"/>
      <c r="E334" s="1970"/>
      <c r="F334" s="1970"/>
      <c r="G334" s="1970"/>
      <c r="H334" s="1970"/>
      <c r="I334" s="1970"/>
      <c r="J334" s="1970"/>
      <c r="K334" s="1970"/>
      <c r="L334" s="1971"/>
      <c r="M334" s="1971"/>
      <c r="N334" s="1970"/>
      <c r="O334" s="1970"/>
      <c r="P334" s="1971"/>
      <c r="Q334" s="1972"/>
      <c r="R334" s="1971"/>
      <c r="S334" s="1971"/>
      <c r="T334" s="1971"/>
      <c r="U334" s="1971"/>
      <c r="V334" s="1971"/>
      <c r="W334" s="1971"/>
      <c r="X334" s="1971"/>
      <c r="Y334" s="1971"/>
      <c r="Z334" s="1971"/>
      <c r="AA334" s="1971"/>
      <c r="AB334" s="1971"/>
      <c r="AC334" s="1971"/>
      <c r="AD334" s="1971"/>
      <c r="AE334" s="1971"/>
      <c r="AF334" s="1971"/>
      <c r="AG334" s="2553"/>
      <c r="AH334" s="1967"/>
      <c r="AI334" s="1970"/>
      <c r="AJ334" s="1970"/>
      <c r="AK334" s="1970"/>
      <c r="AL334" s="1970"/>
      <c r="AM334" s="1970"/>
      <c r="AN334" s="1970"/>
      <c r="AO334" s="1970"/>
      <c r="AP334" s="1970"/>
      <c r="AQ334" s="1970"/>
      <c r="AR334" s="1970"/>
      <c r="AS334" s="1970"/>
      <c r="AT334" s="1970"/>
      <c r="AU334" s="1970"/>
      <c r="AV334" s="1970"/>
      <c r="AW334" s="1970"/>
      <c r="AX334" s="1970"/>
      <c r="AY334" s="1970"/>
      <c r="AZ334" s="1970"/>
      <c r="BA334" s="1970"/>
      <c r="BB334" s="1970"/>
      <c r="BC334" s="1970"/>
      <c r="BD334" s="1970"/>
      <c r="BE334" s="1970"/>
      <c r="BF334" s="1970"/>
      <c r="BG334" s="1970"/>
      <c r="BH334" s="1970"/>
      <c r="BI334" s="1970"/>
      <c r="BJ334" s="1970"/>
      <c r="BK334" s="1978">
        <f t="shared" ref="BK334:BV334" si="596">+SUM(BK330:BK333)</f>
        <v>21876</v>
      </c>
      <c r="BL334" s="1978">
        <f t="shared" si="596"/>
        <v>-331</v>
      </c>
      <c r="BM334" s="1978">
        <f t="shared" si="596"/>
        <v>-250</v>
      </c>
      <c r="BN334" s="1978">
        <f t="shared" si="596"/>
        <v>-278</v>
      </c>
      <c r="BO334" s="1979">
        <f t="shared" si="596"/>
        <v>-155</v>
      </c>
      <c r="BP334" s="1978">
        <f t="shared" si="596"/>
        <v>-286</v>
      </c>
      <c r="BQ334" s="1978">
        <f t="shared" si="596"/>
        <v>-194</v>
      </c>
      <c r="BR334" s="1978">
        <f t="shared" si="596"/>
        <v>-142</v>
      </c>
      <c r="BS334" s="2036">
        <f t="shared" si="596"/>
        <v>-109</v>
      </c>
      <c r="BT334" s="1978">
        <f t="shared" si="596"/>
        <v>-216</v>
      </c>
      <c r="BU334" s="1978">
        <f t="shared" si="596"/>
        <v>-155</v>
      </c>
      <c r="BV334" s="1978">
        <f t="shared" si="596"/>
        <v>-158</v>
      </c>
      <c r="BW334" s="1979">
        <f>+SUM(BW330:BW333)</f>
        <v>-124</v>
      </c>
      <c r="BX334" s="1978">
        <f>+SUM(BX330:BX333)</f>
        <v>-238</v>
      </c>
      <c r="BY334" s="1978">
        <f>+SUM(BY330:BY333)</f>
        <v>-148</v>
      </c>
      <c r="BZ334" s="1978">
        <f>+SUM(BZ330:BZ333)</f>
        <v>-99</v>
      </c>
      <c r="CA334" s="1978">
        <f>+SUM(CA330:CA333)</f>
        <v>-54</v>
      </c>
      <c r="CB334" s="1978"/>
      <c r="CC334" s="1978"/>
      <c r="CD334" s="1978"/>
      <c r="CF334" s="1978"/>
      <c r="CH334" s="2036"/>
      <c r="CI334" s="2036"/>
      <c r="CJ334" s="2036"/>
      <c r="CK334" s="2036"/>
      <c r="CL334" s="2036"/>
      <c r="CN334" s="2036"/>
      <c r="CO334" s="2036"/>
      <c r="CP334" s="2036"/>
      <c r="CQ334" s="3933"/>
    </row>
    <row r="335" spans="1:95" hidden="1" outlineLevel="2">
      <c r="A335" s="1922"/>
      <c r="B335" s="1970"/>
      <c r="C335" s="1970"/>
      <c r="D335" s="1970"/>
      <c r="E335" s="1970"/>
      <c r="F335" s="1970"/>
      <c r="G335" s="1970"/>
      <c r="H335" s="1970"/>
      <c r="I335" s="1970"/>
      <c r="J335" s="1970"/>
      <c r="K335" s="1970"/>
      <c r="L335" s="1971"/>
      <c r="M335" s="1971"/>
      <c r="N335" s="1970"/>
      <c r="O335" s="1970"/>
      <c r="P335" s="1971"/>
      <c r="Q335" s="1972"/>
      <c r="R335" s="1971"/>
      <c r="S335" s="1971"/>
      <c r="T335" s="1971"/>
      <c r="U335" s="1971"/>
      <c r="V335" s="1971"/>
      <c r="W335" s="1971"/>
      <c r="X335" s="1971"/>
      <c r="Y335" s="1971"/>
      <c r="Z335" s="1971"/>
      <c r="AA335" s="1971"/>
      <c r="AB335" s="1971"/>
      <c r="AC335" s="1971"/>
      <c r="AD335" s="1971"/>
      <c r="AE335" s="1971"/>
      <c r="AF335" s="1971"/>
      <c r="AG335" s="2553"/>
      <c r="AH335" s="1967"/>
      <c r="AI335" s="1970"/>
      <c r="AJ335" s="1970"/>
      <c r="AK335" s="1970"/>
      <c r="AL335" s="1970"/>
      <c r="AM335" s="1970"/>
      <c r="AN335" s="1970"/>
      <c r="AO335" s="1970"/>
      <c r="AP335" s="1970"/>
      <c r="AQ335" s="1970"/>
      <c r="AR335" s="1970"/>
      <c r="AS335" s="1970"/>
      <c r="AT335" s="1970"/>
      <c r="AU335" s="1970"/>
      <c r="AV335" s="1970"/>
      <c r="AW335" s="1970"/>
      <c r="AX335" s="1970"/>
      <c r="AY335" s="1970"/>
      <c r="AZ335" s="1970"/>
      <c r="BA335" s="1970"/>
      <c r="BB335" s="1970"/>
      <c r="BC335" s="1970"/>
      <c r="BD335" s="1970"/>
      <c r="BE335" s="1970"/>
      <c r="BF335" s="1970"/>
      <c r="BG335" s="1970"/>
      <c r="BH335" s="1970"/>
      <c r="BI335" s="1970"/>
      <c r="BJ335" s="1970"/>
      <c r="BK335" s="1970"/>
      <c r="BL335" s="1970"/>
      <c r="BM335" s="1970"/>
      <c r="BN335" s="1970"/>
      <c r="BO335" s="1973"/>
      <c r="BP335" s="1970"/>
      <c r="BQ335" s="1970"/>
      <c r="BR335" s="1970"/>
      <c r="BS335" s="1971"/>
      <c r="BT335" s="1970"/>
      <c r="BU335" s="1970"/>
      <c r="BV335" s="1970"/>
      <c r="BW335" s="1973"/>
      <c r="BX335" s="1970"/>
      <c r="BY335" s="1970"/>
      <c r="BZ335" s="1970"/>
      <c r="CA335" s="1970"/>
      <c r="CB335" s="1970"/>
      <c r="CC335" s="1970"/>
      <c r="CD335" s="1970"/>
      <c r="CF335" s="1970"/>
      <c r="CH335" s="1971"/>
      <c r="CI335" s="1971"/>
      <c r="CJ335" s="1971"/>
      <c r="CK335" s="1971"/>
      <c r="CL335" s="1971"/>
      <c r="CN335" s="1971"/>
      <c r="CO335" s="1971"/>
      <c r="CP335" s="1971"/>
      <c r="CQ335" s="3933"/>
    </row>
    <row r="336" spans="1:95" hidden="1" outlineLevel="2">
      <c r="A336" s="1921" t="s">
        <v>761</v>
      </c>
      <c r="B336" s="1970"/>
      <c r="C336" s="1970"/>
      <c r="D336" s="1970"/>
      <c r="E336" s="1970"/>
      <c r="F336" s="1970"/>
      <c r="G336" s="1970"/>
      <c r="H336" s="1970"/>
      <c r="I336" s="1970"/>
      <c r="J336" s="1970"/>
      <c r="K336" s="1970"/>
      <c r="L336" s="1971"/>
      <c r="M336" s="1971"/>
      <c r="N336" s="1970"/>
      <c r="O336" s="1970"/>
      <c r="P336" s="1971"/>
      <c r="Q336" s="1972"/>
      <c r="R336" s="1971"/>
      <c r="S336" s="1971"/>
      <c r="T336" s="1971"/>
      <c r="U336" s="1971"/>
      <c r="V336" s="1971"/>
      <c r="W336" s="1971"/>
      <c r="X336" s="1971"/>
      <c r="Y336" s="1971"/>
      <c r="Z336" s="1971"/>
      <c r="AA336" s="1971"/>
      <c r="AB336" s="1971"/>
      <c r="AC336" s="1971"/>
      <c r="AD336" s="1971"/>
      <c r="AE336" s="1971"/>
      <c r="AF336" s="1971"/>
      <c r="AG336" s="2553"/>
      <c r="AH336" s="1967"/>
      <c r="AI336" s="1970"/>
      <c r="AJ336" s="1970"/>
      <c r="AK336" s="1970"/>
      <c r="AL336" s="1970"/>
      <c r="AM336" s="1970"/>
      <c r="AN336" s="1970"/>
      <c r="AO336" s="1970"/>
      <c r="AP336" s="1970"/>
      <c r="AQ336" s="1970"/>
      <c r="AR336" s="1970"/>
      <c r="AS336" s="1970"/>
      <c r="AT336" s="1970"/>
      <c r="AU336" s="1970"/>
      <c r="AV336" s="1970"/>
      <c r="AW336" s="1970"/>
      <c r="AX336" s="1970"/>
      <c r="AY336" s="1970"/>
      <c r="AZ336" s="1970"/>
      <c r="BA336" s="1970"/>
      <c r="BB336" s="1970"/>
      <c r="BC336" s="1970"/>
      <c r="BD336" s="1970"/>
      <c r="BE336" s="1970"/>
      <c r="BF336" s="1970"/>
      <c r="BG336" s="1970"/>
      <c r="BH336" s="1970"/>
      <c r="BI336" s="1970"/>
      <c r="BJ336" s="1970"/>
      <c r="BK336" s="1970"/>
      <c r="BL336" s="1970"/>
      <c r="BM336" s="1970"/>
      <c r="BN336" s="1970"/>
      <c r="BO336" s="1973"/>
      <c r="BP336" s="1970"/>
      <c r="BQ336" s="1970"/>
      <c r="BR336" s="1970"/>
      <c r="BS336" s="1971"/>
      <c r="BT336" s="1970"/>
      <c r="BU336" s="1970"/>
      <c r="BV336" s="1970"/>
      <c r="BW336" s="1973"/>
      <c r="BX336" s="1970"/>
      <c r="BY336" s="1970"/>
      <c r="BZ336" s="1970"/>
      <c r="CA336" s="1970"/>
      <c r="CB336" s="1970"/>
      <c r="CC336" s="1970"/>
      <c r="CD336" s="1970"/>
      <c r="CF336" s="1970"/>
      <c r="CH336" s="1971"/>
      <c r="CI336" s="1971"/>
      <c r="CJ336" s="1971"/>
      <c r="CK336" s="1971"/>
      <c r="CL336" s="1971"/>
      <c r="CN336" s="1971"/>
      <c r="CO336" s="1971"/>
      <c r="CP336" s="1971"/>
      <c r="CQ336" s="3933"/>
    </row>
    <row r="337" spans="1:98" hidden="1" outlineLevel="2">
      <c r="A337" s="1922" t="s">
        <v>759</v>
      </c>
      <c r="B337" s="1970"/>
      <c r="C337" s="1970"/>
      <c r="D337" s="1970"/>
      <c r="E337" s="1970"/>
      <c r="F337" s="1970"/>
      <c r="G337" s="1970"/>
      <c r="H337" s="1970"/>
      <c r="I337" s="1970"/>
      <c r="J337" s="1970"/>
      <c r="K337" s="1970"/>
      <c r="L337" s="1971"/>
      <c r="M337" s="1971"/>
      <c r="N337" s="1970"/>
      <c r="O337" s="1970"/>
      <c r="P337" s="1971"/>
      <c r="Q337" s="1972"/>
      <c r="R337" s="1971"/>
      <c r="S337" s="1971"/>
      <c r="T337" s="1971"/>
      <c r="U337" s="1971"/>
      <c r="V337" s="1971"/>
      <c r="W337" s="1971"/>
      <c r="X337" s="1971"/>
      <c r="Y337" s="1971"/>
      <c r="Z337" s="1971"/>
      <c r="AA337" s="1971"/>
      <c r="AB337" s="1971"/>
      <c r="AC337" s="1971"/>
      <c r="AD337" s="1971"/>
      <c r="AE337" s="1971"/>
      <c r="AF337" s="1971"/>
      <c r="AG337" s="2553"/>
      <c r="AH337" s="1967"/>
      <c r="AI337" s="1970"/>
      <c r="AJ337" s="1970"/>
      <c r="AK337" s="1970"/>
      <c r="AL337" s="1970"/>
      <c r="AM337" s="1970"/>
      <c r="AN337" s="1970"/>
      <c r="AO337" s="1970"/>
      <c r="AP337" s="1970"/>
      <c r="AQ337" s="1970"/>
      <c r="AR337" s="1970"/>
      <c r="AS337" s="1970"/>
      <c r="AT337" s="1970"/>
      <c r="AU337" s="1970"/>
      <c r="AV337" s="1970"/>
      <c r="AW337" s="1970"/>
      <c r="AX337" s="1970"/>
      <c r="AY337" s="1970"/>
      <c r="AZ337" s="1970"/>
      <c r="BA337" s="1970"/>
      <c r="BB337" s="1970"/>
      <c r="BC337" s="1970"/>
      <c r="BD337" s="1970"/>
      <c r="BE337" s="1970"/>
      <c r="BF337" s="1970"/>
      <c r="BG337" s="1970"/>
      <c r="BH337" s="1970"/>
      <c r="BI337" s="1970"/>
      <c r="BJ337" s="1970"/>
      <c r="BK337" s="1970"/>
      <c r="BL337" s="1970"/>
      <c r="BM337" s="1970"/>
      <c r="BN337" s="1970"/>
      <c r="BO337" s="1980">
        <f t="shared" ref="BO337:CA338" si="597">+BO323/BK323-1</f>
        <v>-7.6381788657003624E-2</v>
      </c>
      <c r="BP337" s="1981">
        <f t="shared" si="597"/>
        <v>-7.3871324886209844E-2</v>
      </c>
      <c r="BQ337" s="1981">
        <f t="shared" si="597"/>
        <v>-7.1096887550200827E-2</v>
      </c>
      <c r="BR337" s="1981">
        <f t="shared" si="597"/>
        <v>-6.5906616281304009E-2</v>
      </c>
      <c r="BS337" s="2037">
        <f t="shared" si="597"/>
        <v>-6.3423845803216805E-2</v>
      </c>
      <c r="BT337" s="1981">
        <f t="shared" si="597"/>
        <v>-6.0304177458989194E-2</v>
      </c>
      <c r="BU337" s="1981">
        <f t="shared" si="597"/>
        <v>-5.7623454705127308E-2</v>
      </c>
      <c r="BV337" s="1981">
        <f t="shared" si="597"/>
        <v>-5.7117388919363687E-2</v>
      </c>
      <c r="BW337" s="1980">
        <f t="shared" si="597"/>
        <v>-5.7150803031356445E-2</v>
      </c>
      <c r="BX337" s="1981">
        <f t="shared" si="597"/>
        <v>-5.781327302282846E-2</v>
      </c>
      <c r="BY337" s="1981">
        <f t="shared" si="597"/>
        <v>-5.7347670250896043E-2</v>
      </c>
      <c r="BZ337" s="1981">
        <f t="shared" si="597"/>
        <v>-5.4468765907933925E-2</v>
      </c>
      <c r="CA337" s="1981">
        <f t="shared" si="597"/>
        <v>-5.0070053830838401E-2</v>
      </c>
      <c r="CB337" s="1981"/>
      <c r="CC337" s="1981"/>
      <c r="CD337" s="1981"/>
      <c r="CF337" s="1981"/>
      <c r="CH337" s="2037"/>
      <c r="CI337" s="2037"/>
      <c r="CJ337" s="2037"/>
      <c r="CK337" s="2037"/>
      <c r="CL337" s="2037"/>
      <c r="CN337" s="2037"/>
      <c r="CO337" s="2037"/>
      <c r="CP337" s="2037"/>
      <c r="CQ337" s="3933"/>
    </row>
    <row r="338" spans="1:98" hidden="1" outlineLevel="2">
      <c r="A338" s="1922" t="s">
        <v>1045</v>
      </c>
      <c r="B338" s="1970"/>
      <c r="C338" s="1970"/>
      <c r="D338" s="1970"/>
      <c r="E338" s="1970"/>
      <c r="F338" s="1970"/>
      <c r="G338" s="1970"/>
      <c r="H338" s="1970"/>
      <c r="I338" s="1970"/>
      <c r="J338" s="1970"/>
      <c r="K338" s="1970"/>
      <c r="L338" s="1971"/>
      <c r="M338" s="1971"/>
      <c r="N338" s="1970"/>
      <c r="O338" s="1970"/>
      <c r="P338" s="1971"/>
      <c r="Q338" s="1972"/>
      <c r="R338" s="1971"/>
      <c r="S338" s="1971"/>
      <c r="T338" s="1971"/>
      <c r="U338" s="1971"/>
      <c r="V338" s="1971"/>
      <c r="W338" s="1971"/>
      <c r="X338" s="1971"/>
      <c r="Y338" s="1971"/>
      <c r="Z338" s="1971"/>
      <c r="AA338" s="1971"/>
      <c r="AB338" s="1971"/>
      <c r="AC338" s="1971"/>
      <c r="AD338" s="1971"/>
      <c r="AE338" s="1971"/>
      <c r="AF338" s="1971"/>
      <c r="AG338" s="2553"/>
      <c r="AH338" s="1967"/>
      <c r="AI338" s="1970"/>
      <c r="AJ338" s="1970"/>
      <c r="AK338" s="1970"/>
      <c r="AL338" s="1970"/>
      <c r="AM338" s="1970"/>
      <c r="AN338" s="1970"/>
      <c r="AO338" s="1970"/>
      <c r="AP338" s="1970"/>
      <c r="AQ338" s="1970"/>
      <c r="AR338" s="1970"/>
      <c r="AS338" s="1970"/>
      <c r="AT338" s="1970"/>
      <c r="AU338" s="1970"/>
      <c r="AV338" s="1970"/>
      <c r="AW338" s="1970"/>
      <c r="AX338" s="1970"/>
      <c r="AY338" s="1970"/>
      <c r="AZ338" s="1970"/>
      <c r="BA338" s="1970"/>
      <c r="BB338" s="1970"/>
      <c r="BC338" s="1970"/>
      <c r="BD338" s="1970"/>
      <c r="BE338" s="1970"/>
      <c r="BF338" s="1970"/>
      <c r="BG338" s="1970"/>
      <c r="BH338" s="1970"/>
      <c r="BI338" s="1970"/>
      <c r="BJ338" s="1970"/>
      <c r="BK338" s="1970"/>
      <c r="BL338" s="1970"/>
      <c r="BM338" s="1970"/>
      <c r="BN338" s="1970"/>
      <c r="BO338" s="1980">
        <f t="shared" si="597"/>
        <v>4.8771194513240523E-2</v>
      </c>
      <c r="BP338" s="1981">
        <f t="shared" si="597"/>
        <v>4.3881218082088225E-2</v>
      </c>
      <c r="BQ338" s="1981">
        <f t="shared" si="597"/>
        <v>4.1052435155812583E-2</v>
      </c>
      <c r="BR338" s="1981">
        <f t="shared" si="597"/>
        <v>4.663212435233155E-2</v>
      </c>
      <c r="BS338" s="2037">
        <f t="shared" si="597"/>
        <v>4.4141689373297099E-2</v>
      </c>
      <c r="BT338" s="1981">
        <f t="shared" si="597"/>
        <v>4.4754484508062964E-2</v>
      </c>
      <c r="BU338" s="1981">
        <f t="shared" si="597"/>
        <v>4.1405269761606078E-2</v>
      </c>
      <c r="BV338" s="1981">
        <f t="shared" si="597"/>
        <v>3.447666195190946E-2</v>
      </c>
      <c r="BW338" s="1980">
        <f t="shared" si="597"/>
        <v>2.9401530967293033E-2</v>
      </c>
      <c r="BX338" s="1981">
        <f t="shared" si="597"/>
        <v>2.4800554977454148E-2</v>
      </c>
      <c r="BY338" s="1981">
        <f t="shared" si="597"/>
        <v>2.271944922547342E-2</v>
      </c>
      <c r="BZ338" s="1981">
        <f t="shared" si="597"/>
        <v>2.3927533754913632E-2</v>
      </c>
      <c r="CA338" s="1981">
        <f t="shared" si="597"/>
        <v>2.3660638837248671E-2</v>
      </c>
      <c r="CB338" s="1981"/>
      <c r="CC338" s="1981"/>
      <c r="CD338" s="1981"/>
      <c r="CF338" s="1981"/>
      <c r="CH338" s="2037"/>
      <c r="CI338" s="2037"/>
      <c r="CJ338" s="2037"/>
      <c r="CK338" s="2037"/>
      <c r="CL338" s="2037"/>
      <c r="CN338" s="2037"/>
      <c r="CO338" s="2037"/>
      <c r="CP338" s="2037"/>
      <c r="CQ338" s="3933"/>
    </row>
    <row r="339" spans="1:98" hidden="1" outlineLevel="2">
      <c r="A339" s="1922" t="s">
        <v>1047</v>
      </c>
      <c r="B339" s="1970"/>
      <c r="C339" s="1970"/>
      <c r="D339" s="1970"/>
      <c r="E339" s="1970"/>
      <c r="F339" s="1970"/>
      <c r="G339" s="1970"/>
      <c r="H339" s="1970"/>
      <c r="I339" s="1970"/>
      <c r="J339" s="1970"/>
      <c r="K339" s="1970"/>
      <c r="L339" s="1971"/>
      <c r="M339" s="1971"/>
      <c r="N339" s="1970"/>
      <c r="O339" s="1970"/>
      <c r="P339" s="1971"/>
      <c r="Q339" s="1972"/>
      <c r="R339" s="1971"/>
      <c r="S339" s="1971"/>
      <c r="T339" s="1971"/>
      <c r="U339" s="1971"/>
      <c r="V339" s="1971"/>
      <c r="W339" s="1971"/>
      <c r="X339" s="1971"/>
      <c r="Y339" s="1971"/>
      <c r="Z339" s="1971"/>
      <c r="AA339" s="1971"/>
      <c r="AB339" s="1971"/>
      <c r="AC339" s="1971"/>
      <c r="AD339" s="1971"/>
      <c r="AE339" s="1971"/>
      <c r="AF339" s="1971"/>
      <c r="AG339" s="2553"/>
      <c r="AH339" s="1967"/>
      <c r="AI339" s="1970"/>
      <c r="AJ339" s="1970"/>
      <c r="AK339" s="1970"/>
      <c r="AL339" s="1970"/>
      <c r="AM339" s="1970"/>
      <c r="AN339" s="1970"/>
      <c r="AO339" s="1970"/>
      <c r="AP339" s="1970"/>
      <c r="AQ339" s="1970"/>
      <c r="AR339" s="1970"/>
      <c r="AS339" s="1970"/>
      <c r="AT339" s="1970"/>
      <c r="AU339" s="1970"/>
      <c r="AV339" s="1970"/>
      <c r="AW339" s="1970"/>
      <c r="AX339" s="1970"/>
      <c r="AY339" s="1970"/>
      <c r="AZ339" s="1970"/>
      <c r="BA339" s="1970"/>
      <c r="BB339" s="1970"/>
      <c r="BC339" s="1970"/>
      <c r="BD339" s="1970"/>
      <c r="BE339" s="1970"/>
      <c r="BF339" s="1970"/>
      <c r="BG339" s="1970"/>
      <c r="BH339" s="1970"/>
      <c r="BI339" s="1970"/>
      <c r="BJ339" s="1970"/>
      <c r="BK339" s="1970"/>
      <c r="BL339" s="1970"/>
      <c r="BM339" s="1970"/>
      <c r="BN339" s="1970"/>
      <c r="BO339" s="1973"/>
      <c r="BP339" s="1970"/>
      <c r="BQ339" s="1970"/>
      <c r="BR339" s="1970"/>
      <c r="BS339" s="1971"/>
      <c r="BT339" s="1970"/>
      <c r="BU339" s="1970"/>
      <c r="BV339" s="1970"/>
      <c r="BW339" s="1973"/>
      <c r="BX339" s="1970"/>
      <c r="BY339" s="1970"/>
      <c r="BZ339" s="1970"/>
      <c r="CA339" s="1970"/>
      <c r="CB339" s="1970"/>
      <c r="CC339" s="1970"/>
      <c r="CD339" s="1970"/>
      <c r="CF339" s="1970"/>
      <c r="CH339" s="1971"/>
      <c r="CI339" s="1971"/>
      <c r="CJ339" s="1971"/>
      <c r="CK339" s="1971"/>
      <c r="CL339" s="1971"/>
      <c r="CN339" s="1971"/>
      <c r="CO339" s="1971"/>
      <c r="CP339" s="1971"/>
      <c r="CQ339" s="3933"/>
    </row>
    <row r="340" spans="1:98" hidden="1" outlineLevel="2">
      <c r="A340" s="1922" t="s">
        <v>1048</v>
      </c>
      <c r="B340" s="1970"/>
      <c r="C340" s="1970"/>
      <c r="D340" s="1970"/>
      <c r="E340" s="1970"/>
      <c r="F340" s="1970"/>
      <c r="G340" s="1970"/>
      <c r="H340" s="1970"/>
      <c r="I340" s="1970"/>
      <c r="J340" s="1970"/>
      <c r="K340" s="1970"/>
      <c r="L340" s="1971"/>
      <c r="M340" s="1971"/>
      <c r="N340" s="1970"/>
      <c r="O340" s="1970"/>
      <c r="P340" s="1971"/>
      <c r="Q340" s="1972"/>
      <c r="R340" s="1971"/>
      <c r="S340" s="1971"/>
      <c r="T340" s="1971"/>
      <c r="U340" s="1971"/>
      <c r="V340" s="1971"/>
      <c r="W340" s="1971"/>
      <c r="X340" s="1971"/>
      <c r="Y340" s="1971"/>
      <c r="Z340" s="1971"/>
      <c r="AA340" s="1971"/>
      <c r="AB340" s="1971"/>
      <c r="AC340" s="1971"/>
      <c r="AD340" s="1971"/>
      <c r="AE340" s="1971"/>
      <c r="AF340" s="1971"/>
      <c r="AG340" s="2553"/>
      <c r="AH340" s="1967"/>
      <c r="AI340" s="1970"/>
      <c r="AJ340" s="1970"/>
      <c r="AK340" s="1970"/>
      <c r="AL340" s="1970"/>
      <c r="AM340" s="1970"/>
      <c r="AN340" s="1970"/>
      <c r="AO340" s="1970"/>
      <c r="AP340" s="1970"/>
      <c r="AQ340" s="1970"/>
      <c r="AR340" s="1970"/>
      <c r="AS340" s="1970"/>
      <c r="AT340" s="1970"/>
      <c r="AU340" s="1970"/>
      <c r="AV340" s="1970"/>
      <c r="AW340" s="1970"/>
      <c r="AX340" s="1970"/>
      <c r="AY340" s="1970"/>
      <c r="AZ340" s="1970"/>
      <c r="BA340" s="1970"/>
      <c r="BB340" s="1970"/>
      <c r="BC340" s="1970"/>
      <c r="BD340" s="1970"/>
      <c r="BE340" s="1970"/>
      <c r="BF340" s="1970"/>
      <c r="BG340" s="1970"/>
      <c r="BH340" s="1970"/>
      <c r="BI340" s="1970"/>
      <c r="BJ340" s="1970"/>
      <c r="BK340" s="1970"/>
      <c r="BL340" s="1970"/>
      <c r="BM340" s="1970"/>
      <c r="BN340" s="1970"/>
      <c r="BO340" s="1973"/>
      <c r="BP340" s="1970"/>
      <c r="BQ340" s="1970"/>
      <c r="BR340" s="1970"/>
      <c r="BS340" s="1971"/>
      <c r="BT340" s="1970"/>
      <c r="BU340" s="1970"/>
      <c r="BV340" s="1970"/>
      <c r="BW340" s="1973"/>
      <c r="BX340" s="1970"/>
      <c r="BY340" s="1970"/>
      <c r="BZ340" s="1970"/>
      <c r="CA340" s="1970"/>
      <c r="CB340" s="1970"/>
      <c r="CC340" s="1970"/>
      <c r="CD340" s="1970"/>
      <c r="CF340" s="1970"/>
      <c r="CH340" s="1971"/>
      <c r="CI340" s="1971"/>
      <c r="CJ340" s="1971"/>
      <c r="CK340" s="1971"/>
      <c r="CL340" s="1971"/>
      <c r="CN340" s="1971"/>
      <c r="CO340" s="1971"/>
      <c r="CP340" s="1971"/>
      <c r="CQ340" s="3933"/>
    </row>
    <row r="341" spans="1:98" hidden="1" outlineLevel="2">
      <c r="A341" s="1921" t="s">
        <v>598</v>
      </c>
      <c r="B341" s="1970"/>
      <c r="C341" s="1970"/>
      <c r="D341" s="1970"/>
      <c r="E341" s="1970"/>
      <c r="F341" s="1970"/>
      <c r="G341" s="1970"/>
      <c r="H341" s="1970"/>
      <c r="I341" s="1970"/>
      <c r="J341" s="1970"/>
      <c r="K341" s="1970"/>
      <c r="L341" s="1971"/>
      <c r="M341" s="1971"/>
      <c r="N341" s="1970"/>
      <c r="O341" s="1970"/>
      <c r="P341" s="1971"/>
      <c r="Q341" s="1972"/>
      <c r="R341" s="1971"/>
      <c r="S341" s="1971"/>
      <c r="T341" s="1971"/>
      <c r="U341" s="1971"/>
      <c r="V341" s="1971"/>
      <c r="W341" s="1971"/>
      <c r="X341" s="1971"/>
      <c r="Y341" s="1971"/>
      <c r="Z341" s="1971"/>
      <c r="AA341" s="1971"/>
      <c r="AB341" s="1971"/>
      <c r="AC341" s="1971"/>
      <c r="AD341" s="1971"/>
      <c r="AE341" s="1971"/>
      <c r="AF341" s="1971"/>
      <c r="AG341" s="2553"/>
      <c r="AH341" s="1967"/>
      <c r="AI341" s="1970"/>
      <c r="AJ341" s="1970"/>
      <c r="AK341" s="1970"/>
      <c r="AL341" s="1970"/>
      <c r="AM341" s="1970"/>
      <c r="AN341" s="1970"/>
      <c r="AO341" s="1970"/>
      <c r="AP341" s="1970"/>
      <c r="AQ341" s="1970"/>
      <c r="AR341" s="1970"/>
      <c r="AS341" s="1970"/>
      <c r="AT341" s="1970"/>
      <c r="AU341" s="1970"/>
      <c r="AV341" s="1970"/>
      <c r="AW341" s="1970"/>
      <c r="AX341" s="1970"/>
      <c r="AY341" s="1970"/>
      <c r="AZ341" s="1970"/>
      <c r="BA341" s="1970"/>
      <c r="BB341" s="1970"/>
      <c r="BC341" s="1970"/>
      <c r="BD341" s="1970"/>
      <c r="BE341" s="1970"/>
      <c r="BF341" s="1970"/>
      <c r="BG341" s="1970"/>
      <c r="BH341" s="1970"/>
      <c r="BI341" s="1970"/>
      <c r="BJ341" s="1970"/>
      <c r="BK341" s="1970"/>
      <c r="BL341" s="1970"/>
      <c r="BM341" s="1970"/>
      <c r="BN341" s="1970"/>
      <c r="BO341" s="1982">
        <f t="shared" ref="BO341:BV341" si="598">+BO327/BK327-1</f>
        <v>-4.6352166758091062E-2</v>
      </c>
      <c r="BP341" s="1983">
        <f t="shared" si="598"/>
        <v>-4.4975632397307952E-2</v>
      </c>
      <c r="BQ341" s="1983">
        <f t="shared" si="598"/>
        <v>-4.2873914064334384E-2</v>
      </c>
      <c r="BR341" s="1983">
        <f t="shared" si="598"/>
        <v>-3.6970071846600394E-2</v>
      </c>
      <c r="BS341" s="2038">
        <f t="shared" si="598"/>
        <v>-3.5039785255488454E-2</v>
      </c>
      <c r="BT341" s="1983">
        <f t="shared" si="598"/>
        <v>-3.2124805598755857E-2</v>
      </c>
      <c r="BU341" s="1983">
        <f t="shared" si="598"/>
        <v>-3.0517122951624009E-2</v>
      </c>
      <c r="BV341" s="1983">
        <f t="shared" si="598"/>
        <v>-3.1521739130434767E-2</v>
      </c>
      <c r="BW341" s="1982">
        <f>+BW327/BS327-1</f>
        <v>-3.24375341513089E-2</v>
      </c>
      <c r="BX341" s="1983">
        <f>+BX327/BT327-1</f>
        <v>-3.3894049711272856E-2</v>
      </c>
      <c r="BY341" s="1983">
        <f>+BY327/BU327-1</f>
        <v>-3.3805668016194335E-2</v>
      </c>
      <c r="BZ341" s="1983">
        <f>+BZ327/BV327-1</f>
        <v>-3.1068258340985588E-2</v>
      </c>
      <c r="CA341" s="1983">
        <f>+CA327/BW327-1</f>
        <v>-2.7672245610432245E-2</v>
      </c>
      <c r="CB341" s="1983"/>
      <c r="CC341" s="1983"/>
      <c r="CD341" s="1983"/>
      <c r="CF341" s="1983"/>
      <c r="CH341" s="2038"/>
      <c r="CI341" s="2038"/>
      <c r="CJ341" s="2038"/>
      <c r="CK341" s="2038"/>
      <c r="CL341" s="2038"/>
      <c r="CN341" s="2038"/>
      <c r="CO341" s="2038"/>
      <c r="CP341" s="2038"/>
      <c r="CQ341" s="3933"/>
    </row>
    <row r="342" spans="1:98" hidden="1" outlineLevel="2">
      <c r="A342" s="1922"/>
      <c r="B342" s="1970"/>
      <c r="C342" s="1970"/>
      <c r="D342" s="1970"/>
      <c r="E342" s="1970"/>
      <c r="F342" s="1970"/>
      <c r="G342" s="1970"/>
      <c r="H342" s="1970"/>
      <c r="I342" s="1970"/>
      <c r="J342" s="1970"/>
      <c r="K342" s="1970"/>
      <c r="L342" s="1971"/>
      <c r="M342" s="1971"/>
      <c r="N342" s="1970"/>
      <c r="O342" s="1970"/>
      <c r="P342" s="1971"/>
      <c r="Q342" s="1972"/>
      <c r="R342" s="1971"/>
      <c r="S342" s="1971"/>
      <c r="T342" s="1971"/>
      <c r="U342" s="1971"/>
      <c r="V342" s="1971"/>
      <c r="W342" s="1971"/>
      <c r="X342" s="1971"/>
      <c r="Y342" s="1971"/>
      <c r="Z342" s="1971"/>
      <c r="AA342" s="1971"/>
      <c r="AB342" s="1971"/>
      <c r="AC342" s="1971"/>
      <c r="AD342" s="1971"/>
      <c r="AE342" s="1971"/>
      <c r="AF342" s="1971"/>
      <c r="AG342" s="2553"/>
      <c r="AH342" s="1967"/>
      <c r="AI342" s="1970"/>
      <c r="AJ342" s="1970"/>
      <c r="AK342" s="1970"/>
      <c r="AL342" s="1970"/>
      <c r="AM342" s="1970"/>
      <c r="AN342" s="1970"/>
      <c r="AO342" s="1970"/>
      <c r="AP342" s="1970"/>
      <c r="AQ342" s="1970"/>
      <c r="AR342" s="1970"/>
      <c r="AS342" s="1970"/>
      <c r="AT342" s="1970"/>
      <c r="AU342" s="1970"/>
      <c r="AV342" s="1970"/>
      <c r="AW342" s="1970"/>
      <c r="AX342" s="1970"/>
      <c r="AY342" s="1970"/>
      <c r="AZ342" s="1970"/>
      <c r="BA342" s="1970"/>
      <c r="BB342" s="1970"/>
      <c r="BC342" s="1970"/>
      <c r="BD342" s="1970"/>
      <c r="BE342" s="1970"/>
      <c r="BF342" s="1970"/>
      <c r="BG342" s="1970"/>
      <c r="BH342" s="1970"/>
      <c r="BI342" s="1970"/>
      <c r="BJ342" s="1970"/>
      <c r="BK342" s="1970"/>
      <c r="BL342" s="1970"/>
      <c r="BM342" s="1970"/>
      <c r="BN342" s="1970"/>
      <c r="BO342" s="1973"/>
      <c r="BP342" s="1970"/>
      <c r="BQ342" s="1970"/>
      <c r="BR342" s="1970"/>
      <c r="BS342" s="1971"/>
      <c r="BT342" s="1970"/>
      <c r="BU342" s="1970"/>
      <c r="BV342" s="1970"/>
      <c r="BW342" s="1973"/>
      <c r="BX342" s="1970"/>
      <c r="BY342" s="1970"/>
      <c r="BZ342" s="1970"/>
      <c r="CA342" s="1970"/>
      <c r="CB342" s="1970"/>
      <c r="CC342" s="1970"/>
      <c r="CD342" s="1970"/>
      <c r="CF342" s="1970"/>
      <c r="CH342" s="1971"/>
      <c r="CI342" s="1971"/>
      <c r="CJ342" s="1971"/>
      <c r="CK342" s="1971"/>
      <c r="CL342" s="1971"/>
      <c r="CN342" s="1971"/>
      <c r="CO342" s="1971"/>
      <c r="CP342" s="1971"/>
      <c r="CQ342" s="3933"/>
    </row>
    <row r="343" spans="1:98" hidden="1" outlineLevel="2">
      <c r="A343" s="1921" t="s">
        <v>762</v>
      </c>
      <c r="B343" s="1970"/>
      <c r="C343" s="1970"/>
      <c r="D343" s="1970"/>
      <c r="E343" s="1970"/>
      <c r="F343" s="1970"/>
      <c r="G343" s="1970"/>
      <c r="H343" s="1970"/>
      <c r="I343" s="1970"/>
      <c r="J343" s="1970"/>
      <c r="K343" s="1970"/>
      <c r="L343" s="1971"/>
      <c r="M343" s="1971"/>
      <c r="N343" s="1970"/>
      <c r="O343" s="1970"/>
      <c r="P343" s="1971"/>
      <c r="Q343" s="1972"/>
      <c r="R343" s="1971"/>
      <c r="S343" s="1971"/>
      <c r="T343" s="1971"/>
      <c r="U343" s="1971"/>
      <c r="V343" s="1971"/>
      <c r="W343" s="1971"/>
      <c r="X343" s="1971"/>
      <c r="Y343" s="1971"/>
      <c r="Z343" s="1971"/>
      <c r="AA343" s="1971"/>
      <c r="AB343" s="1971"/>
      <c r="AC343" s="1971"/>
      <c r="AD343" s="1971"/>
      <c r="AE343" s="1971"/>
      <c r="AF343" s="1971"/>
      <c r="AG343" s="2553"/>
      <c r="AH343" s="1967"/>
      <c r="AI343" s="1970"/>
      <c r="AJ343" s="1970"/>
      <c r="AK343" s="1970"/>
      <c r="AL343" s="1970"/>
      <c r="AM343" s="1970"/>
      <c r="AN343" s="1970"/>
      <c r="AO343" s="1970"/>
      <c r="AP343" s="1970"/>
      <c r="AQ343" s="1970"/>
      <c r="AR343" s="1970"/>
      <c r="AS343" s="1970"/>
      <c r="AT343" s="1970"/>
      <c r="AU343" s="1970"/>
      <c r="AV343" s="1970"/>
      <c r="AW343" s="1970"/>
      <c r="AX343" s="1970"/>
      <c r="AY343" s="1970"/>
      <c r="AZ343" s="1970"/>
      <c r="BA343" s="1970"/>
      <c r="BB343" s="1970"/>
      <c r="BC343" s="1970"/>
      <c r="BD343" s="1970"/>
      <c r="BE343" s="1970"/>
      <c r="BF343" s="1970"/>
      <c r="BG343" s="1970"/>
      <c r="BH343" s="1970"/>
      <c r="BI343" s="1970"/>
      <c r="BJ343" s="1970"/>
      <c r="BK343" s="1970"/>
      <c r="BL343" s="1970"/>
      <c r="BM343" s="1970"/>
      <c r="BN343" s="1970"/>
      <c r="BO343" s="1973"/>
      <c r="BP343" s="1970"/>
      <c r="BQ343" s="1970"/>
      <c r="BR343" s="1970"/>
      <c r="BS343" s="1971"/>
      <c r="BT343" s="1970"/>
      <c r="BU343" s="1970"/>
      <c r="BV343" s="1970"/>
      <c r="BW343" s="1973"/>
      <c r="BX343" s="1970"/>
      <c r="BY343" s="1970"/>
      <c r="BZ343" s="1970"/>
      <c r="CA343" s="1970"/>
      <c r="CB343" s="1970"/>
      <c r="CC343" s="1970"/>
      <c r="CD343" s="1970"/>
      <c r="CF343" s="1970"/>
      <c r="CH343" s="1971"/>
      <c r="CI343" s="1971"/>
      <c r="CJ343" s="1971"/>
      <c r="CK343" s="1971"/>
      <c r="CL343" s="1971"/>
      <c r="CN343" s="1971"/>
      <c r="CO343" s="1971"/>
      <c r="CP343" s="1971"/>
      <c r="CQ343" s="3933"/>
    </row>
    <row r="344" spans="1:98" hidden="1" outlineLevel="2">
      <c r="A344" s="1922" t="s">
        <v>759</v>
      </c>
      <c r="B344" s="1970"/>
      <c r="C344" s="1970"/>
      <c r="D344" s="1970"/>
      <c r="E344" s="1970"/>
      <c r="F344" s="1970"/>
      <c r="G344" s="1970"/>
      <c r="H344" s="1970"/>
      <c r="I344" s="1970"/>
      <c r="J344" s="1970"/>
      <c r="K344" s="1970"/>
      <c r="L344" s="1971"/>
      <c r="M344" s="1971"/>
      <c r="N344" s="1970"/>
      <c r="O344" s="1970"/>
      <c r="P344" s="1971"/>
      <c r="Q344" s="1972"/>
      <c r="R344" s="1971"/>
      <c r="S344" s="1971"/>
      <c r="T344" s="1971"/>
      <c r="U344" s="1971"/>
      <c r="V344" s="1971"/>
      <c r="W344" s="1971"/>
      <c r="X344" s="1971"/>
      <c r="Y344" s="1971"/>
      <c r="Z344" s="1971"/>
      <c r="AA344" s="1971"/>
      <c r="AB344" s="1971"/>
      <c r="AC344" s="1971"/>
      <c r="AD344" s="1971"/>
      <c r="AE344" s="1971"/>
      <c r="AF344" s="1971"/>
      <c r="AG344" s="2553"/>
      <c r="AH344" s="1967"/>
      <c r="AI344" s="1970"/>
      <c r="AJ344" s="1970"/>
      <c r="AK344" s="1970"/>
      <c r="AL344" s="1970"/>
      <c r="AM344" s="1970"/>
      <c r="AN344" s="1970"/>
      <c r="AO344" s="1970"/>
      <c r="AP344" s="1970"/>
      <c r="AQ344" s="1970"/>
      <c r="AR344" s="1970"/>
      <c r="AS344" s="1970"/>
      <c r="AT344" s="1970"/>
      <c r="AU344" s="1970"/>
      <c r="AV344" s="1970"/>
      <c r="AW344" s="1970"/>
      <c r="AX344" s="1970"/>
      <c r="AY344" s="1970"/>
      <c r="AZ344" s="1970"/>
      <c r="BA344" s="1970"/>
      <c r="BB344" s="1970"/>
      <c r="BC344" s="1970"/>
      <c r="BD344" s="1970"/>
      <c r="BE344" s="1970"/>
      <c r="BF344" s="1970"/>
      <c r="BG344" s="1970"/>
      <c r="BH344" s="1970"/>
      <c r="BI344" s="1970"/>
      <c r="BJ344" s="1970"/>
      <c r="BK344" s="1970"/>
      <c r="BL344" s="1970"/>
      <c r="BM344" s="1970"/>
      <c r="BN344" s="1970"/>
      <c r="BO344" s="1980">
        <f t="shared" ref="BO344:BV344" si="599">+BO$341-(((BO$327-BO$323+BK$323)/BK$327)-1)</f>
        <v>-5.8054488937648641E-2</v>
      </c>
      <c r="BP344" s="1981">
        <f t="shared" si="599"/>
        <v>-5.5743792063123743E-2</v>
      </c>
      <c r="BQ344" s="1981">
        <f t="shared" si="599"/>
        <v>-5.3204977694294442E-2</v>
      </c>
      <c r="BR344" s="1981">
        <f t="shared" si="599"/>
        <v>-4.8960365418470708E-2</v>
      </c>
      <c r="BS344" s="2037">
        <f t="shared" si="599"/>
        <v>-4.6687757645479833E-2</v>
      </c>
      <c r="BT344" s="1981">
        <f t="shared" si="599"/>
        <v>-4.4129082426127453E-2</v>
      </c>
      <c r="BU344" s="1981">
        <f t="shared" si="599"/>
        <v>-4.1850652536551958E-2</v>
      </c>
      <c r="BV344" s="1981">
        <f t="shared" si="599"/>
        <v>-4.115612648221334E-2</v>
      </c>
      <c r="BW344" s="1980">
        <f>+BW$341-(((BW$327-BW$323+BS$323)/BS$327)-1)</f>
        <v>-4.083254681833981E-2</v>
      </c>
      <c r="BX344" s="1981">
        <f>+BX$341-(((BX$327-BX$323+BT$323)/BT$327)-1)</f>
        <v>-4.1074566909364729E-2</v>
      </c>
      <c r="BY344" s="1981">
        <f>+BY$341-(((BY$327-BY$323+BU$323)/BU$327)-1)</f>
        <v>-4.0485829959514219E-2</v>
      </c>
      <c r="BZ344" s="1981">
        <f>+BZ$341-(((BZ$327-BZ$323+BV$323)/BV$327)-1)</f>
        <v>-3.8210386695235243E-2</v>
      </c>
      <c r="CA344" s="1981">
        <f>+CA$341-(((CA$327-CA$323+BW$323)/BW$327)-1)</f>
        <v>-3.4859841872882158E-2</v>
      </c>
      <c r="CB344" s="1981"/>
      <c r="CC344" s="1981"/>
      <c r="CD344" s="1981"/>
      <c r="CF344" s="1981"/>
      <c r="CH344" s="2037"/>
      <c r="CI344" s="2037"/>
      <c r="CJ344" s="2037"/>
      <c r="CK344" s="2037"/>
      <c r="CL344" s="2037"/>
      <c r="CN344" s="2037"/>
      <c r="CO344" s="2037"/>
      <c r="CP344" s="2037"/>
      <c r="CQ344" s="3933"/>
    </row>
    <row r="345" spans="1:98" hidden="1" outlineLevel="2">
      <c r="A345" s="1922" t="s">
        <v>1045</v>
      </c>
      <c r="B345" s="1970"/>
      <c r="C345" s="1970"/>
      <c r="D345" s="1970"/>
      <c r="E345" s="1970"/>
      <c r="F345" s="1970"/>
      <c r="G345" s="1970"/>
      <c r="H345" s="1970"/>
      <c r="I345" s="1970"/>
      <c r="J345" s="1970"/>
      <c r="K345" s="1970"/>
      <c r="L345" s="1971"/>
      <c r="M345" s="1971"/>
      <c r="N345" s="1970"/>
      <c r="O345" s="1970"/>
      <c r="P345" s="1971"/>
      <c r="Q345" s="1972"/>
      <c r="R345" s="1971"/>
      <c r="S345" s="1971"/>
      <c r="T345" s="1971"/>
      <c r="U345" s="1971"/>
      <c r="V345" s="1971"/>
      <c r="W345" s="1971"/>
      <c r="X345" s="1971"/>
      <c r="Y345" s="1971"/>
      <c r="Z345" s="1971"/>
      <c r="AA345" s="1971"/>
      <c r="AB345" s="1971"/>
      <c r="AC345" s="1971"/>
      <c r="AD345" s="1971"/>
      <c r="AE345" s="1971"/>
      <c r="AF345" s="1971"/>
      <c r="AG345" s="2553"/>
      <c r="AH345" s="1967"/>
      <c r="AI345" s="1970"/>
      <c r="AJ345" s="1970"/>
      <c r="AK345" s="1970"/>
      <c r="AL345" s="1970"/>
      <c r="AM345" s="1970"/>
      <c r="AN345" s="1970"/>
      <c r="AO345" s="1970"/>
      <c r="AP345" s="1970"/>
      <c r="AQ345" s="1970"/>
      <c r="AR345" s="1970"/>
      <c r="AS345" s="1970"/>
      <c r="AT345" s="1970"/>
      <c r="AU345" s="1970"/>
      <c r="AV345" s="1970"/>
      <c r="AW345" s="1970"/>
      <c r="AX345" s="1970"/>
      <c r="AY345" s="1970"/>
      <c r="AZ345" s="1970"/>
      <c r="BA345" s="1970"/>
      <c r="BB345" s="1970"/>
      <c r="BC345" s="1970"/>
      <c r="BD345" s="1970"/>
      <c r="BE345" s="1970"/>
      <c r="BF345" s="1970"/>
      <c r="BG345" s="1970"/>
      <c r="BH345" s="1970"/>
      <c r="BI345" s="1970"/>
      <c r="BJ345" s="1970"/>
      <c r="BK345" s="1970"/>
      <c r="BL345" s="1970"/>
      <c r="BM345" s="1970"/>
      <c r="BN345" s="1970"/>
      <c r="BO345" s="1980">
        <f t="shared" ref="BO345:BV345" si="600">+BO$341-(((BO$327-BO$324+BK$324)/BK$327)-1)</f>
        <v>1.1702322179557467E-2</v>
      </c>
      <c r="BP345" s="1981">
        <f t="shared" si="600"/>
        <v>1.0768159665815791E-2</v>
      </c>
      <c r="BQ345" s="1981">
        <f t="shared" si="600"/>
        <v>1.0331063629960058E-2</v>
      </c>
      <c r="BR345" s="1981">
        <f t="shared" si="600"/>
        <v>1.1990293571870314E-2</v>
      </c>
      <c r="BS345" s="2037">
        <f t="shared" si="600"/>
        <v>1.1647972389991379E-2</v>
      </c>
      <c r="BT345" s="1981">
        <f t="shared" si="600"/>
        <v>1.2004276827371707E-2</v>
      </c>
      <c r="BU345" s="1981">
        <f t="shared" si="600"/>
        <v>1.1333529584927837E-2</v>
      </c>
      <c r="BV345" s="1981">
        <f t="shared" si="600"/>
        <v>9.6343873517786838E-3</v>
      </c>
      <c r="BW345" s="1980">
        <f>+BW$341-(((BW$327-BW$324+BS$324)/BS$327)-1)</f>
        <v>8.395012667031021E-3</v>
      </c>
      <c r="BX345" s="1981">
        <f>+BX$341-(((BX$327-BX$324+BT$324)/BT$327)-1)</f>
        <v>7.1805171980919846E-3</v>
      </c>
      <c r="BY345" s="1981">
        <f>+BY$341-(((BY$327-BY$324+BU$324)/BU$327)-1)</f>
        <v>6.6801619433198844E-3</v>
      </c>
      <c r="BZ345" s="1981">
        <f>+BZ$341-(((BZ$327-BZ$324+BV$324)/BV$327)-1)</f>
        <v>7.142128354249544E-3</v>
      </c>
      <c r="CA345" s="1981">
        <f>+CA$341-(((CA$327-CA$324+BW$324)/BW$327)-1)</f>
        <v>7.1875962624500245E-3</v>
      </c>
      <c r="CB345" s="1981"/>
      <c r="CC345" s="1981"/>
      <c r="CD345" s="1981"/>
      <c r="CF345" s="1981"/>
      <c r="CH345" s="2037"/>
      <c r="CI345" s="2037"/>
      <c r="CJ345" s="2037"/>
      <c r="CK345" s="2037"/>
      <c r="CL345" s="2037"/>
      <c r="CN345" s="2037"/>
      <c r="CO345" s="2037"/>
      <c r="CP345" s="2037"/>
      <c r="CQ345" s="3933"/>
    </row>
    <row r="346" spans="1:98" hidden="1" outlineLevel="2">
      <c r="A346" s="1922" t="s">
        <v>1047</v>
      </c>
      <c r="B346" s="1970"/>
      <c r="C346" s="1970"/>
      <c r="D346" s="1970"/>
      <c r="E346" s="1970"/>
      <c r="F346" s="1970"/>
      <c r="G346" s="1970"/>
      <c r="H346" s="1970"/>
      <c r="I346" s="1970"/>
      <c r="J346" s="1970"/>
      <c r="K346" s="1970"/>
      <c r="L346" s="1971"/>
      <c r="M346" s="1971"/>
      <c r="N346" s="1970"/>
      <c r="O346" s="1970"/>
      <c r="P346" s="1971"/>
      <c r="Q346" s="1972"/>
      <c r="R346" s="1971"/>
      <c r="S346" s="1971"/>
      <c r="T346" s="1971"/>
      <c r="U346" s="1971"/>
      <c r="V346" s="1971"/>
      <c r="W346" s="1971"/>
      <c r="X346" s="1971"/>
      <c r="Y346" s="1971"/>
      <c r="Z346" s="1971"/>
      <c r="AA346" s="1971"/>
      <c r="AB346" s="1971"/>
      <c r="AC346" s="1971"/>
      <c r="AD346" s="1971"/>
      <c r="AE346" s="1971"/>
      <c r="AF346" s="1971"/>
      <c r="AG346" s="2553"/>
      <c r="AH346" s="1967"/>
      <c r="AI346" s="1970"/>
      <c r="AJ346" s="1970"/>
      <c r="AK346" s="1970"/>
      <c r="AL346" s="1970"/>
      <c r="AM346" s="1970"/>
      <c r="AN346" s="1970"/>
      <c r="AO346" s="1970"/>
      <c r="AP346" s="1970"/>
      <c r="AQ346" s="1970"/>
      <c r="AR346" s="1970"/>
      <c r="AS346" s="1970"/>
      <c r="AT346" s="1970"/>
      <c r="AU346" s="1970"/>
      <c r="AV346" s="1970"/>
      <c r="AW346" s="1970"/>
      <c r="AX346" s="1970"/>
      <c r="AY346" s="1970"/>
      <c r="AZ346" s="1970"/>
      <c r="BA346" s="1970"/>
      <c r="BB346" s="1970"/>
      <c r="BC346" s="1970"/>
      <c r="BD346" s="1970"/>
      <c r="BE346" s="1970"/>
      <c r="BF346" s="1970"/>
      <c r="BG346" s="1970"/>
      <c r="BH346" s="1970"/>
      <c r="BI346" s="1970"/>
      <c r="BJ346" s="1970"/>
      <c r="BK346" s="1970"/>
      <c r="BL346" s="1970"/>
      <c r="BM346" s="1970"/>
      <c r="BN346" s="1970"/>
      <c r="BO346" s="1973"/>
      <c r="BP346" s="1970"/>
      <c r="BQ346" s="1970"/>
      <c r="BR346" s="1970"/>
      <c r="BS346" s="1971"/>
      <c r="BT346" s="1970"/>
      <c r="BU346" s="1970"/>
      <c r="BV346" s="1970"/>
      <c r="BW346" s="1973"/>
      <c r="BX346" s="1970"/>
      <c r="BY346" s="1970"/>
      <c r="BZ346" s="1970"/>
      <c r="CA346" s="1970"/>
      <c r="CB346" s="1970"/>
      <c r="CC346" s="1970"/>
      <c r="CD346" s="1970"/>
      <c r="CF346" s="1970"/>
      <c r="CH346" s="1971"/>
      <c r="CI346" s="1971"/>
      <c r="CJ346" s="1971"/>
      <c r="CK346" s="1971"/>
      <c r="CL346" s="1971"/>
      <c r="CN346" s="1971"/>
      <c r="CO346" s="1971"/>
      <c r="CP346" s="1971"/>
      <c r="CQ346" s="3933"/>
    </row>
    <row r="347" spans="1:98" hidden="1" outlineLevel="2">
      <c r="A347" s="1922" t="s">
        <v>1048</v>
      </c>
      <c r="B347" s="1970"/>
      <c r="C347" s="1970"/>
      <c r="D347" s="1970"/>
      <c r="E347" s="1970"/>
      <c r="F347" s="1970"/>
      <c r="G347" s="1970"/>
      <c r="H347" s="1970"/>
      <c r="I347" s="1970"/>
      <c r="J347" s="1970"/>
      <c r="K347" s="1970"/>
      <c r="L347" s="1971"/>
      <c r="M347" s="1971"/>
      <c r="N347" s="1970"/>
      <c r="O347" s="1970"/>
      <c r="P347" s="1971"/>
      <c r="Q347" s="1972"/>
      <c r="R347" s="1971"/>
      <c r="S347" s="1971"/>
      <c r="T347" s="1971"/>
      <c r="U347" s="1971"/>
      <c r="V347" s="1971"/>
      <c r="W347" s="1971"/>
      <c r="X347" s="1971"/>
      <c r="Y347" s="1971"/>
      <c r="Z347" s="1971"/>
      <c r="AA347" s="1971"/>
      <c r="AB347" s="1971"/>
      <c r="AC347" s="1971"/>
      <c r="AD347" s="1971"/>
      <c r="AE347" s="1971"/>
      <c r="AF347" s="1971"/>
      <c r="AG347" s="2553"/>
      <c r="AH347" s="1967"/>
      <c r="AI347" s="1970"/>
      <c r="AJ347" s="1970"/>
      <c r="AK347" s="1970"/>
      <c r="AL347" s="1970"/>
      <c r="AM347" s="1970"/>
      <c r="AN347" s="1970"/>
      <c r="AO347" s="1970"/>
      <c r="AP347" s="1970"/>
      <c r="AQ347" s="1970"/>
      <c r="AR347" s="1970"/>
      <c r="AS347" s="1970"/>
      <c r="AT347" s="1970"/>
      <c r="AU347" s="1970"/>
      <c r="AV347" s="1970"/>
      <c r="AW347" s="1970"/>
      <c r="AX347" s="1970"/>
      <c r="AY347" s="1970"/>
      <c r="AZ347" s="1970"/>
      <c r="BA347" s="1970"/>
      <c r="BB347" s="1970"/>
      <c r="BC347" s="1970"/>
      <c r="BD347" s="1970"/>
      <c r="BE347" s="1970"/>
      <c r="BF347" s="1970"/>
      <c r="BG347" s="1970"/>
      <c r="BH347" s="1970"/>
      <c r="BI347" s="1970"/>
      <c r="BJ347" s="1970"/>
      <c r="BK347" s="1970"/>
      <c r="BL347" s="1970"/>
      <c r="BM347" s="1970"/>
      <c r="BN347" s="1970"/>
      <c r="BO347" s="1973"/>
      <c r="BP347" s="1970"/>
      <c r="BQ347" s="1970"/>
      <c r="BR347" s="1970"/>
      <c r="BS347" s="1971"/>
      <c r="BT347" s="1970"/>
      <c r="BU347" s="1970"/>
      <c r="BV347" s="1970"/>
      <c r="BW347" s="1973"/>
      <c r="BX347" s="1970"/>
      <c r="BY347" s="1970"/>
      <c r="BZ347" s="1970"/>
      <c r="CA347" s="1970"/>
      <c r="CB347" s="1970"/>
      <c r="CC347" s="1970"/>
      <c r="CD347" s="1970"/>
      <c r="CF347" s="1970"/>
      <c r="CH347" s="1971"/>
      <c r="CI347" s="1971"/>
      <c r="CJ347" s="1971"/>
      <c r="CK347" s="1971"/>
      <c r="CL347" s="1971"/>
      <c r="CN347" s="1971"/>
      <c r="CO347" s="1971"/>
      <c r="CP347" s="1971"/>
      <c r="CQ347" s="3933"/>
    </row>
    <row r="348" spans="1:98" hidden="1" outlineLevel="2">
      <c r="A348" s="1923" t="s">
        <v>795</v>
      </c>
      <c r="B348" s="1970"/>
      <c r="C348" s="1970"/>
      <c r="D348" s="1970"/>
      <c r="E348" s="1970"/>
      <c r="F348" s="1970"/>
      <c r="G348" s="1970"/>
      <c r="H348" s="1970"/>
      <c r="I348" s="1970"/>
      <c r="J348" s="1970"/>
      <c r="K348" s="1970"/>
      <c r="L348" s="1971"/>
      <c r="M348" s="1971"/>
      <c r="N348" s="1970"/>
      <c r="O348" s="1970"/>
      <c r="P348" s="1971"/>
      <c r="Q348" s="1972"/>
      <c r="R348" s="1971"/>
      <c r="S348" s="1971"/>
      <c r="T348" s="1971"/>
      <c r="U348" s="1971"/>
      <c r="V348" s="1971"/>
      <c r="W348" s="1971"/>
      <c r="X348" s="1971"/>
      <c r="Y348" s="1971"/>
      <c r="Z348" s="1971"/>
      <c r="AA348" s="1971"/>
      <c r="AB348" s="1971"/>
      <c r="AC348" s="1971"/>
      <c r="AD348" s="1971"/>
      <c r="AE348" s="1971"/>
      <c r="AF348" s="1971"/>
      <c r="AG348" s="2553"/>
      <c r="AH348" s="1967"/>
      <c r="AI348" s="1970"/>
      <c r="AJ348" s="1970"/>
      <c r="AK348" s="1970"/>
      <c r="AL348" s="1970"/>
      <c r="AM348" s="1970"/>
      <c r="AN348" s="1970"/>
      <c r="AO348" s="1970"/>
      <c r="AP348" s="1970"/>
      <c r="AQ348" s="1970"/>
      <c r="AR348" s="1970"/>
      <c r="AS348" s="1970"/>
      <c r="AT348" s="1970"/>
      <c r="AU348" s="1970"/>
      <c r="AV348" s="1970"/>
      <c r="AW348" s="1970"/>
      <c r="AX348" s="1970"/>
      <c r="AY348" s="1970"/>
      <c r="AZ348" s="1970"/>
      <c r="BA348" s="1970"/>
      <c r="BB348" s="1970"/>
      <c r="BC348" s="1970"/>
      <c r="BD348" s="1970"/>
      <c r="BE348" s="1970"/>
      <c r="BF348" s="1970"/>
      <c r="BG348" s="1970"/>
      <c r="BH348" s="1970"/>
      <c r="BI348" s="1970"/>
      <c r="BJ348" s="1970"/>
      <c r="BK348" s="1970"/>
      <c r="BL348" s="1970"/>
      <c r="BM348" s="1970"/>
      <c r="BN348" s="1970"/>
      <c r="BO348" s="1982">
        <f t="shared" ref="BO348:CA348" si="601">+BO341-BO344-BO345</f>
        <v>1.1102230246251565E-16</v>
      </c>
      <c r="BP348" s="1983">
        <f t="shared" si="601"/>
        <v>0</v>
      </c>
      <c r="BQ348" s="1983">
        <f t="shared" si="601"/>
        <v>0</v>
      </c>
      <c r="BR348" s="1983">
        <f>+BR341-BR344-BR345</f>
        <v>0</v>
      </c>
      <c r="BS348" s="2038">
        <f>+BS341-BS344-BS345</f>
        <v>0</v>
      </c>
      <c r="BT348" s="1983">
        <f t="shared" si="601"/>
        <v>-1.1102230246251565E-16</v>
      </c>
      <c r="BU348" s="1983">
        <f t="shared" si="601"/>
        <v>1.1102230246251565E-16</v>
      </c>
      <c r="BV348" s="1983">
        <f t="shared" si="601"/>
        <v>-1.1102230246251565E-16</v>
      </c>
      <c r="BW348" s="1982">
        <f t="shared" si="601"/>
        <v>-1.1102230246251565E-16</v>
      </c>
      <c r="BX348" s="1983">
        <f t="shared" si="601"/>
        <v>-1.1102230246251565E-16</v>
      </c>
      <c r="BY348" s="1983">
        <f t="shared" si="601"/>
        <v>0</v>
      </c>
      <c r="BZ348" s="1983">
        <f t="shared" si="601"/>
        <v>1.1102230246251565E-16</v>
      </c>
      <c r="CA348" s="1983">
        <f t="shared" si="601"/>
        <v>-1.1102230246251565E-16</v>
      </c>
      <c r="CB348" s="1983"/>
      <c r="CC348" s="1983"/>
      <c r="CD348" s="1983"/>
      <c r="CF348" s="1983"/>
      <c r="CH348" s="2038"/>
      <c r="CI348" s="2038"/>
      <c r="CJ348" s="2038"/>
      <c r="CK348" s="2038"/>
      <c r="CL348" s="2038"/>
      <c r="CN348" s="2038"/>
      <c r="CO348" s="2038"/>
      <c r="CP348" s="2038"/>
      <c r="CQ348" s="3933"/>
    </row>
    <row r="349" spans="1:98" hidden="1" outlineLevel="2">
      <c r="P349" s="3876"/>
      <c r="AG349" s="2553"/>
      <c r="BW349" s="3933"/>
      <c r="CJ349" s="3876"/>
      <c r="CK349" s="3876"/>
      <c r="CN349" s="3876"/>
      <c r="CO349" s="3876"/>
      <c r="CQ349" s="3933"/>
    </row>
    <row r="350" spans="1:98" hidden="1" outlineLevel="2">
      <c r="P350" s="3876"/>
      <c r="AG350" s="2553"/>
      <c r="BW350" s="3933"/>
      <c r="CJ350" s="3876"/>
      <c r="CK350" s="3876"/>
      <c r="CN350" s="3876"/>
      <c r="CO350" s="3876"/>
      <c r="CQ350" s="3933"/>
    </row>
    <row r="351" spans="1:98" outlineLevel="1" collapsed="1">
      <c r="A351" s="2065" t="s">
        <v>2012</v>
      </c>
      <c r="B351" s="3954"/>
      <c r="C351" s="3954"/>
      <c r="D351" s="3954"/>
      <c r="E351" s="3954"/>
      <c r="F351" s="3954"/>
      <c r="G351" s="3954"/>
      <c r="H351" s="3954"/>
      <c r="I351" s="3954"/>
      <c r="J351" s="3954"/>
      <c r="K351" s="3954"/>
      <c r="L351" s="3954"/>
      <c r="M351" s="3954"/>
      <c r="N351" s="3954"/>
      <c r="O351" s="3954"/>
      <c r="P351" s="3954"/>
      <c r="Q351" s="3954"/>
      <c r="R351" s="3954"/>
      <c r="S351" s="3954"/>
      <c r="T351" s="3954"/>
      <c r="U351" s="3954"/>
      <c r="V351" s="3954"/>
      <c r="W351" s="3954"/>
      <c r="X351" s="3954"/>
      <c r="Y351" s="3954"/>
      <c r="Z351" s="3954"/>
      <c r="AA351" s="3954"/>
      <c r="AB351" s="3954"/>
      <c r="AC351" s="3954"/>
      <c r="AD351" s="3954"/>
      <c r="AE351" s="3954"/>
      <c r="AF351" s="3954"/>
      <c r="AG351" s="3920"/>
      <c r="AH351" s="3921"/>
      <c r="AI351" s="3954"/>
      <c r="AJ351" s="3954"/>
      <c r="AK351" s="3954"/>
      <c r="AL351" s="3954"/>
      <c r="AM351" s="3954"/>
      <c r="AN351" s="3954"/>
      <c r="AO351" s="3954"/>
      <c r="AP351" s="3954"/>
      <c r="AQ351" s="3954"/>
      <c r="AR351" s="3954"/>
      <c r="AS351" s="3954"/>
      <c r="AT351" s="3954"/>
      <c r="AU351" s="3954"/>
      <c r="AV351" s="3954"/>
      <c r="AW351" s="3954"/>
      <c r="AX351" s="3954"/>
      <c r="AY351" s="3954"/>
      <c r="AZ351" s="3954"/>
      <c r="BA351" s="3954"/>
      <c r="BB351" s="3954"/>
      <c r="BC351" s="3955"/>
      <c r="BD351" s="3956"/>
      <c r="BE351" s="3956"/>
      <c r="BF351" s="3956"/>
      <c r="BG351" s="3955"/>
      <c r="BH351" s="3956"/>
      <c r="BI351" s="3956"/>
      <c r="BJ351" s="3956"/>
      <c r="BK351" s="3957"/>
      <c r="BL351" s="3954"/>
      <c r="BM351" s="3954"/>
      <c r="BN351" s="3954"/>
      <c r="BO351" s="3957"/>
      <c r="BP351" s="3954"/>
      <c r="BQ351" s="3954"/>
      <c r="BR351" s="3958"/>
      <c r="BS351" s="3957"/>
      <c r="BT351" s="3954"/>
      <c r="BU351" s="3954"/>
      <c r="BV351" s="3954"/>
      <c r="BW351" s="3957"/>
      <c r="BX351" s="3954"/>
      <c r="BY351" s="3954"/>
      <c r="BZ351" s="3958"/>
      <c r="CA351" s="3957"/>
      <c r="CB351" s="3954"/>
      <c r="CC351" s="3954"/>
      <c r="CD351" s="3958"/>
      <c r="CE351" s="3954"/>
      <c r="CF351" s="3954"/>
      <c r="CG351" s="3954"/>
      <c r="CH351" s="3958"/>
      <c r="CI351" s="3957"/>
      <c r="CJ351" s="3954"/>
      <c r="CK351" s="3954"/>
      <c r="CL351" s="3958"/>
      <c r="CM351" s="3954"/>
      <c r="CN351" s="3954"/>
      <c r="CO351" s="3954"/>
      <c r="CP351" s="3958"/>
      <c r="CQ351" s="3957"/>
      <c r="CR351" s="3954"/>
      <c r="CS351" s="3954"/>
      <c r="CT351" s="3958"/>
    </row>
    <row r="352" spans="1:98" outlineLevel="1">
      <c r="A352" s="4037" t="s">
        <v>1665</v>
      </c>
      <c r="B352" s="3933"/>
      <c r="M352" s="68"/>
      <c r="O352" s="68">
        <f>+SUM(BW352:BZ352)</f>
        <v>1161</v>
      </c>
      <c r="P352" s="3876">
        <f>SUM(CA352:CD352)</f>
        <v>2579</v>
      </c>
      <c r="Q352" s="4038">
        <f>SUM(CE352:CH352)</f>
        <v>2816</v>
      </c>
      <c r="R352" s="4039">
        <f>SUM(CI352:CL352)</f>
        <v>2990</v>
      </c>
      <c r="S352" s="4039">
        <f>SUM(CM352:CP352)</f>
        <v>3069</v>
      </c>
      <c r="T352" s="4039">
        <f>SUM(CQ352:CT352)</f>
        <v>3176.4149999999995</v>
      </c>
      <c r="U352" s="4039">
        <f>+T352*(1+U353)</f>
        <v>3287.5895249999994</v>
      </c>
      <c r="V352" s="4039">
        <f>+U352*(1+V353)</f>
        <v>3402.6551583749992</v>
      </c>
      <c r="W352" s="4039">
        <f>+V352*(1+W353)</f>
        <v>3521.7480889181238</v>
      </c>
      <c r="X352" s="4039">
        <f t="shared" ref="X352:AF352" si="602">+W352*(1+X353)</f>
        <v>3645.0092720302578</v>
      </c>
      <c r="Y352" s="4039">
        <f t="shared" si="602"/>
        <v>3772.5845965513163</v>
      </c>
      <c r="Z352" s="4039">
        <f t="shared" si="602"/>
        <v>3904.6250574306118</v>
      </c>
      <c r="AA352" s="4039">
        <f t="shared" si="602"/>
        <v>4041.2869344406831</v>
      </c>
      <c r="AB352" s="4039">
        <f t="shared" si="602"/>
        <v>4182.7319771461071</v>
      </c>
      <c r="AC352" s="4039">
        <f t="shared" si="602"/>
        <v>4329.1275963462203</v>
      </c>
      <c r="AD352" s="4039">
        <f t="shared" si="602"/>
        <v>4480.6470622183379</v>
      </c>
      <c r="AE352" s="4039">
        <f t="shared" si="602"/>
        <v>4637.4697093959794</v>
      </c>
      <c r="AF352" s="4039">
        <f t="shared" si="602"/>
        <v>4799.7811492248384</v>
      </c>
      <c r="AG352" s="2553"/>
      <c r="BW352" s="4040"/>
      <c r="BX352" s="4041"/>
      <c r="BY352" s="4041">
        <f t="shared" ref="BY352:CD352" si="603">+BY287</f>
        <v>561</v>
      </c>
      <c r="BZ352" s="4041">
        <f t="shared" si="603"/>
        <v>600</v>
      </c>
      <c r="CA352" s="4041">
        <f t="shared" si="603"/>
        <v>617</v>
      </c>
      <c r="CB352" s="4041">
        <f t="shared" si="603"/>
        <v>632</v>
      </c>
      <c r="CC352" s="4041">
        <f t="shared" si="603"/>
        <v>655</v>
      </c>
      <c r="CD352" s="4041">
        <f t="shared" si="603"/>
        <v>675</v>
      </c>
      <c r="CE352" s="4040">
        <v>687</v>
      </c>
      <c r="CF352" s="4041">
        <v>697</v>
      </c>
      <c r="CG352" s="4041">
        <v>699</v>
      </c>
      <c r="CH352" s="4041">
        <v>733</v>
      </c>
      <c r="CI352" s="4040">
        <v>738</v>
      </c>
      <c r="CJ352" s="4041">
        <v>753</v>
      </c>
      <c r="CK352" s="4041">
        <v>744</v>
      </c>
      <c r="CL352" s="4041">
        <v>755</v>
      </c>
      <c r="CM352" s="4040">
        <v>769</v>
      </c>
      <c r="CN352" s="4041">
        <v>760</v>
      </c>
      <c r="CO352" s="4041">
        <v>767</v>
      </c>
      <c r="CP352" s="4041">
        <v>773</v>
      </c>
      <c r="CQ352" s="4042">
        <f>+CM352*(1+CQ353)</f>
        <v>795.91499999999996</v>
      </c>
      <c r="CR352" s="4043">
        <f>+CN352*(1+CR353)</f>
        <v>786.59999999999991</v>
      </c>
      <c r="CS352" s="4043">
        <f>+CO352*(1+CS353)</f>
        <v>793.84499999999991</v>
      </c>
      <c r="CT352" s="4044">
        <f>+CP352*(1+CT353)</f>
        <v>800.05499999999995</v>
      </c>
    </row>
    <row r="353" spans="1:105" outlineLevel="1">
      <c r="A353" s="3965" t="s">
        <v>34</v>
      </c>
      <c r="B353" s="2053"/>
      <c r="C353" s="114"/>
      <c r="D353" s="114"/>
      <c r="E353" s="114"/>
      <c r="F353" s="114"/>
      <c r="G353" s="114"/>
      <c r="H353" s="114"/>
      <c r="I353" s="114"/>
      <c r="J353" s="114"/>
      <c r="K353" s="114"/>
      <c r="L353" s="150"/>
      <c r="M353" s="150"/>
      <c r="N353" s="150"/>
      <c r="O353" s="3975"/>
      <c r="P353" s="3876"/>
      <c r="Q353" s="3946">
        <f>+Q352/P352-1</f>
        <v>9.1896083753392865E-2</v>
      </c>
      <c r="R353" s="3942">
        <f>+R352/Q352-1</f>
        <v>6.1789772727272707E-2</v>
      </c>
      <c r="S353" s="3942">
        <f>+S352/R352-1</f>
        <v>2.6421404682274163E-2</v>
      </c>
      <c r="T353" s="3942">
        <f>+T352/S352-1</f>
        <v>3.499999999999992E-2</v>
      </c>
      <c r="U353" s="4018">
        <f>+T353</f>
        <v>3.499999999999992E-2</v>
      </c>
      <c r="V353" s="4018">
        <f>+U353</f>
        <v>3.499999999999992E-2</v>
      </c>
      <c r="W353" s="4018">
        <f>+V353</f>
        <v>3.499999999999992E-2</v>
      </c>
      <c r="X353" s="4018">
        <f t="shared" ref="X353:AF353" si="604">+W353</f>
        <v>3.499999999999992E-2</v>
      </c>
      <c r="Y353" s="4018">
        <f t="shared" si="604"/>
        <v>3.499999999999992E-2</v>
      </c>
      <c r="Z353" s="4018">
        <f t="shared" si="604"/>
        <v>3.499999999999992E-2</v>
      </c>
      <c r="AA353" s="4018">
        <f t="shared" si="604"/>
        <v>3.499999999999992E-2</v>
      </c>
      <c r="AB353" s="4018">
        <f t="shared" si="604"/>
        <v>3.499999999999992E-2</v>
      </c>
      <c r="AC353" s="4018">
        <f t="shared" si="604"/>
        <v>3.499999999999992E-2</v>
      </c>
      <c r="AD353" s="4018">
        <f t="shared" si="604"/>
        <v>3.499999999999992E-2</v>
      </c>
      <c r="AE353" s="4018">
        <f t="shared" si="604"/>
        <v>3.499999999999992E-2</v>
      </c>
      <c r="AF353" s="4020">
        <f t="shared" si="604"/>
        <v>3.499999999999992E-2</v>
      </c>
      <c r="AG353" s="2553"/>
      <c r="AH353" s="2714"/>
      <c r="AI353" s="114"/>
      <c r="AJ353" s="114"/>
      <c r="AK353" s="114"/>
      <c r="AL353" s="114"/>
      <c r="AM353" s="114"/>
      <c r="AN353" s="114"/>
      <c r="AO353" s="114"/>
      <c r="AP353" s="114"/>
      <c r="AQ353" s="114"/>
      <c r="AR353" s="114"/>
      <c r="AS353" s="114"/>
      <c r="AT353" s="114"/>
      <c r="AU353" s="114"/>
      <c r="AV353" s="114"/>
      <c r="AW353" s="114"/>
      <c r="AX353" s="114"/>
      <c r="AY353" s="114"/>
      <c r="AZ353" s="114"/>
      <c r="BA353" s="114"/>
      <c r="BB353" s="114"/>
      <c r="BC353" s="2050"/>
      <c r="BD353" s="2067"/>
      <c r="BE353" s="2067"/>
      <c r="BF353" s="2067"/>
      <c r="BG353" s="2050"/>
      <c r="BH353" s="2067"/>
      <c r="BI353" s="2067"/>
      <c r="BJ353" s="2067"/>
      <c r="BK353" s="2045"/>
      <c r="BL353" s="2047"/>
      <c r="BM353" s="2047"/>
      <c r="BN353" s="2047"/>
      <c r="BO353" s="2301"/>
      <c r="BP353" s="2302"/>
      <c r="BQ353" s="2302"/>
      <c r="BR353" s="2303"/>
      <c r="BS353" s="3967" t="e">
        <f>+BS352/BO352-1</f>
        <v>#DIV/0!</v>
      </c>
      <c r="BT353" s="3967" t="e">
        <f>+BT352/BP352-1</f>
        <v>#DIV/0!</v>
      </c>
      <c r="BU353" s="3967" t="e">
        <f>+BU352/BQ352-1</f>
        <v>#DIV/0!</v>
      </c>
      <c r="BV353" s="3967" t="e">
        <f>+BV352/BR352-1</f>
        <v>#DIV/0!</v>
      </c>
      <c r="BW353" s="3971"/>
      <c r="BX353" s="3967"/>
      <c r="BY353" s="3967"/>
      <c r="BZ353" s="3967"/>
      <c r="CA353" s="3967"/>
      <c r="CB353" s="3967"/>
      <c r="CC353" s="3967">
        <f t="shared" ref="CC353:CM353" si="605">+CC352/BY352-1</f>
        <v>0.16755793226381455</v>
      </c>
      <c r="CD353" s="3967">
        <f t="shared" si="605"/>
        <v>0.125</v>
      </c>
      <c r="CE353" s="3971">
        <f t="shared" si="605"/>
        <v>0.11345218800648293</v>
      </c>
      <c r="CF353" s="3967">
        <f t="shared" si="605"/>
        <v>0.10284810126582289</v>
      </c>
      <c r="CG353" s="3967">
        <f t="shared" si="605"/>
        <v>6.7175572519083904E-2</v>
      </c>
      <c r="CH353" s="3967">
        <f t="shared" si="605"/>
        <v>8.5925925925925961E-2</v>
      </c>
      <c r="CI353" s="3971">
        <f t="shared" si="605"/>
        <v>7.4235807860262071E-2</v>
      </c>
      <c r="CJ353" s="3967">
        <f t="shared" si="605"/>
        <v>8.0344332855093237E-2</v>
      </c>
      <c r="CK353" s="3967">
        <f t="shared" si="605"/>
        <v>6.4377682403433445E-2</v>
      </c>
      <c r="CL353" s="3967">
        <f t="shared" si="605"/>
        <v>3.0013642564802101E-2</v>
      </c>
      <c r="CM353" s="3971">
        <f t="shared" si="605"/>
        <v>4.2005420054200604E-2</v>
      </c>
      <c r="CN353" s="3967">
        <f>+CN352/CJ352-1</f>
        <v>9.2961487383798058E-3</v>
      </c>
      <c r="CO353" s="3967">
        <f>+CO352/CK352-1</f>
        <v>3.0913978494623739E-2</v>
      </c>
      <c r="CP353" s="3967">
        <f t="shared" ref="CP353" si="606">+CP352/CL352-1</f>
        <v>2.384105960264904E-2</v>
      </c>
      <c r="CQ353" s="4019">
        <v>3.5000000000000003E-2</v>
      </c>
      <c r="CR353" s="4018">
        <v>3.5000000000000003E-2</v>
      </c>
      <c r="CS353" s="4018">
        <v>3.5000000000000003E-2</v>
      </c>
      <c r="CT353" s="4020">
        <v>3.5000000000000003E-2</v>
      </c>
    </row>
    <row r="354" spans="1:105" outlineLevel="1">
      <c r="A354" s="3965" t="s">
        <v>947</v>
      </c>
      <c r="B354" s="3959"/>
      <c r="C354" s="3960"/>
      <c r="D354" s="3960"/>
      <c r="E354" s="3960"/>
      <c r="F354" s="3960"/>
      <c r="G354" s="3960"/>
      <c r="H354" s="3960"/>
      <c r="I354" s="3960"/>
      <c r="J354" s="3960"/>
      <c r="K354" s="3960"/>
      <c r="L354" s="3960"/>
      <c r="M354" s="3960"/>
      <c r="N354" s="3939"/>
      <c r="O354" s="3975"/>
      <c r="P354" s="3876"/>
      <c r="Q354" s="1897"/>
      <c r="R354" s="2033"/>
      <c r="S354" s="3131"/>
      <c r="T354" s="3131"/>
      <c r="U354" s="3132"/>
      <c r="V354" s="3132"/>
      <c r="W354" s="3132"/>
      <c r="X354" s="3132"/>
      <c r="Y354" s="3132"/>
      <c r="Z354" s="3132"/>
      <c r="AA354" s="3132"/>
      <c r="AB354" s="3132"/>
      <c r="AC354" s="3132"/>
      <c r="AD354" s="3132"/>
      <c r="AE354" s="3132"/>
      <c r="AF354" s="2049"/>
      <c r="AG354" s="2553"/>
      <c r="AH354" s="3921"/>
      <c r="AI354" s="3960"/>
      <c r="AJ354" s="3960"/>
      <c r="AK354" s="3960"/>
      <c r="AL354" s="3960"/>
      <c r="AM354" s="3960"/>
      <c r="AN354" s="3960"/>
      <c r="AO354" s="3960"/>
      <c r="AP354" s="3960"/>
      <c r="AQ354" s="3960"/>
      <c r="AR354" s="3960"/>
      <c r="AS354" s="3960"/>
      <c r="AT354" s="3960"/>
      <c r="AU354" s="3960"/>
      <c r="AV354" s="3960"/>
      <c r="AW354" s="3960"/>
      <c r="AX354" s="3960"/>
      <c r="AY354" s="3960"/>
      <c r="AZ354" s="3960"/>
      <c r="BA354" s="3960"/>
      <c r="BB354" s="3960"/>
      <c r="BC354" s="3961"/>
      <c r="BD354" s="3962"/>
      <c r="BE354" s="3962"/>
      <c r="BF354" s="3962"/>
      <c r="BG354" s="3961"/>
      <c r="BH354" s="3962"/>
      <c r="BI354" s="3962"/>
      <c r="BJ354" s="3962"/>
      <c r="BK354" s="2051"/>
      <c r="BL354" s="2069"/>
      <c r="BM354" s="2069"/>
      <c r="BN354" s="2069"/>
      <c r="BO354" s="3968"/>
      <c r="BP354" s="3969"/>
      <c r="BQ354" s="3969"/>
      <c r="BR354" s="3970"/>
      <c r="BS354" s="3967" t="e">
        <f>+BS352/BR352-1</f>
        <v>#DIV/0!</v>
      </c>
      <c r="BT354" s="3967" t="e">
        <f>+BT352/BS352-1</f>
        <v>#DIV/0!</v>
      </c>
      <c r="BU354" s="3967" t="e">
        <f>+BU352/BT352-1</f>
        <v>#DIV/0!</v>
      </c>
      <c r="BV354" s="3967" t="e">
        <f>+BV352/BU352-1</f>
        <v>#DIV/0!</v>
      </c>
      <c r="BW354" s="3971"/>
      <c r="BX354" s="3967"/>
      <c r="BY354" s="3967"/>
      <c r="BZ354" s="3967">
        <f>+BZ352/BY352-1</f>
        <v>6.9518716577540163E-2</v>
      </c>
      <c r="CA354" s="3967">
        <f>+CA352/BZ352-1</f>
        <v>2.8333333333333321E-2</v>
      </c>
      <c r="CB354" s="3967">
        <f>+CB352/CA352-1</f>
        <v>2.4311183144246407E-2</v>
      </c>
      <c r="CC354" s="3967">
        <f t="shared" ref="CC354:CP354" si="607">+CC352/CB352-1</f>
        <v>3.6392405063291111E-2</v>
      </c>
      <c r="CD354" s="3967">
        <f t="shared" si="607"/>
        <v>3.0534351145038219E-2</v>
      </c>
      <c r="CE354" s="3971">
        <f t="shared" si="607"/>
        <v>1.777777777777767E-2</v>
      </c>
      <c r="CF354" s="3967">
        <f t="shared" si="607"/>
        <v>1.4556040756914079E-2</v>
      </c>
      <c r="CG354" s="3967">
        <f t="shared" si="607"/>
        <v>2.8694404591105283E-3</v>
      </c>
      <c r="CH354" s="3967">
        <f t="shared" si="607"/>
        <v>4.8640915593705314E-2</v>
      </c>
      <c r="CI354" s="3971">
        <f t="shared" si="607"/>
        <v>6.8212824010913664E-3</v>
      </c>
      <c r="CJ354" s="3967">
        <f t="shared" si="607"/>
        <v>2.0325203252032464E-2</v>
      </c>
      <c r="CK354" s="3967">
        <f t="shared" si="607"/>
        <v>-1.195219123505975E-2</v>
      </c>
      <c r="CL354" s="3967">
        <f t="shared" si="607"/>
        <v>1.4784946236559238E-2</v>
      </c>
      <c r="CM354" s="3971">
        <f t="shared" si="607"/>
        <v>1.8543046357615944E-2</v>
      </c>
      <c r="CN354" s="3967">
        <f>+CN352/CM352-1</f>
        <v>-1.1703511053316018E-2</v>
      </c>
      <c r="CO354" s="3967">
        <f>+CO352/CN352-1</f>
        <v>9.2105263157895578E-3</v>
      </c>
      <c r="CP354" s="3967">
        <f t="shared" si="607"/>
        <v>7.8226857887875312E-3</v>
      </c>
      <c r="CQ354" s="3971">
        <f>+CQ352/CP352-1</f>
        <v>2.9644243208279297E-2</v>
      </c>
      <c r="CR354" s="3967">
        <f>+CR352/CQ352-1</f>
        <v>-1.1703511053316018E-2</v>
      </c>
      <c r="CS354" s="3967">
        <f>+CS352/CR352-1</f>
        <v>9.2105263157895578E-3</v>
      </c>
      <c r="CT354" s="3972">
        <f>+CT352/CS352-1</f>
        <v>7.8226857887875312E-3</v>
      </c>
    </row>
    <row r="355" spans="1:105" outlineLevel="1">
      <c r="A355" s="68" t="s">
        <v>1682</v>
      </c>
      <c r="B355" s="3933"/>
      <c r="M355" s="68"/>
      <c r="P355" s="3876"/>
      <c r="Q355" s="3941">
        <f>SUM(CE355:CH355)</f>
        <v>1241</v>
      </c>
      <c r="R355" s="3952">
        <f>SUM(CI355:CL355)</f>
        <v>1320</v>
      </c>
      <c r="S355" s="3952">
        <f>SUM(CM355:CP355)</f>
        <v>916</v>
      </c>
      <c r="T355" s="3952">
        <f>SUM(CQ355:CT355)</f>
        <v>700</v>
      </c>
      <c r="U355" s="3881">
        <f>+T355*(1+U356)</f>
        <v>714</v>
      </c>
      <c r="V355" s="3881">
        <f>+U355*(1+V356)</f>
        <v>728.28</v>
      </c>
      <c r="W355" s="3881">
        <f>+V355*(1+W356)</f>
        <v>742.84559999999999</v>
      </c>
      <c r="X355" s="3881">
        <f t="shared" ref="X355:AF355" si="608">+W355*(1+X356)</f>
        <v>757.70251199999996</v>
      </c>
      <c r="Y355" s="3881">
        <f t="shared" si="608"/>
        <v>772.85656224000002</v>
      </c>
      <c r="Z355" s="3881">
        <f t="shared" si="608"/>
        <v>788.31369348480007</v>
      </c>
      <c r="AA355" s="3881">
        <f t="shared" si="608"/>
        <v>804.07996735449603</v>
      </c>
      <c r="AB355" s="3881">
        <f t="shared" si="608"/>
        <v>820.16156670158603</v>
      </c>
      <c r="AC355" s="3881">
        <f t="shared" si="608"/>
        <v>836.56479803561774</v>
      </c>
      <c r="AD355" s="3881">
        <f t="shared" si="608"/>
        <v>853.29609399633011</v>
      </c>
      <c r="AE355" s="3881">
        <f t="shared" si="608"/>
        <v>870.36201587625669</v>
      </c>
      <c r="AF355" s="71">
        <f t="shared" si="608"/>
        <v>887.76925619378187</v>
      </c>
      <c r="AG355" s="2553"/>
      <c r="BW355" s="4045"/>
      <c r="BX355" s="4046"/>
      <c r="BY355" s="4046"/>
      <c r="BZ355" s="4046"/>
      <c r="CA355" s="4046"/>
      <c r="CB355" s="4046"/>
      <c r="CC355" s="4046"/>
      <c r="CD355" s="4046"/>
      <c r="CE355" s="4045">
        <v>307</v>
      </c>
      <c r="CF355" s="4046">
        <v>300</v>
      </c>
      <c r="CG355" s="4046">
        <v>309</v>
      </c>
      <c r="CH355" s="4046">
        <v>325</v>
      </c>
      <c r="CI355" s="4045">
        <v>327</v>
      </c>
      <c r="CJ355" s="4046">
        <v>328</v>
      </c>
      <c r="CK355" s="4046">
        <v>334</v>
      </c>
      <c r="CL355" s="4046">
        <v>331</v>
      </c>
      <c r="CM355" s="4045">
        <v>328</v>
      </c>
      <c r="CN355" s="4046">
        <v>225</v>
      </c>
      <c r="CO355" s="4046">
        <v>182</v>
      </c>
      <c r="CP355" s="4046">
        <v>181</v>
      </c>
      <c r="CQ355" s="3940">
        <v>175</v>
      </c>
      <c r="CR355" s="3934">
        <v>175</v>
      </c>
      <c r="CS355" s="3934">
        <v>175</v>
      </c>
      <c r="CT355" s="4047">
        <v>175</v>
      </c>
    </row>
    <row r="356" spans="1:105" outlineLevel="1">
      <c r="A356" s="3965" t="s">
        <v>34</v>
      </c>
      <c r="B356" s="2053"/>
      <c r="C356" s="114"/>
      <c r="D356" s="114"/>
      <c r="E356" s="114"/>
      <c r="F356" s="114"/>
      <c r="G356" s="114"/>
      <c r="H356" s="114"/>
      <c r="I356" s="114"/>
      <c r="J356" s="114"/>
      <c r="K356" s="114"/>
      <c r="L356" s="150"/>
      <c r="M356" s="150"/>
      <c r="N356" s="150"/>
      <c r="O356" s="3975"/>
      <c r="P356" s="3966"/>
      <c r="Q356" s="3946"/>
      <c r="R356" s="3942">
        <f>+R355/Q355-1</f>
        <v>6.3658340048348139E-2</v>
      </c>
      <c r="S356" s="4048" t="s">
        <v>1089</v>
      </c>
      <c r="T356" s="4048" t="s">
        <v>1089</v>
      </c>
      <c r="U356" s="4018">
        <v>0.02</v>
      </c>
      <c r="V356" s="4018">
        <v>0.02</v>
      </c>
      <c r="W356" s="4018">
        <v>0.02</v>
      </c>
      <c r="X356" s="4018">
        <v>0.02</v>
      </c>
      <c r="Y356" s="4018">
        <v>0.02</v>
      </c>
      <c r="Z356" s="4018">
        <v>0.02</v>
      </c>
      <c r="AA356" s="4018">
        <v>0.02</v>
      </c>
      <c r="AB356" s="4018">
        <v>0.02</v>
      </c>
      <c r="AC356" s="4018">
        <v>0.02</v>
      </c>
      <c r="AD356" s="4018">
        <v>0.02</v>
      </c>
      <c r="AE356" s="4018">
        <v>0.02</v>
      </c>
      <c r="AF356" s="4020">
        <v>0.02</v>
      </c>
      <c r="AG356" s="2553"/>
      <c r="AH356" s="2714"/>
      <c r="AI356" s="114"/>
      <c r="AJ356" s="114"/>
      <c r="AK356" s="114"/>
      <c r="AL356" s="114"/>
      <c r="AM356" s="114"/>
      <c r="AN356" s="114"/>
      <c r="AO356" s="114"/>
      <c r="AP356" s="114"/>
      <c r="AQ356" s="114"/>
      <c r="AR356" s="114"/>
      <c r="AS356" s="114"/>
      <c r="AT356" s="114"/>
      <c r="AU356" s="114"/>
      <c r="AV356" s="114"/>
      <c r="AW356" s="114"/>
      <c r="AX356" s="114"/>
      <c r="AY356" s="114"/>
      <c r="AZ356" s="114"/>
      <c r="BA356" s="114"/>
      <c r="BB356" s="114"/>
      <c r="BC356" s="2050"/>
      <c r="BD356" s="2067"/>
      <c r="BE356" s="2067"/>
      <c r="BF356" s="2067"/>
      <c r="BG356" s="2050"/>
      <c r="BH356" s="2067"/>
      <c r="BI356" s="2067"/>
      <c r="BJ356" s="2067"/>
      <c r="BK356" s="2045"/>
      <c r="BL356" s="2047"/>
      <c r="BM356" s="2047"/>
      <c r="BN356" s="2047"/>
      <c r="BO356" s="2301"/>
      <c r="BP356" s="2302"/>
      <c r="BQ356" s="2302"/>
      <c r="BR356" s="2303"/>
      <c r="BS356" s="3967" t="e">
        <f>+BS355/BO355-1</f>
        <v>#DIV/0!</v>
      </c>
      <c r="BT356" s="3967" t="e">
        <f>+BT355/BP355-1</f>
        <v>#DIV/0!</v>
      </c>
      <c r="BU356" s="3967" t="e">
        <f>+BU355/BQ355-1</f>
        <v>#DIV/0!</v>
      </c>
      <c r="BV356" s="3967" t="e">
        <f>+BV355/BR355-1</f>
        <v>#DIV/0!</v>
      </c>
      <c r="BW356" s="3971"/>
      <c r="BX356" s="3967"/>
      <c r="BY356" s="3967"/>
      <c r="BZ356" s="3967"/>
      <c r="CA356" s="3967"/>
      <c r="CB356" s="3967"/>
      <c r="CC356" s="3967"/>
      <c r="CD356" s="3967"/>
      <c r="CE356" s="3971"/>
      <c r="CF356" s="3967"/>
      <c r="CG356" s="3967"/>
      <c r="CH356" s="3967"/>
      <c r="CI356" s="3951" t="s">
        <v>441</v>
      </c>
      <c r="CJ356" s="3949" t="s">
        <v>441</v>
      </c>
      <c r="CK356" s="3967">
        <f t="shared" ref="CK356:CT356" si="609">+CK355/CG355-1</f>
        <v>8.0906148867313954E-2</v>
      </c>
      <c r="CL356" s="3967">
        <f t="shared" si="609"/>
        <v>1.8461538461538529E-2</v>
      </c>
      <c r="CM356" s="3971">
        <f t="shared" si="609"/>
        <v>3.0581039755350758E-3</v>
      </c>
      <c r="CN356" s="3967">
        <f t="shared" si="609"/>
        <v>-0.31402439024390238</v>
      </c>
      <c r="CO356" s="3967">
        <f t="shared" si="609"/>
        <v>-0.45508982035928147</v>
      </c>
      <c r="CP356" s="3967">
        <f t="shared" si="609"/>
        <v>-0.45317220543806647</v>
      </c>
      <c r="CQ356" s="3971">
        <f t="shared" si="609"/>
        <v>-0.46646341463414631</v>
      </c>
      <c r="CR356" s="3967">
        <f t="shared" si="609"/>
        <v>-0.22222222222222221</v>
      </c>
      <c r="CS356" s="3967">
        <f t="shared" si="609"/>
        <v>-3.8461538461538436E-2</v>
      </c>
      <c r="CT356" s="3967">
        <f t="shared" si="609"/>
        <v>-3.3149171270718258E-2</v>
      </c>
      <c r="CU356" s="3971"/>
    </row>
    <row r="357" spans="1:105" outlineLevel="1">
      <c r="A357" s="3965" t="s">
        <v>947</v>
      </c>
      <c r="B357" s="3959"/>
      <c r="C357" s="3960"/>
      <c r="D357" s="3960"/>
      <c r="E357" s="3960"/>
      <c r="F357" s="3960"/>
      <c r="G357" s="3960"/>
      <c r="H357" s="3960"/>
      <c r="I357" s="3960"/>
      <c r="J357" s="3960"/>
      <c r="K357" s="3960"/>
      <c r="L357" s="3960"/>
      <c r="M357" s="3960"/>
      <c r="N357" s="3939"/>
      <c r="O357" s="3975"/>
      <c r="P357" s="3966"/>
      <c r="Q357" s="1897"/>
      <c r="R357" s="2033"/>
      <c r="S357" s="2033"/>
      <c r="T357" s="2033"/>
      <c r="U357" s="355"/>
      <c r="V357" s="355"/>
      <c r="W357" s="355"/>
      <c r="X357" s="355"/>
      <c r="Y357" s="355"/>
      <c r="Z357" s="355"/>
      <c r="AA357" s="355"/>
      <c r="AB357" s="355"/>
      <c r="AC357" s="355"/>
      <c r="AD357" s="355"/>
      <c r="AE357" s="355"/>
      <c r="AF357" s="2049"/>
      <c r="AG357" s="2553"/>
      <c r="AH357" s="3921"/>
      <c r="AI357" s="3960"/>
      <c r="AJ357" s="3960"/>
      <c r="AK357" s="3960"/>
      <c r="AL357" s="3960"/>
      <c r="AM357" s="3960"/>
      <c r="AN357" s="3960"/>
      <c r="AO357" s="3960"/>
      <c r="AP357" s="3960"/>
      <c r="AQ357" s="3960"/>
      <c r="AR357" s="3960"/>
      <c r="AS357" s="3960"/>
      <c r="AT357" s="3960"/>
      <c r="AU357" s="3960"/>
      <c r="AV357" s="3960"/>
      <c r="AW357" s="3960"/>
      <c r="AX357" s="3960"/>
      <c r="AY357" s="3960"/>
      <c r="AZ357" s="3960"/>
      <c r="BA357" s="3960"/>
      <c r="BB357" s="3960"/>
      <c r="BC357" s="3961"/>
      <c r="BD357" s="3962"/>
      <c r="BE357" s="3962"/>
      <c r="BF357" s="3962"/>
      <c r="BG357" s="3961"/>
      <c r="BH357" s="3962"/>
      <c r="BI357" s="3962"/>
      <c r="BJ357" s="3962"/>
      <c r="BK357" s="2051"/>
      <c r="BL357" s="2069"/>
      <c r="BM357" s="2069"/>
      <c r="BN357" s="2069"/>
      <c r="BO357" s="3968"/>
      <c r="BP357" s="3969"/>
      <c r="BQ357" s="3969"/>
      <c r="BR357" s="3970"/>
      <c r="BS357" s="3967" t="e">
        <f>+BS355/BR355-1</f>
        <v>#DIV/0!</v>
      </c>
      <c r="BT357" s="3967" t="e">
        <f>+BT355/BS355-1</f>
        <v>#DIV/0!</v>
      </c>
      <c r="BU357" s="3967" t="e">
        <f>+BU355/BT355-1</f>
        <v>#DIV/0!</v>
      </c>
      <c r="BV357" s="3967" t="e">
        <f>+BV355/BU355-1</f>
        <v>#DIV/0!</v>
      </c>
      <c r="BW357" s="3971"/>
      <c r="BX357" s="3967"/>
      <c r="BY357" s="3967"/>
      <c r="BZ357" s="3967"/>
      <c r="CA357" s="3967"/>
      <c r="CB357" s="3967"/>
      <c r="CC357" s="3967"/>
      <c r="CD357" s="3967"/>
      <c r="CE357" s="3971"/>
      <c r="CF357" s="3967">
        <f t="shared" ref="CF357:CL357" si="610">+CF355/CE355-1</f>
        <v>-2.2801302931596101E-2</v>
      </c>
      <c r="CG357" s="3967">
        <f t="shared" si="610"/>
        <v>3.0000000000000027E-2</v>
      </c>
      <c r="CH357" s="3967">
        <f t="shared" si="610"/>
        <v>5.1779935275080957E-2</v>
      </c>
      <c r="CI357" s="3971">
        <f t="shared" si="610"/>
        <v>6.1538461538461764E-3</v>
      </c>
      <c r="CJ357" s="4049">
        <f t="shared" si="610"/>
        <v>3.0581039755350758E-3</v>
      </c>
      <c r="CK357" s="4049">
        <f t="shared" si="610"/>
        <v>1.8292682926829285E-2</v>
      </c>
      <c r="CL357" s="3967">
        <f t="shared" si="610"/>
        <v>-8.9820359281437279E-3</v>
      </c>
      <c r="CM357" s="3971">
        <f t="shared" ref="CM357:CT357" si="611">+CM355/CL355-1</f>
        <v>-9.0634441087613649E-3</v>
      </c>
      <c r="CN357" s="4049">
        <f t="shared" si="611"/>
        <v>-0.31402439024390238</v>
      </c>
      <c r="CO357" s="4049">
        <f t="shared" si="611"/>
        <v>-0.19111111111111112</v>
      </c>
      <c r="CP357" s="3967">
        <f t="shared" si="611"/>
        <v>-5.494505494505475E-3</v>
      </c>
      <c r="CQ357" s="3971">
        <f t="shared" si="611"/>
        <v>-3.3149171270718258E-2</v>
      </c>
      <c r="CR357" s="3967">
        <f t="shared" si="611"/>
        <v>0</v>
      </c>
      <c r="CS357" s="3967">
        <f t="shared" si="611"/>
        <v>0</v>
      </c>
      <c r="CT357" s="3972">
        <f t="shared" si="611"/>
        <v>0</v>
      </c>
    </row>
    <row r="358" spans="1:105" outlineLevel="1">
      <c r="A358" s="68" t="s">
        <v>1666</v>
      </c>
      <c r="B358" s="3933"/>
      <c r="M358" s="68"/>
      <c r="P358" s="3876"/>
      <c r="Q358" s="3941">
        <f>SUM(CE358:CH358)</f>
        <v>687</v>
      </c>
      <c r="R358" s="3952">
        <f>SUM(CI358:CL358)</f>
        <v>641</v>
      </c>
      <c r="S358" s="3952">
        <f>SUM(CM358:CP358)</f>
        <v>652</v>
      </c>
      <c r="T358" s="3952">
        <f>SUM(CQ358:CT358)</f>
        <v>723.72000000000014</v>
      </c>
      <c r="U358" s="3881">
        <f>+T358*(1+U359)</f>
        <v>803.32920000000036</v>
      </c>
      <c r="V358" s="3881">
        <f>+U358*(1+V359)</f>
        <v>819.39578400000039</v>
      </c>
      <c r="W358" s="3881">
        <f>+V358*(1+W359)</f>
        <v>835.78369968000038</v>
      </c>
      <c r="X358" s="3881">
        <f t="shared" ref="X358:AF358" si="612">+W358*(1+X359)</f>
        <v>852.49937367360042</v>
      </c>
      <c r="Y358" s="3881">
        <f t="shared" si="612"/>
        <v>869.54936114707243</v>
      </c>
      <c r="Z358" s="3881">
        <f t="shared" si="612"/>
        <v>886.94034837001391</v>
      </c>
      <c r="AA358" s="3881">
        <f t="shared" si="612"/>
        <v>904.67915533741416</v>
      </c>
      <c r="AB358" s="3881">
        <f t="shared" si="612"/>
        <v>922.77273844416243</v>
      </c>
      <c r="AC358" s="3881">
        <f t="shared" si="612"/>
        <v>941.22819321304564</v>
      </c>
      <c r="AD358" s="3881">
        <f t="shared" si="612"/>
        <v>960.05275707730652</v>
      </c>
      <c r="AE358" s="3881">
        <f t="shared" si="612"/>
        <v>979.25381221885266</v>
      </c>
      <c r="AF358" s="71">
        <f t="shared" si="612"/>
        <v>998.83888846322975</v>
      </c>
      <c r="AG358" s="2553"/>
      <c r="BW358" s="4045"/>
      <c r="BX358" s="4046"/>
      <c r="BY358" s="4046"/>
      <c r="BZ358" s="4046"/>
      <c r="CA358" s="4046"/>
      <c r="CB358" s="4046"/>
      <c r="CC358" s="4046"/>
      <c r="CD358" s="4046"/>
      <c r="CE358" s="4045">
        <v>171</v>
      </c>
      <c r="CF358" s="4046">
        <v>174</v>
      </c>
      <c r="CG358" s="4046">
        <v>169</v>
      </c>
      <c r="CH358" s="4046">
        <v>173</v>
      </c>
      <c r="CI358" s="4045">
        <v>162</v>
      </c>
      <c r="CJ358" s="4046">
        <v>161</v>
      </c>
      <c r="CK358" s="4046">
        <v>160</v>
      </c>
      <c r="CL358" s="4050">
        <v>158</v>
      </c>
      <c r="CM358" s="4046">
        <v>152</v>
      </c>
      <c r="CN358" s="4046">
        <v>162</v>
      </c>
      <c r="CO358" s="4046">
        <v>169</v>
      </c>
      <c r="CP358" s="4050">
        <v>169</v>
      </c>
      <c r="CQ358" s="3940">
        <f>+CM358*(1+CQ359)</f>
        <v>168.72000000000003</v>
      </c>
      <c r="CR358" s="3934">
        <f>+CN358*(1+CR359)</f>
        <v>179.82000000000002</v>
      </c>
      <c r="CS358" s="3934">
        <f>+CO358*(1+CS359)</f>
        <v>187.59</v>
      </c>
      <c r="CT358" s="4047">
        <f>+CP358*(1+CT359)</f>
        <v>187.59</v>
      </c>
    </row>
    <row r="359" spans="1:105" outlineLevel="1">
      <c r="A359" s="3965" t="s">
        <v>34</v>
      </c>
      <c r="B359" s="2053"/>
      <c r="C359" s="114"/>
      <c r="D359" s="114"/>
      <c r="E359" s="114"/>
      <c r="F359" s="114"/>
      <c r="G359" s="114"/>
      <c r="H359" s="114"/>
      <c r="I359" s="114"/>
      <c r="J359" s="114"/>
      <c r="K359" s="114"/>
      <c r="L359" s="150"/>
      <c r="M359" s="150"/>
      <c r="N359" s="150"/>
      <c r="O359" s="3975"/>
      <c r="P359" s="3966"/>
      <c r="Q359" s="3946"/>
      <c r="R359" s="3942">
        <f>+R358/Q358-1</f>
        <v>-6.695778748180492E-2</v>
      </c>
      <c r="S359" s="3942">
        <f>+S358/R358-1</f>
        <v>1.7160686427457161E-2</v>
      </c>
      <c r="T359" s="3942">
        <f>+T358/S358-1</f>
        <v>0.11000000000000032</v>
      </c>
      <c r="U359" s="4018">
        <f>+T359</f>
        <v>0.11000000000000032</v>
      </c>
      <c r="V359" s="4018">
        <v>0.02</v>
      </c>
      <c r="W359" s="4018">
        <f t="shared" ref="W359:AF359" si="613">+V359</f>
        <v>0.02</v>
      </c>
      <c r="X359" s="4018">
        <f t="shared" si="613"/>
        <v>0.02</v>
      </c>
      <c r="Y359" s="4018">
        <f t="shared" si="613"/>
        <v>0.02</v>
      </c>
      <c r="Z359" s="4018">
        <f t="shared" si="613"/>
        <v>0.02</v>
      </c>
      <c r="AA359" s="4018">
        <f t="shared" si="613"/>
        <v>0.02</v>
      </c>
      <c r="AB359" s="4018">
        <f t="shared" si="613"/>
        <v>0.02</v>
      </c>
      <c r="AC359" s="4018">
        <f t="shared" si="613"/>
        <v>0.02</v>
      </c>
      <c r="AD359" s="4018">
        <f t="shared" si="613"/>
        <v>0.02</v>
      </c>
      <c r="AE359" s="4018">
        <f t="shared" si="613"/>
        <v>0.02</v>
      </c>
      <c r="AF359" s="4020">
        <f t="shared" si="613"/>
        <v>0.02</v>
      </c>
      <c r="AG359" s="2553"/>
      <c r="AH359" s="2714"/>
      <c r="AI359" s="114"/>
      <c r="AJ359" s="114"/>
      <c r="AK359" s="114"/>
      <c r="AL359" s="114"/>
      <c r="AM359" s="114"/>
      <c r="AN359" s="114"/>
      <c r="AO359" s="114"/>
      <c r="AP359" s="114"/>
      <c r="AQ359" s="114"/>
      <c r="AR359" s="114"/>
      <c r="AS359" s="114"/>
      <c r="AT359" s="114"/>
      <c r="AU359" s="114"/>
      <c r="AV359" s="114"/>
      <c r="AW359" s="114"/>
      <c r="AX359" s="114"/>
      <c r="AY359" s="114"/>
      <c r="AZ359" s="114"/>
      <c r="BA359" s="114"/>
      <c r="BB359" s="114"/>
      <c r="BC359" s="2050"/>
      <c r="BD359" s="2067"/>
      <c r="BE359" s="2067"/>
      <c r="BF359" s="2067"/>
      <c r="BG359" s="2050"/>
      <c r="BH359" s="2067"/>
      <c r="BI359" s="2067"/>
      <c r="BJ359" s="2067"/>
      <c r="BK359" s="2045"/>
      <c r="BL359" s="2047"/>
      <c r="BM359" s="2047"/>
      <c r="BN359" s="2047"/>
      <c r="BO359" s="2301"/>
      <c r="BP359" s="2302"/>
      <c r="BQ359" s="2302"/>
      <c r="BR359" s="2303"/>
      <c r="BS359" s="3967" t="e">
        <f>+BS358/BO358-1</f>
        <v>#DIV/0!</v>
      </c>
      <c r="BT359" s="3967" t="e">
        <f>+BT358/BP358-1</f>
        <v>#DIV/0!</v>
      </c>
      <c r="BU359" s="3967" t="e">
        <f>+BU358/BQ358-1</f>
        <v>#DIV/0!</v>
      </c>
      <c r="BV359" s="3967" t="e">
        <f>+BV358/BR358-1</f>
        <v>#DIV/0!</v>
      </c>
      <c r="BW359" s="3971"/>
      <c r="BX359" s="3967"/>
      <c r="BY359" s="3967"/>
      <c r="BZ359" s="3967"/>
      <c r="CA359" s="3967"/>
      <c r="CB359" s="3967"/>
      <c r="CC359" s="3967"/>
      <c r="CD359" s="3967"/>
      <c r="CE359" s="3971"/>
      <c r="CF359" s="3967"/>
      <c r="CG359" s="3967"/>
      <c r="CH359" s="3967"/>
      <c r="CI359" s="3971">
        <f t="shared" ref="CI359:CN359" si="614">+CI358/CE358-1</f>
        <v>-5.2631578947368474E-2</v>
      </c>
      <c r="CJ359" s="3967">
        <f t="shared" si="614"/>
        <v>-7.4712643678160884E-2</v>
      </c>
      <c r="CK359" s="3967">
        <f t="shared" si="614"/>
        <v>-5.3254437869822535E-2</v>
      </c>
      <c r="CL359" s="3972">
        <f t="shared" si="614"/>
        <v>-8.6705202312138741E-2</v>
      </c>
      <c r="CM359" s="3967">
        <f t="shared" si="614"/>
        <v>-6.1728395061728447E-2</v>
      </c>
      <c r="CN359" s="3967">
        <f t="shared" si="614"/>
        <v>6.2111801242235032E-3</v>
      </c>
      <c r="CO359" s="3967">
        <f>+CO358/CK358-1</f>
        <v>5.6249999999999911E-2</v>
      </c>
      <c r="CP359" s="3972">
        <f t="shared" ref="CP359" si="615">+CP358/CL358-1</f>
        <v>6.9620253164556889E-2</v>
      </c>
      <c r="CQ359" s="4018">
        <v>0.11</v>
      </c>
      <c r="CR359" s="4018">
        <v>0.11</v>
      </c>
      <c r="CS359" s="4018">
        <v>0.11</v>
      </c>
      <c r="CT359" s="4020">
        <v>0.11</v>
      </c>
    </row>
    <row r="360" spans="1:105" outlineLevel="1">
      <c r="A360" s="3965" t="s">
        <v>947</v>
      </c>
      <c r="B360" s="3959"/>
      <c r="C360" s="3960"/>
      <c r="D360" s="3960"/>
      <c r="E360" s="3960"/>
      <c r="F360" s="3960"/>
      <c r="G360" s="3960"/>
      <c r="H360" s="3960"/>
      <c r="I360" s="3960"/>
      <c r="J360" s="3960"/>
      <c r="K360" s="3960"/>
      <c r="L360" s="3960"/>
      <c r="M360" s="3960"/>
      <c r="N360" s="3939"/>
      <c r="O360" s="3975"/>
      <c r="P360" s="3966"/>
      <c r="Q360" s="1897"/>
      <c r="R360" s="2033"/>
      <c r="S360" s="2033"/>
      <c r="T360" s="2033"/>
      <c r="U360" s="355"/>
      <c r="V360" s="355"/>
      <c r="W360" s="355"/>
      <c r="X360" s="355"/>
      <c r="Y360" s="355"/>
      <c r="Z360" s="355"/>
      <c r="AA360" s="355"/>
      <c r="AB360" s="355"/>
      <c r="AC360" s="355"/>
      <c r="AD360" s="355"/>
      <c r="AE360" s="355"/>
      <c r="AF360" s="2049"/>
      <c r="AG360" s="2553"/>
      <c r="AH360" s="3921"/>
      <c r="AI360" s="3960"/>
      <c r="AJ360" s="3960"/>
      <c r="AK360" s="3960"/>
      <c r="AL360" s="3960"/>
      <c r="AM360" s="3960"/>
      <c r="AN360" s="3960"/>
      <c r="AO360" s="3960"/>
      <c r="AP360" s="3960"/>
      <c r="AQ360" s="3960"/>
      <c r="AR360" s="3960"/>
      <c r="AS360" s="3960"/>
      <c r="AT360" s="3960"/>
      <c r="AU360" s="3960"/>
      <c r="AV360" s="3960"/>
      <c r="AW360" s="3960"/>
      <c r="AX360" s="3960"/>
      <c r="AY360" s="3960"/>
      <c r="AZ360" s="3960"/>
      <c r="BA360" s="3960"/>
      <c r="BB360" s="3960"/>
      <c r="BC360" s="3961"/>
      <c r="BD360" s="3962"/>
      <c r="BE360" s="3962"/>
      <c r="BF360" s="3962"/>
      <c r="BG360" s="3961"/>
      <c r="BH360" s="3962"/>
      <c r="BI360" s="3962"/>
      <c r="BJ360" s="3962"/>
      <c r="BK360" s="2051"/>
      <c r="BL360" s="2069"/>
      <c r="BM360" s="2069"/>
      <c r="BN360" s="2069"/>
      <c r="BO360" s="3968"/>
      <c r="BP360" s="3969"/>
      <c r="BQ360" s="3969"/>
      <c r="BR360" s="3970"/>
      <c r="BS360" s="3967" t="e">
        <f>+BS358/BR358-1</f>
        <v>#DIV/0!</v>
      </c>
      <c r="BT360" s="3967" t="e">
        <f>+BT358/BS358-1</f>
        <v>#DIV/0!</v>
      </c>
      <c r="BU360" s="3967" t="e">
        <f>+BU358/BT358-1</f>
        <v>#DIV/0!</v>
      </c>
      <c r="BV360" s="3967" t="e">
        <f>+BV358/BU358-1</f>
        <v>#DIV/0!</v>
      </c>
      <c r="BW360" s="3971"/>
      <c r="BX360" s="3967"/>
      <c r="BY360" s="3967"/>
      <c r="BZ360" s="3967"/>
      <c r="CA360" s="3967"/>
      <c r="CB360" s="3967"/>
      <c r="CC360" s="3967"/>
      <c r="CD360" s="3967"/>
      <c r="CE360" s="3971"/>
      <c r="CF360" s="3967">
        <f t="shared" ref="CF360:CM360" si="616">+CF358/CE358-1</f>
        <v>1.7543859649122862E-2</v>
      </c>
      <c r="CG360" s="3967">
        <f t="shared" si="616"/>
        <v>-2.8735632183908066E-2</v>
      </c>
      <c r="CH360" s="3967">
        <f t="shared" si="616"/>
        <v>2.3668639053254337E-2</v>
      </c>
      <c r="CI360" s="3971">
        <f t="shared" si="616"/>
        <v>-6.3583815028901758E-2</v>
      </c>
      <c r="CJ360" s="3967">
        <f t="shared" si="616"/>
        <v>-6.1728395061728669E-3</v>
      </c>
      <c r="CK360" s="3967">
        <f t="shared" si="616"/>
        <v>-6.2111801242236142E-3</v>
      </c>
      <c r="CL360" s="3972">
        <f t="shared" si="616"/>
        <v>-1.2499999999999956E-2</v>
      </c>
      <c r="CM360" s="3967">
        <f t="shared" si="616"/>
        <v>-3.7974683544303778E-2</v>
      </c>
      <c r="CN360" s="3967">
        <f>+CN358/CM358-1</f>
        <v>6.578947368421062E-2</v>
      </c>
      <c r="CO360" s="3967">
        <f>+CO358/CN358-1</f>
        <v>4.3209876543209846E-2</v>
      </c>
      <c r="CP360" s="3972">
        <f t="shared" ref="CP360" si="617">+CP358/CO358-1</f>
        <v>0</v>
      </c>
      <c r="CQ360" s="3967">
        <f>+CQ358/CP358-1</f>
        <v>-1.6568047337276459E-3</v>
      </c>
      <c r="CR360" s="3967">
        <f>+CR358/CQ358-1</f>
        <v>6.5789473684210398E-2</v>
      </c>
      <c r="CS360" s="3967">
        <f>+CS358/CR358-1</f>
        <v>4.3209876543209846E-2</v>
      </c>
      <c r="CT360" s="3972">
        <f>+CT358/CS358-1</f>
        <v>0</v>
      </c>
    </row>
    <row r="361" spans="1:105" outlineLevel="1">
      <c r="A361" s="68" t="s">
        <v>1667</v>
      </c>
      <c r="B361" s="3933"/>
      <c r="M361" s="68"/>
      <c r="P361" s="3876"/>
      <c r="Q361" s="3941">
        <f>SUM(CE361:CH361)</f>
        <v>2611</v>
      </c>
      <c r="R361" s="3952">
        <f>SUM(CI361:CL361)</f>
        <v>2689</v>
      </c>
      <c r="S361" s="3952">
        <f>SUM(CM361:CP361)</f>
        <v>2683</v>
      </c>
      <c r="T361" s="3952">
        <f>SUM(CQ361:CT361)</f>
        <v>2748.4229999999998</v>
      </c>
      <c r="U361" s="3881">
        <f>+T361*(1+U362)</f>
        <v>2803.3914599999998</v>
      </c>
      <c r="V361" s="3881">
        <f>+U361*(1+V362)</f>
        <v>2859.4592892000001</v>
      </c>
      <c r="W361" s="3881">
        <f>+V361*(1+W362)</f>
        <v>2916.6484749840001</v>
      </c>
      <c r="X361" s="3881">
        <f t="shared" ref="X361:AF361" si="618">+W361*(1+X362)</f>
        <v>2974.9814444836802</v>
      </c>
      <c r="Y361" s="3881">
        <f t="shared" si="618"/>
        <v>3034.4810733733539</v>
      </c>
      <c r="Z361" s="3881">
        <f t="shared" si="618"/>
        <v>3095.1706948408209</v>
      </c>
      <c r="AA361" s="3881">
        <f t="shared" si="618"/>
        <v>3157.0741087376373</v>
      </c>
      <c r="AB361" s="3881">
        <f t="shared" si="618"/>
        <v>3220.2155909123899</v>
      </c>
      <c r="AC361" s="3881">
        <f t="shared" si="618"/>
        <v>3284.6199027306379</v>
      </c>
      <c r="AD361" s="3881">
        <f t="shared" si="618"/>
        <v>3350.312300785251</v>
      </c>
      <c r="AE361" s="3881">
        <f t="shared" si="618"/>
        <v>3417.318546800956</v>
      </c>
      <c r="AF361" s="71">
        <f t="shared" si="618"/>
        <v>3485.664917736975</v>
      </c>
      <c r="AG361" s="2553"/>
      <c r="BW361" s="4045"/>
      <c r="BX361" s="4046"/>
      <c r="BY361" s="4046"/>
      <c r="BZ361" s="4046"/>
      <c r="CA361" s="4046"/>
      <c r="CB361" s="4046"/>
      <c r="CC361" s="4046"/>
      <c r="CD361" s="4046"/>
      <c r="CE361" s="4045">
        <v>635</v>
      </c>
      <c r="CF361" s="4046">
        <v>652</v>
      </c>
      <c r="CG361" s="4046">
        <v>658</v>
      </c>
      <c r="CH361" s="4046">
        <v>666</v>
      </c>
      <c r="CI361" s="4045">
        <v>667</v>
      </c>
      <c r="CJ361" s="4046">
        <v>682</v>
      </c>
      <c r="CK361" s="4046">
        <v>674</v>
      </c>
      <c r="CL361" s="4050">
        <v>666</v>
      </c>
      <c r="CM361" s="4046">
        <v>661</v>
      </c>
      <c r="CN361" s="4046">
        <v>661</v>
      </c>
      <c r="CO361" s="4046">
        <v>673</v>
      </c>
      <c r="CP361" s="4050">
        <v>688</v>
      </c>
      <c r="CQ361" s="3934">
        <f>+CM361*(1+CQ362)</f>
        <v>680.83</v>
      </c>
      <c r="CR361" s="3934">
        <f>+CN361*(1+CR362)</f>
        <v>682.81299999999999</v>
      </c>
      <c r="CS361" s="3934">
        <f>+CO361*(1+CS362)</f>
        <v>686.46</v>
      </c>
      <c r="CT361" s="4047">
        <f>+CP361*(1+CT362)</f>
        <v>698.31999999999994</v>
      </c>
    </row>
    <row r="362" spans="1:105" outlineLevel="1">
      <c r="A362" s="3965" t="s">
        <v>34</v>
      </c>
      <c r="B362" s="2053"/>
      <c r="C362" s="114"/>
      <c r="D362" s="114"/>
      <c r="E362" s="114"/>
      <c r="F362" s="114"/>
      <c r="G362" s="114"/>
      <c r="H362" s="114"/>
      <c r="I362" s="114"/>
      <c r="J362" s="114"/>
      <c r="K362" s="114"/>
      <c r="L362" s="150"/>
      <c r="M362" s="150"/>
      <c r="N362" s="150"/>
      <c r="O362" s="3975"/>
      <c r="P362" s="3966"/>
      <c r="Q362" s="3946"/>
      <c r="R362" s="3942">
        <f>+R361/Q361-1</f>
        <v>2.9873611643048692E-2</v>
      </c>
      <c r="S362" s="3942">
        <f>+S361/R361-1</f>
        <v>-2.2313127556712331E-3</v>
      </c>
      <c r="T362" s="3942">
        <f>+T361/S361-1</f>
        <v>2.4384271338054431E-2</v>
      </c>
      <c r="U362" s="4018">
        <v>0.02</v>
      </c>
      <c r="V362" s="4018">
        <v>0.02</v>
      </c>
      <c r="W362" s="4018">
        <v>0.02</v>
      </c>
      <c r="X362" s="4018">
        <v>0.02</v>
      </c>
      <c r="Y362" s="4018">
        <v>0.02</v>
      </c>
      <c r="Z362" s="4018">
        <v>0.02</v>
      </c>
      <c r="AA362" s="4018">
        <v>0.02</v>
      </c>
      <c r="AB362" s="4018">
        <v>0.02</v>
      </c>
      <c r="AC362" s="4018">
        <v>0.02</v>
      </c>
      <c r="AD362" s="4018">
        <v>0.02</v>
      </c>
      <c r="AE362" s="4018">
        <v>0.02</v>
      </c>
      <c r="AF362" s="4020">
        <v>0.02</v>
      </c>
      <c r="AG362" s="2553"/>
      <c r="AH362" s="2714"/>
      <c r="AI362" s="114"/>
      <c r="AJ362" s="114"/>
      <c r="AK362" s="114"/>
      <c r="AL362" s="114"/>
      <c r="AM362" s="114"/>
      <c r="AN362" s="114"/>
      <c r="AO362" s="114"/>
      <c r="AP362" s="114"/>
      <c r="AQ362" s="114"/>
      <c r="AR362" s="114"/>
      <c r="AS362" s="114"/>
      <c r="AT362" s="114"/>
      <c r="AU362" s="114"/>
      <c r="AV362" s="114"/>
      <c r="AW362" s="114"/>
      <c r="AX362" s="114"/>
      <c r="AY362" s="114"/>
      <c r="AZ362" s="114"/>
      <c r="BA362" s="114"/>
      <c r="BB362" s="114"/>
      <c r="BC362" s="2050"/>
      <c r="BD362" s="2067"/>
      <c r="BE362" s="2067"/>
      <c r="BF362" s="2067"/>
      <c r="BG362" s="2050"/>
      <c r="BH362" s="2067"/>
      <c r="BI362" s="2067"/>
      <c r="BJ362" s="2067"/>
      <c r="BK362" s="2045"/>
      <c r="BL362" s="2047"/>
      <c r="BM362" s="2047"/>
      <c r="BN362" s="2047"/>
      <c r="BO362" s="2301"/>
      <c r="BP362" s="2302"/>
      <c r="BQ362" s="2302"/>
      <c r="BR362" s="2303"/>
      <c r="BS362" s="3967" t="e">
        <f>+BS361/BO361-1</f>
        <v>#DIV/0!</v>
      </c>
      <c r="BT362" s="3967" t="e">
        <f>+BT361/BP361-1</f>
        <v>#DIV/0!</v>
      </c>
      <c r="BU362" s="3967" t="e">
        <f>+BU361/BQ361-1</f>
        <v>#DIV/0!</v>
      </c>
      <c r="BV362" s="3967" t="e">
        <f>+BV361/BR361-1</f>
        <v>#DIV/0!</v>
      </c>
      <c r="BW362" s="3971"/>
      <c r="BX362" s="3967"/>
      <c r="BY362" s="3967"/>
      <c r="BZ362" s="3967"/>
      <c r="CA362" s="3967"/>
      <c r="CB362" s="3967"/>
      <c r="CC362" s="3967"/>
      <c r="CD362" s="3967"/>
      <c r="CE362" s="3971"/>
      <c r="CF362" s="3967"/>
      <c r="CG362" s="3967"/>
      <c r="CH362" s="3967"/>
      <c r="CI362" s="3971">
        <f t="shared" ref="CI362:CN362" si="619">+CI361/CE361-1</f>
        <v>5.0393700787401574E-2</v>
      </c>
      <c r="CJ362" s="3967">
        <f t="shared" si="619"/>
        <v>4.6012269938650263E-2</v>
      </c>
      <c r="CK362" s="3967">
        <f t="shared" si="619"/>
        <v>2.4316109422492405E-2</v>
      </c>
      <c r="CL362" s="3972">
        <f t="shared" si="619"/>
        <v>0</v>
      </c>
      <c r="CM362" s="3967">
        <f t="shared" si="619"/>
        <v>-8.9955022488755754E-3</v>
      </c>
      <c r="CN362" s="3967">
        <f t="shared" si="619"/>
        <v>-3.0791788856304958E-2</v>
      </c>
      <c r="CO362" s="3967">
        <f>+CO361/CK361-1</f>
        <v>-1.4836795252225476E-3</v>
      </c>
      <c r="CP362" s="3972">
        <f t="shared" ref="CP362" si="620">+CP361/CL361-1</f>
        <v>3.3033033033033066E-2</v>
      </c>
      <c r="CQ362" s="4018">
        <v>0.03</v>
      </c>
      <c r="CR362" s="4018">
        <v>3.3000000000000002E-2</v>
      </c>
      <c r="CS362" s="4018">
        <v>0.02</v>
      </c>
      <c r="CT362" s="4020">
        <v>1.4999999999999999E-2</v>
      </c>
    </row>
    <row r="363" spans="1:105" outlineLevel="1">
      <c r="A363" s="3965" t="s">
        <v>947</v>
      </c>
      <c r="B363" s="3959"/>
      <c r="C363" s="3960"/>
      <c r="D363" s="3960"/>
      <c r="E363" s="3960"/>
      <c r="F363" s="3960"/>
      <c r="G363" s="3960"/>
      <c r="H363" s="3960"/>
      <c r="I363" s="3960"/>
      <c r="J363" s="3960"/>
      <c r="K363" s="3960"/>
      <c r="L363" s="3960"/>
      <c r="M363" s="3960"/>
      <c r="N363" s="3939"/>
      <c r="O363" s="3975"/>
      <c r="P363" s="3966"/>
      <c r="Q363" s="1897"/>
      <c r="R363" s="2033"/>
      <c r="S363" s="2033"/>
      <c r="T363" s="2033"/>
      <c r="U363" s="355"/>
      <c r="V363" s="355"/>
      <c r="W363" s="355"/>
      <c r="X363" s="355"/>
      <c r="Y363" s="355"/>
      <c r="Z363" s="355"/>
      <c r="AA363" s="355"/>
      <c r="AB363" s="355"/>
      <c r="AC363" s="355"/>
      <c r="AD363" s="355"/>
      <c r="AE363" s="355"/>
      <c r="AF363" s="2049"/>
      <c r="AG363" s="2553"/>
      <c r="AH363" s="3921"/>
      <c r="AI363" s="3960"/>
      <c r="AJ363" s="3960"/>
      <c r="AK363" s="3960"/>
      <c r="AL363" s="3960"/>
      <c r="AM363" s="3960"/>
      <c r="AN363" s="3960"/>
      <c r="AO363" s="3960"/>
      <c r="AP363" s="3960"/>
      <c r="AQ363" s="3960"/>
      <c r="AR363" s="3960"/>
      <c r="AS363" s="3960"/>
      <c r="AT363" s="3960"/>
      <c r="AU363" s="3960"/>
      <c r="AV363" s="3960"/>
      <c r="AW363" s="3960"/>
      <c r="AX363" s="3960"/>
      <c r="AY363" s="3960"/>
      <c r="AZ363" s="3960"/>
      <c r="BA363" s="3960"/>
      <c r="BB363" s="3960"/>
      <c r="BC363" s="3961"/>
      <c r="BD363" s="3962"/>
      <c r="BE363" s="3962"/>
      <c r="BF363" s="3962"/>
      <c r="BG363" s="3961"/>
      <c r="BH363" s="3962"/>
      <c r="BI363" s="3962"/>
      <c r="BJ363" s="3962"/>
      <c r="BK363" s="2051"/>
      <c r="BL363" s="2069"/>
      <c r="BM363" s="2069"/>
      <c r="BN363" s="2069"/>
      <c r="BO363" s="3968"/>
      <c r="BP363" s="3969"/>
      <c r="BQ363" s="3969"/>
      <c r="BR363" s="3970"/>
      <c r="BS363" s="3967" t="e">
        <f>+BS361/BR361-1</f>
        <v>#DIV/0!</v>
      </c>
      <c r="BT363" s="3967" t="e">
        <f>+BT361/BS361-1</f>
        <v>#DIV/0!</v>
      </c>
      <c r="BU363" s="3967" t="e">
        <f>+BU361/BT361-1</f>
        <v>#DIV/0!</v>
      </c>
      <c r="BV363" s="3967" t="e">
        <f>+BV361/BU361-1</f>
        <v>#DIV/0!</v>
      </c>
      <c r="BW363" s="3971"/>
      <c r="BX363" s="3967"/>
      <c r="BY363" s="3967"/>
      <c r="BZ363" s="3967"/>
      <c r="CA363" s="3967"/>
      <c r="CB363" s="3967"/>
      <c r="CC363" s="3967"/>
      <c r="CD363" s="3967"/>
      <c r="CE363" s="3971"/>
      <c r="CF363" s="3967">
        <f t="shared" ref="CF363:CM363" si="621">+CF361/CE361-1</f>
        <v>2.6771653543307128E-2</v>
      </c>
      <c r="CG363" s="3967">
        <f t="shared" si="621"/>
        <v>9.2024539877300082E-3</v>
      </c>
      <c r="CH363" s="3967">
        <f t="shared" si="621"/>
        <v>1.2158054711246091E-2</v>
      </c>
      <c r="CI363" s="3971">
        <f t="shared" si="621"/>
        <v>1.5015015015014122E-3</v>
      </c>
      <c r="CJ363" s="3967">
        <f t="shared" si="621"/>
        <v>2.2488755622188883E-2</v>
      </c>
      <c r="CK363" s="3967">
        <f t="shared" si="621"/>
        <v>-1.1730205278592365E-2</v>
      </c>
      <c r="CL363" s="3972">
        <f t="shared" si="621"/>
        <v>-1.1869436201780381E-2</v>
      </c>
      <c r="CM363" s="3967">
        <f t="shared" si="621"/>
        <v>-7.5075075075075048E-3</v>
      </c>
      <c r="CN363" s="3967">
        <f>+CN361/CM361-1</f>
        <v>0</v>
      </c>
      <c r="CO363" s="3967">
        <f>+CO361/CN361-1</f>
        <v>1.8154311649016597E-2</v>
      </c>
      <c r="CP363" s="3972">
        <f t="shared" ref="CP363" si="622">+CP361/CO361-1</f>
        <v>2.2288261515601704E-2</v>
      </c>
      <c r="CQ363" s="3967">
        <f>+CQ361/CP361-1</f>
        <v>-1.0421511627906943E-2</v>
      </c>
      <c r="CR363" s="3967">
        <f>+CR361/CQ361-1</f>
        <v>2.9126213592232109E-3</v>
      </c>
      <c r="CS363" s="3967">
        <f>+CS361/CR361-1</f>
        <v>5.3411402536274188E-3</v>
      </c>
      <c r="CT363" s="3972">
        <f>+CT361/CS361-1</f>
        <v>1.7277044547387987E-2</v>
      </c>
    </row>
    <row r="364" spans="1:105" outlineLevel="1">
      <c r="A364" s="68" t="s">
        <v>1668</v>
      </c>
      <c r="B364" s="3933"/>
      <c r="M364" s="68"/>
      <c r="P364" s="3876"/>
      <c r="Q364" s="3941">
        <f>SUM(CE364:CH364)</f>
        <v>422</v>
      </c>
      <c r="R364" s="3952">
        <f>SUM(CI364:CL364)</f>
        <v>458</v>
      </c>
      <c r="S364" s="3952">
        <f>SUM(CM364:CP364)</f>
        <v>405</v>
      </c>
      <c r="T364" s="3952">
        <f>SUM(CQ364:CT364)</f>
        <v>352.35</v>
      </c>
      <c r="U364" s="3881">
        <f>+T364*(1+U365)</f>
        <v>348.82650000000001</v>
      </c>
      <c r="V364" s="3881">
        <f>+U364*(1+V365)</f>
        <v>348.82650000000001</v>
      </c>
      <c r="W364" s="3881">
        <f>+V364*(1+W365)</f>
        <v>348.82650000000001</v>
      </c>
      <c r="X364" s="3881">
        <f t="shared" ref="X364:AF364" si="623">+W364*(1+X365)</f>
        <v>348.82650000000001</v>
      </c>
      <c r="Y364" s="3881">
        <f t="shared" si="623"/>
        <v>348.82650000000001</v>
      </c>
      <c r="Z364" s="3881">
        <f t="shared" si="623"/>
        <v>348.82650000000001</v>
      </c>
      <c r="AA364" s="3881">
        <f t="shared" si="623"/>
        <v>348.82650000000001</v>
      </c>
      <c r="AB364" s="3881">
        <f t="shared" si="623"/>
        <v>348.82650000000001</v>
      </c>
      <c r="AC364" s="3881">
        <f t="shared" si="623"/>
        <v>348.82650000000001</v>
      </c>
      <c r="AD364" s="3881">
        <f t="shared" si="623"/>
        <v>348.82650000000001</v>
      </c>
      <c r="AE364" s="3881">
        <f t="shared" si="623"/>
        <v>348.82650000000001</v>
      </c>
      <c r="AF364" s="71">
        <f t="shared" si="623"/>
        <v>348.82650000000001</v>
      </c>
      <c r="AG364" s="2553"/>
      <c r="BW364" s="4045"/>
      <c r="BX364" s="4046"/>
      <c r="BY364" s="4046"/>
      <c r="BZ364" s="4046"/>
      <c r="CA364" s="4046"/>
      <c r="CB364" s="4046"/>
      <c r="CC364" s="4046"/>
      <c r="CD364" s="4046"/>
      <c r="CE364" s="4045">
        <v>103</v>
      </c>
      <c r="CF364" s="4046">
        <v>106</v>
      </c>
      <c r="CG364" s="4046">
        <v>106</v>
      </c>
      <c r="CH364" s="4046">
        <v>107</v>
      </c>
      <c r="CI364" s="4045">
        <v>107</v>
      </c>
      <c r="CJ364" s="4046">
        <v>118</v>
      </c>
      <c r="CK364" s="4046">
        <v>115</v>
      </c>
      <c r="CL364" s="4050">
        <v>118</v>
      </c>
      <c r="CM364" s="4046">
        <v>103</v>
      </c>
      <c r="CN364" s="4046">
        <v>107</v>
      </c>
      <c r="CO364" s="4046">
        <v>101</v>
      </c>
      <c r="CP364" s="4050">
        <v>94</v>
      </c>
      <c r="CQ364" s="3934">
        <f>+CM364*(1+CQ365)</f>
        <v>89.61</v>
      </c>
      <c r="CR364" s="3934">
        <f>+CN364*(1+CR365)</f>
        <v>93.09</v>
      </c>
      <c r="CS364" s="3934">
        <f>+CO364*(1+CS365)</f>
        <v>87.87</v>
      </c>
      <c r="CT364" s="4047">
        <f>+CP364*(1+CT365)</f>
        <v>81.78</v>
      </c>
    </row>
    <row r="365" spans="1:105" outlineLevel="1">
      <c r="A365" s="3965" t="s">
        <v>34</v>
      </c>
      <c r="B365" s="2053"/>
      <c r="C365" s="114"/>
      <c r="D365" s="114"/>
      <c r="E365" s="114"/>
      <c r="F365" s="114"/>
      <c r="G365" s="114"/>
      <c r="H365" s="114"/>
      <c r="I365" s="114"/>
      <c r="J365" s="114"/>
      <c r="K365" s="114"/>
      <c r="L365" s="150"/>
      <c r="M365" s="150"/>
      <c r="N365" s="150"/>
      <c r="O365" s="3975"/>
      <c r="P365" s="3966"/>
      <c r="Q365" s="3946"/>
      <c r="R365" s="3942">
        <f>+R364/Q364-1</f>
        <v>8.5308056872037907E-2</v>
      </c>
      <c r="S365" s="3942">
        <f>+S364/R364-1</f>
        <v>-0.11572052401746724</v>
      </c>
      <c r="T365" s="3942">
        <f>+T364/S364-1</f>
        <v>-0.12999999999999989</v>
      </c>
      <c r="U365" s="4018">
        <v>-0.01</v>
      </c>
      <c r="V365" s="4018">
        <v>0</v>
      </c>
      <c r="W365" s="4018">
        <f>+V365</f>
        <v>0</v>
      </c>
      <c r="X365" s="4018">
        <f t="shared" ref="X365:AF365" si="624">+W365</f>
        <v>0</v>
      </c>
      <c r="Y365" s="4018">
        <f t="shared" si="624"/>
        <v>0</v>
      </c>
      <c r="Z365" s="4018">
        <f t="shared" si="624"/>
        <v>0</v>
      </c>
      <c r="AA365" s="4018">
        <f t="shared" si="624"/>
        <v>0</v>
      </c>
      <c r="AB365" s="4018">
        <f t="shared" si="624"/>
        <v>0</v>
      </c>
      <c r="AC365" s="4018">
        <f t="shared" si="624"/>
        <v>0</v>
      </c>
      <c r="AD365" s="4018">
        <f t="shared" si="624"/>
        <v>0</v>
      </c>
      <c r="AE365" s="4018">
        <f t="shared" si="624"/>
        <v>0</v>
      </c>
      <c r="AF365" s="4020">
        <f t="shared" si="624"/>
        <v>0</v>
      </c>
      <c r="AG365" s="2553"/>
      <c r="AH365" s="2714"/>
      <c r="AI365" s="114"/>
      <c r="AJ365" s="114"/>
      <c r="AK365" s="114"/>
      <c r="AL365" s="114"/>
      <c r="AM365" s="114"/>
      <c r="AN365" s="114"/>
      <c r="AO365" s="114"/>
      <c r="AP365" s="114"/>
      <c r="AQ365" s="114"/>
      <c r="AR365" s="114"/>
      <c r="AS365" s="114"/>
      <c r="AT365" s="114"/>
      <c r="AU365" s="114"/>
      <c r="AV365" s="114"/>
      <c r="AW365" s="114"/>
      <c r="AX365" s="114"/>
      <c r="AY365" s="114"/>
      <c r="AZ365" s="114"/>
      <c r="BA365" s="114"/>
      <c r="BB365" s="114"/>
      <c r="BC365" s="2050"/>
      <c r="BD365" s="2067"/>
      <c r="BE365" s="2067"/>
      <c r="BF365" s="2067"/>
      <c r="BG365" s="2050"/>
      <c r="BH365" s="2067"/>
      <c r="BI365" s="2067"/>
      <c r="BJ365" s="2067"/>
      <c r="BK365" s="2045"/>
      <c r="BL365" s="2047"/>
      <c r="BM365" s="2047"/>
      <c r="BN365" s="2047"/>
      <c r="BO365" s="2301"/>
      <c r="BP365" s="2302"/>
      <c r="BQ365" s="2302"/>
      <c r="BR365" s="2303"/>
      <c r="BS365" s="3967" t="e">
        <f>+BS364/BO364-1</f>
        <v>#DIV/0!</v>
      </c>
      <c r="BT365" s="3967" t="e">
        <f>+BT364/BP364-1</f>
        <v>#DIV/0!</v>
      </c>
      <c r="BU365" s="3967" t="e">
        <f>+BU364/BQ364-1</f>
        <v>#DIV/0!</v>
      </c>
      <c r="BV365" s="3967" t="e">
        <f>+BV364/BR364-1</f>
        <v>#DIV/0!</v>
      </c>
      <c r="BW365" s="3971"/>
      <c r="BX365" s="3967"/>
      <c r="BY365" s="3967"/>
      <c r="BZ365" s="3967"/>
      <c r="CA365" s="3967"/>
      <c r="CB365" s="3967"/>
      <c r="CC365" s="3967"/>
      <c r="CD365" s="3967"/>
      <c r="CE365" s="3971"/>
      <c r="CF365" s="3967"/>
      <c r="CG365" s="3967"/>
      <c r="CH365" s="3967"/>
      <c r="CI365" s="3971">
        <f t="shared" ref="CI365:CN365" si="625">+CI364/CE364-1</f>
        <v>3.8834951456310662E-2</v>
      </c>
      <c r="CJ365" s="3967">
        <f t="shared" si="625"/>
        <v>0.1132075471698113</v>
      </c>
      <c r="CK365" s="3967">
        <f t="shared" si="625"/>
        <v>8.4905660377358583E-2</v>
      </c>
      <c r="CL365" s="3972">
        <f t="shared" si="625"/>
        <v>0.10280373831775691</v>
      </c>
      <c r="CM365" s="3967">
        <f t="shared" si="625"/>
        <v>-3.7383177570093462E-2</v>
      </c>
      <c r="CN365" s="3967">
        <f t="shared" si="625"/>
        <v>-9.3220338983050821E-2</v>
      </c>
      <c r="CO365" s="3967">
        <f>+CO364/CK364-1</f>
        <v>-0.12173913043478257</v>
      </c>
      <c r="CP365" s="3972">
        <f t="shared" ref="CP365" si="626">+CP364/CL364-1</f>
        <v>-0.20338983050847459</v>
      </c>
      <c r="CQ365" s="4018">
        <v>-0.13</v>
      </c>
      <c r="CR365" s="4018">
        <v>-0.13</v>
      </c>
      <c r="CS365" s="4018">
        <v>-0.13</v>
      </c>
      <c r="CT365" s="4020">
        <v>-0.13</v>
      </c>
    </row>
    <row r="366" spans="1:105" outlineLevel="1">
      <c r="A366" s="3965" t="s">
        <v>947</v>
      </c>
      <c r="B366" s="3959"/>
      <c r="C366" s="3960"/>
      <c r="D366" s="3960"/>
      <c r="E366" s="3960"/>
      <c r="F366" s="3960"/>
      <c r="G366" s="3960"/>
      <c r="H366" s="3960"/>
      <c r="I366" s="3960"/>
      <c r="J366" s="3960"/>
      <c r="K366" s="3960"/>
      <c r="L366" s="3960"/>
      <c r="M366" s="3960"/>
      <c r="N366" s="3939"/>
      <c r="O366" s="3975"/>
      <c r="P366" s="3966"/>
      <c r="Q366" s="1897"/>
      <c r="R366" s="2033"/>
      <c r="S366" s="2033"/>
      <c r="T366" s="2033"/>
      <c r="U366" s="355"/>
      <c r="V366" s="355"/>
      <c r="W366" s="355"/>
      <c r="X366" s="355"/>
      <c r="Y366" s="355"/>
      <c r="Z366" s="355"/>
      <c r="AA366" s="355"/>
      <c r="AB366" s="355"/>
      <c r="AC366" s="355"/>
      <c r="AD366" s="355"/>
      <c r="AE366" s="355"/>
      <c r="AF366" s="2049"/>
      <c r="AG366" s="2553"/>
      <c r="AH366" s="3921"/>
      <c r="AI366" s="3960"/>
      <c r="AJ366" s="3960"/>
      <c r="AK366" s="3960"/>
      <c r="AL366" s="3960"/>
      <c r="AM366" s="3960"/>
      <c r="AN366" s="3960"/>
      <c r="AO366" s="3960"/>
      <c r="AP366" s="3960"/>
      <c r="AQ366" s="3960"/>
      <c r="AR366" s="3960"/>
      <c r="AS366" s="3960"/>
      <c r="AT366" s="3960"/>
      <c r="AU366" s="3960"/>
      <c r="AV366" s="3960"/>
      <c r="AW366" s="3960"/>
      <c r="AX366" s="3960"/>
      <c r="AY366" s="3960"/>
      <c r="AZ366" s="3960"/>
      <c r="BA366" s="3960"/>
      <c r="BB366" s="3960"/>
      <c r="BC366" s="3961"/>
      <c r="BD366" s="3962"/>
      <c r="BE366" s="3962"/>
      <c r="BF366" s="3962"/>
      <c r="BG366" s="3961"/>
      <c r="BH366" s="3962"/>
      <c r="BI366" s="3962"/>
      <c r="BJ366" s="3962"/>
      <c r="BK366" s="2051"/>
      <c r="BL366" s="2069"/>
      <c r="BM366" s="2069"/>
      <c r="BN366" s="2069"/>
      <c r="BO366" s="3968"/>
      <c r="BP366" s="3969"/>
      <c r="BQ366" s="3969"/>
      <c r="BR366" s="3970"/>
      <c r="BS366" s="3967" t="e">
        <f>+BS364/BR364-1</f>
        <v>#DIV/0!</v>
      </c>
      <c r="BT366" s="3967" t="e">
        <f>+BT364/BS364-1</f>
        <v>#DIV/0!</v>
      </c>
      <c r="BU366" s="3967" t="e">
        <f>+BU364/BT364-1</f>
        <v>#DIV/0!</v>
      </c>
      <c r="BV366" s="3967" t="e">
        <f>+BV364/BU364-1</f>
        <v>#DIV/0!</v>
      </c>
      <c r="BW366" s="3971"/>
      <c r="BX366" s="3967"/>
      <c r="BY366" s="3967"/>
      <c r="BZ366" s="3967"/>
      <c r="CA366" s="3967"/>
      <c r="CB366" s="3967"/>
      <c r="CC366" s="3967"/>
      <c r="CD366" s="3967"/>
      <c r="CE366" s="3971"/>
      <c r="CF366" s="3967">
        <f t="shared" ref="CF366:CM366" si="627">+CF364/CE364-1</f>
        <v>2.9126213592232997E-2</v>
      </c>
      <c r="CG366" s="3967">
        <f t="shared" si="627"/>
        <v>0</v>
      </c>
      <c r="CH366" s="3972">
        <f t="shared" si="627"/>
        <v>9.4339622641510523E-3</v>
      </c>
      <c r="CI366" s="3971">
        <f t="shared" si="627"/>
        <v>0</v>
      </c>
      <c r="CJ366" s="3967">
        <f t="shared" si="627"/>
        <v>0.10280373831775691</v>
      </c>
      <c r="CK366" s="3967">
        <f t="shared" si="627"/>
        <v>-2.5423728813559365E-2</v>
      </c>
      <c r="CL366" s="3972">
        <f t="shared" si="627"/>
        <v>2.6086956521739202E-2</v>
      </c>
      <c r="CM366" s="3967">
        <f t="shared" si="627"/>
        <v>-0.1271186440677966</v>
      </c>
      <c r="CN366" s="3967">
        <f>+CN364/CM364-1</f>
        <v>3.8834951456310662E-2</v>
      </c>
      <c r="CO366" s="3967">
        <f>+CO364/CN364-1</f>
        <v>-5.6074766355140193E-2</v>
      </c>
      <c r="CP366" s="3972">
        <f t="shared" ref="CP366" si="628">+CP364/CO364-1</f>
        <v>-6.9306930693069257E-2</v>
      </c>
      <c r="CQ366" s="3967">
        <f>+CQ364/CP364-1</f>
        <v>-4.6702127659574488E-2</v>
      </c>
      <c r="CR366" s="3967">
        <f>+CR364/CQ364-1</f>
        <v>3.8834951456310662E-2</v>
      </c>
      <c r="CS366" s="3967">
        <f>+CS364/CR364-1</f>
        <v>-5.6074766355140193E-2</v>
      </c>
      <c r="CT366" s="3972">
        <f>+CT364/CS364-1</f>
        <v>-6.9306930693069368E-2</v>
      </c>
    </row>
    <row r="367" spans="1:105" s="285" customFormat="1" outlineLevel="1">
      <c r="A367" s="3488" t="s">
        <v>1669</v>
      </c>
      <c r="B367" s="3487"/>
      <c r="C367" s="3488"/>
      <c r="D367" s="3488"/>
      <c r="E367" s="3488"/>
      <c r="F367" s="3488"/>
      <c r="G367" s="3488"/>
      <c r="H367" s="3488"/>
      <c r="I367" s="3488"/>
      <c r="J367" s="3488"/>
      <c r="K367" s="3488"/>
      <c r="L367" s="3488"/>
      <c r="M367" s="3488"/>
      <c r="N367" s="3488"/>
      <c r="O367" s="3488"/>
      <c r="Q367" s="3492">
        <f t="shared" ref="Q367:W367" si="629">+Q352+Q355+Q358+Q361+Q364</f>
        <v>7777</v>
      </c>
      <c r="R367" s="3497">
        <f t="shared" si="629"/>
        <v>8098</v>
      </c>
      <c r="S367" s="3493">
        <f t="shared" si="629"/>
        <v>7725</v>
      </c>
      <c r="T367" s="3493">
        <f>+T352+T355+T358+T361+T364</f>
        <v>7700.9079999999994</v>
      </c>
      <c r="U367" s="3493">
        <f t="shared" si="629"/>
        <v>7957.1366849999995</v>
      </c>
      <c r="V367" s="3493">
        <f t="shared" si="629"/>
        <v>8158.6167315749999</v>
      </c>
      <c r="W367" s="3493">
        <f t="shared" si="629"/>
        <v>8365.8523635821239</v>
      </c>
      <c r="X367" s="3493">
        <f t="shared" ref="X367:AF367" si="630">+X352+X355+X358+X361+X364</f>
        <v>8579.019102187538</v>
      </c>
      <c r="Y367" s="3493">
        <f t="shared" si="630"/>
        <v>8798.2980933117415</v>
      </c>
      <c r="Z367" s="3493">
        <f t="shared" si="630"/>
        <v>9023.8762941262466</v>
      </c>
      <c r="AA367" s="3493">
        <f t="shared" si="630"/>
        <v>9255.9466658702295</v>
      </c>
      <c r="AB367" s="3493">
        <f t="shared" si="630"/>
        <v>9494.7083732042447</v>
      </c>
      <c r="AC367" s="3493">
        <f t="shared" si="630"/>
        <v>9740.3669903255213</v>
      </c>
      <c r="AD367" s="3493">
        <f t="shared" si="630"/>
        <v>9993.134714077225</v>
      </c>
      <c r="AE367" s="3493">
        <f t="shared" si="630"/>
        <v>10253.230584292043</v>
      </c>
      <c r="AF367" s="3493">
        <f t="shared" si="630"/>
        <v>10520.880711618824</v>
      </c>
      <c r="AG367" s="3494"/>
      <c r="AH367" s="3495"/>
      <c r="AI367" s="3495"/>
      <c r="AJ367" s="3495"/>
      <c r="AK367" s="3495"/>
      <c r="AL367" s="3495"/>
      <c r="AM367" s="3495"/>
      <c r="AN367" s="3495"/>
      <c r="AO367" s="3495"/>
      <c r="AP367" s="3495"/>
      <c r="AQ367" s="3495"/>
      <c r="AR367" s="3495"/>
      <c r="AS367" s="3495"/>
      <c r="AT367" s="3495"/>
      <c r="AU367" s="3495"/>
      <c r="AV367" s="3495"/>
      <c r="AW367" s="3495"/>
      <c r="AX367" s="3495"/>
      <c r="AY367" s="3495"/>
      <c r="AZ367" s="3495"/>
      <c r="BA367" s="3495"/>
      <c r="BB367" s="3495"/>
      <c r="BC367" s="3495"/>
      <c r="BD367" s="3495"/>
      <c r="BE367" s="3495"/>
      <c r="BF367" s="3495"/>
      <c r="BG367" s="3495"/>
      <c r="BH367" s="3495"/>
      <c r="BI367" s="3495"/>
      <c r="BJ367" s="3495"/>
      <c r="BK367" s="3495"/>
      <c r="BL367" s="3495"/>
      <c r="BM367" s="3495"/>
      <c r="BN367" s="3495"/>
      <c r="BO367" s="3495"/>
      <c r="BP367" s="3495"/>
      <c r="BQ367" s="3495"/>
      <c r="BR367" s="3495"/>
      <c r="BS367" s="3495"/>
      <c r="BT367" s="3495"/>
      <c r="BU367" s="3495"/>
      <c r="BV367" s="3495"/>
      <c r="BW367" s="3492"/>
      <c r="BX367" s="3493"/>
      <c r="BY367" s="3493"/>
      <c r="BZ367" s="3493"/>
      <c r="CA367" s="3493"/>
      <c r="CB367" s="3493"/>
      <c r="CC367" s="3493"/>
      <c r="CD367" s="3493"/>
      <c r="CE367" s="3492">
        <f>+CE352+CE355+CE358+CE361+CE364</f>
        <v>1903</v>
      </c>
      <c r="CF367" s="3493">
        <f t="shared" ref="CF367:CL367" si="631">+CF352+CF355+CF358+CF361+CF364</f>
        <v>1929</v>
      </c>
      <c r="CG367" s="3493">
        <f t="shared" si="631"/>
        <v>1941</v>
      </c>
      <c r="CH367" s="3496">
        <f t="shared" si="631"/>
        <v>2004</v>
      </c>
      <c r="CI367" s="3492">
        <f t="shared" si="631"/>
        <v>2001</v>
      </c>
      <c r="CJ367" s="3666">
        <f t="shared" si="631"/>
        <v>2042</v>
      </c>
      <c r="CK367" s="3493">
        <f t="shared" si="631"/>
        <v>2027</v>
      </c>
      <c r="CL367" s="3496">
        <f t="shared" si="631"/>
        <v>2028</v>
      </c>
      <c r="CM367" s="3493">
        <f>+CM352+CM355+CM358+CM361+CM364</f>
        <v>2013</v>
      </c>
      <c r="CN367" s="3493">
        <f>+CN352+CN355+CN358+CN361+CN364</f>
        <v>1915</v>
      </c>
      <c r="CO367" s="3493">
        <f>+CO352+CO355+CO358+CO361+CO364</f>
        <v>1892</v>
      </c>
      <c r="CP367" s="3496">
        <f t="shared" ref="CP367" si="632">+CP352+CP355+CP358+CP361+CP364</f>
        <v>1905</v>
      </c>
      <c r="CQ367" s="3666">
        <f>+CQ352+CQ355+CQ358+CQ361+CQ364</f>
        <v>1910.075</v>
      </c>
      <c r="CR367" s="3666">
        <f>+CR352+CR355+CR358+CR361+CR364</f>
        <v>1917.3229999999996</v>
      </c>
      <c r="CS367" s="3666">
        <f>+CS352+CS355+CS358+CS361+CS364</f>
        <v>1930.7649999999999</v>
      </c>
      <c r="CT367" s="3496">
        <f>+CT352+CT355+CT358+CT361+CT364</f>
        <v>1942.7449999999999</v>
      </c>
      <c r="CU367" s="68"/>
      <c r="CV367" s="68"/>
      <c r="CW367" s="68"/>
      <c r="CX367" s="68"/>
      <c r="CY367" s="68"/>
      <c r="CZ367" s="68"/>
      <c r="DA367" s="68"/>
    </row>
    <row r="368" spans="1:105" outlineLevel="1">
      <c r="A368" s="68" t="s">
        <v>34</v>
      </c>
      <c r="B368" s="3933"/>
      <c r="M368" s="68"/>
      <c r="Q368" s="3933"/>
      <c r="R368" s="3982">
        <f t="shared" ref="R368:W368" si="633">+R367/Q367-1</f>
        <v>4.1275556127041257E-2</v>
      </c>
      <c r="S368" s="3982">
        <f t="shared" si="633"/>
        <v>-4.606075574215851E-2</v>
      </c>
      <c r="T368" s="3982">
        <f>+T367/S367-1</f>
        <v>-3.1187055016181908E-3</v>
      </c>
      <c r="U368" s="3982">
        <f t="shared" si="633"/>
        <v>3.3272529031641573E-2</v>
      </c>
      <c r="V368" s="3982">
        <f t="shared" si="633"/>
        <v>2.53206718133685E-2</v>
      </c>
      <c r="W368" s="3982">
        <f t="shared" si="633"/>
        <v>2.5400829432898009E-2</v>
      </c>
      <c r="X368" s="3982">
        <f t="shared" ref="X368:AF368" si="634">+X367/W367-1</f>
        <v>2.5480576197275839E-2</v>
      </c>
      <c r="Y368" s="3982">
        <f t="shared" si="634"/>
        <v>2.5559914077856627E-2</v>
      </c>
      <c r="Z368" s="3982">
        <f t="shared" si="634"/>
        <v>2.5638844970027108E-2</v>
      </c>
      <c r="AA368" s="3982">
        <f t="shared" si="634"/>
        <v>2.5717370693018049E-2</v>
      </c>
      <c r="AB368" s="3982">
        <f t="shared" si="634"/>
        <v>2.5795492989864499E-2</v>
      </c>
      <c r="AC368" s="3982">
        <f t="shared" si="634"/>
        <v>2.5873213527502159E-2</v>
      </c>
      <c r="AD368" s="3982">
        <f t="shared" si="634"/>
        <v>2.5950533897004302E-2</v>
      </c>
      <c r="AE368" s="3982">
        <f t="shared" si="634"/>
        <v>2.6027455613945039E-2</v>
      </c>
      <c r="AF368" s="3982">
        <f t="shared" si="634"/>
        <v>2.6103980118892478E-2</v>
      </c>
      <c r="AG368" s="2553"/>
      <c r="AH368" s="68"/>
      <c r="BS368" s="68" t="e">
        <f>+BS367/BO367-1</f>
        <v>#DIV/0!</v>
      </c>
      <c r="BT368" s="68" t="e">
        <f>+BT367/BP367-1</f>
        <v>#DIV/0!</v>
      </c>
      <c r="BU368" s="68" t="e">
        <f>+BU367/BQ367-1</f>
        <v>#DIV/0!</v>
      </c>
      <c r="BV368" s="68" t="e">
        <f>+BV367/BR367-1</f>
        <v>#DIV/0!</v>
      </c>
      <c r="BW368" s="3933"/>
      <c r="CE368" s="3933"/>
      <c r="CF368" s="3982"/>
      <c r="CG368" s="3982"/>
      <c r="CH368" s="4051"/>
      <c r="CI368" s="4052">
        <f t="shared" ref="CI368:CM368" si="635">+CI367/CE367-1</f>
        <v>5.1497635312664158E-2</v>
      </c>
      <c r="CJ368" s="3938">
        <f t="shared" si="635"/>
        <v>5.8579574909279453E-2</v>
      </c>
      <c r="CK368" s="3982">
        <f t="shared" si="635"/>
        <v>4.4307058217413653E-2</v>
      </c>
      <c r="CL368" s="4051">
        <f t="shared" si="635"/>
        <v>1.1976047904191711E-2</v>
      </c>
      <c r="CM368" s="3982">
        <f t="shared" si="635"/>
        <v>5.9970014992503096E-3</v>
      </c>
      <c r="CN368" s="3982">
        <f>+CN367/CJ367-1</f>
        <v>-6.2193927522037229E-2</v>
      </c>
      <c r="CO368" s="3982">
        <f>+CO367/CK367-1</f>
        <v>-6.6600888011840165E-2</v>
      </c>
      <c r="CP368" s="4051">
        <f t="shared" ref="CP368" si="636">+CP367/CL367-1</f>
        <v>-6.0650887573964529E-2</v>
      </c>
      <c r="CQ368" s="3938">
        <f>+CQ367/CM367-1</f>
        <v>-5.1130153999006445E-2</v>
      </c>
      <c r="CR368" s="3938">
        <f>+CR367/CN367-1</f>
        <v>1.213054830287108E-3</v>
      </c>
      <c r="CS368" s="3938">
        <f>+CS367/CO367-1</f>
        <v>2.0488900634249463E-2</v>
      </c>
      <c r="CT368" s="4051">
        <f>+CT367/CP367-1</f>
        <v>1.981364829396326E-2</v>
      </c>
    </row>
    <row r="369" spans="1:98" outlineLevel="1">
      <c r="A369" s="68" t="s">
        <v>947</v>
      </c>
      <c r="B369" s="3933"/>
      <c r="M369" s="68"/>
      <c r="Q369" s="3933"/>
      <c r="AG369" s="2553"/>
      <c r="AH369" s="68"/>
      <c r="BS369" s="68" t="e">
        <f>+BS367/BR367-1</f>
        <v>#DIV/0!</v>
      </c>
      <c r="BT369" s="68" t="e">
        <f>+BT367/BS367-1</f>
        <v>#DIV/0!</v>
      </c>
      <c r="BU369" s="68" t="e">
        <f>+BU367/BT367-1</f>
        <v>#DIV/0!</v>
      </c>
      <c r="BV369" s="68" t="e">
        <f>+BV367/BU367-1</f>
        <v>#DIV/0!</v>
      </c>
      <c r="BW369" s="3992"/>
      <c r="CE369" s="3933"/>
      <c r="CF369" s="3982">
        <f t="shared" ref="CF369:CM369" si="637">+CF367/CE367-1</f>
        <v>1.3662637940094591E-2</v>
      </c>
      <c r="CG369" s="3982">
        <f t="shared" si="637"/>
        <v>6.2208398133747345E-3</v>
      </c>
      <c r="CH369" s="4051">
        <f t="shared" si="637"/>
        <v>3.2457496136012454E-2</v>
      </c>
      <c r="CI369" s="4052">
        <f t="shared" si="637"/>
        <v>-1.4970059880239361E-3</v>
      </c>
      <c r="CJ369" s="3938">
        <f t="shared" si="637"/>
        <v>2.048975512243878E-2</v>
      </c>
      <c r="CK369" s="3982">
        <f t="shared" si="637"/>
        <v>-7.345739471106727E-3</v>
      </c>
      <c r="CL369" s="4051">
        <f t="shared" si="637"/>
        <v>4.9333991119882015E-4</v>
      </c>
      <c r="CM369" s="3982">
        <f t="shared" si="637"/>
        <v>-7.3964497041419941E-3</v>
      </c>
      <c r="CN369" s="3982">
        <f>+CN367/CM367-1</f>
        <v>-4.8683556880278145E-2</v>
      </c>
      <c r="CO369" s="3982">
        <f>+CO367/CN367-1</f>
        <v>-1.2010443864229781E-2</v>
      </c>
      <c r="CP369" s="4051">
        <f t="shared" ref="CP369" si="638">+CP367/CO367-1</f>
        <v>6.8710359408032939E-3</v>
      </c>
      <c r="CQ369" s="3938">
        <f>+CQ367/CP367-1</f>
        <v>2.6640419947507876E-3</v>
      </c>
      <c r="CR369" s="3938">
        <f>+CR367/CQ367-1</f>
        <v>3.7946153946832872E-3</v>
      </c>
      <c r="CS369" s="3938">
        <f>+CS367/CR367-1</f>
        <v>7.0108166438311859E-3</v>
      </c>
      <c r="CT369" s="4051">
        <f>+CT367/CS367-1</f>
        <v>6.2047944726573157E-3</v>
      </c>
    </row>
    <row r="370" spans="1:98" outlineLevel="1">
      <c r="A370" s="4053" t="s">
        <v>1670</v>
      </c>
      <c r="B370" s="4053"/>
      <c r="C370" s="4037"/>
      <c r="D370" s="4037"/>
      <c r="E370" s="4037"/>
      <c r="F370" s="4037"/>
      <c r="G370" s="4037"/>
      <c r="H370" s="4037"/>
      <c r="I370" s="4037"/>
      <c r="J370" s="4037"/>
      <c r="K370" s="4037"/>
      <c r="L370" s="4037"/>
      <c r="M370" s="4037"/>
      <c r="N370" s="4037"/>
      <c r="O370" s="4037"/>
      <c r="P370" s="4037"/>
      <c r="Q370" s="4038">
        <f>SUM(CE370:CH370)</f>
        <v>2587</v>
      </c>
      <c r="R370" s="4039">
        <f>SUM(CI370:CL370)</f>
        <v>2413</v>
      </c>
      <c r="S370" s="4039">
        <f>SUM(CM370:CP370)</f>
        <v>2215</v>
      </c>
      <c r="T370" s="4039">
        <f>SUM(CQ370:CT370)</f>
        <v>2071.0250000000001</v>
      </c>
      <c r="U370" s="4039">
        <f>+T370*(1+U371)</f>
        <v>1936.4083750000002</v>
      </c>
      <c r="V370" s="4039">
        <f>+U370*(1+V371)</f>
        <v>1810.5418306250003</v>
      </c>
      <c r="W370" s="4039">
        <f>+V370*(1+W371)</f>
        <v>1692.8566116343754</v>
      </c>
      <c r="X370" s="4039">
        <f t="shared" ref="X370:AF370" si="639">+W370*(1+X371)</f>
        <v>1582.8209318781412</v>
      </c>
      <c r="Y370" s="4039">
        <f t="shared" si="639"/>
        <v>1479.9375713060622</v>
      </c>
      <c r="Z370" s="4039">
        <f t="shared" si="639"/>
        <v>1383.7416291711681</v>
      </c>
      <c r="AA370" s="4039">
        <f t="shared" si="639"/>
        <v>1293.7984232750423</v>
      </c>
      <c r="AB370" s="4039">
        <f t="shared" si="639"/>
        <v>1209.7015257621647</v>
      </c>
      <c r="AC370" s="4039">
        <f t="shared" si="639"/>
        <v>1131.0709265876239</v>
      </c>
      <c r="AD370" s="4039">
        <f t="shared" si="639"/>
        <v>1057.5513163594285</v>
      </c>
      <c r="AE370" s="4039">
        <f t="shared" si="639"/>
        <v>988.81048079606569</v>
      </c>
      <c r="AF370" s="4039">
        <f t="shared" si="639"/>
        <v>924.5377995443215</v>
      </c>
      <c r="AG370" s="2553"/>
      <c r="BW370" s="4040"/>
      <c r="BX370" s="4037"/>
      <c r="BY370" s="4037"/>
      <c r="BZ370" s="4037"/>
      <c r="CA370" s="4037"/>
      <c r="CB370" s="4037"/>
      <c r="CC370" s="4041"/>
      <c r="CD370" s="4041"/>
      <c r="CE370" s="4040">
        <v>670</v>
      </c>
      <c r="CF370" s="4041">
        <v>648</v>
      </c>
      <c r="CG370" s="4041">
        <v>638</v>
      </c>
      <c r="CH370" s="4041">
        <v>631</v>
      </c>
      <c r="CI370" s="4040">
        <v>622</v>
      </c>
      <c r="CJ370" s="4041">
        <v>611</v>
      </c>
      <c r="CK370" s="4041">
        <v>601</v>
      </c>
      <c r="CL370" s="4054">
        <v>579</v>
      </c>
      <c r="CM370" s="4041">
        <v>573</v>
      </c>
      <c r="CN370" s="4041">
        <v>558</v>
      </c>
      <c r="CO370" s="4041">
        <v>551</v>
      </c>
      <c r="CP370" s="4054">
        <v>533</v>
      </c>
      <c r="CQ370" s="4043">
        <f>+CM370*(1+CQ371)</f>
        <v>535.755</v>
      </c>
      <c r="CR370" s="4043">
        <f>+CN370*(1+CR371)</f>
        <v>521.73</v>
      </c>
      <c r="CS370" s="4043">
        <f>+CO370*(1+CS371)</f>
        <v>515.18500000000006</v>
      </c>
      <c r="CT370" s="4044">
        <f>+CP370*(1+CT371)</f>
        <v>498.35500000000002</v>
      </c>
    </row>
    <row r="371" spans="1:98" outlineLevel="1">
      <c r="A371" s="3965" t="s">
        <v>34</v>
      </c>
      <c r="B371" s="3933"/>
      <c r="C371" s="3876"/>
      <c r="D371" s="3876"/>
      <c r="E371" s="3876"/>
      <c r="F371" s="3876"/>
      <c r="G371" s="3876"/>
      <c r="H371" s="3876"/>
      <c r="I371" s="3876"/>
      <c r="J371" s="3876"/>
      <c r="K371" s="3876"/>
      <c r="L371" s="3876"/>
      <c r="N371" s="3876"/>
      <c r="O371" s="3876"/>
      <c r="P371" s="3876"/>
      <c r="Q371" s="3946"/>
      <c r="R371" s="3942">
        <f>+R370/Q370-1</f>
        <v>-6.7259373792037058E-2</v>
      </c>
      <c r="S371" s="3942">
        <f>+S370/R370-1</f>
        <v>-8.2055532532117725E-2</v>
      </c>
      <c r="T371" s="3942">
        <f>+T370/S370-1</f>
        <v>-6.4999999999999947E-2</v>
      </c>
      <c r="U371" s="4018">
        <f>+T371</f>
        <v>-6.4999999999999947E-2</v>
      </c>
      <c r="V371" s="4018">
        <f>+U371</f>
        <v>-6.4999999999999947E-2</v>
      </c>
      <c r="W371" s="4018">
        <f>+V371</f>
        <v>-6.4999999999999947E-2</v>
      </c>
      <c r="X371" s="4018">
        <f t="shared" ref="X371:AF371" si="640">+W371</f>
        <v>-6.4999999999999947E-2</v>
      </c>
      <c r="Y371" s="4018">
        <f t="shared" si="640"/>
        <v>-6.4999999999999947E-2</v>
      </c>
      <c r="Z371" s="4018">
        <f t="shared" si="640"/>
        <v>-6.4999999999999947E-2</v>
      </c>
      <c r="AA371" s="4018">
        <f t="shared" si="640"/>
        <v>-6.4999999999999947E-2</v>
      </c>
      <c r="AB371" s="4018">
        <f t="shared" si="640"/>
        <v>-6.4999999999999947E-2</v>
      </c>
      <c r="AC371" s="4018">
        <f t="shared" si="640"/>
        <v>-6.4999999999999947E-2</v>
      </c>
      <c r="AD371" s="4018">
        <f t="shared" si="640"/>
        <v>-6.4999999999999947E-2</v>
      </c>
      <c r="AE371" s="4018">
        <f t="shared" si="640"/>
        <v>-6.4999999999999947E-2</v>
      </c>
      <c r="AF371" s="4020">
        <f t="shared" si="640"/>
        <v>-6.4999999999999947E-2</v>
      </c>
      <c r="AG371" s="2553"/>
      <c r="AH371" s="2714"/>
      <c r="AI371" s="114"/>
      <c r="AJ371" s="114"/>
      <c r="AK371" s="114"/>
      <c r="AL371" s="114"/>
      <c r="AM371" s="114"/>
      <c r="AN371" s="114"/>
      <c r="AO371" s="114"/>
      <c r="AP371" s="114"/>
      <c r="AQ371" s="114"/>
      <c r="AR371" s="114"/>
      <c r="AS371" s="114"/>
      <c r="AT371" s="114"/>
      <c r="AU371" s="114"/>
      <c r="AV371" s="114"/>
      <c r="AW371" s="114"/>
      <c r="AX371" s="114"/>
      <c r="AY371" s="114"/>
      <c r="AZ371" s="114"/>
      <c r="BA371" s="114"/>
      <c r="BB371" s="114"/>
      <c r="BC371" s="2050"/>
      <c r="BD371" s="2067"/>
      <c r="BE371" s="2067"/>
      <c r="BF371" s="2067"/>
      <c r="BG371" s="2050"/>
      <c r="BH371" s="2067"/>
      <c r="BI371" s="2067"/>
      <c r="BJ371" s="2067"/>
      <c r="BK371" s="2045"/>
      <c r="BL371" s="2047"/>
      <c r="BM371" s="2047"/>
      <c r="BN371" s="2047"/>
      <c r="BO371" s="2301"/>
      <c r="BP371" s="2302"/>
      <c r="BQ371" s="2302"/>
      <c r="BR371" s="2303"/>
      <c r="BS371" s="3967" t="e">
        <f>+BS370/BO370-1</f>
        <v>#DIV/0!</v>
      </c>
      <c r="BT371" s="3967" t="e">
        <f>+BT370/BP370-1</f>
        <v>#DIV/0!</v>
      </c>
      <c r="BU371" s="3967" t="e">
        <f>+BU370/BQ370-1</f>
        <v>#DIV/0!</v>
      </c>
      <c r="BV371" s="3967" t="e">
        <f>+BV370/BR370-1</f>
        <v>#DIV/0!</v>
      </c>
      <c r="BW371" s="3971"/>
      <c r="BX371" s="3876"/>
      <c r="BY371" s="3876"/>
      <c r="BZ371" s="3876"/>
      <c r="CA371" s="3876"/>
      <c r="CB371" s="3876"/>
      <c r="CC371" s="3967"/>
      <c r="CD371" s="3967"/>
      <c r="CE371" s="3971"/>
      <c r="CF371" s="3967"/>
      <c r="CG371" s="3967"/>
      <c r="CH371" s="3967"/>
      <c r="CI371" s="3971">
        <f t="shared" ref="CI371:CN371" si="641">+CI370/CE370-1</f>
        <v>-7.1641791044776082E-2</v>
      </c>
      <c r="CJ371" s="3967">
        <f t="shared" si="641"/>
        <v>-5.7098765432098797E-2</v>
      </c>
      <c r="CK371" s="3967">
        <f t="shared" si="641"/>
        <v>-5.7993730407523536E-2</v>
      </c>
      <c r="CL371" s="3972">
        <f t="shared" si="641"/>
        <v>-8.2408874801901733E-2</v>
      </c>
      <c r="CM371" s="3967">
        <f t="shared" si="641"/>
        <v>-7.8778135048231501E-2</v>
      </c>
      <c r="CN371" s="3967">
        <f t="shared" si="641"/>
        <v>-8.6743044189852681E-2</v>
      </c>
      <c r="CO371" s="3967">
        <f>+CO370/CK370-1</f>
        <v>-8.3194675540765428E-2</v>
      </c>
      <c r="CP371" s="3972">
        <f t="shared" ref="CP371" si="642">+CP370/CL370-1</f>
        <v>-7.9447322970639056E-2</v>
      </c>
      <c r="CQ371" s="4018">
        <v>-6.5000000000000002E-2</v>
      </c>
      <c r="CR371" s="4018">
        <v>-6.5000000000000002E-2</v>
      </c>
      <c r="CS371" s="4018">
        <v>-6.5000000000000002E-2</v>
      </c>
      <c r="CT371" s="4020">
        <v>-6.5000000000000002E-2</v>
      </c>
    </row>
    <row r="372" spans="1:98" outlineLevel="1">
      <c r="A372" s="3965" t="s">
        <v>947</v>
      </c>
      <c r="B372" s="3933"/>
      <c r="C372" s="3876"/>
      <c r="D372" s="3876"/>
      <c r="E372" s="3876"/>
      <c r="F372" s="3876"/>
      <c r="G372" s="3876"/>
      <c r="H372" s="3876"/>
      <c r="I372" s="3876"/>
      <c r="J372" s="3876"/>
      <c r="K372" s="3876"/>
      <c r="L372" s="3876"/>
      <c r="N372" s="3876"/>
      <c r="O372" s="3876"/>
      <c r="P372" s="3876"/>
      <c r="Q372" s="1897"/>
      <c r="R372" s="2033"/>
      <c r="S372" s="2033"/>
      <c r="T372" s="2033"/>
      <c r="U372" s="355"/>
      <c r="V372" s="355"/>
      <c r="W372" s="355"/>
      <c r="X372" s="355"/>
      <c r="Y372" s="355"/>
      <c r="Z372" s="355"/>
      <c r="AA372" s="355"/>
      <c r="AB372" s="355"/>
      <c r="AC372" s="355"/>
      <c r="AD372" s="355"/>
      <c r="AE372" s="355"/>
      <c r="AF372" s="2049"/>
      <c r="AG372" s="2553"/>
      <c r="AH372" s="3921"/>
      <c r="AI372" s="3960"/>
      <c r="AJ372" s="3960"/>
      <c r="AK372" s="3960"/>
      <c r="AL372" s="3960"/>
      <c r="AM372" s="3960"/>
      <c r="AN372" s="3960"/>
      <c r="AO372" s="3960"/>
      <c r="AP372" s="3960"/>
      <c r="AQ372" s="3960"/>
      <c r="AR372" s="3960"/>
      <c r="AS372" s="3960"/>
      <c r="AT372" s="3960"/>
      <c r="AU372" s="3960"/>
      <c r="AV372" s="3960"/>
      <c r="AW372" s="3960"/>
      <c r="AX372" s="3960"/>
      <c r="AY372" s="3960"/>
      <c r="AZ372" s="3960"/>
      <c r="BA372" s="3960"/>
      <c r="BB372" s="3960"/>
      <c r="BC372" s="3961"/>
      <c r="BD372" s="3962"/>
      <c r="BE372" s="3962"/>
      <c r="BF372" s="3962"/>
      <c r="BG372" s="3961"/>
      <c r="BH372" s="3962"/>
      <c r="BI372" s="3962"/>
      <c r="BJ372" s="3962"/>
      <c r="BK372" s="2051"/>
      <c r="BL372" s="2069"/>
      <c r="BM372" s="2069"/>
      <c r="BN372" s="2069"/>
      <c r="BO372" s="3968"/>
      <c r="BP372" s="3969"/>
      <c r="BQ372" s="3969"/>
      <c r="BR372" s="3970"/>
      <c r="BS372" s="3967" t="e">
        <f>+BS370/BR370-1</f>
        <v>#DIV/0!</v>
      </c>
      <c r="BT372" s="3967" t="e">
        <f>+BT370/BS370-1</f>
        <v>#DIV/0!</v>
      </c>
      <c r="BU372" s="3967" t="e">
        <f>+BU370/BT370-1</f>
        <v>#DIV/0!</v>
      </c>
      <c r="BV372" s="3967" t="e">
        <f>+BV370/BU370-1</f>
        <v>#DIV/0!</v>
      </c>
      <c r="BW372" s="3971"/>
      <c r="BX372" s="3876"/>
      <c r="BY372" s="3876"/>
      <c r="BZ372" s="3876"/>
      <c r="CA372" s="3876"/>
      <c r="CB372" s="3876"/>
      <c r="CC372" s="3967"/>
      <c r="CD372" s="3967"/>
      <c r="CE372" s="3971"/>
      <c r="CF372" s="3967">
        <f t="shared" ref="CF372:CM372" si="643">+CF370/CE370-1</f>
        <v>-3.2835820895522394E-2</v>
      </c>
      <c r="CG372" s="3967">
        <f t="shared" si="643"/>
        <v>-1.5432098765432056E-2</v>
      </c>
      <c r="CH372" s="3967">
        <f t="shared" si="643"/>
        <v>-1.0971786833855801E-2</v>
      </c>
      <c r="CI372" s="3971">
        <f t="shared" si="643"/>
        <v>-1.4263074484944571E-2</v>
      </c>
      <c r="CJ372" s="3967">
        <f t="shared" si="643"/>
        <v>-1.7684887459807119E-2</v>
      </c>
      <c r="CK372" s="3967">
        <f t="shared" si="643"/>
        <v>-1.6366612111292977E-2</v>
      </c>
      <c r="CL372" s="3972">
        <f t="shared" si="643"/>
        <v>-3.660565723793674E-2</v>
      </c>
      <c r="CM372" s="3967">
        <f t="shared" si="643"/>
        <v>-1.0362694300518172E-2</v>
      </c>
      <c r="CN372" s="3967">
        <f>+CN370/CM370-1</f>
        <v>-2.6178010471204161E-2</v>
      </c>
      <c r="CO372" s="3967">
        <f>+CO370/CN370-1</f>
        <v>-1.2544802867383464E-2</v>
      </c>
      <c r="CP372" s="3972">
        <f t="shared" ref="CP372" si="644">+CP370/CO370-1</f>
        <v>-3.2667876588021727E-2</v>
      </c>
      <c r="CQ372" s="3967">
        <f>+CQ370/CP370-1</f>
        <v>5.1688555347091381E-3</v>
      </c>
      <c r="CR372" s="3967">
        <f>+CR370/CQ370-1</f>
        <v>-2.6178010471204161E-2</v>
      </c>
      <c r="CS372" s="3967">
        <f>+CS370/CR370-1</f>
        <v>-1.2544802867383464E-2</v>
      </c>
      <c r="CT372" s="3972">
        <f>+CT370/CS370-1</f>
        <v>-3.2667876588021838E-2</v>
      </c>
    </row>
    <row r="373" spans="1:98" outlineLevel="1">
      <c r="A373" s="3933" t="s">
        <v>1671</v>
      </c>
      <c r="B373" s="3933"/>
      <c r="C373" s="3876"/>
      <c r="D373" s="3876"/>
      <c r="E373" s="3876"/>
      <c r="F373" s="3876"/>
      <c r="G373" s="3876"/>
      <c r="H373" s="3876"/>
      <c r="I373" s="3876"/>
      <c r="J373" s="3876"/>
      <c r="K373" s="3876"/>
      <c r="L373" s="3876"/>
      <c r="N373" s="3876"/>
      <c r="O373" s="3876"/>
      <c r="P373" s="3876"/>
      <c r="Q373" s="3941">
        <f>SUM(CE373:CH373)</f>
        <v>1594</v>
      </c>
      <c r="R373" s="3952">
        <f>SUM(CI373:CL373)</f>
        <v>1381</v>
      </c>
      <c r="S373" s="3952">
        <f>SUM(CM373:CP373)</f>
        <v>1179</v>
      </c>
      <c r="T373" s="3952">
        <f>SUM(CQ373:CT373)</f>
        <v>1013.9399999999999</v>
      </c>
      <c r="U373" s="3881">
        <f>+T373*(1+U374)</f>
        <v>871.98839999999996</v>
      </c>
      <c r="V373" s="3881">
        <f>+U373*(1+V374)</f>
        <v>749.91002399999991</v>
      </c>
      <c r="W373" s="3881">
        <f>+V373*(1+W374)</f>
        <v>644.92262063999988</v>
      </c>
      <c r="X373" s="3881">
        <f t="shared" ref="X373:AF373" si="645">+W373*(1+X374)</f>
        <v>554.63345375039989</v>
      </c>
      <c r="Y373" s="3881">
        <f t="shared" si="645"/>
        <v>476.98477022534388</v>
      </c>
      <c r="Z373" s="3881">
        <f t="shared" si="645"/>
        <v>410.20690239379576</v>
      </c>
      <c r="AA373" s="3881">
        <f t="shared" si="645"/>
        <v>352.77793605866435</v>
      </c>
      <c r="AB373" s="3881">
        <f t="shared" si="645"/>
        <v>303.38902501045135</v>
      </c>
      <c r="AC373" s="3881">
        <f t="shared" si="645"/>
        <v>260.91456150898813</v>
      </c>
      <c r="AD373" s="3881">
        <f t="shared" si="645"/>
        <v>224.38652289772978</v>
      </c>
      <c r="AE373" s="3881">
        <f t="shared" si="645"/>
        <v>192.97240969204759</v>
      </c>
      <c r="AF373" s="71">
        <f t="shared" si="645"/>
        <v>165.95627233516092</v>
      </c>
      <c r="AG373" s="2553"/>
      <c r="BW373" s="4045"/>
      <c r="BX373" s="3876"/>
      <c r="BY373" s="3876"/>
      <c r="BZ373" s="3876"/>
      <c r="CA373" s="3876"/>
      <c r="CB373" s="3876"/>
      <c r="CC373" s="4046"/>
      <c r="CD373" s="4046"/>
      <c r="CE373" s="4045">
        <v>419</v>
      </c>
      <c r="CF373" s="4046">
        <v>403</v>
      </c>
      <c r="CG373" s="4046">
        <v>391</v>
      </c>
      <c r="CH373" s="4046">
        <v>381</v>
      </c>
      <c r="CI373" s="4045">
        <v>365</v>
      </c>
      <c r="CJ373" s="4046">
        <v>352</v>
      </c>
      <c r="CK373" s="4046">
        <v>339</v>
      </c>
      <c r="CL373" s="4050">
        <v>325</v>
      </c>
      <c r="CM373" s="4046">
        <v>314</v>
      </c>
      <c r="CN373" s="4046">
        <v>302</v>
      </c>
      <c r="CO373" s="4046">
        <v>289</v>
      </c>
      <c r="CP373" s="4050">
        <v>274</v>
      </c>
      <c r="CQ373" s="3934">
        <f>+CM373*(1+CQ374)</f>
        <v>270.04000000000002</v>
      </c>
      <c r="CR373" s="3934">
        <f>+CN373*(1+CR374)</f>
        <v>259.71999999999997</v>
      </c>
      <c r="CS373" s="3934">
        <f>+CO373*(1+CS374)</f>
        <v>248.54</v>
      </c>
      <c r="CT373" s="4047">
        <f>+CP373*(1+CT374)</f>
        <v>235.64</v>
      </c>
    </row>
    <row r="374" spans="1:98" outlineLevel="1">
      <c r="A374" s="3965" t="s">
        <v>34</v>
      </c>
      <c r="B374" s="3933"/>
      <c r="C374" s="3876"/>
      <c r="D374" s="3876"/>
      <c r="E374" s="3876"/>
      <c r="F374" s="3876"/>
      <c r="G374" s="3876"/>
      <c r="H374" s="3876"/>
      <c r="I374" s="3876"/>
      <c r="J374" s="3876"/>
      <c r="K374" s="3876"/>
      <c r="L374" s="3876"/>
      <c r="N374" s="3876"/>
      <c r="O374" s="3876"/>
      <c r="P374" s="3876"/>
      <c r="Q374" s="3946"/>
      <c r="R374" s="3942">
        <f>+R373/Q373-1</f>
        <v>-0.1336260978670013</v>
      </c>
      <c r="S374" s="3942">
        <f>+S373/R373-1</f>
        <v>-0.14627081824764665</v>
      </c>
      <c r="T374" s="3942">
        <f>+T373/S373-1</f>
        <v>-0.14000000000000001</v>
      </c>
      <c r="U374" s="4018">
        <f>+T374</f>
        <v>-0.14000000000000001</v>
      </c>
      <c r="V374" s="4018">
        <f>+U374</f>
        <v>-0.14000000000000001</v>
      </c>
      <c r="W374" s="4018">
        <f>+V374</f>
        <v>-0.14000000000000001</v>
      </c>
      <c r="X374" s="4018">
        <f t="shared" ref="X374:AF374" si="646">+W374</f>
        <v>-0.14000000000000001</v>
      </c>
      <c r="Y374" s="4018">
        <f t="shared" si="646"/>
        <v>-0.14000000000000001</v>
      </c>
      <c r="Z374" s="4018">
        <f t="shared" si="646"/>
        <v>-0.14000000000000001</v>
      </c>
      <c r="AA374" s="4018">
        <f t="shared" si="646"/>
        <v>-0.14000000000000001</v>
      </c>
      <c r="AB374" s="4018">
        <f t="shared" si="646"/>
        <v>-0.14000000000000001</v>
      </c>
      <c r="AC374" s="4018">
        <f t="shared" si="646"/>
        <v>-0.14000000000000001</v>
      </c>
      <c r="AD374" s="4018">
        <f t="shared" si="646"/>
        <v>-0.14000000000000001</v>
      </c>
      <c r="AE374" s="4018">
        <f t="shared" si="646"/>
        <v>-0.14000000000000001</v>
      </c>
      <c r="AF374" s="4020">
        <f t="shared" si="646"/>
        <v>-0.14000000000000001</v>
      </c>
      <c r="AG374" s="2553"/>
      <c r="AH374" s="2714"/>
      <c r="AI374" s="114"/>
      <c r="AJ374" s="114"/>
      <c r="AK374" s="114"/>
      <c r="AL374" s="114"/>
      <c r="AM374" s="114"/>
      <c r="AN374" s="114"/>
      <c r="AO374" s="114"/>
      <c r="AP374" s="114"/>
      <c r="AQ374" s="114"/>
      <c r="AR374" s="114"/>
      <c r="AS374" s="114"/>
      <c r="AT374" s="114"/>
      <c r="AU374" s="114"/>
      <c r="AV374" s="114"/>
      <c r="AW374" s="114"/>
      <c r="AX374" s="114"/>
      <c r="AY374" s="114"/>
      <c r="AZ374" s="114"/>
      <c r="BA374" s="114"/>
      <c r="BB374" s="114"/>
      <c r="BC374" s="2050"/>
      <c r="BD374" s="2067"/>
      <c r="BE374" s="2067"/>
      <c r="BF374" s="2067"/>
      <c r="BG374" s="2050"/>
      <c r="BH374" s="2067"/>
      <c r="BI374" s="2067"/>
      <c r="BJ374" s="2067"/>
      <c r="BK374" s="2045"/>
      <c r="BL374" s="2047"/>
      <c r="BM374" s="2047"/>
      <c r="BN374" s="2047"/>
      <c r="BO374" s="2301"/>
      <c r="BP374" s="2302"/>
      <c r="BQ374" s="2302"/>
      <c r="BR374" s="2303"/>
      <c r="BS374" s="3967" t="e">
        <f>+BS373/BO373-1</f>
        <v>#DIV/0!</v>
      </c>
      <c r="BT374" s="3967" t="e">
        <f>+BT373/BP373-1</f>
        <v>#DIV/0!</v>
      </c>
      <c r="BU374" s="3967" t="e">
        <f>+BU373/BQ373-1</f>
        <v>#DIV/0!</v>
      </c>
      <c r="BV374" s="3967" t="e">
        <f>+BV373/BR373-1</f>
        <v>#DIV/0!</v>
      </c>
      <c r="BW374" s="3971"/>
      <c r="BX374" s="3876"/>
      <c r="BY374" s="3876"/>
      <c r="BZ374" s="3876"/>
      <c r="CA374" s="3876"/>
      <c r="CB374" s="3876"/>
      <c r="CC374" s="3967"/>
      <c r="CD374" s="3967"/>
      <c r="CE374" s="3971"/>
      <c r="CF374" s="3967"/>
      <c r="CG374" s="3967"/>
      <c r="CH374" s="3972"/>
      <c r="CI374" s="3971">
        <f t="shared" ref="CI374:CN374" si="647">+CI373/CE373-1</f>
        <v>-0.12887828162291171</v>
      </c>
      <c r="CJ374" s="3967">
        <f t="shared" si="647"/>
        <v>-0.12655086848635233</v>
      </c>
      <c r="CK374" s="3967">
        <f t="shared" si="647"/>
        <v>-0.13299232736572886</v>
      </c>
      <c r="CL374" s="3972">
        <f t="shared" si="647"/>
        <v>-0.14698162729658792</v>
      </c>
      <c r="CM374" s="3967">
        <f t="shared" si="647"/>
        <v>-0.13972602739726026</v>
      </c>
      <c r="CN374" s="3967">
        <f t="shared" si="647"/>
        <v>-0.14204545454545459</v>
      </c>
      <c r="CO374" s="3967">
        <f>+CO373/CK373-1</f>
        <v>-0.14749262536873153</v>
      </c>
      <c r="CP374" s="3972">
        <f t="shared" ref="CP374" si="648">+CP373/CL373-1</f>
        <v>-0.15692307692307694</v>
      </c>
      <c r="CQ374" s="4018">
        <v>-0.14000000000000001</v>
      </c>
      <c r="CR374" s="4018">
        <v>-0.14000000000000001</v>
      </c>
      <c r="CS374" s="4018">
        <v>-0.14000000000000001</v>
      </c>
      <c r="CT374" s="4020">
        <v>-0.14000000000000001</v>
      </c>
    </row>
    <row r="375" spans="1:98" outlineLevel="1">
      <c r="A375" s="3965" t="s">
        <v>947</v>
      </c>
      <c r="B375" s="3933"/>
      <c r="C375" s="3876"/>
      <c r="D375" s="3876"/>
      <c r="E375" s="3876"/>
      <c r="F375" s="3876"/>
      <c r="G375" s="3876"/>
      <c r="H375" s="3876"/>
      <c r="I375" s="3876"/>
      <c r="J375" s="3876"/>
      <c r="K375" s="3876"/>
      <c r="L375" s="3876"/>
      <c r="N375" s="3876"/>
      <c r="O375" s="3876"/>
      <c r="P375" s="3876"/>
      <c r="Q375" s="1897"/>
      <c r="R375" s="2033"/>
      <c r="S375" s="2033"/>
      <c r="T375" s="2033"/>
      <c r="U375" s="355"/>
      <c r="V375" s="355"/>
      <c r="W375" s="355"/>
      <c r="X375" s="355"/>
      <c r="Y375" s="355"/>
      <c r="Z375" s="355"/>
      <c r="AA375" s="355"/>
      <c r="AB375" s="355"/>
      <c r="AC375" s="355"/>
      <c r="AD375" s="355"/>
      <c r="AE375" s="355"/>
      <c r="AF375" s="2049"/>
      <c r="AG375" s="2553"/>
      <c r="AH375" s="3921"/>
      <c r="AI375" s="3960"/>
      <c r="AJ375" s="3960"/>
      <c r="AK375" s="3960"/>
      <c r="AL375" s="3960"/>
      <c r="AM375" s="3960"/>
      <c r="AN375" s="3960"/>
      <c r="AO375" s="3960"/>
      <c r="AP375" s="3960"/>
      <c r="AQ375" s="3960"/>
      <c r="AR375" s="3960"/>
      <c r="AS375" s="3960"/>
      <c r="AT375" s="3960"/>
      <c r="AU375" s="3960"/>
      <c r="AV375" s="3960"/>
      <c r="AW375" s="3960"/>
      <c r="AX375" s="3960"/>
      <c r="AY375" s="3960"/>
      <c r="AZ375" s="3960"/>
      <c r="BA375" s="3960"/>
      <c r="BB375" s="3960"/>
      <c r="BC375" s="3961"/>
      <c r="BD375" s="3962"/>
      <c r="BE375" s="3962"/>
      <c r="BF375" s="3962"/>
      <c r="BG375" s="3961"/>
      <c r="BH375" s="3962"/>
      <c r="BI375" s="3962"/>
      <c r="BJ375" s="3962"/>
      <c r="BK375" s="2051"/>
      <c r="BL375" s="2069"/>
      <c r="BM375" s="2069"/>
      <c r="BN375" s="2069"/>
      <c r="BO375" s="3968"/>
      <c r="BP375" s="3969"/>
      <c r="BQ375" s="3969"/>
      <c r="BR375" s="3970"/>
      <c r="BS375" s="3967" t="e">
        <f>+BS373/BR373-1</f>
        <v>#DIV/0!</v>
      </c>
      <c r="BT375" s="3967" t="e">
        <f>+BT373/BS373-1</f>
        <v>#DIV/0!</v>
      </c>
      <c r="BU375" s="3967" t="e">
        <f>+BU373/BT373-1</f>
        <v>#DIV/0!</v>
      </c>
      <c r="BV375" s="3967" t="e">
        <f>+BV373/BU373-1</f>
        <v>#DIV/0!</v>
      </c>
      <c r="BW375" s="3971"/>
      <c r="BX375" s="3876"/>
      <c r="BY375" s="3876"/>
      <c r="BZ375" s="3876"/>
      <c r="CA375" s="3876"/>
      <c r="CB375" s="3876"/>
      <c r="CC375" s="3967"/>
      <c r="CD375" s="3967"/>
      <c r="CE375" s="3971"/>
      <c r="CF375" s="3967">
        <f t="shared" ref="CF375:CM375" si="649">+CF373/CE373-1</f>
        <v>-3.8186157517899777E-2</v>
      </c>
      <c r="CG375" s="3967">
        <f t="shared" si="649"/>
        <v>-2.9776674937965208E-2</v>
      </c>
      <c r="CH375" s="3972">
        <f t="shared" si="649"/>
        <v>-2.5575447570332477E-2</v>
      </c>
      <c r="CI375" s="3971">
        <f t="shared" si="649"/>
        <v>-4.1994750656167978E-2</v>
      </c>
      <c r="CJ375" s="3967">
        <f t="shared" si="649"/>
        <v>-3.5616438356164348E-2</v>
      </c>
      <c r="CK375" s="3967">
        <f t="shared" si="649"/>
        <v>-3.6931818181818232E-2</v>
      </c>
      <c r="CL375" s="3972">
        <f t="shared" si="649"/>
        <v>-4.1297935103244865E-2</v>
      </c>
      <c r="CM375" s="3967">
        <f t="shared" si="649"/>
        <v>-3.3846153846153859E-2</v>
      </c>
      <c r="CN375" s="3967">
        <f>+CN373/CM373-1</f>
        <v>-3.8216560509554132E-2</v>
      </c>
      <c r="CO375" s="3967">
        <f>+CO373/CN373-1</f>
        <v>-4.3046357615894038E-2</v>
      </c>
      <c r="CP375" s="3972">
        <f t="shared" ref="CP375" si="650">+CP373/CO373-1</f>
        <v>-5.1903114186851229E-2</v>
      </c>
      <c r="CQ375" s="3967">
        <f>+CQ373/CP373-1</f>
        <v>-1.4452554744525448E-2</v>
      </c>
      <c r="CR375" s="3967">
        <f>+CR373/CQ373-1</f>
        <v>-3.8216560509554354E-2</v>
      </c>
      <c r="CS375" s="3967">
        <f>+CS373/CR373-1</f>
        <v>-4.3046357615893927E-2</v>
      </c>
      <c r="CT375" s="3972">
        <f>+CT373/CS373-1</f>
        <v>-5.1903114186851229E-2</v>
      </c>
    </row>
    <row r="376" spans="1:98" outlineLevel="1">
      <c r="A376" s="3933" t="s">
        <v>1672</v>
      </c>
      <c r="B376" s="3933"/>
      <c r="C376" s="3876"/>
      <c r="D376" s="3876"/>
      <c r="E376" s="3876"/>
      <c r="F376" s="3876"/>
      <c r="G376" s="3876"/>
      <c r="H376" s="3876"/>
      <c r="I376" s="3876"/>
      <c r="J376" s="3876"/>
      <c r="K376" s="3876"/>
      <c r="L376" s="3876"/>
      <c r="N376" s="3876"/>
      <c r="O376" s="3876"/>
      <c r="P376" s="3876"/>
      <c r="Q376" s="3941">
        <f>SUM(CE376:CH376)</f>
        <v>1143</v>
      </c>
      <c r="R376" s="3952">
        <f>SUM(CI376:CL376)</f>
        <v>1075</v>
      </c>
      <c r="S376" s="3952">
        <f>SUM(CM376:CP376)</f>
        <v>995</v>
      </c>
      <c r="T376" s="3952">
        <f>SUM(CQ376:CT376)</f>
        <v>905.45</v>
      </c>
      <c r="U376" s="3881">
        <f>+T376*(1+U377)</f>
        <v>824.86495000000002</v>
      </c>
      <c r="V376" s="3881">
        <f>+U376*(1+V377)</f>
        <v>752.2768344000001</v>
      </c>
      <c r="W376" s="3881">
        <f>+V376*(1+W377)</f>
        <v>686.8287498072001</v>
      </c>
      <c r="X376" s="3881">
        <f t="shared" ref="X376:AF376" si="651">+W376*(1+X377)</f>
        <v>627.76147732378092</v>
      </c>
      <c r="Y376" s="3881">
        <f t="shared" si="651"/>
        <v>574.40175175125955</v>
      </c>
      <c r="Z376" s="3881">
        <f t="shared" si="651"/>
        <v>526.15200460415372</v>
      </c>
      <c r="AA376" s="3881">
        <f t="shared" si="651"/>
        <v>482.481388222009</v>
      </c>
      <c r="AB376" s="3881">
        <f t="shared" si="651"/>
        <v>442.91791438780427</v>
      </c>
      <c r="AC376" s="3881">
        <f t="shared" si="651"/>
        <v>407.04156332239216</v>
      </c>
      <c r="AD376" s="3881">
        <f t="shared" si="651"/>
        <v>374.47823825660083</v>
      </c>
      <c r="AE376" s="3881">
        <f t="shared" si="651"/>
        <v>344.89445743432935</v>
      </c>
      <c r="AF376" s="71">
        <f t="shared" si="651"/>
        <v>317.9926897544517</v>
      </c>
      <c r="AG376" s="2553"/>
      <c r="BW376" s="4045"/>
      <c r="BX376" s="3876"/>
      <c r="BY376" s="3876"/>
      <c r="BZ376" s="3876"/>
      <c r="CA376" s="3876"/>
      <c r="CB376" s="3876"/>
      <c r="CC376" s="4046"/>
      <c r="CD376" s="4046"/>
      <c r="CE376" s="4045">
        <v>303</v>
      </c>
      <c r="CF376" s="4046">
        <v>293</v>
      </c>
      <c r="CG376" s="4046">
        <v>276</v>
      </c>
      <c r="CH376" s="4050">
        <v>271</v>
      </c>
      <c r="CI376" s="4045">
        <v>275</v>
      </c>
      <c r="CJ376" s="4046">
        <v>269</v>
      </c>
      <c r="CK376" s="4046">
        <v>265</v>
      </c>
      <c r="CL376" s="4050">
        <v>266</v>
      </c>
      <c r="CM376" s="4046">
        <v>255</v>
      </c>
      <c r="CN376" s="4046">
        <v>247</v>
      </c>
      <c r="CO376" s="4046">
        <v>252</v>
      </c>
      <c r="CP376" s="4050">
        <v>241</v>
      </c>
      <c r="CQ376" s="3934">
        <f>+CM376*(1+CQ377)</f>
        <v>232.05</v>
      </c>
      <c r="CR376" s="3934">
        <f>+CN376*(1+CR377)</f>
        <v>224.77</v>
      </c>
      <c r="CS376" s="3934">
        <f>+CO376*(1+CS377)</f>
        <v>229.32000000000002</v>
      </c>
      <c r="CT376" s="4047">
        <f>+CP376*(1+CT377)</f>
        <v>219.31</v>
      </c>
    </row>
    <row r="377" spans="1:98" outlineLevel="1">
      <c r="A377" s="3965" t="s">
        <v>34</v>
      </c>
      <c r="B377" s="3933"/>
      <c r="C377" s="3876"/>
      <c r="D377" s="3876"/>
      <c r="E377" s="3876"/>
      <c r="F377" s="3876"/>
      <c r="G377" s="3876"/>
      <c r="H377" s="3876"/>
      <c r="I377" s="3876"/>
      <c r="J377" s="3876"/>
      <c r="K377" s="3876"/>
      <c r="L377" s="3876"/>
      <c r="N377" s="3876"/>
      <c r="O377" s="3876"/>
      <c r="P377" s="3876"/>
      <c r="Q377" s="3946"/>
      <c r="R377" s="3942">
        <f>+R376/Q376-1</f>
        <v>-5.9492563429571321E-2</v>
      </c>
      <c r="S377" s="3942">
        <f>+S376/R376-1</f>
        <v>-7.441860465116279E-2</v>
      </c>
      <c r="T377" s="3942">
        <f>+T376/S376-1</f>
        <v>-8.9999999999999969E-2</v>
      </c>
      <c r="U377" s="4018">
        <f t="shared" ref="U377:AF377" si="652">+T377+0.1%</f>
        <v>-8.8999999999999968E-2</v>
      </c>
      <c r="V377" s="4018">
        <f t="shared" si="652"/>
        <v>-8.7999999999999967E-2</v>
      </c>
      <c r="W377" s="4018">
        <f t="shared" si="652"/>
        <v>-8.6999999999999966E-2</v>
      </c>
      <c r="X377" s="4018">
        <f t="shared" si="652"/>
        <v>-8.5999999999999965E-2</v>
      </c>
      <c r="Y377" s="4018">
        <f t="shared" si="652"/>
        <v>-8.4999999999999964E-2</v>
      </c>
      <c r="Z377" s="4018">
        <f t="shared" si="652"/>
        <v>-8.3999999999999964E-2</v>
      </c>
      <c r="AA377" s="4018">
        <f t="shared" si="652"/>
        <v>-8.2999999999999963E-2</v>
      </c>
      <c r="AB377" s="4018">
        <f t="shared" si="652"/>
        <v>-8.1999999999999962E-2</v>
      </c>
      <c r="AC377" s="4018">
        <f t="shared" si="652"/>
        <v>-8.0999999999999961E-2</v>
      </c>
      <c r="AD377" s="4018">
        <f t="shared" si="652"/>
        <v>-7.999999999999996E-2</v>
      </c>
      <c r="AE377" s="4018">
        <f t="shared" si="652"/>
        <v>-7.8999999999999959E-2</v>
      </c>
      <c r="AF377" s="4020">
        <f t="shared" si="652"/>
        <v>-7.7999999999999958E-2</v>
      </c>
      <c r="AG377" s="2553"/>
      <c r="AH377" s="2714"/>
      <c r="AI377" s="114"/>
      <c r="AJ377" s="114"/>
      <c r="AK377" s="114"/>
      <c r="AL377" s="114"/>
      <c r="AM377" s="114"/>
      <c r="AN377" s="114"/>
      <c r="AO377" s="114"/>
      <c r="AP377" s="114"/>
      <c r="AQ377" s="114"/>
      <c r="AR377" s="114"/>
      <c r="AS377" s="114"/>
      <c r="AT377" s="114"/>
      <c r="AU377" s="114"/>
      <c r="AV377" s="114"/>
      <c r="AW377" s="114"/>
      <c r="AX377" s="114"/>
      <c r="AY377" s="114"/>
      <c r="AZ377" s="114"/>
      <c r="BA377" s="114"/>
      <c r="BB377" s="114"/>
      <c r="BC377" s="2050"/>
      <c r="BD377" s="2067"/>
      <c r="BE377" s="2067"/>
      <c r="BF377" s="2067"/>
      <c r="BG377" s="2050"/>
      <c r="BH377" s="2067"/>
      <c r="BI377" s="2067"/>
      <c r="BJ377" s="2067"/>
      <c r="BK377" s="2045"/>
      <c r="BL377" s="2047"/>
      <c r="BM377" s="2047"/>
      <c r="BN377" s="2047"/>
      <c r="BO377" s="2301"/>
      <c r="BP377" s="2302"/>
      <c r="BQ377" s="2302"/>
      <c r="BR377" s="2303"/>
      <c r="BS377" s="3967" t="e">
        <f>+BS376/BO376-1</f>
        <v>#DIV/0!</v>
      </c>
      <c r="BT377" s="3967" t="e">
        <f>+BT376/BP376-1</f>
        <v>#DIV/0!</v>
      </c>
      <c r="BU377" s="3967" t="e">
        <f>+BU376/BQ376-1</f>
        <v>#DIV/0!</v>
      </c>
      <c r="BV377" s="3967" t="e">
        <f>+BV376/BR376-1</f>
        <v>#DIV/0!</v>
      </c>
      <c r="BW377" s="3971"/>
      <c r="BX377" s="3876"/>
      <c r="BY377" s="3876"/>
      <c r="BZ377" s="3876"/>
      <c r="CA377" s="3876"/>
      <c r="CB377" s="3876"/>
      <c r="CC377" s="3967"/>
      <c r="CD377" s="3967"/>
      <c r="CE377" s="3971"/>
      <c r="CF377" s="3967"/>
      <c r="CG377" s="3967"/>
      <c r="CH377" s="3972"/>
      <c r="CI377" s="3951" t="s">
        <v>441</v>
      </c>
      <c r="CJ377" s="3949" t="s">
        <v>441</v>
      </c>
      <c r="CK377" s="3967">
        <f>+CK376/CG376-1</f>
        <v>-3.9855072463768071E-2</v>
      </c>
      <c r="CL377" s="3972">
        <f>+CL376/CH376-1</f>
        <v>-1.8450184501844991E-2</v>
      </c>
      <c r="CM377" s="3967">
        <f>+CM376/CI376-1</f>
        <v>-7.2727272727272751E-2</v>
      </c>
      <c r="CN377" s="3967">
        <f>+CN376/CJ376-1</f>
        <v>-8.1784386617100413E-2</v>
      </c>
      <c r="CO377" s="3967">
        <f>+CO376/CK376-1</f>
        <v>-4.9056603773584895E-2</v>
      </c>
      <c r="CP377" s="3972">
        <f t="shared" ref="CP377" si="653">+CP376/CL376-1</f>
        <v>-9.398496240601506E-2</v>
      </c>
      <c r="CQ377" s="4018">
        <v>-0.09</v>
      </c>
      <c r="CR377" s="4018">
        <v>-0.09</v>
      </c>
      <c r="CS377" s="4018">
        <v>-0.09</v>
      </c>
      <c r="CT377" s="4020">
        <v>-0.09</v>
      </c>
    </row>
    <row r="378" spans="1:98" outlineLevel="1">
      <c r="A378" s="3965" t="s">
        <v>947</v>
      </c>
      <c r="B378" s="3933"/>
      <c r="C378" s="3876"/>
      <c r="D378" s="3876"/>
      <c r="E378" s="3876"/>
      <c r="F378" s="3876"/>
      <c r="G378" s="3876"/>
      <c r="H378" s="3876"/>
      <c r="I378" s="3876"/>
      <c r="J378" s="3876"/>
      <c r="K378" s="3876"/>
      <c r="L378" s="3876"/>
      <c r="N378" s="3876"/>
      <c r="O378" s="3876"/>
      <c r="P378" s="3876"/>
      <c r="Q378" s="1897"/>
      <c r="R378" s="2033"/>
      <c r="S378" s="2033"/>
      <c r="T378" s="2033"/>
      <c r="U378" s="355"/>
      <c r="V378" s="355"/>
      <c r="W378" s="355"/>
      <c r="X378" s="355"/>
      <c r="Y378" s="355"/>
      <c r="Z378" s="355"/>
      <c r="AA378" s="355"/>
      <c r="AB378" s="355"/>
      <c r="AC378" s="355"/>
      <c r="AD378" s="355"/>
      <c r="AE378" s="355"/>
      <c r="AF378" s="2049"/>
      <c r="AG378" s="2553"/>
      <c r="AH378" s="3921"/>
      <c r="AI378" s="3960"/>
      <c r="AJ378" s="3960"/>
      <c r="AK378" s="3960"/>
      <c r="AL378" s="3960"/>
      <c r="AM378" s="3960"/>
      <c r="AN378" s="3960"/>
      <c r="AO378" s="3960"/>
      <c r="AP378" s="3960"/>
      <c r="AQ378" s="3960"/>
      <c r="AR378" s="3960"/>
      <c r="AS378" s="3960"/>
      <c r="AT378" s="3960"/>
      <c r="AU378" s="3960"/>
      <c r="AV378" s="3960"/>
      <c r="AW378" s="3960"/>
      <c r="AX378" s="3960"/>
      <c r="AY378" s="3960"/>
      <c r="AZ378" s="3960"/>
      <c r="BA378" s="3960"/>
      <c r="BB378" s="3960"/>
      <c r="BC378" s="3961"/>
      <c r="BD378" s="3962"/>
      <c r="BE378" s="3962"/>
      <c r="BF378" s="3962"/>
      <c r="BG378" s="3961"/>
      <c r="BH378" s="3962"/>
      <c r="BI378" s="3962"/>
      <c r="BJ378" s="3962"/>
      <c r="BK378" s="2051"/>
      <c r="BL378" s="2069"/>
      <c r="BM378" s="2069"/>
      <c r="BN378" s="2069"/>
      <c r="BO378" s="3968"/>
      <c r="BP378" s="3969"/>
      <c r="BQ378" s="3969"/>
      <c r="BR378" s="3970"/>
      <c r="BS378" s="3967" t="e">
        <f>+BS376/BR376-1</f>
        <v>#DIV/0!</v>
      </c>
      <c r="BT378" s="3967" t="e">
        <f>+BT376/BS376-1</f>
        <v>#DIV/0!</v>
      </c>
      <c r="BU378" s="3967" t="e">
        <f>+BU376/BT376-1</f>
        <v>#DIV/0!</v>
      </c>
      <c r="BV378" s="3967" t="e">
        <f>+BV376/BU376-1</f>
        <v>#DIV/0!</v>
      </c>
      <c r="BW378" s="3971"/>
      <c r="BX378" s="3876"/>
      <c r="BY378" s="3876"/>
      <c r="BZ378" s="3876"/>
      <c r="CA378" s="3876"/>
      <c r="CB378" s="3876"/>
      <c r="CC378" s="3967"/>
      <c r="CD378" s="3967"/>
      <c r="CE378" s="3971"/>
      <c r="CF378" s="3967">
        <f t="shared" ref="CF378:CM378" si="654">+CF376/CE376-1</f>
        <v>-3.3003300330032959E-2</v>
      </c>
      <c r="CG378" s="3967">
        <f t="shared" si="654"/>
        <v>-5.8020477815699634E-2</v>
      </c>
      <c r="CH378" s="3972">
        <f t="shared" si="654"/>
        <v>-1.8115942028985477E-2</v>
      </c>
      <c r="CI378" s="3971">
        <f t="shared" si="654"/>
        <v>1.4760147601476037E-2</v>
      </c>
      <c r="CJ378" s="3967">
        <f t="shared" si="654"/>
        <v>-2.1818181818181848E-2</v>
      </c>
      <c r="CK378" s="3967">
        <f t="shared" si="654"/>
        <v>-1.4869888475836479E-2</v>
      </c>
      <c r="CL378" s="3972">
        <f t="shared" si="654"/>
        <v>3.7735849056603765E-3</v>
      </c>
      <c r="CM378" s="3967">
        <f t="shared" si="654"/>
        <v>-4.1353383458646586E-2</v>
      </c>
      <c r="CN378" s="3967">
        <f>+CN376/CM376-1</f>
        <v>-3.1372549019607843E-2</v>
      </c>
      <c r="CO378" s="3967">
        <f>+CO376/CN376-1</f>
        <v>2.0242914979757165E-2</v>
      </c>
      <c r="CP378" s="3972">
        <f t="shared" ref="CP378" si="655">+CP376/CO376-1</f>
        <v>-4.3650793650793607E-2</v>
      </c>
      <c r="CQ378" s="3967">
        <f>+CQ376/CP376-1</f>
        <v>-3.7136929460580892E-2</v>
      </c>
      <c r="CR378" s="3967">
        <f>+CR376/CQ376-1</f>
        <v>-3.1372549019607843E-2</v>
      </c>
      <c r="CS378" s="3967">
        <f>+CS376/CR376-1</f>
        <v>2.0242914979757165E-2</v>
      </c>
      <c r="CT378" s="3972">
        <f>+CT376/CS376-1</f>
        <v>-4.3650793650793718E-2</v>
      </c>
    </row>
    <row r="379" spans="1:98" outlineLevel="1">
      <c r="A379" s="3933" t="s">
        <v>1673</v>
      </c>
      <c r="B379" s="3933"/>
      <c r="C379" s="3876"/>
      <c r="D379" s="3876"/>
      <c r="E379" s="3876"/>
      <c r="F379" s="3876"/>
      <c r="G379" s="3876"/>
      <c r="H379" s="3876"/>
      <c r="I379" s="3876"/>
      <c r="J379" s="3876"/>
      <c r="K379" s="3876"/>
      <c r="L379" s="3876"/>
      <c r="N379" s="3876"/>
      <c r="O379" s="3876"/>
      <c r="P379" s="3876"/>
      <c r="Q379" s="3941">
        <f>SUM(CE379:CH379)</f>
        <v>2678</v>
      </c>
      <c r="R379" s="3952">
        <f>SUM(CI379:CL379)</f>
        <v>2443</v>
      </c>
      <c r="S379" s="3952">
        <f>SUM(CM379:CP379)</f>
        <v>2191</v>
      </c>
      <c r="T379" s="3952">
        <f>SUM(CQ379:CT379)</f>
        <v>1949.99</v>
      </c>
      <c r="U379" s="3881">
        <f>+T379*(1+U380)</f>
        <v>1733.5411100000001</v>
      </c>
      <c r="V379" s="3881">
        <f>+U379*(1+V380)</f>
        <v>1539.3845056800001</v>
      </c>
      <c r="W379" s="3881">
        <f>+V379*(1+W380)</f>
        <v>1365.4340565381601</v>
      </c>
      <c r="X379" s="3881">
        <f t="shared" ref="X379:AF379" si="656">+W379*(1+X380)</f>
        <v>1209.7745740928099</v>
      </c>
      <c r="Y379" s="3881">
        <f t="shared" si="656"/>
        <v>1070.6504980721368</v>
      </c>
      <c r="Z379" s="3881">
        <f t="shared" si="656"/>
        <v>946.45504029576887</v>
      </c>
      <c r="AA379" s="3881">
        <f t="shared" si="656"/>
        <v>835.7198005811639</v>
      </c>
      <c r="AB379" s="3881">
        <f t="shared" si="656"/>
        <v>737.1048641125866</v>
      </c>
      <c r="AC379" s="3881">
        <f t="shared" si="656"/>
        <v>649.38938528318874</v>
      </c>
      <c r="AD379" s="3881">
        <f t="shared" si="656"/>
        <v>571.46265904920608</v>
      </c>
      <c r="AE379" s="3881">
        <f t="shared" si="656"/>
        <v>502.31567730425212</v>
      </c>
      <c r="AF379" s="71">
        <f t="shared" si="656"/>
        <v>441.03316467313334</v>
      </c>
      <c r="AG379" s="2553"/>
      <c r="BW379" s="4045"/>
      <c r="BX379" s="3876"/>
      <c r="BY379" s="3876"/>
      <c r="BZ379" s="3876"/>
      <c r="CA379" s="3876"/>
      <c r="CB379" s="3876"/>
      <c r="CC379" s="4046"/>
      <c r="CD379" s="4046"/>
      <c r="CE379" s="4045">
        <v>689</v>
      </c>
      <c r="CF379" s="4046">
        <v>676</v>
      </c>
      <c r="CG379" s="4046">
        <v>664</v>
      </c>
      <c r="CH379" s="4050">
        <v>649</v>
      </c>
      <c r="CI379" s="4045">
        <v>634</v>
      </c>
      <c r="CJ379" s="4046">
        <v>615</v>
      </c>
      <c r="CK379" s="4046">
        <v>605</v>
      </c>
      <c r="CL379" s="4050">
        <v>589</v>
      </c>
      <c r="CM379" s="4046">
        <v>575</v>
      </c>
      <c r="CN379" s="4046">
        <v>562</v>
      </c>
      <c r="CO379" s="4046">
        <v>541</v>
      </c>
      <c r="CP379" s="4050">
        <v>513</v>
      </c>
      <c r="CQ379" s="3934">
        <f>+CM379*(1+CQ380)</f>
        <v>511.75</v>
      </c>
      <c r="CR379" s="3934">
        <f>+CN379*(1+CR380)</f>
        <v>500.18</v>
      </c>
      <c r="CS379" s="3934">
        <f>+CO379*(1+CS380)</f>
        <v>481.49</v>
      </c>
      <c r="CT379" s="4047">
        <f>+CP379*(1+CT380)</f>
        <v>456.57</v>
      </c>
    </row>
    <row r="380" spans="1:98" outlineLevel="1">
      <c r="A380" s="3965" t="s">
        <v>34</v>
      </c>
      <c r="B380" s="3933"/>
      <c r="C380" s="3876"/>
      <c r="D380" s="3876"/>
      <c r="E380" s="3876"/>
      <c r="F380" s="3876"/>
      <c r="G380" s="3876"/>
      <c r="H380" s="3876"/>
      <c r="I380" s="3876"/>
      <c r="J380" s="3876"/>
      <c r="K380" s="3876"/>
      <c r="L380" s="3876"/>
      <c r="N380" s="3876"/>
      <c r="O380" s="3876"/>
      <c r="P380" s="3876"/>
      <c r="Q380" s="3946"/>
      <c r="R380" s="3942">
        <f>+R379/Q379-1</f>
        <v>-8.7752053771471217E-2</v>
      </c>
      <c r="S380" s="3942">
        <f>+S379/R379-1</f>
        <v>-0.1031518624641834</v>
      </c>
      <c r="T380" s="3942">
        <f>+T379/S379-1</f>
        <v>-0.10999999999999999</v>
      </c>
      <c r="U380" s="4018">
        <f t="shared" ref="U380:AF380" si="657">+T380-0.1%</f>
        <v>-0.11099999999999999</v>
      </c>
      <c r="V380" s="4018">
        <f t="shared" si="657"/>
        <v>-0.11199999999999999</v>
      </c>
      <c r="W380" s="4018">
        <f t="shared" si="657"/>
        <v>-0.11299999999999999</v>
      </c>
      <c r="X380" s="4018">
        <f t="shared" si="657"/>
        <v>-0.11399999999999999</v>
      </c>
      <c r="Y380" s="4018">
        <f t="shared" si="657"/>
        <v>-0.11499999999999999</v>
      </c>
      <c r="Z380" s="4018">
        <f t="shared" si="657"/>
        <v>-0.11599999999999999</v>
      </c>
      <c r="AA380" s="4018">
        <f t="shared" si="657"/>
        <v>-0.11699999999999999</v>
      </c>
      <c r="AB380" s="4018">
        <f t="shared" si="657"/>
        <v>-0.11799999999999999</v>
      </c>
      <c r="AC380" s="4018">
        <f t="shared" si="657"/>
        <v>-0.11899999999999999</v>
      </c>
      <c r="AD380" s="4018">
        <f t="shared" si="657"/>
        <v>-0.12</v>
      </c>
      <c r="AE380" s="4018">
        <f t="shared" si="657"/>
        <v>-0.121</v>
      </c>
      <c r="AF380" s="4020">
        <f t="shared" si="657"/>
        <v>-0.122</v>
      </c>
      <c r="AG380" s="2553"/>
      <c r="AH380" s="2714"/>
      <c r="AI380" s="114"/>
      <c r="AJ380" s="114"/>
      <c r="AK380" s="114"/>
      <c r="AL380" s="114"/>
      <c r="AM380" s="114"/>
      <c r="AN380" s="114"/>
      <c r="AO380" s="114"/>
      <c r="AP380" s="114"/>
      <c r="AQ380" s="114"/>
      <c r="AR380" s="114"/>
      <c r="AS380" s="114"/>
      <c r="AT380" s="114"/>
      <c r="AU380" s="114"/>
      <c r="AV380" s="114"/>
      <c r="AW380" s="114"/>
      <c r="AX380" s="114"/>
      <c r="AY380" s="114"/>
      <c r="AZ380" s="114"/>
      <c r="BA380" s="114"/>
      <c r="BB380" s="114"/>
      <c r="BC380" s="2050"/>
      <c r="BD380" s="2067"/>
      <c r="BE380" s="2067"/>
      <c r="BF380" s="2067"/>
      <c r="BG380" s="2050"/>
      <c r="BH380" s="2067"/>
      <c r="BI380" s="2067"/>
      <c r="BJ380" s="2067"/>
      <c r="BK380" s="2045"/>
      <c r="BL380" s="2047"/>
      <c r="BM380" s="2047"/>
      <c r="BN380" s="2047"/>
      <c r="BO380" s="2301"/>
      <c r="BP380" s="2302"/>
      <c r="BQ380" s="2302"/>
      <c r="BR380" s="2303"/>
      <c r="BS380" s="3967" t="e">
        <f>+BS379/BO379-1</f>
        <v>#DIV/0!</v>
      </c>
      <c r="BT380" s="3967" t="e">
        <f>+BT379/BP379-1</f>
        <v>#DIV/0!</v>
      </c>
      <c r="BU380" s="3967" t="e">
        <f>+BU379/BQ379-1</f>
        <v>#DIV/0!</v>
      </c>
      <c r="BV380" s="3967" t="e">
        <f>+BV379/BR379-1</f>
        <v>#DIV/0!</v>
      </c>
      <c r="BW380" s="3971"/>
      <c r="BX380" s="3876"/>
      <c r="BY380" s="3876"/>
      <c r="BZ380" s="3876"/>
      <c r="CA380" s="3876"/>
      <c r="CB380" s="3876"/>
      <c r="CC380" s="3967"/>
      <c r="CD380" s="3967"/>
      <c r="CE380" s="3971"/>
      <c r="CF380" s="3967"/>
      <c r="CG380" s="3967"/>
      <c r="CH380" s="3972"/>
      <c r="CI380" s="3971">
        <f t="shared" ref="CI380:CN380" si="658">+CI379/CE379-1</f>
        <v>-7.9825834542815666E-2</v>
      </c>
      <c r="CJ380" s="3967">
        <f t="shared" si="658"/>
        <v>-9.0236686390532506E-2</v>
      </c>
      <c r="CK380" s="3967">
        <f t="shared" si="658"/>
        <v>-8.8855421686746983E-2</v>
      </c>
      <c r="CL380" s="3972">
        <f t="shared" si="658"/>
        <v>-9.244992295839749E-2</v>
      </c>
      <c r="CM380" s="3967">
        <f t="shared" si="658"/>
        <v>-9.3059936908517327E-2</v>
      </c>
      <c r="CN380" s="3967">
        <f t="shared" si="658"/>
        <v>-8.6178861788617889E-2</v>
      </c>
      <c r="CO380" s="3967">
        <f>+CO379/CK379-1</f>
        <v>-0.10578512396694217</v>
      </c>
      <c r="CP380" s="3972">
        <f t="shared" ref="CP380" si="659">+CP379/CL379-1</f>
        <v>-0.12903225806451613</v>
      </c>
      <c r="CQ380" s="4018">
        <v>-0.11</v>
      </c>
      <c r="CR380" s="4018">
        <v>-0.11</v>
      </c>
      <c r="CS380" s="4018">
        <v>-0.11</v>
      </c>
      <c r="CT380" s="4020">
        <v>-0.11</v>
      </c>
    </row>
    <row r="381" spans="1:98" outlineLevel="1">
      <c r="A381" s="3965" t="s">
        <v>947</v>
      </c>
      <c r="B381" s="3933"/>
      <c r="C381" s="3876"/>
      <c r="D381" s="3876"/>
      <c r="E381" s="3876"/>
      <c r="F381" s="3876"/>
      <c r="G381" s="3876"/>
      <c r="H381" s="3876"/>
      <c r="I381" s="3876"/>
      <c r="J381" s="3876"/>
      <c r="K381" s="3876"/>
      <c r="L381" s="3876"/>
      <c r="N381" s="3876"/>
      <c r="O381" s="3876"/>
      <c r="P381" s="3876"/>
      <c r="Q381" s="1897"/>
      <c r="R381" s="2033"/>
      <c r="S381" s="2033"/>
      <c r="T381" s="2033"/>
      <c r="U381" s="355"/>
      <c r="V381" s="355"/>
      <c r="W381" s="355"/>
      <c r="X381" s="355"/>
      <c r="Y381" s="355"/>
      <c r="Z381" s="355"/>
      <c r="AA381" s="355"/>
      <c r="AB381" s="355"/>
      <c r="AC381" s="355"/>
      <c r="AD381" s="355"/>
      <c r="AE381" s="355"/>
      <c r="AF381" s="2049"/>
      <c r="AG381" s="2553"/>
      <c r="AH381" s="3921"/>
      <c r="AI381" s="3960"/>
      <c r="AJ381" s="3960"/>
      <c r="AK381" s="3960"/>
      <c r="AL381" s="3960"/>
      <c r="AM381" s="3960"/>
      <c r="AN381" s="3960"/>
      <c r="AO381" s="3960"/>
      <c r="AP381" s="3960"/>
      <c r="AQ381" s="3960"/>
      <c r="AR381" s="3960"/>
      <c r="AS381" s="3960"/>
      <c r="AT381" s="3960"/>
      <c r="AU381" s="3960"/>
      <c r="AV381" s="3960"/>
      <c r="AW381" s="3960"/>
      <c r="AX381" s="3960"/>
      <c r="AY381" s="3960"/>
      <c r="AZ381" s="3960"/>
      <c r="BA381" s="3960"/>
      <c r="BB381" s="3960"/>
      <c r="BC381" s="3961"/>
      <c r="BD381" s="3962"/>
      <c r="BE381" s="3962"/>
      <c r="BF381" s="3962"/>
      <c r="BG381" s="3961"/>
      <c r="BH381" s="3962"/>
      <c r="BI381" s="3962"/>
      <c r="BJ381" s="3962"/>
      <c r="BK381" s="2051"/>
      <c r="BL381" s="2069"/>
      <c r="BM381" s="2069"/>
      <c r="BN381" s="2069"/>
      <c r="BO381" s="3968"/>
      <c r="BP381" s="3969"/>
      <c r="BQ381" s="3969"/>
      <c r="BR381" s="3970"/>
      <c r="BS381" s="3967" t="e">
        <f>+BS379/BR379-1</f>
        <v>#DIV/0!</v>
      </c>
      <c r="BT381" s="3967" t="e">
        <f>+BT379/BS379-1</f>
        <v>#DIV/0!</v>
      </c>
      <c r="BU381" s="3967" t="e">
        <f>+BU379/BT379-1</f>
        <v>#DIV/0!</v>
      </c>
      <c r="BV381" s="3967" t="e">
        <f>+BV379/BU379-1</f>
        <v>#DIV/0!</v>
      </c>
      <c r="BW381" s="3971"/>
      <c r="BX381" s="3876"/>
      <c r="BY381" s="3876"/>
      <c r="BZ381" s="3876"/>
      <c r="CA381" s="3876"/>
      <c r="CB381" s="3876"/>
      <c r="CC381" s="3967"/>
      <c r="CD381" s="3967"/>
      <c r="CE381" s="3971"/>
      <c r="CF381" s="3967">
        <f t="shared" ref="CF381:CM381" si="660">+CF379/CE379-1</f>
        <v>-1.8867924528301883E-2</v>
      </c>
      <c r="CG381" s="3967">
        <f t="shared" si="660"/>
        <v>-1.7751479289940808E-2</v>
      </c>
      <c r="CH381" s="3972">
        <f t="shared" si="660"/>
        <v>-2.259036144578308E-2</v>
      </c>
      <c r="CI381" s="3971">
        <f t="shared" si="660"/>
        <v>-2.3112480739599373E-2</v>
      </c>
      <c r="CJ381" s="3967">
        <f t="shared" si="660"/>
        <v>-2.9968454258675115E-2</v>
      </c>
      <c r="CK381" s="3967">
        <f t="shared" si="660"/>
        <v>-1.6260162601625994E-2</v>
      </c>
      <c r="CL381" s="3972">
        <f t="shared" si="660"/>
        <v>-2.6446280991735516E-2</v>
      </c>
      <c r="CM381" s="3967">
        <f t="shared" si="660"/>
        <v>-2.3769100169779289E-2</v>
      </c>
      <c r="CN381" s="3967">
        <f>+CN379/CM379-1</f>
        <v>-2.2608695652173938E-2</v>
      </c>
      <c r="CO381" s="3967">
        <f>+CO379/CN379-1</f>
        <v>-3.7366548042704673E-2</v>
      </c>
      <c r="CP381" s="3972">
        <f t="shared" ref="CP381" si="661">+CP379/CO379-1</f>
        <v>-5.1756007393715331E-2</v>
      </c>
      <c r="CQ381" s="3967">
        <f>+CQ379/CP379-1</f>
        <v>-2.436647173489237E-3</v>
      </c>
      <c r="CR381" s="3967">
        <f>+CR379/CQ379-1</f>
        <v>-2.2608695652173938E-2</v>
      </c>
      <c r="CS381" s="3967">
        <f>+CS379/CR379-1</f>
        <v>-3.7366548042704673E-2</v>
      </c>
      <c r="CT381" s="3972">
        <f>+CT379/CS379-1</f>
        <v>-5.1756007393715331E-2</v>
      </c>
    </row>
    <row r="382" spans="1:98" outlineLevel="1">
      <c r="A382" s="3933" t="s">
        <v>1674</v>
      </c>
      <c r="B382" s="3933"/>
      <c r="C382" s="3876"/>
      <c r="D382" s="3876"/>
      <c r="E382" s="3876"/>
      <c r="F382" s="3876"/>
      <c r="G382" s="3876"/>
      <c r="H382" s="3876"/>
      <c r="I382" s="3876"/>
      <c r="J382" s="3876"/>
      <c r="K382" s="3876"/>
      <c r="L382" s="3876"/>
      <c r="N382" s="3876"/>
      <c r="O382" s="3876"/>
      <c r="P382" s="3876"/>
      <c r="Q382" s="3941">
        <f>SUM(CE382:CH382)</f>
        <v>312</v>
      </c>
      <c r="R382" s="3952">
        <f>SUM(CI382:CL382)</f>
        <v>312</v>
      </c>
      <c r="S382" s="3952">
        <f>SUM(CM382:CP382)</f>
        <v>288</v>
      </c>
      <c r="T382" s="3952">
        <f>SUM(CQ382:CT382)</f>
        <v>278</v>
      </c>
      <c r="U382" s="3881">
        <f>+T382*(1+U383)</f>
        <v>268.62522222222225</v>
      </c>
      <c r="V382" s="3881">
        <f>+U382*(1+V383)</f>
        <v>259.83520800617288</v>
      </c>
      <c r="W382" s="3881">
        <f>+V382*(1+W383)</f>
        <v>251.59265779664372</v>
      </c>
      <c r="X382" s="3881">
        <f t="shared" ref="X382:AF382" si="662">+W382*(1+X383)</f>
        <v>243.86317225433572</v>
      </c>
      <c r="Y382" s="3881">
        <f t="shared" si="662"/>
        <v>236.61501685677629</v>
      </c>
      <c r="Z382" s="3881">
        <f t="shared" si="662"/>
        <v>229.81890776150112</v>
      </c>
      <c r="AA382" s="3881">
        <f t="shared" si="662"/>
        <v>223.44781692966839</v>
      </c>
      <c r="AB382" s="3881">
        <f t="shared" si="662"/>
        <v>217.47679471060337</v>
      </c>
      <c r="AC382" s="3881">
        <f t="shared" si="662"/>
        <v>211.88280826888064</v>
      </c>
      <c r="AD382" s="3881">
        <f t="shared" si="662"/>
        <v>206.64459439778886</v>
      </c>
      <c r="AE382" s="3881">
        <f t="shared" si="662"/>
        <v>201.74252540846354</v>
      </c>
      <c r="AF382" s="71">
        <f t="shared" si="662"/>
        <v>197.15848691446013</v>
      </c>
      <c r="AG382" s="2553"/>
      <c r="BW382" s="4045"/>
      <c r="BX382" s="3876"/>
      <c r="BY382" s="3876"/>
      <c r="BZ382" s="3876"/>
      <c r="CA382" s="3876"/>
      <c r="CB382" s="3876"/>
      <c r="CC382" s="4046"/>
      <c r="CD382" s="4046"/>
      <c r="CE382" s="4045">
        <v>70</v>
      </c>
      <c r="CF382" s="4046">
        <v>69</v>
      </c>
      <c r="CG382" s="4046">
        <v>81</v>
      </c>
      <c r="CH382" s="4050">
        <v>92</v>
      </c>
      <c r="CI382" s="4045">
        <v>80</v>
      </c>
      <c r="CJ382" s="4046">
        <v>79</v>
      </c>
      <c r="CK382" s="4046">
        <v>78</v>
      </c>
      <c r="CL382" s="4050">
        <v>75</v>
      </c>
      <c r="CM382" s="4046">
        <v>73</v>
      </c>
      <c r="CN382" s="4046">
        <v>71</v>
      </c>
      <c r="CO382" s="4046">
        <v>72</v>
      </c>
      <c r="CP382" s="4050">
        <v>72</v>
      </c>
      <c r="CQ382" s="3934">
        <f>+CP382-1</f>
        <v>71</v>
      </c>
      <c r="CR382" s="3934">
        <f>+CQ382-1</f>
        <v>70</v>
      </c>
      <c r="CS382" s="3934">
        <f>+CR382-1</f>
        <v>69</v>
      </c>
      <c r="CT382" s="4047">
        <f>+CS382-1</f>
        <v>68</v>
      </c>
    </row>
    <row r="383" spans="1:98" outlineLevel="1">
      <c r="A383" s="3965" t="s">
        <v>34</v>
      </c>
      <c r="B383" s="3933"/>
      <c r="C383" s="3876"/>
      <c r="D383" s="3876"/>
      <c r="E383" s="3876"/>
      <c r="F383" s="3876"/>
      <c r="G383" s="3876"/>
      <c r="H383" s="3876"/>
      <c r="I383" s="3876"/>
      <c r="J383" s="3876"/>
      <c r="K383" s="3876"/>
      <c r="L383" s="3876"/>
      <c r="N383" s="3876"/>
      <c r="O383" s="3876"/>
      <c r="P383" s="3876"/>
      <c r="Q383" s="3946"/>
      <c r="R383" s="3942">
        <f>+R382/Q382-1</f>
        <v>0</v>
      </c>
      <c r="S383" s="3942">
        <f>+S382/R382-1</f>
        <v>-7.6923076923076872E-2</v>
      </c>
      <c r="T383" s="3942">
        <f>+T382/S382-1</f>
        <v>-3.472222222222221E-2</v>
      </c>
      <c r="U383" s="4018">
        <f t="shared" ref="U383:AF383" si="663">+T383+0.1%</f>
        <v>-3.3722222222222209E-2</v>
      </c>
      <c r="V383" s="4018">
        <f t="shared" si="663"/>
        <v>-3.2722222222222208E-2</v>
      </c>
      <c r="W383" s="4018">
        <f t="shared" si="663"/>
        <v>-3.1722222222222207E-2</v>
      </c>
      <c r="X383" s="4018">
        <f t="shared" si="663"/>
        <v>-3.0722222222222206E-2</v>
      </c>
      <c r="Y383" s="4018">
        <f t="shared" si="663"/>
        <v>-2.9722222222222205E-2</v>
      </c>
      <c r="Z383" s="4018">
        <f t="shared" si="663"/>
        <v>-2.8722222222222205E-2</v>
      </c>
      <c r="AA383" s="4018">
        <f t="shared" si="663"/>
        <v>-2.7722222222222204E-2</v>
      </c>
      <c r="AB383" s="4018">
        <f t="shared" si="663"/>
        <v>-2.6722222222222203E-2</v>
      </c>
      <c r="AC383" s="4018">
        <f t="shared" si="663"/>
        <v>-2.5722222222222202E-2</v>
      </c>
      <c r="AD383" s="4018">
        <f t="shared" si="663"/>
        <v>-2.4722222222222201E-2</v>
      </c>
      <c r="AE383" s="4018">
        <f t="shared" si="663"/>
        <v>-2.37222222222222E-2</v>
      </c>
      <c r="AF383" s="4020">
        <f t="shared" si="663"/>
        <v>-2.2722222222222199E-2</v>
      </c>
      <c r="AG383" s="2553"/>
      <c r="AH383" s="2714"/>
      <c r="AI383" s="114"/>
      <c r="AJ383" s="114"/>
      <c r="AK383" s="114"/>
      <c r="AL383" s="114"/>
      <c r="AM383" s="114"/>
      <c r="AN383" s="114"/>
      <c r="AO383" s="114"/>
      <c r="AP383" s="114"/>
      <c r="AQ383" s="114"/>
      <c r="AR383" s="114"/>
      <c r="AS383" s="114"/>
      <c r="AT383" s="114"/>
      <c r="AU383" s="114"/>
      <c r="AV383" s="114"/>
      <c r="AW383" s="114"/>
      <c r="AX383" s="114"/>
      <c r="AY383" s="114"/>
      <c r="AZ383" s="114"/>
      <c r="BA383" s="114"/>
      <c r="BB383" s="114"/>
      <c r="BC383" s="2050"/>
      <c r="BD383" s="2067"/>
      <c r="BE383" s="2067"/>
      <c r="BF383" s="2067"/>
      <c r="BG383" s="2050"/>
      <c r="BH383" s="2067"/>
      <c r="BI383" s="2067"/>
      <c r="BJ383" s="2067"/>
      <c r="BK383" s="2045"/>
      <c r="BL383" s="2047"/>
      <c r="BM383" s="2047"/>
      <c r="BN383" s="2047"/>
      <c r="BO383" s="2301"/>
      <c r="BP383" s="2302"/>
      <c r="BQ383" s="2302"/>
      <c r="BR383" s="2303"/>
      <c r="BS383" s="3967" t="e">
        <f>+BS382/BO382-1</f>
        <v>#DIV/0!</v>
      </c>
      <c r="BT383" s="3967" t="e">
        <f>+BT382/BP382-1</f>
        <v>#DIV/0!</v>
      </c>
      <c r="BU383" s="3967" t="e">
        <f>+BU382/BQ382-1</f>
        <v>#DIV/0!</v>
      </c>
      <c r="BV383" s="3967" t="e">
        <f>+BV382/BR382-1</f>
        <v>#DIV/0!</v>
      </c>
      <c r="BW383" s="3971"/>
      <c r="BX383" s="3876"/>
      <c r="BY383" s="3876"/>
      <c r="BZ383" s="3876"/>
      <c r="CA383" s="3876"/>
      <c r="CB383" s="3876"/>
      <c r="CC383" s="3967"/>
      <c r="CD383" s="3967"/>
      <c r="CE383" s="3971"/>
      <c r="CF383" s="3967"/>
      <c r="CG383" s="3967"/>
      <c r="CH383" s="3972"/>
      <c r="CI383" s="3971">
        <f t="shared" ref="CI383:CM383" si="664">+CI382/CE382-1</f>
        <v>0.14285714285714279</v>
      </c>
      <c r="CJ383" s="3967">
        <f t="shared" si="664"/>
        <v>0.14492753623188404</v>
      </c>
      <c r="CK383" s="3967">
        <f t="shared" si="664"/>
        <v>-3.703703703703709E-2</v>
      </c>
      <c r="CL383" s="3972">
        <f t="shared" si="664"/>
        <v>-0.18478260869565222</v>
      </c>
      <c r="CM383" s="3967">
        <f t="shared" si="664"/>
        <v>-8.7500000000000022E-2</v>
      </c>
      <c r="CN383" s="3967">
        <f>+CN382/CJ382-1</f>
        <v>-0.10126582278481011</v>
      </c>
      <c r="CO383" s="3967">
        <f>+CO382/CK382-1</f>
        <v>-7.6923076923076872E-2</v>
      </c>
      <c r="CP383" s="3972">
        <f t="shared" ref="CP383" si="665">+CP382/CL382-1</f>
        <v>-4.0000000000000036E-2</v>
      </c>
      <c r="CQ383" s="3967">
        <f>+CQ382/CM382-1</f>
        <v>-2.7397260273972601E-2</v>
      </c>
      <c r="CR383" s="3967">
        <f>+CR382/CN382-1</f>
        <v>-1.4084507042253502E-2</v>
      </c>
      <c r="CS383" s="3967">
        <f>+CS382/CO382-1</f>
        <v>-4.166666666666663E-2</v>
      </c>
      <c r="CT383" s="3972">
        <f>+CT382/CP382-1</f>
        <v>-5.555555555555558E-2</v>
      </c>
    </row>
    <row r="384" spans="1:98" outlineLevel="1">
      <c r="A384" s="3965" t="s">
        <v>947</v>
      </c>
      <c r="B384" s="3933"/>
      <c r="C384" s="3876"/>
      <c r="D384" s="3876"/>
      <c r="E384" s="3876"/>
      <c r="F384" s="3876"/>
      <c r="G384" s="3876"/>
      <c r="H384" s="3876"/>
      <c r="I384" s="3876"/>
      <c r="J384" s="3876"/>
      <c r="K384" s="3876"/>
      <c r="L384" s="3876"/>
      <c r="N384" s="3876"/>
      <c r="O384" s="3876"/>
      <c r="P384" s="3876"/>
      <c r="Q384" s="1897"/>
      <c r="R384" s="2033"/>
      <c r="S384" s="3760"/>
      <c r="T384" s="2033"/>
      <c r="U384" s="355"/>
      <c r="V384" s="355"/>
      <c r="W384" s="355"/>
      <c r="X384" s="355"/>
      <c r="Y384" s="355"/>
      <c r="Z384" s="355"/>
      <c r="AA384" s="355"/>
      <c r="AB384" s="355"/>
      <c r="AC384" s="355"/>
      <c r="AD384" s="355"/>
      <c r="AE384" s="355"/>
      <c r="AF384" s="2049"/>
      <c r="AG384" s="2553"/>
      <c r="AH384" s="3921"/>
      <c r="AI384" s="3960"/>
      <c r="AJ384" s="3960"/>
      <c r="AK384" s="3960"/>
      <c r="AL384" s="3960"/>
      <c r="AM384" s="3960"/>
      <c r="AN384" s="3960"/>
      <c r="AO384" s="3960"/>
      <c r="AP384" s="3960"/>
      <c r="AQ384" s="3960"/>
      <c r="AR384" s="3960"/>
      <c r="AS384" s="3960"/>
      <c r="AT384" s="3960"/>
      <c r="AU384" s="3960"/>
      <c r="AV384" s="3960"/>
      <c r="AW384" s="3960"/>
      <c r="AX384" s="3960"/>
      <c r="AY384" s="3960"/>
      <c r="AZ384" s="3960"/>
      <c r="BA384" s="3960"/>
      <c r="BB384" s="3960"/>
      <c r="BC384" s="3961"/>
      <c r="BD384" s="3962"/>
      <c r="BE384" s="3962"/>
      <c r="BF384" s="3962"/>
      <c r="BG384" s="3961"/>
      <c r="BH384" s="3962"/>
      <c r="BI384" s="3962"/>
      <c r="BJ384" s="3962"/>
      <c r="BK384" s="2051"/>
      <c r="BL384" s="2069"/>
      <c r="BM384" s="2069"/>
      <c r="BN384" s="2069"/>
      <c r="BO384" s="3968"/>
      <c r="BP384" s="3969"/>
      <c r="BQ384" s="3969"/>
      <c r="BR384" s="3970"/>
      <c r="BS384" s="3967" t="e">
        <f>+BS382/BR382-1</f>
        <v>#DIV/0!</v>
      </c>
      <c r="BT384" s="3967" t="e">
        <f>+BT382/BS382-1</f>
        <v>#DIV/0!</v>
      </c>
      <c r="BU384" s="3967" t="e">
        <f>+BU382/BT382-1</f>
        <v>#DIV/0!</v>
      </c>
      <c r="BV384" s="3967" t="e">
        <f>+BV382/BU382-1</f>
        <v>#DIV/0!</v>
      </c>
      <c r="BW384" s="3971"/>
      <c r="BX384" s="3876"/>
      <c r="BY384" s="3876"/>
      <c r="BZ384" s="3876"/>
      <c r="CA384" s="3876"/>
      <c r="CB384" s="3876"/>
      <c r="CC384" s="3967"/>
      <c r="CD384" s="3967"/>
      <c r="CE384" s="3971"/>
      <c r="CF384" s="3967">
        <f t="shared" ref="CF384:CM384" si="666">+CF382/CE382-1</f>
        <v>-1.4285714285714235E-2</v>
      </c>
      <c r="CG384" s="3967">
        <f t="shared" si="666"/>
        <v>0.17391304347826098</v>
      </c>
      <c r="CH384" s="3972">
        <f t="shared" si="666"/>
        <v>0.13580246913580241</v>
      </c>
      <c r="CI384" s="3971">
        <f t="shared" si="666"/>
        <v>-0.13043478260869568</v>
      </c>
      <c r="CJ384" s="3967">
        <f t="shared" si="666"/>
        <v>-1.2499999999999956E-2</v>
      </c>
      <c r="CK384" s="3967">
        <f t="shared" si="666"/>
        <v>-1.2658227848101222E-2</v>
      </c>
      <c r="CL384" s="3972">
        <f t="shared" si="666"/>
        <v>-3.8461538461538436E-2</v>
      </c>
      <c r="CM384" s="3967">
        <f t="shared" si="666"/>
        <v>-2.6666666666666616E-2</v>
      </c>
      <c r="CN384" s="3967">
        <f>+CN382/CM382-1</f>
        <v>-2.7397260273972601E-2</v>
      </c>
      <c r="CO384" s="3967">
        <f>+CO382/CN382-1</f>
        <v>1.4084507042253502E-2</v>
      </c>
      <c r="CP384" s="3972">
        <f t="shared" ref="CP384" si="667">+CP382/CO382-1</f>
        <v>0</v>
      </c>
      <c r="CQ384" s="3967">
        <f>+CQ382/CP382-1</f>
        <v>-1.388888888888884E-2</v>
      </c>
      <c r="CR384" s="3967">
        <f>+CR382/CQ382-1</f>
        <v>-1.4084507042253502E-2</v>
      </c>
      <c r="CS384" s="3967">
        <f>+CS382/CR382-1</f>
        <v>-1.4285714285714235E-2</v>
      </c>
      <c r="CT384" s="3972">
        <f>+CT382/CS382-1</f>
        <v>-1.4492753623188359E-2</v>
      </c>
    </row>
    <row r="385" spans="1:105" s="3490" customFormat="1" outlineLevel="1">
      <c r="A385" s="3490" t="s">
        <v>1675</v>
      </c>
      <c r="B385" s="3489"/>
      <c r="Q385" s="3489">
        <f t="shared" ref="Q385:W385" si="668">+Q370+Q373+Q376+Q379+Q382</f>
        <v>8314</v>
      </c>
      <c r="R385" s="3490">
        <f t="shared" si="668"/>
        <v>7624</v>
      </c>
      <c r="S385" s="3490">
        <f t="shared" si="668"/>
        <v>6868</v>
      </c>
      <c r="T385" s="3490">
        <f>+T370+T373+T376+T379+T382</f>
        <v>6218.4049999999997</v>
      </c>
      <c r="U385" s="3490">
        <f t="shared" si="668"/>
        <v>5635.4280572222224</v>
      </c>
      <c r="V385" s="3490">
        <f t="shared" si="668"/>
        <v>5111.948402711173</v>
      </c>
      <c r="W385" s="3490">
        <f t="shared" si="668"/>
        <v>4641.6346964163795</v>
      </c>
      <c r="X385" s="3490">
        <f t="shared" ref="X385:AF385" si="669">+X370+X373+X376+X379+X382</f>
        <v>4218.8536092994673</v>
      </c>
      <c r="Y385" s="3490">
        <f t="shared" si="669"/>
        <v>3838.5896082115787</v>
      </c>
      <c r="Z385" s="3490">
        <f t="shared" si="669"/>
        <v>3496.3744842263877</v>
      </c>
      <c r="AA385" s="3490">
        <f t="shared" si="669"/>
        <v>3188.225365066548</v>
      </c>
      <c r="AB385" s="3490">
        <f t="shared" si="669"/>
        <v>2910.5901239836103</v>
      </c>
      <c r="AC385" s="3490">
        <f t="shared" si="669"/>
        <v>2660.2992449710737</v>
      </c>
      <c r="AD385" s="3490">
        <f t="shared" si="669"/>
        <v>2434.5233309607538</v>
      </c>
      <c r="AE385" s="3490">
        <f t="shared" si="669"/>
        <v>2230.7355506351582</v>
      </c>
      <c r="AF385" s="3490">
        <f t="shared" si="669"/>
        <v>2046.6784132215275</v>
      </c>
      <c r="AG385" s="3486"/>
      <c r="AH385" s="3495"/>
      <c r="AI385" s="3495"/>
      <c r="AJ385" s="3495"/>
      <c r="AK385" s="3495"/>
      <c r="AL385" s="3495"/>
      <c r="AM385" s="3495"/>
      <c r="AN385" s="3495"/>
      <c r="AO385" s="3495"/>
      <c r="AP385" s="3495"/>
      <c r="AQ385" s="3495"/>
      <c r="AR385" s="3495"/>
      <c r="AS385" s="3495"/>
      <c r="AT385" s="3495"/>
      <c r="AU385" s="3495"/>
      <c r="AV385" s="3495"/>
      <c r="AW385" s="3495"/>
      <c r="AX385" s="3495"/>
      <c r="AY385" s="3495"/>
      <c r="AZ385" s="3495"/>
      <c r="BA385" s="3495"/>
      <c r="BB385" s="3495"/>
      <c r="BC385" s="3495"/>
      <c r="BD385" s="3495"/>
      <c r="BE385" s="3495"/>
      <c r="BF385" s="3495"/>
      <c r="BG385" s="3495"/>
      <c r="BH385" s="3495"/>
      <c r="BI385" s="3495"/>
      <c r="BJ385" s="3495"/>
      <c r="BK385" s="3495"/>
      <c r="BL385" s="3495"/>
      <c r="BM385" s="3495"/>
      <c r="BN385" s="3495"/>
      <c r="BO385" s="3495"/>
      <c r="BP385" s="3495"/>
      <c r="BQ385" s="3495"/>
      <c r="BR385" s="3495"/>
      <c r="BS385" s="3495"/>
      <c r="BT385" s="3495"/>
      <c r="BU385" s="3495"/>
      <c r="BV385" s="3495"/>
      <c r="BW385" s="3492"/>
      <c r="CE385" s="3489">
        <f t="shared" ref="CE385:CM385" si="670">+CE370+CE373+CE376+CE379+CE382</f>
        <v>2151</v>
      </c>
      <c r="CF385" s="3490">
        <f t="shared" si="670"/>
        <v>2089</v>
      </c>
      <c r="CG385" s="3490">
        <f t="shared" si="670"/>
        <v>2050</v>
      </c>
      <c r="CH385" s="3491">
        <f t="shared" si="670"/>
        <v>2024</v>
      </c>
      <c r="CI385" s="3489">
        <f t="shared" si="670"/>
        <v>1976</v>
      </c>
      <c r="CJ385" s="3498">
        <f t="shared" si="670"/>
        <v>1926</v>
      </c>
      <c r="CK385" s="3490">
        <f t="shared" si="670"/>
        <v>1888</v>
      </c>
      <c r="CL385" s="3491">
        <f t="shared" si="670"/>
        <v>1834</v>
      </c>
      <c r="CM385" s="3490">
        <f t="shared" si="670"/>
        <v>1790</v>
      </c>
      <c r="CN385" s="3490">
        <f>+CN370+CN373+CN376+CN379+CN382</f>
        <v>1740</v>
      </c>
      <c r="CO385" s="3490">
        <f>+CO370+CO373+CO376+CO379+CO382</f>
        <v>1705</v>
      </c>
      <c r="CP385" s="3491">
        <f t="shared" ref="CP385" si="671">+CP370+CP373+CP376+CP379+CP382</f>
        <v>1633</v>
      </c>
      <c r="CQ385" s="3498">
        <f>+CQ370+CQ373+CQ376+CQ379+CQ382</f>
        <v>1620.595</v>
      </c>
      <c r="CR385" s="3498">
        <f>+CR370+CR373+CR376+CR379+CR382</f>
        <v>1576.4</v>
      </c>
      <c r="CS385" s="3498">
        <f>+CS370+CS373+CS376+CS379+CS382</f>
        <v>1543.5350000000001</v>
      </c>
      <c r="CT385" s="3491">
        <f>+CT370+CT373+CT376+CT379+CT382</f>
        <v>1477.875</v>
      </c>
      <c r="CU385" s="68"/>
      <c r="CV385" s="68"/>
      <c r="CW385" s="68"/>
      <c r="CX385" s="68"/>
      <c r="CY385" s="68"/>
      <c r="CZ385" s="68"/>
      <c r="DA385" s="68"/>
    </row>
    <row r="386" spans="1:105" outlineLevel="1">
      <c r="A386" s="68" t="s">
        <v>34</v>
      </c>
      <c r="B386" s="3933"/>
      <c r="M386" s="68"/>
      <c r="Q386" s="4052"/>
      <c r="R386" s="3982">
        <f t="shared" ref="R386:W386" si="672">+R385/Q385-1</f>
        <v>-8.2992542699061866E-2</v>
      </c>
      <c r="S386" s="3982">
        <f t="shared" si="672"/>
        <v>-9.91605456453305E-2</v>
      </c>
      <c r="T386" s="3982">
        <f>+T385/S385-1</f>
        <v>-9.4582847990681507E-2</v>
      </c>
      <c r="U386" s="3982">
        <f t="shared" si="672"/>
        <v>-9.3750237042742879E-2</v>
      </c>
      <c r="V386" s="3982">
        <f t="shared" si="672"/>
        <v>-9.2890841511173439E-2</v>
      </c>
      <c r="W386" s="3982">
        <f t="shared" si="672"/>
        <v>-9.2002827345705973E-2</v>
      </c>
      <c r="X386" s="3982">
        <f t="shared" ref="X386:AF386" si="673">+X385/W385-1</f>
        <v>-9.1084524045661031E-2</v>
      </c>
      <c r="Y386" s="3982">
        <f t="shared" si="673"/>
        <v>-9.0134438476292766E-2</v>
      </c>
      <c r="Z386" s="3982">
        <f t="shared" si="673"/>
        <v>-8.9151266197646795E-2</v>
      </c>
      <c r="AA386" s="3982">
        <f t="shared" si="673"/>
        <v>-8.8133900001281296E-2</v>
      </c>
      <c r="AB386" s="3982">
        <f t="shared" si="673"/>
        <v>-8.7081435373105309E-2</v>
      </c>
      <c r="AC386" s="3982">
        <f t="shared" si="673"/>
        <v>-8.5993172638809567E-2</v>
      </c>
      <c r="AD386" s="3982">
        <f t="shared" si="673"/>
        <v>-8.4868615602969433E-2</v>
      </c>
      <c r="AE386" s="3982">
        <f t="shared" si="673"/>
        <v>-8.3707466563967325E-2</v>
      </c>
      <c r="AF386" s="3982">
        <f t="shared" si="673"/>
        <v>-8.250961767351761E-2</v>
      </c>
      <c r="AG386" s="2553"/>
      <c r="AH386" s="68"/>
      <c r="BS386" s="68" t="e">
        <f>+BS385/BO385-1</f>
        <v>#DIV/0!</v>
      </c>
      <c r="BT386" s="68" t="e">
        <f>+BT385/BP385-1</f>
        <v>#DIV/0!</v>
      </c>
      <c r="BU386" s="68" t="e">
        <f>+BU385/BQ385-1</f>
        <v>#DIV/0!</v>
      </c>
      <c r="BV386" s="68" t="e">
        <f>+BV385/BR385-1</f>
        <v>#DIV/0!</v>
      </c>
      <c r="BW386" s="3933"/>
      <c r="CE386" s="3933"/>
      <c r="CG386" s="68"/>
      <c r="CH386" s="4051"/>
      <c r="CI386" s="4052">
        <f t="shared" ref="CI386:CM386" si="674">+CI385/CE385-1</f>
        <v>-8.1357508135750822E-2</v>
      </c>
      <c r="CJ386" s="3938">
        <f t="shared" si="674"/>
        <v>-7.8027764480612771E-2</v>
      </c>
      <c r="CK386" s="3982">
        <f t="shared" si="674"/>
        <v>-7.9024390243902398E-2</v>
      </c>
      <c r="CL386" s="4051">
        <f t="shared" si="674"/>
        <v>-9.3873517786561278E-2</v>
      </c>
      <c r="CM386" s="3982">
        <f t="shared" si="674"/>
        <v>-9.4129554655870473E-2</v>
      </c>
      <c r="CN386" s="3982">
        <f>+CN385/CJ385-1</f>
        <v>-9.6573208722741444E-2</v>
      </c>
      <c r="CO386" s="3982">
        <f>+CO385/CK385-1</f>
        <v>-9.6927966101694962E-2</v>
      </c>
      <c r="CP386" s="4051">
        <f t="shared" ref="CP386" si="675">+CP385/CL385-1</f>
        <v>-0.10959651035986917</v>
      </c>
      <c r="CQ386" s="3938">
        <f>+CQ385/CM385-1</f>
        <v>-9.4639664804469281E-2</v>
      </c>
      <c r="CR386" s="3938">
        <f>+CR385/CN385-1</f>
        <v>-9.4022988505747085E-2</v>
      </c>
      <c r="CS386" s="3938">
        <f>+CS385/CO385-1</f>
        <v>-9.4700879765395873E-2</v>
      </c>
      <c r="CT386" s="4051">
        <f>+CT385/CP385-1</f>
        <v>-9.4993876301285973E-2</v>
      </c>
    </row>
    <row r="387" spans="1:105" outlineLevel="1">
      <c r="A387" s="68" t="s">
        <v>947</v>
      </c>
      <c r="B387" s="3933"/>
      <c r="M387" s="68"/>
      <c r="Q387" s="3933"/>
      <c r="AG387" s="2553"/>
      <c r="AH387" s="68"/>
      <c r="BS387" s="68" t="e">
        <f>+BS385/BR385-1</f>
        <v>#DIV/0!</v>
      </c>
      <c r="BT387" s="68" t="e">
        <f>+BT385/BS385-1</f>
        <v>#DIV/0!</v>
      </c>
      <c r="BU387" s="68" t="e">
        <f>+BU385/BT385-1</f>
        <v>#DIV/0!</v>
      </c>
      <c r="BV387" s="68" t="e">
        <f>+BV385/BU385-1</f>
        <v>#DIV/0!</v>
      </c>
      <c r="BW387" s="3992"/>
      <c r="CE387" s="3933"/>
      <c r="CF387" s="3982">
        <f t="shared" ref="CF387:CM387" si="676">+CF385/CE385-1</f>
        <v>-2.8823802882380289E-2</v>
      </c>
      <c r="CG387" s="3982">
        <f t="shared" si="676"/>
        <v>-1.8669219722355246E-2</v>
      </c>
      <c r="CH387" s="4055">
        <f t="shared" si="676"/>
        <v>-1.2682926829268304E-2</v>
      </c>
      <c r="CI387" s="4052">
        <f t="shared" si="676"/>
        <v>-2.371541501976282E-2</v>
      </c>
      <c r="CJ387" s="3938">
        <f t="shared" si="676"/>
        <v>-2.5303643724696401E-2</v>
      </c>
      <c r="CK387" s="3982">
        <f t="shared" si="676"/>
        <v>-1.9730010384215957E-2</v>
      </c>
      <c r="CL387" s="4051">
        <f t="shared" si="676"/>
        <v>-2.8601694915254217E-2</v>
      </c>
      <c r="CM387" s="3982">
        <f t="shared" si="676"/>
        <v>-2.399127589967287E-2</v>
      </c>
      <c r="CN387" s="3982">
        <f>+CN385/CM385-1</f>
        <v>-2.7932960893854775E-2</v>
      </c>
      <c r="CO387" s="3982">
        <f>+CO385/CN385-1</f>
        <v>-2.011494252873558E-2</v>
      </c>
      <c r="CP387" s="4051">
        <f t="shared" ref="CP387" si="677">+CP385/CO385-1</f>
        <v>-4.2228739002932558E-2</v>
      </c>
      <c r="CQ387" s="3938">
        <f>+CQ385/CP385-1</f>
        <v>-7.5964482547458134E-3</v>
      </c>
      <c r="CR387" s="3938">
        <f>+CR385/CQ385-1</f>
        <v>-2.7270848052721286E-2</v>
      </c>
      <c r="CS387" s="3938">
        <f>+CS385/CR385-1</f>
        <v>-2.0848134991119038E-2</v>
      </c>
      <c r="CT387" s="4051">
        <f>+CT385/CS385-1</f>
        <v>-4.253871794290387E-2</v>
      </c>
    </row>
    <row r="388" spans="1:105" outlineLevel="1">
      <c r="A388" s="4053" t="s">
        <v>1676</v>
      </c>
      <c r="B388" s="4053"/>
      <c r="C388" s="4037"/>
      <c r="D388" s="4037"/>
      <c r="E388" s="4037"/>
      <c r="F388" s="4037"/>
      <c r="G388" s="4037"/>
      <c r="H388" s="4037"/>
      <c r="I388" s="4037"/>
      <c r="J388" s="4037"/>
      <c r="K388" s="4037"/>
      <c r="L388" s="4037"/>
      <c r="M388" s="4037"/>
      <c r="N388" s="4037"/>
      <c r="O388" s="4037"/>
      <c r="P388" s="4037"/>
      <c r="Q388" s="4038">
        <f t="shared" ref="Q388:Q397" si="678">SUM(CE388:CH388)</f>
        <v>575</v>
      </c>
      <c r="R388" s="4039">
        <f t="shared" ref="R388:R397" si="679">SUM(CI388:CL388)</f>
        <v>528</v>
      </c>
      <c r="S388" s="4039">
        <f t="shared" ref="S388:S397" si="680">SUM(CM388:CP388)</f>
        <v>479</v>
      </c>
      <c r="T388" s="4039">
        <f>SUM(CQ388:CT388)</f>
        <v>600</v>
      </c>
      <c r="U388" s="4043">
        <f>+T388*98%</f>
        <v>588</v>
      </c>
      <c r="V388" s="4043">
        <f>+U388*98%</f>
        <v>576.24</v>
      </c>
      <c r="W388" s="4043">
        <f>+V388*98%</f>
        <v>564.71519999999998</v>
      </c>
      <c r="X388" s="4043">
        <f t="shared" ref="X388:AF388" si="681">+W388*98%</f>
        <v>553.42089599999997</v>
      </c>
      <c r="Y388" s="4043">
        <f t="shared" si="681"/>
        <v>542.35247807999997</v>
      </c>
      <c r="Z388" s="4043">
        <f t="shared" si="681"/>
        <v>531.50542851839998</v>
      </c>
      <c r="AA388" s="4043">
        <f t="shared" si="681"/>
        <v>520.87531994803192</v>
      </c>
      <c r="AB388" s="4043">
        <f t="shared" si="681"/>
        <v>510.45781354907126</v>
      </c>
      <c r="AC388" s="4043">
        <f t="shared" si="681"/>
        <v>500.24865727808981</v>
      </c>
      <c r="AD388" s="4043">
        <f t="shared" si="681"/>
        <v>490.24368413252802</v>
      </c>
      <c r="AE388" s="4043">
        <f t="shared" si="681"/>
        <v>480.43881044987745</v>
      </c>
      <c r="AF388" s="4044">
        <f t="shared" si="681"/>
        <v>470.83003424087991</v>
      </c>
      <c r="AG388" s="2553"/>
      <c r="BW388" s="4040"/>
      <c r="BX388" s="4037"/>
      <c r="BY388" s="4037"/>
      <c r="BZ388" s="4037"/>
      <c r="CA388" s="4037"/>
      <c r="CB388" s="4037"/>
      <c r="CC388" s="4041"/>
      <c r="CD388" s="4041"/>
      <c r="CE388" s="4040">
        <v>139</v>
      </c>
      <c r="CF388" s="4041">
        <v>143</v>
      </c>
      <c r="CG388" s="4041">
        <v>153</v>
      </c>
      <c r="CH388" s="4054">
        <v>140</v>
      </c>
      <c r="CI388" s="4040">
        <v>115</v>
      </c>
      <c r="CJ388" s="4041">
        <v>122</v>
      </c>
      <c r="CK388" s="4041">
        <v>161</v>
      </c>
      <c r="CL388" s="4054">
        <v>130</v>
      </c>
      <c r="CM388" s="4041">
        <v>117</v>
      </c>
      <c r="CN388" s="4041">
        <v>123</v>
      </c>
      <c r="CO388" s="4041">
        <v>130</v>
      </c>
      <c r="CP388" s="4054">
        <v>109</v>
      </c>
      <c r="CQ388" s="3137">
        <v>150</v>
      </c>
      <c r="CR388" s="3137">
        <v>150</v>
      </c>
      <c r="CS388" s="3137">
        <v>150</v>
      </c>
      <c r="CT388" s="3138">
        <v>150</v>
      </c>
    </row>
    <row r="389" spans="1:105" outlineLevel="1">
      <c r="A389" s="3933" t="s">
        <v>1677</v>
      </c>
      <c r="B389" s="3933"/>
      <c r="C389" s="3876"/>
      <c r="D389" s="3876"/>
      <c r="E389" s="3876"/>
      <c r="F389" s="3876"/>
      <c r="G389" s="3876"/>
      <c r="H389" s="3876"/>
      <c r="I389" s="3876"/>
      <c r="J389" s="3876"/>
      <c r="K389" s="3876"/>
      <c r="L389" s="3876"/>
      <c r="N389" s="3876"/>
      <c r="O389" s="3876"/>
      <c r="P389" s="3876"/>
      <c r="Q389" s="3941">
        <f t="shared" si="678"/>
        <v>0</v>
      </c>
      <c r="R389" s="3952">
        <f t="shared" si="679"/>
        <v>3</v>
      </c>
      <c r="S389" s="3952">
        <f t="shared" si="680"/>
        <v>18</v>
      </c>
      <c r="T389" s="3952">
        <f>SUM(CQ389:CT389)</f>
        <v>4</v>
      </c>
      <c r="U389" s="3934">
        <v>1</v>
      </c>
      <c r="V389" s="3934">
        <v>1</v>
      </c>
      <c r="W389" s="3934">
        <v>1</v>
      </c>
      <c r="X389" s="3934">
        <v>1</v>
      </c>
      <c r="Y389" s="3934">
        <v>1</v>
      </c>
      <c r="Z389" s="3934">
        <v>1</v>
      </c>
      <c r="AA389" s="3934">
        <v>1</v>
      </c>
      <c r="AB389" s="3934">
        <v>1</v>
      </c>
      <c r="AC389" s="3934">
        <v>1</v>
      </c>
      <c r="AD389" s="3934">
        <v>1</v>
      </c>
      <c r="AE389" s="3934">
        <v>1</v>
      </c>
      <c r="AF389" s="4047">
        <v>1</v>
      </c>
      <c r="AG389" s="2553"/>
      <c r="AH389" s="2714"/>
      <c r="AI389" s="114"/>
      <c r="AJ389" s="114"/>
      <c r="AK389" s="114"/>
      <c r="AL389" s="114"/>
      <c r="AM389" s="114"/>
      <c r="AN389" s="114"/>
      <c r="AO389" s="114"/>
      <c r="AP389" s="114"/>
      <c r="AQ389" s="114"/>
      <c r="AR389" s="114"/>
      <c r="AS389" s="114"/>
      <c r="AT389" s="114"/>
      <c r="AU389" s="114"/>
      <c r="AV389" s="114"/>
      <c r="AW389" s="114"/>
      <c r="AX389" s="114"/>
      <c r="AY389" s="114"/>
      <c r="AZ389" s="114"/>
      <c r="BA389" s="114"/>
      <c r="BB389" s="114"/>
      <c r="BC389" s="2050"/>
      <c r="BD389" s="2067"/>
      <c r="BE389" s="2067"/>
      <c r="BF389" s="2067"/>
      <c r="BG389" s="2050"/>
      <c r="BH389" s="2067"/>
      <c r="BI389" s="2067"/>
      <c r="BJ389" s="2067"/>
      <c r="BK389" s="2045"/>
      <c r="BL389" s="2047"/>
      <c r="BM389" s="2047"/>
      <c r="BN389" s="2047"/>
      <c r="BO389" s="2301"/>
      <c r="BP389" s="2302"/>
      <c r="BQ389" s="2302"/>
      <c r="BR389" s="2303"/>
      <c r="BS389" s="3967" t="e">
        <f>+BS388/BO388-1</f>
        <v>#DIV/0!</v>
      </c>
      <c r="BT389" s="3967" t="e">
        <f>+BT388/BP388-1</f>
        <v>#DIV/0!</v>
      </c>
      <c r="BU389" s="3967" t="e">
        <f>+BU388/BQ388-1</f>
        <v>#DIV/0!</v>
      </c>
      <c r="BV389" s="3967" t="e">
        <f>+BV388/BR388-1</f>
        <v>#DIV/0!</v>
      </c>
      <c r="BW389" s="3971"/>
      <c r="BX389" s="3876"/>
      <c r="BY389" s="3876"/>
      <c r="BZ389" s="3876"/>
      <c r="CA389" s="3876"/>
      <c r="CB389" s="3876"/>
      <c r="CC389" s="4046"/>
      <c r="CD389" s="4046"/>
      <c r="CE389" s="4045">
        <v>0</v>
      </c>
      <c r="CF389" s="4046">
        <v>0</v>
      </c>
      <c r="CG389" s="4046">
        <v>0</v>
      </c>
      <c r="CH389" s="4050">
        <v>0</v>
      </c>
      <c r="CI389" s="4045">
        <v>0</v>
      </c>
      <c r="CJ389" s="4046">
        <v>1</v>
      </c>
      <c r="CK389" s="4046">
        <v>2</v>
      </c>
      <c r="CL389" s="4050">
        <v>0</v>
      </c>
      <c r="CM389" s="4046">
        <v>1</v>
      </c>
      <c r="CN389" s="4046">
        <v>9</v>
      </c>
      <c r="CO389" s="4046">
        <v>4</v>
      </c>
      <c r="CP389" s="4050">
        <v>4</v>
      </c>
      <c r="CQ389" s="3139">
        <v>1</v>
      </c>
      <c r="CR389" s="3139">
        <v>1</v>
      </c>
      <c r="CS389" s="3139">
        <v>1</v>
      </c>
      <c r="CT389" s="3140">
        <v>1</v>
      </c>
    </row>
    <row r="390" spans="1:105" outlineLevel="1">
      <c r="A390" s="3933" t="s">
        <v>277</v>
      </c>
      <c r="B390" s="3933"/>
      <c r="C390" s="3876"/>
      <c r="D390" s="3876"/>
      <c r="E390" s="3876"/>
      <c r="F390" s="3876"/>
      <c r="G390" s="3876"/>
      <c r="H390" s="3876"/>
      <c r="I390" s="3876"/>
      <c r="J390" s="3876"/>
      <c r="K390" s="3876"/>
      <c r="L390" s="3876"/>
      <c r="N390" s="3876"/>
      <c r="O390" s="3876"/>
      <c r="P390" s="3876"/>
      <c r="Q390" s="3941">
        <f t="shared" si="678"/>
        <v>2</v>
      </c>
      <c r="R390" s="3952">
        <f t="shared" si="679"/>
        <v>2</v>
      </c>
      <c r="S390" s="3952">
        <f t="shared" si="680"/>
        <v>1</v>
      </c>
      <c r="T390" s="3952">
        <f>SUM(CQ390:CT390)</f>
        <v>4</v>
      </c>
      <c r="U390" s="3934">
        <v>1</v>
      </c>
      <c r="V390" s="3934">
        <v>1</v>
      </c>
      <c r="W390" s="3934">
        <v>1</v>
      </c>
      <c r="X390" s="3934">
        <v>1</v>
      </c>
      <c r="Y390" s="3934">
        <v>1</v>
      </c>
      <c r="Z390" s="3934">
        <v>1</v>
      </c>
      <c r="AA390" s="3934">
        <v>1</v>
      </c>
      <c r="AB390" s="3934">
        <v>1</v>
      </c>
      <c r="AC390" s="3934">
        <v>1</v>
      </c>
      <c r="AD390" s="3934">
        <v>1</v>
      </c>
      <c r="AE390" s="3934">
        <v>1</v>
      </c>
      <c r="AF390" s="4047">
        <v>1</v>
      </c>
      <c r="AG390" s="2553"/>
      <c r="AH390" s="3921"/>
      <c r="AI390" s="3960"/>
      <c r="AJ390" s="3960"/>
      <c r="AK390" s="3960"/>
      <c r="AL390" s="3960"/>
      <c r="AM390" s="3960"/>
      <c r="AN390" s="3960"/>
      <c r="AO390" s="3960"/>
      <c r="AP390" s="3960"/>
      <c r="AQ390" s="3960"/>
      <c r="AR390" s="3960"/>
      <c r="AS390" s="3960"/>
      <c r="AT390" s="3960"/>
      <c r="AU390" s="3960"/>
      <c r="AV390" s="3960"/>
      <c r="AW390" s="3960"/>
      <c r="AX390" s="3960"/>
      <c r="AY390" s="3960"/>
      <c r="AZ390" s="3960"/>
      <c r="BA390" s="3960"/>
      <c r="BB390" s="3960"/>
      <c r="BC390" s="3961"/>
      <c r="BD390" s="3962"/>
      <c r="BE390" s="3962"/>
      <c r="BF390" s="3962"/>
      <c r="BG390" s="3961"/>
      <c r="BH390" s="3962"/>
      <c r="BI390" s="3962"/>
      <c r="BJ390" s="3962"/>
      <c r="BK390" s="2051"/>
      <c r="BL390" s="2069"/>
      <c r="BM390" s="2069"/>
      <c r="BN390" s="2069"/>
      <c r="BO390" s="3968"/>
      <c r="BP390" s="3969"/>
      <c r="BQ390" s="3969"/>
      <c r="BR390" s="3970"/>
      <c r="BS390" s="3967" t="e">
        <f>+BS388/BR388-1</f>
        <v>#DIV/0!</v>
      </c>
      <c r="BT390" s="3967" t="e">
        <f>+BT388/BS388-1</f>
        <v>#DIV/0!</v>
      </c>
      <c r="BU390" s="3967" t="e">
        <f>+BU388/BT388-1</f>
        <v>#DIV/0!</v>
      </c>
      <c r="BV390" s="3967" t="e">
        <f>+BV388/BU388-1</f>
        <v>#DIV/0!</v>
      </c>
      <c r="BW390" s="3971"/>
      <c r="BX390" s="3876"/>
      <c r="BY390" s="3876"/>
      <c r="BZ390" s="3876"/>
      <c r="CA390" s="3876"/>
      <c r="CB390" s="3876"/>
      <c r="CC390" s="4046"/>
      <c r="CD390" s="4046"/>
      <c r="CE390" s="4045">
        <v>1</v>
      </c>
      <c r="CF390" s="4046">
        <v>0</v>
      </c>
      <c r="CG390" s="4046">
        <v>1</v>
      </c>
      <c r="CH390" s="4050">
        <v>0</v>
      </c>
      <c r="CI390" s="4045">
        <v>1</v>
      </c>
      <c r="CJ390" s="4046">
        <v>0</v>
      </c>
      <c r="CK390" s="4046">
        <v>0</v>
      </c>
      <c r="CL390" s="4050">
        <v>1</v>
      </c>
      <c r="CM390" s="4046">
        <v>0</v>
      </c>
      <c r="CN390" s="4046">
        <v>1</v>
      </c>
      <c r="CO390" s="4046">
        <v>0</v>
      </c>
      <c r="CP390" s="4050">
        <v>0</v>
      </c>
      <c r="CQ390" s="3139">
        <v>1</v>
      </c>
      <c r="CR390" s="3139">
        <v>1</v>
      </c>
      <c r="CS390" s="3139">
        <v>1</v>
      </c>
      <c r="CT390" s="3140">
        <v>1</v>
      </c>
    </row>
    <row r="391" spans="1:105" outlineLevel="1">
      <c r="A391" s="68" t="s">
        <v>1678</v>
      </c>
      <c r="B391" s="3933"/>
      <c r="M391" s="68"/>
      <c r="Q391" s="3933">
        <f t="shared" ref="Q391:W391" si="682">SUM(Q388:Q390)</f>
        <v>577</v>
      </c>
      <c r="R391" s="68">
        <f t="shared" si="682"/>
        <v>533</v>
      </c>
      <c r="S391" s="71">
        <f t="shared" si="682"/>
        <v>498</v>
      </c>
      <c r="T391" s="71">
        <f>SUM(T388:T390)</f>
        <v>608</v>
      </c>
      <c r="U391" s="71">
        <f t="shared" si="682"/>
        <v>590</v>
      </c>
      <c r="V391" s="71">
        <f t="shared" si="682"/>
        <v>578.24</v>
      </c>
      <c r="W391" s="71">
        <f t="shared" si="682"/>
        <v>566.71519999999998</v>
      </c>
      <c r="X391" s="71">
        <f t="shared" ref="X391:AF391" si="683">SUM(X388:X390)</f>
        <v>555.42089599999997</v>
      </c>
      <c r="Y391" s="71">
        <f t="shared" si="683"/>
        <v>544.35247807999997</v>
      </c>
      <c r="Z391" s="71">
        <f t="shared" si="683"/>
        <v>533.50542851839998</v>
      </c>
      <c r="AA391" s="71">
        <f t="shared" si="683"/>
        <v>522.87531994803192</v>
      </c>
      <c r="AB391" s="71">
        <f t="shared" si="683"/>
        <v>512.45781354907126</v>
      </c>
      <c r="AC391" s="71">
        <f t="shared" si="683"/>
        <v>502.24865727808981</v>
      </c>
      <c r="AD391" s="71">
        <f t="shared" si="683"/>
        <v>492.24368413252802</v>
      </c>
      <c r="AE391" s="71">
        <f t="shared" si="683"/>
        <v>482.43881044987745</v>
      </c>
      <c r="AF391" s="71">
        <f t="shared" si="683"/>
        <v>472.83003424087991</v>
      </c>
      <c r="AG391" s="2553"/>
      <c r="BW391" s="4045"/>
      <c r="CE391" s="3933">
        <f t="shared" ref="CE391:CL391" si="684">SUM(CE388:CE390)</f>
        <v>140</v>
      </c>
      <c r="CF391" s="68">
        <f t="shared" si="684"/>
        <v>143</v>
      </c>
      <c r="CG391" s="68">
        <f t="shared" si="684"/>
        <v>154</v>
      </c>
      <c r="CH391" s="3935">
        <f t="shared" si="684"/>
        <v>140</v>
      </c>
      <c r="CI391" s="3933">
        <f t="shared" si="684"/>
        <v>116</v>
      </c>
      <c r="CJ391" s="3876">
        <f t="shared" si="684"/>
        <v>123</v>
      </c>
      <c r="CK391" s="68">
        <f t="shared" si="684"/>
        <v>163</v>
      </c>
      <c r="CL391" s="3935">
        <f t="shared" si="684"/>
        <v>131</v>
      </c>
      <c r="CM391" s="3934">
        <f t="shared" ref="CM391:CT391" si="685">SUM(CM388:CM390)</f>
        <v>118</v>
      </c>
      <c r="CN391" s="68">
        <f t="shared" si="685"/>
        <v>133</v>
      </c>
      <c r="CO391" s="68">
        <f t="shared" si="685"/>
        <v>134</v>
      </c>
      <c r="CP391" s="3935">
        <f t="shared" ref="CP391" si="686">SUM(CP388:CP390)</f>
        <v>113</v>
      </c>
      <c r="CQ391" s="3934">
        <f t="shared" si="685"/>
        <v>152</v>
      </c>
      <c r="CR391" s="3934">
        <f t="shared" si="685"/>
        <v>152</v>
      </c>
      <c r="CS391" s="3934">
        <f t="shared" si="685"/>
        <v>152</v>
      </c>
      <c r="CT391" s="4047">
        <f t="shared" si="685"/>
        <v>152</v>
      </c>
    </row>
    <row r="392" spans="1:105" outlineLevel="1">
      <c r="A392" s="68" t="s">
        <v>34</v>
      </c>
      <c r="B392" s="3933"/>
      <c r="M392" s="68"/>
      <c r="Q392" s="3933"/>
      <c r="R392" s="3982">
        <f t="shared" ref="R392:W392" si="687">+R391/Q391-1</f>
        <v>-7.6256499133448896E-2</v>
      </c>
      <c r="S392" s="3982">
        <f t="shared" si="687"/>
        <v>-6.5666041275797338E-2</v>
      </c>
      <c r="T392" s="3982">
        <f>+T391/S391-1</f>
        <v>0.22088353413654627</v>
      </c>
      <c r="U392" s="3982">
        <f t="shared" si="687"/>
        <v>-2.960526315789469E-2</v>
      </c>
      <c r="V392" s="3982">
        <f t="shared" si="687"/>
        <v>-1.9932203389830483E-2</v>
      </c>
      <c r="W392" s="3982">
        <f t="shared" si="687"/>
        <v>-1.9930824571112393E-2</v>
      </c>
      <c r="X392" s="3982">
        <f t="shared" ref="X392:AF392" si="688">+X391/W391-1</f>
        <v>-1.9929417809862904E-2</v>
      </c>
      <c r="Y392" s="3982">
        <f t="shared" si="688"/>
        <v>-1.9927982543890499E-2</v>
      </c>
      <c r="Z392" s="3982">
        <f t="shared" si="688"/>
        <v>-1.9926518199859911E-2</v>
      </c>
      <c r="AA392" s="3982">
        <f t="shared" si="688"/>
        <v>-1.9925024193078955E-2</v>
      </c>
      <c r="AB392" s="3982">
        <f t="shared" si="688"/>
        <v>-1.9923499927279154E-2</v>
      </c>
      <c r="AC392" s="3982">
        <f t="shared" si="688"/>
        <v>-1.9921944794395907E-2</v>
      </c>
      <c r="AD392" s="3982">
        <f t="shared" si="688"/>
        <v>-1.992035817434179E-2</v>
      </c>
      <c r="AE392" s="3982">
        <f t="shared" si="688"/>
        <v>-1.9918739434777177E-2</v>
      </c>
      <c r="AF392" s="3982">
        <f t="shared" si="688"/>
        <v>-1.9917087930876209E-2</v>
      </c>
      <c r="AG392" s="2553"/>
      <c r="AH392" s="2714"/>
      <c r="AI392" s="114"/>
      <c r="AJ392" s="114"/>
      <c r="AK392" s="114"/>
      <c r="AL392" s="114"/>
      <c r="AM392" s="114"/>
      <c r="AN392" s="114"/>
      <c r="AO392" s="114"/>
      <c r="AP392" s="114"/>
      <c r="AQ392" s="114"/>
      <c r="AR392" s="114"/>
      <c r="AS392" s="114"/>
      <c r="AT392" s="114"/>
      <c r="AU392" s="114"/>
      <c r="AV392" s="114"/>
      <c r="AW392" s="114"/>
      <c r="AX392" s="114"/>
      <c r="AY392" s="114"/>
      <c r="AZ392" s="114"/>
      <c r="BA392" s="114"/>
      <c r="BB392" s="114"/>
      <c r="BC392" s="2050"/>
      <c r="BD392" s="2067"/>
      <c r="BE392" s="2067"/>
      <c r="BF392" s="2067"/>
      <c r="BG392" s="2050"/>
      <c r="BH392" s="2067"/>
      <c r="BI392" s="2067"/>
      <c r="BJ392" s="2067"/>
      <c r="BK392" s="2045"/>
      <c r="BL392" s="2047"/>
      <c r="BM392" s="2047"/>
      <c r="BN392" s="2047"/>
      <c r="BO392" s="2301"/>
      <c r="BP392" s="2302"/>
      <c r="BQ392" s="2302"/>
      <c r="BR392" s="2303"/>
      <c r="BS392" s="3967" t="e">
        <f>+BS391/BO391-1</f>
        <v>#DIV/0!</v>
      </c>
      <c r="BT392" s="3967" t="e">
        <f>+BT391/BP391-1</f>
        <v>#DIV/0!</v>
      </c>
      <c r="BU392" s="3967" t="e">
        <f>+BU391/BQ391-1</f>
        <v>#DIV/0!</v>
      </c>
      <c r="BV392" s="3967" t="e">
        <f>+BV391/BR391-1</f>
        <v>#DIV/0!</v>
      </c>
      <c r="BW392" s="3971"/>
      <c r="CE392" s="3933"/>
      <c r="CG392" s="68"/>
      <c r="CH392" s="4051"/>
      <c r="CI392" s="4052">
        <f t="shared" ref="CI392:CM392" si="689">+CI391/CE391-1</f>
        <v>-0.17142857142857137</v>
      </c>
      <c r="CJ392" s="3938">
        <f t="shared" si="689"/>
        <v>-0.1398601398601399</v>
      </c>
      <c r="CK392" s="3982">
        <f t="shared" si="689"/>
        <v>5.8441558441558517E-2</v>
      </c>
      <c r="CL392" s="4051">
        <f t="shared" si="689"/>
        <v>-6.4285714285714279E-2</v>
      </c>
      <c r="CM392" s="3982">
        <f t="shared" si="689"/>
        <v>1.7241379310344751E-2</v>
      </c>
      <c r="CN392" s="3982">
        <f>+CN391/CJ391-1</f>
        <v>8.1300813008130079E-2</v>
      </c>
      <c r="CO392" s="3982">
        <f>+CO391/CK391-1</f>
        <v>-0.17791411042944782</v>
      </c>
      <c r="CP392" s="4051">
        <f t="shared" ref="CP392" si="690">+CP391/CL391-1</f>
        <v>-0.13740458015267176</v>
      </c>
      <c r="CQ392" s="3938">
        <f>+CQ391/CM391-1</f>
        <v>0.28813559322033888</v>
      </c>
      <c r="CR392" s="3938">
        <f>+CR391/CN391-1</f>
        <v>0.14285714285714279</v>
      </c>
      <c r="CS392" s="3938">
        <f>+CS391/CO391-1</f>
        <v>0.13432835820895517</v>
      </c>
      <c r="CT392" s="4051">
        <f>+CT391/CP391-1</f>
        <v>0.34513274336283195</v>
      </c>
    </row>
    <row r="393" spans="1:105" outlineLevel="1">
      <c r="A393" s="68" t="s">
        <v>947</v>
      </c>
      <c r="B393" s="3933"/>
      <c r="M393" s="68"/>
      <c r="Q393" s="3933"/>
      <c r="AG393" s="2553"/>
      <c r="AH393" s="3921"/>
      <c r="AI393" s="3960"/>
      <c r="AJ393" s="3960"/>
      <c r="AK393" s="3960"/>
      <c r="AL393" s="3960"/>
      <c r="AM393" s="3960"/>
      <c r="AN393" s="3960"/>
      <c r="AO393" s="3960"/>
      <c r="AP393" s="3960"/>
      <c r="AQ393" s="3960"/>
      <c r="AR393" s="3960"/>
      <c r="AS393" s="3960"/>
      <c r="AT393" s="3960"/>
      <c r="AU393" s="3960"/>
      <c r="AV393" s="3960"/>
      <c r="AW393" s="3960"/>
      <c r="AX393" s="3960"/>
      <c r="AY393" s="3960"/>
      <c r="AZ393" s="3960"/>
      <c r="BA393" s="3960"/>
      <c r="BB393" s="3960"/>
      <c r="BC393" s="3961"/>
      <c r="BD393" s="3962"/>
      <c r="BE393" s="3962"/>
      <c r="BF393" s="3962"/>
      <c r="BG393" s="3961"/>
      <c r="BH393" s="3962"/>
      <c r="BI393" s="3962"/>
      <c r="BJ393" s="3962"/>
      <c r="BK393" s="2051"/>
      <c r="BL393" s="2069"/>
      <c r="BM393" s="2069"/>
      <c r="BN393" s="2069"/>
      <c r="BO393" s="3968"/>
      <c r="BP393" s="3969"/>
      <c r="BQ393" s="3969"/>
      <c r="BR393" s="3970"/>
      <c r="BS393" s="3967" t="e">
        <f>+BS391/BR391-1</f>
        <v>#DIV/0!</v>
      </c>
      <c r="BT393" s="3967" t="e">
        <f>+BT391/BS391-1</f>
        <v>#DIV/0!</v>
      </c>
      <c r="BU393" s="3967" t="e">
        <f>+BU391/BT391-1</f>
        <v>#DIV/0!</v>
      </c>
      <c r="BV393" s="3967" t="e">
        <f>+BV391/BU391-1</f>
        <v>#DIV/0!</v>
      </c>
      <c r="BW393" s="3971"/>
      <c r="CE393" s="3992"/>
      <c r="CF393" s="4056">
        <f t="shared" ref="CF393:CM393" si="691">+CF391/CE391-1</f>
        <v>2.1428571428571352E-2</v>
      </c>
      <c r="CG393" s="4056">
        <f t="shared" si="691"/>
        <v>7.6923076923076872E-2</v>
      </c>
      <c r="CH393" s="4055">
        <f t="shared" si="691"/>
        <v>-9.0909090909090939E-2</v>
      </c>
      <c r="CI393" s="4057">
        <f t="shared" si="691"/>
        <v>-0.17142857142857137</v>
      </c>
      <c r="CJ393" s="4056">
        <f t="shared" si="691"/>
        <v>6.0344827586206851E-2</v>
      </c>
      <c r="CK393" s="4056">
        <f t="shared" si="691"/>
        <v>0.32520325203252032</v>
      </c>
      <c r="CL393" s="4055">
        <f t="shared" si="691"/>
        <v>-0.19631901840490795</v>
      </c>
      <c r="CM393" s="4056">
        <f t="shared" si="691"/>
        <v>-9.92366412213741E-2</v>
      </c>
      <c r="CN393" s="4056">
        <f>+CN391/CM391-1</f>
        <v>0.12711864406779672</v>
      </c>
      <c r="CO393" s="4056">
        <f>+CO391/CN391-1</f>
        <v>7.5187969924812581E-3</v>
      </c>
      <c r="CP393" s="4055">
        <f t="shared" ref="CP393" si="692">+CP391/CO391-1</f>
        <v>-0.15671641791044777</v>
      </c>
      <c r="CQ393" s="4056">
        <f>+CQ391/CP391-1</f>
        <v>0.34513274336283195</v>
      </c>
      <c r="CR393" s="4056">
        <f>+CR391/CQ391-1</f>
        <v>0</v>
      </c>
      <c r="CS393" s="4056">
        <f>+CS391/CR391-1</f>
        <v>0</v>
      </c>
      <c r="CT393" s="4055">
        <f>+CT391/CS391-1</f>
        <v>0</v>
      </c>
    </row>
    <row r="394" spans="1:105" outlineLevel="1">
      <c r="A394" s="68" t="s">
        <v>1679</v>
      </c>
      <c r="B394" s="3933"/>
      <c r="P394" s="3876"/>
      <c r="Q394" s="3941">
        <f t="shared" si="678"/>
        <v>732</v>
      </c>
      <c r="R394" s="3952">
        <f t="shared" si="679"/>
        <v>688</v>
      </c>
      <c r="S394" s="3952">
        <f t="shared" si="680"/>
        <v>667</v>
      </c>
      <c r="T394" s="3952">
        <f>SUM(CQ394:CT394)</f>
        <v>654</v>
      </c>
      <c r="U394" s="3881">
        <f>+T394/S394*T394</f>
        <v>641.25337331334333</v>
      </c>
      <c r="V394" s="3881">
        <f>+U394/T394*U394</f>
        <v>628.75518162957496</v>
      </c>
      <c r="W394" s="3881">
        <f>+V394/U394*V394</f>
        <v>616.50058288716934</v>
      </c>
      <c r="X394" s="3881">
        <f t="shared" ref="X394:AF394" si="693">+W394/V394*W394</f>
        <v>604.48482939761425</v>
      </c>
      <c r="Y394" s="3881">
        <f t="shared" si="693"/>
        <v>592.70326600605642</v>
      </c>
      <c r="Z394" s="3881">
        <f t="shared" si="693"/>
        <v>581.15132828779736</v>
      </c>
      <c r="AA394" s="3881">
        <f t="shared" si="693"/>
        <v>569.82454077993918</v>
      </c>
      <c r="AB394" s="3881">
        <f t="shared" si="693"/>
        <v>558.7185152474965</v>
      </c>
      <c r="AC394" s="3881">
        <f t="shared" si="693"/>
        <v>547.82894898330233</v>
      </c>
      <c r="AD394" s="3881">
        <f t="shared" si="693"/>
        <v>537.15162314104896</v>
      </c>
      <c r="AE394" s="3881">
        <f t="shared" si="693"/>
        <v>526.68240110081854</v>
      </c>
      <c r="AF394" s="71">
        <f t="shared" si="693"/>
        <v>516.41722686646972</v>
      </c>
      <c r="AG394" s="2553"/>
      <c r="BW394" s="4045"/>
      <c r="CC394" s="4046"/>
      <c r="CD394" s="4046"/>
      <c r="CE394" s="4045">
        <v>134</v>
      </c>
      <c r="CF394" s="4046">
        <v>132</v>
      </c>
      <c r="CG394" s="4046">
        <v>284</v>
      </c>
      <c r="CH394" s="4050">
        <v>182</v>
      </c>
      <c r="CI394" s="4045">
        <v>174</v>
      </c>
      <c r="CJ394" s="4046">
        <v>173</v>
      </c>
      <c r="CK394" s="4046">
        <v>171</v>
      </c>
      <c r="CL394" s="4050">
        <v>170</v>
      </c>
      <c r="CM394" s="4046">
        <v>168</v>
      </c>
      <c r="CN394" s="4046">
        <v>168</v>
      </c>
      <c r="CO394" s="4046">
        <v>165</v>
      </c>
      <c r="CP394" s="4050">
        <v>166</v>
      </c>
      <c r="CQ394" s="3934">
        <f>+CP394-1</f>
        <v>165</v>
      </c>
      <c r="CR394" s="3934">
        <f>+CQ394-1</f>
        <v>164</v>
      </c>
      <c r="CS394" s="3934">
        <f>+CR394-1</f>
        <v>163</v>
      </c>
      <c r="CT394" s="4047">
        <f>+CS394-1</f>
        <v>162</v>
      </c>
    </row>
    <row r="395" spans="1:105" outlineLevel="1">
      <c r="A395" s="3965" t="s">
        <v>34</v>
      </c>
      <c r="B395" s="3933"/>
      <c r="P395" s="3876"/>
      <c r="Q395" s="3941"/>
      <c r="R395" s="3942">
        <f t="shared" ref="R395:W395" si="694">+R394/Q394-1</f>
        <v>-6.0109289617486295E-2</v>
      </c>
      <c r="S395" s="3942">
        <f t="shared" si="694"/>
        <v>-3.0523255813953543E-2</v>
      </c>
      <c r="T395" s="3942">
        <f>+T394/S394-1</f>
        <v>-1.9490254872563728E-2</v>
      </c>
      <c r="U395" s="3938">
        <f t="shared" si="694"/>
        <v>-1.9490254872563728E-2</v>
      </c>
      <c r="V395" s="3938">
        <f t="shared" si="694"/>
        <v>-1.9490254872563839E-2</v>
      </c>
      <c r="W395" s="3938">
        <f t="shared" si="694"/>
        <v>-1.9490254872563839E-2</v>
      </c>
      <c r="X395" s="3938">
        <f t="shared" ref="X395:AF395" si="695">+X394/W394-1</f>
        <v>-1.9490254872563839E-2</v>
      </c>
      <c r="Y395" s="3938">
        <f t="shared" si="695"/>
        <v>-1.949025487256395E-2</v>
      </c>
      <c r="Z395" s="3938">
        <f t="shared" si="695"/>
        <v>-1.9490254872563839E-2</v>
      </c>
      <c r="AA395" s="3938">
        <f t="shared" si="695"/>
        <v>-1.9490254872563839E-2</v>
      </c>
      <c r="AB395" s="3938">
        <f t="shared" si="695"/>
        <v>-1.9490254872563839E-2</v>
      </c>
      <c r="AC395" s="3938">
        <f t="shared" si="695"/>
        <v>-1.9490254872563839E-2</v>
      </c>
      <c r="AD395" s="3938">
        <f t="shared" si="695"/>
        <v>-1.949025487256395E-2</v>
      </c>
      <c r="AE395" s="3938">
        <f t="shared" si="695"/>
        <v>-1.9490254872563839E-2</v>
      </c>
      <c r="AF395" s="3982">
        <f t="shared" si="695"/>
        <v>-1.9490254872563728E-2</v>
      </c>
      <c r="AG395" s="2553"/>
      <c r="AH395" s="2714"/>
      <c r="AI395" s="114"/>
      <c r="AJ395" s="114"/>
      <c r="AK395" s="114"/>
      <c r="AL395" s="114"/>
      <c r="AM395" s="114"/>
      <c r="AN395" s="114"/>
      <c r="AO395" s="114"/>
      <c r="AP395" s="114"/>
      <c r="AQ395" s="114"/>
      <c r="AR395" s="114"/>
      <c r="AS395" s="114"/>
      <c r="AT395" s="114"/>
      <c r="AU395" s="114"/>
      <c r="AV395" s="114"/>
      <c r="AW395" s="114"/>
      <c r="AX395" s="114"/>
      <c r="AY395" s="114"/>
      <c r="AZ395" s="114"/>
      <c r="BA395" s="114"/>
      <c r="BB395" s="114"/>
      <c r="BC395" s="2050"/>
      <c r="BD395" s="2067"/>
      <c r="BE395" s="2067"/>
      <c r="BF395" s="2067"/>
      <c r="BG395" s="2050"/>
      <c r="BH395" s="2067"/>
      <c r="BI395" s="2067"/>
      <c r="BJ395" s="2067"/>
      <c r="BK395" s="2045"/>
      <c r="BL395" s="2047"/>
      <c r="BM395" s="2047"/>
      <c r="BN395" s="2047"/>
      <c r="BO395" s="2301"/>
      <c r="BP395" s="2302"/>
      <c r="BQ395" s="2302"/>
      <c r="BR395" s="2303"/>
      <c r="BS395" s="3967" t="e">
        <f>+BS394/BO394-1</f>
        <v>#DIV/0!</v>
      </c>
      <c r="BT395" s="3967" t="e">
        <f>+BT394/BP394-1</f>
        <v>#DIV/0!</v>
      </c>
      <c r="BU395" s="3967" t="e">
        <f>+BU394/BQ394-1</f>
        <v>#DIV/0!</v>
      </c>
      <c r="BV395" s="3967" t="e">
        <f>+BV394/BR394-1</f>
        <v>#DIV/0!</v>
      </c>
      <c r="BW395" s="3971"/>
      <c r="CC395" s="3967"/>
      <c r="CD395" s="3967"/>
      <c r="CE395" s="3971"/>
      <c r="CF395" s="3967"/>
      <c r="CG395" s="3967"/>
      <c r="CH395" s="3972"/>
      <c r="CI395" s="3971">
        <f t="shared" ref="CI395:CM395" si="696">+CI394/CE394-1</f>
        <v>0.29850746268656714</v>
      </c>
      <c r="CJ395" s="3967">
        <f t="shared" si="696"/>
        <v>0.31060606060606055</v>
      </c>
      <c r="CK395" s="3967">
        <f t="shared" si="696"/>
        <v>-0.397887323943662</v>
      </c>
      <c r="CL395" s="3972">
        <f t="shared" si="696"/>
        <v>-6.5934065934065922E-2</v>
      </c>
      <c r="CM395" s="3967">
        <f t="shared" si="696"/>
        <v>-3.4482758620689613E-2</v>
      </c>
      <c r="CN395" s="3967">
        <f>+CN394/CJ394-1</f>
        <v>-2.8901734104046284E-2</v>
      </c>
      <c r="CO395" s="3967">
        <f>+CO394/CK394-1</f>
        <v>-3.5087719298245612E-2</v>
      </c>
      <c r="CP395" s="3972">
        <f t="shared" ref="CP395" si="697">+CP394/CL394-1</f>
        <v>-2.352941176470591E-2</v>
      </c>
      <c r="CQ395" s="3967">
        <f>+CQ394/CM394-1</f>
        <v>-1.7857142857142905E-2</v>
      </c>
      <c r="CR395" s="3967">
        <f>+CR394/CN394-1</f>
        <v>-2.3809523809523836E-2</v>
      </c>
      <c r="CS395" s="3967">
        <f>+CS394/CO394-1</f>
        <v>-1.2121212121212088E-2</v>
      </c>
      <c r="CT395" s="3972">
        <f>+CT394/CP394-1</f>
        <v>-2.4096385542168641E-2</v>
      </c>
    </row>
    <row r="396" spans="1:105" outlineLevel="1">
      <c r="A396" s="3965" t="s">
        <v>947</v>
      </c>
      <c r="B396" s="3933"/>
      <c r="P396" s="3876"/>
      <c r="Q396" s="3941"/>
      <c r="R396" s="3952"/>
      <c r="S396" s="3952"/>
      <c r="T396" s="3952"/>
      <c r="U396" s="3876"/>
      <c r="V396" s="3876"/>
      <c r="W396" s="3876"/>
      <c r="X396" s="3876"/>
      <c r="Y396" s="3876"/>
      <c r="Z396" s="3876"/>
      <c r="AA396" s="3876"/>
      <c r="AB396" s="3876"/>
      <c r="AC396" s="3876"/>
      <c r="AD396" s="3876"/>
      <c r="AE396" s="3876"/>
      <c r="AF396" s="3935"/>
      <c r="AG396" s="2553"/>
      <c r="AH396" s="3921"/>
      <c r="AI396" s="3960"/>
      <c r="AJ396" s="3960"/>
      <c r="AK396" s="3960"/>
      <c r="AL396" s="3960"/>
      <c r="AM396" s="3960"/>
      <c r="AN396" s="3960"/>
      <c r="AO396" s="3960"/>
      <c r="AP396" s="3960"/>
      <c r="AQ396" s="3960"/>
      <c r="AR396" s="3960"/>
      <c r="AS396" s="3960"/>
      <c r="AT396" s="3960"/>
      <c r="AU396" s="3960"/>
      <c r="AV396" s="3960"/>
      <c r="AW396" s="3960"/>
      <c r="AX396" s="3960"/>
      <c r="AY396" s="3960"/>
      <c r="AZ396" s="3960"/>
      <c r="BA396" s="3960"/>
      <c r="BB396" s="3960"/>
      <c r="BC396" s="3961"/>
      <c r="BD396" s="3962"/>
      <c r="BE396" s="3962"/>
      <c r="BF396" s="3962"/>
      <c r="BG396" s="3961"/>
      <c r="BH396" s="3962"/>
      <c r="BI396" s="3962"/>
      <c r="BJ396" s="3962"/>
      <c r="BK396" s="2051"/>
      <c r="BL396" s="2069"/>
      <c r="BM396" s="2069"/>
      <c r="BN396" s="2069"/>
      <c r="BO396" s="3968"/>
      <c r="BP396" s="3969"/>
      <c r="BQ396" s="3969"/>
      <c r="BR396" s="3970"/>
      <c r="BS396" s="3967" t="e">
        <f>+BS394/BR394-1</f>
        <v>#DIV/0!</v>
      </c>
      <c r="BT396" s="3967" t="e">
        <f>+BT394/BS394-1</f>
        <v>#DIV/0!</v>
      </c>
      <c r="BU396" s="3967" t="e">
        <f>+BU394/BT394-1</f>
        <v>#DIV/0!</v>
      </c>
      <c r="BV396" s="3967" t="e">
        <f>+BV394/BU394-1</f>
        <v>#DIV/0!</v>
      </c>
      <c r="BW396" s="3971"/>
      <c r="CC396" s="3967"/>
      <c r="CD396" s="3967"/>
      <c r="CE396" s="3971"/>
      <c r="CF396" s="3967">
        <f t="shared" ref="CF396:CM396" si="698">+CF394/CE394-1</f>
        <v>-1.4925373134328401E-2</v>
      </c>
      <c r="CG396" s="3967">
        <f t="shared" si="698"/>
        <v>1.1515151515151514</v>
      </c>
      <c r="CH396" s="3972">
        <f t="shared" si="698"/>
        <v>-0.35915492957746475</v>
      </c>
      <c r="CI396" s="3971">
        <f t="shared" si="698"/>
        <v>-4.3956043956043911E-2</v>
      </c>
      <c r="CJ396" s="3967">
        <f t="shared" si="698"/>
        <v>-5.7471264367816577E-3</v>
      </c>
      <c r="CK396" s="3967">
        <f t="shared" si="698"/>
        <v>-1.1560693641618491E-2</v>
      </c>
      <c r="CL396" s="3972">
        <f t="shared" si="698"/>
        <v>-5.8479532163743242E-3</v>
      </c>
      <c r="CM396" s="3967">
        <f t="shared" si="698"/>
        <v>-1.1764705882352899E-2</v>
      </c>
      <c r="CN396" s="3967">
        <f>+CN394/CM394-1</f>
        <v>0</v>
      </c>
      <c r="CO396" s="3967">
        <f>+CO394/CN394-1</f>
        <v>-1.7857142857142905E-2</v>
      </c>
      <c r="CP396" s="3972">
        <f t="shared" ref="CP396" si="699">+CP394/CO394-1</f>
        <v>6.0606060606060996E-3</v>
      </c>
      <c r="CQ396" s="3967">
        <f>+CQ394/CP394-1</f>
        <v>-6.0240963855421326E-3</v>
      </c>
      <c r="CR396" s="3967">
        <f>+CR394/CQ394-1</f>
        <v>-6.0606060606060996E-3</v>
      </c>
      <c r="CS396" s="3967">
        <f>+CS394/CR394-1</f>
        <v>-6.0975609756097615E-3</v>
      </c>
      <c r="CT396" s="3972">
        <f>+CT394/CS394-1</f>
        <v>-6.1349693251533388E-3</v>
      </c>
    </row>
    <row r="397" spans="1:105" outlineLevel="1">
      <c r="A397" s="68" t="s">
        <v>1680</v>
      </c>
      <c r="B397" s="3933"/>
      <c r="P397" s="3876"/>
      <c r="Q397" s="3941">
        <f t="shared" si="678"/>
        <v>500</v>
      </c>
      <c r="R397" s="3952">
        <f t="shared" si="679"/>
        <v>527</v>
      </c>
      <c r="S397" s="3952">
        <f t="shared" si="680"/>
        <v>539</v>
      </c>
      <c r="T397" s="3952">
        <f>SUM(CQ397:CT397)</f>
        <v>588</v>
      </c>
      <c r="U397" s="3881">
        <f>+T397</f>
        <v>588</v>
      </c>
      <c r="V397" s="3881">
        <f>+U397</f>
        <v>588</v>
      </c>
      <c r="W397" s="3881">
        <f>+V397</f>
        <v>588</v>
      </c>
      <c r="X397" s="3881">
        <f t="shared" ref="X397:AF397" si="700">+W397</f>
        <v>588</v>
      </c>
      <c r="Y397" s="3881">
        <f t="shared" si="700"/>
        <v>588</v>
      </c>
      <c r="Z397" s="3881">
        <f t="shared" si="700"/>
        <v>588</v>
      </c>
      <c r="AA397" s="3881">
        <f t="shared" si="700"/>
        <v>588</v>
      </c>
      <c r="AB397" s="3881">
        <f t="shared" si="700"/>
        <v>588</v>
      </c>
      <c r="AC397" s="3881">
        <f t="shared" si="700"/>
        <v>588</v>
      </c>
      <c r="AD397" s="3881">
        <f t="shared" si="700"/>
        <v>588</v>
      </c>
      <c r="AE397" s="3881">
        <f t="shared" si="700"/>
        <v>588</v>
      </c>
      <c r="AF397" s="71">
        <f t="shared" si="700"/>
        <v>588</v>
      </c>
      <c r="AG397" s="2553"/>
      <c r="BW397" s="3492"/>
      <c r="CC397" s="4046"/>
      <c r="CD397" s="4046"/>
      <c r="CE397" s="4045">
        <v>123</v>
      </c>
      <c r="CF397" s="4046">
        <v>126</v>
      </c>
      <c r="CG397" s="4046">
        <v>125</v>
      </c>
      <c r="CH397" s="4050">
        <v>126</v>
      </c>
      <c r="CI397" s="4045">
        <v>134</v>
      </c>
      <c r="CJ397" s="4046">
        <v>134</v>
      </c>
      <c r="CK397" s="4046">
        <v>133</v>
      </c>
      <c r="CL397" s="4050">
        <v>126</v>
      </c>
      <c r="CM397" s="4046">
        <v>120</v>
      </c>
      <c r="CN397" s="4046">
        <v>134</v>
      </c>
      <c r="CO397" s="4046">
        <v>138</v>
      </c>
      <c r="CP397" s="4050">
        <v>147</v>
      </c>
      <c r="CQ397" s="3934">
        <f>+CP397</f>
        <v>147</v>
      </c>
      <c r="CR397" s="3934">
        <f>+CQ397</f>
        <v>147</v>
      </c>
      <c r="CS397" s="3934">
        <f>+CR397</f>
        <v>147</v>
      </c>
      <c r="CT397" s="4047">
        <f>+CS397</f>
        <v>147</v>
      </c>
    </row>
    <row r="398" spans="1:105" outlineLevel="1">
      <c r="A398" s="68" t="s">
        <v>34</v>
      </c>
      <c r="B398" s="3933"/>
      <c r="M398" s="68"/>
      <c r="Q398" s="3933"/>
      <c r="R398" s="3982">
        <f t="shared" ref="R398:W398" si="701">+R397/Q397-1</f>
        <v>5.4000000000000048E-2</v>
      </c>
      <c r="S398" s="3982">
        <f t="shared" si="701"/>
        <v>2.2770398481973375E-2</v>
      </c>
      <c r="T398" s="3982">
        <f>+T397/S397-1</f>
        <v>9.0909090909090828E-2</v>
      </c>
      <c r="U398" s="3982">
        <f t="shared" si="701"/>
        <v>0</v>
      </c>
      <c r="V398" s="3982">
        <f t="shared" si="701"/>
        <v>0</v>
      </c>
      <c r="W398" s="3982">
        <f t="shared" si="701"/>
        <v>0</v>
      </c>
      <c r="X398" s="3982">
        <f t="shared" ref="X398:AF398" si="702">+X397/W397-1</f>
        <v>0</v>
      </c>
      <c r="Y398" s="3982">
        <f t="shared" si="702"/>
        <v>0</v>
      </c>
      <c r="Z398" s="3982">
        <f t="shared" si="702"/>
        <v>0</v>
      </c>
      <c r="AA398" s="3982">
        <f t="shared" si="702"/>
        <v>0</v>
      </c>
      <c r="AB398" s="3982">
        <f t="shared" si="702"/>
        <v>0</v>
      </c>
      <c r="AC398" s="3982">
        <f t="shared" si="702"/>
        <v>0</v>
      </c>
      <c r="AD398" s="3982">
        <f t="shared" si="702"/>
        <v>0</v>
      </c>
      <c r="AE398" s="3982">
        <f t="shared" si="702"/>
        <v>0</v>
      </c>
      <c r="AF398" s="3982">
        <f t="shared" si="702"/>
        <v>0</v>
      </c>
      <c r="AG398" s="2553"/>
      <c r="AH398" s="2714"/>
      <c r="AI398" s="114"/>
      <c r="AJ398" s="114"/>
      <c r="AK398" s="114"/>
      <c r="AL398" s="114"/>
      <c r="AM398" s="114"/>
      <c r="AN398" s="114"/>
      <c r="AO398" s="114"/>
      <c r="AP398" s="114"/>
      <c r="AQ398" s="114"/>
      <c r="AR398" s="114"/>
      <c r="AS398" s="114"/>
      <c r="AT398" s="114"/>
      <c r="AU398" s="114"/>
      <c r="AV398" s="114"/>
      <c r="AW398" s="114"/>
      <c r="AX398" s="114"/>
      <c r="AY398" s="114"/>
      <c r="AZ398" s="114"/>
      <c r="BA398" s="114"/>
      <c r="BB398" s="114"/>
      <c r="BC398" s="2050"/>
      <c r="BD398" s="2067"/>
      <c r="BE398" s="2067"/>
      <c r="BF398" s="2067"/>
      <c r="BG398" s="2050"/>
      <c r="BH398" s="2067"/>
      <c r="BI398" s="2067"/>
      <c r="BJ398" s="2067"/>
      <c r="BK398" s="2045"/>
      <c r="BL398" s="2047"/>
      <c r="BM398" s="2047"/>
      <c r="BN398" s="2047"/>
      <c r="BO398" s="2301"/>
      <c r="BP398" s="2302"/>
      <c r="BQ398" s="2302"/>
      <c r="BR398" s="2303"/>
      <c r="BS398" s="3967" t="e">
        <f>+BS397/BO397-1</f>
        <v>#DIV/0!</v>
      </c>
      <c r="BT398" s="3967" t="e">
        <f>+BT397/BP397-1</f>
        <v>#DIV/0!</v>
      </c>
      <c r="BU398" s="3967" t="e">
        <f>+BU397/BQ397-1</f>
        <v>#DIV/0!</v>
      </c>
      <c r="BV398" s="3967" t="e">
        <f>+BV397/BR397-1</f>
        <v>#DIV/0!</v>
      </c>
      <c r="BW398" s="3933"/>
      <c r="CE398" s="3933"/>
      <c r="CG398" s="68"/>
      <c r="CH398" s="4051"/>
      <c r="CI398" s="4052">
        <f>+CI397/CE397-1</f>
        <v>8.9430894308943021E-2</v>
      </c>
      <c r="CJ398" s="3938">
        <f t="shared" ref="CJ398:CM398" si="703">+CJ397/CF397-1</f>
        <v>6.3492063492063489E-2</v>
      </c>
      <c r="CK398" s="3982">
        <f t="shared" si="703"/>
        <v>6.4000000000000057E-2</v>
      </c>
      <c r="CL398" s="4051">
        <f t="shared" si="703"/>
        <v>0</v>
      </c>
      <c r="CM398" s="3982">
        <f t="shared" si="703"/>
        <v>-0.10447761194029848</v>
      </c>
      <c r="CN398" s="3982">
        <f>+CN397/CJ397-1</f>
        <v>0</v>
      </c>
      <c r="CO398" s="3982">
        <f>+CO397/CK397-1</f>
        <v>3.7593984962406068E-2</v>
      </c>
      <c r="CP398" s="4051">
        <f t="shared" ref="CP398" si="704">+CP397/CL397-1</f>
        <v>0.16666666666666674</v>
      </c>
      <c r="CQ398" s="3938">
        <f>+CQ397/CM397-1</f>
        <v>0.22500000000000009</v>
      </c>
      <c r="CR398" s="3938">
        <f>+CR397/CN397-1</f>
        <v>9.7014925373134275E-2</v>
      </c>
      <c r="CS398" s="3938">
        <f>+CS397/CO397-1</f>
        <v>6.5217391304347894E-2</v>
      </c>
      <c r="CT398" s="4051">
        <f>+CT397/CP397-1</f>
        <v>0</v>
      </c>
    </row>
    <row r="399" spans="1:105" s="3989" customFormat="1" outlineLevel="1">
      <c r="A399" s="3992" t="s">
        <v>947</v>
      </c>
      <c r="B399" s="3992"/>
      <c r="Q399" s="3992"/>
      <c r="AG399" s="2553"/>
      <c r="AH399" s="3921"/>
      <c r="AI399" s="3960"/>
      <c r="AJ399" s="3960"/>
      <c r="AK399" s="3960"/>
      <c r="AL399" s="3960"/>
      <c r="AM399" s="3960"/>
      <c r="AN399" s="3960"/>
      <c r="AO399" s="3960"/>
      <c r="AP399" s="3960"/>
      <c r="AQ399" s="3960"/>
      <c r="AR399" s="3960"/>
      <c r="AS399" s="3960"/>
      <c r="AT399" s="3960"/>
      <c r="AU399" s="3960"/>
      <c r="AV399" s="3960"/>
      <c r="AW399" s="3960"/>
      <c r="AX399" s="3960"/>
      <c r="AY399" s="3960"/>
      <c r="AZ399" s="3960"/>
      <c r="BA399" s="3960"/>
      <c r="BB399" s="3960"/>
      <c r="BC399" s="3961"/>
      <c r="BD399" s="3962"/>
      <c r="BE399" s="3962"/>
      <c r="BF399" s="3962"/>
      <c r="BG399" s="3961"/>
      <c r="BH399" s="3962"/>
      <c r="BI399" s="3962"/>
      <c r="BJ399" s="3962"/>
      <c r="BK399" s="2051"/>
      <c r="BL399" s="2069"/>
      <c r="BM399" s="2069"/>
      <c r="BN399" s="2069"/>
      <c r="BO399" s="3968"/>
      <c r="BP399" s="3969"/>
      <c r="BQ399" s="3969"/>
      <c r="BR399" s="3970"/>
      <c r="BS399" s="3967" t="e">
        <f>+BS397/BR397-1</f>
        <v>#DIV/0!</v>
      </c>
      <c r="BT399" s="3967" t="e">
        <f>+BT397/BS397-1</f>
        <v>#DIV/0!</v>
      </c>
      <c r="BU399" s="3967" t="e">
        <f>+BU397/BT397-1</f>
        <v>#DIV/0!</v>
      </c>
      <c r="BV399" s="3967" t="e">
        <f>+BV397/BU397-1</f>
        <v>#DIV/0!</v>
      </c>
      <c r="BW399" s="3992"/>
      <c r="CE399" s="3992"/>
      <c r="CF399" s="4056">
        <f t="shared" ref="CF399:CM399" si="705">+CF397/CE397-1</f>
        <v>2.4390243902439046E-2</v>
      </c>
      <c r="CG399" s="4056">
        <f t="shared" si="705"/>
        <v>-7.9365079365079083E-3</v>
      </c>
      <c r="CH399" s="4055">
        <f t="shared" si="705"/>
        <v>8.0000000000000071E-3</v>
      </c>
      <c r="CI399" s="4057">
        <f t="shared" si="705"/>
        <v>6.3492063492063489E-2</v>
      </c>
      <c r="CJ399" s="4056">
        <f t="shared" si="705"/>
        <v>0</v>
      </c>
      <c r="CK399" s="4056">
        <f t="shared" si="705"/>
        <v>-7.4626865671642006E-3</v>
      </c>
      <c r="CL399" s="4055">
        <f t="shared" si="705"/>
        <v>-5.2631578947368474E-2</v>
      </c>
      <c r="CM399" s="4056">
        <f t="shared" si="705"/>
        <v>-4.7619047619047672E-2</v>
      </c>
      <c r="CN399" s="4056">
        <f>+CN397/CM397-1</f>
        <v>0.1166666666666667</v>
      </c>
      <c r="CO399" s="4056">
        <f>+CO397/CN397-1</f>
        <v>2.9850746268656803E-2</v>
      </c>
      <c r="CP399" s="4055">
        <f t="shared" ref="CP399" si="706">+CP397/CO397-1</f>
        <v>6.5217391304347894E-2</v>
      </c>
      <c r="CQ399" s="4056">
        <f>+CQ397/CP397-1</f>
        <v>0</v>
      </c>
      <c r="CR399" s="4056">
        <f>+CR397/CQ397-1</f>
        <v>0</v>
      </c>
      <c r="CS399" s="4056">
        <f>+CS397/CR397-1</f>
        <v>0</v>
      </c>
      <c r="CT399" s="4055">
        <f>+CT397/CS397-1</f>
        <v>0</v>
      </c>
      <c r="CU399" s="68"/>
      <c r="CV399" s="68"/>
      <c r="CW399" s="68"/>
      <c r="CX399" s="68"/>
      <c r="CY399" s="68"/>
      <c r="CZ399" s="68"/>
      <c r="DA399" s="68"/>
    </row>
    <row r="400" spans="1:105" outlineLevel="1">
      <c r="A400" s="3488" t="s">
        <v>1681</v>
      </c>
      <c r="B400" s="4058"/>
      <c r="C400" s="4059"/>
      <c r="D400" s="4059"/>
      <c r="E400" s="4059"/>
      <c r="F400" s="4059"/>
      <c r="G400" s="4059"/>
      <c r="H400" s="4059"/>
      <c r="I400" s="4059"/>
      <c r="J400" s="4059"/>
      <c r="K400" s="4059"/>
      <c r="L400" s="4059"/>
      <c r="M400" s="68"/>
      <c r="N400" s="4059"/>
      <c r="O400" s="4059"/>
      <c r="Q400" s="3933">
        <f t="shared" ref="Q400:W400" si="707">+Q397+Q394</f>
        <v>1232</v>
      </c>
      <c r="R400" s="71">
        <f t="shared" si="707"/>
        <v>1215</v>
      </c>
      <c r="S400" s="71">
        <f t="shared" si="707"/>
        <v>1206</v>
      </c>
      <c r="T400" s="71">
        <f>+T397+T394</f>
        <v>1242</v>
      </c>
      <c r="U400" s="71">
        <f t="shared" si="707"/>
        <v>1229.2533733133432</v>
      </c>
      <c r="V400" s="71">
        <f t="shared" si="707"/>
        <v>1216.755181629575</v>
      </c>
      <c r="W400" s="71">
        <f t="shared" si="707"/>
        <v>1204.5005828871695</v>
      </c>
      <c r="X400" s="71">
        <f t="shared" ref="X400:AF400" si="708">+X397+X394</f>
        <v>1192.4848293976142</v>
      </c>
      <c r="Y400" s="71">
        <f t="shared" si="708"/>
        <v>1180.7032660060563</v>
      </c>
      <c r="Z400" s="71">
        <f t="shared" si="708"/>
        <v>1169.1513282877972</v>
      </c>
      <c r="AA400" s="71">
        <f t="shared" si="708"/>
        <v>1157.8245407799391</v>
      </c>
      <c r="AB400" s="71">
        <f t="shared" si="708"/>
        <v>1146.7185152474965</v>
      </c>
      <c r="AC400" s="71">
        <f t="shared" si="708"/>
        <v>1135.8289489833023</v>
      </c>
      <c r="AD400" s="71">
        <f t="shared" si="708"/>
        <v>1125.151623141049</v>
      </c>
      <c r="AE400" s="71">
        <f t="shared" si="708"/>
        <v>1114.6824011008184</v>
      </c>
      <c r="AF400" s="71">
        <f t="shared" si="708"/>
        <v>1104.4172268664697</v>
      </c>
      <c r="AG400" s="2553"/>
      <c r="BW400" s="4040"/>
      <c r="BX400" s="4059"/>
      <c r="BY400" s="4059"/>
      <c r="BZ400" s="4059"/>
      <c r="CD400" s="4047"/>
      <c r="CE400" s="3934">
        <f>+CE397+CE394</f>
        <v>257</v>
      </c>
      <c r="CF400" s="4060">
        <f>+CF397+CF394</f>
        <v>258</v>
      </c>
      <c r="CG400" s="4060">
        <f>+CG397+CG394</f>
        <v>409</v>
      </c>
      <c r="CH400" s="4047">
        <f>+CH397+CH394</f>
        <v>308</v>
      </c>
      <c r="CI400" s="3940">
        <f t="shared" ref="CI400:CM400" si="709">+CI397+CI394</f>
        <v>308</v>
      </c>
      <c r="CJ400" s="3934">
        <f t="shared" si="709"/>
        <v>307</v>
      </c>
      <c r="CK400" s="4060">
        <f t="shared" si="709"/>
        <v>304</v>
      </c>
      <c r="CL400" s="4044">
        <f t="shared" si="709"/>
        <v>296</v>
      </c>
      <c r="CM400" s="4060">
        <f t="shared" si="709"/>
        <v>288</v>
      </c>
      <c r="CN400" s="4060">
        <f>+CN397+CN394</f>
        <v>302</v>
      </c>
      <c r="CO400" s="4060">
        <f>+CO397+CO394</f>
        <v>303</v>
      </c>
      <c r="CP400" s="4044">
        <f t="shared" ref="CP400" si="710">+CP397+CP394</f>
        <v>313</v>
      </c>
      <c r="CQ400" s="3934">
        <f>+CQ397+CQ394</f>
        <v>312</v>
      </c>
      <c r="CR400" s="3934">
        <f>+CR397+CR394</f>
        <v>311</v>
      </c>
      <c r="CS400" s="3934">
        <f>+CS397+CS394</f>
        <v>310</v>
      </c>
      <c r="CT400" s="4047">
        <f>+CT397+CT394</f>
        <v>309</v>
      </c>
    </row>
    <row r="401" spans="1:105" outlineLevel="1">
      <c r="A401" s="68" t="s">
        <v>34</v>
      </c>
      <c r="B401" s="3933"/>
      <c r="M401" s="68"/>
      <c r="Q401" s="4052">
        <f>+Q151</f>
        <v>0.22831505483549352</v>
      </c>
      <c r="R401" s="3982">
        <f t="shared" ref="R401:W401" si="711">+R400/Q400-1</f>
        <v>-1.379870129870131E-2</v>
      </c>
      <c r="S401" s="3982">
        <f t="shared" si="711"/>
        <v>-7.4074074074074181E-3</v>
      </c>
      <c r="T401" s="3982">
        <f>+T400/S400-1</f>
        <v>2.9850746268656803E-2</v>
      </c>
      <c r="U401" s="3982">
        <f t="shared" si="711"/>
        <v>-1.0262984449804224E-2</v>
      </c>
      <c r="V401" s="3982">
        <f t="shared" si="711"/>
        <v>-1.0167303141158324E-2</v>
      </c>
      <c r="W401" s="3982">
        <f t="shared" si="711"/>
        <v>-1.007154021402501E-2</v>
      </c>
      <c r="X401" s="3982">
        <f t="shared" ref="X401:AF401" si="712">+X400/W400-1</f>
        <v>-9.975714134362379E-3</v>
      </c>
      <c r="Y401" s="3982">
        <f t="shared" si="712"/>
        <v>-9.8798434169677929E-3</v>
      </c>
      <c r="Z401" s="3982">
        <f t="shared" si="712"/>
        <v>-9.783946611188421E-3</v>
      </c>
      <c r="AA401" s="3982">
        <f t="shared" si="712"/>
        <v>-9.6880422865756044E-3</v>
      </c>
      <c r="AB401" s="3982">
        <f t="shared" si="712"/>
        <v>-9.592149018504359E-3</v>
      </c>
      <c r="AC401" s="3982">
        <f t="shared" si="712"/>
        <v>-9.4962853737857733E-3</v>
      </c>
      <c r="AD401" s="3982">
        <f t="shared" si="712"/>
        <v>-9.4004698962909528E-3</v>
      </c>
      <c r="AE401" s="3982">
        <f t="shared" si="712"/>
        <v>-9.3047210926150425E-3</v>
      </c>
      <c r="AF401" s="3982">
        <f t="shared" si="712"/>
        <v>-9.2090574178000928E-3</v>
      </c>
      <c r="AG401" s="2553"/>
      <c r="AH401" s="2714"/>
      <c r="AI401" s="114"/>
      <c r="AJ401" s="114"/>
      <c r="AK401" s="114"/>
      <c r="AL401" s="114"/>
      <c r="AM401" s="114"/>
      <c r="AN401" s="114"/>
      <c r="AO401" s="114"/>
      <c r="AP401" s="114"/>
      <c r="AQ401" s="114"/>
      <c r="AR401" s="114"/>
      <c r="AS401" s="114"/>
      <c r="AT401" s="114"/>
      <c r="AU401" s="114"/>
      <c r="AV401" s="114"/>
      <c r="AW401" s="114"/>
      <c r="AX401" s="114"/>
      <c r="AY401" s="114"/>
      <c r="AZ401" s="114"/>
      <c r="BA401" s="114"/>
      <c r="BB401" s="114"/>
      <c r="BC401" s="2050"/>
      <c r="BD401" s="2067"/>
      <c r="BE401" s="2067"/>
      <c r="BF401" s="2067"/>
      <c r="BG401" s="2050"/>
      <c r="BH401" s="2067"/>
      <c r="BI401" s="2067"/>
      <c r="BJ401" s="2067"/>
      <c r="BK401" s="2045"/>
      <c r="BL401" s="2047"/>
      <c r="BM401" s="2047"/>
      <c r="BN401" s="2047"/>
      <c r="BO401" s="2301"/>
      <c r="BP401" s="2302"/>
      <c r="BQ401" s="2302"/>
      <c r="BR401" s="2303"/>
      <c r="BS401" s="3967" t="e">
        <f>+BS400/BO400-1</f>
        <v>#DIV/0!</v>
      </c>
      <c r="BT401" s="3967" t="e">
        <f>+BT400/BP400-1</f>
        <v>#DIV/0!</v>
      </c>
      <c r="BU401" s="3967" t="e">
        <f>+BU400/BQ400-1</f>
        <v>#DIV/0!</v>
      </c>
      <c r="BV401" s="3967" t="e">
        <f>+BV400/BR400-1</f>
        <v>#DIV/0!</v>
      </c>
      <c r="BW401" s="3971"/>
      <c r="CD401" s="3967"/>
      <c r="CE401" s="3971"/>
      <c r="CF401" s="3982"/>
      <c r="CG401" s="3982"/>
      <c r="CH401" s="4051"/>
      <c r="CI401" s="4052">
        <f t="shared" ref="CI401:CM401" si="713">+CI400/CE400-1</f>
        <v>0.19844357976653693</v>
      </c>
      <c r="CJ401" s="3938">
        <f t="shared" si="713"/>
        <v>0.18992248062015493</v>
      </c>
      <c r="CK401" s="3982">
        <f t="shared" si="713"/>
        <v>-0.25672371638141811</v>
      </c>
      <c r="CL401" s="4051">
        <f t="shared" si="713"/>
        <v>-3.8961038961038974E-2</v>
      </c>
      <c r="CM401" s="3982">
        <f t="shared" si="713"/>
        <v>-6.4935064935064957E-2</v>
      </c>
      <c r="CN401" s="3982">
        <f>+CN400/CJ400-1</f>
        <v>-1.6286644951140072E-2</v>
      </c>
      <c r="CO401" s="3982">
        <f>+CO400/CK400-1</f>
        <v>-3.2894736842105088E-3</v>
      </c>
      <c r="CP401" s="4051">
        <f t="shared" ref="CP401" si="714">+CP400/CL400-1</f>
        <v>5.7432432432432456E-2</v>
      </c>
      <c r="CQ401" s="3938">
        <f>+CQ400/CM400-1</f>
        <v>8.3333333333333259E-2</v>
      </c>
      <c r="CR401" s="3938">
        <f>+CR400/CN400-1</f>
        <v>2.9801324503311299E-2</v>
      </c>
      <c r="CS401" s="3938">
        <f>+CS400/CO400-1</f>
        <v>2.3102310231023049E-2</v>
      </c>
      <c r="CT401" s="4051">
        <f>+CT400/CP400-1</f>
        <v>-1.2779552715655007E-2</v>
      </c>
    </row>
    <row r="402" spans="1:105" outlineLevel="1">
      <c r="A402" s="68" t="s">
        <v>947</v>
      </c>
      <c r="B402" s="3933"/>
      <c r="M402" s="68"/>
      <c r="Q402" s="3933"/>
      <c r="AG402" s="2553"/>
      <c r="AH402" s="3921"/>
      <c r="AI402" s="3960"/>
      <c r="AJ402" s="3960"/>
      <c r="AK402" s="3960"/>
      <c r="AL402" s="3960"/>
      <c r="AM402" s="3960"/>
      <c r="AN402" s="3960"/>
      <c r="AO402" s="3960"/>
      <c r="AP402" s="3960"/>
      <c r="AQ402" s="3960"/>
      <c r="AR402" s="3960"/>
      <c r="AS402" s="3960"/>
      <c r="AT402" s="3960"/>
      <c r="AU402" s="3960"/>
      <c r="AV402" s="3960"/>
      <c r="AW402" s="3960"/>
      <c r="AX402" s="3960"/>
      <c r="AY402" s="3960"/>
      <c r="AZ402" s="3960"/>
      <c r="BA402" s="3960"/>
      <c r="BB402" s="3960"/>
      <c r="BC402" s="3961"/>
      <c r="BD402" s="3962"/>
      <c r="BE402" s="3962"/>
      <c r="BF402" s="3962"/>
      <c r="BG402" s="3961"/>
      <c r="BH402" s="3962"/>
      <c r="BI402" s="3962"/>
      <c r="BJ402" s="3962"/>
      <c r="BK402" s="2051"/>
      <c r="BL402" s="2069"/>
      <c r="BM402" s="2069"/>
      <c r="BN402" s="2069"/>
      <c r="BO402" s="3968"/>
      <c r="BP402" s="3969"/>
      <c r="BQ402" s="3969"/>
      <c r="BR402" s="3970"/>
      <c r="BS402" s="3967" t="e">
        <f>+BS400/BR400-1</f>
        <v>#DIV/0!</v>
      </c>
      <c r="BT402" s="3967" t="e">
        <f>+BT400/BS400-1</f>
        <v>#DIV/0!</v>
      </c>
      <c r="BU402" s="3967" t="e">
        <f>+BU400/BT400-1</f>
        <v>#DIV/0!</v>
      </c>
      <c r="BV402" s="3967" t="e">
        <f>+BV400/BU400-1</f>
        <v>#DIV/0!</v>
      </c>
      <c r="BW402" s="3971"/>
      <c r="CD402" s="3967"/>
      <c r="CE402" s="3971"/>
      <c r="CF402" s="3982">
        <f t="shared" ref="CF402:CM402" si="715">+CF400/CE400-1</f>
        <v>3.8910505836575737E-3</v>
      </c>
      <c r="CG402" s="3982">
        <f t="shared" si="715"/>
        <v>0.58527131782945729</v>
      </c>
      <c r="CH402" s="4051">
        <f t="shared" si="715"/>
        <v>-0.24694376528117357</v>
      </c>
      <c r="CI402" s="4052">
        <f t="shared" si="715"/>
        <v>0</v>
      </c>
      <c r="CJ402" s="3938">
        <f t="shared" si="715"/>
        <v>-3.2467532467532756E-3</v>
      </c>
      <c r="CK402" s="3982">
        <f t="shared" si="715"/>
        <v>-9.7719869706840434E-3</v>
      </c>
      <c r="CL402" s="4051">
        <f t="shared" si="715"/>
        <v>-2.6315789473684181E-2</v>
      </c>
      <c r="CM402" s="3982">
        <f t="shared" si="715"/>
        <v>-2.7027027027026973E-2</v>
      </c>
      <c r="CN402" s="3982">
        <f>+CN400/CM400-1</f>
        <v>4.861111111111116E-2</v>
      </c>
      <c r="CO402" s="3982">
        <f>+CO400/CN400-1</f>
        <v>3.3112582781456013E-3</v>
      </c>
      <c r="CP402" s="4051">
        <f t="shared" ref="CP402" si="716">+CP400/CO400-1</f>
        <v>3.3003300330032959E-2</v>
      </c>
      <c r="CQ402" s="3938">
        <f>+CQ400/CP400-1</f>
        <v>-3.1948881789137795E-3</v>
      </c>
      <c r="CR402" s="3938">
        <f>+CR400/CQ400-1</f>
        <v>-3.2051282051281937E-3</v>
      </c>
      <c r="CS402" s="3938">
        <f>+CS400/CR400-1</f>
        <v>-3.215434083601254E-3</v>
      </c>
      <c r="CT402" s="4051">
        <f>+CT400/CS400-1</f>
        <v>-3.225806451612856E-3</v>
      </c>
    </row>
    <row r="403" spans="1:105" outlineLevel="1">
      <c r="A403" s="68" t="s">
        <v>489</v>
      </c>
      <c r="B403" s="3933"/>
      <c r="M403" s="68"/>
      <c r="Q403" s="3933">
        <f t="shared" ref="Q403:W403" si="717">+Q367+Q385+Q391+Q400</f>
        <v>17900</v>
      </c>
      <c r="R403" s="71">
        <f t="shared" si="717"/>
        <v>17470</v>
      </c>
      <c r="S403" s="71">
        <f t="shared" si="717"/>
        <v>16297</v>
      </c>
      <c r="T403" s="71">
        <f>+T367+T385+T391+T400</f>
        <v>15769.312999999998</v>
      </c>
      <c r="U403" s="71">
        <f t="shared" si="717"/>
        <v>15411.818115535563</v>
      </c>
      <c r="V403" s="71">
        <f t="shared" si="717"/>
        <v>15065.560315915747</v>
      </c>
      <c r="W403" s="71">
        <f t="shared" si="717"/>
        <v>14778.702842885674</v>
      </c>
      <c r="X403" s="71">
        <f t="shared" ref="X403:AF403" si="718">+X367+X385+X391+X400</f>
        <v>14545.778436884619</v>
      </c>
      <c r="Y403" s="71">
        <f t="shared" si="718"/>
        <v>14361.943445609375</v>
      </c>
      <c r="Z403" s="71">
        <f t="shared" si="718"/>
        <v>14222.907535158831</v>
      </c>
      <c r="AA403" s="71">
        <f t="shared" si="718"/>
        <v>14124.871891664749</v>
      </c>
      <c r="AB403" s="71">
        <f t="shared" si="718"/>
        <v>14064.474825984422</v>
      </c>
      <c r="AC403" s="71">
        <f t="shared" si="718"/>
        <v>14038.743841557985</v>
      </c>
      <c r="AD403" s="71">
        <f t="shared" si="718"/>
        <v>14045.053352311557</v>
      </c>
      <c r="AE403" s="71">
        <f t="shared" si="718"/>
        <v>14081.087346477896</v>
      </c>
      <c r="AF403" s="71">
        <f t="shared" si="718"/>
        <v>14144.806385947701</v>
      </c>
      <c r="AG403" s="2553"/>
      <c r="AH403" s="3495"/>
      <c r="AI403" s="3495"/>
      <c r="AJ403" s="3495"/>
      <c r="AK403" s="3495"/>
      <c r="AL403" s="3495"/>
      <c r="AM403" s="3495"/>
      <c r="AN403" s="3495"/>
      <c r="AO403" s="3495"/>
      <c r="AP403" s="3495"/>
      <c r="AQ403" s="3495"/>
      <c r="AR403" s="3495"/>
      <c r="AS403" s="3495"/>
      <c r="AT403" s="3495"/>
      <c r="AU403" s="3495"/>
      <c r="AV403" s="3495"/>
      <c r="AW403" s="3495"/>
      <c r="AX403" s="3495"/>
      <c r="AY403" s="3495"/>
      <c r="AZ403" s="3495"/>
      <c r="BA403" s="3495"/>
      <c r="BB403" s="3495"/>
      <c r="BC403" s="3495"/>
      <c r="BD403" s="3495"/>
      <c r="BE403" s="3495"/>
      <c r="BF403" s="3495"/>
      <c r="BG403" s="3495"/>
      <c r="BH403" s="3495"/>
      <c r="BI403" s="3495"/>
      <c r="BJ403" s="3495"/>
      <c r="BK403" s="3495"/>
      <c r="BL403" s="3495"/>
      <c r="BM403" s="3495"/>
      <c r="BN403" s="3495"/>
      <c r="BO403" s="3495"/>
      <c r="BP403" s="3495"/>
      <c r="BQ403" s="3495"/>
      <c r="BR403" s="3495"/>
      <c r="BS403" s="3495"/>
      <c r="BT403" s="3495"/>
      <c r="BU403" s="3495"/>
      <c r="BV403" s="3495"/>
      <c r="BW403" s="3492"/>
      <c r="CD403" s="4047"/>
      <c r="CE403" s="3934">
        <f t="shared" ref="CE403:CM403" si="719">+CE367+CE385+CE391+CE400</f>
        <v>4451</v>
      </c>
      <c r="CF403" s="4060">
        <f t="shared" si="719"/>
        <v>4419</v>
      </c>
      <c r="CG403" s="4060">
        <f t="shared" si="719"/>
        <v>4554</v>
      </c>
      <c r="CH403" s="4047">
        <f t="shared" si="719"/>
        <v>4476</v>
      </c>
      <c r="CI403" s="3940">
        <f t="shared" si="719"/>
        <v>4401</v>
      </c>
      <c r="CJ403" s="3934">
        <f t="shared" si="719"/>
        <v>4398</v>
      </c>
      <c r="CK403" s="4060">
        <f t="shared" si="719"/>
        <v>4382</v>
      </c>
      <c r="CL403" s="4047">
        <f t="shared" si="719"/>
        <v>4289</v>
      </c>
      <c r="CM403" s="4060">
        <f t="shared" si="719"/>
        <v>4209</v>
      </c>
      <c r="CN403" s="4060">
        <f>+CN367+CN385+CN391+CN400</f>
        <v>4090</v>
      </c>
      <c r="CO403" s="4060">
        <f>+CO367+CO385+CO391+CO400</f>
        <v>4034</v>
      </c>
      <c r="CP403" s="4047">
        <f t="shared" ref="CP403" si="720">+CP367+CP385+CP391+CP400</f>
        <v>3964</v>
      </c>
      <c r="CQ403" s="3934">
        <f>+CQ367+CQ385+CQ391+CQ400</f>
        <v>3994.67</v>
      </c>
      <c r="CR403" s="3934">
        <f>+CR367+CR385+CR391+CR400</f>
        <v>3956.723</v>
      </c>
      <c r="CS403" s="3934">
        <f>+CS367+CS385+CS391+CS400</f>
        <v>3936.3</v>
      </c>
      <c r="CT403" s="4047">
        <f>+CT367+CT385+CT391+CT400</f>
        <v>3881.62</v>
      </c>
    </row>
    <row r="404" spans="1:105" outlineLevel="1">
      <c r="A404" s="68" t="s">
        <v>34</v>
      </c>
      <c r="B404" s="3933"/>
      <c r="M404" s="68"/>
      <c r="Q404" s="4052">
        <f>+Q155</f>
        <v>-7.0449880734453352E-3</v>
      </c>
      <c r="R404" s="3982">
        <f t="shared" ref="R404:W404" si="721">+R403/Q403-1</f>
        <v>-2.4022346368715031E-2</v>
      </c>
      <c r="S404" s="3982">
        <f t="shared" si="721"/>
        <v>-6.7143674871207759E-2</v>
      </c>
      <c r="T404" s="3982">
        <f>+T403/S403-1</f>
        <v>-3.2379394980671439E-2</v>
      </c>
      <c r="U404" s="3982">
        <f t="shared" si="721"/>
        <v>-2.2670289090237161E-2</v>
      </c>
      <c r="V404" s="3982">
        <f t="shared" si="721"/>
        <v>-2.2467031275873794E-2</v>
      </c>
      <c r="W404" s="3982">
        <f t="shared" si="721"/>
        <v>-1.9040610970640581E-2</v>
      </c>
      <c r="X404" s="3982">
        <f t="shared" ref="X404:AF404" si="722">+X403/W403-1</f>
        <v>-1.5760815308170528E-2</v>
      </c>
      <c r="Y404" s="3982">
        <f t="shared" si="722"/>
        <v>-1.2638374224722249E-2</v>
      </c>
      <c r="Z404" s="3982">
        <f t="shared" si="722"/>
        <v>-9.6808562836284695E-3</v>
      </c>
      <c r="AA404" s="3982">
        <f t="shared" si="722"/>
        <v>-6.8927990463089062E-3</v>
      </c>
      <c r="AB404" s="3982">
        <f t="shared" si="722"/>
        <v>-4.2759372363559978E-3</v>
      </c>
      <c r="AC404" s="3982">
        <f t="shared" si="722"/>
        <v>-1.8295019717976535E-3</v>
      </c>
      <c r="AD404" s="3982">
        <f t="shared" si="722"/>
        <v>4.4943556380694361E-4</v>
      </c>
      <c r="AE404" s="3982">
        <f t="shared" si="722"/>
        <v>2.565600376335242E-3</v>
      </c>
      <c r="AF404" s="3982">
        <f t="shared" si="722"/>
        <v>4.5251505016579152E-3</v>
      </c>
      <c r="AG404" s="2553"/>
      <c r="AH404" s="68"/>
      <c r="BS404" s="68" t="e">
        <f>+BS403/BO403-1</f>
        <v>#DIV/0!</v>
      </c>
      <c r="BT404" s="68" t="e">
        <f>+BT403/BP403-1</f>
        <v>#DIV/0!</v>
      </c>
      <c r="BU404" s="68" t="e">
        <f>+BU403/BQ403-1</f>
        <v>#DIV/0!</v>
      </c>
      <c r="BV404" s="68" t="e">
        <f>+BV403/BR403-1</f>
        <v>#DIV/0!</v>
      </c>
      <c r="BW404" s="3933"/>
      <c r="CE404" s="3933"/>
      <c r="CF404" s="3982"/>
      <c r="CG404" s="3982"/>
      <c r="CH404" s="4051"/>
      <c r="CI404" s="4052">
        <f t="shared" ref="CI404:CM404" si="723">+CI403/CE403-1</f>
        <v>-1.1233430689732593E-2</v>
      </c>
      <c r="CJ404" s="3938">
        <f t="shared" si="723"/>
        <v>-4.7522063815342852E-3</v>
      </c>
      <c r="CK404" s="3982">
        <f t="shared" si="723"/>
        <v>-3.7768994290733438E-2</v>
      </c>
      <c r="CL404" s="4051">
        <f t="shared" si="723"/>
        <v>-4.1778373547810554E-2</v>
      </c>
      <c r="CM404" s="3982">
        <f t="shared" si="723"/>
        <v>-4.3626448534423989E-2</v>
      </c>
      <c r="CN404" s="3982">
        <f>+CN403/CJ403-1</f>
        <v>-7.003183265120505E-2</v>
      </c>
      <c r="CO404" s="3982">
        <f>+CO403/CK403-1</f>
        <v>-7.941579187585579E-2</v>
      </c>
      <c r="CP404" s="4051">
        <f t="shared" ref="CP404" si="724">+CP403/CL403-1</f>
        <v>-7.5775238983446069E-2</v>
      </c>
      <c r="CQ404" s="3938">
        <f>+CQ403/CM403-1</f>
        <v>-5.0921834164884716E-2</v>
      </c>
      <c r="CR404" s="3938">
        <f>+CR403/CN403-1</f>
        <v>-3.2586063569682189E-2</v>
      </c>
      <c r="CS404" s="3938">
        <f>+CS403/CO403-1</f>
        <v>-2.4219137332672225E-2</v>
      </c>
      <c r="CT404" s="4051">
        <f>+CT403/CP403-1</f>
        <v>-2.0782038345105946E-2</v>
      </c>
    </row>
    <row r="405" spans="1:105" outlineLevel="1">
      <c r="A405" s="3989" t="s">
        <v>947</v>
      </c>
      <c r="B405" s="3992"/>
      <c r="C405" s="3989"/>
      <c r="D405" s="3989"/>
      <c r="E405" s="3989"/>
      <c r="F405" s="3989"/>
      <c r="G405" s="3989"/>
      <c r="H405" s="3989"/>
      <c r="I405" s="3989"/>
      <c r="J405" s="3989"/>
      <c r="K405" s="3989"/>
      <c r="L405" s="3989"/>
      <c r="M405" s="3989"/>
      <c r="N405" s="3989"/>
      <c r="O405" s="3989"/>
      <c r="P405" s="3989"/>
      <c r="Q405" s="3992"/>
      <c r="R405" s="3989"/>
      <c r="S405" s="3989"/>
      <c r="T405" s="3989"/>
      <c r="U405" s="3989"/>
      <c r="V405" s="3989"/>
      <c r="W405" s="3989"/>
      <c r="X405" s="3989"/>
      <c r="Y405" s="3989"/>
      <c r="Z405" s="3989"/>
      <c r="AA405" s="3989"/>
      <c r="AB405" s="3989"/>
      <c r="AC405" s="3989"/>
      <c r="AD405" s="3989"/>
      <c r="AE405" s="3989"/>
      <c r="AF405" s="3989"/>
      <c r="AG405" s="3134"/>
      <c r="AH405" s="68"/>
      <c r="BS405" s="68" t="e">
        <f>+BS403/BR403-1</f>
        <v>#DIV/0!</v>
      </c>
      <c r="BT405" s="68" t="e">
        <f>+BT403/BS403-1</f>
        <v>#DIV/0!</v>
      </c>
      <c r="BU405" s="68" t="e">
        <f>+BU403/BT403-1</f>
        <v>#DIV/0!</v>
      </c>
      <c r="BV405" s="68" t="e">
        <f>+BV403/BU403-1</f>
        <v>#DIV/0!</v>
      </c>
      <c r="BW405" s="3992"/>
      <c r="BX405" s="3989"/>
      <c r="BY405" s="3989"/>
      <c r="BZ405" s="3989"/>
      <c r="CA405" s="3989"/>
      <c r="CB405" s="3989"/>
      <c r="CC405" s="3989"/>
      <c r="CD405" s="3989"/>
      <c r="CE405" s="3992"/>
      <c r="CF405" s="4056">
        <f t="shared" ref="CF405:CM405" si="725">+CF403/CE403-1</f>
        <v>-7.1893956414288418E-3</v>
      </c>
      <c r="CG405" s="4056">
        <f t="shared" si="725"/>
        <v>3.054989816700604E-2</v>
      </c>
      <c r="CH405" s="4055">
        <f t="shared" si="725"/>
        <v>-1.7127799736495364E-2</v>
      </c>
      <c r="CI405" s="4057">
        <f t="shared" si="725"/>
        <v>-1.6756032171581725E-2</v>
      </c>
      <c r="CJ405" s="4056">
        <f t="shared" si="725"/>
        <v>-6.8166325835039565E-4</v>
      </c>
      <c r="CK405" s="4056">
        <f t="shared" si="725"/>
        <v>-3.6380172805821065E-3</v>
      </c>
      <c r="CL405" s="4055">
        <f t="shared" si="725"/>
        <v>-2.1223185759926988E-2</v>
      </c>
      <c r="CM405" s="4056">
        <f t="shared" si="725"/>
        <v>-1.865236651900215E-2</v>
      </c>
      <c r="CN405" s="4056">
        <f>+CN403/CM403-1</f>
        <v>-2.8272748871465914E-2</v>
      </c>
      <c r="CO405" s="4056">
        <f>+CO403/CN403-1</f>
        <v>-1.3691931540342317E-2</v>
      </c>
      <c r="CP405" s="4055">
        <f t="shared" ref="CP405" si="726">+CP403/CO403-1</f>
        <v>-1.7352503718393697E-2</v>
      </c>
      <c r="CQ405" s="4056">
        <f>+CQ403/CP403-1</f>
        <v>7.7371342078709215E-3</v>
      </c>
      <c r="CR405" s="4056">
        <f>+CR403/CQ403-1</f>
        <v>-9.4994079611081528E-3</v>
      </c>
      <c r="CS405" s="4056">
        <f>+CS403/CR403-1</f>
        <v>-5.1615945821832376E-3</v>
      </c>
      <c r="CT405" s="4055">
        <f>+CT403/CS403-1</f>
        <v>-1.389121764093193E-2</v>
      </c>
    </row>
    <row r="406" spans="1:105" ht="20.25" customHeight="1" outlineLevel="1">
      <c r="A406" s="2111" t="s">
        <v>379</v>
      </c>
      <c r="B406" s="4061"/>
      <c r="C406" s="4061"/>
      <c r="D406" s="4061"/>
      <c r="E406" s="4061"/>
      <c r="F406" s="4061"/>
      <c r="G406" s="4061"/>
      <c r="H406" s="4061"/>
      <c r="I406" s="4061"/>
      <c r="J406" s="4061"/>
      <c r="K406" s="4061"/>
      <c r="L406" s="4061"/>
      <c r="M406" s="4062"/>
      <c r="N406" s="4062"/>
      <c r="O406" s="4062"/>
      <c r="P406" s="2112"/>
      <c r="Q406" s="2112"/>
      <c r="R406" s="2112"/>
      <c r="S406" s="2112"/>
      <c r="T406" s="2112"/>
      <c r="U406" s="2112"/>
      <c r="V406" s="2112"/>
      <c r="W406" s="2112"/>
      <c r="X406" s="2112"/>
      <c r="Y406" s="2112"/>
      <c r="Z406" s="2112"/>
      <c r="AA406" s="2112"/>
      <c r="AB406" s="2112"/>
      <c r="AC406" s="2112"/>
      <c r="AD406" s="2112"/>
      <c r="AE406" s="2112"/>
      <c r="AF406" s="2112"/>
      <c r="AG406" s="2553"/>
      <c r="AH406" s="3921"/>
      <c r="AI406" s="4061"/>
      <c r="AJ406" s="4061"/>
      <c r="AK406" s="4061"/>
      <c r="AL406" s="4061"/>
      <c r="AM406" s="4061"/>
      <c r="AN406" s="4061"/>
      <c r="AO406" s="4061"/>
      <c r="AP406" s="4061"/>
      <c r="AQ406" s="4061"/>
      <c r="AR406" s="4061"/>
      <c r="AS406" s="4061"/>
      <c r="AT406" s="4061"/>
      <c r="AU406" s="4061"/>
      <c r="AV406" s="4061"/>
      <c r="AW406" s="4061"/>
      <c r="AX406" s="4061"/>
      <c r="AY406" s="4061"/>
      <c r="AZ406" s="4061"/>
      <c r="BA406" s="4061"/>
      <c r="BB406" s="4061"/>
      <c r="BC406" s="4061"/>
      <c r="BD406" s="4061"/>
      <c r="BE406" s="4061"/>
      <c r="BF406" s="4061"/>
      <c r="BG406" s="4063"/>
      <c r="BH406" s="4063"/>
      <c r="BI406" s="4063"/>
      <c r="BJ406" s="4063"/>
      <c r="BK406" s="4063"/>
      <c r="BL406" s="4063"/>
      <c r="BM406" s="4063"/>
      <c r="BN406" s="4063"/>
      <c r="BO406" s="4064"/>
      <c r="BP406" s="4063"/>
      <c r="BQ406" s="4063"/>
      <c r="BR406" s="4063"/>
      <c r="BS406" s="4064"/>
      <c r="BT406" s="4063"/>
      <c r="BU406" s="4063"/>
      <c r="BV406" s="4063"/>
      <c r="BW406" s="4064"/>
      <c r="BX406" s="4063"/>
      <c r="BY406" s="4063"/>
      <c r="BZ406" s="4065"/>
      <c r="CA406" s="4064"/>
      <c r="CB406" s="4063"/>
      <c r="CC406" s="4063"/>
      <c r="CD406" s="4065"/>
      <c r="CE406" s="4063"/>
      <c r="CF406" s="4063"/>
      <c r="CG406" s="4063"/>
      <c r="CH406" s="4065"/>
      <c r="CI406" s="4064"/>
      <c r="CJ406" s="4063"/>
      <c r="CK406" s="4063"/>
      <c r="CL406" s="4065"/>
      <c r="CM406" s="4063"/>
      <c r="CN406" s="4063"/>
      <c r="CO406" s="4063"/>
      <c r="CP406" s="4065"/>
      <c r="CQ406" s="4063"/>
      <c r="CR406" s="4063"/>
      <c r="CS406" s="4063"/>
      <c r="CT406" s="4065"/>
    </row>
    <row r="407" spans="1:105" outlineLevel="1" collapsed="1">
      <c r="A407" s="2106" t="s">
        <v>1983</v>
      </c>
      <c r="B407" s="4066"/>
      <c r="C407" s="4066"/>
      <c r="D407" s="4066"/>
      <c r="E407" s="4066"/>
      <c r="F407" s="4066"/>
      <c r="G407" s="4066"/>
      <c r="H407" s="4066"/>
      <c r="I407" s="4066"/>
      <c r="J407" s="4066"/>
      <c r="K407" s="4066"/>
      <c r="L407" s="4066"/>
      <c r="M407" s="4066"/>
      <c r="N407" s="4066"/>
      <c r="O407" s="4066"/>
      <c r="P407" s="4066"/>
      <c r="Q407" s="4066"/>
      <c r="R407" s="4066"/>
      <c r="S407" s="4066"/>
      <c r="T407" s="4066"/>
      <c r="U407" s="4066"/>
      <c r="V407" s="4066"/>
      <c r="W407" s="4066"/>
      <c r="X407" s="4066"/>
      <c r="Y407" s="4066"/>
      <c r="Z407" s="4066"/>
      <c r="AA407" s="4066"/>
      <c r="AB407" s="4066"/>
      <c r="AC407" s="4066"/>
      <c r="AD407" s="4066"/>
      <c r="AE407" s="4066"/>
      <c r="AF407" s="4066"/>
      <c r="AG407" s="2553"/>
      <c r="AH407" s="3927"/>
      <c r="AI407" s="4066"/>
      <c r="AJ407" s="4066"/>
      <c r="AK407" s="4066"/>
      <c r="AL407" s="4066"/>
      <c r="AM407" s="4066"/>
      <c r="AN407" s="4066"/>
      <c r="AO407" s="4066"/>
      <c r="AP407" s="4066"/>
      <c r="AQ407" s="4066"/>
      <c r="AR407" s="4066"/>
      <c r="AS407" s="4066"/>
      <c r="AT407" s="4066"/>
      <c r="AU407" s="4066"/>
      <c r="AV407" s="4066"/>
      <c r="AW407" s="4066"/>
      <c r="AX407" s="4066"/>
      <c r="AY407" s="4066"/>
      <c r="AZ407" s="4066"/>
      <c r="BA407" s="4066"/>
      <c r="BB407" s="4066"/>
      <c r="BC407" s="4067"/>
      <c r="BD407" s="4067"/>
      <c r="BE407" s="4067"/>
      <c r="BF407" s="4067"/>
      <c r="BG407" s="4067"/>
      <c r="BH407" s="4067"/>
      <c r="BI407" s="4067"/>
      <c r="BJ407" s="4067"/>
      <c r="BK407" s="4066"/>
      <c r="BL407" s="4066"/>
      <c r="BM407" s="4066"/>
      <c r="BN407" s="4066"/>
      <c r="BO407" s="4068"/>
      <c r="BP407" s="4066"/>
      <c r="BQ407" s="4066"/>
      <c r="BR407" s="4066"/>
      <c r="BS407" s="4068"/>
      <c r="BT407" s="4066"/>
      <c r="BU407" s="4066"/>
      <c r="BV407" s="4066"/>
      <c r="BW407" s="4068"/>
      <c r="BX407" s="4066"/>
      <c r="BY407" s="4066"/>
      <c r="BZ407" s="4069"/>
      <c r="CA407" s="4068"/>
      <c r="CB407" s="4066"/>
      <c r="CC407" s="4066"/>
      <c r="CD407" s="4069"/>
      <c r="CE407" s="4066"/>
      <c r="CF407" s="4066"/>
      <c r="CG407" s="4066"/>
      <c r="CH407" s="4069"/>
      <c r="CI407" s="4068"/>
      <c r="CJ407" s="4066"/>
      <c r="CK407" s="4066"/>
      <c r="CL407" s="4069"/>
      <c r="CM407" s="4066"/>
      <c r="CN407" s="4066"/>
      <c r="CO407" s="4066"/>
      <c r="CP407" s="4069"/>
      <c r="CQ407" s="4066"/>
      <c r="CR407" s="4066"/>
      <c r="CS407" s="4066"/>
      <c r="CT407" s="4069"/>
    </row>
    <row r="408" spans="1:105" outlineLevel="1">
      <c r="A408" s="4070" t="s">
        <v>728</v>
      </c>
      <c r="B408" s="3876"/>
      <c r="C408" s="3876"/>
      <c r="D408" s="3876"/>
      <c r="E408" s="3876"/>
      <c r="F408" s="3876"/>
      <c r="G408" s="3876"/>
      <c r="H408" s="3876"/>
      <c r="I408" s="3876"/>
      <c r="J408" s="3876"/>
      <c r="K408" s="3876"/>
      <c r="L408" s="3876"/>
      <c r="M408" s="3938"/>
      <c r="N408" s="3938"/>
      <c r="O408" s="3938"/>
      <c r="P408" s="1899"/>
      <c r="Q408" s="1899"/>
      <c r="R408" s="1899"/>
      <c r="S408" s="1899"/>
      <c r="T408" s="1899"/>
      <c r="U408" s="1899"/>
      <c r="V408" s="1899"/>
      <c r="W408" s="1899"/>
      <c r="X408" s="1899"/>
      <c r="Y408" s="1899"/>
      <c r="Z408" s="1899"/>
      <c r="AA408" s="1899"/>
      <c r="AB408" s="1899"/>
      <c r="AC408" s="1899"/>
      <c r="AD408" s="1899"/>
      <c r="AE408" s="1899"/>
      <c r="AF408" s="1899"/>
      <c r="AG408" s="2553"/>
      <c r="AH408" s="3921"/>
      <c r="AI408" s="3876"/>
      <c r="AJ408" s="3876"/>
      <c r="AK408" s="3876"/>
      <c r="AL408" s="3876"/>
      <c r="AM408" s="3876"/>
      <c r="AN408" s="3876"/>
      <c r="AO408" s="3876"/>
      <c r="AP408" s="3876"/>
      <c r="AQ408" s="3876"/>
      <c r="AR408" s="3876"/>
      <c r="AS408" s="3876"/>
      <c r="AT408" s="3876"/>
      <c r="AU408" s="3876"/>
      <c r="AV408" s="3876"/>
      <c r="AW408" s="3876"/>
      <c r="AX408" s="3876"/>
      <c r="AY408" s="3876"/>
      <c r="AZ408" s="3876"/>
      <c r="BA408" s="3876"/>
      <c r="BB408" s="3876"/>
      <c r="BC408" s="3876"/>
      <c r="BD408" s="3876"/>
      <c r="BE408" s="3876"/>
      <c r="BF408" s="3876"/>
      <c r="BG408" s="3942"/>
      <c r="BH408" s="3942"/>
      <c r="BI408" s="3942"/>
      <c r="BJ408" s="3942"/>
      <c r="BK408" s="3942"/>
      <c r="BL408" s="3942"/>
      <c r="BM408" s="3942"/>
      <c r="BN408" s="3942"/>
      <c r="BO408" s="3946"/>
      <c r="BP408" s="3942"/>
      <c r="BQ408" s="3942"/>
      <c r="BR408" s="3942"/>
      <c r="BS408" s="3946"/>
      <c r="BT408" s="3942"/>
      <c r="BU408" s="3942"/>
      <c r="BV408" s="3942"/>
      <c r="BW408" s="3946"/>
      <c r="BX408" s="3942"/>
      <c r="BY408" s="3942"/>
      <c r="BZ408" s="3943"/>
      <c r="CA408" s="3946"/>
      <c r="CB408" s="3942"/>
      <c r="CC408" s="3942"/>
      <c r="CD408" s="3943"/>
      <c r="CE408" s="3942"/>
      <c r="CF408" s="3942"/>
      <c r="CG408" s="3942"/>
      <c r="CH408" s="3943"/>
      <c r="CI408" s="3946"/>
      <c r="CJ408" s="3942"/>
      <c r="CK408" s="3942"/>
      <c r="CL408" s="3943"/>
      <c r="CM408" s="3942"/>
      <c r="CN408" s="3942"/>
      <c r="CO408" s="3942"/>
      <c r="CP408" s="3943"/>
      <c r="CQ408" s="3942"/>
      <c r="CR408" s="3942"/>
      <c r="CS408" s="3942"/>
      <c r="CT408" s="3943"/>
    </row>
    <row r="409" spans="1:105" outlineLevel="1">
      <c r="A409" s="4070" t="s">
        <v>2</v>
      </c>
      <c r="B409" s="3876"/>
      <c r="C409" s="3876"/>
      <c r="D409" s="3876"/>
      <c r="E409" s="3876"/>
      <c r="F409" s="3876"/>
      <c r="G409" s="3876"/>
      <c r="H409" s="3876"/>
      <c r="I409" s="3876"/>
      <c r="J409" s="3876"/>
      <c r="K409" s="3876"/>
      <c r="L409" s="948"/>
      <c r="M409" s="948">
        <f>SUM(BO409:BR409)</f>
        <v>1768</v>
      </c>
      <c r="N409" s="3964">
        <f>+SUM(BS409:BV409)</f>
        <v>1862</v>
      </c>
      <c r="O409" s="3964">
        <f>+SUM(BW409:BZ409)</f>
        <v>0</v>
      </c>
      <c r="P409" s="3964">
        <f>+SUM(CA409:CD409)</f>
        <v>0</v>
      </c>
      <c r="Q409" s="3964">
        <f t="shared" ref="Q409:S410" si="727">SUM(CE409:CH409)</f>
        <v>0</v>
      </c>
      <c r="R409" s="3964">
        <f t="shared" si="727"/>
        <v>0</v>
      </c>
      <c r="S409" s="3964">
        <f t="shared" si="727"/>
        <v>0</v>
      </c>
      <c r="T409" s="3964">
        <f>SUM(CH409:CK409)</f>
        <v>0</v>
      </c>
      <c r="U409" s="948"/>
      <c r="V409" s="948"/>
      <c r="W409" s="948"/>
      <c r="X409" s="948"/>
      <c r="Y409" s="948"/>
      <c r="Z409" s="948"/>
      <c r="AA409" s="948"/>
      <c r="AB409" s="948"/>
      <c r="AC409" s="948"/>
      <c r="AD409" s="948"/>
      <c r="AE409" s="948"/>
      <c r="AF409" s="948"/>
      <c r="AG409" s="2553"/>
      <c r="AH409" s="4071"/>
      <c r="AI409" s="948"/>
      <c r="AJ409" s="948"/>
      <c r="AK409" s="948"/>
      <c r="AL409" s="948"/>
      <c r="AM409" s="948"/>
      <c r="AN409" s="948"/>
      <c r="AO409" s="948"/>
      <c r="AP409" s="948"/>
      <c r="AQ409" s="948"/>
      <c r="AR409" s="948"/>
      <c r="AS409" s="948"/>
      <c r="AT409" s="948"/>
      <c r="AU409" s="948"/>
      <c r="AV409" s="948"/>
      <c r="AW409" s="948"/>
      <c r="AX409" s="948"/>
      <c r="AY409" s="948"/>
      <c r="AZ409" s="948"/>
      <c r="BA409" s="948"/>
      <c r="BB409" s="948"/>
      <c r="BC409" s="948"/>
      <c r="BD409" s="948"/>
      <c r="BE409" s="948"/>
      <c r="BF409" s="948"/>
      <c r="BG409" s="948"/>
      <c r="BH409" s="948"/>
      <c r="BI409" s="948"/>
      <c r="BJ409" s="948"/>
      <c r="BK409" s="948"/>
      <c r="BL409" s="948"/>
      <c r="BM409" s="948"/>
      <c r="BN409" s="948"/>
      <c r="BO409" s="2110">
        <v>437</v>
      </c>
      <c r="BP409" s="2093">
        <v>434</v>
      </c>
      <c r="BQ409" s="2093">
        <v>453</v>
      </c>
      <c r="BR409" s="2093">
        <v>444</v>
      </c>
      <c r="BS409" s="2110">
        <v>445</v>
      </c>
      <c r="BT409" s="2093">
        <v>467</v>
      </c>
      <c r="BU409" s="2093">
        <v>478</v>
      </c>
      <c r="BV409" s="2093">
        <v>472</v>
      </c>
      <c r="BW409" s="2110"/>
      <c r="BX409" s="2093"/>
      <c r="BY409" s="2093"/>
      <c r="BZ409" s="361"/>
      <c r="CA409" s="2110"/>
      <c r="CB409" s="2093"/>
      <c r="CC409" s="2093"/>
      <c r="CD409" s="361"/>
      <c r="CE409" s="347"/>
      <c r="CF409" s="2093"/>
      <c r="CG409" s="347"/>
      <c r="CH409" s="361"/>
      <c r="CI409" s="347"/>
      <c r="CJ409" s="2093"/>
      <c r="CK409" s="2093"/>
      <c r="CL409" s="361"/>
      <c r="CM409" s="347"/>
      <c r="CN409" s="2093"/>
      <c r="CO409" s="2093"/>
      <c r="CP409" s="361"/>
      <c r="CQ409" s="347"/>
      <c r="CR409" s="347"/>
      <c r="CS409" s="347"/>
      <c r="CT409" s="361"/>
    </row>
    <row r="410" spans="1:105" outlineLevel="1">
      <c r="A410" s="4070" t="s">
        <v>3</v>
      </c>
      <c r="B410" s="3876"/>
      <c r="C410" s="3876"/>
      <c r="D410" s="3876"/>
      <c r="E410" s="3876"/>
      <c r="F410" s="3876"/>
      <c r="G410" s="3876"/>
      <c r="H410" s="3876"/>
      <c r="I410" s="3876"/>
      <c r="J410" s="3876"/>
      <c r="K410" s="3876"/>
      <c r="L410" s="948"/>
      <c r="M410" s="948">
        <f>SUM(BO410:BR410)</f>
        <v>512</v>
      </c>
      <c r="N410" s="3964">
        <f>+SUM(BS410:BV410)</f>
        <v>497</v>
      </c>
      <c r="O410" s="3964">
        <f>+SUM(BW410:BZ410)</f>
        <v>0</v>
      </c>
      <c r="P410" s="3964">
        <f>+SUM(CA410:CD410)</f>
        <v>0</v>
      </c>
      <c r="Q410" s="3964">
        <f t="shared" si="727"/>
        <v>0</v>
      </c>
      <c r="R410" s="3964">
        <f t="shared" si="727"/>
        <v>0</v>
      </c>
      <c r="S410" s="3964">
        <f t="shared" si="727"/>
        <v>0</v>
      </c>
      <c r="T410" s="3964">
        <f>SUM(CH410:CK410)</f>
        <v>0</v>
      </c>
      <c r="U410" s="948"/>
      <c r="V410" s="948"/>
      <c r="W410" s="948"/>
      <c r="X410" s="948"/>
      <c r="Y410" s="948"/>
      <c r="Z410" s="948"/>
      <c r="AA410" s="948"/>
      <c r="AB410" s="948"/>
      <c r="AC410" s="948"/>
      <c r="AD410" s="948"/>
      <c r="AE410" s="948"/>
      <c r="AF410" s="948"/>
      <c r="AG410" s="2553"/>
      <c r="AH410" s="4071"/>
      <c r="AI410" s="948"/>
      <c r="AJ410" s="948"/>
      <c r="AK410" s="948"/>
      <c r="AL410" s="948"/>
      <c r="AM410" s="948"/>
      <c r="AN410" s="948"/>
      <c r="AO410" s="948"/>
      <c r="AP410" s="948"/>
      <c r="AQ410" s="948"/>
      <c r="AR410" s="948"/>
      <c r="AS410" s="948"/>
      <c r="AT410" s="948"/>
      <c r="AU410" s="948"/>
      <c r="AV410" s="948"/>
      <c r="AW410" s="948"/>
      <c r="AX410" s="948"/>
      <c r="AY410" s="948"/>
      <c r="AZ410" s="948"/>
      <c r="BA410" s="948"/>
      <c r="BB410" s="948"/>
      <c r="BC410" s="948"/>
      <c r="BD410" s="948"/>
      <c r="BE410" s="948"/>
      <c r="BF410" s="948"/>
      <c r="BG410" s="948"/>
      <c r="BH410" s="948"/>
      <c r="BI410" s="948"/>
      <c r="BJ410" s="948"/>
      <c r="BK410" s="948"/>
      <c r="BL410" s="948"/>
      <c r="BM410" s="948"/>
      <c r="BN410" s="948"/>
      <c r="BO410" s="2110">
        <v>122</v>
      </c>
      <c r="BP410" s="2093">
        <v>118</v>
      </c>
      <c r="BQ410" s="2093">
        <v>137</v>
      </c>
      <c r="BR410" s="2093">
        <v>135</v>
      </c>
      <c r="BS410" s="2110">
        <v>122</v>
      </c>
      <c r="BT410" s="2093">
        <v>123</v>
      </c>
      <c r="BU410" s="2093">
        <v>127</v>
      </c>
      <c r="BV410" s="2093">
        <v>125</v>
      </c>
      <c r="BW410" s="2110"/>
      <c r="BX410" s="2093"/>
      <c r="BY410" s="2093"/>
      <c r="BZ410" s="361"/>
      <c r="CA410" s="2110"/>
      <c r="CB410" s="2093"/>
      <c r="CC410" s="2093"/>
      <c r="CD410" s="361"/>
      <c r="CE410" s="347"/>
      <c r="CF410" s="2093"/>
      <c r="CG410" s="347"/>
      <c r="CH410" s="361"/>
      <c r="CI410" s="347"/>
      <c r="CJ410" s="2093"/>
      <c r="CK410" s="2093"/>
      <c r="CL410" s="361"/>
      <c r="CM410" s="347"/>
      <c r="CN410" s="2093"/>
      <c r="CO410" s="2093"/>
      <c r="CP410" s="361"/>
      <c r="CQ410" s="347"/>
      <c r="CR410" s="347"/>
      <c r="CS410" s="347"/>
      <c r="CT410" s="361"/>
    </row>
    <row r="411" spans="1:105" outlineLevel="1">
      <c r="A411" s="4070" t="s">
        <v>4</v>
      </c>
      <c r="B411" s="3876"/>
      <c r="C411" s="3876"/>
      <c r="D411" s="3876"/>
      <c r="E411" s="3876"/>
      <c r="F411" s="3876"/>
      <c r="G411" s="3876"/>
      <c r="H411" s="3876"/>
      <c r="I411" s="3876"/>
      <c r="J411" s="3876"/>
      <c r="K411" s="3876"/>
      <c r="L411" s="948"/>
      <c r="M411" s="4072">
        <f>SUM(M409:M410)</f>
        <v>2280</v>
      </c>
      <c r="N411" s="4072">
        <f>SUM(N409:N410)</f>
        <v>2359</v>
      </c>
      <c r="O411" s="4072">
        <f>+SUM(BW411:BZ411)</f>
        <v>2359</v>
      </c>
      <c r="P411" s="4072">
        <f>+SUM(CA411:CD411)</f>
        <v>2436</v>
      </c>
      <c r="Q411" s="4072">
        <f>+SUM(CE411:CH411)</f>
        <v>2443</v>
      </c>
      <c r="R411" s="4072">
        <f>SUM(CI411:CL411)</f>
        <v>2510</v>
      </c>
      <c r="S411" s="4072">
        <f>SUM(CM411:CP411)</f>
        <v>2434</v>
      </c>
      <c r="T411" s="4072">
        <f>SUM(CN411:CQ411)</f>
        <v>2440</v>
      </c>
      <c r="U411" s="4072">
        <f>T411*(1+U412)</f>
        <v>2464.4</v>
      </c>
      <c r="V411" s="4072">
        <f>U411*(1+V412)</f>
        <v>2489.0440000000003</v>
      </c>
      <c r="W411" s="4072">
        <f>V411*(1+W412)</f>
        <v>2513.9344400000004</v>
      </c>
      <c r="X411" s="4072">
        <f t="shared" ref="X411:AF411" si="728">W411*(1+X412)</f>
        <v>2539.0737844000005</v>
      </c>
      <c r="Y411" s="4072">
        <f t="shared" si="728"/>
        <v>2564.4645222440004</v>
      </c>
      <c r="Z411" s="4072">
        <f t="shared" si="728"/>
        <v>2590.1091674664403</v>
      </c>
      <c r="AA411" s="4072">
        <f t="shared" si="728"/>
        <v>2616.0102591411046</v>
      </c>
      <c r="AB411" s="4072">
        <f t="shared" si="728"/>
        <v>2642.1703617325156</v>
      </c>
      <c r="AC411" s="4072">
        <f t="shared" si="728"/>
        <v>2668.5920653498406</v>
      </c>
      <c r="AD411" s="4072">
        <f t="shared" si="728"/>
        <v>2695.2779860033388</v>
      </c>
      <c r="AE411" s="4072">
        <f t="shared" si="728"/>
        <v>2722.2307658633722</v>
      </c>
      <c r="AF411" s="4072">
        <f t="shared" si="728"/>
        <v>2749.453073522006</v>
      </c>
      <c r="AG411" s="2553"/>
      <c r="AH411" s="4071"/>
      <c r="AI411" s="948"/>
      <c r="AJ411" s="948"/>
      <c r="AK411" s="948"/>
      <c r="AL411" s="948"/>
      <c r="AM411" s="948"/>
      <c r="AN411" s="948"/>
      <c r="AO411" s="948"/>
      <c r="AP411" s="948"/>
      <c r="AQ411" s="948"/>
      <c r="AR411" s="948"/>
      <c r="AS411" s="948"/>
      <c r="AT411" s="948"/>
      <c r="AU411" s="948"/>
      <c r="AV411" s="948"/>
      <c r="AW411" s="948"/>
      <c r="AX411" s="948"/>
      <c r="AY411" s="948"/>
      <c r="AZ411" s="948"/>
      <c r="BA411" s="948"/>
      <c r="BB411" s="948"/>
      <c r="BC411" s="948"/>
      <c r="BD411" s="948"/>
      <c r="BE411" s="948"/>
      <c r="BF411" s="948"/>
      <c r="BG411" s="948"/>
      <c r="BH411" s="948"/>
      <c r="BI411" s="948"/>
      <c r="BJ411" s="948"/>
      <c r="BK411" s="948"/>
      <c r="BL411" s="948"/>
      <c r="BM411" s="948"/>
      <c r="BN411" s="948"/>
      <c r="BO411" s="4073">
        <f t="shared" ref="BO411:BV411" si="729">SUM(BO409:BO410)</f>
        <v>559</v>
      </c>
      <c r="BP411" s="4072">
        <f t="shared" si="729"/>
        <v>552</v>
      </c>
      <c r="BQ411" s="4072">
        <f t="shared" si="729"/>
        <v>590</v>
      </c>
      <c r="BR411" s="4072">
        <f t="shared" si="729"/>
        <v>579</v>
      </c>
      <c r="BS411" s="4073">
        <f t="shared" si="729"/>
        <v>567</v>
      </c>
      <c r="BT411" s="4072">
        <f t="shared" si="729"/>
        <v>590</v>
      </c>
      <c r="BU411" s="4072">
        <f t="shared" si="729"/>
        <v>605</v>
      </c>
      <c r="BV411" s="4072">
        <f t="shared" si="729"/>
        <v>597</v>
      </c>
      <c r="BW411" s="2615">
        <v>555</v>
      </c>
      <c r="BX411" s="2616">
        <v>582</v>
      </c>
      <c r="BY411" s="2616">
        <v>612</v>
      </c>
      <c r="BZ411" s="2617">
        <v>610</v>
      </c>
      <c r="CA411" s="2615">
        <v>593</v>
      </c>
      <c r="CB411" s="2616">
        <v>601</v>
      </c>
      <c r="CC411" s="2616">
        <v>612</v>
      </c>
      <c r="CD411" s="4074">
        <v>630</v>
      </c>
      <c r="CE411" s="4075">
        <v>595</v>
      </c>
      <c r="CF411" s="4076">
        <v>621</v>
      </c>
      <c r="CG411" s="4076">
        <v>625</v>
      </c>
      <c r="CH411" s="4074">
        <v>602</v>
      </c>
      <c r="CI411" s="4076">
        <v>611</v>
      </c>
      <c r="CJ411" s="4076">
        <v>639</v>
      </c>
      <c r="CK411" s="4076">
        <v>643</v>
      </c>
      <c r="CL411" s="4074">
        <v>617</v>
      </c>
      <c r="CM411" s="4076">
        <v>600</v>
      </c>
      <c r="CN411" s="4076">
        <v>592</v>
      </c>
      <c r="CO411" s="4076">
        <v>621</v>
      </c>
      <c r="CP411" s="4074">
        <v>621</v>
      </c>
      <c r="CQ411" s="4072">
        <f>CM411*(1+CQ412)</f>
        <v>606</v>
      </c>
      <c r="CR411" s="4072">
        <f>CN411*(1+CR412)</f>
        <v>597.91999999999996</v>
      </c>
      <c r="CS411" s="4072">
        <f>CO411*(1+CS412)</f>
        <v>627.21</v>
      </c>
      <c r="CT411" s="4077">
        <f>CP411*(1+CT412)</f>
        <v>627.21</v>
      </c>
    </row>
    <row r="412" spans="1:105" outlineLevel="1">
      <c r="A412" s="4070" t="s">
        <v>1247</v>
      </c>
      <c r="B412" s="3876"/>
      <c r="C412" s="3876"/>
      <c r="D412" s="3876"/>
      <c r="E412" s="3876"/>
      <c r="F412" s="3876"/>
      <c r="G412" s="3876"/>
      <c r="H412" s="3876"/>
      <c r="I412" s="3876"/>
      <c r="J412" s="3876"/>
      <c r="K412" s="3876"/>
      <c r="L412" s="948"/>
      <c r="M412" s="948"/>
      <c r="N412" s="4078">
        <f t="shared" ref="N412:S412" si="730">N411/M411-1</f>
        <v>3.4649122807017596E-2</v>
      </c>
      <c r="O412" s="4078">
        <f t="shared" si="730"/>
        <v>0</v>
      </c>
      <c r="P412" s="4078">
        <f t="shared" si="730"/>
        <v>3.2640949554896048E-2</v>
      </c>
      <c r="Q412" s="4078">
        <f t="shared" si="730"/>
        <v>2.8735632183907178E-3</v>
      </c>
      <c r="R412" s="4078">
        <f t="shared" si="730"/>
        <v>2.7425296766270923E-2</v>
      </c>
      <c r="S412" s="4078">
        <f t="shared" si="730"/>
        <v>-3.0278884462151434E-2</v>
      </c>
      <c r="T412" s="4078">
        <f>T411/S411-1</f>
        <v>2.4650780608053147E-3</v>
      </c>
      <c r="U412" s="2619">
        <v>0.01</v>
      </c>
      <c r="V412" s="2619">
        <v>0.01</v>
      </c>
      <c r="W412" s="2619">
        <v>0.01</v>
      </c>
      <c r="X412" s="2619">
        <v>0.01</v>
      </c>
      <c r="Y412" s="2619">
        <v>0.01</v>
      </c>
      <c r="Z412" s="2619">
        <v>0.01</v>
      </c>
      <c r="AA412" s="2619">
        <v>0.01</v>
      </c>
      <c r="AB412" s="2619">
        <v>0.01</v>
      </c>
      <c r="AC412" s="2619">
        <v>0.01</v>
      </c>
      <c r="AD412" s="2619">
        <v>0.01</v>
      </c>
      <c r="AE412" s="2619">
        <v>0.01</v>
      </c>
      <c r="AF412" s="2619">
        <v>0.01</v>
      </c>
      <c r="AG412" s="2553"/>
      <c r="AH412" s="4071"/>
      <c r="AI412" s="948"/>
      <c r="AJ412" s="948"/>
      <c r="AK412" s="948"/>
      <c r="AL412" s="948"/>
      <c r="AM412" s="948"/>
      <c r="AN412" s="948"/>
      <c r="AO412" s="948"/>
      <c r="AP412" s="948"/>
      <c r="AQ412" s="948"/>
      <c r="AR412" s="948"/>
      <c r="AS412" s="948"/>
      <c r="AT412" s="948"/>
      <c r="AU412" s="948"/>
      <c r="AV412" s="948"/>
      <c r="AW412" s="948"/>
      <c r="AX412" s="948"/>
      <c r="AY412" s="948"/>
      <c r="AZ412" s="948"/>
      <c r="BA412" s="948"/>
      <c r="BB412" s="948"/>
      <c r="BC412" s="948"/>
      <c r="BD412" s="948"/>
      <c r="BE412" s="948"/>
      <c r="BF412" s="948"/>
      <c r="BG412" s="948"/>
      <c r="BH412" s="948"/>
      <c r="BI412" s="948"/>
      <c r="BJ412" s="948"/>
      <c r="BK412" s="948"/>
      <c r="BL412" s="948"/>
      <c r="BM412" s="948"/>
      <c r="BN412" s="948"/>
      <c r="BO412" s="1429"/>
      <c r="BP412" s="948"/>
      <c r="BQ412" s="948"/>
      <c r="BR412" s="948"/>
      <c r="BS412" s="1429"/>
      <c r="BT412" s="948"/>
      <c r="BU412" s="948"/>
      <c r="BV412" s="948"/>
      <c r="BW412" s="3975">
        <f t="shared" ref="BW412:CH412" si="731">BW411/BS411-1</f>
        <v>-2.1164021164021163E-2</v>
      </c>
      <c r="BX412" s="3966">
        <f t="shared" si="731"/>
        <v>-1.3559322033898313E-2</v>
      </c>
      <c r="BY412" s="3966">
        <f t="shared" si="731"/>
        <v>1.1570247933884392E-2</v>
      </c>
      <c r="BZ412" s="3973">
        <f t="shared" si="731"/>
        <v>2.1775544388609624E-2</v>
      </c>
      <c r="CA412" s="3975">
        <f t="shared" si="731"/>
        <v>6.8468468468468435E-2</v>
      </c>
      <c r="CB412" s="3966">
        <f t="shared" si="731"/>
        <v>3.2646048109965742E-2</v>
      </c>
      <c r="CC412" s="3966">
        <f t="shared" si="731"/>
        <v>0</v>
      </c>
      <c r="CD412" s="3973">
        <f t="shared" si="731"/>
        <v>3.2786885245901676E-2</v>
      </c>
      <c r="CE412" s="3975">
        <f t="shared" si="731"/>
        <v>3.3726812816188279E-3</v>
      </c>
      <c r="CF412" s="3966">
        <f t="shared" si="731"/>
        <v>3.3277870216306127E-2</v>
      </c>
      <c r="CG412" s="3966">
        <f t="shared" si="731"/>
        <v>2.1241830065359402E-2</v>
      </c>
      <c r="CH412" s="3973">
        <f t="shared" si="731"/>
        <v>-4.4444444444444398E-2</v>
      </c>
      <c r="CI412" s="3966">
        <f t="shared" ref="CI412:CN412" si="732">CI411/CE411-1</f>
        <v>2.6890756302520913E-2</v>
      </c>
      <c r="CJ412" s="3966">
        <f t="shared" si="732"/>
        <v>2.8985507246376718E-2</v>
      </c>
      <c r="CK412" s="3966">
        <f t="shared" si="732"/>
        <v>2.8799999999999937E-2</v>
      </c>
      <c r="CL412" s="3973">
        <f t="shared" si="732"/>
        <v>2.4916943521594792E-2</v>
      </c>
      <c r="CM412" s="3966">
        <f t="shared" si="732"/>
        <v>-1.8003273322422242E-2</v>
      </c>
      <c r="CN412" s="3966">
        <f t="shared" si="732"/>
        <v>-7.3552425665101673E-2</v>
      </c>
      <c r="CO412" s="3966">
        <f>CO411/CK411-1</f>
        <v>-3.4214618973561484E-2</v>
      </c>
      <c r="CP412" s="3973">
        <f t="shared" ref="CP412" si="733">CP411/CL411-1</f>
        <v>6.482982171799101E-3</v>
      </c>
      <c r="CQ412" s="2619">
        <v>0.01</v>
      </c>
      <c r="CR412" s="2619">
        <v>0.01</v>
      </c>
      <c r="CS412" s="2619">
        <v>0.01</v>
      </c>
      <c r="CT412" s="2620">
        <v>0.01</v>
      </c>
    </row>
    <row r="413" spans="1:105" s="285" customFormat="1" outlineLevel="1">
      <c r="A413" s="2107" t="s">
        <v>5</v>
      </c>
      <c r="B413" s="115"/>
      <c r="C413" s="115"/>
      <c r="D413" s="115"/>
      <c r="E413" s="115"/>
      <c r="F413" s="115"/>
      <c r="G413" s="115"/>
      <c r="H413" s="115"/>
      <c r="I413" s="115"/>
      <c r="J413" s="115"/>
      <c r="K413" s="115"/>
      <c r="L413" s="115"/>
      <c r="M413" s="916">
        <f t="shared" ref="M413:AF413" si="734">M174-M411</f>
        <v>3990</v>
      </c>
      <c r="N413" s="916">
        <f t="shared" si="734"/>
        <v>3805</v>
      </c>
      <c r="O413" s="916">
        <f t="shared" si="734"/>
        <v>3645</v>
      </c>
      <c r="P413" s="2531">
        <f t="shared" si="734"/>
        <v>3558</v>
      </c>
      <c r="Q413" s="916">
        <f t="shared" si="734"/>
        <v>3582</v>
      </c>
      <c r="R413" s="916">
        <f t="shared" si="734"/>
        <v>3394</v>
      </c>
      <c r="S413" s="916">
        <f t="shared" si="734"/>
        <v>3134</v>
      </c>
      <c r="T413" s="916">
        <f t="shared" si="734"/>
        <v>2892.7629999999999</v>
      </c>
      <c r="U413" s="916">
        <f t="shared" si="734"/>
        <v>2690.9842922222219</v>
      </c>
      <c r="V413" s="916">
        <f t="shared" si="734"/>
        <v>2519.4615028861731</v>
      </c>
      <c r="W413" s="916">
        <f t="shared" si="734"/>
        <v>2369.5672493188035</v>
      </c>
      <c r="X413" s="916">
        <f t="shared" si="734"/>
        <v>2239.3719064308252</v>
      </c>
      <c r="Y413" s="916">
        <f t="shared" si="734"/>
        <v>2127.1085660582667</v>
      </c>
      <c r="Z413" s="916">
        <f t="shared" si="734"/>
        <v>2031.1619754316507</v>
      </c>
      <c r="AA413" s="916">
        <f t="shared" si="734"/>
        <v>1950.0579671073651</v>
      </c>
      <c r="AB413" s="916">
        <f t="shared" si="734"/>
        <v>1882.453388003064</v>
      </c>
      <c r="AC413" s="916">
        <f t="shared" si="734"/>
        <v>1827.1265309328674</v>
      </c>
      <c r="AD413" s="916">
        <f t="shared" si="734"/>
        <v>1782.9680682289072</v>
      </c>
      <c r="AE413" s="916">
        <f t="shared" si="734"/>
        <v>1748.9724836502996</v>
      </c>
      <c r="AF413" s="916">
        <f t="shared" si="734"/>
        <v>1724.2299958025624</v>
      </c>
      <c r="AG413" s="2553"/>
      <c r="AH413" s="2769"/>
      <c r="AI413" s="916"/>
      <c r="AJ413" s="916"/>
      <c r="AK413" s="916"/>
      <c r="AL413" s="916"/>
      <c r="AM413" s="916"/>
      <c r="AN413" s="916"/>
      <c r="AO413" s="916"/>
      <c r="AP413" s="916"/>
      <c r="AQ413" s="916"/>
      <c r="AR413" s="916"/>
      <c r="AS413" s="916"/>
      <c r="AT413" s="916"/>
      <c r="AU413" s="916"/>
      <c r="AV413" s="916"/>
      <c r="AW413" s="916"/>
      <c r="AX413" s="916"/>
      <c r="AY413" s="916"/>
      <c r="AZ413" s="916"/>
      <c r="BA413" s="916"/>
      <c r="BB413" s="916"/>
      <c r="BC413" s="916"/>
      <c r="BD413" s="916"/>
      <c r="BE413" s="916"/>
      <c r="BF413" s="916"/>
      <c r="BG413" s="916"/>
      <c r="BH413" s="916"/>
      <c r="BI413" s="916"/>
      <c r="BJ413" s="916"/>
      <c r="BK413" s="916"/>
      <c r="BL413" s="916"/>
      <c r="BM413" s="916"/>
      <c r="BN413" s="916"/>
      <c r="BO413" s="154">
        <f t="shared" ref="BO413:CT413" si="735">BO174-BO411</f>
        <v>1028</v>
      </c>
      <c r="BP413" s="916">
        <f t="shared" si="735"/>
        <v>998</v>
      </c>
      <c r="BQ413" s="916">
        <f t="shared" si="735"/>
        <v>964</v>
      </c>
      <c r="BR413" s="1075">
        <f t="shared" si="735"/>
        <v>1000</v>
      </c>
      <c r="BS413" s="154">
        <f t="shared" si="735"/>
        <v>997</v>
      </c>
      <c r="BT413" s="916">
        <f t="shared" si="735"/>
        <v>950</v>
      </c>
      <c r="BU413" s="916">
        <f t="shared" si="735"/>
        <v>931</v>
      </c>
      <c r="BV413" s="916">
        <f t="shared" si="735"/>
        <v>927</v>
      </c>
      <c r="BW413" s="154">
        <f t="shared" si="735"/>
        <v>956</v>
      </c>
      <c r="BX413" s="916">
        <f t="shared" si="735"/>
        <v>912</v>
      </c>
      <c r="BY413" s="916">
        <f t="shared" si="735"/>
        <v>891</v>
      </c>
      <c r="BZ413" s="223">
        <f t="shared" si="735"/>
        <v>886</v>
      </c>
      <c r="CA413" s="154">
        <f t="shared" si="735"/>
        <v>916</v>
      </c>
      <c r="CB413" s="916">
        <f t="shared" si="735"/>
        <v>899</v>
      </c>
      <c r="CC413" s="916">
        <f t="shared" si="735"/>
        <v>879</v>
      </c>
      <c r="CD413" s="223">
        <f t="shared" si="735"/>
        <v>864</v>
      </c>
      <c r="CE413" s="940">
        <f t="shared" si="735"/>
        <v>903</v>
      </c>
      <c r="CF413" s="916">
        <f t="shared" si="735"/>
        <v>882</v>
      </c>
      <c r="CG413" s="271">
        <f t="shared" si="735"/>
        <v>885</v>
      </c>
      <c r="CH413" s="223">
        <f t="shared" si="735"/>
        <v>912</v>
      </c>
      <c r="CI413" s="271">
        <f t="shared" si="735"/>
        <v>878</v>
      </c>
      <c r="CJ413" s="916">
        <f t="shared" si="735"/>
        <v>855</v>
      </c>
      <c r="CK413" s="916">
        <f t="shared" si="735"/>
        <v>829</v>
      </c>
      <c r="CL413" s="223">
        <f t="shared" si="735"/>
        <v>832</v>
      </c>
      <c r="CM413" s="271">
        <f t="shared" si="735"/>
        <v>812</v>
      </c>
      <c r="CN413" s="916">
        <f t="shared" si="735"/>
        <v>810</v>
      </c>
      <c r="CO413" s="916">
        <f t="shared" si="735"/>
        <v>766</v>
      </c>
      <c r="CP413" s="223">
        <f t="shared" ref="CP413" si="736">CP174-CP411</f>
        <v>746</v>
      </c>
      <c r="CQ413" s="271">
        <f t="shared" si="735"/>
        <v>748.19</v>
      </c>
      <c r="CR413" s="271">
        <f t="shared" si="735"/>
        <v>749.16300000000012</v>
      </c>
      <c r="CS413" s="271">
        <f t="shared" si="735"/>
        <v>698.61000000000013</v>
      </c>
      <c r="CT413" s="223">
        <f t="shared" si="735"/>
        <v>678.45999999999981</v>
      </c>
      <c r="CU413" s="68"/>
      <c r="CV413" s="68"/>
      <c r="CW413" s="68"/>
      <c r="CX413" s="68"/>
      <c r="CY413" s="68"/>
      <c r="CZ413" s="68"/>
      <c r="DA413" s="68"/>
    </row>
    <row r="414" spans="1:105" outlineLevel="1">
      <c r="A414" s="3965" t="s">
        <v>34</v>
      </c>
      <c r="B414" s="3876"/>
      <c r="C414" s="3876"/>
      <c r="D414" s="3876"/>
      <c r="E414" s="3876"/>
      <c r="F414" s="3876"/>
      <c r="G414" s="3876"/>
      <c r="H414" s="3876"/>
      <c r="I414" s="3876"/>
      <c r="J414" s="3876"/>
      <c r="K414" s="3876"/>
      <c r="L414" s="3876"/>
      <c r="N414" s="1056">
        <f t="shared" ref="N414:S414" si="737">N413/M413-1</f>
        <v>-4.6365914786967388E-2</v>
      </c>
      <c r="O414" s="1056">
        <f t="shared" si="737"/>
        <v>-4.2049934296977676E-2</v>
      </c>
      <c r="P414" s="1056">
        <f t="shared" si="737"/>
        <v>-2.3868312757201693E-2</v>
      </c>
      <c r="Q414" s="1056">
        <f t="shared" si="737"/>
        <v>6.7453625632378778E-3</v>
      </c>
      <c r="R414" s="1056">
        <f t="shared" si="737"/>
        <v>-5.2484645449469625E-2</v>
      </c>
      <c r="S414" s="1056">
        <f t="shared" si="737"/>
        <v>-7.660577489687681E-2</v>
      </c>
      <c r="T414" s="1056">
        <f>T413/S413-1</f>
        <v>-7.6974154435226594E-2</v>
      </c>
      <c r="U414" s="3942"/>
      <c r="V414" s="3942"/>
      <c r="W414" s="3942"/>
      <c r="X414" s="3942"/>
      <c r="Y414" s="3942"/>
      <c r="Z414" s="3942"/>
      <c r="AA414" s="3942"/>
      <c r="AB414" s="3942"/>
      <c r="AC414" s="3942"/>
      <c r="AD414" s="3942"/>
      <c r="AE414" s="3942"/>
      <c r="AF414" s="3942"/>
      <c r="AG414" s="2553"/>
      <c r="AH414" s="4079"/>
      <c r="AI414" s="3942"/>
      <c r="AJ414" s="3942"/>
      <c r="AK414" s="3942"/>
      <c r="AL414" s="3942"/>
      <c r="AM414" s="3942"/>
      <c r="AN414" s="3942"/>
      <c r="AO414" s="3942"/>
      <c r="AP414" s="3942"/>
      <c r="AQ414" s="3942"/>
      <c r="AR414" s="3942"/>
      <c r="AS414" s="3942"/>
      <c r="AT414" s="3942"/>
      <c r="AU414" s="3942"/>
      <c r="AV414" s="3942"/>
      <c r="AW414" s="3942"/>
      <c r="AX414" s="3942"/>
      <c r="AY414" s="3942"/>
      <c r="AZ414" s="3942"/>
      <c r="BA414" s="3942"/>
      <c r="BB414" s="3942"/>
      <c r="BC414" s="3942"/>
      <c r="BD414" s="3942"/>
      <c r="BE414" s="3942"/>
      <c r="BF414" s="3942"/>
      <c r="BG414" s="3942"/>
      <c r="BH414" s="3942"/>
      <c r="BI414" s="3942"/>
      <c r="BJ414" s="3942"/>
      <c r="BK414" s="3942"/>
      <c r="BL414" s="3942"/>
      <c r="BM414" s="3942"/>
      <c r="BN414" s="3942"/>
      <c r="BO414" s="1058"/>
      <c r="BP414" s="1056"/>
      <c r="BQ414" s="1056"/>
      <c r="BR414" s="1057"/>
      <c r="BS414" s="1058">
        <f t="shared" ref="BS414:CC414" si="738">BS413/BO413-1</f>
        <v>-3.0155642023346307E-2</v>
      </c>
      <c r="BT414" s="1056">
        <f t="shared" si="738"/>
        <v>-4.8096192384769587E-2</v>
      </c>
      <c r="BU414" s="1056">
        <f t="shared" si="738"/>
        <v>-3.4232365145228205E-2</v>
      </c>
      <c r="BV414" s="1056">
        <f t="shared" si="738"/>
        <v>-7.2999999999999954E-2</v>
      </c>
      <c r="BW414" s="1058">
        <f t="shared" si="738"/>
        <v>-4.1123370110330959E-2</v>
      </c>
      <c r="BX414" s="1056">
        <f t="shared" si="738"/>
        <v>-4.0000000000000036E-2</v>
      </c>
      <c r="BY414" s="1056">
        <f t="shared" si="738"/>
        <v>-4.2964554242749697E-2</v>
      </c>
      <c r="BZ414" s="989">
        <f t="shared" si="738"/>
        <v>-4.42286947141316E-2</v>
      </c>
      <c r="CA414" s="1058">
        <f t="shared" si="738"/>
        <v>-4.1841004184100417E-2</v>
      </c>
      <c r="CB414" s="1056">
        <f t="shared" si="738"/>
        <v>-1.4254385964912242E-2</v>
      </c>
      <c r="CC414" s="1056">
        <f t="shared" si="738"/>
        <v>-1.3468013468013518E-2</v>
      </c>
      <c r="CD414" s="989">
        <f>CD413/BZ413-1</f>
        <v>-2.4830699774266329E-2</v>
      </c>
      <c r="CE414" s="990">
        <f>CE413/CA413-1</f>
        <v>-1.4192139737991272E-2</v>
      </c>
      <c r="CF414" s="1056">
        <f>CF413/CB413-1</f>
        <v>-1.8909899888765347E-2</v>
      </c>
      <c r="CG414" s="988">
        <f>CG413/CC413-1</f>
        <v>6.8259385665530026E-3</v>
      </c>
      <c r="CH414" s="989">
        <f t="shared" ref="CH414:CM414" si="739">CH413/CD413-1</f>
        <v>5.555555555555558E-2</v>
      </c>
      <c r="CI414" s="988">
        <f t="shared" si="739"/>
        <v>-2.7685492801771905E-2</v>
      </c>
      <c r="CJ414" s="1056">
        <f t="shared" si="739"/>
        <v>-3.0612244897959218E-2</v>
      </c>
      <c r="CK414" s="1056">
        <f t="shared" si="739"/>
        <v>-6.3276836158192129E-2</v>
      </c>
      <c r="CL414" s="989">
        <f t="shared" si="739"/>
        <v>-8.7719298245614086E-2</v>
      </c>
      <c r="CM414" s="988">
        <f t="shared" si="739"/>
        <v>-7.5170842824601403E-2</v>
      </c>
      <c r="CN414" s="1056">
        <f>CN413/CJ413-1</f>
        <v>-5.2631578947368474E-2</v>
      </c>
      <c r="CO414" s="1056">
        <f>CO413/CK413-1</f>
        <v>-7.5995174909529561E-2</v>
      </c>
      <c r="CP414" s="989">
        <f t="shared" ref="CP414" si="740">CP413/CL413-1</f>
        <v>-0.10336538461538458</v>
      </c>
      <c r="CQ414" s="988">
        <f>CQ413/CM413-1</f>
        <v>-7.858374384236444E-2</v>
      </c>
      <c r="CR414" s="988">
        <f>CR413/CN413-1</f>
        <v>-7.5107407407407289E-2</v>
      </c>
      <c r="CS414" s="988">
        <f>CS413/CO413-1</f>
        <v>-8.7976501305482846E-2</v>
      </c>
      <c r="CT414" s="989">
        <f>CT413/CP413-1</f>
        <v>-9.0536193029490897E-2</v>
      </c>
    </row>
    <row r="415" spans="1:105" outlineLevel="1">
      <c r="A415" s="3965" t="s">
        <v>947</v>
      </c>
      <c r="B415" s="3876"/>
      <c r="C415" s="3876"/>
      <c r="D415" s="3876"/>
      <c r="E415" s="3876"/>
      <c r="F415" s="3876"/>
      <c r="G415" s="3876"/>
      <c r="H415" s="3876"/>
      <c r="I415" s="3876"/>
      <c r="J415" s="3876"/>
      <c r="K415" s="3876"/>
      <c r="L415" s="3876"/>
      <c r="M415" s="3938"/>
      <c r="N415" s="3942"/>
      <c r="O415" s="3942"/>
      <c r="P415" s="3942"/>
      <c r="Q415" s="3942"/>
      <c r="R415" s="3942"/>
      <c r="S415" s="3942"/>
      <c r="T415" s="3942"/>
      <c r="U415" s="1899"/>
      <c r="V415" s="1899"/>
      <c r="W415" s="1899"/>
      <c r="X415" s="1899"/>
      <c r="Y415" s="1899"/>
      <c r="Z415" s="1899"/>
      <c r="AA415" s="1899"/>
      <c r="AB415" s="1899"/>
      <c r="AC415" s="1899"/>
      <c r="AD415" s="1899"/>
      <c r="AE415" s="1899"/>
      <c r="AF415" s="1899"/>
      <c r="AG415" s="2553"/>
      <c r="AH415" s="3921"/>
      <c r="AI415" s="3876"/>
      <c r="AJ415" s="3876"/>
      <c r="AK415" s="3876"/>
      <c r="AL415" s="3876"/>
      <c r="AM415" s="3876"/>
      <c r="AN415" s="3876"/>
      <c r="AO415" s="3876"/>
      <c r="AP415" s="3876"/>
      <c r="AQ415" s="3876"/>
      <c r="AR415" s="3876"/>
      <c r="AS415" s="3876"/>
      <c r="AT415" s="3876"/>
      <c r="AU415" s="3876"/>
      <c r="AV415" s="3876"/>
      <c r="AW415" s="3876"/>
      <c r="AX415" s="3876"/>
      <c r="AY415" s="3876"/>
      <c r="AZ415" s="3876"/>
      <c r="BA415" s="3876"/>
      <c r="BB415" s="3876"/>
      <c r="BC415" s="3876"/>
      <c r="BD415" s="3876"/>
      <c r="BE415" s="3876"/>
      <c r="BF415" s="3876"/>
      <c r="BG415" s="3942"/>
      <c r="BH415" s="3942"/>
      <c r="BI415" s="3942"/>
      <c r="BJ415" s="3942"/>
      <c r="BK415" s="3942"/>
      <c r="BL415" s="3942"/>
      <c r="BM415" s="3942"/>
      <c r="BN415" s="3942"/>
      <c r="BO415" s="3946"/>
      <c r="BP415" s="3942">
        <f t="shared" ref="BP415:CC415" si="741">BP413/BO413-1</f>
        <v>-2.9182879377431914E-2</v>
      </c>
      <c r="BQ415" s="3942">
        <f t="shared" si="741"/>
        <v>-3.4068136272545124E-2</v>
      </c>
      <c r="BR415" s="3943">
        <f t="shared" si="741"/>
        <v>3.7344398340249052E-2</v>
      </c>
      <c r="BS415" s="3946">
        <f t="shared" si="741"/>
        <v>-3.0000000000000027E-3</v>
      </c>
      <c r="BT415" s="3942">
        <f t="shared" si="741"/>
        <v>-4.7141424272818422E-2</v>
      </c>
      <c r="BU415" s="3942">
        <f t="shared" si="741"/>
        <v>-2.0000000000000018E-2</v>
      </c>
      <c r="BV415" s="3942">
        <f t="shared" si="741"/>
        <v>-4.2964554242749253E-3</v>
      </c>
      <c r="BW415" s="3946">
        <f t="shared" si="741"/>
        <v>3.1283710895361416E-2</v>
      </c>
      <c r="BX415" s="3942">
        <f t="shared" si="741"/>
        <v>-4.6025104602510414E-2</v>
      </c>
      <c r="BY415" s="3942">
        <f t="shared" si="741"/>
        <v>-2.3026315789473673E-2</v>
      </c>
      <c r="BZ415" s="3972">
        <f t="shared" si="741"/>
        <v>-5.6116722783389195E-3</v>
      </c>
      <c r="CA415" s="3946">
        <f t="shared" si="741"/>
        <v>3.3860045146726803E-2</v>
      </c>
      <c r="CB415" s="3942">
        <f t="shared" si="741"/>
        <v>-1.8558951965065518E-2</v>
      </c>
      <c r="CC415" s="3942">
        <f t="shared" si="741"/>
        <v>-2.2246941045606206E-2</v>
      </c>
      <c r="CD415" s="3972">
        <f>CD413/CC413-1</f>
        <v>-1.7064846416382284E-2</v>
      </c>
      <c r="CE415" s="3971">
        <f>CE413/CD413-1</f>
        <v>4.513888888888884E-2</v>
      </c>
      <c r="CF415" s="3942">
        <f>CF413/CE413-1</f>
        <v>-2.3255813953488413E-2</v>
      </c>
      <c r="CG415" s="3967">
        <f>CG413/CF413-1</f>
        <v>3.4013605442175798E-3</v>
      </c>
      <c r="CH415" s="3972">
        <f t="shared" ref="CH415:CM415" si="742">CH413/CG413-1</f>
        <v>3.050847457627115E-2</v>
      </c>
      <c r="CI415" s="3967">
        <f t="shared" si="742"/>
        <v>-3.7280701754385914E-2</v>
      </c>
      <c r="CJ415" s="3942">
        <f t="shared" si="742"/>
        <v>-2.6195899772209597E-2</v>
      </c>
      <c r="CK415" s="3942">
        <f t="shared" si="742"/>
        <v>-3.0409356725146219E-2</v>
      </c>
      <c r="CL415" s="3972">
        <f t="shared" si="742"/>
        <v>3.6188178528346882E-3</v>
      </c>
      <c r="CM415" s="3967">
        <f t="shared" si="742"/>
        <v>-2.4038461538461564E-2</v>
      </c>
      <c r="CN415" s="3942">
        <f>CN413/CM413-1</f>
        <v>-2.4630541871921707E-3</v>
      </c>
      <c r="CO415" s="3942">
        <f>CO413/CN413-1</f>
        <v>-5.4320987654321029E-2</v>
      </c>
      <c r="CP415" s="3972">
        <f t="shared" ref="CP415" si="743">CP413/CO413-1</f>
        <v>-2.6109660574412552E-2</v>
      </c>
      <c r="CQ415" s="3967">
        <f>CQ413/CP413-1</f>
        <v>2.9356568364611313E-3</v>
      </c>
      <c r="CR415" s="3967">
        <f>CR413/CQ413-1</f>
        <v>1.3004718052902486E-3</v>
      </c>
      <c r="CS415" s="3967">
        <f>CS413/CR413-1</f>
        <v>-6.7479306906507608E-2</v>
      </c>
      <c r="CT415" s="3972">
        <f>CT413/CS413-1</f>
        <v>-2.8842988219464849E-2</v>
      </c>
    </row>
    <row r="416" spans="1:105" outlineLevel="1">
      <c r="A416" s="3965"/>
      <c r="B416" s="3876"/>
      <c r="C416" s="3876"/>
      <c r="D416" s="3876"/>
      <c r="E416" s="3876"/>
      <c r="F416" s="3876"/>
      <c r="G416" s="3876"/>
      <c r="H416" s="3876"/>
      <c r="I416" s="3876"/>
      <c r="J416" s="3876"/>
      <c r="K416" s="3876"/>
      <c r="L416" s="3876"/>
      <c r="M416" s="3938"/>
      <c r="N416" s="3942"/>
      <c r="O416" s="3938"/>
      <c r="P416" s="3938"/>
      <c r="Q416" s="3938"/>
      <c r="R416" s="3938"/>
      <c r="S416" s="3938"/>
      <c r="T416" s="3938"/>
      <c r="U416" s="1899"/>
      <c r="V416" s="1899"/>
      <c r="W416" s="1899"/>
      <c r="X416" s="1899"/>
      <c r="Y416" s="1899"/>
      <c r="Z416" s="1899"/>
      <c r="AA416" s="1899"/>
      <c r="AB416" s="1899"/>
      <c r="AC416" s="1899"/>
      <c r="AD416" s="1899"/>
      <c r="AE416" s="1899"/>
      <c r="AF416" s="1899"/>
      <c r="AG416" s="2553"/>
      <c r="AH416" s="3921"/>
      <c r="AI416" s="3876"/>
      <c r="AJ416" s="3876"/>
      <c r="AK416" s="3876"/>
      <c r="AL416" s="3876"/>
      <c r="AM416" s="3876"/>
      <c r="AN416" s="3876"/>
      <c r="AO416" s="3876"/>
      <c r="AP416" s="3876"/>
      <c r="AQ416" s="3876"/>
      <c r="AR416" s="3876"/>
      <c r="AS416" s="3876"/>
      <c r="AT416" s="3876"/>
      <c r="AU416" s="3876"/>
      <c r="AV416" s="3876"/>
      <c r="AW416" s="3876"/>
      <c r="AX416" s="3876"/>
      <c r="AY416" s="3876"/>
      <c r="AZ416" s="3876"/>
      <c r="BA416" s="3876"/>
      <c r="BB416" s="3876"/>
      <c r="BC416" s="3876"/>
      <c r="BD416" s="3876"/>
      <c r="BE416" s="3876"/>
      <c r="BF416" s="3876"/>
      <c r="BG416" s="3942"/>
      <c r="BH416" s="3942"/>
      <c r="BI416" s="3942"/>
      <c r="BJ416" s="3942"/>
      <c r="BK416" s="3942"/>
      <c r="BL416" s="3942"/>
      <c r="BM416" s="3942"/>
      <c r="BN416" s="3942"/>
      <c r="BO416" s="3946"/>
      <c r="BP416" s="3942"/>
      <c r="BQ416" s="3942"/>
      <c r="BR416" s="3943"/>
      <c r="BS416" s="3946"/>
      <c r="BT416" s="3942"/>
      <c r="BU416" s="3942"/>
      <c r="BV416" s="3942"/>
      <c r="BW416" s="3946"/>
      <c r="BX416" s="3942"/>
      <c r="BY416" s="3942"/>
      <c r="BZ416" s="3972"/>
      <c r="CA416" s="3946"/>
      <c r="CB416" s="3942"/>
      <c r="CC416" s="3942"/>
      <c r="CD416" s="3972"/>
      <c r="CE416" s="3971"/>
      <c r="CF416" s="3942"/>
      <c r="CG416" s="3967"/>
      <c r="CH416" s="3972"/>
      <c r="CI416" s="3967"/>
      <c r="CJ416" s="3942"/>
      <c r="CK416" s="3942"/>
      <c r="CL416" s="3972"/>
      <c r="CM416" s="3967"/>
      <c r="CN416" s="3942"/>
      <c r="CO416" s="3942"/>
      <c r="CP416" s="3972"/>
      <c r="CQ416" s="3967"/>
      <c r="CR416" s="3967"/>
      <c r="CS416" s="3967"/>
      <c r="CT416" s="3972"/>
    </row>
    <row r="417" spans="1:105" s="285" customFormat="1" outlineLevel="1">
      <c r="A417" s="2107" t="s">
        <v>281</v>
      </c>
      <c r="B417" s="115"/>
      <c r="C417" s="115"/>
      <c r="D417" s="115"/>
      <c r="E417" s="115"/>
      <c r="F417" s="115"/>
      <c r="G417" s="115"/>
      <c r="H417" s="115"/>
      <c r="I417" s="115"/>
      <c r="J417" s="115"/>
      <c r="K417" s="115"/>
      <c r="L417" s="115"/>
      <c r="M417" s="2091">
        <f t="shared" ref="M417:AF417" si="744">M413/M174</f>
        <v>0.63636363636363635</v>
      </c>
      <c r="N417" s="2091">
        <f t="shared" si="744"/>
        <v>0.61729396495781963</v>
      </c>
      <c r="O417" s="2091">
        <f t="shared" si="744"/>
        <v>0.60709526982011996</v>
      </c>
      <c r="P417" s="2091">
        <f t="shared" si="744"/>
        <v>0.59359359359359354</v>
      </c>
      <c r="Q417" s="2091">
        <f t="shared" si="744"/>
        <v>0.5945228215767635</v>
      </c>
      <c r="R417" s="2091">
        <f t="shared" si="744"/>
        <v>0.57486449864498645</v>
      </c>
      <c r="S417" s="2091">
        <f t="shared" si="744"/>
        <v>0.5628591954022989</v>
      </c>
      <c r="T417" s="2091">
        <f t="shared" si="744"/>
        <v>0.54245107086139022</v>
      </c>
      <c r="U417" s="2621">
        <f t="shared" si="744"/>
        <v>0.52197549972793134</v>
      </c>
      <c r="V417" s="2621">
        <f t="shared" si="744"/>
        <v>0.50303658475254187</v>
      </c>
      <c r="W417" s="2621">
        <f t="shared" si="744"/>
        <v>0.48521888596895985</v>
      </c>
      <c r="X417" s="2621">
        <f t="shared" si="744"/>
        <v>0.46864023394215176</v>
      </c>
      <c r="Y417" s="2621">
        <f t="shared" si="744"/>
        <v>0.45338919932035004</v>
      </c>
      <c r="Z417" s="2621">
        <f t="shared" si="744"/>
        <v>0.43952451882272991</v>
      </c>
      <c r="AA417" s="2621">
        <f t="shared" si="744"/>
        <v>0.42707595911451229</v>
      </c>
      <c r="AB417" s="2621">
        <f t="shared" si="744"/>
        <v>0.41604639239076513</v>
      </c>
      <c r="AC417" s="2621">
        <f t="shared" si="744"/>
        <v>0.40641479038381756</v>
      </c>
      <c r="AD417" s="2621">
        <f t="shared" si="744"/>
        <v>0.39813981782976876</v>
      </c>
      <c r="AE417" s="2621">
        <f t="shared" si="744"/>
        <v>0.39116371724781995</v>
      </c>
      <c r="AF417" s="2621">
        <f t="shared" si="744"/>
        <v>0.38541621502546103</v>
      </c>
      <c r="AG417" s="2553"/>
      <c r="AH417" s="2714"/>
      <c r="AI417" s="115"/>
      <c r="AJ417" s="115"/>
      <c r="AK417" s="115"/>
      <c r="AL417" s="115"/>
      <c r="AM417" s="115"/>
      <c r="AN417" s="115"/>
      <c r="AO417" s="115"/>
      <c r="AP417" s="115"/>
      <c r="AQ417" s="115"/>
      <c r="AR417" s="115"/>
      <c r="AS417" s="115"/>
      <c r="AT417" s="115"/>
      <c r="AU417" s="115"/>
      <c r="AV417" s="115"/>
      <c r="AW417" s="115"/>
      <c r="AX417" s="115"/>
      <c r="AY417" s="115"/>
      <c r="AZ417" s="115"/>
      <c r="BA417" s="115"/>
      <c r="BB417" s="115"/>
      <c r="BC417" s="115"/>
      <c r="BD417" s="115"/>
      <c r="BE417" s="115"/>
      <c r="BF417" s="115"/>
      <c r="BG417" s="2091"/>
      <c r="BH417" s="2091"/>
      <c r="BI417" s="2091"/>
      <c r="BJ417" s="2091"/>
      <c r="BK417" s="2091"/>
      <c r="BL417" s="2091"/>
      <c r="BM417" s="2091"/>
      <c r="BN417" s="2091"/>
      <c r="BO417" s="2575">
        <f t="shared" ref="BO417:CT417" si="745">BO413/BO174</f>
        <v>0.64776307498424701</v>
      </c>
      <c r="BP417" s="2091">
        <f t="shared" si="745"/>
        <v>0.64387096774193553</v>
      </c>
      <c r="BQ417" s="2091">
        <f t="shared" si="745"/>
        <v>0.62033462033462028</v>
      </c>
      <c r="BR417" s="2576">
        <f t="shared" si="745"/>
        <v>0.6333122229259025</v>
      </c>
      <c r="BS417" s="2575">
        <f t="shared" si="745"/>
        <v>0.63746803069053704</v>
      </c>
      <c r="BT417" s="2091">
        <f t="shared" si="745"/>
        <v>0.61688311688311692</v>
      </c>
      <c r="BU417" s="2091">
        <f t="shared" si="745"/>
        <v>0.60611979166666663</v>
      </c>
      <c r="BV417" s="2091">
        <f t="shared" si="745"/>
        <v>0.6082677165354331</v>
      </c>
      <c r="BW417" s="2575">
        <f t="shared" si="745"/>
        <v>0.63269358041032431</v>
      </c>
      <c r="BX417" s="2091">
        <f t="shared" si="745"/>
        <v>0.61044176706827313</v>
      </c>
      <c r="BY417" s="2091">
        <f t="shared" si="745"/>
        <v>0.59281437125748504</v>
      </c>
      <c r="BZ417" s="2588">
        <f t="shared" si="745"/>
        <v>0.59224598930481287</v>
      </c>
      <c r="CA417" s="2575">
        <f t="shared" si="745"/>
        <v>0.60702451954937042</v>
      </c>
      <c r="CB417" s="2091">
        <f t="shared" si="745"/>
        <v>0.59933333333333338</v>
      </c>
      <c r="CC417" s="2091">
        <f t="shared" si="745"/>
        <v>0.58953722334004022</v>
      </c>
      <c r="CD417" s="2588">
        <f t="shared" si="745"/>
        <v>0.57831325301204817</v>
      </c>
      <c r="CE417" s="2052">
        <f t="shared" si="745"/>
        <v>0.60280373831775702</v>
      </c>
      <c r="CF417" s="2091">
        <f t="shared" si="745"/>
        <v>0.58682634730538918</v>
      </c>
      <c r="CG417" s="2071">
        <f t="shared" si="745"/>
        <v>0.58609271523178808</v>
      </c>
      <c r="CH417" s="2588">
        <f t="shared" si="745"/>
        <v>0.60237780713342137</v>
      </c>
      <c r="CI417" s="2071">
        <f t="shared" si="745"/>
        <v>0.5896574882471457</v>
      </c>
      <c r="CJ417" s="2091">
        <f t="shared" si="745"/>
        <v>0.57228915662650603</v>
      </c>
      <c r="CK417" s="2091">
        <f t="shared" si="745"/>
        <v>0.56317934782608692</v>
      </c>
      <c r="CL417" s="2588">
        <f t="shared" si="745"/>
        <v>0.57418909592822631</v>
      </c>
      <c r="CM417" s="2071">
        <f t="shared" si="745"/>
        <v>0.57507082152974509</v>
      </c>
      <c r="CN417" s="2091">
        <f t="shared" si="745"/>
        <v>0.57774607703281022</v>
      </c>
      <c r="CO417" s="2091">
        <f t="shared" si="745"/>
        <v>0.55227108868060559</v>
      </c>
      <c r="CP417" s="2588">
        <f t="shared" ref="CP417" si="746">CP413/CP174</f>
        <v>0.54572055596196045</v>
      </c>
      <c r="CQ417" s="2071">
        <f t="shared" si="745"/>
        <v>0.55250001846122043</v>
      </c>
      <c r="CR417" s="2071">
        <f t="shared" si="745"/>
        <v>0.55613722391270626</v>
      </c>
      <c r="CS417" s="2071">
        <f t="shared" si="745"/>
        <v>0.52692673213558405</v>
      </c>
      <c r="CT417" s="2588">
        <f t="shared" si="745"/>
        <v>0.5196259391729916</v>
      </c>
      <c r="CU417" s="68"/>
      <c r="CV417" s="68"/>
      <c r="CW417" s="68"/>
      <c r="CX417" s="68"/>
      <c r="CY417" s="68"/>
      <c r="CZ417" s="68"/>
      <c r="DA417" s="68"/>
    </row>
    <row r="418" spans="1:105" outlineLevel="1">
      <c r="A418" s="4070"/>
      <c r="B418" s="3876"/>
      <c r="C418" s="3876"/>
      <c r="D418" s="3876"/>
      <c r="E418" s="3876"/>
      <c r="F418" s="3876"/>
      <c r="G418" s="3876"/>
      <c r="H418" s="3876"/>
      <c r="I418" s="3876"/>
      <c r="J418" s="3876"/>
      <c r="K418" s="3876"/>
      <c r="L418" s="3876"/>
      <c r="M418" s="3938"/>
      <c r="N418" s="3938"/>
      <c r="O418" s="3938"/>
      <c r="P418" s="3938"/>
      <c r="Q418" s="3938"/>
      <c r="R418" s="3938"/>
      <c r="S418" s="3938"/>
      <c r="T418" s="3938"/>
      <c r="U418" s="1899"/>
      <c r="V418" s="1899"/>
      <c r="W418" s="1899"/>
      <c r="X418" s="1899"/>
      <c r="Y418" s="1899"/>
      <c r="Z418" s="1899"/>
      <c r="AA418" s="1899"/>
      <c r="AB418" s="1899"/>
      <c r="AC418" s="1899"/>
      <c r="AD418" s="1899"/>
      <c r="AE418" s="1899"/>
      <c r="AF418" s="1899"/>
      <c r="AG418" s="2553"/>
      <c r="AH418" s="3921"/>
      <c r="AI418" s="3876"/>
      <c r="AJ418" s="3876"/>
      <c r="AK418" s="3876"/>
      <c r="AL418" s="3876"/>
      <c r="AM418" s="3876"/>
      <c r="AN418" s="3876"/>
      <c r="AO418" s="3876"/>
      <c r="AP418" s="3876"/>
      <c r="AQ418" s="3876"/>
      <c r="AR418" s="3876"/>
      <c r="AS418" s="3876"/>
      <c r="AT418" s="3876"/>
      <c r="AU418" s="3876"/>
      <c r="AV418" s="3876"/>
      <c r="AW418" s="3876"/>
      <c r="AX418" s="3876"/>
      <c r="AY418" s="3876"/>
      <c r="AZ418" s="3876"/>
      <c r="BA418" s="3876"/>
      <c r="BB418" s="3876"/>
      <c r="BC418" s="3876"/>
      <c r="BD418" s="3876"/>
      <c r="BE418" s="3876"/>
      <c r="BF418" s="3876"/>
      <c r="BG418" s="3942"/>
      <c r="BH418" s="3942"/>
      <c r="BI418" s="3942"/>
      <c r="BJ418" s="3942"/>
      <c r="BK418" s="3942"/>
      <c r="BL418" s="3942"/>
      <c r="BM418" s="3942"/>
      <c r="BN418" s="3942"/>
      <c r="BO418" s="3946"/>
      <c r="BP418" s="3942"/>
      <c r="BQ418" s="3942"/>
      <c r="BR418" s="3943"/>
      <c r="BS418" s="3946"/>
      <c r="BT418" s="3942"/>
      <c r="BU418" s="3942"/>
      <c r="BV418" s="3942"/>
      <c r="BW418" s="3946"/>
      <c r="BX418" s="3942"/>
      <c r="BY418" s="3942"/>
      <c r="BZ418" s="3972"/>
      <c r="CA418" s="3946"/>
      <c r="CB418" s="3942"/>
      <c r="CC418" s="3942"/>
      <c r="CD418" s="3972"/>
      <c r="CE418" s="3971"/>
      <c r="CF418" s="3942"/>
      <c r="CG418" s="3967"/>
      <c r="CH418" s="3972"/>
      <c r="CI418" s="3967"/>
      <c r="CJ418" s="3942"/>
      <c r="CK418" s="3942"/>
      <c r="CL418" s="3972"/>
      <c r="CM418" s="3967"/>
      <c r="CN418" s="3942"/>
      <c r="CO418" s="3942"/>
      <c r="CP418" s="3972"/>
      <c r="CQ418" s="3967"/>
      <c r="CR418" s="3967"/>
      <c r="CS418" s="3967"/>
      <c r="CT418" s="3972"/>
    </row>
    <row r="419" spans="1:105" outlineLevel="1">
      <c r="A419" s="2065" t="s">
        <v>1984</v>
      </c>
      <c r="B419" s="3954"/>
      <c r="C419" s="3954"/>
      <c r="D419" s="3954"/>
      <c r="E419" s="3954"/>
      <c r="F419" s="3954"/>
      <c r="G419" s="3954"/>
      <c r="H419" s="3954"/>
      <c r="I419" s="3954"/>
      <c r="J419" s="3954"/>
      <c r="K419" s="3954"/>
      <c r="L419" s="3954"/>
      <c r="M419" s="3954"/>
      <c r="N419" s="3954"/>
      <c r="O419" s="3954"/>
      <c r="P419" s="3954"/>
      <c r="Q419" s="3954"/>
      <c r="R419" s="3954"/>
      <c r="S419" s="3954"/>
      <c r="T419" s="3954"/>
      <c r="U419" s="3954"/>
      <c r="V419" s="3954"/>
      <c r="W419" s="3954"/>
      <c r="X419" s="3954"/>
      <c r="Y419" s="3954"/>
      <c r="Z419" s="3954"/>
      <c r="AA419" s="3954"/>
      <c r="AB419" s="3954"/>
      <c r="AC419" s="3954"/>
      <c r="AD419" s="3954"/>
      <c r="AE419" s="3954"/>
      <c r="AF419" s="3954"/>
      <c r="AG419" s="2553"/>
      <c r="AH419" s="3921"/>
      <c r="AI419" s="3954"/>
      <c r="AJ419" s="3954"/>
      <c r="AK419" s="3954"/>
      <c r="AL419" s="3954"/>
      <c r="AM419" s="3954"/>
      <c r="AN419" s="3954"/>
      <c r="AO419" s="3954"/>
      <c r="AP419" s="3954"/>
      <c r="AQ419" s="3954"/>
      <c r="AR419" s="3954"/>
      <c r="AS419" s="3954"/>
      <c r="AT419" s="3954"/>
      <c r="AU419" s="3954"/>
      <c r="AV419" s="3954"/>
      <c r="AW419" s="3954"/>
      <c r="AX419" s="3954"/>
      <c r="AY419" s="3954"/>
      <c r="AZ419" s="3954"/>
      <c r="BA419" s="3954"/>
      <c r="BB419" s="3954"/>
      <c r="BC419" s="3956"/>
      <c r="BD419" s="3956"/>
      <c r="BE419" s="3956"/>
      <c r="BF419" s="3956"/>
      <c r="BG419" s="3956"/>
      <c r="BH419" s="3956"/>
      <c r="BI419" s="3956"/>
      <c r="BJ419" s="3956"/>
      <c r="BK419" s="3954"/>
      <c r="BL419" s="3954"/>
      <c r="BM419" s="3954"/>
      <c r="BN419" s="3954"/>
      <c r="BO419" s="3957"/>
      <c r="BP419" s="3954"/>
      <c r="BQ419" s="3954"/>
      <c r="BR419" s="3958"/>
      <c r="BS419" s="3957"/>
      <c r="BT419" s="3954"/>
      <c r="BU419" s="3954"/>
      <c r="BV419" s="3954"/>
      <c r="BW419" s="3957"/>
      <c r="BX419" s="3954"/>
      <c r="BY419" s="3954"/>
      <c r="BZ419" s="3958"/>
      <c r="CA419" s="3957"/>
      <c r="CB419" s="3954"/>
      <c r="CC419" s="3954"/>
      <c r="CD419" s="3958"/>
      <c r="CE419" s="3957"/>
      <c r="CF419" s="3954"/>
      <c r="CG419" s="3954"/>
      <c r="CH419" s="3958"/>
      <c r="CI419" s="3954"/>
      <c r="CJ419" s="3954"/>
      <c r="CK419" s="3954"/>
      <c r="CL419" s="3958"/>
      <c r="CM419" s="3954"/>
      <c r="CN419" s="3954"/>
      <c r="CO419" s="3954"/>
      <c r="CP419" s="3958"/>
      <c r="CQ419" s="3954"/>
      <c r="CR419" s="3954"/>
      <c r="CS419" s="3954"/>
      <c r="CT419" s="3958"/>
    </row>
    <row r="420" spans="1:105" outlineLevel="1">
      <c r="A420" s="4070" t="s">
        <v>728</v>
      </c>
      <c r="B420" s="3876"/>
      <c r="C420" s="3876"/>
      <c r="D420" s="3876"/>
      <c r="E420" s="3876"/>
      <c r="F420" s="3876"/>
      <c r="G420" s="3876"/>
      <c r="H420" s="3876"/>
      <c r="I420" s="3876"/>
      <c r="J420" s="3876"/>
      <c r="K420" s="3876"/>
      <c r="L420" s="3876"/>
      <c r="M420" s="3938"/>
      <c r="N420" s="3938"/>
      <c r="O420" s="3938"/>
      <c r="P420" s="3938"/>
      <c r="Q420" s="3938"/>
      <c r="R420" s="3938"/>
      <c r="S420" s="3938"/>
      <c r="T420" s="3938"/>
      <c r="U420" s="1899"/>
      <c r="V420" s="1899"/>
      <c r="W420" s="1899"/>
      <c r="X420" s="1899"/>
      <c r="Y420" s="1899"/>
      <c r="Z420" s="1899"/>
      <c r="AA420" s="1899"/>
      <c r="AB420" s="1899"/>
      <c r="AC420" s="1899"/>
      <c r="AD420" s="1899"/>
      <c r="AE420" s="1899"/>
      <c r="AF420" s="1899"/>
      <c r="AG420" s="2553"/>
      <c r="AH420" s="3921"/>
      <c r="AI420" s="3876"/>
      <c r="AJ420" s="3876"/>
      <c r="AK420" s="3876"/>
      <c r="AL420" s="3876"/>
      <c r="AM420" s="3876"/>
      <c r="AN420" s="3876"/>
      <c r="AO420" s="3876"/>
      <c r="AP420" s="3876"/>
      <c r="AQ420" s="3876"/>
      <c r="AR420" s="3876"/>
      <c r="AS420" s="3876"/>
      <c r="AT420" s="3876"/>
      <c r="AU420" s="3876"/>
      <c r="AV420" s="3876"/>
      <c r="AW420" s="3876"/>
      <c r="AX420" s="3876"/>
      <c r="AY420" s="3876"/>
      <c r="AZ420" s="3876"/>
      <c r="BA420" s="3876"/>
      <c r="BB420" s="3876"/>
      <c r="BC420" s="3876"/>
      <c r="BD420" s="3876"/>
      <c r="BE420" s="3876"/>
      <c r="BF420" s="3876"/>
      <c r="BG420" s="3942"/>
      <c r="BH420" s="3942"/>
      <c r="BI420" s="3942"/>
      <c r="BJ420" s="3942"/>
      <c r="BK420" s="3942"/>
      <c r="BL420" s="3942"/>
      <c r="BM420" s="3942"/>
      <c r="BN420" s="3942"/>
      <c r="BO420" s="3946"/>
      <c r="BP420" s="3942"/>
      <c r="BQ420" s="3942"/>
      <c r="BR420" s="3943"/>
      <c r="BS420" s="3946"/>
      <c r="BT420" s="3942"/>
      <c r="BU420" s="3942"/>
      <c r="BV420" s="3942"/>
      <c r="BW420" s="3946"/>
      <c r="BX420" s="3942"/>
      <c r="BY420" s="3942"/>
      <c r="BZ420" s="3972"/>
      <c r="CA420" s="3946"/>
      <c r="CB420" s="3942"/>
      <c r="CC420" s="3942"/>
      <c r="CD420" s="3972"/>
      <c r="CE420" s="3971"/>
      <c r="CF420" s="3942"/>
      <c r="CG420" s="3967"/>
      <c r="CH420" s="3972"/>
      <c r="CI420" s="3967"/>
      <c r="CJ420" s="3942"/>
      <c r="CK420" s="3942"/>
      <c r="CL420" s="3972"/>
      <c r="CM420" s="3967"/>
      <c r="CN420" s="3942"/>
      <c r="CO420" s="3942"/>
      <c r="CP420" s="3972"/>
      <c r="CQ420" s="3967"/>
      <c r="CR420" s="3967"/>
      <c r="CS420" s="3967"/>
      <c r="CT420" s="3972"/>
    </row>
    <row r="421" spans="1:105" outlineLevel="1">
      <c r="A421" s="1429" t="s">
        <v>2</v>
      </c>
      <c r="B421" s="948"/>
      <c r="C421" s="948"/>
      <c r="D421" s="948"/>
      <c r="E421" s="948"/>
      <c r="F421" s="948"/>
      <c r="G421" s="948"/>
      <c r="H421" s="948"/>
      <c r="I421" s="948"/>
      <c r="J421" s="948"/>
      <c r="K421" s="948"/>
      <c r="L421" s="948"/>
      <c r="M421" s="948">
        <f>SUM(BO421:BR421)</f>
        <v>0</v>
      </c>
      <c r="N421" s="3964">
        <f>+SUM(BS421:BV421)</f>
        <v>0</v>
      </c>
      <c r="O421" s="3964">
        <f>+SUM(BW421:BZ421)</f>
        <v>0</v>
      </c>
      <c r="P421" s="3964">
        <f>+SUM(CA421:CD421)</f>
        <v>0</v>
      </c>
      <c r="Q421" s="3964">
        <f t="shared" ref="Q421:S422" si="747">SUM(CE421:CH421)</f>
        <v>0</v>
      </c>
      <c r="R421" s="3964">
        <f t="shared" si="747"/>
        <v>0</v>
      </c>
      <c r="S421" s="3964">
        <f t="shared" si="747"/>
        <v>0</v>
      </c>
      <c r="T421" s="3964">
        <f>SUM(CH421:CK421)</f>
        <v>0</v>
      </c>
      <c r="U421" s="948"/>
      <c r="V421" s="948"/>
      <c r="W421" s="948"/>
      <c r="X421" s="948"/>
      <c r="Y421" s="948"/>
      <c r="Z421" s="948"/>
      <c r="AA421" s="948"/>
      <c r="AB421" s="948"/>
      <c r="AC421" s="948"/>
      <c r="AD421" s="948"/>
      <c r="AE421" s="948"/>
      <c r="AF421" s="948"/>
      <c r="AG421" s="2553"/>
      <c r="AH421" s="4071"/>
      <c r="AI421" s="948"/>
      <c r="AJ421" s="948"/>
      <c r="AK421" s="948"/>
      <c r="AL421" s="948"/>
      <c r="AM421" s="948"/>
      <c r="AN421" s="948"/>
      <c r="AO421" s="948"/>
      <c r="AP421" s="948"/>
      <c r="AQ421" s="948"/>
      <c r="AR421" s="948"/>
      <c r="AS421" s="948"/>
      <c r="AT421" s="948"/>
      <c r="AU421" s="948"/>
      <c r="AV421" s="948"/>
      <c r="AW421" s="948"/>
      <c r="AX421" s="948"/>
      <c r="AY421" s="948"/>
      <c r="AZ421" s="948"/>
      <c r="BA421" s="948"/>
      <c r="BB421" s="948"/>
      <c r="BC421" s="948"/>
      <c r="BD421" s="948"/>
      <c r="BE421" s="948"/>
      <c r="BF421" s="948"/>
      <c r="BG421" s="948"/>
      <c r="BH421" s="948"/>
      <c r="BI421" s="948"/>
      <c r="BJ421" s="948"/>
      <c r="BK421" s="948"/>
      <c r="BL421" s="948"/>
      <c r="BM421" s="948"/>
      <c r="BN421" s="948"/>
      <c r="BO421" s="2110"/>
      <c r="BP421" s="2093"/>
      <c r="BQ421" s="2093"/>
      <c r="BR421" s="2113"/>
      <c r="BS421" s="2110"/>
      <c r="BT421" s="2093"/>
      <c r="BU421" s="2093"/>
      <c r="BV421" s="2093"/>
      <c r="BW421" s="2110"/>
      <c r="BX421" s="2093"/>
      <c r="BY421" s="2093"/>
      <c r="BZ421" s="361"/>
      <c r="CA421" s="2110"/>
      <c r="CB421" s="2093"/>
      <c r="CC421" s="2093"/>
      <c r="CD421" s="361"/>
      <c r="CE421" s="938"/>
      <c r="CF421" s="2093"/>
      <c r="CG421" s="347"/>
      <c r="CH421" s="361"/>
      <c r="CI421" s="347"/>
      <c r="CJ421" s="2093"/>
      <c r="CK421" s="2093"/>
      <c r="CL421" s="361"/>
      <c r="CM421" s="347"/>
      <c r="CN421" s="2093"/>
      <c r="CO421" s="2093"/>
      <c r="CP421" s="361"/>
      <c r="CQ421" s="347"/>
      <c r="CR421" s="347"/>
      <c r="CS421" s="347"/>
      <c r="CT421" s="361"/>
    </row>
    <row r="422" spans="1:105" outlineLevel="1">
      <c r="A422" s="1429" t="s">
        <v>3</v>
      </c>
      <c r="B422" s="948"/>
      <c r="C422" s="948"/>
      <c r="D422" s="948"/>
      <c r="E422" s="948"/>
      <c r="F422" s="948"/>
      <c r="G422" s="948"/>
      <c r="H422" s="948"/>
      <c r="I422" s="948"/>
      <c r="J422" s="948"/>
      <c r="K422" s="948"/>
      <c r="L422" s="948"/>
      <c r="M422" s="1430">
        <f>SUM(BO422:BR422)</f>
        <v>0</v>
      </c>
      <c r="N422" s="3964">
        <f>+SUM(BS422:BV422)</f>
        <v>0</v>
      </c>
      <c r="O422" s="3964">
        <f>+SUM(BW422:BZ422)</f>
        <v>0</v>
      </c>
      <c r="P422" s="3964">
        <f>+SUM(CA422:CD422)</f>
        <v>0</v>
      </c>
      <c r="Q422" s="3964">
        <f t="shared" si="747"/>
        <v>0</v>
      </c>
      <c r="R422" s="3964">
        <f t="shared" si="747"/>
        <v>0</v>
      </c>
      <c r="S422" s="3964">
        <f t="shared" si="747"/>
        <v>0</v>
      </c>
      <c r="T422" s="3964">
        <f>SUM(CH422:CK422)</f>
        <v>0</v>
      </c>
      <c r="U422" s="948"/>
      <c r="V422" s="948"/>
      <c r="W422" s="948"/>
      <c r="X422" s="948"/>
      <c r="Y422" s="948"/>
      <c r="Z422" s="948"/>
      <c r="AA422" s="948"/>
      <c r="AB422" s="948"/>
      <c r="AC422" s="948"/>
      <c r="AD422" s="948"/>
      <c r="AE422" s="948"/>
      <c r="AF422" s="948"/>
      <c r="AG422" s="2553"/>
      <c r="AH422" s="4071"/>
      <c r="AI422" s="948"/>
      <c r="AJ422" s="948"/>
      <c r="AK422" s="948"/>
      <c r="AL422" s="948"/>
      <c r="AM422" s="948"/>
      <c r="AN422" s="948"/>
      <c r="AO422" s="948"/>
      <c r="AP422" s="948"/>
      <c r="AQ422" s="948"/>
      <c r="AR422" s="948"/>
      <c r="AS422" s="948"/>
      <c r="AT422" s="948"/>
      <c r="AU422" s="948"/>
      <c r="AV422" s="948"/>
      <c r="AW422" s="948"/>
      <c r="AX422" s="948"/>
      <c r="AY422" s="948"/>
      <c r="AZ422" s="948"/>
      <c r="BA422" s="948"/>
      <c r="BB422" s="948"/>
      <c r="BC422" s="948"/>
      <c r="BD422" s="948"/>
      <c r="BE422" s="948"/>
      <c r="BF422" s="948"/>
      <c r="BG422" s="948"/>
      <c r="BH422" s="948"/>
      <c r="BI422" s="948"/>
      <c r="BJ422" s="948"/>
      <c r="BK422" s="948"/>
      <c r="BL422" s="948"/>
      <c r="BM422" s="948"/>
      <c r="BN422" s="948"/>
      <c r="BO422" s="1448"/>
      <c r="BP422" s="1445"/>
      <c r="BQ422" s="1445"/>
      <c r="BR422" s="2114"/>
      <c r="BS422" s="1448"/>
      <c r="BT422" s="1445"/>
      <c r="BU422" s="1445"/>
      <c r="BV422" s="1445"/>
      <c r="BW422" s="1448"/>
      <c r="BX422" s="1445"/>
      <c r="BY422" s="1445"/>
      <c r="BZ422" s="1068"/>
      <c r="CA422" s="1448"/>
      <c r="CB422" s="1445"/>
      <c r="CC422" s="1445"/>
      <c r="CD422" s="1068"/>
      <c r="CE422" s="1066"/>
      <c r="CF422" s="1445"/>
      <c r="CG422" s="347"/>
      <c r="CH422" s="1068"/>
      <c r="CI422" s="1067"/>
      <c r="CJ422" s="1445"/>
      <c r="CK422" s="1445"/>
      <c r="CL422" s="1068"/>
      <c r="CM422" s="347"/>
      <c r="CN422" s="1445"/>
      <c r="CO422" s="1445"/>
      <c r="CP422" s="1068"/>
      <c r="CQ422" s="347"/>
      <c r="CR422" s="347"/>
      <c r="CS422" s="347"/>
      <c r="CT422" s="361"/>
    </row>
    <row r="423" spans="1:105" outlineLevel="1">
      <c r="A423" s="1429" t="s">
        <v>4</v>
      </c>
      <c r="B423" s="948"/>
      <c r="C423" s="948"/>
      <c r="D423" s="948"/>
      <c r="E423" s="948"/>
      <c r="F423" s="948"/>
      <c r="G423" s="948"/>
      <c r="H423" s="948"/>
      <c r="I423" s="948"/>
      <c r="J423" s="948"/>
      <c r="K423" s="948"/>
      <c r="L423" s="948"/>
      <c r="M423" s="4072">
        <f>+SUM(BO423:BR423)</f>
        <v>5873</v>
      </c>
      <c r="N423" s="4072">
        <f>+SUM(BS423:BV423)</f>
        <v>5804</v>
      </c>
      <c r="O423" s="4072">
        <f>+SUM(BW423:BZ423)</f>
        <v>5808</v>
      </c>
      <c r="P423" s="4072">
        <f>+SUM(CA423:CD423)</f>
        <v>6072</v>
      </c>
      <c r="Q423" s="4072">
        <f>+SUM(CE423:CH423)</f>
        <v>5503</v>
      </c>
      <c r="R423" s="4072">
        <f>SUM(CI423:CL423)</f>
        <v>5470</v>
      </c>
      <c r="S423" s="4072">
        <f>SUM(CM423:CP423)</f>
        <v>5199</v>
      </c>
      <c r="T423" s="4072">
        <f>SUM(CQ423:CT423)</f>
        <v>4731.09</v>
      </c>
      <c r="U423" s="4072">
        <f>T423*(1+U424)</f>
        <v>4778.4009000000005</v>
      </c>
      <c r="V423" s="4072">
        <f>U423*(1+V424)</f>
        <v>4826.1849090000005</v>
      </c>
      <c r="W423" s="4072">
        <f>V423*(1+W424)</f>
        <v>4874.4467580900009</v>
      </c>
      <c r="X423" s="4072">
        <f t="shared" ref="X423:AF423" si="748">W423*(1+X424)</f>
        <v>4923.1912256709011</v>
      </c>
      <c r="Y423" s="4072">
        <f t="shared" si="748"/>
        <v>4972.4231379276098</v>
      </c>
      <c r="Z423" s="4072">
        <f t="shared" si="748"/>
        <v>5022.1473693068856</v>
      </c>
      <c r="AA423" s="4072">
        <f t="shared" si="748"/>
        <v>5072.3688429999547</v>
      </c>
      <c r="AB423" s="4072">
        <f t="shared" si="748"/>
        <v>5123.0925314299548</v>
      </c>
      <c r="AC423" s="4072">
        <f t="shared" si="748"/>
        <v>5174.3234567442541</v>
      </c>
      <c r="AD423" s="4072">
        <f t="shared" si="748"/>
        <v>5226.0666913116966</v>
      </c>
      <c r="AE423" s="4072">
        <f t="shared" si="748"/>
        <v>5278.3273582248139</v>
      </c>
      <c r="AF423" s="4072">
        <f t="shared" si="748"/>
        <v>5331.1106318070624</v>
      </c>
      <c r="AG423" s="2553"/>
      <c r="AH423" s="4071"/>
      <c r="AI423" s="948"/>
      <c r="AJ423" s="948"/>
      <c r="AK423" s="948"/>
      <c r="AL423" s="948"/>
      <c r="AM423" s="948"/>
      <c r="AN423" s="948"/>
      <c r="AO423" s="948"/>
      <c r="AP423" s="948"/>
      <c r="AQ423" s="948"/>
      <c r="AR423" s="948"/>
      <c r="AS423" s="948"/>
      <c r="AT423" s="948"/>
      <c r="AU423" s="948"/>
      <c r="AV423" s="948"/>
      <c r="AW423" s="948"/>
      <c r="AX423" s="948"/>
      <c r="AY423" s="948"/>
      <c r="AZ423" s="948"/>
      <c r="BA423" s="948"/>
      <c r="BB423" s="948"/>
      <c r="BC423" s="948"/>
      <c r="BD423" s="948"/>
      <c r="BE423" s="948"/>
      <c r="BF423" s="948"/>
      <c r="BG423" s="948"/>
      <c r="BH423" s="948"/>
      <c r="BI423" s="948"/>
      <c r="BJ423" s="948"/>
      <c r="BK423" s="948"/>
      <c r="BL423" s="948"/>
      <c r="BM423" s="948"/>
      <c r="BN423" s="948"/>
      <c r="BO423" s="4073">
        <f t="shared" ref="BO423:BV423" si="749">911+BO438+BO449</f>
        <v>1452</v>
      </c>
      <c r="BP423" s="4072">
        <f t="shared" si="749"/>
        <v>1470</v>
      </c>
      <c r="BQ423" s="4072">
        <f t="shared" si="749"/>
        <v>1472</v>
      </c>
      <c r="BR423" s="4077">
        <f t="shared" si="749"/>
        <v>1479</v>
      </c>
      <c r="BS423" s="4073">
        <f t="shared" si="749"/>
        <v>1454</v>
      </c>
      <c r="BT423" s="4072">
        <f t="shared" si="749"/>
        <v>1449</v>
      </c>
      <c r="BU423" s="4072">
        <f t="shared" si="749"/>
        <v>1446</v>
      </c>
      <c r="BV423" s="4072">
        <f t="shared" si="749"/>
        <v>1455</v>
      </c>
      <c r="BW423" s="2615">
        <v>1368</v>
      </c>
      <c r="BX423" s="2616">
        <v>1455</v>
      </c>
      <c r="BY423" s="2616">
        <v>1472</v>
      </c>
      <c r="BZ423" s="2617">
        <v>1513</v>
      </c>
      <c r="CA423" s="2615">
        <v>1503</v>
      </c>
      <c r="CB423" s="2616">
        <v>1516</v>
      </c>
      <c r="CC423" s="2616">
        <v>1549</v>
      </c>
      <c r="CD423" s="4074">
        <v>1504</v>
      </c>
      <c r="CE423" s="4080">
        <v>1354</v>
      </c>
      <c r="CF423" s="4081">
        <v>1389</v>
      </c>
      <c r="CG423" s="4081">
        <v>1412</v>
      </c>
      <c r="CH423" s="4082">
        <v>1348</v>
      </c>
      <c r="CI423" s="4076">
        <v>1319</v>
      </c>
      <c r="CJ423" s="4076">
        <v>1372</v>
      </c>
      <c r="CK423" s="4076">
        <v>1425</v>
      </c>
      <c r="CL423" s="4074">
        <v>1354</v>
      </c>
      <c r="CM423" s="4076">
        <v>1330</v>
      </c>
      <c r="CN423" s="4076">
        <v>1285</v>
      </c>
      <c r="CO423" s="4076">
        <v>1292</v>
      </c>
      <c r="CP423" s="4074">
        <v>1292</v>
      </c>
      <c r="CQ423" s="4083">
        <f>CM423*(1+CQ424)</f>
        <v>1210.3</v>
      </c>
      <c r="CR423" s="4083">
        <f>CN423*(1+CR424)</f>
        <v>1169.3500000000001</v>
      </c>
      <c r="CS423" s="4083">
        <f>CO423*(1+CS424)</f>
        <v>1175.72</v>
      </c>
      <c r="CT423" s="4084">
        <f>CP423*(1+CT424)</f>
        <v>1175.72</v>
      </c>
    </row>
    <row r="424" spans="1:105" outlineLevel="1">
      <c r="A424" s="4070" t="s">
        <v>1247</v>
      </c>
      <c r="B424" s="3876"/>
      <c r="C424" s="3876"/>
      <c r="D424" s="3876"/>
      <c r="E424" s="3876"/>
      <c r="F424" s="3876"/>
      <c r="G424" s="3876"/>
      <c r="H424" s="3876"/>
      <c r="I424" s="3876"/>
      <c r="J424" s="3876"/>
      <c r="K424" s="3876"/>
      <c r="L424" s="948"/>
      <c r="M424" s="948"/>
      <c r="N424" s="4078">
        <f t="shared" ref="N424:S424" si="750">N423/M423-1</f>
        <v>-1.1748680401838962E-2</v>
      </c>
      <c r="O424" s="4078">
        <f t="shared" si="750"/>
        <v>6.8917987594763197E-4</v>
      </c>
      <c r="P424" s="4078">
        <f t="shared" si="750"/>
        <v>4.5454545454545414E-2</v>
      </c>
      <c r="Q424" s="4078">
        <f t="shared" si="750"/>
        <v>-9.3708827404479611E-2</v>
      </c>
      <c r="R424" s="4078">
        <f t="shared" si="750"/>
        <v>-5.9967290568780918E-3</v>
      </c>
      <c r="S424" s="4078">
        <f t="shared" si="750"/>
        <v>-4.9542961608775138E-2</v>
      </c>
      <c r="T424" s="4078">
        <f>T423/S423-1</f>
        <v>-8.9999999999999969E-2</v>
      </c>
      <c r="U424" s="2619">
        <v>0.01</v>
      </c>
      <c r="V424" s="2619">
        <v>0.01</v>
      </c>
      <c r="W424" s="2619">
        <v>0.01</v>
      </c>
      <c r="X424" s="2619">
        <v>0.01</v>
      </c>
      <c r="Y424" s="2619">
        <v>0.01</v>
      </c>
      <c r="Z424" s="2619">
        <v>0.01</v>
      </c>
      <c r="AA424" s="2619">
        <v>0.01</v>
      </c>
      <c r="AB424" s="2619">
        <v>0.01</v>
      </c>
      <c r="AC424" s="2619">
        <v>0.01</v>
      </c>
      <c r="AD424" s="2619">
        <v>0.01</v>
      </c>
      <c r="AE424" s="2619">
        <v>0.01</v>
      </c>
      <c r="AF424" s="2619">
        <v>0.01</v>
      </c>
      <c r="AG424" s="2553"/>
      <c r="AH424" s="4071"/>
      <c r="AI424" s="948"/>
      <c r="AJ424" s="948"/>
      <c r="AK424" s="948"/>
      <c r="AL424" s="948"/>
      <c r="AM424" s="948"/>
      <c r="AN424" s="948"/>
      <c r="AO424" s="948"/>
      <c r="AP424" s="948"/>
      <c r="AQ424" s="948"/>
      <c r="AR424" s="948"/>
      <c r="AS424" s="948"/>
      <c r="AT424" s="948"/>
      <c r="AU424" s="948"/>
      <c r="AV424" s="948"/>
      <c r="AW424" s="948"/>
      <c r="AX424" s="948"/>
      <c r="AY424" s="948"/>
      <c r="AZ424" s="948"/>
      <c r="BA424" s="948"/>
      <c r="BB424" s="948"/>
      <c r="BC424" s="948"/>
      <c r="BD424" s="948"/>
      <c r="BE424" s="948"/>
      <c r="BF424" s="948"/>
      <c r="BG424" s="948"/>
      <c r="BH424" s="948"/>
      <c r="BI424" s="948"/>
      <c r="BJ424" s="948"/>
      <c r="BK424" s="948"/>
      <c r="BL424" s="948"/>
      <c r="BM424" s="948"/>
      <c r="BN424" s="948"/>
      <c r="BO424" s="1429"/>
      <c r="BP424" s="948"/>
      <c r="BQ424" s="948"/>
      <c r="BR424" s="948"/>
      <c r="BS424" s="1429"/>
      <c r="BT424" s="948"/>
      <c r="BU424" s="948"/>
      <c r="BV424" s="948"/>
      <c r="BW424" s="3975">
        <f t="shared" ref="BW424:CD424" si="751">BW423/BS423-1</f>
        <v>-5.9147180192572257E-2</v>
      </c>
      <c r="BX424" s="3966">
        <f t="shared" si="751"/>
        <v>4.1407867494824835E-3</v>
      </c>
      <c r="BY424" s="3966">
        <f t="shared" si="751"/>
        <v>1.7980636237897585E-2</v>
      </c>
      <c r="BZ424" s="3973">
        <f t="shared" si="751"/>
        <v>3.9862542955326541E-2</v>
      </c>
      <c r="CA424" s="3975">
        <f t="shared" si="751"/>
        <v>9.8684210526315708E-2</v>
      </c>
      <c r="CB424" s="3966">
        <f t="shared" si="751"/>
        <v>4.1924398625429626E-2</v>
      </c>
      <c r="CC424" s="3966">
        <f t="shared" si="751"/>
        <v>5.2309782608695565E-2</v>
      </c>
      <c r="CD424" s="3973">
        <f t="shared" si="751"/>
        <v>-5.94844679444817E-3</v>
      </c>
      <c r="CE424" s="3975"/>
      <c r="CF424" s="3966"/>
      <c r="CG424" s="3966"/>
      <c r="CH424" s="3973"/>
      <c r="CI424" s="3966">
        <f t="shared" ref="CI424:CN424" si="752">CI423/CE423-1</f>
        <v>-2.5849335302806531E-2</v>
      </c>
      <c r="CJ424" s="3966">
        <f t="shared" si="752"/>
        <v>-1.2239020878329732E-2</v>
      </c>
      <c r="CK424" s="3966">
        <f t="shared" si="752"/>
        <v>9.2067988668556033E-3</v>
      </c>
      <c r="CL424" s="3973">
        <f t="shared" si="752"/>
        <v>4.451038575667754E-3</v>
      </c>
      <c r="CM424" s="3966">
        <f t="shared" si="752"/>
        <v>8.3396512509477105E-3</v>
      </c>
      <c r="CN424" s="3966">
        <f t="shared" si="752"/>
        <v>-6.3411078717201197E-2</v>
      </c>
      <c r="CO424" s="3966">
        <f>CO423/CK423-1</f>
        <v>-9.3333333333333379E-2</v>
      </c>
      <c r="CP424" s="3973">
        <f t="shared" ref="CP424" si="753">CP423/CL423-1</f>
        <v>-4.5790251107828639E-2</v>
      </c>
      <c r="CQ424" s="2619">
        <v>-0.09</v>
      </c>
      <c r="CR424" s="2619">
        <v>-0.09</v>
      </c>
      <c r="CS424" s="2619">
        <v>-0.09</v>
      </c>
      <c r="CT424" s="2620">
        <v>-0.09</v>
      </c>
    </row>
    <row r="425" spans="1:105" s="285" customFormat="1" outlineLevel="1">
      <c r="A425" s="2107" t="s">
        <v>5</v>
      </c>
      <c r="B425" s="115"/>
      <c r="C425" s="115"/>
      <c r="D425" s="115"/>
      <c r="E425" s="115"/>
      <c r="F425" s="115"/>
      <c r="G425" s="115"/>
      <c r="H425" s="115"/>
      <c r="I425" s="115"/>
      <c r="J425" s="115"/>
      <c r="K425" s="115"/>
      <c r="L425" s="115"/>
      <c r="M425" s="916">
        <f>M252-M423</f>
        <v>5547</v>
      </c>
      <c r="N425" s="916">
        <f>N252-N423</f>
        <v>5353</v>
      </c>
      <c r="O425" s="916">
        <f>O252-O423</f>
        <v>5283</v>
      </c>
      <c r="P425" s="916">
        <f>P252-P423</f>
        <v>4958</v>
      </c>
      <c r="Q425" s="916">
        <f t="shared" ref="Q425:AF425" si="754">Q191-Q423</f>
        <v>4453</v>
      </c>
      <c r="R425" s="916">
        <f t="shared" si="754"/>
        <v>4237</v>
      </c>
      <c r="S425" s="916">
        <f t="shared" si="754"/>
        <v>3654</v>
      </c>
      <c r="T425" s="916">
        <f t="shared" si="754"/>
        <v>3735.74</v>
      </c>
      <c r="U425" s="916">
        <f t="shared" si="754"/>
        <v>3444.4503499999992</v>
      </c>
      <c r="V425" s="916">
        <f t="shared" si="754"/>
        <v>3193.7189383999985</v>
      </c>
      <c r="W425" s="916">
        <f t="shared" si="754"/>
        <v>2979.4701129096975</v>
      </c>
      <c r="X425" s="916">
        <f t="shared" si="754"/>
        <v>2798.1573173116785</v>
      </c>
      <c r="Y425" s="916">
        <f t="shared" si="754"/>
        <v>2646.6945922263722</v>
      </c>
      <c r="Z425" s="916">
        <f t="shared" si="754"/>
        <v>2522.3973462960439</v>
      </c>
      <c r="AA425" s="916">
        <f t="shared" si="754"/>
        <v>2422.9311262989713</v>
      </c>
      <c r="AB425" s="916">
        <f t="shared" si="754"/>
        <v>2346.2672911272293</v>
      </c>
      <c r="AC425" s="916">
        <f t="shared" si="754"/>
        <v>2290.6446463346783</v>
      </c>
      <c r="AD425" s="916">
        <f t="shared" si="754"/>
        <v>2254.5362265492586</v>
      </c>
      <c r="AE425" s="916">
        <f t="shared" si="754"/>
        <v>2236.6205254197421</v>
      </c>
      <c r="AF425" s="916">
        <f t="shared" si="754"/>
        <v>2235.7565694863724</v>
      </c>
      <c r="AG425" s="2553"/>
      <c r="AH425" s="2769"/>
      <c r="AI425" s="916"/>
      <c r="AJ425" s="916"/>
      <c r="AK425" s="916"/>
      <c r="AL425" s="916"/>
      <c r="AM425" s="916"/>
      <c r="AN425" s="916"/>
      <c r="AO425" s="916"/>
      <c r="AP425" s="916"/>
      <c r="AQ425" s="916"/>
      <c r="AR425" s="916"/>
      <c r="AS425" s="916"/>
      <c r="AT425" s="916"/>
      <c r="AU425" s="916"/>
      <c r="AV425" s="916"/>
      <c r="AW425" s="916"/>
      <c r="AX425" s="916"/>
      <c r="AY425" s="916"/>
      <c r="AZ425" s="916"/>
      <c r="BA425" s="916"/>
      <c r="BB425" s="916"/>
      <c r="BC425" s="916"/>
      <c r="BD425" s="916"/>
      <c r="BE425" s="916"/>
      <c r="BF425" s="916"/>
      <c r="BG425" s="916"/>
      <c r="BH425" s="916"/>
      <c r="BI425" s="916"/>
      <c r="BJ425" s="916"/>
      <c r="BK425" s="916"/>
      <c r="BL425" s="916"/>
      <c r="BM425" s="916"/>
      <c r="BN425" s="916"/>
      <c r="BO425" s="154">
        <f t="shared" ref="BO425:CD425" si="755">BO252-BO423</f>
        <v>1443</v>
      </c>
      <c r="BP425" s="916">
        <f t="shared" si="755"/>
        <v>1402</v>
      </c>
      <c r="BQ425" s="916">
        <f t="shared" si="755"/>
        <v>1361</v>
      </c>
      <c r="BR425" s="1075">
        <f t="shared" si="755"/>
        <v>1341</v>
      </c>
      <c r="BS425" s="154">
        <f t="shared" si="755"/>
        <v>1326</v>
      </c>
      <c r="BT425" s="916">
        <f t="shared" si="755"/>
        <v>1357</v>
      </c>
      <c r="BU425" s="916">
        <f t="shared" si="755"/>
        <v>1332</v>
      </c>
      <c r="BV425" s="916">
        <f t="shared" si="755"/>
        <v>1338</v>
      </c>
      <c r="BW425" s="154">
        <f t="shared" si="755"/>
        <v>1377</v>
      </c>
      <c r="BX425" s="916">
        <f t="shared" si="755"/>
        <v>1327</v>
      </c>
      <c r="BY425" s="916">
        <f t="shared" si="755"/>
        <v>1292</v>
      </c>
      <c r="BZ425" s="223">
        <f t="shared" si="755"/>
        <v>1287</v>
      </c>
      <c r="CA425" s="154">
        <f t="shared" si="755"/>
        <v>1272</v>
      </c>
      <c r="CB425" s="916">
        <f t="shared" si="755"/>
        <v>1271</v>
      </c>
      <c r="CC425" s="916">
        <f t="shared" si="755"/>
        <v>1223</v>
      </c>
      <c r="CD425" s="223">
        <f t="shared" si="755"/>
        <v>1192</v>
      </c>
      <c r="CE425" s="940">
        <f t="shared" ref="CE425:CT425" si="756">CE191-CE423</f>
        <v>1171</v>
      </c>
      <c r="CF425" s="916">
        <f t="shared" si="756"/>
        <v>1095</v>
      </c>
      <c r="CG425" s="271">
        <f t="shared" si="756"/>
        <v>1054</v>
      </c>
      <c r="CH425" s="223">
        <f t="shared" si="756"/>
        <v>1133</v>
      </c>
      <c r="CI425" s="271">
        <f t="shared" si="756"/>
        <v>1123</v>
      </c>
      <c r="CJ425" s="916">
        <f t="shared" si="756"/>
        <v>1063</v>
      </c>
      <c r="CK425" s="916">
        <f t="shared" si="756"/>
        <v>1019</v>
      </c>
      <c r="CL425" s="223">
        <f t="shared" si="756"/>
        <v>1032</v>
      </c>
      <c r="CM425" s="271">
        <f t="shared" si="756"/>
        <v>1026</v>
      </c>
      <c r="CN425" s="916">
        <f t="shared" si="756"/>
        <v>930</v>
      </c>
      <c r="CO425" s="916">
        <f t="shared" si="756"/>
        <v>879</v>
      </c>
      <c r="CP425" s="223">
        <f t="shared" ref="CP425" si="757">CP191-CP423</f>
        <v>819</v>
      </c>
      <c r="CQ425" s="271">
        <f t="shared" si="756"/>
        <v>948.46000000000026</v>
      </c>
      <c r="CR425" s="271">
        <f t="shared" si="756"/>
        <v>948.46999999999957</v>
      </c>
      <c r="CS425" s="271">
        <f t="shared" si="756"/>
        <v>936.16999999999985</v>
      </c>
      <c r="CT425" s="223">
        <f t="shared" si="756"/>
        <v>902.6400000000001</v>
      </c>
      <c r="CU425" s="68"/>
      <c r="CV425" s="68"/>
      <c r="CW425" s="68"/>
      <c r="CX425" s="68"/>
      <c r="CY425" s="68"/>
      <c r="CZ425" s="68"/>
      <c r="DA425" s="68"/>
    </row>
    <row r="426" spans="1:105" outlineLevel="1">
      <c r="A426" s="3965" t="s">
        <v>34</v>
      </c>
      <c r="B426" s="3876"/>
      <c r="C426" s="3876"/>
      <c r="D426" s="3876"/>
      <c r="E426" s="3876"/>
      <c r="F426" s="3876"/>
      <c r="G426" s="3876"/>
      <c r="H426" s="3876"/>
      <c r="I426" s="3876"/>
      <c r="J426" s="3876"/>
      <c r="K426" s="3876"/>
      <c r="L426" s="3876"/>
      <c r="N426" s="1056">
        <f t="shared" ref="N426:S426" si="758">N425/M425-1</f>
        <v>-3.4973859744005797E-2</v>
      </c>
      <c r="O426" s="1056">
        <f t="shared" si="758"/>
        <v>-1.3076779376050784E-2</v>
      </c>
      <c r="P426" s="1056">
        <f t="shared" si="758"/>
        <v>-6.1518076850274439E-2</v>
      </c>
      <c r="Q426" s="1056">
        <f t="shared" si="758"/>
        <v>-0.10185558693021379</v>
      </c>
      <c r="R426" s="1056">
        <f t="shared" si="758"/>
        <v>-4.8506624747361338E-2</v>
      </c>
      <c r="S426" s="1056">
        <f t="shared" si="758"/>
        <v>-0.13759735662025019</v>
      </c>
      <c r="T426" s="1056">
        <f t="shared" ref="T426:AF426" si="759">T425/S425-1</f>
        <v>2.2370005473453691E-2</v>
      </c>
      <c r="U426" s="1056">
        <f t="shared" si="759"/>
        <v>-7.7973748173052915E-2</v>
      </c>
      <c r="V426" s="1056">
        <f t="shared" si="759"/>
        <v>-7.2792865659974115E-2</v>
      </c>
      <c r="W426" s="1056">
        <f t="shared" si="759"/>
        <v>-6.7084433421569667E-2</v>
      </c>
      <c r="X426" s="1056">
        <f t="shared" si="759"/>
        <v>-6.085404072771583E-2</v>
      </c>
      <c r="Y426" s="1056">
        <f t="shared" si="759"/>
        <v>-5.4129453032620622E-2</v>
      </c>
      <c r="Z426" s="1056">
        <f t="shared" si="759"/>
        <v>-4.6963199416888757E-2</v>
      </c>
      <c r="AA426" s="1056">
        <f t="shared" si="759"/>
        <v>-3.943320830999586E-2</v>
      </c>
      <c r="AB426" s="1056">
        <f t="shared" si="759"/>
        <v>-3.1640946925654445E-2</v>
      </c>
      <c r="AC426" s="1056">
        <f t="shared" si="759"/>
        <v>-2.370686622231688E-2</v>
      </c>
      <c r="AD426" s="1056">
        <f t="shared" si="759"/>
        <v>-1.5763431417962548E-2</v>
      </c>
      <c r="AE426" s="1056">
        <f t="shared" si="759"/>
        <v>-7.9465128652813632E-3</v>
      </c>
      <c r="AF426" s="1056">
        <f t="shared" si="759"/>
        <v>-3.8627738749175133E-4</v>
      </c>
      <c r="AG426" s="2553"/>
      <c r="AH426" s="4079"/>
      <c r="AI426" s="3942"/>
      <c r="AJ426" s="3942"/>
      <c r="AK426" s="3942"/>
      <c r="AL426" s="3942"/>
      <c r="AM426" s="3942"/>
      <c r="AN426" s="3942"/>
      <c r="AO426" s="3942"/>
      <c r="AP426" s="3942"/>
      <c r="AQ426" s="3942"/>
      <c r="AR426" s="3942"/>
      <c r="AS426" s="3942"/>
      <c r="AT426" s="3942"/>
      <c r="AU426" s="3942"/>
      <c r="AV426" s="3942"/>
      <c r="AW426" s="3942"/>
      <c r="AX426" s="3942"/>
      <c r="AY426" s="3942"/>
      <c r="AZ426" s="3942"/>
      <c r="BA426" s="3942"/>
      <c r="BB426" s="3942"/>
      <c r="BC426" s="3942"/>
      <c r="BD426" s="3942"/>
      <c r="BE426" s="3942"/>
      <c r="BF426" s="3942"/>
      <c r="BG426" s="3942"/>
      <c r="BH426" s="3942"/>
      <c r="BI426" s="3942"/>
      <c r="BJ426" s="3942"/>
      <c r="BK426" s="3942"/>
      <c r="BL426" s="3942"/>
      <c r="BM426" s="3942"/>
      <c r="BN426" s="3942"/>
      <c r="BO426" s="1058"/>
      <c r="BP426" s="1056"/>
      <c r="BQ426" s="1056"/>
      <c r="BR426" s="1057"/>
      <c r="BS426" s="1058">
        <f t="shared" ref="BS426:CC426" si="760">BS425/BO425-1</f>
        <v>-8.108108108108103E-2</v>
      </c>
      <c r="BT426" s="1056">
        <f t="shared" si="760"/>
        <v>-3.2097004279600605E-2</v>
      </c>
      <c r="BU426" s="1056">
        <f t="shared" si="760"/>
        <v>-2.1307861866274758E-2</v>
      </c>
      <c r="BV426" s="1056">
        <f t="shared" si="760"/>
        <v>-2.2371364653244186E-3</v>
      </c>
      <c r="BW426" s="1058">
        <f t="shared" si="760"/>
        <v>3.8461538461538547E-2</v>
      </c>
      <c r="BX426" s="1056">
        <f t="shared" si="760"/>
        <v>-2.2107590272660294E-2</v>
      </c>
      <c r="BY426" s="1056">
        <f t="shared" si="760"/>
        <v>-3.0030030030030019E-2</v>
      </c>
      <c r="BZ426" s="989">
        <f t="shared" si="760"/>
        <v>-3.811659192825112E-2</v>
      </c>
      <c r="CA426" s="1058">
        <f t="shared" si="760"/>
        <v>-7.6252723311546866E-2</v>
      </c>
      <c r="CB426" s="1056">
        <f t="shared" si="760"/>
        <v>-4.2200452147701628E-2</v>
      </c>
      <c r="CC426" s="1056">
        <f t="shared" si="760"/>
        <v>-5.3405572755417907E-2</v>
      </c>
      <c r="CD426" s="989">
        <f>CD425/BZ425-1</f>
        <v>-7.3815073815073795E-2</v>
      </c>
      <c r="CE426" s="990">
        <f>CE425/CA425-1</f>
        <v>-7.9402515723270395E-2</v>
      </c>
      <c r="CF426" s="1056">
        <f>CF425/CB425-1</f>
        <v>-0.1384736428009441</v>
      </c>
      <c r="CG426" s="988">
        <f>CG425/CC425-1</f>
        <v>-0.13818479149632057</v>
      </c>
      <c r="CH426" s="989">
        <f t="shared" ref="CH426:CM426" si="761">CH425/CD425-1</f>
        <v>-4.9496644295301984E-2</v>
      </c>
      <c r="CI426" s="988">
        <f t="shared" si="761"/>
        <v>-4.0990606319385114E-2</v>
      </c>
      <c r="CJ426" s="1056">
        <f t="shared" si="761"/>
        <v>-2.9223744292237397E-2</v>
      </c>
      <c r="CK426" s="1056">
        <f t="shared" si="761"/>
        <v>-3.3206831119544589E-2</v>
      </c>
      <c r="CL426" s="989">
        <f t="shared" si="761"/>
        <v>-8.914386584289502E-2</v>
      </c>
      <c r="CM426" s="988">
        <f t="shared" si="761"/>
        <v>-8.6375779162956356E-2</v>
      </c>
      <c r="CN426" s="1056">
        <f>CN425/CJ425-1</f>
        <v>-0.1251175917215428</v>
      </c>
      <c r="CO426" s="1056">
        <f>CO425/CK425-1</f>
        <v>-0.13738959764474978</v>
      </c>
      <c r="CP426" s="989">
        <f t="shared" ref="CP426" si="762">CP425/CL425-1</f>
        <v>-0.20639534883720934</v>
      </c>
      <c r="CQ426" s="988">
        <f>CQ425/CM425-1</f>
        <v>-7.5575048732943184E-2</v>
      </c>
      <c r="CR426" s="988">
        <f>CR425/CN425-1</f>
        <v>1.9860215053763008E-2</v>
      </c>
      <c r="CS426" s="988">
        <f>CS425/CO425-1</f>
        <v>6.5039817974971381E-2</v>
      </c>
      <c r="CT426" s="989">
        <f>CT425/CP425-1</f>
        <v>0.10212454212454225</v>
      </c>
    </row>
    <row r="427" spans="1:105" outlineLevel="1">
      <c r="A427" s="3965" t="s">
        <v>947</v>
      </c>
      <c r="B427" s="3876"/>
      <c r="C427" s="3876"/>
      <c r="D427" s="3876"/>
      <c r="E427" s="3876"/>
      <c r="F427" s="3876"/>
      <c r="G427" s="3876"/>
      <c r="H427" s="3876"/>
      <c r="I427" s="3876"/>
      <c r="J427" s="3876"/>
      <c r="K427" s="3876"/>
      <c r="L427" s="3876"/>
      <c r="M427" s="3938"/>
      <c r="N427" s="3938"/>
      <c r="O427" s="3938"/>
      <c r="P427" s="3938"/>
      <c r="Q427" s="3938"/>
      <c r="R427" s="3938"/>
      <c r="S427" s="3938"/>
      <c r="T427" s="3938"/>
      <c r="U427" s="1899"/>
      <c r="V427" s="1899"/>
      <c r="W427" s="1899"/>
      <c r="X427" s="1899"/>
      <c r="Y427" s="1899"/>
      <c r="Z427" s="1899"/>
      <c r="AA427" s="1899"/>
      <c r="AB427" s="1899"/>
      <c r="AC427" s="1899"/>
      <c r="AD427" s="1899"/>
      <c r="AE427" s="1899"/>
      <c r="AF427" s="1899"/>
      <c r="AG427" s="2553"/>
      <c r="AH427" s="3921"/>
      <c r="AI427" s="3876"/>
      <c r="AJ427" s="3876"/>
      <c r="AK427" s="3876"/>
      <c r="AL427" s="3876"/>
      <c r="AM427" s="3876"/>
      <c r="AN427" s="3876"/>
      <c r="AO427" s="3876"/>
      <c r="AP427" s="3876"/>
      <c r="AQ427" s="3876"/>
      <c r="AR427" s="3876"/>
      <c r="AS427" s="3876"/>
      <c r="AT427" s="3876"/>
      <c r="AU427" s="3876"/>
      <c r="AV427" s="3876"/>
      <c r="AW427" s="3876"/>
      <c r="AX427" s="3876"/>
      <c r="AY427" s="3876"/>
      <c r="AZ427" s="3876"/>
      <c r="BA427" s="3876"/>
      <c r="BB427" s="3876"/>
      <c r="BC427" s="3876"/>
      <c r="BD427" s="3876"/>
      <c r="BE427" s="3876"/>
      <c r="BF427" s="3876"/>
      <c r="BG427" s="3942"/>
      <c r="BH427" s="3942"/>
      <c r="BI427" s="3942"/>
      <c r="BJ427" s="3942"/>
      <c r="BK427" s="3942"/>
      <c r="BL427" s="3942"/>
      <c r="BM427" s="3942"/>
      <c r="BN427" s="3942"/>
      <c r="BO427" s="3946"/>
      <c r="BP427" s="3942">
        <f t="shared" ref="BP427:CC427" si="763">BP425/BO425-1</f>
        <v>-2.8413028413028396E-2</v>
      </c>
      <c r="BQ427" s="3942">
        <f t="shared" si="763"/>
        <v>-2.9243937232524941E-2</v>
      </c>
      <c r="BR427" s="3943">
        <f t="shared" si="763"/>
        <v>-1.4695077149155078E-2</v>
      </c>
      <c r="BS427" s="3946">
        <f t="shared" si="763"/>
        <v>-1.1185682326621871E-2</v>
      </c>
      <c r="BT427" s="3942">
        <f t="shared" si="763"/>
        <v>2.3378582202111531E-2</v>
      </c>
      <c r="BU427" s="3942">
        <f t="shared" si="763"/>
        <v>-1.8422991893883522E-2</v>
      </c>
      <c r="BV427" s="3942">
        <f t="shared" si="763"/>
        <v>4.5045045045044585E-3</v>
      </c>
      <c r="BW427" s="3946">
        <f t="shared" si="763"/>
        <v>2.9147982062780242E-2</v>
      </c>
      <c r="BX427" s="3942">
        <f t="shared" si="763"/>
        <v>-3.6310820624546158E-2</v>
      </c>
      <c r="BY427" s="3942">
        <f t="shared" si="763"/>
        <v>-2.6375282592313476E-2</v>
      </c>
      <c r="BZ427" s="3972">
        <f t="shared" si="763"/>
        <v>-3.8699690402477227E-3</v>
      </c>
      <c r="CA427" s="3946">
        <f t="shared" si="763"/>
        <v>-1.1655011655011704E-2</v>
      </c>
      <c r="CB427" s="3942">
        <f t="shared" si="763"/>
        <v>-7.8616352201255069E-4</v>
      </c>
      <c r="CC427" s="3942">
        <f t="shared" si="763"/>
        <v>-3.7765538945711996E-2</v>
      </c>
      <c r="CD427" s="3972">
        <f>CD425/CC425-1</f>
        <v>-2.5347506132461173E-2</v>
      </c>
      <c r="CE427" s="3971">
        <f>CE425/CD425-1</f>
        <v>-1.7617449664429574E-2</v>
      </c>
      <c r="CF427" s="3942">
        <f>CF425/CE425-1</f>
        <v>-6.4901793339026459E-2</v>
      </c>
      <c r="CG427" s="3967">
        <f>CG425/CF425-1</f>
        <v>-3.7442922374429255E-2</v>
      </c>
      <c r="CH427" s="3972">
        <f t="shared" ref="CH427:CM427" si="764">CH425/CG425-1</f>
        <v>7.4952561669829221E-2</v>
      </c>
      <c r="CI427" s="3967">
        <f t="shared" si="764"/>
        <v>-8.8261253309797061E-3</v>
      </c>
      <c r="CJ427" s="3942">
        <f t="shared" si="764"/>
        <v>-5.3428317008014203E-2</v>
      </c>
      <c r="CK427" s="3942">
        <f t="shared" si="764"/>
        <v>-4.1392285983066768E-2</v>
      </c>
      <c r="CL427" s="3972">
        <f t="shared" si="764"/>
        <v>1.2757605495583801E-2</v>
      </c>
      <c r="CM427" s="3967">
        <f t="shared" si="764"/>
        <v>-5.8139534883721034E-3</v>
      </c>
      <c r="CN427" s="3942">
        <f>CN425/CM425-1</f>
        <v>-9.3567251461988299E-2</v>
      </c>
      <c r="CO427" s="3942">
        <f>CO425/CN425-1</f>
        <v>-5.4838709677419328E-2</v>
      </c>
      <c r="CP427" s="3972">
        <f t="shared" ref="CP427" si="765">CP425/CO425-1</f>
        <v>-6.8259385665529027E-2</v>
      </c>
      <c r="CQ427" s="3967">
        <f>CQ425/CP425-1</f>
        <v>0.15807081807081835</v>
      </c>
      <c r="CR427" s="3967">
        <f>CR425/CQ425-1</f>
        <v>1.0543407206853317E-5</v>
      </c>
      <c r="CS427" s="3967">
        <f>CS425/CR425-1</f>
        <v>-1.2968254135607538E-2</v>
      </c>
      <c r="CT427" s="3972">
        <f>CT425/CS425-1</f>
        <v>-3.581614450366899E-2</v>
      </c>
    </row>
    <row r="428" spans="1:105" outlineLevel="1">
      <c r="A428" s="3965"/>
      <c r="B428" s="3876"/>
      <c r="C428" s="3876"/>
      <c r="D428" s="3876"/>
      <c r="E428" s="3876"/>
      <c r="F428" s="3876"/>
      <c r="G428" s="3876"/>
      <c r="H428" s="3876"/>
      <c r="I428" s="3876"/>
      <c r="J428" s="3876"/>
      <c r="K428" s="3876"/>
      <c r="L428" s="3876"/>
      <c r="M428" s="3938"/>
      <c r="N428" s="3938"/>
      <c r="O428" s="3938"/>
      <c r="P428" s="3938"/>
      <c r="Q428" s="3938"/>
      <c r="R428" s="3938"/>
      <c r="S428" s="3938"/>
      <c r="T428" s="3938"/>
      <c r="U428" s="1899"/>
      <c r="V428" s="1899"/>
      <c r="W428" s="1899"/>
      <c r="X428" s="1899"/>
      <c r="Y428" s="1899"/>
      <c r="Z428" s="1899"/>
      <c r="AA428" s="1899"/>
      <c r="AB428" s="1899"/>
      <c r="AC428" s="1899"/>
      <c r="AD428" s="1899"/>
      <c r="AE428" s="1899"/>
      <c r="AF428" s="1899"/>
      <c r="AG428" s="2553"/>
      <c r="AH428" s="3921"/>
      <c r="AI428" s="3876"/>
      <c r="AJ428" s="3876"/>
      <c r="AK428" s="3876"/>
      <c r="AL428" s="3876"/>
      <c r="AM428" s="3876"/>
      <c r="AN428" s="3876"/>
      <c r="AO428" s="3876"/>
      <c r="AP428" s="3876"/>
      <c r="AQ428" s="3876"/>
      <c r="AR428" s="3876"/>
      <c r="AS428" s="3876"/>
      <c r="AT428" s="3876"/>
      <c r="AU428" s="3876"/>
      <c r="AV428" s="3876"/>
      <c r="AW428" s="3876"/>
      <c r="AX428" s="3876"/>
      <c r="AY428" s="3876"/>
      <c r="AZ428" s="3876"/>
      <c r="BA428" s="3876"/>
      <c r="BB428" s="3876"/>
      <c r="BC428" s="3876"/>
      <c r="BD428" s="3876"/>
      <c r="BE428" s="3876"/>
      <c r="BF428" s="3876"/>
      <c r="BG428" s="3942"/>
      <c r="BH428" s="3942"/>
      <c r="BI428" s="3942"/>
      <c r="BJ428" s="3942"/>
      <c r="BK428" s="3942"/>
      <c r="BL428" s="3942"/>
      <c r="BM428" s="3942"/>
      <c r="BN428" s="3942"/>
      <c r="BO428" s="3946"/>
      <c r="BP428" s="3942"/>
      <c r="BQ428" s="3942"/>
      <c r="BR428" s="3943"/>
      <c r="BS428" s="3946"/>
      <c r="BT428" s="3942"/>
      <c r="BU428" s="3942"/>
      <c r="BV428" s="3942"/>
      <c r="BW428" s="3946"/>
      <c r="BX428" s="3942"/>
      <c r="BY428" s="3942"/>
      <c r="BZ428" s="3972"/>
      <c r="CA428" s="3946"/>
      <c r="CB428" s="3942"/>
      <c r="CC428" s="3942"/>
      <c r="CD428" s="3972"/>
      <c r="CE428" s="3971"/>
      <c r="CF428" s="3942"/>
      <c r="CG428" s="3967"/>
      <c r="CH428" s="3972"/>
      <c r="CI428" s="3967"/>
      <c r="CJ428" s="3942"/>
      <c r="CK428" s="3942"/>
      <c r="CL428" s="3972"/>
      <c r="CM428" s="3967"/>
      <c r="CN428" s="3942"/>
      <c r="CO428" s="3942"/>
      <c r="CP428" s="3972"/>
      <c r="CQ428" s="3967"/>
      <c r="CR428" s="3967"/>
      <c r="CS428" s="3967"/>
      <c r="CT428" s="3972"/>
    </row>
    <row r="429" spans="1:105" s="285" customFormat="1" outlineLevel="1">
      <c r="A429" s="2107" t="s">
        <v>283</v>
      </c>
      <c r="B429" s="115"/>
      <c r="C429" s="115"/>
      <c r="D429" s="115"/>
      <c r="E429" s="115"/>
      <c r="F429" s="115"/>
      <c r="G429" s="115"/>
      <c r="H429" s="115"/>
      <c r="I429" s="115"/>
      <c r="J429" s="115"/>
      <c r="K429" s="115"/>
      <c r="L429" s="115"/>
      <c r="M429" s="2091">
        <f>M425/M252</f>
        <v>0.48572679509632222</v>
      </c>
      <c r="N429" s="2091">
        <f>N425/N252</f>
        <v>0.47978847360401544</v>
      </c>
      <c r="O429" s="2091">
        <f>O425/O252</f>
        <v>0.47633216121179334</v>
      </c>
      <c r="P429" s="2091">
        <f>P425/P252</f>
        <v>0.44950135992747053</v>
      </c>
      <c r="Q429" s="2091">
        <f t="shared" ref="Q429:AF429" si="766">Q425/Q191</f>
        <v>0.44726797910807553</v>
      </c>
      <c r="R429" s="2091">
        <f t="shared" si="766"/>
        <v>0.43648913155454827</v>
      </c>
      <c r="S429" s="2091">
        <f t="shared" si="766"/>
        <v>0.412741443578448</v>
      </c>
      <c r="T429" s="2091">
        <f t="shared" si="766"/>
        <v>0.4412206221218567</v>
      </c>
      <c r="U429" s="2091">
        <f t="shared" si="766"/>
        <v>0.41888759084630156</v>
      </c>
      <c r="V429" s="2091">
        <f t="shared" si="766"/>
        <v>0.39822409335186498</v>
      </c>
      <c r="W429" s="2091">
        <f t="shared" si="766"/>
        <v>0.37936104517623331</v>
      </c>
      <c r="X429" s="2091">
        <f t="shared" si="766"/>
        <v>0.36239230773421538</v>
      </c>
      <c r="Y429" s="2091">
        <f t="shared" si="766"/>
        <v>0.34737546865191732</v>
      </c>
      <c r="Z429" s="2091">
        <f t="shared" si="766"/>
        <v>0.33433393814731527</v>
      </c>
      <c r="AA429" s="2091">
        <f t="shared" si="766"/>
        <v>0.32326006113476474</v>
      </c>
      <c r="AB429" s="2091">
        <f t="shared" si="766"/>
        <v>0.31411892677088482</v>
      </c>
      <c r="AC429" s="2091">
        <f t="shared" si="766"/>
        <v>0.30685256985758586</v>
      </c>
      <c r="AD429" s="2091">
        <f t="shared" si="766"/>
        <v>0.30138429365983954</v>
      </c>
      <c r="AE429" s="2091">
        <f t="shared" si="766"/>
        <v>0.29762289240721107</v>
      </c>
      <c r="AF429" s="2091">
        <f t="shared" si="766"/>
        <v>0.29546660592962509</v>
      </c>
      <c r="AG429" s="2553"/>
      <c r="AH429" s="2714"/>
      <c r="AI429" s="115"/>
      <c r="AJ429" s="115"/>
      <c r="AK429" s="115"/>
      <c r="AL429" s="115"/>
      <c r="AM429" s="115"/>
      <c r="AN429" s="115"/>
      <c r="AO429" s="115"/>
      <c r="AP429" s="115"/>
      <c r="AQ429" s="115"/>
      <c r="AR429" s="115"/>
      <c r="AS429" s="115"/>
      <c r="AT429" s="115"/>
      <c r="AU429" s="115"/>
      <c r="AV429" s="115"/>
      <c r="AW429" s="115"/>
      <c r="AX429" s="115"/>
      <c r="AY429" s="115"/>
      <c r="AZ429" s="115"/>
      <c r="BA429" s="115"/>
      <c r="BB429" s="115"/>
      <c r="BC429" s="115"/>
      <c r="BD429" s="115"/>
      <c r="BE429" s="115"/>
      <c r="BF429" s="115"/>
      <c r="BG429" s="2091"/>
      <c r="BH429" s="2091"/>
      <c r="BI429" s="2091"/>
      <c r="BJ429" s="2091"/>
      <c r="BK429" s="2091"/>
      <c r="BL429" s="2091"/>
      <c r="BM429" s="2091"/>
      <c r="BN429" s="2091"/>
      <c r="BO429" s="2575">
        <f t="shared" ref="BO429:CD429" si="767">BO425/BO252</f>
        <v>0.49844559585492226</v>
      </c>
      <c r="BP429" s="2091">
        <f t="shared" si="767"/>
        <v>0.4881615598885794</v>
      </c>
      <c r="BQ429" s="2091">
        <f t="shared" si="767"/>
        <v>0.48040945993646311</v>
      </c>
      <c r="BR429" s="2576">
        <f t="shared" si="767"/>
        <v>0.47553191489361701</v>
      </c>
      <c r="BS429" s="2575">
        <f t="shared" si="767"/>
        <v>0.47697841726618706</v>
      </c>
      <c r="BT429" s="2091">
        <f t="shared" si="767"/>
        <v>0.48360655737704916</v>
      </c>
      <c r="BU429" s="2091">
        <f t="shared" si="767"/>
        <v>0.4794816414686825</v>
      </c>
      <c r="BV429" s="2091">
        <f t="shared" si="767"/>
        <v>0.4790547798066595</v>
      </c>
      <c r="BW429" s="2575">
        <f t="shared" si="767"/>
        <v>0.50163934426229506</v>
      </c>
      <c r="BX429" s="2091">
        <f t="shared" si="767"/>
        <v>0.47699496764917326</v>
      </c>
      <c r="BY429" s="2091">
        <f t="shared" si="767"/>
        <v>0.46743849493487699</v>
      </c>
      <c r="BZ429" s="2588">
        <f t="shared" si="767"/>
        <v>0.45964285714285713</v>
      </c>
      <c r="CA429" s="2575">
        <f t="shared" si="767"/>
        <v>0.45837837837837836</v>
      </c>
      <c r="CB429" s="2091">
        <f t="shared" si="767"/>
        <v>0.4560459275206315</v>
      </c>
      <c r="CC429" s="2091">
        <f t="shared" si="767"/>
        <v>0.4411976911976912</v>
      </c>
      <c r="CD429" s="2588">
        <f t="shared" si="767"/>
        <v>0.44213649851632048</v>
      </c>
      <c r="CE429" s="2052">
        <f t="shared" ref="CE429:CT429" si="768">CE425/CE191</f>
        <v>0.46376237623762379</v>
      </c>
      <c r="CF429" s="2091">
        <f t="shared" si="768"/>
        <v>0.44082125603864736</v>
      </c>
      <c r="CG429" s="2071">
        <f t="shared" si="768"/>
        <v>0.42741281427412814</v>
      </c>
      <c r="CH429" s="2588">
        <f t="shared" si="768"/>
        <v>0.45667069729947601</v>
      </c>
      <c r="CI429" s="2071">
        <f t="shared" si="768"/>
        <v>0.45986895986895987</v>
      </c>
      <c r="CJ429" s="2091">
        <f t="shared" si="768"/>
        <v>0.43655030800821354</v>
      </c>
      <c r="CK429" s="2091">
        <f t="shared" si="768"/>
        <v>0.41693944353518819</v>
      </c>
      <c r="CL429" s="2588">
        <f t="shared" si="768"/>
        <v>0.432523051131601</v>
      </c>
      <c r="CM429" s="2071">
        <f t="shared" si="768"/>
        <v>0.43548387096774194</v>
      </c>
      <c r="CN429" s="2091">
        <f t="shared" si="768"/>
        <v>0.41986455981941312</v>
      </c>
      <c r="CO429" s="2091">
        <f t="shared" si="768"/>
        <v>0.4048825426070935</v>
      </c>
      <c r="CP429" s="2588">
        <f t="shared" ref="CP429" si="769">CP425/CP191</f>
        <v>0.3879677877783041</v>
      </c>
      <c r="CQ429" s="2071">
        <f t="shared" si="768"/>
        <v>0.43935407363486456</v>
      </c>
      <c r="CR429" s="2071">
        <f t="shared" si="768"/>
        <v>0.44785203652812783</v>
      </c>
      <c r="CS429" s="2071">
        <f t="shared" si="768"/>
        <v>0.44328539838722658</v>
      </c>
      <c r="CT429" s="2588">
        <f t="shared" si="768"/>
        <v>0.43430397043823016</v>
      </c>
      <c r="CU429" s="68"/>
      <c r="CV429" s="68"/>
      <c r="CW429" s="68"/>
      <c r="CX429" s="68"/>
      <c r="CY429" s="68"/>
      <c r="CZ429" s="68"/>
      <c r="DA429" s="68"/>
    </row>
    <row r="430" spans="1:105" s="285" customFormat="1" outlineLevel="1">
      <c r="A430" s="2107"/>
      <c r="B430" s="115"/>
      <c r="C430" s="115"/>
      <c r="D430" s="115"/>
      <c r="E430" s="115"/>
      <c r="F430" s="115"/>
      <c r="G430" s="115"/>
      <c r="H430" s="115"/>
      <c r="I430" s="115"/>
      <c r="J430" s="115"/>
      <c r="K430" s="115"/>
      <c r="L430" s="115"/>
      <c r="M430" s="2091"/>
      <c r="N430" s="2091"/>
      <c r="O430" s="2091"/>
      <c r="P430" s="2091"/>
      <c r="Q430" s="2091"/>
      <c r="R430" s="2091"/>
      <c r="S430" s="2091"/>
      <c r="T430" s="2091"/>
      <c r="U430" s="2214"/>
      <c r="V430" s="2214"/>
      <c r="W430" s="2214"/>
      <c r="X430" s="2214"/>
      <c r="Y430" s="2214"/>
      <c r="Z430" s="2214"/>
      <c r="AA430" s="2214"/>
      <c r="AB430" s="2214"/>
      <c r="AC430" s="2214"/>
      <c r="AD430" s="2214"/>
      <c r="AE430" s="2214"/>
      <c r="AF430" s="2214"/>
      <c r="AG430" s="2553"/>
      <c r="AH430" s="2714"/>
      <c r="AI430" s="115"/>
      <c r="AJ430" s="115"/>
      <c r="AK430" s="115"/>
      <c r="AL430" s="115"/>
      <c r="AM430" s="115"/>
      <c r="AN430" s="115"/>
      <c r="AO430" s="115"/>
      <c r="AP430" s="115"/>
      <c r="AQ430" s="115"/>
      <c r="AR430" s="115"/>
      <c r="AS430" s="115"/>
      <c r="AT430" s="115"/>
      <c r="AU430" s="115"/>
      <c r="AV430" s="115"/>
      <c r="AW430" s="115"/>
      <c r="AX430" s="115"/>
      <c r="AY430" s="115"/>
      <c r="AZ430" s="115"/>
      <c r="BA430" s="115"/>
      <c r="BB430" s="115"/>
      <c r="BC430" s="115"/>
      <c r="BD430" s="115"/>
      <c r="BE430" s="115"/>
      <c r="BF430" s="115"/>
      <c r="BG430" s="2091"/>
      <c r="BH430" s="2091"/>
      <c r="BI430" s="2091"/>
      <c r="BJ430" s="2091"/>
      <c r="BK430" s="2091"/>
      <c r="BL430" s="2091"/>
      <c r="BM430" s="2091"/>
      <c r="BN430" s="2091"/>
      <c r="BO430" s="2575"/>
      <c r="BP430" s="2091"/>
      <c r="BQ430" s="2091"/>
      <c r="BR430" s="2576"/>
      <c r="BS430" s="2575"/>
      <c r="BT430" s="2091"/>
      <c r="BU430" s="2091"/>
      <c r="BV430" s="2091"/>
      <c r="BW430" s="2575"/>
      <c r="BX430" s="2091"/>
      <c r="BY430" s="2091"/>
      <c r="BZ430" s="2588"/>
      <c r="CA430" s="2575"/>
      <c r="CB430" s="2091"/>
      <c r="CC430" s="2091"/>
      <c r="CD430" s="2588"/>
      <c r="CE430" s="2071"/>
      <c r="CF430" s="2091"/>
      <c r="CG430" s="2071"/>
      <c r="CH430" s="2588"/>
      <c r="CI430" s="2071"/>
      <c r="CJ430" s="2091"/>
      <c r="CK430" s="2091"/>
      <c r="CL430" s="2588"/>
      <c r="CM430" s="2071"/>
      <c r="CN430" s="2091"/>
      <c r="CO430" s="2091"/>
      <c r="CP430" s="2588"/>
      <c r="CQ430" s="2071"/>
      <c r="CR430" s="2071"/>
      <c r="CS430" s="2071"/>
      <c r="CT430" s="2588"/>
      <c r="CU430" s="68"/>
      <c r="CV430" s="68"/>
      <c r="CW430" s="68"/>
      <c r="CX430" s="68"/>
      <c r="CY430" s="68"/>
      <c r="CZ430" s="68"/>
      <c r="DA430" s="68"/>
    </row>
    <row r="431" spans="1:105" s="3876" customFormat="1" outlineLevel="1" collapsed="1">
      <c r="A431" s="2065" t="s">
        <v>1248</v>
      </c>
      <c r="B431" s="3954"/>
      <c r="C431" s="3954"/>
      <c r="D431" s="3954"/>
      <c r="E431" s="3954"/>
      <c r="F431" s="3954"/>
      <c r="G431" s="3954"/>
      <c r="H431" s="3954"/>
      <c r="I431" s="3954"/>
      <c r="J431" s="3954"/>
      <c r="K431" s="3954"/>
      <c r="L431" s="3954"/>
      <c r="M431" s="3954"/>
      <c r="N431" s="3954"/>
      <c r="O431" s="4085">
        <f t="shared" ref="O431:T431" si="770">O413/(O$413+O$425)</f>
        <v>0.40826612903225806</v>
      </c>
      <c r="P431" s="4085">
        <f t="shared" si="770"/>
        <v>0.41780178487552844</v>
      </c>
      <c r="Q431" s="4085">
        <f t="shared" si="770"/>
        <v>0.44579962663347855</v>
      </c>
      <c r="R431" s="4085">
        <f t="shared" si="770"/>
        <v>0.44476477525881275</v>
      </c>
      <c r="S431" s="4085">
        <f t="shared" si="770"/>
        <v>0.46169711255156159</v>
      </c>
      <c r="T431" s="4085">
        <f t="shared" si="770"/>
        <v>0.43641271641575785</v>
      </c>
      <c r="U431" s="4085">
        <f t="shared" ref="U431:AF431" si="771">U413/(U$413+U$425)</f>
        <v>0.4385971734917809</v>
      </c>
      <c r="V431" s="4085">
        <f t="shared" si="771"/>
        <v>0.44099106071975963</v>
      </c>
      <c r="W431" s="4085">
        <f t="shared" si="771"/>
        <v>0.44298947434003361</v>
      </c>
      <c r="X431" s="4085">
        <f t="shared" si="771"/>
        <v>0.44453774995019107</v>
      </c>
      <c r="Y431" s="4085">
        <f t="shared" si="771"/>
        <v>0.44557944589039072</v>
      </c>
      <c r="Z431" s="4085">
        <f t="shared" si="771"/>
        <v>0.44606028645323431</v>
      </c>
      <c r="AA431" s="4085">
        <f t="shared" si="771"/>
        <v>0.44593250187787886</v>
      </c>
      <c r="AB431" s="4085">
        <f t="shared" si="771"/>
        <v>0.44515907548431927</v>
      </c>
      <c r="AC431" s="4085">
        <f t="shared" si="771"/>
        <v>0.44371735394614731</v>
      </c>
      <c r="AD431" s="4085">
        <f t="shared" si="771"/>
        <v>0.44160152858162333</v>
      </c>
      <c r="AE431" s="4085">
        <f t="shared" si="771"/>
        <v>0.43882365300976561</v>
      </c>
      <c r="AF431" s="4085">
        <f t="shared" si="771"/>
        <v>0.43541309228577052</v>
      </c>
      <c r="AG431" s="2553"/>
      <c r="AH431" s="3921"/>
      <c r="AI431" s="3954" t="e">
        <f t="shared" ref="AI431:BN431" si="772">AI413/(AI$413+AI$425)</f>
        <v>#DIV/0!</v>
      </c>
      <c r="AJ431" s="3954" t="e">
        <f t="shared" si="772"/>
        <v>#DIV/0!</v>
      </c>
      <c r="AK431" s="3954" t="e">
        <f t="shared" si="772"/>
        <v>#DIV/0!</v>
      </c>
      <c r="AL431" s="3954" t="e">
        <f t="shared" si="772"/>
        <v>#DIV/0!</v>
      </c>
      <c r="AM431" s="3954" t="e">
        <f t="shared" si="772"/>
        <v>#DIV/0!</v>
      </c>
      <c r="AN431" s="3954" t="e">
        <f t="shared" si="772"/>
        <v>#DIV/0!</v>
      </c>
      <c r="AO431" s="3954" t="e">
        <f t="shared" si="772"/>
        <v>#DIV/0!</v>
      </c>
      <c r="AP431" s="3954" t="e">
        <f t="shared" si="772"/>
        <v>#DIV/0!</v>
      </c>
      <c r="AQ431" s="3954" t="e">
        <f t="shared" si="772"/>
        <v>#DIV/0!</v>
      </c>
      <c r="AR431" s="3954" t="e">
        <f t="shared" si="772"/>
        <v>#DIV/0!</v>
      </c>
      <c r="AS431" s="3954" t="e">
        <f t="shared" si="772"/>
        <v>#DIV/0!</v>
      </c>
      <c r="AT431" s="3954" t="e">
        <f t="shared" si="772"/>
        <v>#DIV/0!</v>
      </c>
      <c r="AU431" s="3954" t="e">
        <f t="shared" si="772"/>
        <v>#DIV/0!</v>
      </c>
      <c r="AV431" s="3954" t="e">
        <f t="shared" si="772"/>
        <v>#DIV/0!</v>
      </c>
      <c r="AW431" s="3954" t="e">
        <f t="shared" si="772"/>
        <v>#DIV/0!</v>
      </c>
      <c r="AX431" s="3954" t="e">
        <f t="shared" si="772"/>
        <v>#DIV/0!</v>
      </c>
      <c r="AY431" s="3954" t="e">
        <f t="shared" si="772"/>
        <v>#DIV/0!</v>
      </c>
      <c r="AZ431" s="3954" t="e">
        <f t="shared" si="772"/>
        <v>#DIV/0!</v>
      </c>
      <c r="BA431" s="3954" t="e">
        <f t="shared" si="772"/>
        <v>#DIV/0!</v>
      </c>
      <c r="BB431" s="3954" t="e">
        <f t="shared" si="772"/>
        <v>#DIV/0!</v>
      </c>
      <c r="BC431" s="3955" t="e">
        <f t="shared" si="772"/>
        <v>#DIV/0!</v>
      </c>
      <c r="BD431" s="3956" t="e">
        <f t="shared" si="772"/>
        <v>#DIV/0!</v>
      </c>
      <c r="BE431" s="3956" t="e">
        <f t="shared" si="772"/>
        <v>#DIV/0!</v>
      </c>
      <c r="BF431" s="3956" t="e">
        <f t="shared" si="772"/>
        <v>#DIV/0!</v>
      </c>
      <c r="BG431" s="3955" t="e">
        <f t="shared" si="772"/>
        <v>#DIV/0!</v>
      </c>
      <c r="BH431" s="3956" t="e">
        <f t="shared" si="772"/>
        <v>#DIV/0!</v>
      </c>
      <c r="BI431" s="3956" t="e">
        <f t="shared" si="772"/>
        <v>#DIV/0!</v>
      </c>
      <c r="BJ431" s="3956" t="e">
        <f t="shared" si="772"/>
        <v>#DIV/0!</v>
      </c>
      <c r="BK431" s="4086" t="e">
        <f t="shared" si="772"/>
        <v>#DIV/0!</v>
      </c>
      <c r="BL431" s="4086" t="e">
        <f t="shared" si="772"/>
        <v>#DIV/0!</v>
      </c>
      <c r="BM431" s="4086" t="e">
        <f t="shared" si="772"/>
        <v>#DIV/0!</v>
      </c>
      <c r="BN431" s="4086" t="e">
        <f t="shared" si="772"/>
        <v>#DIV/0!</v>
      </c>
      <c r="BO431" s="4087">
        <f t="shared" ref="BO431:CO431" si="773">BO413/(BO$413+BO$425)</f>
        <v>0.41602590044516391</v>
      </c>
      <c r="BP431" s="4086">
        <f t="shared" si="773"/>
        <v>0.41583333333333333</v>
      </c>
      <c r="BQ431" s="4086">
        <f t="shared" si="773"/>
        <v>0.41462365591397848</v>
      </c>
      <c r="BR431" s="4086">
        <f t="shared" si="773"/>
        <v>0.42716787697565145</v>
      </c>
      <c r="BS431" s="4087">
        <f t="shared" si="773"/>
        <v>0.4291863969005596</v>
      </c>
      <c r="BT431" s="4086">
        <f t="shared" si="773"/>
        <v>0.41179020372778502</v>
      </c>
      <c r="BU431" s="4086">
        <f t="shared" si="773"/>
        <v>0.41140079540433055</v>
      </c>
      <c r="BV431" s="4086">
        <f t="shared" si="773"/>
        <v>0.40927152317880794</v>
      </c>
      <c r="BW431" s="4087">
        <f t="shared" si="773"/>
        <v>0.40977282468924131</v>
      </c>
      <c r="BX431" s="4086">
        <f t="shared" si="773"/>
        <v>0.40732469852612774</v>
      </c>
      <c r="BY431" s="4086">
        <f t="shared" si="773"/>
        <v>0.40815391662849287</v>
      </c>
      <c r="BZ431" s="4088">
        <f t="shared" si="773"/>
        <v>0.407731247123792</v>
      </c>
      <c r="CA431" s="4086">
        <f t="shared" si="773"/>
        <v>0.41864716636197441</v>
      </c>
      <c r="CB431" s="4086">
        <f t="shared" si="773"/>
        <v>0.41428571428571431</v>
      </c>
      <c r="CC431" s="4086">
        <f t="shared" si="773"/>
        <v>0.41817316841103713</v>
      </c>
      <c r="CD431" s="4088">
        <f t="shared" si="773"/>
        <v>0.42023346303501946</v>
      </c>
      <c r="CE431" s="4086">
        <f t="shared" si="773"/>
        <v>0.43539054966248797</v>
      </c>
      <c r="CF431" s="4086">
        <f t="shared" si="773"/>
        <v>0.44613050075872535</v>
      </c>
      <c r="CG431" s="4086">
        <f t="shared" si="773"/>
        <v>0.4564208354822073</v>
      </c>
      <c r="CH431" s="4088">
        <f t="shared" si="773"/>
        <v>0.44596577017114913</v>
      </c>
      <c r="CI431" s="4086">
        <f t="shared" si="773"/>
        <v>0.43878060969515242</v>
      </c>
      <c r="CJ431" s="4086">
        <f t="shared" si="773"/>
        <v>0.44577685088633995</v>
      </c>
      <c r="CK431" s="4086">
        <f t="shared" si="773"/>
        <v>0.4485930735930736</v>
      </c>
      <c r="CL431" s="4088">
        <f t="shared" si="773"/>
        <v>0.44635193133047213</v>
      </c>
      <c r="CM431" s="4086">
        <f t="shared" si="773"/>
        <v>0.44178454842219805</v>
      </c>
      <c r="CN431" s="4086">
        <f t="shared" si="773"/>
        <v>0.46551724137931033</v>
      </c>
      <c r="CO431" s="4086">
        <f t="shared" si="773"/>
        <v>0.46565349544072948</v>
      </c>
      <c r="CP431" s="4088">
        <f t="shared" ref="CP431" si="774">CP413/(CP$413+CP$425)</f>
        <v>0.47667731629392973</v>
      </c>
      <c r="CQ431" s="4086">
        <f>CQ413/(CQ$413+CQ$425)</f>
        <v>0.44098075619603333</v>
      </c>
      <c r="CR431" s="4086">
        <f>CR413/(CR$413+CR$425)</f>
        <v>0.44129856099639925</v>
      </c>
      <c r="CS431" s="4086">
        <f>CS413/(CS$413+CS$425)</f>
        <v>0.42734190533282773</v>
      </c>
      <c r="CT431" s="4088">
        <f>CT413/(CT$413+CT$425)</f>
        <v>0.42910631838593377</v>
      </c>
      <c r="CU431" s="68"/>
      <c r="CV431" s="68"/>
      <c r="CW431" s="68"/>
      <c r="CX431" s="68"/>
      <c r="CY431" s="68"/>
      <c r="CZ431" s="68"/>
      <c r="DA431" s="68"/>
    </row>
    <row r="432" spans="1:105" s="3876" customFormat="1" outlineLevel="1" collapsed="1">
      <c r="A432" s="2072" t="s">
        <v>1249</v>
      </c>
      <c r="B432" s="4006"/>
      <c r="C432" s="4006"/>
      <c r="D432" s="4006"/>
      <c r="E432" s="4006"/>
      <c r="F432" s="4006"/>
      <c r="G432" s="4006"/>
      <c r="H432" s="4006"/>
      <c r="I432" s="4006"/>
      <c r="J432" s="4006"/>
      <c r="K432" s="4006"/>
      <c r="L432" s="4006"/>
      <c r="M432" s="4006"/>
      <c r="N432" s="4006"/>
      <c r="O432" s="4089">
        <f t="shared" ref="O432:T432" si="775">O425/(O$413+O$425)</f>
        <v>0.59173387096774188</v>
      </c>
      <c r="P432" s="4089">
        <f t="shared" si="775"/>
        <v>0.58219821512447156</v>
      </c>
      <c r="Q432" s="4089">
        <f t="shared" si="775"/>
        <v>0.5542003733665215</v>
      </c>
      <c r="R432" s="4089">
        <f t="shared" si="775"/>
        <v>0.55523522474118725</v>
      </c>
      <c r="S432" s="4089">
        <f t="shared" si="775"/>
        <v>0.53830288744843846</v>
      </c>
      <c r="T432" s="4089">
        <f t="shared" si="775"/>
        <v>0.56358728358424215</v>
      </c>
      <c r="U432" s="4089">
        <f t="shared" ref="U432:AF432" si="776">U425/(U$413+U$425)</f>
        <v>0.56140282650821915</v>
      </c>
      <c r="V432" s="4089">
        <f t="shared" si="776"/>
        <v>0.55900893928024042</v>
      </c>
      <c r="W432" s="4089">
        <f t="shared" si="776"/>
        <v>0.55701052565996645</v>
      </c>
      <c r="X432" s="4089">
        <f t="shared" si="776"/>
        <v>0.55546225004980898</v>
      </c>
      <c r="Y432" s="4089">
        <f t="shared" si="776"/>
        <v>0.55442055410960922</v>
      </c>
      <c r="Z432" s="4089">
        <f t="shared" si="776"/>
        <v>0.55393971354676574</v>
      </c>
      <c r="AA432" s="4089">
        <f t="shared" si="776"/>
        <v>0.55406749812212108</v>
      </c>
      <c r="AB432" s="4089">
        <f t="shared" si="776"/>
        <v>0.55484092451568079</v>
      </c>
      <c r="AC432" s="4089">
        <f t="shared" si="776"/>
        <v>0.55628264605385269</v>
      </c>
      <c r="AD432" s="4089">
        <f t="shared" si="776"/>
        <v>0.55839847141837662</v>
      </c>
      <c r="AE432" s="4089">
        <f t="shared" si="776"/>
        <v>0.56117634699023433</v>
      </c>
      <c r="AF432" s="4089">
        <f t="shared" si="776"/>
        <v>0.56458690771422948</v>
      </c>
      <c r="AG432" s="2553"/>
      <c r="AH432" s="3988"/>
      <c r="AI432" s="4006" t="e">
        <f t="shared" ref="AI432:BN432" si="777">AI425/(AI$413+AI$425)</f>
        <v>#DIV/0!</v>
      </c>
      <c r="AJ432" s="4006" t="e">
        <f t="shared" si="777"/>
        <v>#DIV/0!</v>
      </c>
      <c r="AK432" s="4006" t="e">
        <f t="shared" si="777"/>
        <v>#DIV/0!</v>
      </c>
      <c r="AL432" s="4006" t="e">
        <f t="shared" si="777"/>
        <v>#DIV/0!</v>
      </c>
      <c r="AM432" s="4006" t="e">
        <f t="shared" si="777"/>
        <v>#DIV/0!</v>
      </c>
      <c r="AN432" s="4006" t="e">
        <f t="shared" si="777"/>
        <v>#DIV/0!</v>
      </c>
      <c r="AO432" s="4006" t="e">
        <f t="shared" si="777"/>
        <v>#DIV/0!</v>
      </c>
      <c r="AP432" s="4006" t="e">
        <f t="shared" si="777"/>
        <v>#DIV/0!</v>
      </c>
      <c r="AQ432" s="4006" t="e">
        <f t="shared" si="777"/>
        <v>#DIV/0!</v>
      </c>
      <c r="AR432" s="4006" t="e">
        <f t="shared" si="777"/>
        <v>#DIV/0!</v>
      </c>
      <c r="AS432" s="4006" t="e">
        <f t="shared" si="777"/>
        <v>#DIV/0!</v>
      </c>
      <c r="AT432" s="4006" t="e">
        <f t="shared" si="777"/>
        <v>#DIV/0!</v>
      </c>
      <c r="AU432" s="4006" t="e">
        <f t="shared" si="777"/>
        <v>#DIV/0!</v>
      </c>
      <c r="AV432" s="4006" t="e">
        <f t="shared" si="777"/>
        <v>#DIV/0!</v>
      </c>
      <c r="AW432" s="4006" t="e">
        <f t="shared" si="777"/>
        <v>#DIV/0!</v>
      </c>
      <c r="AX432" s="4006" t="e">
        <f t="shared" si="777"/>
        <v>#DIV/0!</v>
      </c>
      <c r="AY432" s="4006" t="e">
        <f t="shared" si="777"/>
        <v>#DIV/0!</v>
      </c>
      <c r="AZ432" s="4006" t="e">
        <f t="shared" si="777"/>
        <v>#DIV/0!</v>
      </c>
      <c r="BA432" s="4006" t="e">
        <f t="shared" si="777"/>
        <v>#DIV/0!</v>
      </c>
      <c r="BB432" s="4006" t="e">
        <f t="shared" si="777"/>
        <v>#DIV/0!</v>
      </c>
      <c r="BC432" s="4007" t="e">
        <f t="shared" si="777"/>
        <v>#DIV/0!</v>
      </c>
      <c r="BD432" s="4008" t="e">
        <f t="shared" si="777"/>
        <v>#DIV/0!</v>
      </c>
      <c r="BE432" s="4008" t="e">
        <f t="shared" si="777"/>
        <v>#DIV/0!</v>
      </c>
      <c r="BF432" s="4008" t="e">
        <f t="shared" si="777"/>
        <v>#DIV/0!</v>
      </c>
      <c r="BG432" s="4007" t="e">
        <f t="shared" si="777"/>
        <v>#DIV/0!</v>
      </c>
      <c r="BH432" s="4008" t="e">
        <f t="shared" si="777"/>
        <v>#DIV/0!</v>
      </c>
      <c r="BI432" s="4008" t="e">
        <f t="shared" si="777"/>
        <v>#DIV/0!</v>
      </c>
      <c r="BJ432" s="4008" t="e">
        <f t="shared" si="777"/>
        <v>#DIV/0!</v>
      </c>
      <c r="BK432" s="4009" t="e">
        <f t="shared" si="777"/>
        <v>#DIV/0!</v>
      </c>
      <c r="BL432" s="4009" t="e">
        <f t="shared" si="777"/>
        <v>#DIV/0!</v>
      </c>
      <c r="BM432" s="4009" t="e">
        <f t="shared" si="777"/>
        <v>#DIV/0!</v>
      </c>
      <c r="BN432" s="4009" t="e">
        <f t="shared" si="777"/>
        <v>#DIV/0!</v>
      </c>
      <c r="BO432" s="4010">
        <f t="shared" ref="BO432:CO432" si="778">BO425/(BO$413+BO$425)</f>
        <v>0.58397409955483615</v>
      </c>
      <c r="BP432" s="4009">
        <f t="shared" si="778"/>
        <v>0.58416666666666661</v>
      </c>
      <c r="BQ432" s="4009">
        <f t="shared" si="778"/>
        <v>0.58537634408602146</v>
      </c>
      <c r="BR432" s="4009">
        <f t="shared" si="778"/>
        <v>0.57283212302434861</v>
      </c>
      <c r="BS432" s="4010">
        <f t="shared" si="778"/>
        <v>0.5708136030994404</v>
      </c>
      <c r="BT432" s="4009">
        <f t="shared" si="778"/>
        <v>0.58820979627221504</v>
      </c>
      <c r="BU432" s="4009">
        <f t="shared" si="778"/>
        <v>0.5885992045956695</v>
      </c>
      <c r="BV432" s="4009">
        <f t="shared" si="778"/>
        <v>0.59072847682119201</v>
      </c>
      <c r="BW432" s="4010">
        <f t="shared" si="778"/>
        <v>0.59022717531075863</v>
      </c>
      <c r="BX432" s="4009">
        <f t="shared" si="778"/>
        <v>0.59267530147387226</v>
      </c>
      <c r="BY432" s="4009">
        <f t="shared" si="778"/>
        <v>0.59184608337150713</v>
      </c>
      <c r="BZ432" s="4011">
        <f t="shared" si="778"/>
        <v>0.59226875287620806</v>
      </c>
      <c r="CA432" s="4009">
        <f t="shared" si="778"/>
        <v>0.58135283363802559</v>
      </c>
      <c r="CB432" s="4009">
        <f t="shared" si="778"/>
        <v>0.58571428571428574</v>
      </c>
      <c r="CC432" s="4009">
        <f t="shared" si="778"/>
        <v>0.58182683158896287</v>
      </c>
      <c r="CD432" s="4011">
        <f t="shared" si="778"/>
        <v>0.57976653696498059</v>
      </c>
      <c r="CE432" s="4009">
        <f t="shared" si="778"/>
        <v>0.56460945033751209</v>
      </c>
      <c r="CF432" s="4009">
        <f t="shared" si="778"/>
        <v>0.55386949924127471</v>
      </c>
      <c r="CG432" s="4009">
        <f t="shared" si="778"/>
        <v>0.54357916451779265</v>
      </c>
      <c r="CH432" s="4011">
        <f t="shared" si="778"/>
        <v>0.55403422982885087</v>
      </c>
      <c r="CI432" s="4009">
        <f t="shared" si="778"/>
        <v>0.56121939030484758</v>
      </c>
      <c r="CJ432" s="4009">
        <f t="shared" si="778"/>
        <v>0.55422314911366011</v>
      </c>
      <c r="CK432" s="4009">
        <f t="shared" si="778"/>
        <v>0.55140692640692646</v>
      </c>
      <c r="CL432" s="4011">
        <f t="shared" si="778"/>
        <v>0.55364806866952787</v>
      </c>
      <c r="CM432" s="4009">
        <f t="shared" si="778"/>
        <v>0.55821545157780195</v>
      </c>
      <c r="CN432" s="4009">
        <f t="shared" si="778"/>
        <v>0.53448275862068961</v>
      </c>
      <c r="CO432" s="4009">
        <f t="shared" si="778"/>
        <v>0.53434650455927046</v>
      </c>
      <c r="CP432" s="4011">
        <f t="shared" ref="CP432" si="779">CP425/(CP$413+CP$425)</f>
        <v>0.52332268370607027</v>
      </c>
      <c r="CQ432" s="4009">
        <f>CQ425/(CQ$413+CQ$425)</f>
        <v>0.55901924380396673</v>
      </c>
      <c r="CR432" s="4009">
        <f>CR425/(CR$413+CR$425)</f>
        <v>0.5587014390036007</v>
      </c>
      <c r="CS432" s="4009">
        <f>CS425/(CS$413+CS$425)</f>
        <v>0.57265809466717221</v>
      </c>
      <c r="CT432" s="4011">
        <f>CT425/(CT$413+CT$425)</f>
        <v>0.57089368161406628</v>
      </c>
      <c r="CU432" s="68"/>
      <c r="CV432" s="68"/>
      <c r="CW432" s="68"/>
      <c r="CX432" s="68"/>
      <c r="CY432" s="68"/>
      <c r="CZ432" s="68"/>
      <c r="DA432" s="68"/>
    </row>
    <row r="433" spans="1:105" s="3876" customFormat="1" outlineLevel="1">
      <c r="A433" s="4090"/>
      <c r="B433" s="3989"/>
      <c r="C433" s="3989"/>
      <c r="D433" s="3989"/>
      <c r="E433" s="3989"/>
      <c r="F433" s="3989"/>
      <c r="G433" s="3989"/>
      <c r="H433" s="3989"/>
      <c r="I433" s="3989"/>
      <c r="J433" s="3989"/>
      <c r="K433" s="3989"/>
      <c r="L433" s="3989"/>
      <c r="M433" s="4056"/>
      <c r="N433" s="4056"/>
      <c r="O433" s="4056"/>
      <c r="P433" s="4056"/>
      <c r="Q433" s="4056"/>
      <c r="R433" s="4056"/>
      <c r="S433" s="4056"/>
      <c r="T433" s="4056"/>
      <c r="U433" s="2622"/>
      <c r="V433" s="2622"/>
      <c r="W433" s="2622"/>
      <c r="X433" s="2622"/>
      <c r="Y433" s="2622"/>
      <c r="Z433" s="2622"/>
      <c r="AA433" s="2622"/>
      <c r="AB433" s="2622"/>
      <c r="AC433" s="2622"/>
      <c r="AD433" s="2622"/>
      <c r="AE433" s="2622"/>
      <c r="AF433" s="2622"/>
      <c r="AG433" s="2553"/>
      <c r="AH433" s="3988"/>
      <c r="AI433" s="3989"/>
      <c r="AJ433" s="3989"/>
      <c r="AK433" s="3989"/>
      <c r="AL433" s="3989"/>
      <c r="AM433" s="3989"/>
      <c r="AN433" s="3989"/>
      <c r="AO433" s="3989"/>
      <c r="AP433" s="3989"/>
      <c r="AQ433" s="3989"/>
      <c r="AR433" s="3989"/>
      <c r="AS433" s="3989"/>
      <c r="AT433" s="3989"/>
      <c r="AU433" s="3989"/>
      <c r="AV433" s="3989"/>
      <c r="AW433" s="3989"/>
      <c r="AX433" s="3989"/>
      <c r="AY433" s="3989"/>
      <c r="AZ433" s="3989"/>
      <c r="BA433" s="3989"/>
      <c r="BB433" s="3989"/>
      <c r="BC433" s="3989"/>
      <c r="BD433" s="3989"/>
      <c r="BE433" s="3989"/>
      <c r="BF433" s="3989"/>
      <c r="BG433" s="4014"/>
      <c r="BH433" s="4014"/>
      <c r="BI433" s="4014"/>
      <c r="BJ433" s="4014"/>
      <c r="BK433" s="4014"/>
      <c r="BL433" s="4014"/>
      <c r="BM433" s="4014"/>
      <c r="BN433" s="4014"/>
      <c r="BO433" s="4013"/>
      <c r="BP433" s="4014"/>
      <c r="BQ433" s="4014"/>
      <c r="BR433" s="4091"/>
      <c r="BS433" s="4013"/>
      <c r="BT433" s="4014"/>
      <c r="BU433" s="4014"/>
      <c r="BV433" s="4014"/>
      <c r="BW433" s="4013"/>
      <c r="BX433" s="4014"/>
      <c r="BY433" s="4014"/>
      <c r="BZ433" s="4003"/>
      <c r="CA433" s="4013"/>
      <c r="CB433" s="4014"/>
      <c r="CC433" s="4014"/>
      <c r="CD433" s="4003"/>
      <c r="CE433" s="4002"/>
      <c r="CF433" s="4014"/>
      <c r="CG433" s="4002"/>
      <c r="CH433" s="4003"/>
      <c r="CI433" s="4002"/>
      <c r="CJ433" s="4014"/>
      <c r="CK433" s="4014"/>
      <c r="CL433" s="4003"/>
      <c r="CM433" s="4002"/>
      <c r="CN433" s="4014"/>
      <c r="CO433" s="4014"/>
      <c r="CP433" s="4003"/>
      <c r="CQ433" s="4002"/>
      <c r="CR433" s="4002"/>
      <c r="CS433" s="4002"/>
      <c r="CT433" s="4003"/>
      <c r="CU433" s="68"/>
      <c r="CV433" s="68"/>
      <c r="CW433" s="68"/>
      <c r="CX433" s="68"/>
      <c r="CY433" s="68"/>
      <c r="CZ433" s="68"/>
      <c r="DA433" s="68"/>
    </row>
    <row r="434" spans="1:105" hidden="1" outlineLevel="2">
      <c r="A434" s="2065" t="s">
        <v>279</v>
      </c>
      <c r="B434" s="3954"/>
      <c r="C434" s="3954"/>
      <c r="D434" s="3954"/>
      <c r="E434" s="3954"/>
      <c r="F434" s="3954"/>
      <c r="G434" s="3954"/>
      <c r="H434" s="3954"/>
      <c r="I434" s="3954"/>
      <c r="J434" s="3954"/>
      <c r="K434" s="3954"/>
      <c r="L434" s="3954"/>
      <c r="M434" s="3954"/>
      <c r="N434" s="3954"/>
      <c r="O434" s="3954"/>
      <c r="P434" s="3954"/>
      <c r="Q434" s="3954"/>
      <c r="R434" s="3954"/>
      <c r="S434" s="3954"/>
      <c r="T434" s="3954"/>
      <c r="U434" s="3954"/>
      <c r="V434" s="3954"/>
      <c r="W434" s="3954"/>
      <c r="X434" s="3954"/>
      <c r="Y434" s="3954"/>
      <c r="Z434" s="3954"/>
      <c r="AA434" s="3954"/>
      <c r="AB434" s="3954"/>
      <c r="AC434" s="3954"/>
      <c r="AD434" s="3954"/>
      <c r="AE434" s="3954"/>
      <c r="AF434" s="3954"/>
      <c r="AG434" s="2553"/>
      <c r="AH434" s="3921"/>
      <c r="AI434" s="3954"/>
      <c r="AJ434" s="3954"/>
      <c r="AK434" s="3954"/>
      <c r="AL434" s="3954"/>
      <c r="AM434" s="3954"/>
      <c r="AN434" s="3954"/>
      <c r="AO434" s="3954"/>
      <c r="AP434" s="3954"/>
      <c r="AQ434" s="3954"/>
      <c r="AR434" s="3954"/>
      <c r="AS434" s="3954"/>
      <c r="AT434" s="3954"/>
      <c r="AU434" s="3954"/>
      <c r="AV434" s="3954"/>
      <c r="AW434" s="3954"/>
      <c r="AX434" s="3954"/>
      <c r="AY434" s="3954"/>
      <c r="AZ434" s="3954"/>
      <c r="BA434" s="3954"/>
      <c r="BB434" s="3954"/>
      <c r="BC434" s="3956"/>
      <c r="BD434" s="3956"/>
      <c r="BE434" s="3956"/>
      <c r="BF434" s="3956"/>
      <c r="BG434" s="3956"/>
      <c r="BH434" s="3956"/>
      <c r="BI434" s="3956"/>
      <c r="BJ434" s="3956"/>
      <c r="BK434" s="3954"/>
      <c r="BL434" s="3954"/>
      <c r="BM434" s="3954"/>
      <c r="BN434" s="3954"/>
      <c r="BO434" s="3957"/>
      <c r="BP434" s="3954"/>
      <c r="BQ434" s="3954"/>
      <c r="BR434" s="3958"/>
      <c r="BS434" s="3957"/>
      <c r="BT434" s="3954"/>
      <c r="BU434" s="3954"/>
      <c r="BV434" s="3954"/>
      <c r="BW434" s="3957"/>
      <c r="BX434" s="3954"/>
      <c r="BY434" s="3954"/>
      <c r="BZ434" s="3958"/>
      <c r="CA434" s="3957"/>
      <c r="CB434" s="3954"/>
      <c r="CC434" s="3954"/>
      <c r="CD434" s="3954"/>
      <c r="CE434" s="3957"/>
      <c r="CF434" s="3954"/>
      <c r="CG434" s="3954"/>
      <c r="CH434" s="3954"/>
      <c r="CI434" s="3957"/>
      <c r="CJ434" s="3954"/>
      <c r="CK434" s="3954"/>
      <c r="CL434" s="3954"/>
      <c r="CM434" s="3957"/>
      <c r="CN434" s="3954"/>
      <c r="CO434" s="3954"/>
      <c r="CP434" s="3954"/>
      <c r="CQ434" s="4066"/>
      <c r="CR434" s="4066"/>
      <c r="CS434" s="4066"/>
      <c r="CT434" s="4069"/>
    </row>
    <row r="435" spans="1:105" hidden="1" outlineLevel="2">
      <c r="A435" s="4070" t="s">
        <v>728</v>
      </c>
      <c r="B435" s="3876"/>
      <c r="C435" s="3876"/>
      <c r="D435" s="3876"/>
      <c r="E435" s="3876"/>
      <c r="F435" s="3876"/>
      <c r="G435" s="3876"/>
      <c r="H435" s="3876"/>
      <c r="I435" s="3876"/>
      <c r="J435" s="3876"/>
      <c r="K435" s="3876"/>
      <c r="L435" s="3876"/>
      <c r="M435" s="3938"/>
      <c r="N435" s="3938"/>
      <c r="O435" s="3938"/>
      <c r="P435" s="3938"/>
      <c r="Q435" s="3938"/>
      <c r="R435" s="3938"/>
      <c r="S435" s="3938"/>
      <c r="T435" s="3938"/>
      <c r="U435" s="1899"/>
      <c r="V435" s="1899"/>
      <c r="W435" s="1899"/>
      <c r="X435" s="1899"/>
      <c r="Y435" s="1899"/>
      <c r="Z435" s="1899"/>
      <c r="AA435" s="1899"/>
      <c r="AB435" s="1899"/>
      <c r="AC435" s="1899"/>
      <c r="AD435" s="1899"/>
      <c r="AE435" s="1899"/>
      <c r="AF435" s="1899"/>
      <c r="AG435" s="2553"/>
      <c r="AH435" s="3921"/>
      <c r="AI435" s="3876"/>
      <c r="AJ435" s="3876"/>
      <c r="AK435" s="3876"/>
      <c r="AL435" s="3876"/>
      <c r="AM435" s="3876"/>
      <c r="AN435" s="3876"/>
      <c r="AO435" s="3876"/>
      <c r="AP435" s="3876"/>
      <c r="AQ435" s="3876"/>
      <c r="AR435" s="3876"/>
      <c r="AS435" s="3876"/>
      <c r="AT435" s="3876"/>
      <c r="AU435" s="3876"/>
      <c r="AV435" s="3876"/>
      <c r="AW435" s="3876"/>
      <c r="AX435" s="3876"/>
      <c r="AY435" s="3876"/>
      <c r="AZ435" s="3876"/>
      <c r="BA435" s="3876"/>
      <c r="BB435" s="3876"/>
      <c r="BC435" s="3876"/>
      <c r="BD435" s="3876"/>
      <c r="BE435" s="3876"/>
      <c r="BF435" s="3876"/>
      <c r="BG435" s="3942"/>
      <c r="BH435" s="3942"/>
      <c r="BI435" s="3942"/>
      <c r="BJ435" s="3942"/>
      <c r="BK435" s="3942"/>
      <c r="BL435" s="3942"/>
      <c r="BM435" s="3942"/>
      <c r="BN435" s="3942"/>
      <c r="BO435" s="3946"/>
      <c r="BP435" s="3942"/>
      <c r="BQ435" s="3942"/>
      <c r="BR435" s="3943"/>
      <c r="BS435" s="3946"/>
      <c r="BT435" s="3942"/>
      <c r="BU435" s="3942"/>
      <c r="BV435" s="3942"/>
      <c r="BW435" s="3946"/>
      <c r="BX435" s="3942"/>
      <c r="BY435" s="3942"/>
      <c r="BZ435" s="3972"/>
      <c r="CA435" s="3946"/>
      <c r="CB435" s="3942"/>
      <c r="CC435" s="3942"/>
      <c r="CD435" s="3942"/>
      <c r="CE435" s="3946"/>
      <c r="CF435" s="3942"/>
      <c r="CG435" s="3942"/>
      <c r="CH435" s="3942"/>
      <c r="CI435" s="3946"/>
      <c r="CJ435" s="3942"/>
      <c r="CK435" s="3942"/>
      <c r="CL435" s="3942"/>
      <c r="CM435" s="3946"/>
      <c r="CN435" s="3942"/>
      <c r="CO435" s="3942"/>
      <c r="CP435" s="3942"/>
      <c r="CQ435" s="3942"/>
      <c r="CR435" s="3942"/>
      <c r="CS435" s="3942"/>
      <c r="CT435" s="3943"/>
    </row>
    <row r="436" spans="1:105" hidden="1" outlineLevel="2">
      <c r="A436" s="1429" t="s">
        <v>2</v>
      </c>
      <c r="B436" s="948"/>
      <c r="C436" s="948"/>
      <c r="D436" s="948"/>
      <c r="E436" s="948"/>
      <c r="F436" s="948"/>
      <c r="G436" s="948"/>
      <c r="H436" s="948"/>
      <c r="I436" s="948"/>
      <c r="J436" s="948"/>
      <c r="K436" s="948"/>
      <c r="L436" s="948"/>
      <c r="M436" s="948">
        <f>SUM(BO436:BR436)</f>
        <v>186</v>
      </c>
      <c r="N436" s="3964">
        <f>+SUM(BS436:BV436)</f>
        <v>170</v>
      </c>
      <c r="O436" s="3964">
        <f>+SUM(BW436:BZ436)</f>
        <v>170</v>
      </c>
      <c r="P436" s="3964">
        <f>+SUM(CA436:CD436)</f>
        <v>137</v>
      </c>
      <c r="Q436" s="3964">
        <f t="shared" ref="Q436:S437" si="780">SUM(CE436:CH436)</f>
        <v>0</v>
      </c>
      <c r="R436" s="3964">
        <f t="shared" si="780"/>
        <v>0</v>
      </c>
      <c r="S436" s="3964">
        <f t="shared" si="780"/>
        <v>0</v>
      </c>
      <c r="T436" s="3964">
        <f>SUM(CH436:CK436)</f>
        <v>0</v>
      </c>
      <c r="U436" s="948"/>
      <c r="V436" s="948"/>
      <c r="W436" s="948"/>
      <c r="X436" s="948"/>
      <c r="Y436" s="948"/>
      <c r="Z436" s="948"/>
      <c r="AA436" s="948"/>
      <c r="AB436" s="948"/>
      <c r="AC436" s="948"/>
      <c r="AD436" s="948"/>
      <c r="AE436" s="948"/>
      <c r="AF436" s="948"/>
      <c r="AG436" s="2553"/>
      <c r="AH436" s="4071"/>
      <c r="AI436" s="948"/>
      <c r="AJ436" s="948"/>
      <c r="AK436" s="948"/>
      <c r="AL436" s="948"/>
      <c r="AM436" s="948"/>
      <c r="AN436" s="948"/>
      <c r="AO436" s="948"/>
      <c r="AP436" s="948"/>
      <c r="AQ436" s="948"/>
      <c r="AR436" s="948"/>
      <c r="AS436" s="948"/>
      <c r="AT436" s="948"/>
      <c r="AU436" s="948"/>
      <c r="AV436" s="948"/>
      <c r="AW436" s="948"/>
      <c r="AX436" s="948"/>
      <c r="AY436" s="948"/>
      <c r="AZ436" s="948"/>
      <c r="BA436" s="948"/>
      <c r="BB436" s="948"/>
      <c r="BC436" s="948"/>
      <c r="BD436" s="948"/>
      <c r="BE436" s="948"/>
      <c r="BF436" s="948"/>
      <c r="BG436" s="948"/>
      <c r="BH436" s="948"/>
      <c r="BI436" s="948"/>
      <c r="BJ436" s="948"/>
      <c r="BK436" s="948"/>
      <c r="BL436" s="948"/>
      <c r="BM436" s="948"/>
      <c r="BN436" s="948"/>
      <c r="BO436" s="2110">
        <v>44</v>
      </c>
      <c r="BP436" s="2093">
        <v>46</v>
      </c>
      <c r="BQ436" s="2093">
        <v>44</v>
      </c>
      <c r="BR436" s="2113">
        <v>52</v>
      </c>
      <c r="BS436" s="2110">
        <v>48</v>
      </c>
      <c r="BT436" s="2093">
        <v>45</v>
      </c>
      <c r="BU436" s="2093">
        <v>38</v>
      </c>
      <c r="BV436" s="2093">
        <v>39</v>
      </c>
      <c r="BW436" s="2110">
        <v>30</v>
      </c>
      <c r="BX436" s="2093">
        <v>50</v>
      </c>
      <c r="BY436" s="2093">
        <v>46</v>
      </c>
      <c r="BZ436" s="361">
        <v>44</v>
      </c>
      <c r="CA436" s="2110">
        <v>44</v>
      </c>
      <c r="CB436" s="2093">
        <v>46</v>
      </c>
      <c r="CC436" s="2093">
        <v>47</v>
      </c>
      <c r="CD436" s="2093"/>
      <c r="CE436" s="2110"/>
      <c r="CF436" s="2093"/>
      <c r="CG436" s="2093"/>
      <c r="CH436" s="2093"/>
      <c r="CI436" s="2110"/>
      <c r="CJ436" s="2093"/>
      <c r="CK436" s="2093"/>
      <c r="CL436" s="2093"/>
      <c r="CM436" s="2110"/>
      <c r="CN436" s="2093"/>
      <c r="CO436" s="2093"/>
      <c r="CP436" s="2093"/>
      <c r="CQ436" s="2093"/>
      <c r="CR436" s="2093"/>
      <c r="CS436" s="2093"/>
      <c r="CT436" s="2113"/>
    </row>
    <row r="437" spans="1:105" hidden="1" outlineLevel="2">
      <c r="A437" s="1429" t="s">
        <v>3</v>
      </c>
      <c r="B437" s="948"/>
      <c r="C437" s="948"/>
      <c r="D437" s="948"/>
      <c r="E437" s="948"/>
      <c r="F437" s="948"/>
      <c r="G437" s="948"/>
      <c r="H437" s="948"/>
      <c r="I437" s="948"/>
      <c r="J437" s="948"/>
      <c r="K437" s="948"/>
      <c r="L437" s="948"/>
      <c r="M437" s="1430">
        <f>SUM(BO437:BR437)</f>
        <v>1154</v>
      </c>
      <c r="N437" s="3964">
        <f>+SUM(BS437:BV437)</f>
        <v>1060</v>
      </c>
      <c r="O437" s="3964">
        <f>+SUM(BW437:BZ437)</f>
        <v>988</v>
      </c>
      <c r="P437" s="3964">
        <f>+SUM(CA437:CD437)</f>
        <v>710</v>
      </c>
      <c r="Q437" s="3964">
        <f t="shared" si="780"/>
        <v>0</v>
      </c>
      <c r="R437" s="3964">
        <f t="shared" si="780"/>
        <v>0</v>
      </c>
      <c r="S437" s="3964">
        <f t="shared" si="780"/>
        <v>0</v>
      </c>
      <c r="T437" s="3964">
        <f>SUM(CH437:CK437)</f>
        <v>0</v>
      </c>
      <c r="U437" s="948"/>
      <c r="V437" s="948"/>
      <c r="W437" s="948"/>
      <c r="X437" s="948"/>
      <c r="Y437" s="948"/>
      <c r="Z437" s="948"/>
      <c r="AA437" s="948"/>
      <c r="AB437" s="948"/>
      <c r="AC437" s="948"/>
      <c r="AD437" s="948"/>
      <c r="AE437" s="948"/>
      <c r="AF437" s="948"/>
      <c r="AG437" s="2553"/>
      <c r="AH437" s="4071"/>
      <c r="AI437" s="948"/>
      <c r="AJ437" s="948"/>
      <c r="AK437" s="948"/>
      <c r="AL437" s="948"/>
      <c r="AM437" s="948"/>
      <c r="AN437" s="948"/>
      <c r="AO437" s="948"/>
      <c r="AP437" s="948"/>
      <c r="AQ437" s="948"/>
      <c r="AR437" s="948"/>
      <c r="AS437" s="948"/>
      <c r="AT437" s="948"/>
      <c r="AU437" s="948"/>
      <c r="AV437" s="948"/>
      <c r="AW437" s="948"/>
      <c r="AX437" s="948"/>
      <c r="AY437" s="948"/>
      <c r="AZ437" s="948"/>
      <c r="BA437" s="948"/>
      <c r="BB437" s="948"/>
      <c r="BC437" s="948"/>
      <c r="BD437" s="948"/>
      <c r="BE437" s="948"/>
      <c r="BF437" s="948"/>
      <c r="BG437" s="948"/>
      <c r="BH437" s="948"/>
      <c r="BI437" s="948"/>
      <c r="BJ437" s="948"/>
      <c r="BK437" s="948"/>
      <c r="BL437" s="948"/>
      <c r="BM437" s="948"/>
      <c r="BN437" s="948"/>
      <c r="BO437" s="1448">
        <v>286</v>
      </c>
      <c r="BP437" s="1445">
        <v>288</v>
      </c>
      <c r="BQ437" s="1445">
        <v>294</v>
      </c>
      <c r="BR437" s="2114">
        <v>286</v>
      </c>
      <c r="BS437" s="1448">
        <v>264</v>
      </c>
      <c r="BT437" s="1445">
        <v>268</v>
      </c>
      <c r="BU437" s="1445">
        <v>265</v>
      </c>
      <c r="BV437" s="1445">
        <v>263</v>
      </c>
      <c r="BW437" s="1448">
        <v>244</v>
      </c>
      <c r="BX437" s="1445">
        <v>251</v>
      </c>
      <c r="BY437" s="1445">
        <v>247</v>
      </c>
      <c r="BZ437" s="1068">
        <v>246</v>
      </c>
      <c r="CA437" s="1448">
        <v>235</v>
      </c>
      <c r="CB437" s="1445">
        <v>237</v>
      </c>
      <c r="CC437" s="1445">
        <v>238</v>
      </c>
      <c r="CD437" s="1445"/>
      <c r="CE437" s="1448"/>
      <c r="CF437" s="1445"/>
      <c r="CG437" s="1445"/>
      <c r="CH437" s="1445"/>
      <c r="CI437" s="1448"/>
      <c r="CJ437" s="1445"/>
      <c r="CK437" s="1445"/>
      <c r="CL437" s="1445"/>
      <c r="CM437" s="1448"/>
      <c r="CN437" s="1445"/>
      <c r="CO437" s="1445"/>
      <c r="CP437" s="1445"/>
      <c r="CQ437" s="1445"/>
      <c r="CR437" s="1445"/>
      <c r="CS437" s="1445"/>
      <c r="CT437" s="2114"/>
    </row>
    <row r="438" spans="1:105" hidden="1" outlineLevel="2">
      <c r="A438" s="1429" t="s">
        <v>4</v>
      </c>
      <c r="B438" s="948"/>
      <c r="C438" s="948"/>
      <c r="D438" s="948"/>
      <c r="E438" s="948"/>
      <c r="F438" s="948"/>
      <c r="G438" s="948"/>
      <c r="H438" s="948"/>
      <c r="I438" s="948"/>
      <c r="J438" s="948"/>
      <c r="K438" s="948"/>
      <c r="L438" s="948"/>
      <c r="M438" s="4072">
        <f t="shared" ref="M438:R438" si="781">SUM(M436:M437)</f>
        <v>1340</v>
      </c>
      <c r="N438" s="4072">
        <f t="shared" si="781"/>
        <v>1230</v>
      </c>
      <c r="O438" s="4072">
        <f t="shared" si="781"/>
        <v>1158</v>
      </c>
      <c r="P438" s="4072">
        <f t="shared" si="781"/>
        <v>847</v>
      </c>
      <c r="Q438" s="4072">
        <f t="shared" si="781"/>
        <v>0</v>
      </c>
      <c r="R438" s="4072">
        <f t="shared" si="781"/>
        <v>0</v>
      </c>
      <c r="S438" s="4072">
        <f>SUM(S436:S437)</f>
        <v>0</v>
      </c>
      <c r="T438" s="4072">
        <f>SUM(T436:T437)</f>
        <v>0</v>
      </c>
      <c r="U438" s="948"/>
      <c r="V438" s="948"/>
      <c r="W438" s="948"/>
      <c r="X438" s="948"/>
      <c r="Y438" s="948"/>
      <c r="Z438" s="948"/>
      <c r="AA438" s="948"/>
      <c r="AB438" s="948"/>
      <c r="AC438" s="948"/>
      <c r="AD438" s="948"/>
      <c r="AE438" s="948"/>
      <c r="AF438" s="948"/>
      <c r="AG438" s="2553"/>
      <c r="AH438" s="4071"/>
      <c r="AI438" s="948"/>
      <c r="AJ438" s="948"/>
      <c r="AK438" s="948"/>
      <c r="AL438" s="948"/>
      <c r="AM438" s="948"/>
      <c r="AN438" s="948"/>
      <c r="AO438" s="948"/>
      <c r="AP438" s="948"/>
      <c r="AQ438" s="948"/>
      <c r="AR438" s="948"/>
      <c r="AS438" s="948"/>
      <c r="AT438" s="948"/>
      <c r="AU438" s="948"/>
      <c r="AV438" s="948"/>
      <c r="AW438" s="948"/>
      <c r="AX438" s="948"/>
      <c r="AY438" s="948"/>
      <c r="AZ438" s="948"/>
      <c r="BA438" s="948"/>
      <c r="BB438" s="948"/>
      <c r="BC438" s="948"/>
      <c r="BD438" s="948"/>
      <c r="BE438" s="948"/>
      <c r="BF438" s="948"/>
      <c r="BG438" s="948"/>
      <c r="BH438" s="948"/>
      <c r="BI438" s="948"/>
      <c r="BJ438" s="948"/>
      <c r="BK438" s="948"/>
      <c r="BL438" s="948"/>
      <c r="BM438" s="948"/>
      <c r="BN438" s="948"/>
      <c r="BO438" s="4073">
        <f t="shared" ref="BO438:CA438" si="782">SUM(BO436:BO437)</f>
        <v>330</v>
      </c>
      <c r="BP438" s="4072">
        <f t="shared" si="782"/>
        <v>334</v>
      </c>
      <c r="BQ438" s="4072">
        <f t="shared" si="782"/>
        <v>338</v>
      </c>
      <c r="BR438" s="4077">
        <f t="shared" si="782"/>
        <v>338</v>
      </c>
      <c r="BS438" s="4073">
        <f t="shared" si="782"/>
        <v>312</v>
      </c>
      <c r="BT438" s="4072">
        <f t="shared" si="782"/>
        <v>313</v>
      </c>
      <c r="BU438" s="4072">
        <f t="shared" si="782"/>
        <v>303</v>
      </c>
      <c r="BV438" s="4072">
        <f t="shared" si="782"/>
        <v>302</v>
      </c>
      <c r="BW438" s="4073">
        <f t="shared" si="782"/>
        <v>274</v>
      </c>
      <c r="BX438" s="4072">
        <f t="shared" si="782"/>
        <v>301</v>
      </c>
      <c r="BY438" s="4072">
        <f t="shared" si="782"/>
        <v>293</v>
      </c>
      <c r="BZ438" s="4084">
        <f t="shared" si="782"/>
        <v>290</v>
      </c>
      <c r="CA438" s="4073">
        <f t="shared" si="782"/>
        <v>279</v>
      </c>
      <c r="CB438" s="4072">
        <f>SUM(CB436:CB437)</f>
        <v>283</v>
      </c>
      <c r="CC438" s="4072">
        <f>SUM(CC436:CC437)</f>
        <v>285</v>
      </c>
      <c r="CD438" s="4072"/>
      <c r="CE438" s="4073"/>
      <c r="CF438" s="4072"/>
      <c r="CG438" s="4072"/>
      <c r="CH438" s="4072"/>
      <c r="CI438" s="4073"/>
      <c r="CJ438" s="4072"/>
      <c r="CK438" s="4072"/>
      <c r="CL438" s="4072"/>
      <c r="CM438" s="4073"/>
      <c r="CN438" s="4072"/>
      <c r="CO438" s="4072"/>
      <c r="CP438" s="4072"/>
      <c r="CQ438" s="4072"/>
      <c r="CR438" s="4072"/>
      <c r="CS438" s="4072"/>
      <c r="CT438" s="4077"/>
    </row>
    <row r="439" spans="1:105" s="285" customFormat="1" hidden="1" outlineLevel="2">
      <c r="A439" s="2107" t="s">
        <v>5</v>
      </c>
      <c r="B439" s="115"/>
      <c r="C439" s="115"/>
      <c r="D439" s="115"/>
      <c r="E439" s="115"/>
      <c r="F439" s="115"/>
      <c r="G439" s="115"/>
      <c r="H439" s="115"/>
      <c r="I439" s="115"/>
      <c r="J439" s="115"/>
      <c r="K439" s="115"/>
      <c r="L439" s="916"/>
      <c r="M439" s="916">
        <f t="shared" ref="M439:T439" si="783">M227-M438</f>
        <v>2595</v>
      </c>
      <c r="N439" s="916">
        <f t="shared" si="783"/>
        <v>2492</v>
      </c>
      <c r="O439" s="916">
        <f t="shared" si="783"/>
        <v>2420</v>
      </c>
      <c r="P439" s="916">
        <f t="shared" si="783"/>
        <v>2561.2849999999999</v>
      </c>
      <c r="Q439" s="916">
        <f t="shared" si="783"/>
        <v>3215.2588500000002</v>
      </c>
      <c r="R439" s="916">
        <f t="shared" si="783"/>
        <v>3171.0616500000001</v>
      </c>
      <c r="S439" s="916">
        <f t="shared" si="783"/>
        <v>0</v>
      </c>
      <c r="T439" s="916">
        <f t="shared" si="783"/>
        <v>0</v>
      </c>
      <c r="U439" s="916"/>
      <c r="V439" s="916"/>
      <c r="W439" s="916"/>
      <c r="X439" s="916"/>
      <c r="Y439" s="916"/>
      <c r="Z439" s="916"/>
      <c r="AA439" s="916"/>
      <c r="AB439" s="916"/>
      <c r="AC439" s="916"/>
      <c r="AD439" s="916"/>
      <c r="AE439" s="916"/>
      <c r="AF439" s="916"/>
      <c r="AG439" s="2553"/>
      <c r="AH439" s="2769"/>
      <c r="AI439" s="916"/>
      <c r="AJ439" s="916"/>
      <c r="AK439" s="916"/>
      <c r="AL439" s="916"/>
      <c r="AM439" s="916"/>
      <c r="AN439" s="916"/>
      <c r="AO439" s="916"/>
      <c r="AP439" s="916"/>
      <c r="AQ439" s="916"/>
      <c r="AR439" s="916"/>
      <c r="AS439" s="916"/>
      <c r="AT439" s="916"/>
      <c r="AU439" s="916"/>
      <c r="AV439" s="916"/>
      <c r="AW439" s="916"/>
      <c r="AX439" s="916"/>
      <c r="AY439" s="916"/>
      <c r="AZ439" s="916"/>
      <c r="BA439" s="916"/>
      <c r="BB439" s="916"/>
      <c r="BC439" s="916"/>
      <c r="BD439" s="916"/>
      <c r="BE439" s="916"/>
      <c r="BF439" s="916"/>
      <c r="BG439" s="916"/>
      <c r="BH439" s="916"/>
      <c r="BI439" s="916"/>
      <c r="BJ439" s="916"/>
      <c r="BK439" s="916"/>
      <c r="BL439" s="916"/>
      <c r="BM439" s="916"/>
      <c r="BN439" s="916"/>
      <c r="BO439" s="154">
        <f t="shared" ref="BO439:CC439" si="784">BO227-BO438</f>
        <v>673</v>
      </c>
      <c r="BP439" s="916">
        <f t="shared" si="784"/>
        <v>651</v>
      </c>
      <c r="BQ439" s="916">
        <f t="shared" si="784"/>
        <v>645</v>
      </c>
      <c r="BR439" s="1075">
        <f t="shared" si="784"/>
        <v>626</v>
      </c>
      <c r="BS439" s="154">
        <f t="shared" si="784"/>
        <v>650</v>
      </c>
      <c r="BT439" s="916">
        <f t="shared" si="784"/>
        <v>632</v>
      </c>
      <c r="BU439" s="916">
        <f t="shared" si="784"/>
        <v>606</v>
      </c>
      <c r="BV439" s="916">
        <f t="shared" si="784"/>
        <v>604</v>
      </c>
      <c r="BW439" s="154">
        <f t="shared" si="784"/>
        <v>632</v>
      </c>
      <c r="BX439" s="916">
        <f t="shared" si="784"/>
        <v>609</v>
      </c>
      <c r="BY439" s="916">
        <f t="shared" si="784"/>
        <v>585</v>
      </c>
      <c r="BZ439" s="223">
        <f t="shared" si="784"/>
        <v>594</v>
      </c>
      <c r="CA439" s="154">
        <f t="shared" si="784"/>
        <v>583</v>
      </c>
      <c r="CB439" s="916">
        <f t="shared" si="784"/>
        <v>583</v>
      </c>
      <c r="CC439" s="916">
        <f t="shared" si="784"/>
        <v>558</v>
      </c>
      <c r="CD439" s="916"/>
      <c r="CE439" s="154"/>
      <c r="CF439" s="916"/>
      <c r="CG439" s="916"/>
      <c r="CH439" s="916"/>
      <c r="CI439" s="154"/>
      <c r="CJ439" s="916"/>
      <c r="CK439" s="916"/>
      <c r="CL439" s="916"/>
      <c r="CM439" s="154"/>
      <c r="CN439" s="916"/>
      <c r="CO439" s="916"/>
      <c r="CP439" s="916"/>
      <c r="CQ439" s="916"/>
      <c r="CR439" s="916"/>
      <c r="CS439" s="916"/>
      <c r="CT439" s="1075"/>
      <c r="CU439" s="68"/>
      <c r="CV439" s="68"/>
      <c r="CW439" s="68"/>
      <c r="CX439" s="68"/>
      <c r="CY439" s="68"/>
      <c r="CZ439" s="68"/>
      <c r="DA439" s="68"/>
    </row>
    <row r="440" spans="1:105" hidden="1" outlineLevel="2">
      <c r="A440" s="3965" t="s">
        <v>34</v>
      </c>
      <c r="B440" s="3876"/>
      <c r="C440" s="3876"/>
      <c r="D440" s="3876"/>
      <c r="E440" s="3876"/>
      <c r="F440" s="3876"/>
      <c r="G440" s="3876"/>
      <c r="H440" s="3876"/>
      <c r="I440" s="3876"/>
      <c r="J440" s="3876"/>
      <c r="K440" s="3876"/>
      <c r="L440" s="3942"/>
      <c r="N440" s="1056">
        <f t="shared" ref="N440:S440" si="785">N439/M439-1</f>
        <v>-3.9691714836223468E-2</v>
      </c>
      <c r="O440" s="1056">
        <f t="shared" si="785"/>
        <v>-2.8892455858748001E-2</v>
      </c>
      <c r="P440" s="1056">
        <f t="shared" si="785"/>
        <v>5.8382231404958684E-2</v>
      </c>
      <c r="Q440" s="1056">
        <f t="shared" si="785"/>
        <v>0.25533037127847957</v>
      </c>
      <c r="R440" s="1056">
        <f t="shared" si="785"/>
        <v>-1.3746078328965683E-2</v>
      </c>
      <c r="S440" s="1056">
        <f t="shared" si="785"/>
        <v>-1</v>
      </c>
      <c r="T440" s="1056" t="e">
        <f>T439/S439-1</f>
        <v>#DIV/0!</v>
      </c>
      <c r="U440" s="3942"/>
      <c r="V440" s="3942"/>
      <c r="W440" s="3942"/>
      <c r="X440" s="3942"/>
      <c r="Y440" s="3942"/>
      <c r="Z440" s="3942"/>
      <c r="AA440" s="3942"/>
      <c r="AB440" s="3942"/>
      <c r="AC440" s="3942"/>
      <c r="AD440" s="3942"/>
      <c r="AE440" s="3942"/>
      <c r="AF440" s="3942"/>
      <c r="AG440" s="2553"/>
      <c r="AH440" s="4079"/>
      <c r="AI440" s="3942"/>
      <c r="AJ440" s="3942"/>
      <c r="AK440" s="3942"/>
      <c r="AL440" s="3942"/>
      <c r="AM440" s="3942"/>
      <c r="AN440" s="3942"/>
      <c r="AO440" s="3942"/>
      <c r="AP440" s="3942"/>
      <c r="AQ440" s="3942"/>
      <c r="AR440" s="3942"/>
      <c r="AS440" s="3942"/>
      <c r="AT440" s="3942"/>
      <c r="AU440" s="3942"/>
      <c r="AV440" s="3942"/>
      <c r="AW440" s="3942"/>
      <c r="AX440" s="3942"/>
      <c r="AY440" s="3942"/>
      <c r="AZ440" s="3942"/>
      <c r="BA440" s="3942"/>
      <c r="BB440" s="3942"/>
      <c r="BC440" s="3942"/>
      <c r="BD440" s="3942"/>
      <c r="BE440" s="3942"/>
      <c r="BF440" s="3942"/>
      <c r="BG440" s="3942"/>
      <c r="BH440" s="3942"/>
      <c r="BI440" s="3942"/>
      <c r="BJ440" s="3942"/>
      <c r="BK440" s="3942"/>
      <c r="BL440" s="3942"/>
      <c r="BM440" s="3942"/>
      <c r="BN440" s="3942"/>
      <c r="BO440" s="1058"/>
      <c r="BP440" s="1056"/>
      <c r="BQ440" s="1056"/>
      <c r="BR440" s="1057"/>
      <c r="BS440" s="1058">
        <f t="shared" ref="BS440:CC440" si="786">BS439/BO439-1</f>
        <v>-3.4175334323922724E-2</v>
      </c>
      <c r="BT440" s="1056">
        <f t="shared" si="786"/>
        <v>-2.9185867895545337E-2</v>
      </c>
      <c r="BU440" s="1056">
        <f t="shared" si="786"/>
        <v>-6.0465116279069808E-2</v>
      </c>
      <c r="BV440" s="1056">
        <f t="shared" si="786"/>
        <v>-3.5143769968051131E-2</v>
      </c>
      <c r="BW440" s="1058">
        <f t="shared" si="786"/>
        <v>-2.7692307692307683E-2</v>
      </c>
      <c r="BX440" s="1056">
        <f t="shared" si="786"/>
        <v>-3.6392405063291111E-2</v>
      </c>
      <c r="BY440" s="1056">
        <f t="shared" si="786"/>
        <v>-3.4653465346534684E-2</v>
      </c>
      <c r="BZ440" s="989">
        <f t="shared" si="786"/>
        <v>-1.655629139072845E-2</v>
      </c>
      <c r="CA440" s="1058">
        <f t="shared" si="786"/>
        <v>-7.7531645569620222E-2</v>
      </c>
      <c r="CB440" s="1056">
        <f t="shared" si="786"/>
        <v>-4.269293924466333E-2</v>
      </c>
      <c r="CC440" s="1056">
        <f t="shared" si="786"/>
        <v>-4.6153846153846101E-2</v>
      </c>
      <c r="CD440" s="1056"/>
      <c r="CE440" s="1058"/>
      <c r="CF440" s="1056"/>
      <c r="CG440" s="1056"/>
      <c r="CH440" s="1056"/>
      <c r="CI440" s="1058"/>
      <c r="CJ440" s="1056"/>
      <c r="CK440" s="1056"/>
      <c r="CL440" s="1056"/>
      <c r="CM440" s="1058"/>
      <c r="CN440" s="1056"/>
      <c r="CO440" s="1056"/>
      <c r="CP440" s="1056"/>
      <c r="CQ440" s="1056"/>
      <c r="CR440" s="1056"/>
      <c r="CS440" s="1056"/>
      <c r="CT440" s="1057"/>
    </row>
    <row r="441" spans="1:105" hidden="1" outlineLevel="2">
      <c r="A441" s="3965" t="s">
        <v>947</v>
      </c>
      <c r="B441" s="3876"/>
      <c r="C441" s="3876"/>
      <c r="D441" s="3876"/>
      <c r="E441" s="3876"/>
      <c r="F441" s="3876"/>
      <c r="G441" s="3876"/>
      <c r="H441" s="3876"/>
      <c r="I441" s="3876"/>
      <c r="J441" s="3876"/>
      <c r="K441" s="3876"/>
      <c r="L441" s="3876"/>
      <c r="M441" s="3938"/>
      <c r="N441" s="3938"/>
      <c r="O441" s="3938"/>
      <c r="P441" s="3938"/>
      <c r="Q441" s="3938"/>
      <c r="R441" s="3938"/>
      <c r="S441" s="3938"/>
      <c r="T441" s="3938"/>
      <c r="U441" s="1899"/>
      <c r="V441" s="1899"/>
      <c r="W441" s="1899"/>
      <c r="X441" s="1899"/>
      <c r="Y441" s="1899"/>
      <c r="Z441" s="1899"/>
      <c r="AA441" s="1899"/>
      <c r="AB441" s="1899"/>
      <c r="AC441" s="1899"/>
      <c r="AD441" s="1899"/>
      <c r="AE441" s="1899"/>
      <c r="AF441" s="1899"/>
      <c r="AG441" s="2553"/>
      <c r="AH441" s="3921"/>
      <c r="AI441" s="3876"/>
      <c r="AJ441" s="3876"/>
      <c r="AK441" s="3876"/>
      <c r="AL441" s="3876"/>
      <c r="AM441" s="3876"/>
      <c r="AN441" s="3876"/>
      <c r="AO441" s="3876"/>
      <c r="AP441" s="3876"/>
      <c r="AQ441" s="3876"/>
      <c r="AR441" s="3876"/>
      <c r="AS441" s="3876"/>
      <c r="AT441" s="3876"/>
      <c r="AU441" s="3876"/>
      <c r="AV441" s="3876"/>
      <c r="AW441" s="3876"/>
      <c r="AX441" s="3876"/>
      <c r="AY441" s="3876"/>
      <c r="AZ441" s="3876"/>
      <c r="BA441" s="3876"/>
      <c r="BB441" s="3876"/>
      <c r="BC441" s="3876"/>
      <c r="BD441" s="3876"/>
      <c r="BE441" s="3876"/>
      <c r="BF441" s="3876"/>
      <c r="BG441" s="3942"/>
      <c r="BH441" s="3942"/>
      <c r="BI441" s="3942"/>
      <c r="BJ441" s="3942"/>
      <c r="BK441" s="3942"/>
      <c r="BL441" s="3942"/>
      <c r="BM441" s="3942"/>
      <c r="BN441" s="3942"/>
      <c r="BO441" s="3946"/>
      <c r="BP441" s="3942">
        <f t="shared" ref="BP441:CC441" si="787">BP439/BO439-1</f>
        <v>-3.268945022288261E-2</v>
      </c>
      <c r="BQ441" s="3942">
        <f t="shared" si="787"/>
        <v>-9.2165898617511122E-3</v>
      </c>
      <c r="BR441" s="3943">
        <f t="shared" si="787"/>
        <v>-2.9457364341085257E-2</v>
      </c>
      <c r="BS441" s="3946">
        <f t="shared" si="787"/>
        <v>3.833865814696491E-2</v>
      </c>
      <c r="BT441" s="3942">
        <f t="shared" si="787"/>
        <v>-2.7692307692307683E-2</v>
      </c>
      <c r="BU441" s="3942">
        <f t="shared" si="787"/>
        <v>-4.1139240506329111E-2</v>
      </c>
      <c r="BV441" s="3942">
        <f t="shared" si="787"/>
        <v>-3.3003300330033403E-3</v>
      </c>
      <c r="BW441" s="3946">
        <f t="shared" si="787"/>
        <v>4.635761589403975E-2</v>
      </c>
      <c r="BX441" s="3942">
        <f t="shared" si="787"/>
        <v>-3.6392405063291111E-2</v>
      </c>
      <c r="BY441" s="3942">
        <f t="shared" si="787"/>
        <v>-3.9408866995073843E-2</v>
      </c>
      <c r="BZ441" s="3972">
        <f t="shared" si="787"/>
        <v>1.538461538461533E-2</v>
      </c>
      <c r="CA441" s="3946">
        <f t="shared" si="787"/>
        <v>-1.851851851851849E-2</v>
      </c>
      <c r="CB441" s="3942">
        <f t="shared" si="787"/>
        <v>0</v>
      </c>
      <c r="CC441" s="3942">
        <f t="shared" si="787"/>
        <v>-4.2881646655231531E-2</v>
      </c>
      <c r="CD441" s="3942"/>
      <c r="CE441" s="3946"/>
      <c r="CF441" s="3942"/>
      <c r="CG441" s="3942"/>
      <c r="CH441" s="3942"/>
      <c r="CI441" s="3946"/>
      <c r="CJ441" s="3942"/>
      <c r="CK441" s="3942"/>
      <c r="CL441" s="3942"/>
      <c r="CM441" s="3946"/>
      <c r="CN441" s="3942"/>
      <c r="CO441" s="3942"/>
      <c r="CP441" s="3942"/>
      <c r="CQ441" s="3942"/>
      <c r="CR441" s="3942"/>
      <c r="CS441" s="3942"/>
      <c r="CT441" s="3943"/>
    </row>
    <row r="442" spans="1:105" hidden="1" outlineLevel="2">
      <c r="A442" s="3965"/>
      <c r="B442" s="3876"/>
      <c r="C442" s="3876"/>
      <c r="D442" s="3876"/>
      <c r="E442" s="3876"/>
      <c r="F442" s="3876"/>
      <c r="G442" s="3876"/>
      <c r="H442" s="3876"/>
      <c r="I442" s="3876"/>
      <c r="J442" s="3876"/>
      <c r="K442" s="3876"/>
      <c r="L442" s="3876"/>
      <c r="M442" s="3938"/>
      <c r="N442" s="3938"/>
      <c r="O442" s="3938"/>
      <c r="P442" s="3938"/>
      <c r="Q442" s="3938"/>
      <c r="R442" s="3938"/>
      <c r="S442" s="3938"/>
      <c r="T442" s="3938"/>
      <c r="U442" s="1899"/>
      <c r="V442" s="1899"/>
      <c r="W442" s="1899"/>
      <c r="X442" s="1899"/>
      <c r="Y442" s="1899"/>
      <c r="Z442" s="1899"/>
      <c r="AA442" s="1899"/>
      <c r="AB442" s="1899"/>
      <c r="AC442" s="1899"/>
      <c r="AD442" s="1899"/>
      <c r="AE442" s="1899"/>
      <c r="AF442" s="1899"/>
      <c r="AG442" s="2553"/>
      <c r="AH442" s="3921"/>
      <c r="AI442" s="3876"/>
      <c r="AJ442" s="3876"/>
      <c r="AK442" s="3876"/>
      <c r="AL442" s="3876"/>
      <c r="AM442" s="3876"/>
      <c r="AN442" s="3876"/>
      <c r="AO442" s="3876"/>
      <c r="AP442" s="3876"/>
      <c r="AQ442" s="3876"/>
      <c r="AR442" s="3876"/>
      <c r="AS442" s="3876"/>
      <c r="AT442" s="3876"/>
      <c r="AU442" s="3876"/>
      <c r="AV442" s="3876"/>
      <c r="AW442" s="3876"/>
      <c r="AX442" s="3876"/>
      <c r="AY442" s="3876"/>
      <c r="AZ442" s="3876"/>
      <c r="BA442" s="3876"/>
      <c r="BB442" s="3876"/>
      <c r="BC442" s="3876"/>
      <c r="BD442" s="3876"/>
      <c r="BE442" s="3876"/>
      <c r="BF442" s="3876"/>
      <c r="BG442" s="3942"/>
      <c r="BH442" s="3942"/>
      <c r="BI442" s="3942"/>
      <c r="BJ442" s="3942"/>
      <c r="BK442" s="3942"/>
      <c r="BL442" s="3942"/>
      <c r="BM442" s="3942"/>
      <c r="BN442" s="3942"/>
      <c r="BO442" s="3946"/>
      <c r="BP442" s="3942"/>
      <c r="BQ442" s="3942"/>
      <c r="BR442" s="3943"/>
      <c r="BS442" s="3946"/>
      <c r="BT442" s="3942"/>
      <c r="BU442" s="3942"/>
      <c r="BV442" s="3942"/>
      <c r="BW442" s="3946"/>
      <c r="BX442" s="3942"/>
      <c r="BY442" s="3942"/>
      <c r="BZ442" s="3972"/>
      <c r="CA442" s="3946"/>
      <c r="CB442" s="3942"/>
      <c r="CC442" s="3942"/>
      <c r="CD442" s="3942"/>
      <c r="CE442" s="3946"/>
      <c r="CF442" s="3942"/>
      <c r="CG442" s="3942"/>
      <c r="CH442" s="3942"/>
      <c r="CI442" s="3946"/>
      <c r="CJ442" s="3942"/>
      <c r="CK442" s="3942"/>
      <c r="CL442" s="3942"/>
      <c r="CM442" s="3946"/>
      <c r="CN442" s="3942"/>
      <c r="CO442" s="3942"/>
      <c r="CP442" s="3942"/>
      <c r="CQ442" s="3942"/>
      <c r="CR442" s="3942"/>
      <c r="CS442" s="3942"/>
      <c r="CT442" s="3943"/>
    </row>
    <row r="443" spans="1:105" s="285" customFormat="1" hidden="1" outlineLevel="2">
      <c r="A443" s="2108" t="s">
        <v>284</v>
      </c>
      <c r="B443" s="288"/>
      <c r="C443" s="288"/>
      <c r="D443" s="288"/>
      <c r="E443" s="288"/>
      <c r="F443" s="288"/>
      <c r="G443" s="288"/>
      <c r="H443" s="288"/>
      <c r="I443" s="288"/>
      <c r="J443" s="288"/>
      <c r="K443" s="288"/>
      <c r="L443" s="288"/>
      <c r="M443" s="2109">
        <f t="shared" ref="M443:T443" si="788">M439/M227</f>
        <v>0.65946632782719183</v>
      </c>
      <c r="N443" s="2109">
        <f t="shared" si="788"/>
        <v>0.66953250940354647</v>
      </c>
      <c r="O443" s="2109">
        <f t="shared" si="788"/>
        <v>0.67635550586920068</v>
      </c>
      <c r="P443" s="2109">
        <f t="shared" si="788"/>
        <v>0.75148791841057894</v>
      </c>
      <c r="Q443" s="2109">
        <f t="shared" si="788"/>
        <v>1</v>
      </c>
      <c r="R443" s="2109">
        <f t="shared" si="788"/>
        <v>1</v>
      </c>
      <c r="S443" s="2109" t="e">
        <f t="shared" si="788"/>
        <v>#DIV/0!</v>
      </c>
      <c r="T443" s="2109" t="e">
        <f t="shared" si="788"/>
        <v>#DIV/0!</v>
      </c>
      <c r="U443" s="2215"/>
      <c r="V443" s="2215"/>
      <c r="W443" s="2215"/>
      <c r="X443" s="2215"/>
      <c r="Y443" s="2215"/>
      <c r="Z443" s="2215"/>
      <c r="AA443" s="2215"/>
      <c r="AB443" s="2215"/>
      <c r="AC443" s="2215"/>
      <c r="AD443" s="2215"/>
      <c r="AE443" s="2215"/>
      <c r="AF443" s="2215"/>
      <c r="AG443" s="2553"/>
      <c r="AH443" s="2715"/>
      <c r="AI443" s="288"/>
      <c r="AJ443" s="288"/>
      <c r="AK443" s="288"/>
      <c r="AL443" s="288" t="e">
        <f t="shared" ref="AL443:CC443" si="789">AL439/AL227</f>
        <v>#DIV/0!</v>
      </c>
      <c r="AM443" s="288" t="e">
        <f t="shared" si="789"/>
        <v>#DIV/0!</v>
      </c>
      <c r="AN443" s="288" t="e">
        <f t="shared" si="789"/>
        <v>#DIV/0!</v>
      </c>
      <c r="AO443" s="288" t="e">
        <f t="shared" si="789"/>
        <v>#DIV/0!</v>
      </c>
      <c r="AP443" s="288" t="e">
        <f t="shared" si="789"/>
        <v>#DIV/0!</v>
      </c>
      <c r="AQ443" s="288" t="e">
        <f t="shared" si="789"/>
        <v>#DIV/0!</v>
      </c>
      <c r="AR443" s="288" t="e">
        <f t="shared" si="789"/>
        <v>#DIV/0!</v>
      </c>
      <c r="AS443" s="288" t="e">
        <f t="shared" si="789"/>
        <v>#DIV/0!</v>
      </c>
      <c r="AT443" s="288" t="e">
        <f t="shared" si="789"/>
        <v>#DIV/0!</v>
      </c>
      <c r="AU443" s="288" t="e">
        <f t="shared" si="789"/>
        <v>#DIV/0!</v>
      </c>
      <c r="AV443" s="288" t="e">
        <f t="shared" si="789"/>
        <v>#DIV/0!</v>
      </c>
      <c r="AW443" s="288" t="e">
        <f t="shared" si="789"/>
        <v>#DIV/0!</v>
      </c>
      <c r="AX443" s="288" t="e">
        <f t="shared" si="789"/>
        <v>#DIV/0!</v>
      </c>
      <c r="AY443" s="288" t="e">
        <f t="shared" si="789"/>
        <v>#DIV/0!</v>
      </c>
      <c r="AZ443" s="288" t="e">
        <f t="shared" si="789"/>
        <v>#DIV/0!</v>
      </c>
      <c r="BA443" s="288" t="e">
        <f t="shared" si="789"/>
        <v>#DIV/0!</v>
      </c>
      <c r="BB443" s="288" t="e">
        <f t="shared" si="789"/>
        <v>#DIV/0!</v>
      </c>
      <c r="BC443" s="288" t="e">
        <f t="shared" si="789"/>
        <v>#DIV/0!</v>
      </c>
      <c r="BD443" s="288" t="e">
        <f t="shared" si="789"/>
        <v>#DIV/0!</v>
      </c>
      <c r="BE443" s="288" t="e">
        <f t="shared" si="789"/>
        <v>#DIV/0!</v>
      </c>
      <c r="BF443" s="288" t="e">
        <f t="shared" si="789"/>
        <v>#DIV/0!</v>
      </c>
      <c r="BG443" s="2109" t="e">
        <f t="shared" si="789"/>
        <v>#DIV/0!</v>
      </c>
      <c r="BH443" s="2109" t="e">
        <f t="shared" si="789"/>
        <v>#DIV/0!</v>
      </c>
      <c r="BI443" s="2109" t="e">
        <f t="shared" si="789"/>
        <v>#DIV/0!</v>
      </c>
      <c r="BJ443" s="2109" t="e">
        <f t="shared" si="789"/>
        <v>#DIV/0!</v>
      </c>
      <c r="BK443" s="2109" t="e">
        <f t="shared" si="789"/>
        <v>#DIV/0!</v>
      </c>
      <c r="BL443" s="2109" t="e">
        <f t="shared" si="789"/>
        <v>#DIV/0!</v>
      </c>
      <c r="BM443" s="2109" t="e">
        <f t="shared" si="789"/>
        <v>#DIV/0!</v>
      </c>
      <c r="BN443" s="2109" t="e">
        <f t="shared" si="789"/>
        <v>#DIV/0!</v>
      </c>
      <c r="BO443" s="2589">
        <f t="shared" si="789"/>
        <v>0.67098703888334998</v>
      </c>
      <c r="BP443" s="2109">
        <f t="shared" si="789"/>
        <v>0.66091370558375639</v>
      </c>
      <c r="BQ443" s="2109">
        <f t="shared" si="789"/>
        <v>0.6561546286876907</v>
      </c>
      <c r="BR443" s="2590">
        <f t="shared" si="789"/>
        <v>0.64937759336099588</v>
      </c>
      <c r="BS443" s="2589">
        <f t="shared" si="789"/>
        <v>0.67567567567567566</v>
      </c>
      <c r="BT443" s="2109">
        <f t="shared" si="789"/>
        <v>0.66878306878306881</v>
      </c>
      <c r="BU443" s="2109">
        <f t="shared" si="789"/>
        <v>0.66666666666666663</v>
      </c>
      <c r="BV443" s="2109">
        <f t="shared" si="789"/>
        <v>0.66666666666666663</v>
      </c>
      <c r="BW443" s="2589">
        <f t="shared" si="789"/>
        <v>0.69757174392935983</v>
      </c>
      <c r="BX443" s="2109">
        <f t="shared" si="789"/>
        <v>0.66923076923076918</v>
      </c>
      <c r="BY443" s="2109">
        <f t="shared" si="789"/>
        <v>0.66628701594533024</v>
      </c>
      <c r="BZ443" s="2590">
        <f t="shared" si="789"/>
        <v>0.67194570135746612</v>
      </c>
      <c r="CA443" s="2589">
        <f t="shared" si="789"/>
        <v>0.67633410672853833</v>
      </c>
      <c r="CB443" s="2109">
        <f t="shared" si="789"/>
        <v>0.67321016166281755</v>
      </c>
      <c r="CC443" s="2109">
        <f t="shared" si="789"/>
        <v>0.66192170818505336</v>
      </c>
      <c r="CD443" s="2109" t="s">
        <v>1246</v>
      </c>
      <c r="CE443" s="2589"/>
      <c r="CF443" s="2109"/>
      <c r="CG443" s="2109"/>
      <c r="CH443" s="2109"/>
      <c r="CI443" s="2589"/>
      <c r="CJ443" s="2109"/>
      <c r="CK443" s="2109"/>
      <c r="CL443" s="2109"/>
      <c r="CM443" s="2589"/>
      <c r="CN443" s="2109"/>
      <c r="CO443" s="2109"/>
      <c r="CP443" s="2109"/>
      <c r="CQ443" s="2109"/>
      <c r="CR443" s="2109"/>
      <c r="CS443" s="2109"/>
      <c r="CT443" s="2590"/>
      <c r="CU443" s="68"/>
      <c r="CV443" s="68"/>
      <c r="CW443" s="68"/>
      <c r="CX443" s="68"/>
      <c r="CY443" s="68"/>
      <c r="CZ443" s="68"/>
      <c r="DA443" s="68"/>
    </row>
    <row r="444" spans="1:105" hidden="1" outlineLevel="2">
      <c r="A444" s="4070"/>
      <c r="B444" s="3876"/>
      <c r="C444" s="3876"/>
      <c r="D444" s="3876"/>
      <c r="E444" s="3876"/>
      <c r="F444" s="3876"/>
      <c r="G444" s="3876"/>
      <c r="H444" s="3876"/>
      <c r="I444" s="3876"/>
      <c r="J444" s="3876"/>
      <c r="K444" s="3876"/>
      <c r="L444" s="3876"/>
      <c r="M444" s="3938"/>
      <c r="N444" s="3938"/>
      <c r="O444" s="3938"/>
      <c r="P444" s="3938"/>
      <c r="Q444" s="3938"/>
      <c r="R444" s="3938"/>
      <c r="S444" s="3938"/>
      <c r="T444" s="3938"/>
      <c r="U444" s="1899"/>
      <c r="V444" s="1899"/>
      <c r="W444" s="1899"/>
      <c r="X444" s="1899"/>
      <c r="Y444" s="1899"/>
      <c r="Z444" s="1899"/>
      <c r="AA444" s="1899"/>
      <c r="AB444" s="1899"/>
      <c r="AC444" s="1899"/>
      <c r="AD444" s="1899"/>
      <c r="AE444" s="1899"/>
      <c r="AF444" s="1899"/>
      <c r="AG444" s="2553"/>
      <c r="AH444" s="3921"/>
      <c r="AI444" s="3876"/>
      <c r="AJ444" s="3876"/>
      <c r="AK444" s="3876"/>
      <c r="AL444" s="3876"/>
      <c r="AM444" s="3876"/>
      <c r="AN444" s="3876"/>
      <c r="AO444" s="3876"/>
      <c r="AP444" s="3876"/>
      <c r="AQ444" s="3876"/>
      <c r="AR444" s="3876"/>
      <c r="AS444" s="3876"/>
      <c r="AT444" s="3876"/>
      <c r="AU444" s="3876"/>
      <c r="AV444" s="3876"/>
      <c r="AW444" s="3876"/>
      <c r="AX444" s="3876"/>
      <c r="AY444" s="3876"/>
      <c r="AZ444" s="3876"/>
      <c r="BA444" s="3876"/>
      <c r="BB444" s="3876"/>
      <c r="BC444" s="3876"/>
      <c r="BD444" s="3876"/>
      <c r="BE444" s="3876"/>
      <c r="BF444" s="3876"/>
      <c r="BG444" s="3942"/>
      <c r="BH444" s="3942"/>
      <c r="BI444" s="3942"/>
      <c r="BJ444" s="3942"/>
      <c r="BK444" s="3942"/>
      <c r="BL444" s="3942"/>
      <c r="BM444" s="3942"/>
      <c r="BN444" s="3942"/>
      <c r="BO444" s="3946"/>
      <c r="BP444" s="3942"/>
      <c r="BQ444" s="3942"/>
      <c r="BR444" s="3943"/>
      <c r="BS444" s="3946"/>
      <c r="BT444" s="3942"/>
      <c r="BU444" s="3942"/>
      <c r="BV444" s="3942"/>
      <c r="BW444" s="3946"/>
      <c r="BX444" s="3942"/>
      <c r="BY444" s="3942"/>
      <c r="BZ444" s="3972"/>
      <c r="CA444" s="3946"/>
      <c r="CB444" s="3942"/>
      <c r="CC444" s="3942"/>
      <c r="CD444" s="3942"/>
      <c r="CE444" s="3946"/>
      <c r="CF444" s="3942"/>
      <c r="CG444" s="3942"/>
      <c r="CH444" s="3942"/>
      <c r="CI444" s="3946"/>
      <c r="CJ444" s="3942"/>
      <c r="CK444" s="3942"/>
      <c r="CL444" s="3942"/>
      <c r="CM444" s="3946"/>
      <c r="CN444" s="3942"/>
      <c r="CO444" s="3942"/>
      <c r="CP444" s="3942"/>
      <c r="CQ444" s="3942"/>
      <c r="CR444" s="3942"/>
      <c r="CS444" s="3942"/>
      <c r="CT444" s="3943"/>
    </row>
    <row r="445" spans="1:105" hidden="1" outlineLevel="2">
      <c r="A445" s="2065" t="s">
        <v>280</v>
      </c>
      <c r="B445" s="3954"/>
      <c r="C445" s="3954"/>
      <c r="D445" s="3954"/>
      <c r="E445" s="3954"/>
      <c r="F445" s="3954"/>
      <c r="G445" s="3954"/>
      <c r="H445" s="3954"/>
      <c r="I445" s="3954"/>
      <c r="J445" s="3954"/>
      <c r="K445" s="3954"/>
      <c r="L445" s="3954"/>
      <c r="M445" s="3954"/>
      <c r="N445" s="3954"/>
      <c r="O445" s="3954"/>
      <c r="P445" s="3954"/>
      <c r="Q445" s="3954"/>
      <c r="R445" s="3954"/>
      <c r="S445" s="3954"/>
      <c r="T445" s="3954"/>
      <c r="U445" s="3954"/>
      <c r="V445" s="3954"/>
      <c r="W445" s="3954"/>
      <c r="X445" s="3954"/>
      <c r="Y445" s="3954"/>
      <c r="Z445" s="3954"/>
      <c r="AA445" s="3954"/>
      <c r="AB445" s="3954"/>
      <c r="AC445" s="3954"/>
      <c r="AD445" s="3954"/>
      <c r="AE445" s="3954"/>
      <c r="AF445" s="3954"/>
      <c r="AG445" s="2553"/>
      <c r="AH445" s="3921"/>
      <c r="AI445" s="3954"/>
      <c r="AJ445" s="3954"/>
      <c r="AK445" s="3954"/>
      <c r="AL445" s="3954"/>
      <c r="AM445" s="3954"/>
      <c r="AN445" s="3954"/>
      <c r="AO445" s="3954"/>
      <c r="AP445" s="3954"/>
      <c r="AQ445" s="3954"/>
      <c r="AR445" s="3954"/>
      <c r="AS445" s="3954"/>
      <c r="AT445" s="3954"/>
      <c r="AU445" s="3954"/>
      <c r="AV445" s="3954"/>
      <c r="AW445" s="3954"/>
      <c r="AX445" s="3954"/>
      <c r="AY445" s="3954"/>
      <c r="AZ445" s="3954"/>
      <c r="BA445" s="3954"/>
      <c r="BB445" s="3954"/>
      <c r="BC445" s="3956"/>
      <c r="BD445" s="3956"/>
      <c r="BE445" s="3956"/>
      <c r="BF445" s="3956"/>
      <c r="BG445" s="3956"/>
      <c r="BH445" s="3956"/>
      <c r="BI445" s="3956"/>
      <c r="BJ445" s="3956"/>
      <c r="BK445" s="3954"/>
      <c r="BL445" s="3954"/>
      <c r="BM445" s="3954"/>
      <c r="BN445" s="3954"/>
      <c r="BO445" s="3957"/>
      <c r="BP445" s="3954"/>
      <c r="BQ445" s="3954"/>
      <c r="BR445" s="3958"/>
      <c r="BS445" s="3957"/>
      <c r="BT445" s="3954"/>
      <c r="BU445" s="3954"/>
      <c r="BV445" s="3954"/>
      <c r="BW445" s="3957"/>
      <c r="BX445" s="3954"/>
      <c r="BY445" s="3954"/>
      <c r="BZ445" s="3958"/>
      <c r="CA445" s="3957"/>
      <c r="CB445" s="3954"/>
      <c r="CC445" s="3954"/>
      <c r="CD445" s="3954"/>
      <c r="CE445" s="3957"/>
      <c r="CF445" s="3954"/>
      <c r="CG445" s="3954"/>
      <c r="CH445" s="3954"/>
      <c r="CI445" s="3957"/>
      <c r="CJ445" s="3954"/>
      <c r="CK445" s="3954"/>
      <c r="CL445" s="3954"/>
      <c r="CM445" s="3957"/>
      <c r="CN445" s="3954"/>
      <c r="CO445" s="3954"/>
      <c r="CP445" s="3954"/>
      <c r="CQ445" s="3954"/>
      <c r="CR445" s="3954"/>
      <c r="CS445" s="3954"/>
      <c r="CT445" s="3958"/>
    </row>
    <row r="446" spans="1:105" hidden="1" outlineLevel="2">
      <c r="A446" s="4070" t="s">
        <v>728</v>
      </c>
      <c r="B446" s="3876"/>
      <c r="C446" s="3876"/>
      <c r="D446" s="3876"/>
      <c r="E446" s="3876"/>
      <c r="F446" s="3876"/>
      <c r="G446" s="3876"/>
      <c r="H446" s="3876"/>
      <c r="I446" s="3876"/>
      <c r="J446" s="3876"/>
      <c r="K446" s="3876"/>
      <c r="L446" s="3876"/>
      <c r="M446" s="3938"/>
      <c r="N446" s="3938"/>
      <c r="O446" s="3938"/>
      <c r="P446" s="3938"/>
      <c r="Q446" s="3938"/>
      <c r="R446" s="3938"/>
      <c r="S446" s="3938"/>
      <c r="T446" s="3938"/>
      <c r="U446" s="1899"/>
      <c r="V446" s="1899"/>
      <c r="W446" s="1899"/>
      <c r="X446" s="1899"/>
      <c r="Y446" s="1899"/>
      <c r="Z446" s="1899"/>
      <c r="AA446" s="1899"/>
      <c r="AB446" s="1899"/>
      <c r="AC446" s="1899"/>
      <c r="AD446" s="1899"/>
      <c r="AE446" s="1899"/>
      <c r="AF446" s="1899"/>
      <c r="AG446" s="2553"/>
      <c r="AH446" s="3921"/>
      <c r="AI446" s="3876"/>
      <c r="AJ446" s="3876"/>
      <c r="AK446" s="3876"/>
      <c r="AL446" s="3876"/>
      <c r="AM446" s="3876"/>
      <c r="AN446" s="3876"/>
      <c r="AO446" s="3876"/>
      <c r="AP446" s="3876"/>
      <c r="AQ446" s="3876"/>
      <c r="AR446" s="3876"/>
      <c r="AS446" s="3876"/>
      <c r="AT446" s="3876"/>
      <c r="AU446" s="3876"/>
      <c r="AV446" s="3876"/>
      <c r="AW446" s="3876"/>
      <c r="AX446" s="3876"/>
      <c r="AY446" s="3876"/>
      <c r="AZ446" s="3876"/>
      <c r="BA446" s="3876"/>
      <c r="BB446" s="3876"/>
      <c r="BC446" s="3876"/>
      <c r="BD446" s="3876"/>
      <c r="BE446" s="3876"/>
      <c r="BF446" s="3876"/>
      <c r="BG446" s="3942"/>
      <c r="BH446" s="3942"/>
      <c r="BI446" s="3942"/>
      <c r="BJ446" s="3942"/>
      <c r="BK446" s="3942"/>
      <c r="BL446" s="3942"/>
      <c r="BM446" s="3942"/>
      <c r="BN446" s="3942"/>
      <c r="BO446" s="3946"/>
      <c r="BP446" s="3942"/>
      <c r="BQ446" s="3942"/>
      <c r="BR446" s="3943"/>
      <c r="BS446" s="3946"/>
      <c r="BT446" s="3942"/>
      <c r="BU446" s="3942"/>
      <c r="BV446" s="3942"/>
      <c r="BW446" s="3946"/>
      <c r="BX446" s="3942"/>
      <c r="BY446" s="3942"/>
      <c r="BZ446" s="3972"/>
      <c r="CA446" s="3946"/>
      <c r="CB446" s="3942"/>
      <c r="CC446" s="3942"/>
      <c r="CD446" s="3942"/>
      <c r="CE446" s="3946"/>
      <c r="CF446" s="3942"/>
      <c r="CG446" s="3942"/>
      <c r="CH446" s="3942"/>
      <c r="CI446" s="3946"/>
      <c r="CJ446" s="3942"/>
      <c r="CK446" s="3942"/>
      <c r="CL446" s="3942"/>
      <c r="CM446" s="3946"/>
      <c r="CN446" s="3942"/>
      <c r="CO446" s="3942"/>
      <c r="CP446" s="3942"/>
      <c r="CQ446" s="3942"/>
      <c r="CR446" s="3942"/>
      <c r="CS446" s="3942"/>
      <c r="CT446" s="3943"/>
    </row>
    <row r="447" spans="1:105" hidden="1" outlineLevel="2">
      <c r="A447" s="4070" t="s">
        <v>2</v>
      </c>
      <c r="B447" s="3876"/>
      <c r="C447" s="3876"/>
      <c r="D447" s="3876"/>
      <c r="E447" s="3876"/>
      <c r="F447" s="3876"/>
      <c r="G447" s="3876"/>
      <c r="H447" s="3876"/>
      <c r="I447" s="3876"/>
      <c r="J447" s="3876"/>
      <c r="K447" s="3876"/>
      <c r="L447" s="948"/>
      <c r="M447" s="948">
        <f>SUM(BO447:BR447)</f>
        <v>896</v>
      </c>
      <c r="N447" s="3964">
        <f>+SUM(BS447:BV447)</f>
        <v>814</v>
      </c>
      <c r="O447" s="3964">
        <f>+SUM(BW447:BZ447)</f>
        <v>872</v>
      </c>
      <c r="P447" s="3964">
        <f>+SUM(CA447:CD447)</f>
        <v>694</v>
      </c>
      <c r="Q447" s="3964">
        <f t="shared" ref="Q447:S448" si="790">SUM(CE447:CH447)</f>
        <v>0</v>
      </c>
      <c r="R447" s="3964">
        <f t="shared" si="790"/>
        <v>0</v>
      </c>
      <c r="S447" s="3964">
        <f t="shared" si="790"/>
        <v>0</v>
      </c>
      <c r="T447" s="3964">
        <f>SUM(CH447:CK447)</f>
        <v>0</v>
      </c>
      <c r="U447" s="948"/>
      <c r="V447" s="948"/>
      <c r="W447" s="948"/>
      <c r="X447" s="948"/>
      <c r="Y447" s="948"/>
      <c r="Z447" s="948"/>
      <c r="AA447" s="948"/>
      <c r="AB447" s="948"/>
      <c r="AC447" s="948"/>
      <c r="AD447" s="948"/>
      <c r="AE447" s="948"/>
      <c r="AF447" s="948"/>
      <c r="AG447" s="2553"/>
      <c r="AH447" s="4071"/>
      <c r="AI447" s="948"/>
      <c r="AJ447" s="948"/>
      <c r="AK447" s="948"/>
      <c r="AL447" s="948"/>
      <c r="AM447" s="948"/>
      <c r="AN447" s="948"/>
      <c r="AO447" s="948"/>
      <c r="AP447" s="948"/>
      <c r="AQ447" s="948"/>
      <c r="AR447" s="948"/>
      <c r="AS447" s="948"/>
      <c r="AT447" s="948"/>
      <c r="AU447" s="948"/>
      <c r="AV447" s="948"/>
      <c r="AW447" s="948"/>
      <c r="AX447" s="948"/>
      <c r="AY447" s="948"/>
      <c r="AZ447" s="948"/>
      <c r="BA447" s="948"/>
      <c r="BB447" s="948"/>
      <c r="BC447" s="948"/>
      <c r="BD447" s="948"/>
      <c r="BE447" s="948"/>
      <c r="BF447" s="948"/>
      <c r="BG447" s="948"/>
      <c r="BH447" s="948"/>
      <c r="BI447" s="948"/>
      <c r="BJ447" s="948"/>
      <c r="BK447" s="948"/>
      <c r="BL447" s="948"/>
      <c r="BM447" s="948"/>
      <c r="BN447" s="948"/>
      <c r="BO447" s="2110">
        <v>212</v>
      </c>
      <c r="BP447" s="2093">
        <v>227</v>
      </c>
      <c r="BQ447" s="2093">
        <v>225</v>
      </c>
      <c r="BR447" s="2113">
        <v>232</v>
      </c>
      <c r="BS447" s="2110">
        <v>232</v>
      </c>
      <c r="BT447" s="2093">
        <v>186</v>
      </c>
      <c r="BU447" s="2093">
        <v>193</v>
      </c>
      <c r="BV447" s="2093">
        <v>203</v>
      </c>
      <c r="BW447" s="2110">
        <v>209</v>
      </c>
      <c r="BX447" s="2093">
        <v>215</v>
      </c>
      <c r="BY447" s="2093">
        <v>219</v>
      </c>
      <c r="BZ447" s="361">
        <v>229</v>
      </c>
      <c r="CA447" s="2110">
        <v>238</v>
      </c>
      <c r="CB447" s="2093">
        <v>226</v>
      </c>
      <c r="CC447" s="2093">
        <v>230</v>
      </c>
      <c r="CD447" s="2093"/>
      <c r="CE447" s="2110"/>
      <c r="CF447" s="2093"/>
      <c r="CG447" s="2093"/>
      <c r="CH447" s="2093"/>
      <c r="CI447" s="2110"/>
      <c r="CJ447" s="2093"/>
      <c r="CK447" s="2093"/>
      <c r="CL447" s="2093"/>
      <c r="CM447" s="2110"/>
      <c r="CN447" s="2093"/>
      <c r="CO447" s="2093"/>
      <c r="CP447" s="2093"/>
      <c r="CQ447" s="2093"/>
      <c r="CR447" s="2093"/>
      <c r="CS447" s="2093"/>
      <c r="CT447" s="2113"/>
    </row>
    <row r="448" spans="1:105" hidden="1" outlineLevel="2">
      <c r="A448" s="4070" t="s">
        <v>3</v>
      </c>
      <c r="B448" s="3876"/>
      <c r="C448" s="3876"/>
      <c r="D448" s="3876"/>
      <c r="E448" s="3876"/>
      <c r="F448" s="3876"/>
      <c r="G448" s="3876"/>
      <c r="H448" s="3876"/>
      <c r="I448" s="3876"/>
      <c r="J448" s="3876"/>
      <c r="K448" s="3876"/>
      <c r="L448" s="948"/>
      <c r="M448" s="1430">
        <f>SUM(BO448:BR448)</f>
        <v>-7</v>
      </c>
      <c r="N448" s="3964">
        <f>+SUM(BS448:BV448)</f>
        <v>116</v>
      </c>
      <c r="O448" s="3964">
        <f>+SUM(BW448:BZ448)</f>
        <v>162</v>
      </c>
      <c r="P448" s="3964">
        <f>+SUM(CA448:CD448)</f>
        <v>112</v>
      </c>
      <c r="Q448" s="3964">
        <f t="shared" si="790"/>
        <v>0</v>
      </c>
      <c r="R448" s="3964">
        <f t="shared" si="790"/>
        <v>0</v>
      </c>
      <c r="S448" s="3964">
        <f t="shared" si="790"/>
        <v>0</v>
      </c>
      <c r="T448" s="3964">
        <f>SUM(CH448:CK448)</f>
        <v>0</v>
      </c>
      <c r="U448" s="948"/>
      <c r="V448" s="948"/>
      <c r="W448" s="948"/>
      <c r="X448" s="948"/>
      <c r="Y448" s="948"/>
      <c r="Z448" s="948"/>
      <c r="AA448" s="948"/>
      <c r="AB448" s="948"/>
      <c r="AC448" s="948"/>
      <c r="AD448" s="948"/>
      <c r="AE448" s="948"/>
      <c r="AF448" s="948"/>
      <c r="AG448" s="2553"/>
      <c r="AH448" s="4071"/>
      <c r="AI448" s="948"/>
      <c r="AJ448" s="948"/>
      <c r="AK448" s="948"/>
      <c r="AL448" s="948"/>
      <c r="AM448" s="948"/>
      <c r="AN448" s="948"/>
      <c r="AO448" s="948"/>
      <c r="AP448" s="948"/>
      <c r="AQ448" s="948"/>
      <c r="AR448" s="948"/>
      <c r="AS448" s="948"/>
      <c r="AT448" s="948"/>
      <c r="AU448" s="948"/>
      <c r="AV448" s="948"/>
      <c r="AW448" s="948"/>
      <c r="AX448" s="948"/>
      <c r="AY448" s="948"/>
      <c r="AZ448" s="948"/>
      <c r="BA448" s="948"/>
      <c r="BB448" s="948"/>
      <c r="BC448" s="948"/>
      <c r="BD448" s="948"/>
      <c r="BE448" s="948"/>
      <c r="BF448" s="948"/>
      <c r="BG448" s="948"/>
      <c r="BH448" s="948"/>
      <c r="BI448" s="948"/>
      <c r="BJ448" s="948"/>
      <c r="BK448" s="948"/>
      <c r="BL448" s="948"/>
      <c r="BM448" s="948"/>
      <c r="BN448" s="948"/>
      <c r="BO448" s="1448">
        <v>-1</v>
      </c>
      <c r="BP448" s="1445">
        <v>-2</v>
      </c>
      <c r="BQ448" s="1445">
        <v>-2</v>
      </c>
      <c r="BR448" s="2114">
        <v>-2</v>
      </c>
      <c r="BS448" s="1448">
        <v>-1</v>
      </c>
      <c r="BT448" s="1445">
        <v>39</v>
      </c>
      <c r="BU448" s="1445">
        <v>39</v>
      </c>
      <c r="BV448" s="1445">
        <v>39</v>
      </c>
      <c r="BW448" s="1448">
        <v>39</v>
      </c>
      <c r="BX448" s="1445">
        <v>39</v>
      </c>
      <c r="BY448" s="1445">
        <v>41</v>
      </c>
      <c r="BZ448" s="1068">
        <v>43</v>
      </c>
      <c r="CA448" s="1448">
        <v>36</v>
      </c>
      <c r="CB448" s="1445">
        <v>38</v>
      </c>
      <c r="CC448" s="1445">
        <v>38</v>
      </c>
      <c r="CD448" s="1445"/>
      <c r="CE448" s="1448"/>
      <c r="CF448" s="1445"/>
      <c r="CG448" s="1445"/>
      <c r="CH448" s="1445"/>
      <c r="CI448" s="1448"/>
      <c r="CJ448" s="1445"/>
      <c r="CK448" s="1445"/>
      <c r="CL448" s="1445"/>
      <c r="CM448" s="1448"/>
      <c r="CN448" s="1445"/>
      <c r="CO448" s="1445"/>
      <c r="CP448" s="1445"/>
      <c r="CQ448" s="1445"/>
      <c r="CR448" s="1445"/>
      <c r="CS448" s="1445"/>
      <c r="CT448" s="2114"/>
    </row>
    <row r="449" spans="1:105" hidden="1" outlineLevel="2">
      <c r="A449" s="4070" t="s">
        <v>4</v>
      </c>
      <c r="B449" s="3876"/>
      <c r="C449" s="3876"/>
      <c r="D449" s="3876"/>
      <c r="E449" s="3876"/>
      <c r="F449" s="3876"/>
      <c r="G449" s="3876"/>
      <c r="H449" s="3876"/>
      <c r="I449" s="3876"/>
      <c r="J449" s="3876"/>
      <c r="K449" s="3876"/>
      <c r="L449" s="948"/>
      <c r="M449" s="4072">
        <f t="shared" ref="M449:R449" si="791">SUM(M447:M448)</f>
        <v>889</v>
      </c>
      <c r="N449" s="4072">
        <f t="shared" si="791"/>
        <v>930</v>
      </c>
      <c r="O449" s="4072">
        <f t="shared" si="791"/>
        <v>1034</v>
      </c>
      <c r="P449" s="4072">
        <f t="shared" si="791"/>
        <v>806</v>
      </c>
      <c r="Q449" s="4072">
        <f t="shared" si="791"/>
        <v>0</v>
      </c>
      <c r="R449" s="4072">
        <f t="shared" si="791"/>
        <v>0</v>
      </c>
      <c r="S449" s="4072">
        <f>SUM(S447:S448)</f>
        <v>0</v>
      </c>
      <c r="T449" s="4072">
        <f>SUM(T447:T448)</f>
        <v>0</v>
      </c>
      <c r="U449" s="948"/>
      <c r="V449" s="948"/>
      <c r="W449" s="948"/>
      <c r="X449" s="948"/>
      <c r="Y449" s="948"/>
      <c r="Z449" s="948"/>
      <c r="AA449" s="948"/>
      <c r="AB449" s="948"/>
      <c r="AC449" s="948"/>
      <c r="AD449" s="948"/>
      <c r="AE449" s="948"/>
      <c r="AF449" s="948"/>
      <c r="AG449" s="2553"/>
      <c r="AH449" s="4071"/>
      <c r="AI449" s="948"/>
      <c r="AJ449" s="948"/>
      <c r="AK449" s="948"/>
      <c r="AL449" s="948"/>
      <c r="AM449" s="948"/>
      <c r="AN449" s="948"/>
      <c r="AO449" s="948"/>
      <c r="AP449" s="948"/>
      <c r="AQ449" s="948"/>
      <c r="AR449" s="948"/>
      <c r="AS449" s="948"/>
      <c r="AT449" s="948"/>
      <c r="AU449" s="948"/>
      <c r="AV449" s="948"/>
      <c r="AW449" s="948"/>
      <c r="AX449" s="948"/>
      <c r="AY449" s="948"/>
      <c r="AZ449" s="948"/>
      <c r="BA449" s="948"/>
      <c r="BB449" s="948"/>
      <c r="BC449" s="948"/>
      <c r="BD449" s="948"/>
      <c r="BE449" s="948"/>
      <c r="BF449" s="948"/>
      <c r="BG449" s="948"/>
      <c r="BH449" s="948"/>
      <c r="BI449" s="948"/>
      <c r="BJ449" s="948"/>
      <c r="BK449" s="948"/>
      <c r="BL449" s="948"/>
      <c r="BM449" s="948"/>
      <c r="BN449" s="948"/>
      <c r="BO449" s="4073">
        <f t="shared" ref="BO449:CA449" si="792">SUM(BO447:BO448)</f>
        <v>211</v>
      </c>
      <c r="BP449" s="4072">
        <f t="shared" si="792"/>
        <v>225</v>
      </c>
      <c r="BQ449" s="4072">
        <f t="shared" si="792"/>
        <v>223</v>
      </c>
      <c r="BR449" s="4077">
        <f t="shared" si="792"/>
        <v>230</v>
      </c>
      <c r="BS449" s="4073">
        <f t="shared" si="792"/>
        <v>231</v>
      </c>
      <c r="BT449" s="4072">
        <f t="shared" si="792"/>
        <v>225</v>
      </c>
      <c r="BU449" s="4072">
        <f t="shared" si="792"/>
        <v>232</v>
      </c>
      <c r="BV449" s="4072">
        <f t="shared" si="792"/>
        <v>242</v>
      </c>
      <c r="BW449" s="4073">
        <f t="shared" si="792"/>
        <v>248</v>
      </c>
      <c r="BX449" s="4072">
        <f t="shared" si="792"/>
        <v>254</v>
      </c>
      <c r="BY449" s="4072">
        <f t="shared" si="792"/>
        <v>260</v>
      </c>
      <c r="BZ449" s="4077">
        <f t="shared" si="792"/>
        <v>272</v>
      </c>
      <c r="CA449" s="4073">
        <f t="shared" si="792"/>
        <v>274</v>
      </c>
      <c r="CB449" s="4072">
        <f>SUM(CB447:CB448)</f>
        <v>264</v>
      </c>
      <c r="CC449" s="4072">
        <f>SUM(CC447:CC448)</f>
        <v>268</v>
      </c>
      <c r="CD449" s="4072"/>
      <c r="CE449" s="4073"/>
      <c r="CF449" s="4072"/>
      <c r="CG449" s="4072"/>
      <c r="CH449" s="4072"/>
      <c r="CI449" s="4073"/>
      <c r="CJ449" s="4072"/>
      <c r="CK449" s="4072"/>
      <c r="CL449" s="4072"/>
      <c r="CM449" s="4073"/>
      <c r="CN449" s="4072"/>
      <c r="CO449" s="4072"/>
      <c r="CP449" s="4072"/>
      <c r="CQ449" s="4072"/>
      <c r="CR449" s="4072"/>
      <c r="CS449" s="4072"/>
      <c r="CT449" s="4077"/>
    </row>
    <row r="450" spans="1:105" s="285" customFormat="1" hidden="1" outlineLevel="2">
      <c r="A450" s="2107" t="s">
        <v>5</v>
      </c>
      <c r="B450" s="115"/>
      <c r="C450" s="115"/>
      <c r="D450" s="115"/>
      <c r="E450" s="115"/>
      <c r="F450" s="115"/>
      <c r="G450" s="115"/>
      <c r="H450" s="115"/>
      <c r="I450" s="115"/>
      <c r="J450" s="115"/>
      <c r="K450" s="115"/>
      <c r="L450" s="916"/>
      <c r="M450" s="916">
        <f t="shared" ref="M450:T450" si="793">M236-M449</f>
        <v>329</v>
      </c>
      <c r="N450" s="916">
        <f t="shared" si="793"/>
        <v>370</v>
      </c>
      <c r="O450" s="916">
        <f t="shared" si="793"/>
        <v>342</v>
      </c>
      <c r="P450" s="916">
        <f t="shared" si="793"/>
        <v>639.41499999999996</v>
      </c>
      <c r="Q450" s="916">
        <f t="shared" si="793"/>
        <v>1524.9128249999999</v>
      </c>
      <c r="R450" s="916">
        <f t="shared" si="793"/>
        <v>1545.4536749999997</v>
      </c>
      <c r="S450" s="916">
        <f t="shared" si="793"/>
        <v>0</v>
      </c>
      <c r="T450" s="916">
        <f t="shared" si="793"/>
        <v>0</v>
      </c>
      <c r="U450" s="916"/>
      <c r="V450" s="916"/>
      <c r="W450" s="916"/>
      <c r="X450" s="916"/>
      <c r="Y450" s="916"/>
      <c r="Z450" s="916"/>
      <c r="AA450" s="916"/>
      <c r="AB450" s="916"/>
      <c r="AC450" s="916"/>
      <c r="AD450" s="916"/>
      <c r="AE450" s="916"/>
      <c r="AF450" s="916"/>
      <c r="AG450" s="2553"/>
      <c r="AH450" s="2769"/>
      <c r="AI450" s="916"/>
      <c r="AJ450" s="916"/>
      <c r="AK450" s="916"/>
      <c r="AL450" s="916"/>
      <c r="AM450" s="916"/>
      <c r="AN450" s="916"/>
      <c r="AO450" s="916"/>
      <c r="AP450" s="916"/>
      <c r="AQ450" s="916"/>
      <c r="AR450" s="916"/>
      <c r="AS450" s="916"/>
      <c r="AT450" s="916"/>
      <c r="AU450" s="916"/>
      <c r="AV450" s="916"/>
      <c r="AW450" s="916"/>
      <c r="AX450" s="916"/>
      <c r="AY450" s="916"/>
      <c r="AZ450" s="916"/>
      <c r="BA450" s="916"/>
      <c r="BB450" s="916"/>
      <c r="BC450" s="916"/>
      <c r="BD450" s="916"/>
      <c r="BE450" s="916"/>
      <c r="BF450" s="916"/>
      <c r="BG450" s="916"/>
      <c r="BH450" s="916"/>
      <c r="BI450" s="916"/>
      <c r="BJ450" s="916"/>
      <c r="BK450" s="916"/>
      <c r="BL450" s="916"/>
      <c r="BM450" s="916"/>
      <c r="BN450" s="916"/>
      <c r="BO450" s="154">
        <f t="shared" ref="BO450:CC450" si="794">BO236-BO449</f>
        <v>91</v>
      </c>
      <c r="BP450" s="916">
        <f t="shared" si="794"/>
        <v>82</v>
      </c>
      <c r="BQ450" s="916">
        <f t="shared" si="794"/>
        <v>83</v>
      </c>
      <c r="BR450" s="1075">
        <f t="shared" si="794"/>
        <v>73</v>
      </c>
      <c r="BS450" s="154">
        <f t="shared" si="794"/>
        <v>79</v>
      </c>
      <c r="BT450" s="916">
        <f t="shared" si="794"/>
        <v>98</v>
      </c>
      <c r="BU450" s="916">
        <f t="shared" si="794"/>
        <v>95</v>
      </c>
      <c r="BV450" s="916">
        <f t="shared" si="794"/>
        <v>98</v>
      </c>
      <c r="BW450" s="154">
        <f t="shared" si="794"/>
        <v>86</v>
      </c>
      <c r="BX450" s="916">
        <f t="shared" si="794"/>
        <v>93</v>
      </c>
      <c r="BY450" s="916">
        <f t="shared" si="794"/>
        <v>82</v>
      </c>
      <c r="BZ450" s="1075">
        <f t="shared" si="794"/>
        <v>81</v>
      </c>
      <c r="CA450" s="154">
        <f t="shared" si="794"/>
        <v>80</v>
      </c>
      <c r="CB450" s="916">
        <f t="shared" si="794"/>
        <v>94</v>
      </c>
      <c r="CC450" s="916">
        <f t="shared" si="794"/>
        <v>93</v>
      </c>
      <c r="CD450" s="916"/>
      <c r="CE450" s="154"/>
      <c r="CF450" s="916"/>
      <c r="CG450" s="916"/>
      <c r="CH450" s="916"/>
      <c r="CI450" s="154"/>
      <c r="CJ450" s="916"/>
      <c r="CK450" s="916"/>
      <c r="CL450" s="916"/>
      <c r="CM450" s="154"/>
      <c r="CN450" s="916"/>
      <c r="CO450" s="916"/>
      <c r="CP450" s="916"/>
      <c r="CQ450" s="916"/>
      <c r="CR450" s="916"/>
      <c r="CS450" s="916"/>
      <c r="CT450" s="1075"/>
      <c r="CU450" s="68"/>
      <c r="CV450" s="68"/>
      <c r="CW450" s="68"/>
      <c r="CX450" s="68"/>
      <c r="CY450" s="68"/>
      <c r="CZ450" s="68"/>
      <c r="DA450" s="68"/>
    </row>
    <row r="451" spans="1:105" hidden="1" outlineLevel="2">
      <c r="A451" s="3965" t="s">
        <v>34</v>
      </c>
      <c r="B451" s="3876"/>
      <c r="C451" s="3876"/>
      <c r="D451" s="3876"/>
      <c r="E451" s="3876"/>
      <c r="F451" s="3876"/>
      <c r="G451" s="3876"/>
      <c r="H451" s="3876"/>
      <c r="I451" s="3876"/>
      <c r="J451" s="3876"/>
      <c r="K451" s="3876"/>
      <c r="L451" s="3942"/>
      <c r="N451" s="1056">
        <f t="shared" ref="N451:S451" si="795">N450/M450-1</f>
        <v>0.12462006079027366</v>
      </c>
      <c r="O451" s="1056">
        <f t="shared" si="795"/>
        <v>-7.567567567567568E-2</v>
      </c>
      <c r="P451" s="1056">
        <f t="shared" si="795"/>
        <v>0.86963450292397648</v>
      </c>
      <c r="Q451" s="1056">
        <f t="shared" si="795"/>
        <v>1.3848561966797774</v>
      </c>
      <c r="R451" s="1056">
        <f t="shared" si="795"/>
        <v>1.3470179844542907E-2</v>
      </c>
      <c r="S451" s="1056">
        <f t="shared" si="795"/>
        <v>-1</v>
      </c>
      <c r="T451" s="1056" t="e">
        <f>T450/S450-1</f>
        <v>#DIV/0!</v>
      </c>
      <c r="U451" s="3942"/>
      <c r="V451" s="3942"/>
      <c r="W451" s="3942"/>
      <c r="X451" s="3942"/>
      <c r="Y451" s="3942"/>
      <c r="Z451" s="3942"/>
      <c r="AA451" s="3942"/>
      <c r="AB451" s="3942"/>
      <c r="AC451" s="3942"/>
      <c r="AD451" s="3942"/>
      <c r="AE451" s="3942"/>
      <c r="AF451" s="3942"/>
      <c r="AG451" s="2553"/>
      <c r="AH451" s="4079"/>
      <c r="AI451" s="3942"/>
      <c r="AJ451" s="3942"/>
      <c r="AK451" s="3942"/>
      <c r="AL451" s="3942"/>
      <c r="AM451" s="3942"/>
      <c r="AN451" s="3942"/>
      <c r="AO451" s="3942"/>
      <c r="AP451" s="3942"/>
      <c r="AQ451" s="3942"/>
      <c r="AR451" s="3942"/>
      <c r="AS451" s="3942"/>
      <c r="AT451" s="3942"/>
      <c r="AU451" s="3942"/>
      <c r="AV451" s="3942"/>
      <c r="AW451" s="3942"/>
      <c r="AX451" s="3942"/>
      <c r="AY451" s="3942"/>
      <c r="AZ451" s="3942"/>
      <c r="BA451" s="3942"/>
      <c r="BB451" s="3942"/>
      <c r="BC451" s="3942"/>
      <c r="BD451" s="3942"/>
      <c r="BE451" s="3942"/>
      <c r="BF451" s="3942"/>
      <c r="BG451" s="3942"/>
      <c r="BH451" s="3942"/>
      <c r="BI451" s="3942"/>
      <c r="BJ451" s="3942"/>
      <c r="BK451" s="3942"/>
      <c r="BL451" s="3942"/>
      <c r="BM451" s="3942"/>
      <c r="BN451" s="3942"/>
      <c r="BO451" s="1058"/>
      <c r="BP451" s="1056"/>
      <c r="BQ451" s="1056"/>
      <c r="BR451" s="1057"/>
      <c r="BS451" s="1058">
        <f t="shared" ref="BS451:CC451" si="796">BS450/BO450-1</f>
        <v>-0.13186813186813184</v>
      </c>
      <c r="BT451" s="1056">
        <f t="shared" si="796"/>
        <v>0.19512195121951215</v>
      </c>
      <c r="BU451" s="1056">
        <f t="shared" si="796"/>
        <v>0.14457831325301207</v>
      </c>
      <c r="BV451" s="1056">
        <f t="shared" si="796"/>
        <v>0.34246575342465757</v>
      </c>
      <c r="BW451" s="1058">
        <f t="shared" si="796"/>
        <v>8.8607594936708889E-2</v>
      </c>
      <c r="BX451" s="1056">
        <f t="shared" si="796"/>
        <v>-5.1020408163265252E-2</v>
      </c>
      <c r="BY451" s="1056">
        <f t="shared" si="796"/>
        <v>-0.13684210526315788</v>
      </c>
      <c r="BZ451" s="1057">
        <f t="shared" si="796"/>
        <v>-0.17346938775510201</v>
      </c>
      <c r="CA451" s="1058">
        <f t="shared" si="796"/>
        <v>-6.9767441860465129E-2</v>
      </c>
      <c r="CB451" s="1056">
        <f t="shared" si="796"/>
        <v>1.0752688172043001E-2</v>
      </c>
      <c r="CC451" s="1056">
        <f t="shared" si="796"/>
        <v>0.13414634146341453</v>
      </c>
      <c r="CD451" s="1056"/>
      <c r="CE451" s="1058"/>
      <c r="CF451" s="1056"/>
      <c r="CG451" s="1056"/>
      <c r="CH451" s="1056"/>
      <c r="CI451" s="1058"/>
      <c r="CJ451" s="1056"/>
      <c r="CK451" s="1056"/>
      <c r="CL451" s="1056"/>
      <c r="CM451" s="1058"/>
      <c r="CN451" s="1056"/>
      <c r="CO451" s="1056"/>
      <c r="CP451" s="1056"/>
      <c r="CQ451" s="1056"/>
      <c r="CR451" s="1056"/>
      <c r="CS451" s="1056"/>
      <c r="CT451" s="1057"/>
    </row>
    <row r="452" spans="1:105" hidden="1" outlineLevel="2">
      <c r="A452" s="3965" t="s">
        <v>947</v>
      </c>
      <c r="B452" s="3876"/>
      <c r="C452" s="3876"/>
      <c r="D452" s="3876"/>
      <c r="E452" s="3876"/>
      <c r="F452" s="3876"/>
      <c r="G452" s="3876"/>
      <c r="H452" s="3876"/>
      <c r="I452" s="3876"/>
      <c r="J452" s="3876"/>
      <c r="K452" s="3876"/>
      <c r="L452" s="3876"/>
      <c r="M452" s="3938"/>
      <c r="N452" s="3938"/>
      <c r="O452" s="3938"/>
      <c r="P452" s="3938"/>
      <c r="Q452" s="3938"/>
      <c r="R452" s="3938"/>
      <c r="S452" s="3938"/>
      <c r="T452" s="3938"/>
      <c r="U452" s="1899"/>
      <c r="V452" s="1899"/>
      <c r="W452" s="1899"/>
      <c r="X452" s="1899"/>
      <c r="Y452" s="1899"/>
      <c r="Z452" s="1899"/>
      <c r="AA452" s="1899"/>
      <c r="AB452" s="1899"/>
      <c r="AC452" s="1899"/>
      <c r="AD452" s="1899"/>
      <c r="AE452" s="1899"/>
      <c r="AF452" s="1899"/>
      <c r="AG452" s="2553"/>
      <c r="AH452" s="3921"/>
      <c r="AI452" s="3876"/>
      <c r="AJ452" s="3876"/>
      <c r="AK452" s="3876"/>
      <c r="AL452" s="3876"/>
      <c r="AM452" s="3876"/>
      <c r="AN452" s="3876"/>
      <c r="AO452" s="3876"/>
      <c r="AP452" s="3876"/>
      <c r="AQ452" s="3876"/>
      <c r="AR452" s="3876"/>
      <c r="AS452" s="3876"/>
      <c r="AT452" s="3876"/>
      <c r="AU452" s="3876"/>
      <c r="AV452" s="3876"/>
      <c r="AW452" s="3876"/>
      <c r="AX452" s="3876"/>
      <c r="AY452" s="3876"/>
      <c r="AZ452" s="3876"/>
      <c r="BA452" s="3876"/>
      <c r="BB452" s="3876"/>
      <c r="BC452" s="3876"/>
      <c r="BD452" s="3876"/>
      <c r="BE452" s="3876"/>
      <c r="BF452" s="3876"/>
      <c r="BG452" s="3942"/>
      <c r="BH452" s="3942"/>
      <c r="BI452" s="3942"/>
      <c r="BJ452" s="3942"/>
      <c r="BK452" s="3942"/>
      <c r="BL452" s="3942"/>
      <c r="BM452" s="3942"/>
      <c r="BN452" s="3942"/>
      <c r="BO452" s="3946"/>
      <c r="BP452" s="3942">
        <f t="shared" ref="BP452:CC452" si="797">BP450/BO450-1</f>
        <v>-9.8901098901098883E-2</v>
      </c>
      <c r="BQ452" s="3942">
        <f t="shared" si="797"/>
        <v>1.2195121951219523E-2</v>
      </c>
      <c r="BR452" s="3943">
        <f t="shared" si="797"/>
        <v>-0.12048192771084343</v>
      </c>
      <c r="BS452" s="3946">
        <f t="shared" si="797"/>
        <v>8.2191780821917915E-2</v>
      </c>
      <c r="BT452" s="3942">
        <f t="shared" si="797"/>
        <v>0.240506329113924</v>
      </c>
      <c r="BU452" s="3942">
        <f t="shared" si="797"/>
        <v>-3.0612244897959218E-2</v>
      </c>
      <c r="BV452" s="3942">
        <f t="shared" si="797"/>
        <v>3.1578947368421151E-2</v>
      </c>
      <c r="BW452" s="3946">
        <f t="shared" si="797"/>
        <v>-0.12244897959183676</v>
      </c>
      <c r="BX452" s="3942">
        <f t="shared" si="797"/>
        <v>8.1395348837209225E-2</v>
      </c>
      <c r="BY452" s="3942">
        <f t="shared" si="797"/>
        <v>-0.11827956989247312</v>
      </c>
      <c r="BZ452" s="3943">
        <f t="shared" si="797"/>
        <v>-1.2195121951219523E-2</v>
      </c>
      <c r="CA452" s="3946">
        <f t="shared" si="797"/>
        <v>-1.2345679012345734E-2</v>
      </c>
      <c r="CB452" s="3942">
        <f t="shared" si="797"/>
        <v>0.17500000000000004</v>
      </c>
      <c r="CC452" s="3942">
        <f t="shared" si="797"/>
        <v>-1.0638297872340385E-2</v>
      </c>
      <c r="CD452" s="3942"/>
      <c r="CE452" s="3946"/>
      <c r="CF452" s="3942"/>
      <c r="CG452" s="3942"/>
      <c r="CH452" s="3942"/>
      <c r="CI452" s="3946"/>
      <c r="CJ452" s="3942"/>
      <c r="CK452" s="3942"/>
      <c r="CL452" s="3942"/>
      <c r="CM452" s="3946"/>
      <c r="CN452" s="3942"/>
      <c r="CO452" s="3942"/>
      <c r="CP452" s="3942"/>
      <c r="CQ452" s="3942"/>
      <c r="CR452" s="3942"/>
      <c r="CS452" s="3942"/>
      <c r="CT452" s="3943"/>
    </row>
    <row r="453" spans="1:105" hidden="1" outlineLevel="2">
      <c r="A453" s="3965"/>
      <c r="B453" s="3876"/>
      <c r="C453" s="3876"/>
      <c r="D453" s="3876"/>
      <c r="E453" s="3876"/>
      <c r="F453" s="3876"/>
      <c r="G453" s="3876"/>
      <c r="H453" s="3876"/>
      <c r="I453" s="3876"/>
      <c r="J453" s="3876"/>
      <c r="K453" s="3876"/>
      <c r="L453" s="3876"/>
      <c r="M453" s="3938"/>
      <c r="N453" s="3938"/>
      <c r="O453" s="3938"/>
      <c r="P453" s="3938"/>
      <c r="Q453" s="3938"/>
      <c r="R453" s="3938"/>
      <c r="S453" s="3938"/>
      <c r="T453" s="3938"/>
      <c r="U453" s="1899"/>
      <c r="V453" s="1899"/>
      <c r="W453" s="1899"/>
      <c r="X453" s="1899"/>
      <c r="Y453" s="1899"/>
      <c r="Z453" s="1899"/>
      <c r="AA453" s="1899"/>
      <c r="AB453" s="1899"/>
      <c r="AC453" s="1899"/>
      <c r="AD453" s="1899"/>
      <c r="AE453" s="1899"/>
      <c r="AF453" s="1899"/>
      <c r="AG453" s="2553"/>
      <c r="AH453" s="3921"/>
      <c r="AI453" s="3876"/>
      <c r="AJ453" s="3876"/>
      <c r="AK453" s="3876"/>
      <c r="AL453" s="3876"/>
      <c r="AM453" s="3876"/>
      <c r="AN453" s="3876"/>
      <c r="AO453" s="3876"/>
      <c r="AP453" s="3876"/>
      <c r="AQ453" s="3876"/>
      <c r="AR453" s="3876"/>
      <c r="AS453" s="3876"/>
      <c r="AT453" s="3876"/>
      <c r="AU453" s="3876"/>
      <c r="AV453" s="3876"/>
      <c r="AW453" s="3876"/>
      <c r="AX453" s="3876"/>
      <c r="AY453" s="3876"/>
      <c r="AZ453" s="3876"/>
      <c r="BA453" s="3876"/>
      <c r="BB453" s="3876"/>
      <c r="BC453" s="3876"/>
      <c r="BD453" s="3876"/>
      <c r="BE453" s="3876"/>
      <c r="BF453" s="3876"/>
      <c r="BG453" s="3942"/>
      <c r="BH453" s="3942"/>
      <c r="BI453" s="3942"/>
      <c r="BJ453" s="3942"/>
      <c r="BK453" s="3942"/>
      <c r="BL453" s="3942"/>
      <c r="BM453" s="3942"/>
      <c r="BN453" s="3942"/>
      <c r="BO453" s="3946"/>
      <c r="BP453" s="3942"/>
      <c r="BQ453" s="3942"/>
      <c r="BR453" s="3943"/>
      <c r="BS453" s="3946"/>
      <c r="BT453" s="3942"/>
      <c r="BU453" s="3942"/>
      <c r="BV453" s="3942"/>
      <c r="BW453" s="3946"/>
      <c r="BX453" s="3942"/>
      <c r="BY453" s="3942"/>
      <c r="BZ453" s="3943"/>
      <c r="CA453" s="3946"/>
      <c r="CB453" s="3942"/>
      <c r="CC453" s="3942"/>
      <c r="CD453" s="3942"/>
      <c r="CE453" s="3946"/>
      <c r="CF453" s="3942"/>
      <c r="CG453" s="3942"/>
      <c r="CH453" s="3942"/>
      <c r="CI453" s="3946"/>
      <c r="CJ453" s="3942"/>
      <c r="CK453" s="3942"/>
      <c r="CL453" s="3942"/>
      <c r="CM453" s="3946"/>
      <c r="CN453" s="3942"/>
      <c r="CO453" s="3942"/>
      <c r="CP453" s="3942"/>
      <c r="CQ453" s="3942"/>
      <c r="CR453" s="3942"/>
      <c r="CS453" s="3942"/>
      <c r="CT453" s="3943"/>
    </row>
    <row r="454" spans="1:105" s="285" customFormat="1" hidden="1" outlineLevel="2">
      <c r="A454" s="2108" t="s">
        <v>285</v>
      </c>
      <c r="B454" s="288"/>
      <c r="C454" s="288"/>
      <c r="D454" s="288"/>
      <c r="E454" s="288"/>
      <c r="F454" s="288"/>
      <c r="G454" s="288"/>
      <c r="H454" s="288"/>
      <c r="I454" s="288"/>
      <c r="J454" s="288"/>
      <c r="K454" s="288"/>
      <c r="L454" s="288"/>
      <c r="M454" s="2109">
        <f t="shared" ref="M454:T454" si="798">M450/M236</f>
        <v>0.27011494252873564</v>
      </c>
      <c r="N454" s="2109">
        <f t="shared" si="798"/>
        <v>0.2846153846153846</v>
      </c>
      <c r="O454" s="2109">
        <f t="shared" si="798"/>
        <v>0.24854651162790697</v>
      </c>
      <c r="P454" s="2109">
        <f t="shared" si="798"/>
        <v>0.44237468131989771</v>
      </c>
      <c r="Q454" s="2109">
        <f t="shared" si="798"/>
        <v>1</v>
      </c>
      <c r="R454" s="2109">
        <f t="shared" si="798"/>
        <v>1</v>
      </c>
      <c r="S454" s="2109" t="e">
        <f t="shared" si="798"/>
        <v>#DIV/0!</v>
      </c>
      <c r="T454" s="2109" t="e">
        <f t="shared" si="798"/>
        <v>#DIV/0!</v>
      </c>
      <c r="U454" s="2215"/>
      <c r="V454" s="2215"/>
      <c r="W454" s="2215"/>
      <c r="X454" s="2215"/>
      <c r="Y454" s="2215"/>
      <c r="Z454" s="2215"/>
      <c r="AA454" s="2215"/>
      <c r="AB454" s="2215"/>
      <c r="AC454" s="2215"/>
      <c r="AD454" s="2215"/>
      <c r="AE454" s="2215"/>
      <c r="AF454" s="2215"/>
      <c r="AG454" s="2553"/>
      <c r="AH454" s="2715"/>
      <c r="AI454" s="288"/>
      <c r="AJ454" s="288"/>
      <c r="AK454" s="288"/>
      <c r="AL454" s="288"/>
      <c r="AM454" s="288"/>
      <c r="AN454" s="288"/>
      <c r="AO454" s="288"/>
      <c r="AP454" s="288"/>
      <c r="AQ454" s="288"/>
      <c r="AR454" s="288"/>
      <c r="AS454" s="288"/>
      <c r="AT454" s="288"/>
      <c r="AU454" s="288"/>
      <c r="AV454" s="288"/>
      <c r="AW454" s="288"/>
      <c r="AX454" s="288"/>
      <c r="AY454" s="288"/>
      <c r="AZ454" s="288"/>
      <c r="BA454" s="288"/>
      <c r="BB454" s="288"/>
      <c r="BC454" s="288"/>
      <c r="BD454" s="288"/>
      <c r="BE454" s="288"/>
      <c r="BF454" s="288"/>
      <c r="BG454" s="2109"/>
      <c r="BH454" s="2109"/>
      <c r="BI454" s="2109"/>
      <c r="BJ454" s="2109"/>
      <c r="BK454" s="2109"/>
      <c r="BL454" s="2109"/>
      <c r="BM454" s="2109"/>
      <c r="BN454" s="2109"/>
      <c r="BO454" s="2589">
        <f t="shared" ref="BO454:CC454" si="799">BO450/BO236</f>
        <v>0.30132450331125826</v>
      </c>
      <c r="BP454" s="2109">
        <f t="shared" si="799"/>
        <v>0.26710097719869708</v>
      </c>
      <c r="BQ454" s="2109">
        <f t="shared" si="799"/>
        <v>0.27124183006535946</v>
      </c>
      <c r="BR454" s="2590">
        <f t="shared" si="799"/>
        <v>0.24092409240924093</v>
      </c>
      <c r="BS454" s="2589">
        <f t="shared" si="799"/>
        <v>0.25483870967741934</v>
      </c>
      <c r="BT454" s="2109">
        <f t="shared" si="799"/>
        <v>0.30340557275541796</v>
      </c>
      <c r="BU454" s="2109">
        <f t="shared" si="799"/>
        <v>0.29051987767584098</v>
      </c>
      <c r="BV454" s="2109">
        <f t="shared" si="799"/>
        <v>0.28823529411764703</v>
      </c>
      <c r="BW454" s="2589">
        <f t="shared" si="799"/>
        <v>0.25748502994011974</v>
      </c>
      <c r="BX454" s="2109">
        <f t="shared" si="799"/>
        <v>0.2680115273775216</v>
      </c>
      <c r="BY454" s="2109">
        <f t="shared" si="799"/>
        <v>0.23976608187134502</v>
      </c>
      <c r="BZ454" s="2590">
        <f t="shared" si="799"/>
        <v>0.22946175637393768</v>
      </c>
      <c r="CA454" s="2589">
        <f t="shared" si="799"/>
        <v>0.22598870056497175</v>
      </c>
      <c r="CB454" s="2109">
        <f t="shared" si="799"/>
        <v>0.26256983240223464</v>
      </c>
      <c r="CC454" s="2109">
        <f t="shared" si="799"/>
        <v>0.25761772853185594</v>
      </c>
      <c r="CD454" s="2109"/>
      <c r="CE454" s="2589"/>
      <c r="CF454" s="2109"/>
      <c r="CG454" s="2109"/>
      <c r="CH454" s="2109"/>
      <c r="CI454" s="2589"/>
      <c r="CJ454" s="2109"/>
      <c r="CK454" s="2109"/>
      <c r="CL454" s="2109"/>
      <c r="CM454" s="2589"/>
      <c r="CN454" s="2109"/>
      <c r="CO454" s="2109"/>
      <c r="CP454" s="2109"/>
      <c r="CQ454" s="2109"/>
      <c r="CR454" s="2109"/>
      <c r="CS454" s="2109"/>
      <c r="CT454" s="2590"/>
      <c r="CU454" s="68"/>
      <c r="CV454" s="68"/>
      <c r="CW454" s="68"/>
      <c r="CX454" s="68"/>
      <c r="CY454" s="68"/>
      <c r="CZ454" s="68"/>
      <c r="DA454" s="68"/>
    </row>
    <row r="455" spans="1:105" outlineLevel="1" collapsed="1"/>
    <row r="456" spans="1:105" outlineLevel="1"/>
    <row r="457" spans="1:105" outlineLevel="1"/>
    <row r="458" spans="1:105" outlineLevel="1"/>
    <row r="459" spans="1:105" outlineLevel="1">
      <c r="R459" s="4092">
        <f>+R413+R425</f>
        <v>7631</v>
      </c>
      <c r="S459" s="4092">
        <f>+S413+S425</f>
        <v>6788</v>
      </c>
      <c r="T459" s="4092">
        <f>+T413+T425</f>
        <v>6628.5029999999997</v>
      </c>
    </row>
    <row r="460" spans="1:105" outlineLevel="1">
      <c r="R460" s="3870">
        <f>+R425/R459</f>
        <v>0.55523522474118725</v>
      </c>
      <c r="S460" s="3870">
        <f>+S425/S459</f>
        <v>0.53830288744843846</v>
      </c>
      <c r="T460" s="3870">
        <f>+T425/T459</f>
        <v>0.56358728358424215</v>
      </c>
    </row>
    <row r="461" spans="1:105" outlineLevel="1"/>
    <row r="462" spans="1:105" outlineLevel="1"/>
    <row r="463" spans="1:105" outlineLevel="1">
      <c r="CI463" s="3934">
        <f t="shared" ref="CI463:CM463" si="800">+CI361</f>
        <v>667</v>
      </c>
      <c r="CJ463" s="3934">
        <f t="shared" si="800"/>
        <v>682</v>
      </c>
      <c r="CK463" s="3934">
        <f t="shared" si="800"/>
        <v>674</v>
      </c>
      <c r="CL463" s="3934">
        <f t="shared" si="800"/>
        <v>666</v>
      </c>
      <c r="CM463" s="3934">
        <f t="shared" si="800"/>
        <v>661</v>
      </c>
      <c r="CN463" s="3934">
        <f t="shared" ref="CN463:CR463" si="801">+CN361</f>
        <v>661</v>
      </c>
      <c r="CO463" s="3934">
        <f t="shared" si="801"/>
        <v>673</v>
      </c>
      <c r="CP463" s="3934">
        <f t="shared" ref="CP463" si="802">+CP361</f>
        <v>688</v>
      </c>
      <c r="CQ463" s="3934">
        <f t="shared" si="801"/>
        <v>680.83</v>
      </c>
      <c r="CR463" s="3934">
        <f t="shared" si="801"/>
        <v>682.81299999999999</v>
      </c>
      <c r="CS463" s="3934">
        <f>+CS361</f>
        <v>686.46</v>
      </c>
      <c r="CT463" s="3934">
        <f t="shared" ref="CT463" si="803">+CT361</f>
        <v>698.31999999999994</v>
      </c>
    </row>
    <row r="464" spans="1:105" outlineLevel="1">
      <c r="CI464" s="4093">
        <f t="shared" ref="CI464" si="804">+CI463/3/AVERAGE(CH39:CI39)*1000000</f>
        <v>36.714417426963358</v>
      </c>
      <c r="CJ464" s="4093">
        <f t="shared" ref="CJ464" si="805">+CJ463/3/AVERAGE(CI39:CJ39)*1000000</f>
        <v>37.653554175293309</v>
      </c>
      <c r="CK464" s="4093">
        <f t="shared" ref="CK464" si="806">+CK463/3/AVERAGE(CJ39:CK39)*1000000</f>
        <v>37.466299785986266</v>
      </c>
      <c r="CL464" s="4093">
        <f t="shared" ref="CL464" si="807">+CL463/3/AVERAGE(CK39:CL39)*1000000</f>
        <v>37.256135934550031</v>
      </c>
      <c r="CM464" s="4093">
        <f t="shared" ref="CM464" si="808">+CM463/3/AVERAGE(CL39:CM39)*1000000</f>
        <v>37.054165790764486</v>
      </c>
      <c r="CN464" s="4093">
        <f t="shared" ref="CN464:CR464" si="809">+CN463/3/AVERAGE(CM39:CN39)*1000000</f>
        <v>37.182353851129953</v>
      </c>
      <c r="CO464" s="4093">
        <f t="shared" si="809"/>
        <v>38.269077675423631</v>
      </c>
      <c r="CP464" s="4093">
        <f t="shared" ref="CP464" si="810">+CP463/3/AVERAGE(CO39:CP39)*1000000</f>
        <v>39.77338420626662</v>
      </c>
      <c r="CQ464" s="4093">
        <f t="shared" si="809"/>
        <v>39.967126021808362</v>
      </c>
      <c r="CR464" s="4093">
        <f t="shared" si="809"/>
        <v>40.547692216333374</v>
      </c>
      <c r="CS464" s="4093">
        <f>+CS463/3/AVERAGE(CR39:CS39)*1000000</f>
        <v>41.204699950479451</v>
      </c>
      <c r="CT464" s="4093">
        <f t="shared" ref="CT464" si="811">+CT463/3/AVERAGE(CS39:CT39)*1000000</f>
        <v>42.2878251127865</v>
      </c>
    </row>
    <row r="465" spans="89:98" outlineLevel="1">
      <c r="CM465" s="3938">
        <f>+CM464/CI464-1</f>
        <v>9.2538132867556744E-3</v>
      </c>
      <c r="CN465" s="3938">
        <f t="shared" ref="CN465:CS465" si="812">+CN464/CJ464-1</f>
        <v>-1.251409951819471E-2</v>
      </c>
      <c r="CO465" s="3938">
        <f t="shared" si="812"/>
        <v>2.1426665937735123E-2</v>
      </c>
      <c r="CP465" s="3876">
        <f t="shared" ref="CP465" si="813">+CP464/CL464-1</f>
        <v>6.7566005131041607E-2</v>
      </c>
      <c r="CQ465" s="3938">
        <f t="shared" si="812"/>
        <v>7.861356932153396E-2</v>
      </c>
      <c r="CR465" s="3938">
        <f t="shared" si="812"/>
        <v>9.0509018839353361E-2</v>
      </c>
      <c r="CS465" s="3938">
        <f t="shared" si="812"/>
        <v>7.6710034664385862E-2</v>
      </c>
      <c r="CT465" s="3938">
        <f t="shared" ref="CT465" si="814">+CT464/CP464-1</f>
        <v>6.3219184303751286E-2</v>
      </c>
    </row>
    <row r="466" spans="89:98" outlineLevel="1">
      <c r="CK466" s="3938">
        <f t="shared" ref="CK466" si="815">+CK464/CJ464-1</f>
        <v>-4.9730866954894593E-3</v>
      </c>
      <c r="CL466" s="3938">
        <f>+CL464/CK464-1</f>
        <v>-5.6094103937865958E-3</v>
      </c>
      <c r="CM466" s="3938">
        <f t="shared" ref="CM466:CS466" si="816">+CM464/CL464-1</f>
        <v>-5.4211242985681141E-3</v>
      </c>
      <c r="CN466" s="3938">
        <f t="shared" si="816"/>
        <v>3.4594777032443957E-3</v>
      </c>
      <c r="CO466" s="3938">
        <f t="shared" si="816"/>
        <v>2.9226870053592702E-2</v>
      </c>
      <c r="CP466" s="3938">
        <f t="shared" ref="CP466" si="817">+CP464/CO464-1</f>
        <v>3.9308669615757408E-2</v>
      </c>
      <c r="CQ466" s="3938">
        <f t="shared" si="816"/>
        <v>4.8711423331992965E-3</v>
      </c>
      <c r="CR466" s="3938">
        <f t="shared" si="816"/>
        <v>1.45260931248401E-2</v>
      </c>
      <c r="CS466" s="3938">
        <f t="shared" si="816"/>
        <v>1.6203332378098345E-2</v>
      </c>
      <c r="CT466" s="3938">
        <f t="shared" ref="CT466" si="818">+CT464/CS464-1</f>
        <v>2.6286447022033199E-2</v>
      </c>
    </row>
    <row r="467" spans="89:98" outlineLevel="1"/>
  </sheetData>
  <mergeCells count="5">
    <mergeCell ref="BO6:BV6"/>
    <mergeCell ref="AL5:BH5"/>
    <mergeCell ref="I25:J25"/>
    <mergeCell ref="I68:J68"/>
    <mergeCell ref="BC6:BN6"/>
  </mergeCells>
  <phoneticPr fontId="21" type="noConversion"/>
  <pageMargins left="0" right="0" top="0" bottom="0" header="0" footer="0"/>
  <pageSetup paperSize="5" scale="71" orientation="landscape" r:id="rId1"/>
  <headerFooter alignWithMargins="0"/>
  <rowBreaks count="4" manualBreakCount="4">
    <brk id="158" max="70" man="1"/>
    <brk id="236" max="70" man="1"/>
    <brk id="238" max="70" man="1"/>
    <brk id="270" max="66" man="1"/>
  </rowBreak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indexed="51"/>
  </sheetPr>
  <dimension ref="A1:DO111"/>
  <sheetViews>
    <sheetView zoomScale="85" zoomScaleNormal="85" workbookViewId="0">
      <pane ySplit="2" topLeftCell="A33" activePane="bottomLeft" state="frozen"/>
      <selection pane="bottomLeft" activeCell="AU80" sqref="AU80"/>
    </sheetView>
  </sheetViews>
  <sheetFormatPr defaultRowHeight="12.75" outlineLevelRow="1" outlineLevelCol="1"/>
  <cols>
    <col min="1" max="2" width="9.140625" style="292"/>
    <col min="3" max="4" width="10.42578125" style="292" customWidth="1"/>
    <col min="5" max="8" width="9.140625" style="292" hidden="1" customWidth="1" outlineLevel="1"/>
    <col min="9" max="9" width="9.140625" style="292" customWidth="1" collapsed="1"/>
    <col min="10" max="12" width="9.140625" style="292" customWidth="1"/>
    <col min="13" max="13" width="9.140625" style="2248" customWidth="1"/>
    <col min="14" max="16" width="9.140625" style="292" customWidth="1" outlineLevel="1"/>
    <col min="17" max="18" width="9.140625" style="2248" customWidth="1" outlineLevel="1"/>
    <col min="19" max="19" width="3.140625" style="115" customWidth="1"/>
    <col min="20" max="22" width="9.140625" style="292" hidden="1" customWidth="1" outlineLevel="1"/>
    <col min="23" max="23" width="13" style="292" hidden="1" customWidth="1" outlineLevel="1"/>
    <col min="24" max="25" width="9" style="292" hidden="1" customWidth="1" outlineLevel="1"/>
    <col min="26" max="26" width="9.140625" style="292" hidden="1" customWidth="1" outlineLevel="1"/>
    <col min="27" max="29" width="9" style="292" hidden="1" customWidth="1" outlineLevel="1"/>
    <col min="30" max="30" width="9.140625" style="292" hidden="1" customWidth="1" outlineLevel="1"/>
    <col min="31" max="33" width="9" style="292" hidden="1" customWidth="1" outlineLevel="1"/>
    <col min="34" max="34" width="9.140625" style="292" hidden="1" customWidth="1" outlineLevel="1"/>
    <col min="35" max="35" width="9" style="292" hidden="1" customWidth="1" outlineLevel="1"/>
    <col min="36" max="36" width="9.140625" style="292" collapsed="1"/>
    <col min="37" max="47" width="9.140625" style="292"/>
    <col min="48" max="51" width="9.140625" style="2248"/>
    <col min="52" max="16384" width="9.140625" style="292"/>
  </cols>
  <sheetData>
    <row r="1" spans="1:119" customFormat="1">
      <c r="F1" s="292"/>
      <c r="K1" s="2747"/>
      <c r="L1" s="2747"/>
      <c r="M1" s="2747"/>
      <c r="N1" s="2747"/>
      <c r="O1" s="2747"/>
      <c r="P1" s="2747"/>
      <c r="Q1" s="2747"/>
      <c r="R1" s="2747"/>
      <c r="S1" s="2568"/>
      <c r="AV1" s="3617"/>
      <c r="AW1" s="3617"/>
      <c r="AX1" s="3617"/>
      <c r="AY1" s="3617"/>
      <c r="AZ1" s="292"/>
      <c r="BA1" s="292"/>
      <c r="BB1" s="292"/>
      <c r="BC1" s="292"/>
      <c r="BD1" s="292"/>
      <c r="BE1" s="292"/>
      <c r="BF1" s="292"/>
      <c r="BG1" s="292"/>
      <c r="BH1" s="292"/>
      <c r="BI1" s="292"/>
      <c r="BJ1" s="292"/>
      <c r="BK1" s="292"/>
      <c r="BL1" s="292"/>
      <c r="BM1" s="292"/>
      <c r="BN1" s="292"/>
      <c r="BO1" s="292"/>
      <c r="BP1" s="292"/>
      <c r="BQ1" s="292"/>
      <c r="BR1" s="292"/>
      <c r="BS1" s="292"/>
      <c r="BT1" s="292"/>
      <c r="BU1" s="292"/>
      <c r="BV1" s="292"/>
      <c r="BW1" s="292"/>
      <c r="BX1" s="292"/>
      <c r="BY1" s="292"/>
      <c r="BZ1" s="292"/>
      <c r="CA1" s="292"/>
      <c r="CB1" s="292"/>
      <c r="CC1" s="292"/>
      <c r="CD1" s="292"/>
      <c r="CE1" s="292"/>
      <c r="CF1" s="292"/>
      <c r="CG1" s="292"/>
      <c r="CH1" s="292"/>
      <c r="CI1" s="292"/>
      <c r="CJ1" s="292"/>
      <c r="CK1" s="292"/>
      <c r="CL1" s="292"/>
      <c r="CM1" s="292"/>
      <c r="CN1" s="292"/>
      <c r="CO1" s="292"/>
      <c r="CP1" s="292"/>
      <c r="CQ1" s="292"/>
      <c r="CR1" s="292"/>
      <c r="CS1" s="292"/>
      <c r="CT1" s="292"/>
      <c r="CU1" s="292"/>
      <c r="CV1" s="292"/>
      <c r="CW1" s="292"/>
      <c r="CX1" s="292"/>
      <c r="CY1" s="292"/>
      <c r="CZ1" s="292"/>
      <c r="DA1" s="292"/>
      <c r="DB1" s="292"/>
      <c r="DC1" s="292"/>
      <c r="DD1" s="292"/>
      <c r="DE1" s="292"/>
      <c r="DF1" s="292"/>
      <c r="DG1" s="292"/>
      <c r="DH1" s="292"/>
      <c r="DI1" s="292"/>
      <c r="DJ1" s="292"/>
      <c r="DK1" s="292"/>
      <c r="DL1" s="292"/>
      <c r="DM1" s="292"/>
      <c r="DN1" s="292"/>
      <c r="DO1" s="292"/>
    </row>
    <row r="2" spans="1:119" s="59" customFormat="1" ht="16.5" customHeight="1">
      <c r="A2" s="2903" t="s">
        <v>479</v>
      </c>
      <c r="B2" s="2930"/>
      <c r="C2" s="2930"/>
      <c r="D2" s="2931"/>
      <c r="E2" s="2820" t="s">
        <v>583</v>
      </c>
      <c r="F2" s="2820" t="s">
        <v>458</v>
      </c>
      <c r="G2" s="2820" t="s">
        <v>144</v>
      </c>
      <c r="H2" s="2820" t="s">
        <v>419</v>
      </c>
      <c r="I2" s="2820" t="str">
        <f>IS!O8</f>
        <v>2014</v>
      </c>
      <c r="J2" s="2820" t="str">
        <f>IS!P8</f>
        <v>2015</v>
      </c>
      <c r="K2" s="2820" t="str">
        <f>IS!Q8</f>
        <v>2016</v>
      </c>
      <c r="L2" s="2820" t="str">
        <f>IS!R8</f>
        <v>2017</v>
      </c>
      <c r="M2" s="2820" t="str">
        <f>IS!S8</f>
        <v>2018E</v>
      </c>
      <c r="N2" s="2820" t="str">
        <f>IS!T8</f>
        <v>2019E</v>
      </c>
      <c r="O2" s="2820" t="str">
        <f>IS!U8</f>
        <v>2020E</v>
      </c>
      <c r="P2" s="2820" t="str">
        <f>IS!V8</f>
        <v>2021E</v>
      </c>
      <c r="Q2" s="2820" t="str">
        <f>IS!W8</f>
        <v>2022E</v>
      </c>
      <c r="R2" s="2820" t="str">
        <f>IS!X8</f>
        <v>2023E</v>
      </c>
      <c r="S2" s="2563"/>
      <c r="T2" s="2825" t="s">
        <v>257</v>
      </c>
      <c r="U2" s="2825" t="s">
        <v>950</v>
      </c>
      <c r="V2" s="2825" t="s">
        <v>455</v>
      </c>
      <c r="W2" s="2826" t="s">
        <v>70</v>
      </c>
      <c r="X2" s="2825" t="str">
        <f>IS!BK8</f>
        <v>1Q12</v>
      </c>
      <c r="Y2" s="2825" t="str">
        <f>IS!BL8</f>
        <v>2Q12</v>
      </c>
      <c r="Z2" s="2825" t="str">
        <f>IS!BM8</f>
        <v>3Q12</v>
      </c>
      <c r="AA2" s="2826" t="str">
        <f>IS!BN8</f>
        <v>4Q12</v>
      </c>
      <c r="AB2" s="2825" t="str">
        <f>IS!BO8</f>
        <v>1Q13</v>
      </c>
      <c r="AC2" s="2825" t="str">
        <f>IS!BP8</f>
        <v>2Q13</v>
      </c>
      <c r="AD2" s="2825" t="str">
        <f>IS!BQ8</f>
        <v>3Q13</v>
      </c>
      <c r="AE2" s="2826" t="str">
        <f>IS!BR8</f>
        <v>4Q13</v>
      </c>
      <c r="AF2" s="2825" t="str">
        <f>IS!BS8</f>
        <v>1Q14</v>
      </c>
      <c r="AG2" s="2825" t="str">
        <f>IS!BT8</f>
        <v>2Q14</v>
      </c>
      <c r="AH2" s="2825" t="str">
        <f>IS!BU8</f>
        <v>3Q14</v>
      </c>
      <c r="AI2" s="2826" t="str">
        <f>IS!BV8</f>
        <v>4Q14</v>
      </c>
      <c r="AJ2" s="2839" t="str">
        <f>IS!BW8</f>
        <v>1Q15</v>
      </c>
      <c r="AK2" s="2825" t="str">
        <f>IS!BX8</f>
        <v>2Q15</v>
      </c>
      <c r="AL2" s="2825" t="str">
        <f>IS!BY8</f>
        <v>3Q15</v>
      </c>
      <c r="AM2" s="2826" t="str">
        <f>IS!BZ8</f>
        <v>4Q15</v>
      </c>
      <c r="AN2" s="2825" t="str">
        <f>IS!CA8</f>
        <v>1Q16</v>
      </c>
      <c r="AO2" s="2825" t="str">
        <f>IS!CB8</f>
        <v>2Q16</v>
      </c>
      <c r="AP2" s="2825" t="str">
        <f>IS!CC8</f>
        <v>3Q16</v>
      </c>
      <c r="AQ2" s="2825" t="str">
        <f>IS!CD8</f>
        <v>4Q16</v>
      </c>
      <c r="AR2" s="2825" t="str">
        <f>IS!CE8</f>
        <v>1Q17</v>
      </c>
      <c r="AS2" s="2825" t="str">
        <f>IS!CF8</f>
        <v>2Q17</v>
      </c>
      <c r="AT2" s="2825" t="str">
        <f>IS!CG8</f>
        <v>3Q17</v>
      </c>
      <c r="AU2" s="2825" t="str">
        <f>IS!CH8</f>
        <v>4Q17</v>
      </c>
      <c r="AV2" s="2825" t="str">
        <f>IS!CI8</f>
        <v>1Q18E</v>
      </c>
      <c r="AW2" s="2825" t="str">
        <f>IS!CJ8</f>
        <v>2Q18E</v>
      </c>
      <c r="AX2" s="2825" t="str">
        <f>IS!CK8</f>
        <v>3Q18E</v>
      </c>
      <c r="AY2" s="2825" t="str">
        <f>IS!CL8</f>
        <v>4Q18E</v>
      </c>
      <c r="AZ2" s="286"/>
      <c r="BA2" s="286"/>
      <c r="BB2" s="286"/>
      <c r="BC2" s="286"/>
      <c r="BD2" s="286"/>
      <c r="BE2" s="286"/>
      <c r="BF2" s="286"/>
      <c r="BG2" s="286"/>
      <c r="BH2" s="286"/>
      <c r="BI2" s="286"/>
      <c r="BJ2" s="286"/>
      <c r="BK2" s="286"/>
      <c r="BL2" s="286"/>
      <c r="BM2" s="286"/>
      <c r="BN2" s="286"/>
      <c r="BO2" s="286"/>
      <c r="BP2" s="286"/>
      <c r="BQ2" s="286"/>
      <c r="BR2" s="286"/>
      <c r="BS2" s="286"/>
      <c r="BT2" s="286"/>
      <c r="BU2" s="286"/>
      <c r="BV2" s="286"/>
      <c r="BW2" s="286"/>
      <c r="BX2" s="286"/>
      <c r="BY2" s="286"/>
      <c r="BZ2" s="286"/>
      <c r="CA2" s="286"/>
      <c r="CB2" s="286"/>
      <c r="CC2" s="286"/>
      <c r="CD2" s="286"/>
      <c r="CE2" s="286"/>
      <c r="CF2" s="286"/>
      <c r="CG2" s="286"/>
      <c r="CH2" s="286"/>
      <c r="CI2" s="286"/>
      <c r="CJ2" s="286"/>
      <c r="CK2" s="286"/>
      <c r="CL2" s="286"/>
      <c r="CM2" s="286"/>
      <c r="CN2" s="286"/>
      <c r="CO2" s="286"/>
      <c r="CP2" s="286"/>
      <c r="CQ2" s="286"/>
      <c r="CR2" s="286"/>
      <c r="CS2" s="286"/>
      <c r="CT2" s="286"/>
      <c r="CU2" s="286"/>
      <c r="CV2" s="286"/>
      <c r="CW2" s="286"/>
      <c r="CX2" s="286"/>
      <c r="CY2" s="286"/>
      <c r="CZ2" s="286"/>
      <c r="DA2" s="286"/>
      <c r="DB2" s="286"/>
      <c r="DC2" s="286"/>
      <c r="DD2" s="286"/>
      <c r="DE2" s="286"/>
      <c r="DF2" s="286"/>
      <c r="DG2" s="286"/>
      <c r="DH2" s="286"/>
      <c r="DI2" s="286"/>
      <c r="DJ2" s="286"/>
      <c r="DK2" s="286"/>
      <c r="DL2" s="286"/>
      <c r="DM2" s="286"/>
      <c r="DN2" s="286"/>
      <c r="DO2" s="286"/>
    </row>
    <row r="3" spans="1:119" customFormat="1">
      <c r="A3" s="364"/>
      <c r="B3" s="365"/>
      <c r="C3" s="365"/>
      <c r="D3" s="399"/>
      <c r="E3" s="508"/>
      <c r="F3" s="508"/>
      <c r="G3" s="508"/>
      <c r="H3" s="508"/>
      <c r="I3" s="508"/>
      <c r="J3" s="508"/>
      <c r="K3" s="508"/>
      <c r="L3" s="508"/>
      <c r="M3" s="508"/>
      <c r="N3" s="508"/>
      <c r="O3" s="508"/>
      <c r="P3" s="508"/>
      <c r="Q3" s="508"/>
      <c r="R3" s="508"/>
      <c r="S3" s="2563"/>
      <c r="T3" s="373"/>
      <c r="U3" s="373"/>
      <c r="V3" s="373"/>
      <c r="W3" s="587"/>
      <c r="X3" s="373"/>
      <c r="Y3" s="373"/>
      <c r="Z3" s="373"/>
      <c r="AA3" s="587"/>
      <c r="AB3" s="373"/>
      <c r="AC3" s="373"/>
      <c r="AD3" s="373"/>
      <c r="AE3" s="587"/>
      <c r="AF3" s="373"/>
      <c r="AG3" s="373"/>
      <c r="AH3" s="373"/>
      <c r="AI3" s="587"/>
      <c r="AJ3" s="588"/>
      <c r="AK3" s="373"/>
      <c r="AL3" s="373"/>
      <c r="AM3" s="587"/>
      <c r="AN3" s="373"/>
      <c r="AO3" s="373"/>
      <c r="AP3" s="373"/>
      <c r="AQ3" s="373"/>
      <c r="AR3" s="373"/>
      <c r="AS3" s="373"/>
      <c r="AT3" s="373"/>
      <c r="AU3" s="373"/>
      <c r="AV3" s="2271"/>
      <c r="AW3" s="2271"/>
      <c r="AX3" s="2271"/>
      <c r="AY3" s="2271"/>
      <c r="AZ3" s="292"/>
      <c r="BA3" s="292"/>
      <c r="BB3" s="292"/>
      <c r="BC3" s="292"/>
      <c r="BD3" s="292"/>
      <c r="BE3" s="292"/>
      <c r="BF3" s="292"/>
      <c r="BG3" s="292"/>
      <c r="BH3" s="292"/>
      <c r="BI3" s="292"/>
      <c r="BJ3" s="292"/>
      <c r="BK3" s="292"/>
      <c r="BL3" s="292"/>
      <c r="BM3" s="292"/>
      <c r="BN3" s="292"/>
      <c r="BO3" s="292"/>
      <c r="BP3" s="292"/>
      <c r="BQ3" s="292"/>
      <c r="BR3" s="292"/>
      <c r="BS3" s="292"/>
      <c r="BT3" s="292"/>
      <c r="BU3" s="292"/>
      <c r="BV3" s="292"/>
      <c r="BW3" s="292"/>
      <c r="BX3" s="292"/>
      <c r="BY3" s="292"/>
      <c r="BZ3" s="292"/>
      <c r="CA3" s="292"/>
      <c r="CB3" s="292"/>
      <c r="CC3" s="292"/>
      <c r="CD3" s="292"/>
      <c r="CE3" s="292"/>
      <c r="CF3" s="292"/>
      <c r="CG3" s="292"/>
      <c r="CH3" s="292"/>
      <c r="CI3" s="292"/>
      <c r="CJ3" s="292"/>
      <c r="CK3" s="292"/>
      <c r="CL3" s="292"/>
      <c r="CM3" s="292"/>
      <c r="CN3" s="292"/>
      <c r="CO3" s="292"/>
      <c r="CP3" s="292"/>
      <c r="CQ3" s="292"/>
      <c r="CR3" s="292"/>
      <c r="CS3" s="292"/>
      <c r="CT3" s="292"/>
      <c r="CU3" s="292"/>
      <c r="CV3" s="292"/>
      <c r="CW3" s="292"/>
      <c r="CX3" s="292"/>
      <c r="CY3" s="292"/>
      <c r="CZ3" s="292"/>
      <c r="DA3" s="292"/>
      <c r="DB3" s="292"/>
      <c r="DC3" s="292"/>
      <c r="DD3" s="292"/>
      <c r="DE3" s="292"/>
      <c r="DF3" s="292"/>
      <c r="DG3" s="292"/>
      <c r="DH3" s="292"/>
      <c r="DI3" s="292"/>
      <c r="DJ3" s="292"/>
      <c r="DK3" s="292"/>
      <c r="DL3" s="292"/>
      <c r="DM3" s="292"/>
      <c r="DN3" s="292"/>
      <c r="DO3" s="292"/>
    </row>
    <row r="4" spans="1:119" customFormat="1" ht="12.75" customHeight="1">
      <c r="A4" s="647" t="s">
        <v>718</v>
      </c>
      <c r="B4" s="647"/>
      <c r="C4" s="647"/>
      <c r="D4" s="647"/>
      <c r="E4" s="647"/>
      <c r="F4" s="647"/>
      <c r="G4" s="647"/>
      <c r="H4" s="647"/>
      <c r="I4" s="647"/>
      <c r="J4" s="647"/>
      <c r="K4" s="647"/>
      <c r="L4" s="647"/>
      <c r="M4" s="647"/>
      <c r="N4" s="647"/>
      <c r="O4" s="647"/>
      <c r="P4" s="647"/>
      <c r="Q4" s="647"/>
      <c r="R4" s="647"/>
      <c r="S4" s="2563"/>
      <c r="T4" s="647"/>
      <c r="U4" s="647"/>
      <c r="V4" s="647"/>
      <c r="W4" s="648"/>
      <c r="X4" s="647"/>
      <c r="Y4" s="647"/>
      <c r="Z4" s="647"/>
      <c r="AA4" s="648"/>
      <c r="AB4" s="647"/>
      <c r="AC4" s="647"/>
      <c r="AD4" s="647"/>
      <c r="AE4" s="648"/>
      <c r="AF4" s="647"/>
      <c r="AG4" s="647"/>
      <c r="AH4" s="647"/>
      <c r="AI4" s="648"/>
      <c r="AJ4" s="2735"/>
      <c r="AK4" s="647"/>
      <c r="AL4" s="647"/>
      <c r="AM4" s="648"/>
      <c r="AN4" s="647"/>
      <c r="AO4" s="647"/>
      <c r="AP4" s="647"/>
      <c r="AQ4" s="647"/>
      <c r="AR4" s="647"/>
      <c r="AS4" s="647"/>
      <c r="AT4" s="647"/>
      <c r="AU4" s="647"/>
      <c r="AV4" s="647"/>
      <c r="AW4" s="647"/>
      <c r="AX4" s="647"/>
      <c r="AY4" s="647"/>
      <c r="AZ4" s="292"/>
      <c r="BA4" s="292"/>
      <c r="BB4" s="292"/>
      <c r="BC4" s="292"/>
      <c r="BD4" s="292"/>
      <c r="BE4" s="292"/>
      <c r="BF4" s="292"/>
      <c r="BG4" s="292"/>
      <c r="BH4" s="292"/>
      <c r="BI4" s="292"/>
      <c r="BJ4" s="292"/>
      <c r="BK4" s="292"/>
      <c r="BL4" s="292"/>
      <c r="BM4" s="292"/>
      <c r="BN4" s="292"/>
      <c r="BO4" s="292"/>
      <c r="BP4" s="292"/>
      <c r="BQ4" s="292"/>
      <c r="BR4" s="292"/>
      <c r="BS4" s="292"/>
      <c r="BT4" s="292"/>
      <c r="BU4" s="292"/>
      <c r="BV4" s="292"/>
      <c r="BW4" s="292"/>
      <c r="BX4" s="292"/>
      <c r="BY4" s="292"/>
      <c r="BZ4" s="292"/>
      <c r="CA4" s="292"/>
      <c r="CB4" s="292"/>
      <c r="CC4" s="292"/>
      <c r="CD4" s="292"/>
      <c r="CE4" s="292"/>
      <c r="CF4" s="292"/>
      <c r="CG4" s="292"/>
      <c r="CH4" s="292"/>
      <c r="CI4" s="292"/>
      <c r="CJ4" s="292"/>
      <c r="CK4" s="292"/>
      <c r="CL4" s="292"/>
      <c r="CM4" s="292"/>
      <c r="CN4" s="292"/>
      <c r="CO4" s="292"/>
      <c r="CP4" s="292"/>
      <c r="CQ4" s="292"/>
      <c r="CR4" s="292"/>
      <c r="CS4" s="292"/>
      <c r="CT4" s="292"/>
      <c r="CU4" s="292"/>
      <c r="CV4" s="292"/>
      <c r="CW4" s="292"/>
      <c r="CX4" s="292"/>
      <c r="CY4" s="292"/>
      <c r="CZ4" s="292"/>
      <c r="DA4" s="292"/>
      <c r="DB4" s="292"/>
      <c r="DC4" s="292"/>
      <c r="DD4" s="292"/>
      <c r="DE4" s="292"/>
      <c r="DF4" s="292"/>
      <c r="DG4" s="292"/>
      <c r="DH4" s="292"/>
      <c r="DI4" s="292"/>
      <c r="DJ4" s="292"/>
      <c r="DK4" s="292"/>
      <c r="DL4" s="292"/>
      <c r="DM4" s="292"/>
      <c r="DN4" s="292"/>
      <c r="DO4" s="292"/>
    </row>
    <row r="5" spans="1:119" customFormat="1" ht="12.75" customHeight="1">
      <c r="A5" s="2075" t="s">
        <v>420</v>
      </c>
      <c r="B5" s="2075"/>
      <c r="C5" s="2075"/>
      <c r="D5" s="2075"/>
      <c r="E5" s="2075"/>
      <c r="F5" s="2075"/>
      <c r="G5" s="2075"/>
      <c r="H5" s="2075"/>
      <c r="I5" s="2075"/>
      <c r="J5" s="2075"/>
      <c r="K5" s="2075"/>
      <c r="L5" s="2075"/>
      <c r="M5" s="2075"/>
      <c r="N5" s="2075"/>
      <c r="O5" s="2075"/>
      <c r="P5" s="2075"/>
      <c r="Q5" s="2075"/>
      <c r="R5" s="2075"/>
      <c r="S5" s="2563"/>
      <c r="T5" s="2075"/>
      <c r="U5" s="2075"/>
      <c r="V5" s="2075"/>
      <c r="W5" s="2094"/>
      <c r="X5" s="2075"/>
      <c r="Y5" s="2075"/>
      <c r="Z5" s="2075"/>
      <c r="AA5" s="2094"/>
      <c r="AB5" s="2075"/>
      <c r="AC5" s="2075"/>
      <c r="AD5" s="2075"/>
      <c r="AE5" s="2094"/>
      <c r="AF5" s="2075"/>
      <c r="AG5" s="2075"/>
      <c r="AH5" s="2075"/>
      <c r="AI5" s="2094"/>
      <c r="AJ5" s="2736"/>
      <c r="AK5" s="2075"/>
      <c r="AL5" s="2075"/>
      <c r="AM5" s="2094"/>
      <c r="AN5" s="2075"/>
      <c r="AO5" s="2075"/>
      <c r="AP5" s="2075"/>
      <c r="AQ5" s="2075"/>
      <c r="AR5" s="2075"/>
      <c r="AS5" s="2075"/>
      <c r="AT5" s="2075"/>
      <c r="AU5" s="2075"/>
      <c r="AV5" s="2075"/>
      <c r="AW5" s="2075"/>
      <c r="AX5" s="2075"/>
      <c r="AY5" s="2075"/>
      <c r="AZ5" s="292"/>
      <c r="BA5" s="292"/>
      <c r="BB5" s="292"/>
      <c r="BC5" s="292"/>
      <c r="BD5" s="292"/>
      <c r="BE5" s="292"/>
      <c r="BF5" s="292"/>
      <c r="BG5" s="292"/>
      <c r="BH5" s="292"/>
      <c r="BI5" s="292"/>
      <c r="BJ5" s="292"/>
      <c r="BK5" s="292"/>
      <c r="BL5" s="292"/>
      <c r="BM5" s="292"/>
      <c r="BN5" s="292"/>
      <c r="BO5" s="292"/>
      <c r="BP5" s="292"/>
      <c r="BQ5" s="292"/>
      <c r="BR5" s="292"/>
      <c r="BS5" s="292"/>
      <c r="BT5" s="292"/>
      <c r="BU5" s="292"/>
      <c r="BV5" s="292"/>
      <c r="BW5" s="292"/>
      <c r="BX5" s="292"/>
      <c r="BY5" s="292"/>
      <c r="BZ5" s="292"/>
      <c r="CA5" s="292"/>
      <c r="CB5" s="292"/>
      <c r="CC5" s="292"/>
      <c r="CD5" s="292"/>
      <c r="CE5" s="292"/>
      <c r="CF5" s="292"/>
      <c r="CG5" s="292"/>
      <c r="CH5" s="292"/>
      <c r="CI5" s="292"/>
      <c r="CJ5" s="292"/>
      <c r="CK5" s="292"/>
      <c r="CL5" s="292"/>
      <c r="CM5" s="292"/>
      <c r="CN5" s="292"/>
      <c r="CO5" s="292"/>
      <c r="CP5" s="292"/>
      <c r="CQ5" s="292"/>
      <c r="CR5" s="292"/>
      <c r="CS5" s="292"/>
      <c r="CT5" s="292"/>
      <c r="CU5" s="292"/>
      <c r="CV5" s="292"/>
      <c r="CW5" s="292"/>
      <c r="CX5" s="292"/>
      <c r="CY5" s="292"/>
      <c r="CZ5" s="292"/>
      <c r="DA5" s="292"/>
      <c r="DB5" s="292"/>
      <c r="DC5" s="292"/>
      <c r="DD5" s="292"/>
      <c r="DE5" s="292"/>
      <c r="DF5" s="292"/>
      <c r="DG5" s="292"/>
      <c r="DH5" s="292"/>
      <c r="DI5" s="292"/>
      <c r="DJ5" s="292"/>
      <c r="DK5" s="292"/>
      <c r="DL5" s="292"/>
      <c r="DM5" s="292"/>
      <c r="DN5" s="292"/>
      <c r="DO5" s="292"/>
    </row>
    <row r="6" spans="1:119" customFormat="1" ht="12.75" customHeight="1">
      <c r="A6" s="650" t="s">
        <v>436</v>
      </c>
      <c r="B6" s="650"/>
      <c r="C6" s="650"/>
      <c r="D6" s="650"/>
      <c r="E6" s="650"/>
      <c r="F6" s="650">
        <f t="shared" ref="F6:N6" si="0">+E8</f>
        <v>2518</v>
      </c>
      <c r="G6" s="650">
        <f t="shared" si="0"/>
        <v>4518</v>
      </c>
      <c r="H6" s="650">
        <f t="shared" si="0"/>
        <v>6250</v>
      </c>
      <c r="I6" s="650">
        <f t="shared" si="0"/>
        <v>7825</v>
      </c>
      <c r="J6" s="650">
        <f t="shared" si="0"/>
        <v>7825</v>
      </c>
      <c r="K6" s="650">
        <f t="shared" si="0"/>
        <v>7975</v>
      </c>
      <c r="L6" s="650">
        <f>+K8</f>
        <v>8975</v>
      </c>
      <c r="M6" s="650">
        <f>+L8</f>
        <v>8125</v>
      </c>
      <c r="N6" s="650">
        <f t="shared" si="0"/>
        <v>8125</v>
      </c>
      <c r="O6" s="650">
        <f>+N8</f>
        <v>8175</v>
      </c>
      <c r="P6" s="650">
        <f>+O8</f>
        <v>8250</v>
      </c>
      <c r="Q6" s="650">
        <f>+P8</f>
        <v>8325</v>
      </c>
      <c r="R6" s="650">
        <f>+Q8</f>
        <v>8400</v>
      </c>
      <c r="S6" s="2564"/>
      <c r="T6" s="650"/>
      <c r="U6" s="650"/>
      <c r="V6" s="650">
        <f t="shared" ref="V6:AD6" si="1">+U8</f>
        <v>4519</v>
      </c>
      <c r="W6" s="649">
        <f t="shared" si="1"/>
        <v>4518</v>
      </c>
      <c r="X6" s="650">
        <f t="shared" si="1"/>
        <v>4518</v>
      </c>
      <c r="Y6" s="650">
        <f t="shared" si="1"/>
        <v>6568</v>
      </c>
      <c r="Z6" s="650">
        <f t="shared" si="1"/>
        <v>6568</v>
      </c>
      <c r="AA6" s="649">
        <f t="shared" si="1"/>
        <v>6250</v>
      </c>
      <c r="AB6" s="650">
        <f t="shared" si="1"/>
        <v>6250</v>
      </c>
      <c r="AC6" s="650">
        <f t="shared" si="1"/>
        <v>7250</v>
      </c>
      <c r="AD6" s="650">
        <f t="shared" si="1"/>
        <v>7075</v>
      </c>
      <c r="AE6" s="649">
        <f t="shared" ref="AE6:AM6" si="2">+AD8</f>
        <v>7075</v>
      </c>
      <c r="AF6" s="650">
        <f t="shared" si="2"/>
        <v>7825</v>
      </c>
      <c r="AG6" s="650">
        <f t="shared" si="2"/>
        <v>7825</v>
      </c>
      <c r="AH6" s="650">
        <f t="shared" si="2"/>
        <v>7825</v>
      </c>
      <c r="AI6" s="649">
        <f t="shared" si="2"/>
        <v>7825</v>
      </c>
      <c r="AJ6" s="2737">
        <f t="shared" si="2"/>
        <v>7825</v>
      </c>
      <c r="AK6" s="650">
        <f t="shared" si="2"/>
        <v>7975</v>
      </c>
      <c r="AL6" s="650">
        <f t="shared" si="2"/>
        <v>7975</v>
      </c>
      <c r="AM6" s="649">
        <f t="shared" si="2"/>
        <v>7975</v>
      </c>
      <c r="AN6" s="650">
        <f t="shared" ref="AN6:AU6" si="3">+AM8</f>
        <v>7975</v>
      </c>
      <c r="AO6" s="650">
        <f t="shared" si="3"/>
        <v>7975</v>
      </c>
      <c r="AP6" s="650">
        <f t="shared" si="3"/>
        <v>8975</v>
      </c>
      <c r="AQ6" s="650">
        <f t="shared" si="3"/>
        <v>8975</v>
      </c>
      <c r="AR6" s="650">
        <f t="shared" si="3"/>
        <v>8975</v>
      </c>
      <c r="AS6" s="650">
        <f t="shared" si="3"/>
        <v>8975</v>
      </c>
      <c r="AT6" s="650">
        <f t="shared" si="3"/>
        <v>8125</v>
      </c>
      <c r="AU6" s="650">
        <f t="shared" si="3"/>
        <v>8125</v>
      </c>
      <c r="AV6" s="650">
        <f>+AU8</f>
        <v>8125</v>
      </c>
      <c r="AW6" s="650">
        <f>+AV8</f>
        <v>8125</v>
      </c>
      <c r="AX6" s="650">
        <f>+AW8</f>
        <v>8125</v>
      </c>
      <c r="AY6" s="650">
        <f>+AX8</f>
        <v>8125</v>
      </c>
      <c r="AZ6" s="292"/>
      <c r="BA6" s="292"/>
      <c r="BB6" s="292"/>
      <c r="BC6" s="292"/>
      <c r="BD6" s="292"/>
      <c r="BE6" s="292"/>
      <c r="BF6" s="292"/>
      <c r="BG6" s="292"/>
      <c r="BH6" s="292"/>
      <c r="BI6" s="292"/>
      <c r="BJ6" s="292"/>
      <c r="BK6" s="292"/>
      <c r="BL6" s="292"/>
      <c r="BM6" s="292"/>
      <c r="BN6" s="292"/>
      <c r="BO6" s="292"/>
      <c r="BP6" s="292"/>
      <c r="BQ6" s="292"/>
      <c r="BR6" s="292"/>
      <c r="BS6" s="292"/>
      <c r="BT6" s="292"/>
      <c r="BU6" s="292"/>
      <c r="BV6" s="292"/>
      <c r="BW6" s="292"/>
      <c r="BX6" s="292"/>
      <c r="BY6" s="292"/>
      <c r="BZ6" s="292"/>
      <c r="CA6" s="292"/>
      <c r="CB6" s="292"/>
      <c r="CC6" s="292"/>
      <c r="CD6" s="292"/>
      <c r="CE6" s="292"/>
      <c r="CF6" s="292"/>
      <c r="CG6" s="292"/>
      <c r="CH6" s="292"/>
      <c r="CI6" s="292"/>
      <c r="CJ6" s="292"/>
      <c r="CK6" s="292"/>
      <c r="CL6" s="292"/>
      <c r="CM6" s="292"/>
      <c r="CN6" s="292"/>
      <c r="CO6" s="292"/>
      <c r="CP6" s="292"/>
      <c r="CQ6" s="292"/>
      <c r="CR6" s="292"/>
      <c r="CS6" s="292"/>
      <c r="CT6" s="292"/>
      <c r="CU6" s="292"/>
      <c r="CV6" s="292"/>
      <c r="CW6" s="292"/>
      <c r="CX6" s="292"/>
      <c r="CY6" s="292"/>
      <c r="CZ6" s="292"/>
      <c r="DA6" s="292"/>
      <c r="DB6" s="292"/>
      <c r="DC6" s="292"/>
      <c r="DD6" s="292"/>
      <c r="DE6" s="292"/>
      <c r="DF6" s="292"/>
      <c r="DG6" s="292"/>
      <c r="DH6" s="292"/>
      <c r="DI6" s="292"/>
      <c r="DJ6" s="292"/>
      <c r="DK6" s="292"/>
      <c r="DL6" s="292"/>
      <c r="DM6" s="292"/>
      <c r="DN6" s="292"/>
      <c r="DO6" s="292"/>
    </row>
    <row r="7" spans="1:119" customFormat="1" ht="12.75" customHeight="1">
      <c r="A7" s="2089" t="s">
        <v>437</v>
      </c>
      <c r="B7" s="2089"/>
      <c r="C7" s="2089"/>
      <c r="D7" s="2089"/>
      <c r="E7" s="2089"/>
      <c r="F7" s="2089">
        <f t="shared" ref="F7:K7" si="4">+F8-F6</f>
        <v>2000</v>
      </c>
      <c r="G7" s="2089">
        <f t="shared" si="4"/>
        <v>1732</v>
      </c>
      <c r="H7" s="2089">
        <f t="shared" si="4"/>
        <v>1575</v>
      </c>
      <c r="I7" s="2089">
        <f t="shared" si="4"/>
        <v>0</v>
      </c>
      <c r="J7" s="2089">
        <f t="shared" si="4"/>
        <v>150</v>
      </c>
      <c r="K7" s="2089">
        <f t="shared" si="4"/>
        <v>1000</v>
      </c>
      <c r="L7" s="2089">
        <f>+L8-L6</f>
        <v>-850</v>
      </c>
      <c r="M7" s="2089">
        <f>+M8-M6</f>
        <v>0</v>
      </c>
      <c r="N7" s="2089">
        <f>+N8-M8</f>
        <v>50</v>
      </c>
      <c r="O7" s="2089">
        <f>+O8-N8</f>
        <v>75</v>
      </c>
      <c r="P7" s="2089">
        <f>+P8-O8</f>
        <v>75</v>
      </c>
      <c r="Q7" s="2089">
        <f>+Q8-P8</f>
        <v>75</v>
      </c>
      <c r="R7" s="2089">
        <f>+R8-Q8</f>
        <v>75</v>
      </c>
      <c r="S7" s="2564"/>
      <c r="T7" s="2089"/>
      <c r="U7" s="2089"/>
      <c r="V7" s="2089">
        <f>+V8-V6</f>
        <v>-1</v>
      </c>
      <c r="W7" s="2090">
        <f>+W8-W6</f>
        <v>0</v>
      </c>
      <c r="X7" s="2089">
        <f>+X8-X6</f>
        <v>2050</v>
      </c>
      <c r="Y7" s="2089">
        <f>+Y8-Y6</f>
        <v>0</v>
      </c>
      <c r="Z7" s="2089">
        <f>+Z8-Z6</f>
        <v>-318</v>
      </c>
      <c r="AA7" s="432">
        <v>0</v>
      </c>
      <c r="AB7" s="2089">
        <v>1000</v>
      </c>
      <c r="AC7" s="2089">
        <f t="shared" ref="AC7:AH7" si="5">+AC8-AC6</f>
        <v>-175</v>
      </c>
      <c r="AD7" s="2089">
        <f t="shared" si="5"/>
        <v>0</v>
      </c>
      <c r="AE7" s="432">
        <f t="shared" si="5"/>
        <v>750</v>
      </c>
      <c r="AF7" s="2089">
        <f t="shared" si="5"/>
        <v>0</v>
      </c>
      <c r="AG7" s="2089">
        <f t="shared" si="5"/>
        <v>0</v>
      </c>
      <c r="AH7" s="2089">
        <f t="shared" si="5"/>
        <v>0</v>
      </c>
      <c r="AI7" s="432">
        <f t="shared" ref="AI7:AQ7" si="6">+AI8-AI6</f>
        <v>0</v>
      </c>
      <c r="AJ7" s="2738">
        <f t="shared" si="6"/>
        <v>150</v>
      </c>
      <c r="AK7" s="2089">
        <f t="shared" si="6"/>
        <v>0</v>
      </c>
      <c r="AL7" s="2089">
        <f t="shared" si="6"/>
        <v>0</v>
      </c>
      <c r="AM7" s="2090">
        <f t="shared" si="6"/>
        <v>0</v>
      </c>
      <c r="AN7" s="2089">
        <f t="shared" si="6"/>
        <v>0</v>
      </c>
      <c r="AO7" s="2089">
        <f t="shared" si="6"/>
        <v>1000</v>
      </c>
      <c r="AP7" s="2089">
        <f t="shared" si="6"/>
        <v>0</v>
      </c>
      <c r="AQ7" s="2089">
        <f t="shared" si="6"/>
        <v>0</v>
      </c>
      <c r="AR7" s="2089">
        <f t="shared" ref="AR7:AY7" si="7">+AR8-AR6</f>
        <v>0</v>
      </c>
      <c r="AS7" s="2089">
        <f t="shared" si="7"/>
        <v>-850</v>
      </c>
      <c r="AT7" s="2089">
        <f t="shared" si="7"/>
        <v>0</v>
      </c>
      <c r="AU7" s="2089">
        <f t="shared" si="7"/>
        <v>0</v>
      </c>
      <c r="AV7" s="2089">
        <f t="shared" si="7"/>
        <v>0</v>
      </c>
      <c r="AW7" s="2089">
        <f t="shared" si="7"/>
        <v>0</v>
      </c>
      <c r="AX7" s="2089">
        <f t="shared" si="7"/>
        <v>0</v>
      </c>
      <c r="AY7" s="2089">
        <f t="shared" si="7"/>
        <v>0</v>
      </c>
      <c r="AZ7" s="292"/>
      <c r="BA7" s="292"/>
      <c r="BB7" s="292"/>
      <c r="BC7" s="292"/>
      <c r="BD7" s="292"/>
      <c r="BE7" s="292"/>
      <c r="BF7" s="292"/>
      <c r="BG7" s="292"/>
      <c r="BH7" s="292"/>
      <c r="BI7" s="292"/>
      <c r="BJ7" s="292"/>
      <c r="BK7" s="292"/>
      <c r="BL7" s="292"/>
      <c r="BM7" s="292"/>
      <c r="BN7" s="292"/>
      <c r="BO7" s="292"/>
      <c r="BP7" s="292"/>
      <c r="BQ7" s="292"/>
      <c r="BR7" s="292"/>
      <c r="BS7" s="292"/>
      <c r="BT7" s="292"/>
      <c r="BU7" s="292"/>
      <c r="BV7" s="292"/>
      <c r="BW7" s="292"/>
      <c r="BX7" s="292"/>
      <c r="BY7" s="292"/>
      <c r="BZ7" s="292"/>
      <c r="CA7" s="292"/>
      <c r="CB7" s="292"/>
      <c r="CC7" s="292"/>
      <c r="CD7" s="292"/>
      <c r="CE7" s="292"/>
      <c r="CF7" s="292"/>
      <c r="CG7" s="292"/>
      <c r="CH7" s="292"/>
      <c r="CI7" s="292"/>
      <c r="CJ7" s="292"/>
      <c r="CK7" s="292"/>
      <c r="CL7" s="292"/>
      <c r="CM7" s="292"/>
      <c r="CN7" s="292"/>
      <c r="CO7" s="292"/>
      <c r="CP7" s="292"/>
      <c r="CQ7" s="292"/>
      <c r="CR7" s="292"/>
      <c r="CS7" s="292"/>
      <c r="CT7" s="292"/>
      <c r="CU7" s="292"/>
      <c r="CV7" s="292"/>
      <c r="CW7" s="292"/>
      <c r="CX7" s="292"/>
      <c r="CY7" s="292"/>
      <c r="CZ7" s="292"/>
      <c r="DA7" s="292"/>
      <c r="DB7" s="292"/>
      <c r="DC7" s="292"/>
      <c r="DD7" s="292"/>
      <c r="DE7" s="292"/>
      <c r="DF7" s="292"/>
      <c r="DG7" s="292"/>
      <c r="DH7" s="292"/>
      <c r="DI7" s="292"/>
      <c r="DJ7" s="292"/>
      <c r="DK7" s="292"/>
      <c r="DL7" s="292"/>
      <c r="DM7" s="292"/>
      <c r="DN7" s="292"/>
      <c r="DO7" s="292"/>
    </row>
    <row r="8" spans="1:119" customFormat="1" ht="12.75" customHeight="1">
      <c r="A8" s="650" t="s">
        <v>438</v>
      </c>
      <c r="B8" s="650"/>
      <c r="C8" s="650"/>
      <c r="D8" s="650"/>
      <c r="E8" s="2095">
        <v>2518</v>
      </c>
      <c r="F8" s="2095">
        <f>W8</f>
        <v>4518</v>
      </c>
      <c r="G8" s="2095">
        <f>+AA8</f>
        <v>6250</v>
      </c>
      <c r="H8" s="650">
        <f>+AE8</f>
        <v>7825</v>
      </c>
      <c r="I8" s="650">
        <f>+AI8</f>
        <v>7825</v>
      </c>
      <c r="J8" s="650">
        <f>+AM8</f>
        <v>7975</v>
      </c>
      <c r="K8" s="650">
        <f>+AQ8</f>
        <v>8975</v>
      </c>
      <c r="L8" s="650">
        <f>+AU8</f>
        <v>8125</v>
      </c>
      <c r="M8" s="650">
        <f>+AY8</f>
        <v>8125</v>
      </c>
      <c r="N8" s="2934">
        <f>+M8+50</f>
        <v>8175</v>
      </c>
      <c r="O8" s="2934">
        <f>+N8+75</f>
        <v>8250</v>
      </c>
      <c r="P8" s="2934">
        <f>+O8+75</f>
        <v>8325</v>
      </c>
      <c r="Q8" s="2934">
        <f>+P8+75</f>
        <v>8400</v>
      </c>
      <c r="R8" s="2934">
        <f>+Q8+75</f>
        <v>8475</v>
      </c>
      <c r="S8" s="2565"/>
      <c r="T8" s="2095"/>
      <c r="U8" s="2095">
        <v>4519</v>
      </c>
      <c r="V8" s="2095">
        <v>4518</v>
      </c>
      <c r="W8" s="2096">
        <v>4518</v>
      </c>
      <c r="X8" s="2095">
        <v>6568</v>
      </c>
      <c r="Y8" s="2095">
        <v>6568</v>
      </c>
      <c r="Z8" s="2095">
        <v>6250</v>
      </c>
      <c r="AA8" s="2096">
        <v>6250</v>
      </c>
      <c r="AB8" s="2095">
        <v>7250</v>
      </c>
      <c r="AC8" s="2095">
        <v>7075</v>
      </c>
      <c r="AD8" s="2095">
        <v>7075</v>
      </c>
      <c r="AE8" s="2096">
        <v>7825</v>
      </c>
      <c r="AF8" s="2095">
        <v>7825</v>
      </c>
      <c r="AG8" s="2095">
        <v>7825</v>
      </c>
      <c r="AH8" s="2095">
        <v>7825</v>
      </c>
      <c r="AI8" s="2096">
        <v>7825</v>
      </c>
      <c r="AJ8" s="2935">
        <v>7975</v>
      </c>
      <c r="AK8" s="2934">
        <v>7975</v>
      </c>
      <c r="AL8" s="2934">
        <v>7975</v>
      </c>
      <c r="AM8" s="2936">
        <f>+AL8</f>
        <v>7975</v>
      </c>
      <c r="AN8" s="2934">
        <f>+AM8</f>
        <v>7975</v>
      </c>
      <c r="AO8" s="2934">
        <v>8975</v>
      </c>
      <c r="AP8" s="2934">
        <f t="shared" ref="AP8:AU8" si="8">+AO8</f>
        <v>8975</v>
      </c>
      <c r="AQ8" s="2934">
        <v>8975</v>
      </c>
      <c r="AR8" s="2934">
        <f t="shared" si="8"/>
        <v>8975</v>
      </c>
      <c r="AS8" s="2934">
        <v>8125</v>
      </c>
      <c r="AT8" s="2934">
        <f t="shared" si="8"/>
        <v>8125</v>
      </c>
      <c r="AU8" s="2934">
        <f t="shared" si="8"/>
        <v>8125</v>
      </c>
      <c r="AV8" s="2934">
        <f>+AU8</f>
        <v>8125</v>
      </c>
      <c r="AW8" s="2934">
        <f>+AV8</f>
        <v>8125</v>
      </c>
      <c r="AX8" s="2934">
        <f>+AW8</f>
        <v>8125</v>
      </c>
      <c r="AY8" s="2934">
        <f>+AX8</f>
        <v>8125</v>
      </c>
      <c r="AZ8" s="292"/>
      <c r="BA8" s="292"/>
      <c r="BB8" s="292"/>
      <c r="BC8" s="292"/>
      <c r="BD8" s="292"/>
      <c r="BE8" s="292"/>
      <c r="BF8" s="292"/>
      <c r="BG8" s="292"/>
      <c r="BH8" s="292"/>
      <c r="BI8" s="292"/>
      <c r="BJ8" s="292"/>
      <c r="BK8" s="292"/>
      <c r="BL8" s="292"/>
      <c r="BM8" s="292"/>
      <c r="BN8" s="292"/>
      <c r="BO8" s="292"/>
      <c r="BP8" s="292"/>
      <c r="BQ8" s="292"/>
      <c r="BR8" s="292"/>
      <c r="BS8" s="292"/>
      <c r="BT8" s="292"/>
      <c r="BU8" s="292"/>
      <c r="BV8" s="292"/>
      <c r="BW8" s="292"/>
      <c r="BX8" s="292"/>
      <c r="BY8" s="292"/>
      <c r="BZ8" s="292"/>
      <c r="CA8" s="292"/>
      <c r="CB8" s="292"/>
      <c r="CC8" s="292"/>
      <c r="CD8" s="292"/>
      <c r="CE8" s="292"/>
      <c r="CF8" s="292"/>
      <c r="CG8" s="292"/>
      <c r="CH8" s="292"/>
      <c r="CI8" s="292"/>
      <c r="CJ8" s="292"/>
      <c r="CK8" s="292"/>
      <c r="CL8" s="292"/>
      <c r="CM8" s="292"/>
      <c r="CN8" s="292"/>
      <c r="CO8" s="292"/>
      <c r="CP8" s="292"/>
      <c r="CQ8" s="292"/>
      <c r="CR8" s="292"/>
      <c r="CS8" s="292"/>
      <c r="CT8" s="292"/>
      <c r="CU8" s="292"/>
      <c r="CV8" s="292"/>
      <c r="CW8" s="292"/>
      <c r="CX8" s="292"/>
      <c r="CY8" s="292"/>
      <c r="CZ8" s="292"/>
      <c r="DA8" s="292"/>
      <c r="DB8" s="292"/>
      <c r="DC8" s="292"/>
      <c r="DD8" s="292"/>
      <c r="DE8" s="292"/>
      <c r="DF8" s="292"/>
      <c r="DG8" s="292"/>
      <c r="DH8" s="292"/>
      <c r="DI8" s="292"/>
      <c r="DJ8" s="292"/>
      <c r="DK8" s="292"/>
      <c r="DL8" s="292"/>
      <c r="DM8" s="292"/>
      <c r="DN8" s="292"/>
      <c r="DO8" s="292"/>
    </row>
    <row r="9" spans="1:119" customFormat="1" ht="12.75" customHeight="1">
      <c r="A9" s="399"/>
      <c r="B9" s="399"/>
      <c r="C9" s="399"/>
      <c r="D9" s="399"/>
      <c r="E9" s="399"/>
      <c r="F9" s="399"/>
      <c r="G9" s="399"/>
      <c r="H9" s="399"/>
      <c r="I9" s="399"/>
      <c r="J9" s="399"/>
      <c r="K9" s="399"/>
      <c r="L9" s="399"/>
      <c r="M9" s="2634"/>
      <c r="N9" s="399"/>
      <c r="O9" s="399"/>
      <c r="P9" s="399"/>
      <c r="Q9" s="2634"/>
      <c r="R9" s="2634"/>
      <c r="S9" s="2563"/>
      <c r="T9" s="399"/>
      <c r="U9" s="399"/>
      <c r="V9" s="399"/>
      <c r="W9" s="400"/>
      <c r="X9" s="399"/>
      <c r="Y9" s="399"/>
      <c r="Z9" s="399"/>
      <c r="AA9" s="400"/>
      <c r="AB9" s="399"/>
      <c r="AC9" s="399"/>
      <c r="AD9" s="399"/>
      <c r="AE9" s="400"/>
      <c r="AF9" s="399"/>
      <c r="AG9" s="399"/>
      <c r="AH9" s="399"/>
      <c r="AI9" s="400"/>
      <c r="AJ9" s="407"/>
      <c r="AK9" s="399"/>
      <c r="AL9" s="399"/>
      <c r="AM9" s="400"/>
      <c r="AN9" s="399"/>
      <c r="AO9" s="399"/>
      <c r="AP9" s="399"/>
      <c r="AQ9" s="399"/>
      <c r="AR9" s="399"/>
      <c r="AS9" s="399"/>
      <c r="AT9" s="399"/>
      <c r="AU9" s="399"/>
      <c r="AV9" s="2634"/>
      <c r="AW9" s="2634"/>
      <c r="AX9" s="2634"/>
      <c r="AY9" s="2634"/>
      <c r="AZ9" s="292"/>
      <c r="BA9" s="292"/>
      <c r="BB9" s="292"/>
      <c r="BC9" s="292"/>
      <c r="BD9" s="292"/>
      <c r="BE9" s="292"/>
      <c r="BF9" s="292"/>
      <c r="BG9" s="292"/>
      <c r="BH9" s="292"/>
      <c r="BI9" s="292"/>
      <c r="BJ9" s="292"/>
      <c r="BK9" s="292"/>
      <c r="BL9" s="292"/>
      <c r="BM9" s="292"/>
      <c r="BN9" s="292"/>
      <c r="BO9" s="292"/>
      <c r="BP9" s="292"/>
      <c r="BQ9" s="292"/>
      <c r="BR9" s="292"/>
      <c r="BS9" s="292"/>
      <c r="BT9" s="292"/>
      <c r="BU9" s="292"/>
      <c r="BV9" s="292"/>
      <c r="BW9" s="292"/>
      <c r="BX9" s="292"/>
      <c r="BY9" s="292"/>
      <c r="BZ9" s="292"/>
      <c r="CA9" s="292"/>
      <c r="CB9" s="292"/>
      <c r="CC9" s="292"/>
      <c r="CD9" s="292"/>
      <c r="CE9" s="292"/>
      <c r="CF9" s="292"/>
      <c r="CG9" s="292"/>
      <c r="CH9" s="292"/>
      <c r="CI9" s="292"/>
      <c r="CJ9" s="292"/>
      <c r="CK9" s="292"/>
      <c r="CL9" s="292"/>
      <c r="CM9" s="292"/>
      <c r="CN9" s="292"/>
      <c r="CO9" s="292"/>
      <c r="CP9" s="292"/>
      <c r="CQ9" s="292"/>
      <c r="CR9" s="292"/>
      <c r="CS9" s="292"/>
      <c r="CT9" s="292"/>
      <c r="CU9" s="292"/>
      <c r="CV9" s="292"/>
      <c r="CW9" s="292"/>
      <c r="CX9" s="292"/>
      <c r="CY9" s="292"/>
      <c r="CZ9" s="292"/>
      <c r="DA9" s="292"/>
      <c r="DB9" s="292"/>
      <c r="DC9" s="292"/>
      <c r="DD9" s="292"/>
      <c r="DE9" s="292"/>
      <c r="DF9" s="292"/>
      <c r="DG9" s="292"/>
      <c r="DH9" s="292"/>
      <c r="DI9" s="292"/>
      <c r="DJ9" s="292"/>
      <c r="DK9" s="292"/>
      <c r="DL9" s="292"/>
      <c r="DM9" s="292"/>
      <c r="DN9" s="292"/>
      <c r="DO9" s="292"/>
    </row>
    <row r="10" spans="1:119" customFormat="1" ht="12.75" customHeight="1">
      <c r="A10" s="2075" t="s">
        <v>522</v>
      </c>
      <c r="B10" s="2075"/>
      <c r="C10" s="2075"/>
      <c r="D10" s="2075"/>
      <c r="E10" s="2075"/>
      <c r="F10" s="2075"/>
      <c r="G10" s="2075"/>
      <c r="H10" s="2075"/>
      <c r="I10" s="2075"/>
      <c r="J10" s="2075"/>
      <c r="K10" s="2075"/>
      <c r="L10" s="2075"/>
      <c r="M10" s="2075"/>
      <c r="N10" s="2075"/>
      <c r="O10" s="2075"/>
      <c r="P10" s="2075"/>
      <c r="Q10" s="2075"/>
      <c r="R10" s="2075"/>
      <c r="S10" s="2563"/>
      <c r="T10" s="2075"/>
      <c r="U10" s="2075"/>
      <c r="V10" s="2075"/>
      <c r="W10" s="2094"/>
      <c r="X10" s="2075"/>
      <c r="Y10" s="2075"/>
      <c r="Z10" s="2075"/>
      <c r="AA10" s="2094"/>
      <c r="AB10" s="2075"/>
      <c r="AC10" s="2075"/>
      <c r="AD10" s="2075"/>
      <c r="AE10" s="2094"/>
      <c r="AF10" s="2075"/>
      <c r="AG10" s="2075"/>
      <c r="AH10" s="2075"/>
      <c r="AI10" s="2094"/>
      <c r="AJ10" s="2736"/>
      <c r="AK10" s="2075"/>
      <c r="AL10" s="2075"/>
      <c r="AM10" s="2094"/>
      <c r="AN10" s="2075"/>
      <c r="AO10" s="2075"/>
      <c r="AP10" s="2075"/>
      <c r="AQ10" s="2075"/>
      <c r="AR10" s="2075"/>
      <c r="AS10" s="2075"/>
      <c r="AT10" s="2075"/>
      <c r="AU10" s="2075"/>
      <c r="AV10" s="2075"/>
      <c r="AW10" s="2075"/>
      <c r="AX10" s="2075"/>
      <c r="AY10" s="2075"/>
      <c r="AZ10" s="292"/>
      <c r="BA10" s="292"/>
      <c r="BB10" s="292"/>
      <c r="BC10" s="292"/>
      <c r="BD10" s="292"/>
      <c r="BE10" s="292"/>
      <c r="BF10" s="292"/>
      <c r="BG10" s="292"/>
      <c r="BH10" s="292"/>
      <c r="BI10" s="292"/>
      <c r="BJ10" s="292"/>
      <c r="BK10" s="292"/>
      <c r="BL10" s="292"/>
      <c r="BM10" s="292"/>
      <c r="BN10" s="292"/>
      <c r="BO10" s="292"/>
      <c r="BP10" s="292"/>
      <c r="BQ10" s="292"/>
      <c r="BR10" s="292"/>
      <c r="BS10" s="292"/>
      <c r="BT10" s="292"/>
      <c r="BU10" s="292"/>
      <c r="BV10" s="292"/>
      <c r="BW10" s="292"/>
      <c r="BX10" s="292"/>
      <c r="BY10" s="292"/>
      <c r="BZ10" s="292"/>
      <c r="CA10" s="29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92"/>
      <c r="CY10" s="292"/>
      <c r="CZ10" s="292"/>
      <c r="DA10" s="292"/>
      <c r="DB10" s="292"/>
      <c r="DC10" s="292"/>
      <c r="DD10" s="292"/>
      <c r="DE10" s="292"/>
      <c r="DF10" s="292"/>
      <c r="DG10" s="292"/>
      <c r="DH10" s="292"/>
      <c r="DI10" s="292"/>
      <c r="DJ10" s="292"/>
      <c r="DK10" s="292"/>
      <c r="DL10" s="292"/>
      <c r="DM10" s="292"/>
      <c r="DN10" s="292"/>
      <c r="DO10" s="292"/>
    </row>
    <row r="11" spans="1:119" customFormat="1" ht="12.75" customHeight="1">
      <c r="A11" s="650" t="s">
        <v>436</v>
      </c>
      <c r="B11" s="650"/>
      <c r="C11" s="650"/>
      <c r="D11" s="650"/>
      <c r="E11" s="650"/>
      <c r="F11" s="650">
        <f t="shared" ref="F11:N11" si="9">+E13</f>
        <v>365</v>
      </c>
      <c r="G11" s="650">
        <f t="shared" si="9"/>
        <v>277</v>
      </c>
      <c r="H11" s="650">
        <f t="shared" si="9"/>
        <v>820</v>
      </c>
      <c r="I11" s="650">
        <f t="shared" si="9"/>
        <v>725</v>
      </c>
      <c r="J11" s="650">
        <f t="shared" si="9"/>
        <v>725</v>
      </c>
      <c r="K11" s="650">
        <f t="shared" si="9"/>
        <v>410</v>
      </c>
      <c r="L11" s="650">
        <f>+K13</f>
        <v>370</v>
      </c>
      <c r="M11" s="650">
        <f>+L13</f>
        <v>0</v>
      </c>
      <c r="N11" s="650">
        <f t="shared" si="9"/>
        <v>0</v>
      </c>
      <c r="O11" s="650">
        <f>+N13</f>
        <v>0</v>
      </c>
      <c r="P11" s="650">
        <f>+O13</f>
        <v>0</v>
      </c>
      <c r="Q11" s="650">
        <f>+P13</f>
        <v>0</v>
      </c>
      <c r="R11" s="650">
        <f>+Q13</f>
        <v>0</v>
      </c>
      <c r="S11" s="2564"/>
      <c r="T11" s="650"/>
      <c r="U11" s="650"/>
      <c r="V11" s="650"/>
      <c r="W11" s="649">
        <f t="shared" ref="W11:AD11" si="10">+V13</f>
        <v>0</v>
      </c>
      <c r="X11" s="650">
        <f t="shared" si="10"/>
        <v>277</v>
      </c>
      <c r="Y11" s="650">
        <f t="shared" si="10"/>
        <v>0</v>
      </c>
      <c r="Z11" s="650">
        <f t="shared" si="10"/>
        <v>250</v>
      </c>
      <c r="AA11" s="649">
        <f t="shared" si="10"/>
        <v>280</v>
      </c>
      <c r="AB11" s="650">
        <f t="shared" si="10"/>
        <v>820</v>
      </c>
      <c r="AC11" s="650">
        <f t="shared" si="10"/>
        <v>75</v>
      </c>
      <c r="AD11" s="650">
        <f t="shared" si="10"/>
        <v>45</v>
      </c>
      <c r="AE11" s="649">
        <f t="shared" ref="AE11:AM11" si="11">+AD13</f>
        <v>200</v>
      </c>
      <c r="AF11" s="650">
        <f t="shared" si="11"/>
        <v>725</v>
      </c>
      <c r="AG11" s="650">
        <f t="shared" si="11"/>
        <v>755</v>
      </c>
      <c r="AH11" s="650">
        <f t="shared" si="11"/>
        <v>845</v>
      </c>
      <c r="AI11" s="649">
        <f t="shared" si="11"/>
        <v>585</v>
      </c>
      <c r="AJ11" s="2737">
        <f t="shared" si="11"/>
        <v>725</v>
      </c>
      <c r="AK11" s="650">
        <f t="shared" si="11"/>
        <v>300</v>
      </c>
      <c r="AL11" s="650">
        <f t="shared" si="11"/>
        <v>320</v>
      </c>
      <c r="AM11" s="649">
        <f t="shared" si="11"/>
        <v>0</v>
      </c>
      <c r="AN11" s="650">
        <f t="shared" ref="AN11:AU11" si="12">+AM13</f>
        <v>410</v>
      </c>
      <c r="AO11" s="650">
        <f t="shared" si="12"/>
        <v>0</v>
      </c>
      <c r="AP11" s="650">
        <f t="shared" si="12"/>
        <v>0</v>
      </c>
      <c r="AQ11" s="650">
        <f t="shared" si="12"/>
        <v>85</v>
      </c>
      <c r="AR11" s="650">
        <f t="shared" si="12"/>
        <v>370</v>
      </c>
      <c r="AS11" s="650">
        <f t="shared" si="12"/>
        <v>375</v>
      </c>
      <c r="AT11" s="650">
        <f t="shared" si="12"/>
        <v>0</v>
      </c>
      <c r="AU11" s="650">
        <f t="shared" si="12"/>
        <v>0</v>
      </c>
      <c r="AV11" s="650">
        <f>+AU13</f>
        <v>0</v>
      </c>
      <c r="AW11" s="650">
        <f>+AV13</f>
        <v>0</v>
      </c>
      <c r="AX11" s="650">
        <f>+AW13</f>
        <v>0</v>
      </c>
      <c r="AY11" s="650">
        <f>+AX13</f>
        <v>0</v>
      </c>
      <c r="AZ11" s="292"/>
      <c r="BA11" s="292"/>
      <c r="BB11" s="292"/>
      <c r="BC11" s="292"/>
      <c r="BD11" s="292"/>
      <c r="BE11" s="292"/>
      <c r="BF11" s="292"/>
      <c r="BG11" s="292"/>
      <c r="BH11" s="292"/>
      <c r="BI11" s="292"/>
      <c r="BJ11" s="292"/>
      <c r="BK11" s="292"/>
      <c r="BL11" s="292"/>
      <c r="BM11" s="292"/>
      <c r="BN11" s="292"/>
      <c r="BO11" s="292"/>
      <c r="BP11" s="292"/>
      <c r="BQ11" s="292"/>
      <c r="BR11" s="292"/>
      <c r="BS11" s="292"/>
      <c r="BT11" s="292"/>
      <c r="BU11" s="292"/>
      <c r="BV11" s="292"/>
      <c r="BW11" s="292"/>
      <c r="BX11" s="292"/>
      <c r="BY11" s="292"/>
      <c r="BZ11" s="292"/>
      <c r="CA11" s="292"/>
      <c r="CB11" s="292"/>
      <c r="CC11" s="292"/>
      <c r="CD11" s="292"/>
      <c r="CE11" s="292"/>
      <c r="CF11" s="292"/>
      <c r="CG11" s="292"/>
      <c r="CH11" s="292"/>
      <c r="CI11" s="292"/>
      <c r="CJ11" s="292"/>
      <c r="CK11" s="292"/>
      <c r="CL11" s="292"/>
      <c r="CM11" s="292"/>
      <c r="CN11" s="292"/>
      <c r="CO11" s="292"/>
      <c r="CP11" s="292"/>
      <c r="CQ11" s="292"/>
      <c r="CR11" s="292"/>
      <c r="CS11" s="292"/>
      <c r="CT11" s="292"/>
      <c r="CU11" s="292"/>
      <c r="CV11" s="292"/>
      <c r="CW11" s="292"/>
      <c r="CX11" s="292"/>
      <c r="CY11" s="292"/>
      <c r="CZ11" s="292"/>
      <c r="DA11" s="292"/>
      <c r="DB11" s="292"/>
      <c r="DC11" s="292"/>
      <c r="DD11" s="292"/>
      <c r="DE11" s="292"/>
      <c r="DF11" s="292"/>
      <c r="DG11" s="292"/>
      <c r="DH11" s="292"/>
      <c r="DI11" s="292"/>
      <c r="DJ11" s="292"/>
      <c r="DK11" s="292"/>
      <c r="DL11" s="292"/>
      <c r="DM11" s="292"/>
      <c r="DN11" s="292"/>
      <c r="DO11" s="292"/>
    </row>
    <row r="12" spans="1:119" customFormat="1" ht="12.75" customHeight="1">
      <c r="A12" s="2089" t="s">
        <v>437</v>
      </c>
      <c r="B12" s="2089"/>
      <c r="C12" s="2089"/>
      <c r="D12" s="2089"/>
      <c r="E12" s="2089"/>
      <c r="F12" s="2089">
        <f t="shared" ref="F12:N12" si="13">+F13-F11</f>
        <v>-88</v>
      </c>
      <c r="G12" s="2089">
        <f t="shared" si="13"/>
        <v>543</v>
      </c>
      <c r="H12" s="2089">
        <f t="shared" si="13"/>
        <v>-95</v>
      </c>
      <c r="I12" s="2089">
        <f t="shared" si="13"/>
        <v>0</v>
      </c>
      <c r="J12" s="2089">
        <f t="shared" si="13"/>
        <v>-315</v>
      </c>
      <c r="K12" s="2089">
        <f t="shared" si="13"/>
        <v>-40</v>
      </c>
      <c r="L12" s="2089">
        <f>+L13-L11</f>
        <v>-370</v>
      </c>
      <c r="M12" s="2089">
        <f>+M13-M11</f>
        <v>0</v>
      </c>
      <c r="N12" s="2089">
        <f t="shared" si="13"/>
        <v>0</v>
      </c>
      <c r="O12" s="2089">
        <f>+O13-O11</f>
        <v>0</v>
      </c>
      <c r="P12" s="2089">
        <f>+P13-P11</f>
        <v>0</v>
      </c>
      <c r="Q12" s="2089">
        <f>+Q13-Q11</f>
        <v>0</v>
      </c>
      <c r="R12" s="2089">
        <f>+R13-R11</f>
        <v>0</v>
      </c>
      <c r="S12" s="2564"/>
      <c r="T12" s="2089"/>
      <c r="U12" s="2089"/>
      <c r="V12" s="2089"/>
      <c r="W12" s="2090">
        <f t="shared" ref="W12:AD12" si="14">+W13-W11</f>
        <v>277</v>
      </c>
      <c r="X12" s="2089">
        <f t="shared" si="14"/>
        <v>-277</v>
      </c>
      <c r="Y12" s="2089">
        <f t="shared" si="14"/>
        <v>250</v>
      </c>
      <c r="Z12" s="2089">
        <f t="shared" si="14"/>
        <v>30</v>
      </c>
      <c r="AA12" s="2090">
        <f t="shared" si="14"/>
        <v>540</v>
      </c>
      <c r="AB12" s="2089">
        <f t="shared" si="14"/>
        <v>-745</v>
      </c>
      <c r="AC12" s="2089">
        <f t="shared" si="14"/>
        <v>-30</v>
      </c>
      <c r="AD12" s="2089">
        <f t="shared" si="14"/>
        <v>155</v>
      </c>
      <c r="AE12" s="2090">
        <f t="shared" ref="AE12:AM12" si="15">+AE13-AE11</f>
        <v>525</v>
      </c>
      <c r="AF12" s="2089">
        <f t="shared" si="15"/>
        <v>30</v>
      </c>
      <c r="AG12" s="2089">
        <f t="shared" si="15"/>
        <v>90</v>
      </c>
      <c r="AH12" s="2089">
        <f t="shared" si="15"/>
        <v>-260</v>
      </c>
      <c r="AI12" s="2090">
        <f t="shared" si="15"/>
        <v>140</v>
      </c>
      <c r="AJ12" s="2738">
        <f t="shared" si="15"/>
        <v>-425</v>
      </c>
      <c r="AK12" s="2089">
        <f t="shared" si="15"/>
        <v>20</v>
      </c>
      <c r="AL12" s="2089">
        <f t="shared" si="15"/>
        <v>-320</v>
      </c>
      <c r="AM12" s="2090">
        <f t="shared" si="15"/>
        <v>410</v>
      </c>
      <c r="AN12" s="2089">
        <f t="shared" ref="AN12:AU12" si="16">+AN13-AN11</f>
        <v>-410</v>
      </c>
      <c r="AO12" s="2089">
        <f t="shared" si="16"/>
        <v>0</v>
      </c>
      <c r="AP12" s="2089">
        <f t="shared" si="16"/>
        <v>85</v>
      </c>
      <c r="AQ12" s="2089">
        <f t="shared" si="16"/>
        <v>285</v>
      </c>
      <c r="AR12" s="2089">
        <f t="shared" si="16"/>
        <v>5</v>
      </c>
      <c r="AS12" s="2089">
        <f t="shared" si="16"/>
        <v>-375</v>
      </c>
      <c r="AT12" s="2089">
        <f t="shared" si="16"/>
        <v>0</v>
      </c>
      <c r="AU12" s="2089">
        <f t="shared" si="16"/>
        <v>0</v>
      </c>
      <c r="AV12" s="2089">
        <f>+AV13-AV11</f>
        <v>0</v>
      </c>
      <c r="AW12" s="2089">
        <f>+AW13-AW11</f>
        <v>0</v>
      </c>
      <c r="AX12" s="2089">
        <f>+AX13-AX11</f>
        <v>0</v>
      </c>
      <c r="AY12" s="2089">
        <f>+AY13-AY11</f>
        <v>0</v>
      </c>
      <c r="AZ12" s="292"/>
      <c r="BA12" s="292"/>
      <c r="BB12" s="292"/>
      <c r="BC12" s="292"/>
      <c r="BD12" s="292"/>
      <c r="BE12" s="292"/>
      <c r="BF12" s="292"/>
      <c r="BG12" s="292"/>
      <c r="BH12" s="292"/>
      <c r="BI12" s="292"/>
      <c r="BJ12" s="292"/>
      <c r="BK12" s="292"/>
      <c r="BL12" s="292"/>
      <c r="BM12" s="292"/>
      <c r="BN12" s="292"/>
      <c r="BO12" s="292"/>
      <c r="BP12" s="292"/>
      <c r="BQ12" s="292"/>
      <c r="BR12" s="292"/>
      <c r="BS12" s="292"/>
      <c r="BT12" s="292"/>
      <c r="BU12" s="292"/>
      <c r="BV12" s="292"/>
      <c r="BW12" s="292"/>
      <c r="BX12" s="292"/>
      <c r="BY12" s="292"/>
      <c r="BZ12" s="292"/>
      <c r="CA12" s="292"/>
      <c r="CB12" s="292"/>
      <c r="CC12" s="292"/>
      <c r="CD12" s="292"/>
      <c r="CE12" s="292"/>
      <c r="CF12" s="292"/>
      <c r="CG12" s="292"/>
      <c r="CH12" s="292"/>
      <c r="CI12" s="292"/>
      <c r="CJ12" s="292"/>
      <c r="CK12" s="292"/>
      <c r="CL12" s="292"/>
      <c r="CM12" s="292"/>
      <c r="CN12" s="292"/>
      <c r="CO12" s="292"/>
      <c r="CP12" s="292"/>
      <c r="CQ12" s="292"/>
      <c r="CR12" s="292"/>
      <c r="CS12" s="292"/>
      <c r="CT12" s="292"/>
      <c r="CU12" s="292"/>
      <c r="CV12" s="292"/>
      <c r="CW12" s="292"/>
      <c r="CX12" s="292"/>
      <c r="CY12" s="292"/>
      <c r="CZ12" s="292"/>
      <c r="DA12" s="292"/>
      <c r="DB12" s="292"/>
      <c r="DC12" s="292"/>
      <c r="DD12" s="292"/>
      <c r="DE12" s="292"/>
      <c r="DF12" s="292"/>
      <c r="DG12" s="292"/>
      <c r="DH12" s="292"/>
      <c r="DI12" s="292"/>
      <c r="DJ12" s="292"/>
      <c r="DK12" s="292"/>
      <c r="DL12" s="292"/>
      <c r="DM12" s="292"/>
      <c r="DN12" s="292"/>
      <c r="DO12" s="292"/>
    </row>
    <row r="13" spans="1:119" customFormat="1" ht="12.75" customHeight="1">
      <c r="A13" s="650" t="s">
        <v>438</v>
      </c>
      <c r="B13" s="650"/>
      <c r="C13" s="650"/>
      <c r="D13" s="650"/>
      <c r="E13" s="2095">
        <v>365</v>
      </c>
      <c r="F13" s="2095">
        <f>W13</f>
        <v>277</v>
      </c>
      <c r="G13" s="2095">
        <f>+AA13</f>
        <v>820</v>
      </c>
      <c r="H13" s="650">
        <f>+AE13</f>
        <v>725</v>
      </c>
      <c r="I13" s="650">
        <f>+AI13</f>
        <v>725</v>
      </c>
      <c r="J13" s="650">
        <f>+AM13</f>
        <v>410</v>
      </c>
      <c r="K13" s="650">
        <f>+AQ13</f>
        <v>370</v>
      </c>
      <c r="L13" s="650">
        <f>+AU13</f>
        <v>0</v>
      </c>
      <c r="M13" s="650">
        <f>+AY13</f>
        <v>0</v>
      </c>
      <c r="N13" s="2934">
        <f>M13</f>
        <v>0</v>
      </c>
      <c r="O13" s="2934">
        <f>N13</f>
        <v>0</v>
      </c>
      <c r="P13" s="2934">
        <f>O13</f>
        <v>0</v>
      </c>
      <c r="Q13" s="2934">
        <f>P13</f>
        <v>0</v>
      </c>
      <c r="R13" s="2934">
        <f>Q13</f>
        <v>0</v>
      </c>
      <c r="S13" s="2565"/>
      <c r="T13" s="2095"/>
      <c r="U13" s="2095"/>
      <c r="V13" s="2095"/>
      <c r="W13" s="2096">
        <v>277</v>
      </c>
      <c r="X13" s="2095">
        <v>0</v>
      </c>
      <c r="Y13" s="2095">
        <v>250</v>
      </c>
      <c r="Z13" s="2095">
        <v>280</v>
      </c>
      <c r="AA13" s="2096">
        <v>820</v>
      </c>
      <c r="AB13" s="2095">
        <v>75</v>
      </c>
      <c r="AC13" s="2095">
        <v>45</v>
      </c>
      <c r="AD13" s="2095">
        <v>200</v>
      </c>
      <c r="AE13" s="2096">
        <v>725</v>
      </c>
      <c r="AF13" s="2095">
        <v>755</v>
      </c>
      <c r="AG13" s="2095">
        <v>845</v>
      </c>
      <c r="AH13" s="2095">
        <v>585</v>
      </c>
      <c r="AI13" s="2096">
        <v>725</v>
      </c>
      <c r="AJ13" s="2935">
        <v>300</v>
      </c>
      <c r="AK13" s="2934">
        <v>320</v>
      </c>
      <c r="AL13" s="2934">
        <v>0</v>
      </c>
      <c r="AM13" s="2936">
        <v>410</v>
      </c>
      <c r="AN13" s="2934">
        <v>0</v>
      </c>
      <c r="AO13" s="2934">
        <f t="shared" ref="AO13:AU13" si="17">AN13</f>
        <v>0</v>
      </c>
      <c r="AP13" s="2934">
        <v>85</v>
      </c>
      <c r="AQ13" s="2934">
        <v>370</v>
      </c>
      <c r="AR13" s="2934">
        <v>375</v>
      </c>
      <c r="AS13" s="2934">
        <v>0</v>
      </c>
      <c r="AT13" s="2934">
        <f t="shared" si="17"/>
        <v>0</v>
      </c>
      <c r="AU13" s="2934">
        <f t="shared" si="17"/>
        <v>0</v>
      </c>
      <c r="AV13" s="2934">
        <f>AU13</f>
        <v>0</v>
      </c>
      <c r="AW13" s="2934">
        <f>AV13</f>
        <v>0</v>
      </c>
      <c r="AX13" s="2934">
        <f>AW13</f>
        <v>0</v>
      </c>
      <c r="AY13" s="2934">
        <f>AX13</f>
        <v>0</v>
      </c>
      <c r="AZ13" s="292"/>
      <c r="BA13" s="292"/>
      <c r="BB13" s="292"/>
      <c r="BC13" s="292"/>
      <c r="BD13" s="292"/>
      <c r="BE13" s="292"/>
      <c r="BF13" s="292"/>
      <c r="BG13" s="292"/>
      <c r="BH13" s="292"/>
      <c r="BI13" s="292"/>
      <c r="BJ13" s="292"/>
      <c r="BK13" s="292"/>
      <c r="BL13" s="292"/>
      <c r="BM13" s="292"/>
      <c r="BN13" s="292"/>
      <c r="BO13" s="292"/>
      <c r="BP13" s="292"/>
      <c r="BQ13" s="292"/>
      <c r="BR13" s="292"/>
      <c r="BS13" s="292"/>
      <c r="BT13" s="292"/>
      <c r="BU13" s="292"/>
      <c r="BV13" s="292"/>
      <c r="BW13" s="292"/>
      <c r="BX13" s="292"/>
      <c r="BY13" s="292"/>
      <c r="BZ13" s="292"/>
      <c r="CA13" s="292"/>
      <c r="CB13" s="292"/>
      <c r="CC13" s="292"/>
      <c r="CD13" s="292"/>
      <c r="CE13" s="292"/>
      <c r="CF13" s="292"/>
      <c r="CG13" s="292"/>
      <c r="CH13" s="292"/>
      <c r="CI13" s="292"/>
      <c r="CJ13" s="292"/>
      <c r="CK13" s="292"/>
      <c r="CL13" s="292"/>
      <c r="CM13" s="292"/>
      <c r="CN13" s="292"/>
      <c r="CO13" s="292"/>
      <c r="CP13" s="292"/>
      <c r="CQ13" s="292"/>
      <c r="CR13" s="292"/>
      <c r="CS13" s="292"/>
      <c r="CT13" s="292"/>
      <c r="CU13" s="292"/>
      <c r="CV13" s="292"/>
      <c r="CW13" s="292"/>
      <c r="CX13" s="292"/>
      <c r="CY13" s="292"/>
      <c r="CZ13" s="292"/>
      <c r="DA13" s="292"/>
      <c r="DB13" s="292"/>
      <c r="DC13" s="292"/>
      <c r="DD13" s="292"/>
      <c r="DE13" s="292"/>
      <c r="DF13" s="292"/>
      <c r="DG13" s="292"/>
      <c r="DH13" s="292"/>
      <c r="DI13" s="292"/>
      <c r="DJ13" s="292"/>
      <c r="DK13" s="292"/>
      <c r="DL13" s="292"/>
      <c r="DM13" s="292"/>
      <c r="DN13" s="292"/>
      <c r="DO13" s="292"/>
    </row>
    <row r="14" spans="1:119" customFormat="1" ht="12.75" customHeight="1">
      <c r="A14" s="399"/>
      <c r="B14" s="399"/>
      <c r="C14" s="399"/>
      <c r="D14" s="399"/>
      <c r="E14" s="399"/>
      <c r="F14" s="399"/>
      <c r="G14" s="399"/>
      <c r="H14" s="399"/>
      <c r="I14" s="399"/>
      <c r="J14" s="399"/>
      <c r="K14" s="399"/>
      <c r="L14" s="399"/>
      <c r="M14" s="2634"/>
      <c r="N14" s="399"/>
      <c r="O14" s="399"/>
      <c r="P14" s="399"/>
      <c r="Q14" s="2634"/>
      <c r="R14" s="2634"/>
      <c r="S14" s="2563"/>
      <c r="T14" s="399"/>
      <c r="U14" s="399"/>
      <c r="V14" s="399"/>
      <c r="W14" s="400"/>
      <c r="X14" s="399"/>
      <c r="Y14" s="399"/>
      <c r="Z14" s="399"/>
      <c r="AA14" s="400"/>
      <c r="AB14" s="399"/>
      <c r="AC14" s="399"/>
      <c r="AD14" s="399"/>
      <c r="AE14" s="400"/>
      <c r="AF14" s="399"/>
      <c r="AG14" s="399"/>
      <c r="AH14" s="399"/>
      <c r="AI14" s="400"/>
      <c r="AJ14" s="407"/>
      <c r="AK14" s="399"/>
      <c r="AL14" s="399"/>
      <c r="AM14" s="400"/>
      <c r="AN14" s="399"/>
      <c r="AO14" s="399"/>
      <c r="AP14" s="399"/>
      <c r="AQ14" s="399"/>
      <c r="AR14" s="399"/>
      <c r="AS14" s="399"/>
      <c r="AT14" s="399"/>
      <c r="AU14" s="399"/>
      <c r="AV14" s="2634"/>
      <c r="AW14" s="2634"/>
      <c r="AX14" s="2634"/>
      <c r="AY14" s="2634"/>
      <c r="AZ14" s="292"/>
      <c r="BA14" s="292"/>
      <c r="BB14" s="292"/>
      <c r="BC14" s="292"/>
      <c r="BD14" s="292"/>
      <c r="BE14" s="292"/>
      <c r="BF14" s="292"/>
      <c r="BG14" s="292"/>
      <c r="BH14" s="292"/>
      <c r="BI14" s="292"/>
      <c r="BJ14" s="292"/>
      <c r="BK14" s="292"/>
      <c r="BL14" s="292"/>
      <c r="BM14" s="292"/>
      <c r="BN14" s="292"/>
      <c r="BO14" s="292"/>
      <c r="BP14" s="292"/>
      <c r="BQ14" s="292"/>
      <c r="BR14" s="292"/>
      <c r="BS14" s="292"/>
      <c r="BT14" s="292"/>
      <c r="BU14" s="292"/>
      <c r="BV14" s="292"/>
      <c r="BW14" s="292"/>
      <c r="BX14" s="292"/>
      <c r="BY14" s="292"/>
      <c r="BZ14" s="292"/>
      <c r="CA14" s="292"/>
      <c r="CB14" s="292"/>
      <c r="CC14" s="292"/>
      <c r="CD14" s="292"/>
      <c r="CE14" s="292"/>
      <c r="CF14" s="292"/>
      <c r="CG14" s="292"/>
      <c r="CH14" s="292"/>
      <c r="CI14" s="292"/>
      <c r="CJ14" s="292"/>
      <c r="CK14" s="292"/>
      <c r="CL14" s="292"/>
      <c r="CM14" s="292"/>
      <c r="CN14" s="292"/>
      <c r="CO14" s="292"/>
      <c r="CP14" s="292"/>
      <c r="CQ14" s="292"/>
      <c r="CR14" s="292"/>
      <c r="CS14" s="292"/>
      <c r="CT14" s="292"/>
      <c r="CU14" s="292"/>
      <c r="CV14" s="292"/>
      <c r="CW14" s="292"/>
      <c r="CX14" s="292"/>
      <c r="CY14" s="292"/>
      <c r="CZ14" s="292"/>
      <c r="DA14" s="292"/>
      <c r="DB14" s="292"/>
      <c r="DC14" s="292"/>
      <c r="DD14" s="292"/>
      <c r="DE14" s="292"/>
      <c r="DF14" s="292"/>
      <c r="DG14" s="292"/>
      <c r="DH14" s="292"/>
      <c r="DI14" s="292"/>
      <c r="DJ14" s="292"/>
      <c r="DK14" s="292"/>
      <c r="DL14" s="292"/>
      <c r="DM14" s="292"/>
      <c r="DN14" s="292"/>
      <c r="DO14" s="292"/>
    </row>
    <row r="15" spans="1:119" customFormat="1" ht="12.75" customHeight="1">
      <c r="A15" s="2075" t="s">
        <v>421</v>
      </c>
      <c r="B15" s="2075"/>
      <c r="C15" s="2075"/>
      <c r="D15" s="2075"/>
      <c r="E15" s="2075"/>
      <c r="F15" s="2075"/>
      <c r="G15" s="2075"/>
      <c r="H15" s="2075"/>
      <c r="I15" s="2075"/>
      <c r="J15" s="2075"/>
      <c r="K15" s="2075"/>
      <c r="L15" s="2075"/>
      <c r="M15" s="2075"/>
      <c r="N15" s="2075"/>
      <c r="O15" s="2075"/>
      <c r="P15" s="2075"/>
      <c r="Q15" s="2075"/>
      <c r="R15" s="2075"/>
      <c r="S15" s="2563"/>
      <c r="T15" s="2075"/>
      <c r="U15" s="2075"/>
      <c r="V15" s="2075"/>
      <c r="W15" s="2094"/>
      <c r="X15" s="2075"/>
      <c r="Y15" s="2075"/>
      <c r="Z15" s="2075"/>
      <c r="AA15" s="2094"/>
      <c r="AB15" s="2075"/>
      <c r="AC15" s="2075"/>
      <c r="AD15" s="2075"/>
      <c r="AE15" s="2094"/>
      <c r="AF15" s="2075"/>
      <c r="AG15" s="2075"/>
      <c r="AH15" s="2075"/>
      <c r="AI15" s="2094"/>
      <c r="AJ15" s="2736"/>
      <c r="AK15" s="2075"/>
      <c r="AL15" s="2075"/>
      <c r="AM15" s="2094"/>
      <c r="AN15" s="2075"/>
      <c r="AO15" s="2075"/>
      <c r="AP15" s="2075"/>
      <c r="AQ15" s="2075"/>
      <c r="AR15" s="2075"/>
      <c r="AS15" s="2075"/>
      <c r="AT15" s="2075"/>
      <c r="AU15" s="2075"/>
      <c r="AV15" s="2075"/>
      <c r="AW15" s="2075"/>
      <c r="AX15" s="2075"/>
      <c r="AY15" s="2075"/>
      <c r="AZ15" s="292"/>
      <c r="BA15" s="292"/>
      <c r="BB15" s="292"/>
      <c r="BC15" s="292"/>
      <c r="BD15" s="292"/>
      <c r="BE15" s="292"/>
      <c r="BF15" s="292"/>
      <c r="BG15" s="292"/>
      <c r="BH15" s="292"/>
      <c r="BI15" s="292"/>
      <c r="BJ15" s="292"/>
      <c r="BK15" s="292"/>
      <c r="BL15" s="292"/>
      <c r="BM15" s="292"/>
      <c r="BN15" s="292"/>
      <c r="BO15" s="292"/>
      <c r="BP15" s="292"/>
      <c r="BQ15" s="292"/>
      <c r="BR15" s="292"/>
      <c r="BS15" s="292"/>
      <c r="BT15" s="292"/>
      <c r="BU15" s="292"/>
      <c r="BV15" s="292"/>
      <c r="BW15" s="292"/>
      <c r="BX15" s="292"/>
      <c r="BY15" s="292"/>
      <c r="BZ15" s="292"/>
      <c r="CA15" s="292"/>
      <c r="CB15" s="292"/>
      <c r="CC15" s="292"/>
      <c r="CD15" s="292"/>
      <c r="CE15" s="292"/>
      <c r="CF15" s="292"/>
      <c r="CG15" s="292"/>
      <c r="CH15" s="292"/>
      <c r="CI15" s="292"/>
      <c r="CJ15" s="292"/>
      <c r="CK15" s="292"/>
      <c r="CL15" s="292"/>
      <c r="CM15" s="292"/>
      <c r="CN15" s="292"/>
      <c r="CO15" s="292"/>
      <c r="CP15" s="292"/>
      <c r="CQ15" s="292"/>
      <c r="CR15" s="292"/>
      <c r="CS15" s="292"/>
      <c r="CT15" s="292"/>
      <c r="CU15" s="292"/>
      <c r="CV15" s="292"/>
      <c r="CW15" s="292"/>
      <c r="CX15" s="292"/>
      <c r="CY15" s="292"/>
      <c r="CZ15" s="292"/>
      <c r="DA15" s="292"/>
      <c r="DB15" s="292"/>
      <c r="DC15" s="292"/>
      <c r="DD15" s="292"/>
      <c r="DE15" s="292"/>
      <c r="DF15" s="292"/>
      <c r="DG15" s="292"/>
      <c r="DH15" s="292"/>
      <c r="DI15" s="292"/>
      <c r="DJ15" s="292"/>
      <c r="DK15" s="292"/>
      <c r="DL15" s="292"/>
      <c r="DM15" s="292"/>
      <c r="DN15" s="292"/>
      <c r="DO15" s="292"/>
    </row>
    <row r="16" spans="1:119" customFormat="1" ht="12.75" customHeight="1">
      <c r="A16" s="650" t="s">
        <v>436</v>
      </c>
      <c r="B16" s="650"/>
      <c r="C16" s="650"/>
      <c r="D16" s="650"/>
      <c r="E16" s="650"/>
      <c r="F16" s="650"/>
      <c r="G16" s="650">
        <v>0</v>
      </c>
      <c r="H16" s="650">
        <f t="shared" ref="H16:N16" si="18">+G18</f>
        <v>424</v>
      </c>
      <c r="I16" s="650">
        <f t="shared" si="18"/>
        <v>402</v>
      </c>
      <c r="J16" s="650">
        <f t="shared" si="18"/>
        <v>380</v>
      </c>
      <c r="K16" s="650">
        <f t="shared" si="18"/>
        <v>358</v>
      </c>
      <c r="L16" s="650">
        <f>+K18</f>
        <v>336</v>
      </c>
      <c r="M16" s="650">
        <f>+L18</f>
        <v>0</v>
      </c>
      <c r="N16" s="650">
        <f t="shared" si="18"/>
        <v>0</v>
      </c>
      <c r="O16" s="650">
        <f>+N18</f>
        <v>0</v>
      </c>
      <c r="P16" s="650">
        <f>+O18</f>
        <v>0</v>
      </c>
      <c r="Q16" s="650">
        <f>+P18</f>
        <v>0</v>
      </c>
      <c r="R16" s="650">
        <f>+Q18</f>
        <v>0</v>
      </c>
      <c r="S16" s="2564"/>
      <c r="T16" s="650"/>
      <c r="U16" s="650"/>
      <c r="V16" s="650"/>
      <c r="W16" s="649"/>
      <c r="X16" s="650"/>
      <c r="Y16" s="650">
        <f t="shared" ref="Y16:AD16" si="19">+X18</f>
        <v>0</v>
      </c>
      <c r="Z16" s="650">
        <f t="shared" si="19"/>
        <v>435</v>
      </c>
      <c r="AA16" s="649">
        <f t="shared" si="19"/>
        <v>429</v>
      </c>
      <c r="AB16" s="650">
        <f t="shared" si="19"/>
        <v>424</v>
      </c>
      <c r="AC16" s="650">
        <f t="shared" si="19"/>
        <v>418</v>
      </c>
      <c r="AD16" s="650">
        <f t="shared" si="19"/>
        <v>413</v>
      </c>
      <c r="AE16" s="649">
        <f t="shared" ref="AE16:AM16" si="20">+AD18</f>
        <v>407</v>
      </c>
      <c r="AF16" s="650">
        <f t="shared" si="20"/>
        <v>402</v>
      </c>
      <c r="AG16" s="650">
        <f t="shared" si="20"/>
        <v>397</v>
      </c>
      <c r="AH16" s="650">
        <f t="shared" si="20"/>
        <v>391</v>
      </c>
      <c r="AI16" s="649">
        <f t="shared" si="20"/>
        <v>385</v>
      </c>
      <c r="AJ16" s="2737">
        <f t="shared" si="20"/>
        <v>380</v>
      </c>
      <c r="AK16" s="650">
        <f t="shared" si="20"/>
        <v>374</v>
      </c>
      <c r="AL16" s="650">
        <f t="shared" si="20"/>
        <v>369</v>
      </c>
      <c r="AM16" s="649">
        <f t="shared" si="20"/>
        <v>363</v>
      </c>
      <c r="AN16" s="650">
        <f t="shared" ref="AN16:AU16" si="21">+AM18</f>
        <v>358</v>
      </c>
      <c r="AO16" s="650">
        <f t="shared" si="21"/>
        <v>352</v>
      </c>
      <c r="AP16" s="650">
        <f t="shared" si="21"/>
        <v>347</v>
      </c>
      <c r="AQ16" s="650">
        <f t="shared" si="21"/>
        <v>341</v>
      </c>
      <c r="AR16" s="650">
        <f t="shared" si="21"/>
        <v>336</v>
      </c>
      <c r="AS16" s="650">
        <f t="shared" si="21"/>
        <v>330</v>
      </c>
      <c r="AT16" s="650">
        <f t="shared" si="21"/>
        <v>325</v>
      </c>
      <c r="AU16" s="650">
        <f t="shared" si="21"/>
        <v>319</v>
      </c>
      <c r="AV16" s="650">
        <f>+AU18</f>
        <v>0</v>
      </c>
      <c r="AW16" s="650">
        <f>+AV18</f>
        <v>0</v>
      </c>
      <c r="AX16" s="650">
        <f>+AW18</f>
        <v>0</v>
      </c>
      <c r="AY16" s="650">
        <f>+AX18</f>
        <v>0</v>
      </c>
      <c r="AZ16" s="292"/>
      <c r="BA16" s="292"/>
      <c r="BB16" s="292"/>
      <c r="BC16" s="292"/>
      <c r="BD16" s="292"/>
      <c r="BE16" s="292"/>
      <c r="BF16" s="292"/>
      <c r="BG16" s="292"/>
      <c r="BH16" s="292"/>
      <c r="BI16" s="292"/>
      <c r="BJ16" s="292"/>
      <c r="BK16" s="292"/>
      <c r="BL16" s="292"/>
      <c r="BM16" s="292"/>
      <c r="BN16" s="292"/>
      <c r="BO16" s="292"/>
      <c r="BP16" s="292"/>
      <c r="BQ16" s="292"/>
      <c r="BR16" s="292"/>
      <c r="BS16" s="292"/>
      <c r="BT16" s="292"/>
      <c r="BU16" s="292"/>
      <c r="BV16" s="292"/>
      <c r="BW16" s="292"/>
      <c r="BX16" s="292"/>
      <c r="BY16" s="292"/>
      <c r="BZ16" s="292"/>
      <c r="CA16" s="292"/>
      <c r="CB16" s="292"/>
      <c r="CC16" s="292"/>
      <c r="CD16" s="292"/>
      <c r="CE16" s="292"/>
      <c r="CF16" s="292"/>
      <c r="CG16" s="292"/>
      <c r="CH16" s="292"/>
      <c r="CI16" s="292"/>
      <c r="CJ16" s="292"/>
      <c r="CK16" s="292"/>
      <c r="CL16" s="292"/>
      <c r="CM16" s="292"/>
      <c r="CN16" s="292"/>
      <c r="CO16" s="292"/>
      <c r="CP16" s="292"/>
      <c r="CQ16" s="292"/>
      <c r="CR16" s="292"/>
      <c r="CS16" s="292"/>
      <c r="CT16" s="292"/>
      <c r="CU16" s="292"/>
      <c r="CV16" s="292"/>
      <c r="CW16" s="292"/>
      <c r="CX16" s="292"/>
      <c r="CY16" s="292"/>
      <c r="CZ16" s="292"/>
      <c r="DA16" s="292"/>
      <c r="DB16" s="292"/>
      <c r="DC16" s="292"/>
      <c r="DD16" s="292"/>
      <c r="DE16" s="292"/>
      <c r="DF16" s="292"/>
      <c r="DG16" s="292"/>
      <c r="DH16" s="292"/>
      <c r="DI16" s="292"/>
      <c r="DJ16" s="292"/>
      <c r="DK16" s="292"/>
      <c r="DL16" s="292"/>
      <c r="DM16" s="292"/>
      <c r="DN16" s="292"/>
      <c r="DO16" s="292"/>
    </row>
    <row r="17" spans="1:119" customFormat="1" ht="12.75" customHeight="1">
      <c r="A17" s="2089" t="s">
        <v>437</v>
      </c>
      <c r="B17" s="2089"/>
      <c r="C17" s="2089"/>
      <c r="D17" s="2089"/>
      <c r="E17" s="2089"/>
      <c r="F17" s="2089"/>
      <c r="G17" s="2089">
        <f t="shared" ref="G17:L17" si="22">G18-F18</f>
        <v>424</v>
      </c>
      <c r="H17" s="2089">
        <f t="shared" si="22"/>
        <v>-22</v>
      </c>
      <c r="I17" s="2089">
        <f t="shared" si="22"/>
        <v>-22</v>
      </c>
      <c r="J17" s="2089">
        <f t="shared" si="22"/>
        <v>-22</v>
      </c>
      <c r="K17" s="2089">
        <f t="shared" si="22"/>
        <v>-22</v>
      </c>
      <c r="L17" s="2089">
        <f t="shared" si="22"/>
        <v>-336</v>
      </c>
      <c r="M17" s="2089">
        <f>M18-L18</f>
        <v>0</v>
      </c>
      <c r="N17" s="2089">
        <f>+N18-M18</f>
        <v>0</v>
      </c>
      <c r="O17" s="2089">
        <f>+O18-N18</f>
        <v>0</v>
      </c>
      <c r="P17" s="2089">
        <f>+P18-O18</f>
        <v>0</v>
      </c>
      <c r="Q17" s="2089">
        <f>+Q18-P18</f>
        <v>0</v>
      </c>
      <c r="R17" s="2089">
        <f>+R18-Q18</f>
        <v>0</v>
      </c>
      <c r="S17" s="2564"/>
      <c r="T17" s="2089"/>
      <c r="U17" s="2089"/>
      <c r="V17" s="2089"/>
      <c r="W17" s="2090"/>
      <c r="X17" s="2089"/>
      <c r="Y17" s="2089">
        <f t="shared" ref="Y17:AD17" si="23">+Y18-Y16</f>
        <v>435</v>
      </c>
      <c r="Z17" s="2089">
        <f t="shared" si="23"/>
        <v>-6</v>
      </c>
      <c r="AA17" s="2090">
        <f t="shared" si="23"/>
        <v>-5</v>
      </c>
      <c r="AB17" s="2089">
        <f t="shared" si="23"/>
        <v>-6</v>
      </c>
      <c r="AC17" s="2089">
        <f t="shared" si="23"/>
        <v>-5</v>
      </c>
      <c r="AD17" s="2089">
        <f t="shared" si="23"/>
        <v>-6</v>
      </c>
      <c r="AE17" s="2090">
        <f t="shared" ref="AE17:AM17" si="24">+AE18-AE16</f>
        <v>-5</v>
      </c>
      <c r="AF17" s="2089">
        <f t="shared" si="24"/>
        <v>-5</v>
      </c>
      <c r="AG17" s="2089">
        <f t="shared" si="24"/>
        <v>-6</v>
      </c>
      <c r="AH17" s="2089">
        <f t="shared" si="24"/>
        <v>-6</v>
      </c>
      <c r="AI17" s="2090">
        <f t="shared" si="24"/>
        <v>-5</v>
      </c>
      <c r="AJ17" s="2738">
        <f t="shared" si="24"/>
        <v>-6</v>
      </c>
      <c r="AK17" s="2089">
        <f t="shared" si="24"/>
        <v>-5</v>
      </c>
      <c r="AL17" s="2089">
        <f t="shared" si="24"/>
        <v>-6</v>
      </c>
      <c r="AM17" s="2090">
        <f t="shared" si="24"/>
        <v>-5</v>
      </c>
      <c r="AN17" s="2089">
        <f t="shared" ref="AN17:AU17" si="25">+AN18-AN16</f>
        <v>-6</v>
      </c>
      <c r="AO17" s="2089">
        <f t="shared" si="25"/>
        <v>-5</v>
      </c>
      <c r="AP17" s="2089">
        <f t="shared" si="25"/>
        <v>-6</v>
      </c>
      <c r="AQ17" s="2089">
        <f t="shared" si="25"/>
        <v>-5</v>
      </c>
      <c r="AR17" s="2089">
        <f t="shared" si="25"/>
        <v>-6</v>
      </c>
      <c r="AS17" s="2089">
        <f t="shared" si="25"/>
        <v>-5</v>
      </c>
      <c r="AT17" s="2089">
        <f t="shared" si="25"/>
        <v>-6</v>
      </c>
      <c r="AU17" s="2089">
        <f t="shared" si="25"/>
        <v>-319</v>
      </c>
      <c r="AV17" s="2089">
        <f>+AV18-AV16</f>
        <v>0</v>
      </c>
      <c r="AW17" s="2089">
        <f>+AW18-AW16</f>
        <v>0</v>
      </c>
      <c r="AX17" s="2089">
        <f>+AX18-AX16</f>
        <v>0</v>
      </c>
      <c r="AY17" s="2089">
        <f>+AY18-AY16</f>
        <v>0</v>
      </c>
      <c r="AZ17" s="292"/>
      <c r="BA17" s="292"/>
      <c r="BB17" s="292"/>
      <c r="BC17" s="292"/>
      <c r="BD17" s="292"/>
      <c r="BE17" s="292"/>
      <c r="BF17" s="292"/>
      <c r="BG17" s="292"/>
      <c r="BH17" s="292"/>
      <c r="BI17" s="292"/>
      <c r="BJ17" s="292"/>
      <c r="BK17" s="292"/>
      <c r="BL17" s="292"/>
      <c r="BM17" s="292"/>
      <c r="BN17" s="292"/>
      <c r="BO17" s="292"/>
      <c r="BP17" s="292"/>
      <c r="BQ17" s="292"/>
      <c r="BR17" s="292"/>
      <c r="BS17" s="292"/>
      <c r="BT17" s="292"/>
      <c r="BU17" s="292"/>
      <c r="BV17" s="292"/>
      <c r="BW17" s="292"/>
      <c r="BX17" s="292"/>
      <c r="BY17" s="292"/>
      <c r="BZ17" s="292"/>
      <c r="CA17" s="292"/>
      <c r="CB17" s="292"/>
      <c r="CC17" s="292"/>
      <c r="CD17" s="292"/>
      <c r="CE17" s="292"/>
      <c r="CF17" s="292"/>
      <c r="CG17" s="292"/>
      <c r="CH17" s="292"/>
      <c r="CI17" s="292"/>
      <c r="CJ17" s="292"/>
      <c r="CK17" s="292"/>
      <c r="CL17" s="292"/>
      <c r="CM17" s="292"/>
      <c r="CN17" s="292"/>
      <c r="CO17" s="292"/>
      <c r="CP17" s="292"/>
      <c r="CQ17" s="292"/>
      <c r="CR17" s="292"/>
      <c r="CS17" s="292"/>
      <c r="CT17" s="292"/>
      <c r="CU17" s="292"/>
      <c r="CV17" s="292"/>
      <c r="CW17" s="292"/>
      <c r="CX17" s="292"/>
      <c r="CY17" s="292"/>
      <c r="CZ17" s="292"/>
      <c r="DA17" s="292"/>
      <c r="DB17" s="292"/>
      <c r="DC17" s="292"/>
      <c r="DD17" s="292"/>
      <c r="DE17" s="292"/>
      <c r="DF17" s="292"/>
      <c r="DG17" s="292"/>
      <c r="DH17" s="292"/>
      <c r="DI17" s="292"/>
      <c r="DJ17" s="292"/>
      <c r="DK17" s="292"/>
      <c r="DL17" s="292"/>
      <c r="DM17" s="292"/>
      <c r="DN17" s="292"/>
      <c r="DO17" s="292"/>
    </row>
    <row r="18" spans="1:119" customFormat="1" ht="12.75" customHeight="1">
      <c r="A18" s="650" t="s">
        <v>438</v>
      </c>
      <c r="B18" s="650"/>
      <c r="C18" s="650"/>
      <c r="D18" s="650"/>
      <c r="E18" s="650"/>
      <c r="F18" s="650"/>
      <c r="G18" s="2095">
        <f>+AA18</f>
        <v>424</v>
      </c>
      <c r="H18" s="650">
        <f>+AE18</f>
        <v>402</v>
      </c>
      <c r="I18" s="650">
        <f>+AI18</f>
        <v>380</v>
      </c>
      <c r="J18" s="650">
        <f>+AM18</f>
        <v>358</v>
      </c>
      <c r="K18" s="650">
        <f>+AQ18</f>
        <v>336</v>
      </c>
      <c r="L18" s="650">
        <f>+AU18</f>
        <v>0</v>
      </c>
      <c r="M18" s="650">
        <f>+AY18</f>
        <v>0</v>
      </c>
      <c r="N18" s="2934">
        <f>+M18</f>
        <v>0</v>
      </c>
      <c r="O18" s="2934">
        <f>+N18</f>
        <v>0</v>
      </c>
      <c r="P18" s="2934">
        <f>+O18</f>
        <v>0</v>
      </c>
      <c r="Q18" s="2934">
        <f>+P18</f>
        <v>0</v>
      </c>
      <c r="R18" s="2934">
        <f>+Q18</f>
        <v>0</v>
      </c>
      <c r="S18" s="2564"/>
      <c r="T18" s="650"/>
      <c r="U18" s="650"/>
      <c r="V18" s="650"/>
      <c r="W18" s="649"/>
      <c r="X18" s="2095"/>
      <c r="Y18" s="2095">
        <v>435</v>
      </c>
      <c r="Z18" s="2095">
        <v>429</v>
      </c>
      <c r="AA18" s="2096">
        <v>424</v>
      </c>
      <c r="AB18" s="2095">
        <v>418</v>
      </c>
      <c r="AC18" s="2095">
        <v>413</v>
      </c>
      <c r="AD18" s="2095">
        <v>407</v>
      </c>
      <c r="AE18" s="2096">
        <v>402</v>
      </c>
      <c r="AF18" s="2095">
        <v>397</v>
      </c>
      <c r="AG18" s="2095">
        <v>391</v>
      </c>
      <c r="AH18" s="2095">
        <v>385</v>
      </c>
      <c r="AI18" s="2096">
        <v>380</v>
      </c>
      <c r="AJ18" s="2935">
        <v>374</v>
      </c>
      <c r="AK18" s="2934">
        <v>369</v>
      </c>
      <c r="AL18" s="2934">
        <v>363</v>
      </c>
      <c r="AM18" s="2936">
        <v>358</v>
      </c>
      <c r="AN18" s="2934">
        <v>352</v>
      </c>
      <c r="AO18" s="2934">
        <v>347</v>
      </c>
      <c r="AP18" s="2934">
        <v>341</v>
      </c>
      <c r="AQ18" s="2934">
        <v>336</v>
      </c>
      <c r="AR18" s="2934">
        <v>330</v>
      </c>
      <c r="AS18" s="2934">
        <v>325</v>
      </c>
      <c r="AT18" s="2934">
        <v>319</v>
      </c>
      <c r="AU18" s="2934">
        <v>0</v>
      </c>
      <c r="AV18" s="2934">
        <f>AU18</f>
        <v>0</v>
      </c>
      <c r="AW18" s="2934">
        <f>AV18</f>
        <v>0</v>
      </c>
      <c r="AX18" s="2934">
        <f>AW18</f>
        <v>0</v>
      </c>
      <c r="AY18" s="2934">
        <f>AX18</f>
        <v>0</v>
      </c>
      <c r="AZ18" s="292"/>
      <c r="BA18" s="292"/>
      <c r="BB18" s="292"/>
      <c r="BC18" s="292"/>
      <c r="BD18" s="292"/>
      <c r="BE18" s="292"/>
      <c r="BF18" s="292"/>
      <c r="BG18" s="292"/>
      <c r="BH18" s="292"/>
      <c r="BI18" s="292"/>
      <c r="BJ18" s="292"/>
      <c r="BK18" s="292"/>
      <c r="BL18" s="292"/>
      <c r="BM18" s="292"/>
      <c r="BN18" s="292"/>
      <c r="BO18" s="292"/>
      <c r="BP18" s="292"/>
      <c r="BQ18" s="292"/>
      <c r="BR18" s="292"/>
      <c r="BS18" s="292"/>
      <c r="BT18" s="292"/>
      <c r="BU18" s="292"/>
      <c r="BV18" s="292"/>
      <c r="BW18" s="292"/>
      <c r="BX18" s="292"/>
      <c r="BY18" s="292"/>
      <c r="BZ18" s="292"/>
      <c r="CA18" s="292"/>
      <c r="CB18" s="292"/>
      <c r="CC18" s="292"/>
      <c r="CD18" s="292"/>
      <c r="CE18" s="292"/>
      <c r="CF18" s="292"/>
      <c r="CG18" s="292"/>
      <c r="CH18" s="292"/>
      <c r="CI18" s="292"/>
      <c r="CJ18" s="292"/>
      <c r="CK18" s="292"/>
      <c r="CL18" s="292"/>
      <c r="CM18" s="292"/>
      <c r="CN18" s="292"/>
      <c r="CO18" s="292"/>
      <c r="CP18" s="292"/>
      <c r="CQ18" s="292"/>
      <c r="CR18" s="292"/>
      <c r="CS18" s="292"/>
      <c r="CT18" s="292"/>
      <c r="CU18" s="292"/>
      <c r="CV18" s="292"/>
      <c r="CW18" s="292"/>
      <c r="CX18" s="292"/>
      <c r="CY18" s="292"/>
      <c r="CZ18" s="292"/>
      <c r="DA18" s="292"/>
      <c r="DB18" s="292"/>
      <c r="DC18" s="292"/>
      <c r="DD18" s="292"/>
      <c r="DE18" s="292"/>
      <c r="DF18" s="292"/>
      <c r="DG18" s="292"/>
      <c r="DH18" s="292"/>
      <c r="DI18" s="292"/>
      <c r="DJ18" s="292"/>
      <c r="DK18" s="292"/>
      <c r="DL18" s="292"/>
      <c r="DM18" s="292"/>
      <c r="DN18" s="292"/>
      <c r="DO18" s="292"/>
    </row>
    <row r="19" spans="1:119" customFormat="1" ht="12.75" customHeight="1">
      <c r="A19" s="399"/>
      <c r="B19" s="399"/>
      <c r="C19" s="399"/>
      <c r="D19" s="399"/>
      <c r="E19" s="399"/>
      <c r="F19" s="399"/>
      <c r="G19" s="399"/>
      <c r="H19" s="399"/>
      <c r="I19" s="399"/>
      <c r="J19" s="399"/>
      <c r="K19" s="399"/>
      <c r="L19" s="399"/>
      <c r="M19" s="2634"/>
      <c r="N19" s="399"/>
      <c r="O19" s="399"/>
      <c r="P19" s="399"/>
      <c r="Q19" s="2634"/>
      <c r="R19" s="2634"/>
      <c r="S19" s="2563"/>
      <c r="T19" s="399"/>
      <c r="U19" s="399"/>
      <c r="V19" s="399"/>
      <c r="W19" s="400"/>
      <c r="X19" s="399"/>
      <c r="Y19" s="399"/>
      <c r="Z19" s="399"/>
      <c r="AA19" s="400"/>
      <c r="AB19" s="399"/>
      <c r="AC19" s="399"/>
      <c r="AD19" s="399"/>
      <c r="AE19" s="400"/>
      <c r="AF19" s="399"/>
      <c r="AG19" s="399"/>
      <c r="AH19" s="399"/>
      <c r="AI19" s="400"/>
      <c r="AJ19" s="407"/>
      <c r="AK19" s="399"/>
      <c r="AL19" s="399"/>
      <c r="AM19" s="400"/>
      <c r="AN19" s="399"/>
      <c r="AO19" s="399"/>
      <c r="AP19" s="399"/>
      <c r="AQ19" s="399"/>
      <c r="AR19" s="399"/>
      <c r="AS19" s="399"/>
      <c r="AT19" s="399"/>
      <c r="AU19" s="399"/>
      <c r="AV19" s="2634"/>
      <c r="AW19" s="2634"/>
      <c r="AX19" s="2634"/>
      <c r="AY19" s="2634"/>
      <c r="AZ19" s="292"/>
      <c r="BA19" s="292"/>
      <c r="BB19" s="292"/>
      <c r="BC19" s="292"/>
      <c r="BD19" s="292"/>
      <c r="BE19" s="292"/>
      <c r="BF19" s="292"/>
      <c r="BG19" s="292"/>
      <c r="BH19" s="292"/>
      <c r="BI19" s="292"/>
      <c r="BJ19" s="292"/>
      <c r="BK19" s="292"/>
      <c r="BL19" s="292"/>
      <c r="BM19" s="292"/>
      <c r="BN19" s="292"/>
      <c r="BO19" s="292"/>
      <c r="BP19" s="292"/>
      <c r="BQ19" s="292"/>
      <c r="BR19" s="292"/>
      <c r="BS19" s="292"/>
      <c r="BT19" s="292"/>
      <c r="BU19" s="292"/>
      <c r="BV19" s="292"/>
      <c r="BW19" s="292"/>
      <c r="BX19" s="292"/>
      <c r="BY19" s="292"/>
      <c r="BZ19" s="292"/>
      <c r="CA19" s="292"/>
      <c r="CB19" s="292"/>
      <c r="CC19" s="292"/>
      <c r="CD19" s="292"/>
      <c r="CE19" s="292"/>
      <c r="CF19" s="292"/>
      <c r="CG19" s="292"/>
      <c r="CH19" s="292"/>
      <c r="CI19" s="292"/>
      <c r="CJ19" s="292"/>
      <c r="CK19" s="292"/>
      <c r="CL19" s="292"/>
      <c r="CM19" s="292"/>
      <c r="CN19" s="292"/>
      <c r="CO19" s="292"/>
      <c r="CP19" s="292"/>
      <c r="CQ19" s="292"/>
      <c r="CR19" s="292"/>
      <c r="CS19" s="292"/>
      <c r="CT19" s="292"/>
      <c r="CU19" s="292"/>
      <c r="CV19" s="292"/>
      <c r="CW19" s="292"/>
      <c r="CX19" s="292"/>
      <c r="CY19" s="292"/>
      <c r="CZ19" s="292"/>
      <c r="DA19" s="292"/>
      <c r="DB19" s="292"/>
      <c r="DC19" s="292"/>
      <c r="DD19" s="292"/>
      <c r="DE19" s="292"/>
      <c r="DF19" s="292"/>
      <c r="DG19" s="292"/>
      <c r="DH19" s="292"/>
      <c r="DI19" s="292"/>
      <c r="DJ19" s="292"/>
      <c r="DK19" s="292"/>
      <c r="DL19" s="292"/>
      <c r="DM19" s="292"/>
      <c r="DN19" s="292"/>
      <c r="DO19" s="292"/>
    </row>
    <row r="20" spans="1:119" customFormat="1" ht="12.75" customHeight="1">
      <c r="A20" s="2097" t="s">
        <v>724</v>
      </c>
      <c r="B20" s="2097"/>
      <c r="C20" s="2097"/>
      <c r="D20" s="2097"/>
      <c r="E20" s="2097">
        <f>+E18+E13+E8</f>
        <v>2883</v>
      </c>
      <c r="F20" s="2097">
        <f>F18+F13+F8</f>
        <v>4795</v>
      </c>
      <c r="G20" s="2097">
        <f t="shared" ref="G20:N20" si="26">G18+G13+G8</f>
        <v>7494</v>
      </c>
      <c r="H20" s="2097">
        <f t="shared" si="26"/>
        <v>8952</v>
      </c>
      <c r="I20" s="2097">
        <f t="shared" si="26"/>
        <v>8930</v>
      </c>
      <c r="J20" s="2097">
        <f t="shared" si="26"/>
        <v>8743</v>
      </c>
      <c r="K20" s="2097">
        <f t="shared" si="26"/>
        <v>9681</v>
      </c>
      <c r="L20" s="2097">
        <f>L18+L13+L8</f>
        <v>8125</v>
      </c>
      <c r="M20" s="2097">
        <f>M18+M13+M8</f>
        <v>8125</v>
      </c>
      <c r="N20" s="2097">
        <f t="shared" si="26"/>
        <v>8175</v>
      </c>
      <c r="O20" s="2097">
        <f>O18+O13+O8</f>
        <v>8250</v>
      </c>
      <c r="P20" s="2097">
        <f>P18+P13+P8</f>
        <v>8325</v>
      </c>
      <c r="Q20" s="2097">
        <f>Q18+Q13+Q8</f>
        <v>8400</v>
      </c>
      <c r="R20" s="2097">
        <f>R18+R13+R8</f>
        <v>8475</v>
      </c>
      <c r="S20" s="2564"/>
      <c r="T20" s="2097"/>
      <c r="U20" s="2097">
        <f t="shared" ref="U20:AA20" si="27">+U8+U13+U18</f>
        <v>4519</v>
      </c>
      <c r="V20" s="2097">
        <f t="shared" si="27"/>
        <v>4518</v>
      </c>
      <c r="W20" s="2098">
        <f t="shared" si="27"/>
        <v>4795</v>
      </c>
      <c r="X20" s="2097">
        <f t="shared" si="27"/>
        <v>6568</v>
      </c>
      <c r="Y20" s="2097">
        <f t="shared" si="27"/>
        <v>7253</v>
      </c>
      <c r="Z20" s="2097">
        <f t="shared" si="27"/>
        <v>6959</v>
      </c>
      <c r="AA20" s="2098">
        <f t="shared" si="27"/>
        <v>7494</v>
      </c>
      <c r="AB20" s="2097">
        <f t="shared" ref="AB20:AH20" si="28">+AB8+AB13+AB18</f>
        <v>7743</v>
      </c>
      <c r="AC20" s="2097">
        <f t="shared" si="28"/>
        <v>7533</v>
      </c>
      <c r="AD20" s="2097">
        <f t="shared" si="28"/>
        <v>7682</v>
      </c>
      <c r="AE20" s="2098">
        <f t="shared" si="28"/>
        <v>8952</v>
      </c>
      <c r="AF20" s="2097">
        <f t="shared" si="28"/>
        <v>8977</v>
      </c>
      <c r="AG20" s="2097">
        <f t="shared" si="28"/>
        <v>9061</v>
      </c>
      <c r="AH20" s="2097">
        <f t="shared" si="28"/>
        <v>8795</v>
      </c>
      <c r="AI20" s="2098">
        <f t="shared" ref="AI20:AQ20" si="29">+AI8+AI13+AI18</f>
        <v>8930</v>
      </c>
      <c r="AJ20" s="2740">
        <f t="shared" si="29"/>
        <v>8649</v>
      </c>
      <c r="AK20" s="2097">
        <f t="shared" si="29"/>
        <v>8664</v>
      </c>
      <c r="AL20" s="2097">
        <f t="shared" si="29"/>
        <v>8338</v>
      </c>
      <c r="AM20" s="2098">
        <f t="shared" si="29"/>
        <v>8743</v>
      </c>
      <c r="AN20" s="2097">
        <f t="shared" si="29"/>
        <v>8327</v>
      </c>
      <c r="AO20" s="2097">
        <f t="shared" si="29"/>
        <v>9322</v>
      </c>
      <c r="AP20" s="2097">
        <f t="shared" si="29"/>
        <v>9401</v>
      </c>
      <c r="AQ20" s="2097">
        <f t="shared" si="29"/>
        <v>9681</v>
      </c>
      <c r="AR20" s="2097">
        <f t="shared" ref="AR20:AY20" si="30">+AR8+AR13+AR18</f>
        <v>9680</v>
      </c>
      <c r="AS20" s="2097">
        <f t="shared" si="30"/>
        <v>8450</v>
      </c>
      <c r="AT20" s="2097">
        <f t="shared" si="30"/>
        <v>8444</v>
      </c>
      <c r="AU20" s="2097">
        <f t="shared" si="30"/>
        <v>8125</v>
      </c>
      <c r="AV20" s="2097">
        <f t="shared" si="30"/>
        <v>8125</v>
      </c>
      <c r="AW20" s="2097">
        <f t="shared" si="30"/>
        <v>8125</v>
      </c>
      <c r="AX20" s="2097">
        <f t="shared" si="30"/>
        <v>8125</v>
      </c>
      <c r="AY20" s="2097">
        <f t="shared" si="30"/>
        <v>8125</v>
      </c>
      <c r="AZ20" s="292"/>
      <c r="BA20" s="292"/>
      <c r="BB20" s="292"/>
      <c r="BC20" s="292"/>
      <c r="BD20" s="292"/>
      <c r="BE20" s="292"/>
      <c r="BF20" s="292"/>
      <c r="BG20" s="292"/>
      <c r="BH20" s="292"/>
      <c r="BI20" s="292"/>
      <c r="BJ20" s="292"/>
      <c r="BK20" s="292"/>
      <c r="BL20" s="292"/>
      <c r="BM20" s="292"/>
      <c r="BN20" s="292"/>
      <c r="BO20" s="292"/>
      <c r="BP20" s="292"/>
      <c r="BQ20" s="292"/>
      <c r="BR20" s="292"/>
      <c r="BS20" s="292"/>
      <c r="BT20" s="292"/>
      <c r="BU20" s="292"/>
      <c r="BV20" s="292"/>
      <c r="BW20" s="292"/>
      <c r="BX20" s="292"/>
      <c r="BY20" s="292"/>
      <c r="BZ20" s="292"/>
      <c r="CA20" s="292"/>
      <c r="CB20" s="292"/>
      <c r="CC20" s="292"/>
      <c r="CD20" s="292"/>
      <c r="CE20" s="292"/>
      <c r="CF20" s="292"/>
      <c r="CG20" s="292"/>
      <c r="CH20" s="292"/>
      <c r="CI20" s="292"/>
      <c r="CJ20" s="292"/>
      <c r="CK20" s="292"/>
      <c r="CL20" s="292"/>
      <c r="CM20" s="292"/>
      <c r="CN20" s="292"/>
      <c r="CO20" s="292"/>
      <c r="CP20" s="292"/>
      <c r="CQ20" s="292"/>
      <c r="CR20" s="292"/>
      <c r="CS20" s="292"/>
      <c r="CT20" s="292"/>
      <c r="CU20" s="292"/>
      <c r="CV20" s="292"/>
      <c r="CW20" s="292"/>
      <c r="CX20" s="292"/>
      <c r="CY20" s="292"/>
      <c r="CZ20" s="292"/>
      <c r="DA20" s="292"/>
      <c r="DB20" s="292"/>
      <c r="DC20" s="292"/>
      <c r="DD20" s="292"/>
      <c r="DE20" s="292"/>
      <c r="DF20" s="292"/>
      <c r="DG20" s="292"/>
      <c r="DH20" s="292"/>
      <c r="DI20" s="292"/>
      <c r="DJ20" s="292"/>
      <c r="DK20" s="292"/>
      <c r="DL20" s="292"/>
      <c r="DM20" s="292"/>
      <c r="DN20" s="292"/>
      <c r="DO20" s="292"/>
    </row>
    <row r="21" spans="1:119" customFormat="1" ht="12.75" customHeight="1">
      <c r="A21" s="399"/>
      <c r="B21" s="399"/>
      <c r="C21" s="399"/>
      <c r="D21" s="399"/>
      <c r="E21" s="399"/>
      <c r="F21" s="399"/>
      <c r="G21" s="399"/>
      <c r="H21" s="399"/>
      <c r="I21" s="399"/>
      <c r="J21" s="399"/>
      <c r="K21" s="399"/>
      <c r="L21" s="399"/>
      <c r="M21" s="2634"/>
      <c r="N21" s="399"/>
      <c r="O21" s="399"/>
      <c r="P21" s="399"/>
      <c r="Q21" s="2634"/>
      <c r="R21" s="2634"/>
      <c r="S21" s="2563"/>
      <c r="T21" s="399"/>
      <c r="U21" s="399"/>
      <c r="V21" s="399"/>
      <c r="W21" s="400"/>
      <c r="X21" s="399"/>
      <c r="Y21" s="399"/>
      <c r="Z21" s="399"/>
      <c r="AA21" s="400"/>
      <c r="AB21" s="399"/>
      <c r="AC21" s="399"/>
      <c r="AD21" s="399"/>
      <c r="AE21" s="400"/>
      <c r="AF21" s="399"/>
      <c r="AG21" s="399"/>
      <c r="AH21" s="399"/>
      <c r="AI21" s="400"/>
      <c r="AJ21" s="407"/>
      <c r="AK21" s="399"/>
      <c r="AL21" s="399"/>
      <c r="AM21" s="400"/>
      <c r="AN21" s="399"/>
      <c r="AO21" s="399"/>
      <c r="AP21" s="399"/>
      <c r="AQ21" s="399"/>
      <c r="AR21" s="399"/>
      <c r="AS21" s="399"/>
      <c r="AT21" s="399"/>
      <c r="AU21" s="399"/>
      <c r="AV21" s="2634"/>
      <c r="AW21" s="2634"/>
      <c r="AX21" s="2634"/>
      <c r="AY21" s="2634"/>
      <c r="AZ21" s="292"/>
      <c r="BA21" s="292"/>
      <c r="BB21" s="292"/>
      <c r="BC21" s="292"/>
      <c r="BD21" s="292"/>
      <c r="BE21" s="292"/>
      <c r="BF21" s="292"/>
      <c r="BG21" s="292"/>
      <c r="BH21" s="292"/>
      <c r="BI21" s="292"/>
      <c r="BJ21" s="292"/>
      <c r="BK21" s="292"/>
      <c r="BL21" s="292"/>
      <c r="BM21" s="292"/>
      <c r="BN21" s="292"/>
      <c r="BO21" s="292"/>
      <c r="BP21" s="292"/>
      <c r="BQ21" s="292"/>
      <c r="BR21" s="292"/>
      <c r="BS21" s="292"/>
      <c r="BT21" s="292"/>
      <c r="BU21" s="292"/>
      <c r="BV21" s="292"/>
      <c r="BW21" s="292"/>
      <c r="BX21" s="292"/>
      <c r="BY21" s="292"/>
      <c r="BZ21" s="292"/>
      <c r="CA21" s="292"/>
      <c r="CB21" s="292"/>
      <c r="CC21" s="292"/>
      <c r="CD21" s="292"/>
      <c r="CE21" s="292"/>
      <c r="CF21" s="292"/>
      <c r="CG21" s="292"/>
      <c r="CH21" s="292"/>
      <c r="CI21" s="292"/>
      <c r="CJ21" s="292"/>
      <c r="CK21" s="292"/>
      <c r="CL21" s="292"/>
      <c r="CM21" s="292"/>
      <c r="CN21" s="292"/>
      <c r="CO21" s="292"/>
      <c r="CP21" s="292"/>
      <c r="CQ21" s="292"/>
      <c r="CR21" s="292"/>
      <c r="CS21" s="292"/>
      <c r="CT21" s="292"/>
      <c r="CU21" s="292"/>
      <c r="CV21" s="292"/>
      <c r="CW21" s="292"/>
      <c r="CX21" s="292"/>
      <c r="CY21" s="292"/>
      <c r="CZ21" s="292"/>
      <c r="DA21" s="292"/>
      <c r="DB21" s="292"/>
      <c r="DC21" s="292"/>
      <c r="DD21" s="292"/>
      <c r="DE21" s="292"/>
      <c r="DF21" s="292"/>
      <c r="DG21" s="292"/>
      <c r="DH21" s="292"/>
      <c r="DI21" s="292"/>
      <c r="DJ21" s="292"/>
      <c r="DK21" s="292"/>
      <c r="DL21" s="292"/>
      <c r="DM21" s="292"/>
      <c r="DN21" s="292"/>
      <c r="DO21" s="292"/>
    </row>
    <row r="22" spans="1:119" customFormat="1" ht="12.75" customHeight="1">
      <c r="A22" s="647" t="s">
        <v>590</v>
      </c>
      <c r="B22" s="647"/>
      <c r="C22" s="647"/>
      <c r="D22" s="647"/>
      <c r="E22" s="647"/>
      <c r="F22" s="647"/>
      <c r="G22" s="647"/>
      <c r="H22" s="647"/>
      <c r="I22" s="647"/>
      <c r="J22" s="647"/>
      <c r="K22" s="647"/>
      <c r="L22" s="647"/>
      <c r="M22" s="647"/>
      <c r="N22" s="647"/>
      <c r="O22" s="647"/>
      <c r="P22" s="647"/>
      <c r="Q22" s="647"/>
      <c r="R22" s="647"/>
      <c r="S22" s="2563"/>
      <c r="T22" s="647"/>
      <c r="U22" s="647"/>
      <c r="V22" s="647"/>
      <c r="W22" s="648"/>
      <c r="X22" s="647"/>
      <c r="Y22" s="647"/>
      <c r="Z22" s="647"/>
      <c r="AA22" s="648"/>
      <c r="AB22" s="647"/>
      <c r="AC22" s="647"/>
      <c r="AD22" s="647"/>
      <c r="AE22" s="648"/>
      <c r="AF22" s="647"/>
      <c r="AG22" s="647"/>
      <c r="AH22" s="647"/>
      <c r="AI22" s="648"/>
      <c r="AJ22" s="2735"/>
      <c r="AK22" s="647"/>
      <c r="AL22" s="647"/>
      <c r="AM22" s="648"/>
      <c r="AN22" s="647"/>
      <c r="AO22" s="647"/>
      <c r="AP22" s="647"/>
      <c r="AQ22" s="647"/>
      <c r="AR22" s="647"/>
      <c r="AS22" s="647"/>
      <c r="AT22" s="647"/>
      <c r="AU22" s="647"/>
      <c r="AV22" s="647"/>
      <c r="AW22" s="647"/>
      <c r="AX22" s="647"/>
      <c r="AY22" s="647"/>
      <c r="AZ22" s="292"/>
      <c r="BA22" s="292"/>
      <c r="BB22" s="292"/>
      <c r="BC22" s="292"/>
      <c r="BD22" s="292"/>
      <c r="BE22" s="292"/>
      <c r="BF22" s="292"/>
      <c r="BG22" s="292"/>
      <c r="BH22" s="292"/>
      <c r="BI22" s="292"/>
      <c r="BJ22" s="292"/>
      <c r="BK22" s="292"/>
      <c r="BL22" s="292"/>
      <c r="BM22" s="292"/>
      <c r="BN22" s="292"/>
      <c r="BO22" s="292"/>
      <c r="BP22" s="292"/>
      <c r="BQ22" s="292"/>
      <c r="BR22" s="292"/>
      <c r="BS22" s="292"/>
      <c r="BT22" s="292"/>
      <c r="BU22" s="292"/>
      <c r="BV22" s="292"/>
      <c r="BW22" s="292"/>
      <c r="BX22" s="292"/>
      <c r="BY22" s="292"/>
      <c r="BZ22" s="292"/>
      <c r="CA22" s="292"/>
      <c r="CB22" s="292"/>
      <c r="CC22" s="292"/>
      <c r="CD22" s="292"/>
      <c r="CE22" s="292"/>
      <c r="CF22" s="292"/>
      <c r="CG22" s="292"/>
      <c r="CH22" s="292"/>
      <c r="CI22" s="292"/>
      <c r="CJ22" s="292"/>
      <c r="CK22" s="292"/>
      <c r="CL22" s="292"/>
      <c r="CM22" s="292"/>
      <c r="CN22" s="292"/>
      <c r="CO22" s="292"/>
      <c r="CP22" s="292"/>
      <c r="CQ22" s="292"/>
      <c r="CR22" s="292"/>
      <c r="CS22" s="292"/>
      <c r="CT22" s="292"/>
      <c r="CU22" s="292"/>
      <c r="CV22" s="292"/>
      <c r="CW22" s="292"/>
      <c r="CX22" s="292"/>
      <c r="CY22" s="292"/>
      <c r="CZ22" s="292"/>
      <c r="DA22" s="292"/>
      <c r="DB22" s="292"/>
      <c r="DC22" s="292"/>
      <c r="DD22" s="292"/>
      <c r="DE22" s="292"/>
      <c r="DF22" s="292"/>
      <c r="DG22" s="292"/>
      <c r="DH22" s="292"/>
      <c r="DI22" s="292"/>
      <c r="DJ22" s="292"/>
      <c r="DK22" s="292"/>
      <c r="DL22" s="292"/>
      <c r="DM22" s="292"/>
      <c r="DN22" s="292"/>
      <c r="DO22" s="292"/>
    </row>
    <row r="23" spans="1:119" customFormat="1" ht="12.75" customHeight="1">
      <c r="A23" s="2075" t="s">
        <v>523</v>
      </c>
      <c r="B23" s="2075"/>
      <c r="C23" s="2075"/>
      <c r="D23" s="2075"/>
      <c r="E23" s="2075"/>
      <c r="F23" s="2075"/>
      <c r="G23" s="2075"/>
      <c r="H23" s="2075"/>
      <c r="I23" s="2075"/>
      <c r="J23" s="2075"/>
      <c r="K23" s="2075"/>
      <c r="L23" s="2075"/>
      <c r="M23" s="2075"/>
      <c r="N23" s="2075"/>
      <c r="O23" s="2075"/>
      <c r="P23" s="2075"/>
      <c r="Q23" s="2075"/>
      <c r="R23" s="2075"/>
      <c r="S23" s="2563"/>
      <c r="T23" s="2075"/>
      <c r="U23" s="2075"/>
      <c r="V23" s="2075"/>
      <c r="W23" s="2094"/>
      <c r="X23" s="2075"/>
      <c r="Y23" s="2075"/>
      <c r="Z23" s="2075"/>
      <c r="AA23" s="2094"/>
      <c r="AB23" s="2075"/>
      <c r="AC23" s="2075"/>
      <c r="AD23" s="2075"/>
      <c r="AE23" s="2094"/>
      <c r="AF23" s="2075"/>
      <c r="AG23" s="2075"/>
      <c r="AH23" s="2075"/>
      <c r="AI23" s="2094"/>
      <c r="AJ23" s="2736"/>
      <c r="AK23" s="2075"/>
      <c r="AL23" s="2075"/>
      <c r="AM23" s="2094"/>
      <c r="AN23" s="2075"/>
      <c r="AO23" s="2075"/>
      <c r="AP23" s="2075"/>
      <c r="AQ23" s="2075"/>
      <c r="AR23" s="2075"/>
      <c r="AS23" s="2075"/>
      <c r="AT23" s="2075"/>
      <c r="AU23" s="2075"/>
      <c r="AV23" s="2075"/>
      <c r="AW23" s="2075"/>
      <c r="AX23" s="2075"/>
      <c r="AY23" s="2075"/>
      <c r="AZ23" s="292"/>
      <c r="BA23" s="292"/>
      <c r="BB23" s="292"/>
      <c r="BC23" s="292"/>
      <c r="BD23" s="292"/>
      <c r="BE23" s="292"/>
      <c r="BF23" s="292"/>
      <c r="BG23" s="292"/>
      <c r="BH23" s="292"/>
      <c r="BI23" s="292"/>
      <c r="BJ23" s="292"/>
      <c r="BK23" s="292"/>
      <c r="BL23" s="292"/>
      <c r="BM23" s="292"/>
      <c r="BN23" s="292"/>
      <c r="BO23" s="292"/>
      <c r="BP23" s="292"/>
      <c r="BQ23" s="292"/>
      <c r="BR23" s="292"/>
      <c r="BS23" s="292"/>
      <c r="BT23" s="292"/>
      <c r="BU23" s="292"/>
      <c r="BV23" s="292"/>
      <c r="BW23" s="292"/>
      <c r="BX23" s="292"/>
      <c r="BY23" s="292"/>
      <c r="BZ23" s="292"/>
      <c r="CA23" s="292"/>
      <c r="CB23" s="292"/>
      <c r="CC23" s="292"/>
      <c r="CD23" s="292"/>
      <c r="CE23" s="292"/>
      <c r="CF23" s="292"/>
      <c r="CG23" s="292"/>
      <c r="CH23" s="292"/>
      <c r="CI23" s="292"/>
      <c r="CJ23" s="292"/>
      <c r="CK23" s="292"/>
      <c r="CL23" s="292"/>
      <c r="CM23" s="292"/>
      <c r="CN23" s="292"/>
      <c r="CO23" s="292"/>
      <c r="CP23" s="292"/>
      <c r="CQ23" s="292"/>
      <c r="CR23" s="292"/>
      <c r="CS23" s="292"/>
      <c r="CT23" s="292"/>
      <c r="CU23" s="292"/>
      <c r="CV23" s="292"/>
      <c r="CW23" s="292"/>
      <c r="CX23" s="292"/>
      <c r="CY23" s="292"/>
      <c r="CZ23" s="292"/>
      <c r="DA23" s="292"/>
      <c r="DB23" s="292"/>
      <c r="DC23" s="292"/>
      <c r="DD23" s="292"/>
      <c r="DE23" s="292"/>
      <c r="DF23" s="292"/>
      <c r="DG23" s="292"/>
      <c r="DH23" s="292"/>
      <c r="DI23" s="292"/>
      <c r="DJ23" s="292"/>
      <c r="DK23" s="292"/>
      <c r="DL23" s="292"/>
      <c r="DM23" s="292"/>
      <c r="DN23" s="292"/>
      <c r="DO23" s="292"/>
    </row>
    <row r="24" spans="1:119" customFormat="1" ht="12.75" customHeight="1">
      <c r="A24" s="650" t="s">
        <v>436</v>
      </c>
      <c r="B24" s="650"/>
      <c r="C24" s="650"/>
      <c r="D24" s="650"/>
      <c r="E24" s="650"/>
      <c r="F24" s="650"/>
      <c r="G24" s="650">
        <f t="shared" ref="G24:N24" si="31">+F26</f>
        <v>11460</v>
      </c>
      <c r="H24" s="650">
        <f t="shared" si="31"/>
        <v>9168</v>
      </c>
      <c r="I24" s="650">
        <f t="shared" si="31"/>
        <v>8392</v>
      </c>
      <c r="J24" s="650">
        <f t="shared" si="31"/>
        <v>8292</v>
      </c>
      <c r="K24" s="650">
        <f t="shared" si="31"/>
        <v>8310</v>
      </c>
      <c r="L24" s="650">
        <f>+K26</f>
        <v>8340</v>
      </c>
      <c r="M24" s="650">
        <f>+L26</f>
        <v>8375</v>
      </c>
      <c r="N24" s="650">
        <f t="shared" si="31"/>
        <v>8175</v>
      </c>
      <c r="O24" s="650">
        <f>+N26</f>
        <v>7975</v>
      </c>
      <c r="P24" s="650">
        <f>+O26</f>
        <v>7675</v>
      </c>
      <c r="Q24" s="650">
        <f>+P26</f>
        <v>7375</v>
      </c>
      <c r="R24" s="650">
        <f>+Q26</f>
        <v>7075</v>
      </c>
      <c r="S24" s="2564"/>
      <c r="T24" s="650"/>
      <c r="U24" s="650"/>
      <c r="V24" s="650">
        <f>+U26</f>
        <v>11796</v>
      </c>
      <c r="W24" s="649">
        <f>+V26</f>
        <v>12010</v>
      </c>
      <c r="X24" s="650">
        <f>+W26</f>
        <v>11460</v>
      </c>
      <c r="Y24" s="650">
        <f>+X26</f>
        <v>10660</v>
      </c>
      <c r="Z24" s="650">
        <f>Y26</f>
        <v>10201</v>
      </c>
      <c r="AA24" s="649">
        <f>Z26</f>
        <v>9718</v>
      </c>
      <c r="AB24" s="650">
        <f t="shared" ref="AB24:AH24" si="32">+AA26</f>
        <v>9168</v>
      </c>
      <c r="AC24" s="650">
        <f t="shared" si="32"/>
        <v>9168</v>
      </c>
      <c r="AD24" s="650">
        <f t="shared" si="32"/>
        <v>9192</v>
      </c>
      <c r="AE24" s="649">
        <f t="shared" si="32"/>
        <v>9192</v>
      </c>
      <c r="AF24" s="650">
        <f t="shared" si="32"/>
        <v>8392</v>
      </c>
      <c r="AG24" s="650">
        <f t="shared" si="32"/>
        <v>8392</v>
      </c>
      <c r="AH24" s="650">
        <f t="shared" si="32"/>
        <v>8392</v>
      </c>
      <c r="AI24" s="649">
        <f t="shared" ref="AI24:AQ24" si="33">+AH26</f>
        <v>8892</v>
      </c>
      <c r="AJ24" s="2737">
        <f t="shared" si="33"/>
        <v>8292</v>
      </c>
      <c r="AK24" s="650">
        <f t="shared" si="33"/>
        <v>8392</v>
      </c>
      <c r="AL24" s="650">
        <f t="shared" si="33"/>
        <v>8300</v>
      </c>
      <c r="AM24" s="649">
        <f t="shared" si="33"/>
        <v>8710</v>
      </c>
      <c r="AN24" s="650">
        <f t="shared" si="33"/>
        <v>8310</v>
      </c>
      <c r="AO24" s="650">
        <f t="shared" si="33"/>
        <v>8545</v>
      </c>
      <c r="AP24" s="650">
        <f t="shared" si="33"/>
        <v>8310</v>
      </c>
      <c r="AQ24" s="650">
        <f t="shared" si="33"/>
        <v>8340</v>
      </c>
      <c r="AR24" s="650">
        <f t="shared" ref="AR24:AY24" si="34">+AQ26</f>
        <v>8340</v>
      </c>
      <c r="AS24" s="650">
        <f t="shared" si="34"/>
        <v>8340</v>
      </c>
      <c r="AT24" s="650">
        <f t="shared" si="34"/>
        <v>8375</v>
      </c>
      <c r="AU24" s="650">
        <f t="shared" si="34"/>
        <v>8375</v>
      </c>
      <c r="AV24" s="650">
        <f t="shared" si="34"/>
        <v>8375</v>
      </c>
      <c r="AW24" s="650">
        <f t="shared" si="34"/>
        <v>8325</v>
      </c>
      <c r="AX24" s="650">
        <f t="shared" si="34"/>
        <v>8275</v>
      </c>
      <c r="AY24" s="650">
        <f t="shared" si="34"/>
        <v>8225</v>
      </c>
      <c r="AZ24" s="292"/>
      <c r="BA24" s="292"/>
      <c r="BB24" s="292"/>
      <c r="BC24" s="292"/>
      <c r="BD24" s="292"/>
      <c r="BE24" s="292"/>
      <c r="BF24" s="292"/>
      <c r="BG24" s="292"/>
      <c r="BH24" s="292"/>
      <c r="BI24" s="292"/>
      <c r="BJ24" s="292"/>
      <c r="BK24" s="292"/>
      <c r="BL24" s="292"/>
      <c r="BM24" s="292"/>
      <c r="BN24" s="292"/>
      <c r="BO24" s="292"/>
      <c r="BP24" s="292"/>
      <c r="BQ24" s="292"/>
      <c r="BR24" s="292"/>
      <c r="BS24" s="292"/>
      <c r="BT24" s="292"/>
      <c r="BU24" s="292"/>
      <c r="BV24" s="292"/>
      <c r="BW24" s="292"/>
      <c r="BX24" s="292"/>
      <c r="BY24" s="292"/>
      <c r="BZ24" s="292"/>
      <c r="CA24" s="292"/>
      <c r="CB24" s="292"/>
      <c r="CC24" s="292"/>
      <c r="CD24" s="292"/>
      <c r="CE24" s="292"/>
      <c r="CF24" s="292"/>
      <c r="CG24" s="292"/>
      <c r="CH24" s="292"/>
      <c r="CI24" s="292"/>
      <c r="CJ24" s="292"/>
      <c r="CK24" s="292"/>
      <c r="CL24" s="292"/>
      <c r="CM24" s="292"/>
      <c r="CN24" s="292"/>
      <c r="CO24" s="292"/>
      <c r="CP24" s="292"/>
      <c r="CQ24" s="292"/>
      <c r="CR24" s="292"/>
      <c r="CS24" s="292"/>
      <c r="CT24" s="292"/>
      <c r="CU24" s="292"/>
      <c r="CV24" s="292"/>
      <c r="CW24" s="292"/>
      <c r="CX24" s="292"/>
      <c r="CY24" s="292"/>
      <c r="CZ24" s="292"/>
      <c r="DA24" s="292"/>
      <c r="DB24" s="292"/>
      <c r="DC24" s="292"/>
      <c r="DD24" s="292"/>
      <c r="DE24" s="292"/>
      <c r="DF24" s="292"/>
      <c r="DG24" s="292"/>
      <c r="DH24" s="292"/>
      <c r="DI24" s="292"/>
      <c r="DJ24" s="292"/>
      <c r="DK24" s="292"/>
      <c r="DL24" s="292"/>
      <c r="DM24" s="292"/>
      <c r="DN24" s="292"/>
      <c r="DO24" s="292"/>
    </row>
    <row r="25" spans="1:119" customFormat="1" ht="12.75" customHeight="1">
      <c r="A25" s="2089" t="s">
        <v>437</v>
      </c>
      <c r="B25" s="2089"/>
      <c r="C25" s="2089"/>
      <c r="D25" s="2089"/>
      <c r="E25" s="2089"/>
      <c r="F25" s="2089"/>
      <c r="G25" s="2089">
        <f t="shared" ref="G25:P25" si="35">+G26-F26</f>
        <v>-2292</v>
      </c>
      <c r="H25" s="2089">
        <f t="shared" si="35"/>
        <v>-776</v>
      </c>
      <c r="I25" s="2089">
        <f t="shared" si="35"/>
        <v>-100</v>
      </c>
      <c r="J25" s="2089">
        <f t="shared" si="35"/>
        <v>18</v>
      </c>
      <c r="K25" s="2089">
        <f t="shared" si="35"/>
        <v>30</v>
      </c>
      <c r="L25" s="2089">
        <f>+L26-K26</f>
        <v>35</v>
      </c>
      <c r="M25" s="2089">
        <f>+M26-L26</f>
        <v>-200</v>
      </c>
      <c r="N25" s="2089">
        <f t="shared" si="35"/>
        <v>-200</v>
      </c>
      <c r="O25" s="2089">
        <f t="shared" si="35"/>
        <v>-300</v>
      </c>
      <c r="P25" s="2089">
        <f t="shared" si="35"/>
        <v>-300</v>
      </c>
      <c r="Q25" s="2089">
        <f>+Q26-P26</f>
        <v>-300</v>
      </c>
      <c r="R25" s="2089">
        <f>+R26-Q26</f>
        <v>-300</v>
      </c>
      <c r="S25" s="2564"/>
      <c r="T25" s="2089"/>
      <c r="U25" s="2089"/>
      <c r="V25" s="2089">
        <f>+V26-V24</f>
        <v>214</v>
      </c>
      <c r="W25" s="2090">
        <f>+W26-W24</f>
        <v>-550</v>
      </c>
      <c r="X25" s="2089">
        <f>+X26-X24</f>
        <v>-800</v>
      </c>
      <c r="Y25" s="2089">
        <f>+Y26-Y24</f>
        <v>-459</v>
      </c>
      <c r="Z25" s="2089">
        <v>-484</v>
      </c>
      <c r="AA25" s="2090">
        <v>-550</v>
      </c>
      <c r="AB25" s="2089">
        <v>0</v>
      </c>
      <c r="AC25" s="2089">
        <f t="shared" ref="AC25:AH25" si="36">+AC26-AC24</f>
        <v>24</v>
      </c>
      <c r="AD25" s="2089">
        <f t="shared" si="36"/>
        <v>0</v>
      </c>
      <c r="AE25" s="2090">
        <f t="shared" si="36"/>
        <v>-800</v>
      </c>
      <c r="AF25" s="2089">
        <f t="shared" si="36"/>
        <v>0</v>
      </c>
      <c r="AG25" s="2089">
        <f t="shared" si="36"/>
        <v>0</v>
      </c>
      <c r="AH25" s="2089">
        <f t="shared" si="36"/>
        <v>500</v>
      </c>
      <c r="AI25" s="2090">
        <f t="shared" ref="AI25:AQ25" si="37">+AI26-AI24</f>
        <v>-600</v>
      </c>
      <c r="AJ25" s="2738">
        <f t="shared" si="37"/>
        <v>100</v>
      </c>
      <c r="AK25" s="2089">
        <f t="shared" si="37"/>
        <v>-92</v>
      </c>
      <c r="AL25" s="2089">
        <f t="shared" si="37"/>
        <v>410</v>
      </c>
      <c r="AM25" s="2090">
        <f t="shared" si="37"/>
        <v>-400</v>
      </c>
      <c r="AN25" s="2089">
        <f t="shared" si="37"/>
        <v>235</v>
      </c>
      <c r="AO25" s="2089">
        <f t="shared" si="37"/>
        <v>-235</v>
      </c>
      <c r="AP25" s="2089">
        <f t="shared" si="37"/>
        <v>30</v>
      </c>
      <c r="AQ25" s="2089">
        <f t="shared" si="37"/>
        <v>0</v>
      </c>
      <c r="AR25" s="2089">
        <f t="shared" ref="AR25:AY25" si="38">+AR26-AR24</f>
        <v>0</v>
      </c>
      <c r="AS25" s="2089">
        <f t="shared" si="38"/>
        <v>35</v>
      </c>
      <c r="AT25" s="2089">
        <f t="shared" si="38"/>
        <v>0</v>
      </c>
      <c r="AU25" s="2089">
        <f t="shared" si="38"/>
        <v>0</v>
      </c>
      <c r="AV25" s="2089">
        <f t="shared" si="38"/>
        <v>-50</v>
      </c>
      <c r="AW25" s="2089">
        <f t="shared" si="38"/>
        <v>-50</v>
      </c>
      <c r="AX25" s="2089">
        <f t="shared" si="38"/>
        <v>-50</v>
      </c>
      <c r="AY25" s="2089">
        <f t="shared" si="38"/>
        <v>-50</v>
      </c>
      <c r="AZ25" s="292"/>
      <c r="BA25" s="292"/>
      <c r="BB25" s="292"/>
      <c r="BC25" s="292"/>
      <c r="BD25" s="292"/>
      <c r="BE25" s="292"/>
      <c r="BF25" s="292"/>
      <c r="BG25" s="292"/>
      <c r="BH25" s="292"/>
      <c r="BI25" s="292"/>
      <c r="BJ25" s="292"/>
      <c r="BK25" s="292"/>
      <c r="BL25" s="292"/>
      <c r="BM25" s="292"/>
      <c r="BN25" s="292"/>
      <c r="BO25" s="292"/>
      <c r="BP25" s="292"/>
      <c r="BQ25" s="292"/>
      <c r="BR25" s="292"/>
      <c r="BS25" s="292"/>
      <c r="BT25" s="292"/>
      <c r="BU25" s="292"/>
      <c r="BV25" s="292"/>
      <c r="BW25" s="292"/>
      <c r="BX25" s="292"/>
      <c r="BY25" s="292"/>
      <c r="BZ25" s="292"/>
      <c r="CA25" s="292"/>
      <c r="CB25" s="292"/>
      <c r="CC25" s="292"/>
      <c r="CD25" s="292"/>
      <c r="CE25" s="292"/>
      <c r="CF25" s="292"/>
      <c r="CG25" s="292"/>
      <c r="CH25" s="292"/>
      <c r="CI25" s="292"/>
      <c r="CJ25" s="292"/>
      <c r="CK25" s="292"/>
      <c r="CL25" s="292"/>
      <c r="CM25" s="292"/>
      <c r="CN25" s="292"/>
      <c r="CO25" s="292"/>
      <c r="CP25" s="292"/>
      <c r="CQ25" s="292"/>
      <c r="CR25" s="292"/>
      <c r="CS25" s="292"/>
      <c r="CT25" s="292"/>
      <c r="CU25" s="292"/>
      <c r="CV25" s="292"/>
      <c r="CW25" s="292"/>
      <c r="CX25" s="292"/>
      <c r="CY25" s="292"/>
      <c r="CZ25" s="292"/>
      <c r="DA25" s="292"/>
      <c r="DB25" s="292"/>
      <c r="DC25" s="292"/>
      <c r="DD25" s="292"/>
      <c r="DE25" s="292"/>
      <c r="DF25" s="292"/>
      <c r="DG25" s="292"/>
      <c r="DH25" s="292"/>
      <c r="DI25" s="292"/>
      <c r="DJ25" s="292"/>
      <c r="DK25" s="292"/>
      <c r="DL25" s="292"/>
      <c r="DM25" s="292"/>
      <c r="DN25" s="292"/>
      <c r="DO25" s="292"/>
    </row>
    <row r="26" spans="1:119" customFormat="1" ht="12.75" customHeight="1">
      <c r="A26" s="650" t="s">
        <v>438</v>
      </c>
      <c r="B26" s="650"/>
      <c r="C26" s="650"/>
      <c r="D26" s="650"/>
      <c r="E26" s="650"/>
      <c r="F26" s="2095">
        <f>W26</f>
        <v>11460</v>
      </c>
      <c r="G26" s="2095">
        <f>+AA26</f>
        <v>9168</v>
      </c>
      <c r="H26" s="650">
        <f>+AE26</f>
        <v>8392</v>
      </c>
      <c r="I26" s="650">
        <f>+AI26</f>
        <v>8292</v>
      </c>
      <c r="J26" s="650">
        <f>+AM26</f>
        <v>8310</v>
      </c>
      <c r="K26" s="650">
        <f>+AQ26</f>
        <v>8340</v>
      </c>
      <c r="L26" s="650">
        <f>+AU26</f>
        <v>8375</v>
      </c>
      <c r="M26" s="650">
        <f>+AY26</f>
        <v>8175</v>
      </c>
      <c r="N26" s="2934">
        <f>+M26-200</f>
        <v>7975</v>
      </c>
      <c r="O26" s="2934">
        <f>+N26-300</f>
        <v>7675</v>
      </c>
      <c r="P26" s="2934">
        <f>+O26-300</f>
        <v>7375</v>
      </c>
      <c r="Q26" s="2934">
        <f>+P26-300</f>
        <v>7075</v>
      </c>
      <c r="R26" s="2934">
        <f>+Q26-300</f>
        <v>6775</v>
      </c>
      <c r="S26" s="2565"/>
      <c r="T26" s="2095"/>
      <c r="U26" s="2095">
        <v>11796</v>
      </c>
      <c r="V26" s="2095">
        <f>2650+3593+5767</f>
        <v>12010</v>
      </c>
      <c r="W26" s="2096">
        <f>2650+3182+5628</f>
        <v>11460</v>
      </c>
      <c r="X26" s="2095">
        <f>5032+5628</f>
        <v>10660</v>
      </c>
      <c r="Y26" s="2095">
        <v>10201</v>
      </c>
      <c r="Z26" s="2095">
        <v>9718</v>
      </c>
      <c r="AA26" s="2096">
        <f>+AA24+AA25</f>
        <v>9168</v>
      </c>
      <c r="AB26" s="2095">
        <v>9168</v>
      </c>
      <c r="AC26" s="2095">
        <v>9192</v>
      </c>
      <c r="AD26" s="2095">
        <v>9192</v>
      </c>
      <c r="AE26" s="2096">
        <v>8392</v>
      </c>
      <c r="AF26" s="2095">
        <v>8392</v>
      </c>
      <c r="AG26" s="2095">
        <v>8392</v>
      </c>
      <c r="AH26" s="2095">
        <f>7911+981</f>
        <v>8892</v>
      </c>
      <c r="AI26" s="2096">
        <f>7311+981</f>
        <v>8292</v>
      </c>
      <c r="AJ26" s="2935">
        <f>7311+100+981</f>
        <v>8392</v>
      </c>
      <c r="AK26" s="2934">
        <f>7219+981+100</f>
        <v>8300</v>
      </c>
      <c r="AL26" s="2934">
        <f>7629+981+100</f>
        <v>8710</v>
      </c>
      <c r="AM26" s="2936">
        <f>7229+981+100</f>
        <v>8310</v>
      </c>
      <c r="AN26" s="2934">
        <f>7464+981+100</f>
        <v>8545</v>
      </c>
      <c r="AO26" s="2934">
        <f>7229+100+981</f>
        <v>8310</v>
      </c>
      <c r="AP26" s="2934">
        <f>7259+100+981</f>
        <v>8340</v>
      </c>
      <c r="AQ26" s="2934">
        <f>7259+100+981</f>
        <v>8340</v>
      </c>
      <c r="AR26" s="2934">
        <f>7259+100+981</f>
        <v>8340</v>
      </c>
      <c r="AS26" s="2934">
        <f>7294+100+981</f>
        <v>8375</v>
      </c>
      <c r="AT26" s="2934">
        <f>7294+100+981</f>
        <v>8375</v>
      </c>
      <c r="AU26" s="2934">
        <f>7294+100+981</f>
        <v>8375</v>
      </c>
      <c r="AV26" s="2934">
        <f>+AU26-50</f>
        <v>8325</v>
      </c>
      <c r="AW26" s="2934">
        <f>+AV26-50</f>
        <v>8275</v>
      </c>
      <c r="AX26" s="2934">
        <f>+AW26-50</f>
        <v>8225</v>
      </c>
      <c r="AY26" s="2934">
        <f>+AX26-50</f>
        <v>8175</v>
      </c>
      <c r="AZ26" s="292"/>
      <c r="BA26" s="292"/>
      <c r="BB26" s="292"/>
      <c r="BC26" s="292"/>
      <c r="BD26" s="292"/>
      <c r="BE26" s="292"/>
      <c r="BF26" s="292"/>
      <c r="BG26" s="292"/>
      <c r="BH26" s="292"/>
      <c r="BI26" s="292"/>
      <c r="BJ26" s="292"/>
      <c r="BK26" s="292"/>
      <c r="BL26" s="292"/>
      <c r="BM26" s="292"/>
      <c r="BN26" s="292"/>
      <c r="BO26" s="292"/>
      <c r="BP26" s="292"/>
      <c r="BQ26" s="292"/>
      <c r="BR26" s="292"/>
      <c r="BS26" s="292"/>
      <c r="BT26" s="292"/>
      <c r="BU26" s="292"/>
      <c r="BV26" s="292"/>
      <c r="BW26" s="292"/>
      <c r="BX26" s="292"/>
      <c r="BY26" s="292"/>
      <c r="BZ26" s="292"/>
      <c r="CA26" s="292"/>
      <c r="CB26" s="292"/>
      <c r="CC26" s="292"/>
      <c r="CD26" s="292"/>
      <c r="CE26" s="292"/>
      <c r="CF26" s="292"/>
      <c r="CG26" s="292"/>
      <c r="CH26" s="292"/>
      <c r="CI26" s="292"/>
      <c r="CJ26" s="292"/>
      <c r="CK26" s="292"/>
      <c r="CL26" s="292"/>
      <c r="CM26" s="292"/>
      <c r="CN26" s="292"/>
      <c r="CO26" s="292"/>
      <c r="CP26" s="292"/>
      <c r="CQ26" s="292"/>
      <c r="CR26" s="292"/>
      <c r="CS26" s="292"/>
      <c r="CT26" s="292"/>
      <c r="CU26" s="292"/>
      <c r="CV26" s="292"/>
      <c r="CW26" s="292"/>
      <c r="CX26" s="292"/>
      <c r="CY26" s="292"/>
      <c r="CZ26" s="292"/>
      <c r="DA26" s="292"/>
      <c r="DB26" s="292"/>
      <c r="DC26" s="292"/>
      <c r="DD26" s="292"/>
      <c r="DE26" s="292"/>
      <c r="DF26" s="292"/>
      <c r="DG26" s="292"/>
      <c r="DH26" s="292"/>
      <c r="DI26" s="292"/>
      <c r="DJ26" s="292"/>
      <c r="DK26" s="292"/>
      <c r="DL26" s="292"/>
      <c r="DM26" s="292"/>
      <c r="DN26" s="292"/>
      <c r="DO26" s="292"/>
    </row>
    <row r="27" spans="1:119" customFormat="1" ht="12.75" customHeight="1">
      <c r="A27" s="650"/>
      <c r="B27" s="650"/>
      <c r="C27" s="650"/>
      <c r="D27" s="650"/>
      <c r="E27" s="650"/>
      <c r="F27" s="650"/>
      <c r="G27" s="650"/>
      <c r="H27" s="650"/>
      <c r="I27" s="650"/>
      <c r="J27" s="650"/>
      <c r="K27" s="650"/>
      <c r="L27" s="650"/>
      <c r="M27" s="650"/>
      <c r="N27" s="650"/>
      <c r="O27" s="650"/>
      <c r="P27" s="650"/>
      <c r="Q27" s="650"/>
      <c r="R27" s="650"/>
      <c r="S27" s="2564"/>
      <c r="T27" s="650"/>
      <c r="U27" s="650"/>
      <c r="V27" s="650"/>
      <c r="W27" s="649"/>
      <c r="X27" s="650"/>
      <c r="Y27" s="650"/>
      <c r="Z27" s="650"/>
      <c r="AA27" s="649"/>
      <c r="AB27" s="650"/>
      <c r="AC27" s="650"/>
      <c r="AD27" s="650"/>
      <c r="AE27" s="649"/>
      <c r="AF27" s="650"/>
      <c r="AG27" s="650"/>
      <c r="AH27" s="650"/>
      <c r="AI27" s="649"/>
      <c r="AJ27" s="2737"/>
      <c r="AK27" s="650"/>
      <c r="AL27" s="650"/>
      <c r="AM27" s="649"/>
      <c r="AN27" s="650"/>
      <c r="AO27" s="650"/>
      <c r="AP27" s="650"/>
      <c r="AQ27" s="650"/>
      <c r="AR27" s="650"/>
      <c r="AS27" s="650"/>
      <c r="AT27" s="650"/>
      <c r="AU27" s="650"/>
      <c r="AV27" s="650"/>
      <c r="AW27" s="650"/>
      <c r="AX27" s="650"/>
      <c r="AY27" s="650"/>
      <c r="AZ27" s="292"/>
      <c r="BA27" s="292"/>
      <c r="BB27" s="292"/>
      <c r="BC27" s="292"/>
      <c r="BD27" s="292"/>
      <c r="BE27" s="292"/>
      <c r="BF27" s="292"/>
      <c r="BG27" s="292"/>
      <c r="BH27" s="292"/>
      <c r="BI27" s="292"/>
      <c r="BJ27" s="292"/>
      <c r="BK27" s="292"/>
      <c r="BL27" s="292"/>
      <c r="BM27" s="292"/>
      <c r="BN27" s="292"/>
      <c r="BO27" s="292"/>
      <c r="BP27" s="292"/>
      <c r="BQ27" s="292"/>
      <c r="BR27" s="292"/>
      <c r="BS27" s="292"/>
      <c r="BT27" s="292"/>
      <c r="BU27" s="292"/>
      <c r="BV27" s="292"/>
      <c r="BW27" s="292"/>
      <c r="BX27" s="292"/>
      <c r="BY27" s="292"/>
      <c r="BZ27" s="292"/>
      <c r="CA27" s="292"/>
      <c r="CB27" s="292"/>
      <c r="CC27" s="292"/>
      <c r="CD27" s="292"/>
      <c r="CE27" s="292"/>
      <c r="CF27" s="292"/>
      <c r="CG27" s="292"/>
      <c r="CH27" s="292"/>
      <c r="CI27" s="292"/>
      <c r="CJ27" s="292"/>
      <c r="CK27" s="292"/>
      <c r="CL27" s="292"/>
      <c r="CM27" s="292"/>
      <c r="CN27" s="292"/>
      <c r="CO27" s="292"/>
      <c r="CP27" s="292"/>
      <c r="CQ27" s="292"/>
      <c r="CR27" s="292"/>
      <c r="CS27" s="292"/>
      <c r="CT27" s="292"/>
      <c r="CU27" s="292"/>
      <c r="CV27" s="292"/>
      <c r="CW27" s="292"/>
      <c r="CX27" s="292"/>
      <c r="CY27" s="292"/>
      <c r="CZ27" s="292"/>
      <c r="DA27" s="292"/>
      <c r="DB27" s="292"/>
      <c r="DC27" s="292"/>
      <c r="DD27" s="292"/>
      <c r="DE27" s="292"/>
      <c r="DF27" s="292"/>
      <c r="DG27" s="292"/>
      <c r="DH27" s="292"/>
      <c r="DI27" s="292"/>
      <c r="DJ27" s="292"/>
      <c r="DK27" s="292"/>
      <c r="DL27" s="292"/>
      <c r="DM27" s="292"/>
      <c r="DN27" s="292"/>
      <c r="DO27" s="292"/>
    </row>
    <row r="28" spans="1:119" customFormat="1" ht="12.75" customHeight="1">
      <c r="A28" s="2097" t="s">
        <v>722</v>
      </c>
      <c r="B28" s="2097"/>
      <c r="C28" s="2097"/>
      <c r="D28" s="2097"/>
      <c r="E28" s="2097"/>
      <c r="F28" s="2097">
        <f>+F26</f>
        <v>11460</v>
      </c>
      <c r="G28" s="2097">
        <f t="shared" ref="G28:N28" si="39">+G26</f>
        <v>9168</v>
      </c>
      <c r="H28" s="2097">
        <f t="shared" si="39"/>
        <v>8392</v>
      </c>
      <c r="I28" s="2097">
        <f t="shared" si="39"/>
        <v>8292</v>
      </c>
      <c r="J28" s="2097">
        <f t="shared" si="39"/>
        <v>8310</v>
      </c>
      <c r="K28" s="2097">
        <f t="shared" si="39"/>
        <v>8340</v>
      </c>
      <c r="L28" s="2097">
        <f>+L26</f>
        <v>8375</v>
      </c>
      <c r="M28" s="2097">
        <f>+M26</f>
        <v>8175</v>
      </c>
      <c r="N28" s="2097">
        <f t="shared" si="39"/>
        <v>7975</v>
      </c>
      <c r="O28" s="2097">
        <f>+O26</f>
        <v>7675</v>
      </c>
      <c r="P28" s="2097">
        <f>+P26</f>
        <v>7375</v>
      </c>
      <c r="Q28" s="2097">
        <f>+Q26</f>
        <v>7075</v>
      </c>
      <c r="R28" s="2097">
        <f>+R26</f>
        <v>6775</v>
      </c>
      <c r="S28" s="2564"/>
      <c r="T28" s="2222" t="s">
        <v>441</v>
      </c>
      <c r="U28" s="2097">
        <f t="shared" ref="U28:AA28" si="40">U26</f>
        <v>11796</v>
      </c>
      <c r="V28" s="2097">
        <f t="shared" si="40"/>
        <v>12010</v>
      </c>
      <c r="W28" s="2098">
        <f t="shared" si="40"/>
        <v>11460</v>
      </c>
      <c r="X28" s="2097">
        <f t="shared" si="40"/>
        <v>10660</v>
      </c>
      <c r="Y28" s="2097">
        <f t="shared" si="40"/>
        <v>10201</v>
      </c>
      <c r="Z28" s="2097">
        <f t="shared" si="40"/>
        <v>9718</v>
      </c>
      <c r="AA28" s="2098">
        <f t="shared" si="40"/>
        <v>9168</v>
      </c>
      <c r="AB28" s="2097">
        <f t="shared" ref="AB28:AH28" si="41">AB26</f>
        <v>9168</v>
      </c>
      <c r="AC28" s="2097">
        <f t="shared" si="41"/>
        <v>9192</v>
      </c>
      <c r="AD28" s="2097">
        <f t="shared" si="41"/>
        <v>9192</v>
      </c>
      <c r="AE28" s="2098">
        <f t="shared" si="41"/>
        <v>8392</v>
      </c>
      <c r="AF28" s="2097">
        <f t="shared" si="41"/>
        <v>8392</v>
      </c>
      <c r="AG28" s="2097">
        <f t="shared" si="41"/>
        <v>8392</v>
      </c>
      <c r="AH28" s="2097">
        <f t="shared" si="41"/>
        <v>8892</v>
      </c>
      <c r="AI28" s="2098">
        <f t="shared" ref="AI28:AQ28" si="42">AI26</f>
        <v>8292</v>
      </c>
      <c r="AJ28" s="2740">
        <f t="shared" si="42"/>
        <v>8392</v>
      </c>
      <c r="AK28" s="2097">
        <f t="shared" si="42"/>
        <v>8300</v>
      </c>
      <c r="AL28" s="2097">
        <f t="shared" si="42"/>
        <v>8710</v>
      </c>
      <c r="AM28" s="2098">
        <f t="shared" si="42"/>
        <v>8310</v>
      </c>
      <c r="AN28" s="2097">
        <f t="shared" si="42"/>
        <v>8545</v>
      </c>
      <c r="AO28" s="2097">
        <f t="shared" si="42"/>
        <v>8310</v>
      </c>
      <c r="AP28" s="2097">
        <f t="shared" si="42"/>
        <v>8340</v>
      </c>
      <c r="AQ28" s="2097">
        <f t="shared" si="42"/>
        <v>8340</v>
      </c>
      <c r="AR28" s="2097">
        <f t="shared" ref="AR28:AY28" si="43">AR26</f>
        <v>8340</v>
      </c>
      <c r="AS28" s="2097">
        <f t="shared" si="43"/>
        <v>8375</v>
      </c>
      <c r="AT28" s="2097">
        <f t="shared" si="43"/>
        <v>8375</v>
      </c>
      <c r="AU28" s="2097">
        <f t="shared" si="43"/>
        <v>8375</v>
      </c>
      <c r="AV28" s="2097">
        <f t="shared" si="43"/>
        <v>8325</v>
      </c>
      <c r="AW28" s="2097">
        <f t="shared" si="43"/>
        <v>8275</v>
      </c>
      <c r="AX28" s="2097">
        <f t="shared" si="43"/>
        <v>8225</v>
      </c>
      <c r="AY28" s="2097">
        <f t="shared" si="43"/>
        <v>8175</v>
      </c>
      <c r="AZ28" s="292"/>
      <c r="BA28" s="292"/>
      <c r="BB28" s="292"/>
      <c r="BC28" s="292"/>
      <c r="BD28" s="292"/>
      <c r="BE28" s="292"/>
      <c r="BF28" s="292"/>
      <c r="BG28" s="292"/>
      <c r="BH28" s="292"/>
      <c r="BI28" s="292"/>
      <c r="BJ28" s="292"/>
      <c r="BK28" s="292"/>
      <c r="BL28" s="292"/>
      <c r="BM28" s="292"/>
      <c r="BN28" s="292"/>
      <c r="BO28" s="292"/>
      <c r="BP28" s="292"/>
      <c r="BQ28" s="292"/>
      <c r="BR28" s="292"/>
      <c r="BS28" s="292"/>
      <c r="BT28" s="292"/>
      <c r="BU28" s="292"/>
      <c r="BV28" s="292"/>
      <c r="BW28" s="292"/>
      <c r="BX28" s="292"/>
      <c r="BY28" s="292"/>
      <c r="BZ28" s="292"/>
      <c r="CA28" s="292"/>
      <c r="CB28" s="292"/>
      <c r="CC28" s="292"/>
      <c r="CD28" s="292"/>
      <c r="CE28" s="292"/>
      <c r="CF28" s="292"/>
      <c r="CG28" s="292"/>
      <c r="CH28" s="292"/>
      <c r="CI28" s="292"/>
      <c r="CJ28" s="292"/>
      <c r="CK28" s="292"/>
      <c r="CL28" s="292"/>
      <c r="CM28" s="292"/>
      <c r="CN28" s="292"/>
      <c r="CO28" s="292"/>
      <c r="CP28" s="292"/>
      <c r="CQ28" s="292"/>
      <c r="CR28" s="292"/>
      <c r="CS28" s="292"/>
      <c r="CT28" s="292"/>
      <c r="CU28" s="292"/>
      <c r="CV28" s="292"/>
      <c r="CW28" s="292"/>
      <c r="CX28" s="292"/>
      <c r="CY28" s="292"/>
      <c r="CZ28" s="292"/>
      <c r="DA28" s="292"/>
      <c r="DB28" s="292"/>
      <c r="DC28" s="292"/>
      <c r="DD28" s="292"/>
      <c r="DE28" s="292"/>
      <c r="DF28" s="292"/>
      <c r="DG28" s="292"/>
      <c r="DH28" s="292"/>
      <c r="DI28" s="292"/>
      <c r="DJ28" s="292"/>
      <c r="DK28" s="292"/>
      <c r="DL28" s="292"/>
      <c r="DM28" s="292"/>
      <c r="DN28" s="292"/>
      <c r="DO28" s="292"/>
    </row>
    <row r="29" spans="1:119" customFormat="1" ht="12.75" customHeight="1">
      <c r="A29" s="399"/>
      <c r="B29" s="399"/>
      <c r="C29" s="399"/>
      <c r="D29" s="399"/>
      <c r="E29" s="399"/>
      <c r="F29" s="399"/>
      <c r="G29" s="399"/>
      <c r="H29" s="399"/>
      <c r="I29" s="399"/>
      <c r="J29" s="399"/>
      <c r="K29" s="399"/>
      <c r="L29" s="399"/>
      <c r="M29" s="2634"/>
      <c r="N29" s="399"/>
      <c r="O29" s="399"/>
      <c r="P29" s="399"/>
      <c r="Q29" s="2634"/>
      <c r="R29" s="2634"/>
      <c r="S29" s="2563"/>
      <c r="T29" s="399"/>
      <c r="U29" s="399"/>
      <c r="V29" s="399"/>
      <c r="W29" s="400"/>
      <c r="X29" s="399"/>
      <c r="Y29" s="399"/>
      <c r="Z29" s="368"/>
      <c r="AA29" s="400"/>
      <c r="AB29" s="399"/>
      <c r="AC29" s="399"/>
      <c r="AD29" s="368"/>
      <c r="AE29" s="400"/>
      <c r="AF29" s="399"/>
      <c r="AG29" s="399"/>
      <c r="AH29" s="368"/>
      <c r="AI29" s="400"/>
      <c r="AJ29" s="411"/>
      <c r="AK29" s="368"/>
      <c r="AL29" s="368"/>
      <c r="AM29" s="412"/>
      <c r="AN29" s="368"/>
      <c r="AO29" s="368"/>
      <c r="AP29" s="368"/>
      <c r="AQ29" s="368"/>
      <c r="AR29" s="368"/>
      <c r="AS29" s="368"/>
      <c r="AT29" s="368"/>
      <c r="AU29" s="368"/>
      <c r="AV29" s="2606"/>
      <c r="AW29" s="2606"/>
      <c r="AX29" s="2606"/>
      <c r="AY29" s="2606"/>
      <c r="AZ29" s="292"/>
      <c r="BA29" s="292"/>
      <c r="BB29" s="292"/>
      <c r="BC29" s="292"/>
      <c r="BD29" s="292"/>
      <c r="BE29" s="292"/>
      <c r="BF29" s="292"/>
      <c r="BG29" s="292"/>
      <c r="BH29" s="292"/>
      <c r="BI29" s="292"/>
      <c r="BJ29" s="292"/>
      <c r="BK29" s="292"/>
      <c r="BL29" s="292"/>
      <c r="BM29" s="292"/>
      <c r="BN29" s="292"/>
      <c r="BO29" s="292"/>
      <c r="BP29" s="292"/>
      <c r="BQ29" s="292"/>
      <c r="BR29" s="292"/>
      <c r="BS29" s="292"/>
      <c r="BT29" s="292"/>
      <c r="BU29" s="292"/>
      <c r="BV29" s="292"/>
      <c r="BW29" s="292"/>
      <c r="BX29" s="292"/>
      <c r="BY29" s="292"/>
      <c r="BZ29" s="292"/>
      <c r="CA29" s="292"/>
      <c r="CB29" s="292"/>
      <c r="CC29" s="292"/>
      <c r="CD29" s="292"/>
      <c r="CE29" s="292"/>
      <c r="CF29" s="292"/>
      <c r="CG29" s="292"/>
      <c r="CH29" s="292"/>
      <c r="CI29" s="292"/>
      <c r="CJ29" s="292"/>
      <c r="CK29" s="292"/>
      <c r="CL29" s="292"/>
      <c r="CM29" s="292"/>
      <c r="CN29" s="292"/>
      <c r="CO29" s="292"/>
      <c r="CP29" s="292"/>
      <c r="CQ29" s="292"/>
      <c r="CR29" s="292"/>
      <c r="CS29" s="292"/>
      <c r="CT29" s="292"/>
      <c r="CU29" s="292"/>
      <c r="CV29" s="292"/>
      <c r="CW29" s="292"/>
      <c r="CX29" s="292"/>
      <c r="CY29" s="292"/>
      <c r="CZ29" s="292"/>
      <c r="DA29" s="292"/>
      <c r="DB29" s="292"/>
      <c r="DC29" s="292"/>
      <c r="DD29" s="292"/>
      <c r="DE29" s="292"/>
      <c r="DF29" s="292"/>
      <c r="DG29" s="292"/>
      <c r="DH29" s="292"/>
      <c r="DI29" s="292"/>
      <c r="DJ29" s="292"/>
      <c r="DK29" s="292"/>
      <c r="DL29" s="292"/>
      <c r="DM29" s="292"/>
      <c r="DN29" s="292"/>
      <c r="DO29" s="292"/>
    </row>
    <row r="30" spans="1:119" customFormat="1" ht="12.75" customHeight="1">
      <c r="A30" s="647" t="s">
        <v>875</v>
      </c>
      <c r="B30" s="647"/>
      <c r="C30" s="647"/>
      <c r="D30" s="647"/>
      <c r="E30" s="647"/>
      <c r="F30" s="647"/>
      <c r="G30" s="647"/>
      <c r="H30" s="647"/>
      <c r="I30" s="647"/>
      <c r="J30" s="647"/>
      <c r="K30" s="647"/>
      <c r="L30" s="647"/>
      <c r="M30" s="647"/>
      <c r="N30" s="647"/>
      <c r="O30" s="647"/>
      <c r="P30" s="647"/>
      <c r="Q30" s="647"/>
      <c r="R30" s="647"/>
      <c r="S30" s="2563"/>
      <c r="T30" s="647"/>
      <c r="U30" s="647"/>
      <c r="V30" s="647"/>
      <c r="W30" s="648"/>
      <c r="X30" s="647"/>
      <c r="Y30" s="647"/>
      <c r="Z30" s="647"/>
      <c r="AA30" s="648"/>
      <c r="AB30" s="647"/>
      <c r="AC30" s="647"/>
      <c r="AD30" s="647"/>
      <c r="AE30" s="648"/>
      <c r="AF30" s="647"/>
      <c r="AG30" s="647"/>
      <c r="AH30" s="647"/>
      <c r="AI30" s="648"/>
      <c r="AJ30" s="2735"/>
      <c r="AK30" s="647"/>
      <c r="AL30" s="647"/>
      <c r="AM30" s="648"/>
      <c r="AN30" s="647"/>
      <c r="AO30" s="647"/>
      <c r="AP30" s="647"/>
      <c r="AQ30" s="647"/>
      <c r="AR30" s="647"/>
      <c r="AS30" s="647"/>
      <c r="AT30" s="647"/>
      <c r="AU30" s="647"/>
      <c r="AV30" s="647"/>
      <c r="AW30" s="647"/>
      <c r="AX30" s="647"/>
      <c r="AY30" s="647"/>
      <c r="AZ30" s="292"/>
      <c r="BA30" s="292"/>
      <c r="BB30" s="292"/>
      <c r="BC30" s="292"/>
      <c r="BD30" s="292"/>
      <c r="BE30" s="292"/>
      <c r="BF30" s="292"/>
      <c r="BG30" s="292"/>
      <c r="BH30" s="292"/>
      <c r="BI30" s="292"/>
      <c r="BJ30" s="292"/>
      <c r="BK30" s="292"/>
      <c r="BL30" s="292"/>
      <c r="BM30" s="292"/>
      <c r="BN30" s="292"/>
      <c r="BO30" s="292"/>
      <c r="BP30" s="292"/>
      <c r="BQ30" s="292"/>
      <c r="BR30" s="292"/>
      <c r="BS30" s="292"/>
      <c r="BT30" s="292"/>
      <c r="BU30" s="292"/>
      <c r="BV30" s="292"/>
      <c r="BW30" s="292"/>
      <c r="BX30" s="292"/>
      <c r="BY30" s="292"/>
      <c r="BZ30" s="292"/>
      <c r="CA30" s="292"/>
      <c r="CB30" s="292"/>
      <c r="CC30" s="292"/>
      <c r="CD30" s="292"/>
      <c r="CE30" s="292"/>
      <c r="CF30" s="292"/>
      <c r="CG30" s="292"/>
      <c r="CH30" s="292"/>
      <c r="CI30" s="292"/>
      <c r="CJ30" s="292"/>
      <c r="CK30" s="292"/>
      <c r="CL30" s="292"/>
      <c r="CM30" s="292"/>
      <c r="CN30" s="292"/>
      <c r="CO30" s="292"/>
      <c r="CP30" s="292"/>
      <c r="CQ30" s="292"/>
      <c r="CR30" s="292"/>
      <c r="CS30" s="292"/>
      <c r="CT30" s="292"/>
      <c r="CU30" s="292"/>
      <c r="CV30" s="292"/>
      <c r="CW30" s="292"/>
      <c r="CX30" s="292"/>
      <c r="CY30" s="292"/>
      <c r="CZ30" s="292"/>
      <c r="DA30" s="292"/>
      <c r="DB30" s="292"/>
      <c r="DC30" s="292"/>
      <c r="DD30" s="292"/>
      <c r="DE30" s="292"/>
      <c r="DF30" s="292"/>
      <c r="DG30" s="292"/>
      <c r="DH30" s="292"/>
      <c r="DI30" s="292"/>
      <c r="DJ30" s="292"/>
      <c r="DK30" s="292"/>
      <c r="DL30" s="292"/>
      <c r="DM30" s="292"/>
      <c r="DN30" s="292"/>
      <c r="DO30" s="292"/>
    </row>
    <row r="31" spans="1:119" customFormat="1" ht="12.75" customHeight="1">
      <c r="A31" s="2075" t="s">
        <v>719</v>
      </c>
      <c r="B31" s="2075"/>
      <c r="C31" s="2075"/>
      <c r="D31" s="2075"/>
      <c r="E31" s="2075"/>
      <c r="F31" s="2075"/>
      <c r="G31" s="2075"/>
      <c r="H31" s="2075"/>
      <c r="I31" s="2075"/>
      <c r="J31" s="2075"/>
      <c r="K31" s="2075"/>
      <c r="L31" s="2075"/>
      <c r="M31" s="2075"/>
      <c r="N31" s="2075"/>
      <c r="O31" s="2075"/>
      <c r="P31" s="2075"/>
      <c r="Q31" s="2075"/>
      <c r="R31" s="2075"/>
      <c r="S31" s="2563"/>
      <c r="T31" s="2075"/>
      <c r="U31" s="2075"/>
      <c r="V31" s="2075"/>
      <c r="W31" s="2094"/>
      <c r="X31" s="2075"/>
      <c r="Y31" s="2075"/>
      <c r="Z31" s="2075"/>
      <c r="AA31" s="2094"/>
      <c r="AB31" s="2075"/>
      <c r="AC31" s="2075"/>
      <c r="AD31" s="2075"/>
      <c r="AE31" s="2094"/>
      <c r="AF31" s="2075"/>
      <c r="AG31" s="2075"/>
      <c r="AH31" s="2075"/>
      <c r="AI31" s="2094"/>
      <c r="AJ31" s="2736"/>
      <c r="AK31" s="2075"/>
      <c r="AL31" s="2075"/>
      <c r="AM31" s="2094"/>
      <c r="AN31" s="2075"/>
      <c r="AO31" s="2075"/>
      <c r="AP31" s="2075"/>
      <c r="AQ31" s="2075"/>
      <c r="AR31" s="2075"/>
      <c r="AS31" s="2075"/>
      <c r="AT31" s="2075"/>
      <c r="AU31" s="2075"/>
      <c r="AV31" s="2075"/>
      <c r="AW31" s="2075"/>
      <c r="AX31" s="2075"/>
      <c r="AY31" s="2075"/>
      <c r="AZ31" s="292"/>
      <c r="BA31" s="292"/>
      <c r="BB31" s="292"/>
      <c r="BC31" s="292"/>
      <c r="BD31" s="292"/>
      <c r="BE31" s="292"/>
      <c r="BF31" s="292"/>
      <c r="BG31" s="292"/>
      <c r="BH31" s="292"/>
      <c r="BI31" s="292"/>
      <c r="BJ31" s="292"/>
      <c r="BK31" s="292"/>
      <c r="BL31" s="292"/>
      <c r="BM31" s="292"/>
      <c r="BN31" s="292"/>
      <c r="BO31" s="292"/>
      <c r="BP31" s="292"/>
      <c r="BQ31" s="292"/>
      <c r="BR31" s="292"/>
      <c r="BS31" s="292"/>
      <c r="BT31" s="292"/>
      <c r="BU31" s="292"/>
      <c r="BV31" s="292"/>
      <c r="BW31" s="292"/>
      <c r="BX31" s="292"/>
      <c r="BY31" s="292"/>
      <c r="BZ31" s="292"/>
      <c r="CA31" s="292"/>
      <c r="CB31" s="292"/>
      <c r="CC31" s="292"/>
      <c r="CD31" s="292"/>
      <c r="CE31" s="292"/>
      <c r="CF31" s="292"/>
      <c r="CG31" s="292"/>
      <c r="CH31" s="292"/>
      <c r="CI31" s="292"/>
      <c r="CJ31" s="292"/>
      <c r="CK31" s="292"/>
      <c r="CL31" s="292"/>
      <c r="CM31" s="292"/>
      <c r="CN31" s="292"/>
      <c r="CO31" s="292"/>
      <c r="CP31" s="292"/>
      <c r="CQ31" s="292"/>
      <c r="CR31" s="292"/>
      <c r="CS31" s="292"/>
      <c r="CT31" s="292"/>
      <c r="CU31" s="292"/>
      <c r="CV31" s="292"/>
      <c r="CW31" s="292"/>
      <c r="CX31" s="292"/>
      <c r="CY31" s="292"/>
      <c r="CZ31" s="292"/>
      <c r="DA31" s="292"/>
      <c r="DB31" s="292"/>
      <c r="DC31" s="292"/>
      <c r="DD31" s="292"/>
      <c r="DE31" s="292"/>
      <c r="DF31" s="292"/>
      <c r="DG31" s="292"/>
      <c r="DH31" s="292"/>
      <c r="DI31" s="292"/>
      <c r="DJ31" s="292"/>
      <c r="DK31" s="292"/>
      <c r="DL31" s="292"/>
      <c r="DM31" s="292"/>
      <c r="DN31" s="292"/>
      <c r="DO31" s="292"/>
    </row>
    <row r="32" spans="1:119" customFormat="1" ht="12.75" customHeight="1">
      <c r="A32" s="650" t="s">
        <v>436</v>
      </c>
      <c r="B32" s="650"/>
      <c r="C32" s="650"/>
      <c r="D32" s="650"/>
      <c r="E32" s="650"/>
      <c r="F32" s="650">
        <f t="shared" ref="F32:N32" si="44">+E34</f>
        <v>4013</v>
      </c>
      <c r="G32" s="650">
        <f t="shared" si="44"/>
        <v>4013</v>
      </c>
      <c r="H32" s="650">
        <f t="shared" si="44"/>
        <v>2669</v>
      </c>
      <c r="I32" s="650">
        <f t="shared" si="44"/>
        <v>2669</v>
      </c>
      <c r="J32" s="650">
        <f t="shared" si="44"/>
        <v>2669</v>
      </c>
      <c r="K32" s="650">
        <f t="shared" si="44"/>
        <v>2669</v>
      </c>
      <c r="L32" s="650">
        <f>+K34</f>
        <v>1485</v>
      </c>
      <c r="M32" s="650">
        <f>+L34</f>
        <v>1485</v>
      </c>
      <c r="N32" s="650">
        <f t="shared" si="44"/>
        <v>1235</v>
      </c>
      <c r="O32" s="650">
        <f>+N34</f>
        <v>1035</v>
      </c>
      <c r="P32" s="650">
        <f>+O34</f>
        <v>735</v>
      </c>
      <c r="Q32" s="650">
        <f>+P34</f>
        <v>435</v>
      </c>
      <c r="R32" s="650">
        <f>+Q34</f>
        <v>135</v>
      </c>
      <c r="S32" s="2564"/>
      <c r="T32" s="650"/>
      <c r="U32" s="650"/>
      <c r="V32" s="650">
        <f t="shared" ref="V32:AD32" si="45">+U34</f>
        <v>4013</v>
      </c>
      <c r="W32" s="649">
        <f t="shared" si="45"/>
        <v>4013</v>
      </c>
      <c r="X32" s="650">
        <f t="shared" si="45"/>
        <v>4013</v>
      </c>
      <c r="Y32" s="650">
        <f t="shared" si="45"/>
        <v>4013</v>
      </c>
      <c r="Z32" s="650">
        <f t="shared" si="45"/>
        <v>2669</v>
      </c>
      <c r="AA32" s="649">
        <f t="shared" si="45"/>
        <v>2669</v>
      </c>
      <c r="AB32" s="650">
        <f t="shared" si="45"/>
        <v>2669</v>
      </c>
      <c r="AC32" s="650">
        <f t="shared" si="45"/>
        <v>2669</v>
      </c>
      <c r="AD32" s="650">
        <f t="shared" si="45"/>
        <v>2669</v>
      </c>
      <c r="AE32" s="649">
        <f t="shared" ref="AE32:AM32" si="46">+AD34</f>
        <v>2669</v>
      </c>
      <c r="AF32" s="650">
        <f t="shared" si="46"/>
        <v>2669</v>
      </c>
      <c r="AG32" s="650">
        <f t="shared" si="46"/>
        <v>2669</v>
      </c>
      <c r="AH32" s="650">
        <f t="shared" si="46"/>
        <v>2669</v>
      </c>
      <c r="AI32" s="649">
        <f t="shared" si="46"/>
        <v>2669</v>
      </c>
      <c r="AJ32" s="2737">
        <f t="shared" si="46"/>
        <v>2669</v>
      </c>
      <c r="AK32" s="650">
        <f t="shared" si="46"/>
        <v>2669</v>
      </c>
      <c r="AL32" s="650">
        <f t="shared" si="46"/>
        <v>2669</v>
      </c>
      <c r="AM32" s="649">
        <f t="shared" si="46"/>
        <v>2669</v>
      </c>
      <c r="AN32" s="650">
        <f t="shared" ref="AN32:AU32" si="47">+AM34</f>
        <v>2669</v>
      </c>
      <c r="AO32" s="650">
        <f t="shared" si="47"/>
        <v>2669</v>
      </c>
      <c r="AP32" s="650">
        <f t="shared" si="47"/>
        <v>1485</v>
      </c>
      <c r="AQ32" s="650">
        <f t="shared" si="47"/>
        <v>1485</v>
      </c>
      <c r="AR32" s="650">
        <f t="shared" si="47"/>
        <v>1485</v>
      </c>
      <c r="AS32" s="650">
        <f t="shared" si="47"/>
        <v>1485</v>
      </c>
      <c r="AT32" s="650">
        <f t="shared" si="47"/>
        <v>1485</v>
      </c>
      <c r="AU32" s="650">
        <f t="shared" si="47"/>
        <v>1485</v>
      </c>
      <c r="AV32" s="650">
        <f>+AU34</f>
        <v>1485</v>
      </c>
      <c r="AW32" s="650">
        <f>+AV34</f>
        <v>1385</v>
      </c>
      <c r="AX32" s="650">
        <f>+AW34</f>
        <v>1335</v>
      </c>
      <c r="AY32" s="650">
        <f>+AX34</f>
        <v>1285</v>
      </c>
      <c r="AZ32" s="292"/>
      <c r="BA32" s="292"/>
      <c r="BB32" s="292"/>
      <c r="BC32" s="292"/>
      <c r="BD32" s="292"/>
      <c r="BE32" s="292"/>
      <c r="BF32" s="292"/>
      <c r="BG32" s="292"/>
      <c r="BH32" s="292"/>
      <c r="BI32" s="292"/>
      <c r="BJ32" s="292"/>
      <c r="BK32" s="292"/>
      <c r="BL32" s="292"/>
      <c r="BM32" s="292"/>
      <c r="BN32" s="292"/>
      <c r="BO32" s="292"/>
      <c r="BP32" s="292"/>
      <c r="BQ32" s="292"/>
      <c r="BR32" s="292"/>
      <c r="BS32" s="292"/>
      <c r="BT32" s="292"/>
      <c r="BU32" s="292"/>
      <c r="BV32" s="292"/>
      <c r="BW32" s="292"/>
      <c r="BX32" s="292"/>
      <c r="BY32" s="292"/>
      <c r="BZ32" s="292"/>
      <c r="CA32" s="292"/>
      <c r="CB32" s="292"/>
      <c r="CC32" s="292"/>
      <c r="CD32" s="292"/>
      <c r="CE32" s="292"/>
      <c r="CF32" s="292"/>
      <c r="CG32" s="292"/>
      <c r="CH32" s="292"/>
      <c r="CI32" s="292"/>
      <c r="CJ32" s="292"/>
      <c r="CK32" s="292"/>
      <c r="CL32" s="292"/>
      <c r="CM32" s="292"/>
      <c r="CN32" s="292"/>
      <c r="CO32" s="292"/>
      <c r="CP32" s="292"/>
      <c r="CQ32" s="292"/>
      <c r="CR32" s="292"/>
      <c r="CS32" s="292"/>
      <c r="CT32" s="292"/>
      <c r="CU32" s="292"/>
      <c r="CV32" s="292"/>
      <c r="CW32" s="292"/>
      <c r="CX32" s="292"/>
      <c r="CY32" s="292"/>
      <c r="CZ32" s="292"/>
      <c r="DA32" s="292"/>
      <c r="DB32" s="292"/>
      <c r="DC32" s="292"/>
      <c r="DD32" s="292"/>
      <c r="DE32" s="292"/>
      <c r="DF32" s="292"/>
      <c r="DG32" s="292"/>
      <c r="DH32" s="292"/>
      <c r="DI32" s="292"/>
      <c r="DJ32" s="292"/>
      <c r="DK32" s="292"/>
      <c r="DL32" s="292"/>
      <c r="DM32" s="292"/>
      <c r="DN32" s="292"/>
      <c r="DO32" s="292"/>
    </row>
    <row r="33" spans="1:119" customFormat="1" ht="12.75" customHeight="1">
      <c r="A33" s="2089" t="s">
        <v>437</v>
      </c>
      <c r="B33" s="2089"/>
      <c r="C33" s="2089"/>
      <c r="D33" s="2089"/>
      <c r="E33" s="2089"/>
      <c r="F33" s="2089">
        <f>+F34-F32</f>
        <v>0</v>
      </c>
      <c r="G33" s="2089">
        <f t="shared" ref="G33:P33" si="48">+G34-F34</f>
        <v>-1344</v>
      </c>
      <c r="H33" s="2089">
        <f t="shared" si="48"/>
        <v>0</v>
      </c>
      <c r="I33" s="2089">
        <f t="shared" si="48"/>
        <v>0</v>
      </c>
      <c r="J33" s="2089">
        <f t="shared" si="48"/>
        <v>0</v>
      </c>
      <c r="K33" s="2089">
        <f t="shared" si="48"/>
        <v>-1184</v>
      </c>
      <c r="L33" s="2089">
        <f t="shared" si="48"/>
        <v>0</v>
      </c>
      <c r="M33" s="2089">
        <f>+M34-L34</f>
        <v>-250</v>
      </c>
      <c r="N33" s="2089">
        <f t="shared" si="48"/>
        <v>-200</v>
      </c>
      <c r="O33" s="2089">
        <f t="shared" si="48"/>
        <v>-300</v>
      </c>
      <c r="P33" s="2089">
        <f t="shared" si="48"/>
        <v>-300</v>
      </c>
      <c r="Q33" s="2089">
        <f>+Q34-P34</f>
        <v>-300</v>
      </c>
      <c r="R33" s="2089">
        <f>+R34-Q34</f>
        <v>-300</v>
      </c>
      <c r="S33" s="2564"/>
      <c r="T33" s="2089"/>
      <c r="U33" s="2089"/>
      <c r="V33" s="2089">
        <v>0</v>
      </c>
      <c r="W33" s="2090">
        <v>0</v>
      </c>
      <c r="X33" s="2089">
        <f>+X34-X32</f>
        <v>0</v>
      </c>
      <c r="Y33" s="2089">
        <f>+Y34-Y32</f>
        <v>-1344</v>
      </c>
      <c r="Z33" s="2089">
        <f>+Z34-Z32</f>
        <v>0</v>
      </c>
      <c r="AA33" s="2090">
        <f>+AA34-AA32</f>
        <v>0</v>
      </c>
      <c r="AB33" s="2089">
        <v>0</v>
      </c>
      <c r="AC33" s="2089">
        <f t="shared" ref="AC33:AH33" si="49">+AC34-AC32</f>
        <v>0</v>
      </c>
      <c r="AD33" s="2089">
        <f t="shared" si="49"/>
        <v>0</v>
      </c>
      <c r="AE33" s="2090">
        <f t="shared" si="49"/>
        <v>0</v>
      </c>
      <c r="AF33" s="2089">
        <f t="shared" si="49"/>
        <v>0</v>
      </c>
      <c r="AG33" s="2089">
        <f t="shared" si="49"/>
        <v>0</v>
      </c>
      <c r="AH33" s="2089">
        <f t="shared" si="49"/>
        <v>0</v>
      </c>
      <c r="AI33" s="2090">
        <f t="shared" ref="AI33:AQ33" si="50">+AI34-AI32</f>
        <v>0</v>
      </c>
      <c r="AJ33" s="2738">
        <f t="shared" si="50"/>
        <v>0</v>
      </c>
      <c r="AK33" s="2089">
        <f t="shared" si="50"/>
        <v>0</v>
      </c>
      <c r="AL33" s="2089">
        <f t="shared" si="50"/>
        <v>0</v>
      </c>
      <c r="AM33" s="2090">
        <f t="shared" si="50"/>
        <v>0</v>
      </c>
      <c r="AN33" s="2089">
        <f t="shared" si="50"/>
        <v>0</v>
      </c>
      <c r="AO33" s="2089">
        <f t="shared" si="50"/>
        <v>-1184</v>
      </c>
      <c r="AP33" s="2089">
        <f t="shared" si="50"/>
        <v>0</v>
      </c>
      <c r="AQ33" s="2089">
        <f t="shared" si="50"/>
        <v>0</v>
      </c>
      <c r="AR33" s="2089">
        <f t="shared" ref="AR33:AY33" si="51">+AR34-AR32</f>
        <v>0</v>
      </c>
      <c r="AS33" s="2089">
        <f t="shared" si="51"/>
        <v>0</v>
      </c>
      <c r="AT33" s="2089">
        <f t="shared" si="51"/>
        <v>0</v>
      </c>
      <c r="AU33" s="2089">
        <f t="shared" si="51"/>
        <v>0</v>
      </c>
      <c r="AV33" s="2089">
        <f t="shared" si="51"/>
        <v>-100</v>
      </c>
      <c r="AW33" s="2089">
        <f t="shared" si="51"/>
        <v>-50</v>
      </c>
      <c r="AX33" s="2089">
        <f t="shared" si="51"/>
        <v>-50</v>
      </c>
      <c r="AY33" s="2089">
        <f t="shared" si="51"/>
        <v>-50</v>
      </c>
      <c r="AZ33" s="292"/>
      <c r="BA33" s="292"/>
      <c r="BB33" s="292"/>
      <c r="BC33" s="292"/>
      <c r="BD33" s="292"/>
      <c r="BE33" s="292"/>
      <c r="BF33" s="292"/>
      <c r="BG33" s="292"/>
      <c r="BH33" s="292"/>
      <c r="BI33" s="292"/>
      <c r="BJ33" s="292"/>
      <c r="BK33" s="292"/>
      <c r="BL33" s="292"/>
      <c r="BM33" s="292"/>
      <c r="BN33" s="292"/>
      <c r="BO33" s="292"/>
      <c r="BP33" s="292"/>
      <c r="BQ33" s="292"/>
      <c r="BR33" s="292"/>
      <c r="BS33" s="292"/>
      <c r="BT33" s="292"/>
      <c r="BU33" s="292"/>
      <c r="BV33" s="292"/>
      <c r="BW33" s="292"/>
      <c r="BX33" s="292"/>
      <c r="BY33" s="292"/>
      <c r="BZ33" s="292"/>
      <c r="CA33" s="292"/>
      <c r="CB33" s="292"/>
      <c r="CC33" s="292"/>
      <c r="CD33" s="292"/>
      <c r="CE33" s="292"/>
      <c r="CF33" s="292"/>
      <c r="CG33" s="292"/>
      <c r="CH33" s="292"/>
      <c r="CI33" s="292"/>
      <c r="CJ33" s="292"/>
      <c r="CK33" s="292"/>
      <c r="CL33" s="292"/>
      <c r="CM33" s="292"/>
      <c r="CN33" s="292"/>
      <c r="CO33" s="292"/>
      <c r="CP33" s="292"/>
      <c r="CQ33" s="292"/>
      <c r="CR33" s="292"/>
      <c r="CS33" s="292"/>
      <c r="CT33" s="292"/>
      <c r="CU33" s="292"/>
      <c r="CV33" s="292"/>
      <c r="CW33" s="292"/>
      <c r="CX33" s="292"/>
      <c r="CY33" s="292"/>
      <c r="CZ33" s="292"/>
      <c r="DA33" s="292"/>
      <c r="DB33" s="292"/>
      <c r="DC33" s="292"/>
      <c r="DD33" s="292"/>
      <c r="DE33" s="292"/>
      <c r="DF33" s="292"/>
      <c r="DG33" s="292"/>
      <c r="DH33" s="292"/>
      <c r="DI33" s="292"/>
      <c r="DJ33" s="292"/>
      <c r="DK33" s="292"/>
      <c r="DL33" s="292"/>
      <c r="DM33" s="292"/>
      <c r="DN33" s="292"/>
      <c r="DO33" s="292"/>
    </row>
    <row r="34" spans="1:119" customFormat="1" ht="12.75" customHeight="1">
      <c r="A34" s="650" t="s">
        <v>438</v>
      </c>
      <c r="B34" s="650"/>
      <c r="C34" s="650"/>
      <c r="D34" s="650"/>
      <c r="E34" s="2095">
        <v>4013</v>
      </c>
      <c r="F34" s="2095">
        <f>W34</f>
        <v>4013</v>
      </c>
      <c r="G34" s="2095">
        <f>+AA34</f>
        <v>2669</v>
      </c>
      <c r="H34" s="650">
        <f>+AE34</f>
        <v>2669</v>
      </c>
      <c r="I34" s="650">
        <f>+AI34</f>
        <v>2669</v>
      </c>
      <c r="J34" s="650">
        <f>+AM34</f>
        <v>2669</v>
      </c>
      <c r="K34" s="650">
        <f>+AQ34</f>
        <v>1485</v>
      </c>
      <c r="L34" s="650">
        <f>+AU34</f>
        <v>1485</v>
      </c>
      <c r="M34" s="650">
        <f>+AY34</f>
        <v>1235</v>
      </c>
      <c r="N34" s="2934">
        <f>+M34-200</f>
        <v>1035</v>
      </c>
      <c r="O34" s="2934">
        <f>+N34-300</f>
        <v>735</v>
      </c>
      <c r="P34" s="2934">
        <f>+O34-300</f>
        <v>435</v>
      </c>
      <c r="Q34" s="2934">
        <f>+P34-300</f>
        <v>135</v>
      </c>
      <c r="R34" s="2934">
        <f>+Q34-300</f>
        <v>-165</v>
      </c>
      <c r="S34" s="2565"/>
      <c r="T34" s="2095"/>
      <c r="U34" s="2095">
        <v>4013</v>
      </c>
      <c r="V34" s="2095">
        <v>4013</v>
      </c>
      <c r="W34" s="2096">
        <v>4013</v>
      </c>
      <c r="X34" s="2095">
        <v>4013</v>
      </c>
      <c r="Y34" s="2095">
        <v>2669</v>
      </c>
      <c r="Z34" s="2095">
        <v>2669</v>
      </c>
      <c r="AA34" s="2096">
        <v>2669</v>
      </c>
      <c r="AB34" s="2095">
        <v>2669</v>
      </c>
      <c r="AC34" s="2095">
        <v>2669</v>
      </c>
      <c r="AD34" s="2095">
        <v>2669</v>
      </c>
      <c r="AE34" s="2096">
        <v>2669</v>
      </c>
      <c r="AF34" s="2095">
        <v>2669</v>
      </c>
      <c r="AG34" s="2095">
        <v>2669</v>
      </c>
      <c r="AH34" s="2095">
        <v>2669</v>
      </c>
      <c r="AI34" s="2096">
        <v>2669</v>
      </c>
      <c r="AJ34" s="2935">
        <v>2669</v>
      </c>
      <c r="AK34" s="2934">
        <v>2669</v>
      </c>
      <c r="AL34" s="2934">
        <v>2669</v>
      </c>
      <c r="AM34" s="2936">
        <v>2669</v>
      </c>
      <c r="AN34" s="2934">
        <v>2669</v>
      </c>
      <c r="AO34" s="2934">
        <v>1485</v>
      </c>
      <c r="AP34" s="2934">
        <f t="shared" ref="AP34:AT34" si="52">+AO34</f>
        <v>1485</v>
      </c>
      <c r="AQ34" s="2934">
        <v>1485</v>
      </c>
      <c r="AR34" s="2934">
        <f t="shared" si="52"/>
        <v>1485</v>
      </c>
      <c r="AS34" s="2934">
        <f t="shared" si="52"/>
        <v>1485</v>
      </c>
      <c r="AT34" s="2934">
        <f t="shared" si="52"/>
        <v>1485</v>
      </c>
      <c r="AU34" s="2934">
        <v>1485</v>
      </c>
      <c r="AV34" s="2934">
        <f>+AU34-100</f>
        <v>1385</v>
      </c>
      <c r="AW34" s="2934">
        <f>+AV34-50</f>
        <v>1335</v>
      </c>
      <c r="AX34" s="2934">
        <f>+AW34-50</f>
        <v>1285</v>
      </c>
      <c r="AY34" s="2934">
        <f>+AX34-50</f>
        <v>1235</v>
      </c>
      <c r="AZ34" s="292"/>
      <c r="BA34" s="292"/>
      <c r="BB34" s="292"/>
      <c r="BC34" s="292"/>
      <c r="BD34" s="292"/>
      <c r="BE34" s="292"/>
      <c r="BF34" s="292"/>
      <c r="BG34" s="292"/>
      <c r="BH34" s="292"/>
      <c r="BI34" s="292"/>
      <c r="BJ34" s="292"/>
      <c r="BK34" s="292"/>
      <c r="BL34" s="292"/>
      <c r="BM34" s="292"/>
      <c r="BN34" s="292"/>
      <c r="BO34" s="292"/>
      <c r="BP34" s="292"/>
      <c r="BQ34" s="292"/>
      <c r="BR34" s="292"/>
      <c r="BS34" s="292"/>
      <c r="BT34" s="292"/>
      <c r="BU34" s="292"/>
      <c r="BV34" s="292"/>
      <c r="BW34" s="292"/>
      <c r="BX34" s="292"/>
      <c r="BY34" s="292"/>
      <c r="BZ34" s="292"/>
      <c r="CA34" s="292"/>
      <c r="CB34" s="292"/>
      <c r="CC34" s="292"/>
      <c r="CD34" s="292"/>
      <c r="CE34" s="292"/>
      <c r="CF34" s="292"/>
      <c r="CG34" s="292"/>
      <c r="CH34" s="292"/>
      <c r="CI34" s="292"/>
      <c r="CJ34" s="292"/>
      <c r="CK34" s="292"/>
      <c r="CL34" s="292"/>
      <c r="CM34" s="292"/>
      <c r="CN34" s="292"/>
      <c r="CO34" s="292"/>
      <c r="CP34" s="292"/>
      <c r="CQ34" s="292"/>
      <c r="CR34" s="292"/>
      <c r="CS34" s="292"/>
      <c r="CT34" s="292"/>
      <c r="CU34" s="292"/>
      <c r="CV34" s="292"/>
      <c r="CW34" s="292"/>
      <c r="CX34" s="292"/>
      <c r="CY34" s="292"/>
      <c r="CZ34" s="292"/>
      <c r="DA34" s="292"/>
      <c r="DB34" s="292"/>
      <c r="DC34" s="292"/>
      <c r="DD34" s="292"/>
      <c r="DE34" s="292"/>
      <c r="DF34" s="292"/>
      <c r="DG34" s="292"/>
      <c r="DH34" s="292"/>
      <c r="DI34" s="292"/>
      <c r="DJ34" s="292"/>
      <c r="DK34" s="292"/>
      <c r="DL34" s="292"/>
      <c r="DM34" s="292"/>
      <c r="DN34" s="292"/>
      <c r="DO34" s="292"/>
    </row>
    <row r="35" spans="1:119" customFormat="1" ht="12.75" customHeight="1">
      <c r="A35" s="399"/>
      <c r="B35" s="399"/>
      <c r="C35" s="399"/>
      <c r="D35" s="399"/>
      <c r="E35" s="399"/>
      <c r="F35" s="399"/>
      <c r="G35" s="399"/>
      <c r="H35" s="399"/>
      <c r="I35" s="399"/>
      <c r="J35" s="399"/>
      <c r="K35" s="399"/>
      <c r="L35" s="399"/>
      <c r="M35" s="2634"/>
      <c r="N35" s="399"/>
      <c r="O35" s="399"/>
      <c r="P35" s="399"/>
      <c r="Q35" s="2634"/>
      <c r="R35" s="2634"/>
      <c r="S35" s="2563"/>
      <c r="T35" s="399"/>
      <c r="U35" s="399"/>
      <c r="V35" s="399"/>
      <c r="W35" s="400"/>
      <c r="X35" s="399"/>
      <c r="Y35" s="399"/>
      <c r="Z35" s="399"/>
      <c r="AA35" s="400"/>
      <c r="AB35" s="399"/>
      <c r="AC35" s="399"/>
      <c r="AD35" s="399"/>
      <c r="AE35" s="400"/>
      <c r="AF35" s="399"/>
      <c r="AG35" s="399"/>
      <c r="AH35" s="399"/>
      <c r="AI35" s="400"/>
      <c r="AJ35" s="407"/>
      <c r="AK35" s="399"/>
      <c r="AL35" s="399"/>
      <c r="AM35" s="400"/>
      <c r="AN35" s="399"/>
      <c r="AO35" s="399"/>
      <c r="AP35" s="399"/>
      <c r="AQ35" s="399"/>
      <c r="AR35" s="399"/>
      <c r="AS35" s="399"/>
      <c r="AT35" s="399"/>
      <c r="AU35" s="399"/>
      <c r="AV35" s="2634"/>
      <c r="AW35" s="2634"/>
      <c r="AX35" s="2634"/>
      <c r="AY35" s="2634"/>
      <c r="AZ35" s="292"/>
      <c r="BA35" s="292"/>
      <c r="BB35" s="292"/>
      <c r="BC35" s="292"/>
      <c r="BD35" s="292"/>
      <c r="BE35" s="292"/>
      <c r="BF35" s="292"/>
      <c r="BG35" s="292"/>
      <c r="BH35" s="292"/>
      <c r="BI35" s="292"/>
      <c r="BJ35" s="292"/>
      <c r="BK35" s="292"/>
      <c r="BL35" s="292"/>
      <c r="BM35" s="292"/>
      <c r="BN35" s="292"/>
      <c r="BO35" s="292"/>
      <c r="BP35" s="292"/>
      <c r="BQ35" s="292"/>
      <c r="BR35" s="292"/>
      <c r="BS35" s="292"/>
      <c r="BT35" s="292"/>
      <c r="BU35" s="292"/>
      <c r="BV35" s="292"/>
      <c r="BW35" s="292"/>
      <c r="BX35" s="292"/>
      <c r="BY35" s="292"/>
      <c r="BZ35" s="292"/>
      <c r="CA35" s="292"/>
      <c r="CB35" s="292"/>
      <c r="CC35" s="292"/>
      <c r="CD35" s="292"/>
      <c r="CE35" s="292"/>
      <c r="CF35" s="292"/>
      <c r="CG35" s="292"/>
      <c r="CH35" s="292"/>
      <c r="CI35" s="292"/>
      <c r="CJ35" s="292"/>
      <c r="CK35" s="292"/>
      <c r="CL35" s="292"/>
      <c r="CM35" s="292"/>
      <c r="CN35" s="292"/>
      <c r="CO35" s="292"/>
      <c r="CP35" s="292"/>
      <c r="CQ35" s="292"/>
      <c r="CR35" s="292"/>
      <c r="CS35" s="292"/>
      <c r="CT35" s="292"/>
      <c r="CU35" s="292"/>
      <c r="CV35" s="292"/>
      <c r="CW35" s="292"/>
      <c r="CX35" s="292"/>
      <c r="CY35" s="292"/>
      <c r="CZ35" s="292"/>
      <c r="DA35" s="292"/>
      <c r="DB35" s="292"/>
      <c r="DC35" s="292"/>
      <c r="DD35" s="292"/>
      <c r="DE35" s="292"/>
      <c r="DF35" s="292"/>
      <c r="DG35" s="292"/>
      <c r="DH35" s="292"/>
      <c r="DI35" s="292"/>
      <c r="DJ35" s="292"/>
      <c r="DK35" s="292"/>
      <c r="DL35" s="292"/>
      <c r="DM35" s="292"/>
      <c r="DN35" s="292"/>
      <c r="DO35" s="292"/>
    </row>
    <row r="36" spans="1:119" customFormat="1" ht="12.75" customHeight="1">
      <c r="A36" s="2075" t="s">
        <v>422</v>
      </c>
      <c r="B36" s="2075"/>
      <c r="C36" s="2075"/>
      <c r="D36" s="2075"/>
      <c r="E36" s="2075"/>
      <c r="F36" s="2075"/>
      <c r="G36" s="2075"/>
      <c r="H36" s="2075"/>
      <c r="I36" s="2075"/>
      <c r="J36" s="2075"/>
      <c r="K36" s="2075"/>
      <c r="L36" s="2075"/>
      <c r="M36" s="2075"/>
      <c r="N36" s="2075"/>
      <c r="O36" s="2075"/>
      <c r="P36" s="2075"/>
      <c r="Q36" s="2075"/>
      <c r="R36" s="2075"/>
      <c r="S36" s="2563"/>
      <c r="T36" s="2075"/>
      <c r="U36" s="2075"/>
      <c r="V36" s="2075"/>
      <c r="W36" s="2094"/>
      <c r="X36" s="2075"/>
      <c r="Y36" s="2075"/>
      <c r="Z36" s="2075"/>
      <c r="AA36" s="2094"/>
      <c r="AB36" s="2075"/>
      <c r="AC36" s="2075"/>
      <c r="AD36" s="2075"/>
      <c r="AE36" s="2094"/>
      <c r="AF36" s="2075"/>
      <c r="AG36" s="2075"/>
      <c r="AH36" s="2075"/>
      <c r="AI36" s="2094"/>
      <c r="AJ36" s="2736"/>
      <c r="AK36" s="2075"/>
      <c r="AL36" s="2075"/>
      <c r="AM36" s="2094"/>
      <c r="AN36" s="2075"/>
      <c r="AO36" s="2075"/>
      <c r="AP36" s="2075"/>
      <c r="AQ36" s="2075"/>
      <c r="AR36" s="2075"/>
      <c r="AS36" s="2075"/>
      <c r="AT36" s="2075"/>
      <c r="AU36" s="2075"/>
      <c r="AV36" s="2075"/>
      <c r="AW36" s="2075"/>
      <c r="AX36" s="2075"/>
      <c r="AY36" s="2075"/>
      <c r="AZ36" s="292"/>
      <c r="BA36" s="292"/>
      <c r="BB36" s="292"/>
      <c r="BC36" s="292"/>
      <c r="BD36" s="292"/>
      <c r="BE36" s="292"/>
      <c r="BF36" s="292"/>
      <c r="BG36" s="292"/>
      <c r="BH36" s="292"/>
      <c r="BI36" s="292"/>
      <c r="BJ36" s="292"/>
      <c r="BK36" s="292"/>
      <c r="BL36" s="292"/>
      <c r="BM36" s="292"/>
      <c r="BN36" s="292"/>
      <c r="BO36" s="292"/>
      <c r="BP36" s="292"/>
      <c r="BQ36" s="292"/>
      <c r="BR36" s="292"/>
      <c r="BS36" s="292"/>
      <c r="BT36" s="292"/>
      <c r="BU36" s="292"/>
      <c r="BV36" s="292"/>
      <c r="BW36" s="292"/>
      <c r="BX36" s="292"/>
      <c r="BY36" s="292"/>
      <c r="BZ36" s="292"/>
      <c r="CA36" s="292"/>
      <c r="CB36" s="292"/>
      <c r="CC36" s="292"/>
      <c r="CD36" s="292"/>
      <c r="CE36" s="292"/>
      <c r="CF36" s="292"/>
      <c r="CG36" s="292"/>
      <c r="CH36" s="292"/>
      <c r="CI36" s="292"/>
      <c r="CJ36" s="292"/>
      <c r="CK36" s="292"/>
      <c r="CL36" s="292"/>
      <c r="CM36" s="292"/>
      <c r="CN36" s="292"/>
      <c r="CO36" s="292"/>
      <c r="CP36" s="292"/>
      <c r="CQ36" s="292"/>
      <c r="CR36" s="292"/>
      <c r="CS36" s="292"/>
      <c r="CT36" s="292"/>
      <c r="CU36" s="292"/>
      <c r="CV36" s="292"/>
      <c r="CW36" s="292"/>
      <c r="CX36" s="292"/>
      <c r="CY36" s="292"/>
      <c r="CZ36" s="292"/>
      <c r="DA36" s="292"/>
      <c r="DB36" s="292"/>
      <c r="DC36" s="292"/>
      <c r="DD36" s="292"/>
      <c r="DE36" s="292"/>
      <c r="DF36" s="292"/>
      <c r="DG36" s="292"/>
      <c r="DH36" s="292"/>
      <c r="DI36" s="292"/>
      <c r="DJ36" s="292"/>
      <c r="DK36" s="292"/>
      <c r="DL36" s="292"/>
      <c r="DM36" s="292"/>
      <c r="DN36" s="292"/>
      <c r="DO36" s="292"/>
    </row>
    <row r="37" spans="1:119" customFormat="1" ht="12.75" customHeight="1">
      <c r="A37" s="384" t="s">
        <v>436</v>
      </c>
      <c r="B37" s="384"/>
      <c r="C37" s="384"/>
      <c r="D37" s="384"/>
      <c r="E37" s="384"/>
      <c r="F37" s="650">
        <f t="shared" ref="F37:N37" si="53">+E39</f>
        <v>322</v>
      </c>
      <c r="G37" s="650">
        <f t="shared" si="53"/>
        <v>322</v>
      </c>
      <c r="H37" s="650">
        <f t="shared" si="53"/>
        <v>322</v>
      </c>
      <c r="I37" s="650">
        <f t="shared" si="53"/>
        <v>262</v>
      </c>
      <c r="J37" s="650">
        <f t="shared" si="53"/>
        <v>232</v>
      </c>
      <c r="K37" s="650">
        <f t="shared" si="53"/>
        <v>232</v>
      </c>
      <c r="L37" s="650">
        <f>+K39</f>
        <v>223</v>
      </c>
      <c r="M37" s="650">
        <f>+L39</f>
        <v>151</v>
      </c>
      <c r="N37" s="650">
        <f t="shared" si="53"/>
        <v>0</v>
      </c>
      <c r="O37" s="650">
        <f>+N39</f>
        <v>0</v>
      </c>
      <c r="P37" s="650">
        <f>+O39</f>
        <v>0</v>
      </c>
      <c r="Q37" s="650">
        <f>+P39</f>
        <v>0</v>
      </c>
      <c r="R37" s="650">
        <f>+Q39</f>
        <v>0</v>
      </c>
      <c r="S37" s="2564"/>
      <c r="T37" s="384"/>
      <c r="U37" s="384"/>
      <c r="V37" s="384">
        <f t="shared" ref="V37:AD37" si="54">+U39</f>
        <v>322</v>
      </c>
      <c r="W37" s="449">
        <f t="shared" si="54"/>
        <v>322</v>
      </c>
      <c r="X37" s="384">
        <f t="shared" si="54"/>
        <v>322</v>
      </c>
      <c r="Y37" s="384">
        <f t="shared" si="54"/>
        <v>322</v>
      </c>
      <c r="Z37" s="650">
        <f t="shared" si="54"/>
        <v>322</v>
      </c>
      <c r="AA37" s="649">
        <f t="shared" si="54"/>
        <v>322</v>
      </c>
      <c r="AB37" s="384">
        <f t="shared" si="54"/>
        <v>322</v>
      </c>
      <c r="AC37" s="384">
        <f t="shared" si="54"/>
        <v>322</v>
      </c>
      <c r="AD37" s="650">
        <f t="shared" si="54"/>
        <v>322</v>
      </c>
      <c r="AE37" s="649">
        <f t="shared" ref="AE37:AM37" si="55">+AD39</f>
        <v>262</v>
      </c>
      <c r="AF37" s="384">
        <f t="shared" si="55"/>
        <v>262</v>
      </c>
      <c r="AG37" s="384">
        <f t="shared" si="55"/>
        <v>262</v>
      </c>
      <c r="AH37" s="650">
        <f t="shared" si="55"/>
        <v>232</v>
      </c>
      <c r="AI37" s="649">
        <f t="shared" si="55"/>
        <v>232</v>
      </c>
      <c r="AJ37" s="2737">
        <f t="shared" si="55"/>
        <v>232</v>
      </c>
      <c r="AK37" s="650">
        <f t="shared" si="55"/>
        <v>232</v>
      </c>
      <c r="AL37" s="650">
        <f t="shared" si="55"/>
        <v>232</v>
      </c>
      <c r="AM37" s="649">
        <f t="shared" si="55"/>
        <v>232</v>
      </c>
      <c r="AN37" s="650">
        <f t="shared" ref="AN37:AU37" si="56">+AM39</f>
        <v>232</v>
      </c>
      <c r="AO37" s="650">
        <f t="shared" si="56"/>
        <v>232</v>
      </c>
      <c r="AP37" s="650">
        <f t="shared" si="56"/>
        <v>232</v>
      </c>
      <c r="AQ37" s="650">
        <f t="shared" si="56"/>
        <v>228</v>
      </c>
      <c r="AR37" s="650">
        <f t="shared" si="56"/>
        <v>223</v>
      </c>
      <c r="AS37" s="650">
        <f t="shared" si="56"/>
        <v>223</v>
      </c>
      <c r="AT37" s="650">
        <f t="shared" si="56"/>
        <v>223</v>
      </c>
      <c r="AU37" s="650">
        <f t="shared" si="56"/>
        <v>151</v>
      </c>
      <c r="AV37" s="650">
        <f>+AU39</f>
        <v>151</v>
      </c>
      <c r="AW37" s="650">
        <f>+AV39</f>
        <v>113.25</v>
      </c>
      <c r="AX37" s="650">
        <f>+AW39</f>
        <v>84.9375</v>
      </c>
      <c r="AY37" s="650">
        <f>+AX39</f>
        <v>63.703125</v>
      </c>
      <c r="AZ37" s="292"/>
      <c r="BA37" s="292"/>
      <c r="BB37" s="292"/>
      <c r="BC37" s="292"/>
      <c r="BD37" s="292"/>
      <c r="BE37" s="292"/>
      <c r="BF37" s="292"/>
      <c r="BG37" s="292"/>
      <c r="BH37" s="292"/>
      <c r="BI37" s="292"/>
      <c r="BJ37" s="292"/>
      <c r="BK37" s="292"/>
      <c r="BL37" s="292"/>
      <c r="BM37" s="292"/>
      <c r="BN37" s="292"/>
      <c r="BO37" s="292"/>
      <c r="BP37" s="292"/>
      <c r="BQ37" s="292"/>
      <c r="BR37" s="292"/>
      <c r="BS37" s="292"/>
      <c r="BT37" s="292"/>
      <c r="BU37" s="292"/>
      <c r="BV37" s="292"/>
      <c r="BW37" s="292"/>
      <c r="BX37" s="292"/>
      <c r="BY37" s="292"/>
      <c r="BZ37" s="292"/>
      <c r="CA37" s="292"/>
      <c r="CB37" s="292"/>
      <c r="CC37" s="292"/>
      <c r="CD37" s="292"/>
      <c r="CE37" s="292"/>
      <c r="CF37" s="292"/>
      <c r="CG37" s="292"/>
      <c r="CH37" s="292"/>
      <c r="CI37" s="292"/>
      <c r="CJ37" s="292"/>
      <c r="CK37" s="292"/>
      <c r="CL37" s="292"/>
      <c r="CM37" s="292"/>
      <c r="CN37" s="292"/>
      <c r="CO37" s="292"/>
      <c r="CP37" s="292"/>
      <c r="CQ37" s="292"/>
      <c r="CR37" s="292"/>
      <c r="CS37" s="292"/>
      <c r="CT37" s="292"/>
      <c r="CU37" s="292"/>
      <c r="CV37" s="292"/>
      <c r="CW37" s="292"/>
      <c r="CX37" s="292"/>
      <c r="CY37" s="292"/>
      <c r="CZ37" s="292"/>
      <c r="DA37" s="292"/>
      <c r="DB37" s="292"/>
      <c r="DC37" s="292"/>
      <c r="DD37" s="292"/>
      <c r="DE37" s="292"/>
      <c r="DF37" s="292"/>
      <c r="DG37" s="292"/>
      <c r="DH37" s="292"/>
      <c r="DI37" s="292"/>
      <c r="DJ37" s="292"/>
      <c r="DK37" s="292"/>
      <c r="DL37" s="292"/>
      <c r="DM37" s="292"/>
      <c r="DN37" s="292"/>
      <c r="DO37" s="292"/>
    </row>
    <row r="38" spans="1:119" customFormat="1" ht="12.75" customHeight="1">
      <c r="A38" s="2089" t="s">
        <v>437</v>
      </c>
      <c r="B38" s="2089"/>
      <c r="C38" s="2089"/>
      <c r="D38" s="2089"/>
      <c r="E38" s="2089"/>
      <c r="F38" s="2089">
        <f>+F39-F37</f>
        <v>0</v>
      </c>
      <c r="G38" s="2089">
        <f t="shared" ref="G38:N38" si="57">+G39-F39</f>
        <v>0</v>
      </c>
      <c r="H38" s="2089">
        <f t="shared" si="57"/>
        <v>-60</v>
      </c>
      <c r="I38" s="2089">
        <f t="shared" si="57"/>
        <v>-30</v>
      </c>
      <c r="J38" s="2089">
        <f t="shared" si="57"/>
        <v>0</v>
      </c>
      <c r="K38" s="2089">
        <f t="shared" si="57"/>
        <v>-9</v>
      </c>
      <c r="L38" s="2089">
        <f>+L39-K39</f>
        <v>-72</v>
      </c>
      <c r="M38" s="2089">
        <f>+M39-L39</f>
        <v>-151</v>
      </c>
      <c r="N38" s="2089">
        <f t="shared" si="57"/>
        <v>0</v>
      </c>
      <c r="O38" s="2089">
        <f>+O39-N39</f>
        <v>0</v>
      </c>
      <c r="P38" s="2089">
        <f>+P39-O39</f>
        <v>0</v>
      </c>
      <c r="Q38" s="2089">
        <f>+Q39-P39</f>
        <v>0</v>
      </c>
      <c r="R38" s="2089">
        <f>+R39-Q39</f>
        <v>0</v>
      </c>
      <c r="S38" s="2564"/>
      <c r="T38" s="2089"/>
      <c r="U38" s="2089"/>
      <c r="V38" s="2089">
        <v>0</v>
      </c>
      <c r="W38" s="2090">
        <v>0</v>
      </c>
      <c r="X38" s="2089">
        <f>+X39-X37</f>
        <v>0</v>
      </c>
      <c r="Y38" s="2089">
        <f>+Y39-Y37</f>
        <v>0</v>
      </c>
      <c r="Z38" s="2089">
        <f>+Z39-Z37</f>
        <v>0</v>
      </c>
      <c r="AA38" s="2090">
        <f>+AA39-AA37</f>
        <v>0</v>
      </c>
      <c r="AB38" s="2089">
        <v>0</v>
      </c>
      <c r="AC38" s="2089">
        <f t="shared" ref="AC38:AH38" si="58">+AC39-AC37</f>
        <v>0</v>
      </c>
      <c r="AD38" s="2089">
        <f t="shared" si="58"/>
        <v>-60</v>
      </c>
      <c r="AE38" s="2090">
        <f t="shared" si="58"/>
        <v>0</v>
      </c>
      <c r="AF38" s="2089">
        <f t="shared" si="58"/>
        <v>0</v>
      </c>
      <c r="AG38" s="2089">
        <f t="shared" si="58"/>
        <v>-30</v>
      </c>
      <c r="AH38" s="2089">
        <f t="shared" si="58"/>
        <v>0</v>
      </c>
      <c r="AI38" s="2090">
        <f t="shared" ref="AI38:AQ38" si="59">+AI39-AI37</f>
        <v>0</v>
      </c>
      <c r="AJ38" s="2738">
        <f t="shared" si="59"/>
        <v>0</v>
      </c>
      <c r="AK38" s="2089">
        <f t="shared" si="59"/>
        <v>0</v>
      </c>
      <c r="AL38" s="2089">
        <f t="shared" si="59"/>
        <v>0</v>
      </c>
      <c r="AM38" s="2090">
        <f t="shared" si="59"/>
        <v>0</v>
      </c>
      <c r="AN38" s="2089">
        <f t="shared" si="59"/>
        <v>0</v>
      </c>
      <c r="AO38" s="2089">
        <f t="shared" si="59"/>
        <v>0</v>
      </c>
      <c r="AP38" s="2089">
        <f t="shared" si="59"/>
        <v>-4</v>
      </c>
      <c r="AQ38" s="2089">
        <f t="shared" si="59"/>
        <v>-5</v>
      </c>
      <c r="AR38" s="2089">
        <f t="shared" ref="AR38:AY38" si="60">+AR39-AR37</f>
        <v>0</v>
      </c>
      <c r="AS38" s="2089">
        <f t="shared" si="60"/>
        <v>0</v>
      </c>
      <c r="AT38" s="2089">
        <f t="shared" si="60"/>
        <v>-72</v>
      </c>
      <c r="AU38" s="2089">
        <f t="shared" si="60"/>
        <v>0</v>
      </c>
      <c r="AV38" s="2089">
        <f t="shared" si="60"/>
        <v>-37.75</v>
      </c>
      <c r="AW38" s="2089">
        <f t="shared" si="60"/>
        <v>-28.3125</v>
      </c>
      <c r="AX38" s="2089">
        <f t="shared" si="60"/>
        <v>-21.234375</v>
      </c>
      <c r="AY38" s="2089">
        <f t="shared" si="60"/>
        <v>-63.703125</v>
      </c>
      <c r="AZ38" s="292"/>
      <c r="BA38" s="292"/>
      <c r="BB38" s="292"/>
      <c r="BC38" s="292"/>
      <c r="BD38" s="292"/>
      <c r="BE38" s="292"/>
      <c r="BF38" s="292"/>
      <c r="BG38" s="292"/>
      <c r="BH38" s="292"/>
      <c r="BI38" s="292"/>
      <c r="BJ38" s="292"/>
      <c r="BK38" s="292"/>
      <c r="BL38" s="292"/>
      <c r="BM38" s="292"/>
      <c r="BN38" s="292"/>
      <c r="BO38" s="292"/>
      <c r="BP38" s="292"/>
      <c r="BQ38" s="292"/>
      <c r="BR38" s="292"/>
      <c r="BS38" s="292"/>
      <c r="BT38" s="292"/>
      <c r="BU38" s="292"/>
      <c r="BV38" s="292"/>
      <c r="BW38" s="292"/>
      <c r="BX38" s="292"/>
      <c r="BY38" s="292"/>
      <c r="BZ38" s="292"/>
      <c r="CA38" s="292"/>
      <c r="CB38" s="292"/>
      <c r="CC38" s="292"/>
      <c r="CD38" s="292"/>
      <c r="CE38" s="292"/>
      <c r="CF38" s="292"/>
      <c r="CG38" s="292"/>
      <c r="CH38" s="292"/>
      <c r="CI38" s="292"/>
      <c r="CJ38" s="292"/>
      <c r="CK38" s="292"/>
      <c r="CL38" s="292"/>
      <c r="CM38" s="292"/>
      <c r="CN38" s="292"/>
      <c r="CO38" s="292"/>
      <c r="CP38" s="292"/>
      <c r="CQ38" s="292"/>
      <c r="CR38" s="292"/>
      <c r="CS38" s="292"/>
      <c r="CT38" s="292"/>
      <c r="CU38" s="292"/>
      <c r="CV38" s="292"/>
      <c r="CW38" s="292"/>
      <c r="CX38" s="292"/>
      <c r="CY38" s="292"/>
      <c r="CZ38" s="292"/>
      <c r="DA38" s="292"/>
      <c r="DB38" s="292"/>
      <c r="DC38" s="292"/>
      <c r="DD38" s="292"/>
      <c r="DE38" s="292"/>
      <c r="DF38" s="292"/>
      <c r="DG38" s="292"/>
      <c r="DH38" s="292"/>
      <c r="DI38" s="292"/>
      <c r="DJ38" s="292"/>
      <c r="DK38" s="292"/>
      <c r="DL38" s="292"/>
      <c r="DM38" s="292"/>
      <c r="DN38" s="292"/>
      <c r="DO38" s="292"/>
    </row>
    <row r="39" spans="1:119" customFormat="1" ht="12.75" customHeight="1">
      <c r="A39" s="650" t="s">
        <v>438</v>
      </c>
      <c r="B39" s="650"/>
      <c r="C39" s="650"/>
      <c r="D39" s="650"/>
      <c r="E39" s="2095">
        <v>322</v>
      </c>
      <c r="F39" s="2095">
        <f>W39</f>
        <v>322</v>
      </c>
      <c r="G39" s="2095">
        <f>+AA39</f>
        <v>322</v>
      </c>
      <c r="H39" s="650">
        <f>+AE39</f>
        <v>262</v>
      </c>
      <c r="I39" s="650">
        <f>+AI39</f>
        <v>232</v>
      </c>
      <c r="J39" s="650">
        <f>+AM39</f>
        <v>232</v>
      </c>
      <c r="K39" s="650">
        <f>+AQ39</f>
        <v>223</v>
      </c>
      <c r="L39" s="650">
        <f>+AU39</f>
        <v>151</v>
      </c>
      <c r="M39" s="650">
        <f>+AY39</f>
        <v>0</v>
      </c>
      <c r="N39" s="650">
        <f>M39</f>
        <v>0</v>
      </c>
      <c r="O39" s="650">
        <f>N39</f>
        <v>0</v>
      </c>
      <c r="P39" s="650">
        <f>O39</f>
        <v>0</v>
      </c>
      <c r="Q39" s="650">
        <f>P39</f>
        <v>0</v>
      </c>
      <c r="R39" s="650">
        <f>Q39</f>
        <v>0</v>
      </c>
      <c r="S39" s="2565"/>
      <c r="T39" s="2095"/>
      <c r="U39" s="2095">
        <v>322</v>
      </c>
      <c r="V39" s="2095">
        <v>322</v>
      </c>
      <c r="W39" s="2096">
        <v>322</v>
      </c>
      <c r="X39" s="2095">
        <v>322</v>
      </c>
      <c r="Y39" s="2095">
        <v>322</v>
      </c>
      <c r="Z39" s="2095">
        <v>322</v>
      </c>
      <c r="AA39" s="2096">
        <v>322</v>
      </c>
      <c r="AB39" s="2095">
        <v>322</v>
      </c>
      <c r="AC39" s="2095">
        <v>322</v>
      </c>
      <c r="AD39" s="2095">
        <v>262</v>
      </c>
      <c r="AE39" s="2096">
        <v>262</v>
      </c>
      <c r="AF39" s="2095">
        <v>262</v>
      </c>
      <c r="AG39" s="2095">
        <v>232</v>
      </c>
      <c r="AH39" s="2095">
        <v>232</v>
      </c>
      <c r="AI39" s="2096">
        <v>232</v>
      </c>
      <c r="AJ39" s="2935">
        <v>232</v>
      </c>
      <c r="AK39" s="2934">
        <f>+AJ39</f>
        <v>232</v>
      </c>
      <c r="AL39" s="2934">
        <f>+AK39</f>
        <v>232</v>
      </c>
      <c r="AM39" s="2936">
        <f>+AL39</f>
        <v>232</v>
      </c>
      <c r="AN39" s="2934">
        <f>+AM39</f>
        <v>232</v>
      </c>
      <c r="AO39" s="2934">
        <f>+AN39</f>
        <v>232</v>
      </c>
      <c r="AP39" s="2934">
        <v>228</v>
      </c>
      <c r="AQ39" s="2934">
        <v>223</v>
      </c>
      <c r="AR39" s="2934">
        <f>+AQ39</f>
        <v>223</v>
      </c>
      <c r="AS39" s="2934">
        <f>+AR39</f>
        <v>223</v>
      </c>
      <c r="AT39" s="2934">
        <v>151</v>
      </c>
      <c r="AU39" s="2934">
        <v>151</v>
      </c>
      <c r="AV39" s="2934">
        <f>+AU39*75%</f>
        <v>113.25</v>
      </c>
      <c r="AW39" s="2934">
        <f>+AV39*75%</f>
        <v>84.9375</v>
      </c>
      <c r="AX39" s="2934">
        <f>+AW39*75%</f>
        <v>63.703125</v>
      </c>
      <c r="AY39" s="2934">
        <f>+AX39*0</f>
        <v>0</v>
      </c>
      <c r="AZ39" s="292"/>
      <c r="BA39" s="292"/>
      <c r="BB39" s="292"/>
      <c r="BC39" s="292"/>
      <c r="BD39" s="292"/>
      <c r="BE39" s="292"/>
      <c r="BF39" s="292"/>
      <c r="BG39" s="292"/>
      <c r="BH39" s="292"/>
      <c r="BI39" s="292"/>
      <c r="BJ39" s="292"/>
      <c r="BK39" s="292"/>
      <c r="BL39" s="292"/>
      <c r="BM39" s="292"/>
      <c r="BN39" s="292"/>
      <c r="BO39" s="292"/>
      <c r="BP39" s="292"/>
      <c r="BQ39" s="292"/>
      <c r="BR39" s="292"/>
      <c r="BS39" s="292"/>
      <c r="BT39" s="292"/>
      <c r="BU39" s="292"/>
      <c r="BV39" s="292"/>
      <c r="BW39" s="292"/>
      <c r="BX39" s="292"/>
      <c r="BY39" s="292"/>
      <c r="BZ39" s="292"/>
      <c r="CA39" s="292"/>
      <c r="CB39" s="292"/>
      <c r="CC39" s="292"/>
      <c r="CD39" s="292"/>
      <c r="CE39" s="292"/>
      <c r="CF39" s="292"/>
      <c r="CG39" s="292"/>
      <c r="CH39" s="292"/>
      <c r="CI39" s="292"/>
      <c r="CJ39" s="292"/>
      <c r="CK39" s="292"/>
      <c r="CL39" s="292"/>
      <c r="CM39" s="292"/>
      <c r="CN39" s="292"/>
      <c r="CO39" s="292"/>
      <c r="CP39" s="292"/>
      <c r="CQ39" s="292"/>
      <c r="CR39" s="292"/>
      <c r="CS39" s="292"/>
      <c r="CT39" s="292"/>
      <c r="CU39" s="292"/>
      <c r="CV39" s="292"/>
      <c r="CW39" s="292"/>
      <c r="CX39" s="292"/>
      <c r="CY39" s="292"/>
      <c r="CZ39" s="292"/>
      <c r="DA39" s="292"/>
      <c r="DB39" s="292"/>
      <c r="DC39" s="292"/>
      <c r="DD39" s="292"/>
      <c r="DE39" s="292"/>
      <c r="DF39" s="292"/>
      <c r="DG39" s="292"/>
      <c r="DH39" s="292"/>
      <c r="DI39" s="292"/>
      <c r="DJ39" s="292"/>
      <c r="DK39" s="292"/>
      <c r="DL39" s="292"/>
      <c r="DM39" s="292"/>
      <c r="DN39" s="292"/>
      <c r="DO39" s="292"/>
    </row>
    <row r="40" spans="1:119" customFormat="1" ht="12.75" customHeight="1">
      <c r="A40" s="399"/>
      <c r="B40" s="399"/>
      <c r="C40" s="399"/>
      <c r="D40" s="399"/>
      <c r="E40" s="399"/>
      <c r="F40" s="399"/>
      <c r="G40" s="399"/>
      <c r="H40" s="399"/>
      <c r="I40" s="399"/>
      <c r="J40" s="399"/>
      <c r="K40" s="399"/>
      <c r="L40" s="399"/>
      <c r="M40" s="2634"/>
      <c r="N40" s="399"/>
      <c r="O40" s="399"/>
      <c r="P40" s="399"/>
      <c r="Q40" s="2634"/>
      <c r="R40" s="2634"/>
      <c r="S40" s="2563"/>
      <c r="T40" s="399"/>
      <c r="U40" s="399"/>
      <c r="V40" s="399"/>
      <c r="W40" s="400"/>
      <c r="X40" s="399"/>
      <c r="Y40" s="399"/>
      <c r="Z40" s="399"/>
      <c r="AA40" s="400"/>
      <c r="AB40" s="399"/>
      <c r="AC40" s="399"/>
      <c r="AD40" s="399"/>
      <c r="AE40" s="400"/>
      <c r="AF40" s="399"/>
      <c r="AG40" s="399"/>
      <c r="AH40" s="399"/>
      <c r="AI40" s="400"/>
      <c r="AJ40" s="407"/>
      <c r="AK40" s="399"/>
      <c r="AL40" s="399"/>
      <c r="AM40" s="400"/>
      <c r="AN40" s="399"/>
      <c r="AO40" s="399"/>
      <c r="AP40" s="399"/>
      <c r="AQ40" s="399"/>
      <c r="AR40" s="399"/>
      <c r="AS40" s="399"/>
      <c r="AT40" s="399"/>
      <c r="AU40" s="399"/>
      <c r="AV40" s="2634"/>
      <c r="AW40" s="2634"/>
      <c r="AX40" s="2634"/>
      <c r="AY40" s="2634"/>
      <c r="AZ40" s="292"/>
      <c r="BA40" s="292"/>
      <c r="BB40" s="292"/>
      <c r="BC40" s="292"/>
      <c r="BD40" s="292"/>
      <c r="BE40" s="292"/>
      <c r="BF40" s="292"/>
      <c r="BG40" s="292"/>
      <c r="BH40" s="292"/>
      <c r="BI40" s="292"/>
      <c r="BJ40" s="292"/>
      <c r="BK40" s="292"/>
      <c r="BL40" s="292"/>
      <c r="BM40" s="292"/>
      <c r="BN40" s="292"/>
      <c r="BO40" s="292"/>
      <c r="BP40" s="292"/>
      <c r="BQ40" s="292"/>
      <c r="BR40" s="292"/>
      <c r="BS40" s="292"/>
      <c r="BT40" s="292"/>
      <c r="BU40" s="292"/>
      <c r="BV40" s="292"/>
      <c r="BW40" s="292"/>
      <c r="BX40" s="292"/>
      <c r="BY40" s="292"/>
      <c r="BZ40" s="292"/>
      <c r="CA40" s="292"/>
      <c r="CB40" s="292"/>
      <c r="CC40" s="292"/>
      <c r="CD40" s="292"/>
      <c r="CE40" s="292"/>
      <c r="CF40" s="292"/>
      <c r="CG40" s="292"/>
      <c r="CH40" s="292"/>
      <c r="CI40" s="292"/>
      <c r="CJ40" s="292"/>
      <c r="CK40" s="292"/>
      <c r="CL40" s="292"/>
      <c r="CM40" s="292"/>
      <c r="CN40" s="292"/>
      <c r="CO40" s="292"/>
      <c r="CP40" s="292"/>
      <c r="CQ40" s="292"/>
      <c r="CR40" s="292"/>
      <c r="CS40" s="292"/>
      <c r="CT40" s="292"/>
      <c r="CU40" s="292"/>
      <c r="CV40" s="292"/>
      <c r="CW40" s="292"/>
      <c r="CX40" s="292"/>
      <c r="CY40" s="292"/>
      <c r="CZ40" s="292"/>
      <c r="DA40" s="292"/>
      <c r="DB40" s="292"/>
      <c r="DC40" s="292"/>
      <c r="DD40" s="292"/>
      <c r="DE40" s="292"/>
      <c r="DF40" s="292"/>
      <c r="DG40" s="292"/>
      <c r="DH40" s="292"/>
      <c r="DI40" s="292"/>
      <c r="DJ40" s="292"/>
      <c r="DK40" s="292"/>
      <c r="DL40" s="292"/>
      <c r="DM40" s="292"/>
      <c r="DN40" s="292"/>
      <c r="DO40" s="292"/>
    </row>
    <row r="41" spans="1:119" customFormat="1" ht="12.75" customHeight="1">
      <c r="A41" s="2075" t="s">
        <v>423</v>
      </c>
      <c r="B41" s="2075"/>
      <c r="C41" s="2075"/>
      <c r="D41" s="2075"/>
      <c r="E41" s="2075"/>
      <c r="F41" s="2075"/>
      <c r="G41" s="2075"/>
      <c r="H41" s="2075"/>
      <c r="I41" s="2075"/>
      <c r="J41" s="2075"/>
      <c r="K41" s="2075"/>
      <c r="L41" s="2075"/>
      <c r="M41" s="2075"/>
      <c r="N41" s="2075"/>
      <c r="O41" s="2075"/>
      <c r="P41" s="2075"/>
      <c r="Q41" s="2075"/>
      <c r="R41" s="2075"/>
      <c r="S41" s="2563"/>
      <c r="T41" s="2075"/>
      <c r="U41" s="2075"/>
      <c r="V41" s="2075"/>
      <c r="W41" s="2094"/>
      <c r="X41" s="2075"/>
      <c r="Y41" s="2075"/>
      <c r="Z41" s="2075"/>
      <c r="AA41" s="2094"/>
      <c r="AB41" s="2075"/>
      <c r="AC41" s="2075"/>
      <c r="AD41" s="2075"/>
      <c r="AE41" s="2094"/>
      <c r="AF41" s="2075"/>
      <c r="AG41" s="2075"/>
      <c r="AH41" s="2075"/>
      <c r="AI41" s="2094"/>
      <c r="AJ41" s="2736"/>
      <c r="AK41" s="2075"/>
      <c r="AL41" s="2075"/>
      <c r="AM41" s="2094"/>
      <c r="AN41" s="2075"/>
      <c r="AO41" s="2075"/>
      <c r="AP41" s="2075"/>
      <c r="AQ41" s="2075"/>
      <c r="AR41" s="2075"/>
      <c r="AS41" s="2075"/>
      <c r="AT41" s="2075"/>
      <c r="AU41" s="2075"/>
      <c r="AV41" s="2075"/>
      <c r="AW41" s="2075"/>
      <c r="AX41" s="2075"/>
      <c r="AY41" s="2075"/>
      <c r="AZ41" s="292"/>
      <c r="BA41" s="292"/>
      <c r="BB41" s="292"/>
      <c r="BC41" s="292"/>
      <c r="BD41" s="292"/>
      <c r="BE41" s="292"/>
      <c r="BF41" s="292"/>
      <c r="BG41" s="292"/>
      <c r="BH41" s="292"/>
      <c r="BI41" s="292"/>
      <c r="BJ41" s="292"/>
      <c r="BK41" s="292"/>
      <c r="BL41" s="292"/>
      <c r="BM41" s="292"/>
      <c r="BN41" s="292"/>
      <c r="BO41" s="292"/>
      <c r="BP41" s="292"/>
      <c r="BQ41" s="292"/>
      <c r="BR41" s="292"/>
      <c r="BS41" s="292"/>
      <c r="BT41" s="292"/>
      <c r="BU41" s="292"/>
      <c r="BV41" s="292"/>
      <c r="BW41" s="292"/>
      <c r="BX41" s="292"/>
      <c r="BY41" s="292"/>
      <c r="BZ41" s="292"/>
      <c r="CA41" s="292"/>
      <c r="CB41" s="292"/>
      <c r="CC41" s="292"/>
      <c r="CD41" s="292"/>
      <c r="CE41" s="292"/>
      <c r="CF41" s="292"/>
      <c r="CG41" s="292"/>
      <c r="CH41" s="292"/>
      <c r="CI41" s="292"/>
      <c r="CJ41" s="292"/>
      <c r="CK41" s="292"/>
      <c r="CL41" s="292"/>
      <c r="CM41" s="292"/>
      <c r="CN41" s="292"/>
      <c r="CO41" s="292"/>
      <c r="CP41" s="292"/>
      <c r="CQ41" s="292"/>
      <c r="CR41" s="292"/>
      <c r="CS41" s="292"/>
      <c r="CT41" s="292"/>
      <c r="CU41" s="292"/>
      <c r="CV41" s="292"/>
      <c r="CW41" s="292"/>
      <c r="CX41" s="292"/>
      <c r="CY41" s="292"/>
      <c r="CZ41" s="292"/>
      <c r="DA41" s="292"/>
      <c r="DB41" s="292"/>
      <c r="DC41" s="292"/>
      <c r="DD41" s="292"/>
      <c r="DE41" s="292"/>
      <c r="DF41" s="292"/>
      <c r="DG41" s="292"/>
      <c r="DH41" s="292"/>
      <c r="DI41" s="292"/>
      <c r="DJ41" s="292"/>
      <c r="DK41" s="292"/>
      <c r="DL41" s="292"/>
      <c r="DM41" s="292"/>
      <c r="DN41" s="292"/>
      <c r="DO41" s="292"/>
    </row>
    <row r="42" spans="1:119" customFormat="1" ht="12.75" customHeight="1">
      <c r="A42" s="650" t="s">
        <v>436</v>
      </c>
      <c r="B42" s="650"/>
      <c r="C42" s="650"/>
      <c r="D42" s="650"/>
      <c r="E42" s="650"/>
      <c r="F42" s="650">
        <f t="shared" ref="F42:N42" si="61">+E44</f>
        <v>200</v>
      </c>
      <c r="G42" s="650">
        <f t="shared" si="61"/>
        <v>200</v>
      </c>
      <c r="H42" s="650">
        <f t="shared" si="61"/>
        <v>200</v>
      </c>
      <c r="I42" s="650">
        <f t="shared" si="61"/>
        <v>150</v>
      </c>
      <c r="J42" s="650">
        <f t="shared" si="61"/>
        <v>150</v>
      </c>
      <c r="K42" s="650">
        <f t="shared" si="61"/>
        <v>150</v>
      </c>
      <c r="L42" s="650">
        <f>+K44</f>
        <v>150</v>
      </c>
      <c r="M42" s="650">
        <f>+L44</f>
        <v>150</v>
      </c>
      <c r="N42" s="650">
        <f t="shared" si="61"/>
        <v>0</v>
      </c>
      <c r="O42" s="650">
        <f>+N44</f>
        <v>0</v>
      </c>
      <c r="P42" s="650">
        <f>+O44</f>
        <v>0</v>
      </c>
      <c r="Q42" s="650">
        <f>+P44</f>
        <v>0</v>
      </c>
      <c r="R42" s="650">
        <f>+Q44</f>
        <v>0</v>
      </c>
      <c r="S42" s="2564"/>
      <c r="T42" s="650"/>
      <c r="U42" s="650"/>
      <c r="V42" s="650">
        <f t="shared" ref="V42:AD42" si="62">+U44</f>
        <v>200</v>
      </c>
      <c r="W42" s="649">
        <f t="shared" si="62"/>
        <v>200</v>
      </c>
      <c r="X42" s="650">
        <f t="shared" si="62"/>
        <v>200</v>
      </c>
      <c r="Y42" s="650">
        <f t="shared" si="62"/>
        <v>200</v>
      </c>
      <c r="Z42" s="650">
        <f t="shared" si="62"/>
        <v>200</v>
      </c>
      <c r="AA42" s="649">
        <f t="shared" si="62"/>
        <v>200</v>
      </c>
      <c r="AB42" s="650">
        <f t="shared" si="62"/>
        <v>200</v>
      </c>
      <c r="AC42" s="650">
        <f t="shared" si="62"/>
        <v>200</v>
      </c>
      <c r="AD42" s="650">
        <f t="shared" si="62"/>
        <v>200</v>
      </c>
      <c r="AE42" s="649">
        <f t="shared" ref="AE42:AM42" si="63">+AD44</f>
        <v>150</v>
      </c>
      <c r="AF42" s="650">
        <f t="shared" si="63"/>
        <v>150</v>
      </c>
      <c r="AG42" s="650">
        <f t="shared" si="63"/>
        <v>150</v>
      </c>
      <c r="AH42" s="650">
        <f t="shared" si="63"/>
        <v>150</v>
      </c>
      <c r="AI42" s="649">
        <f t="shared" si="63"/>
        <v>150</v>
      </c>
      <c r="AJ42" s="2737">
        <f t="shared" si="63"/>
        <v>150</v>
      </c>
      <c r="AK42" s="650">
        <f t="shared" si="63"/>
        <v>150</v>
      </c>
      <c r="AL42" s="650">
        <f t="shared" si="63"/>
        <v>150</v>
      </c>
      <c r="AM42" s="649">
        <f t="shared" si="63"/>
        <v>150</v>
      </c>
      <c r="AN42" s="650">
        <f t="shared" ref="AN42:AU42" si="64">+AM44</f>
        <v>150</v>
      </c>
      <c r="AO42" s="650">
        <f t="shared" si="64"/>
        <v>150</v>
      </c>
      <c r="AP42" s="650">
        <f t="shared" si="64"/>
        <v>150</v>
      </c>
      <c r="AQ42" s="650">
        <f t="shared" si="64"/>
        <v>150</v>
      </c>
      <c r="AR42" s="650">
        <f t="shared" si="64"/>
        <v>150</v>
      </c>
      <c r="AS42" s="650">
        <f t="shared" si="64"/>
        <v>150</v>
      </c>
      <c r="AT42" s="650">
        <f t="shared" si="64"/>
        <v>150</v>
      </c>
      <c r="AU42" s="650">
        <f t="shared" si="64"/>
        <v>150</v>
      </c>
      <c r="AV42" s="650">
        <f>+AU44</f>
        <v>150</v>
      </c>
      <c r="AW42" s="650">
        <f>+AV44</f>
        <v>0</v>
      </c>
      <c r="AX42" s="650">
        <f>+AW44</f>
        <v>0</v>
      </c>
      <c r="AY42" s="650">
        <f>+AX44</f>
        <v>0</v>
      </c>
      <c r="AZ42" s="292"/>
      <c r="BA42" s="292"/>
      <c r="BB42" s="292"/>
      <c r="BC42" s="292"/>
      <c r="BD42" s="292"/>
      <c r="BE42" s="292"/>
      <c r="BF42" s="292"/>
      <c r="BG42" s="292"/>
      <c r="BH42" s="292"/>
      <c r="BI42" s="292"/>
      <c r="BJ42" s="292"/>
      <c r="BK42" s="292"/>
      <c r="BL42" s="292"/>
      <c r="BM42" s="292"/>
      <c r="BN42" s="292"/>
      <c r="BO42" s="292"/>
      <c r="BP42" s="292"/>
      <c r="BQ42" s="292"/>
      <c r="BR42" s="292"/>
      <c r="BS42" s="292"/>
      <c r="BT42" s="292"/>
      <c r="BU42" s="292"/>
      <c r="BV42" s="292"/>
      <c r="BW42" s="292"/>
      <c r="BX42" s="292"/>
      <c r="BY42" s="292"/>
      <c r="BZ42" s="292"/>
      <c r="CA42" s="292"/>
      <c r="CB42" s="292"/>
      <c r="CC42" s="292"/>
      <c r="CD42" s="292"/>
      <c r="CE42" s="292"/>
      <c r="CF42" s="292"/>
      <c r="CG42" s="292"/>
      <c r="CH42" s="292"/>
      <c r="CI42" s="292"/>
      <c r="CJ42" s="292"/>
      <c r="CK42" s="292"/>
      <c r="CL42" s="292"/>
      <c r="CM42" s="292"/>
      <c r="CN42" s="292"/>
      <c r="CO42" s="292"/>
      <c r="CP42" s="292"/>
      <c r="CQ42" s="292"/>
      <c r="CR42" s="292"/>
      <c r="CS42" s="292"/>
      <c r="CT42" s="292"/>
      <c r="CU42" s="292"/>
      <c r="CV42" s="292"/>
      <c r="CW42" s="292"/>
      <c r="CX42" s="292"/>
      <c r="CY42" s="292"/>
      <c r="CZ42" s="292"/>
      <c r="DA42" s="292"/>
      <c r="DB42" s="292"/>
      <c r="DC42" s="292"/>
      <c r="DD42" s="292"/>
      <c r="DE42" s="292"/>
      <c r="DF42" s="292"/>
      <c r="DG42" s="292"/>
      <c r="DH42" s="292"/>
      <c r="DI42" s="292"/>
      <c r="DJ42" s="292"/>
      <c r="DK42" s="292"/>
      <c r="DL42" s="292"/>
      <c r="DM42" s="292"/>
      <c r="DN42" s="292"/>
      <c r="DO42" s="292"/>
    </row>
    <row r="43" spans="1:119" customFormat="1" ht="12.75" customHeight="1">
      <c r="A43" s="2089" t="s">
        <v>437</v>
      </c>
      <c r="B43" s="2089"/>
      <c r="C43" s="2089"/>
      <c r="D43" s="2089"/>
      <c r="E43" s="2089"/>
      <c r="F43" s="2089">
        <f>+F44-F42</f>
        <v>0</v>
      </c>
      <c r="G43" s="2089">
        <f t="shared" ref="G43:N43" si="65">+G44-F44</f>
        <v>0</v>
      </c>
      <c r="H43" s="2089">
        <f t="shared" si="65"/>
        <v>-50</v>
      </c>
      <c r="I43" s="2089">
        <f t="shared" si="65"/>
        <v>0</v>
      </c>
      <c r="J43" s="2089">
        <f t="shared" si="65"/>
        <v>0</v>
      </c>
      <c r="K43" s="2089">
        <f t="shared" si="65"/>
        <v>0</v>
      </c>
      <c r="L43" s="2089">
        <f>+L44-K44</f>
        <v>0</v>
      </c>
      <c r="M43" s="2089">
        <f>+M44-L44</f>
        <v>-150</v>
      </c>
      <c r="N43" s="2089">
        <f t="shared" si="65"/>
        <v>0</v>
      </c>
      <c r="O43" s="2089">
        <f>+O44-N44</f>
        <v>0</v>
      </c>
      <c r="P43" s="2089">
        <f>+P44-O44</f>
        <v>0</v>
      </c>
      <c r="Q43" s="2089">
        <f>+Q44-P44</f>
        <v>0</v>
      </c>
      <c r="R43" s="2089">
        <f>+R44-Q44</f>
        <v>0</v>
      </c>
      <c r="S43" s="2564"/>
      <c r="T43" s="2089"/>
      <c r="U43" s="2089"/>
      <c r="V43" s="2089">
        <v>0</v>
      </c>
      <c r="W43" s="2090">
        <v>0</v>
      </c>
      <c r="X43" s="2089">
        <f>+X44-X42</f>
        <v>0</v>
      </c>
      <c r="Y43" s="2089">
        <f>+Y44-Y42</f>
        <v>0</v>
      </c>
      <c r="Z43" s="2089">
        <f>+Z44-Z42</f>
        <v>0</v>
      </c>
      <c r="AA43" s="2090">
        <f>+AA44-AA42</f>
        <v>0</v>
      </c>
      <c r="AB43" s="2089">
        <v>0</v>
      </c>
      <c r="AC43" s="2089">
        <f t="shared" ref="AC43:AH43" si="66">+AC44-AC42</f>
        <v>0</v>
      </c>
      <c r="AD43" s="2089">
        <f t="shared" si="66"/>
        <v>-50</v>
      </c>
      <c r="AE43" s="2090">
        <f t="shared" si="66"/>
        <v>0</v>
      </c>
      <c r="AF43" s="2089">
        <f t="shared" si="66"/>
        <v>0</v>
      </c>
      <c r="AG43" s="2089">
        <f t="shared" si="66"/>
        <v>0</v>
      </c>
      <c r="AH43" s="2089">
        <f t="shared" si="66"/>
        <v>0</v>
      </c>
      <c r="AI43" s="2090">
        <f t="shared" ref="AI43:AQ43" si="67">+AI44-AI42</f>
        <v>0</v>
      </c>
      <c r="AJ43" s="2738">
        <f t="shared" si="67"/>
        <v>0</v>
      </c>
      <c r="AK43" s="2089">
        <f t="shared" si="67"/>
        <v>0</v>
      </c>
      <c r="AL43" s="2089">
        <f t="shared" si="67"/>
        <v>0</v>
      </c>
      <c r="AM43" s="2090">
        <f t="shared" si="67"/>
        <v>0</v>
      </c>
      <c r="AN43" s="2089">
        <f t="shared" si="67"/>
        <v>0</v>
      </c>
      <c r="AO43" s="2089">
        <f t="shared" si="67"/>
        <v>0</v>
      </c>
      <c r="AP43" s="2089">
        <f t="shared" si="67"/>
        <v>0</v>
      </c>
      <c r="AQ43" s="2089">
        <f t="shared" si="67"/>
        <v>0</v>
      </c>
      <c r="AR43" s="2089">
        <f t="shared" ref="AR43:AY43" si="68">+AR44-AR42</f>
        <v>0</v>
      </c>
      <c r="AS43" s="2089">
        <f t="shared" si="68"/>
        <v>0</v>
      </c>
      <c r="AT43" s="2089">
        <f t="shared" si="68"/>
        <v>0</v>
      </c>
      <c r="AU43" s="2089">
        <f t="shared" si="68"/>
        <v>0</v>
      </c>
      <c r="AV43" s="2089">
        <f t="shared" si="68"/>
        <v>-150</v>
      </c>
      <c r="AW43" s="2089">
        <f t="shared" si="68"/>
        <v>0</v>
      </c>
      <c r="AX43" s="2089">
        <f t="shared" si="68"/>
        <v>0</v>
      </c>
      <c r="AY43" s="2089">
        <f t="shared" si="68"/>
        <v>0</v>
      </c>
      <c r="AZ43" s="292"/>
      <c r="BA43" s="292"/>
      <c r="BB43" s="292"/>
      <c r="BC43" s="292"/>
      <c r="BD43" s="292"/>
      <c r="BE43" s="292"/>
      <c r="BF43" s="292"/>
      <c r="BG43" s="292"/>
      <c r="BH43" s="292"/>
      <c r="BI43" s="292"/>
      <c r="BJ43" s="292"/>
      <c r="BK43" s="292"/>
      <c r="BL43" s="292"/>
      <c r="BM43" s="292"/>
      <c r="BN43" s="292"/>
      <c r="BO43" s="292"/>
      <c r="BP43" s="292"/>
      <c r="BQ43" s="292"/>
      <c r="BR43" s="292"/>
      <c r="BS43" s="292"/>
      <c r="BT43" s="292"/>
      <c r="BU43" s="292"/>
      <c r="BV43" s="292"/>
      <c r="BW43" s="292"/>
      <c r="BX43" s="292"/>
      <c r="BY43" s="292"/>
      <c r="BZ43" s="292"/>
      <c r="CA43" s="292"/>
      <c r="CB43" s="292"/>
      <c r="CC43" s="292"/>
      <c r="CD43" s="292"/>
      <c r="CE43" s="292"/>
      <c r="CF43" s="292"/>
      <c r="CG43" s="292"/>
      <c r="CH43" s="292"/>
      <c r="CI43" s="292"/>
      <c r="CJ43" s="292"/>
      <c r="CK43" s="292"/>
      <c r="CL43" s="292"/>
      <c r="CM43" s="292"/>
      <c r="CN43" s="292"/>
      <c r="CO43" s="292"/>
      <c r="CP43" s="292"/>
      <c r="CQ43" s="292"/>
      <c r="CR43" s="292"/>
      <c r="CS43" s="292"/>
      <c r="CT43" s="292"/>
      <c r="CU43" s="292"/>
      <c r="CV43" s="292"/>
      <c r="CW43" s="292"/>
      <c r="CX43" s="292"/>
      <c r="CY43" s="292"/>
      <c r="CZ43" s="292"/>
      <c r="DA43" s="292"/>
      <c r="DB43" s="292"/>
      <c r="DC43" s="292"/>
      <c r="DD43" s="292"/>
      <c r="DE43" s="292"/>
      <c r="DF43" s="292"/>
      <c r="DG43" s="292"/>
      <c r="DH43" s="292"/>
      <c r="DI43" s="292"/>
      <c r="DJ43" s="292"/>
      <c r="DK43" s="292"/>
      <c r="DL43" s="292"/>
      <c r="DM43" s="292"/>
      <c r="DN43" s="292"/>
      <c r="DO43" s="292"/>
    </row>
    <row r="44" spans="1:119" customFormat="1" ht="12.75" customHeight="1">
      <c r="A44" s="650" t="s">
        <v>438</v>
      </c>
      <c r="B44" s="650"/>
      <c r="C44" s="650"/>
      <c r="D44" s="650"/>
      <c r="E44" s="2095">
        <v>200</v>
      </c>
      <c r="F44" s="2095">
        <f>W44</f>
        <v>200</v>
      </c>
      <c r="G44" s="2095">
        <f>+AA44</f>
        <v>200</v>
      </c>
      <c r="H44" s="650">
        <f>+AE44</f>
        <v>150</v>
      </c>
      <c r="I44" s="650">
        <f>+AI44</f>
        <v>150</v>
      </c>
      <c r="J44" s="650">
        <f>+AM44</f>
        <v>150</v>
      </c>
      <c r="K44" s="650">
        <f>+AQ44</f>
        <v>150</v>
      </c>
      <c r="L44" s="650">
        <f>+AU44</f>
        <v>150</v>
      </c>
      <c r="M44" s="650">
        <f>+AY44</f>
        <v>0</v>
      </c>
      <c r="N44" s="2934">
        <f>M44</f>
        <v>0</v>
      </c>
      <c r="O44" s="2934">
        <f>N44</f>
        <v>0</v>
      </c>
      <c r="P44" s="2934">
        <f>O44</f>
        <v>0</v>
      </c>
      <c r="Q44" s="2934">
        <f>P44</f>
        <v>0</v>
      </c>
      <c r="R44" s="2934">
        <f>Q44</f>
        <v>0</v>
      </c>
      <c r="S44" s="2565"/>
      <c r="T44" s="2095"/>
      <c r="U44" s="2095">
        <v>200</v>
      </c>
      <c r="V44" s="2095">
        <v>200</v>
      </c>
      <c r="W44" s="2096">
        <v>200</v>
      </c>
      <c r="X44" s="2095">
        <v>200</v>
      </c>
      <c r="Y44" s="2095">
        <v>200</v>
      </c>
      <c r="Z44" s="2095">
        <v>200</v>
      </c>
      <c r="AA44" s="2096">
        <v>200</v>
      </c>
      <c r="AB44" s="2095">
        <v>200</v>
      </c>
      <c r="AC44" s="2095">
        <v>200</v>
      </c>
      <c r="AD44" s="2095">
        <v>150</v>
      </c>
      <c r="AE44" s="2096">
        <v>150</v>
      </c>
      <c r="AF44" s="2095">
        <v>150</v>
      </c>
      <c r="AG44" s="2095">
        <v>150</v>
      </c>
      <c r="AH44" s="2095">
        <v>150</v>
      </c>
      <c r="AI44" s="2096">
        <v>150</v>
      </c>
      <c r="AJ44" s="2935">
        <v>150</v>
      </c>
      <c r="AK44" s="2934">
        <v>150</v>
      </c>
      <c r="AL44" s="2934">
        <v>150</v>
      </c>
      <c r="AM44" s="2936">
        <v>150</v>
      </c>
      <c r="AN44" s="2934">
        <v>150</v>
      </c>
      <c r="AO44" s="2934">
        <v>150</v>
      </c>
      <c r="AP44" s="2934">
        <v>150</v>
      </c>
      <c r="AQ44" s="2934">
        <v>150</v>
      </c>
      <c r="AR44" s="2934">
        <v>150</v>
      </c>
      <c r="AS44" s="2934">
        <v>150</v>
      </c>
      <c r="AT44" s="2934">
        <v>150</v>
      </c>
      <c r="AU44" s="2934">
        <v>150</v>
      </c>
      <c r="AV44" s="2934">
        <v>0</v>
      </c>
      <c r="AW44" s="2934">
        <v>0</v>
      </c>
      <c r="AX44" s="2934">
        <v>0</v>
      </c>
      <c r="AY44" s="2934">
        <v>0</v>
      </c>
      <c r="AZ44" s="292"/>
      <c r="BA44" s="292"/>
      <c r="BB44" s="292"/>
      <c r="BC44" s="292"/>
      <c r="BD44" s="292"/>
      <c r="BE44" s="292"/>
      <c r="BF44" s="292"/>
      <c r="BG44" s="292"/>
      <c r="BH44" s="292"/>
      <c r="BI44" s="292"/>
      <c r="BJ44" s="292"/>
      <c r="BK44" s="292"/>
      <c r="BL44" s="292"/>
      <c r="BM44" s="292"/>
      <c r="BN44" s="292"/>
      <c r="BO44" s="292"/>
      <c r="BP44" s="292"/>
      <c r="BQ44" s="292"/>
      <c r="BR44" s="292"/>
      <c r="BS44" s="292"/>
      <c r="BT44" s="292"/>
      <c r="BU44" s="292"/>
      <c r="BV44" s="292"/>
      <c r="BW44" s="292"/>
      <c r="BX44" s="292"/>
      <c r="BY44" s="292"/>
      <c r="BZ44" s="292"/>
      <c r="CA44" s="292"/>
      <c r="CB44" s="292"/>
      <c r="CC44" s="292"/>
      <c r="CD44" s="292"/>
      <c r="CE44" s="292"/>
      <c r="CF44" s="292"/>
      <c r="CG44" s="292"/>
      <c r="CH44" s="292"/>
      <c r="CI44" s="292"/>
      <c r="CJ44" s="292"/>
      <c r="CK44" s="292"/>
      <c r="CL44" s="292"/>
      <c r="CM44" s="292"/>
      <c r="CN44" s="292"/>
      <c r="CO44" s="292"/>
      <c r="CP44" s="292"/>
      <c r="CQ44" s="292"/>
      <c r="CR44" s="292"/>
      <c r="CS44" s="292"/>
      <c r="CT44" s="292"/>
      <c r="CU44" s="292"/>
      <c r="CV44" s="292"/>
      <c r="CW44" s="292"/>
      <c r="CX44" s="292"/>
      <c r="CY44" s="292"/>
      <c r="CZ44" s="292"/>
      <c r="DA44" s="292"/>
      <c r="DB44" s="292"/>
      <c r="DC44" s="292"/>
      <c r="DD44" s="292"/>
      <c r="DE44" s="292"/>
      <c r="DF44" s="292"/>
      <c r="DG44" s="292"/>
      <c r="DH44" s="292"/>
      <c r="DI44" s="292"/>
      <c r="DJ44" s="292"/>
      <c r="DK44" s="292"/>
      <c r="DL44" s="292"/>
      <c r="DM44" s="292"/>
      <c r="DN44" s="292"/>
      <c r="DO44" s="292"/>
    </row>
    <row r="45" spans="1:119" customFormat="1" ht="12.75" customHeight="1">
      <c r="A45" s="399"/>
      <c r="B45" s="399"/>
      <c r="C45" s="399"/>
      <c r="D45" s="399"/>
      <c r="E45" s="399"/>
      <c r="F45" s="399"/>
      <c r="G45" s="399"/>
      <c r="H45" s="399"/>
      <c r="I45" s="399"/>
      <c r="J45" s="399"/>
      <c r="K45" s="399"/>
      <c r="L45" s="399"/>
      <c r="M45" s="2634"/>
      <c r="N45" s="399"/>
      <c r="O45" s="399"/>
      <c r="P45" s="399"/>
      <c r="Q45" s="2634"/>
      <c r="R45" s="2634"/>
      <c r="S45" s="2563"/>
      <c r="T45" s="399"/>
      <c r="U45" s="399"/>
      <c r="V45" s="399"/>
      <c r="W45" s="400"/>
      <c r="X45" s="399"/>
      <c r="Y45" s="399"/>
      <c r="Z45" s="399"/>
      <c r="AA45" s="400"/>
      <c r="AB45" s="399"/>
      <c r="AC45" s="399"/>
      <c r="AD45" s="399"/>
      <c r="AE45" s="400"/>
      <c r="AF45" s="399"/>
      <c r="AG45" s="399"/>
      <c r="AH45" s="399"/>
      <c r="AI45" s="400"/>
      <c r="AJ45" s="407"/>
      <c r="AK45" s="399"/>
      <c r="AL45" s="399"/>
      <c r="AM45" s="400"/>
      <c r="AN45" s="399"/>
      <c r="AO45" s="399"/>
      <c r="AP45" s="399"/>
      <c r="AQ45" s="399"/>
      <c r="AR45" s="399"/>
      <c r="AS45" s="399"/>
      <c r="AT45" s="399"/>
      <c r="AU45" s="399"/>
      <c r="AV45" s="2634"/>
      <c r="AW45" s="2634"/>
      <c r="AX45" s="2634"/>
      <c r="AY45" s="2634"/>
      <c r="AZ45" s="292"/>
      <c r="BA45" s="292"/>
      <c r="BB45" s="292"/>
      <c r="BC45" s="292"/>
      <c r="BD45" s="292"/>
      <c r="BE45" s="292"/>
      <c r="BF45" s="292"/>
      <c r="BG45" s="292"/>
      <c r="BH45" s="292"/>
      <c r="BI45" s="292"/>
      <c r="BJ45" s="292"/>
      <c r="BK45" s="292"/>
      <c r="BL45" s="292"/>
      <c r="BM45" s="292"/>
      <c r="BN45" s="292"/>
      <c r="BO45" s="292"/>
      <c r="BP45" s="292"/>
      <c r="BQ45" s="292"/>
      <c r="BR45" s="292"/>
      <c r="BS45" s="292"/>
      <c r="BT45" s="292"/>
      <c r="BU45" s="292"/>
      <c r="BV45" s="292"/>
      <c r="BW45" s="292"/>
      <c r="BX45" s="292"/>
      <c r="BY45" s="292"/>
      <c r="BZ45" s="292"/>
      <c r="CA45" s="292"/>
      <c r="CB45" s="292"/>
      <c r="CC45" s="292"/>
      <c r="CD45" s="292"/>
      <c r="CE45" s="292"/>
      <c r="CF45" s="292"/>
      <c r="CG45" s="292"/>
      <c r="CH45" s="292"/>
      <c r="CI45" s="292"/>
      <c r="CJ45" s="292"/>
      <c r="CK45" s="292"/>
      <c r="CL45" s="292"/>
      <c r="CM45" s="292"/>
      <c r="CN45" s="292"/>
      <c r="CO45" s="292"/>
      <c r="CP45" s="292"/>
      <c r="CQ45" s="292"/>
      <c r="CR45" s="292"/>
      <c r="CS45" s="292"/>
      <c r="CT45" s="292"/>
      <c r="CU45" s="292"/>
      <c r="CV45" s="292"/>
      <c r="CW45" s="292"/>
      <c r="CX45" s="292"/>
      <c r="CY45" s="292"/>
      <c r="CZ45" s="292"/>
      <c r="DA45" s="292"/>
      <c r="DB45" s="292"/>
      <c r="DC45" s="292"/>
      <c r="DD45" s="292"/>
      <c r="DE45" s="292"/>
      <c r="DF45" s="292"/>
      <c r="DG45" s="292"/>
      <c r="DH45" s="292"/>
      <c r="DI45" s="292"/>
      <c r="DJ45" s="292"/>
      <c r="DK45" s="292"/>
      <c r="DL45" s="292"/>
      <c r="DM45" s="292"/>
      <c r="DN45" s="292"/>
      <c r="DO45" s="292"/>
    </row>
    <row r="46" spans="1:119" customFormat="1" ht="11.25" customHeight="1">
      <c r="A46" s="2097" t="s">
        <v>723</v>
      </c>
      <c r="B46" s="2097"/>
      <c r="C46" s="2097"/>
      <c r="D46" s="2097"/>
      <c r="E46" s="2097">
        <f>+E44+E39+E34</f>
        <v>4535</v>
      </c>
      <c r="F46" s="2097">
        <f>+F44+F39+F34</f>
        <v>4535</v>
      </c>
      <c r="G46" s="2097">
        <f t="shared" ref="G46:N46" si="69">+G44+G39+G34</f>
        <v>3191</v>
      </c>
      <c r="H46" s="2097">
        <f t="shared" si="69"/>
        <v>3081</v>
      </c>
      <c r="I46" s="2097">
        <f t="shared" si="69"/>
        <v>3051</v>
      </c>
      <c r="J46" s="2097">
        <f t="shared" si="69"/>
        <v>3051</v>
      </c>
      <c r="K46" s="2097">
        <f t="shared" si="69"/>
        <v>1858</v>
      </c>
      <c r="L46" s="2097">
        <f>+L44+L39+L34</f>
        <v>1786</v>
      </c>
      <c r="M46" s="2097">
        <f>+M44+M39+M34</f>
        <v>1235</v>
      </c>
      <c r="N46" s="2097">
        <f t="shared" si="69"/>
        <v>1035</v>
      </c>
      <c r="O46" s="2097">
        <f>+O44+O39+O34</f>
        <v>735</v>
      </c>
      <c r="P46" s="2097">
        <f>+P44+P39+P34</f>
        <v>435</v>
      </c>
      <c r="Q46" s="2097">
        <f>+Q44+Q39+Q34</f>
        <v>135</v>
      </c>
      <c r="R46" s="2097">
        <f>+R44+R39+R34</f>
        <v>-165</v>
      </c>
      <c r="S46" s="2564"/>
      <c r="T46" s="2097"/>
      <c r="U46" s="2097">
        <f t="shared" ref="U46:Z46" si="70">U34+U39+U44</f>
        <v>4535</v>
      </c>
      <c r="V46" s="2097">
        <f t="shared" si="70"/>
        <v>4535</v>
      </c>
      <c r="W46" s="2098">
        <f t="shared" si="70"/>
        <v>4535</v>
      </c>
      <c r="X46" s="2097">
        <f t="shared" si="70"/>
        <v>4535</v>
      </c>
      <c r="Y46" s="2097">
        <f t="shared" si="70"/>
        <v>3191</v>
      </c>
      <c r="Z46" s="2097">
        <f t="shared" si="70"/>
        <v>3191</v>
      </c>
      <c r="AA46" s="2098">
        <f t="shared" ref="AA46:AH46" si="71">AA34+AA39+AA44</f>
        <v>3191</v>
      </c>
      <c r="AB46" s="2097">
        <f t="shared" si="71"/>
        <v>3191</v>
      </c>
      <c r="AC46" s="2097">
        <f t="shared" si="71"/>
        <v>3191</v>
      </c>
      <c r="AD46" s="2097">
        <f t="shared" si="71"/>
        <v>3081</v>
      </c>
      <c r="AE46" s="2098">
        <f t="shared" si="71"/>
        <v>3081</v>
      </c>
      <c r="AF46" s="2097">
        <f t="shared" si="71"/>
        <v>3081</v>
      </c>
      <c r="AG46" s="2097">
        <f t="shared" si="71"/>
        <v>3051</v>
      </c>
      <c r="AH46" s="2097">
        <f t="shared" si="71"/>
        <v>3051</v>
      </c>
      <c r="AI46" s="2098">
        <f t="shared" ref="AI46:AQ46" si="72">AI34+AI39+AI44</f>
        <v>3051</v>
      </c>
      <c r="AJ46" s="2740">
        <f t="shared" si="72"/>
        <v>3051</v>
      </c>
      <c r="AK46" s="2097">
        <f t="shared" si="72"/>
        <v>3051</v>
      </c>
      <c r="AL46" s="2097">
        <f t="shared" si="72"/>
        <v>3051</v>
      </c>
      <c r="AM46" s="2098">
        <f t="shared" si="72"/>
        <v>3051</v>
      </c>
      <c r="AN46" s="2097">
        <f t="shared" si="72"/>
        <v>3051</v>
      </c>
      <c r="AO46" s="2097">
        <f t="shared" si="72"/>
        <v>1867</v>
      </c>
      <c r="AP46" s="2097">
        <f t="shared" si="72"/>
        <v>1863</v>
      </c>
      <c r="AQ46" s="2097">
        <f t="shared" si="72"/>
        <v>1858</v>
      </c>
      <c r="AR46" s="2097">
        <f t="shared" ref="AR46:AY46" si="73">AR34+AR39+AR44</f>
        <v>1858</v>
      </c>
      <c r="AS46" s="2097">
        <f t="shared" si="73"/>
        <v>1858</v>
      </c>
      <c r="AT46" s="2097">
        <f t="shared" si="73"/>
        <v>1786</v>
      </c>
      <c r="AU46" s="2097">
        <f t="shared" si="73"/>
        <v>1786</v>
      </c>
      <c r="AV46" s="2097">
        <f t="shared" si="73"/>
        <v>1498.25</v>
      </c>
      <c r="AW46" s="2097">
        <f t="shared" si="73"/>
        <v>1419.9375</v>
      </c>
      <c r="AX46" s="2097">
        <f t="shared" si="73"/>
        <v>1348.703125</v>
      </c>
      <c r="AY46" s="2097">
        <f t="shared" si="73"/>
        <v>1235</v>
      </c>
      <c r="AZ46" s="292"/>
      <c r="BA46" s="292"/>
      <c r="BB46" s="292"/>
      <c r="BC46" s="292"/>
      <c r="BD46" s="292"/>
      <c r="BE46" s="292"/>
      <c r="BF46" s="292"/>
      <c r="BG46" s="292"/>
      <c r="BH46" s="292"/>
      <c r="BI46" s="292"/>
      <c r="BJ46" s="292"/>
      <c r="BK46" s="292"/>
      <c r="BL46" s="292"/>
      <c r="BM46" s="292"/>
      <c r="BN46" s="292"/>
      <c r="BO46" s="292"/>
      <c r="BP46" s="292"/>
      <c r="BQ46" s="292"/>
      <c r="BR46" s="292"/>
      <c r="BS46" s="292"/>
      <c r="BT46" s="292"/>
      <c r="BU46" s="292"/>
      <c r="BV46" s="292"/>
      <c r="BW46" s="292"/>
      <c r="BX46" s="292"/>
      <c r="BY46" s="292"/>
      <c r="BZ46" s="292"/>
      <c r="CA46" s="292"/>
      <c r="CB46" s="292"/>
      <c r="CC46" s="292"/>
      <c r="CD46" s="292"/>
      <c r="CE46" s="292"/>
      <c r="CF46" s="292"/>
      <c r="CG46" s="292"/>
      <c r="CH46" s="292"/>
      <c r="CI46" s="292"/>
      <c r="CJ46" s="292"/>
      <c r="CK46" s="292"/>
      <c r="CL46" s="292"/>
      <c r="CM46" s="292"/>
      <c r="CN46" s="292"/>
      <c r="CO46" s="292"/>
      <c r="CP46" s="292"/>
      <c r="CQ46" s="292"/>
      <c r="CR46" s="292"/>
      <c r="CS46" s="292"/>
      <c r="CT46" s="292"/>
      <c r="CU46" s="292"/>
      <c r="CV46" s="292"/>
      <c r="CW46" s="292"/>
      <c r="CX46" s="292"/>
      <c r="CY46" s="292"/>
      <c r="CZ46" s="292"/>
      <c r="DA46" s="292"/>
      <c r="DB46" s="292"/>
      <c r="DC46" s="292"/>
      <c r="DD46" s="292"/>
      <c r="DE46" s="292"/>
      <c r="DF46" s="292"/>
      <c r="DG46" s="292"/>
      <c r="DH46" s="292"/>
      <c r="DI46" s="292"/>
      <c r="DJ46" s="292"/>
      <c r="DK46" s="292"/>
      <c r="DL46" s="292"/>
      <c r="DM46" s="292"/>
      <c r="DN46" s="292"/>
      <c r="DO46" s="292"/>
    </row>
    <row r="47" spans="1:119" customFormat="1">
      <c r="A47" s="650"/>
      <c r="B47" s="650"/>
      <c r="C47" s="650"/>
      <c r="D47" s="650"/>
      <c r="E47" s="650"/>
      <c r="F47" s="650"/>
      <c r="G47" s="650"/>
      <c r="H47" s="650"/>
      <c r="I47" s="650"/>
      <c r="J47" s="650"/>
      <c r="K47" s="650"/>
      <c r="L47" s="650"/>
      <c r="M47" s="650"/>
      <c r="N47" s="650"/>
      <c r="O47" s="650"/>
      <c r="P47" s="650"/>
      <c r="Q47" s="650"/>
      <c r="R47" s="650"/>
      <c r="S47" s="2564"/>
      <c r="T47" s="650"/>
      <c r="U47" s="650"/>
      <c r="V47" s="650"/>
      <c r="W47" s="649"/>
      <c r="X47" s="650"/>
      <c r="Y47" s="650"/>
      <c r="Z47" s="650"/>
      <c r="AA47" s="649"/>
      <c r="AB47" s="650"/>
      <c r="AC47" s="650"/>
      <c r="AD47" s="650"/>
      <c r="AE47" s="649"/>
      <c r="AF47" s="650"/>
      <c r="AG47" s="650"/>
      <c r="AH47" s="650"/>
      <c r="AI47" s="649"/>
      <c r="AJ47" s="2737"/>
      <c r="AK47" s="650"/>
      <c r="AL47" s="650"/>
      <c r="AM47" s="649"/>
      <c r="AN47" s="650"/>
      <c r="AO47" s="650"/>
      <c r="AP47" s="650"/>
      <c r="AQ47" s="650"/>
      <c r="AR47" s="650"/>
      <c r="AS47" s="650"/>
      <c r="AT47" s="650"/>
      <c r="AU47" s="650"/>
      <c r="AV47" s="650"/>
      <c r="AW47" s="650"/>
      <c r="AX47" s="650"/>
      <c r="AY47" s="650"/>
      <c r="AZ47" s="292"/>
      <c r="BA47" s="292"/>
      <c r="BB47" s="292"/>
      <c r="BC47" s="292"/>
      <c r="BD47" s="292"/>
      <c r="BE47" s="292"/>
      <c r="BF47" s="292"/>
      <c r="BG47" s="292"/>
      <c r="BH47" s="292"/>
      <c r="BI47" s="292"/>
      <c r="BJ47" s="292"/>
      <c r="BK47" s="292"/>
      <c r="BL47" s="292"/>
      <c r="BM47" s="292"/>
      <c r="BN47" s="292"/>
      <c r="BO47" s="292"/>
      <c r="BP47" s="292"/>
      <c r="BQ47" s="292"/>
      <c r="BR47" s="292"/>
      <c r="BS47" s="292"/>
      <c r="BT47" s="292"/>
      <c r="BU47" s="292"/>
      <c r="BV47" s="292"/>
      <c r="BW47" s="292"/>
      <c r="BX47" s="292"/>
      <c r="BY47" s="292"/>
      <c r="BZ47" s="292"/>
      <c r="CA47" s="292"/>
      <c r="CB47" s="292"/>
      <c r="CC47" s="292"/>
      <c r="CD47" s="292"/>
      <c r="CE47" s="292"/>
      <c r="CF47" s="292"/>
      <c r="CG47" s="292"/>
      <c r="CH47" s="292"/>
      <c r="CI47" s="292"/>
      <c r="CJ47" s="292"/>
      <c r="CK47" s="292"/>
      <c r="CL47" s="292"/>
      <c r="CM47" s="292"/>
      <c r="CN47" s="292"/>
      <c r="CO47" s="292"/>
      <c r="CP47" s="292"/>
      <c r="CQ47" s="292"/>
      <c r="CR47" s="292"/>
      <c r="CS47" s="292"/>
      <c r="CT47" s="292"/>
      <c r="CU47" s="292"/>
      <c r="CV47" s="292"/>
      <c r="CW47" s="292"/>
      <c r="CX47" s="292"/>
      <c r="CY47" s="292"/>
      <c r="CZ47" s="292"/>
      <c r="DA47" s="292"/>
      <c r="DB47" s="292"/>
      <c r="DC47" s="292"/>
      <c r="DD47" s="292"/>
      <c r="DE47" s="292"/>
      <c r="DF47" s="292"/>
      <c r="DG47" s="292"/>
      <c r="DH47" s="292"/>
      <c r="DI47" s="292"/>
      <c r="DJ47" s="292"/>
      <c r="DK47" s="292"/>
      <c r="DL47" s="292"/>
      <c r="DM47" s="292"/>
      <c r="DN47" s="292"/>
      <c r="DO47" s="292"/>
    </row>
    <row r="48" spans="1:119" customFormat="1" ht="12.75" hidden="1" customHeight="1" outlineLevel="1">
      <c r="A48" s="647" t="s">
        <v>725</v>
      </c>
      <c r="B48" s="647"/>
      <c r="C48" s="647"/>
      <c r="D48" s="647"/>
      <c r="E48" s="647"/>
      <c r="F48" s="647"/>
      <c r="G48" s="647"/>
      <c r="H48" s="647"/>
      <c r="I48" s="647"/>
      <c r="J48" s="647"/>
      <c r="K48" s="647"/>
      <c r="L48" s="647"/>
      <c r="M48" s="647"/>
      <c r="N48" s="647"/>
      <c r="O48" s="647"/>
      <c r="P48" s="647"/>
      <c r="Q48" s="647"/>
      <c r="R48" s="647"/>
      <c r="S48" s="2563"/>
      <c r="T48" s="647"/>
      <c r="U48" s="647"/>
      <c r="V48" s="647"/>
      <c r="W48" s="648"/>
      <c r="X48" s="647"/>
      <c r="Y48" s="647"/>
      <c r="Z48" s="647"/>
      <c r="AA48" s="648"/>
      <c r="AB48" s="647"/>
      <c r="AC48" s="647"/>
      <c r="AD48" s="647"/>
      <c r="AE48" s="648"/>
      <c r="AF48" s="647"/>
      <c r="AG48" s="647"/>
      <c r="AH48" s="647"/>
      <c r="AI48" s="648"/>
      <c r="AJ48" s="2735"/>
      <c r="AK48" s="647"/>
      <c r="AL48" s="647"/>
      <c r="AM48" s="648"/>
      <c r="AN48" s="647"/>
      <c r="AO48" s="647"/>
      <c r="AP48" s="647"/>
      <c r="AQ48" s="647"/>
      <c r="AR48" s="647"/>
      <c r="AS48" s="647"/>
      <c r="AT48" s="647"/>
      <c r="AU48" s="647"/>
      <c r="AV48" s="647"/>
      <c r="AW48" s="647"/>
      <c r="AX48" s="647"/>
      <c r="AY48" s="647"/>
      <c r="AZ48" s="292"/>
      <c r="BA48" s="292"/>
      <c r="BB48" s="292"/>
      <c r="BC48" s="292"/>
      <c r="BD48" s="292"/>
      <c r="BE48" s="292"/>
      <c r="BF48" s="292"/>
      <c r="BG48" s="292"/>
      <c r="BH48" s="292"/>
      <c r="BI48" s="292"/>
      <c r="BJ48" s="292"/>
      <c r="BK48" s="292"/>
      <c r="BL48" s="292"/>
      <c r="BM48" s="292"/>
      <c r="BN48" s="292"/>
      <c r="BO48" s="292"/>
      <c r="BP48" s="292"/>
      <c r="BQ48" s="292"/>
      <c r="BR48" s="292"/>
      <c r="BS48" s="292"/>
      <c r="BT48" s="292"/>
      <c r="BU48" s="292"/>
      <c r="BV48" s="292"/>
      <c r="BW48" s="292"/>
      <c r="BX48" s="292"/>
      <c r="BY48" s="292"/>
      <c r="BZ48" s="292"/>
      <c r="CA48" s="292"/>
      <c r="CB48" s="292"/>
      <c r="CC48" s="292"/>
      <c r="CD48" s="292"/>
      <c r="CE48" s="292"/>
      <c r="CF48" s="292"/>
      <c r="CG48" s="292"/>
      <c r="CH48" s="292"/>
      <c r="CI48" s="292"/>
      <c r="CJ48" s="292"/>
      <c r="CK48" s="292"/>
      <c r="CL48" s="292"/>
      <c r="CM48" s="292"/>
      <c r="CN48" s="292"/>
      <c r="CO48" s="292"/>
      <c r="CP48" s="292"/>
      <c r="CQ48" s="292"/>
      <c r="CR48" s="292"/>
      <c r="CS48" s="292"/>
      <c r="CT48" s="292"/>
      <c r="CU48" s="292"/>
      <c r="CV48" s="292"/>
      <c r="CW48" s="292"/>
      <c r="CX48" s="292"/>
      <c r="CY48" s="292"/>
      <c r="CZ48" s="292"/>
      <c r="DA48" s="292"/>
      <c r="DB48" s="292"/>
      <c r="DC48" s="292"/>
      <c r="DD48" s="292"/>
      <c r="DE48" s="292"/>
      <c r="DF48" s="292"/>
      <c r="DG48" s="292"/>
      <c r="DH48" s="292"/>
      <c r="DI48" s="292"/>
      <c r="DJ48" s="292"/>
      <c r="DK48" s="292"/>
      <c r="DL48" s="292"/>
      <c r="DM48" s="292"/>
      <c r="DN48" s="292"/>
      <c r="DO48" s="292"/>
    </row>
    <row r="49" spans="1:119" customFormat="1" ht="12.75" hidden="1" customHeight="1" outlineLevel="1">
      <c r="A49" s="2075" t="s">
        <v>726</v>
      </c>
      <c r="B49" s="2075"/>
      <c r="C49" s="2075"/>
      <c r="D49" s="2075"/>
      <c r="E49" s="2075"/>
      <c r="F49" s="2075"/>
      <c r="G49" s="2075"/>
      <c r="H49" s="2075"/>
      <c r="I49" s="2075"/>
      <c r="J49" s="2075"/>
      <c r="K49" s="2075"/>
      <c r="L49" s="2075"/>
      <c r="M49" s="2075"/>
      <c r="N49" s="2075"/>
      <c r="O49" s="2075"/>
      <c r="P49" s="2075"/>
      <c r="Q49" s="2075"/>
      <c r="R49" s="2075"/>
      <c r="S49" s="2563"/>
      <c r="T49" s="2075"/>
      <c r="U49" s="2075"/>
      <c r="V49" s="2075"/>
      <c r="W49" s="2094"/>
      <c r="X49" s="2075"/>
      <c r="Y49" s="2075"/>
      <c r="Z49" s="2075"/>
      <c r="AA49" s="2094"/>
      <c r="AB49" s="2075"/>
      <c r="AC49" s="2075"/>
      <c r="AD49" s="2075"/>
      <c r="AE49" s="2094"/>
      <c r="AF49" s="2075"/>
      <c r="AG49" s="2075"/>
      <c r="AH49" s="2075"/>
      <c r="AI49" s="2094"/>
      <c r="AJ49" s="2736"/>
      <c r="AK49" s="2075"/>
      <c r="AL49" s="2075"/>
      <c r="AM49" s="2094"/>
      <c r="AN49" s="2075"/>
      <c r="AO49" s="2075"/>
      <c r="AP49" s="2075"/>
      <c r="AQ49" s="2075"/>
      <c r="AR49" s="2075"/>
      <c r="AS49" s="2075"/>
      <c r="AT49" s="2075"/>
      <c r="AU49" s="2075"/>
      <c r="AV49" s="2075"/>
      <c r="AW49" s="2075"/>
      <c r="AX49" s="2075"/>
      <c r="AY49" s="2075"/>
      <c r="AZ49" s="292"/>
      <c r="BA49" s="292"/>
      <c r="BB49" s="292"/>
      <c r="BC49" s="292"/>
      <c r="BD49" s="292"/>
      <c r="BE49" s="292"/>
      <c r="BF49" s="292"/>
      <c r="BG49" s="292"/>
      <c r="BH49" s="292"/>
      <c r="BI49" s="292"/>
      <c r="BJ49" s="292"/>
      <c r="BK49" s="292"/>
      <c r="BL49" s="292"/>
      <c r="BM49" s="292"/>
      <c r="BN49" s="292"/>
      <c r="BO49" s="292"/>
      <c r="BP49" s="292"/>
      <c r="BQ49" s="292"/>
      <c r="BR49" s="292"/>
      <c r="BS49" s="292"/>
      <c r="BT49" s="292"/>
      <c r="BU49" s="292"/>
      <c r="BV49" s="292"/>
      <c r="BW49" s="292"/>
      <c r="BX49" s="292"/>
      <c r="BY49" s="292"/>
      <c r="BZ49" s="292"/>
      <c r="CA49" s="292"/>
      <c r="CB49" s="292"/>
      <c r="CC49" s="292"/>
      <c r="CD49" s="292"/>
      <c r="CE49" s="292"/>
      <c r="CF49" s="292"/>
      <c r="CG49" s="292"/>
      <c r="CH49" s="292"/>
      <c r="CI49" s="292"/>
      <c r="CJ49" s="292"/>
      <c r="CK49" s="292"/>
      <c r="CL49" s="292"/>
      <c r="CM49" s="292"/>
      <c r="CN49" s="292"/>
      <c r="CO49" s="292"/>
      <c r="CP49" s="292"/>
      <c r="CQ49" s="292"/>
      <c r="CR49" s="292"/>
      <c r="CS49" s="292"/>
      <c r="CT49" s="292"/>
      <c r="CU49" s="292"/>
      <c r="CV49" s="292"/>
      <c r="CW49" s="292"/>
      <c r="CX49" s="292"/>
      <c r="CY49" s="292"/>
      <c r="CZ49" s="292"/>
      <c r="DA49" s="292"/>
      <c r="DB49" s="292"/>
      <c r="DC49" s="292"/>
      <c r="DD49" s="292"/>
      <c r="DE49" s="292"/>
      <c r="DF49" s="292"/>
      <c r="DG49" s="292"/>
      <c r="DH49" s="292"/>
      <c r="DI49" s="292"/>
      <c r="DJ49" s="292"/>
      <c r="DK49" s="292"/>
      <c r="DL49" s="292"/>
      <c r="DM49" s="292"/>
      <c r="DN49" s="292"/>
      <c r="DO49" s="292"/>
    </row>
    <row r="50" spans="1:119" customFormat="1" ht="12.75" hidden="1" customHeight="1" outlineLevel="1">
      <c r="A50" s="650" t="s">
        <v>436</v>
      </c>
      <c r="B50" s="650"/>
      <c r="C50" s="650"/>
      <c r="D50" s="650"/>
      <c r="E50" s="650"/>
      <c r="F50" s="650"/>
      <c r="G50" s="650">
        <f t="shared" ref="G50:N50" si="74">+F52</f>
        <v>65</v>
      </c>
      <c r="H50" s="650">
        <f t="shared" si="74"/>
        <v>0</v>
      </c>
      <c r="I50" s="650">
        <f t="shared" si="74"/>
        <v>0</v>
      </c>
      <c r="J50" s="650">
        <f t="shared" si="74"/>
        <v>0</v>
      </c>
      <c r="K50" s="650">
        <f t="shared" si="74"/>
        <v>0</v>
      </c>
      <c r="L50" s="650">
        <f>+K52</f>
        <v>0</v>
      </c>
      <c r="M50" s="650">
        <f>+L52</f>
        <v>0</v>
      </c>
      <c r="N50" s="650">
        <f t="shared" si="74"/>
        <v>0</v>
      </c>
      <c r="O50" s="650">
        <f>+N52</f>
        <v>0</v>
      </c>
      <c r="P50" s="650">
        <f>+O52</f>
        <v>0</v>
      </c>
      <c r="Q50" s="650">
        <f>+P52</f>
        <v>0</v>
      </c>
      <c r="R50" s="650">
        <f>+Q52</f>
        <v>0</v>
      </c>
      <c r="S50" s="2564"/>
      <c r="T50" s="650"/>
      <c r="U50" s="650">
        <f t="shared" ref="U50:AD50" si="75">+T52</f>
        <v>0</v>
      </c>
      <c r="V50" s="650">
        <f t="shared" si="75"/>
        <v>76</v>
      </c>
      <c r="W50" s="649">
        <f t="shared" si="75"/>
        <v>73</v>
      </c>
      <c r="X50" s="650">
        <f t="shared" si="75"/>
        <v>65</v>
      </c>
      <c r="Y50" s="650">
        <f t="shared" si="75"/>
        <v>62</v>
      </c>
      <c r="Z50" s="650">
        <f t="shared" si="75"/>
        <v>60</v>
      </c>
      <c r="AA50" s="649">
        <f t="shared" si="75"/>
        <v>0</v>
      </c>
      <c r="AB50" s="650">
        <f t="shared" si="75"/>
        <v>0</v>
      </c>
      <c r="AC50" s="650">
        <f t="shared" si="75"/>
        <v>0</v>
      </c>
      <c r="AD50" s="650">
        <f t="shared" si="75"/>
        <v>0</v>
      </c>
      <c r="AE50" s="649">
        <f t="shared" ref="AE50:AM50" si="76">+AD52</f>
        <v>0</v>
      </c>
      <c r="AF50" s="650">
        <f t="shared" si="76"/>
        <v>0</v>
      </c>
      <c r="AG50" s="650">
        <f t="shared" si="76"/>
        <v>0</v>
      </c>
      <c r="AH50" s="650">
        <f t="shared" si="76"/>
        <v>0</v>
      </c>
      <c r="AI50" s="649">
        <f t="shared" si="76"/>
        <v>0</v>
      </c>
      <c r="AJ50" s="2737">
        <f t="shared" si="76"/>
        <v>0</v>
      </c>
      <c r="AK50" s="650">
        <f t="shared" si="76"/>
        <v>0</v>
      </c>
      <c r="AL50" s="650">
        <f t="shared" si="76"/>
        <v>0</v>
      </c>
      <c r="AM50" s="649">
        <f t="shared" si="76"/>
        <v>0</v>
      </c>
      <c r="AN50" s="650">
        <f t="shared" ref="AN50:AU50" si="77">+AM52</f>
        <v>0</v>
      </c>
      <c r="AO50" s="650">
        <f t="shared" si="77"/>
        <v>0</v>
      </c>
      <c r="AP50" s="650">
        <f t="shared" si="77"/>
        <v>0</v>
      </c>
      <c r="AQ50" s="650">
        <f t="shared" si="77"/>
        <v>0</v>
      </c>
      <c r="AR50" s="650">
        <f t="shared" si="77"/>
        <v>0</v>
      </c>
      <c r="AS50" s="650">
        <f t="shared" si="77"/>
        <v>0</v>
      </c>
      <c r="AT50" s="650">
        <f t="shared" si="77"/>
        <v>0</v>
      </c>
      <c r="AU50" s="650">
        <f t="shared" si="77"/>
        <v>0</v>
      </c>
      <c r="AV50" s="650">
        <f>+AU52</f>
        <v>0</v>
      </c>
      <c r="AW50" s="650">
        <f>+AV52</f>
        <v>0</v>
      </c>
      <c r="AX50" s="650">
        <f>+AW52</f>
        <v>0</v>
      </c>
      <c r="AY50" s="650">
        <f>+AX52</f>
        <v>0</v>
      </c>
      <c r="AZ50" s="292"/>
      <c r="BA50" s="292"/>
      <c r="BB50" s="292"/>
      <c r="BC50" s="292"/>
      <c r="BD50" s="292"/>
      <c r="BE50" s="292"/>
      <c r="BF50" s="292"/>
      <c r="BG50" s="292"/>
      <c r="BH50" s="292"/>
      <c r="BI50" s="292"/>
      <c r="BJ50" s="292"/>
      <c r="BK50" s="292"/>
      <c r="BL50" s="292"/>
      <c r="BM50" s="292"/>
      <c r="BN50" s="292"/>
      <c r="BO50" s="292"/>
      <c r="BP50" s="292"/>
      <c r="BQ50" s="292"/>
      <c r="BR50" s="292"/>
      <c r="BS50" s="292"/>
      <c r="BT50" s="292"/>
      <c r="BU50" s="292"/>
      <c r="BV50" s="292"/>
      <c r="BW50" s="292"/>
      <c r="BX50" s="292"/>
      <c r="BY50" s="292"/>
      <c r="BZ50" s="292"/>
      <c r="CA50" s="292"/>
      <c r="CB50" s="292"/>
      <c r="CC50" s="292"/>
      <c r="CD50" s="292"/>
      <c r="CE50" s="292"/>
      <c r="CF50" s="292"/>
      <c r="CG50" s="292"/>
      <c r="CH50" s="292"/>
      <c r="CI50" s="292"/>
      <c r="CJ50" s="292"/>
      <c r="CK50" s="292"/>
      <c r="CL50" s="292"/>
      <c r="CM50" s="292"/>
      <c r="CN50" s="292"/>
      <c r="CO50" s="292"/>
      <c r="CP50" s="292"/>
      <c r="CQ50" s="292"/>
      <c r="CR50" s="292"/>
      <c r="CS50" s="292"/>
      <c r="CT50" s="292"/>
      <c r="CU50" s="292"/>
      <c r="CV50" s="292"/>
      <c r="CW50" s="292"/>
      <c r="CX50" s="292"/>
      <c r="CY50" s="292"/>
      <c r="CZ50" s="292"/>
      <c r="DA50" s="292"/>
      <c r="DB50" s="292"/>
      <c r="DC50" s="292"/>
      <c r="DD50" s="292"/>
      <c r="DE50" s="292"/>
      <c r="DF50" s="292"/>
      <c r="DG50" s="292"/>
      <c r="DH50" s="292"/>
      <c r="DI50" s="292"/>
      <c r="DJ50" s="292"/>
      <c r="DK50" s="292"/>
      <c r="DL50" s="292"/>
      <c r="DM50" s="292"/>
      <c r="DN50" s="292"/>
      <c r="DO50" s="292"/>
    </row>
    <row r="51" spans="1:119" customFormat="1" ht="12.75" hidden="1" customHeight="1" outlineLevel="1">
      <c r="A51" s="2089" t="s">
        <v>437</v>
      </c>
      <c r="B51" s="2089"/>
      <c r="C51" s="2089"/>
      <c r="D51" s="2089"/>
      <c r="E51" s="2089"/>
      <c r="F51" s="2089"/>
      <c r="G51" s="2089">
        <f t="shared" ref="G51:N51" si="78">+G52-F52</f>
        <v>-65</v>
      </c>
      <c r="H51" s="2089">
        <f t="shared" si="78"/>
        <v>0</v>
      </c>
      <c r="I51" s="2089">
        <f t="shared" si="78"/>
        <v>0</v>
      </c>
      <c r="J51" s="2089">
        <f t="shared" si="78"/>
        <v>0</v>
      </c>
      <c r="K51" s="2089">
        <f t="shared" si="78"/>
        <v>0</v>
      </c>
      <c r="L51" s="2089">
        <f>+L52-K52</f>
        <v>0</v>
      </c>
      <c r="M51" s="2089">
        <f>+M52-L52</f>
        <v>0</v>
      </c>
      <c r="N51" s="2089">
        <f t="shared" si="78"/>
        <v>0</v>
      </c>
      <c r="O51" s="2089">
        <f>+O52-N52</f>
        <v>0</v>
      </c>
      <c r="P51" s="2089">
        <f>+P52-O52</f>
        <v>0</v>
      </c>
      <c r="Q51" s="2089">
        <f>+Q52-P52</f>
        <v>0</v>
      </c>
      <c r="R51" s="2089">
        <f>+R52-Q52</f>
        <v>0</v>
      </c>
      <c r="S51" s="2564"/>
      <c r="T51" s="2089"/>
      <c r="U51" s="2089">
        <f t="shared" ref="U51:AA51" si="79">+U52-U50</f>
        <v>76</v>
      </c>
      <c r="V51" s="2089">
        <f t="shared" si="79"/>
        <v>-3</v>
      </c>
      <c r="W51" s="2090">
        <f t="shared" si="79"/>
        <v>-8</v>
      </c>
      <c r="X51" s="2089">
        <f t="shared" si="79"/>
        <v>-3</v>
      </c>
      <c r="Y51" s="2089">
        <f t="shared" si="79"/>
        <v>-2</v>
      </c>
      <c r="Z51" s="2089">
        <f t="shared" si="79"/>
        <v>-60</v>
      </c>
      <c r="AA51" s="2090">
        <f t="shared" si="79"/>
        <v>0</v>
      </c>
      <c r="AB51" s="2089">
        <v>0</v>
      </c>
      <c r="AC51" s="2089">
        <v>0</v>
      </c>
      <c r="AD51" s="2089">
        <v>0</v>
      </c>
      <c r="AE51" s="2090">
        <v>0</v>
      </c>
      <c r="AF51" s="2089">
        <v>0</v>
      </c>
      <c r="AG51" s="2089">
        <v>0</v>
      </c>
      <c r="AH51" s="2089">
        <v>0</v>
      </c>
      <c r="AI51" s="2090">
        <v>0</v>
      </c>
      <c r="AJ51" s="2738">
        <v>0</v>
      </c>
      <c r="AK51" s="2089">
        <v>0</v>
      </c>
      <c r="AL51" s="2089">
        <v>0</v>
      </c>
      <c r="AM51" s="2090">
        <v>0</v>
      </c>
      <c r="AN51" s="2089">
        <v>0</v>
      </c>
      <c r="AO51" s="2089">
        <v>0</v>
      </c>
      <c r="AP51" s="2089">
        <v>0</v>
      </c>
      <c r="AQ51" s="2089">
        <v>0</v>
      </c>
      <c r="AR51" s="2089">
        <v>0</v>
      </c>
      <c r="AS51" s="2089">
        <v>0</v>
      </c>
      <c r="AT51" s="2089">
        <v>0</v>
      </c>
      <c r="AU51" s="2089">
        <v>0</v>
      </c>
      <c r="AV51" s="2089">
        <v>0</v>
      </c>
      <c r="AW51" s="2089">
        <v>0</v>
      </c>
      <c r="AX51" s="2089">
        <v>0</v>
      </c>
      <c r="AY51" s="2089">
        <v>0</v>
      </c>
      <c r="AZ51" s="292"/>
      <c r="BA51" s="292"/>
      <c r="BB51" s="292"/>
      <c r="BC51" s="292"/>
      <c r="BD51" s="292"/>
      <c r="BE51" s="292"/>
      <c r="BF51" s="292"/>
      <c r="BG51" s="292"/>
      <c r="BH51" s="292"/>
      <c r="BI51" s="292"/>
      <c r="BJ51" s="292"/>
      <c r="BK51" s="292"/>
      <c r="BL51" s="292"/>
      <c r="BM51" s="292"/>
      <c r="BN51" s="292"/>
      <c r="BO51" s="292"/>
      <c r="BP51" s="292"/>
      <c r="BQ51" s="292"/>
      <c r="BR51" s="292"/>
      <c r="BS51" s="292"/>
      <c r="BT51" s="292"/>
      <c r="BU51" s="292"/>
      <c r="BV51" s="292"/>
      <c r="BW51" s="292"/>
      <c r="BX51" s="292"/>
      <c r="BY51" s="292"/>
      <c r="BZ51" s="292"/>
      <c r="CA51" s="292"/>
      <c r="CB51" s="292"/>
      <c r="CC51" s="292"/>
      <c r="CD51" s="292"/>
      <c r="CE51" s="292"/>
      <c r="CF51" s="292"/>
      <c r="CG51" s="292"/>
      <c r="CH51" s="292"/>
      <c r="CI51" s="292"/>
      <c r="CJ51" s="292"/>
      <c r="CK51" s="292"/>
      <c r="CL51" s="292"/>
      <c r="CM51" s="292"/>
      <c r="CN51" s="292"/>
      <c r="CO51" s="292"/>
      <c r="CP51" s="292"/>
      <c r="CQ51" s="292"/>
      <c r="CR51" s="292"/>
      <c r="CS51" s="292"/>
      <c r="CT51" s="292"/>
      <c r="CU51" s="292"/>
      <c r="CV51" s="292"/>
      <c r="CW51" s="292"/>
      <c r="CX51" s="292"/>
      <c r="CY51" s="292"/>
      <c r="CZ51" s="292"/>
      <c r="DA51" s="292"/>
      <c r="DB51" s="292"/>
      <c r="DC51" s="292"/>
      <c r="DD51" s="292"/>
      <c r="DE51" s="292"/>
      <c r="DF51" s="292"/>
      <c r="DG51" s="292"/>
      <c r="DH51" s="292"/>
      <c r="DI51" s="292"/>
      <c r="DJ51" s="292"/>
      <c r="DK51" s="292"/>
      <c r="DL51" s="292"/>
      <c r="DM51" s="292"/>
      <c r="DN51" s="292"/>
      <c r="DO51" s="292"/>
    </row>
    <row r="52" spans="1:119" customFormat="1" ht="12.75" hidden="1" customHeight="1" outlineLevel="1">
      <c r="A52" s="650" t="s">
        <v>438</v>
      </c>
      <c r="B52" s="650"/>
      <c r="C52" s="650"/>
      <c r="D52" s="650"/>
      <c r="E52" s="2095">
        <v>83</v>
      </c>
      <c r="F52" s="2095">
        <f>W52</f>
        <v>65</v>
      </c>
      <c r="G52" s="2095">
        <f t="shared" ref="G52:N52" si="80">+AA52</f>
        <v>0</v>
      </c>
      <c r="H52" s="2095">
        <f t="shared" si="80"/>
        <v>0</v>
      </c>
      <c r="I52" s="2095">
        <f t="shared" si="80"/>
        <v>0</v>
      </c>
      <c r="J52" s="2095">
        <f t="shared" si="80"/>
        <v>0</v>
      </c>
      <c r="K52" s="2095">
        <f t="shared" si="80"/>
        <v>0</v>
      </c>
      <c r="L52" s="2095">
        <f>+AF52</f>
        <v>0</v>
      </c>
      <c r="M52" s="2095">
        <f>+AG52</f>
        <v>0</v>
      </c>
      <c r="N52" s="2095">
        <f t="shared" si="80"/>
        <v>0</v>
      </c>
      <c r="O52" s="2095">
        <f>+AI52</f>
        <v>0</v>
      </c>
      <c r="P52" s="2095">
        <f>+AJ52</f>
        <v>0</v>
      </c>
      <c r="Q52" s="2095">
        <f>+AK52</f>
        <v>0</v>
      </c>
      <c r="R52" s="2095">
        <f>+AL52</f>
        <v>0</v>
      </c>
      <c r="S52" s="2565"/>
      <c r="T52" s="2095"/>
      <c r="U52" s="2095">
        <v>76</v>
      </c>
      <c r="V52" s="2095">
        <v>73</v>
      </c>
      <c r="W52" s="2096">
        <v>65</v>
      </c>
      <c r="X52" s="2095">
        <v>62</v>
      </c>
      <c r="Y52" s="2095">
        <v>60</v>
      </c>
      <c r="Z52" s="2095">
        <v>0</v>
      </c>
      <c r="AA52" s="2096">
        <v>0</v>
      </c>
      <c r="AB52" s="2095">
        <v>0</v>
      </c>
      <c r="AC52" s="2095">
        <v>0</v>
      </c>
      <c r="AD52" s="2095">
        <v>0</v>
      </c>
      <c r="AE52" s="2096">
        <v>0</v>
      </c>
      <c r="AF52" s="2095">
        <v>0</v>
      </c>
      <c r="AG52" s="2095">
        <v>0</v>
      </c>
      <c r="AH52" s="2095">
        <v>0</v>
      </c>
      <c r="AI52" s="2096">
        <v>0</v>
      </c>
      <c r="AJ52" s="2739">
        <v>0</v>
      </c>
      <c r="AK52" s="2095">
        <v>0</v>
      </c>
      <c r="AL52" s="2095">
        <v>0</v>
      </c>
      <c r="AM52" s="2096">
        <v>0</v>
      </c>
      <c r="AN52" s="2095">
        <v>0</v>
      </c>
      <c r="AO52" s="2095">
        <v>0</v>
      </c>
      <c r="AP52" s="2095">
        <v>0</v>
      </c>
      <c r="AQ52" s="2095">
        <v>0</v>
      </c>
      <c r="AR52" s="2095">
        <v>0</v>
      </c>
      <c r="AS52" s="2095">
        <v>0</v>
      </c>
      <c r="AT52" s="2095">
        <v>0</v>
      </c>
      <c r="AU52" s="2095">
        <v>0</v>
      </c>
      <c r="AV52" s="2095">
        <v>0</v>
      </c>
      <c r="AW52" s="2095">
        <v>0</v>
      </c>
      <c r="AX52" s="2095">
        <v>0</v>
      </c>
      <c r="AY52" s="2095">
        <v>0</v>
      </c>
      <c r="AZ52" s="292"/>
      <c r="BA52" s="292"/>
      <c r="BB52" s="292"/>
      <c r="BC52" s="292"/>
      <c r="BD52" s="292"/>
      <c r="BE52" s="292"/>
      <c r="BF52" s="292"/>
      <c r="BG52" s="292"/>
      <c r="BH52" s="292"/>
      <c r="BI52" s="292"/>
      <c r="BJ52" s="292"/>
      <c r="BK52" s="292"/>
      <c r="BL52" s="292"/>
      <c r="BM52" s="292"/>
      <c r="BN52" s="292"/>
      <c r="BO52" s="292"/>
      <c r="BP52" s="292"/>
      <c r="BQ52" s="292"/>
      <c r="BR52" s="292"/>
      <c r="BS52" s="292"/>
      <c r="BT52" s="292"/>
      <c r="BU52" s="292"/>
      <c r="BV52" s="292"/>
      <c r="BW52" s="292"/>
      <c r="BX52" s="292"/>
      <c r="BY52" s="292"/>
      <c r="BZ52" s="292"/>
      <c r="CA52" s="292"/>
      <c r="CB52" s="292"/>
      <c r="CC52" s="292"/>
      <c r="CD52" s="292"/>
      <c r="CE52" s="292"/>
      <c r="CF52" s="292"/>
      <c r="CG52" s="292"/>
      <c r="CH52" s="292"/>
      <c r="CI52" s="292"/>
      <c r="CJ52" s="292"/>
      <c r="CK52" s="292"/>
      <c r="CL52" s="292"/>
      <c r="CM52" s="292"/>
      <c r="CN52" s="292"/>
      <c r="CO52" s="292"/>
      <c r="CP52" s="292"/>
      <c r="CQ52" s="292"/>
      <c r="CR52" s="292"/>
      <c r="CS52" s="292"/>
      <c r="CT52" s="292"/>
      <c r="CU52" s="292"/>
      <c r="CV52" s="292"/>
      <c r="CW52" s="292"/>
      <c r="CX52" s="292"/>
      <c r="CY52" s="292"/>
      <c r="CZ52" s="292"/>
      <c r="DA52" s="292"/>
      <c r="DB52" s="292"/>
      <c r="DC52" s="292"/>
      <c r="DD52" s="292"/>
      <c r="DE52" s="292"/>
      <c r="DF52" s="292"/>
      <c r="DG52" s="292"/>
      <c r="DH52" s="292"/>
      <c r="DI52" s="292"/>
      <c r="DJ52" s="292"/>
      <c r="DK52" s="292"/>
      <c r="DL52" s="292"/>
      <c r="DM52" s="292"/>
      <c r="DN52" s="292"/>
      <c r="DO52" s="292"/>
    </row>
    <row r="53" spans="1:119" customFormat="1" ht="12.75" hidden="1" customHeight="1" outlineLevel="1">
      <c r="A53" s="650"/>
      <c r="B53" s="650"/>
      <c r="C53" s="650"/>
      <c r="D53" s="650"/>
      <c r="E53" s="650"/>
      <c r="F53" s="650"/>
      <c r="G53" s="650"/>
      <c r="H53" s="650"/>
      <c r="I53" s="650"/>
      <c r="J53" s="650"/>
      <c r="K53" s="650"/>
      <c r="L53" s="650"/>
      <c r="M53" s="650"/>
      <c r="N53" s="650"/>
      <c r="O53" s="650"/>
      <c r="P53" s="650"/>
      <c r="Q53" s="650"/>
      <c r="R53" s="650"/>
      <c r="S53" s="2564"/>
      <c r="T53" s="650"/>
      <c r="U53" s="650"/>
      <c r="V53" s="650"/>
      <c r="W53" s="649"/>
      <c r="X53" s="650"/>
      <c r="Y53" s="650"/>
      <c r="Z53" s="650"/>
      <c r="AA53" s="649"/>
      <c r="AB53" s="650"/>
      <c r="AC53" s="650"/>
      <c r="AD53" s="650"/>
      <c r="AE53" s="649"/>
      <c r="AF53" s="650"/>
      <c r="AG53" s="650"/>
      <c r="AH53" s="650"/>
      <c r="AI53" s="649"/>
      <c r="AJ53" s="2737"/>
      <c r="AK53" s="650"/>
      <c r="AL53" s="650"/>
      <c r="AM53" s="649"/>
      <c r="AN53" s="650"/>
      <c r="AO53" s="650"/>
      <c r="AP53" s="650"/>
      <c r="AQ53" s="650"/>
      <c r="AR53" s="650"/>
      <c r="AS53" s="650"/>
      <c r="AT53" s="650"/>
      <c r="AU53" s="650"/>
      <c r="AV53" s="650"/>
      <c r="AW53" s="650"/>
      <c r="AX53" s="650"/>
      <c r="AY53" s="650"/>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2"/>
      <c r="BW53" s="292"/>
      <c r="BX53" s="292"/>
      <c r="BY53" s="292"/>
      <c r="BZ53" s="292"/>
      <c r="CA53" s="292"/>
      <c r="CB53" s="292"/>
      <c r="CC53" s="292"/>
      <c r="CD53" s="292"/>
      <c r="CE53" s="292"/>
      <c r="CF53" s="292"/>
      <c r="CG53" s="292"/>
      <c r="CH53" s="292"/>
      <c r="CI53" s="292"/>
      <c r="CJ53" s="292"/>
      <c r="CK53" s="292"/>
      <c r="CL53" s="292"/>
      <c r="CM53" s="292"/>
      <c r="CN53" s="292"/>
      <c r="CO53" s="292"/>
      <c r="CP53" s="292"/>
      <c r="CQ53" s="292"/>
      <c r="CR53" s="292"/>
      <c r="CS53" s="292"/>
      <c r="CT53" s="292"/>
      <c r="CU53" s="292"/>
      <c r="CV53" s="292"/>
      <c r="CW53" s="292"/>
      <c r="CX53" s="292"/>
      <c r="CY53" s="292"/>
      <c r="CZ53" s="292"/>
      <c r="DA53" s="292"/>
      <c r="DB53" s="292"/>
      <c r="DC53" s="292"/>
      <c r="DD53" s="292"/>
      <c r="DE53" s="292"/>
      <c r="DF53" s="292"/>
      <c r="DG53" s="292"/>
      <c r="DH53" s="292"/>
      <c r="DI53" s="292"/>
      <c r="DJ53" s="292"/>
      <c r="DK53" s="292"/>
      <c r="DL53" s="292"/>
      <c r="DM53" s="292"/>
      <c r="DN53" s="292"/>
      <c r="DO53" s="292"/>
    </row>
    <row r="54" spans="1:119" customFormat="1" ht="12.75" customHeight="1" collapsed="1">
      <c r="A54" s="647" t="s">
        <v>792</v>
      </c>
      <c r="B54" s="647"/>
      <c r="C54" s="647"/>
      <c r="D54" s="647"/>
      <c r="E54" s="647"/>
      <c r="F54" s="647"/>
      <c r="G54" s="647"/>
      <c r="H54" s="647"/>
      <c r="I54" s="647"/>
      <c r="J54" s="647"/>
      <c r="K54" s="647"/>
      <c r="L54" s="647"/>
      <c r="M54" s="647"/>
      <c r="N54" s="647"/>
      <c r="O54" s="647"/>
      <c r="P54" s="647"/>
      <c r="Q54" s="647"/>
      <c r="R54" s="647"/>
      <c r="S54" s="2563"/>
      <c r="T54" s="647"/>
      <c r="U54" s="647"/>
      <c r="V54" s="647"/>
      <c r="W54" s="648"/>
      <c r="X54" s="647"/>
      <c r="Y54" s="647"/>
      <c r="Z54" s="647"/>
      <c r="AA54" s="648"/>
      <c r="AB54" s="647"/>
      <c r="AC54" s="647"/>
      <c r="AD54" s="647"/>
      <c r="AE54" s="648"/>
      <c r="AF54" s="647"/>
      <c r="AG54" s="647"/>
      <c r="AH54" s="647"/>
      <c r="AI54" s="648"/>
      <c r="AJ54" s="2735"/>
      <c r="AK54" s="647"/>
      <c r="AL54" s="647"/>
      <c r="AM54" s="648"/>
      <c r="AN54" s="647"/>
      <c r="AO54" s="647"/>
      <c r="AP54" s="647"/>
      <c r="AQ54" s="647"/>
      <c r="AR54" s="647"/>
      <c r="AS54" s="647"/>
      <c r="AT54" s="647"/>
      <c r="AU54" s="647"/>
      <c r="AV54" s="647"/>
      <c r="AW54" s="647"/>
      <c r="AX54" s="647"/>
      <c r="AY54" s="647"/>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2"/>
      <c r="BW54" s="292"/>
      <c r="BX54" s="292"/>
      <c r="BY54" s="292"/>
      <c r="BZ54" s="292"/>
      <c r="CA54" s="292"/>
      <c r="CB54" s="292"/>
      <c r="CC54" s="292"/>
      <c r="CD54" s="292"/>
      <c r="CE54" s="292"/>
      <c r="CF54" s="292"/>
      <c r="CG54" s="292"/>
      <c r="CH54" s="292"/>
      <c r="CI54" s="292"/>
      <c r="CJ54" s="292"/>
      <c r="CK54" s="292"/>
      <c r="CL54" s="292"/>
      <c r="CM54" s="292"/>
      <c r="CN54" s="292"/>
      <c r="CO54" s="292"/>
      <c r="CP54" s="292"/>
      <c r="CQ54" s="292"/>
      <c r="CR54" s="292"/>
      <c r="CS54" s="292"/>
      <c r="CT54" s="292"/>
      <c r="CU54" s="292"/>
      <c r="CV54" s="292"/>
      <c r="CW54" s="292"/>
      <c r="CX54" s="292"/>
      <c r="CY54" s="292"/>
      <c r="CZ54" s="292"/>
      <c r="DA54" s="292"/>
      <c r="DB54" s="292"/>
      <c r="DC54" s="292"/>
      <c r="DD54" s="292"/>
      <c r="DE54" s="292"/>
      <c r="DF54" s="292"/>
      <c r="DG54" s="292"/>
      <c r="DH54" s="292"/>
      <c r="DI54" s="292"/>
      <c r="DJ54" s="292"/>
      <c r="DK54" s="292"/>
      <c r="DL54" s="292"/>
      <c r="DM54" s="292"/>
      <c r="DN54" s="292"/>
      <c r="DO54" s="292"/>
    </row>
    <row r="55" spans="1:119" customFormat="1" ht="12.75" customHeight="1">
      <c r="A55" s="2075" t="s">
        <v>720</v>
      </c>
      <c r="B55" s="2075"/>
      <c r="C55" s="2075"/>
      <c r="D55" s="2075"/>
      <c r="E55" s="2075"/>
      <c r="F55" s="2075"/>
      <c r="G55" s="2075"/>
      <c r="H55" s="2075"/>
      <c r="I55" s="2075"/>
      <c r="J55" s="2075"/>
      <c r="K55" s="2075"/>
      <c r="L55" s="2075"/>
      <c r="M55" s="2075"/>
      <c r="N55" s="2075"/>
      <c r="O55" s="2075"/>
      <c r="P55" s="2075"/>
      <c r="Q55" s="2075"/>
      <c r="R55" s="2075"/>
      <c r="S55" s="2563"/>
      <c r="T55" s="2075"/>
      <c r="U55" s="2075"/>
      <c r="V55" s="2075"/>
      <c r="W55" s="2094"/>
      <c r="X55" s="2075"/>
      <c r="Y55" s="2075"/>
      <c r="Z55" s="2075"/>
      <c r="AA55" s="2094"/>
      <c r="AB55" s="2075"/>
      <c r="AC55" s="2075"/>
      <c r="AD55" s="2075"/>
      <c r="AE55" s="2094"/>
      <c r="AF55" s="2075"/>
      <c r="AG55" s="2075"/>
      <c r="AH55" s="2075"/>
      <c r="AI55" s="2094"/>
      <c r="AJ55" s="2736"/>
      <c r="AK55" s="2075"/>
      <c r="AL55" s="2075"/>
      <c r="AM55" s="2094"/>
      <c r="AN55" s="2075"/>
      <c r="AO55" s="2075"/>
      <c r="AP55" s="2075"/>
      <c r="AQ55" s="2075"/>
      <c r="AR55" s="2075"/>
      <c r="AS55" s="2075"/>
      <c r="AT55" s="2075"/>
      <c r="AU55" s="2075"/>
      <c r="AV55" s="2075"/>
      <c r="AW55" s="2075"/>
      <c r="AX55" s="2075"/>
      <c r="AY55" s="2075"/>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2"/>
      <c r="BW55" s="292"/>
      <c r="BX55" s="292"/>
      <c r="BY55" s="292"/>
      <c r="BZ55" s="292"/>
      <c r="CA55" s="292"/>
      <c r="CB55" s="292"/>
      <c r="CC55" s="292"/>
      <c r="CD55" s="292"/>
      <c r="CE55" s="292"/>
      <c r="CF55" s="292"/>
      <c r="CG55" s="292"/>
      <c r="CH55" s="292"/>
      <c r="CI55" s="292"/>
      <c r="CJ55" s="292"/>
      <c r="CK55" s="292"/>
      <c r="CL55" s="292"/>
      <c r="CM55" s="292"/>
      <c r="CN55" s="292"/>
      <c r="CO55" s="292"/>
      <c r="CP55" s="292"/>
      <c r="CQ55" s="292"/>
      <c r="CR55" s="292"/>
      <c r="CS55" s="292"/>
      <c r="CT55" s="292"/>
      <c r="CU55" s="292"/>
      <c r="CV55" s="292"/>
      <c r="CW55" s="292"/>
      <c r="CX55" s="292"/>
      <c r="CY55" s="292"/>
      <c r="CZ55" s="292"/>
      <c r="DA55" s="292"/>
      <c r="DB55" s="292"/>
      <c r="DC55" s="292"/>
      <c r="DD55" s="292"/>
      <c r="DE55" s="292"/>
      <c r="DF55" s="292"/>
      <c r="DG55" s="292"/>
      <c r="DH55" s="292"/>
      <c r="DI55" s="292"/>
      <c r="DJ55" s="292"/>
      <c r="DK55" s="292"/>
      <c r="DL55" s="292"/>
      <c r="DM55" s="292"/>
      <c r="DN55" s="292"/>
      <c r="DO55" s="292"/>
    </row>
    <row r="56" spans="1:119" customFormat="1" ht="12.75" customHeight="1">
      <c r="A56" s="650" t="s">
        <v>436</v>
      </c>
      <c r="B56" s="650"/>
      <c r="C56" s="650"/>
      <c r="D56" s="650"/>
      <c r="E56" s="650"/>
      <c r="F56" s="650">
        <f t="shared" ref="F56:N56" si="81">+E58</f>
        <v>0</v>
      </c>
      <c r="G56" s="650">
        <f t="shared" si="81"/>
        <v>712</v>
      </c>
      <c r="H56" s="650">
        <f t="shared" si="81"/>
        <v>734</v>
      </c>
      <c r="I56" s="650">
        <f t="shared" si="81"/>
        <v>619</v>
      </c>
      <c r="J56" s="650">
        <f t="shared" si="81"/>
        <v>509</v>
      </c>
      <c r="K56" s="650">
        <f t="shared" si="81"/>
        <v>425</v>
      </c>
      <c r="L56" s="650">
        <f>+K58</f>
        <v>440</v>
      </c>
      <c r="M56" s="650">
        <f>+L58</f>
        <v>891</v>
      </c>
      <c r="N56" s="650">
        <f t="shared" si="81"/>
        <v>891</v>
      </c>
      <c r="O56" s="650">
        <f>+N58</f>
        <v>891</v>
      </c>
      <c r="P56" s="650">
        <f>+O58</f>
        <v>891</v>
      </c>
      <c r="Q56" s="650">
        <f>+P58</f>
        <v>891</v>
      </c>
      <c r="R56" s="650">
        <f>+Q58</f>
        <v>891</v>
      </c>
      <c r="S56" s="2564"/>
      <c r="T56" s="650"/>
      <c r="U56" s="650"/>
      <c r="V56" s="650"/>
      <c r="W56" s="649">
        <f t="shared" ref="W56:AD56" si="82">+V58</f>
        <v>675</v>
      </c>
      <c r="X56" s="650">
        <f t="shared" si="82"/>
        <v>712</v>
      </c>
      <c r="Y56" s="650">
        <f t="shared" si="82"/>
        <v>811</v>
      </c>
      <c r="Z56" s="650">
        <f t="shared" si="82"/>
        <v>790</v>
      </c>
      <c r="AA56" s="649">
        <f t="shared" si="82"/>
        <v>767</v>
      </c>
      <c r="AB56" s="650">
        <f t="shared" si="82"/>
        <v>734</v>
      </c>
      <c r="AC56" s="650">
        <f t="shared" si="82"/>
        <v>684</v>
      </c>
      <c r="AD56" s="650">
        <f t="shared" si="82"/>
        <v>683</v>
      </c>
      <c r="AE56" s="649">
        <f t="shared" ref="AE56:AM56" si="83">+AD58</f>
        <v>653</v>
      </c>
      <c r="AF56" s="650">
        <f t="shared" si="83"/>
        <v>619</v>
      </c>
      <c r="AG56" s="650">
        <f t="shared" si="83"/>
        <v>578</v>
      </c>
      <c r="AH56" s="650">
        <f t="shared" si="83"/>
        <v>553</v>
      </c>
      <c r="AI56" s="649">
        <f t="shared" si="83"/>
        <v>521</v>
      </c>
      <c r="AJ56" s="2737">
        <f t="shared" si="83"/>
        <v>509</v>
      </c>
      <c r="AK56" s="650">
        <f t="shared" si="83"/>
        <v>479</v>
      </c>
      <c r="AL56" s="650">
        <f t="shared" si="83"/>
        <v>457</v>
      </c>
      <c r="AM56" s="649">
        <f t="shared" si="83"/>
        <v>436</v>
      </c>
      <c r="AN56" s="650">
        <f t="shared" ref="AN56:AU56" si="84">+AM58</f>
        <v>425</v>
      </c>
      <c r="AO56" s="650">
        <f t="shared" si="84"/>
        <v>415</v>
      </c>
      <c r="AP56" s="650">
        <f t="shared" si="84"/>
        <v>441</v>
      </c>
      <c r="AQ56" s="650">
        <f t="shared" si="84"/>
        <v>441</v>
      </c>
      <c r="AR56" s="650">
        <f t="shared" si="84"/>
        <v>440</v>
      </c>
      <c r="AS56" s="650">
        <f t="shared" si="84"/>
        <v>423</v>
      </c>
      <c r="AT56" s="650">
        <f t="shared" si="84"/>
        <v>766</v>
      </c>
      <c r="AU56" s="650">
        <f t="shared" si="84"/>
        <v>740</v>
      </c>
      <c r="AV56" s="650">
        <f>+AU58</f>
        <v>891</v>
      </c>
      <c r="AW56" s="650">
        <f>+AV58</f>
        <v>891</v>
      </c>
      <c r="AX56" s="650">
        <f>+AW58</f>
        <v>891</v>
      </c>
      <c r="AY56" s="650">
        <f>+AX58</f>
        <v>891</v>
      </c>
      <c r="AZ56" s="292"/>
      <c r="BA56" s="292"/>
      <c r="BB56" s="292"/>
      <c r="BC56" s="292"/>
      <c r="BD56" s="292"/>
      <c r="BE56" s="292"/>
      <c r="BF56" s="292"/>
      <c r="BG56" s="292"/>
      <c r="BH56" s="292"/>
      <c r="BI56" s="292"/>
      <c r="BJ56" s="292"/>
      <c r="BK56" s="292"/>
      <c r="BL56" s="292"/>
      <c r="BM56" s="292"/>
      <c r="BN56" s="292"/>
      <c r="BO56" s="292"/>
      <c r="BP56" s="292"/>
      <c r="BQ56" s="292"/>
      <c r="BR56" s="292"/>
      <c r="BS56" s="292"/>
      <c r="BT56" s="292"/>
      <c r="BU56" s="292"/>
      <c r="BV56" s="292"/>
      <c r="BW56" s="292"/>
      <c r="BX56" s="292"/>
      <c r="BY56" s="292"/>
      <c r="BZ56" s="292"/>
      <c r="CA56" s="292"/>
      <c r="CB56" s="292"/>
      <c r="CC56" s="292"/>
      <c r="CD56" s="292"/>
      <c r="CE56" s="292"/>
      <c r="CF56" s="292"/>
      <c r="CG56" s="292"/>
      <c r="CH56" s="292"/>
      <c r="CI56" s="292"/>
      <c r="CJ56" s="292"/>
      <c r="CK56" s="292"/>
      <c r="CL56" s="292"/>
      <c r="CM56" s="292"/>
      <c r="CN56" s="292"/>
      <c r="CO56" s="292"/>
      <c r="CP56" s="292"/>
      <c r="CQ56" s="292"/>
      <c r="CR56" s="292"/>
      <c r="CS56" s="292"/>
      <c r="CT56" s="292"/>
      <c r="CU56" s="292"/>
      <c r="CV56" s="292"/>
      <c r="CW56" s="292"/>
      <c r="CX56" s="292"/>
      <c r="CY56" s="292"/>
      <c r="CZ56" s="292"/>
      <c r="DA56" s="292"/>
      <c r="DB56" s="292"/>
      <c r="DC56" s="292"/>
      <c r="DD56" s="292"/>
      <c r="DE56" s="292"/>
      <c r="DF56" s="292"/>
      <c r="DG56" s="292"/>
      <c r="DH56" s="292"/>
      <c r="DI56" s="292"/>
      <c r="DJ56" s="292"/>
      <c r="DK56" s="292"/>
      <c r="DL56" s="292"/>
      <c r="DM56" s="292"/>
      <c r="DN56" s="292"/>
      <c r="DO56" s="292"/>
    </row>
    <row r="57" spans="1:119" customFormat="1" ht="12.75" customHeight="1">
      <c r="A57" s="2089" t="s">
        <v>437</v>
      </c>
      <c r="B57" s="2089"/>
      <c r="C57" s="2089"/>
      <c r="D57" s="2089"/>
      <c r="E57" s="2089"/>
      <c r="F57" s="2089">
        <f>+F58-F56</f>
        <v>712</v>
      </c>
      <c r="G57" s="2089">
        <f t="shared" ref="G57:N57" si="85">+G58-F58</f>
        <v>22</v>
      </c>
      <c r="H57" s="2089">
        <f t="shared" si="85"/>
        <v>-115</v>
      </c>
      <c r="I57" s="2089">
        <f t="shared" si="85"/>
        <v>-110</v>
      </c>
      <c r="J57" s="2089">
        <f t="shared" si="85"/>
        <v>-84</v>
      </c>
      <c r="K57" s="2089">
        <f t="shared" si="85"/>
        <v>15</v>
      </c>
      <c r="L57" s="2089">
        <f>+L58-K58</f>
        <v>451</v>
      </c>
      <c r="M57" s="2089">
        <f>+M58-L58</f>
        <v>0</v>
      </c>
      <c r="N57" s="2089">
        <f t="shared" si="85"/>
        <v>0</v>
      </c>
      <c r="O57" s="2089">
        <f>+O58-N58</f>
        <v>0</v>
      </c>
      <c r="P57" s="2089">
        <f>+P58-O58</f>
        <v>0</v>
      </c>
      <c r="Q57" s="2089">
        <f>+Q58-P58</f>
        <v>0</v>
      </c>
      <c r="R57" s="2089">
        <f>+R58-Q58</f>
        <v>0</v>
      </c>
      <c r="S57" s="2564"/>
      <c r="T57" s="2089"/>
      <c r="U57" s="2089"/>
      <c r="V57" s="2089"/>
      <c r="W57" s="2090">
        <f t="shared" ref="W57:AD57" si="86">+W58-W56</f>
        <v>37</v>
      </c>
      <c r="X57" s="2089">
        <f t="shared" si="86"/>
        <v>99</v>
      </c>
      <c r="Y57" s="2089">
        <f t="shared" si="86"/>
        <v>-21</v>
      </c>
      <c r="Z57" s="2089">
        <f t="shared" si="86"/>
        <v>-23</v>
      </c>
      <c r="AA57" s="2090">
        <f t="shared" si="86"/>
        <v>-33</v>
      </c>
      <c r="AB57" s="2089">
        <f t="shared" si="86"/>
        <v>-50</v>
      </c>
      <c r="AC57" s="2089">
        <f t="shared" si="86"/>
        <v>-1</v>
      </c>
      <c r="AD57" s="2089">
        <f t="shared" si="86"/>
        <v>-30</v>
      </c>
      <c r="AE57" s="2090">
        <f t="shared" ref="AE57:AM57" si="87">+AE58-AE56</f>
        <v>-34</v>
      </c>
      <c r="AF57" s="2089">
        <f t="shared" si="87"/>
        <v>-41</v>
      </c>
      <c r="AG57" s="2089">
        <f t="shared" si="87"/>
        <v>-25</v>
      </c>
      <c r="AH57" s="2089">
        <f t="shared" si="87"/>
        <v>-32</v>
      </c>
      <c r="AI57" s="2090">
        <f t="shared" si="87"/>
        <v>-12</v>
      </c>
      <c r="AJ57" s="2738">
        <f t="shared" si="87"/>
        <v>-30</v>
      </c>
      <c r="AK57" s="2089">
        <f t="shared" si="87"/>
        <v>-22</v>
      </c>
      <c r="AL57" s="2089">
        <f t="shared" si="87"/>
        <v>-21</v>
      </c>
      <c r="AM57" s="2090">
        <f t="shared" si="87"/>
        <v>-11</v>
      </c>
      <c r="AN57" s="2089">
        <f t="shared" ref="AN57:AU57" si="88">+AN58-AN56</f>
        <v>-10</v>
      </c>
      <c r="AO57" s="2089">
        <f t="shared" si="88"/>
        <v>26</v>
      </c>
      <c r="AP57" s="2089">
        <f t="shared" si="88"/>
        <v>0</v>
      </c>
      <c r="AQ57" s="2089">
        <f t="shared" si="88"/>
        <v>-1</v>
      </c>
      <c r="AR57" s="2089">
        <f t="shared" si="88"/>
        <v>-17</v>
      </c>
      <c r="AS57" s="2089">
        <f t="shared" si="88"/>
        <v>343</v>
      </c>
      <c r="AT57" s="2089">
        <f t="shared" si="88"/>
        <v>-26</v>
      </c>
      <c r="AU57" s="2089">
        <f t="shared" si="88"/>
        <v>151</v>
      </c>
      <c r="AV57" s="2089">
        <f>+AV58-AV56</f>
        <v>0</v>
      </c>
      <c r="AW57" s="2089">
        <f>+AW58-AW56</f>
        <v>0</v>
      </c>
      <c r="AX57" s="2089">
        <f>+AX58-AX56</f>
        <v>0</v>
      </c>
      <c r="AY57" s="2089">
        <f>+AY58-AY56</f>
        <v>0</v>
      </c>
      <c r="AZ57" s="292"/>
      <c r="BA57" s="292"/>
      <c r="BB57" s="292"/>
      <c r="BC57" s="292"/>
      <c r="BD57" s="292"/>
      <c r="BE57" s="292"/>
      <c r="BF57" s="292"/>
      <c r="BG57" s="292"/>
      <c r="BH57" s="292"/>
      <c r="BI57" s="292"/>
      <c r="BJ57" s="292"/>
      <c r="BK57" s="292"/>
      <c r="BL57" s="292"/>
      <c r="BM57" s="292"/>
      <c r="BN57" s="292"/>
      <c r="BO57" s="292"/>
      <c r="BP57" s="292"/>
      <c r="BQ57" s="292"/>
      <c r="BR57" s="292"/>
      <c r="BS57" s="292"/>
      <c r="BT57" s="292"/>
      <c r="BU57" s="292"/>
      <c r="BV57" s="292"/>
      <c r="BW57" s="292"/>
      <c r="BX57" s="292"/>
      <c r="BY57" s="292"/>
      <c r="BZ57" s="292"/>
      <c r="CA57" s="292"/>
      <c r="CB57" s="292"/>
      <c r="CC57" s="292"/>
      <c r="CD57" s="292"/>
      <c r="CE57" s="292"/>
      <c r="CF57" s="292"/>
      <c r="CG57" s="292"/>
      <c r="CH57" s="292"/>
      <c r="CI57" s="292"/>
      <c r="CJ57" s="292"/>
      <c r="CK57" s="292"/>
      <c r="CL57" s="292"/>
      <c r="CM57" s="292"/>
      <c r="CN57" s="292"/>
      <c r="CO57" s="292"/>
      <c r="CP57" s="292"/>
      <c r="CQ57" s="292"/>
      <c r="CR57" s="292"/>
      <c r="CS57" s="292"/>
      <c r="CT57" s="292"/>
      <c r="CU57" s="292"/>
      <c r="CV57" s="292"/>
      <c r="CW57" s="292"/>
      <c r="CX57" s="292"/>
      <c r="CY57" s="292"/>
      <c r="CZ57" s="292"/>
      <c r="DA57" s="292"/>
      <c r="DB57" s="292"/>
      <c r="DC57" s="292"/>
      <c r="DD57" s="292"/>
      <c r="DE57" s="292"/>
      <c r="DF57" s="292"/>
      <c r="DG57" s="292"/>
      <c r="DH57" s="292"/>
      <c r="DI57" s="292"/>
      <c r="DJ57" s="292"/>
      <c r="DK57" s="292"/>
      <c r="DL57" s="292"/>
      <c r="DM57" s="292"/>
      <c r="DN57" s="292"/>
      <c r="DO57" s="292"/>
    </row>
    <row r="58" spans="1:119" customFormat="1" ht="12.75" customHeight="1">
      <c r="A58" s="650" t="s">
        <v>438</v>
      </c>
      <c r="B58" s="650"/>
      <c r="C58" s="650"/>
      <c r="D58" s="650"/>
      <c r="E58" s="2095">
        <v>0</v>
      </c>
      <c r="F58" s="2095">
        <f>W58</f>
        <v>712</v>
      </c>
      <c r="G58" s="2095">
        <f>+AA58</f>
        <v>734</v>
      </c>
      <c r="H58" s="2095">
        <f>+AE58</f>
        <v>619</v>
      </c>
      <c r="I58" s="2095">
        <f>+AI58</f>
        <v>509</v>
      </c>
      <c r="J58" s="2095">
        <f>+AM58</f>
        <v>425</v>
      </c>
      <c r="K58" s="650">
        <f>+AQ58</f>
        <v>440</v>
      </c>
      <c r="L58" s="650">
        <f>+AU58</f>
        <v>891</v>
      </c>
      <c r="M58" s="650">
        <f>+AY58</f>
        <v>891</v>
      </c>
      <c r="N58" s="2095">
        <f>+M58</f>
        <v>891</v>
      </c>
      <c r="O58" s="2095">
        <f t="shared" ref="O58:P60" si="89">N58</f>
        <v>891</v>
      </c>
      <c r="P58" s="2095">
        <f t="shared" si="89"/>
        <v>891</v>
      </c>
      <c r="Q58" s="2095">
        <f t="shared" ref="Q58:R60" si="90">P58</f>
        <v>891</v>
      </c>
      <c r="R58" s="2095">
        <f t="shared" si="90"/>
        <v>891</v>
      </c>
      <c r="S58" s="2565"/>
      <c r="T58" s="2095"/>
      <c r="U58" s="2095"/>
      <c r="V58" s="2095">
        <v>675</v>
      </c>
      <c r="W58" s="2096">
        <v>712</v>
      </c>
      <c r="X58" s="2095">
        <v>811</v>
      </c>
      <c r="Y58" s="2095">
        <v>790</v>
      </c>
      <c r="Z58" s="2095">
        <v>767</v>
      </c>
      <c r="AA58" s="2096">
        <v>734</v>
      </c>
      <c r="AB58" s="2095">
        <v>684</v>
      </c>
      <c r="AC58" s="2095">
        <v>683</v>
      </c>
      <c r="AD58" s="2095">
        <v>653</v>
      </c>
      <c r="AE58" s="2096">
        <v>619</v>
      </c>
      <c r="AF58" s="2095">
        <v>578</v>
      </c>
      <c r="AG58" s="2095">
        <v>553</v>
      </c>
      <c r="AH58" s="2095">
        <v>521</v>
      </c>
      <c r="AI58" s="2096">
        <v>509</v>
      </c>
      <c r="AJ58" s="2935">
        <v>479</v>
      </c>
      <c r="AK58" s="2934">
        <v>457</v>
      </c>
      <c r="AL58" s="2934">
        <v>436</v>
      </c>
      <c r="AM58" s="2936">
        <v>425</v>
      </c>
      <c r="AN58" s="2934">
        <v>415</v>
      </c>
      <c r="AO58" s="2934">
        <v>441</v>
      </c>
      <c r="AP58" s="2934">
        <f>+AO58</f>
        <v>441</v>
      </c>
      <c r="AQ58" s="2934">
        <v>440</v>
      </c>
      <c r="AR58" s="2934">
        <v>423</v>
      </c>
      <c r="AS58" s="2934">
        <v>766</v>
      </c>
      <c r="AT58" s="2934">
        <v>740</v>
      </c>
      <c r="AU58" s="2934">
        <v>891</v>
      </c>
      <c r="AV58" s="2934">
        <f>+AU58</f>
        <v>891</v>
      </c>
      <c r="AW58" s="2934">
        <f>+AV58</f>
        <v>891</v>
      </c>
      <c r="AX58" s="2934">
        <f>+AW58</f>
        <v>891</v>
      </c>
      <c r="AY58" s="2934">
        <f>+AX58</f>
        <v>891</v>
      </c>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2"/>
      <c r="BW58" s="292"/>
      <c r="BX58" s="292"/>
      <c r="BY58" s="292"/>
      <c r="BZ58" s="292"/>
      <c r="CA58" s="292"/>
      <c r="CB58" s="292"/>
      <c r="CC58" s="292"/>
      <c r="CD58" s="292"/>
      <c r="CE58" s="292"/>
      <c r="CF58" s="292"/>
      <c r="CG58" s="292"/>
      <c r="CH58" s="292"/>
      <c r="CI58" s="292"/>
      <c r="CJ58" s="292"/>
      <c r="CK58" s="292"/>
      <c r="CL58" s="292"/>
      <c r="CM58" s="292"/>
      <c r="CN58" s="292"/>
      <c r="CO58" s="292"/>
      <c r="CP58" s="292"/>
      <c r="CQ58" s="292"/>
      <c r="CR58" s="292"/>
      <c r="CS58" s="292"/>
      <c r="CT58" s="292"/>
      <c r="CU58" s="292"/>
      <c r="CV58" s="292"/>
      <c r="CW58" s="292"/>
      <c r="CX58" s="292"/>
      <c r="CY58" s="292"/>
      <c r="CZ58" s="292"/>
      <c r="DA58" s="292"/>
      <c r="DB58" s="292"/>
      <c r="DC58" s="292"/>
      <c r="DD58" s="292"/>
      <c r="DE58" s="292"/>
      <c r="DF58" s="292"/>
      <c r="DG58" s="292"/>
      <c r="DH58" s="292"/>
      <c r="DI58" s="292"/>
      <c r="DJ58" s="292"/>
      <c r="DK58" s="292"/>
      <c r="DL58" s="292"/>
      <c r="DM58" s="292"/>
      <c r="DN58" s="292"/>
      <c r="DO58" s="292"/>
    </row>
    <row r="59" spans="1:119" customFormat="1" ht="12.75" customHeight="1">
      <c r="A59" s="399"/>
      <c r="B59" s="399"/>
      <c r="C59" s="399"/>
      <c r="D59" s="399"/>
      <c r="E59" s="399"/>
      <c r="F59" s="399"/>
      <c r="G59" s="399">
        <f>+AA59</f>
        <v>0</v>
      </c>
      <c r="H59" s="399">
        <f>+AB59</f>
        <v>0</v>
      </c>
      <c r="I59" s="399">
        <f>+AI59</f>
        <v>0</v>
      </c>
      <c r="J59" s="399">
        <f>+AM59</f>
        <v>0</v>
      </c>
      <c r="K59" s="399">
        <f t="shared" ref="K59:N60" si="91">J59</f>
        <v>0</v>
      </c>
      <c r="L59" s="399">
        <f t="shared" si="91"/>
        <v>0</v>
      </c>
      <c r="M59" s="2634">
        <f t="shared" si="91"/>
        <v>0</v>
      </c>
      <c r="N59" s="399">
        <f t="shared" si="91"/>
        <v>0</v>
      </c>
      <c r="O59" s="399">
        <f t="shared" si="89"/>
        <v>0</v>
      </c>
      <c r="P59" s="399">
        <f t="shared" si="89"/>
        <v>0</v>
      </c>
      <c r="Q59" s="2634">
        <f t="shared" si="90"/>
        <v>0</v>
      </c>
      <c r="R59" s="2634">
        <f t="shared" si="90"/>
        <v>0</v>
      </c>
      <c r="S59" s="2563"/>
      <c r="T59" s="399"/>
      <c r="U59" s="399"/>
      <c r="V59" s="399"/>
      <c r="W59" s="400"/>
      <c r="X59" s="399"/>
      <c r="Y59" s="399"/>
      <c r="Z59" s="399"/>
      <c r="AA59" s="400"/>
      <c r="AB59" s="399"/>
      <c r="AC59" s="399"/>
      <c r="AD59" s="399"/>
      <c r="AE59" s="400"/>
      <c r="AF59" s="399"/>
      <c r="AG59" s="399"/>
      <c r="AH59" s="399"/>
      <c r="AI59" s="400"/>
      <c r="AJ59" s="407"/>
      <c r="AK59" s="399"/>
      <c r="AL59" s="399"/>
      <c r="AM59" s="400"/>
      <c r="AN59" s="399"/>
      <c r="AO59" s="399"/>
      <c r="AP59" s="399"/>
      <c r="AQ59" s="399"/>
      <c r="AR59" s="399"/>
      <c r="AS59" s="399"/>
      <c r="AT59" s="399"/>
      <c r="AU59" s="399"/>
      <c r="AV59" s="2634"/>
      <c r="AW59" s="2634"/>
      <c r="AX59" s="2634"/>
      <c r="AY59" s="2634"/>
      <c r="AZ59" s="292"/>
      <c r="BA59" s="292"/>
      <c r="BB59" s="292"/>
      <c r="BC59" s="292"/>
      <c r="BD59" s="292"/>
      <c r="BE59" s="292"/>
      <c r="BF59" s="292"/>
      <c r="BG59" s="292"/>
      <c r="BH59" s="292"/>
      <c r="BI59" s="292"/>
      <c r="BJ59" s="292"/>
      <c r="BK59" s="292"/>
      <c r="BL59" s="292"/>
      <c r="BM59" s="292"/>
      <c r="BN59" s="292"/>
      <c r="BO59" s="292"/>
      <c r="BP59" s="292"/>
      <c r="BQ59" s="292"/>
      <c r="BR59" s="292"/>
      <c r="BS59" s="292"/>
      <c r="BT59" s="292"/>
      <c r="BU59" s="292"/>
      <c r="BV59" s="292"/>
      <c r="BW59" s="292"/>
      <c r="BX59" s="292"/>
      <c r="BY59" s="292"/>
      <c r="BZ59" s="292"/>
      <c r="CA59" s="292"/>
      <c r="CB59" s="292"/>
      <c r="CC59" s="292"/>
      <c r="CD59" s="292"/>
      <c r="CE59" s="292"/>
      <c r="CF59" s="292"/>
      <c r="CG59" s="292"/>
      <c r="CH59" s="292"/>
      <c r="CI59" s="292"/>
      <c r="CJ59" s="292"/>
      <c r="CK59" s="292"/>
      <c r="CL59" s="292"/>
      <c r="CM59" s="292"/>
      <c r="CN59" s="292"/>
      <c r="CO59" s="292"/>
      <c r="CP59" s="292"/>
      <c r="CQ59" s="292"/>
      <c r="CR59" s="292"/>
      <c r="CS59" s="292"/>
      <c r="CT59" s="292"/>
      <c r="CU59" s="292"/>
      <c r="CV59" s="292"/>
      <c r="CW59" s="292"/>
      <c r="CX59" s="292"/>
      <c r="CY59" s="292"/>
      <c r="CZ59" s="292"/>
      <c r="DA59" s="292"/>
      <c r="DB59" s="292"/>
      <c r="DC59" s="292"/>
      <c r="DD59" s="292"/>
      <c r="DE59" s="292"/>
      <c r="DF59" s="292"/>
      <c r="DG59" s="292"/>
      <c r="DH59" s="292"/>
      <c r="DI59" s="292"/>
      <c r="DJ59" s="292"/>
      <c r="DK59" s="292"/>
      <c r="DL59" s="292"/>
      <c r="DM59" s="292"/>
      <c r="DN59" s="292"/>
      <c r="DO59" s="292"/>
    </row>
    <row r="60" spans="1:119" customFormat="1" ht="12.75" customHeight="1">
      <c r="A60" s="2075" t="s">
        <v>721</v>
      </c>
      <c r="B60" s="2075"/>
      <c r="C60" s="2075"/>
      <c r="D60" s="2075"/>
      <c r="E60" s="2075"/>
      <c r="F60" s="2075"/>
      <c r="G60" s="2075">
        <f>+AA60</f>
        <v>0</v>
      </c>
      <c r="H60" s="2075">
        <f>+AB60</f>
        <v>0</v>
      </c>
      <c r="I60" s="2075">
        <f>+AI60</f>
        <v>0</v>
      </c>
      <c r="J60" s="2075">
        <f>+AM60</f>
        <v>0</v>
      </c>
      <c r="K60" s="2075">
        <f t="shared" si="91"/>
        <v>0</v>
      </c>
      <c r="L60" s="2075">
        <f t="shared" si="91"/>
        <v>0</v>
      </c>
      <c r="M60" s="2075">
        <f t="shared" si="91"/>
        <v>0</v>
      </c>
      <c r="N60" s="2075">
        <f t="shared" si="91"/>
        <v>0</v>
      </c>
      <c r="O60" s="2075">
        <f t="shared" si="89"/>
        <v>0</v>
      </c>
      <c r="P60" s="2075">
        <f t="shared" si="89"/>
        <v>0</v>
      </c>
      <c r="Q60" s="2075">
        <f t="shared" si="90"/>
        <v>0</v>
      </c>
      <c r="R60" s="2075">
        <f t="shared" si="90"/>
        <v>0</v>
      </c>
      <c r="S60" s="2563"/>
      <c r="T60" s="2075"/>
      <c r="U60" s="2075"/>
      <c r="V60" s="2075"/>
      <c r="W60" s="2094"/>
      <c r="X60" s="2075"/>
      <c r="Y60" s="2075"/>
      <c r="Z60" s="2075"/>
      <c r="AA60" s="2094"/>
      <c r="AB60" s="2075"/>
      <c r="AC60" s="2075"/>
      <c r="AD60" s="2075"/>
      <c r="AE60" s="2094"/>
      <c r="AF60" s="2075"/>
      <c r="AG60" s="2075"/>
      <c r="AH60" s="2075"/>
      <c r="AI60" s="2094"/>
      <c r="AJ60" s="2736"/>
      <c r="AK60" s="2075"/>
      <c r="AL60" s="2075"/>
      <c r="AM60" s="2094"/>
      <c r="AN60" s="2075"/>
      <c r="AO60" s="2075"/>
      <c r="AP60" s="2075"/>
      <c r="AQ60" s="2075"/>
      <c r="AR60" s="2075"/>
      <c r="AS60" s="2075"/>
      <c r="AT60" s="2075"/>
      <c r="AU60" s="2075"/>
      <c r="AV60" s="2075"/>
      <c r="AW60" s="2075"/>
      <c r="AX60" s="2075"/>
      <c r="AY60" s="2075"/>
      <c r="AZ60" s="292"/>
      <c r="BA60" s="292"/>
      <c r="BB60" s="292"/>
      <c r="BC60" s="292"/>
      <c r="BD60" s="292"/>
      <c r="BE60" s="292"/>
      <c r="BF60" s="292"/>
      <c r="BG60" s="292"/>
      <c r="BH60" s="292"/>
      <c r="BI60" s="292"/>
      <c r="BJ60" s="292"/>
      <c r="BK60" s="292"/>
      <c r="BL60" s="292"/>
      <c r="BM60" s="292"/>
      <c r="BN60" s="292"/>
      <c r="BO60" s="292"/>
      <c r="BP60" s="292"/>
      <c r="BQ60" s="292"/>
      <c r="BR60" s="292"/>
      <c r="BS60" s="292"/>
      <c r="BT60" s="292"/>
      <c r="BU60" s="292"/>
      <c r="BV60" s="292"/>
      <c r="BW60" s="292"/>
      <c r="BX60" s="292"/>
      <c r="BY60" s="292"/>
      <c r="BZ60" s="292"/>
      <c r="CA60" s="292"/>
      <c r="CB60" s="292"/>
      <c r="CC60" s="292"/>
      <c r="CD60" s="292"/>
      <c r="CE60" s="292"/>
      <c r="CF60" s="292"/>
      <c r="CG60" s="292"/>
      <c r="CH60" s="292"/>
      <c r="CI60" s="292"/>
      <c r="CJ60" s="292"/>
      <c r="CK60" s="292"/>
      <c r="CL60" s="292"/>
      <c r="CM60" s="292"/>
      <c r="CN60" s="292"/>
      <c r="CO60" s="292"/>
      <c r="CP60" s="292"/>
      <c r="CQ60" s="292"/>
      <c r="CR60" s="292"/>
      <c r="CS60" s="292"/>
      <c r="CT60" s="292"/>
      <c r="CU60" s="292"/>
      <c r="CV60" s="292"/>
      <c r="CW60" s="292"/>
      <c r="CX60" s="292"/>
      <c r="CY60" s="292"/>
      <c r="CZ60" s="292"/>
      <c r="DA60" s="292"/>
      <c r="DB60" s="292"/>
      <c r="DC60" s="292"/>
      <c r="DD60" s="292"/>
      <c r="DE60" s="292"/>
      <c r="DF60" s="292"/>
      <c r="DG60" s="292"/>
      <c r="DH60" s="292"/>
      <c r="DI60" s="292"/>
      <c r="DJ60" s="292"/>
      <c r="DK60" s="292"/>
      <c r="DL60" s="292"/>
      <c r="DM60" s="292"/>
      <c r="DN60" s="292"/>
      <c r="DO60" s="292"/>
    </row>
    <row r="61" spans="1:119" customFormat="1" ht="12.75" customHeight="1">
      <c r="A61" s="650" t="s">
        <v>436</v>
      </c>
      <c r="B61" s="650"/>
      <c r="C61" s="650"/>
      <c r="D61" s="650"/>
      <c r="E61" s="650"/>
      <c r="F61" s="650">
        <f t="shared" ref="F61:N61" si="92">+E63</f>
        <v>-173</v>
      </c>
      <c r="G61" s="650">
        <f t="shared" si="92"/>
        <v>269</v>
      </c>
      <c r="H61" s="650">
        <f t="shared" si="92"/>
        <v>18</v>
      </c>
      <c r="I61" s="650">
        <f t="shared" si="92"/>
        <v>-78</v>
      </c>
      <c r="J61" s="650">
        <f t="shared" si="92"/>
        <v>-111</v>
      </c>
      <c r="K61" s="650">
        <f t="shared" si="92"/>
        <v>-304</v>
      </c>
      <c r="L61" s="650">
        <f>+K63</f>
        <v>-326</v>
      </c>
      <c r="M61" s="650">
        <f>+L63</f>
        <v>-327</v>
      </c>
      <c r="N61" s="650">
        <f t="shared" si="92"/>
        <v>-327</v>
      </c>
      <c r="O61" s="650">
        <f>+N63</f>
        <v>-327</v>
      </c>
      <c r="P61" s="650">
        <f>+O63</f>
        <v>-327</v>
      </c>
      <c r="Q61" s="650">
        <f>+P63</f>
        <v>-327</v>
      </c>
      <c r="R61" s="650">
        <f>+Q63</f>
        <v>-327</v>
      </c>
      <c r="S61" s="2564"/>
      <c r="T61" s="650"/>
      <c r="U61" s="650"/>
      <c r="V61" s="650">
        <f t="shared" ref="V61:AD61" si="93">+U63</f>
        <v>418</v>
      </c>
      <c r="W61" s="649">
        <f t="shared" si="93"/>
        <v>365</v>
      </c>
      <c r="X61" s="650">
        <f t="shared" si="93"/>
        <v>269</v>
      </c>
      <c r="Y61" s="650">
        <f t="shared" si="93"/>
        <v>231</v>
      </c>
      <c r="Z61" s="650">
        <f t="shared" si="93"/>
        <v>90</v>
      </c>
      <c r="AA61" s="649">
        <f t="shared" si="93"/>
        <v>71</v>
      </c>
      <c r="AB61" s="650">
        <f t="shared" si="93"/>
        <v>18</v>
      </c>
      <c r="AC61" s="650">
        <f t="shared" si="93"/>
        <v>2</v>
      </c>
      <c r="AD61" s="650">
        <f t="shared" si="93"/>
        <v>-14</v>
      </c>
      <c r="AE61" s="649">
        <f t="shared" ref="AE61:AM61" si="94">+AD63</f>
        <v>-26</v>
      </c>
      <c r="AF61" s="650">
        <f t="shared" si="94"/>
        <v>-78</v>
      </c>
      <c r="AG61" s="650">
        <f t="shared" si="94"/>
        <v>-88</v>
      </c>
      <c r="AH61" s="650">
        <f t="shared" si="94"/>
        <v>-98</v>
      </c>
      <c r="AI61" s="649">
        <f t="shared" si="94"/>
        <v>-108</v>
      </c>
      <c r="AJ61" s="2737">
        <f t="shared" si="94"/>
        <v>-111</v>
      </c>
      <c r="AK61" s="650">
        <f t="shared" si="94"/>
        <v>-115</v>
      </c>
      <c r="AL61" s="650">
        <f t="shared" si="94"/>
        <v>-119</v>
      </c>
      <c r="AM61" s="649">
        <f t="shared" si="94"/>
        <v>-121</v>
      </c>
      <c r="AN61" s="650">
        <f t="shared" ref="AN61:AU61" si="95">+AM63</f>
        <v>-304</v>
      </c>
      <c r="AO61" s="650">
        <f t="shared" si="95"/>
        <v>-313</v>
      </c>
      <c r="AP61" s="650">
        <f t="shared" si="95"/>
        <v>-324</v>
      </c>
      <c r="AQ61" s="650">
        <f t="shared" si="95"/>
        <v>-327</v>
      </c>
      <c r="AR61" s="650">
        <f t="shared" si="95"/>
        <v>-326</v>
      </c>
      <c r="AS61" s="650">
        <f t="shared" si="95"/>
        <v>-325</v>
      </c>
      <c r="AT61" s="650">
        <f t="shared" si="95"/>
        <v>-372</v>
      </c>
      <c r="AU61" s="650">
        <f t="shared" si="95"/>
        <v>-367</v>
      </c>
      <c r="AV61" s="650">
        <f>+AU63</f>
        <v>-327</v>
      </c>
      <c r="AW61" s="650">
        <f>+AV63</f>
        <v>-327</v>
      </c>
      <c r="AX61" s="650">
        <f>+AW63</f>
        <v>-327</v>
      </c>
      <c r="AY61" s="650">
        <f>+AX63</f>
        <v>-327</v>
      </c>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2"/>
      <c r="BW61" s="292"/>
      <c r="BX61" s="292"/>
      <c r="BY61" s="292"/>
      <c r="BZ61" s="292"/>
      <c r="CA61" s="292"/>
      <c r="CB61" s="292"/>
      <c r="CC61" s="292"/>
      <c r="CD61" s="292"/>
      <c r="CE61" s="292"/>
      <c r="CF61" s="292"/>
      <c r="CG61" s="292"/>
      <c r="CH61" s="292"/>
      <c r="CI61" s="292"/>
      <c r="CJ61" s="292"/>
      <c r="CK61" s="292"/>
      <c r="CL61" s="292"/>
      <c r="CM61" s="292"/>
      <c r="CN61" s="292"/>
      <c r="CO61" s="292"/>
      <c r="CP61" s="292"/>
      <c r="CQ61" s="292"/>
      <c r="CR61" s="292"/>
      <c r="CS61" s="292"/>
      <c r="CT61" s="292"/>
      <c r="CU61" s="292"/>
      <c r="CV61" s="292"/>
      <c r="CW61" s="292"/>
      <c r="CX61" s="292"/>
      <c r="CY61" s="292"/>
      <c r="CZ61" s="292"/>
      <c r="DA61" s="292"/>
      <c r="DB61" s="292"/>
      <c r="DC61" s="292"/>
      <c r="DD61" s="292"/>
      <c r="DE61" s="292"/>
      <c r="DF61" s="292"/>
      <c r="DG61" s="292"/>
      <c r="DH61" s="292"/>
      <c r="DI61" s="292"/>
      <c r="DJ61" s="292"/>
      <c r="DK61" s="292"/>
      <c r="DL61" s="292"/>
      <c r="DM61" s="292"/>
      <c r="DN61" s="292"/>
      <c r="DO61" s="292"/>
    </row>
    <row r="62" spans="1:119" customFormat="1" ht="12.75" customHeight="1">
      <c r="A62" s="2089" t="s">
        <v>437</v>
      </c>
      <c r="B62" s="2089"/>
      <c r="C62" s="2089"/>
      <c r="D62" s="2089"/>
      <c r="E62" s="2089"/>
      <c r="F62" s="2089">
        <f>+F63-F61</f>
        <v>442</v>
      </c>
      <c r="G62" s="2089">
        <f t="shared" ref="G62:N62" si="96">+G63-F63</f>
        <v>-251</v>
      </c>
      <c r="H62" s="2089">
        <f t="shared" si="96"/>
        <v>-96</v>
      </c>
      <c r="I62" s="2089">
        <f t="shared" si="96"/>
        <v>-33</v>
      </c>
      <c r="J62" s="2089">
        <f t="shared" si="96"/>
        <v>-193</v>
      </c>
      <c r="K62" s="2089">
        <f t="shared" si="96"/>
        <v>-22</v>
      </c>
      <c r="L62" s="2089">
        <f>+L63-K63</f>
        <v>-1</v>
      </c>
      <c r="M62" s="2089">
        <f>+M63-L63</f>
        <v>0</v>
      </c>
      <c r="N62" s="2089">
        <f t="shared" si="96"/>
        <v>0</v>
      </c>
      <c r="O62" s="2089">
        <f>+O63-N63</f>
        <v>0</v>
      </c>
      <c r="P62" s="2089">
        <f>+P63-O63</f>
        <v>0</v>
      </c>
      <c r="Q62" s="2089">
        <f>+Q63-P63</f>
        <v>0</v>
      </c>
      <c r="R62" s="2089">
        <f>+R63-Q63</f>
        <v>0</v>
      </c>
      <c r="S62" s="2564"/>
      <c r="T62" s="2089"/>
      <c r="U62" s="2089"/>
      <c r="V62" s="2089">
        <f t="shared" ref="V62:AD62" si="97">+V63-V61</f>
        <v>-53</v>
      </c>
      <c r="W62" s="2090">
        <f t="shared" si="97"/>
        <v>-96</v>
      </c>
      <c r="X62" s="2089">
        <f t="shared" si="97"/>
        <v>-38</v>
      </c>
      <c r="Y62" s="2089">
        <f t="shared" si="97"/>
        <v>-141</v>
      </c>
      <c r="Z62" s="2089">
        <f t="shared" si="97"/>
        <v>-19</v>
      </c>
      <c r="AA62" s="2090">
        <f t="shared" si="97"/>
        <v>-53</v>
      </c>
      <c r="AB62" s="2089">
        <f t="shared" si="97"/>
        <v>-16</v>
      </c>
      <c r="AC62" s="2089">
        <f t="shared" si="97"/>
        <v>-16</v>
      </c>
      <c r="AD62" s="2089">
        <f t="shared" si="97"/>
        <v>-12</v>
      </c>
      <c r="AE62" s="2090">
        <f t="shared" ref="AE62:AM62" si="98">+AE63-AE61</f>
        <v>-52</v>
      </c>
      <c r="AF62" s="2089">
        <f t="shared" si="98"/>
        <v>-10</v>
      </c>
      <c r="AG62" s="2089">
        <f t="shared" si="98"/>
        <v>-10</v>
      </c>
      <c r="AH62" s="2089">
        <f t="shared" si="98"/>
        <v>-10</v>
      </c>
      <c r="AI62" s="2090">
        <f t="shared" si="98"/>
        <v>-3</v>
      </c>
      <c r="AJ62" s="2738">
        <f t="shared" si="98"/>
        <v>-4</v>
      </c>
      <c r="AK62" s="2089">
        <f t="shared" si="98"/>
        <v>-4</v>
      </c>
      <c r="AL62" s="2089">
        <f t="shared" si="98"/>
        <v>-2</v>
      </c>
      <c r="AM62" s="2090">
        <f t="shared" si="98"/>
        <v>-183</v>
      </c>
      <c r="AN62" s="2089">
        <f t="shared" ref="AN62:AU62" si="99">+AN63-AN61</f>
        <v>-9</v>
      </c>
      <c r="AO62" s="2089">
        <f t="shared" si="99"/>
        <v>-11</v>
      </c>
      <c r="AP62" s="2089">
        <f t="shared" si="99"/>
        <v>-3</v>
      </c>
      <c r="AQ62" s="2089">
        <f t="shared" si="99"/>
        <v>1</v>
      </c>
      <c r="AR62" s="2089">
        <f t="shared" si="99"/>
        <v>1</v>
      </c>
      <c r="AS62" s="2089">
        <f t="shared" si="99"/>
        <v>-47</v>
      </c>
      <c r="AT62" s="2089">
        <f t="shared" si="99"/>
        <v>5</v>
      </c>
      <c r="AU62" s="2089">
        <f t="shared" si="99"/>
        <v>40</v>
      </c>
      <c r="AV62" s="2089">
        <f>+AV63-AV61</f>
        <v>0</v>
      </c>
      <c r="AW62" s="2089">
        <f>+AW63-AW61</f>
        <v>0</v>
      </c>
      <c r="AX62" s="2089">
        <f>+AX63-AX61</f>
        <v>0</v>
      </c>
      <c r="AY62" s="2089">
        <f>+AY63-AY61</f>
        <v>0</v>
      </c>
      <c r="AZ62" s="292"/>
      <c r="BA62" s="292"/>
      <c r="BB62" s="292"/>
      <c r="BC62" s="292"/>
      <c r="BD62" s="292"/>
      <c r="BE62" s="292"/>
      <c r="BF62" s="292"/>
      <c r="BG62" s="292"/>
      <c r="BH62" s="292"/>
      <c r="BI62" s="292"/>
      <c r="BJ62" s="292"/>
      <c r="BK62" s="292"/>
      <c r="BL62" s="292"/>
      <c r="BM62" s="292"/>
      <c r="BN62" s="292"/>
      <c r="BO62" s="292"/>
      <c r="BP62" s="292"/>
      <c r="BQ62" s="292"/>
      <c r="BR62" s="292"/>
      <c r="BS62" s="292"/>
      <c r="BT62" s="292"/>
      <c r="BU62" s="292"/>
      <c r="BV62" s="292"/>
      <c r="BW62" s="292"/>
      <c r="BX62" s="292"/>
      <c r="BY62" s="292"/>
      <c r="BZ62" s="292"/>
      <c r="CA62" s="292"/>
      <c r="CB62" s="292"/>
      <c r="CC62" s="292"/>
      <c r="CD62" s="292"/>
      <c r="CE62" s="292"/>
      <c r="CF62" s="292"/>
      <c r="CG62" s="292"/>
      <c r="CH62" s="292"/>
      <c r="CI62" s="292"/>
      <c r="CJ62" s="292"/>
      <c r="CK62" s="292"/>
      <c r="CL62" s="292"/>
      <c r="CM62" s="292"/>
      <c r="CN62" s="292"/>
      <c r="CO62" s="292"/>
      <c r="CP62" s="292"/>
      <c r="CQ62" s="292"/>
      <c r="CR62" s="292"/>
      <c r="CS62" s="292"/>
      <c r="CT62" s="292"/>
      <c r="CU62" s="292"/>
      <c r="CV62" s="292"/>
      <c r="CW62" s="292"/>
      <c r="CX62" s="292"/>
      <c r="CY62" s="292"/>
      <c r="CZ62" s="292"/>
      <c r="DA62" s="292"/>
      <c r="DB62" s="292"/>
      <c r="DC62" s="292"/>
      <c r="DD62" s="292"/>
      <c r="DE62" s="292"/>
      <c r="DF62" s="292"/>
      <c r="DG62" s="292"/>
      <c r="DH62" s="292"/>
      <c r="DI62" s="292"/>
      <c r="DJ62" s="292"/>
      <c r="DK62" s="292"/>
      <c r="DL62" s="292"/>
      <c r="DM62" s="292"/>
      <c r="DN62" s="292"/>
      <c r="DO62" s="292"/>
    </row>
    <row r="63" spans="1:119" customFormat="1" ht="12.75" customHeight="1">
      <c r="A63" s="650" t="s">
        <v>438</v>
      </c>
      <c r="B63" s="650"/>
      <c r="C63" s="650"/>
      <c r="D63" s="650"/>
      <c r="E63" s="2095">
        <v>-173</v>
      </c>
      <c r="F63" s="2095">
        <f>W63</f>
        <v>269</v>
      </c>
      <c r="G63" s="2095">
        <f>+AA63</f>
        <v>18</v>
      </c>
      <c r="H63" s="2095">
        <f>+AE63</f>
        <v>-78</v>
      </c>
      <c r="I63" s="2095">
        <f>+AI63</f>
        <v>-111</v>
      </c>
      <c r="J63" s="2095">
        <f>+AM63</f>
        <v>-304</v>
      </c>
      <c r="K63" s="2095">
        <f>+AQ63</f>
        <v>-326</v>
      </c>
      <c r="L63" s="2095">
        <f>+AU63</f>
        <v>-327</v>
      </c>
      <c r="M63" s="2095">
        <f>+AY63</f>
        <v>-327</v>
      </c>
      <c r="N63" s="2095">
        <f>M63</f>
        <v>-327</v>
      </c>
      <c r="O63" s="2095">
        <f>N63</f>
        <v>-327</v>
      </c>
      <c r="P63" s="2095">
        <f>O63</f>
        <v>-327</v>
      </c>
      <c r="Q63" s="2095">
        <f>P63</f>
        <v>-327</v>
      </c>
      <c r="R63" s="2095">
        <f>Q63</f>
        <v>-327</v>
      </c>
      <c r="S63" s="2565"/>
      <c r="T63" s="2095"/>
      <c r="U63" s="2095">
        <v>418</v>
      </c>
      <c r="V63" s="2095">
        <v>365</v>
      </c>
      <c r="W63" s="2096">
        <v>269</v>
      </c>
      <c r="X63" s="2095">
        <v>231</v>
      </c>
      <c r="Y63" s="2095">
        <v>90</v>
      </c>
      <c r="Z63" s="2095">
        <v>71</v>
      </c>
      <c r="AA63" s="2096">
        <v>18</v>
      </c>
      <c r="AB63" s="2095">
        <v>2</v>
      </c>
      <c r="AC63" s="2095">
        <v>-14</v>
      </c>
      <c r="AD63" s="2095">
        <v>-26</v>
      </c>
      <c r="AE63" s="2096">
        <v>-78</v>
      </c>
      <c r="AF63" s="2095">
        <v>-88</v>
      </c>
      <c r="AG63" s="2095">
        <v>-98</v>
      </c>
      <c r="AH63" s="2095">
        <v>-108</v>
      </c>
      <c r="AI63" s="2096">
        <v>-111</v>
      </c>
      <c r="AJ63" s="2739">
        <v>-115</v>
      </c>
      <c r="AK63" s="2095">
        <v>-119</v>
      </c>
      <c r="AL63" s="2095">
        <v>-121</v>
      </c>
      <c r="AM63" s="2096">
        <f>-125-179</f>
        <v>-304</v>
      </c>
      <c r="AN63" s="2095">
        <f>-128-185</f>
        <v>-313</v>
      </c>
      <c r="AO63" s="2095">
        <f>-130-194</f>
        <v>-324</v>
      </c>
      <c r="AP63" s="2095">
        <f>-131-196</f>
        <v>-327</v>
      </c>
      <c r="AQ63" s="2095">
        <f>-133-193</f>
        <v>-326</v>
      </c>
      <c r="AR63" s="2095">
        <f>-135-190</f>
        <v>-325</v>
      </c>
      <c r="AS63" s="2095">
        <f>-166-206</f>
        <v>-372</v>
      </c>
      <c r="AT63" s="2095">
        <f>-164-203</f>
        <v>-367</v>
      </c>
      <c r="AU63" s="2095">
        <f>23-350</f>
        <v>-327</v>
      </c>
      <c r="AV63" s="2095">
        <f>+AU63</f>
        <v>-327</v>
      </c>
      <c r="AW63" s="2095">
        <f>+AV63</f>
        <v>-327</v>
      </c>
      <c r="AX63" s="2095">
        <f>+AW63</f>
        <v>-327</v>
      </c>
      <c r="AY63" s="2095">
        <f>+AX63</f>
        <v>-327</v>
      </c>
      <c r="AZ63" s="292"/>
      <c r="BA63" s="292"/>
      <c r="BB63" s="292"/>
      <c r="BC63" s="292"/>
      <c r="BD63" s="292"/>
      <c r="BE63" s="292"/>
      <c r="BF63" s="292"/>
      <c r="BG63" s="292"/>
      <c r="BH63" s="292"/>
      <c r="BI63" s="292"/>
      <c r="BJ63" s="292"/>
      <c r="BK63" s="292"/>
      <c r="BL63" s="292"/>
      <c r="BM63" s="292"/>
      <c r="BN63" s="292"/>
      <c r="BO63" s="292"/>
      <c r="BP63" s="292"/>
      <c r="BQ63" s="292"/>
      <c r="BR63" s="292"/>
      <c r="BS63" s="292"/>
      <c r="BT63" s="292"/>
      <c r="BU63" s="292"/>
      <c r="BV63" s="292"/>
      <c r="BW63" s="292"/>
      <c r="BX63" s="292"/>
      <c r="BY63" s="292"/>
      <c r="BZ63" s="292"/>
      <c r="CA63" s="292"/>
      <c r="CB63" s="292"/>
      <c r="CC63" s="292"/>
      <c r="CD63" s="292"/>
      <c r="CE63" s="292"/>
      <c r="CF63" s="292"/>
      <c r="CG63" s="292"/>
      <c r="CH63" s="292"/>
      <c r="CI63" s="292"/>
      <c r="CJ63" s="292"/>
      <c r="CK63" s="292"/>
      <c r="CL63" s="292"/>
      <c r="CM63" s="292"/>
      <c r="CN63" s="292"/>
      <c r="CO63" s="292"/>
      <c r="CP63" s="292"/>
      <c r="CQ63" s="292"/>
      <c r="CR63" s="292"/>
      <c r="CS63" s="292"/>
      <c r="CT63" s="292"/>
      <c r="CU63" s="292"/>
      <c r="CV63" s="292"/>
      <c r="CW63" s="292"/>
      <c r="CX63" s="292"/>
      <c r="CY63" s="292"/>
      <c r="CZ63" s="292"/>
      <c r="DA63" s="292"/>
      <c r="DB63" s="292"/>
      <c r="DC63" s="292"/>
      <c r="DD63" s="292"/>
      <c r="DE63" s="292"/>
      <c r="DF63" s="292"/>
      <c r="DG63" s="292"/>
      <c r="DH63" s="292"/>
      <c r="DI63" s="292"/>
      <c r="DJ63" s="292"/>
      <c r="DK63" s="292"/>
      <c r="DL63" s="292"/>
      <c r="DM63" s="292"/>
      <c r="DN63" s="292"/>
      <c r="DO63" s="292"/>
    </row>
    <row r="64" spans="1:119" s="3532" customFormat="1" ht="12.75" customHeight="1">
      <c r="A64" s="2634"/>
      <c r="B64" s="2634"/>
      <c r="C64" s="2634"/>
      <c r="D64" s="2634"/>
      <c r="E64" s="2634"/>
      <c r="F64" s="2634"/>
      <c r="G64" s="2634"/>
      <c r="H64" s="2634"/>
      <c r="I64" s="2634"/>
      <c r="J64" s="2634"/>
      <c r="K64" s="2634"/>
      <c r="L64" s="2634"/>
      <c r="M64" s="2634"/>
      <c r="N64" s="2634"/>
      <c r="O64" s="2634"/>
      <c r="P64" s="2634"/>
      <c r="Q64" s="2634"/>
      <c r="R64" s="2634"/>
      <c r="S64" s="2563"/>
      <c r="T64" s="2634"/>
      <c r="U64" s="2634"/>
      <c r="V64" s="2634"/>
      <c r="W64" s="2596"/>
      <c r="X64" s="2634"/>
      <c r="Y64" s="2634"/>
      <c r="Z64" s="2634"/>
      <c r="AA64" s="2596"/>
      <c r="AB64" s="2634"/>
      <c r="AC64" s="2634"/>
      <c r="AD64" s="2634"/>
      <c r="AE64" s="2596"/>
      <c r="AF64" s="2634"/>
      <c r="AG64" s="2634"/>
      <c r="AH64" s="2634"/>
      <c r="AI64" s="2596"/>
      <c r="AJ64" s="2243"/>
      <c r="AK64" s="2634"/>
      <c r="AL64" s="2634"/>
      <c r="AM64" s="2596"/>
      <c r="AN64" s="2634"/>
      <c r="AO64" s="2634"/>
      <c r="AP64" s="2634"/>
      <c r="AQ64" s="2634"/>
      <c r="AR64" s="2634"/>
      <c r="AS64" s="2634"/>
      <c r="AT64" s="2634"/>
      <c r="AU64" s="2634"/>
      <c r="AV64" s="2634"/>
      <c r="AW64" s="2634"/>
      <c r="AX64" s="2634"/>
      <c r="AY64" s="2634"/>
      <c r="AZ64" s="2248"/>
      <c r="BA64" s="2248"/>
      <c r="BB64" s="2248"/>
      <c r="BC64" s="2248"/>
      <c r="BD64" s="2248"/>
      <c r="BE64" s="2248"/>
      <c r="BF64" s="2248"/>
      <c r="BG64" s="2248"/>
      <c r="BH64" s="2248"/>
      <c r="BI64" s="2248"/>
      <c r="BJ64" s="2248"/>
      <c r="BK64" s="2248"/>
      <c r="BL64" s="2248"/>
      <c r="BM64" s="2248"/>
      <c r="BN64" s="2248"/>
      <c r="BO64" s="2248"/>
      <c r="BP64" s="2248"/>
      <c r="BQ64" s="2248"/>
      <c r="BR64" s="2248"/>
      <c r="BS64" s="2248"/>
      <c r="BT64" s="2248"/>
      <c r="BU64" s="2248"/>
      <c r="BV64" s="2248"/>
      <c r="BW64" s="2248"/>
      <c r="BX64" s="2248"/>
      <c r="BY64" s="2248"/>
      <c r="BZ64" s="2248"/>
      <c r="CA64" s="2248"/>
      <c r="CB64" s="2248"/>
      <c r="CC64" s="2248"/>
      <c r="CD64" s="2248"/>
      <c r="CE64" s="2248"/>
      <c r="CF64" s="2248"/>
      <c r="CG64" s="2248"/>
      <c r="CH64" s="2248"/>
      <c r="CI64" s="2248"/>
      <c r="CJ64" s="2248"/>
      <c r="CK64" s="2248"/>
      <c r="CL64" s="2248"/>
      <c r="CM64" s="2248"/>
      <c r="CN64" s="2248"/>
      <c r="CO64" s="2248"/>
      <c r="CP64" s="2248"/>
      <c r="CQ64" s="2248"/>
      <c r="CR64" s="2248"/>
      <c r="CS64" s="2248"/>
      <c r="CT64" s="2248"/>
      <c r="CU64" s="2248"/>
      <c r="CV64" s="2248"/>
      <c r="CW64" s="2248"/>
      <c r="CX64" s="2248"/>
      <c r="CY64" s="2248"/>
      <c r="CZ64" s="2248"/>
      <c r="DA64" s="2248"/>
      <c r="DB64" s="2248"/>
      <c r="DC64" s="2248"/>
      <c r="DD64" s="2248"/>
      <c r="DE64" s="2248"/>
      <c r="DF64" s="2248"/>
      <c r="DG64" s="2248"/>
      <c r="DH64" s="2248"/>
      <c r="DI64" s="2248"/>
      <c r="DJ64" s="2248"/>
      <c r="DK64" s="2248"/>
      <c r="DL64" s="2248"/>
      <c r="DM64" s="2248"/>
      <c r="DN64" s="2248"/>
      <c r="DO64" s="2248"/>
    </row>
    <row r="65" spans="1:119" s="3532" customFormat="1" ht="12.75" customHeight="1">
      <c r="A65" s="3534" t="s">
        <v>1964</v>
      </c>
      <c r="B65" s="2075"/>
      <c r="C65" s="2075"/>
      <c r="D65" s="2075"/>
      <c r="E65" s="2075"/>
      <c r="F65" s="2075"/>
      <c r="G65" s="2075"/>
      <c r="H65" s="2075"/>
      <c r="I65" s="2075"/>
      <c r="J65" s="2075"/>
      <c r="K65" s="2075"/>
      <c r="L65" s="2075">
        <f t="shared" ref="L65:R65" si="100">K65</f>
        <v>0</v>
      </c>
      <c r="M65" s="2075">
        <f t="shared" si="100"/>
        <v>0</v>
      </c>
      <c r="N65" s="2075">
        <f t="shared" si="100"/>
        <v>0</v>
      </c>
      <c r="O65" s="2075">
        <f t="shared" si="100"/>
        <v>0</v>
      </c>
      <c r="P65" s="2075">
        <f t="shared" si="100"/>
        <v>0</v>
      </c>
      <c r="Q65" s="2075">
        <f t="shared" si="100"/>
        <v>0</v>
      </c>
      <c r="R65" s="2075">
        <f t="shared" si="100"/>
        <v>0</v>
      </c>
      <c r="S65" s="2563"/>
      <c r="T65" s="2075"/>
      <c r="U65" s="2075"/>
      <c r="V65" s="2075"/>
      <c r="W65" s="2094"/>
      <c r="X65" s="2075"/>
      <c r="Y65" s="2075"/>
      <c r="Z65" s="2075"/>
      <c r="AA65" s="2094"/>
      <c r="AB65" s="2075"/>
      <c r="AC65" s="2075"/>
      <c r="AD65" s="2075"/>
      <c r="AE65" s="2094"/>
      <c r="AF65" s="2075"/>
      <c r="AG65" s="2075"/>
      <c r="AH65" s="2075"/>
      <c r="AI65" s="2094"/>
      <c r="AJ65" s="2736"/>
      <c r="AK65" s="2075"/>
      <c r="AL65" s="2075"/>
      <c r="AM65" s="2094"/>
      <c r="AN65" s="2075"/>
      <c r="AO65" s="2075"/>
      <c r="AP65" s="2075"/>
      <c r="AQ65" s="2075"/>
      <c r="AR65" s="2075"/>
      <c r="AS65" s="2075"/>
      <c r="AT65" s="2075"/>
      <c r="AU65" s="2075"/>
      <c r="AV65" s="2075"/>
      <c r="AW65" s="2075"/>
      <c r="AX65" s="2075"/>
      <c r="AY65" s="2075"/>
      <c r="AZ65" s="2248"/>
      <c r="BA65" s="2248"/>
      <c r="BB65" s="2248"/>
      <c r="BC65" s="2248"/>
      <c r="BD65" s="2248"/>
      <c r="BE65" s="2248"/>
      <c r="BF65" s="2248"/>
      <c r="BG65" s="2248"/>
      <c r="BH65" s="2248"/>
      <c r="BI65" s="2248"/>
      <c r="BJ65" s="2248"/>
      <c r="BK65" s="2248"/>
      <c r="BL65" s="2248"/>
      <c r="BM65" s="2248"/>
      <c r="BN65" s="2248"/>
      <c r="BO65" s="2248"/>
      <c r="BP65" s="2248"/>
      <c r="BQ65" s="2248"/>
      <c r="BR65" s="2248"/>
      <c r="BS65" s="2248"/>
      <c r="BT65" s="2248"/>
      <c r="BU65" s="2248"/>
      <c r="BV65" s="2248"/>
      <c r="BW65" s="2248"/>
      <c r="BX65" s="2248"/>
      <c r="BY65" s="2248"/>
      <c r="BZ65" s="2248"/>
      <c r="CA65" s="2248"/>
      <c r="CB65" s="2248"/>
      <c r="CC65" s="2248"/>
      <c r="CD65" s="2248"/>
      <c r="CE65" s="2248"/>
      <c r="CF65" s="2248"/>
      <c r="CG65" s="2248"/>
      <c r="CH65" s="2248"/>
      <c r="CI65" s="2248"/>
      <c r="CJ65" s="2248"/>
      <c r="CK65" s="2248"/>
      <c r="CL65" s="2248"/>
      <c r="CM65" s="2248"/>
      <c r="CN65" s="2248"/>
      <c r="CO65" s="2248"/>
      <c r="CP65" s="2248"/>
      <c r="CQ65" s="2248"/>
      <c r="CR65" s="2248"/>
      <c r="CS65" s="2248"/>
      <c r="CT65" s="2248"/>
      <c r="CU65" s="2248"/>
      <c r="CV65" s="2248"/>
      <c r="CW65" s="2248"/>
      <c r="CX65" s="2248"/>
      <c r="CY65" s="2248"/>
      <c r="CZ65" s="2248"/>
      <c r="DA65" s="2248"/>
      <c r="DB65" s="2248"/>
      <c r="DC65" s="2248"/>
      <c r="DD65" s="2248"/>
      <c r="DE65" s="2248"/>
      <c r="DF65" s="2248"/>
      <c r="DG65" s="2248"/>
      <c r="DH65" s="2248"/>
      <c r="DI65" s="2248"/>
      <c r="DJ65" s="2248"/>
      <c r="DK65" s="2248"/>
      <c r="DL65" s="2248"/>
      <c r="DM65" s="2248"/>
      <c r="DN65" s="2248"/>
      <c r="DO65" s="2248"/>
    </row>
    <row r="66" spans="1:119" s="3532" customFormat="1" ht="12.75" customHeight="1">
      <c r="A66" s="650" t="s">
        <v>436</v>
      </c>
      <c r="B66" s="650"/>
      <c r="C66" s="650"/>
      <c r="D66" s="650"/>
      <c r="E66" s="650"/>
      <c r="F66" s="650"/>
      <c r="G66" s="650"/>
      <c r="H66" s="650"/>
      <c r="I66" s="650"/>
      <c r="J66" s="650"/>
      <c r="K66" s="650"/>
      <c r="L66" s="650">
        <f t="shared" ref="L66:R66" si="101">+K68</f>
        <v>0</v>
      </c>
      <c r="M66" s="650">
        <f t="shared" si="101"/>
        <v>8350</v>
      </c>
      <c r="N66" s="650">
        <f t="shared" si="101"/>
        <v>8350</v>
      </c>
      <c r="O66" s="650">
        <f t="shared" si="101"/>
        <v>8350</v>
      </c>
      <c r="P66" s="650">
        <f t="shared" si="101"/>
        <v>8350</v>
      </c>
      <c r="Q66" s="650">
        <f t="shared" si="101"/>
        <v>8350</v>
      </c>
      <c r="R66" s="650">
        <f t="shared" si="101"/>
        <v>8350</v>
      </c>
      <c r="S66" s="2564"/>
      <c r="T66" s="650"/>
      <c r="U66" s="650"/>
      <c r="V66" s="650"/>
      <c r="W66" s="649"/>
      <c r="X66" s="650"/>
      <c r="Y66" s="650"/>
      <c r="Z66" s="650"/>
      <c r="AA66" s="649"/>
      <c r="AB66" s="650"/>
      <c r="AC66" s="650"/>
      <c r="AD66" s="650"/>
      <c r="AE66" s="649"/>
      <c r="AF66" s="650"/>
      <c r="AG66" s="650"/>
      <c r="AH66" s="650"/>
      <c r="AI66" s="649"/>
      <c r="AJ66" s="2737"/>
      <c r="AK66" s="650"/>
      <c r="AL66" s="650"/>
      <c r="AM66" s="649"/>
      <c r="AN66" s="650"/>
      <c r="AO66" s="650"/>
      <c r="AP66" s="650"/>
      <c r="AQ66" s="650"/>
      <c r="AR66" s="650"/>
      <c r="AS66" s="650">
        <f t="shared" ref="AS66:AY66" si="102">+AR68</f>
        <v>0</v>
      </c>
      <c r="AT66" s="650">
        <f t="shared" si="102"/>
        <v>6000</v>
      </c>
      <c r="AU66" s="650">
        <f t="shared" si="102"/>
        <v>6000</v>
      </c>
      <c r="AV66" s="650">
        <f t="shared" si="102"/>
        <v>8350</v>
      </c>
      <c r="AW66" s="650">
        <f t="shared" si="102"/>
        <v>8350</v>
      </c>
      <c r="AX66" s="650">
        <f t="shared" si="102"/>
        <v>8350</v>
      </c>
      <c r="AY66" s="650">
        <f t="shared" si="102"/>
        <v>8350</v>
      </c>
      <c r="AZ66" s="2248"/>
      <c r="BA66" s="2248"/>
      <c r="BB66" s="2248"/>
      <c r="BC66" s="2248"/>
      <c r="BD66" s="2248"/>
      <c r="BE66" s="2248"/>
      <c r="BF66" s="2248"/>
      <c r="BG66" s="2248"/>
      <c r="BH66" s="2248"/>
      <c r="BI66" s="2248"/>
      <c r="BJ66" s="2248"/>
      <c r="BK66" s="2248"/>
      <c r="BL66" s="2248"/>
      <c r="BM66" s="2248"/>
      <c r="BN66" s="2248"/>
      <c r="BO66" s="2248"/>
      <c r="BP66" s="2248"/>
      <c r="BQ66" s="2248"/>
      <c r="BR66" s="2248"/>
      <c r="BS66" s="2248"/>
      <c r="BT66" s="2248"/>
      <c r="BU66" s="2248"/>
      <c r="BV66" s="2248"/>
      <c r="BW66" s="2248"/>
      <c r="BX66" s="2248"/>
      <c r="BY66" s="2248"/>
      <c r="BZ66" s="2248"/>
      <c r="CA66" s="2248"/>
      <c r="CB66" s="2248"/>
      <c r="CC66" s="2248"/>
      <c r="CD66" s="2248"/>
      <c r="CE66" s="2248"/>
      <c r="CF66" s="2248"/>
      <c r="CG66" s="2248"/>
      <c r="CH66" s="2248"/>
      <c r="CI66" s="2248"/>
      <c r="CJ66" s="2248"/>
      <c r="CK66" s="2248"/>
      <c r="CL66" s="2248"/>
      <c r="CM66" s="2248"/>
      <c r="CN66" s="2248"/>
      <c r="CO66" s="2248"/>
      <c r="CP66" s="2248"/>
      <c r="CQ66" s="2248"/>
      <c r="CR66" s="2248"/>
      <c r="CS66" s="2248"/>
      <c r="CT66" s="2248"/>
      <c r="CU66" s="2248"/>
      <c r="CV66" s="2248"/>
      <c r="CW66" s="2248"/>
      <c r="CX66" s="2248"/>
      <c r="CY66" s="2248"/>
      <c r="CZ66" s="2248"/>
      <c r="DA66" s="2248"/>
      <c r="DB66" s="2248"/>
      <c r="DC66" s="2248"/>
      <c r="DD66" s="2248"/>
      <c r="DE66" s="2248"/>
      <c r="DF66" s="2248"/>
      <c r="DG66" s="2248"/>
      <c r="DH66" s="2248"/>
      <c r="DI66" s="2248"/>
      <c r="DJ66" s="2248"/>
      <c r="DK66" s="2248"/>
      <c r="DL66" s="2248"/>
      <c r="DM66" s="2248"/>
      <c r="DN66" s="2248"/>
      <c r="DO66" s="2248"/>
    </row>
    <row r="67" spans="1:119" s="3532" customFormat="1" ht="12.75" customHeight="1">
      <c r="A67" s="2089" t="s">
        <v>437</v>
      </c>
      <c r="B67" s="2089"/>
      <c r="C67" s="2089"/>
      <c r="D67" s="2089"/>
      <c r="E67" s="2089"/>
      <c r="F67" s="2089"/>
      <c r="G67" s="2089"/>
      <c r="H67" s="2089"/>
      <c r="I67" s="2089"/>
      <c r="J67" s="2089"/>
      <c r="K67" s="2089"/>
      <c r="L67" s="2089">
        <f t="shared" ref="L67:R67" si="103">+L68-K68</f>
        <v>8350</v>
      </c>
      <c r="M67" s="2089">
        <f t="shared" si="103"/>
        <v>0</v>
      </c>
      <c r="N67" s="2089">
        <f t="shared" si="103"/>
        <v>0</v>
      </c>
      <c r="O67" s="2089">
        <f t="shared" si="103"/>
        <v>0</v>
      </c>
      <c r="P67" s="2089">
        <f t="shared" si="103"/>
        <v>0</v>
      </c>
      <c r="Q67" s="2089">
        <f t="shared" si="103"/>
        <v>0</v>
      </c>
      <c r="R67" s="2089">
        <f t="shared" si="103"/>
        <v>0</v>
      </c>
      <c r="S67" s="2564"/>
      <c r="T67" s="2089"/>
      <c r="U67" s="2089"/>
      <c r="V67" s="2089"/>
      <c r="W67" s="2090"/>
      <c r="X67" s="2089"/>
      <c r="Y67" s="2089"/>
      <c r="Z67" s="2089"/>
      <c r="AA67" s="2090"/>
      <c r="AB67" s="2089"/>
      <c r="AC67" s="2089"/>
      <c r="AD67" s="2089"/>
      <c r="AE67" s="2090"/>
      <c r="AF67" s="2089"/>
      <c r="AG67" s="2089"/>
      <c r="AH67" s="2089"/>
      <c r="AI67" s="2090"/>
      <c r="AJ67" s="2738"/>
      <c r="AK67" s="2089"/>
      <c r="AL67" s="2089"/>
      <c r="AM67" s="2090"/>
      <c r="AN67" s="2089"/>
      <c r="AO67" s="2089"/>
      <c r="AP67" s="2089"/>
      <c r="AQ67" s="2089"/>
      <c r="AR67" s="2089"/>
      <c r="AS67" s="2089">
        <f t="shared" ref="AS67:AY67" si="104">+AS68-AS66</f>
        <v>6000</v>
      </c>
      <c r="AT67" s="2089">
        <f t="shared" si="104"/>
        <v>0</v>
      </c>
      <c r="AU67" s="2089">
        <f t="shared" si="104"/>
        <v>2350</v>
      </c>
      <c r="AV67" s="2089">
        <f t="shared" si="104"/>
        <v>0</v>
      </c>
      <c r="AW67" s="2089">
        <f t="shared" si="104"/>
        <v>0</v>
      </c>
      <c r="AX67" s="2089">
        <f t="shared" si="104"/>
        <v>0</v>
      </c>
      <c r="AY67" s="2089">
        <f t="shared" si="104"/>
        <v>0</v>
      </c>
      <c r="AZ67" s="2248"/>
      <c r="BA67" s="2248"/>
      <c r="BB67" s="2248"/>
      <c r="BC67" s="2248"/>
      <c r="BD67" s="2248"/>
      <c r="BE67" s="2248"/>
      <c r="BF67" s="2248"/>
      <c r="BG67" s="2248"/>
      <c r="BH67" s="2248"/>
      <c r="BI67" s="2248"/>
      <c r="BJ67" s="2248"/>
      <c r="BK67" s="2248"/>
      <c r="BL67" s="2248"/>
      <c r="BM67" s="2248"/>
      <c r="BN67" s="2248"/>
      <c r="BO67" s="2248"/>
      <c r="BP67" s="2248"/>
      <c r="BQ67" s="2248"/>
      <c r="BR67" s="2248"/>
      <c r="BS67" s="2248"/>
      <c r="BT67" s="2248"/>
      <c r="BU67" s="2248"/>
      <c r="BV67" s="2248"/>
      <c r="BW67" s="2248"/>
      <c r="BX67" s="2248"/>
      <c r="BY67" s="2248"/>
      <c r="BZ67" s="2248"/>
      <c r="CA67" s="2248"/>
      <c r="CB67" s="2248"/>
      <c r="CC67" s="2248"/>
      <c r="CD67" s="2248"/>
      <c r="CE67" s="2248"/>
      <c r="CF67" s="2248"/>
      <c r="CG67" s="2248"/>
      <c r="CH67" s="2248"/>
      <c r="CI67" s="2248"/>
      <c r="CJ67" s="2248"/>
      <c r="CK67" s="2248"/>
      <c r="CL67" s="2248"/>
      <c r="CM67" s="2248"/>
      <c r="CN67" s="2248"/>
      <c r="CO67" s="2248"/>
      <c r="CP67" s="2248"/>
      <c r="CQ67" s="2248"/>
      <c r="CR67" s="2248"/>
      <c r="CS67" s="2248"/>
      <c r="CT67" s="2248"/>
      <c r="CU67" s="2248"/>
      <c r="CV67" s="2248"/>
      <c r="CW67" s="2248"/>
      <c r="CX67" s="2248"/>
      <c r="CY67" s="2248"/>
      <c r="CZ67" s="2248"/>
      <c r="DA67" s="2248"/>
      <c r="DB67" s="2248"/>
      <c r="DC67" s="2248"/>
      <c r="DD67" s="2248"/>
      <c r="DE67" s="2248"/>
      <c r="DF67" s="2248"/>
      <c r="DG67" s="2248"/>
      <c r="DH67" s="2248"/>
      <c r="DI67" s="2248"/>
      <c r="DJ67" s="2248"/>
      <c r="DK67" s="2248"/>
      <c r="DL67" s="2248"/>
      <c r="DM67" s="2248"/>
      <c r="DN67" s="2248"/>
      <c r="DO67" s="2248"/>
    </row>
    <row r="68" spans="1:119" s="3532" customFormat="1" ht="12.75" customHeight="1">
      <c r="A68" s="650" t="s">
        <v>438</v>
      </c>
      <c r="B68" s="650"/>
      <c r="C68" s="650"/>
      <c r="D68" s="650"/>
      <c r="E68" s="2095"/>
      <c r="F68" s="2095"/>
      <c r="G68" s="2095"/>
      <c r="H68" s="2095"/>
      <c r="I68" s="2095"/>
      <c r="J68" s="2095"/>
      <c r="K68" s="2095"/>
      <c r="L68" s="2095">
        <f>+AU68</f>
        <v>8350</v>
      </c>
      <c r="M68" s="2095">
        <f>+AY68</f>
        <v>8350</v>
      </c>
      <c r="N68" s="2095">
        <f>M68</f>
        <v>8350</v>
      </c>
      <c r="O68" s="2095">
        <f>N68</f>
        <v>8350</v>
      </c>
      <c r="P68" s="2095">
        <f>O68</f>
        <v>8350</v>
      </c>
      <c r="Q68" s="2095">
        <f>P68</f>
        <v>8350</v>
      </c>
      <c r="R68" s="2095">
        <f>Q68</f>
        <v>8350</v>
      </c>
      <c r="S68" s="2565"/>
      <c r="T68" s="2095"/>
      <c r="U68" s="2095"/>
      <c r="V68" s="2095"/>
      <c r="W68" s="2096"/>
      <c r="X68" s="2095"/>
      <c r="Y68" s="2095"/>
      <c r="Z68" s="2095"/>
      <c r="AA68" s="2096"/>
      <c r="AB68" s="2095"/>
      <c r="AC68" s="2095"/>
      <c r="AD68" s="2095"/>
      <c r="AE68" s="2096"/>
      <c r="AF68" s="2095"/>
      <c r="AG68" s="2095"/>
      <c r="AH68" s="2095"/>
      <c r="AI68" s="2096"/>
      <c r="AJ68" s="2739"/>
      <c r="AK68" s="2095"/>
      <c r="AL68" s="2095"/>
      <c r="AM68" s="2096"/>
      <c r="AN68" s="2095"/>
      <c r="AO68" s="2095"/>
      <c r="AP68" s="2095"/>
      <c r="AQ68" s="2095"/>
      <c r="AR68" s="2095"/>
      <c r="AS68" s="2934">
        <v>6000</v>
      </c>
      <c r="AT68" s="2934">
        <v>6000</v>
      </c>
      <c r="AU68" s="2095">
        <f>405+1575+370+6000</f>
        <v>8350</v>
      </c>
      <c r="AV68" s="2095">
        <f>+AU68</f>
        <v>8350</v>
      </c>
      <c r="AW68" s="2095">
        <f>+AV68</f>
        <v>8350</v>
      </c>
      <c r="AX68" s="2095">
        <f>+AW68</f>
        <v>8350</v>
      </c>
      <c r="AY68" s="2095">
        <f>+AX68</f>
        <v>8350</v>
      </c>
      <c r="AZ68" s="2248"/>
      <c r="BA68" s="2248"/>
      <c r="BB68" s="2248"/>
      <c r="BC68" s="2248"/>
      <c r="BD68" s="2248"/>
      <c r="BE68" s="2248"/>
      <c r="BF68" s="2248"/>
      <c r="BG68" s="2248"/>
      <c r="BH68" s="2248"/>
      <c r="BI68" s="2248"/>
      <c r="BJ68" s="2248"/>
      <c r="BK68" s="2248"/>
      <c r="BL68" s="2248"/>
      <c r="BM68" s="2248"/>
      <c r="BN68" s="2248"/>
      <c r="BO68" s="2248"/>
      <c r="BP68" s="2248"/>
      <c r="BQ68" s="2248"/>
      <c r="BR68" s="2248"/>
      <c r="BS68" s="2248"/>
      <c r="BT68" s="2248"/>
      <c r="BU68" s="2248"/>
      <c r="BV68" s="2248"/>
      <c r="BW68" s="2248"/>
      <c r="BX68" s="2248"/>
      <c r="BY68" s="2248"/>
      <c r="BZ68" s="2248"/>
      <c r="CA68" s="2248"/>
      <c r="CB68" s="2248"/>
      <c r="CC68" s="2248"/>
      <c r="CD68" s="2248"/>
      <c r="CE68" s="2248"/>
      <c r="CF68" s="2248"/>
      <c r="CG68" s="2248"/>
      <c r="CH68" s="2248"/>
      <c r="CI68" s="2248"/>
      <c r="CJ68" s="2248"/>
      <c r="CK68" s="2248"/>
      <c r="CL68" s="2248"/>
      <c r="CM68" s="2248"/>
      <c r="CN68" s="2248"/>
      <c r="CO68" s="2248"/>
      <c r="CP68" s="2248"/>
      <c r="CQ68" s="2248"/>
      <c r="CR68" s="2248"/>
      <c r="CS68" s="2248"/>
      <c r="CT68" s="2248"/>
      <c r="CU68" s="2248"/>
      <c r="CV68" s="2248"/>
      <c r="CW68" s="2248"/>
      <c r="CX68" s="2248"/>
      <c r="CY68" s="2248"/>
      <c r="CZ68" s="2248"/>
      <c r="DA68" s="2248"/>
      <c r="DB68" s="2248"/>
      <c r="DC68" s="2248"/>
      <c r="DD68" s="2248"/>
      <c r="DE68" s="2248"/>
      <c r="DF68" s="2248"/>
      <c r="DG68" s="2248"/>
      <c r="DH68" s="2248"/>
      <c r="DI68" s="2248"/>
      <c r="DJ68" s="2248"/>
      <c r="DK68" s="2248"/>
      <c r="DL68" s="2248"/>
      <c r="DM68" s="2248"/>
      <c r="DN68" s="2248"/>
      <c r="DO68" s="2248"/>
    </row>
    <row r="69" spans="1:119" s="3617" customFormat="1" ht="12.75" customHeight="1">
      <c r="A69" s="650"/>
      <c r="B69" s="650"/>
      <c r="C69" s="650"/>
      <c r="D69" s="650"/>
      <c r="E69" s="2095"/>
      <c r="F69" s="2095"/>
      <c r="G69" s="2095"/>
      <c r="H69" s="2095"/>
      <c r="I69" s="2095"/>
      <c r="J69" s="2095"/>
      <c r="K69" s="2095"/>
      <c r="L69" s="2095"/>
      <c r="M69" s="2095"/>
      <c r="N69" s="2095"/>
      <c r="O69" s="2095"/>
      <c r="P69" s="2095"/>
      <c r="Q69" s="2095"/>
      <c r="R69" s="2095"/>
      <c r="S69" s="2565"/>
      <c r="T69" s="2095"/>
      <c r="U69" s="2095"/>
      <c r="V69" s="2095"/>
      <c r="W69" s="2096"/>
      <c r="X69" s="2095"/>
      <c r="Y69" s="2095"/>
      <c r="Z69" s="2095"/>
      <c r="AA69" s="2096"/>
      <c r="AB69" s="2095"/>
      <c r="AC69" s="2095"/>
      <c r="AD69" s="2095"/>
      <c r="AE69" s="2096"/>
      <c r="AF69" s="2095"/>
      <c r="AG69" s="2095"/>
      <c r="AH69" s="2095"/>
      <c r="AI69" s="2096"/>
      <c r="AJ69" s="2739"/>
      <c r="AK69" s="2095"/>
      <c r="AL69" s="2095"/>
      <c r="AM69" s="2096"/>
      <c r="AN69" s="2095"/>
      <c r="AO69" s="2095"/>
      <c r="AP69" s="2095"/>
      <c r="AQ69" s="2095"/>
      <c r="AR69" s="2095"/>
      <c r="AS69" s="2934"/>
      <c r="AT69" s="2934"/>
      <c r="AU69" s="2095"/>
      <c r="AV69" s="2095"/>
      <c r="AW69" s="2095"/>
      <c r="AX69" s="2095"/>
      <c r="AY69" s="2095"/>
      <c r="AZ69" s="2248"/>
      <c r="BA69" s="2248"/>
      <c r="BB69" s="2248"/>
      <c r="BC69" s="2248"/>
      <c r="BD69" s="2248"/>
      <c r="BE69" s="2248"/>
      <c r="BF69" s="2248"/>
      <c r="BG69" s="2248"/>
      <c r="BH69" s="2248"/>
      <c r="BI69" s="2248"/>
      <c r="BJ69" s="2248"/>
      <c r="BK69" s="2248"/>
      <c r="BL69" s="2248"/>
      <c r="BM69" s="2248"/>
      <c r="BN69" s="2248"/>
      <c r="BO69" s="2248"/>
      <c r="BP69" s="2248"/>
      <c r="BQ69" s="2248"/>
      <c r="BR69" s="2248"/>
      <c r="BS69" s="2248"/>
      <c r="BT69" s="2248"/>
      <c r="BU69" s="2248"/>
      <c r="BV69" s="2248"/>
      <c r="BW69" s="2248"/>
      <c r="BX69" s="2248"/>
      <c r="BY69" s="2248"/>
      <c r="BZ69" s="2248"/>
      <c r="CA69" s="2248"/>
      <c r="CB69" s="2248"/>
      <c r="CC69" s="2248"/>
      <c r="CD69" s="2248"/>
      <c r="CE69" s="2248"/>
      <c r="CF69" s="2248"/>
      <c r="CG69" s="2248"/>
      <c r="CH69" s="2248"/>
      <c r="CI69" s="2248"/>
      <c r="CJ69" s="2248"/>
      <c r="CK69" s="2248"/>
      <c r="CL69" s="2248"/>
      <c r="CM69" s="2248"/>
      <c r="CN69" s="2248"/>
      <c r="CO69" s="2248"/>
      <c r="CP69" s="2248"/>
      <c r="CQ69" s="2248"/>
      <c r="CR69" s="2248"/>
      <c r="CS69" s="2248"/>
      <c r="CT69" s="2248"/>
      <c r="CU69" s="2248"/>
      <c r="CV69" s="2248"/>
      <c r="CW69" s="2248"/>
      <c r="CX69" s="2248"/>
      <c r="CY69" s="2248"/>
      <c r="CZ69" s="2248"/>
      <c r="DA69" s="2248"/>
      <c r="DB69" s="2248"/>
      <c r="DC69" s="2248"/>
      <c r="DD69" s="2248"/>
      <c r="DE69" s="2248"/>
      <c r="DF69" s="2248"/>
      <c r="DG69" s="2248"/>
      <c r="DH69" s="2248"/>
      <c r="DI69" s="2248"/>
      <c r="DJ69" s="2248"/>
      <c r="DK69" s="2248"/>
      <c r="DL69" s="2248"/>
      <c r="DM69" s="2248"/>
      <c r="DN69" s="2248"/>
      <c r="DO69" s="2248"/>
    </row>
    <row r="70" spans="1:119" s="3617" customFormat="1" ht="12.75" customHeight="1">
      <c r="A70" s="3534" t="s">
        <v>2000</v>
      </c>
      <c r="B70" s="2075"/>
      <c r="C70" s="2075"/>
      <c r="D70" s="2075"/>
      <c r="E70" s="2075"/>
      <c r="F70" s="2075"/>
      <c r="G70" s="2075"/>
      <c r="H70" s="2075"/>
      <c r="I70" s="2075"/>
      <c r="J70" s="2075"/>
      <c r="K70" s="2075"/>
      <c r="L70" s="2075">
        <f t="shared" ref="L70:R70" si="105">K70</f>
        <v>0</v>
      </c>
      <c r="M70" s="2075">
        <f t="shared" si="105"/>
        <v>0</v>
      </c>
      <c r="N70" s="2075">
        <f t="shared" si="105"/>
        <v>0</v>
      </c>
      <c r="O70" s="2075">
        <f t="shared" si="105"/>
        <v>0</v>
      </c>
      <c r="P70" s="2075">
        <f t="shared" si="105"/>
        <v>0</v>
      </c>
      <c r="Q70" s="2075">
        <f t="shared" si="105"/>
        <v>0</v>
      </c>
      <c r="R70" s="2075">
        <f t="shared" si="105"/>
        <v>0</v>
      </c>
      <c r="S70" s="2563"/>
      <c r="T70" s="2075"/>
      <c r="U70" s="2075"/>
      <c r="V70" s="2075"/>
      <c r="W70" s="2094"/>
      <c r="X70" s="2075"/>
      <c r="Y70" s="2075"/>
      <c r="Z70" s="2075"/>
      <c r="AA70" s="2094"/>
      <c r="AB70" s="2075"/>
      <c r="AC70" s="2075"/>
      <c r="AD70" s="2075"/>
      <c r="AE70" s="2094"/>
      <c r="AF70" s="2075"/>
      <c r="AG70" s="2075"/>
      <c r="AH70" s="2075"/>
      <c r="AI70" s="2094"/>
      <c r="AJ70" s="2736"/>
      <c r="AK70" s="2075"/>
      <c r="AL70" s="2075"/>
      <c r="AM70" s="2094"/>
      <c r="AN70" s="2075"/>
      <c r="AO70" s="2075"/>
      <c r="AP70" s="2075"/>
      <c r="AQ70" s="2075"/>
      <c r="AR70" s="2075"/>
      <c r="AS70" s="2075"/>
      <c r="AT70" s="2075"/>
      <c r="AU70" s="2075"/>
      <c r="AV70" s="2075"/>
      <c r="AW70" s="2075"/>
      <c r="AX70" s="2075"/>
      <c r="AY70" s="2075"/>
      <c r="AZ70" s="2248"/>
      <c r="BA70" s="2248"/>
      <c r="BB70" s="2248"/>
      <c r="BC70" s="2248"/>
      <c r="BD70" s="2248"/>
      <c r="BE70" s="2248"/>
      <c r="BF70" s="2248"/>
      <c r="BG70" s="2248"/>
      <c r="BH70" s="2248"/>
      <c r="BI70" s="2248"/>
      <c r="BJ70" s="2248"/>
      <c r="BK70" s="2248"/>
      <c r="BL70" s="2248"/>
      <c r="BM70" s="2248"/>
      <c r="BN70" s="2248"/>
      <c r="BO70" s="2248"/>
      <c r="BP70" s="2248"/>
      <c r="BQ70" s="2248"/>
      <c r="BR70" s="2248"/>
      <c r="BS70" s="2248"/>
      <c r="BT70" s="2248"/>
      <c r="BU70" s="2248"/>
      <c r="BV70" s="2248"/>
      <c r="BW70" s="2248"/>
      <c r="BX70" s="2248"/>
      <c r="BY70" s="2248"/>
      <c r="BZ70" s="2248"/>
      <c r="CA70" s="2248"/>
      <c r="CB70" s="2248"/>
      <c r="CC70" s="2248"/>
      <c r="CD70" s="2248"/>
      <c r="CE70" s="2248"/>
      <c r="CF70" s="2248"/>
      <c r="CG70" s="2248"/>
      <c r="CH70" s="2248"/>
      <c r="CI70" s="2248"/>
      <c r="CJ70" s="2248"/>
      <c r="CK70" s="2248"/>
      <c r="CL70" s="2248"/>
      <c r="CM70" s="2248"/>
      <c r="CN70" s="2248"/>
      <c r="CO70" s="2248"/>
      <c r="CP70" s="2248"/>
      <c r="CQ70" s="2248"/>
      <c r="CR70" s="2248"/>
      <c r="CS70" s="2248"/>
      <c r="CT70" s="2248"/>
      <c r="CU70" s="2248"/>
      <c r="CV70" s="2248"/>
      <c r="CW70" s="2248"/>
      <c r="CX70" s="2248"/>
      <c r="CY70" s="2248"/>
      <c r="CZ70" s="2248"/>
      <c r="DA70" s="2248"/>
      <c r="DB70" s="2248"/>
      <c r="DC70" s="2248"/>
      <c r="DD70" s="2248"/>
      <c r="DE70" s="2248"/>
      <c r="DF70" s="2248"/>
      <c r="DG70" s="2248"/>
      <c r="DH70" s="2248"/>
      <c r="DI70" s="2248"/>
      <c r="DJ70" s="2248"/>
      <c r="DK70" s="2248"/>
      <c r="DL70" s="2248"/>
      <c r="DM70" s="2248"/>
      <c r="DN70" s="2248"/>
      <c r="DO70" s="2248"/>
    </row>
    <row r="71" spans="1:119" s="3617" customFormat="1" ht="12.75" customHeight="1">
      <c r="A71" s="650" t="s">
        <v>436</v>
      </c>
      <c r="B71" s="650"/>
      <c r="C71" s="650"/>
      <c r="D71" s="650"/>
      <c r="E71" s="650"/>
      <c r="F71" s="650"/>
      <c r="G71" s="650"/>
      <c r="H71" s="650"/>
      <c r="I71" s="650"/>
      <c r="J71" s="650"/>
      <c r="K71" s="650"/>
      <c r="L71" s="650">
        <f t="shared" ref="L71:R71" si="106">+K73</f>
        <v>0</v>
      </c>
      <c r="M71" s="650">
        <f t="shared" si="106"/>
        <v>10526</v>
      </c>
      <c r="N71" s="650">
        <f t="shared" si="106"/>
        <v>10326</v>
      </c>
      <c r="O71" s="650">
        <f t="shared" si="106"/>
        <v>10326</v>
      </c>
      <c r="P71" s="650">
        <f t="shared" si="106"/>
        <v>10326</v>
      </c>
      <c r="Q71" s="650">
        <f t="shared" si="106"/>
        <v>10326</v>
      </c>
      <c r="R71" s="650">
        <f t="shared" si="106"/>
        <v>10326</v>
      </c>
      <c r="S71" s="2564"/>
      <c r="T71" s="650"/>
      <c r="U71" s="650"/>
      <c r="V71" s="650"/>
      <c r="W71" s="649"/>
      <c r="X71" s="650"/>
      <c r="Y71" s="650"/>
      <c r="Z71" s="650"/>
      <c r="AA71" s="649"/>
      <c r="AB71" s="650"/>
      <c r="AC71" s="650"/>
      <c r="AD71" s="650"/>
      <c r="AE71" s="649"/>
      <c r="AF71" s="650"/>
      <c r="AG71" s="650"/>
      <c r="AH71" s="650"/>
      <c r="AI71" s="649"/>
      <c r="AJ71" s="2737"/>
      <c r="AK71" s="650"/>
      <c r="AL71" s="650"/>
      <c r="AM71" s="649"/>
      <c r="AN71" s="650"/>
      <c r="AO71" s="650"/>
      <c r="AP71" s="650"/>
      <c r="AQ71" s="650"/>
      <c r="AR71" s="650"/>
      <c r="AS71" s="650"/>
      <c r="AT71" s="650"/>
      <c r="AU71" s="650">
        <v>0</v>
      </c>
      <c r="AV71" s="650">
        <f>+AU73</f>
        <v>10526</v>
      </c>
      <c r="AW71" s="650">
        <f>+AV73</f>
        <v>10476</v>
      </c>
      <c r="AX71" s="650">
        <f>+AW73</f>
        <v>10426</v>
      </c>
      <c r="AY71" s="650">
        <f>+AX73</f>
        <v>10376</v>
      </c>
      <c r="AZ71" s="2248"/>
      <c r="BA71" s="2248"/>
      <c r="BB71" s="2248"/>
      <c r="BC71" s="2248"/>
      <c r="BD71" s="2248"/>
      <c r="BE71" s="2248"/>
      <c r="BF71" s="2248"/>
      <c r="BG71" s="2248"/>
      <c r="BH71" s="2248"/>
      <c r="BI71" s="2248"/>
      <c r="BJ71" s="2248"/>
      <c r="BK71" s="2248"/>
      <c r="BL71" s="2248"/>
      <c r="BM71" s="2248"/>
      <c r="BN71" s="2248"/>
      <c r="BO71" s="2248"/>
      <c r="BP71" s="2248"/>
      <c r="BQ71" s="2248"/>
      <c r="BR71" s="2248"/>
      <c r="BS71" s="2248"/>
      <c r="BT71" s="2248"/>
      <c r="BU71" s="2248"/>
      <c r="BV71" s="2248"/>
      <c r="BW71" s="2248"/>
      <c r="BX71" s="2248"/>
      <c r="BY71" s="2248"/>
      <c r="BZ71" s="2248"/>
      <c r="CA71" s="2248"/>
      <c r="CB71" s="2248"/>
      <c r="CC71" s="2248"/>
      <c r="CD71" s="2248"/>
      <c r="CE71" s="2248"/>
      <c r="CF71" s="2248"/>
      <c r="CG71" s="2248"/>
      <c r="CH71" s="2248"/>
      <c r="CI71" s="2248"/>
      <c r="CJ71" s="2248"/>
      <c r="CK71" s="2248"/>
      <c r="CL71" s="2248"/>
      <c r="CM71" s="2248"/>
      <c r="CN71" s="2248"/>
      <c r="CO71" s="2248"/>
      <c r="CP71" s="2248"/>
      <c r="CQ71" s="2248"/>
      <c r="CR71" s="2248"/>
      <c r="CS71" s="2248"/>
      <c r="CT71" s="2248"/>
      <c r="CU71" s="2248"/>
      <c r="CV71" s="2248"/>
      <c r="CW71" s="2248"/>
      <c r="CX71" s="2248"/>
      <c r="CY71" s="2248"/>
      <c r="CZ71" s="2248"/>
      <c r="DA71" s="2248"/>
      <c r="DB71" s="2248"/>
      <c r="DC71" s="2248"/>
      <c r="DD71" s="2248"/>
      <c r="DE71" s="2248"/>
      <c r="DF71" s="2248"/>
      <c r="DG71" s="2248"/>
      <c r="DH71" s="2248"/>
      <c r="DI71" s="2248"/>
      <c r="DJ71" s="2248"/>
      <c r="DK71" s="2248"/>
      <c r="DL71" s="2248"/>
      <c r="DM71" s="2248"/>
      <c r="DN71" s="2248"/>
      <c r="DO71" s="2248"/>
    </row>
    <row r="72" spans="1:119" s="3617" customFormat="1" ht="12.75" customHeight="1">
      <c r="A72" s="2089" t="s">
        <v>437</v>
      </c>
      <c r="B72" s="2089"/>
      <c r="C72" s="2089"/>
      <c r="D72" s="2089"/>
      <c r="E72" s="2089"/>
      <c r="F72" s="2089"/>
      <c r="G72" s="2089"/>
      <c r="H72" s="2089"/>
      <c r="I72" s="2089"/>
      <c r="J72" s="2089"/>
      <c r="K72" s="2089"/>
      <c r="L72" s="2089">
        <f t="shared" ref="L72:R72" si="107">+L73-K73</f>
        <v>10526</v>
      </c>
      <c r="M72" s="2089">
        <f t="shared" si="107"/>
        <v>-200</v>
      </c>
      <c r="N72" s="2089">
        <f t="shared" si="107"/>
        <v>0</v>
      </c>
      <c r="O72" s="2089">
        <f t="shared" si="107"/>
        <v>0</v>
      </c>
      <c r="P72" s="2089">
        <f t="shared" si="107"/>
        <v>0</v>
      </c>
      <c r="Q72" s="2089">
        <f t="shared" si="107"/>
        <v>0</v>
      </c>
      <c r="R72" s="2089">
        <f t="shared" si="107"/>
        <v>0</v>
      </c>
      <c r="S72" s="2564"/>
      <c r="T72" s="2089"/>
      <c r="U72" s="2089"/>
      <c r="V72" s="2089"/>
      <c r="W72" s="2090"/>
      <c r="X72" s="2089"/>
      <c r="Y72" s="2089"/>
      <c r="Z72" s="2089"/>
      <c r="AA72" s="2090"/>
      <c r="AB72" s="2089"/>
      <c r="AC72" s="2089"/>
      <c r="AD72" s="2089"/>
      <c r="AE72" s="2090"/>
      <c r="AF72" s="2089"/>
      <c r="AG72" s="2089"/>
      <c r="AH72" s="2089"/>
      <c r="AI72" s="2090"/>
      <c r="AJ72" s="2738"/>
      <c r="AK72" s="2089"/>
      <c r="AL72" s="2089"/>
      <c r="AM72" s="2090"/>
      <c r="AN72" s="2089"/>
      <c r="AO72" s="2089"/>
      <c r="AP72" s="2089"/>
      <c r="AQ72" s="2089"/>
      <c r="AR72" s="2089"/>
      <c r="AS72" s="2089"/>
      <c r="AT72" s="2089"/>
      <c r="AU72" s="2089">
        <f>+AU73-AU71</f>
        <v>10526</v>
      </c>
      <c r="AV72" s="2089">
        <v>-50</v>
      </c>
      <c r="AW72" s="2089">
        <v>-50</v>
      </c>
      <c r="AX72" s="2089">
        <v>-50</v>
      </c>
      <c r="AY72" s="2089">
        <v>-50</v>
      </c>
      <c r="AZ72" s="2248"/>
      <c r="BA72" s="2248"/>
      <c r="BB72" s="2248"/>
      <c r="BC72" s="2248"/>
      <c r="BD72" s="2248"/>
      <c r="BE72" s="2248"/>
      <c r="BF72" s="2248"/>
      <c r="BG72" s="2248"/>
      <c r="BH72" s="2248"/>
      <c r="BI72" s="2248"/>
      <c r="BJ72" s="2248"/>
      <c r="BK72" s="2248"/>
      <c r="BL72" s="2248"/>
      <c r="BM72" s="2248"/>
      <c r="BN72" s="2248"/>
      <c r="BO72" s="2248"/>
      <c r="BP72" s="2248"/>
      <c r="BQ72" s="2248"/>
      <c r="BR72" s="2248"/>
      <c r="BS72" s="2248"/>
      <c r="BT72" s="2248"/>
      <c r="BU72" s="2248"/>
      <c r="BV72" s="2248"/>
      <c r="BW72" s="2248"/>
      <c r="BX72" s="2248"/>
      <c r="BY72" s="2248"/>
      <c r="BZ72" s="2248"/>
      <c r="CA72" s="2248"/>
      <c r="CB72" s="2248"/>
      <c r="CC72" s="2248"/>
      <c r="CD72" s="2248"/>
      <c r="CE72" s="2248"/>
      <c r="CF72" s="2248"/>
      <c r="CG72" s="2248"/>
      <c r="CH72" s="2248"/>
      <c r="CI72" s="2248"/>
      <c r="CJ72" s="2248"/>
      <c r="CK72" s="2248"/>
      <c r="CL72" s="2248"/>
      <c r="CM72" s="2248"/>
      <c r="CN72" s="2248"/>
      <c r="CO72" s="2248"/>
      <c r="CP72" s="2248"/>
      <c r="CQ72" s="2248"/>
      <c r="CR72" s="2248"/>
      <c r="CS72" s="2248"/>
      <c r="CT72" s="2248"/>
      <c r="CU72" s="2248"/>
      <c r="CV72" s="2248"/>
      <c r="CW72" s="2248"/>
      <c r="CX72" s="2248"/>
      <c r="CY72" s="2248"/>
      <c r="CZ72" s="2248"/>
      <c r="DA72" s="2248"/>
      <c r="DB72" s="2248"/>
      <c r="DC72" s="2248"/>
      <c r="DD72" s="2248"/>
      <c r="DE72" s="2248"/>
      <c r="DF72" s="2248"/>
      <c r="DG72" s="2248"/>
      <c r="DH72" s="2248"/>
      <c r="DI72" s="2248"/>
      <c r="DJ72" s="2248"/>
      <c r="DK72" s="2248"/>
      <c r="DL72" s="2248"/>
      <c r="DM72" s="2248"/>
      <c r="DN72" s="2248"/>
      <c r="DO72" s="2248"/>
    </row>
    <row r="73" spans="1:119" s="3617" customFormat="1" ht="12.75" customHeight="1">
      <c r="A73" s="650" t="s">
        <v>438</v>
      </c>
      <c r="B73" s="650"/>
      <c r="C73" s="650"/>
      <c r="D73" s="650"/>
      <c r="E73" s="2095"/>
      <c r="F73" s="2095"/>
      <c r="G73" s="2095"/>
      <c r="H73" s="2095"/>
      <c r="I73" s="2095"/>
      <c r="J73" s="2095"/>
      <c r="K73" s="2095"/>
      <c r="L73" s="2095">
        <f>+AU73</f>
        <v>10526</v>
      </c>
      <c r="M73" s="2095">
        <f>+AY73</f>
        <v>10326</v>
      </c>
      <c r="N73" s="2095">
        <f>M73</f>
        <v>10326</v>
      </c>
      <c r="O73" s="2095">
        <f>N73</f>
        <v>10326</v>
      </c>
      <c r="P73" s="2095">
        <f>O73</f>
        <v>10326</v>
      </c>
      <c r="Q73" s="2095">
        <f>P73</f>
        <v>10326</v>
      </c>
      <c r="R73" s="2095">
        <f>Q73</f>
        <v>10326</v>
      </c>
      <c r="S73" s="2565"/>
      <c r="T73" s="2095"/>
      <c r="U73" s="2095"/>
      <c r="V73" s="2095"/>
      <c r="W73" s="2096"/>
      <c r="X73" s="2095"/>
      <c r="Y73" s="2095"/>
      <c r="Z73" s="2095"/>
      <c r="AA73" s="2096"/>
      <c r="AB73" s="2095"/>
      <c r="AC73" s="2095"/>
      <c r="AD73" s="2095"/>
      <c r="AE73" s="2096"/>
      <c r="AF73" s="2095"/>
      <c r="AG73" s="2095"/>
      <c r="AH73" s="2095"/>
      <c r="AI73" s="2096"/>
      <c r="AJ73" s="2739"/>
      <c r="AK73" s="2095"/>
      <c r="AL73" s="2095"/>
      <c r="AM73" s="2096"/>
      <c r="AN73" s="2095"/>
      <c r="AO73" s="2095"/>
      <c r="AP73" s="2095"/>
      <c r="AQ73" s="2095"/>
      <c r="AR73" s="2095"/>
      <c r="AS73" s="2934"/>
      <c r="AT73" s="2934"/>
      <c r="AU73" s="2095">
        <f>5315+600+4611</f>
        <v>10526</v>
      </c>
      <c r="AV73" s="2095">
        <f>+AV71+AV72</f>
        <v>10476</v>
      </c>
      <c r="AW73" s="2095">
        <f>+AW71+AW72</f>
        <v>10426</v>
      </c>
      <c r="AX73" s="2095">
        <f>+AX71+AX72</f>
        <v>10376</v>
      </c>
      <c r="AY73" s="2095">
        <f>+AY71+AY72</f>
        <v>10326</v>
      </c>
      <c r="AZ73" s="2248"/>
      <c r="BA73" s="2248"/>
      <c r="BB73" s="2248"/>
      <c r="BC73" s="2248"/>
      <c r="BD73" s="2248"/>
      <c r="BE73" s="2248"/>
      <c r="BF73" s="2248"/>
      <c r="BG73" s="2248"/>
      <c r="BH73" s="2248"/>
      <c r="BI73" s="2248"/>
      <c r="BJ73" s="2248"/>
      <c r="BK73" s="2248"/>
      <c r="BL73" s="2248"/>
      <c r="BM73" s="2248"/>
      <c r="BN73" s="2248"/>
      <c r="BO73" s="2248"/>
      <c r="BP73" s="2248"/>
      <c r="BQ73" s="2248"/>
      <c r="BR73" s="2248"/>
      <c r="BS73" s="2248"/>
      <c r="BT73" s="2248"/>
      <c r="BU73" s="2248"/>
      <c r="BV73" s="2248"/>
      <c r="BW73" s="2248"/>
      <c r="BX73" s="2248"/>
      <c r="BY73" s="2248"/>
      <c r="BZ73" s="2248"/>
      <c r="CA73" s="2248"/>
      <c r="CB73" s="2248"/>
      <c r="CC73" s="2248"/>
      <c r="CD73" s="2248"/>
      <c r="CE73" s="2248"/>
      <c r="CF73" s="2248"/>
      <c r="CG73" s="2248"/>
      <c r="CH73" s="2248"/>
      <c r="CI73" s="2248"/>
      <c r="CJ73" s="2248"/>
      <c r="CK73" s="2248"/>
      <c r="CL73" s="2248"/>
      <c r="CM73" s="2248"/>
      <c r="CN73" s="2248"/>
      <c r="CO73" s="2248"/>
      <c r="CP73" s="2248"/>
      <c r="CQ73" s="2248"/>
      <c r="CR73" s="2248"/>
      <c r="CS73" s="2248"/>
      <c r="CT73" s="2248"/>
      <c r="CU73" s="2248"/>
      <c r="CV73" s="2248"/>
      <c r="CW73" s="2248"/>
      <c r="CX73" s="2248"/>
      <c r="CY73" s="2248"/>
      <c r="CZ73" s="2248"/>
      <c r="DA73" s="2248"/>
      <c r="DB73" s="2248"/>
      <c r="DC73" s="2248"/>
      <c r="DD73" s="2248"/>
      <c r="DE73" s="2248"/>
      <c r="DF73" s="2248"/>
      <c r="DG73" s="2248"/>
      <c r="DH73" s="2248"/>
      <c r="DI73" s="2248"/>
      <c r="DJ73" s="2248"/>
      <c r="DK73" s="2248"/>
      <c r="DL73" s="2248"/>
      <c r="DM73" s="2248"/>
      <c r="DN73" s="2248"/>
      <c r="DO73" s="2248"/>
    </row>
    <row r="74" spans="1:119" customFormat="1" ht="12.75" customHeight="1">
      <c r="A74" s="399"/>
      <c r="B74" s="399"/>
      <c r="C74" s="399"/>
      <c r="D74" s="399"/>
      <c r="E74" s="399"/>
      <c r="F74" s="399"/>
      <c r="G74" s="399"/>
      <c r="H74" s="399"/>
      <c r="I74" s="399"/>
      <c r="J74" s="399"/>
      <c r="K74" s="399"/>
      <c r="L74" s="399"/>
      <c r="M74" s="2634"/>
      <c r="N74" s="399"/>
      <c r="O74" s="399"/>
      <c r="P74" s="399"/>
      <c r="Q74" s="2634"/>
      <c r="R74" s="2634"/>
      <c r="S74" s="2563"/>
      <c r="T74" s="399"/>
      <c r="U74" s="399"/>
      <c r="V74" s="399"/>
      <c r="W74" s="400"/>
      <c r="X74" s="399"/>
      <c r="Y74" s="399"/>
      <c r="Z74" s="399"/>
      <c r="AA74" s="400"/>
      <c r="AB74" s="399"/>
      <c r="AC74" s="399"/>
      <c r="AD74" s="399"/>
      <c r="AE74" s="400"/>
      <c r="AF74" s="399"/>
      <c r="AG74" s="399"/>
      <c r="AH74" s="399"/>
      <c r="AI74" s="400"/>
      <c r="AJ74" s="407"/>
      <c r="AK74" s="399"/>
      <c r="AL74" s="399"/>
      <c r="AM74" s="400"/>
      <c r="AN74" s="399"/>
      <c r="AO74" s="399"/>
      <c r="AP74" s="399"/>
      <c r="AQ74" s="399"/>
      <c r="AR74" s="399"/>
      <c r="AS74" s="399"/>
      <c r="AT74" s="399"/>
      <c r="AU74" s="399"/>
      <c r="AV74" s="2634"/>
      <c r="AW74" s="2634"/>
      <c r="AX74" s="2634"/>
      <c r="AY74" s="2634"/>
      <c r="AZ74" s="292"/>
      <c r="BA74" s="292"/>
      <c r="BB74" s="292"/>
      <c r="BC74" s="292"/>
      <c r="BD74" s="292"/>
      <c r="BE74" s="292"/>
      <c r="BF74" s="292"/>
      <c r="BG74" s="292"/>
      <c r="BH74" s="292"/>
      <c r="BI74" s="292"/>
      <c r="BJ74" s="292"/>
      <c r="BK74" s="292"/>
      <c r="BL74" s="292"/>
      <c r="BM74" s="292"/>
      <c r="BN74" s="292"/>
      <c r="BO74" s="292"/>
      <c r="BP74" s="292"/>
      <c r="BQ74" s="292"/>
      <c r="BR74" s="292"/>
      <c r="BS74" s="292"/>
      <c r="BT74" s="292"/>
      <c r="BU74" s="292"/>
      <c r="BV74" s="292"/>
      <c r="BW74" s="292"/>
      <c r="BX74" s="292"/>
      <c r="BY74" s="292"/>
      <c r="BZ74" s="292"/>
      <c r="CA74" s="292"/>
      <c r="CB74" s="292"/>
      <c r="CC74" s="292"/>
      <c r="CD74" s="292"/>
      <c r="CE74" s="292"/>
      <c r="CF74" s="292"/>
      <c r="CG74" s="292"/>
      <c r="CH74" s="292"/>
      <c r="CI74" s="292"/>
      <c r="CJ74" s="292"/>
      <c r="CK74" s="292"/>
      <c r="CL74" s="292"/>
      <c r="CM74" s="292"/>
      <c r="CN74" s="292"/>
      <c r="CO74" s="292"/>
      <c r="CP74" s="292"/>
      <c r="CQ74" s="292"/>
      <c r="CR74" s="292"/>
      <c r="CS74" s="292"/>
      <c r="CT74" s="292"/>
      <c r="CU74" s="292"/>
      <c r="CV74" s="292"/>
      <c r="CW74" s="292"/>
      <c r="CX74" s="292"/>
      <c r="CY74" s="292"/>
      <c r="CZ74" s="292"/>
      <c r="DA74" s="292"/>
      <c r="DB74" s="292"/>
      <c r="DC74" s="292"/>
      <c r="DD74" s="292"/>
      <c r="DE74" s="292"/>
      <c r="DF74" s="292"/>
      <c r="DG74" s="292"/>
      <c r="DH74" s="292"/>
      <c r="DI74" s="292"/>
      <c r="DJ74" s="292"/>
      <c r="DK74" s="292"/>
      <c r="DL74" s="292"/>
      <c r="DM74" s="292"/>
      <c r="DN74" s="292"/>
      <c r="DO74" s="292"/>
    </row>
    <row r="75" spans="1:119" customFormat="1" ht="21.75" customHeight="1">
      <c r="A75" s="2097" t="s">
        <v>435</v>
      </c>
      <c r="B75" s="2097"/>
      <c r="C75" s="2097"/>
      <c r="D75" s="2097"/>
      <c r="E75" s="2097">
        <f t="shared" ref="E75:J75" si="108">+E20+E28+E46+E52+E58+E63</f>
        <v>7328</v>
      </c>
      <c r="F75" s="2097">
        <f t="shared" si="108"/>
        <v>21836</v>
      </c>
      <c r="G75" s="2097">
        <f t="shared" si="108"/>
        <v>20605</v>
      </c>
      <c r="H75" s="2097">
        <f t="shared" si="108"/>
        <v>20966</v>
      </c>
      <c r="I75" s="2097">
        <f t="shared" si="108"/>
        <v>20671</v>
      </c>
      <c r="J75" s="2097">
        <f t="shared" si="108"/>
        <v>20225</v>
      </c>
      <c r="K75" s="2097">
        <f>+K20+K28+K46+K52+K58+K63</f>
        <v>19993</v>
      </c>
      <c r="L75" s="2097">
        <f t="shared" ref="L75:R75" si="109">+L20+L28+L46+L52+L58+L63+L68+L73</f>
        <v>37726</v>
      </c>
      <c r="M75" s="2097">
        <f t="shared" si="109"/>
        <v>36775</v>
      </c>
      <c r="N75" s="2097">
        <f t="shared" si="109"/>
        <v>36425</v>
      </c>
      <c r="O75" s="2097">
        <f t="shared" si="109"/>
        <v>35900</v>
      </c>
      <c r="P75" s="2097">
        <f t="shared" si="109"/>
        <v>35375</v>
      </c>
      <c r="Q75" s="2097">
        <f t="shared" si="109"/>
        <v>34850</v>
      </c>
      <c r="R75" s="2097">
        <f t="shared" si="109"/>
        <v>34325</v>
      </c>
      <c r="S75" s="2564"/>
      <c r="T75" s="2097">
        <v>7168.2510000000002</v>
      </c>
      <c r="U75" s="2097">
        <f t="shared" ref="U75:AA75" si="110">+U20+U28+U46+U52+U58+U63</f>
        <v>21344</v>
      </c>
      <c r="V75" s="2097">
        <f t="shared" si="110"/>
        <v>22176</v>
      </c>
      <c r="W75" s="2098">
        <f t="shared" si="110"/>
        <v>21836</v>
      </c>
      <c r="X75" s="2097">
        <f t="shared" si="110"/>
        <v>22867</v>
      </c>
      <c r="Y75" s="2097">
        <f t="shared" si="110"/>
        <v>21585</v>
      </c>
      <c r="Z75" s="2097">
        <f t="shared" si="110"/>
        <v>20706</v>
      </c>
      <c r="AA75" s="2098">
        <f t="shared" si="110"/>
        <v>20605</v>
      </c>
      <c r="AB75" s="2097">
        <f t="shared" ref="AB75:AH75" si="111">+AB20+AB28+AB46+AB52+AB58+AB63</f>
        <v>20788</v>
      </c>
      <c r="AC75" s="2097">
        <f t="shared" si="111"/>
        <v>20585</v>
      </c>
      <c r="AD75" s="2097">
        <f t="shared" si="111"/>
        <v>20582</v>
      </c>
      <c r="AE75" s="2098">
        <f t="shared" si="111"/>
        <v>20966</v>
      </c>
      <c r="AF75" s="2097">
        <f t="shared" si="111"/>
        <v>20940</v>
      </c>
      <c r="AG75" s="2097">
        <f t="shared" si="111"/>
        <v>20959</v>
      </c>
      <c r="AH75" s="2097">
        <f t="shared" si="111"/>
        <v>21151</v>
      </c>
      <c r="AI75" s="2098">
        <f t="shared" ref="AI75:AQ75" si="112">+AI20+AI28+AI46+AI52+AI58+AI63</f>
        <v>20671</v>
      </c>
      <c r="AJ75" s="2740">
        <f t="shared" si="112"/>
        <v>20456</v>
      </c>
      <c r="AK75" s="2097">
        <f t="shared" si="112"/>
        <v>20353</v>
      </c>
      <c r="AL75" s="2097">
        <f t="shared" si="112"/>
        <v>20414</v>
      </c>
      <c r="AM75" s="2098">
        <f t="shared" si="112"/>
        <v>20225</v>
      </c>
      <c r="AN75" s="2097">
        <f t="shared" si="112"/>
        <v>20025</v>
      </c>
      <c r="AO75" s="2097">
        <f>+AO20+AO28+AO46+AO52+AO58+AO63</f>
        <v>19616</v>
      </c>
      <c r="AP75" s="2097">
        <f t="shared" si="112"/>
        <v>19718</v>
      </c>
      <c r="AQ75" s="2097">
        <f t="shared" si="112"/>
        <v>19993</v>
      </c>
      <c r="AR75" s="2097">
        <f>+AR20+AR28+AR46+AR52+AR58+AR63</f>
        <v>19976</v>
      </c>
      <c r="AS75" s="2097">
        <f>+AS20+AS28+AS46+AS52+AS58+AS63+AS68</f>
        <v>25077</v>
      </c>
      <c r="AT75" s="2097">
        <f>+AT20+AT28+AT46+AT52+AT58+AT63+AT68</f>
        <v>24978</v>
      </c>
      <c r="AU75" s="2097">
        <f>+AU20+AU28+AU46+AU52+AU58+AU63+AU68+AU73</f>
        <v>37726</v>
      </c>
      <c r="AV75" s="2097">
        <f>+AV20+AV28+AV46+AV52+AV58+AV63+AV68+AV73</f>
        <v>37338.25</v>
      </c>
      <c r="AW75" s="2097">
        <f>+AW20+AW28+AW46+AW52+AW58+AW63+AW68+AW73</f>
        <v>37159.9375</v>
      </c>
      <c r="AX75" s="2097">
        <f>+AX20+AX28+AX46+AX52+AX58+AX63+AX68+AX73</f>
        <v>36988.703125</v>
      </c>
      <c r="AY75" s="2097">
        <f>+AY20+AY28+AY46+AY52+AY58+AY63+AY68+AY73</f>
        <v>36775</v>
      </c>
      <c r="AZ75" s="292"/>
      <c r="BA75" s="292"/>
      <c r="BB75" s="292"/>
      <c r="BC75" s="292"/>
      <c r="BD75" s="292"/>
      <c r="BE75" s="292"/>
      <c r="BF75" s="292"/>
      <c r="BG75" s="292"/>
      <c r="BH75" s="292"/>
      <c r="BI75" s="292"/>
      <c r="BJ75" s="292"/>
      <c r="BK75" s="292"/>
      <c r="BL75" s="292"/>
      <c r="BM75" s="292"/>
      <c r="BN75" s="292"/>
      <c r="BO75" s="292"/>
      <c r="BP75" s="292"/>
      <c r="BQ75" s="292"/>
      <c r="BR75" s="292"/>
      <c r="BS75" s="292"/>
      <c r="BT75" s="292"/>
      <c r="BU75" s="292"/>
      <c r="BV75" s="292"/>
      <c r="BW75" s="292"/>
      <c r="BX75" s="292"/>
      <c r="BY75" s="292"/>
      <c r="BZ75" s="292"/>
      <c r="CA75" s="292"/>
      <c r="CB75" s="292"/>
      <c r="CC75" s="292"/>
      <c r="CD75" s="292"/>
      <c r="CE75" s="292"/>
      <c r="CF75" s="292"/>
      <c r="CG75" s="292"/>
      <c r="CH75" s="292"/>
      <c r="CI75" s="292"/>
      <c r="CJ75" s="292"/>
      <c r="CK75" s="292"/>
      <c r="CL75" s="292"/>
      <c r="CM75" s="292"/>
      <c r="CN75" s="292"/>
      <c r="CO75" s="292"/>
      <c r="CP75" s="292"/>
      <c r="CQ75" s="292"/>
      <c r="CR75" s="292"/>
      <c r="CS75" s="292"/>
      <c r="CT75" s="292"/>
      <c r="CU75" s="292"/>
      <c r="CV75" s="292"/>
      <c r="CW75" s="292"/>
      <c r="CX75" s="292"/>
      <c r="CY75" s="292"/>
      <c r="CZ75" s="292"/>
      <c r="DA75" s="292"/>
      <c r="DB75" s="292"/>
      <c r="DC75" s="292"/>
      <c r="DD75" s="292"/>
      <c r="DE75" s="292"/>
      <c r="DF75" s="292"/>
      <c r="DG75" s="292"/>
      <c r="DH75" s="292"/>
      <c r="DI75" s="292"/>
      <c r="DJ75" s="292"/>
      <c r="DK75" s="292"/>
      <c r="DL75" s="292"/>
      <c r="DM75" s="292"/>
      <c r="DN75" s="292"/>
      <c r="DO75" s="292"/>
    </row>
    <row r="76" spans="1:119" customFormat="1">
      <c r="A76" s="2571" t="s">
        <v>793</v>
      </c>
      <c r="E76" s="2522"/>
      <c r="F76" s="2522"/>
      <c r="G76" s="2522">
        <f>G75-AA75</f>
        <v>0</v>
      </c>
      <c r="H76" s="2522">
        <f>H75-AE75</f>
        <v>0</v>
      </c>
      <c r="I76" s="2522">
        <f>I75-AI75</f>
        <v>0</v>
      </c>
      <c r="J76" s="2522">
        <f>J75-AM75</f>
        <v>0</v>
      </c>
      <c r="K76" s="2522">
        <f>K75-AQ75</f>
        <v>0</v>
      </c>
      <c r="L76" s="2522">
        <f>L75-AU75</f>
        <v>0</v>
      </c>
      <c r="M76" s="2522">
        <f>M75-AY75</f>
        <v>0</v>
      </c>
      <c r="N76" s="2522"/>
      <c r="O76" s="2522"/>
      <c r="P76" s="2522"/>
      <c r="Q76" s="2522"/>
      <c r="R76" s="2522"/>
      <c r="S76" s="2566"/>
      <c r="T76" s="287"/>
      <c r="U76" s="287"/>
      <c r="V76" s="287"/>
      <c r="W76" s="287"/>
      <c r="X76" s="287"/>
      <c r="Y76" s="287"/>
      <c r="AB76" s="2522">
        <f>AB75-AB63-AB58-AB46-AB28-AB20</f>
        <v>0</v>
      </c>
      <c r="AC76" s="2522">
        <f t="shared" ref="AC76:AL76" si="113">AC75-AC63-AC58-AC46-AC28-AC20</f>
        <v>0</v>
      </c>
      <c r="AD76" s="2522">
        <f t="shared" si="113"/>
        <v>0</v>
      </c>
      <c r="AE76" s="2522">
        <f t="shared" si="113"/>
        <v>0</v>
      </c>
      <c r="AF76" s="2522">
        <f t="shared" si="113"/>
        <v>0</v>
      </c>
      <c r="AG76" s="2522">
        <f t="shared" si="113"/>
        <v>0</v>
      </c>
      <c r="AH76" s="2522">
        <f t="shared" si="113"/>
        <v>0</v>
      </c>
      <c r="AI76" s="2522">
        <f t="shared" si="113"/>
        <v>0</v>
      </c>
      <c r="AJ76" s="2522">
        <f t="shared" si="113"/>
        <v>0</v>
      </c>
      <c r="AK76" s="2522">
        <f t="shared" si="113"/>
        <v>0</v>
      </c>
      <c r="AL76" s="2522">
        <f t="shared" si="113"/>
        <v>0</v>
      </c>
      <c r="AM76" s="2522">
        <f>AM75-AM63-AM58-AM46-AM28-AM20</f>
        <v>0</v>
      </c>
      <c r="AN76" s="2522">
        <f>AN75-AN63-AN58-AN46-AN28-AN20</f>
        <v>0</v>
      </c>
      <c r="AO76" s="2522">
        <f>AO75-AO63-AO58-AO46-AO28-AO20</f>
        <v>0</v>
      </c>
      <c r="AP76" s="2522">
        <f>AP75-AP63-AP58-AP46-AP28-AP20</f>
        <v>0</v>
      </c>
      <c r="AQ76" s="2522">
        <f t="shared" ref="AQ76:AT76" si="114">AQ75-AQ63-AQ58-AQ46-AQ28-AQ20-AQ68</f>
        <v>0</v>
      </c>
      <c r="AR76" s="2522">
        <f t="shared" si="114"/>
        <v>0</v>
      </c>
      <c r="AS76" s="2522">
        <f t="shared" si="114"/>
        <v>0</v>
      </c>
      <c r="AT76" s="2522">
        <f t="shared" si="114"/>
        <v>0</v>
      </c>
      <c r="AU76" s="2522">
        <f>AU75-AU63-AU58-AU46-AU28-AU20-AU68-AU73</f>
        <v>0</v>
      </c>
      <c r="AV76" s="2522">
        <f t="shared" ref="AV76:AY76" si="115">AV75-AV63-AV58-AV46-AV28-AV20-AV68-AV73</f>
        <v>0</v>
      </c>
      <c r="AW76" s="2522">
        <f t="shared" si="115"/>
        <v>0</v>
      </c>
      <c r="AX76" s="2522">
        <f t="shared" si="115"/>
        <v>0</v>
      </c>
      <c r="AY76" s="2522">
        <f t="shared" si="115"/>
        <v>0</v>
      </c>
      <c r="AZ76" s="292"/>
      <c r="BA76" s="292"/>
      <c r="BB76" s="292"/>
      <c r="BC76" s="292"/>
      <c r="BD76" s="292"/>
      <c r="BE76" s="292"/>
      <c r="BF76" s="292"/>
      <c r="BG76" s="292"/>
      <c r="BH76" s="292"/>
      <c r="BI76" s="292"/>
      <c r="BJ76" s="292"/>
      <c r="BK76" s="292"/>
      <c r="BL76" s="292"/>
      <c r="BM76" s="292"/>
      <c r="BN76" s="292"/>
      <c r="BO76" s="292"/>
      <c r="BP76" s="292"/>
      <c r="BQ76" s="292"/>
      <c r="BR76" s="292"/>
      <c r="BS76" s="292"/>
      <c r="BT76" s="292"/>
      <c r="BU76" s="292"/>
      <c r="BV76" s="292"/>
      <c r="BW76" s="292"/>
      <c r="BX76" s="292"/>
      <c r="BY76" s="292"/>
      <c r="BZ76" s="292"/>
      <c r="CA76" s="292"/>
      <c r="CB76" s="292"/>
      <c r="CC76" s="292"/>
      <c r="CD76" s="292"/>
      <c r="CE76" s="292"/>
      <c r="CF76" s="292"/>
      <c r="CG76" s="292"/>
      <c r="CH76" s="292"/>
      <c r="CI76" s="292"/>
      <c r="CJ76" s="292"/>
      <c r="CK76" s="292"/>
      <c r="CL76" s="292"/>
      <c r="CM76" s="292"/>
      <c r="CN76" s="292"/>
      <c r="CO76" s="292"/>
      <c r="CP76" s="292"/>
      <c r="CQ76" s="292"/>
      <c r="CR76" s="292"/>
      <c r="CS76" s="292"/>
      <c r="CT76" s="292"/>
      <c r="CU76" s="292"/>
      <c r="CV76" s="292"/>
      <c r="CW76" s="292"/>
      <c r="CX76" s="292"/>
      <c r="CY76" s="292"/>
      <c r="CZ76" s="292"/>
      <c r="DA76" s="292"/>
      <c r="DB76" s="292"/>
      <c r="DC76" s="292"/>
      <c r="DD76" s="292"/>
      <c r="DE76" s="292"/>
      <c r="DF76" s="292"/>
      <c r="DG76" s="292"/>
      <c r="DH76" s="292"/>
      <c r="DI76" s="292"/>
      <c r="DJ76" s="292"/>
      <c r="DK76" s="292"/>
      <c r="DL76" s="292"/>
      <c r="DM76" s="292"/>
      <c r="DN76" s="292"/>
      <c r="DO76" s="292"/>
    </row>
    <row r="77" spans="1:119" customFormat="1">
      <c r="A77" s="2572" t="s">
        <v>737</v>
      </c>
      <c r="E77" s="287"/>
      <c r="F77" s="287"/>
      <c r="G77" s="287"/>
      <c r="H77" s="287"/>
      <c r="I77" s="287"/>
      <c r="J77" s="287"/>
      <c r="K77" s="287"/>
      <c r="L77" s="287"/>
      <c r="M77" s="287"/>
      <c r="N77" s="287"/>
      <c r="O77" s="287"/>
      <c r="P77" s="287"/>
      <c r="Q77" s="287"/>
      <c r="R77" s="287"/>
      <c r="S77" s="2566"/>
      <c r="T77" s="287"/>
      <c r="U77" s="287"/>
      <c r="V77" s="287"/>
      <c r="W77" s="287"/>
      <c r="X77" s="287"/>
      <c r="Y77" s="287"/>
      <c r="AB77" s="287"/>
      <c r="AC77" s="287"/>
      <c r="AF77" s="287"/>
      <c r="AG77" s="287"/>
      <c r="AV77" s="3617"/>
      <c r="AW77" s="3617"/>
      <c r="AX77" s="3617"/>
      <c r="AY77" s="3617"/>
      <c r="AZ77" s="292"/>
      <c r="BA77" s="292"/>
      <c r="BB77" s="292"/>
      <c r="BC77" s="292"/>
      <c r="BD77" s="292"/>
      <c r="BE77" s="292"/>
      <c r="BF77" s="292"/>
      <c r="BG77" s="292"/>
      <c r="BH77" s="292"/>
      <c r="BI77" s="292"/>
      <c r="BJ77" s="292"/>
      <c r="BK77" s="292"/>
      <c r="BL77" s="292"/>
      <c r="BM77" s="292"/>
      <c r="BN77" s="292"/>
      <c r="BO77" s="292"/>
      <c r="BP77" s="292"/>
      <c r="BQ77" s="292"/>
      <c r="BR77" s="292"/>
      <c r="BS77" s="292"/>
      <c r="BT77" s="292"/>
      <c r="BU77" s="292"/>
      <c r="BV77" s="292"/>
      <c r="BW77" s="292"/>
      <c r="BX77" s="292"/>
      <c r="BY77" s="292"/>
      <c r="BZ77" s="292"/>
      <c r="CA77" s="292"/>
      <c r="CB77" s="292"/>
      <c r="CC77" s="292"/>
      <c r="CD77" s="292"/>
      <c r="CE77" s="292"/>
      <c r="CF77" s="292"/>
      <c r="CG77" s="292"/>
      <c r="CH77" s="292"/>
      <c r="CI77" s="292"/>
      <c r="CJ77" s="292"/>
      <c r="CK77" s="292"/>
      <c r="CL77" s="292"/>
      <c r="CM77" s="292"/>
      <c r="CN77" s="292"/>
      <c r="CO77" s="292"/>
      <c r="CP77" s="292"/>
      <c r="CQ77" s="292"/>
      <c r="CR77" s="292"/>
      <c r="CS77" s="292"/>
      <c r="CT77" s="292"/>
      <c r="CU77" s="292"/>
      <c r="CV77" s="292"/>
      <c r="CW77" s="292"/>
      <c r="CX77" s="292"/>
      <c r="CY77" s="292"/>
      <c r="CZ77" s="292"/>
      <c r="DA77" s="292"/>
      <c r="DB77" s="292"/>
      <c r="DC77" s="292"/>
      <c r="DD77" s="292"/>
      <c r="DE77" s="292"/>
      <c r="DF77" s="292"/>
      <c r="DG77" s="292"/>
      <c r="DH77" s="292"/>
      <c r="DI77" s="292"/>
      <c r="DJ77" s="292"/>
      <c r="DK77" s="292"/>
      <c r="DL77" s="292"/>
      <c r="DM77" s="292"/>
      <c r="DN77" s="292"/>
      <c r="DO77" s="292"/>
    </row>
    <row r="78" spans="1:119" s="2276" customFormat="1">
      <c r="A78" s="271" t="s">
        <v>524</v>
      </c>
      <c r="F78" s="2076"/>
      <c r="G78" s="2276">
        <f>+AA78</f>
        <v>1205</v>
      </c>
      <c r="H78" s="2276">
        <f>AE78</f>
        <v>785</v>
      </c>
      <c r="I78" s="2276">
        <f>AI78</f>
        <v>550</v>
      </c>
      <c r="J78" s="2276">
        <f>AM78</f>
        <v>1503</v>
      </c>
      <c r="K78" s="2276">
        <f>+AQ78</f>
        <v>1503</v>
      </c>
      <c r="L78" s="2276">
        <f>+AU78</f>
        <v>443</v>
      </c>
      <c r="M78" s="2276">
        <f>+AY78</f>
        <v>443</v>
      </c>
      <c r="N78" s="2276">
        <f>M78</f>
        <v>443</v>
      </c>
      <c r="O78" s="2276">
        <f>N78</f>
        <v>443</v>
      </c>
      <c r="P78" s="2276">
        <f>O78</f>
        <v>443</v>
      </c>
      <c r="Q78" s="2276">
        <f>P78</f>
        <v>443</v>
      </c>
      <c r="R78" s="2276">
        <f>Q78</f>
        <v>443</v>
      </c>
      <c r="S78" s="2567"/>
      <c r="AA78" s="2276">
        <v>1205</v>
      </c>
      <c r="AB78" s="2276">
        <v>1193</v>
      </c>
      <c r="AC78" s="2276">
        <v>302</v>
      </c>
      <c r="AD78" s="2276">
        <v>191</v>
      </c>
      <c r="AE78" s="2276">
        <v>785</v>
      </c>
      <c r="AF78" s="2095">
        <v>1126</v>
      </c>
      <c r="AG78" s="2657">
        <v>1188</v>
      </c>
      <c r="AH78" s="2095">
        <v>1169</v>
      </c>
      <c r="AI78" s="2095">
        <v>550</v>
      </c>
      <c r="AJ78" s="2276">
        <f>BS!BV29</f>
        <v>202</v>
      </c>
      <c r="AK78" s="2276">
        <f>BS!BW29</f>
        <v>1519</v>
      </c>
      <c r="AL78" s="2276">
        <f>BS!BX29</f>
        <v>1910</v>
      </c>
      <c r="AM78" s="2276">
        <f>BS!BY29</f>
        <v>1503</v>
      </c>
      <c r="AN78" s="2276">
        <f>BS!BZ29</f>
        <v>517</v>
      </c>
      <c r="AO78" s="2276">
        <f>BS!CA29</f>
        <v>1451</v>
      </c>
      <c r="AP78" s="2276">
        <f>BS!CB29</f>
        <v>1534</v>
      </c>
      <c r="AQ78" s="2276">
        <f>BS!CC29</f>
        <v>1503</v>
      </c>
      <c r="AR78" s="2276">
        <f>BS!CD29</f>
        <v>1499</v>
      </c>
      <c r="AS78" s="2276">
        <f>BS!CE29</f>
        <v>196</v>
      </c>
      <c r="AT78" s="2276">
        <f>BS!CF29</f>
        <v>124</v>
      </c>
      <c r="AU78" s="2276">
        <f>BS!CG29</f>
        <v>443</v>
      </c>
      <c r="AV78" s="2276">
        <f>BS!CH29</f>
        <v>443</v>
      </c>
      <c r="AW78" s="2276">
        <f>BS!CI29</f>
        <v>443</v>
      </c>
      <c r="AX78" s="2276">
        <f>BS!CJ29</f>
        <v>443</v>
      </c>
      <c r="AY78" s="2276">
        <f>BS!CK29</f>
        <v>443</v>
      </c>
      <c r="AZ78" s="2076"/>
      <c r="BA78" s="2076"/>
      <c r="BB78" s="2076"/>
      <c r="BC78" s="2076"/>
      <c r="BD78" s="2076"/>
      <c r="BE78" s="2076"/>
      <c r="BF78" s="2076"/>
      <c r="BG78" s="2076"/>
      <c r="BH78" s="2076"/>
      <c r="BI78" s="2076"/>
      <c r="BJ78" s="2076"/>
      <c r="BK78" s="2076"/>
      <c r="BL78" s="2076"/>
      <c r="BM78" s="2076"/>
      <c r="BN78" s="2076"/>
      <c r="BO78" s="2076"/>
      <c r="BP78" s="2076"/>
      <c r="BQ78" s="2076"/>
      <c r="BR78" s="2076"/>
      <c r="BS78" s="2076"/>
      <c r="BT78" s="2076"/>
      <c r="BU78" s="2076"/>
      <c r="BV78" s="2076"/>
      <c r="BW78" s="2076"/>
      <c r="BX78" s="2076"/>
      <c r="BY78" s="2076"/>
      <c r="BZ78" s="2076"/>
      <c r="CA78" s="2076"/>
      <c r="CB78" s="2076"/>
      <c r="CC78" s="2076"/>
      <c r="CD78" s="2076"/>
      <c r="CE78" s="2076"/>
      <c r="CF78" s="2076"/>
      <c r="CG78" s="2076"/>
      <c r="CH78" s="2076"/>
      <c r="CI78" s="2076"/>
      <c r="CJ78" s="2076"/>
      <c r="CK78" s="2076"/>
      <c r="CL78" s="2076"/>
      <c r="CM78" s="2076"/>
      <c r="CN78" s="2076"/>
      <c r="CO78" s="2076"/>
      <c r="CP78" s="2076"/>
      <c r="CQ78" s="2076"/>
      <c r="CR78" s="2076"/>
      <c r="CS78" s="2076"/>
      <c r="CT78" s="2076"/>
      <c r="CU78" s="2076"/>
      <c r="CV78" s="2076"/>
      <c r="CW78" s="2076"/>
      <c r="CX78" s="2076"/>
      <c r="CY78" s="2076"/>
      <c r="CZ78" s="2076"/>
      <c r="DA78" s="2076"/>
      <c r="DB78" s="2076"/>
      <c r="DC78" s="2076"/>
      <c r="DD78" s="2076"/>
      <c r="DE78" s="2076"/>
      <c r="DF78" s="2076"/>
      <c r="DG78" s="2076"/>
      <c r="DH78" s="2076"/>
      <c r="DI78" s="2076"/>
      <c r="DJ78" s="2076"/>
      <c r="DK78" s="2076"/>
      <c r="DL78" s="2076"/>
      <c r="DM78" s="2076"/>
      <c r="DN78" s="2076"/>
      <c r="DO78" s="2076"/>
    </row>
    <row r="79" spans="1:119" s="2276" customFormat="1">
      <c r="A79" s="271" t="s">
        <v>1464</v>
      </c>
      <c r="F79" s="2076"/>
      <c r="G79" s="2276">
        <f>+G80-G63+G78</f>
        <v>20587</v>
      </c>
      <c r="H79" s="2276">
        <f>+H80-H63+H78</f>
        <v>21044</v>
      </c>
      <c r="I79" s="2276">
        <f>+I80-I63+I78</f>
        <v>20782</v>
      </c>
      <c r="J79" s="2276">
        <f>+J80-J63+J78</f>
        <v>20529</v>
      </c>
      <c r="K79" s="2276">
        <f>+K80-K63+K78</f>
        <v>20319</v>
      </c>
      <c r="S79" s="2567"/>
      <c r="AZ79" s="2076"/>
      <c r="BA79" s="2076"/>
      <c r="BB79" s="2076"/>
      <c r="BC79" s="2076"/>
      <c r="BD79" s="2076"/>
      <c r="BE79" s="2076"/>
      <c r="BF79" s="2076"/>
      <c r="BG79" s="2076"/>
      <c r="BH79" s="2076"/>
      <c r="BI79" s="2076"/>
      <c r="BJ79" s="2076"/>
      <c r="BK79" s="2076"/>
      <c r="BL79" s="2076"/>
      <c r="BM79" s="2076"/>
      <c r="BN79" s="2076"/>
      <c r="BO79" s="2076"/>
      <c r="BP79" s="2076"/>
      <c r="BQ79" s="2076"/>
      <c r="BR79" s="2076"/>
      <c r="BS79" s="2076"/>
      <c r="BT79" s="2076"/>
      <c r="BU79" s="2076"/>
      <c r="BV79" s="2076"/>
      <c r="BW79" s="2076"/>
      <c r="BX79" s="2076"/>
      <c r="BY79" s="2076"/>
      <c r="BZ79" s="2076"/>
      <c r="CA79" s="2076"/>
      <c r="CB79" s="2076"/>
      <c r="CC79" s="2076"/>
      <c r="CD79" s="2076"/>
      <c r="CE79" s="2076"/>
      <c r="CF79" s="2076"/>
      <c r="CG79" s="2076"/>
      <c r="CH79" s="2076"/>
      <c r="CI79" s="2076"/>
      <c r="CJ79" s="2076"/>
      <c r="CK79" s="2076"/>
      <c r="CL79" s="2076"/>
      <c r="CM79" s="2076"/>
      <c r="CN79" s="2076"/>
      <c r="CO79" s="2076"/>
      <c r="CP79" s="2076"/>
      <c r="CQ79" s="2076"/>
      <c r="CR79" s="2076"/>
      <c r="CS79" s="2076"/>
      <c r="CT79" s="2076"/>
      <c r="CU79" s="2076"/>
      <c r="CV79" s="2076"/>
      <c r="CW79" s="2076"/>
      <c r="CX79" s="2076"/>
      <c r="CY79" s="2076"/>
      <c r="CZ79" s="2076"/>
      <c r="DA79" s="2076"/>
      <c r="DB79" s="2076"/>
      <c r="DC79" s="2076"/>
      <c r="DD79" s="2076"/>
      <c r="DE79" s="2076"/>
      <c r="DF79" s="2076"/>
      <c r="DG79" s="2076"/>
      <c r="DH79" s="2076"/>
      <c r="DI79" s="2076"/>
      <c r="DJ79" s="2076"/>
      <c r="DK79" s="2076"/>
      <c r="DL79" s="2076"/>
      <c r="DM79" s="2076"/>
      <c r="DN79" s="2076"/>
      <c r="DO79" s="2076"/>
    </row>
    <row r="80" spans="1:119" s="2276" customFormat="1">
      <c r="A80" s="271" t="s">
        <v>1225</v>
      </c>
      <c r="F80" s="2076"/>
      <c r="G80" s="2276">
        <f t="shared" ref="G80:O80" si="116">G75-G78</f>
        <v>19400</v>
      </c>
      <c r="H80" s="2276">
        <f t="shared" si="116"/>
        <v>20181</v>
      </c>
      <c r="I80" s="2276">
        <f t="shared" si="116"/>
        <v>20121</v>
      </c>
      <c r="J80" s="2276">
        <f t="shared" si="116"/>
        <v>18722</v>
      </c>
      <c r="K80" s="2276">
        <f t="shared" si="116"/>
        <v>18490</v>
      </c>
      <c r="L80" s="2276">
        <f>L75-L78</f>
        <v>37283</v>
      </c>
      <c r="M80" s="2276">
        <f>M75-M78</f>
        <v>36332</v>
      </c>
      <c r="N80" s="2276">
        <f t="shared" si="116"/>
        <v>35982</v>
      </c>
      <c r="O80" s="2276">
        <f t="shared" si="116"/>
        <v>35457</v>
      </c>
      <c r="P80" s="2276">
        <f>P75-P78</f>
        <v>34932</v>
      </c>
      <c r="Q80" s="2276">
        <f>Q75-Q78</f>
        <v>34407</v>
      </c>
      <c r="R80" s="2276">
        <f>R75-R78</f>
        <v>33882</v>
      </c>
      <c r="S80" s="2567"/>
      <c r="AB80" s="2276">
        <f t="shared" ref="AB80:AM80" si="117">AB75-AB78</f>
        <v>19595</v>
      </c>
      <c r="AC80" s="2276">
        <f t="shared" si="117"/>
        <v>20283</v>
      </c>
      <c r="AD80" s="2276">
        <f t="shared" si="117"/>
        <v>20391</v>
      </c>
      <c r="AE80" s="2276">
        <f t="shared" si="117"/>
        <v>20181</v>
      </c>
      <c r="AF80" s="2276">
        <f t="shared" si="117"/>
        <v>19814</v>
      </c>
      <c r="AG80" s="2276">
        <f t="shared" si="117"/>
        <v>19771</v>
      </c>
      <c r="AH80" s="2276">
        <f t="shared" si="117"/>
        <v>19982</v>
      </c>
      <c r="AI80" s="2276">
        <f t="shared" si="117"/>
        <v>20121</v>
      </c>
      <c r="AJ80" s="2276">
        <f t="shared" si="117"/>
        <v>20254</v>
      </c>
      <c r="AK80" s="2276">
        <f t="shared" si="117"/>
        <v>18834</v>
      </c>
      <c r="AL80" s="2276">
        <f t="shared" si="117"/>
        <v>18504</v>
      </c>
      <c r="AM80" s="2276">
        <f t="shared" si="117"/>
        <v>18722</v>
      </c>
      <c r="AN80" s="2276">
        <f t="shared" ref="AN80:AU80" si="118">AN75-AN78</f>
        <v>19508</v>
      </c>
      <c r="AO80" s="2276">
        <f t="shared" si="118"/>
        <v>18165</v>
      </c>
      <c r="AP80" s="2276">
        <f t="shared" si="118"/>
        <v>18184</v>
      </c>
      <c r="AQ80" s="2276">
        <f t="shared" si="118"/>
        <v>18490</v>
      </c>
      <c r="AR80" s="2276">
        <f t="shared" si="118"/>
        <v>18477</v>
      </c>
      <c r="AS80" s="2276">
        <f>AS75-AS78</f>
        <v>24881</v>
      </c>
      <c r="AT80" s="2276">
        <f t="shared" si="118"/>
        <v>24854</v>
      </c>
      <c r="AU80" s="2276">
        <f t="shared" si="118"/>
        <v>37283</v>
      </c>
      <c r="AV80" s="2276">
        <f>AV75-AV78</f>
        <v>36895.25</v>
      </c>
      <c r="AW80" s="2276">
        <f>AW75-AW78</f>
        <v>36716.9375</v>
      </c>
      <c r="AX80" s="2276">
        <f>AX75-AX78</f>
        <v>36545.703125</v>
      </c>
      <c r="AY80" s="2276">
        <f>AY75-AY78</f>
        <v>36332</v>
      </c>
      <c r="AZ80" s="2076"/>
      <c r="BA80" s="2076"/>
      <c r="BB80" s="2076"/>
      <c r="BC80" s="2076"/>
      <c r="BD80" s="2076"/>
      <c r="BE80" s="2076"/>
      <c r="BF80" s="2076"/>
      <c r="BG80" s="2076"/>
      <c r="BH80" s="2076"/>
      <c r="BI80" s="2076"/>
      <c r="BJ80" s="2076"/>
      <c r="BK80" s="2076"/>
      <c r="BL80" s="2076"/>
      <c r="BM80" s="2076"/>
      <c r="BN80" s="2076"/>
      <c r="BO80" s="2076"/>
      <c r="BP80" s="2076"/>
      <c r="BQ80" s="2076"/>
      <c r="BR80" s="2076"/>
      <c r="BS80" s="2076"/>
      <c r="BT80" s="2076"/>
      <c r="BU80" s="2076"/>
      <c r="BV80" s="2076"/>
      <c r="BW80" s="2076"/>
      <c r="BX80" s="2076"/>
      <c r="BY80" s="2076"/>
      <c r="BZ80" s="2076"/>
      <c r="CA80" s="2076"/>
      <c r="CB80" s="2076"/>
      <c r="CC80" s="2076"/>
      <c r="CD80" s="2076"/>
      <c r="CE80" s="2076"/>
      <c r="CF80" s="2076"/>
      <c r="CG80" s="2076"/>
      <c r="CH80" s="2076"/>
      <c r="CI80" s="2076"/>
      <c r="CJ80" s="2076"/>
      <c r="CK80" s="2076"/>
      <c r="CL80" s="2076"/>
      <c r="CM80" s="2076"/>
      <c r="CN80" s="2076"/>
      <c r="CO80" s="2076"/>
      <c r="CP80" s="2076"/>
      <c r="CQ80" s="2076"/>
      <c r="CR80" s="2076"/>
      <c r="CS80" s="2076"/>
      <c r="CT80" s="2076"/>
      <c r="CU80" s="2076"/>
      <c r="CV80" s="2076"/>
      <c r="CW80" s="2076"/>
      <c r="CX80" s="2076"/>
      <c r="CY80" s="2076"/>
      <c r="CZ80" s="2076"/>
      <c r="DA80" s="2076"/>
      <c r="DB80" s="2076"/>
      <c r="DC80" s="2076"/>
      <c r="DD80" s="2076"/>
      <c r="DE80" s="2076"/>
      <c r="DF80" s="2076"/>
      <c r="DG80" s="2076"/>
      <c r="DH80" s="2076"/>
      <c r="DI80" s="2076"/>
      <c r="DJ80" s="2076"/>
      <c r="DK80" s="2076"/>
      <c r="DL80" s="2076"/>
      <c r="DM80" s="2076"/>
      <c r="DN80" s="2076"/>
      <c r="DO80" s="2076"/>
    </row>
    <row r="81" spans="1:119" customFormat="1">
      <c r="A81" s="2571" t="s">
        <v>793</v>
      </c>
      <c r="F81" s="292"/>
      <c r="I81" s="287"/>
      <c r="J81" s="287"/>
      <c r="K81" s="287"/>
      <c r="L81" s="287"/>
      <c r="M81" s="3617"/>
      <c r="O81" s="292"/>
      <c r="P81" s="2248"/>
      <c r="Q81" s="2248"/>
      <c r="R81" s="2577"/>
      <c r="S81" s="2568"/>
      <c r="AB81">
        <f>+AB80-BS!BN36</f>
        <v>0</v>
      </c>
      <c r="AC81">
        <f>+AC80-BS!BO36</f>
        <v>0</v>
      </c>
      <c r="AD81">
        <f>+AD80-BS!BP36</f>
        <v>0</v>
      </c>
      <c r="AE81">
        <f>+AE80-BS!BQ36</f>
        <v>0</v>
      </c>
      <c r="AF81">
        <f>+AF80-BS!BR36</f>
        <v>0</v>
      </c>
      <c r="AG81">
        <f>+AG80-BS!BS36</f>
        <v>0</v>
      </c>
      <c r="AH81">
        <f>+AH80-BS!BT36</f>
        <v>0</v>
      </c>
      <c r="AI81">
        <f>+AI80-BS!BU36</f>
        <v>0</v>
      </c>
      <c r="AJ81">
        <f>+AJ80-BS!BV36</f>
        <v>0</v>
      </c>
      <c r="AK81" s="287">
        <f>+AK80-BS!BW36</f>
        <v>0</v>
      </c>
      <c r="AL81" s="287">
        <f>+AL80-BS!BX36</f>
        <v>0</v>
      </c>
      <c r="AM81" s="287">
        <f>+AM80-BS!BY36</f>
        <v>0</v>
      </c>
      <c r="AN81" s="287">
        <f>+AN80-BS!BZ36</f>
        <v>0</v>
      </c>
      <c r="AO81" s="287">
        <f>+AO80-BS!CA36</f>
        <v>0</v>
      </c>
      <c r="AP81" s="287">
        <f>+AP80-BS!CB36</f>
        <v>0</v>
      </c>
      <c r="AQ81" s="287">
        <f>+AQ80-BS!CC36</f>
        <v>305</v>
      </c>
      <c r="AR81" s="287">
        <f>+AR80-BS!CD36</f>
        <v>297</v>
      </c>
      <c r="AS81" s="287">
        <f>+AS80-BS!CE36</f>
        <v>0</v>
      </c>
      <c r="AT81" s="287">
        <f>+AT80-BS!CF36</f>
        <v>0</v>
      </c>
      <c r="AU81" s="287">
        <f>+AU80-BS!CG36</f>
        <v>0</v>
      </c>
      <c r="AV81" s="287">
        <f>+AV80-BS!CH36</f>
        <v>0</v>
      </c>
      <c r="AW81" s="287">
        <f>+AW80-BS!CI36</f>
        <v>0</v>
      </c>
      <c r="AX81" s="287">
        <f>+AX80-BS!CJ36</f>
        <v>0</v>
      </c>
      <c r="AY81" s="287">
        <f>+AY80-BS!CK36</f>
        <v>0</v>
      </c>
      <c r="AZ81" s="292"/>
      <c r="BA81" s="292"/>
      <c r="BB81" s="292"/>
      <c r="BC81" s="292"/>
      <c r="BD81" s="292"/>
      <c r="BE81" s="292"/>
      <c r="BF81" s="292"/>
      <c r="BG81" s="292"/>
      <c r="BH81" s="292"/>
      <c r="BI81" s="292"/>
      <c r="BJ81" s="292"/>
      <c r="BK81" s="292"/>
      <c r="BL81" s="292"/>
      <c r="BM81" s="292"/>
      <c r="BN81" s="292"/>
      <c r="BO81" s="292"/>
      <c r="BP81" s="292"/>
      <c r="BQ81" s="292"/>
      <c r="BR81" s="292"/>
      <c r="BS81" s="292"/>
      <c r="BT81" s="292"/>
      <c r="BU81" s="292"/>
      <c r="BV81" s="292"/>
      <c r="BW81" s="292"/>
      <c r="BX81" s="292"/>
      <c r="BY81" s="292"/>
      <c r="BZ81" s="292"/>
      <c r="CA81" s="292"/>
      <c r="CB81" s="292"/>
      <c r="CC81" s="292"/>
      <c r="CD81" s="292"/>
      <c r="CE81" s="292"/>
      <c r="CF81" s="292"/>
      <c r="CG81" s="292"/>
      <c r="CH81" s="292"/>
      <c r="CI81" s="292"/>
      <c r="CJ81" s="292"/>
      <c r="CK81" s="292"/>
      <c r="CL81" s="292"/>
      <c r="CM81" s="292"/>
      <c r="CN81" s="292"/>
      <c r="CO81" s="292"/>
      <c r="CP81" s="292"/>
      <c r="CQ81" s="292"/>
      <c r="CR81" s="292"/>
      <c r="CS81" s="292"/>
      <c r="CT81" s="292"/>
      <c r="CU81" s="292"/>
      <c r="CV81" s="292"/>
      <c r="CW81" s="292"/>
      <c r="CX81" s="292"/>
      <c r="CY81" s="292"/>
      <c r="CZ81" s="292"/>
      <c r="DA81" s="292"/>
      <c r="DB81" s="292"/>
      <c r="DC81" s="292"/>
      <c r="DD81" s="292"/>
      <c r="DE81" s="292"/>
      <c r="DF81" s="292"/>
      <c r="DG81" s="292"/>
      <c r="DH81" s="292"/>
      <c r="DI81" s="292"/>
      <c r="DJ81" s="292"/>
      <c r="DK81" s="292"/>
      <c r="DL81" s="292"/>
      <c r="DM81" s="292"/>
      <c r="DN81" s="292"/>
      <c r="DO81" s="292"/>
    </row>
    <row r="82" spans="1:119" s="3617" customFormat="1">
      <c r="A82" s="2571" t="s">
        <v>684</v>
      </c>
      <c r="F82" s="2248"/>
      <c r="I82" s="287"/>
      <c r="J82" s="287"/>
      <c r="K82" s="287"/>
      <c r="L82" s="287">
        <f ca="1">CFS!R57</f>
        <v>589</v>
      </c>
      <c r="M82" s="2747">
        <f ca="1">CFS!S57</f>
        <v>588.82697139099037</v>
      </c>
      <c r="N82" s="2747">
        <f ca="1">CFS!T57</f>
        <v>989.59286944263386</v>
      </c>
      <c r="O82" s="3743">
        <f ca="1">CFS!U57</f>
        <v>1421.4817072606074</v>
      </c>
      <c r="P82" s="3743">
        <f ca="1">CFS!V57</f>
        <v>2015.6347317919244</v>
      </c>
      <c r="Q82" s="3743">
        <f ca="1">CFS!W57</f>
        <v>2759.8966747809018</v>
      </c>
      <c r="R82" s="3744">
        <f ca="1">CFS!X57</f>
        <v>3255.4748025285762</v>
      </c>
      <c r="S82" s="2568"/>
      <c r="AK82" s="287"/>
      <c r="AL82" s="287"/>
      <c r="AM82" s="287"/>
      <c r="AN82" s="287"/>
      <c r="AO82" s="287"/>
      <c r="AP82" s="287"/>
      <c r="AQ82" s="287"/>
      <c r="AR82" s="287">
        <f ca="1">CFS!CA57</f>
        <v>216</v>
      </c>
      <c r="AS82" s="287">
        <f ca="1">CFS!CB57</f>
        <v>6357</v>
      </c>
      <c r="AT82" s="287">
        <f ca="1">CFS!CC57</f>
        <v>6164</v>
      </c>
      <c r="AU82" s="287">
        <f ca="1">CFS!CD57</f>
        <v>589</v>
      </c>
      <c r="AV82" s="287">
        <f ca="1">CFS!CE57</f>
        <v>428.32109297615216</v>
      </c>
      <c r="AW82" s="287">
        <f ca="1">CFS!CF57</f>
        <v>435.01602772112005</v>
      </c>
      <c r="AX82" s="287">
        <f ca="1">CFS!CG57</f>
        <v>500.125604309045</v>
      </c>
      <c r="AY82" s="287">
        <f ca="1">CFS!CH57</f>
        <v>588.82697139099002</v>
      </c>
      <c r="AZ82" s="2248"/>
      <c r="BA82" s="2248"/>
      <c r="BB82" s="2248"/>
      <c r="BC82" s="2248"/>
      <c r="BD82" s="2248"/>
      <c r="BE82" s="2248"/>
      <c r="BF82" s="2248"/>
      <c r="BG82" s="2248"/>
      <c r="BH82" s="2248"/>
      <c r="BI82" s="2248"/>
      <c r="BJ82" s="2248"/>
      <c r="BK82" s="2248"/>
      <c r="BL82" s="2248"/>
      <c r="BM82" s="2248"/>
      <c r="BN82" s="2248"/>
      <c r="BO82" s="2248"/>
      <c r="BP82" s="2248"/>
      <c r="BQ82" s="2248"/>
      <c r="BR82" s="2248"/>
      <c r="BS82" s="2248"/>
      <c r="BT82" s="2248"/>
      <c r="BU82" s="2248"/>
      <c r="BV82" s="2248"/>
      <c r="BW82" s="2248"/>
      <c r="BX82" s="2248"/>
      <c r="BY82" s="2248"/>
      <c r="BZ82" s="2248"/>
      <c r="CA82" s="2248"/>
      <c r="CB82" s="2248"/>
      <c r="CC82" s="2248"/>
      <c r="CD82" s="2248"/>
      <c r="CE82" s="2248"/>
      <c r="CF82" s="2248"/>
      <c r="CG82" s="2248"/>
      <c r="CH82" s="2248"/>
      <c r="CI82" s="2248"/>
      <c r="CJ82" s="2248"/>
      <c r="CK82" s="2248"/>
      <c r="CL82" s="2248"/>
      <c r="CM82" s="2248"/>
      <c r="CN82" s="2248"/>
      <c r="CO82" s="2248"/>
      <c r="CP82" s="2248"/>
      <c r="CQ82" s="2248"/>
      <c r="CR82" s="2248"/>
      <c r="CS82" s="2248"/>
      <c r="CT82" s="2248"/>
      <c r="CU82" s="2248"/>
      <c r="CV82" s="2248"/>
      <c r="CW82" s="2248"/>
      <c r="CX82" s="2248"/>
      <c r="CY82" s="2248"/>
      <c r="CZ82" s="2248"/>
      <c r="DA82" s="2248"/>
      <c r="DB82" s="2248"/>
      <c r="DC82" s="2248"/>
      <c r="DD82" s="2248"/>
      <c r="DE82" s="2248"/>
      <c r="DF82" s="2248"/>
      <c r="DG82" s="2248"/>
      <c r="DH82" s="2248"/>
      <c r="DI82" s="2248"/>
      <c r="DJ82" s="2248"/>
      <c r="DK82" s="2248"/>
      <c r="DL82" s="2248"/>
      <c r="DM82" s="2248"/>
      <c r="DN82" s="2248"/>
      <c r="DO82" s="2248"/>
    </row>
    <row r="83" spans="1:119" s="3617" customFormat="1">
      <c r="A83" s="2571"/>
      <c r="F83" s="2248"/>
      <c r="I83" s="287"/>
      <c r="J83" s="287"/>
      <c r="K83" s="287"/>
      <c r="L83" s="287"/>
      <c r="O83" s="2248"/>
      <c r="P83" s="2248"/>
      <c r="Q83" s="2248"/>
      <c r="R83" s="2577"/>
      <c r="S83" s="2568"/>
      <c r="AK83" s="287"/>
      <c r="AL83" s="287"/>
      <c r="AM83" s="287"/>
      <c r="AN83" s="287"/>
      <c r="AO83" s="287"/>
      <c r="AP83" s="287"/>
      <c r="AQ83" s="287"/>
      <c r="AR83" s="287"/>
      <c r="AS83" s="287"/>
      <c r="AT83" s="287"/>
      <c r="AU83" s="287"/>
      <c r="AV83" s="287"/>
      <c r="AW83" s="287"/>
      <c r="AX83" s="287"/>
      <c r="AY83" s="287"/>
      <c r="AZ83" s="2248"/>
      <c r="BA83" s="2248"/>
      <c r="BB83" s="2248"/>
      <c r="BC83" s="2248"/>
      <c r="BD83" s="2248"/>
      <c r="BE83" s="2248"/>
      <c r="BF83" s="2248"/>
      <c r="BG83" s="2248"/>
      <c r="BH83" s="2248"/>
      <c r="BI83" s="2248"/>
      <c r="BJ83" s="2248"/>
      <c r="BK83" s="2248"/>
      <c r="BL83" s="2248"/>
      <c r="BM83" s="2248"/>
      <c r="BN83" s="2248"/>
      <c r="BO83" s="2248"/>
      <c r="BP83" s="2248"/>
      <c r="BQ83" s="2248"/>
      <c r="BR83" s="2248"/>
      <c r="BS83" s="2248"/>
      <c r="BT83" s="2248"/>
      <c r="BU83" s="2248"/>
      <c r="BV83" s="2248"/>
      <c r="BW83" s="2248"/>
      <c r="BX83" s="2248"/>
      <c r="BY83" s="2248"/>
      <c r="BZ83" s="2248"/>
      <c r="CA83" s="2248"/>
      <c r="CB83" s="2248"/>
      <c r="CC83" s="2248"/>
      <c r="CD83" s="2248"/>
      <c r="CE83" s="2248"/>
      <c r="CF83" s="2248"/>
      <c r="CG83" s="2248"/>
      <c r="CH83" s="2248"/>
      <c r="CI83" s="2248"/>
      <c r="CJ83" s="2248"/>
      <c r="CK83" s="2248"/>
      <c r="CL83" s="2248"/>
      <c r="CM83" s="2248"/>
      <c r="CN83" s="2248"/>
      <c r="CO83" s="2248"/>
      <c r="CP83" s="2248"/>
      <c r="CQ83" s="2248"/>
      <c r="CR83" s="2248"/>
      <c r="CS83" s="2248"/>
      <c r="CT83" s="2248"/>
      <c r="CU83" s="2248"/>
      <c r="CV83" s="2248"/>
      <c r="CW83" s="2248"/>
      <c r="CX83" s="2248"/>
      <c r="CY83" s="2248"/>
      <c r="CZ83" s="2248"/>
      <c r="DA83" s="2248"/>
      <c r="DB83" s="2248"/>
      <c r="DC83" s="2248"/>
      <c r="DD83" s="2248"/>
      <c r="DE83" s="2248"/>
      <c r="DF83" s="2248"/>
      <c r="DG83" s="2248"/>
      <c r="DH83" s="2248"/>
      <c r="DI83" s="2248"/>
      <c r="DJ83" s="2248"/>
      <c r="DK83" s="2248"/>
      <c r="DL83" s="2248"/>
      <c r="DM83" s="2248"/>
      <c r="DN83" s="2248"/>
      <c r="DO83" s="2248"/>
    </row>
    <row r="84" spans="1:119" s="3617" customFormat="1">
      <c r="A84" s="2571"/>
      <c r="F84" s="2248"/>
      <c r="I84" s="287"/>
      <c r="J84" s="287"/>
      <c r="K84" s="287"/>
      <c r="L84" s="287"/>
      <c r="O84" s="2248"/>
      <c r="P84" s="2248"/>
      <c r="Q84" s="2248"/>
      <c r="R84" s="2577"/>
      <c r="S84" s="2568"/>
      <c r="AK84" s="287"/>
      <c r="AL84" s="287"/>
      <c r="AM84" s="287"/>
      <c r="AN84" s="287"/>
      <c r="AO84" s="287"/>
      <c r="AP84" s="287"/>
      <c r="AQ84" s="287"/>
      <c r="AR84" s="287"/>
      <c r="AS84" s="287"/>
      <c r="AT84" s="287"/>
      <c r="AU84" s="287"/>
      <c r="AV84" s="287"/>
      <c r="AW84" s="287"/>
      <c r="AX84" s="287"/>
      <c r="AY84" s="287"/>
      <c r="AZ84" s="2248"/>
      <c r="BA84" s="2248"/>
      <c r="BB84" s="2248"/>
      <c r="BC84" s="2248"/>
      <c r="BD84" s="2248"/>
      <c r="BE84" s="2248"/>
      <c r="BF84" s="2248"/>
      <c r="BG84" s="2248"/>
      <c r="BH84" s="2248"/>
      <c r="BI84" s="2248"/>
      <c r="BJ84" s="2248"/>
      <c r="BK84" s="2248"/>
      <c r="BL84" s="2248"/>
      <c r="BM84" s="2248"/>
      <c r="BN84" s="2248"/>
      <c r="BO84" s="2248"/>
      <c r="BP84" s="2248"/>
      <c r="BQ84" s="2248"/>
      <c r="BR84" s="2248"/>
      <c r="BS84" s="2248"/>
      <c r="BT84" s="2248"/>
      <c r="BU84" s="2248"/>
      <c r="BV84" s="2248"/>
      <c r="BW84" s="2248"/>
      <c r="BX84" s="2248"/>
      <c r="BY84" s="2248"/>
      <c r="BZ84" s="2248"/>
      <c r="CA84" s="2248"/>
      <c r="CB84" s="2248"/>
      <c r="CC84" s="2248"/>
      <c r="CD84" s="2248"/>
      <c r="CE84" s="2248"/>
      <c r="CF84" s="2248"/>
      <c r="CG84" s="2248"/>
      <c r="CH84" s="2248"/>
      <c r="CI84" s="2248"/>
      <c r="CJ84" s="2248"/>
      <c r="CK84" s="2248"/>
      <c r="CL84" s="2248"/>
      <c r="CM84" s="2248"/>
      <c r="CN84" s="2248"/>
      <c r="CO84" s="2248"/>
      <c r="CP84" s="2248"/>
      <c r="CQ84" s="2248"/>
      <c r="CR84" s="2248"/>
      <c r="CS84" s="2248"/>
      <c r="CT84" s="2248"/>
      <c r="CU84" s="2248"/>
      <c r="CV84" s="2248"/>
      <c r="CW84" s="2248"/>
      <c r="CX84" s="2248"/>
      <c r="CY84" s="2248"/>
      <c r="CZ84" s="2248"/>
      <c r="DA84" s="2248"/>
      <c r="DB84" s="2248"/>
      <c r="DC84" s="2248"/>
      <c r="DD84" s="2248"/>
      <c r="DE84" s="2248"/>
      <c r="DF84" s="2248"/>
      <c r="DG84" s="2248"/>
      <c r="DH84" s="2248"/>
      <c r="DI84" s="2248"/>
      <c r="DJ84" s="2248"/>
      <c r="DK84" s="2248"/>
      <c r="DL84" s="2248"/>
      <c r="DM84" s="2248"/>
      <c r="DN84" s="2248"/>
      <c r="DO84" s="2248"/>
    </row>
    <row r="85" spans="1:119" s="3617" customFormat="1">
      <c r="A85" s="2571"/>
      <c r="F85" s="2248"/>
      <c r="I85" s="287"/>
      <c r="J85" s="287"/>
      <c r="K85" s="287"/>
      <c r="L85" s="287"/>
      <c r="O85" s="2248"/>
      <c r="P85" s="2248"/>
      <c r="Q85" s="2248"/>
      <c r="R85" s="2577"/>
      <c r="S85" s="2568"/>
      <c r="AK85" s="287"/>
      <c r="AL85" s="287"/>
      <c r="AM85" s="287"/>
      <c r="AN85" s="287"/>
      <c r="AO85" s="287"/>
      <c r="AP85" s="287"/>
      <c r="AQ85" s="287"/>
      <c r="AR85" s="287"/>
      <c r="AS85" s="287"/>
      <c r="AT85" s="287"/>
      <c r="AU85" s="287"/>
      <c r="AV85" s="287"/>
      <c r="AW85" s="287"/>
      <c r="AX85" s="287"/>
      <c r="AY85" s="287"/>
      <c r="AZ85" s="2248"/>
      <c r="BA85" s="2248"/>
      <c r="BB85" s="2248"/>
      <c r="BC85" s="2248"/>
      <c r="BD85" s="2248"/>
      <c r="BE85" s="2248"/>
      <c r="BF85" s="2248"/>
      <c r="BG85" s="2248"/>
      <c r="BH85" s="2248"/>
      <c r="BI85" s="2248"/>
      <c r="BJ85" s="2248"/>
      <c r="BK85" s="2248"/>
      <c r="BL85" s="2248"/>
      <c r="BM85" s="2248"/>
      <c r="BN85" s="2248"/>
      <c r="BO85" s="2248"/>
      <c r="BP85" s="2248"/>
      <c r="BQ85" s="2248"/>
      <c r="BR85" s="2248"/>
      <c r="BS85" s="2248"/>
      <c r="BT85" s="2248"/>
      <c r="BU85" s="2248"/>
      <c r="BV85" s="2248"/>
      <c r="BW85" s="2248"/>
      <c r="BX85" s="2248"/>
      <c r="BY85" s="2248"/>
      <c r="BZ85" s="2248"/>
      <c r="CA85" s="2248"/>
      <c r="CB85" s="2248"/>
      <c r="CC85" s="2248"/>
      <c r="CD85" s="2248"/>
      <c r="CE85" s="2248"/>
      <c r="CF85" s="2248"/>
      <c r="CG85" s="2248"/>
      <c r="CH85" s="2248"/>
      <c r="CI85" s="2248"/>
      <c r="CJ85" s="2248"/>
      <c r="CK85" s="2248"/>
      <c r="CL85" s="2248"/>
      <c r="CM85" s="2248"/>
      <c r="CN85" s="2248"/>
      <c r="CO85" s="2248"/>
      <c r="CP85" s="2248"/>
      <c r="CQ85" s="2248"/>
      <c r="CR85" s="2248"/>
      <c r="CS85" s="2248"/>
      <c r="CT85" s="2248"/>
      <c r="CU85" s="2248"/>
      <c r="CV85" s="2248"/>
      <c r="CW85" s="2248"/>
      <c r="CX85" s="2248"/>
      <c r="CY85" s="2248"/>
      <c r="CZ85" s="2248"/>
      <c r="DA85" s="2248"/>
      <c r="DB85" s="2248"/>
      <c r="DC85" s="2248"/>
      <c r="DD85" s="2248"/>
      <c r="DE85" s="2248"/>
      <c r="DF85" s="2248"/>
      <c r="DG85" s="2248"/>
      <c r="DH85" s="2248"/>
      <c r="DI85" s="2248"/>
      <c r="DJ85" s="2248"/>
      <c r="DK85" s="2248"/>
      <c r="DL85" s="2248"/>
      <c r="DM85" s="2248"/>
      <c r="DN85" s="2248"/>
      <c r="DO85" s="2248"/>
    </row>
    <row r="86" spans="1:119" customFormat="1" ht="19.5" customHeight="1">
      <c r="A86" s="2099" t="s">
        <v>439</v>
      </c>
      <c r="B86" s="2100"/>
      <c r="C86" s="2100"/>
      <c r="D86" s="2101"/>
      <c r="E86" s="2101"/>
      <c r="F86" s="2102"/>
      <c r="G86" s="2101"/>
      <c r="H86" s="2101"/>
      <c r="I86" s="2101"/>
      <c r="J86" s="2101"/>
      <c r="K86" s="2101"/>
      <c r="L86" s="2101"/>
      <c r="M86" s="2101"/>
      <c r="N86" s="2101"/>
      <c r="O86" s="2102"/>
      <c r="P86" s="2102"/>
      <c r="Q86" s="2102"/>
      <c r="R86" s="2562"/>
      <c r="S86" s="2569"/>
      <c r="T86" s="2101"/>
      <c r="U86" s="2101"/>
      <c r="V86" s="2101"/>
      <c r="W86" s="2101"/>
      <c r="X86" s="2101"/>
      <c r="Y86" s="2101"/>
      <c r="Z86" s="2101"/>
      <c r="AA86" s="2101"/>
      <c r="AB86" s="2101"/>
      <c r="AC86" s="2101"/>
      <c r="AD86" s="2101"/>
      <c r="AE86" s="2101"/>
      <c r="AF86" s="2101"/>
      <c r="AG86" s="2101"/>
      <c r="AH86" s="2101"/>
      <c r="AI86" s="2101"/>
      <c r="AJ86" s="2101"/>
      <c r="AK86" s="2101"/>
      <c r="AL86" s="2101"/>
      <c r="AM86" s="2101"/>
      <c r="AN86" s="2101"/>
      <c r="AO86" s="2101"/>
      <c r="AP86" s="2101"/>
      <c r="AQ86" s="2101"/>
      <c r="AR86" s="2101"/>
      <c r="AS86" s="2101"/>
      <c r="AT86" s="2101"/>
      <c r="AU86" s="2101"/>
      <c r="AV86" s="2101"/>
      <c r="AW86" s="2101"/>
      <c r="AX86" s="2101"/>
      <c r="AY86" s="2101"/>
      <c r="AZ86" s="292"/>
      <c r="BA86" s="292"/>
      <c r="BB86" s="292"/>
      <c r="BC86" s="292"/>
      <c r="BD86" s="292"/>
      <c r="BE86" s="292"/>
      <c r="BF86" s="292"/>
      <c r="BG86" s="292"/>
      <c r="BH86" s="292"/>
      <c r="BI86" s="292"/>
      <c r="BJ86" s="292"/>
      <c r="BK86" s="292"/>
      <c r="BL86" s="292"/>
      <c r="BM86" s="292"/>
      <c r="BN86" s="292"/>
      <c r="BO86" s="292"/>
      <c r="BP86" s="292"/>
      <c r="BQ86" s="292"/>
      <c r="BR86" s="292"/>
      <c r="BS86" s="292"/>
      <c r="BT86" s="292"/>
      <c r="BU86" s="292"/>
      <c r="BV86" s="292"/>
      <c r="BW86" s="292"/>
      <c r="BX86" s="292"/>
      <c r="BY86" s="292"/>
      <c r="BZ86" s="292"/>
      <c r="CA86" s="292"/>
      <c r="CB86" s="292"/>
      <c r="CC86" s="292"/>
      <c r="CD86" s="292"/>
      <c r="CE86" s="292"/>
      <c r="CF86" s="292"/>
      <c r="CG86" s="292"/>
      <c r="CH86" s="292"/>
      <c r="CI86" s="292"/>
      <c r="CJ86" s="292"/>
      <c r="CK86" s="292"/>
      <c r="CL86" s="292"/>
      <c r="CM86" s="292"/>
      <c r="CN86" s="292"/>
      <c r="CO86" s="292"/>
      <c r="CP86" s="292"/>
      <c r="CQ86" s="292"/>
      <c r="CR86" s="292"/>
      <c r="CS86" s="292"/>
      <c r="CT86" s="292"/>
      <c r="CU86" s="292"/>
      <c r="CV86" s="292"/>
      <c r="CW86" s="292"/>
      <c r="CX86" s="292"/>
      <c r="CY86" s="292"/>
      <c r="CZ86" s="292"/>
      <c r="DA86" s="292"/>
      <c r="DB86" s="292"/>
      <c r="DC86" s="292"/>
      <c r="DD86" s="292"/>
      <c r="DE86" s="292"/>
      <c r="DF86" s="292"/>
      <c r="DG86" s="292"/>
      <c r="DH86" s="292"/>
      <c r="DI86" s="292"/>
      <c r="DJ86" s="292"/>
      <c r="DK86" s="292"/>
      <c r="DL86" s="292"/>
      <c r="DM86" s="292"/>
      <c r="DN86" s="292"/>
      <c r="DO86" s="292"/>
    </row>
    <row r="87" spans="1:119" s="2079" customFormat="1" ht="25.5">
      <c r="A87" s="2741"/>
      <c r="B87" s="2742"/>
      <c r="C87" s="2743"/>
      <c r="D87" s="2743"/>
      <c r="E87" s="2743"/>
      <c r="F87" s="2744" t="s">
        <v>440</v>
      </c>
      <c r="G87" s="2744" t="s">
        <v>618</v>
      </c>
      <c r="H87" s="2743" t="s">
        <v>1226</v>
      </c>
      <c r="I87" s="2743" t="s">
        <v>1227</v>
      </c>
      <c r="J87" s="2743" t="s">
        <v>1298</v>
      </c>
      <c r="K87" s="2743" t="s">
        <v>1762</v>
      </c>
      <c r="L87" s="2743"/>
      <c r="M87" s="2743"/>
      <c r="S87" s="2570"/>
      <c r="U87" s="2080"/>
      <c r="V87" s="2080"/>
      <c r="W87" s="2220"/>
      <c r="X87" s="2082"/>
      <c r="Y87" s="2083"/>
      <c r="Z87" s="2080"/>
      <c r="AA87" s="2080"/>
      <c r="AB87" s="2082"/>
      <c r="AC87" s="2083"/>
      <c r="AD87" s="2080"/>
      <c r="AE87" s="2080"/>
      <c r="AF87" s="2082"/>
      <c r="AG87" s="2083"/>
      <c r="AH87" s="2080"/>
      <c r="AI87" s="2080"/>
      <c r="AJ87" s="2080"/>
      <c r="AK87" s="2080"/>
      <c r="AL87" s="2080"/>
      <c r="AM87" s="2080"/>
      <c r="AN87" s="2080"/>
      <c r="AO87" s="2080"/>
      <c r="AP87" s="2080"/>
      <c r="AQ87" s="2080"/>
      <c r="AR87" s="2080"/>
      <c r="AS87" s="2080"/>
      <c r="AT87" s="2080"/>
      <c r="AU87" s="2080"/>
      <c r="AV87" s="2080"/>
      <c r="AW87" s="2080"/>
      <c r="AX87" s="2080"/>
      <c r="AY87" s="2080"/>
      <c r="AZ87" s="2080"/>
      <c r="BA87" s="2080"/>
      <c r="BB87" s="2080"/>
      <c r="BC87" s="2080"/>
      <c r="BD87" s="2080"/>
      <c r="BE87" s="2080"/>
      <c r="BF87" s="2080"/>
      <c r="BG87" s="2080"/>
      <c r="BH87" s="2080"/>
      <c r="BI87" s="2080"/>
      <c r="BJ87" s="2080"/>
      <c r="BK87" s="2080"/>
      <c r="BL87" s="2080"/>
      <c r="BM87" s="2080"/>
      <c r="BN87" s="2080"/>
      <c r="BO87" s="2080"/>
      <c r="BP87" s="2080"/>
      <c r="BQ87" s="2080"/>
      <c r="BR87" s="2080"/>
      <c r="BS87" s="2080"/>
      <c r="BT87" s="2080"/>
      <c r="BU87" s="2080"/>
      <c r="BV87" s="2080"/>
      <c r="BW87" s="2080"/>
      <c r="BX87" s="2080"/>
      <c r="BY87" s="2080"/>
      <c r="BZ87" s="2080"/>
      <c r="CA87" s="2080"/>
      <c r="CB87" s="2080"/>
      <c r="CC87" s="2080"/>
      <c r="CD87" s="2080"/>
      <c r="CE87" s="2080"/>
      <c r="CF87" s="2080"/>
      <c r="CG87" s="2080"/>
      <c r="CH87" s="2080"/>
      <c r="CI87" s="2080"/>
      <c r="CJ87" s="2080"/>
      <c r="CK87" s="2080"/>
      <c r="CL87" s="2080"/>
      <c r="CM87" s="2080"/>
      <c r="CN87" s="2080"/>
      <c r="CO87" s="2080"/>
      <c r="CP87" s="2080"/>
      <c r="CQ87" s="2080"/>
      <c r="CR87" s="2080"/>
      <c r="CS87" s="2080"/>
      <c r="CT87" s="2080"/>
      <c r="CU87" s="2080"/>
      <c r="CV87" s="2080"/>
      <c r="CW87" s="2080"/>
      <c r="CX87" s="2080"/>
      <c r="CY87" s="2080"/>
      <c r="CZ87" s="2080"/>
      <c r="DA87" s="2080"/>
      <c r="DB87" s="2080"/>
      <c r="DC87" s="2080"/>
      <c r="DD87" s="2080"/>
      <c r="DE87" s="2080"/>
      <c r="DF87" s="2080"/>
      <c r="DG87" s="2080"/>
      <c r="DH87" s="2080"/>
      <c r="DI87" s="2080"/>
      <c r="DJ87" s="2080"/>
      <c r="DK87" s="2080"/>
      <c r="DL87" s="2080"/>
      <c r="DM87" s="2080"/>
      <c r="DN87" s="2080"/>
      <c r="DO87" s="2080"/>
    </row>
    <row r="88" spans="1:119" customFormat="1">
      <c r="A88" s="2745">
        <v>2012</v>
      </c>
      <c r="B88" s="292"/>
      <c r="C88" s="292"/>
      <c r="D88" s="292"/>
      <c r="E88" s="292"/>
      <c r="F88" s="2076">
        <v>480</v>
      </c>
      <c r="G88" s="2223"/>
      <c r="H88" s="2223"/>
      <c r="I88" s="2223"/>
      <c r="J88" s="2223"/>
      <c r="K88" s="2223"/>
      <c r="L88" s="2223"/>
      <c r="M88" s="2223"/>
      <c r="N88" s="292"/>
      <c r="O88" s="292"/>
      <c r="P88" s="292"/>
      <c r="Q88" s="2248"/>
      <c r="R88" s="2248"/>
      <c r="S88" s="2568"/>
      <c r="U88" s="292"/>
      <c r="V88" s="292"/>
      <c r="W88" s="292"/>
      <c r="X88" s="292"/>
      <c r="Y88" s="292"/>
      <c r="Z88" s="292"/>
      <c r="AA88" s="292"/>
      <c r="AB88" s="292"/>
      <c r="AC88" s="292"/>
      <c r="AD88" s="292"/>
      <c r="AE88" s="292"/>
      <c r="AF88" s="292"/>
      <c r="AG88" s="292"/>
      <c r="AH88" s="292"/>
      <c r="AI88" s="292"/>
      <c r="AJ88" s="292"/>
      <c r="AK88" s="292"/>
      <c r="AL88" s="292"/>
      <c r="AM88" s="292"/>
      <c r="AN88" s="292"/>
      <c r="AO88" s="292"/>
      <c r="AP88" s="292"/>
      <c r="AQ88" s="292"/>
      <c r="AR88" s="292"/>
      <c r="AS88" s="292"/>
      <c r="AT88" s="292"/>
      <c r="AU88" s="292"/>
      <c r="AV88" s="2248"/>
      <c r="AW88" s="2248"/>
      <c r="AX88" s="2248"/>
      <c r="AY88" s="2248"/>
      <c r="AZ88" s="292"/>
      <c r="BA88" s="292"/>
      <c r="BB88" s="292"/>
      <c r="BC88" s="292"/>
      <c r="BD88" s="292"/>
      <c r="BE88" s="292"/>
      <c r="BF88" s="292"/>
      <c r="BG88" s="292"/>
      <c r="BH88" s="292"/>
      <c r="BI88" s="292"/>
      <c r="BJ88" s="292"/>
      <c r="BK88" s="292"/>
      <c r="BL88" s="292"/>
      <c r="BM88" s="292"/>
      <c r="BN88" s="292"/>
      <c r="BO88" s="292"/>
      <c r="BP88" s="292"/>
      <c r="BQ88" s="292"/>
      <c r="BR88" s="292"/>
      <c r="BS88" s="292"/>
      <c r="BT88" s="292"/>
      <c r="BU88" s="292"/>
      <c r="BV88" s="292"/>
      <c r="BW88" s="292"/>
      <c r="BX88" s="292"/>
      <c r="BY88" s="292"/>
      <c r="BZ88" s="292"/>
      <c r="CA88" s="292"/>
      <c r="CB88" s="292"/>
      <c r="CC88" s="292"/>
      <c r="CD88" s="292"/>
      <c r="CE88" s="292"/>
      <c r="CF88" s="292"/>
      <c r="CG88" s="292"/>
      <c r="CH88" s="292"/>
      <c r="CI88" s="292"/>
      <c r="CJ88" s="292"/>
      <c r="CK88" s="292"/>
      <c r="CL88" s="292"/>
      <c r="CM88" s="292"/>
      <c r="CN88" s="292"/>
      <c r="CO88" s="292"/>
      <c r="CP88" s="292"/>
      <c r="CQ88" s="292"/>
      <c r="CR88" s="292"/>
      <c r="CS88" s="292"/>
      <c r="CT88" s="292"/>
      <c r="CU88" s="292"/>
      <c r="CV88" s="292"/>
      <c r="CW88" s="292"/>
      <c r="CX88" s="292"/>
      <c r="CY88" s="292"/>
      <c r="CZ88" s="292"/>
      <c r="DA88" s="292"/>
      <c r="DB88" s="292"/>
      <c r="DC88" s="292"/>
      <c r="DD88" s="292"/>
      <c r="DE88" s="292"/>
      <c r="DF88" s="292"/>
      <c r="DG88" s="292"/>
      <c r="DH88" s="292"/>
      <c r="DI88" s="292"/>
      <c r="DJ88" s="292"/>
      <c r="DK88" s="292"/>
      <c r="DL88" s="292"/>
      <c r="DM88" s="292"/>
      <c r="DN88" s="292"/>
      <c r="DO88" s="292"/>
    </row>
    <row r="89" spans="1:119" customFormat="1">
      <c r="A89" s="2745">
        <v>2013</v>
      </c>
      <c r="B89" s="292"/>
      <c r="C89" s="292"/>
      <c r="D89" s="292"/>
      <c r="E89" s="292"/>
      <c r="F89" s="2076">
        <v>1717</v>
      </c>
      <c r="G89" s="2076">
        <v>1205</v>
      </c>
      <c r="H89" s="2223"/>
      <c r="I89" s="2223"/>
      <c r="J89" s="2223"/>
      <c r="K89" s="2223"/>
      <c r="L89" s="2223"/>
      <c r="M89" s="2223"/>
      <c r="N89" s="292"/>
      <c r="O89" s="292"/>
      <c r="P89" s="292"/>
      <c r="Q89" s="2248"/>
      <c r="R89" s="2248"/>
      <c r="S89" s="2568"/>
      <c r="U89" s="292"/>
      <c r="V89" s="2081"/>
      <c r="W89" s="2085"/>
      <c r="X89" s="2086"/>
      <c r="Y89" s="2086"/>
      <c r="Z89" s="2212"/>
      <c r="AA89" s="2212"/>
      <c r="AB89" s="2086"/>
      <c r="AC89" s="2086"/>
      <c r="AD89" s="2212"/>
      <c r="AE89" s="2212"/>
      <c r="AF89" s="2086"/>
      <c r="AG89" s="2086"/>
      <c r="AH89" s="2212"/>
      <c r="AI89" s="2212"/>
      <c r="AJ89" s="2212"/>
      <c r="AK89" s="2212"/>
      <c r="AL89" s="2212"/>
      <c r="AM89" s="2212"/>
      <c r="AN89" s="2212"/>
      <c r="AO89" s="2212"/>
      <c r="AP89" s="2212"/>
      <c r="AQ89" s="2212"/>
      <c r="AR89" s="2212"/>
      <c r="AS89" s="2212"/>
      <c r="AT89" s="2212"/>
      <c r="AU89" s="2212"/>
      <c r="AV89" s="2212"/>
      <c r="AW89" s="2212"/>
      <c r="AX89" s="2212"/>
      <c r="AY89" s="2212"/>
      <c r="AZ89" s="292"/>
      <c r="BA89" s="292"/>
      <c r="BB89" s="292"/>
      <c r="BC89" s="292"/>
      <c r="BD89" s="292"/>
      <c r="BE89" s="292"/>
      <c r="BF89" s="292"/>
      <c r="BG89" s="292"/>
      <c r="BH89" s="292"/>
      <c r="BI89" s="292"/>
      <c r="BJ89" s="292"/>
      <c r="BK89" s="292"/>
      <c r="BL89" s="292"/>
      <c r="BM89" s="292"/>
      <c r="BN89" s="292"/>
      <c r="BO89" s="292"/>
      <c r="BP89" s="292"/>
      <c r="BQ89" s="292"/>
      <c r="BR89" s="292"/>
      <c r="BS89" s="292"/>
      <c r="BT89" s="292"/>
      <c r="BU89" s="292"/>
      <c r="BV89" s="292"/>
      <c r="BW89" s="292"/>
      <c r="BX89" s="292"/>
      <c r="BY89" s="292"/>
      <c r="BZ89" s="292"/>
      <c r="CA89" s="292"/>
      <c r="CB89" s="292"/>
      <c r="CC89" s="292"/>
      <c r="CD89" s="292"/>
      <c r="CE89" s="292"/>
      <c r="CF89" s="292"/>
      <c r="CG89" s="292"/>
      <c r="CH89" s="292"/>
      <c r="CI89" s="292"/>
      <c r="CJ89" s="292"/>
      <c r="CK89" s="292"/>
      <c r="CL89" s="292"/>
      <c r="CM89" s="292"/>
      <c r="CN89" s="292"/>
      <c r="CO89" s="292"/>
      <c r="CP89" s="292"/>
      <c r="CQ89" s="292"/>
      <c r="CR89" s="292"/>
      <c r="CS89" s="292"/>
      <c r="CT89" s="292"/>
      <c r="CU89" s="292"/>
      <c r="CV89" s="292"/>
      <c r="CW89" s="292"/>
      <c r="CX89" s="292"/>
      <c r="CY89" s="292"/>
      <c r="CZ89" s="292"/>
      <c r="DA89" s="292"/>
      <c r="DB89" s="292"/>
      <c r="DC89" s="292"/>
      <c r="DD89" s="292"/>
      <c r="DE89" s="292"/>
      <c r="DF89" s="292"/>
      <c r="DG89" s="292"/>
      <c r="DH89" s="292"/>
      <c r="DI89" s="292"/>
      <c r="DJ89" s="292"/>
      <c r="DK89" s="292"/>
      <c r="DL89" s="292"/>
      <c r="DM89" s="292"/>
      <c r="DN89" s="292"/>
      <c r="DO89" s="292"/>
    </row>
    <row r="90" spans="1:119" customFormat="1">
      <c r="A90" s="2745">
        <v>2014</v>
      </c>
      <c r="B90" s="292"/>
      <c r="C90" s="292"/>
      <c r="D90" s="292"/>
      <c r="E90" s="292"/>
      <c r="F90" s="2076">
        <v>2057</v>
      </c>
      <c r="G90" s="2076">
        <v>781</v>
      </c>
      <c r="H90" s="292">
        <v>785</v>
      </c>
      <c r="I90" s="2223"/>
      <c r="J90" s="2223"/>
      <c r="K90" s="2223"/>
      <c r="L90" s="2223"/>
      <c r="M90" s="2223"/>
      <c r="N90" s="292"/>
      <c r="O90" s="292"/>
      <c r="P90" s="292"/>
      <c r="Q90" s="2248"/>
      <c r="R90" s="2248"/>
      <c r="S90" s="2568"/>
      <c r="U90" s="292"/>
      <c r="V90" s="2081"/>
      <c r="W90" s="2085"/>
      <c r="X90" s="2086"/>
      <c r="Y90" s="2086"/>
      <c r="Z90" s="2212"/>
      <c r="AA90" s="2212"/>
      <c r="AB90" s="2086"/>
      <c r="AC90" s="2086"/>
      <c r="AD90" s="2212"/>
      <c r="AE90" s="2212"/>
      <c r="AF90" s="2086"/>
      <c r="AG90" s="2086"/>
      <c r="AH90" s="2212"/>
      <c r="AI90" s="2212"/>
      <c r="AJ90" s="2212"/>
      <c r="AK90" s="2212"/>
      <c r="AL90" s="2212"/>
      <c r="AM90" s="2212"/>
      <c r="AN90" s="2212"/>
      <c r="AO90" s="2212"/>
      <c r="AP90" s="2212"/>
      <c r="AQ90" s="2212"/>
      <c r="AR90" s="2212"/>
      <c r="AS90" s="2212"/>
      <c r="AT90" s="2212"/>
      <c r="AU90" s="2212"/>
      <c r="AV90" s="2212"/>
      <c r="AW90" s="2212"/>
      <c r="AX90" s="2212"/>
      <c r="AY90" s="2212"/>
      <c r="AZ90" s="292"/>
      <c r="BA90" s="292"/>
      <c r="BB90" s="292"/>
      <c r="BC90" s="292"/>
      <c r="BD90" s="292"/>
      <c r="BE90" s="292"/>
      <c r="BF90" s="292"/>
      <c r="BG90" s="292"/>
      <c r="BH90" s="292"/>
      <c r="BI90" s="292"/>
      <c r="BJ90" s="292"/>
      <c r="BK90" s="292"/>
      <c r="BL90" s="292"/>
      <c r="BM90" s="292"/>
      <c r="BN90" s="292"/>
      <c r="BO90" s="292"/>
      <c r="BP90" s="292"/>
      <c r="BQ90" s="292"/>
      <c r="BR90" s="292"/>
      <c r="BS90" s="292"/>
      <c r="BT90" s="292"/>
      <c r="BU90" s="292"/>
      <c r="BV90" s="292"/>
      <c r="BW90" s="292"/>
      <c r="BX90" s="292"/>
      <c r="BY90" s="292"/>
      <c r="BZ90" s="292"/>
      <c r="CA90" s="292"/>
      <c r="CB90" s="292"/>
      <c r="CC90" s="292"/>
      <c r="CD90" s="292"/>
      <c r="CE90" s="292"/>
      <c r="CF90" s="292"/>
      <c r="CG90" s="292"/>
      <c r="CH90" s="292"/>
      <c r="CI90" s="292"/>
      <c r="CJ90" s="292"/>
      <c r="CK90" s="292"/>
      <c r="CL90" s="292"/>
      <c r="CM90" s="292"/>
      <c r="CN90" s="292"/>
      <c r="CO90" s="292"/>
      <c r="CP90" s="292"/>
      <c r="CQ90" s="292"/>
      <c r="CR90" s="292"/>
      <c r="CS90" s="292"/>
      <c r="CT90" s="292"/>
      <c r="CU90" s="292"/>
      <c r="CV90" s="292"/>
      <c r="CW90" s="292"/>
      <c r="CX90" s="292"/>
      <c r="CY90" s="292"/>
      <c r="CZ90" s="292"/>
      <c r="DA90" s="292"/>
      <c r="DB90" s="292"/>
      <c r="DC90" s="292"/>
      <c r="DD90" s="292"/>
      <c r="DE90" s="292"/>
      <c r="DF90" s="292"/>
      <c r="DG90" s="292"/>
      <c r="DH90" s="292"/>
      <c r="DI90" s="292"/>
      <c r="DJ90" s="292"/>
      <c r="DK90" s="292"/>
      <c r="DL90" s="292"/>
      <c r="DM90" s="292"/>
      <c r="DN90" s="292"/>
      <c r="DO90" s="292"/>
    </row>
    <row r="91" spans="1:119" customFormat="1">
      <c r="A91" s="2746">
        <v>2015</v>
      </c>
      <c r="B91" s="292"/>
      <c r="C91" s="292"/>
      <c r="D91" s="292"/>
      <c r="E91" s="292"/>
      <c r="F91" s="2077">
        <v>1659</v>
      </c>
      <c r="G91" s="2077">
        <v>545</v>
      </c>
      <c r="H91" s="292">
        <v>565</v>
      </c>
      <c r="I91" s="286">
        <v>550</v>
      </c>
      <c r="J91" s="2223"/>
      <c r="K91" s="2223"/>
      <c r="L91" s="2223"/>
      <c r="M91" s="2223"/>
      <c r="N91" s="292"/>
      <c r="O91" s="292"/>
      <c r="P91" s="292"/>
      <c r="Q91" s="2248"/>
      <c r="R91" s="2248"/>
      <c r="S91" s="2568"/>
      <c r="U91" s="292"/>
      <c r="V91" s="2088"/>
      <c r="W91" s="2085"/>
      <c r="X91" s="2087"/>
      <c r="Y91" s="2087"/>
      <c r="Z91" s="2212"/>
      <c r="AA91" s="2212"/>
      <c r="AB91" s="2087"/>
      <c r="AC91" s="2087"/>
      <c r="AD91" s="2212"/>
      <c r="AE91" s="2212"/>
      <c r="AF91" s="2087"/>
      <c r="AG91" s="2087"/>
      <c r="AH91" s="2212"/>
      <c r="AI91" s="2212"/>
      <c r="AJ91" s="2212"/>
      <c r="AK91" s="2212"/>
      <c r="AL91" s="2212"/>
      <c r="AM91" s="2212"/>
      <c r="AN91" s="2212"/>
      <c r="AO91" s="2212"/>
      <c r="AP91" s="2212"/>
      <c r="AQ91" s="2212"/>
      <c r="AR91" s="2212"/>
      <c r="AS91" s="2212"/>
      <c r="AT91" s="2212"/>
      <c r="AU91" s="2212"/>
      <c r="AV91" s="2212"/>
      <c r="AW91" s="2212"/>
      <c r="AX91" s="2212"/>
      <c r="AY91" s="2212"/>
      <c r="AZ91" s="292"/>
      <c r="BA91" s="292"/>
      <c r="BB91" s="292"/>
      <c r="BC91" s="292"/>
      <c r="BD91" s="292"/>
      <c r="BE91" s="292"/>
      <c r="BF91" s="292"/>
      <c r="BG91" s="292"/>
      <c r="BH91" s="292"/>
      <c r="BI91" s="292"/>
      <c r="BJ91" s="292"/>
      <c r="BK91" s="292"/>
      <c r="BL91" s="292"/>
      <c r="BM91" s="292"/>
      <c r="BN91" s="292"/>
      <c r="BO91" s="292"/>
      <c r="BP91" s="292"/>
      <c r="BQ91" s="292"/>
      <c r="BR91" s="292"/>
      <c r="BS91" s="292"/>
      <c r="BT91" s="292"/>
      <c r="BU91" s="292"/>
      <c r="BV91" s="292"/>
      <c r="BW91" s="292"/>
      <c r="BX91" s="292"/>
      <c r="BY91" s="292"/>
      <c r="BZ91" s="292"/>
      <c r="CA91" s="292"/>
      <c r="CB91" s="292"/>
      <c r="CC91" s="292"/>
      <c r="CD91" s="292"/>
      <c r="CE91" s="292"/>
      <c r="CF91" s="292"/>
      <c r="CG91" s="292"/>
      <c r="CH91" s="292"/>
      <c r="CI91" s="292"/>
      <c r="CJ91" s="292"/>
      <c r="CK91" s="292"/>
      <c r="CL91" s="292"/>
      <c r="CM91" s="292"/>
      <c r="CN91" s="292"/>
      <c r="CO91" s="292"/>
      <c r="CP91" s="292"/>
      <c r="CQ91" s="292"/>
      <c r="CR91" s="292"/>
      <c r="CS91" s="292"/>
      <c r="CT91" s="292"/>
      <c r="CU91" s="292"/>
      <c r="CV91" s="292"/>
      <c r="CW91" s="292"/>
      <c r="CX91" s="292"/>
      <c r="CY91" s="292"/>
      <c r="CZ91" s="292"/>
      <c r="DA91" s="292"/>
      <c r="DB91" s="292"/>
      <c r="DC91" s="292"/>
      <c r="DD91" s="292"/>
      <c r="DE91" s="292"/>
      <c r="DF91" s="292"/>
      <c r="DG91" s="292"/>
      <c r="DH91" s="292"/>
      <c r="DI91" s="292"/>
      <c r="DJ91" s="292"/>
      <c r="DK91" s="292"/>
      <c r="DL91" s="292"/>
      <c r="DM91" s="292"/>
      <c r="DN91" s="292"/>
      <c r="DO91" s="292"/>
    </row>
    <row r="92" spans="1:119" customFormat="1">
      <c r="A92" s="2746">
        <v>2016</v>
      </c>
      <c r="B92" s="292"/>
      <c r="C92" s="292"/>
      <c r="D92" s="292"/>
      <c r="E92" s="292"/>
      <c r="F92" s="2077">
        <v>2856</v>
      </c>
      <c r="G92" s="2077">
        <v>1488</v>
      </c>
      <c r="H92" s="292">
        <v>1493</v>
      </c>
      <c r="I92" s="286">
        <v>1494</v>
      </c>
      <c r="J92" s="286">
        <v>1503</v>
      </c>
      <c r="K92" s="2223"/>
      <c r="L92" s="2223"/>
      <c r="M92" s="2223"/>
      <c r="N92" s="292"/>
      <c r="O92" s="292"/>
      <c r="P92" s="292"/>
      <c r="Q92" s="2248"/>
      <c r="R92" s="2248"/>
      <c r="S92" s="2568"/>
      <c r="U92" s="292"/>
      <c r="V92" s="2088"/>
      <c r="W92" s="2085"/>
      <c r="X92" s="2087"/>
      <c r="Y92" s="2087"/>
      <c r="Z92" s="2212"/>
      <c r="AA92" s="2212"/>
      <c r="AB92" s="2087"/>
      <c r="AC92" s="2087"/>
      <c r="AD92" s="2212"/>
      <c r="AE92" s="2212"/>
      <c r="AF92" s="2087"/>
      <c r="AG92" s="2087"/>
      <c r="AH92" s="2212"/>
      <c r="AI92" s="2212"/>
      <c r="AJ92" s="2212"/>
      <c r="AK92" s="2212"/>
      <c r="AL92" s="2212"/>
      <c r="AM92" s="2212"/>
      <c r="AN92" s="2212"/>
      <c r="AO92" s="2212"/>
      <c r="AP92" s="2212"/>
      <c r="AQ92" s="2212"/>
      <c r="AR92" s="2212"/>
      <c r="AS92" s="2212"/>
      <c r="AT92" s="2212"/>
      <c r="AU92" s="2212"/>
      <c r="AV92" s="2212"/>
      <c r="AW92" s="2212"/>
      <c r="AX92" s="2212"/>
      <c r="AY92" s="2212"/>
      <c r="AZ92" s="292"/>
      <c r="BA92" s="292"/>
      <c r="BB92" s="292"/>
      <c r="BC92" s="292"/>
      <c r="BD92" s="292"/>
      <c r="BE92" s="292"/>
      <c r="BF92" s="292"/>
      <c r="BG92" s="292"/>
      <c r="BH92" s="292"/>
      <c r="BI92" s="292"/>
      <c r="BJ92" s="292"/>
      <c r="BK92" s="292"/>
      <c r="BL92" s="292"/>
      <c r="BM92" s="292"/>
      <c r="BN92" s="292"/>
      <c r="BO92" s="292"/>
      <c r="BP92" s="292"/>
      <c r="BQ92" s="292"/>
      <c r="BR92" s="292"/>
      <c r="BS92" s="292"/>
      <c r="BT92" s="292"/>
      <c r="BU92" s="292"/>
      <c r="BV92" s="292"/>
      <c r="BW92" s="292"/>
      <c r="BX92" s="292"/>
      <c r="BY92" s="292"/>
      <c r="BZ92" s="292"/>
      <c r="CA92" s="292"/>
      <c r="CB92" s="292"/>
      <c r="CC92" s="292"/>
      <c r="CD92" s="292"/>
      <c r="CE92" s="292"/>
      <c r="CF92" s="292"/>
      <c r="CG92" s="292"/>
      <c r="CH92" s="292"/>
      <c r="CI92" s="292"/>
      <c r="CJ92" s="292"/>
      <c r="CK92" s="292"/>
      <c r="CL92" s="292"/>
      <c r="CM92" s="292"/>
      <c r="CN92" s="292"/>
      <c r="CO92" s="292"/>
      <c r="CP92" s="292"/>
      <c r="CQ92" s="292"/>
      <c r="CR92" s="292"/>
      <c r="CS92" s="292"/>
      <c r="CT92" s="292"/>
      <c r="CU92" s="292"/>
      <c r="CV92" s="292"/>
      <c r="CW92" s="292"/>
      <c r="CX92" s="292"/>
      <c r="CY92" s="292"/>
      <c r="CZ92" s="292"/>
      <c r="DA92" s="292"/>
      <c r="DB92" s="292"/>
      <c r="DC92" s="292"/>
      <c r="DD92" s="292"/>
      <c r="DE92" s="292"/>
      <c r="DF92" s="292"/>
      <c r="DG92" s="292"/>
      <c r="DH92" s="292"/>
      <c r="DI92" s="292"/>
      <c r="DJ92" s="292"/>
      <c r="DK92" s="292"/>
      <c r="DL92" s="292"/>
      <c r="DM92" s="292"/>
      <c r="DN92" s="292"/>
      <c r="DO92" s="292"/>
    </row>
    <row r="93" spans="1:119" customFormat="1">
      <c r="A93" s="2746" t="s">
        <v>619</v>
      </c>
      <c r="B93" s="292"/>
      <c r="C93" s="292"/>
      <c r="D93" s="292"/>
      <c r="E93" s="292"/>
      <c r="F93" s="2077">
        <v>12798</v>
      </c>
      <c r="G93" s="2077">
        <v>2313</v>
      </c>
      <c r="H93" s="292">
        <v>2219</v>
      </c>
      <c r="I93" s="286">
        <v>1497</v>
      </c>
      <c r="J93" s="286">
        <v>1501</v>
      </c>
      <c r="K93" s="286">
        <v>1544</v>
      </c>
      <c r="L93" s="292"/>
      <c r="M93" s="2248"/>
      <c r="N93" s="292"/>
      <c r="O93" s="292"/>
      <c r="P93" s="292"/>
      <c r="Q93" s="2248"/>
      <c r="R93" s="2248"/>
      <c r="S93" s="2568"/>
      <c r="U93" s="292"/>
      <c r="V93" s="2081"/>
      <c r="W93" s="2085"/>
      <c r="X93" s="2087"/>
      <c r="Y93" s="2087"/>
      <c r="Z93" s="2212"/>
      <c r="AA93" s="2212"/>
      <c r="AB93" s="2087"/>
      <c r="AC93" s="2087"/>
      <c r="AD93" s="2212"/>
      <c r="AE93" s="2212"/>
      <c r="AF93" s="2087"/>
      <c r="AG93" s="2087"/>
      <c r="AH93" s="2212"/>
      <c r="AI93" s="2212"/>
      <c r="AJ93" s="2212"/>
      <c r="AK93" s="2212"/>
      <c r="AL93" s="2212"/>
      <c r="AM93" s="2212"/>
      <c r="AN93" s="2212"/>
      <c r="AO93" s="2212"/>
      <c r="AP93" s="2212"/>
      <c r="AQ93" s="2212"/>
      <c r="AR93" s="2212"/>
      <c r="AS93" s="2212"/>
      <c r="AT93" s="2212"/>
      <c r="AU93" s="2212"/>
      <c r="AV93" s="2212"/>
      <c r="AW93" s="2212"/>
      <c r="AX93" s="2212"/>
      <c r="AY93" s="2212"/>
      <c r="AZ93" s="292"/>
      <c r="BA93" s="292"/>
      <c r="BB93" s="292"/>
      <c r="BC93" s="292"/>
      <c r="BD93" s="292"/>
      <c r="BE93" s="292"/>
      <c r="BF93" s="292"/>
      <c r="BG93" s="292"/>
      <c r="BH93" s="292"/>
      <c r="BI93" s="292"/>
      <c r="BJ93" s="292"/>
      <c r="BK93" s="292"/>
      <c r="BL93" s="292"/>
      <c r="BM93" s="292"/>
      <c r="BN93" s="292"/>
      <c r="BO93" s="292"/>
      <c r="BP93" s="292"/>
      <c r="BQ93" s="292"/>
      <c r="BR93" s="292"/>
      <c r="BS93" s="292"/>
      <c r="BT93" s="292"/>
      <c r="BU93" s="292"/>
      <c r="BV93" s="292"/>
      <c r="BW93" s="292"/>
      <c r="BX93" s="292"/>
      <c r="BY93" s="292"/>
      <c r="BZ93" s="292"/>
      <c r="CA93" s="292"/>
      <c r="CB93" s="292"/>
      <c r="CC93" s="292"/>
      <c r="CD93" s="292"/>
      <c r="CE93" s="292"/>
      <c r="CF93" s="292"/>
      <c r="CG93" s="292"/>
      <c r="CH93" s="292"/>
      <c r="CI93" s="292"/>
      <c r="CJ93" s="292"/>
      <c r="CK93" s="292"/>
      <c r="CL93" s="292"/>
      <c r="CM93" s="292"/>
      <c r="CN93" s="292"/>
      <c r="CO93" s="292"/>
      <c r="CP93" s="292"/>
      <c r="CQ93" s="292"/>
      <c r="CR93" s="292"/>
      <c r="CS93" s="292"/>
      <c r="CT93" s="292"/>
      <c r="CU93" s="292"/>
      <c r="CV93" s="292"/>
      <c r="CW93" s="292"/>
      <c r="CX93" s="292"/>
      <c r="CY93" s="292"/>
      <c r="CZ93" s="292"/>
      <c r="DA93" s="292"/>
      <c r="DB93" s="292"/>
      <c r="DC93" s="292"/>
      <c r="DD93" s="292"/>
      <c r="DE93" s="292"/>
      <c r="DF93" s="292"/>
      <c r="DG93" s="292"/>
      <c r="DH93" s="292"/>
      <c r="DI93" s="292"/>
      <c r="DJ93" s="292"/>
      <c r="DK93" s="292"/>
      <c r="DL93" s="292"/>
      <c r="DM93" s="292"/>
      <c r="DN93" s="292"/>
      <c r="DO93" s="292"/>
    </row>
    <row r="94" spans="1:119" customFormat="1">
      <c r="A94" s="2746" t="s">
        <v>620</v>
      </c>
      <c r="B94" s="292"/>
      <c r="C94" s="292"/>
      <c r="D94" s="292"/>
      <c r="E94" s="292"/>
      <c r="F94" s="1898"/>
      <c r="G94" s="2077">
        <v>14255</v>
      </c>
      <c r="H94" s="292">
        <v>246</v>
      </c>
      <c r="I94" s="286">
        <v>248</v>
      </c>
      <c r="J94" s="286">
        <v>251</v>
      </c>
      <c r="K94" s="286">
        <v>280</v>
      </c>
      <c r="L94" s="292"/>
      <c r="M94" s="2248"/>
      <c r="N94" s="292"/>
      <c r="O94" s="292"/>
      <c r="P94" s="292"/>
      <c r="Q94" s="2248"/>
      <c r="R94" s="2248"/>
      <c r="S94" s="2568"/>
      <c r="U94" s="292"/>
      <c r="V94" s="2078"/>
      <c r="W94" s="292"/>
      <c r="X94" s="292"/>
      <c r="Y94" s="292"/>
      <c r="Z94" s="292"/>
      <c r="AA94" s="292"/>
      <c r="AB94" s="292"/>
      <c r="AC94" s="292"/>
      <c r="AD94" s="292"/>
      <c r="AE94" s="292"/>
      <c r="AF94" s="292"/>
      <c r="AG94" s="292"/>
      <c r="AH94" s="292"/>
      <c r="AI94" s="292"/>
      <c r="AJ94" s="292"/>
      <c r="AK94" s="292"/>
      <c r="AL94" s="292"/>
      <c r="AM94" s="292"/>
      <c r="AN94" s="292"/>
      <c r="AO94" s="292"/>
      <c r="AP94" s="292"/>
      <c r="AQ94" s="292"/>
      <c r="AR94" s="292"/>
      <c r="AS94" s="292"/>
      <c r="AT94" s="292"/>
      <c r="AU94" s="292"/>
      <c r="AV94" s="2248"/>
      <c r="AW94" s="2248"/>
      <c r="AX94" s="2248"/>
      <c r="AY94" s="2248"/>
      <c r="AZ94" s="292"/>
      <c r="BA94" s="292"/>
      <c r="BB94" s="292"/>
      <c r="BC94" s="292"/>
      <c r="BD94" s="292"/>
      <c r="BE94" s="292"/>
      <c r="BF94" s="292"/>
      <c r="BG94" s="292"/>
      <c r="BH94" s="292"/>
      <c r="BI94" s="292"/>
      <c r="BJ94" s="292"/>
      <c r="BK94" s="292"/>
      <c r="BL94" s="292"/>
      <c r="BM94" s="292"/>
      <c r="BN94" s="292"/>
      <c r="BO94" s="292"/>
      <c r="BP94" s="292"/>
      <c r="BQ94" s="292"/>
      <c r="BR94" s="292"/>
      <c r="BS94" s="292"/>
      <c r="BT94" s="292"/>
      <c r="BU94" s="292"/>
      <c r="BV94" s="292"/>
      <c r="BW94" s="292"/>
      <c r="BX94" s="292"/>
      <c r="BY94" s="292"/>
      <c r="BZ94" s="292"/>
      <c r="CA94" s="292"/>
      <c r="CB94" s="292"/>
      <c r="CC94" s="292"/>
      <c r="CD94" s="292"/>
      <c r="CE94" s="292"/>
      <c r="CF94" s="292"/>
      <c r="CG94" s="292"/>
      <c r="CH94" s="292"/>
      <c r="CI94" s="292"/>
      <c r="CJ94" s="292"/>
      <c r="CK94" s="292"/>
      <c r="CL94" s="292"/>
      <c r="CM94" s="292"/>
      <c r="CN94" s="292"/>
      <c r="CO94" s="292"/>
      <c r="CP94" s="292"/>
      <c r="CQ94" s="292"/>
      <c r="CR94" s="292"/>
      <c r="CS94" s="292"/>
      <c r="CT94" s="292"/>
      <c r="CU94" s="292"/>
      <c r="CV94" s="292"/>
      <c r="CW94" s="292"/>
      <c r="CX94" s="292"/>
      <c r="CY94" s="292"/>
      <c r="CZ94" s="292"/>
      <c r="DA94" s="292"/>
      <c r="DB94" s="292"/>
      <c r="DC94" s="292"/>
      <c r="DD94" s="292"/>
      <c r="DE94" s="292"/>
      <c r="DF94" s="292"/>
      <c r="DG94" s="292"/>
      <c r="DH94" s="292"/>
      <c r="DI94" s="292"/>
      <c r="DJ94" s="292"/>
      <c r="DK94" s="292"/>
      <c r="DL94" s="292"/>
      <c r="DM94" s="292"/>
      <c r="DN94" s="292"/>
      <c r="DO94" s="292"/>
    </row>
    <row r="95" spans="1:119" customFormat="1">
      <c r="A95" s="2745">
        <v>2019</v>
      </c>
      <c r="B95" s="292"/>
      <c r="C95" s="292"/>
      <c r="D95" s="292"/>
      <c r="E95" s="292"/>
      <c r="F95" s="1898"/>
      <c r="G95" s="1898"/>
      <c r="H95" s="292">
        <v>15736</v>
      </c>
      <c r="I95" s="286">
        <v>1474</v>
      </c>
      <c r="J95" s="286">
        <v>1160</v>
      </c>
      <c r="K95" s="286">
        <v>1131</v>
      </c>
      <c r="L95" s="292"/>
      <c r="M95" s="2248"/>
      <c r="N95" s="292"/>
      <c r="O95" s="292"/>
      <c r="P95" s="292"/>
      <c r="Q95" s="2248"/>
      <c r="R95" s="2248"/>
      <c r="S95" s="2568"/>
      <c r="AV95" s="3617"/>
      <c r="AW95" s="3617"/>
      <c r="AX95" s="3617"/>
      <c r="AY95" s="3617"/>
      <c r="AZ95" s="292"/>
      <c r="BA95" s="292"/>
      <c r="BB95" s="292"/>
      <c r="BC95" s="292"/>
      <c r="BD95" s="292"/>
      <c r="BE95" s="292"/>
      <c r="BF95" s="292"/>
      <c r="BG95" s="292"/>
      <c r="BH95" s="292"/>
      <c r="BI95" s="292"/>
      <c r="BJ95" s="292"/>
      <c r="BK95" s="292"/>
      <c r="BL95" s="292"/>
      <c r="BM95" s="292"/>
      <c r="BN95" s="292"/>
      <c r="BO95" s="292"/>
      <c r="BP95" s="292"/>
      <c r="BQ95" s="292"/>
      <c r="BR95" s="292"/>
      <c r="BS95" s="292"/>
      <c r="BT95" s="292"/>
      <c r="BU95" s="292"/>
      <c r="BV95" s="292"/>
      <c r="BW95" s="292"/>
      <c r="BX95" s="292"/>
      <c r="BY95" s="292"/>
      <c r="BZ95" s="292"/>
      <c r="CA95" s="292"/>
      <c r="CB95" s="292"/>
      <c r="CC95" s="292"/>
      <c r="CD95" s="292"/>
      <c r="CE95" s="292"/>
      <c r="CF95" s="292"/>
      <c r="CG95" s="292"/>
      <c r="CH95" s="292"/>
      <c r="CI95" s="292"/>
      <c r="CJ95" s="292"/>
      <c r="CK95" s="292"/>
      <c r="CL95" s="292"/>
      <c r="CM95" s="292"/>
      <c r="CN95" s="292"/>
      <c r="CO95" s="292"/>
      <c r="CP95" s="292"/>
      <c r="CQ95" s="292"/>
      <c r="CR95" s="292"/>
      <c r="CS95" s="292"/>
      <c r="CT95" s="292"/>
      <c r="CU95" s="292"/>
      <c r="CV95" s="292"/>
      <c r="CW95" s="292"/>
      <c r="CX95" s="292"/>
      <c r="CY95" s="292"/>
      <c r="CZ95" s="292"/>
      <c r="DA95" s="292"/>
      <c r="DB95" s="292"/>
      <c r="DC95" s="292"/>
      <c r="DD95" s="292"/>
      <c r="DE95" s="292"/>
      <c r="DF95" s="292"/>
      <c r="DG95" s="292"/>
      <c r="DH95" s="292"/>
      <c r="DI95" s="292"/>
      <c r="DJ95" s="292"/>
      <c r="DK95" s="292"/>
      <c r="DL95" s="292"/>
      <c r="DM95" s="292"/>
      <c r="DN95" s="292"/>
      <c r="DO95" s="292"/>
    </row>
    <row r="96" spans="1:119" customFormat="1">
      <c r="A96" s="2745">
        <v>2020</v>
      </c>
      <c r="B96" s="292"/>
      <c r="C96" s="292"/>
      <c r="D96" s="292"/>
      <c r="E96" s="292"/>
      <c r="F96" s="1898"/>
      <c r="G96" s="1898"/>
      <c r="H96" s="1898"/>
      <c r="I96" s="286">
        <v>15519</v>
      </c>
      <c r="J96" s="286">
        <v>1032</v>
      </c>
      <c r="K96" s="286">
        <v>1032</v>
      </c>
      <c r="L96" s="286"/>
      <c r="M96" s="286"/>
      <c r="N96" s="292"/>
      <c r="O96" s="292"/>
      <c r="P96" s="292"/>
      <c r="Q96" s="2248"/>
      <c r="R96" s="2248"/>
      <c r="S96" s="2568"/>
      <c r="AV96" s="3617"/>
      <c r="AW96" s="3617"/>
      <c r="AX96" s="3617"/>
      <c r="AY96" s="3617"/>
      <c r="AZ96" s="292"/>
      <c r="BA96" s="292"/>
      <c r="BB96" s="292"/>
      <c r="BC96" s="292"/>
      <c r="BD96" s="292"/>
      <c r="BE96" s="292"/>
      <c r="BF96" s="292"/>
      <c r="BG96" s="292"/>
      <c r="BH96" s="292"/>
      <c r="BI96" s="292"/>
      <c r="BJ96" s="292"/>
      <c r="BK96" s="292"/>
      <c r="BL96" s="292"/>
      <c r="BM96" s="292"/>
      <c r="BN96" s="292"/>
      <c r="BO96" s="292"/>
      <c r="BP96" s="292"/>
      <c r="BQ96" s="292"/>
      <c r="BR96" s="292"/>
      <c r="BS96" s="292"/>
      <c r="BT96" s="292"/>
      <c r="BU96" s="292"/>
      <c r="BV96" s="292"/>
      <c r="BW96" s="292"/>
      <c r="BX96" s="292"/>
      <c r="BY96" s="292"/>
      <c r="BZ96" s="292"/>
      <c r="CA96" s="292"/>
      <c r="CB96" s="292"/>
      <c r="CC96" s="292"/>
      <c r="CD96" s="292"/>
      <c r="CE96" s="292"/>
      <c r="CF96" s="292"/>
      <c r="CG96" s="292"/>
      <c r="CH96" s="292"/>
      <c r="CI96" s="292"/>
      <c r="CJ96" s="292"/>
      <c r="CK96" s="292"/>
      <c r="CL96" s="292"/>
      <c r="CM96" s="292"/>
      <c r="CN96" s="292"/>
      <c r="CO96" s="292"/>
      <c r="CP96" s="292"/>
      <c r="CQ96" s="292"/>
      <c r="CR96" s="292"/>
      <c r="CS96" s="292"/>
      <c r="CT96" s="292"/>
      <c r="CU96" s="292"/>
      <c r="CV96" s="292"/>
      <c r="CW96" s="292"/>
      <c r="CX96" s="292"/>
      <c r="CY96" s="292"/>
      <c r="CZ96" s="292"/>
      <c r="DA96" s="292"/>
      <c r="DB96" s="292"/>
      <c r="DC96" s="292"/>
      <c r="DD96" s="292"/>
      <c r="DE96" s="292"/>
      <c r="DF96" s="292"/>
      <c r="DG96" s="292"/>
      <c r="DH96" s="292"/>
      <c r="DI96" s="292"/>
      <c r="DJ96" s="292"/>
      <c r="DK96" s="292"/>
      <c r="DL96" s="292"/>
      <c r="DM96" s="292"/>
      <c r="DN96" s="292"/>
      <c r="DO96" s="292"/>
    </row>
    <row r="97" spans="1:119" customFormat="1">
      <c r="A97" s="2745">
        <v>2021</v>
      </c>
      <c r="B97" s="292"/>
      <c r="C97" s="292"/>
      <c r="D97" s="292"/>
      <c r="E97" s="292"/>
      <c r="F97" s="1898"/>
      <c r="G97" s="1898"/>
      <c r="H97" s="1898"/>
      <c r="I97" s="1898"/>
      <c r="J97" s="286">
        <v>15082</v>
      </c>
      <c r="K97" s="286">
        <v>2329</v>
      </c>
      <c r="L97" s="286"/>
      <c r="M97" s="286"/>
      <c r="N97" s="292"/>
      <c r="O97" s="292"/>
      <c r="P97" s="292"/>
      <c r="Q97" s="2248"/>
      <c r="R97" s="2248"/>
      <c r="S97" s="2568"/>
      <c r="AV97" s="3617"/>
      <c r="AW97" s="3617"/>
      <c r="AX97" s="3617"/>
      <c r="AY97" s="3617"/>
      <c r="AZ97" s="292"/>
      <c r="BA97" s="292"/>
      <c r="BB97" s="292"/>
      <c r="BC97" s="292"/>
      <c r="BD97" s="292"/>
      <c r="BE97" s="292"/>
      <c r="BF97" s="292"/>
      <c r="BG97" s="292"/>
      <c r="BH97" s="292"/>
      <c r="BI97" s="292"/>
      <c r="BJ97" s="292"/>
      <c r="BK97" s="292"/>
      <c r="BL97" s="292"/>
      <c r="BM97" s="292"/>
      <c r="BN97" s="292"/>
      <c r="BO97" s="292"/>
      <c r="BP97" s="292"/>
      <c r="BQ97" s="292"/>
      <c r="BR97" s="292"/>
      <c r="BS97" s="292"/>
      <c r="BT97" s="292"/>
      <c r="BU97" s="292"/>
      <c r="BV97" s="292"/>
      <c r="BW97" s="292"/>
      <c r="BX97" s="292"/>
      <c r="BY97" s="292"/>
      <c r="BZ97" s="292"/>
      <c r="CA97" s="292"/>
      <c r="CB97" s="292"/>
      <c r="CC97" s="292"/>
      <c r="CD97" s="292"/>
      <c r="CE97" s="292"/>
      <c r="CF97" s="292"/>
      <c r="CG97" s="292"/>
      <c r="CH97" s="292"/>
      <c r="CI97" s="292"/>
      <c r="CJ97" s="292"/>
      <c r="CK97" s="292"/>
      <c r="CL97" s="292"/>
      <c r="CM97" s="292"/>
      <c r="CN97" s="292"/>
      <c r="CO97" s="292"/>
      <c r="CP97" s="292"/>
      <c r="CQ97" s="292"/>
      <c r="CR97" s="292"/>
      <c r="CS97" s="292"/>
      <c r="CT97" s="292"/>
      <c r="CU97" s="292"/>
      <c r="CV97" s="292"/>
      <c r="CW97" s="292"/>
      <c r="CX97" s="292"/>
      <c r="CY97" s="292"/>
      <c r="CZ97" s="292"/>
      <c r="DA97" s="292"/>
      <c r="DB97" s="292"/>
      <c r="DC97" s="292"/>
      <c r="DD97" s="292"/>
      <c r="DE97" s="292"/>
      <c r="DF97" s="292"/>
      <c r="DG97" s="292"/>
      <c r="DH97" s="292"/>
      <c r="DI97" s="292"/>
      <c r="DJ97" s="292"/>
      <c r="DK97" s="292"/>
      <c r="DL97" s="292"/>
      <c r="DM97" s="292"/>
      <c r="DN97" s="292"/>
      <c r="DO97" s="292"/>
    </row>
    <row r="98" spans="1:119" customFormat="1">
      <c r="A98" s="2745">
        <v>2022</v>
      </c>
      <c r="B98" s="292"/>
      <c r="C98" s="292"/>
      <c r="D98" s="292"/>
      <c r="E98" s="292"/>
      <c r="F98" s="1898"/>
      <c r="G98" s="1898"/>
      <c r="H98" s="1898"/>
      <c r="I98" s="1898"/>
      <c r="J98" s="1898"/>
      <c r="K98" s="286">
        <v>14003</v>
      </c>
      <c r="L98" s="286"/>
      <c r="M98" s="286"/>
      <c r="N98" s="292"/>
      <c r="O98" s="292"/>
      <c r="P98" s="292"/>
      <c r="Q98" s="2248"/>
      <c r="R98" s="2248"/>
      <c r="S98" s="2568"/>
      <c r="AV98" s="3617"/>
      <c r="AW98" s="3617"/>
      <c r="AX98" s="3617"/>
      <c r="AY98" s="3617"/>
      <c r="AZ98" s="292"/>
      <c r="BA98" s="292"/>
      <c r="BB98" s="292"/>
      <c r="BC98" s="292"/>
      <c r="BD98" s="292"/>
      <c r="BE98" s="292"/>
      <c r="BF98" s="292"/>
      <c r="BG98" s="292"/>
      <c r="BH98" s="292"/>
      <c r="BI98" s="292"/>
      <c r="BJ98" s="292"/>
      <c r="BK98" s="292"/>
      <c r="BL98" s="292"/>
      <c r="BM98" s="292"/>
      <c r="BN98" s="292"/>
      <c r="BO98" s="292"/>
      <c r="BP98" s="292"/>
      <c r="BQ98" s="292"/>
      <c r="BR98" s="292"/>
      <c r="BS98" s="292"/>
      <c r="BT98" s="292"/>
      <c r="BU98" s="292"/>
      <c r="BV98" s="292"/>
      <c r="BW98" s="292"/>
      <c r="BX98" s="292"/>
      <c r="BY98" s="292"/>
      <c r="BZ98" s="292"/>
      <c r="CA98" s="292"/>
      <c r="CB98" s="292"/>
      <c r="CC98" s="292"/>
      <c r="CD98" s="292"/>
      <c r="CE98" s="292"/>
      <c r="CF98" s="292"/>
      <c r="CG98" s="292"/>
      <c r="CH98" s="292"/>
      <c r="CI98" s="292"/>
      <c r="CJ98" s="292"/>
      <c r="CK98" s="292"/>
      <c r="CL98" s="292"/>
      <c r="CM98" s="292"/>
      <c r="CN98" s="292"/>
      <c r="CO98" s="292"/>
      <c r="CP98" s="292"/>
      <c r="CQ98" s="292"/>
      <c r="CR98" s="292"/>
      <c r="CS98" s="292"/>
      <c r="CT98" s="292"/>
      <c r="CU98" s="292"/>
      <c r="CV98" s="292"/>
      <c r="CW98" s="292"/>
      <c r="CX98" s="292"/>
      <c r="CY98" s="292"/>
      <c r="CZ98" s="292"/>
      <c r="DA98" s="292"/>
      <c r="DB98" s="292"/>
      <c r="DC98" s="292"/>
      <c r="DD98" s="292"/>
      <c r="DE98" s="292"/>
      <c r="DF98" s="292"/>
      <c r="DG98" s="292"/>
      <c r="DH98" s="292"/>
      <c r="DI98" s="292"/>
      <c r="DJ98" s="292"/>
      <c r="DK98" s="292"/>
      <c r="DL98" s="292"/>
      <c r="DM98" s="292"/>
      <c r="DN98" s="292"/>
      <c r="DO98" s="292"/>
    </row>
    <row r="99" spans="1:119" customFormat="1">
      <c r="A99" s="2745">
        <v>2023</v>
      </c>
      <c r="B99" s="292"/>
      <c r="C99" s="292"/>
      <c r="D99" s="292"/>
      <c r="E99" s="292"/>
      <c r="F99" s="1898"/>
      <c r="G99" s="1898"/>
      <c r="H99" s="1898"/>
      <c r="I99" s="1898"/>
      <c r="J99" s="1898"/>
      <c r="K99" s="1898"/>
      <c r="L99" s="1898"/>
      <c r="M99" s="1898"/>
      <c r="N99" s="292"/>
      <c r="O99" s="292"/>
      <c r="P99" s="292"/>
      <c r="Q99" s="2248"/>
      <c r="R99" s="2248"/>
      <c r="S99" s="2568"/>
      <c r="AV99" s="3617"/>
      <c r="AW99" s="3617"/>
      <c r="AX99" s="3617"/>
      <c r="AY99" s="3617"/>
      <c r="AZ99" s="292"/>
      <c r="BA99" s="292"/>
      <c r="BB99" s="292"/>
      <c r="BC99" s="292"/>
      <c r="BD99" s="292"/>
      <c r="BE99" s="292"/>
      <c r="BF99" s="292"/>
      <c r="BG99" s="292"/>
      <c r="BH99" s="292"/>
      <c r="BI99" s="292"/>
      <c r="BJ99" s="292"/>
      <c r="BK99" s="292"/>
      <c r="BL99" s="292"/>
      <c r="BM99" s="292"/>
      <c r="BN99" s="292"/>
      <c r="BO99" s="292"/>
      <c r="BP99" s="292"/>
      <c r="BQ99" s="292"/>
      <c r="BR99" s="292"/>
      <c r="BS99" s="292"/>
      <c r="BT99" s="292"/>
      <c r="BU99" s="292"/>
      <c r="BV99" s="292"/>
      <c r="BW99" s="292"/>
      <c r="BX99" s="292"/>
      <c r="BY99" s="292"/>
      <c r="BZ99" s="292"/>
      <c r="CA99" s="292"/>
      <c r="CB99" s="292"/>
      <c r="CC99" s="292"/>
      <c r="CD99" s="292"/>
      <c r="CE99" s="292"/>
      <c r="CF99" s="292"/>
      <c r="CG99" s="292"/>
      <c r="CH99" s="292"/>
      <c r="CI99" s="292"/>
      <c r="CJ99" s="292"/>
      <c r="CK99" s="292"/>
      <c r="CL99" s="292"/>
      <c r="CM99" s="292"/>
      <c r="CN99" s="292"/>
      <c r="CO99" s="292"/>
      <c r="CP99" s="292"/>
      <c r="CQ99" s="292"/>
      <c r="CR99" s="292"/>
      <c r="CS99" s="292"/>
      <c r="CT99" s="292"/>
      <c r="CU99" s="292"/>
      <c r="CV99" s="292"/>
      <c r="CW99" s="292"/>
      <c r="CX99" s="292"/>
      <c r="CY99" s="292"/>
      <c r="CZ99" s="292"/>
      <c r="DA99" s="292"/>
      <c r="DB99" s="292"/>
      <c r="DC99" s="292"/>
      <c r="DD99" s="292"/>
      <c r="DE99" s="292"/>
      <c r="DF99" s="292"/>
      <c r="DG99" s="292"/>
      <c r="DH99" s="292"/>
      <c r="DI99" s="292"/>
      <c r="DJ99" s="292"/>
      <c r="DK99" s="292"/>
      <c r="DL99" s="292"/>
      <c r="DM99" s="292"/>
      <c r="DN99" s="292"/>
      <c r="DO99" s="292"/>
    </row>
    <row r="100" spans="1:119" customFormat="1">
      <c r="A100" s="2745">
        <v>2024</v>
      </c>
      <c r="B100" s="292"/>
      <c r="C100" s="292"/>
      <c r="D100" s="292"/>
      <c r="E100" s="292"/>
      <c r="F100" s="1898"/>
      <c r="G100" s="1898"/>
      <c r="H100" s="1898"/>
      <c r="I100" s="1898"/>
      <c r="J100" s="1898"/>
      <c r="K100" s="1898"/>
      <c r="L100" s="1898"/>
      <c r="M100" s="1898"/>
      <c r="N100" s="292"/>
      <c r="O100" s="292"/>
      <c r="P100" s="292"/>
      <c r="Q100" s="2248"/>
      <c r="R100" s="2248"/>
      <c r="S100" s="2568"/>
      <c r="AV100" s="3617"/>
      <c r="AW100" s="3617"/>
      <c r="AX100" s="3617"/>
      <c r="AY100" s="3617"/>
      <c r="AZ100" s="292"/>
      <c r="BA100" s="292"/>
      <c r="BB100" s="292"/>
      <c r="BC100" s="292"/>
      <c r="BD100" s="292"/>
      <c r="BE100" s="292"/>
      <c r="BF100" s="292"/>
      <c r="BG100" s="292"/>
      <c r="BH100" s="292"/>
      <c r="BI100" s="292"/>
      <c r="BJ100" s="292"/>
      <c r="BK100" s="292"/>
      <c r="BL100" s="292"/>
      <c r="BM100" s="292"/>
      <c r="BN100" s="292"/>
      <c r="BO100" s="292"/>
      <c r="BP100" s="292"/>
      <c r="BQ100" s="292"/>
      <c r="BR100" s="292"/>
      <c r="BS100" s="292"/>
      <c r="BT100" s="292"/>
      <c r="BU100" s="292"/>
      <c r="BV100" s="292"/>
      <c r="BW100" s="292"/>
      <c r="BX100" s="292"/>
      <c r="BY100" s="292"/>
      <c r="BZ100" s="292"/>
      <c r="CA100" s="292"/>
      <c r="CB100" s="292"/>
      <c r="CC100" s="292"/>
      <c r="CD100" s="292"/>
      <c r="CE100" s="292"/>
      <c r="CF100" s="292"/>
      <c r="CG100" s="292"/>
      <c r="CH100" s="292"/>
      <c r="CI100" s="292"/>
      <c r="CJ100" s="292"/>
      <c r="CK100" s="292"/>
      <c r="CL100" s="292"/>
      <c r="CM100" s="292"/>
      <c r="CN100" s="292"/>
      <c r="CO100" s="292"/>
      <c r="CP100" s="292"/>
      <c r="CQ100" s="292"/>
      <c r="CR100" s="292"/>
      <c r="CS100" s="292"/>
      <c r="CT100" s="292"/>
      <c r="CU100" s="292"/>
      <c r="CV100" s="292"/>
      <c r="CW100" s="292"/>
      <c r="CX100" s="292"/>
      <c r="CY100" s="292"/>
      <c r="CZ100" s="292"/>
      <c r="DA100" s="292"/>
      <c r="DB100" s="292"/>
      <c r="DC100" s="292"/>
      <c r="DD100" s="292"/>
      <c r="DE100" s="292"/>
      <c r="DF100" s="292"/>
      <c r="DG100" s="292"/>
      <c r="DH100" s="292"/>
      <c r="DI100" s="292"/>
      <c r="DJ100" s="292"/>
      <c r="DK100" s="292"/>
      <c r="DL100" s="292"/>
      <c r="DM100" s="292"/>
      <c r="DN100" s="292"/>
      <c r="DO100" s="292"/>
    </row>
    <row r="101" spans="1:119" customFormat="1">
      <c r="A101" s="2745">
        <v>2025</v>
      </c>
      <c r="B101" s="292"/>
      <c r="C101" s="292"/>
      <c r="D101" s="292"/>
      <c r="E101" s="292"/>
      <c r="F101" s="1898"/>
      <c r="G101" s="1898"/>
      <c r="H101" s="1898"/>
      <c r="I101" s="1898"/>
      <c r="J101" s="1898"/>
      <c r="K101" s="1898"/>
      <c r="L101" s="1898"/>
      <c r="M101" s="1898"/>
      <c r="N101" s="292"/>
      <c r="O101" s="292"/>
      <c r="P101" s="292"/>
      <c r="Q101" s="2248"/>
      <c r="R101" s="2248"/>
      <c r="S101" s="2568"/>
      <c r="AV101" s="3617"/>
      <c r="AW101" s="3617"/>
      <c r="AX101" s="3617"/>
      <c r="AY101" s="3617"/>
      <c r="AZ101" s="292"/>
      <c r="BA101" s="292"/>
      <c r="BB101" s="292"/>
      <c r="BC101" s="292"/>
      <c r="BD101" s="292"/>
      <c r="BE101" s="292"/>
      <c r="BF101" s="292"/>
      <c r="BG101" s="292"/>
      <c r="BH101" s="292"/>
      <c r="BI101" s="292"/>
      <c r="BJ101" s="292"/>
      <c r="BK101" s="292"/>
      <c r="BL101" s="292"/>
      <c r="BM101" s="292"/>
      <c r="BN101" s="292"/>
      <c r="BO101" s="292"/>
      <c r="BP101" s="292"/>
      <c r="BQ101" s="292"/>
      <c r="BR101" s="292"/>
      <c r="BS101" s="292"/>
      <c r="BT101" s="292"/>
      <c r="BU101" s="292"/>
      <c r="BV101" s="292"/>
      <c r="BW101" s="292"/>
      <c r="BX101" s="292"/>
      <c r="BY101" s="292"/>
      <c r="BZ101" s="292"/>
      <c r="CA101" s="292"/>
      <c r="CB101" s="292"/>
      <c r="CC101" s="292"/>
      <c r="CD101" s="292"/>
      <c r="CE101" s="292"/>
      <c r="CF101" s="292"/>
      <c r="CG101" s="292"/>
      <c r="CH101" s="292"/>
      <c r="CI101" s="292"/>
      <c r="CJ101" s="292"/>
      <c r="CK101" s="292"/>
      <c r="CL101" s="292"/>
      <c r="CM101" s="292"/>
      <c r="CN101" s="292"/>
      <c r="CO101" s="292"/>
      <c r="CP101" s="292"/>
      <c r="CQ101" s="292"/>
      <c r="CR101" s="292"/>
      <c r="CS101" s="292"/>
      <c r="CT101" s="292"/>
      <c r="CU101" s="292"/>
      <c r="CV101" s="292"/>
      <c r="CW101" s="292"/>
      <c r="CX101" s="292"/>
      <c r="CY101" s="292"/>
      <c r="CZ101" s="292"/>
      <c r="DA101" s="292"/>
      <c r="DB101" s="292"/>
      <c r="DC101" s="292"/>
      <c r="DD101" s="292"/>
      <c r="DE101" s="292"/>
      <c r="DF101" s="292"/>
      <c r="DG101" s="292"/>
      <c r="DH101" s="292"/>
      <c r="DI101" s="292"/>
      <c r="DJ101" s="292"/>
      <c r="DK101" s="292"/>
      <c r="DL101" s="292"/>
      <c r="DM101" s="292"/>
      <c r="DN101" s="292"/>
      <c r="DO101" s="292"/>
    </row>
    <row r="102" spans="1:119" customFormat="1">
      <c r="A102" s="2745"/>
      <c r="B102" s="292"/>
      <c r="C102" s="292"/>
      <c r="D102" s="292"/>
      <c r="E102" s="292"/>
      <c r="F102" s="2076">
        <f t="shared" ref="F102:M102" si="119">SUM(F88:F101)</f>
        <v>21567</v>
      </c>
      <c r="G102" s="2076">
        <f t="shared" si="119"/>
        <v>20587</v>
      </c>
      <c r="H102" s="2076">
        <f t="shared" si="119"/>
        <v>21044</v>
      </c>
      <c r="I102" s="2076">
        <f t="shared" si="119"/>
        <v>20782</v>
      </c>
      <c r="J102" s="2076">
        <f t="shared" si="119"/>
        <v>20529</v>
      </c>
      <c r="K102" s="2076">
        <f t="shared" si="119"/>
        <v>20319</v>
      </c>
      <c r="L102" s="2076">
        <f t="shared" si="119"/>
        <v>0</v>
      </c>
      <c r="M102" s="2076">
        <f t="shared" si="119"/>
        <v>0</v>
      </c>
      <c r="N102" s="292"/>
      <c r="O102" s="292"/>
      <c r="P102" s="292"/>
      <c r="Q102" s="2248"/>
      <c r="R102" s="2248"/>
      <c r="S102" s="2568"/>
      <c r="U102" s="292"/>
      <c r="V102" s="2221"/>
      <c r="W102" s="292"/>
      <c r="X102" s="292"/>
      <c r="Y102" s="292"/>
      <c r="Z102" s="292"/>
      <c r="AA102" s="292"/>
      <c r="AB102" s="292"/>
      <c r="AC102" s="292"/>
      <c r="AD102" s="292"/>
      <c r="AE102" s="292"/>
      <c r="AF102" s="292"/>
      <c r="AG102" s="292"/>
      <c r="AH102" s="292"/>
      <c r="AI102" s="292"/>
      <c r="AJ102" s="292"/>
      <c r="AK102" s="292"/>
      <c r="AL102" s="292"/>
      <c r="AM102" s="292"/>
      <c r="AN102" s="292"/>
      <c r="AO102" s="292"/>
      <c r="AP102" s="292"/>
      <c r="AQ102" s="292"/>
      <c r="AR102" s="292"/>
      <c r="AS102" s="292"/>
      <c r="AT102" s="292"/>
      <c r="AU102" s="292"/>
      <c r="AV102" s="2248"/>
      <c r="AW102" s="2248"/>
      <c r="AX102" s="2248"/>
      <c r="AY102" s="2248"/>
      <c r="AZ102" s="292"/>
      <c r="BA102" s="292"/>
      <c r="BB102" s="292"/>
      <c r="BC102" s="292"/>
      <c r="BD102" s="292"/>
      <c r="BE102" s="292"/>
      <c r="BF102" s="292"/>
      <c r="BG102" s="292"/>
      <c r="BH102" s="292"/>
      <c r="BI102" s="292"/>
      <c r="BJ102" s="292"/>
      <c r="BK102" s="292"/>
      <c r="BL102" s="292"/>
      <c r="BM102" s="292"/>
      <c r="BN102" s="292"/>
      <c r="BO102" s="292"/>
      <c r="BP102" s="292"/>
      <c r="BQ102" s="292"/>
      <c r="BR102" s="292"/>
      <c r="BS102" s="292"/>
      <c r="BT102" s="292"/>
      <c r="BU102" s="292"/>
      <c r="BV102" s="292"/>
      <c r="BW102" s="292"/>
      <c r="BX102" s="292"/>
      <c r="BY102" s="292"/>
      <c r="BZ102" s="292"/>
      <c r="CA102" s="292"/>
      <c r="CB102" s="292"/>
      <c r="CC102" s="292"/>
      <c r="CD102" s="292"/>
      <c r="CE102" s="292"/>
      <c r="CF102" s="292"/>
      <c r="CG102" s="292"/>
      <c r="CH102" s="292"/>
      <c r="CI102" s="292"/>
      <c r="CJ102" s="292"/>
      <c r="CK102" s="292"/>
      <c r="CL102" s="292"/>
      <c r="CM102" s="292"/>
      <c r="CN102" s="292"/>
      <c r="CO102" s="292"/>
      <c r="CP102" s="292"/>
      <c r="CQ102" s="292"/>
      <c r="CR102" s="292"/>
      <c r="CS102" s="292"/>
      <c r="CT102" s="292"/>
      <c r="CU102" s="292"/>
      <c r="CV102" s="292"/>
      <c r="CW102" s="292"/>
      <c r="CX102" s="292"/>
      <c r="CY102" s="292"/>
      <c r="CZ102" s="292"/>
      <c r="DA102" s="292"/>
      <c r="DB102" s="292"/>
      <c r="DC102" s="292"/>
      <c r="DD102" s="292"/>
      <c r="DE102" s="292"/>
      <c r="DF102" s="292"/>
      <c r="DG102" s="292"/>
      <c r="DH102" s="292"/>
      <c r="DI102" s="292"/>
      <c r="DJ102" s="292"/>
      <c r="DK102" s="292"/>
      <c r="DL102" s="292"/>
      <c r="DM102" s="292"/>
      <c r="DN102" s="292"/>
      <c r="DO102" s="292"/>
    </row>
    <row r="103" spans="1:119" customFormat="1">
      <c r="A103" s="2647" t="s">
        <v>621</v>
      </c>
      <c r="B103" s="2532"/>
      <c r="C103" s="2532"/>
      <c r="D103" s="2532"/>
      <c r="E103" s="2532"/>
      <c r="F103" s="2532"/>
      <c r="G103" s="2532"/>
      <c r="H103" s="2532"/>
      <c r="I103" s="2532"/>
      <c r="J103" s="2532"/>
      <c r="K103" s="2532"/>
      <c r="L103" s="2532"/>
      <c r="M103" s="2532"/>
      <c r="N103" s="292"/>
      <c r="O103" s="292"/>
      <c r="P103" s="292"/>
      <c r="Q103" s="2248"/>
      <c r="R103" s="2248"/>
      <c r="S103" s="2568"/>
      <c r="V103" s="2084"/>
      <c r="AV103" s="3617"/>
      <c r="AW103" s="3617"/>
      <c r="AX103" s="3617"/>
      <c r="AY103" s="3617"/>
      <c r="AZ103" s="292"/>
      <c r="BA103" s="292"/>
      <c r="BB103" s="292"/>
      <c r="BC103" s="292"/>
      <c r="BD103" s="292"/>
      <c r="BE103" s="292"/>
      <c r="BF103" s="292"/>
      <c r="BG103" s="292"/>
      <c r="BH103" s="292"/>
      <c r="BI103" s="292"/>
      <c r="BJ103" s="292"/>
      <c r="BK103" s="292"/>
      <c r="BL103" s="292"/>
      <c r="BM103" s="292"/>
      <c r="BN103" s="292"/>
      <c r="BO103" s="292"/>
      <c r="BP103" s="292"/>
      <c r="BQ103" s="292"/>
      <c r="BR103" s="292"/>
      <c r="BS103" s="292"/>
      <c r="BT103" s="292"/>
      <c r="BU103" s="292"/>
      <c r="BV103" s="292"/>
      <c r="BW103" s="292"/>
      <c r="BX103" s="292"/>
      <c r="BY103" s="292"/>
      <c r="BZ103" s="292"/>
      <c r="CA103" s="292"/>
      <c r="CB103" s="292"/>
      <c r="CC103" s="292"/>
      <c r="CD103" s="292"/>
      <c r="CE103" s="292"/>
      <c r="CF103" s="292"/>
      <c r="CG103" s="292"/>
      <c r="CH103" s="292"/>
      <c r="CI103" s="292"/>
      <c r="CJ103" s="292"/>
      <c r="CK103" s="292"/>
      <c r="CL103" s="292"/>
      <c r="CM103" s="292"/>
      <c r="CN103" s="292"/>
      <c r="CO103" s="292"/>
      <c r="CP103" s="292"/>
      <c r="CQ103" s="292"/>
      <c r="CR103" s="292"/>
      <c r="CS103" s="292"/>
      <c r="CT103" s="292"/>
      <c r="CU103" s="292"/>
      <c r="CV103" s="292"/>
      <c r="CW103" s="292"/>
      <c r="CX103" s="292"/>
      <c r="CY103" s="292"/>
      <c r="CZ103" s="292"/>
      <c r="DA103" s="292"/>
      <c r="DB103" s="292"/>
      <c r="DC103" s="292"/>
      <c r="DD103" s="292"/>
      <c r="DE103" s="292"/>
      <c r="DF103" s="292"/>
      <c r="DG103" s="292"/>
      <c r="DH103" s="292"/>
      <c r="DI103" s="292"/>
      <c r="DJ103" s="292"/>
      <c r="DK103" s="292"/>
      <c r="DL103" s="292"/>
      <c r="DM103" s="292"/>
      <c r="DN103" s="292"/>
      <c r="DO103" s="292"/>
    </row>
    <row r="104" spans="1:119">
      <c r="A104" s="292" t="s">
        <v>793</v>
      </c>
      <c r="G104" s="2806">
        <f>+G102-G79</f>
        <v>0</v>
      </c>
      <c r="H104" s="2806">
        <f>+H102-H79</f>
        <v>0</v>
      </c>
      <c r="I104" s="2806">
        <f>+I102-I79</f>
        <v>0</v>
      </c>
      <c r="J104" s="2806">
        <f>+J102-J79</f>
        <v>0</v>
      </c>
      <c r="K104" s="2806">
        <f>+K102-K79</f>
        <v>0</v>
      </c>
    </row>
    <row r="111" spans="1:119">
      <c r="L111" s="1984"/>
      <c r="M111" s="1984"/>
      <c r="N111" s="1984"/>
      <c r="O111" s="1984"/>
      <c r="P111" s="1984"/>
      <c r="Q111" s="1984"/>
      <c r="R111" s="1984"/>
    </row>
  </sheetData>
  <phoneticPr fontId="7" type="noConversion"/>
  <pageMargins left="0.75" right="0.75" top="1" bottom="1" header="0.5" footer="0.5"/>
  <pageSetup scale="67" orientation="portrait" r:id="rId1"/>
  <headerFooter alignWithMargins="0"/>
  <rowBreaks count="1" manualBreakCount="1">
    <brk id="75" max="26" man="1"/>
  </rowBreak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indexed="44"/>
    <pageSetUpPr fitToPage="1"/>
  </sheetPr>
  <dimension ref="B2:V117"/>
  <sheetViews>
    <sheetView showGridLines="0" topLeftCell="A91" workbookViewId="0">
      <selection activeCell="N124" sqref="N124"/>
    </sheetView>
  </sheetViews>
  <sheetFormatPr defaultColWidth="8.140625" defaultRowHeight="12.75" outlineLevelRow="1" outlineLevelCol="1"/>
  <cols>
    <col min="1" max="1" width="2.140625" style="2306" customWidth="1"/>
    <col min="2" max="2" width="29.5703125" style="2306" customWidth="1"/>
    <col min="3" max="8" width="8.140625" style="2306" hidden="1" customWidth="1" outlineLevel="1"/>
    <col min="9" max="9" width="8.140625" style="2306" bestFit="1" customWidth="1" collapsed="1"/>
    <col min="10" max="21" width="8.140625" style="2306" bestFit="1" customWidth="1"/>
    <col min="22" max="16384" width="8.140625" style="2306"/>
  </cols>
  <sheetData>
    <row r="2" spans="2:16">
      <c r="B2" s="2305" t="s">
        <v>1153</v>
      </c>
      <c r="E2" s="2307"/>
      <c r="F2" s="2308"/>
      <c r="G2" s="2308"/>
      <c r="H2" s="2308"/>
      <c r="I2" s="2308"/>
      <c r="J2" s="2308"/>
    </row>
    <row r="3" spans="2:16" ht="12.75" customHeight="1">
      <c r="B3" s="4172" t="s">
        <v>1154</v>
      </c>
      <c r="C3" s="4172"/>
      <c r="D3" s="4172"/>
      <c r="E3" s="2308"/>
      <c r="F3" s="2309"/>
      <c r="G3" s="2309"/>
      <c r="H3" s="2309"/>
      <c r="I3" s="2309"/>
      <c r="J3" s="2308"/>
    </row>
    <row r="4" spans="2:16">
      <c r="B4" s="2307" t="s">
        <v>1155</v>
      </c>
      <c r="C4" s="2308"/>
      <c r="E4" s="2308"/>
      <c r="F4" s="2309"/>
      <c r="G4" s="2309"/>
      <c r="H4" s="2309"/>
      <c r="I4" s="2309"/>
      <c r="J4" s="2308"/>
    </row>
    <row r="5" spans="2:16">
      <c r="B5" s="2310" t="s">
        <v>1156</v>
      </c>
      <c r="C5" s="2311"/>
      <c r="D5" s="2311"/>
      <c r="E5" s="2312"/>
      <c r="F5" s="2312"/>
      <c r="G5" s="2312"/>
      <c r="H5" s="2312"/>
      <c r="I5" s="2400">
        <v>1</v>
      </c>
      <c r="J5" s="2308"/>
    </row>
    <row r="6" spans="2:16">
      <c r="B6" s="2313" t="s">
        <v>1157</v>
      </c>
      <c r="C6" s="2314"/>
      <c r="D6" s="2314"/>
      <c r="E6" s="2315"/>
      <c r="F6" s="2316"/>
      <c r="G6" s="2317"/>
      <c r="H6" s="2317"/>
      <c r="I6" s="2401">
        <v>0.35</v>
      </c>
      <c r="J6" s="2308"/>
    </row>
    <row r="7" spans="2:16">
      <c r="B7" s="2318" t="s">
        <v>1158</v>
      </c>
      <c r="C7" s="2319"/>
    </row>
    <row r="8" spans="2:16">
      <c r="B8" s="2318"/>
      <c r="C8" s="2319"/>
    </row>
    <row r="9" spans="2:16">
      <c r="B9" s="2320" t="s">
        <v>1159</v>
      </c>
      <c r="C9" s="2321" t="s">
        <v>1160</v>
      </c>
    </row>
    <row r="10" spans="2:16">
      <c r="B10" s="2322"/>
      <c r="C10" s="2323">
        <v>2008</v>
      </c>
      <c r="D10" s="2323">
        <v>2009</v>
      </c>
      <c r="E10" s="2323">
        <v>2010</v>
      </c>
      <c r="F10" s="2323">
        <v>2011</v>
      </c>
      <c r="G10" s="2323">
        <v>2012</v>
      </c>
      <c r="H10" s="2323" t="s">
        <v>989</v>
      </c>
      <c r="I10" s="2323" t="s">
        <v>990</v>
      </c>
      <c r="J10" s="2324" t="s">
        <v>991</v>
      </c>
      <c r="K10" s="2324" t="s">
        <v>525</v>
      </c>
      <c r="L10" s="2324" t="s">
        <v>526</v>
      </c>
      <c r="M10" s="2324" t="s">
        <v>527</v>
      </c>
      <c r="N10" s="2325" t="s">
        <v>1233</v>
      </c>
    </row>
    <row r="11" spans="2:16">
      <c r="B11" s="2326" t="s">
        <v>1129</v>
      </c>
      <c r="C11" s="2398">
        <f>+CFS!I$108</f>
        <v>2738.817</v>
      </c>
      <c r="D11" s="2398">
        <f>+CFS!J$108</f>
        <v>2411.5439999999999</v>
      </c>
      <c r="E11" s="2398">
        <f>+CFS!K$108</f>
        <v>2548.2160000000003</v>
      </c>
      <c r="F11" s="2398">
        <f>+CFS!L$108</f>
        <v>2889.5909999999999</v>
      </c>
      <c r="G11" s="2398">
        <f>+CFS!M$108</f>
        <v>2858</v>
      </c>
      <c r="H11" s="2398">
        <f>+CFS!N$108</f>
        <v>3001</v>
      </c>
      <c r="I11" s="2398">
        <f>+CFS!O$108</f>
        <v>3026</v>
      </c>
      <c r="J11" s="2398">
        <f>+CFS!P$108</f>
        <v>2861</v>
      </c>
      <c r="K11" s="2398">
        <f>+CFS!Q$108</f>
        <v>2958</v>
      </c>
      <c r="L11" s="2398">
        <f>+CFS!R$108</f>
        <v>3101</v>
      </c>
      <c r="M11" s="2398">
        <f>+CFS!S$108</f>
        <v>3850.2510232139421</v>
      </c>
      <c r="N11" s="2399">
        <f>+CFS!T$108</f>
        <v>3773.9406082061196</v>
      </c>
    </row>
    <row r="12" spans="2:16">
      <c r="B12" s="2318"/>
      <c r="C12" s="2319"/>
    </row>
    <row r="13" spans="2:16" hidden="1" outlineLevel="1">
      <c r="B13" s="2327">
        <v>2008</v>
      </c>
      <c r="C13" s="2328">
        <v>0</v>
      </c>
      <c r="D13" s="2328">
        <v>1</v>
      </c>
      <c r="E13" s="2328">
        <v>2</v>
      </c>
      <c r="F13" s="2328">
        <v>3</v>
      </c>
      <c r="G13" s="2328">
        <v>4</v>
      </c>
      <c r="H13" s="2328">
        <v>5</v>
      </c>
      <c r="I13" s="2328">
        <v>6</v>
      </c>
      <c r="J13" s="2328">
        <v>7</v>
      </c>
      <c r="K13" s="2328">
        <v>8</v>
      </c>
      <c r="L13" s="2328">
        <v>9</v>
      </c>
      <c r="M13" s="2328">
        <v>9</v>
      </c>
      <c r="N13" s="2328">
        <v>9</v>
      </c>
      <c r="O13" s="2328" t="s">
        <v>1161</v>
      </c>
      <c r="P13" s="2328">
        <v>15</v>
      </c>
    </row>
    <row r="14" spans="2:16" hidden="1" outlineLevel="1">
      <c r="B14" s="2329" t="s">
        <v>1162</v>
      </c>
      <c r="C14" s="2330">
        <v>0.05</v>
      </c>
      <c r="D14" s="2330">
        <v>9.5000000000000001E-2</v>
      </c>
      <c r="E14" s="2330">
        <v>8.5500000000000007E-2</v>
      </c>
      <c r="F14" s="2330">
        <v>7.6999999999999999E-2</v>
      </c>
      <c r="G14" s="2330">
        <v>6.93E-2</v>
      </c>
      <c r="H14" s="2330">
        <v>6.2300000000000001E-2</v>
      </c>
      <c r="I14" s="2330">
        <v>5.8999999999999997E-2</v>
      </c>
      <c r="J14" s="2330">
        <v>5.8999999999999997E-2</v>
      </c>
      <c r="K14" s="2330">
        <v>5.91E-2</v>
      </c>
      <c r="L14" s="2330">
        <v>5.8999999999999997E-2</v>
      </c>
      <c r="M14" s="2330">
        <v>5.8999999999999997E-2</v>
      </c>
      <c r="N14" s="2330">
        <v>5.8999999999999997E-2</v>
      </c>
    </row>
    <row r="15" spans="2:16" ht="3" hidden="1" customHeight="1" outlineLevel="1">
      <c r="B15" s="2307"/>
      <c r="C15" s="2331"/>
      <c r="D15" s="2331"/>
      <c r="E15" s="2331"/>
      <c r="F15" s="2331"/>
      <c r="G15" s="2331"/>
      <c r="H15" s="2331"/>
      <c r="I15" s="2331"/>
      <c r="J15" s="2331"/>
      <c r="K15" s="2331"/>
      <c r="L15" s="2331"/>
      <c r="M15" s="2331"/>
      <c r="N15" s="2331"/>
    </row>
    <row r="16" spans="2:16" hidden="1" outlineLevel="1">
      <c r="B16" s="2332" t="s">
        <v>1163</v>
      </c>
      <c r="C16" s="2333">
        <f>($C$11*0.5*$I$5)+($C$11*(1-0.5*$I$5)*C14)</f>
        <v>1437.878925</v>
      </c>
      <c r="D16" s="2333">
        <f t="shared" ref="D16:L16" si="0">+($C$11*(1-0.5*$I$5)*D14)</f>
        <v>130.0938075</v>
      </c>
      <c r="E16" s="2333">
        <f t="shared" si="0"/>
        <v>117.08442675000001</v>
      </c>
      <c r="F16" s="2333">
        <f t="shared" si="0"/>
        <v>105.44445449999999</v>
      </c>
      <c r="G16" s="2333">
        <f t="shared" si="0"/>
        <v>94.900009049999994</v>
      </c>
      <c r="H16" s="2333">
        <f t="shared" si="0"/>
        <v>85.314149549999996</v>
      </c>
      <c r="I16" s="2333">
        <f t="shared" si="0"/>
        <v>80.795101500000001</v>
      </c>
      <c r="J16" s="2333">
        <f t="shared" si="0"/>
        <v>80.795101500000001</v>
      </c>
      <c r="K16" s="2333">
        <f t="shared" si="0"/>
        <v>80.932042350000003</v>
      </c>
      <c r="L16" s="2333">
        <f t="shared" si="0"/>
        <v>80.795101500000001</v>
      </c>
      <c r="M16" s="2333">
        <f>+($C$11*(1-0.5*$I$5)*M14)</f>
        <v>80.795101500000001</v>
      </c>
      <c r="N16" s="2333">
        <f>+($C$11*(1-0.5*$I$5)*N14)</f>
        <v>80.795101500000001</v>
      </c>
    </row>
    <row r="17" spans="2:14" hidden="1" outlineLevel="1">
      <c r="B17" s="2332" t="s">
        <v>1164</v>
      </c>
      <c r="C17" s="2333">
        <f t="shared" ref="C17:L17" si="1">$C$11*C14</f>
        <v>136.94085000000001</v>
      </c>
      <c r="D17" s="2333">
        <f t="shared" si="1"/>
        <v>260.18761499999999</v>
      </c>
      <c r="E17" s="2333">
        <f t="shared" si="1"/>
        <v>234.16885350000001</v>
      </c>
      <c r="F17" s="2333">
        <f t="shared" si="1"/>
        <v>210.88890899999998</v>
      </c>
      <c r="G17" s="2333">
        <f t="shared" si="1"/>
        <v>189.80001809999999</v>
      </c>
      <c r="H17" s="2333">
        <f t="shared" si="1"/>
        <v>170.62829909999999</v>
      </c>
      <c r="I17" s="2333">
        <f t="shared" si="1"/>
        <v>161.590203</v>
      </c>
      <c r="J17" s="2333">
        <f t="shared" si="1"/>
        <v>161.590203</v>
      </c>
      <c r="K17" s="2333">
        <f t="shared" si="1"/>
        <v>161.86408470000001</v>
      </c>
      <c r="L17" s="2333">
        <f t="shared" si="1"/>
        <v>161.590203</v>
      </c>
      <c r="M17" s="2333">
        <f>$C$11*M14</f>
        <v>161.590203</v>
      </c>
      <c r="N17" s="2333">
        <f>$C$11*N14</f>
        <v>161.590203</v>
      </c>
    </row>
    <row r="18" spans="2:14" ht="3" hidden="1" customHeight="1" outlineLevel="1">
      <c r="B18" s="2307"/>
      <c r="C18" s="2331"/>
      <c r="D18" s="2331"/>
      <c r="E18" s="2331"/>
      <c r="F18" s="2331"/>
      <c r="G18" s="2331"/>
      <c r="H18" s="2331"/>
      <c r="I18" s="2331"/>
      <c r="J18" s="2331"/>
      <c r="K18" s="2331"/>
      <c r="L18" s="2331"/>
      <c r="M18" s="2331"/>
      <c r="N18" s="2331"/>
    </row>
    <row r="19" spans="2:14" hidden="1" outlineLevel="1">
      <c r="B19" s="2306" t="s">
        <v>1165</v>
      </c>
      <c r="C19" s="2333">
        <f t="shared" ref="C19:L19" si="2">C16-C17</f>
        <v>1300.938075</v>
      </c>
      <c r="D19" s="2333">
        <f t="shared" si="2"/>
        <v>-130.0938075</v>
      </c>
      <c r="E19" s="2333">
        <f t="shared" si="2"/>
        <v>-117.08442675000001</v>
      </c>
      <c r="F19" s="2333">
        <f t="shared" si="2"/>
        <v>-105.44445449999999</v>
      </c>
      <c r="G19" s="2333">
        <f t="shared" si="2"/>
        <v>-94.900009049999994</v>
      </c>
      <c r="H19" s="2333">
        <f t="shared" si="2"/>
        <v>-85.314149549999996</v>
      </c>
      <c r="I19" s="2333">
        <f t="shared" si="2"/>
        <v>-80.795101500000001</v>
      </c>
      <c r="J19" s="2333">
        <f t="shared" si="2"/>
        <v>-80.795101500000001</v>
      </c>
      <c r="K19" s="2333">
        <f t="shared" si="2"/>
        <v>-80.932042350000003</v>
      </c>
      <c r="L19" s="2333">
        <f t="shared" si="2"/>
        <v>-80.795101500000001</v>
      </c>
      <c r="M19" s="2333">
        <f>M16-M17</f>
        <v>-80.795101500000001</v>
      </c>
      <c r="N19" s="2333">
        <f>N16-N17</f>
        <v>-80.795101500000001</v>
      </c>
    </row>
    <row r="20" spans="2:14" hidden="1" outlineLevel="1">
      <c r="B20" s="2334" t="s">
        <v>1166</v>
      </c>
      <c r="C20" s="2335">
        <f t="shared" ref="C20:L20" si="3">C19*$I$6</f>
        <v>455.32832624999998</v>
      </c>
      <c r="D20" s="2333">
        <f t="shared" si="3"/>
        <v>-45.532832624999998</v>
      </c>
      <c r="E20" s="2333">
        <f t="shared" si="3"/>
        <v>-40.979549362500002</v>
      </c>
      <c r="F20" s="2333">
        <f t="shared" si="3"/>
        <v>-36.905559074999992</v>
      </c>
      <c r="G20" s="2333">
        <f t="shared" si="3"/>
        <v>-33.215003167499994</v>
      </c>
      <c r="H20" s="2333">
        <f t="shared" si="3"/>
        <v>-29.859952342499998</v>
      </c>
      <c r="I20" s="2333">
        <f t="shared" si="3"/>
        <v>-28.278285524999998</v>
      </c>
      <c r="J20" s="2333">
        <f t="shared" si="3"/>
        <v>-28.278285524999998</v>
      </c>
      <c r="K20" s="2333">
        <f t="shared" si="3"/>
        <v>-28.326214822499999</v>
      </c>
      <c r="L20" s="2333">
        <f t="shared" si="3"/>
        <v>-28.278285524999998</v>
      </c>
      <c r="M20" s="2333">
        <f>M19*$I$6</f>
        <v>-28.278285524999998</v>
      </c>
      <c r="N20" s="2333">
        <f>N19*$I$6</f>
        <v>-28.278285524999998</v>
      </c>
    </row>
    <row r="21" spans="2:14" hidden="1" outlineLevel="1">
      <c r="B21" s="2334"/>
      <c r="C21" s="2333"/>
      <c r="D21" s="2333"/>
      <c r="E21" s="2333"/>
      <c r="F21" s="2333"/>
      <c r="G21" s="2333"/>
      <c r="H21" s="2333"/>
      <c r="I21" s="2333"/>
      <c r="J21" s="2333"/>
      <c r="K21" s="2333"/>
      <c r="L21" s="2333"/>
      <c r="M21" s="2333"/>
      <c r="N21" s="2333"/>
    </row>
    <row r="22" spans="2:14" hidden="1" outlineLevel="1">
      <c r="B22" s="2327">
        <v>2009</v>
      </c>
      <c r="C22" s="2328">
        <v>0</v>
      </c>
      <c r="D22" s="2328">
        <v>1</v>
      </c>
      <c r="E22" s="2328">
        <v>2</v>
      </c>
      <c r="F22" s="2328">
        <v>3</v>
      </c>
      <c r="G22" s="2328">
        <v>4</v>
      </c>
      <c r="H22" s="2328">
        <v>5</v>
      </c>
      <c r="I22" s="2328">
        <v>6</v>
      </c>
      <c r="J22" s="2328">
        <v>7</v>
      </c>
      <c r="K22" s="2328">
        <v>8</v>
      </c>
      <c r="L22" s="2328">
        <v>9</v>
      </c>
      <c r="M22" s="2328">
        <v>9</v>
      </c>
      <c r="N22" s="2328">
        <v>9</v>
      </c>
    </row>
    <row r="23" spans="2:14" hidden="1" outlineLevel="1">
      <c r="B23" s="2329" t="s">
        <v>1162</v>
      </c>
      <c r="C23" s="2330">
        <v>0.05</v>
      </c>
      <c r="D23" s="2330">
        <v>9.5000000000000001E-2</v>
      </c>
      <c r="E23" s="2330">
        <v>8.5500000000000007E-2</v>
      </c>
      <c r="F23" s="2330">
        <v>7.6999999999999999E-2</v>
      </c>
      <c r="G23" s="2330">
        <v>6.93E-2</v>
      </c>
      <c r="H23" s="2330">
        <v>6.2300000000000001E-2</v>
      </c>
      <c r="I23" s="2330">
        <v>5.8999999999999997E-2</v>
      </c>
      <c r="J23" s="2330">
        <v>5.8999999999999997E-2</v>
      </c>
      <c r="K23" s="2330">
        <v>5.91E-2</v>
      </c>
      <c r="L23" s="2330">
        <v>5.8999999999999997E-2</v>
      </c>
      <c r="M23" s="2330">
        <v>5.8999999999999997E-2</v>
      </c>
      <c r="N23" s="2330">
        <v>5.8999999999999997E-2</v>
      </c>
    </row>
    <row r="24" spans="2:14" ht="3" hidden="1" customHeight="1" outlineLevel="1">
      <c r="B24" s="2307"/>
      <c r="C24" s="2331"/>
      <c r="D24" s="2331"/>
      <c r="E24" s="2331"/>
      <c r="F24" s="2331"/>
      <c r="G24" s="2331"/>
      <c r="H24" s="2331"/>
      <c r="I24" s="2331"/>
      <c r="J24" s="2331"/>
      <c r="K24" s="2331"/>
      <c r="L24" s="2331"/>
      <c r="M24" s="2331"/>
      <c r="N24" s="2331"/>
    </row>
    <row r="25" spans="2:14" hidden="1" outlineLevel="1">
      <c r="B25" s="2332" t="s">
        <v>1163</v>
      </c>
      <c r="C25" s="2333">
        <f>($D$11*0.5*$I$5)+($D$11*(1-0.5*$I$5)*C23)</f>
        <v>1266.0606</v>
      </c>
      <c r="D25" s="2333">
        <f t="shared" ref="D25:L25" si="4">+($D$11*(1-0.5*$I$5)*D23)</f>
        <v>114.54834</v>
      </c>
      <c r="E25" s="2333">
        <f t="shared" si="4"/>
        <v>103.093506</v>
      </c>
      <c r="F25" s="2333">
        <f t="shared" si="4"/>
        <v>92.844443999999996</v>
      </c>
      <c r="G25" s="2333">
        <f t="shared" si="4"/>
        <v>83.559999599999998</v>
      </c>
      <c r="H25" s="2333">
        <f t="shared" si="4"/>
        <v>75.119595599999997</v>
      </c>
      <c r="I25" s="2333">
        <f t="shared" si="4"/>
        <v>71.140547999999995</v>
      </c>
      <c r="J25" s="2333">
        <f t="shared" si="4"/>
        <v>71.140547999999995</v>
      </c>
      <c r="K25" s="2333">
        <f t="shared" si="4"/>
        <v>71.261125199999995</v>
      </c>
      <c r="L25" s="2333">
        <f t="shared" si="4"/>
        <v>71.140547999999995</v>
      </c>
      <c r="M25" s="2333">
        <f>+($D$11*(1-0.5*$I$5)*M23)</f>
        <v>71.140547999999995</v>
      </c>
      <c r="N25" s="2333">
        <f>+($D$11*(1-0.5*$I$5)*N23)</f>
        <v>71.140547999999995</v>
      </c>
    </row>
    <row r="26" spans="2:14" hidden="1" outlineLevel="1">
      <c r="B26" s="2332" t="s">
        <v>1164</v>
      </c>
      <c r="C26" s="2333">
        <f t="shared" ref="C26:L26" si="5">$D$11*C23</f>
        <v>120.5772</v>
      </c>
      <c r="D26" s="2333">
        <f t="shared" si="5"/>
        <v>229.09667999999999</v>
      </c>
      <c r="E26" s="2333">
        <f t="shared" si="5"/>
        <v>206.18701200000001</v>
      </c>
      <c r="F26" s="2333">
        <f t="shared" si="5"/>
        <v>185.68888799999999</v>
      </c>
      <c r="G26" s="2333">
        <f t="shared" si="5"/>
        <v>167.1199992</v>
      </c>
      <c r="H26" s="2333">
        <f t="shared" si="5"/>
        <v>150.23919119999999</v>
      </c>
      <c r="I26" s="2333">
        <f t="shared" si="5"/>
        <v>142.28109599999999</v>
      </c>
      <c r="J26" s="2333">
        <f t="shared" si="5"/>
        <v>142.28109599999999</v>
      </c>
      <c r="K26" s="2333">
        <f t="shared" si="5"/>
        <v>142.52225039999999</v>
      </c>
      <c r="L26" s="2333">
        <f t="shared" si="5"/>
        <v>142.28109599999999</v>
      </c>
      <c r="M26" s="2333">
        <f>$D$11*M23</f>
        <v>142.28109599999999</v>
      </c>
      <c r="N26" s="2333">
        <f>$D$11*N23</f>
        <v>142.28109599999999</v>
      </c>
    </row>
    <row r="27" spans="2:14" ht="3" hidden="1" customHeight="1" outlineLevel="1">
      <c r="B27" s="2307"/>
      <c r="C27" s="2331"/>
      <c r="D27" s="2331"/>
      <c r="E27" s="2331"/>
      <c r="F27" s="2331"/>
      <c r="G27" s="2331"/>
      <c r="H27" s="2331"/>
      <c r="I27" s="2331"/>
      <c r="J27" s="2331"/>
      <c r="K27" s="2331"/>
      <c r="L27" s="2331"/>
      <c r="M27" s="2331"/>
      <c r="N27" s="2331"/>
    </row>
    <row r="28" spans="2:14" hidden="1" outlineLevel="1">
      <c r="B28" s="2306" t="s">
        <v>1165</v>
      </c>
      <c r="C28" s="2333">
        <f t="shared" ref="C28:L28" si="6">C25-C26</f>
        <v>1145.4834000000001</v>
      </c>
      <c r="D28" s="2333">
        <f t="shared" si="6"/>
        <v>-114.54834</v>
      </c>
      <c r="E28" s="2333">
        <f t="shared" si="6"/>
        <v>-103.093506</v>
      </c>
      <c r="F28" s="2333">
        <f t="shared" si="6"/>
        <v>-92.844443999999996</v>
      </c>
      <c r="G28" s="2333">
        <f t="shared" si="6"/>
        <v>-83.559999599999998</v>
      </c>
      <c r="H28" s="2333">
        <f t="shared" si="6"/>
        <v>-75.119595599999997</v>
      </c>
      <c r="I28" s="2333">
        <f t="shared" si="6"/>
        <v>-71.140547999999995</v>
      </c>
      <c r="J28" s="2333">
        <f t="shared" si="6"/>
        <v>-71.140547999999995</v>
      </c>
      <c r="K28" s="2333">
        <f t="shared" si="6"/>
        <v>-71.261125199999995</v>
      </c>
      <c r="L28" s="2333">
        <f t="shared" si="6"/>
        <v>-71.140547999999995</v>
      </c>
      <c r="M28" s="2333">
        <f>M25-M26</f>
        <v>-71.140547999999995</v>
      </c>
      <c r="N28" s="2333">
        <f>N25-N26</f>
        <v>-71.140547999999995</v>
      </c>
    </row>
    <row r="29" spans="2:14" hidden="1" outlineLevel="1">
      <c r="B29" s="2334" t="s">
        <v>1166</v>
      </c>
      <c r="C29" s="2335">
        <f t="shared" ref="C29:L29" si="7">C28*$I$6</f>
        <v>400.91919000000001</v>
      </c>
      <c r="D29" s="2333">
        <f t="shared" si="7"/>
        <v>-40.091918999999997</v>
      </c>
      <c r="E29" s="2333">
        <f t="shared" si="7"/>
        <v>-36.0827271</v>
      </c>
      <c r="F29" s="2333">
        <f t="shared" si="7"/>
        <v>-32.495555399999994</v>
      </c>
      <c r="G29" s="2333">
        <f t="shared" si="7"/>
        <v>-29.245999859999998</v>
      </c>
      <c r="H29" s="2333">
        <f t="shared" si="7"/>
        <v>-26.291858459999997</v>
      </c>
      <c r="I29" s="2333">
        <f t="shared" si="7"/>
        <v>-24.899191799999997</v>
      </c>
      <c r="J29" s="2333">
        <f t="shared" si="7"/>
        <v>-24.899191799999997</v>
      </c>
      <c r="K29" s="2333">
        <f t="shared" si="7"/>
        <v>-24.941393819999998</v>
      </c>
      <c r="L29" s="2333">
        <f t="shared" si="7"/>
        <v>-24.899191799999997</v>
      </c>
      <c r="M29" s="2333">
        <f>M28*$I$6</f>
        <v>-24.899191799999997</v>
      </c>
      <c r="N29" s="2333">
        <f>N28*$I$6</f>
        <v>-24.899191799999997</v>
      </c>
    </row>
    <row r="30" spans="2:14" hidden="1" outlineLevel="1"/>
    <row r="31" spans="2:14" hidden="1" outlineLevel="1">
      <c r="B31" s="2327">
        <v>2010</v>
      </c>
      <c r="C31" s="2328">
        <v>0</v>
      </c>
      <c r="D31" s="2328">
        <v>1</v>
      </c>
      <c r="E31" s="2328">
        <v>2</v>
      </c>
      <c r="F31" s="2328">
        <v>3</v>
      </c>
      <c r="G31" s="2328">
        <v>4</v>
      </c>
      <c r="H31" s="2328">
        <v>5</v>
      </c>
      <c r="I31" s="2328">
        <v>6</v>
      </c>
      <c r="J31" s="2328">
        <v>7</v>
      </c>
      <c r="K31" s="2328">
        <v>8</v>
      </c>
      <c r="L31" s="2328">
        <v>9</v>
      </c>
      <c r="M31" s="2328">
        <v>9</v>
      </c>
      <c r="N31" s="2328">
        <v>9</v>
      </c>
    </row>
    <row r="32" spans="2:14" hidden="1" outlineLevel="1">
      <c r="B32" s="2329" t="s">
        <v>1162</v>
      </c>
      <c r="C32" s="2330">
        <v>0.05</v>
      </c>
      <c r="D32" s="2330">
        <v>9.5000000000000001E-2</v>
      </c>
      <c r="E32" s="2330">
        <v>8.5500000000000007E-2</v>
      </c>
      <c r="F32" s="2330">
        <v>7.6999999999999999E-2</v>
      </c>
      <c r="G32" s="2330">
        <v>6.93E-2</v>
      </c>
      <c r="H32" s="2330">
        <v>6.2300000000000001E-2</v>
      </c>
      <c r="I32" s="2330">
        <v>5.8999999999999997E-2</v>
      </c>
      <c r="J32" s="2330">
        <v>5.8999999999999997E-2</v>
      </c>
      <c r="K32" s="2330">
        <v>5.91E-2</v>
      </c>
      <c r="L32" s="2330">
        <v>5.8999999999999997E-2</v>
      </c>
      <c r="M32" s="2330">
        <v>5.8999999999999997E-2</v>
      </c>
      <c r="N32" s="2330">
        <v>5.8999999999999997E-2</v>
      </c>
    </row>
    <row r="33" spans="2:14" ht="3" hidden="1" customHeight="1" outlineLevel="1">
      <c r="B33" s="2307"/>
      <c r="C33" s="2331"/>
      <c r="D33" s="2331"/>
      <c r="E33" s="2331"/>
      <c r="F33" s="2331"/>
      <c r="G33" s="2331"/>
      <c r="H33" s="2331"/>
      <c r="I33" s="2331"/>
      <c r="J33" s="2331"/>
      <c r="K33" s="2331"/>
      <c r="L33" s="2331"/>
      <c r="M33" s="2331"/>
      <c r="N33" s="2331"/>
    </row>
    <row r="34" spans="2:14" hidden="1" outlineLevel="1">
      <c r="B34" s="2332" t="s">
        <v>1163</v>
      </c>
      <c r="C34" s="2397">
        <f>(($E$11-CFS!BB108)*0.5*$I$5)+($E$11*(1-0.5*$I$5)*C32)+(CFS!BB108*$I$5)</f>
        <v>1690.8084000000003</v>
      </c>
      <c r="D34" s="2333">
        <f t="shared" ref="D34:L34" si="8">+($E$11*(1-0.5*$I$5)*D32)</f>
        <v>121.04026000000002</v>
      </c>
      <c r="E34" s="2333">
        <f t="shared" si="8"/>
        <v>108.93623400000003</v>
      </c>
      <c r="F34" s="2333">
        <f t="shared" si="8"/>
        <v>98.106316000000007</v>
      </c>
      <c r="G34" s="2333">
        <f t="shared" si="8"/>
        <v>88.295684400000013</v>
      </c>
      <c r="H34" s="2333">
        <f t="shared" si="8"/>
        <v>79.376928400000011</v>
      </c>
      <c r="I34" s="2333">
        <f t="shared" si="8"/>
        <v>75.17237200000001</v>
      </c>
      <c r="J34" s="2333">
        <f t="shared" si="8"/>
        <v>75.17237200000001</v>
      </c>
      <c r="K34" s="2333">
        <f t="shared" si="8"/>
        <v>75.299782800000017</v>
      </c>
      <c r="L34" s="2333">
        <f t="shared" si="8"/>
        <v>75.17237200000001</v>
      </c>
      <c r="M34" s="2333">
        <f>+($E$11*(1-0.5*$I$5)*M32)</f>
        <v>75.17237200000001</v>
      </c>
      <c r="N34" s="2333">
        <f>+($E$11*(1-0.5*$I$5)*N32)</f>
        <v>75.17237200000001</v>
      </c>
    </row>
    <row r="35" spans="2:14" hidden="1" outlineLevel="1">
      <c r="B35" s="2332" t="s">
        <v>1164</v>
      </c>
      <c r="C35" s="2333">
        <f t="shared" ref="C35:L35" si="9">$E$11*C32</f>
        <v>127.41080000000002</v>
      </c>
      <c r="D35" s="2333">
        <f t="shared" si="9"/>
        <v>242.08052000000004</v>
      </c>
      <c r="E35" s="2333">
        <f t="shared" si="9"/>
        <v>217.87246800000005</v>
      </c>
      <c r="F35" s="2333">
        <f t="shared" si="9"/>
        <v>196.21263200000001</v>
      </c>
      <c r="G35" s="2333">
        <f t="shared" si="9"/>
        <v>176.59136880000003</v>
      </c>
      <c r="H35" s="2333">
        <f t="shared" si="9"/>
        <v>158.75385680000002</v>
      </c>
      <c r="I35" s="2333">
        <f t="shared" si="9"/>
        <v>150.34474400000002</v>
      </c>
      <c r="J35" s="2333">
        <f t="shared" si="9"/>
        <v>150.34474400000002</v>
      </c>
      <c r="K35" s="2333">
        <f t="shared" si="9"/>
        <v>150.59956560000003</v>
      </c>
      <c r="L35" s="2333">
        <f t="shared" si="9"/>
        <v>150.34474400000002</v>
      </c>
      <c r="M35" s="2333">
        <f>$E$11*M32</f>
        <v>150.34474400000002</v>
      </c>
      <c r="N35" s="2333">
        <f>$E$11*N32</f>
        <v>150.34474400000002</v>
      </c>
    </row>
    <row r="36" spans="2:14" ht="3" hidden="1" customHeight="1" outlineLevel="1">
      <c r="B36" s="2307"/>
      <c r="C36" s="2331"/>
      <c r="D36" s="2331"/>
      <c r="E36" s="2331"/>
      <c r="F36" s="2331"/>
      <c r="G36" s="2331"/>
      <c r="H36" s="2331"/>
      <c r="I36" s="2331"/>
      <c r="J36" s="2331"/>
      <c r="K36" s="2331"/>
      <c r="L36" s="2331"/>
      <c r="M36" s="2331"/>
      <c r="N36" s="2331"/>
    </row>
    <row r="37" spans="2:14" hidden="1" outlineLevel="1">
      <c r="B37" s="2306" t="s">
        <v>1165</v>
      </c>
      <c r="C37" s="2333">
        <f t="shared" ref="C37:L37" si="10">C34-C35</f>
        <v>1563.3976000000002</v>
      </c>
      <c r="D37" s="2333">
        <f t="shared" si="10"/>
        <v>-121.04026000000002</v>
      </c>
      <c r="E37" s="2333">
        <f t="shared" si="10"/>
        <v>-108.93623400000003</v>
      </c>
      <c r="F37" s="2333">
        <f t="shared" si="10"/>
        <v>-98.106316000000007</v>
      </c>
      <c r="G37" s="2333">
        <f t="shared" si="10"/>
        <v>-88.295684400000013</v>
      </c>
      <c r="H37" s="2333">
        <f t="shared" si="10"/>
        <v>-79.376928400000011</v>
      </c>
      <c r="I37" s="2333">
        <f t="shared" si="10"/>
        <v>-75.17237200000001</v>
      </c>
      <c r="J37" s="2333">
        <f t="shared" si="10"/>
        <v>-75.17237200000001</v>
      </c>
      <c r="K37" s="2333">
        <f t="shared" si="10"/>
        <v>-75.299782800000017</v>
      </c>
      <c r="L37" s="2333">
        <f t="shared" si="10"/>
        <v>-75.17237200000001</v>
      </c>
      <c r="M37" s="2333">
        <f>M34-M35</f>
        <v>-75.17237200000001</v>
      </c>
      <c r="N37" s="2333">
        <f>N34-N35</f>
        <v>-75.17237200000001</v>
      </c>
    </row>
    <row r="38" spans="2:14" hidden="1" outlineLevel="1">
      <c r="B38" s="2334" t="s">
        <v>1166</v>
      </c>
      <c r="C38" s="2335">
        <f t="shared" ref="C38:L38" si="11">C37*$I$6</f>
        <v>547.18916000000002</v>
      </c>
      <c r="D38" s="2333">
        <f t="shared" si="11"/>
        <v>-42.364091000000002</v>
      </c>
      <c r="E38" s="2333">
        <f t="shared" si="11"/>
        <v>-38.127681900000006</v>
      </c>
      <c r="F38" s="2333">
        <f t="shared" si="11"/>
        <v>-34.337210599999999</v>
      </c>
      <c r="G38" s="2333">
        <f t="shared" si="11"/>
        <v>-30.903489540000002</v>
      </c>
      <c r="H38" s="2333">
        <f t="shared" si="11"/>
        <v>-27.781924940000003</v>
      </c>
      <c r="I38" s="2333">
        <f t="shared" si="11"/>
        <v>-26.310330200000003</v>
      </c>
      <c r="J38" s="2333">
        <f t="shared" si="11"/>
        <v>-26.310330200000003</v>
      </c>
      <c r="K38" s="2333">
        <f t="shared" si="11"/>
        <v>-26.354923980000006</v>
      </c>
      <c r="L38" s="2333">
        <f t="shared" si="11"/>
        <v>-26.310330200000003</v>
      </c>
      <c r="M38" s="2333">
        <f>M37*$I$6</f>
        <v>-26.310330200000003</v>
      </c>
      <c r="N38" s="2333">
        <f>N37*$I$6</f>
        <v>-26.310330200000003</v>
      </c>
    </row>
    <row r="39" spans="2:14" hidden="1" outlineLevel="1"/>
    <row r="40" spans="2:14" hidden="1" outlineLevel="1">
      <c r="B40" s="2327">
        <v>2011</v>
      </c>
      <c r="C40" s="2328">
        <v>0</v>
      </c>
      <c r="D40" s="2328">
        <v>1</v>
      </c>
      <c r="E40" s="2328">
        <v>2</v>
      </c>
      <c r="F40" s="2328">
        <v>3</v>
      </c>
      <c r="G40" s="2328">
        <v>4</v>
      </c>
      <c r="H40" s="2328">
        <v>5</v>
      </c>
      <c r="I40" s="2328">
        <v>6</v>
      </c>
      <c r="J40" s="2328">
        <v>7</v>
      </c>
      <c r="K40" s="2328">
        <v>8</v>
      </c>
      <c r="L40" s="2328">
        <v>9</v>
      </c>
      <c r="M40" s="2328">
        <v>9</v>
      </c>
      <c r="N40" s="2328">
        <v>9</v>
      </c>
    </row>
    <row r="41" spans="2:14" hidden="1" outlineLevel="1">
      <c r="B41" s="2329" t="s">
        <v>1162</v>
      </c>
      <c r="C41" s="2330">
        <v>0.05</v>
      </c>
      <c r="D41" s="2330">
        <v>9.5000000000000001E-2</v>
      </c>
      <c r="E41" s="2330">
        <v>8.5500000000000007E-2</v>
      </c>
      <c r="F41" s="2330">
        <v>7.6999999999999999E-2</v>
      </c>
      <c r="G41" s="2330">
        <v>6.93E-2</v>
      </c>
      <c r="H41" s="2330">
        <v>6.2300000000000001E-2</v>
      </c>
      <c r="I41" s="2330">
        <v>5.8999999999999997E-2</v>
      </c>
      <c r="J41" s="2330">
        <v>5.8999999999999997E-2</v>
      </c>
      <c r="K41" s="2330">
        <v>5.91E-2</v>
      </c>
      <c r="L41" s="2330">
        <v>5.8999999999999997E-2</v>
      </c>
      <c r="M41" s="2330">
        <v>5.8999999999999997E-2</v>
      </c>
      <c r="N41" s="2330">
        <v>5.8999999999999997E-2</v>
      </c>
    </row>
    <row r="42" spans="2:14" ht="3" hidden="1" customHeight="1" outlineLevel="1">
      <c r="B42" s="2307"/>
      <c r="C42" s="2331"/>
      <c r="D42" s="2331"/>
      <c r="E42" s="2331"/>
      <c r="F42" s="2331"/>
      <c r="G42" s="2331"/>
      <c r="H42" s="2331"/>
      <c r="I42" s="2331"/>
      <c r="J42" s="2331"/>
      <c r="K42" s="2331"/>
      <c r="L42" s="2331"/>
      <c r="M42" s="2331"/>
      <c r="N42" s="2331"/>
    </row>
    <row r="43" spans="2:14" hidden="1" outlineLevel="1">
      <c r="B43" s="2336" t="s">
        <v>1167</v>
      </c>
      <c r="C43" s="2333">
        <f>($F$11*$I$5)+($F$11*(1-$I$5)*C41)</f>
        <v>2889.5909999999999</v>
      </c>
      <c r="D43" s="2333">
        <f t="shared" ref="D43:L43" si="12">+($F$11*(1-$I$5)*D41)</f>
        <v>0</v>
      </c>
      <c r="E43" s="2333">
        <f t="shared" si="12"/>
        <v>0</v>
      </c>
      <c r="F43" s="2333">
        <f t="shared" si="12"/>
        <v>0</v>
      </c>
      <c r="G43" s="2333">
        <f t="shared" si="12"/>
        <v>0</v>
      </c>
      <c r="H43" s="2333">
        <f t="shared" si="12"/>
        <v>0</v>
      </c>
      <c r="I43" s="2333">
        <f t="shared" si="12"/>
        <v>0</v>
      </c>
      <c r="J43" s="2333">
        <f t="shared" si="12"/>
        <v>0</v>
      </c>
      <c r="K43" s="2333">
        <f t="shared" si="12"/>
        <v>0</v>
      </c>
      <c r="L43" s="2333">
        <f t="shared" si="12"/>
        <v>0</v>
      </c>
      <c r="M43" s="2333">
        <f>+($F$11*(1-$I$5)*M41)</f>
        <v>0</v>
      </c>
      <c r="N43" s="2333">
        <f>+($F$11*(1-$I$5)*N41)</f>
        <v>0</v>
      </c>
    </row>
    <row r="44" spans="2:14" hidden="1" outlineLevel="1">
      <c r="B44" s="2332" t="s">
        <v>1164</v>
      </c>
      <c r="C44" s="2333">
        <f t="shared" ref="C44:L44" si="13">$F$11*C41</f>
        <v>144.47954999999999</v>
      </c>
      <c r="D44" s="2333">
        <f t="shared" si="13"/>
        <v>274.511145</v>
      </c>
      <c r="E44" s="2333">
        <f t="shared" si="13"/>
        <v>247.06003050000001</v>
      </c>
      <c r="F44" s="2333">
        <f t="shared" si="13"/>
        <v>222.49850699999999</v>
      </c>
      <c r="G44" s="2333">
        <f t="shared" si="13"/>
        <v>200.24865629999999</v>
      </c>
      <c r="H44" s="2333">
        <f t="shared" si="13"/>
        <v>180.02151929999999</v>
      </c>
      <c r="I44" s="2333">
        <f t="shared" si="13"/>
        <v>170.48586899999998</v>
      </c>
      <c r="J44" s="2333">
        <f t="shared" si="13"/>
        <v>170.48586899999998</v>
      </c>
      <c r="K44" s="2333">
        <f t="shared" si="13"/>
        <v>170.77482809999998</v>
      </c>
      <c r="L44" s="2333">
        <f t="shared" si="13"/>
        <v>170.48586899999998</v>
      </c>
      <c r="M44" s="2333">
        <f>$F$11*M41</f>
        <v>170.48586899999998</v>
      </c>
      <c r="N44" s="2333">
        <f>$F$11*N41</f>
        <v>170.48586899999998</v>
      </c>
    </row>
    <row r="45" spans="2:14" ht="3" hidden="1" customHeight="1" outlineLevel="1">
      <c r="B45" s="2307"/>
      <c r="C45" s="2331"/>
      <c r="D45" s="2331"/>
      <c r="E45" s="2331"/>
      <c r="F45" s="2331"/>
      <c r="G45" s="2331"/>
      <c r="H45" s="2331"/>
      <c r="I45" s="2331"/>
      <c r="J45" s="2331"/>
      <c r="K45" s="2331"/>
      <c r="L45" s="2331"/>
      <c r="M45" s="2331"/>
      <c r="N45" s="2331"/>
    </row>
    <row r="46" spans="2:14" hidden="1" outlineLevel="1">
      <c r="B46" s="2306" t="s">
        <v>1165</v>
      </c>
      <c r="C46" s="2333">
        <f t="shared" ref="C46:L46" si="14">C43-C44</f>
        <v>2745.1114499999999</v>
      </c>
      <c r="D46" s="2333">
        <f t="shared" si="14"/>
        <v>-274.511145</v>
      </c>
      <c r="E46" s="2333">
        <f t="shared" si="14"/>
        <v>-247.06003050000001</v>
      </c>
      <c r="F46" s="2333">
        <f t="shared" si="14"/>
        <v>-222.49850699999999</v>
      </c>
      <c r="G46" s="2333">
        <f t="shared" si="14"/>
        <v>-200.24865629999999</v>
      </c>
      <c r="H46" s="2333">
        <f t="shared" si="14"/>
        <v>-180.02151929999999</v>
      </c>
      <c r="I46" s="2333">
        <f t="shared" si="14"/>
        <v>-170.48586899999998</v>
      </c>
      <c r="J46" s="2333">
        <f t="shared" si="14"/>
        <v>-170.48586899999998</v>
      </c>
      <c r="K46" s="2333">
        <f t="shared" si="14"/>
        <v>-170.77482809999998</v>
      </c>
      <c r="L46" s="2333">
        <f t="shared" si="14"/>
        <v>-170.48586899999998</v>
      </c>
      <c r="M46" s="2333">
        <f>M43-M44</f>
        <v>-170.48586899999998</v>
      </c>
      <c r="N46" s="2333">
        <f>N43-N44</f>
        <v>-170.48586899999998</v>
      </c>
    </row>
    <row r="47" spans="2:14" hidden="1" outlineLevel="1">
      <c r="B47" s="2334" t="s">
        <v>1166</v>
      </c>
      <c r="C47" s="2335">
        <f t="shared" ref="C47:L47" si="15">C46*$I$6</f>
        <v>960.78900749999991</v>
      </c>
      <c r="D47" s="2333">
        <f t="shared" si="15"/>
        <v>-96.078900749999988</v>
      </c>
      <c r="E47" s="2333">
        <f t="shared" si="15"/>
        <v>-86.471010675000002</v>
      </c>
      <c r="F47" s="2333">
        <f t="shared" si="15"/>
        <v>-77.874477449999986</v>
      </c>
      <c r="G47" s="2333">
        <f t="shared" si="15"/>
        <v>-70.087029704999992</v>
      </c>
      <c r="H47" s="2333">
        <f t="shared" si="15"/>
        <v>-63.007531754999995</v>
      </c>
      <c r="I47" s="2333">
        <f t="shared" si="15"/>
        <v>-59.670054149999991</v>
      </c>
      <c r="J47" s="2333">
        <f t="shared" si="15"/>
        <v>-59.670054149999991</v>
      </c>
      <c r="K47" s="2333">
        <f t="shared" si="15"/>
        <v>-59.771189834999987</v>
      </c>
      <c r="L47" s="2333">
        <f t="shared" si="15"/>
        <v>-59.670054149999991</v>
      </c>
      <c r="M47" s="2333">
        <f>M46*$I$6</f>
        <v>-59.670054149999991</v>
      </c>
      <c r="N47" s="2333">
        <f>N46*$I$6</f>
        <v>-59.670054149999991</v>
      </c>
    </row>
    <row r="48" spans="2:14" hidden="1" outlineLevel="1"/>
    <row r="49" spans="2:14" hidden="1" outlineLevel="1">
      <c r="B49" s="2327">
        <v>2012</v>
      </c>
      <c r="C49" s="2328">
        <v>0</v>
      </c>
      <c r="D49" s="2328">
        <v>1</v>
      </c>
      <c r="E49" s="2328">
        <v>2</v>
      </c>
      <c r="F49" s="2328">
        <v>3</v>
      </c>
      <c r="G49" s="2328">
        <v>4</v>
      </c>
      <c r="H49" s="2328">
        <v>5</v>
      </c>
      <c r="I49" s="2328">
        <v>6</v>
      </c>
      <c r="J49" s="2328">
        <v>7</v>
      </c>
      <c r="K49" s="2328">
        <v>8</v>
      </c>
      <c r="L49" s="2328">
        <v>9</v>
      </c>
      <c r="M49" s="2328">
        <v>9</v>
      </c>
      <c r="N49" s="2328">
        <v>9</v>
      </c>
    </row>
    <row r="50" spans="2:14" hidden="1" outlineLevel="1">
      <c r="B50" s="2329" t="s">
        <v>1162</v>
      </c>
      <c r="C50" s="2330">
        <v>0.05</v>
      </c>
      <c r="D50" s="2330">
        <v>9.5000000000000001E-2</v>
      </c>
      <c r="E50" s="2330">
        <v>8.5500000000000007E-2</v>
      </c>
      <c r="F50" s="2330">
        <v>7.6999999999999999E-2</v>
      </c>
      <c r="G50" s="2330">
        <v>6.93E-2</v>
      </c>
      <c r="H50" s="2330">
        <v>6.2300000000000001E-2</v>
      </c>
      <c r="I50" s="2330">
        <v>5.8999999999999997E-2</v>
      </c>
      <c r="J50" s="2330">
        <v>5.8999999999999997E-2</v>
      </c>
      <c r="K50" s="2330">
        <v>5.91E-2</v>
      </c>
      <c r="L50" s="2330">
        <v>5.8999999999999997E-2</v>
      </c>
      <c r="M50" s="2330">
        <v>5.8999999999999997E-2</v>
      </c>
      <c r="N50" s="2330">
        <v>5.8999999999999997E-2</v>
      </c>
    </row>
    <row r="51" spans="2:14" ht="3" hidden="1" customHeight="1" outlineLevel="1">
      <c r="B51" s="2307"/>
      <c r="C51" s="2331"/>
      <c r="D51" s="2331"/>
      <c r="E51" s="2331"/>
      <c r="F51" s="2331"/>
      <c r="G51" s="2331"/>
      <c r="H51" s="2331"/>
      <c r="I51" s="2331"/>
      <c r="J51" s="2331"/>
      <c r="K51" s="2331"/>
      <c r="L51" s="2331"/>
      <c r="M51" s="2331"/>
      <c r="N51" s="2331"/>
    </row>
    <row r="52" spans="2:14" hidden="1" outlineLevel="1">
      <c r="B52" s="2332" t="s">
        <v>1163</v>
      </c>
      <c r="C52" s="2333">
        <f>($G$11*0.5*$I$5)+($G$11*(1-0.5*$I$5)*C50)</f>
        <v>1500.45</v>
      </c>
      <c r="D52" s="2333">
        <f t="shared" ref="D52:L52" si="16">+($G$11*(1-0.5*$I$5)*D50)</f>
        <v>135.755</v>
      </c>
      <c r="E52" s="2333">
        <f t="shared" si="16"/>
        <v>122.1795</v>
      </c>
      <c r="F52" s="2333">
        <f t="shared" si="16"/>
        <v>110.033</v>
      </c>
      <c r="G52" s="2333">
        <f t="shared" si="16"/>
        <v>99.029700000000005</v>
      </c>
      <c r="H52" s="2333">
        <f t="shared" si="16"/>
        <v>89.026700000000005</v>
      </c>
      <c r="I52" s="2333">
        <f t="shared" si="16"/>
        <v>84.310999999999993</v>
      </c>
      <c r="J52" s="2333">
        <f t="shared" si="16"/>
        <v>84.310999999999993</v>
      </c>
      <c r="K52" s="2333">
        <f t="shared" si="16"/>
        <v>84.453900000000004</v>
      </c>
      <c r="L52" s="2333">
        <f t="shared" si="16"/>
        <v>84.310999999999993</v>
      </c>
      <c r="M52" s="2333">
        <f>+($G$11*(1-0.5*$I$5)*M50)</f>
        <v>84.310999999999993</v>
      </c>
      <c r="N52" s="2333">
        <f>+($G$11*(1-0.5*$I$5)*N50)</f>
        <v>84.310999999999993</v>
      </c>
    </row>
    <row r="53" spans="2:14" hidden="1" outlineLevel="1">
      <c r="B53" s="2332" t="s">
        <v>1164</v>
      </c>
      <c r="C53" s="2333">
        <f t="shared" ref="C53:L53" si="17">$G$11*C50</f>
        <v>142.9</v>
      </c>
      <c r="D53" s="2333">
        <f t="shared" si="17"/>
        <v>271.51</v>
      </c>
      <c r="E53" s="2333">
        <f t="shared" si="17"/>
        <v>244.35900000000001</v>
      </c>
      <c r="F53" s="2333">
        <f t="shared" si="17"/>
        <v>220.066</v>
      </c>
      <c r="G53" s="2333">
        <f t="shared" si="17"/>
        <v>198.05940000000001</v>
      </c>
      <c r="H53" s="2333">
        <f t="shared" si="17"/>
        <v>178.05340000000001</v>
      </c>
      <c r="I53" s="2333">
        <f t="shared" si="17"/>
        <v>168.62199999999999</v>
      </c>
      <c r="J53" s="2333">
        <f t="shared" si="17"/>
        <v>168.62199999999999</v>
      </c>
      <c r="K53" s="2333">
        <f t="shared" si="17"/>
        <v>168.90780000000001</v>
      </c>
      <c r="L53" s="2333">
        <f t="shared" si="17"/>
        <v>168.62199999999999</v>
      </c>
      <c r="M53" s="2333">
        <f>$G$11*M50</f>
        <v>168.62199999999999</v>
      </c>
      <c r="N53" s="2333">
        <f>$G$11*N50</f>
        <v>168.62199999999999</v>
      </c>
    </row>
    <row r="54" spans="2:14" ht="3" hidden="1" customHeight="1" outlineLevel="1">
      <c r="B54" s="2307"/>
      <c r="C54" s="2331"/>
      <c r="D54" s="2331"/>
      <c r="E54" s="2331"/>
      <c r="F54" s="2331"/>
      <c r="G54" s="2331"/>
      <c r="H54" s="2331"/>
      <c r="I54" s="2331"/>
      <c r="J54" s="2331"/>
      <c r="K54" s="2331"/>
      <c r="L54" s="2331"/>
      <c r="M54" s="2331"/>
      <c r="N54" s="2331"/>
    </row>
    <row r="55" spans="2:14" hidden="1" outlineLevel="1">
      <c r="B55" s="2306" t="s">
        <v>1165</v>
      </c>
      <c r="C55" s="2333">
        <f t="shared" ref="C55:L55" si="18">C52-C53</f>
        <v>1357.55</v>
      </c>
      <c r="D55" s="2333">
        <f t="shared" si="18"/>
        <v>-135.755</v>
      </c>
      <c r="E55" s="2333">
        <f t="shared" si="18"/>
        <v>-122.1795</v>
      </c>
      <c r="F55" s="2333">
        <f t="shared" si="18"/>
        <v>-110.033</v>
      </c>
      <c r="G55" s="2333">
        <f t="shared" si="18"/>
        <v>-99.029700000000005</v>
      </c>
      <c r="H55" s="2333">
        <f t="shared" si="18"/>
        <v>-89.026700000000005</v>
      </c>
      <c r="I55" s="2333">
        <f t="shared" si="18"/>
        <v>-84.310999999999993</v>
      </c>
      <c r="J55" s="2333">
        <f t="shared" si="18"/>
        <v>-84.310999999999993</v>
      </c>
      <c r="K55" s="2333">
        <f t="shared" si="18"/>
        <v>-84.453900000000004</v>
      </c>
      <c r="L55" s="2333">
        <f t="shared" si="18"/>
        <v>-84.310999999999993</v>
      </c>
      <c r="M55" s="2333">
        <f>M52-M53</f>
        <v>-84.310999999999993</v>
      </c>
      <c r="N55" s="2333">
        <f>N52-N53</f>
        <v>-84.310999999999993</v>
      </c>
    </row>
    <row r="56" spans="2:14" hidden="1" outlineLevel="1">
      <c r="B56" s="2334" t="s">
        <v>1166</v>
      </c>
      <c r="C56" s="2335">
        <f t="shared" ref="C56:L56" si="19">C55*$I$6</f>
        <v>475.14249999999993</v>
      </c>
      <c r="D56" s="2333">
        <f t="shared" si="19"/>
        <v>-47.514249999999997</v>
      </c>
      <c r="E56" s="2333">
        <f t="shared" si="19"/>
        <v>-42.762824999999999</v>
      </c>
      <c r="F56" s="2333">
        <f t="shared" si="19"/>
        <v>-38.51155</v>
      </c>
      <c r="G56" s="2333">
        <f t="shared" si="19"/>
        <v>-34.660395000000001</v>
      </c>
      <c r="H56" s="2333">
        <f t="shared" si="19"/>
        <v>-31.159344999999998</v>
      </c>
      <c r="I56" s="2333">
        <f t="shared" si="19"/>
        <v>-29.508849999999995</v>
      </c>
      <c r="J56" s="2333">
        <f t="shared" si="19"/>
        <v>-29.508849999999995</v>
      </c>
      <c r="K56" s="2333">
        <f t="shared" si="19"/>
        <v>-29.558865000000001</v>
      </c>
      <c r="L56" s="2333">
        <f t="shared" si="19"/>
        <v>-29.508849999999995</v>
      </c>
      <c r="M56" s="2333">
        <f>M55*$I$6</f>
        <v>-29.508849999999995</v>
      </c>
      <c r="N56" s="2333">
        <f>N55*$I$6</f>
        <v>-29.508849999999995</v>
      </c>
    </row>
    <row r="57" spans="2:14" hidden="1" outlineLevel="1"/>
    <row r="58" spans="2:14" hidden="1" outlineLevel="1">
      <c r="B58" s="2327">
        <v>2013</v>
      </c>
      <c r="C58" s="2328">
        <v>0</v>
      </c>
      <c r="D58" s="2328">
        <v>1</v>
      </c>
      <c r="E58" s="2328">
        <v>2</v>
      </c>
      <c r="F58" s="2328">
        <v>3</v>
      </c>
      <c r="G58" s="2328">
        <v>4</v>
      </c>
      <c r="H58" s="2328">
        <v>5</v>
      </c>
      <c r="I58" s="2328">
        <v>6</v>
      </c>
      <c r="J58" s="2328">
        <v>7</v>
      </c>
      <c r="K58" s="2328">
        <v>8</v>
      </c>
      <c r="L58" s="2328">
        <v>9</v>
      </c>
      <c r="M58" s="2328">
        <v>9</v>
      </c>
      <c r="N58" s="2328">
        <v>9</v>
      </c>
    </row>
    <row r="59" spans="2:14" hidden="1" outlineLevel="1">
      <c r="B59" s="2329" t="s">
        <v>1162</v>
      </c>
      <c r="C59" s="2330">
        <v>0.05</v>
      </c>
      <c r="D59" s="2330">
        <v>9.5000000000000001E-2</v>
      </c>
      <c r="E59" s="2330">
        <v>8.5500000000000007E-2</v>
      </c>
      <c r="F59" s="2330">
        <v>7.6999999999999999E-2</v>
      </c>
      <c r="G59" s="2330">
        <v>6.93E-2</v>
      </c>
      <c r="H59" s="2330">
        <v>6.2300000000000001E-2</v>
      </c>
      <c r="I59" s="2330">
        <v>5.8999999999999997E-2</v>
      </c>
      <c r="J59" s="2330">
        <v>5.8999999999999997E-2</v>
      </c>
      <c r="K59" s="2330">
        <v>5.91E-2</v>
      </c>
      <c r="L59" s="2330">
        <v>5.8999999999999997E-2</v>
      </c>
      <c r="M59" s="2330">
        <v>5.8999999999999997E-2</v>
      </c>
      <c r="N59" s="2330">
        <v>5.8999999999999997E-2</v>
      </c>
    </row>
    <row r="60" spans="2:14" ht="3" hidden="1" customHeight="1" outlineLevel="1">
      <c r="B60" s="2307"/>
      <c r="C60" s="2331"/>
      <c r="D60" s="2331"/>
      <c r="E60" s="2331"/>
      <c r="F60" s="2331"/>
      <c r="G60" s="2331"/>
      <c r="H60" s="2331"/>
      <c r="I60" s="2331"/>
      <c r="J60" s="2331"/>
      <c r="K60" s="2331"/>
      <c r="L60" s="2331"/>
      <c r="M60" s="2331"/>
      <c r="N60" s="2331"/>
    </row>
    <row r="61" spans="2:14" hidden="1" outlineLevel="1">
      <c r="B61" s="2332" t="s">
        <v>1163</v>
      </c>
      <c r="C61" s="2333">
        <f>($H$11*0.5*$I$5)+($H$11*(1-0.5*$I$5)*C59)</f>
        <v>1575.5250000000001</v>
      </c>
      <c r="D61" s="2333">
        <f t="shared" ref="D61:L61" si="20">+($H$11*(1-0.5*$I$5)*D59)</f>
        <v>142.54750000000001</v>
      </c>
      <c r="E61" s="2333">
        <f t="shared" si="20"/>
        <v>128.29275000000001</v>
      </c>
      <c r="F61" s="2333">
        <f t="shared" si="20"/>
        <v>115.5385</v>
      </c>
      <c r="G61" s="2333">
        <f t="shared" si="20"/>
        <v>103.98465</v>
      </c>
      <c r="H61" s="2333">
        <f t="shared" si="20"/>
        <v>93.48115</v>
      </c>
      <c r="I61" s="2333">
        <f t="shared" si="20"/>
        <v>88.529499999999999</v>
      </c>
      <c r="J61" s="2333">
        <f t="shared" si="20"/>
        <v>88.529499999999999</v>
      </c>
      <c r="K61" s="2333">
        <f t="shared" si="20"/>
        <v>88.679550000000006</v>
      </c>
      <c r="L61" s="2333">
        <f t="shared" si="20"/>
        <v>88.529499999999999</v>
      </c>
      <c r="M61" s="2333">
        <f>+($H$11*(1-0.5*$I$5)*M59)</f>
        <v>88.529499999999999</v>
      </c>
      <c r="N61" s="2333">
        <f>+($H$11*(1-0.5*$I$5)*N59)</f>
        <v>88.529499999999999</v>
      </c>
    </row>
    <row r="62" spans="2:14" hidden="1" outlineLevel="1">
      <c r="B62" s="2332" t="s">
        <v>1164</v>
      </c>
      <c r="C62" s="2333">
        <f t="shared" ref="C62:L62" si="21">$H$11*C59</f>
        <v>150.05000000000001</v>
      </c>
      <c r="D62" s="2333">
        <f t="shared" si="21"/>
        <v>285.09500000000003</v>
      </c>
      <c r="E62" s="2333">
        <f t="shared" si="21"/>
        <v>256.58550000000002</v>
      </c>
      <c r="F62" s="2333">
        <f t="shared" si="21"/>
        <v>231.077</v>
      </c>
      <c r="G62" s="2333">
        <f t="shared" si="21"/>
        <v>207.9693</v>
      </c>
      <c r="H62" s="2333">
        <f t="shared" si="21"/>
        <v>186.9623</v>
      </c>
      <c r="I62" s="2333">
        <f t="shared" si="21"/>
        <v>177.059</v>
      </c>
      <c r="J62" s="2333">
        <f t="shared" si="21"/>
        <v>177.059</v>
      </c>
      <c r="K62" s="2333">
        <f t="shared" si="21"/>
        <v>177.35910000000001</v>
      </c>
      <c r="L62" s="2333">
        <f t="shared" si="21"/>
        <v>177.059</v>
      </c>
      <c r="M62" s="2333">
        <f>$H$11*M59</f>
        <v>177.059</v>
      </c>
      <c r="N62" s="2333">
        <f>$H$11*N59</f>
        <v>177.059</v>
      </c>
    </row>
    <row r="63" spans="2:14" ht="3" hidden="1" customHeight="1" outlineLevel="1">
      <c r="B63" s="2307"/>
      <c r="C63" s="2331"/>
      <c r="D63" s="2331"/>
      <c r="E63" s="2331"/>
      <c r="F63" s="2331"/>
      <c r="G63" s="2331"/>
      <c r="H63" s="2331"/>
      <c r="I63" s="2331"/>
      <c r="J63" s="2331"/>
      <c r="K63" s="2331"/>
      <c r="L63" s="2331"/>
      <c r="M63" s="2331"/>
      <c r="N63" s="2331"/>
    </row>
    <row r="64" spans="2:14" hidden="1" outlineLevel="1">
      <c r="B64" s="2306" t="s">
        <v>1165</v>
      </c>
      <c r="C64" s="2333">
        <f t="shared" ref="C64:L64" si="22">C61-C62</f>
        <v>1425.4750000000001</v>
      </c>
      <c r="D64" s="2333">
        <f t="shared" si="22"/>
        <v>-142.54750000000001</v>
      </c>
      <c r="E64" s="2333">
        <f t="shared" si="22"/>
        <v>-128.29275000000001</v>
      </c>
      <c r="F64" s="2333">
        <f t="shared" si="22"/>
        <v>-115.5385</v>
      </c>
      <c r="G64" s="2333">
        <f t="shared" si="22"/>
        <v>-103.98465</v>
      </c>
      <c r="H64" s="2333">
        <f t="shared" si="22"/>
        <v>-93.48115</v>
      </c>
      <c r="I64" s="2333">
        <f t="shared" si="22"/>
        <v>-88.529499999999999</v>
      </c>
      <c r="J64" s="2333">
        <f t="shared" si="22"/>
        <v>-88.529499999999999</v>
      </c>
      <c r="K64" s="2333">
        <f t="shared" si="22"/>
        <v>-88.679550000000006</v>
      </c>
      <c r="L64" s="2333">
        <f t="shared" si="22"/>
        <v>-88.529499999999999</v>
      </c>
      <c r="M64" s="2333">
        <f>M61-M62</f>
        <v>-88.529499999999999</v>
      </c>
      <c r="N64" s="2333">
        <f>N61-N62</f>
        <v>-88.529499999999999</v>
      </c>
    </row>
    <row r="65" spans="2:17" hidden="1" outlineLevel="1">
      <c r="B65" s="2334" t="s">
        <v>1166</v>
      </c>
      <c r="C65" s="2335">
        <f t="shared" ref="C65:L65" si="23">C64*$I$6</f>
        <v>498.91624999999999</v>
      </c>
      <c r="D65" s="2333">
        <f t="shared" si="23"/>
        <v>-49.891625000000005</v>
      </c>
      <c r="E65" s="2333">
        <f t="shared" si="23"/>
        <v>-44.902462499999999</v>
      </c>
      <c r="F65" s="2333">
        <f t="shared" si="23"/>
        <v>-40.438474999999997</v>
      </c>
      <c r="G65" s="2333">
        <f t="shared" si="23"/>
        <v>-36.394627499999999</v>
      </c>
      <c r="H65" s="2333">
        <f t="shared" si="23"/>
        <v>-32.718402499999996</v>
      </c>
      <c r="I65" s="2333">
        <f t="shared" si="23"/>
        <v>-30.985324999999996</v>
      </c>
      <c r="J65" s="2333">
        <f t="shared" si="23"/>
        <v>-30.985324999999996</v>
      </c>
      <c r="K65" s="2333">
        <f t="shared" si="23"/>
        <v>-31.0378425</v>
      </c>
      <c r="L65" s="2333">
        <f t="shared" si="23"/>
        <v>-30.985324999999996</v>
      </c>
      <c r="M65" s="2333">
        <f>M64*$I$6</f>
        <v>-30.985324999999996</v>
      </c>
      <c r="N65" s="2333">
        <f>N64*$I$6</f>
        <v>-30.985324999999996</v>
      </c>
    </row>
    <row r="66" spans="2:17" hidden="1" outlineLevel="1"/>
    <row r="67" spans="2:17" hidden="1" outlineLevel="1">
      <c r="B67" s="2327">
        <v>2014</v>
      </c>
      <c r="C67" s="2328">
        <v>0</v>
      </c>
      <c r="D67" s="2328">
        <v>1</v>
      </c>
      <c r="E67" s="2328">
        <v>2</v>
      </c>
      <c r="F67" s="2328">
        <v>3</v>
      </c>
      <c r="G67" s="2328">
        <v>4</v>
      </c>
      <c r="H67" s="2328">
        <v>5</v>
      </c>
      <c r="I67" s="2328">
        <v>6</v>
      </c>
      <c r="J67" s="2328">
        <v>7</v>
      </c>
      <c r="K67" s="2328">
        <v>8</v>
      </c>
      <c r="L67" s="2328">
        <v>9</v>
      </c>
      <c r="M67" s="2328">
        <v>9</v>
      </c>
      <c r="N67" s="2328">
        <v>9</v>
      </c>
    </row>
    <row r="68" spans="2:17" hidden="1" outlineLevel="1">
      <c r="B68" s="2329" t="s">
        <v>1162</v>
      </c>
      <c r="C68" s="2330">
        <v>0.05</v>
      </c>
      <c r="D68" s="2330">
        <v>9.5000000000000001E-2</v>
      </c>
      <c r="E68" s="2330">
        <v>8.5500000000000007E-2</v>
      </c>
      <c r="F68" s="2330">
        <v>7.6999999999999999E-2</v>
      </c>
      <c r="G68" s="2330">
        <v>6.93E-2</v>
      </c>
      <c r="H68" s="2330">
        <v>6.2300000000000001E-2</v>
      </c>
      <c r="I68" s="2330">
        <v>5.8999999999999997E-2</v>
      </c>
      <c r="J68" s="2330">
        <v>5.8999999999999997E-2</v>
      </c>
      <c r="K68" s="2330">
        <v>5.91E-2</v>
      </c>
      <c r="L68" s="2330">
        <v>5.8999999999999997E-2</v>
      </c>
      <c r="M68" s="2330">
        <v>5.8999999999999997E-2</v>
      </c>
      <c r="N68" s="2330">
        <v>5.8999999999999997E-2</v>
      </c>
    </row>
    <row r="69" spans="2:17" ht="3" hidden="1" customHeight="1" outlineLevel="1">
      <c r="B69" s="2307"/>
      <c r="C69" s="2331"/>
      <c r="D69" s="2331"/>
      <c r="E69" s="2331"/>
      <c r="F69" s="2331"/>
      <c r="G69" s="2331"/>
      <c r="H69" s="2331"/>
      <c r="I69" s="2331"/>
      <c r="J69" s="2331"/>
      <c r="K69" s="2331"/>
      <c r="L69" s="2331"/>
      <c r="M69" s="2331"/>
      <c r="N69" s="2331"/>
    </row>
    <row r="70" spans="2:17" hidden="1" outlineLevel="1">
      <c r="B70" s="2332" t="s">
        <v>1163</v>
      </c>
      <c r="C70" s="2333">
        <f>IF($P$86=1,($I$11*0.5*$I$5)+($I$11*(1-0.5*$I$5)*C68),C71)</f>
        <v>1588.65</v>
      </c>
      <c r="D70" s="2333">
        <f t="shared" ref="D70:N70" si="24">IF($P$86=1,($I$11*(1-0.5*$I$5))*D68,D71)</f>
        <v>143.73500000000001</v>
      </c>
      <c r="E70" s="2333">
        <f t="shared" si="24"/>
        <v>129.36150000000001</v>
      </c>
      <c r="F70" s="2333">
        <f t="shared" si="24"/>
        <v>116.501</v>
      </c>
      <c r="G70" s="2333">
        <f t="shared" si="24"/>
        <v>104.8509</v>
      </c>
      <c r="H70" s="2333">
        <f t="shared" si="24"/>
        <v>94.259900000000002</v>
      </c>
      <c r="I70" s="2333">
        <f t="shared" si="24"/>
        <v>89.266999999999996</v>
      </c>
      <c r="J70" s="2333">
        <f t="shared" si="24"/>
        <v>89.266999999999996</v>
      </c>
      <c r="K70" s="2333">
        <f t="shared" si="24"/>
        <v>89.418300000000002</v>
      </c>
      <c r="L70" s="2333">
        <f t="shared" si="24"/>
        <v>89.266999999999996</v>
      </c>
      <c r="M70" s="2333">
        <f t="shared" si="24"/>
        <v>89.266999999999996</v>
      </c>
      <c r="N70" s="2333">
        <f t="shared" si="24"/>
        <v>89.266999999999996</v>
      </c>
    </row>
    <row r="71" spans="2:17" hidden="1" outlineLevel="1">
      <c r="B71" s="2332" t="s">
        <v>1164</v>
      </c>
      <c r="C71" s="2333">
        <f t="shared" ref="C71:L71" si="25">$I$11*C68</f>
        <v>151.30000000000001</v>
      </c>
      <c r="D71" s="2333">
        <f t="shared" si="25"/>
        <v>287.47000000000003</v>
      </c>
      <c r="E71" s="2333">
        <f t="shared" si="25"/>
        <v>258.72300000000001</v>
      </c>
      <c r="F71" s="2333">
        <f t="shared" si="25"/>
        <v>233.00200000000001</v>
      </c>
      <c r="G71" s="2333">
        <f t="shared" si="25"/>
        <v>209.70179999999999</v>
      </c>
      <c r="H71" s="2333">
        <f t="shared" si="25"/>
        <v>188.5198</v>
      </c>
      <c r="I71" s="2333">
        <f t="shared" si="25"/>
        <v>178.53399999999999</v>
      </c>
      <c r="J71" s="2333">
        <f t="shared" si="25"/>
        <v>178.53399999999999</v>
      </c>
      <c r="K71" s="2333">
        <f t="shared" si="25"/>
        <v>178.8366</v>
      </c>
      <c r="L71" s="2333">
        <f t="shared" si="25"/>
        <v>178.53399999999999</v>
      </c>
      <c r="M71" s="2333">
        <f>$I$11*M68</f>
        <v>178.53399999999999</v>
      </c>
      <c r="N71" s="2333">
        <f>$I$11*N68</f>
        <v>178.53399999999999</v>
      </c>
    </row>
    <row r="72" spans="2:17" ht="3" hidden="1" customHeight="1" outlineLevel="1">
      <c r="B72" s="2307"/>
      <c r="C72" s="2331"/>
      <c r="D72" s="2331"/>
      <c r="E72" s="2331"/>
      <c r="F72" s="2331"/>
      <c r="G72" s="2331"/>
      <c r="H72" s="2331"/>
      <c r="I72" s="2331"/>
      <c r="J72" s="2331"/>
      <c r="K72" s="2331"/>
      <c r="L72" s="2331"/>
      <c r="M72" s="2331"/>
      <c r="N72" s="2331"/>
    </row>
    <row r="73" spans="2:17" hidden="1" outlineLevel="1">
      <c r="B73" s="2306" t="s">
        <v>1165</v>
      </c>
      <c r="C73" s="2333">
        <f t="shared" ref="C73:L73" si="26">C70-C71</f>
        <v>1437.3500000000001</v>
      </c>
      <c r="D73" s="2333">
        <f t="shared" si="26"/>
        <v>-143.73500000000001</v>
      </c>
      <c r="E73" s="2333">
        <f t="shared" si="26"/>
        <v>-129.36150000000001</v>
      </c>
      <c r="F73" s="2333">
        <f t="shared" si="26"/>
        <v>-116.501</v>
      </c>
      <c r="G73" s="2333">
        <f t="shared" si="26"/>
        <v>-104.8509</v>
      </c>
      <c r="H73" s="2333">
        <f t="shared" si="26"/>
        <v>-94.259900000000002</v>
      </c>
      <c r="I73" s="2333">
        <f t="shared" si="26"/>
        <v>-89.266999999999996</v>
      </c>
      <c r="J73" s="2333">
        <f t="shared" si="26"/>
        <v>-89.266999999999996</v>
      </c>
      <c r="K73" s="2333">
        <f t="shared" si="26"/>
        <v>-89.418300000000002</v>
      </c>
      <c r="L73" s="2333">
        <f t="shared" si="26"/>
        <v>-89.266999999999996</v>
      </c>
      <c r="M73" s="2333">
        <f>M70-M71</f>
        <v>-89.266999999999996</v>
      </c>
      <c r="N73" s="2333">
        <f>N70-N71</f>
        <v>-89.266999999999996</v>
      </c>
    </row>
    <row r="74" spans="2:17" hidden="1" outlineLevel="1">
      <c r="B74" s="2334" t="s">
        <v>1166</v>
      </c>
      <c r="C74" s="2335">
        <f t="shared" ref="C74:L74" si="27">C73*$I$6</f>
        <v>503.07249999999999</v>
      </c>
      <c r="D74" s="2333">
        <f t="shared" si="27"/>
        <v>-50.307250000000003</v>
      </c>
      <c r="E74" s="2333">
        <f t="shared" si="27"/>
        <v>-45.276524999999999</v>
      </c>
      <c r="F74" s="2333">
        <f t="shared" si="27"/>
        <v>-40.775349999999996</v>
      </c>
      <c r="G74" s="2333">
        <f t="shared" si="27"/>
        <v>-36.697814999999999</v>
      </c>
      <c r="H74" s="2333">
        <f t="shared" si="27"/>
        <v>-32.990964999999996</v>
      </c>
      <c r="I74" s="2333">
        <f t="shared" si="27"/>
        <v>-31.243449999999996</v>
      </c>
      <c r="J74" s="2333">
        <f t="shared" si="27"/>
        <v>-31.243449999999996</v>
      </c>
      <c r="K74" s="2333">
        <f t="shared" si="27"/>
        <v>-31.296405</v>
      </c>
      <c r="L74" s="2333">
        <f t="shared" si="27"/>
        <v>-31.243449999999996</v>
      </c>
      <c r="M74" s="2333">
        <f>M73*$I$6</f>
        <v>-31.243449999999996</v>
      </c>
      <c r="N74" s="2333">
        <f>N73*$I$6</f>
        <v>-31.243449999999996</v>
      </c>
    </row>
    <row r="75" spans="2:17" hidden="1" outlineLevel="1" collapsed="1">
      <c r="H75" s="2334"/>
      <c r="I75" s="2334"/>
      <c r="J75" s="2333"/>
      <c r="K75" s="2333"/>
      <c r="L75" s="2333"/>
      <c r="M75" s="2333"/>
      <c r="N75" s="2333"/>
      <c r="O75" s="2333"/>
      <c r="P75" s="2333"/>
      <c r="Q75" s="2333"/>
    </row>
    <row r="76" spans="2:17" hidden="1" outlineLevel="1">
      <c r="B76" s="2327">
        <v>2015</v>
      </c>
      <c r="C76" s="2328">
        <v>0</v>
      </c>
      <c r="D76" s="2328">
        <v>1</v>
      </c>
      <c r="E76" s="2328">
        <v>2</v>
      </c>
      <c r="F76" s="2328">
        <v>3</v>
      </c>
      <c r="G76" s="2328">
        <v>4</v>
      </c>
      <c r="H76" s="2328">
        <v>5</v>
      </c>
      <c r="I76" s="2328">
        <v>6</v>
      </c>
      <c r="J76" s="2328">
        <v>7</v>
      </c>
      <c r="K76" s="2328">
        <v>8</v>
      </c>
      <c r="L76" s="2328">
        <v>9</v>
      </c>
      <c r="M76" s="2328">
        <v>9</v>
      </c>
      <c r="N76" s="2328">
        <v>9</v>
      </c>
    </row>
    <row r="77" spans="2:17" hidden="1" outlineLevel="1">
      <c r="B77" s="2329" t="s">
        <v>1162</v>
      </c>
      <c r="C77" s="2330">
        <v>0.05</v>
      </c>
      <c r="D77" s="2330">
        <v>9.5000000000000001E-2</v>
      </c>
      <c r="E77" s="2330">
        <v>8.5500000000000007E-2</v>
      </c>
      <c r="F77" s="2330">
        <v>7.6999999999999999E-2</v>
      </c>
      <c r="G77" s="2330">
        <v>6.93E-2</v>
      </c>
      <c r="H77" s="2330">
        <v>6.2300000000000001E-2</v>
      </c>
      <c r="I77" s="2330">
        <v>5.8999999999999997E-2</v>
      </c>
      <c r="J77" s="2330">
        <v>5.8999999999999997E-2</v>
      </c>
      <c r="K77" s="2330">
        <v>5.91E-2</v>
      </c>
      <c r="L77" s="2330">
        <v>5.8999999999999997E-2</v>
      </c>
      <c r="M77" s="2330">
        <v>5.8999999999999997E-2</v>
      </c>
      <c r="N77" s="2330">
        <v>5.8999999999999997E-2</v>
      </c>
    </row>
    <row r="78" spans="2:17" ht="3" hidden="1" customHeight="1" outlineLevel="1">
      <c r="B78" s="2307"/>
      <c r="C78" s="2331"/>
      <c r="D78" s="2331"/>
      <c r="E78" s="2331"/>
      <c r="F78" s="2331"/>
      <c r="G78" s="2331"/>
      <c r="H78" s="2331"/>
      <c r="I78" s="2331"/>
      <c r="J78" s="2331"/>
      <c r="K78" s="2331"/>
      <c r="L78" s="2331"/>
      <c r="M78" s="2331"/>
      <c r="N78" s="2331"/>
    </row>
    <row r="79" spans="2:17" hidden="1" outlineLevel="1">
      <c r="B79" s="2332" t="s">
        <v>1163</v>
      </c>
      <c r="C79" s="2333">
        <f>IF($P$88=1,($J$11*0.5*$I$5)+($J$11*(1-0.5*$I$5)*C77),C80)</f>
        <v>143.05000000000001</v>
      </c>
      <c r="D79" s="2333">
        <f t="shared" ref="D79:N79" si="28">IF($P$88=1,($J$11*(1-0.5*$I$5))*D77,D80)</f>
        <v>271.79500000000002</v>
      </c>
      <c r="E79" s="2333">
        <f t="shared" si="28"/>
        <v>244.61550000000003</v>
      </c>
      <c r="F79" s="2333">
        <f t="shared" si="28"/>
        <v>220.297</v>
      </c>
      <c r="G79" s="2333">
        <f t="shared" si="28"/>
        <v>198.26730000000001</v>
      </c>
      <c r="H79" s="2333">
        <f t="shared" si="28"/>
        <v>178.24029999999999</v>
      </c>
      <c r="I79" s="2333">
        <f t="shared" si="28"/>
        <v>168.79899999999998</v>
      </c>
      <c r="J79" s="2333">
        <f t="shared" si="28"/>
        <v>168.79899999999998</v>
      </c>
      <c r="K79" s="2333">
        <f t="shared" si="28"/>
        <v>169.08510000000001</v>
      </c>
      <c r="L79" s="2333">
        <f t="shared" si="28"/>
        <v>168.79899999999998</v>
      </c>
      <c r="M79" s="2333">
        <f t="shared" si="28"/>
        <v>168.79899999999998</v>
      </c>
      <c r="N79" s="2333">
        <f t="shared" si="28"/>
        <v>168.79899999999998</v>
      </c>
    </row>
    <row r="80" spans="2:17" hidden="1" outlineLevel="1">
      <c r="B80" s="2332" t="s">
        <v>1164</v>
      </c>
      <c r="C80" s="2333">
        <f t="shared" ref="C80:L80" si="29">$J$11*C77</f>
        <v>143.05000000000001</v>
      </c>
      <c r="D80" s="2333">
        <f t="shared" si="29"/>
        <v>271.79500000000002</v>
      </c>
      <c r="E80" s="2333">
        <f t="shared" si="29"/>
        <v>244.61550000000003</v>
      </c>
      <c r="F80" s="2333">
        <f t="shared" si="29"/>
        <v>220.297</v>
      </c>
      <c r="G80" s="2333">
        <f t="shared" si="29"/>
        <v>198.26730000000001</v>
      </c>
      <c r="H80" s="2333">
        <f t="shared" si="29"/>
        <v>178.24029999999999</v>
      </c>
      <c r="I80" s="2333">
        <f t="shared" si="29"/>
        <v>168.79899999999998</v>
      </c>
      <c r="J80" s="2333">
        <f t="shared" si="29"/>
        <v>168.79899999999998</v>
      </c>
      <c r="K80" s="2333">
        <f t="shared" si="29"/>
        <v>169.08510000000001</v>
      </c>
      <c r="L80" s="2333">
        <f t="shared" si="29"/>
        <v>168.79899999999998</v>
      </c>
      <c r="M80" s="2333">
        <f>$J$11*M77</f>
        <v>168.79899999999998</v>
      </c>
      <c r="N80" s="2333">
        <f>$J$11*N77</f>
        <v>168.79899999999998</v>
      </c>
    </row>
    <row r="81" spans="2:18" ht="3" hidden="1" customHeight="1" outlineLevel="1">
      <c r="B81" s="2307"/>
      <c r="C81" s="2331"/>
      <c r="D81" s="2331"/>
      <c r="E81" s="2331"/>
      <c r="F81" s="2331"/>
      <c r="G81" s="2331"/>
      <c r="H81" s="2331"/>
      <c r="I81" s="2331"/>
      <c r="J81" s="2331"/>
      <c r="K81" s="2331"/>
      <c r="L81" s="2331"/>
      <c r="M81" s="2331"/>
      <c r="N81" s="2331"/>
    </row>
    <row r="82" spans="2:18" hidden="1" outlineLevel="1">
      <c r="B82" s="2306" t="s">
        <v>1165</v>
      </c>
      <c r="C82" s="2333">
        <f t="shared" ref="C82:L82" si="30">C79-C80</f>
        <v>0</v>
      </c>
      <c r="D82" s="2333">
        <f t="shared" si="30"/>
        <v>0</v>
      </c>
      <c r="E82" s="2333">
        <f t="shared" si="30"/>
        <v>0</v>
      </c>
      <c r="F82" s="2333">
        <f t="shared" si="30"/>
        <v>0</v>
      </c>
      <c r="G82" s="2333">
        <f t="shared" si="30"/>
        <v>0</v>
      </c>
      <c r="H82" s="2333">
        <f t="shared" si="30"/>
        <v>0</v>
      </c>
      <c r="I82" s="2333">
        <f t="shared" si="30"/>
        <v>0</v>
      </c>
      <c r="J82" s="2333">
        <f t="shared" si="30"/>
        <v>0</v>
      </c>
      <c r="K82" s="2333">
        <f t="shared" si="30"/>
        <v>0</v>
      </c>
      <c r="L82" s="2333">
        <f t="shared" si="30"/>
        <v>0</v>
      </c>
      <c r="M82" s="2333">
        <f>M79-M80</f>
        <v>0</v>
      </c>
      <c r="N82" s="2333">
        <f>N79-N80</f>
        <v>0</v>
      </c>
    </row>
    <row r="83" spans="2:18" hidden="1" outlineLevel="1">
      <c r="B83" s="2334" t="s">
        <v>1166</v>
      </c>
      <c r="C83" s="2335">
        <f t="shared" ref="C83:L83" si="31">C82*$I$6</f>
        <v>0</v>
      </c>
      <c r="D83" s="2333">
        <f t="shared" si="31"/>
        <v>0</v>
      </c>
      <c r="E83" s="2333">
        <f t="shared" si="31"/>
        <v>0</v>
      </c>
      <c r="F83" s="2333">
        <f t="shared" si="31"/>
        <v>0</v>
      </c>
      <c r="G83" s="2333">
        <f t="shared" si="31"/>
        <v>0</v>
      </c>
      <c r="H83" s="2333">
        <f t="shared" si="31"/>
        <v>0</v>
      </c>
      <c r="I83" s="2333">
        <f t="shared" si="31"/>
        <v>0</v>
      </c>
      <c r="J83" s="2333">
        <f t="shared" si="31"/>
        <v>0</v>
      </c>
      <c r="K83" s="2333">
        <f t="shared" si="31"/>
        <v>0</v>
      </c>
      <c r="L83" s="2333">
        <f t="shared" si="31"/>
        <v>0</v>
      </c>
      <c r="M83" s="2333">
        <f>M82*$I$6</f>
        <v>0</v>
      </c>
      <c r="N83" s="2333">
        <f>N82*$I$6</f>
        <v>0</v>
      </c>
    </row>
    <row r="84" spans="2:18" hidden="1" outlineLevel="1" collapsed="1">
      <c r="H84" s="2334"/>
      <c r="I84" s="2334"/>
      <c r="J84" s="2333"/>
      <c r="K84" s="2333"/>
      <c r="L84" s="2333"/>
      <c r="M84" s="2333"/>
      <c r="N84" s="2333"/>
      <c r="O84" s="2333"/>
      <c r="P84" s="2333"/>
      <c r="Q84" s="2333"/>
    </row>
    <row r="85" spans="2:18" s="2338" customFormat="1" ht="13.5" collapsed="1" thickBot="1">
      <c r="B85" s="2337" t="s">
        <v>1168</v>
      </c>
      <c r="C85" s="2321" t="s">
        <v>1160</v>
      </c>
      <c r="H85" s="2339"/>
      <c r="I85" s="2339"/>
      <c r="J85" s="2333"/>
      <c r="K85" s="2333"/>
      <c r="L85" s="2333"/>
      <c r="M85" s="2333"/>
      <c r="N85" s="2333"/>
      <c r="O85" s="2333"/>
      <c r="P85" s="2333"/>
      <c r="Q85" s="2333"/>
    </row>
    <row r="86" spans="2:18" s="2345" customFormat="1" ht="13.5" thickBot="1">
      <c r="B86" s="2340"/>
      <c r="C86" s="2341">
        <v>2008</v>
      </c>
      <c r="D86" s="2341">
        <v>2009</v>
      </c>
      <c r="E86" s="2341">
        <v>2010</v>
      </c>
      <c r="F86" s="2341">
        <v>2011</v>
      </c>
      <c r="G86" s="2341">
        <v>2012</v>
      </c>
      <c r="H86" s="2341" t="s">
        <v>989</v>
      </c>
      <c r="I86" s="2341" t="str">
        <f>$I$10</f>
        <v>2014E</v>
      </c>
      <c r="J86" s="2341" t="str">
        <f>$J$10</f>
        <v>2015E</v>
      </c>
      <c r="K86" s="2342" t="str">
        <f>$K$10</f>
        <v>2016E</v>
      </c>
      <c r="L86" s="2342" t="str">
        <f>$L$10</f>
        <v>2017E</v>
      </c>
      <c r="M86" s="2342" t="str">
        <f>$M$10</f>
        <v>2018E</v>
      </c>
      <c r="N86" s="2343" t="str">
        <f>$N$10</f>
        <v>2019E</v>
      </c>
      <c r="O86" s="2333"/>
      <c r="P86" s="2344">
        <v>1</v>
      </c>
      <c r="Q86" s="2405">
        <v>2014</v>
      </c>
      <c r="R86" s="2406" t="s">
        <v>1185</v>
      </c>
    </row>
    <row r="87" spans="2:18" s="2345" customFormat="1" ht="13.5" thickBot="1">
      <c r="B87" s="2346" t="s">
        <v>304</v>
      </c>
      <c r="C87" s="2347">
        <f>+IS!I$78</f>
        <v>2776.1450000000023</v>
      </c>
      <c r="D87" s="2347">
        <f>+IS!J$78</f>
        <v>2847.4149999999963</v>
      </c>
      <c r="E87" s="2347">
        <f>+IS!K$78</f>
        <v>3005</v>
      </c>
      <c r="F87" s="2347">
        <f ca="1">+IS!L$78</f>
        <v>2780.5499999999993</v>
      </c>
      <c r="G87" s="2347">
        <f>+IS!M$78</f>
        <v>3107.5</v>
      </c>
      <c r="H87" s="2347">
        <f>+IS!N$78</f>
        <v>2718</v>
      </c>
      <c r="I87" s="2347">
        <f>+IS!O$78</f>
        <v>1338</v>
      </c>
      <c r="J87" s="2347">
        <f>+IS!P$78</f>
        <v>1472</v>
      </c>
      <c r="K87" s="2347">
        <f>+IS!Q$78</f>
        <v>1020</v>
      </c>
      <c r="L87" s="2347">
        <f>+IS!R$78</f>
        <v>655</v>
      </c>
      <c r="M87" s="2347">
        <f>+IS!S$78</f>
        <v>804.35180349665507</v>
      </c>
      <c r="N87" s="2348">
        <f>+IS!T$78</f>
        <v>1417.2846582272314</v>
      </c>
      <c r="O87" s="2333"/>
      <c r="P87" s="2333"/>
      <c r="Q87" s="2333"/>
      <c r="R87" s="2407"/>
    </row>
    <row r="88" spans="2:18" s="2345" customFormat="1" ht="13.5" thickBot="1">
      <c r="B88" s="2331"/>
      <c r="C88" s="2349"/>
      <c r="D88" s="2349"/>
      <c r="E88" s="2349"/>
      <c r="F88" s="2349"/>
      <c r="G88" s="2349"/>
      <c r="H88" s="2349"/>
      <c r="I88" s="2349"/>
      <c r="J88" s="2349"/>
      <c r="K88" s="2350"/>
      <c r="L88" s="2350"/>
      <c r="M88" s="2350"/>
      <c r="N88" s="2350"/>
      <c r="O88" s="2333"/>
      <c r="P88" s="2344">
        <v>2</v>
      </c>
      <c r="Q88" s="2405" t="s">
        <v>1186</v>
      </c>
      <c r="R88" s="2406" t="s">
        <v>1185</v>
      </c>
    </row>
    <row r="89" spans="2:18" s="2345" customFormat="1">
      <c r="B89" s="2331"/>
      <c r="C89" s="2349">
        <v>2008</v>
      </c>
      <c r="D89" s="2349">
        <v>2009</v>
      </c>
      <c r="E89" s="2349">
        <v>2010</v>
      </c>
      <c r="F89" s="2349">
        <v>2011</v>
      </c>
      <c r="G89" s="2349">
        <v>2012</v>
      </c>
      <c r="H89" s="2349" t="s">
        <v>989</v>
      </c>
      <c r="I89" s="2349" t="str">
        <f>$I$10</f>
        <v>2014E</v>
      </c>
      <c r="J89" s="2349" t="str">
        <f>$J$10</f>
        <v>2015E</v>
      </c>
      <c r="K89" s="2350" t="str">
        <f>$K$10</f>
        <v>2016E</v>
      </c>
      <c r="L89" s="2350" t="str">
        <f>$L$10</f>
        <v>2017E</v>
      </c>
      <c r="M89" s="2350" t="str">
        <f>$M$10</f>
        <v>2018E</v>
      </c>
      <c r="N89" s="2350" t="str">
        <f>$N$10</f>
        <v>2019E</v>
      </c>
      <c r="O89" s="2333"/>
      <c r="P89" s="2333"/>
      <c r="Q89" s="2405"/>
      <c r="R89" s="2406"/>
    </row>
    <row r="90" spans="2:18" s="2345" customFormat="1">
      <c r="B90" s="2308" t="s">
        <v>1169</v>
      </c>
      <c r="C90" s="2351">
        <f t="shared" ref="C90:L90" si="32">-C87*Tax_Rate</f>
        <v>-971.6507500000007</v>
      </c>
      <c r="D90" s="2351">
        <f t="shared" si="32"/>
        <v>-996.5952499999986</v>
      </c>
      <c r="E90" s="2351">
        <f t="shared" si="32"/>
        <v>-1051.75</v>
      </c>
      <c r="F90" s="2351">
        <f t="shared" ca="1" si="32"/>
        <v>-973.19249999999965</v>
      </c>
      <c r="G90" s="2351">
        <f t="shared" si="32"/>
        <v>-1087.625</v>
      </c>
      <c r="H90" s="2351">
        <f t="shared" si="32"/>
        <v>-951.3</v>
      </c>
      <c r="I90" s="2351">
        <f t="shared" si="32"/>
        <v>-468.29999999999995</v>
      </c>
      <c r="J90" s="2351">
        <f t="shared" si="32"/>
        <v>-515.19999999999993</v>
      </c>
      <c r="K90" s="2351">
        <f t="shared" si="32"/>
        <v>-357</v>
      </c>
      <c r="L90" s="2351">
        <f t="shared" si="32"/>
        <v>-229.24999999999997</v>
      </c>
      <c r="M90" s="2351">
        <f>-M87*Tax_Rate</f>
        <v>-281.52313122382924</v>
      </c>
      <c r="N90" s="2351">
        <f>-N87*Tax_Rate</f>
        <v>-496.04963037953092</v>
      </c>
      <c r="O90" s="2333"/>
      <c r="P90" s="2333"/>
      <c r="Q90" s="2333"/>
    </row>
    <row r="91" spans="2:18">
      <c r="B91" s="2308" t="s">
        <v>1170</v>
      </c>
      <c r="C91" s="2352">
        <f>+C20</f>
        <v>455.32832624999998</v>
      </c>
      <c r="D91" s="2352">
        <f>+D20+C29</f>
        <v>355.38635737499999</v>
      </c>
      <c r="E91" s="2352">
        <f>+E20+D29+C38</f>
        <v>466.1176916375</v>
      </c>
      <c r="F91" s="2352">
        <f>+F20+E29+D38+C47</f>
        <v>845.4366303249999</v>
      </c>
      <c r="G91" s="2352">
        <f>+G20+F29+E38+D47+C56</f>
        <v>275.22535878249994</v>
      </c>
      <c r="H91" s="2352">
        <f>+H20+G29+F38+E47+D56+C65</f>
        <v>271.48782652249997</v>
      </c>
      <c r="I91" s="2352">
        <f>+I20+H29+G38+F47+E56+D65+C74</f>
        <v>247.069939025</v>
      </c>
      <c r="J91" s="2352">
        <f>+J20+I29+H38+G47+F56+E65+D74+C83</f>
        <v>-284.76769446999998</v>
      </c>
      <c r="K91" s="2352">
        <f>+K20+J29+I38+H47+G56+F65+E74+D83</f>
        <v>-262.91866357749996</v>
      </c>
      <c r="L91" s="2352">
        <f>+L20+K29+J38+I47+H56+G65+F74+E83</f>
        <v>-247.52938619499997</v>
      </c>
      <c r="M91" s="2352">
        <f>+M20+L29+K38+J47+I56+H65+G74+F83</f>
        <v>-238.12752295499999</v>
      </c>
      <c r="N91" s="2352">
        <f>+N20+M29+L38+K47+J56+I65+H74+G83</f>
        <v>-232.74413735999994</v>
      </c>
      <c r="O91" s="2333"/>
      <c r="P91" s="2333"/>
      <c r="Q91" s="2333"/>
    </row>
    <row r="92" spans="2:18">
      <c r="B92" s="2353" t="s">
        <v>457</v>
      </c>
      <c r="C92" s="2354">
        <f t="shared" ref="C92:K92" si="33">C95-C90-C91</f>
        <v>389.48342375000067</v>
      </c>
      <c r="D92" s="2354">
        <f t="shared" si="33"/>
        <v>480.6758926249986</v>
      </c>
      <c r="E92" s="2354">
        <f t="shared" si="33"/>
        <v>134.44930836250001</v>
      </c>
      <c r="F92" s="2354">
        <f t="shared" ca="1" si="33"/>
        <v>147.75586967499976</v>
      </c>
      <c r="G92" s="2354">
        <f t="shared" si="33"/>
        <v>733.39964121750006</v>
      </c>
      <c r="H92" s="2354">
        <f t="shared" si="33"/>
        <v>607.81217347749998</v>
      </c>
      <c r="I92" s="2354">
        <f t="shared" si="33"/>
        <v>146.23006097499996</v>
      </c>
      <c r="J92" s="2354">
        <f t="shared" si="33"/>
        <v>124.96769446999991</v>
      </c>
      <c r="K92" s="2354">
        <f t="shared" si="33"/>
        <v>-205.08133642250004</v>
      </c>
      <c r="L92" s="2355"/>
      <c r="M92" s="2355"/>
      <c r="N92" s="2355"/>
      <c r="O92" s="2333"/>
      <c r="P92" s="2333"/>
      <c r="Q92" s="2333"/>
    </row>
    <row r="93" spans="2:18">
      <c r="B93" s="2356" t="s">
        <v>1171</v>
      </c>
      <c r="C93" s="2357">
        <f t="shared" ref="C93:L93" si="34">SUM(C90:C92)</f>
        <v>-126.83900000000011</v>
      </c>
      <c r="D93" s="2357">
        <f t="shared" si="34"/>
        <v>-160.53300000000002</v>
      </c>
      <c r="E93" s="2357">
        <f t="shared" si="34"/>
        <v>-451.18299999999999</v>
      </c>
      <c r="F93" s="2357">
        <f t="shared" ca="1" si="34"/>
        <v>20</v>
      </c>
      <c r="G93" s="2357">
        <f t="shared" si="34"/>
        <v>-79</v>
      </c>
      <c r="H93" s="2357">
        <f t="shared" si="34"/>
        <v>-72</v>
      </c>
      <c r="I93" s="2357">
        <f t="shared" si="34"/>
        <v>-75</v>
      </c>
      <c r="J93" s="2357">
        <f t="shared" si="34"/>
        <v>-675</v>
      </c>
      <c r="K93" s="2357">
        <f t="shared" si="34"/>
        <v>-825</v>
      </c>
      <c r="L93" s="2357">
        <f t="shared" si="34"/>
        <v>-476.77938619499992</v>
      </c>
      <c r="M93" s="2357">
        <f>SUM(M90:M92)</f>
        <v>-519.6506541788292</v>
      </c>
      <c r="N93" s="2358">
        <f>SUM(N90:N92)</f>
        <v>-728.79376773953084</v>
      </c>
      <c r="O93" s="2333"/>
      <c r="P93" s="2333"/>
      <c r="Q93" s="2333"/>
    </row>
    <row r="94" spans="2:18">
      <c r="C94" s="2355"/>
      <c r="D94" s="2355"/>
      <c r="E94" s="2355"/>
      <c r="F94" s="2355"/>
      <c r="G94" s="2355"/>
      <c r="H94" s="2355"/>
      <c r="I94" s="2355"/>
      <c r="J94" s="2355"/>
      <c r="K94" s="2355"/>
      <c r="L94" s="2355"/>
      <c r="M94" s="2355"/>
      <c r="N94" s="2355"/>
    </row>
    <row r="95" spans="2:18" outlineLevel="1">
      <c r="B95" s="2359" t="s">
        <v>1172</v>
      </c>
      <c r="C95" s="2360">
        <f>-141.604+14.765</f>
        <v>-126.83900000000001</v>
      </c>
      <c r="D95" s="2360">
        <f>-158.248-2.285</f>
        <v>-160.53299999999999</v>
      </c>
      <c r="E95" s="2360">
        <f>-384.443-66.74</f>
        <v>-451.18299999999999</v>
      </c>
      <c r="F95" s="2360">
        <f>49-25-4</f>
        <v>20</v>
      </c>
      <c r="G95" s="2360">
        <f>-57-15-7</f>
        <v>-79</v>
      </c>
      <c r="H95" s="2360">
        <f>-1-62-9</f>
        <v>-72</v>
      </c>
      <c r="I95" s="2360">
        <f>+AVERAGE(-50,-100)</f>
        <v>-75</v>
      </c>
      <c r="J95" s="2360">
        <f>IF(P88=1,I95,(I95-600))</f>
        <v>-675</v>
      </c>
      <c r="K95" s="2360">
        <f>IF(P88=1,(I95-600-AVERAGE(100,200)+234),(I95-600-AVERAGE(100,200)))</f>
        <v>-825</v>
      </c>
      <c r="L95" s="2360">
        <f>+L93</f>
        <v>-476.77938619499992</v>
      </c>
      <c r="M95" s="2360">
        <f>+M93</f>
        <v>-519.6506541788292</v>
      </c>
      <c r="N95" s="2361">
        <f>+N93</f>
        <v>-728.79376773953084</v>
      </c>
    </row>
    <row r="96" spans="2:18" outlineLevel="1">
      <c r="C96" s="2355"/>
      <c r="D96" s="2355"/>
      <c r="E96" s="2355"/>
      <c r="F96" s="2355"/>
      <c r="G96" s="2355"/>
      <c r="H96" s="2355"/>
      <c r="I96" s="2355"/>
      <c r="J96" s="2355"/>
      <c r="K96" s="2355"/>
      <c r="L96" s="2355"/>
      <c r="M96" s="2355"/>
      <c r="N96" s="2355"/>
    </row>
    <row r="97" spans="2:22">
      <c r="B97" s="2306" t="s">
        <v>1173</v>
      </c>
      <c r="C97" s="2355">
        <f>+IS!I$60</f>
        <v>8392.0400000000027</v>
      </c>
      <c r="D97" s="2355">
        <f>+IS!J$60</f>
        <v>8235.0649999999951</v>
      </c>
      <c r="E97" s="2355">
        <f>+IS!K$60</f>
        <v>8264</v>
      </c>
      <c r="F97" s="2355">
        <f ca="1">+IS!L$60</f>
        <v>7889.5499999999993</v>
      </c>
      <c r="G97" s="2355">
        <f>+IS!M$60</f>
        <v>8069.5</v>
      </c>
      <c r="H97" s="2355">
        <f>+IS!N$60</f>
        <v>7432</v>
      </c>
      <c r="I97" s="2355">
        <f>+IS!O$60</f>
        <v>7052</v>
      </c>
      <c r="J97" s="2355">
        <f>+IS!P$60</f>
        <v>6934</v>
      </c>
      <c r="K97" s="2355">
        <f>+IS!Q$60</f>
        <v>6513</v>
      </c>
      <c r="L97" s="2355">
        <f>+IS!R$60</f>
        <v>6582</v>
      </c>
      <c r="M97" s="2355">
        <f>+IS!S$60</f>
        <v>8846.9680973273917</v>
      </c>
      <c r="N97" s="2355">
        <f>+IS!T$60</f>
        <v>9170.173300483093</v>
      </c>
    </row>
    <row r="98" spans="2:22">
      <c r="B98" s="2306" t="s">
        <v>1174</v>
      </c>
      <c r="C98" s="2355">
        <f>+IS!I$76</f>
        <v>-1673.644</v>
      </c>
      <c r="D98" s="2355">
        <f>+IS!J$76</f>
        <v>-1661.133</v>
      </c>
      <c r="E98" s="2355">
        <f>+IS!K$76</f>
        <v>-1431</v>
      </c>
      <c r="F98" s="2355">
        <f>+IS!L$76</f>
        <v>-1331</v>
      </c>
      <c r="G98" s="2355">
        <f>+IS!M$76</f>
        <v>-1319</v>
      </c>
      <c r="H98" s="2355">
        <f>+IS!N$76</f>
        <v>-1298</v>
      </c>
      <c r="I98" s="2355">
        <f>+IS!O$76</f>
        <v>-1311</v>
      </c>
      <c r="J98" s="2355">
        <f>+IS!P$76</f>
        <v>-1312</v>
      </c>
      <c r="K98" s="2355">
        <f>+IS!Q$76</f>
        <v>-1318</v>
      </c>
      <c r="L98" s="2355">
        <f>+IS!R$76</f>
        <v>-1481</v>
      </c>
      <c r="M98" s="2355">
        <f>+IS!S$76</f>
        <v>-2138.0999902343751</v>
      </c>
      <c r="N98" s="2355">
        <f>+IS!T$76</f>
        <v>-2082.4626647314299</v>
      </c>
    </row>
    <row r="99" spans="2:22">
      <c r="B99" s="2306" t="s">
        <v>577</v>
      </c>
      <c r="C99" s="2355">
        <f t="shared" ref="C99:I99" si="35">+C95</f>
        <v>-126.83900000000001</v>
      </c>
      <c r="D99" s="2355">
        <f t="shared" si="35"/>
        <v>-160.53299999999999</v>
      </c>
      <c r="E99" s="2355">
        <f t="shared" si="35"/>
        <v>-451.18299999999999</v>
      </c>
      <c r="F99" s="2355">
        <f t="shared" si="35"/>
        <v>20</v>
      </c>
      <c r="G99" s="2355">
        <f t="shared" si="35"/>
        <v>-79</v>
      </c>
      <c r="H99" s="2355">
        <f t="shared" si="35"/>
        <v>-72</v>
      </c>
      <c r="I99" s="2355">
        <f t="shared" si="35"/>
        <v>-75</v>
      </c>
      <c r="J99" s="2362">
        <f>+IF(P86=1,(J95+256+248),J95)+IF(P88=1,(234+241),0)</f>
        <v>-171</v>
      </c>
      <c r="K99" s="2355">
        <f>+K93</f>
        <v>-825</v>
      </c>
      <c r="L99" s="2355">
        <f>+L93</f>
        <v>-476.77938619499992</v>
      </c>
      <c r="M99" s="2355">
        <f>+M93</f>
        <v>-519.6506541788292</v>
      </c>
      <c r="N99" s="2355">
        <f>+N93</f>
        <v>-728.79376773953084</v>
      </c>
      <c r="Q99" s="2306" t="s">
        <v>990</v>
      </c>
      <c r="R99" s="2306" t="s">
        <v>991</v>
      </c>
      <c r="S99" s="2306" t="s">
        <v>525</v>
      </c>
      <c r="T99" s="2306" t="s">
        <v>526</v>
      </c>
      <c r="U99" s="2306" t="s">
        <v>527</v>
      </c>
    </row>
    <row r="100" spans="2:22">
      <c r="B100" s="2306" t="s">
        <v>1175</v>
      </c>
      <c r="C100" s="2355">
        <f t="shared" ref="C100:L100" si="36">-C11</f>
        <v>-2738.817</v>
      </c>
      <c r="D100" s="2355">
        <f t="shared" si="36"/>
        <v>-2411.5439999999999</v>
      </c>
      <c r="E100" s="2355">
        <f t="shared" si="36"/>
        <v>-2548.2160000000003</v>
      </c>
      <c r="F100" s="2355">
        <f t="shared" si="36"/>
        <v>-2889.5909999999999</v>
      </c>
      <c r="G100" s="2355">
        <f t="shared" si="36"/>
        <v>-2858</v>
      </c>
      <c r="H100" s="2355">
        <f t="shared" si="36"/>
        <v>-3001</v>
      </c>
      <c r="I100" s="2363">
        <f t="shared" si="36"/>
        <v>-3026</v>
      </c>
      <c r="J100" s="2364">
        <f t="shared" si="36"/>
        <v>-2861</v>
      </c>
      <c r="K100" s="2363">
        <f t="shared" si="36"/>
        <v>-2958</v>
      </c>
      <c r="L100" s="2363">
        <f t="shared" si="36"/>
        <v>-3101</v>
      </c>
      <c r="M100" s="2363">
        <f>-M11</f>
        <v>-3850.2510232139421</v>
      </c>
      <c r="N100" s="2363">
        <f>-N11</f>
        <v>-3773.9406082061196</v>
      </c>
      <c r="Q100" s="2535">
        <v>75</v>
      </c>
      <c r="R100" s="2535">
        <v>675</v>
      </c>
      <c r="S100" s="2535">
        <v>825</v>
      </c>
      <c r="T100" s="2535">
        <v>1007.9530737584575</v>
      </c>
      <c r="U100" s="2535">
        <v>976.71774474889617</v>
      </c>
      <c r="V100" s="2306" t="s">
        <v>1230</v>
      </c>
    </row>
    <row r="101" spans="2:22">
      <c r="B101" s="2365" t="s">
        <v>457</v>
      </c>
      <c r="C101" s="2355">
        <f t="shared" ref="C101:L101" si="37">+C102-C97-C98-C99-C100</f>
        <v>-3852.7400000000025</v>
      </c>
      <c r="D101" s="2355">
        <f t="shared" si="37"/>
        <v>-836.57799999999907</v>
      </c>
      <c r="E101" s="2355">
        <f t="shared" si="37"/>
        <v>-54.048999999999978</v>
      </c>
      <c r="F101" s="2355">
        <f t="shared" ca="1" si="37"/>
        <v>996.80200000000013</v>
      </c>
      <c r="G101" s="2355">
        <f t="shared" si="37"/>
        <v>-129</v>
      </c>
      <c r="H101" s="2355">
        <f t="shared" si="37"/>
        <v>-37</v>
      </c>
      <c r="I101" s="2355">
        <f t="shared" si="37"/>
        <v>292</v>
      </c>
      <c r="J101" s="2355">
        <f t="shared" si="37"/>
        <v>148</v>
      </c>
      <c r="K101" s="2355">
        <f t="shared" si="37"/>
        <v>106</v>
      </c>
      <c r="L101" s="2355">
        <f t="shared" si="37"/>
        <v>-366.22061380500008</v>
      </c>
      <c r="M101" s="2355">
        <f>+M102-M97-M98-M99-M100</f>
        <v>-70.349345821171482</v>
      </c>
      <c r="N101" s="2355">
        <f>+N102-N97-N98-N99-N100</f>
        <v>263.79376773953163</v>
      </c>
      <c r="Q101" s="2535">
        <v>75</v>
      </c>
      <c r="R101" s="2353">
        <v>171</v>
      </c>
      <c r="S101" s="2353">
        <v>825</v>
      </c>
      <c r="T101" s="2353">
        <v>1047.0869383359575</v>
      </c>
      <c r="U101" s="2353">
        <v>1011.9382228686461</v>
      </c>
      <c r="V101" s="2306" t="s">
        <v>1231</v>
      </c>
    </row>
    <row r="102" spans="2:22" ht="13.5" thickBot="1">
      <c r="B102" s="2366" t="s">
        <v>1176</v>
      </c>
      <c r="C102" s="2367">
        <f>+CFS!I$80</f>
        <v>0</v>
      </c>
      <c r="D102" s="2367">
        <f>+CFS!J$80</f>
        <v>3165.2769999999964</v>
      </c>
      <c r="E102" s="2367">
        <f>+CFS!K$80</f>
        <v>3779.5519999999997</v>
      </c>
      <c r="F102" s="2367">
        <f ca="1">+CFS!L$80</f>
        <v>4685.7609999999995</v>
      </c>
      <c r="G102" s="2367">
        <f>+CFS!M$80</f>
        <v>3684.5</v>
      </c>
      <c r="H102" s="2367">
        <f>+CFS!N$80</f>
        <v>3024</v>
      </c>
      <c r="I102" s="2367">
        <f>+CFS!O$80</f>
        <v>2932</v>
      </c>
      <c r="J102" s="2367">
        <f>+CFS!P$80</f>
        <v>2738</v>
      </c>
      <c r="K102" s="2367">
        <f>+CFS!Q$80</f>
        <v>1518</v>
      </c>
      <c r="L102" s="2367">
        <f>+CFS!R$80</f>
        <v>1157</v>
      </c>
      <c r="M102" s="2367">
        <f>+CFS!S$80</f>
        <v>2268.6170838790727</v>
      </c>
      <c r="N102" s="2367">
        <f>+CFS!T$80</f>
        <v>2848.7700275455445</v>
      </c>
      <c r="Q102" s="2535">
        <f>-I95</f>
        <v>75</v>
      </c>
      <c r="R102" s="2353">
        <f>-J95</f>
        <v>675</v>
      </c>
      <c r="S102" s="2353">
        <f>-K95</f>
        <v>825</v>
      </c>
      <c r="T102" s="2353">
        <f>-L95</f>
        <v>476.77938619499992</v>
      </c>
      <c r="U102" s="2353">
        <f>-M95</f>
        <v>519.6506541788292</v>
      </c>
      <c r="V102" s="2306" t="s">
        <v>1232</v>
      </c>
    </row>
    <row r="103" spans="2:22" ht="13.5" thickTop="1">
      <c r="C103" s="2355"/>
      <c r="D103" s="2355"/>
      <c r="E103" s="2355"/>
      <c r="F103" s="2355"/>
      <c r="G103" s="2355"/>
      <c r="H103" s="2355"/>
      <c r="I103" s="2355"/>
      <c r="J103" s="2355"/>
      <c r="K103" s="2355"/>
      <c r="L103" s="2355"/>
      <c r="M103" s="2355"/>
      <c r="N103" s="2355"/>
    </row>
    <row r="104" spans="2:22">
      <c r="B104" s="2306" t="s">
        <v>1177</v>
      </c>
      <c r="C104" s="2355">
        <f>+IS!I$117</f>
        <v>1403.7083799999998</v>
      </c>
      <c r="D104" s="2355">
        <f>+IS!J$117</f>
        <v>1628.4970878399999</v>
      </c>
      <c r="E104" s="2355">
        <f>+IS!K$117</f>
        <v>1744.4411504799998</v>
      </c>
      <c r="F104" s="2355">
        <f>+IS!L$117</f>
        <v>1783.9342750000001</v>
      </c>
      <c r="G104" s="2355">
        <f>+IS!M$117</f>
        <v>1798.283475</v>
      </c>
      <c r="H104" s="2355">
        <f>+IS!N$117</f>
        <v>1297.9283400000002</v>
      </c>
      <c r="I104" s="2355">
        <f>+IS!O$117</f>
        <v>1228.8736799999999</v>
      </c>
      <c r="J104" s="2355">
        <f>+IS!P$117</f>
        <v>1197.2399400000002</v>
      </c>
      <c r="K104" s="2355">
        <f>+IS!Q$117</f>
        <v>1165.8438000000001</v>
      </c>
      <c r="L104" s="2355">
        <f>+IS!R$117</f>
        <v>1356.0642</v>
      </c>
      <c r="M104" s="2355">
        <f>+IS!S$117</f>
        <v>2322.9012374400004</v>
      </c>
      <c r="N104" s="2355">
        <f>+IS!T$117</f>
        <v>2369.1869517257146</v>
      </c>
    </row>
    <row r="105" spans="2:22">
      <c r="C105" s="2368"/>
      <c r="D105" s="2368"/>
      <c r="E105" s="2368"/>
      <c r="F105" s="2368"/>
      <c r="G105" s="2368"/>
      <c r="H105" s="2368"/>
      <c r="I105" s="2368"/>
      <c r="J105" s="2368"/>
      <c r="K105" s="2368"/>
      <c r="L105" s="2368"/>
      <c r="M105" s="2368"/>
      <c r="N105" s="2368"/>
    </row>
    <row r="106" spans="2:22">
      <c r="B106" s="2382" t="s">
        <v>481</v>
      </c>
      <c r="C106" s="2383"/>
      <c r="D106" s="2383"/>
      <c r="E106" s="2383"/>
      <c r="F106" s="2383"/>
      <c r="G106" s="2383"/>
      <c r="H106" s="2383"/>
      <c r="I106" s="2384" t="str">
        <f>$I$10</f>
        <v>2014E</v>
      </c>
      <c r="J106" s="2384" t="str">
        <f>$J$10</f>
        <v>2015E</v>
      </c>
      <c r="K106" s="2384" t="str">
        <f>$K$10</f>
        <v>2016E</v>
      </c>
      <c r="L106" s="2384" t="str">
        <f>$L$10</f>
        <v>2017E</v>
      </c>
      <c r="M106" s="2384" t="str">
        <f>$M$10</f>
        <v>2018E</v>
      </c>
      <c r="N106" s="2385" t="str">
        <f>$N$10</f>
        <v>2019E</v>
      </c>
    </row>
    <row r="107" spans="2:22">
      <c r="B107" s="2386" t="s">
        <v>1180</v>
      </c>
      <c r="C107" s="2387">
        <v>0</v>
      </c>
      <c r="D107" s="2387">
        <v>0</v>
      </c>
      <c r="E107" s="2387">
        <v>0</v>
      </c>
      <c r="F107" s="2387">
        <v>0</v>
      </c>
      <c r="G107" s="2387">
        <v>0</v>
      </c>
      <c r="H107" s="2387">
        <v>0</v>
      </c>
      <c r="I107" s="2388">
        <v>502.20031509375002</v>
      </c>
      <c r="J107" s="2387">
        <v>-50.220031509375019</v>
      </c>
      <c r="K107" s="2387">
        <v>-45.198028358437512</v>
      </c>
      <c r="L107" s="2387">
        <v>-40.704657118124999</v>
      </c>
      <c r="M107" s="2387">
        <v>-40.704657118124999</v>
      </c>
      <c r="N107" s="2387">
        <v>-40.704657118124999</v>
      </c>
    </row>
    <row r="108" spans="2:22">
      <c r="B108" s="2386" t="s">
        <v>1181</v>
      </c>
      <c r="C108" s="2387">
        <v>0</v>
      </c>
      <c r="D108" s="2387">
        <v>0</v>
      </c>
      <c r="E108" s="2387">
        <v>0</v>
      </c>
      <c r="F108" s="2387">
        <v>0</v>
      </c>
      <c r="G108" s="2387">
        <v>0</v>
      </c>
      <c r="H108" s="2387">
        <v>0</v>
      </c>
      <c r="I108" s="2387">
        <v>0</v>
      </c>
      <c r="J108" s="2387">
        <v>475.07281166747492</v>
      </c>
      <c r="K108" s="2387">
        <v>-47.507281166747475</v>
      </c>
      <c r="L108" s="2387">
        <v>-42.756553050072739</v>
      </c>
      <c r="M108" s="2387">
        <v>-42.756553050072739</v>
      </c>
      <c r="N108" s="2387">
        <v>-42.756553050072739</v>
      </c>
    </row>
    <row r="109" spans="2:22">
      <c r="B109" s="2389" t="s">
        <v>1182</v>
      </c>
      <c r="C109" s="2390"/>
      <c r="D109" s="2390"/>
      <c r="E109" s="2390"/>
      <c r="F109" s="2390"/>
      <c r="G109" s="2390"/>
      <c r="H109" s="2390"/>
      <c r="I109" s="2391">
        <f t="shared" ref="I109:N109" si="38">+I107+I108</f>
        <v>502.20031509375002</v>
      </c>
      <c r="J109" s="2392">
        <f t="shared" si="38"/>
        <v>424.8527801580999</v>
      </c>
      <c r="K109" s="2392">
        <f t="shared" si="38"/>
        <v>-92.705309525184987</v>
      </c>
      <c r="L109" s="2392">
        <f t="shared" si="38"/>
        <v>-83.461210168197738</v>
      </c>
      <c r="M109" s="2392">
        <f t="shared" si="38"/>
        <v>-83.461210168197738</v>
      </c>
      <c r="N109" s="2393">
        <f t="shared" si="38"/>
        <v>-83.461210168197738</v>
      </c>
    </row>
    <row r="111" spans="2:22">
      <c r="B111" s="2394" t="s">
        <v>1183</v>
      </c>
      <c r="C111" s="2395"/>
      <c r="D111" s="2395">
        <v>0.51448801726989513</v>
      </c>
      <c r="E111" s="2395">
        <v>0.46154706972678244</v>
      </c>
      <c r="F111" s="2395">
        <v>0.53563908947098426</v>
      </c>
      <c r="G111" s="2395">
        <v>0.54976566034851726</v>
      </c>
      <c r="H111" s="2395">
        <v>0.4292091071428572</v>
      </c>
      <c r="I111" s="2395">
        <v>0.44740814532529627</v>
      </c>
      <c r="J111" s="2395">
        <v>0.56778219692574217</v>
      </c>
      <c r="K111" s="2395">
        <v>0.56677250385032818</v>
      </c>
      <c r="L111" s="2395">
        <v>0.53559358618145181</v>
      </c>
      <c r="M111" s="2395">
        <v>0.53559358618145181</v>
      </c>
      <c r="N111" s="2396">
        <v>0.53559358618145181</v>
      </c>
    </row>
    <row r="112" spans="2:22">
      <c r="B112" s="2402" t="s">
        <v>1184</v>
      </c>
      <c r="C112" s="2403"/>
      <c r="D112" s="2403">
        <v>0.51448801726989513</v>
      </c>
      <c r="E112" s="2403">
        <v>0.46154706972678244</v>
      </c>
      <c r="F112" s="2403">
        <v>0.53563908947098426</v>
      </c>
      <c r="G112" s="2403">
        <v>0.54976566034851726</v>
      </c>
      <c r="H112" s="2403">
        <v>0.4292091071428572</v>
      </c>
      <c r="I112" s="2403">
        <v>0.44740814532529627</v>
      </c>
      <c r="J112" s="2403">
        <v>0.43869679876650591</v>
      </c>
      <c r="K112" s="2403">
        <v>0.58070833520832088</v>
      </c>
      <c r="L112" s="2403">
        <v>0.54712813560883145</v>
      </c>
      <c r="M112" s="2403">
        <v>0.54712813560883145</v>
      </c>
      <c r="N112" s="2404">
        <v>0.54712813560883145</v>
      </c>
    </row>
    <row r="114" spans="2:14" s="2372" customFormat="1">
      <c r="B114" s="2369" t="s">
        <v>1178</v>
      </c>
      <c r="C114" s="2370">
        <v>455.32832624999998</v>
      </c>
      <c r="D114" s="2370">
        <v>355.38635737499999</v>
      </c>
      <c r="E114" s="2370">
        <v>376.71194163749999</v>
      </c>
      <c r="F114" s="2370">
        <v>845.4366303249999</v>
      </c>
      <c r="G114" s="2370">
        <v>275.22535878249994</v>
      </c>
      <c r="H114" s="2370">
        <v>271.48782652249997</v>
      </c>
      <c r="I114" s="2370">
        <v>-75</v>
      </c>
      <c r="J114" s="2370">
        <v>-675</v>
      </c>
      <c r="K114" s="2370">
        <v>-825</v>
      </c>
      <c r="L114" s="2370">
        <v>-1021.9010879202818</v>
      </c>
      <c r="M114" s="2370">
        <v>-1021.9010879202818</v>
      </c>
      <c r="N114" s="2371">
        <v>-1021.9010879202818</v>
      </c>
    </row>
    <row r="115" spans="2:14">
      <c r="B115" s="2373" t="s">
        <v>474</v>
      </c>
      <c r="C115" s="2374">
        <f t="shared" ref="C115:J115" si="39">+C91-C114</f>
        <v>0</v>
      </c>
      <c r="D115" s="2374">
        <f t="shared" si="39"/>
        <v>0</v>
      </c>
      <c r="E115" s="2374">
        <f t="shared" si="39"/>
        <v>89.405750000000012</v>
      </c>
      <c r="F115" s="2374">
        <f t="shared" si="39"/>
        <v>0</v>
      </c>
      <c r="G115" s="2374">
        <f t="shared" si="39"/>
        <v>0</v>
      </c>
      <c r="H115" s="2374">
        <f t="shared" si="39"/>
        <v>0</v>
      </c>
      <c r="I115" s="2374">
        <f t="shared" si="39"/>
        <v>322.069939025</v>
      </c>
      <c r="J115" s="2374">
        <f t="shared" si="39"/>
        <v>390.23230553000002</v>
      </c>
      <c r="K115" s="2374">
        <f>+IF(P86=1,(J107+K107),0)+IF(P88=1,K108,0)</f>
        <v>-95.418059867812531</v>
      </c>
      <c r="L115" s="2374">
        <f>+L91-L114</f>
        <v>774.37170172528181</v>
      </c>
      <c r="M115" s="2374">
        <f>+M91-M114</f>
        <v>783.77356496528182</v>
      </c>
      <c r="N115" s="2375">
        <f>+N91-N114</f>
        <v>789.15695056028187</v>
      </c>
    </row>
    <row r="116" spans="2:14">
      <c r="B116" s="2376"/>
      <c r="C116" s="2377"/>
      <c r="D116" s="2377"/>
      <c r="E116" s="2377"/>
      <c r="F116" s="2377"/>
      <c r="G116" s="2377"/>
      <c r="H116" s="2377"/>
      <c r="I116" s="2377"/>
      <c r="J116" s="2377"/>
      <c r="K116" s="2377"/>
      <c r="L116" s="2377"/>
      <c r="M116" s="2377"/>
      <c r="N116" s="2378"/>
    </row>
    <row r="117" spans="2:14">
      <c r="B117" s="2379" t="s">
        <v>1179</v>
      </c>
      <c r="C117" s="2380"/>
      <c r="D117" s="2380">
        <f t="shared" ref="D117:L117" si="40">+D104/(D102+D115)</f>
        <v>0.51448801726989513</v>
      </c>
      <c r="E117" s="2380">
        <f t="shared" si="40"/>
        <v>0.45088141644348534</v>
      </c>
      <c r="F117" s="2380">
        <f t="shared" ca="1" si="40"/>
        <v>0.3807138851085235</v>
      </c>
      <c r="G117" s="2380">
        <f t="shared" si="40"/>
        <v>0.48806716650834575</v>
      </c>
      <c r="H117" s="2380">
        <f t="shared" si="40"/>
        <v>0.4292091071428572</v>
      </c>
      <c r="I117" s="2380">
        <f t="shared" si="40"/>
        <v>0.37764206148814394</v>
      </c>
      <c r="J117" s="2380">
        <f t="shared" si="40"/>
        <v>0.38272091809919406</v>
      </c>
      <c r="K117" s="2380">
        <f t="shared" si="40"/>
        <v>0.81952664174245671</v>
      </c>
      <c r="L117" s="2380">
        <f t="shared" si="40"/>
        <v>0.70212491919014697</v>
      </c>
      <c r="M117" s="2380">
        <f>+M104/(M102+M115)</f>
        <v>0.76101046840759345</v>
      </c>
      <c r="N117" s="2381">
        <f>+N104/(N102+N115)</f>
        <v>0.65124642852487613</v>
      </c>
    </row>
  </sheetData>
  <mergeCells count="1">
    <mergeCell ref="B3:D3"/>
  </mergeCells>
  <phoneticPr fontId="148" type="noConversion"/>
  <pageMargins left="0.5" right="0.5" top="0.5" bottom="0.5" header="0.5" footer="0.5"/>
  <pageSetup scale="76" orientation="landscape"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44"/>
    <pageSetUpPr fitToPage="1"/>
  </sheetPr>
  <dimension ref="C3:IV198"/>
  <sheetViews>
    <sheetView showGridLines="0" topLeftCell="C1" zoomScale="85" zoomScaleNormal="85" workbookViewId="0">
      <selection activeCell="C22" sqref="C22"/>
    </sheetView>
  </sheetViews>
  <sheetFormatPr defaultColWidth="8.42578125" defaultRowHeight="15.75" customHeight="1" outlineLevelRow="1"/>
  <cols>
    <col min="1" max="2" width="3.140625" style="2524" customWidth="1"/>
    <col min="3" max="3" width="25.28515625" style="2524" bestFit="1" customWidth="1"/>
    <col min="4" max="7" width="8.42578125" style="2524" customWidth="1"/>
    <col min="8" max="8" width="10.28515625" style="2524" customWidth="1"/>
    <col min="9" max="10" width="8.42578125" style="2524" customWidth="1"/>
    <col min="11" max="11" width="8.42578125" style="2524" customWidth="1" collapsed="1"/>
    <col min="12" max="16384" width="8.42578125" style="2524"/>
  </cols>
  <sheetData>
    <row r="3" spans="3:59" ht="15.75" customHeight="1" outlineLevel="1">
      <c r="D3" s="2528" t="str">
        <f>CFS!BD8</f>
        <v>2Q11</v>
      </c>
      <c r="E3" s="2528" t="str">
        <f>CFS!BE8</f>
        <v>3Q11</v>
      </c>
      <c r="F3" s="2528" t="str">
        <f>CFS!BF8</f>
        <v>4Q11</v>
      </c>
      <c r="G3" s="2528" t="str">
        <f>CFS!BG8</f>
        <v>1Q12</v>
      </c>
      <c r="H3" s="2528" t="str">
        <f>CFS!BH8</f>
        <v>2Q12</v>
      </c>
      <c r="I3" s="2528" t="str">
        <f>CFS!BI8</f>
        <v>3Q12</v>
      </c>
      <c r="J3" s="2528" t="str">
        <f>CFS!BJ8</f>
        <v>4Q12</v>
      </c>
      <c r="K3" s="2528" t="str">
        <f>CFS!BK8</f>
        <v>1Q13</v>
      </c>
      <c r="L3" s="2528" t="str">
        <f>CFS!BL8</f>
        <v>2Q13</v>
      </c>
      <c r="M3" s="2528" t="str">
        <f>CFS!BM8</f>
        <v>3Q13</v>
      </c>
      <c r="N3" s="2528" t="str">
        <f>CFS!BN8</f>
        <v>4Q13</v>
      </c>
      <c r="O3" s="2528" t="str">
        <f>CFS!BO8</f>
        <v>1Q14</v>
      </c>
      <c r="P3" s="2528" t="str">
        <f>CFS!BP8</f>
        <v>2Q14</v>
      </c>
      <c r="Q3" s="2528" t="str">
        <f>CFS!BQ8</f>
        <v>3Q14</v>
      </c>
      <c r="R3" s="2528" t="str">
        <f>CFS!BR8</f>
        <v>4Q14</v>
      </c>
      <c r="S3" s="2528" t="str">
        <f>CFS!BS8</f>
        <v>1Q15</v>
      </c>
      <c r="T3" s="2528" t="str">
        <f>CFS!BT8</f>
        <v>2Q15</v>
      </c>
      <c r="U3" s="2528" t="str">
        <f>CFS!BU8</f>
        <v>3Q15</v>
      </c>
      <c r="V3" s="2528" t="str">
        <f>CFS!BV8</f>
        <v>4Q15</v>
      </c>
      <c r="W3" s="2528" t="str">
        <f>CFS!BW8</f>
        <v>1Q16</v>
      </c>
      <c r="X3" s="2528" t="str">
        <f>CFS!BX8</f>
        <v>2Q16</v>
      </c>
      <c r="Y3" s="2528" t="str">
        <f>CFS!BY8</f>
        <v>3Q16</v>
      </c>
      <c r="Z3" s="2528" t="str">
        <f>CFS!BZ8</f>
        <v>4Q16</v>
      </c>
      <c r="AF3" s="397" t="str">
        <f>IS!BH8</f>
        <v>2Q11</v>
      </c>
      <c r="AG3" s="397" t="str">
        <f>IS!BI8</f>
        <v>3Q11</v>
      </c>
      <c r="AH3" s="397" t="str">
        <f>IS!BJ8</f>
        <v>4Q11</v>
      </c>
      <c r="AI3" s="397" t="str">
        <f>IS!BK8</f>
        <v>1Q12</v>
      </c>
      <c r="AJ3" s="397" t="str">
        <f>IS!BL8</f>
        <v>2Q12</v>
      </c>
      <c r="AK3" s="397" t="str">
        <f>IS!BM8</f>
        <v>3Q12</v>
      </c>
      <c r="AL3" s="397" t="str">
        <f>IS!BN8</f>
        <v>4Q12</v>
      </c>
      <c r="AM3" s="397" t="str">
        <f>IS!BO8</f>
        <v>1Q13</v>
      </c>
      <c r="AN3" s="397" t="str">
        <f>IS!BP8</f>
        <v>2Q13</v>
      </c>
      <c r="AO3" s="397" t="str">
        <f>IS!BQ8</f>
        <v>3Q13</v>
      </c>
      <c r="AP3" s="397" t="str">
        <f>IS!BR8</f>
        <v>4Q13</v>
      </c>
      <c r="AQ3" s="397" t="str">
        <f>IS!BS8</f>
        <v>1Q14</v>
      </c>
      <c r="AR3" s="397" t="str">
        <f>IS!BT8</f>
        <v>2Q14</v>
      </c>
      <c r="AS3" s="397" t="str">
        <f>IS!BU8</f>
        <v>3Q14</v>
      </c>
      <c r="AT3" s="397" t="str">
        <f>IS!BV8</f>
        <v>4Q14</v>
      </c>
      <c r="AU3" s="397" t="str">
        <f>IS!BW8</f>
        <v>1Q15</v>
      </c>
      <c r="AV3" s="397" t="str">
        <f>IS!BX8</f>
        <v>2Q15</v>
      </c>
      <c r="AW3" s="397" t="str">
        <f>IS!BY8</f>
        <v>3Q15</v>
      </c>
      <c r="AX3" s="397" t="str">
        <f>IS!BZ8</f>
        <v>4Q15</v>
      </c>
      <c r="AY3" s="397" t="str">
        <f>IS!CA8</f>
        <v>1Q16</v>
      </c>
      <c r="AZ3" s="397" t="str">
        <f>IS!CB8</f>
        <v>2Q16</v>
      </c>
      <c r="BA3" s="397" t="str">
        <f>IS!CC8</f>
        <v>3Q16</v>
      </c>
      <c r="BB3" s="397" t="str">
        <f>IS!CD8</f>
        <v>4Q16</v>
      </c>
      <c r="BC3" s="397" t="str">
        <f>IS!CE8</f>
        <v>1Q17</v>
      </c>
      <c r="BD3" s="397" t="str">
        <f>IS!CF8</f>
        <v>2Q17</v>
      </c>
      <c r="BE3" s="397" t="str">
        <f>IS!CG8</f>
        <v>3Q17</v>
      </c>
      <c r="BF3" s="397" t="str">
        <f>IS!CH8</f>
        <v>4Q17</v>
      </c>
      <c r="BG3" s="397"/>
    </row>
    <row r="4" spans="3:59" ht="15.75" customHeight="1" outlineLevel="1">
      <c r="C4" s="2524" t="s">
        <v>1223</v>
      </c>
      <c r="D4" s="2526">
        <f t="shared" ref="D4:W4" ca="1" si="0">+D5/D6</f>
        <v>0.3474146334851399</v>
      </c>
      <c r="E4" s="2526">
        <f t="shared" ca="1" si="0"/>
        <v>0.35683223178840173</v>
      </c>
      <c r="F4" s="2526">
        <f t="shared" ca="1" si="0"/>
        <v>0.38967452786810691</v>
      </c>
      <c r="G4" s="2526">
        <f t="shared" si="0"/>
        <v>0.39041029395753946</v>
      </c>
      <c r="H4" s="2526">
        <f t="shared" si="0"/>
        <v>0.57402383229714649</v>
      </c>
      <c r="I4" s="2526">
        <f t="shared" si="0"/>
        <v>0.55774474822366393</v>
      </c>
      <c r="J4" s="2526">
        <f t="shared" si="0"/>
        <v>0.54335433543354339</v>
      </c>
      <c r="K4" s="2526">
        <f t="shared" si="0"/>
        <v>0.51499545592244778</v>
      </c>
      <c r="L4" s="2526">
        <f t="shared" si="0"/>
        <v>0.48589147286821704</v>
      </c>
      <c r="M4" s="2526">
        <f t="shared" si="0"/>
        <v>0.46738072054527752</v>
      </c>
      <c r="N4" s="2526">
        <f t="shared" si="0"/>
        <v>0.42364050797785735</v>
      </c>
      <c r="O4" s="2526">
        <f t="shared" si="0"/>
        <v>0.43384615384615383</v>
      </c>
      <c r="P4" s="2526">
        <f t="shared" si="0"/>
        <v>0.41342988808426595</v>
      </c>
      <c r="Q4" s="2526">
        <f t="shared" si="0"/>
        <v>0.40609636184857423</v>
      </c>
      <c r="R4" s="2526">
        <f t="shared" si="0"/>
        <v>0.41584828987470368</v>
      </c>
      <c r="S4" s="2526">
        <f t="shared" si="0"/>
        <v>0.41570360299116249</v>
      </c>
      <c r="T4" s="2526">
        <f t="shared" si="0"/>
        <v>0.45424107142857145</v>
      </c>
      <c r="U4" s="2526">
        <f t="shared" si="0"/>
        <v>0.45434047350620066</v>
      </c>
      <c r="V4" s="2526">
        <f t="shared" si="0"/>
        <v>0.43579483448526735</v>
      </c>
      <c r="W4" s="2526">
        <f t="shared" si="0"/>
        <v>0.45053272450532722</v>
      </c>
      <c r="X4" s="2526">
        <f>+X5/X6</f>
        <v>0.43486306439674316</v>
      </c>
      <c r="Y4" s="2526">
        <f>+Y5/Y6</f>
        <v>0.54985888993414866</v>
      </c>
      <c r="Z4" s="2526">
        <f>+Z5/Z6</f>
        <v>0.75730045425048664</v>
      </c>
      <c r="AE4" s="2524" t="s">
        <v>490</v>
      </c>
      <c r="AF4" s="2648">
        <f>IS!BH25/1000</f>
        <v>4.6689999999999996</v>
      </c>
      <c r="AG4" s="2648">
        <f>IS!BI25/1000</f>
        <v>4.633</v>
      </c>
      <c r="AH4" s="2648">
        <f>IS!BJ25/1000</f>
        <v>4.6529999999999996</v>
      </c>
      <c r="AI4" s="2648">
        <f>IS!BK25/1000</f>
        <v>4.6100000000000003</v>
      </c>
      <c r="AJ4" s="2648">
        <f>IS!BL25/1000</f>
        <v>4.6120000000000001</v>
      </c>
      <c r="AK4" s="2648">
        <f>IS!BM25/1000</f>
        <v>4.5709999999999997</v>
      </c>
      <c r="AL4" s="2648">
        <f>IS!BN25/1000</f>
        <v>4.5839999999999996</v>
      </c>
      <c r="AM4" s="2648">
        <f>IS!BO25/1000</f>
        <v>4.5129999999999999</v>
      </c>
      <c r="AN4" s="2648">
        <f>IS!BP25/1000</f>
        <v>4.5250000000000004</v>
      </c>
      <c r="AO4" s="2648">
        <f>IS!BQ25/1000</f>
        <v>4.5149999999999997</v>
      </c>
      <c r="AP4" s="2648">
        <f>IS!BR25/1000</f>
        <v>4.5419999999999998</v>
      </c>
      <c r="AQ4" s="2648">
        <f>IS!BS25/1000</f>
        <v>4.5380000000000003</v>
      </c>
      <c r="AR4" s="2648">
        <f>IS!BT25/1000</f>
        <v>4.54</v>
      </c>
      <c r="AS4" s="2648">
        <f>IS!BU25/1000</f>
        <v>4.5129999999999999</v>
      </c>
      <c r="AT4" s="2648">
        <f>IS!BV25/1000</f>
        <v>4.4359999999999999</v>
      </c>
      <c r="AU4" s="2648">
        <f>IS!BW25/1000</f>
        <v>4.4509999999999996</v>
      </c>
      <c r="AV4" s="2648">
        <f>IS!BX25/1000</f>
        <v>4.4189999999999996</v>
      </c>
      <c r="AW4" s="2648">
        <f>IS!BY25/1000</f>
        <v>4.5540000000000003</v>
      </c>
      <c r="AX4" s="2648">
        <f>IS!BZ25/1000</f>
        <v>4.476</v>
      </c>
      <c r="AY4" s="2648">
        <f>IS!CA25/1000</f>
        <v>4.4009999999999998</v>
      </c>
      <c r="AZ4" s="2648">
        <f>IS!CB25/1000</f>
        <v>4.3979999999999997</v>
      </c>
      <c r="BA4" s="2648">
        <f>IS!CC25/1000</f>
        <v>4.3819999999999997</v>
      </c>
      <c r="BB4" s="2648">
        <f>IS!CD25/1000</f>
        <v>4.2889999999999997</v>
      </c>
      <c r="BC4" s="2648">
        <f>IS!CE25/1000</f>
        <v>4.2089999999999996</v>
      </c>
      <c r="BD4" s="2648">
        <f>IS!CF25/1000</f>
        <v>4.09</v>
      </c>
      <c r="BE4" s="2648">
        <f>IS!CG25/1000</f>
        <v>4.0339999999999998</v>
      </c>
      <c r="BF4" s="2648">
        <f>IS!CH25/1000</f>
        <v>6.0049999999999999</v>
      </c>
      <c r="BG4" s="2648"/>
    </row>
    <row r="5" spans="3:59" ht="15.75" customHeight="1" outlineLevel="1">
      <c r="C5" s="2524" t="s">
        <v>1297</v>
      </c>
      <c r="D5" s="2529">
        <f>-SUM(CFS!BA46:'CFS'!BD46)</f>
        <v>1763.3919103999999</v>
      </c>
      <c r="E5" s="2529">
        <f>-SUM(CFS!BB46:'CFS'!BE46)</f>
        <v>1774.1391688799999</v>
      </c>
      <c r="F5" s="2529">
        <f>-SUM(CFS!BC46:'CFS'!BF46)</f>
        <v>1783.9342750000001</v>
      </c>
      <c r="G5" s="2529">
        <f>-SUM(CFS!BD46:'CFS'!BG46)</f>
        <v>1792.9592749999999</v>
      </c>
      <c r="H5" s="2529">
        <f>-SUM(CFS!BE46:'CFS'!BH46)</f>
        <v>1800.4257499999999</v>
      </c>
      <c r="I5" s="2529">
        <f>-SUM(CFS!BF46:'CFS'!BI46)</f>
        <v>1805.41975</v>
      </c>
      <c r="J5" s="2529">
        <f>-SUM(CFS!BG46:'CFS'!BJ46)</f>
        <v>1811</v>
      </c>
      <c r="K5" s="2529">
        <f>-SUM(CFS!BH46:'CFS'!BK46)</f>
        <v>1700</v>
      </c>
      <c r="L5" s="2529">
        <f>-SUM(CFS!BI46:'CFS'!BL46)</f>
        <v>1567</v>
      </c>
      <c r="M5" s="2529">
        <f>-SUM(CFS!BJ46:'CFS'!BM46)</f>
        <v>1440</v>
      </c>
      <c r="N5" s="2529">
        <f>-SUM(CFS!BK46:'CFS'!BN46)</f>
        <v>1301</v>
      </c>
      <c r="O5" s="2529">
        <f>-SUM(CFS!BL46:'CFS'!BO46)</f>
        <v>1269</v>
      </c>
      <c r="P5" s="2529">
        <f>-SUM(CFS!BM46:'CFS'!BP46)</f>
        <v>1256</v>
      </c>
      <c r="Q5" s="2529">
        <f>-SUM(CFS!BN46:'CFS'!BQ46)</f>
        <v>1239</v>
      </c>
      <c r="R5" s="2529">
        <f>-SUM(CFS!BO46:'CFS'!BR46)</f>
        <v>1228</v>
      </c>
      <c r="S5" s="2529">
        <f>-SUM(CFS!BP46:'CFS'!BS46)</f>
        <v>1223</v>
      </c>
      <c r="T5" s="2529">
        <f>-SUM(CFS!BQ46:'CFS'!BT46)</f>
        <v>1221</v>
      </c>
      <c r="U5" s="2529">
        <f>-SUM(CFS!BR46:'CFS'!BU46)</f>
        <v>1209</v>
      </c>
      <c r="V5" s="2529">
        <f>-SUM(CFS!BS46:'CFS'!BV46)</f>
        <v>1198</v>
      </c>
      <c r="W5" s="2529">
        <f>-SUM(CFS!BT46:'CFS'!BW46)</f>
        <v>1184</v>
      </c>
      <c r="X5" s="2529">
        <f>-SUM(CFS!BU46:'CFS'!BX46)</f>
        <v>1175</v>
      </c>
      <c r="Y5" s="2529">
        <f>-SUM(CFS!BV46:'CFS'!BY46)</f>
        <v>1169</v>
      </c>
      <c r="Z5" s="2529">
        <f>-SUM(CFS!BW46:'CFS'!BZ46)</f>
        <v>1167</v>
      </c>
      <c r="AE5" s="2524" t="s">
        <v>1452</v>
      </c>
      <c r="AF5" s="1722">
        <f>IS!BH63</f>
        <v>0.42385949882201757</v>
      </c>
      <c r="AG5" s="1722">
        <f>IS!BI63</f>
        <v>0.40880638894884525</v>
      </c>
      <c r="AH5" s="1722">
        <f>IS!BJ63</f>
        <v>0.39673329035031163</v>
      </c>
      <c r="AI5" s="1722">
        <f>IS!BK63</f>
        <v>0.42169197396963126</v>
      </c>
      <c r="AJ5" s="1722">
        <f>IS!BL63</f>
        <v>0.41196877710320901</v>
      </c>
      <c r="AK5" s="1722">
        <f>IS!BM63</f>
        <v>0.41544519798731133</v>
      </c>
      <c r="AL5" s="1722">
        <f>IS!BN63</f>
        <v>0.41753926701570682</v>
      </c>
      <c r="AM5" s="1722">
        <f>IS!BO63</f>
        <v>0.42831819189009529</v>
      </c>
      <c r="AN5" s="1722">
        <f>IS!BP63</f>
        <v>0.41060773480662982</v>
      </c>
      <c r="AO5" s="1722">
        <f>IS!BQ63</f>
        <v>0.3997785160575858</v>
      </c>
      <c r="AP5" s="1722">
        <f>IS!BR63</f>
        <v>0.40422721268163803</v>
      </c>
      <c r="AQ5" s="1722">
        <f>IS!BS63</f>
        <v>0.39400617011899514</v>
      </c>
      <c r="AR5" s="1722">
        <f>IS!BT63</f>
        <v>0.39911894273127752</v>
      </c>
      <c r="AS5" s="1722">
        <f>IS!BU63</f>
        <v>0.38666075781076886</v>
      </c>
      <c r="AT5" s="1722">
        <f>IS!BV63</f>
        <v>0.38480613165013527</v>
      </c>
      <c r="AU5" s="1722">
        <f>IS!BW63</f>
        <v>0.38732869018198157</v>
      </c>
      <c r="AV5" s="1722">
        <f>IS!BX63</f>
        <v>0.36705136908802899</v>
      </c>
      <c r="AW5" s="1722">
        <f>IS!BY63</f>
        <v>0.38998682476943347</v>
      </c>
      <c r="AX5" s="1722">
        <f>IS!BZ63</f>
        <v>0.40482573726541554</v>
      </c>
      <c r="AY5" s="1722">
        <f>IS!CA63</f>
        <v>0.38264030902067714</v>
      </c>
      <c r="AZ5" s="1722">
        <f>IS!CB63</f>
        <v>0.37471577989995453</v>
      </c>
      <c r="BA5" s="1722">
        <f>IS!CC63</f>
        <v>0.36421725239616615</v>
      </c>
      <c r="BB5" s="1722">
        <f>IS!CD63</f>
        <v>0.36955001165772905</v>
      </c>
      <c r="BC5" s="1722">
        <f>IS!CE63</f>
        <v>0.36398194345450224</v>
      </c>
      <c r="BD5" s="1722">
        <f>IS!CF63</f>
        <v>0.35256723716381416</v>
      </c>
      <c r="BE5" s="1722">
        <f>IS!CG63</f>
        <v>0.34630639563708476</v>
      </c>
      <c r="BF5" s="1722">
        <f>IS!CH63</f>
        <v>0.36819317235636967</v>
      </c>
      <c r="BG5" s="1722"/>
    </row>
    <row r="6" spans="3:59" ht="15.75" customHeight="1" outlineLevel="1">
      <c r="C6" s="2524" t="s">
        <v>1224</v>
      </c>
      <c r="D6" s="2525">
        <f ca="1">SUM(CFS!BA80:'CFS'!BD80)</f>
        <v>5075.7560000000003</v>
      </c>
      <c r="E6" s="2525">
        <f ca="1">SUM(CFS!BB80:'CFS'!BE80)</f>
        <v>4971.9140000000007</v>
      </c>
      <c r="F6" s="2525">
        <f ca="1">SUM(CFS!BC80:'CFS'!BF80)</f>
        <v>4578.0110000000004</v>
      </c>
      <c r="G6" s="2525">
        <f>SUM(CFS!BD80:'CFS'!BG80)</f>
        <v>4592.5</v>
      </c>
      <c r="H6" s="2525">
        <f>SUM(CFS!BE80:'CFS'!BH80)</f>
        <v>3136.5</v>
      </c>
      <c r="I6" s="2525">
        <f>SUM(CFS!BF80:'CFS'!BI80)</f>
        <v>3237</v>
      </c>
      <c r="J6" s="2525">
        <f>SUM(CFS!BG80:'CFS'!BJ80)</f>
        <v>3333</v>
      </c>
      <c r="K6" s="2525">
        <f>SUM(CFS!BH80:'CFS'!BK80)</f>
        <v>3301</v>
      </c>
      <c r="L6" s="2525">
        <f>SUM(CFS!BI80:'CFS'!BL80)</f>
        <v>3225</v>
      </c>
      <c r="M6" s="2525">
        <f>SUM(CFS!BJ80:'CFS'!BM80)</f>
        <v>3081</v>
      </c>
      <c r="N6" s="2525">
        <f>SUM(CFS!BK80:'CFS'!BN80)</f>
        <v>3071</v>
      </c>
      <c r="O6" s="2525">
        <f>SUM(CFS!BL80:'CFS'!BO80)</f>
        <v>2925</v>
      </c>
      <c r="P6" s="2525">
        <f>SUM(CFS!BM80:'CFS'!BP80)</f>
        <v>3038</v>
      </c>
      <c r="Q6" s="2529">
        <f>SUM(CFS!BN80:'CFS'!BQ80)</f>
        <v>3051</v>
      </c>
      <c r="R6" s="2529">
        <f>SUM(CFS!BO80:'CFS'!BR80)</f>
        <v>2953</v>
      </c>
      <c r="S6" s="2529">
        <f>SUM(CFS!BP80:'CFS'!BS80)</f>
        <v>2942</v>
      </c>
      <c r="T6" s="2529">
        <f>SUM(CFS!BQ80:'CFS'!BT80)</f>
        <v>2688</v>
      </c>
      <c r="U6" s="2529">
        <f>SUM(CFS!BR80:'CFS'!BU80)</f>
        <v>2661</v>
      </c>
      <c r="V6" s="2529">
        <f>SUM(CFS!BS80:'CFS'!BV80)</f>
        <v>2749</v>
      </c>
      <c r="W6" s="2529">
        <f>SUM(CFS!BT80:'CFS'!BW80)</f>
        <v>2628</v>
      </c>
      <c r="X6" s="2529">
        <f>SUM(CFS!BU80:'CFS'!BX80)</f>
        <v>2702</v>
      </c>
      <c r="Y6" s="2529">
        <f>SUM(CFS!BV80:'CFS'!BY80)</f>
        <v>2126</v>
      </c>
      <c r="Z6" s="2529">
        <f>SUM(CFS!BW80:'CFS'!BZ80)</f>
        <v>1541</v>
      </c>
    </row>
    <row r="9" spans="3:59" ht="15.75" customHeight="1">
      <c r="F9" s="2534"/>
      <c r="G9" s="2534"/>
      <c r="H9" s="2534"/>
      <c r="I9" s="2534"/>
      <c r="J9" s="2534"/>
      <c r="K9" s="2534"/>
      <c r="L9" s="2534"/>
      <c r="M9" s="2534"/>
      <c r="N9" s="2534"/>
      <c r="O9" s="2534"/>
      <c r="P9" s="2534"/>
      <c r="R9" s="2534"/>
      <c r="S9" s="2534"/>
      <c r="T9" s="2534"/>
      <c r="U9" s="2534"/>
      <c r="V9" s="2534"/>
      <c r="W9" s="2534"/>
      <c r="X9" s="2534"/>
      <c r="Y9" s="2534"/>
      <c r="Z9" s="2534"/>
      <c r="AA9" s="2534"/>
      <c r="AB9" s="2534"/>
    </row>
    <row r="10" spans="3:59" ht="15.75" customHeight="1">
      <c r="F10" s="2534"/>
      <c r="G10" s="2534"/>
      <c r="H10" s="2534"/>
      <c r="I10" s="2534"/>
      <c r="J10" s="2534"/>
      <c r="K10" s="2534"/>
      <c r="L10" s="2534"/>
      <c r="M10" s="2534"/>
      <c r="N10" s="2534"/>
      <c r="O10" s="2534"/>
      <c r="P10" s="2534"/>
      <c r="R10" s="2534"/>
      <c r="S10" s="2534"/>
      <c r="T10" s="2534"/>
      <c r="U10" s="2534"/>
      <c r="V10" s="2534"/>
      <c r="W10" s="2534"/>
      <c r="X10" s="2534"/>
      <c r="Y10" s="2534"/>
      <c r="Z10" s="2534"/>
      <c r="AA10" s="2534"/>
      <c r="AB10" s="2534"/>
    </row>
    <row r="11" spans="3:59" ht="15.75" customHeight="1">
      <c r="F11" s="2534"/>
      <c r="G11" s="2534"/>
      <c r="H11" s="2534"/>
      <c r="I11" s="2534"/>
      <c r="J11" s="2534"/>
      <c r="K11" s="2534"/>
      <c r="L11" s="2534"/>
      <c r="M11" s="2534"/>
      <c r="N11" s="2534"/>
      <c r="O11" s="2534"/>
      <c r="P11" s="2534"/>
      <c r="R11" s="2534"/>
      <c r="S11" s="2534"/>
      <c r="T11" s="2534"/>
      <c r="U11" s="2534"/>
      <c r="V11" s="2534"/>
      <c r="W11" s="2534"/>
      <c r="X11" s="2534"/>
      <c r="Y11" s="2534"/>
      <c r="Z11" s="2534"/>
      <c r="AA11" s="2534"/>
      <c r="AB11" s="2534"/>
    </row>
    <row r="12" spans="3:59" ht="15.75" customHeight="1">
      <c r="F12" s="2534"/>
      <c r="G12" s="2534"/>
      <c r="H12" s="2534"/>
      <c r="I12" s="2534"/>
      <c r="J12" s="2534"/>
      <c r="K12" s="2534"/>
      <c r="L12" s="2534"/>
      <c r="M12" s="2534"/>
      <c r="N12" s="2534"/>
      <c r="O12" s="2534"/>
      <c r="P12" s="2534"/>
      <c r="R12" s="2534"/>
      <c r="S12" s="2534"/>
      <c r="T12" s="2534"/>
      <c r="U12" s="2534"/>
      <c r="V12" s="2534"/>
      <c r="W12" s="2534"/>
      <c r="X12" s="2534"/>
      <c r="Y12" s="2534"/>
      <c r="Z12" s="2534"/>
      <c r="AA12" s="2534"/>
      <c r="AB12" s="2534"/>
    </row>
    <row r="13" spans="3:59" ht="15.75" customHeight="1">
      <c r="F13" s="2534"/>
      <c r="G13" s="2534"/>
      <c r="H13" s="2534"/>
      <c r="I13" s="2534"/>
      <c r="J13" s="2534"/>
      <c r="K13" s="2534"/>
      <c r="L13" s="2534"/>
      <c r="M13" s="2534"/>
      <c r="N13" s="2534"/>
      <c r="O13" s="2534"/>
      <c r="P13" s="2534"/>
      <c r="R13" s="2534"/>
      <c r="S13" s="2534"/>
      <c r="T13" s="2534"/>
      <c r="U13" s="2534"/>
      <c r="V13" s="2534"/>
      <c r="W13" s="2534"/>
      <c r="X13" s="2534"/>
      <c r="Y13" s="2534"/>
      <c r="Z13" s="2534"/>
      <c r="AA13" s="2534"/>
      <c r="AB13" s="2534"/>
    </row>
    <row r="14" spans="3:59" ht="15.75" customHeight="1">
      <c r="F14" s="2534"/>
      <c r="G14" s="2534"/>
      <c r="H14" s="2534"/>
      <c r="I14" s="2534"/>
      <c r="J14" s="2534"/>
      <c r="K14" s="2534"/>
      <c r="L14" s="2534"/>
      <c r="M14" s="2534"/>
      <c r="N14" s="2534"/>
      <c r="O14" s="2534"/>
      <c r="P14" s="2534"/>
      <c r="R14" s="2534"/>
      <c r="S14" s="2534"/>
      <c r="T14" s="2534"/>
      <c r="U14" s="2534"/>
      <c r="V14" s="2534"/>
      <c r="W14" s="2534"/>
      <c r="X14" s="2534"/>
      <c r="Y14" s="2534"/>
      <c r="Z14" s="2534"/>
      <c r="AA14" s="2534"/>
      <c r="AB14" s="2534"/>
    </row>
    <row r="15" spans="3:59" ht="15.75" customHeight="1">
      <c r="F15" s="2534"/>
      <c r="G15" s="2534"/>
      <c r="H15" s="2534"/>
      <c r="I15" s="2534"/>
      <c r="J15" s="2534"/>
      <c r="K15" s="2534"/>
      <c r="L15" s="2534"/>
      <c r="M15" s="2534"/>
      <c r="N15" s="2534"/>
      <c r="O15" s="2534"/>
      <c r="P15" s="2534"/>
      <c r="R15" s="2534"/>
      <c r="S15" s="2534"/>
      <c r="T15" s="2534"/>
      <c r="U15" s="2534"/>
      <c r="V15" s="2534"/>
      <c r="W15" s="2534"/>
      <c r="X15" s="2534"/>
      <c r="Y15" s="2534"/>
      <c r="Z15" s="2534"/>
      <c r="AA15" s="2534"/>
      <c r="AB15" s="2534"/>
    </row>
    <row r="16" spans="3:59" ht="15.75" customHeight="1">
      <c r="F16" s="2534"/>
      <c r="G16" s="2534"/>
      <c r="H16" s="2534"/>
      <c r="I16" s="2534"/>
      <c r="J16" s="2534"/>
      <c r="K16" s="2534"/>
      <c r="L16" s="2534"/>
      <c r="M16" s="2534"/>
      <c r="N16" s="2534"/>
      <c r="O16" s="2534"/>
      <c r="P16" s="2534"/>
      <c r="R16" s="2534"/>
      <c r="S16" s="2534"/>
      <c r="T16" s="2534"/>
      <c r="U16" s="2534"/>
      <c r="V16" s="2534"/>
      <c r="W16" s="2534"/>
      <c r="X16" s="2534"/>
      <c r="Y16" s="2534"/>
      <c r="Z16" s="2534"/>
      <c r="AA16" s="2534"/>
      <c r="AB16" s="2534"/>
    </row>
    <row r="17" spans="3:256" ht="15.75" customHeight="1">
      <c r="F17" s="2534"/>
      <c r="G17" s="2534"/>
      <c r="H17" s="2534"/>
      <c r="I17" s="2534"/>
      <c r="J17" s="2534"/>
      <c r="K17" s="2534"/>
      <c r="L17" s="2534"/>
      <c r="M17" s="2534"/>
      <c r="N17" s="2534"/>
      <c r="O17" s="2534"/>
      <c r="P17" s="2534"/>
      <c r="R17" s="2534"/>
      <c r="S17" s="2534"/>
      <c r="T17" s="2534"/>
      <c r="U17" s="2534"/>
      <c r="V17" s="2534"/>
      <c r="W17" s="2534"/>
      <c r="X17" s="2534"/>
      <c r="Y17" s="2534"/>
      <c r="Z17" s="2534"/>
      <c r="AA17" s="2534"/>
      <c r="AB17" s="2534"/>
    </row>
    <row r="18" spans="3:256" ht="15.75" customHeight="1">
      <c r="F18" s="2534"/>
      <c r="G18" s="2534"/>
      <c r="H18" s="2534"/>
      <c r="I18" s="2534"/>
      <c r="J18" s="2534"/>
      <c r="K18" s="2534"/>
      <c r="L18" s="2534"/>
      <c r="M18" s="2534"/>
      <c r="N18" s="2534"/>
      <c r="O18" s="2534"/>
      <c r="P18" s="2534"/>
      <c r="R18" s="2534"/>
      <c r="S18" s="2534"/>
      <c r="T18" s="2534"/>
      <c r="U18" s="2534"/>
      <c r="V18" s="2534"/>
      <c r="W18" s="2534"/>
      <c r="X18" s="2534"/>
      <c r="Y18" s="2534"/>
      <c r="Z18" s="2534"/>
      <c r="AA18" s="2534"/>
      <c r="AB18" s="2534"/>
    </row>
    <row r="19" spans="3:256" ht="15.75" customHeight="1">
      <c r="F19" s="2534"/>
      <c r="G19" s="2534"/>
      <c r="H19" s="2534"/>
      <c r="I19" s="2534"/>
      <c r="J19" s="2534"/>
      <c r="K19" s="2534"/>
      <c r="L19" s="2534"/>
      <c r="M19" s="2534"/>
      <c r="N19" s="2534"/>
      <c r="O19" s="2534"/>
      <c r="P19" s="2534"/>
      <c r="R19" s="2534"/>
      <c r="S19" s="2534"/>
      <c r="T19" s="2534"/>
      <c r="U19" s="2534"/>
      <c r="V19" s="2534"/>
      <c r="W19" s="2534"/>
      <c r="X19" s="2534"/>
      <c r="Y19" s="2534"/>
      <c r="Z19" s="2534"/>
      <c r="AA19" s="2534"/>
      <c r="AB19" s="2534"/>
    </row>
    <row r="20" spans="3:256" ht="15.75" customHeight="1">
      <c r="F20" s="2534"/>
      <c r="G20" s="2534"/>
      <c r="H20" s="2534"/>
      <c r="I20" s="2534"/>
      <c r="J20" s="2534"/>
      <c r="K20" s="2534"/>
      <c r="L20" s="2534"/>
      <c r="M20" s="2534"/>
      <c r="N20" s="2534"/>
      <c r="O20" s="2534"/>
      <c r="P20" s="2534"/>
      <c r="R20" s="2534"/>
      <c r="S20" s="2534"/>
      <c r="T20" s="2534"/>
      <c r="U20" s="2534"/>
      <c r="V20" s="2534"/>
      <c r="W20" s="2534"/>
      <c r="X20" s="2534"/>
      <c r="Y20" s="2534"/>
      <c r="Z20" s="2534"/>
      <c r="AA20" s="2534"/>
      <c r="AB20" s="2534"/>
    </row>
    <row r="21" spans="3:256" ht="15.75" customHeight="1">
      <c r="F21" s="2534"/>
      <c r="G21" s="2534"/>
      <c r="H21" s="2534"/>
      <c r="I21" s="2534"/>
      <c r="J21" s="2534"/>
      <c r="K21" s="2534"/>
      <c r="L21" s="2534"/>
      <c r="M21" s="2534"/>
      <c r="N21" s="2534"/>
      <c r="O21" s="2534"/>
      <c r="P21" s="2534"/>
      <c r="R21" s="2534"/>
      <c r="S21" s="2534"/>
      <c r="T21" s="2534"/>
      <c r="U21" s="2534"/>
      <c r="V21" s="2534"/>
      <c r="W21" s="2534"/>
      <c r="X21" s="2534"/>
      <c r="Y21" s="2534"/>
      <c r="Z21" s="2534"/>
      <c r="AA21" s="2534"/>
      <c r="AB21" s="2534"/>
    </row>
    <row r="22" spans="3:256" ht="15.75" customHeight="1">
      <c r="F22" s="2534"/>
      <c r="G22" s="2534"/>
      <c r="H22" s="2534"/>
      <c r="I22" s="2534"/>
      <c r="J22" s="2534"/>
      <c r="K22" s="2534"/>
      <c r="L22" s="2534"/>
      <c r="M22" s="2534"/>
      <c r="N22" s="2534"/>
      <c r="O22" s="2534"/>
      <c r="P22" s="2534"/>
      <c r="R22" s="2534"/>
      <c r="S22" s="2534"/>
      <c r="T22" s="2534"/>
      <c r="U22" s="2534"/>
      <c r="V22" s="2534"/>
      <c r="W22" s="2534"/>
      <c r="X22" s="2534"/>
      <c r="Y22" s="2534"/>
      <c r="Z22" s="2534"/>
      <c r="AA22" s="2534"/>
      <c r="AB22" s="2534"/>
    </row>
    <row r="23" spans="3:256" ht="15.75" customHeight="1">
      <c r="F23" s="2534"/>
      <c r="G23" s="2534"/>
      <c r="H23" s="2534"/>
      <c r="I23" s="2534"/>
      <c r="J23" s="2534"/>
      <c r="K23" s="2534"/>
      <c r="L23" s="2534"/>
      <c r="M23" s="2534"/>
      <c r="N23" s="2534"/>
      <c r="O23" s="2534"/>
      <c r="P23" s="2534"/>
      <c r="R23" s="2534"/>
      <c r="S23" s="2534"/>
      <c r="T23" s="2534"/>
      <c r="U23" s="2534"/>
      <c r="V23" s="2534"/>
      <c r="W23" s="2534"/>
      <c r="X23" s="2534"/>
      <c r="Y23" s="2534"/>
      <c r="Z23" s="2534"/>
      <c r="AA23" s="2534"/>
      <c r="AB23" s="2534"/>
    </row>
    <row r="24" spans="3:256" ht="15.75" customHeight="1">
      <c r="F24" s="2534"/>
      <c r="G24" s="2534"/>
      <c r="H24" s="2534"/>
      <c r="I24" s="2534"/>
      <c r="J24" s="2534"/>
      <c r="K24" s="2534"/>
      <c r="L24" s="2534"/>
      <c r="M24" s="2534"/>
      <c r="N24" s="2534"/>
      <c r="O24" s="2534"/>
      <c r="P24" s="2534"/>
      <c r="R24" s="2534"/>
      <c r="S24" s="2534"/>
      <c r="T24" s="2534"/>
      <c r="U24" s="2534"/>
      <c r="V24" s="2534"/>
      <c r="W24" s="2534"/>
      <c r="X24" s="2534"/>
      <c r="Y24" s="2534"/>
      <c r="Z24" s="2534"/>
      <c r="AA24" s="2534"/>
      <c r="AB24" s="2534"/>
    </row>
    <row r="25" spans="3:256" ht="15.75" customHeight="1">
      <c r="F25" s="2534"/>
      <c r="G25" s="2534"/>
      <c r="H25" s="2534"/>
      <c r="I25" s="2534"/>
      <c r="J25" s="2534"/>
      <c r="K25" s="2534"/>
      <c r="L25" s="2534"/>
      <c r="M25" s="2534"/>
      <c r="N25" s="2534"/>
      <c r="O25" s="2534"/>
      <c r="P25" s="2534"/>
      <c r="R25" s="2534"/>
      <c r="S25" s="2534"/>
      <c r="T25" s="2534"/>
      <c r="U25" s="2534"/>
      <c r="V25" s="2534"/>
      <c r="W25" s="2534"/>
      <c r="X25" s="2534"/>
      <c r="Y25" s="2534"/>
      <c r="Z25" s="2534"/>
      <c r="AA25" s="2534"/>
      <c r="AB25" s="2534"/>
    </row>
    <row r="26" spans="3:256" ht="15.75" customHeight="1">
      <c r="F26" s="2534"/>
      <c r="G26" s="2534"/>
      <c r="H26" s="2534"/>
      <c r="I26" s="2534"/>
      <c r="J26" s="2534"/>
      <c r="K26" s="2534"/>
      <c r="L26" s="2534"/>
      <c r="M26" s="2534"/>
      <c r="N26" s="2534"/>
      <c r="O26" s="2534"/>
      <c r="P26" s="2534"/>
      <c r="R26" s="2534"/>
      <c r="S26" s="2534"/>
      <c r="T26" s="2534"/>
      <c r="U26" s="2534"/>
      <c r="V26" s="2534"/>
      <c r="W26" s="2534"/>
      <c r="X26" s="2534"/>
      <c r="Y26" s="2534"/>
      <c r="Z26" s="2534"/>
      <c r="AA26" s="2534"/>
      <c r="AB26" s="2534"/>
    </row>
    <row r="27" spans="3:256" ht="15.75" customHeight="1" outlineLevel="1">
      <c r="D27" s="2524" t="str">
        <f>Subscribers!BP9</f>
        <v>2Q11</v>
      </c>
      <c r="E27" s="2524" t="str">
        <f>Subscribers!BQ9</f>
        <v>3Q11</v>
      </c>
      <c r="F27" s="2524" t="str">
        <f>Subscribers!BR9</f>
        <v>4Q11</v>
      </c>
      <c r="G27" s="2524" t="str">
        <f>Subscribers!BS9</f>
        <v>1Q12</v>
      </c>
      <c r="H27" s="2524" t="str">
        <f>Subscribers!BT9</f>
        <v>2Q12</v>
      </c>
      <c r="I27" s="2524" t="str">
        <f>Subscribers!BU9</f>
        <v>3Q12</v>
      </c>
      <c r="J27" s="2524" t="str">
        <f>Subscribers!BV9</f>
        <v>4Q12</v>
      </c>
      <c r="K27" s="2524" t="str">
        <f>Subscribers!BW9</f>
        <v>1Q13</v>
      </c>
      <c r="L27" s="2524" t="str">
        <f>Subscribers!BX9</f>
        <v>2Q13</v>
      </c>
      <c r="M27" s="2524" t="str">
        <f>Subscribers!BY9</f>
        <v>3Q13</v>
      </c>
      <c r="N27" s="2524" t="str">
        <f>Subscribers!BZ9</f>
        <v>4Q13</v>
      </c>
      <c r="O27" s="2524" t="str">
        <f>Subscribers!CA9</f>
        <v>1Q14</v>
      </c>
      <c r="P27" s="2524" t="str">
        <f>Subscribers!CB9</f>
        <v>2Q14</v>
      </c>
      <c r="Q27" s="2524" t="str">
        <f>Subscribers!CC9</f>
        <v>3Q14</v>
      </c>
      <c r="R27" s="2524" t="str">
        <f>Subscribers!CD9</f>
        <v>4Q14</v>
      </c>
      <c r="S27" s="2524" t="str">
        <f>Subscribers!CE9</f>
        <v>1Q15</v>
      </c>
      <c r="T27" s="2524" t="str">
        <f>Subscribers!CF9</f>
        <v>2Q15</v>
      </c>
      <c r="U27" s="2524" t="str">
        <f>Subscribers!CG9</f>
        <v>3Q15</v>
      </c>
      <c r="V27" s="2524" t="str">
        <f>Subscribers!CH9</f>
        <v>4Q15</v>
      </c>
      <c r="W27" s="2524" t="str">
        <f>Subscribers!CI9</f>
        <v>1Q16</v>
      </c>
      <c r="X27" s="2524" t="str">
        <f>Subscribers!CJ9</f>
        <v>2Q16</v>
      </c>
      <c r="Y27" s="2524" t="str">
        <f>Subscribers!CK9</f>
        <v>3Q16</v>
      </c>
      <c r="Z27" s="2524" t="str">
        <f>Subscribers!CL9</f>
        <v>4Q16</v>
      </c>
    </row>
    <row r="28" spans="3:256" ht="15.75" customHeight="1" outlineLevel="1">
      <c r="C28" s="2524" t="str">
        <f>Subscribers!A139</f>
        <v>Strategic services</v>
      </c>
      <c r="D28" s="2527">
        <f>Subscribers!BP139</f>
        <v>1991</v>
      </c>
      <c r="E28" s="2527">
        <f>Subscribers!BQ139</f>
        <v>1996</v>
      </c>
      <c r="F28" s="2527">
        <f>Subscribers!BR139</f>
        <v>2033</v>
      </c>
      <c r="G28" s="2527">
        <f>Subscribers!BS139</f>
        <v>2070</v>
      </c>
      <c r="H28" s="2527">
        <f>Subscribers!BT139</f>
        <v>2094</v>
      </c>
      <c r="I28" s="2527">
        <f>Subscribers!BU139</f>
        <v>2119</v>
      </c>
      <c r="J28" s="2527">
        <f>Subscribers!BV139</f>
        <v>2145</v>
      </c>
      <c r="K28" s="2527">
        <f>Subscribers!BW139</f>
        <v>2164</v>
      </c>
      <c r="L28" s="2527">
        <f>Subscribers!BX139</f>
        <v>2186</v>
      </c>
      <c r="M28" s="2527">
        <f>Subscribers!BY139</f>
        <v>2212</v>
      </c>
      <c r="N28" s="2527">
        <f>Subscribers!BZ139</f>
        <v>2261</v>
      </c>
      <c r="O28" s="2527">
        <f>Subscribers!CA139</f>
        <v>2271</v>
      </c>
      <c r="P28" s="2527">
        <f>Subscribers!CB139</f>
        <v>1814</v>
      </c>
      <c r="Q28" s="2527">
        <f>Subscribers!CC139</f>
        <v>1845</v>
      </c>
      <c r="R28" s="2527">
        <f>Subscribers!CD139</f>
        <v>1865</v>
      </c>
      <c r="S28" s="2527">
        <f>Subscribers!CE139</f>
        <v>1903</v>
      </c>
      <c r="T28" s="2527">
        <f>Subscribers!CF139</f>
        <v>1929</v>
      </c>
      <c r="U28" s="2527">
        <f>Subscribers!CG139</f>
        <v>1941</v>
      </c>
      <c r="V28" s="2527">
        <f>Subscribers!CH139</f>
        <v>2004</v>
      </c>
      <c r="W28" s="2527">
        <f>Subscribers!CI139</f>
        <v>2001</v>
      </c>
      <c r="X28" s="2527">
        <f>Subscribers!CJ139</f>
        <v>2042</v>
      </c>
      <c r="Y28" s="2527">
        <f>Subscribers!CK139</f>
        <v>2027</v>
      </c>
      <c r="Z28" s="2527">
        <f>Subscribers!CL139</f>
        <v>2028</v>
      </c>
      <c r="AA28" s="2527"/>
      <c r="AB28" s="2527"/>
      <c r="AC28" s="2528"/>
      <c r="AD28" s="2527"/>
      <c r="AE28" s="2529"/>
      <c r="AF28" s="2528"/>
      <c r="AG28" s="2528"/>
      <c r="AH28" s="2528"/>
      <c r="AI28" s="2528"/>
      <c r="AJ28" s="2528"/>
      <c r="AK28" s="2528"/>
      <c r="AL28" s="2528"/>
      <c r="AM28" s="2528"/>
      <c r="AN28" s="2528"/>
      <c r="AO28" s="2528"/>
      <c r="AP28" s="2528"/>
      <c r="AQ28" s="2527"/>
      <c r="AR28" s="2529"/>
      <c r="AS28" s="2528"/>
      <c r="AT28" s="2528"/>
      <c r="AU28" s="2528"/>
      <c r="AV28" s="2528"/>
      <c r="AW28" s="2528"/>
      <c r="AX28" s="2528"/>
      <c r="AY28" s="2528"/>
      <c r="AZ28" s="2528"/>
      <c r="BA28" s="2528"/>
      <c r="BB28" s="2528"/>
      <c r="BC28" s="2528"/>
      <c r="BD28" s="2527"/>
      <c r="BE28" s="2529"/>
      <c r="BF28" s="2528"/>
      <c r="BG28" s="2528"/>
      <c r="BH28" s="2528"/>
      <c r="BI28" s="2528"/>
      <c r="BJ28" s="2528"/>
      <c r="BK28" s="2528"/>
      <c r="BL28" s="2528"/>
      <c r="BM28" s="2528"/>
      <c r="BN28" s="2528"/>
      <c r="BO28" s="2528"/>
      <c r="BP28" s="2528"/>
      <c r="BQ28" s="2527"/>
      <c r="BR28" s="2529"/>
      <c r="BS28" s="2528"/>
      <c r="BT28" s="2528"/>
      <c r="BU28" s="2528"/>
      <c r="BV28" s="2528"/>
      <c r="BW28" s="2528"/>
      <c r="BX28" s="2528"/>
      <c r="BY28" s="2528"/>
      <c r="BZ28" s="2528"/>
      <c r="CA28" s="2528"/>
      <c r="CB28" s="2528"/>
      <c r="CC28" s="2528"/>
      <c r="CD28" s="2527"/>
      <c r="CE28" s="2529"/>
      <c r="CF28" s="2528"/>
      <c r="CG28" s="2528"/>
      <c r="CH28" s="2528"/>
      <c r="CI28" s="2528"/>
      <c r="CJ28" s="2528"/>
      <c r="CK28" s="2528"/>
      <c r="CL28" s="2528"/>
      <c r="CM28" s="2528"/>
      <c r="CN28" s="2528"/>
      <c r="CO28" s="2528"/>
      <c r="CP28" s="2528"/>
      <c r="CQ28" s="2527"/>
      <c r="CR28" s="2529"/>
      <c r="CS28" s="2528"/>
      <c r="CT28" s="2528"/>
      <c r="CU28" s="2528"/>
      <c r="CV28" s="2528"/>
      <c r="CW28" s="2528"/>
      <c r="CX28" s="2528"/>
      <c r="CY28" s="2528"/>
      <c r="CZ28" s="2528"/>
      <c r="DA28" s="2528"/>
      <c r="DB28" s="2528"/>
      <c r="DC28" s="2528"/>
      <c r="DD28" s="2527"/>
      <c r="DE28" s="2529"/>
      <c r="DF28" s="2528"/>
      <c r="DG28" s="2528"/>
      <c r="DH28" s="2528"/>
      <c r="DI28" s="2528"/>
      <c r="DJ28" s="2528"/>
      <c r="DK28" s="2528"/>
      <c r="DL28" s="2528"/>
      <c r="DM28" s="2528"/>
      <c r="DN28" s="2528"/>
      <c r="DO28" s="2528"/>
      <c r="DP28" s="2528"/>
      <c r="DQ28" s="2527"/>
      <c r="DR28" s="2529"/>
      <c r="DS28" s="2528"/>
      <c r="DT28" s="2528"/>
      <c r="DU28" s="2528"/>
      <c r="DV28" s="2528"/>
      <c r="DW28" s="2528"/>
      <c r="DX28" s="2528"/>
      <c r="DY28" s="2528"/>
      <c r="DZ28" s="2528"/>
      <c r="EA28" s="2528"/>
      <c r="EB28" s="2528"/>
      <c r="EC28" s="2528"/>
      <c r="ED28" s="2527"/>
      <c r="EE28" s="2529"/>
      <c r="EF28" s="2528"/>
      <c r="EG28" s="2528"/>
      <c r="EH28" s="2528"/>
      <c r="EI28" s="2528"/>
      <c r="EJ28" s="2528"/>
      <c r="EK28" s="2528"/>
      <c r="EL28" s="2528"/>
      <c r="EM28" s="2528"/>
      <c r="EN28" s="2528"/>
      <c r="EO28" s="2528"/>
      <c r="EP28" s="2528"/>
      <c r="EQ28" s="2527"/>
      <c r="ER28" s="2529"/>
      <c r="ES28" s="2528"/>
      <c r="ET28" s="2528"/>
      <c r="EU28" s="2528"/>
      <c r="EV28" s="2528"/>
      <c r="EW28" s="2528"/>
      <c r="EX28" s="2528"/>
      <c r="EY28" s="2528"/>
      <c r="EZ28" s="2528"/>
      <c r="FA28" s="2528"/>
      <c r="FB28" s="2528"/>
      <c r="FC28" s="2528"/>
      <c r="FD28" s="2527"/>
      <c r="FE28" s="2529"/>
      <c r="FF28" s="2528"/>
      <c r="FG28" s="2528"/>
      <c r="FH28" s="2528"/>
      <c r="FI28" s="2528"/>
      <c r="FJ28" s="2528"/>
      <c r="FK28" s="2528"/>
      <c r="FL28" s="2528"/>
      <c r="FM28" s="2528"/>
      <c r="FN28" s="2528"/>
      <c r="FO28" s="2528"/>
      <c r="FP28" s="2528"/>
      <c r="FQ28" s="2527"/>
      <c r="FR28" s="2529"/>
      <c r="FS28" s="2528"/>
      <c r="FT28" s="2528"/>
      <c r="FU28" s="2528"/>
      <c r="FV28" s="2528"/>
      <c r="FW28" s="2528"/>
      <c r="FX28" s="2528"/>
      <c r="FY28" s="2528"/>
      <c r="FZ28" s="2528"/>
      <c r="GA28" s="2528"/>
      <c r="GB28" s="2528"/>
      <c r="GC28" s="2528"/>
      <c r="GD28" s="2527"/>
      <c r="GE28" s="2529"/>
      <c r="GF28" s="2528"/>
      <c r="GG28" s="2528"/>
      <c r="GH28" s="2528"/>
      <c r="GI28" s="2528"/>
      <c r="GJ28" s="2528"/>
      <c r="GK28" s="2528"/>
      <c r="GL28" s="2528"/>
      <c r="GM28" s="2528"/>
      <c r="GN28" s="2528"/>
      <c r="GO28" s="2528"/>
      <c r="GP28" s="2528"/>
      <c r="GQ28" s="2527"/>
      <c r="GR28" s="2529"/>
      <c r="GS28" s="2528"/>
      <c r="GT28" s="2528"/>
      <c r="GU28" s="2528"/>
      <c r="GV28" s="2528"/>
      <c r="GW28" s="2528"/>
      <c r="GX28" s="2528"/>
      <c r="GY28" s="2528"/>
      <c r="GZ28" s="2528"/>
      <c r="HA28" s="2528"/>
      <c r="HB28" s="2528"/>
      <c r="HC28" s="2528"/>
      <c r="HD28" s="2527"/>
      <c r="HE28" s="2529"/>
      <c r="HF28" s="2528"/>
      <c r="HG28" s="2528"/>
      <c r="HH28" s="2528"/>
      <c r="HI28" s="2528"/>
      <c r="HJ28" s="2528"/>
      <c r="HK28" s="2528"/>
      <c r="HL28" s="2528"/>
      <c r="HM28" s="2528"/>
      <c r="HN28" s="2528"/>
      <c r="HO28" s="2528"/>
      <c r="HP28" s="2528"/>
      <c r="HQ28" s="2527"/>
      <c r="HR28" s="2529"/>
      <c r="HS28" s="2528"/>
      <c r="HT28" s="2528"/>
      <c r="HU28" s="2528"/>
      <c r="HV28" s="2528"/>
      <c r="HW28" s="2528"/>
      <c r="HX28" s="2528"/>
      <c r="HY28" s="2528"/>
      <c r="HZ28" s="2528"/>
      <c r="IA28" s="2528"/>
      <c r="IB28" s="2528"/>
      <c r="IC28" s="2528"/>
      <c r="ID28" s="2527"/>
      <c r="IE28" s="2529"/>
      <c r="IF28" s="2528"/>
      <c r="IG28" s="2528"/>
      <c r="IH28" s="2528"/>
      <c r="II28" s="2528"/>
      <c r="IJ28" s="2528"/>
      <c r="IK28" s="2528"/>
      <c r="IL28" s="2528"/>
      <c r="IM28" s="2528"/>
      <c r="IN28" s="2528"/>
      <c r="IO28" s="2528"/>
      <c r="IP28" s="2528"/>
      <c r="IQ28" s="2527"/>
      <c r="IR28" s="2529"/>
      <c r="IS28" s="2528"/>
      <c r="IT28" s="2528"/>
      <c r="IU28" s="2528"/>
      <c r="IV28" s="2528"/>
    </row>
    <row r="29" spans="3:256" ht="15.75" customHeight="1" outlineLevel="1">
      <c r="C29" s="2524" t="str">
        <f>Subscribers!A143</f>
        <v>Legacy services</v>
      </c>
      <c r="D29" s="2527">
        <f>Subscribers!BP143</f>
        <v>2280</v>
      </c>
      <c r="E29" s="2527">
        <f>Subscribers!BQ143</f>
        <v>2225</v>
      </c>
      <c r="F29" s="2527">
        <f>Subscribers!BR143</f>
        <v>2178</v>
      </c>
      <c r="G29" s="2527">
        <f>Subscribers!BS143</f>
        <v>2129</v>
      </c>
      <c r="H29" s="2527">
        <f>Subscribers!BT143</f>
        <v>2082</v>
      </c>
      <c r="I29" s="2527">
        <f>Subscribers!BU143</f>
        <v>2027</v>
      </c>
      <c r="J29" s="2527">
        <f>Subscribers!BV143</f>
        <v>1983</v>
      </c>
      <c r="K29" s="2527">
        <f>Subscribers!BW143</f>
        <v>1952</v>
      </c>
      <c r="L29" s="2527">
        <f>Subscribers!BX143</f>
        <v>1923</v>
      </c>
      <c r="M29" s="2527">
        <f>Subscribers!BY143</f>
        <v>1892</v>
      </c>
      <c r="N29" s="2527">
        <f>Subscribers!BZ143</f>
        <v>1849</v>
      </c>
      <c r="O29" s="2527">
        <f>Subscribers!CA143</f>
        <v>1839</v>
      </c>
      <c r="P29" s="2527">
        <f>Subscribers!CB143</f>
        <v>2286</v>
      </c>
      <c r="Q29" s="2527">
        <f>Subscribers!CC143</f>
        <v>2233</v>
      </c>
      <c r="R29" s="2527">
        <f>Subscribers!CD143</f>
        <v>2181</v>
      </c>
      <c r="S29" s="2527">
        <f>Subscribers!CE143</f>
        <v>2151</v>
      </c>
      <c r="T29" s="2527">
        <f>Subscribers!CF143</f>
        <v>2089</v>
      </c>
      <c r="U29" s="2527">
        <f>Subscribers!CG143</f>
        <v>2050</v>
      </c>
      <c r="V29" s="2527">
        <f>Subscribers!CH143</f>
        <v>2024</v>
      </c>
      <c r="W29" s="2527">
        <f>Subscribers!CI143</f>
        <v>1976</v>
      </c>
      <c r="X29" s="2527">
        <f>Subscribers!CJ143</f>
        <v>1926</v>
      </c>
      <c r="Y29" s="2527">
        <f>Subscribers!CK143</f>
        <v>1888</v>
      </c>
      <c r="Z29" s="2527">
        <f>Subscribers!CL143</f>
        <v>1834</v>
      </c>
      <c r="AA29" s="2527"/>
      <c r="AB29" s="2527"/>
      <c r="AD29" s="2525"/>
      <c r="AQ29" s="2525"/>
      <c r="BD29" s="2525"/>
      <c r="BQ29" s="2525"/>
      <c r="CD29" s="2525"/>
      <c r="CQ29" s="2525"/>
      <c r="DD29" s="2525"/>
      <c r="DQ29" s="2525"/>
      <c r="ED29" s="2525"/>
      <c r="EQ29" s="2525"/>
      <c r="FD29" s="2525"/>
      <c r="FQ29" s="2525"/>
      <c r="GD29" s="2525"/>
      <c r="GQ29" s="2525"/>
      <c r="HD29" s="2525"/>
      <c r="HQ29" s="2525"/>
      <c r="ID29" s="2525"/>
      <c r="IQ29" s="2525"/>
    </row>
    <row r="30" spans="3:256" ht="15.75" customHeight="1" outlineLevel="1">
      <c r="C30" s="2524" t="str">
        <f>Subscribers!A147</f>
        <v>Data integration</v>
      </c>
      <c r="D30" s="2527">
        <f>Subscribers!BP147</f>
        <v>151</v>
      </c>
      <c r="E30" s="2527">
        <f>Subscribers!BQ147</f>
        <v>166</v>
      </c>
      <c r="F30" s="2527">
        <f>Subscribers!BR147</f>
        <v>188</v>
      </c>
      <c r="G30" s="2527">
        <f>Subscribers!BS147</f>
        <v>145</v>
      </c>
      <c r="H30" s="2527">
        <f>Subscribers!BT147</f>
        <v>170</v>
      </c>
      <c r="I30" s="2527">
        <f>Subscribers!BU147</f>
        <v>168</v>
      </c>
      <c r="J30" s="2527">
        <f>Subscribers!BV147</f>
        <v>189</v>
      </c>
      <c r="K30" s="2527">
        <f>Subscribers!BW147</f>
        <v>140</v>
      </c>
      <c r="L30" s="2527">
        <f>Subscribers!BX147</f>
        <v>167</v>
      </c>
      <c r="M30" s="2527">
        <f>Subscribers!BY147</f>
        <v>163</v>
      </c>
      <c r="N30" s="2527">
        <f>Subscribers!BZ147</f>
        <v>186</v>
      </c>
      <c r="O30" s="2527">
        <f>Subscribers!CA147</f>
        <v>174</v>
      </c>
      <c r="P30" s="2527">
        <f>Subscribers!CB147</f>
        <v>187</v>
      </c>
      <c r="Q30" s="2527">
        <f>Subscribers!CC147</f>
        <v>185</v>
      </c>
      <c r="R30" s="2527">
        <f>Subscribers!CD147</f>
        <v>144</v>
      </c>
      <c r="S30" s="2527">
        <f>Subscribers!CE147</f>
        <v>140</v>
      </c>
      <c r="T30" s="2527">
        <f>Subscribers!CF147</f>
        <v>143</v>
      </c>
      <c r="U30" s="2527">
        <f>Subscribers!CG147</f>
        <v>154</v>
      </c>
      <c r="V30" s="2527">
        <f>Subscribers!CH147</f>
        <v>140</v>
      </c>
      <c r="W30" s="2527">
        <f>Subscribers!CI147</f>
        <v>116</v>
      </c>
      <c r="X30" s="2527">
        <f>Subscribers!CJ147</f>
        <v>123</v>
      </c>
      <c r="Y30" s="2527">
        <f>Subscribers!CK147</f>
        <v>163</v>
      </c>
      <c r="Z30" s="2527">
        <f>Subscribers!CL147</f>
        <v>131</v>
      </c>
      <c r="AA30" s="2527"/>
      <c r="AB30" s="2527"/>
      <c r="AC30" s="2528"/>
      <c r="AD30" s="2527"/>
      <c r="AE30" s="2529"/>
      <c r="AF30" s="2528"/>
      <c r="AG30" s="2528"/>
      <c r="AH30" s="2528"/>
      <c r="AI30" s="2528"/>
      <c r="AJ30" s="2528"/>
      <c r="AK30" s="2528"/>
      <c r="AL30" s="2528"/>
      <c r="AM30" s="2528"/>
      <c r="AN30" s="2528"/>
      <c r="AO30" s="2528"/>
      <c r="AP30" s="2528"/>
      <c r="AQ30" s="2527"/>
      <c r="AR30" s="2529"/>
      <c r="AS30" s="2528"/>
      <c r="AT30" s="2528"/>
      <c r="AU30" s="2528"/>
      <c r="AV30" s="2528"/>
      <c r="AW30" s="2528"/>
      <c r="AX30" s="2528"/>
      <c r="AY30" s="2528"/>
      <c r="AZ30" s="2528"/>
      <c r="BA30" s="2528"/>
      <c r="BB30" s="2528"/>
      <c r="BC30" s="2528"/>
      <c r="BD30" s="2527"/>
      <c r="BE30" s="2529"/>
      <c r="BF30" s="2528"/>
      <c r="BG30" s="2528"/>
      <c r="BH30" s="2528"/>
      <c r="BI30" s="2528"/>
      <c r="BJ30" s="2528"/>
      <c r="BK30" s="2528"/>
      <c r="BL30" s="2528"/>
      <c r="BM30" s="2528"/>
      <c r="BN30" s="2528"/>
      <c r="BO30" s="2528"/>
      <c r="BP30" s="2528"/>
      <c r="BQ30" s="2527"/>
      <c r="BR30" s="2529"/>
      <c r="BS30" s="2528"/>
      <c r="BT30" s="2528"/>
      <c r="BU30" s="2528"/>
      <c r="BV30" s="2528"/>
      <c r="BW30" s="2528"/>
      <c r="BX30" s="2528"/>
      <c r="BY30" s="2528"/>
      <c r="BZ30" s="2528"/>
      <c r="CA30" s="2528"/>
      <c r="CB30" s="2528"/>
      <c r="CC30" s="2528"/>
      <c r="CD30" s="2527"/>
      <c r="CE30" s="2529"/>
      <c r="CF30" s="2528"/>
      <c r="CG30" s="2528"/>
      <c r="CH30" s="2528"/>
      <c r="CI30" s="2528"/>
      <c r="CJ30" s="2528"/>
      <c r="CK30" s="2528"/>
      <c r="CL30" s="2528"/>
      <c r="CM30" s="2528"/>
      <c r="CN30" s="2528"/>
      <c r="CO30" s="2528"/>
      <c r="CP30" s="2528"/>
      <c r="CQ30" s="2527"/>
      <c r="CR30" s="2529"/>
      <c r="CS30" s="2528"/>
      <c r="CT30" s="2528"/>
      <c r="CU30" s="2528"/>
      <c r="CV30" s="2528"/>
      <c r="CW30" s="2528"/>
      <c r="CX30" s="2528"/>
      <c r="CY30" s="2528"/>
      <c r="CZ30" s="2528"/>
      <c r="DA30" s="2528"/>
      <c r="DB30" s="2528"/>
      <c r="DC30" s="2528"/>
      <c r="DD30" s="2527"/>
      <c r="DE30" s="2529"/>
      <c r="DF30" s="2528"/>
      <c r="DG30" s="2528"/>
      <c r="DH30" s="2528"/>
      <c r="DI30" s="2528"/>
      <c r="DJ30" s="2528"/>
      <c r="DK30" s="2528"/>
      <c r="DL30" s="2528"/>
      <c r="DM30" s="2528"/>
      <c r="DN30" s="2528"/>
      <c r="DO30" s="2528"/>
      <c r="DP30" s="2528"/>
      <c r="DQ30" s="2527"/>
      <c r="DR30" s="2529"/>
      <c r="DS30" s="2528"/>
      <c r="DT30" s="2528"/>
      <c r="DU30" s="2528"/>
      <c r="DV30" s="2528"/>
      <c r="DW30" s="2528"/>
      <c r="DX30" s="2528"/>
      <c r="DY30" s="2528"/>
      <c r="DZ30" s="2528"/>
      <c r="EA30" s="2528"/>
      <c r="EB30" s="2528"/>
      <c r="EC30" s="2528"/>
      <c r="ED30" s="2527"/>
      <c r="EE30" s="2529"/>
      <c r="EF30" s="2528"/>
      <c r="EG30" s="2528"/>
      <c r="EH30" s="2528"/>
      <c r="EI30" s="2528"/>
      <c r="EJ30" s="2528"/>
      <c r="EK30" s="2528"/>
      <c r="EL30" s="2528"/>
      <c r="EM30" s="2528"/>
      <c r="EN30" s="2528"/>
      <c r="EO30" s="2528"/>
      <c r="EP30" s="2528"/>
      <c r="EQ30" s="2527"/>
      <c r="ER30" s="2529"/>
      <c r="ES30" s="2528"/>
      <c r="ET30" s="2528"/>
      <c r="EU30" s="2528"/>
      <c r="EV30" s="2528"/>
      <c r="EW30" s="2528"/>
      <c r="EX30" s="2528"/>
      <c r="EY30" s="2528"/>
      <c r="EZ30" s="2528"/>
      <c r="FA30" s="2528"/>
      <c r="FB30" s="2528"/>
      <c r="FC30" s="2528"/>
      <c r="FD30" s="2527"/>
      <c r="FE30" s="2529"/>
      <c r="FF30" s="2528"/>
      <c r="FG30" s="2528"/>
      <c r="FH30" s="2528"/>
      <c r="FI30" s="2528"/>
      <c r="FJ30" s="2528"/>
      <c r="FK30" s="2528"/>
      <c r="FL30" s="2528"/>
      <c r="FM30" s="2528"/>
      <c r="FN30" s="2528"/>
      <c r="FO30" s="2528"/>
      <c r="FP30" s="2528"/>
      <c r="FQ30" s="2527"/>
      <c r="FR30" s="2529"/>
      <c r="FS30" s="2528"/>
      <c r="FT30" s="2528"/>
      <c r="FU30" s="2528"/>
      <c r="FV30" s="2528"/>
      <c r="FW30" s="2528"/>
      <c r="FX30" s="2528"/>
      <c r="FY30" s="2528"/>
      <c r="FZ30" s="2528"/>
      <c r="GA30" s="2528"/>
      <c r="GB30" s="2528"/>
      <c r="GC30" s="2528"/>
      <c r="GD30" s="2527"/>
      <c r="GE30" s="2529"/>
      <c r="GF30" s="2528"/>
      <c r="GG30" s="2528"/>
      <c r="GH30" s="2528"/>
      <c r="GI30" s="2528"/>
      <c r="GJ30" s="2528"/>
      <c r="GK30" s="2528"/>
      <c r="GL30" s="2528"/>
      <c r="GM30" s="2528"/>
      <c r="GN30" s="2528"/>
      <c r="GO30" s="2528"/>
      <c r="GP30" s="2528"/>
      <c r="GQ30" s="2527"/>
      <c r="GR30" s="2529"/>
      <c r="GS30" s="2528"/>
      <c r="GT30" s="2528"/>
      <c r="GU30" s="2528"/>
      <c r="GV30" s="2528"/>
      <c r="GW30" s="2528"/>
      <c r="GX30" s="2528"/>
      <c r="GY30" s="2528"/>
      <c r="GZ30" s="2528"/>
      <c r="HA30" s="2528"/>
      <c r="HB30" s="2528"/>
      <c r="HC30" s="2528"/>
      <c r="HD30" s="2527"/>
      <c r="HE30" s="2529"/>
      <c r="HF30" s="2528"/>
      <c r="HG30" s="2528"/>
      <c r="HH30" s="2528"/>
      <c r="HI30" s="2528"/>
      <c r="HJ30" s="2528"/>
      <c r="HK30" s="2528"/>
      <c r="HL30" s="2528"/>
      <c r="HM30" s="2528"/>
      <c r="HN30" s="2528"/>
      <c r="HO30" s="2528"/>
      <c r="HP30" s="2528"/>
      <c r="HQ30" s="2527"/>
      <c r="HR30" s="2529"/>
      <c r="HS30" s="2528"/>
      <c r="HT30" s="2528"/>
      <c r="HU30" s="2528"/>
      <c r="HV30" s="2528"/>
      <c r="HW30" s="2528"/>
      <c r="HX30" s="2528"/>
      <c r="HY30" s="2528"/>
      <c r="HZ30" s="2528"/>
      <c r="IA30" s="2528"/>
      <c r="IB30" s="2528"/>
      <c r="IC30" s="2528"/>
      <c r="ID30" s="2527"/>
      <c r="IE30" s="2529"/>
      <c r="IF30" s="2528"/>
      <c r="IG30" s="2528"/>
      <c r="IH30" s="2528"/>
      <c r="II30" s="2528"/>
      <c r="IJ30" s="2528"/>
      <c r="IK30" s="2528"/>
      <c r="IL30" s="2528"/>
      <c r="IM30" s="2528"/>
      <c r="IN30" s="2528"/>
      <c r="IO30" s="2528"/>
      <c r="IP30" s="2528"/>
      <c r="IQ30" s="2527"/>
      <c r="IR30" s="2529"/>
      <c r="IS30" s="2528"/>
      <c r="IT30" s="2528"/>
      <c r="IU30" s="2528"/>
      <c r="IV30" s="2528"/>
    </row>
    <row r="31" spans="3:256" ht="15.75" customHeight="1" outlineLevel="1">
      <c r="C31" s="2524" t="str">
        <f>Subscribers!A150</f>
        <v>Other</v>
      </c>
      <c r="D31" s="2527">
        <f>Subscribers!BP150</f>
        <v>247</v>
      </c>
      <c r="E31" s="2527">
        <f>Subscribers!BQ150</f>
        <v>246</v>
      </c>
      <c r="F31" s="2527">
        <f>Subscribers!BR150</f>
        <v>254</v>
      </c>
      <c r="G31" s="2527">
        <f>Subscribers!BS150</f>
        <v>266</v>
      </c>
      <c r="H31" s="2527">
        <f>Subscribers!BT150</f>
        <v>266</v>
      </c>
      <c r="I31" s="2527">
        <f>Subscribers!BU150</f>
        <v>257</v>
      </c>
      <c r="J31" s="2527">
        <f>Subscribers!BV150</f>
        <v>267</v>
      </c>
      <c r="K31" s="2527">
        <f>Subscribers!BW150</f>
        <v>257</v>
      </c>
      <c r="L31" s="2527">
        <f>Subscribers!BX150</f>
        <v>249</v>
      </c>
      <c r="M31" s="2527">
        <f>Subscribers!BY150</f>
        <v>248</v>
      </c>
      <c r="N31" s="2527">
        <f>Subscribers!BZ150</f>
        <v>246</v>
      </c>
      <c r="O31" s="2527">
        <f>Subscribers!CA150</f>
        <v>254</v>
      </c>
      <c r="P31" s="2527">
        <f>Subscribers!CB150</f>
        <v>253</v>
      </c>
      <c r="Q31" s="2527">
        <f>Subscribers!CC150</f>
        <v>250</v>
      </c>
      <c r="R31" s="2527">
        <f>Subscribers!CD150</f>
        <v>246</v>
      </c>
      <c r="S31" s="2527">
        <f>Subscribers!CE150</f>
        <v>257</v>
      </c>
      <c r="T31" s="2527">
        <f>Subscribers!CF150</f>
        <v>258</v>
      </c>
      <c r="U31" s="2527">
        <f>Subscribers!CG150</f>
        <v>409</v>
      </c>
      <c r="V31" s="2527">
        <f>Subscribers!CH150</f>
        <v>308</v>
      </c>
      <c r="W31" s="2527">
        <f>Subscribers!CI150</f>
        <v>308</v>
      </c>
      <c r="X31" s="2527">
        <f>Subscribers!CJ150</f>
        <v>307</v>
      </c>
      <c r="Y31" s="2527">
        <f>Subscribers!CK150</f>
        <v>304</v>
      </c>
      <c r="Z31" s="2527">
        <f>Subscribers!CL150</f>
        <v>296</v>
      </c>
      <c r="AA31" s="2527"/>
      <c r="AB31" s="2527"/>
      <c r="AD31" s="2525"/>
      <c r="AQ31" s="2525"/>
      <c r="BD31" s="2525"/>
      <c r="BQ31" s="2525"/>
      <c r="CD31" s="2525"/>
      <c r="CQ31" s="2525"/>
      <c r="DD31" s="2525"/>
      <c r="DQ31" s="2525"/>
      <c r="ED31" s="2525"/>
      <c r="EQ31" s="2525"/>
      <c r="FD31" s="2525"/>
      <c r="FQ31" s="2525"/>
      <c r="GD31" s="2525"/>
      <c r="GQ31" s="2525"/>
      <c r="HD31" s="2525"/>
      <c r="HQ31" s="2525"/>
      <c r="ID31" s="2525"/>
      <c r="IQ31" s="2525"/>
    </row>
    <row r="32" spans="3:256" ht="15.75" customHeight="1" outlineLevel="1">
      <c r="C32" s="2613" t="str">
        <f>Subscribers!A154</f>
        <v>TOTAL REVENUE</v>
      </c>
      <c r="D32" s="2527">
        <f>Subscribers!BP154</f>
        <v>4669</v>
      </c>
      <c r="E32" s="2527">
        <f>Subscribers!BQ154</f>
        <v>4633</v>
      </c>
      <c r="F32" s="2527">
        <f>Subscribers!BR154</f>
        <v>4653</v>
      </c>
      <c r="G32" s="2527">
        <f>Subscribers!BS154</f>
        <v>4610</v>
      </c>
      <c r="H32" s="2527">
        <f>Subscribers!BT154</f>
        <v>4612</v>
      </c>
      <c r="I32" s="2527">
        <f>Subscribers!BU154</f>
        <v>4571</v>
      </c>
      <c r="J32" s="2527">
        <f>Subscribers!BV154</f>
        <v>4584</v>
      </c>
      <c r="K32" s="2527">
        <f>Subscribers!BW154</f>
        <v>4513</v>
      </c>
      <c r="L32" s="2527">
        <f>Subscribers!BX154</f>
        <v>4525</v>
      </c>
      <c r="M32" s="2527">
        <f>Subscribers!BY154</f>
        <v>4515</v>
      </c>
      <c r="N32" s="2527">
        <f>Subscribers!BZ154</f>
        <v>4542</v>
      </c>
      <c r="O32" s="2527">
        <f>Subscribers!CA154</f>
        <v>4538</v>
      </c>
      <c r="P32" s="2527">
        <f>Subscribers!CB154</f>
        <v>4540</v>
      </c>
      <c r="Q32" s="2527">
        <f>Subscribers!CC154</f>
        <v>4513</v>
      </c>
      <c r="R32" s="2527">
        <f>Subscribers!CD154</f>
        <v>4436</v>
      </c>
      <c r="S32" s="2527">
        <f>Subscribers!CE154</f>
        <v>4451</v>
      </c>
      <c r="T32" s="2527">
        <f>Subscribers!CF154</f>
        <v>4419</v>
      </c>
      <c r="U32" s="2527">
        <f>Subscribers!CG154</f>
        <v>4554</v>
      </c>
      <c r="V32" s="2527">
        <f>Subscribers!CH154</f>
        <v>4476</v>
      </c>
      <c r="W32" s="2527">
        <f>Subscribers!CI154</f>
        <v>4401</v>
      </c>
      <c r="X32" s="2527">
        <f>Subscribers!CJ154</f>
        <v>4398</v>
      </c>
      <c r="Y32" s="2527">
        <f>Subscribers!CK154</f>
        <v>4382</v>
      </c>
      <c r="Z32" s="2527">
        <f>Subscribers!CL154</f>
        <v>4289</v>
      </c>
      <c r="AA32" s="2527"/>
      <c r="AB32" s="2527"/>
      <c r="AC32" s="2528"/>
      <c r="AD32" s="2527"/>
      <c r="AE32" s="2529"/>
      <c r="AF32" s="2528"/>
      <c r="AG32" s="2528"/>
      <c r="AH32" s="2528"/>
      <c r="AI32" s="2528"/>
      <c r="AJ32" s="2528"/>
      <c r="AK32" s="2528"/>
      <c r="AL32" s="2528"/>
      <c r="AM32" s="2528"/>
      <c r="AN32" s="2528"/>
      <c r="AO32" s="2528"/>
      <c r="AP32" s="2528"/>
      <c r="AQ32" s="2527"/>
      <c r="AR32" s="2529"/>
      <c r="AS32" s="2528"/>
      <c r="AT32" s="2528"/>
      <c r="AU32" s="2528"/>
      <c r="AV32" s="2528"/>
      <c r="AW32" s="2528"/>
      <c r="AX32" s="2528"/>
      <c r="AY32" s="2528"/>
      <c r="AZ32" s="2528"/>
      <c r="BA32" s="2528"/>
      <c r="BB32" s="2528"/>
      <c r="BC32" s="2528"/>
      <c r="BD32" s="2527"/>
      <c r="BE32" s="2529"/>
      <c r="BF32" s="2528"/>
      <c r="BG32" s="2528"/>
      <c r="BH32" s="2528"/>
      <c r="BI32" s="2528"/>
      <c r="BJ32" s="2528"/>
      <c r="BK32" s="2528"/>
      <c r="BL32" s="2528"/>
      <c r="BM32" s="2528"/>
      <c r="BN32" s="2528"/>
      <c r="BO32" s="2528"/>
      <c r="BP32" s="2528"/>
      <c r="BQ32" s="2527"/>
      <c r="BR32" s="2529"/>
      <c r="BS32" s="2528"/>
      <c r="BT32" s="2528"/>
      <c r="BU32" s="2528"/>
      <c r="BV32" s="2528"/>
      <c r="BW32" s="2528"/>
      <c r="BX32" s="2528"/>
      <c r="BY32" s="2528"/>
      <c r="BZ32" s="2528"/>
      <c r="CA32" s="2528"/>
      <c r="CB32" s="2528"/>
      <c r="CC32" s="2528"/>
      <c r="CD32" s="2527"/>
      <c r="CE32" s="2529"/>
      <c r="CF32" s="2528"/>
      <c r="CG32" s="2528"/>
      <c r="CH32" s="2528"/>
      <c r="CI32" s="2528"/>
      <c r="CJ32" s="2528"/>
      <c r="CK32" s="2528"/>
      <c r="CL32" s="2528"/>
      <c r="CM32" s="2528"/>
      <c r="CN32" s="2528"/>
      <c r="CO32" s="2528"/>
      <c r="CP32" s="2528"/>
      <c r="CQ32" s="2527"/>
      <c r="CR32" s="2529"/>
      <c r="CS32" s="2528"/>
      <c r="CT32" s="2528"/>
      <c r="CU32" s="2528"/>
      <c r="CV32" s="2528"/>
      <c r="CW32" s="2528"/>
      <c r="CX32" s="2528"/>
      <c r="CY32" s="2528"/>
      <c r="CZ32" s="2528"/>
      <c r="DA32" s="2528"/>
      <c r="DB32" s="2528"/>
      <c r="DC32" s="2528"/>
      <c r="DD32" s="2527"/>
      <c r="DE32" s="2529"/>
      <c r="DF32" s="2528"/>
      <c r="DG32" s="2528"/>
      <c r="DH32" s="2528"/>
      <c r="DI32" s="2528"/>
      <c r="DJ32" s="2528"/>
      <c r="DK32" s="2528"/>
      <c r="DL32" s="2528"/>
      <c r="DM32" s="2528"/>
      <c r="DN32" s="2528"/>
      <c r="DO32" s="2528"/>
      <c r="DP32" s="2528"/>
      <c r="DQ32" s="2527"/>
      <c r="DR32" s="2529"/>
      <c r="DS32" s="2528"/>
      <c r="DT32" s="2528"/>
      <c r="DU32" s="2528"/>
      <c r="DV32" s="2528"/>
      <c r="DW32" s="2528"/>
      <c r="DX32" s="2528"/>
      <c r="DY32" s="2528"/>
      <c r="DZ32" s="2528"/>
      <c r="EA32" s="2528"/>
      <c r="EB32" s="2528"/>
      <c r="EC32" s="2528"/>
      <c r="ED32" s="2527"/>
      <c r="EE32" s="2529"/>
      <c r="EF32" s="2528"/>
      <c r="EG32" s="2528"/>
      <c r="EH32" s="2528"/>
      <c r="EI32" s="2528"/>
      <c r="EJ32" s="2528"/>
      <c r="EK32" s="2528"/>
      <c r="EL32" s="2528"/>
      <c r="EM32" s="2528"/>
      <c r="EN32" s="2528"/>
      <c r="EO32" s="2528"/>
      <c r="EP32" s="2528"/>
      <c r="EQ32" s="2527"/>
      <c r="ER32" s="2529"/>
      <c r="ES32" s="2528"/>
      <c r="ET32" s="2528"/>
      <c r="EU32" s="2528"/>
      <c r="EV32" s="2528"/>
      <c r="EW32" s="2528"/>
      <c r="EX32" s="2528"/>
      <c r="EY32" s="2528"/>
      <c r="EZ32" s="2528"/>
      <c r="FA32" s="2528"/>
      <c r="FB32" s="2528"/>
      <c r="FC32" s="2528"/>
      <c r="FD32" s="2527"/>
      <c r="FE32" s="2529"/>
      <c r="FF32" s="2528"/>
      <c r="FG32" s="2528"/>
      <c r="FH32" s="2528"/>
      <c r="FI32" s="2528"/>
      <c r="FJ32" s="2528"/>
      <c r="FK32" s="2528"/>
      <c r="FL32" s="2528"/>
      <c r="FM32" s="2528"/>
      <c r="FN32" s="2528"/>
      <c r="FO32" s="2528"/>
      <c r="FP32" s="2528"/>
      <c r="FQ32" s="2527"/>
      <c r="FR32" s="2529"/>
      <c r="FS32" s="2528"/>
      <c r="FT32" s="2528"/>
      <c r="FU32" s="2528"/>
      <c r="FV32" s="2528"/>
      <c r="FW32" s="2528"/>
      <c r="FX32" s="2528"/>
      <c r="FY32" s="2528"/>
      <c r="FZ32" s="2528"/>
      <c r="GA32" s="2528"/>
      <c r="GB32" s="2528"/>
      <c r="GC32" s="2528"/>
      <c r="GD32" s="2527"/>
      <c r="GE32" s="2529"/>
      <c r="GF32" s="2528"/>
      <c r="GG32" s="2528"/>
      <c r="GH32" s="2528"/>
      <c r="GI32" s="2528"/>
      <c r="GJ32" s="2528"/>
      <c r="GK32" s="2528"/>
      <c r="GL32" s="2528"/>
      <c r="GM32" s="2528"/>
      <c r="GN32" s="2528"/>
      <c r="GO32" s="2528"/>
      <c r="GP32" s="2528"/>
      <c r="GQ32" s="2527"/>
      <c r="GR32" s="2529"/>
      <c r="GS32" s="2528"/>
      <c r="GT32" s="2528"/>
      <c r="GU32" s="2528"/>
      <c r="GV32" s="2528"/>
      <c r="GW32" s="2528"/>
      <c r="GX32" s="2528"/>
      <c r="GY32" s="2528"/>
      <c r="GZ32" s="2528"/>
      <c r="HA32" s="2528"/>
      <c r="HB32" s="2528"/>
      <c r="HC32" s="2528"/>
      <c r="HD32" s="2527"/>
      <c r="HE32" s="2529"/>
      <c r="HF32" s="2528"/>
      <c r="HG32" s="2528"/>
      <c r="HH32" s="2528"/>
      <c r="HI32" s="2528"/>
      <c r="HJ32" s="2528"/>
      <c r="HK32" s="2528"/>
      <c r="HL32" s="2528"/>
      <c r="HM32" s="2528"/>
      <c r="HN32" s="2528"/>
      <c r="HO32" s="2528"/>
      <c r="HP32" s="2528"/>
      <c r="HQ32" s="2527"/>
      <c r="HR32" s="2529"/>
      <c r="HS32" s="2528"/>
      <c r="HT32" s="2528"/>
      <c r="HU32" s="2528"/>
      <c r="HV32" s="2528"/>
      <c r="HW32" s="2528"/>
      <c r="HX32" s="2528"/>
      <c r="HY32" s="2528"/>
      <c r="HZ32" s="2528"/>
      <c r="IA32" s="2528"/>
      <c r="IB32" s="2528"/>
      <c r="IC32" s="2528"/>
      <c r="ID32" s="2527"/>
      <c r="IE32" s="2529"/>
      <c r="IF32" s="2528"/>
      <c r="IG32" s="2528"/>
      <c r="IH32" s="2528"/>
      <c r="II32" s="2528"/>
      <c r="IJ32" s="2528"/>
      <c r="IK32" s="2528"/>
      <c r="IL32" s="2528"/>
      <c r="IM32" s="2528"/>
      <c r="IN32" s="2528"/>
      <c r="IO32" s="2528"/>
      <c r="IP32" s="2528"/>
      <c r="IQ32" s="2527"/>
      <c r="IR32" s="2529"/>
      <c r="IS32" s="2528"/>
      <c r="IT32" s="2528"/>
      <c r="IU32" s="2528"/>
      <c r="IV32" s="2528"/>
    </row>
    <row r="33" spans="3:251" ht="15.75" customHeight="1" outlineLevel="1">
      <c r="C33" s="2613" t="str">
        <f>Subscribers!A157</f>
        <v>CORE REVENUE</v>
      </c>
      <c r="D33" s="2527">
        <f>Subscribers!BP157</f>
        <v>4271</v>
      </c>
      <c r="E33" s="2527">
        <f>Subscribers!BQ157</f>
        <v>4221</v>
      </c>
      <c r="F33" s="2527">
        <f>Subscribers!BR157</f>
        <v>4211</v>
      </c>
      <c r="G33" s="2527">
        <f>Subscribers!BS157</f>
        <v>4199</v>
      </c>
      <c r="H33" s="2527">
        <f>Subscribers!BT157</f>
        <v>4176</v>
      </c>
      <c r="I33" s="2527">
        <f>Subscribers!BU157</f>
        <v>4146</v>
      </c>
      <c r="J33" s="2527">
        <f>Subscribers!BV157</f>
        <v>4128</v>
      </c>
      <c r="K33" s="2527">
        <f>Subscribers!BW157</f>
        <v>4116</v>
      </c>
      <c r="L33" s="2527">
        <f>Subscribers!BX157</f>
        <v>4109</v>
      </c>
      <c r="M33" s="2527">
        <f>Subscribers!BY157</f>
        <v>4104</v>
      </c>
      <c r="N33" s="2527">
        <f>Subscribers!BZ157</f>
        <v>4110</v>
      </c>
      <c r="O33" s="2527">
        <f>Subscribers!CA157</f>
        <v>4110</v>
      </c>
      <c r="P33" s="2527">
        <f>Subscribers!CB157</f>
        <v>4100</v>
      </c>
      <c r="Q33" s="2527">
        <f>Subscribers!CC157</f>
        <v>4078</v>
      </c>
      <c r="R33" s="2527">
        <f>Subscribers!CD157</f>
        <v>4046</v>
      </c>
      <c r="S33" s="2527">
        <f>Subscribers!CE157</f>
        <v>4054</v>
      </c>
      <c r="T33" s="2527">
        <f>Subscribers!CF157</f>
        <v>4018</v>
      </c>
      <c r="U33" s="2527">
        <f>Subscribers!CG157</f>
        <v>3991</v>
      </c>
      <c r="V33" s="2527">
        <f>Subscribers!CH157</f>
        <v>4028</v>
      </c>
      <c r="W33" s="2527">
        <f>Subscribers!CI157</f>
        <v>3977</v>
      </c>
      <c r="X33" s="2527">
        <f>Subscribers!CJ157</f>
        <v>3968</v>
      </c>
      <c r="Y33" s="2527">
        <f>Subscribers!CK157</f>
        <v>3915</v>
      </c>
      <c r="Z33" s="2527">
        <f>Subscribers!CL157</f>
        <v>3862</v>
      </c>
      <c r="AA33" s="2527"/>
      <c r="AB33" s="2527"/>
      <c r="AD33" s="2525"/>
      <c r="AQ33" s="2525"/>
      <c r="BD33" s="2525"/>
      <c r="BQ33" s="2525"/>
      <c r="CD33" s="2525"/>
      <c r="CQ33" s="2525"/>
      <c r="DD33" s="2525"/>
      <c r="DQ33" s="2525"/>
      <c r="ED33" s="2525"/>
      <c r="EQ33" s="2525"/>
      <c r="FD33" s="2525"/>
      <c r="FQ33" s="2525"/>
      <c r="GD33" s="2525"/>
      <c r="GQ33" s="2525"/>
      <c r="HD33" s="2525"/>
      <c r="HQ33" s="2525"/>
      <c r="ID33" s="2525"/>
      <c r="IQ33" s="2525"/>
    </row>
    <row r="34" spans="3:251" ht="15.75" customHeight="1" outlineLevel="1">
      <c r="C34" s="2524" t="s">
        <v>130</v>
      </c>
      <c r="D34" s="2694">
        <f>Subscribers!BP158</f>
        <v>0</v>
      </c>
      <c r="E34" s="2694">
        <f>Subscribers!BQ158</f>
        <v>0</v>
      </c>
      <c r="F34" s="2694">
        <f>Subscribers!BR158</f>
        <v>0</v>
      </c>
      <c r="G34" s="2694">
        <f>Subscribers!BS158</f>
        <v>-3.0030030030030019E-2</v>
      </c>
      <c r="H34" s="2694">
        <f>Subscribers!BT158</f>
        <v>-2.2243034418168994E-2</v>
      </c>
      <c r="I34" s="2694">
        <f>Subscribers!BU158</f>
        <v>-1.7768301350390869E-2</v>
      </c>
      <c r="J34" s="2694">
        <f>Subscribers!BV158</f>
        <v>-1.9710282593208284E-2</v>
      </c>
      <c r="K34" s="2694">
        <f>Subscribers!BW158</f>
        <v>-1.9766611097880471E-2</v>
      </c>
      <c r="L34" s="2694">
        <f>Subscribers!BX158</f>
        <v>-1.6044061302681989E-2</v>
      </c>
      <c r="M34" s="2694">
        <f>Subscribers!BY158</f>
        <v>-1.0130246020260469E-2</v>
      </c>
      <c r="N34" s="2694">
        <f>Subscribers!BZ158</f>
        <v>-4.3604651162790775E-3</v>
      </c>
      <c r="O34" s="2694">
        <f>Subscribers!CA158</f>
        <v>-1.4577259475219151E-3</v>
      </c>
      <c r="P34" s="2694">
        <f>Subscribers!CB158</f>
        <v>-2.1903139449988007E-3</v>
      </c>
      <c r="Q34" s="2694">
        <f>Subscribers!CC158</f>
        <v>-6.3352826510720828E-3</v>
      </c>
      <c r="R34" s="2694">
        <f>Subscribers!CD158</f>
        <v>-1.5571776155717809E-2</v>
      </c>
      <c r="S34" s="2694">
        <f>Subscribers!CE158</f>
        <v>-1.3625304136253069E-2</v>
      </c>
      <c r="T34" s="2694">
        <f>Subscribers!CF158</f>
        <v>-2.0000000000000018E-2</v>
      </c>
      <c r="U34" s="2694">
        <f>Subscribers!CG158</f>
        <v>-2.133398724865132E-2</v>
      </c>
      <c r="V34" s="2694">
        <f>Subscribers!CH158</f>
        <v>-4.4488383588729974E-3</v>
      </c>
      <c r="W34" s="2694">
        <f>Subscribers!CI158</f>
        <v>-1.8993586581154465E-2</v>
      </c>
      <c r="X34" s="2694">
        <f>Subscribers!CJ158</f>
        <v>-1.2444001991040343E-2</v>
      </c>
      <c r="Y34" s="2694">
        <f>Subscribers!CK158</f>
        <v>-1.9042846404409897E-2</v>
      </c>
      <c r="Z34" s="2694">
        <f>Subscribers!CL158</f>
        <v>-4.121151936444889E-2</v>
      </c>
      <c r="AA34" s="2694"/>
      <c r="AB34" s="2694"/>
    </row>
    <row r="35" spans="3:251" ht="15.75" customHeight="1" outlineLevel="1">
      <c r="C35" s="2524" t="s">
        <v>1228</v>
      </c>
      <c r="D35" s="2533">
        <f t="shared" ref="D35:Z35" si="1">D28/D$33</f>
        <v>0.46616717396394286</v>
      </c>
      <c r="E35" s="2533">
        <f t="shared" si="1"/>
        <v>0.47287372660506988</v>
      </c>
      <c r="F35" s="2533">
        <f t="shared" si="1"/>
        <v>0.4827831868914747</v>
      </c>
      <c r="G35" s="2533">
        <f t="shared" si="1"/>
        <v>0.4929745177423196</v>
      </c>
      <c r="H35" s="2533">
        <f t="shared" si="1"/>
        <v>0.50143678160919536</v>
      </c>
      <c r="I35" s="2533">
        <f t="shared" si="1"/>
        <v>0.51109503135552337</v>
      </c>
      <c r="J35" s="2533">
        <f t="shared" si="1"/>
        <v>0.51962209302325579</v>
      </c>
      <c r="K35" s="2533">
        <f t="shared" si="1"/>
        <v>0.52575315840621961</v>
      </c>
      <c r="L35" s="2533">
        <f t="shared" si="1"/>
        <v>0.53200292041859332</v>
      </c>
      <c r="M35" s="2533">
        <f t="shared" si="1"/>
        <v>0.53898635477582846</v>
      </c>
      <c r="N35" s="2533">
        <f t="shared" si="1"/>
        <v>0.55012165450121653</v>
      </c>
      <c r="O35" s="2533">
        <f t="shared" si="1"/>
        <v>0.55255474452554743</v>
      </c>
      <c r="P35" s="2533">
        <f t="shared" si="1"/>
        <v>0.44243902439024391</v>
      </c>
      <c r="Q35" s="2533">
        <f t="shared" si="1"/>
        <v>0.45242766061794998</v>
      </c>
      <c r="R35" s="2533">
        <f t="shared" si="1"/>
        <v>0.46094908551655955</v>
      </c>
      <c r="S35" s="2533">
        <f t="shared" si="1"/>
        <v>0.46941292550567343</v>
      </c>
      <c r="T35" s="2533">
        <f t="shared" si="1"/>
        <v>0.4800895968143355</v>
      </c>
      <c r="U35" s="2533">
        <f t="shared" si="1"/>
        <v>0.48634427461789026</v>
      </c>
      <c r="V35" s="2533">
        <f t="shared" si="1"/>
        <v>0.49751737835153925</v>
      </c>
      <c r="W35" s="2533">
        <f t="shared" si="1"/>
        <v>0.50314307266784009</v>
      </c>
      <c r="X35" s="2533">
        <f t="shared" si="1"/>
        <v>0.514616935483871</v>
      </c>
      <c r="Y35" s="2533">
        <f t="shared" si="1"/>
        <v>0.51775223499361434</v>
      </c>
      <c r="Z35" s="2533">
        <f t="shared" si="1"/>
        <v>0.52511651993785602</v>
      </c>
      <c r="AA35" s="2533"/>
      <c r="AB35" s="2533"/>
    </row>
    <row r="36" spans="3:251" ht="15.75" customHeight="1" outlineLevel="1">
      <c r="C36" s="2524" t="s">
        <v>1229</v>
      </c>
      <c r="D36" s="2533">
        <f t="shared" ref="D36:Z36" si="2">D29/D$33</f>
        <v>0.53383282603605708</v>
      </c>
      <c r="E36" s="2533">
        <f t="shared" si="2"/>
        <v>0.52712627339493012</v>
      </c>
      <c r="F36" s="2533">
        <f t="shared" si="2"/>
        <v>0.5172168131085253</v>
      </c>
      <c r="G36" s="2533">
        <f t="shared" si="2"/>
        <v>0.5070254822576804</v>
      </c>
      <c r="H36" s="2533">
        <f t="shared" si="2"/>
        <v>0.49856321839080459</v>
      </c>
      <c r="I36" s="2533">
        <f t="shared" si="2"/>
        <v>0.48890496864447658</v>
      </c>
      <c r="J36" s="2533">
        <f t="shared" si="2"/>
        <v>0.48037790697674421</v>
      </c>
      <c r="K36" s="2533">
        <f t="shared" si="2"/>
        <v>0.47424684159378039</v>
      </c>
      <c r="L36" s="2533">
        <f t="shared" si="2"/>
        <v>0.46799707958140668</v>
      </c>
      <c r="M36" s="2533">
        <f t="shared" si="2"/>
        <v>0.46101364522417154</v>
      </c>
      <c r="N36" s="2533">
        <f t="shared" si="2"/>
        <v>0.44987834549878347</v>
      </c>
      <c r="O36" s="2533">
        <f t="shared" si="2"/>
        <v>0.44744525547445257</v>
      </c>
      <c r="P36" s="2533">
        <f t="shared" si="2"/>
        <v>0.55756097560975615</v>
      </c>
      <c r="Q36" s="2533">
        <f t="shared" si="2"/>
        <v>0.54757233938205008</v>
      </c>
      <c r="R36" s="2533">
        <f t="shared" si="2"/>
        <v>0.53905091448344045</v>
      </c>
      <c r="S36" s="2533">
        <f t="shared" si="2"/>
        <v>0.53058707449432663</v>
      </c>
      <c r="T36" s="2533">
        <f t="shared" si="2"/>
        <v>0.5199104031856645</v>
      </c>
      <c r="U36" s="2533">
        <f t="shared" si="2"/>
        <v>0.5136557253821098</v>
      </c>
      <c r="V36" s="2533">
        <f t="shared" si="2"/>
        <v>0.5024826216484608</v>
      </c>
      <c r="W36" s="2533">
        <f t="shared" si="2"/>
        <v>0.49685692733215991</v>
      </c>
      <c r="X36" s="2533">
        <f t="shared" si="2"/>
        <v>0.48538306451612906</v>
      </c>
      <c r="Y36" s="2533">
        <f t="shared" si="2"/>
        <v>0.48224776500638572</v>
      </c>
      <c r="Z36" s="2533">
        <f t="shared" si="2"/>
        <v>0.47488348006214398</v>
      </c>
      <c r="AA36" s="2533"/>
      <c r="AB36" s="2533"/>
    </row>
    <row r="37" spans="3:251" ht="15.75" customHeight="1">
      <c r="D37" s="2533"/>
      <c r="E37" s="2533"/>
      <c r="F37" s="2533"/>
      <c r="G37" s="2533"/>
      <c r="H37" s="2533"/>
      <c r="I37" s="2533"/>
      <c r="J37" s="2533"/>
      <c r="K37" s="2533"/>
      <c r="L37" s="2533"/>
      <c r="M37" s="2533"/>
      <c r="N37" s="2533"/>
      <c r="O37" s="2533"/>
      <c r="P37" s="2533"/>
      <c r="Q37" s="2533"/>
      <c r="R37" s="2533"/>
      <c r="S37" s="2533"/>
      <c r="T37" s="2533"/>
      <c r="U37" s="2533"/>
      <c r="V37" s="2533"/>
      <c r="W37" s="2533"/>
      <c r="X37" s="2533"/>
      <c r="Y37" s="2533"/>
      <c r="Z37" s="2533"/>
      <c r="AA37" s="2533"/>
      <c r="AB37" s="2533"/>
    </row>
    <row r="38" spans="3:251" ht="15.75" customHeight="1">
      <c r="F38" s="2534"/>
      <c r="G38" s="2534"/>
      <c r="H38" s="2534"/>
      <c r="I38" s="2534"/>
      <c r="J38" s="2534"/>
      <c r="K38" s="2534"/>
      <c r="L38" s="2534"/>
      <c r="M38" s="2534"/>
      <c r="N38" s="2534"/>
      <c r="O38" s="2534"/>
      <c r="P38" s="2534"/>
      <c r="R38" s="2534"/>
      <c r="S38" s="2534"/>
      <c r="T38" s="2534"/>
      <c r="U38" s="2534"/>
      <c r="V38" s="2534"/>
      <c r="W38" s="2534"/>
      <c r="X38" s="2534"/>
      <c r="Y38" s="2534"/>
      <c r="Z38" s="2534"/>
      <c r="AA38" s="2534"/>
      <c r="AB38" s="2534"/>
    </row>
    <row r="39" spans="3:251" ht="15.75" customHeight="1">
      <c r="F39" s="2534"/>
      <c r="G39" s="2534"/>
      <c r="H39" s="2534"/>
      <c r="I39" s="2534"/>
      <c r="J39" s="2534"/>
      <c r="K39" s="2534"/>
      <c r="L39" s="2534"/>
      <c r="M39" s="2534"/>
      <c r="N39" s="2534"/>
      <c r="O39" s="2534"/>
      <c r="P39" s="2534"/>
      <c r="R39" s="2534"/>
      <c r="S39" s="2534"/>
      <c r="T39" s="2534"/>
      <c r="U39" s="2534"/>
      <c r="V39" s="2534"/>
      <c r="W39" s="2534"/>
      <c r="X39" s="2534"/>
      <c r="Y39" s="2534"/>
      <c r="Z39" s="2534"/>
      <c r="AA39" s="2534"/>
      <c r="AB39" s="2534"/>
    </row>
    <row r="40" spans="3:251" ht="15.75" customHeight="1">
      <c r="F40" s="2534"/>
      <c r="G40" s="2534"/>
      <c r="H40" s="2534"/>
      <c r="I40" s="2534"/>
      <c r="J40" s="2534"/>
      <c r="K40" s="2534"/>
      <c r="L40" s="2534"/>
      <c r="M40" s="2534"/>
      <c r="N40" s="2534"/>
      <c r="O40" s="2534"/>
      <c r="P40" s="2534"/>
      <c r="R40" s="2534"/>
      <c r="S40" s="2534"/>
      <c r="T40" s="2534"/>
      <c r="U40" s="2534"/>
      <c r="V40" s="2534"/>
      <c r="W40" s="2534"/>
      <c r="X40" s="2534"/>
      <c r="Y40" s="2534"/>
      <c r="Z40" s="2534"/>
      <c r="AA40" s="2534"/>
      <c r="AB40" s="2534"/>
    </row>
    <row r="41" spans="3:251" ht="15.75" customHeight="1">
      <c r="F41" s="2534"/>
      <c r="G41" s="2534"/>
      <c r="H41" s="2534"/>
      <c r="I41" s="2534"/>
      <c r="J41" s="2534"/>
      <c r="K41" s="2534"/>
      <c r="L41" s="2534"/>
      <c r="M41" s="2534"/>
      <c r="N41" s="2534"/>
      <c r="O41" s="2534"/>
      <c r="P41" s="2534"/>
      <c r="R41" s="2534"/>
      <c r="S41" s="2534"/>
      <c r="T41" s="2534"/>
      <c r="U41" s="2534"/>
      <c r="V41" s="2534"/>
      <c r="W41" s="2534"/>
      <c r="X41" s="2534"/>
      <c r="Y41" s="2534"/>
      <c r="Z41" s="2534"/>
      <c r="AA41" s="2534"/>
      <c r="AB41" s="2534"/>
    </row>
    <row r="42" spans="3:251" ht="15.75" customHeight="1">
      <c r="F42" s="2534"/>
      <c r="G42" s="2534"/>
      <c r="H42" s="2534"/>
      <c r="I42" s="2534"/>
      <c r="J42" s="2534"/>
      <c r="K42" s="2534"/>
      <c r="L42" s="2534"/>
      <c r="M42" s="2534"/>
      <c r="N42" s="2534"/>
      <c r="O42" s="2534"/>
      <c r="P42" s="2534"/>
      <c r="R42" s="2534"/>
      <c r="S42" s="2534"/>
      <c r="T42" s="2534"/>
      <c r="U42" s="2534"/>
      <c r="V42" s="2534"/>
      <c r="W42" s="2534"/>
      <c r="X42" s="2534"/>
      <c r="Y42" s="2534"/>
      <c r="Z42" s="2534"/>
      <c r="AA42" s="2534"/>
      <c r="AB42" s="2534"/>
    </row>
    <row r="43" spans="3:251" ht="15.75" customHeight="1">
      <c r="F43" s="2534"/>
      <c r="G43" s="2534"/>
      <c r="H43" s="2534"/>
      <c r="I43" s="2534"/>
      <c r="J43" s="2534"/>
      <c r="K43" s="2534"/>
      <c r="L43" s="2534"/>
      <c r="M43" s="2534"/>
      <c r="N43" s="2534"/>
      <c r="O43" s="2534"/>
      <c r="P43" s="2534"/>
      <c r="R43" s="2534"/>
      <c r="S43" s="2534"/>
      <c r="T43" s="2534"/>
      <c r="U43" s="2534"/>
      <c r="V43" s="2534"/>
      <c r="W43" s="2534"/>
      <c r="X43" s="2534"/>
      <c r="Y43" s="2534"/>
      <c r="Z43" s="2534"/>
      <c r="AA43" s="2534"/>
      <c r="AB43" s="2534"/>
    </row>
    <row r="44" spans="3:251" ht="15.75" customHeight="1">
      <c r="F44" s="2534"/>
      <c r="G44" s="2534"/>
      <c r="H44" s="2534"/>
      <c r="I44" s="2534"/>
      <c r="J44" s="2534"/>
      <c r="K44" s="2534"/>
      <c r="L44" s="2534"/>
      <c r="M44" s="2534"/>
      <c r="N44" s="2534"/>
      <c r="O44" s="2534"/>
      <c r="P44" s="2534"/>
      <c r="R44" s="2534"/>
      <c r="S44" s="2534"/>
      <c r="T44" s="2534"/>
      <c r="U44" s="2534"/>
      <c r="V44" s="2534"/>
      <c r="W44" s="2534"/>
      <c r="X44" s="2534"/>
      <c r="Y44" s="2534"/>
      <c r="Z44" s="2534"/>
      <c r="AA44" s="2534"/>
      <c r="AB44" s="2534"/>
    </row>
    <row r="45" spans="3:251" ht="15.75" customHeight="1">
      <c r="F45" s="2534"/>
      <c r="G45" s="2534"/>
      <c r="H45" s="2534"/>
      <c r="I45" s="2534"/>
      <c r="J45" s="2534"/>
      <c r="K45" s="2534"/>
      <c r="L45" s="2534"/>
      <c r="M45" s="2534"/>
      <c r="N45" s="2534"/>
      <c r="O45" s="2534"/>
      <c r="P45" s="2534"/>
      <c r="R45" s="2534"/>
      <c r="S45" s="2534"/>
      <c r="T45" s="2534"/>
      <c r="U45" s="2534"/>
      <c r="V45" s="2534"/>
      <c r="W45" s="2534"/>
      <c r="X45" s="2534"/>
      <c r="Y45" s="2534"/>
      <c r="Z45" s="2534"/>
      <c r="AA45" s="2534"/>
      <c r="AB45" s="2534"/>
    </row>
    <row r="46" spans="3:251" ht="15.75" customHeight="1">
      <c r="F46" s="2534"/>
      <c r="G46" s="2534"/>
      <c r="H46" s="2534"/>
      <c r="I46" s="2534"/>
      <c r="J46" s="2534"/>
      <c r="K46" s="2534"/>
      <c r="L46" s="2534"/>
      <c r="M46" s="2534"/>
      <c r="N46" s="2534"/>
      <c r="O46" s="2534"/>
      <c r="P46" s="2534"/>
      <c r="R46" s="2534"/>
      <c r="S46" s="2534"/>
      <c r="T46" s="2534"/>
      <c r="U46" s="2534"/>
      <c r="V46" s="2534"/>
      <c r="W46" s="2534"/>
      <c r="X46" s="2534"/>
      <c r="Y46" s="2534"/>
      <c r="Z46" s="2534"/>
      <c r="AA46" s="2534"/>
      <c r="AB46" s="2534"/>
    </row>
    <row r="47" spans="3:251" ht="15.75" customHeight="1">
      <c r="F47" s="2534"/>
      <c r="G47" s="2534"/>
      <c r="H47" s="2534"/>
      <c r="I47" s="2534"/>
      <c r="J47" s="2534"/>
      <c r="K47" s="2534"/>
      <c r="L47" s="2534"/>
      <c r="M47" s="2534"/>
      <c r="N47" s="2534"/>
      <c r="O47" s="2534"/>
      <c r="P47" s="2534"/>
      <c r="R47" s="2534"/>
      <c r="S47" s="2534"/>
      <c r="T47" s="2534"/>
      <c r="U47" s="2534"/>
      <c r="V47" s="2534"/>
      <c r="W47" s="2534"/>
      <c r="X47" s="2534"/>
      <c r="Y47" s="2534"/>
      <c r="Z47" s="2534"/>
      <c r="AA47" s="2534"/>
      <c r="AB47" s="2534"/>
    </row>
    <row r="48" spans="3:251" ht="15.75" customHeight="1">
      <c r="F48" s="2534"/>
      <c r="G48" s="2534"/>
      <c r="H48" s="2534"/>
      <c r="I48" s="2534"/>
      <c r="J48" s="2534"/>
      <c r="K48" s="2534"/>
      <c r="L48" s="2534"/>
      <c r="M48" s="2534"/>
      <c r="N48" s="2534"/>
      <c r="O48" s="2534"/>
      <c r="P48" s="2534"/>
      <c r="R48" s="2534"/>
      <c r="S48" s="2534"/>
      <c r="T48" s="2534"/>
      <c r="U48" s="2534"/>
      <c r="V48" s="2534"/>
      <c r="W48" s="2534"/>
      <c r="X48" s="2534"/>
      <c r="Y48" s="2534"/>
      <c r="Z48" s="2534"/>
      <c r="AA48" s="2534"/>
      <c r="AB48" s="2534"/>
    </row>
    <row r="49" spans="3:40" ht="15.75" customHeight="1">
      <c r="F49" s="2534"/>
      <c r="G49" s="2534"/>
      <c r="H49" s="2534"/>
      <c r="I49" s="2534"/>
      <c r="J49" s="2534"/>
      <c r="K49" s="2534"/>
      <c r="L49" s="2534"/>
      <c r="M49" s="2534"/>
      <c r="N49" s="2534"/>
      <c r="O49" s="2534"/>
      <c r="P49" s="2534"/>
      <c r="R49" s="2534"/>
      <c r="S49" s="2534"/>
      <c r="T49" s="2534"/>
      <c r="U49" s="2534"/>
      <c r="V49" s="2534"/>
      <c r="W49" s="2534"/>
      <c r="X49" s="2534"/>
      <c r="Y49" s="2534"/>
      <c r="Z49" s="2534"/>
      <c r="AA49" s="2534"/>
      <c r="AB49" s="2534"/>
    </row>
    <row r="50" spans="3:40" ht="15.75" customHeight="1">
      <c r="F50" s="2534"/>
      <c r="G50" s="2534"/>
      <c r="H50" s="2534"/>
      <c r="I50" s="2534"/>
      <c r="J50" s="2534"/>
      <c r="K50" s="2534"/>
      <c r="L50" s="2534"/>
      <c r="M50" s="2534"/>
      <c r="N50" s="2534"/>
      <c r="O50" s="2534"/>
      <c r="P50" s="2534"/>
      <c r="R50" s="2534"/>
      <c r="S50" s="2534"/>
      <c r="T50" s="2534"/>
      <c r="U50" s="2534"/>
      <c r="V50" s="2534"/>
      <c r="W50" s="2534"/>
      <c r="X50" s="2534"/>
      <c r="Y50" s="2534"/>
      <c r="Z50" s="2534"/>
      <c r="AA50" s="2534"/>
      <c r="AB50" s="2534"/>
    </row>
    <row r="51" spans="3:40" ht="15.75" customHeight="1">
      <c r="F51" s="2534"/>
      <c r="G51" s="2534"/>
      <c r="H51" s="2534"/>
      <c r="I51" s="2534"/>
      <c r="J51" s="2534"/>
      <c r="K51" s="2534"/>
      <c r="L51" s="2534"/>
      <c r="M51" s="2534"/>
      <c r="N51" s="2534"/>
      <c r="O51" s="2534"/>
      <c r="P51" s="2534"/>
      <c r="R51" s="2534"/>
      <c r="S51" s="2534"/>
      <c r="T51" s="2534"/>
      <c r="U51" s="2534"/>
      <c r="V51" s="2534"/>
      <c r="W51" s="2534"/>
      <c r="X51" s="2534"/>
      <c r="Y51" s="2534"/>
      <c r="Z51" s="2534"/>
      <c r="AA51" s="2534"/>
      <c r="AB51" s="2534"/>
    </row>
    <row r="52" spans="3:40" ht="15.75" customHeight="1">
      <c r="F52" s="2534"/>
      <c r="G52" s="2534"/>
      <c r="H52" s="2534"/>
      <c r="I52" s="2534"/>
      <c r="J52" s="2534"/>
      <c r="K52" s="2534"/>
      <c r="L52" s="2534"/>
      <c r="M52" s="2534"/>
      <c r="N52" s="2534"/>
      <c r="O52" s="2534"/>
      <c r="P52" s="2534"/>
      <c r="R52" s="2534"/>
      <c r="S52" s="2534"/>
      <c r="T52" s="2534"/>
      <c r="U52" s="2534"/>
      <c r="V52" s="2534"/>
      <c r="W52" s="2534"/>
      <c r="X52" s="2534"/>
      <c r="Y52" s="2534"/>
      <c r="Z52" s="2534"/>
      <c r="AA52" s="2534"/>
      <c r="AB52" s="2534"/>
    </row>
    <row r="53" spans="3:40" ht="15.75" customHeight="1">
      <c r="F53" s="2534"/>
      <c r="G53" s="2534"/>
      <c r="H53" s="2534"/>
      <c r="I53" s="2534"/>
      <c r="J53" s="2534"/>
      <c r="K53" s="2534"/>
      <c r="L53" s="2534"/>
      <c r="M53" s="2534"/>
      <c r="N53" s="2534"/>
      <c r="O53" s="2534"/>
      <c r="P53" s="2534"/>
      <c r="R53" s="2534"/>
      <c r="S53" s="2534"/>
      <c r="T53" s="2534"/>
      <c r="U53" s="2534"/>
      <c r="V53" s="2534"/>
      <c r="W53" s="2534"/>
      <c r="X53" s="2534"/>
      <c r="Y53" s="2534"/>
      <c r="Z53" s="2534"/>
      <c r="AA53" s="2534"/>
      <c r="AB53" s="2534"/>
    </row>
    <row r="54" spans="3:40" ht="15.75" customHeight="1">
      <c r="F54" s="2534"/>
      <c r="G54" s="2534"/>
      <c r="H54" s="2534"/>
      <c r="I54" s="2534"/>
      <c r="J54" s="2534"/>
      <c r="K54" s="2534"/>
      <c r="L54" s="2534"/>
      <c r="M54" s="2534"/>
      <c r="N54" s="2534"/>
      <c r="O54" s="2534"/>
      <c r="P54" s="2534"/>
      <c r="R54" s="2534"/>
      <c r="S54" s="2534"/>
      <c r="T54" s="2534"/>
      <c r="U54" s="2534"/>
      <c r="V54" s="2534"/>
      <c r="W54" s="2534"/>
      <c r="X54" s="2534"/>
      <c r="Y54" s="2534"/>
      <c r="Z54" s="2534"/>
      <c r="AA54" s="2534"/>
      <c r="AB54" s="2534"/>
    </row>
    <row r="55" spans="3:40" ht="15.75" customHeight="1">
      <c r="F55" s="2534"/>
      <c r="G55" s="2534"/>
      <c r="H55" s="2534"/>
      <c r="I55" s="2534"/>
      <c r="J55" s="2534"/>
      <c r="K55" s="2534"/>
      <c r="L55" s="2534"/>
      <c r="M55" s="2534"/>
      <c r="N55" s="2534"/>
      <c r="O55" s="2534"/>
      <c r="P55" s="2534"/>
      <c r="R55" s="2534"/>
      <c r="S55" s="2534"/>
      <c r="T55" s="2534"/>
      <c r="U55" s="2534"/>
      <c r="V55" s="2534"/>
      <c r="W55" s="2534"/>
      <c r="X55" s="2534"/>
      <c r="Y55" s="2534"/>
      <c r="Z55" s="2534"/>
      <c r="AA55" s="2534"/>
      <c r="AB55" s="2534"/>
    </row>
    <row r="57" spans="3:40" ht="15.75" customHeight="1" outlineLevel="1">
      <c r="D57" s="2524" t="str">
        <f>Subscribers!BP9</f>
        <v>2Q11</v>
      </c>
      <c r="E57" s="2524" t="str">
        <f>Subscribers!BQ9</f>
        <v>3Q11</v>
      </c>
      <c r="F57" s="2524" t="str">
        <f>Subscribers!BR9</f>
        <v>4Q11</v>
      </c>
      <c r="G57" s="2524" t="str">
        <f>Subscribers!BS9</f>
        <v>1Q12</v>
      </c>
      <c r="H57" s="2524" t="str">
        <f>Subscribers!BT9</f>
        <v>2Q12</v>
      </c>
      <c r="I57" s="2524" t="str">
        <f>Subscribers!BU9</f>
        <v>3Q12</v>
      </c>
      <c r="J57" s="2524" t="str">
        <f>Subscribers!BV9</f>
        <v>4Q12</v>
      </c>
      <c r="K57" s="2524" t="str">
        <f>Subscribers!BW9</f>
        <v>1Q13</v>
      </c>
      <c r="L57" s="2524" t="str">
        <f>Subscribers!BX9</f>
        <v>2Q13</v>
      </c>
      <c r="M57" s="2524" t="str">
        <f>Subscribers!BY9</f>
        <v>3Q13</v>
      </c>
      <c r="N57" s="2524" t="str">
        <f>Subscribers!BZ9</f>
        <v>4Q13</v>
      </c>
      <c r="O57" s="2524" t="str">
        <f>Subscribers!CA9</f>
        <v>1Q14</v>
      </c>
      <c r="P57" s="2524" t="str">
        <f>Subscribers!CB9</f>
        <v>2Q14</v>
      </c>
      <c r="Q57" s="2524" t="str">
        <f>Subscribers!CC9</f>
        <v>3Q14</v>
      </c>
      <c r="R57" s="2524" t="str">
        <f>Subscribers!CD9</f>
        <v>4Q14</v>
      </c>
      <c r="S57" s="2524" t="str">
        <f>Subscribers!CE9</f>
        <v>1Q15</v>
      </c>
      <c r="T57" s="2524" t="str">
        <f>Subscribers!CF9</f>
        <v>2Q15</v>
      </c>
      <c r="U57" s="2524" t="str">
        <f>Subscribers!CG9</f>
        <v>3Q15</v>
      </c>
      <c r="V57" s="2524" t="str">
        <f>Subscribers!CH9</f>
        <v>4Q15</v>
      </c>
      <c r="W57" s="2524" t="str">
        <f>Subscribers!CI9</f>
        <v>1Q16</v>
      </c>
      <c r="X57" s="2524" t="str">
        <f>Subscribers!CJ9</f>
        <v>2Q16</v>
      </c>
      <c r="Y57" s="2524" t="str">
        <f>Subscribers!CK9</f>
        <v>3Q16</v>
      </c>
      <c r="Z57" s="2524" t="str">
        <f>Subscribers!CL9</f>
        <v>4Q16</v>
      </c>
      <c r="AA57" s="2524" t="str">
        <f>Subscribers!CM9</f>
        <v>1Q17</v>
      </c>
      <c r="AB57" s="2524" t="str">
        <f>Subscribers!CN9</f>
        <v>2Q17</v>
      </c>
      <c r="AC57" s="2524" t="str">
        <f>Subscribers!CO9</f>
        <v>3Q17</v>
      </c>
      <c r="AD57" s="2524" t="str">
        <f>Subscribers!CP9</f>
        <v>4Q17</v>
      </c>
    </row>
    <row r="58" spans="3:40" ht="15.75" customHeight="1" outlineLevel="1">
      <c r="C58" s="2524" t="s">
        <v>1252</v>
      </c>
      <c r="D58" s="2525">
        <f>Subscribers!BP161</f>
        <v>544</v>
      </c>
      <c r="E58" s="2525">
        <f>Subscribers!BQ161</f>
        <v>550</v>
      </c>
      <c r="F58" s="2525">
        <f>Subscribers!BR161</f>
        <v>585</v>
      </c>
      <c r="G58" s="2525">
        <f>Subscribers!BS161</f>
        <v>605</v>
      </c>
      <c r="H58" s="2525">
        <f>Subscribers!BT161</f>
        <v>611</v>
      </c>
      <c r="I58" s="2525">
        <f>Subscribers!BU161</f>
        <v>624</v>
      </c>
      <c r="J58" s="2525">
        <f>Subscribers!BV161</f>
        <v>635</v>
      </c>
      <c r="K58" s="2525">
        <f>Subscribers!BW161</f>
        <v>645</v>
      </c>
      <c r="L58" s="2525">
        <f>Subscribers!BX161</f>
        <v>653</v>
      </c>
      <c r="M58" s="2525">
        <f>Subscribers!BY161</f>
        <v>669</v>
      </c>
      <c r="N58" s="2525">
        <f>Subscribers!BZ161</f>
        <v>683</v>
      </c>
      <c r="O58" s="2525">
        <f>Subscribers!CA161</f>
        <v>702</v>
      </c>
      <c r="P58" s="2525">
        <f>Subscribers!CB161</f>
        <v>709</v>
      </c>
      <c r="Q58" s="2525">
        <f>Subscribers!CC161</f>
        <v>712</v>
      </c>
      <c r="R58" s="2525">
        <f>Subscribers!CD161</f>
        <v>727</v>
      </c>
      <c r="S58" s="2525">
        <f>Subscribers!CE161</f>
        <v>738</v>
      </c>
      <c r="T58" s="2525">
        <f>Subscribers!CF161</f>
        <v>758</v>
      </c>
      <c r="U58" s="2525">
        <f>Subscribers!CG161</f>
        <v>764</v>
      </c>
      <c r="V58" s="2525">
        <f>Subscribers!CH161</f>
        <v>773</v>
      </c>
      <c r="W58" s="2525">
        <f>Subscribers!CI161</f>
        <v>774</v>
      </c>
      <c r="X58" s="2525">
        <f>Subscribers!CJ161</f>
        <v>800</v>
      </c>
      <c r="Y58" s="2525">
        <f>Subscribers!CK161</f>
        <v>789</v>
      </c>
      <c r="Z58" s="2525">
        <f>Subscribers!CL161</f>
        <v>784</v>
      </c>
      <c r="AA58" s="2525">
        <f>Subscribers!CM161</f>
        <v>764</v>
      </c>
      <c r="AB58" s="2525">
        <f>Subscribers!CN161</f>
        <v>768</v>
      </c>
      <c r="AC58" s="2525">
        <f>Subscribers!CO161</f>
        <v>774</v>
      </c>
      <c r="AD58" s="2525">
        <f>Subscribers!CP161</f>
        <v>782</v>
      </c>
    </row>
    <row r="59" spans="3:40" ht="15.75" customHeight="1" outlineLevel="1" collapsed="1">
      <c r="C59" s="2524" t="s">
        <v>1253</v>
      </c>
      <c r="D59" s="2524">
        <f>Subscribers!BP37/1000</f>
        <v>14</v>
      </c>
      <c r="E59" s="2524">
        <f>Subscribers!BQ37/1000</f>
        <v>60</v>
      </c>
      <c r="F59" s="2524">
        <f>Subscribers!BR37/1000</f>
        <v>73</v>
      </c>
      <c r="G59" s="2524">
        <f>Subscribers!BS37/1000</f>
        <v>92</v>
      </c>
      <c r="H59" s="2524">
        <f>Subscribers!BT37/1000</f>
        <v>18</v>
      </c>
      <c r="I59" s="2524">
        <f>Subscribers!BU37/1000</f>
        <v>44</v>
      </c>
      <c r="J59" s="2524">
        <f>Subscribers!BV37/1000</f>
        <v>41</v>
      </c>
      <c r="K59" s="2524">
        <f>Subscribers!BW37/1000</f>
        <v>66</v>
      </c>
      <c r="L59" s="2524">
        <f>Subscribers!BX37/1000</f>
        <v>-8</v>
      </c>
      <c r="M59" s="2524">
        <f>Subscribers!BY37/1000</f>
        <v>33</v>
      </c>
      <c r="N59" s="2524">
        <f>Subscribers!BZ37/1000</f>
        <v>49</v>
      </c>
      <c r="O59" s="2524">
        <f>Subscribers!CA37/1000</f>
        <v>66</v>
      </c>
      <c r="P59" s="2524">
        <f>Subscribers!CB37/1000</f>
        <v>-2</v>
      </c>
      <c r="Q59" s="2524">
        <f>Subscribers!CC37/1000</f>
        <v>8</v>
      </c>
      <c r="R59" s="2524">
        <f>Subscribers!CD37/1000</f>
        <v>18.600000000000001</v>
      </c>
      <c r="S59" s="2524">
        <f>Subscribers!CE37/1000</f>
        <v>35.4</v>
      </c>
      <c r="T59" s="2524">
        <f>Subscribers!CF37/1000</f>
        <v>-9</v>
      </c>
      <c r="U59" s="2524">
        <f>Subscribers!CG37/1000</f>
        <v>-37</v>
      </c>
      <c r="V59" s="2524">
        <f>Subscribers!CH37/1000</f>
        <v>-23</v>
      </c>
      <c r="W59" s="2524">
        <f>Subscribers!CI37/1000</f>
        <v>8</v>
      </c>
      <c r="X59" s="2524">
        <f>Subscribers!CJ37/1000</f>
        <v>-66</v>
      </c>
      <c r="Y59" s="2524">
        <f>Subscribers!CK37/1000</f>
        <v>-40</v>
      </c>
      <c r="Z59" s="2524">
        <f>Subscribers!CL37/1000</f>
        <v>-5</v>
      </c>
      <c r="AA59" s="2524">
        <f>Subscribers!CM37/1000</f>
        <v>0</v>
      </c>
      <c r="AB59" s="2524">
        <f>Subscribers!CN37/1000</f>
        <v>-77</v>
      </c>
      <c r="AC59" s="2524">
        <f>Subscribers!CO37/1000</f>
        <v>-101</v>
      </c>
      <c r="AD59" s="2524">
        <f>Subscribers!CP37/1000</f>
        <v>-105</v>
      </c>
    </row>
    <row r="60" spans="3:40" ht="15.75" customHeight="1">
      <c r="H60" s="2524">
        <f t="shared" ref="H60:AC60" si="3">+SUM(E59:H59)</f>
        <v>243</v>
      </c>
      <c r="I60" s="2524">
        <f t="shared" si="3"/>
        <v>227</v>
      </c>
      <c r="J60" s="2524">
        <f t="shared" si="3"/>
        <v>195</v>
      </c>
      <c r="K60" s="2524">
        <f t="shared" si="3"/>
        <v>169</v>
      </c>
      <c r="L60" s="2524">
        <f t="shared" si="3"/>
        <v>143</v>
      </c>
      <c r="M60" s="2524">
        <f t="shared" si="3"/>
        <v>132</v>
      </c>
      <c r="N60" s="2524">
        <f t="shared" si="3"/>
        <v>140</v>
      </c>
      <c r="O60" s="2524">
        <f t="shared" si="3"/>
        <v>140</v>
      </c>
      <c r="P60" s="2524">
        <f t="shared" si="3"/>
        <v>146</v>
      </c>
      <c r="Q60" s="2524">
        <f t="shared" si="3"/>
        <v>121</v>
      </c>
      <c r="R60" s="2524">
        <f t="shared" si="3"/>
        <v>90.6</v>
      </c>
      <c r="S60" s="2524">
        <f t="shared" si="3"/>
        <v>60</v>
      </c>
      <c r="T60" s="2524">
        <f t="shared" si="3"/>
        <v>53</v>
      </c>
      <c r="U60" s="2524">
        <f t="shared" si="3"/>
        <v>8</v>
      </c>
      <c r="V60" s="2524">
        <f t="shared" si="3"/>
        <v>-33.6</v>
      </c>
      <c r="W60" s="2524">
        <f t="shared" si="3"/>
        <v>-61</v>
      </c>
      <c r="X60" s="2524">
        <f t="shared" si="3"/>
        <v>-118</v>
      </c>
      <c r="Y60" s="2524">
        <f t="shared" si="3"/>
        <v>-121</v>
      </c>
      <c r="Z60" s="2524">
        <f t="shared" si="3"/>
        <v>-103</v>
      </c>
      <c r="AA60" s="2524">
        <f t="shared" si="3"/>
        <v>-111</v>
      </c>
      <c r="AB60" s="2524">
        <f t="shared" si="3"/>
        <v>-122</v>
      </c>
      <c r="AC60" s="2524">
        <f t="shared" si="3"/>
        <v>-183</v>
      </c>
      <c r="AD60" s="2524">
        <f>+SUM(AA59:AD59)</f>
        <v>-283</v>
      </c>
    </row>
    <row r="62" spans="3:40" ht="15.75" customHeight="1">
      <c r="F62" s="2534"/>
      <c r="G62" s="2534"/>
      <c r="H62" s="2534"/>
      <c r="I62" s="2534"/>
      <c r="J62" s="2534"/>
      <c r="K62" s="2534"/>
      <c r="L62" s="2534"/>
      <c r="M62" s="2534"/>
      <c r="N62" s="2534"/>
      <c r="O62" s="2534"/>
      <c r="P62" s="2534"/>
      <c r="R62" s="2534"/>
      <c r="S62" s="2534"/>
      <c r="T62" s="2534"/>
      <c r="U62" s="2534"/>
      <c r="V62" s="2534"/>
      <c r="W62" s="2534"/>
      <c r="X62" s="2534"/>
      <c r="Y62" s="2534"/>
      <c r="Z62" s="2534"/>
      <c r="AA62" s="2534"/>
      <c r="AB62" s="2534"/>
      <c r="AD62" s="2534"/>
      <c r="AE62" s="2534"/>
      <c r="AF62" s="2534"/>
      <c r="AG62" s="2534"/>
      <c r="AH62" s="2534"/>
      <c r="AI62" s="2534"/>
      <c r="AJ62" s="2534"/>
      <c r="AK62" s="2534"/>
      <c r="AL62" s="2534"/>
      <c r="AM62" s="2534"/>
      <c r="AN62" s="2534"/>
    </row>
    <row r="63" spans="3:40" ht="15.75" customHeight="1">
      <c r="F63" s="2534"/>
      <c r="G63" s="2534"/>
      <c r="H63" s="2534"/>
      <c r="I63" s="2534"/>
      <c r="J63" s="2534"/>
      <c r="K63" s="2534"/>
      <c r="L63" s="2534"/>
      <c r="M63" s="2534"/>
      <c r="N63" s="2534"/>
      <c r="O63" s="2534"/>
      <c r="P63" s="2534"/>
      <c r="R63" s="2534"/>
      <c r="S63" s="2534"/>
      <c r="T63" s="2534"/>
      <c r="U63" s="2534"/>
      <c r="V63" s="2534"/>
      <c r="W63" s="2534"/>
      <c r="X63" s="2534"/>
      <c r="Y63" s="2534"/>
      <c r="Z63" s="2534"/>
      <c r="AA63" s="2534"/>
      <c r="AB63" s="2534"/>
      <c r="AD63" s="2534"/>
      <c r="AE63" s="2534"/>
      <c r="AF63" s="2534"/>
      <c r="AG63" s="2534"/>
      <c r="AH63" s="2534"/>
      <c r="AI63" s="2534"/>
      <c r="AJ63" s="2534"/>
      <c r="AK63" s="2534"/>
      <c r="AL63" s="2534"/>
      <c r="AM63" s="2534"/>
      <c r="AN63" s="2534"/>
    </row>
    <row r="64" spans="3:40" ht="15.75" customHeight="1">
      <c r="F64" s="2534"/>
      <c r="G64" s="2534"/>
      <c r="H64" s="2534"/>
      <c r="I64" s="2534"/>
      <c r="J64" s="2534"/>
      <c r="K64" s="2534"/>
      <c r="L64" s="2534"/>
      <c r="M64" s="2534"/>
      <c r="N64" s="2534"/>
      <c r="O64" s="2534"/>
      <c r="P64" s="2534"/>
      <c r="R64" s="2534"/>
      <c r="S64" s="2534"/>
      <c r="T64" s="2534"/>
      <c r="U64" s="2534"/>
      <c r="V64" s="2534"/>
      <c r="W64" s="2534"/>
      <c r="X64" s="2534"/>
      <c r="Y64" s="2534"/>
      <c r="Z64" s="2534"/>
      <c r="AA64" s="2534"/>
      <c r="AB64" s="2534"/>
      <c r="AD64" s="2534"/>
      <c r="AE64" s="2534"/>
      <c r="AF64" s="2534"/>
      <c r="AG64" s="2534"/>
      <c r="AH64" s="2534"/>
      <c r="AI64" s="2534"/>
      <c r="AJ64" s="2534"/>
      <c r="AK64" s="2534"/>
      <c r="AL64" s="2534"/>
      <c r="AM64" s="2534"/>
      <c r="AN64" s="2534"/>
    </row>
    <row r="65" spans="6:40" ht="15.75" customHeight="1">
      <c r="F65" s="2534"/>
      <c r="G65" s="2534"/>
      <c r="H65" s="2534"/>
      <c r="I65" s="2534"/>
      <c r="J65" s="2534"/>
      <c r="K65" s="2534"/>
      <c r="L65" s="2534"/>
      <c r="M65" s="2534"/>
      <c r="N65" s="2534"/>
      <c r="O65" s="2534"/>
      <c r="P65" s="2534"/>
      <c r="R65" s="2534"/>
      <c r="S65" s="2534"/>
      <c r="T65" s="2534"/>
      <c r="U65" s="2534"/>
      <c r="V65" s="2534"/>
      <c r="W65" s="2534"/>
      <c r="X65" s="2534"/>
      <c r="Y65" s="2534"/>
      <c r="Z65" s="2534"/>
      <c r="AA65" s="2534"/>
      <c r="AB65" s="2534"/>
      <c r="AD65" s="2534"/>
      <c r="AE65" s="2534"/>
      <c r="AF65" s="2534"/>
      <c r="AG65" s="2534"/>
      <c r="AH65" s="2534"/>
      <c r="AI65" s="2534"/>
      <c r="AJ65" s="2534"/>
      <c r="AK65" s="2534"/>
      <c r="AL65" s="2534"/>
      <c r="AM65" s="2534"/>
      <c r="AN65" s="2534"/>
    </row>
    <row r="66" spans="6:40" ht="15.75" customHeight="1">
      <c r="F66" s="2534"/>
      <c r="G66" s="2534"/>
      <c r="H66" s="2534"/>
      <c r="I66" s="2534"/>
      <c r="J66" s="2534"/>
      <c r="K66" s="2534"/>
      <c r="L66" s="2534"/>
      <c r="M66" s="2534"/>
      <c r="N66" s="2534"/>
      <c r="O66" s="2534"/>
      <c r="P66" s="2534"/>
      <c r="R66" s="2534"/>
      <c r="S66" s="2534"/>
      <c r="T66" s="2534"/>
      <c r="U66" s="2534"/>
      <c r="V66" s="2534"/>
      <c r="W66" s="2534"/>
      <c r="X66" s="2534"/>
      <c r="Y66" s="2534"/>
      <c r="Z66" s="2534"/>
      <c r="AA66" s="2534"/>
      <c r="AB66" s="2534"/>
      <c r="AD66" s="2534"/>
      <c r="AE66" s="2534"/>
      <c r="AF66" s="2534"/>
      <c r="AG66" s="2534"/>
      <c r="AH66" s="2534"/>
      <c r="AI66" s="2534"/>
      <c r="AJ66" s="2534"/>
      <c r="AK66" s="2534"/>
      <c r="AL66" s="2534"/>
      <c r="AM66" s="2534"/>
      <c r="AN66" s="2534"/>
    </row>
    <row r="67" spans="6:40" ht="15.75" customHeight="1">
      <c r="F67" s="2534"/>
      <c r="G67" s="2534"/>
      <c r="H67" s="2534"/>
      <c r="I67" s="2534"/>
      <c r="J67" s="2534"/>
      <c r="K67" s="2534"/>
      <c r="L67" s="2534"/>
      <c r="M67" s="2534"/>
      <c r="N67" s="2534"/>
      <c r="O67" s="2534"/>
      <c r="P67" s="2534"/>
      <c r="R67" s="2534"/>
      <c r="S67" s="2534"/>
      <c r="T67" s="2534"/>
      <c r="U67" s="2534"/>
      <c r="V67" s="2534"/>
      <c r="W67" s="2534"/>
      <c r="X67" s="2534"/>
      <c r="Y67" s="2534"/>
      <c r="Z67" s="2534"/>
      <c r="AA67" s="2534"/>
      <c r="AB67" s="2534"/>
      <c r="AD67" s="2534"/>
      <c r="AE67" s="2534"/>
      <c r="AF67" s="2534"/>
      <c r="AG67" s="2534"/>
      <c r="AH67" s="2534"/>
      <c r="AI67" s="2534"/>
      <c r="AJ67" s="2534"/>
      <c r="AK67" s="2534"/>
      <c r="AL67" s="2534"/>
      <c r="AM67" s="2534"/>
      <c r="AN67" s="2534"/>
    </row>
    <row r="68" spans="6:40" ht="15.75" customHeight="1" collapsed="1">
      <c r="F68" s="2534"/>
      <c r="G68" s="2534"/>
      <c r="H68" s="2534"/>
      <c r="I68" s="2534"/>
      <c r="J68" s="2534"/>
      <c r="K68" s="2534"/>
      <c r="L68" s="2534"/>
      <c r="M68" s="2534"/>
      <c r="N68" s="2534"/>
      <c r="O68" s="2534"/>
      <c r="P68" s="2534"/>
      <c r="R68" s="2534"/>
      <c r="S68" s="2534"/>
      <c r="T68" s="2534"/>
      <c r="U68" s="2534"/>
      <c r="V68" s="2534"/>
      <c r="W68" s="2534"/>
      <c r="X68" s="2534"/>
      <c r="Y68" s="2534"/>
      <c r="Z68" s="2534"/>
      <c r="AA68" s="2534"/>
      <c r="AB68" s="2534"/>
      <c r="AD68" s="2534"/>
      <c r="AE68" s="2534"/>
      <c r="AF68" s="2534"/>
      <c r="AG68" s="2534"/>
      <c r="AH68" s="2534"/>
      <c r="AI68" s="2534"/>
      <c r="AJ68" s="2534"/>
      <c r="AK68" s="2534"/>
      <c r="AL68" s="2534"/>
      <c r="AM68" s="2534"/>
      <c r="AN68" s="2534"/>
    </row>
    <row r="69" spans="6:40" ht="15.75" customHeight="1" collapsed="1">
      <c r="F69" s="2534"/>
      <c r="G69" s="2534"/>
      <c r="H69" s="2534"/>
      <c r="I69" s="2534"/>
      <c r="J69" s="2534"/>
      <c r="K69" s="2534"/>
      <c r="L69" s="2534"/>
      <c r="M69" s="2534"/>
      <c r="N69" s="2534"/>
      <c r="O69" s="2534"/>
      <c r="P69" s="2534"/>
      <c r="R69" s="2534"/>
      <c r="S69" s="2534"/>
      <c r="T69" s="2534"/>
      <c r="U69" s="2534"/>
      <c r="V69" s="2534"/>
      <c r="W69" s="2534"/>
      <c r="X69" s="2534"/>
      <c r="Y69" s="2534"/>
      <c r="Z69" s="2534"/>
      <c r="AA69" s="2534"/>
      <c r="AB69" s="2534"/>
      <c r="AD69" s="2534"/>
      <c r="AE69" s="2534"/>
      <c r="AF69" s="2534"/>
      <c r="AG69" s="2534"/>
      <c r="AH69" s="2534"/>
      <c r="AI69" s="2534"/>
      <c r="AJ69" s="2534"/>
      <c r="AK69" s="2534"/>
      <c r="AL69" s="2534"/>
      <c r="AM69" s="2534"/>
      <c r="AN69" s="2534"/>
    </row>
    <row r="70" spans="6:40" ht="15.75" customHeight="1">
      <c r="F70" s="2534"/>
      <c r="G70" s="2534"/>
      <c r="H70" s="2534"/>
      <c r="I70" s="2534"/>
      <c r="J70" s="2534"/>
      <c r="K70" s="2534"/>
      <c r="L70" s="2534"/>
      <c r="M70" s="2534"/>
      <c r="N70" s="2534"/>
      <c r="O70" s="2534"/>
      <c r="P70" s="2534"/>
      <c r="R70" s="2534"/>
      <c r="S70" s="2534"/>
      <c r="T70" s="2534"/>
      <c r="U70" s="2534"/>
      <c r="V70" s="2534"/>
      <c r="W70" s="2534"/>
      <c r="X70" s="2534"/>
      <c r="Y70" s="2534"/>
      <c r="Z70" s="2534"/>
      <c r="AA70" s="2534"/>
      <c r="AB70" s="2534"/>
      <c r="AD70" s="2534"/>
      <c r="AE70" s="2534"/>
      <c r="AF70" s="2534"/>
      <c r="AG70" s="2534"/>
      <c r="AH70" s="2534"/>
      <c r="AI70" s="2534"/>
      <c r="AJ70" s="2534"/>
      <c r="AK70" s="2534"/>
      <c r="AL70" s="2534"/>
      <c r="AM70" s="2534"/>
      <c r="AN70" s="2534"/>
    </row>
    <row r="71" spans="6:40" ht="15.75" customHeight="1">
      <c r="F71" s="2534"/>
      <c r="G71" s="2534"/>
      <c r="H71" s="2534"/>
      <c r="I71" s="2534"/>
      <c r="J71" s="2534"/>
      <c r="K71" s="2534"/>
      <c r="L71" s="2534"/>
      <c r="M71" s="2534"/>
      <c r="N71" s="2534"/>
      <c r="O71" s="2534"/>
      <c r="P71" s="2534"/>
      <c r="R71" s="2534"/>
      <c r="S71" s="2534"/>
      <c r="T71" s="2534"/>
      <c r="U71" s="2534"/>
      <c r="V71" s="2534"/>
      <c r="W71" s="2534"/>
      <c r="X71" s="2534"/>
      <c r="Y71" s="2534"/>
      <c r="Z71" s="2534"/>
      <c r="AA71" s="2534"/>
      <c r="AB71" s="2534"/>
      <c r="AD71" s="2534"/>
      <c r="AE71" s="2534"/>
      <c r="AF71" s="2534"/>
      <c r="AG71" s="2534"/>
      <c r="AH71" s="2534"/>
      <c r="AI71" s="2534"/>
      <c r="AJ71" s="2534"/>
      <c r="AK71" s="2534"/>
      <c r="AL71" s="2534"/>
      <c r="AM71" s="2534"/>
      <c r="AN71" s="2534"/>
    </row>
    <row r="72" spans="6:40" ht="15.75" customHeight="1">
      <c r="F72" s="2534"/>
      <c r="G72" s="2534"/>
      <c r="H72" s="2534"/>
      <c r="I72" s="2534"/>
      <c r="J72" s="2534"/>
      <c r="K72" s="2534"/>
      <c r="L72" s="2534"/>
      <c r="M72" s="2534"/>
      <c r="N72" s="2534"/>
      <c r="O72" s="2534"/>
      <c r="P72" s="2534"/>
      <c r="R72" s="2534"/>
      <c r="S72" s="2534"/>
      <c r="T72" s="2534"/>
      <c r="U72" s="2534"/>
      <c r="V72" s="2534"/>
      <c r="W72" s="2534"/>
      <c r="X72" s="2534"/>
      <c r="Y72" s="2534"/>
      <c r="Z72" s="2534"/>
      <c r="AA72" s="2534"/>
      <c r="AB72" s="2534"/>
      <c r="AD72" s="2534"/>
      <c r="AE72" s="2534"/>
      <c r="AF72" s="2534"/>
      <c r="AG72" s="2534"/>
      <c r="AH72" s="2534"/>
      <c r="AI72" s="2534"/>
      <c r="AJ72" s="2534"/>
      <c r="AK72" s="2534"/>
      <c r="AL72" s="2534"/>
      <c r="AM72" s="2534"/>
      <c r="AN72" s="2534"/>
    </row>
    <row r="73" spans="6:40" ht="15.75" customHeight="1">
      <c r="F73" s="2534"/>
      <c r="G73" s="2534"/>
      <c r="H73" s="2534"/>
      <c r="I73" s="2534"/>
      <c r="J73" s="2534"/>
      <c r="K73" s="2534"/>
      <c r="L73" s="2534"/>
      <c r="M73" s="2534"/>
      <c r="N73" s="2534"/>
      <c r="O73" s="2534"/>
      <c r="P73" s="2534"/>
      <c r="R73" s="2534"/>
      <c r="S73" s="2534"/>
      <c r="T73" s="2534"/>
      <c r="U73" s="2534"/>
      <c r="V73" s="2534"/>
      <c r="W73" s="2534"/>
      <c r="X73" s="2534"/>
      <c r="Y73" s="2534"/>
      <c r="Z73" s="2534"/>
      <c r="AA73" s="2534"/>
      <c r="AB73" s="2534"/>
      <c r="AD73" s="2534"/>
      <c r="AE73" s="2534"/>
      <c r="AF73" s="2534"/>
      <c r="AG73" s="2534"/>
      <c r="AH73" s="2534"/>
      <c r="AI73" s="2534"/>
      <c r="AJ73" s="2534"/>
      <c r="AK73" s="2534"/>
      <c r="AL73" s="2534"/>
      <c r="AM73" s="2534"/>
      <c r="AN73" s="2534"/>
    </row>
    <row r="74" spans="6:40" ht="15.75" customHeight="1">
      <c r="F74" s="2534"/>
      <c r="G74" s="2534"/>
      <c r="H74" s="2534"/>
      <c r="I74" s="2534"/>
      <c r="J74" s="2534"/>
      <c r="K74" s="2534"/>
      <c r="L74" s="2534"/>
      <c r="M74" s="2534"/>
      <c r="N74" s="2534"/>
      <c r="O74" s="2534"/>
      <c r="P74" s="2534"/>
      <c r="R74" s="2534"/>
      <c r="S74" s="2534"/>
      <c r="T74" s="2534"/>
      <c r="U74" s="2534"/>
      <c r="V74" s="2534"/>
      <c r="W74" s="2534"/>
      <c r="X74" s="2534"/>
      <c r="Y74" s="2534"/>
      <c r="Z74" s="2534"/>
      <c r="AA74" s="2534"/>
      <c r="AB74" s="2534"/>
      <c r="AD74" s="2534"/>
      <c r="AE74" s="2534"/>
      <c r="AF74" s="2534"/>
      <c r="AG74" s="2534"/>
      <c r="AH74" s="2534"/>
      <c r="AI74" s="2534"/>
      <c r="AJ74" s="2534"/>
      <c r="AK74" s="2534"/>
      <c r="AL74" s="2534"/>
      <c r="AM74" s="2534"/>
      <c r="AN74" s="2534"/>
    </row>
    <row r="75" spans="6:40" ht="15.75" customHeight="1">
      <c r="F75" s="2534"/>
      <c r="G75" s="2534"/>
      <c r="H75" s="2534"/>
      <c r="I75" s="2534"/>
      <c r="J75" s="2534"/>
      <c r="K75" s="2534"/>
      <c r="L75" s="2534"/>
      <c r="M75" s="2534"/>
      <c r="N75" s="2534"/>
      <c r="O75" s="2534"/>
      <c r="P75" s="2534"/>
      <c r="R75" s="2534"/>
      <c r="S75" s="2534"/>
      <c r="T75" s="2534"/>
      <c r="U75" s="2534"/>
      <c r="V75" s="2534"/>
      <c r="W75" s="2534"/>
      <c r="X75" s="2534"/>
      <c r="Y75" s="2534"/>
      <c r="Z75" s="2534"/>
      <c r="AA75" s="2534"/>
      <c r="AB75" s="2534"/>
      <c r="AD75" s="2534"/>
      <c r="AE75" s="2534"/>
      <c r="AF75" s="2534"/>
      <c r="AG75" s="2534"/>
      <c r="AH75" s="2534"/>
      <c r="AI75" s="2534"/>
      <c r="AJ75" s="2534"/>
      <c r="AK75" s="2534"/>
      <c r="AL75" s="2534"/>
      <c r="AM75" s="2534"/>
      <c r="AN75" s="2534"/>
    </row>
    <row r="76" spans="6:40" ht="15.75" customHeight="1">
      <c r="F76" s="2534"/>
      <c r="G76" s="2534"/>
      <c r="H76" s="2534"/>
      <c r="I76" s="2534"/>
      <c r="J76" s="2534"/>
      <c r="K76" s="2534"/>
      <c r="L76" s="2534"/>
      <c r="M76" s="2534"/>
      <c r="N76" s="2534"/>
      <c r="O76" s="2534"/>
      <c r="P76" s="2534"/>
      <c r="R76" s="2534"/>
      <c r="S76" s="2534"/>
      <c r="T76" s="2534"/>
      <c r="U76" s="2534"/>
      <c r="V76" s="2534"/>
      <c r="W76" s="2534"/>
      <c r="X76" s="2534"/>
      <c r="Y76" s="2534"/>
      <c r="Z76" s="2534"/>
      <c r="AA76" s="2534"/>
      <c r="AB76" s="2534"/>
      <c r="AD76" s="2534"/>
      <c r="AE76" s="2534"/>
      <c r="AF76" s="2534"/>
      <c r="AG76" s="2534"/>
      <c r="AH76" s="2534"/>
      <c r="AI76" s="2534"/>
      <c r="AJ76" s="2534"/>
      <c r="AK76" s="2534"/>
      <c r="AL76" s="2534"/>
      <c r="AM76" s="2534"/>
      <c r="AN76" s="2534"/>
    </row>
    <row r="77" spans="6:40" ht="15.75" customHeight="1">
      <c r="F77" s="2534"/>
      <c r="G77" s="2534"/>
      <c r="H77" s="2534"/>
      <c r="I77" s="2534"/>
      <c r="J77" s="2534"/>
      <c r="K77" s="2534"/>
      <c r="L77" s="2534"/>
      <c r="M77" s="2534"/>
      <c r="N77" s="2534"/>
      <c r="O77" s="2534"/>
      <c r="P77" s="2534"/>
      <c r="R77" s="2534"/>
      <c r="S77" s="2534"/>
      <c r="T77" s="2534"/>
      <c r="U77" s="2534"/>
      <c r="V77" s="2534"/>
      <c r="W77" s="2534"/>
      <c r="X77" s="2534"/>
      <c r="Y77" s="2534"/>
      <c r="Z77" s="2534"/>
      <c r="AA77" s="2534"/>
      <c r="AB77" s="2534"/>
      <c r="AD77" s="2534"/>
      <c r="AE77" s="2534"/>
      <c r="AF77" s="2534"/>
      <c r="AG77" s="2534"/>
      <c r="AH77" s="2534"/>
      <c r="AI77" s="2534"/>
      <c r="AJ77" s="2534"/>
      <c r="AK77" s="2534"/>
      <c r="AL77" s="2534"/>
      <c r="AM77" s="2534"/>
      <c r="AN77" s="2534"/>
    </row>
    <row r="78" spans="6:40" ht="15.75" customHeight="1">
      <c r="F78" s="2534"/>
      <c r="G78" s="2534"/>
      <c r="H78" s="2534"/>
      <c r="I78" s="2534"/>
      <c r="J78" s="2534"/>
      <c r="K78" s="2534"/>
      <c r="L78" s="2534"/>
      <c r="M78" s="2534"/>
      <c r="N78" s="2534"/>
      <c r="O78" s="2534"/>
      <c r="P78" s="2534"/>
      <c r="R78" s="2534"/>
      <c r="S78" s="2534"/>
      <c r="T78" s="2534"/>
      <c r="U78" s="2534"/>
      <c r="V78" s="2534"/>
      <c r="W78" s="2534"/>
      <c r="X78" s="2534"/>
      <c r="Y78" s="2534"/>
      <c r="Z78" s="2534"/>
      <c r="AA78" s="2534"/>
      <c r="AB78" s="2534"/>
      <c r="AD78" s="2534"/>
      <c r="AE78" s="2534"/>
      <c r="AF78" s="2534"/>
      <c r="AG78" s="2534"/>
      <c r="AH78" s="2534"/>
      <c r="AI78" s="2534"/>
      <c r="AJ78" s="2534"/>
      <c r="AK78" s="2534"/>
      <c r="AL78" s="2534"/>
      <c r="AM78" s="2534"/>
      <c r="AN78" s="2534"/>
    </row>
    <row r="79" spans="6:40" ht="15.75" customHeight="1">
      <c r="F79" s="2534"/>
      <c r="G79" s="2534"/>
      <c r="H79" s="2534"/>
      <c r="I79" s="2534"/>
      <c r="J79" s="2534"/>
      <c r="K79" s="2534"/>
      <c r="L79" s="2534"/>
      <c r="M79" s="2534"/>
      <c r="N79" s="2534"/>
      <c r="O79" s="2534"/>
      <c r="P79" s="2534"/>
      <c r="R79" s="2534"/>
      <c r="S79" s="2534"/>
      <c r="T79" s="2534"/>
      <c r="U79" s="2534"/>
      <c r="V79" s="2534"/>
      <c r="W79" s="2534"/>
      <c r="X79" s="2534"/>
      <c r="Y79" s="2534"/>
      <c r="Z79" s="2534"/>
      <c r="AA79" s="2534"/>
      <c r="AB79" s="2534"/>
      <c r="AD79" s="2534"/>
      <c r="AE79" s="2534"/>
      <c r="AF79" s="2534"/>
      <c r="AG79" s="2534"/>
      <c r="AH79" s="2534"/>
      <c r="AI79" s="2534"/>
      <c r="AJ79" s="2534"/>
      <c r="AK79" s="2534"/>
      <c r="AL79" s="2534"/>
      <c r="AM79" s="2534"/>
      <c r="AN79" s="2534"/>
    </row>
    <row r="81" spans="3:28" ht="15.75" customHeight="1" collapsed="1"/>
    <row r="82" spans="3:28" ht="15.75" customHeight="1" outlineLevel="1">
      <c r="D82" s="2524" t="str">
        <f>Subscribers!BP9</f>
        <v>2Q11</v>
      </c>
      <c r="E82" s="2524" t="str">
        <f>Subscribers!BQ9</f>
        <v>3Q11</v>
      </c>
      <c r="F82" s="2524" t="str">
        <f>Subscribers!BR9</f>
        <v>4Q11</v>
      </c>
      <c r="G82" s="2524" t="str">
        <f>Subscribers!BS9</f>
        <v>1Q12</v>
      </c>
      <c r="H82" s="2524" t="str">
        <f>Subscribers!BT9</f>
        <v>2Q12</v>
      </c>
      <c r="I82" s="2524" t="str">
        <f>Subscribers!BU9</f>
        <v>3Q12</v>
      </c>
      <c r="J82" s="2524" t="str">
        <f>Subscribers!BV9</f>
        <v>4Q12</v>
      </c>
      <c r="K82" s="2524" t="str">
        <f>Subscribers!BW9</f>
        <v>1Q13</v>
      </c>
      <c r="L82" s="2524" t="str">
        <f>Subscribers!BX9</f>
        <v>2Q13</v>
      </c>
      <c r="M82" s="2524" t="str">
        <f>Subscribers!BY9</f>
        <v>3Q13</v>
      </c>
      <c r="N82" s="2524" t="str">
        <f>Subscribers!BZ9</f>
        <v>4Q13</v>
      </c>
      <c r="O82" s="2524" t="str">
        <f>Subscribers!CA9</f>
        <v>1Q14</v>
      </c>
      <c r="P82" s="2524" t="str">
        <f>Subscribers!CB9</f>
        <v>2Q14</v>
      </c>
      <c r="Q82" s="2524" t="str">
        <f>Subscribers!CC9</f>
        <v>3Q14</v>
      </c>
      <c r="R82" s="2524" t="str">
        <f>Subscribers!CD9</f>
        <v>4Q14</v>
      </c>
      <c r="S82" s="2524" t="str">
        <f>Subscribers!CE9</f>
        <v>1Q15</v>
      </c>
      <c r="T82" s="2524" t="str">
        <f>Subscribers!CF9</f>
        <v>2Q15</v>
      </c>
      <c r="U82" s="2524" t="str">
        <f>Subscribers!CG9</f>
        <v>3Q15</v>
      </c>
      <c r="V82" s="2524" t="str">
        <f>Subscribers!CH9</f>
        <v>4Q15</v>
      </c>
      <c r="W82" s="2524" t="str">
        <f>Subscribers!CI9</f>
        <v>1Q16</v>
      </c>
      <c r="X82" s="2524" t="str">
        <f>Subscribers!CJ9</f>
        <v>2Q16</v>
      </c>
      <c r="Y82" s="2524" t="str">
        <f>Subscribers!CK9</f>
        <v>3Q16</v>
      </c>
      <c r="Z82" s="2524" t="str">
        <f>Subscribers!CL9</f>
        <v>4Q16</v>
      </c>
      <c r="AA82" s="2524" t="str">
        <f>Subscribers!CQ9</f>
        <v>1Q18E</v>
      </c>
      <c r="AB82" s="2524" t="str">
        <f>Subscribers!CR9</f>
        <v>2Q18E</v>
      </c>
    </row>
    <row r="83" spans="3:28" ht="15.75" customHeight="1" outlineLevel="1">
      <c r="C83" s="2524" t="s">
        <v>1572</v>
      </c>
      <c r="D83" s="2524">
        <f>Subscribers!BP37/1000</f>
        <v>14</v>
      </c>
      <c r="E83" s="2524">
        <f>Subscribers!BQ37/1000</f>
        <v>60</v>
      </c>
      <c r="F83" s="2524">
        <f>Subscribers!BR37/1000</f>
        <v>73</v>
      </c>
      <c r="G83" s="2524">
        <f>Subscribers!BS37/1000</f>
        <v>92</v>
      </c>
      <c r="H83" s="2524">
        <f>Subscribers!BT37/1000</f>
        <v>18</v>
      </c>
      <c r="I83" s="2524">
        <f>Subscribers!BU37/1000</f>
        <v>44</v>
      </c>
      <c r="J83" s="2524">
        <f>Subscribers!BV37/1000</f>
        <v>41</v>
      </c>
      <c r="K83" s="2524">
        <f>Subscribers!BW37/1000</f>
        <v>66</v>
      </c>
      <c r="L83" s="2524">
        <f>Subscribers!BX37/1000</f>
        <v>-8</v>
      </c>
      <c r="M83" s="2524">
        <f>Subscribers!BY37/1000</f>
        <v>33</v>
      </c>
      <c r="N83" s="2524">
        <f>Subscribers!BZ37/1000</f>
        <v>49</v>
      </c>
      <c r="O83" s="2524">
        <f>Subscribers!CA37/1000</f>
        <v>66</v>
      </c>
      <c r="P83" s="2524">
        <f>Subscribers!CB37/1000</f>
        <v>-2</v>
      </c>
      <c r="Q83" s="2524">
        <f>Subscribers!CC37/1000</f>
        <v>8</v>
      </c>
      <c r="R83" s="2524">
        <f>Subscribers!CD37/1000</f>
        <v>18.600000000000001</v>
      </c>
      <c r="S83" s="2524">
        <f>Subscribers!CE37/1000</f>
        <v>35.4</v>
      </c>
      <c r="T83" s="2524">
        <f>Subscribers!CF37/1000</f>
        <v>-9</v>
      </c>
      <c r="U83" s="2524">
        <f>Subscribers!CG37/1000</f>
        <v>-37</v>
      </c>
      <c r="V83" s="2524">
        <f>Subscribers!CH37/1000</f>
        <v>-23</v>
      </c>
      <c r="W83" s="2524">
        <f>Subscribers!CI37/1000</f>
        <v>8</v>
      </c>
      <c r="X83" s="2524">
        <f>Subscribers!CJ37/1000</f>
        <v>-66</v>
      </c>
      <c r="Y83" s="2524">
        <f>Subscribers!CK37/1000</f>
        <v>-40</v>
      </c>
      <c r="Z83" s="2524">
        <f>Subscribers!CL37/1000</f>
        <v>-5</v>
      </c>
    </row>
    <row r="84" spans="3:28" ht="15.75" customHeight="1" outlineLevel="1">
      <c r="C84" s="2524" t="s">
        <v>1235</v>
      </c>
      <c r="D84" s="2533">
        <f>IS!BH63</f>
        <v>0.42385949882201757</v>
      </c>
      <c r="E84" s="2533">
        <f>IS!BI63</f>
        <v>0.40880638894884525</v>
      </c>
      <c r="F84" s="2533">
        <f>IS!BJ63</f>
        <v>0.39673329035031163</v>
      </c>
      <c r="G84" s="2533">
        <f>IS!BK63</f>
        <v>0.42169197396963126</v>
      </c>
      <c r="H84" s="2533">
        <f>IS!BL63</f>
        <v>0.41196877710320901</v>
      </c>
      <c r="I84" s="2533">
        <f>IS!BM63</f>
        <v>0.41544519798731133</v>
      </c>
      <c r="J84" s="2533">
        <f>IS!BN63</f>
        <v>0.41753926701570682</v>
      </c>
      <c r="K84" s="2533">
        <f>IS!BO63</f>
        <v>0.42831819189009529</v>
      </c>
      <c r="L84" s="2533">
        <f>IS!BP63</f>
        <v>0.41060773480662982</v>
      </c>
      <c r="M84" s="2533">
        <f>IS!BQ63</f>
        <v>0.3997785160575858</v>
      </c>
      <c r="N84" s="2533">
        <f>IS!BR63</f>
        <v>0.40422721268163803</v>
      </c>
      <c r="O84" s="2533">
        <f>IS!BS63</f>
        <v>0.39400617011899514</v>
      </c>
      <c r="P84" s="2533">
        <f>IS!BT63</f>
        <v>0.39911894273127752</v>
      </c>
      <c r="Q84" s="2533">
        <f>IS!BU63</f>
        <v>0.38666075781076886</v>
      </c>
      <c r="R84" s="2533">
        <f>IS!BV63</f>
        <v>0.38480613165013527</v>
      </c>
      <c r="S84" s="2533">
        <f>IS!BW63</f>
        <v>0.38732869018198157</v>
      </c>
      <c r="T84" s="2533">
        <f>IS!BX63</f>
        <v>0.36705136908802899</v>
      </c>
      <c r="U84" s="2533">
        <f>IS!BY63</f>
        <v>0.38998682476943347</v>
      </c>
      <c r="V84" s="2533">
        <f>IS!BZ63</f>
        <v>0.40482573726541554</v>
      </c>
      <c r="W84" s="2533">
        <f>IS!CA63</f>
        <v>0.38264030902067714</v>
      </c>
      <c r="X84" s="2533">
        <f>IS!CB63</f>
        <v>0.37471577989995453</v>
      </c>
      <c r="Y84" s="2533">
        <f>IS!CC63</f>
        <v>0.36421725239616615</v>
      </c>
      <c r="Z84" s="2533">
        <f>IS!CD63</f>
        <v>0.36955001165772905</v>
      </c>
      <c r="AA84" s="2533">
        <f>IS!CM63</f>
        <v>0</v>
      </c>
      <c r="AB84" s="2533">
        <f>IS!CN63</f>
        <v>0</v>
      </c>
    </row>
    <row r="85" spans="3:28" ht="15.75" customHeight="1" outlineLevel="1">
      <c r="C85" s="2524" t="s">
        <v>1236</v>
      </c>
      <c r="D85" s="2525">
        <f>Subscribers!BP139</f>
        <v>1991</v>
      </c>
      <c r="E85" s="2525">
        <f>Subscribers!BQ139</f>
        <v>1996</v>
      </c>
      <c r="F85" s="2525">
        <f>Subscribers!BR139</f>
        <v>2033</v>
      </c>
      <c r="G85" s="2525">
        <f>Subscribers!BS139</f>
        <v>2070</v>
      </c>
      <c r="H85" s="2525">
        <f>Subscribers!BT139</f>
        <v>2094</v>
      </c>
      <c r="I85" s="2525">
        <f>Subscribers!BU139</f>
        <v>2119</v>
      </c>
      <c r="J85" s="2525">
        <f>Subscribers!BV139</f>
        <v>2145</v>
      </c>
      <c r="K85" s="2525">
        <f>Subscribers!BW139</f>
        <v>2164</v>
      </c>
      <c r="L85" s="2525">
        <f>Subscribers!BX139</f>
        <v>2186</v>
      </c>
      <c r="M85" s="2525">
        <f>Subscribers!BY139</f>
        <v>2212</v>
      </c>
      <c r="N85" s="2525">
        <f>Subscribers!BZ139</f>
        <v>2261</v>
      </c>
      <c r="O85" s="2525">
        <f>Subscribers!CA139</f>
        <v>2271</v>
      </c>
      <c r="P85" s="2525">
        <f>Subscribers!CB139</f>
        <v>1814</v>
      </c>
      <c r="Q85" s="2525">
        <f>Subscribers!CC139</f>
        <v>1845</v>
      </c>
      <c r="R85" s="2525">
        <f>Subscribers!CD139</f>
        <v>1865</v>
      </c>
      <c r="S85" s="2525">
        <f>Subscribers!CE139</f>
        <v>1903</v>
      </c>
      <c r="T85" s="2525">
        <f>Subscribers!CF139</f>
        <v>1929</v>
      </c>
      <c r="U85" s="2525">
        <f>Subscribers!CG139</f>
        <v>1941</v>
      </c>
      <c r="V85" s="2525">
        <f>Subscribers!CH139</f>
        <v>2004</v>
      </c>
      <c r="W85" s="2525">
        <f>Subscribers!CI139</f>
        <v>2001</v>
      </c>
      <c r="X85" s="2525">
        <f>Subscribers!CJ139</f>
        <v>2042</v>
      </c>
      <c r="Y85" s="2525">
        <f>Subscribers!CK139</f>
        <v>2027</v>
      </c>
      <c r="Z85" s="2525">
        <f>Subscribers!CL139</f>
        <v>2028</v>
      </c>
      <c r="AA85" s="2525">
        <f>Subscribers!CQ139</f>
        <v>1910.075</v>
      </c>
      <c r="AB85" s="2525">
        <f>Subscribers!CR139</f>
        <v>1917.3229999999996</v>
      </c>
    </row>
    <row r="86" spans="3:28" ht="15.75" customHeight="1" outlineLevel="1">
      <c r="C86" s="2524" t="s">
        <v>1237</v>
      </c>
      <c r="D86" s="2525">
        <f>Subscribers!BP143</f>
        <v>2280</v>
      </c>
      <c r="E86" s="2525">
        <f>Subscribers!BQ143</f>
        <v>2225</v>
      </c>
      <c r="F86" s="2525">
        <f>Subscribers!BR143</f>
        <v>2178</v>
      </c>
      <c r="G86" s="2525">
        <f>Subscribers!BS143</f>
        <v>2129</v>
      </c>
      <c r="H86" s="2525">
        <f>Subscribers!BT143</f>
        <v>2082</v>
      </c>
      <c r="I86" s="2525">
        <f>Subscribers!BU143</f>
        <v>2027</v>
      </c>
      <c r="J86" s="2525">
        <f>Subscribers!BV143</f>
        <v>1983</v>
      </c>
      <c r="K86" s="2525">
        <f>Subscribers!BW143</f>
        <v>1952</v>
      </c>
      <c r="L86" s="2525">
        <f>Subscribers!BX143</f>
        <v>1923</v>
      </c>
      <c r="M86" s="2525">
        <f>Subscribers!BY143</f>
        <v>1892</v>
      </c>
      <c r="N86" s="2525">
        <f>Subscribers!BZ143</f>
        <v>1849</v>
      </c>
      <c r="O86" s="2525">
        <f>Subscribers!CA143</f>
        <v>1839</v>
      </c>
      <c r="P86" s="2525">
        <f>Subscribers!CB143</f>
        <v>2286</v>
      </c>
      <c r="Q86" s="2555">
        <f>Subscribers!CC143</f>
        <v>2233</v>
      </c>
      <c r="R86" s="2525">
        <f>Subscribers!CD143</f>
        <v>2181</v>
      </c>
      <c r="S86" s="2525">
        <f>Subscribers!CE143</f>
        <v>2151</v>
      </c>
      <c r="T86" s="2525">
        <f>Subscribers!CF143</f>
        <v>2089</v>
      </c>
      <c r="U86" s="2525">
        <f>Subscribers!CG143</f>
        <v>2050</v>
      </c>
      <c r="V86" s="2525">
        <f>Subscribers!CH143</f>
        <v>2024</v>
      </c>
      <c r="W86" s="2525">
        <f>Subscribers!CI143</f>
        <v>1976</v>
      </c>
      <c r="X86" s="2525">
        <f>Subscribers!CJ143</f>
        <v>1926</v>
      </c>
      <c r="Y86" s="2525">
        <f>Subscribers!CK143</f>
        <v>1888</v>
      </c>
      <c r="Z86" s="2525">
        <f>Subscribers!CL143</f>
        <v>1834</v>
      </c>
      <c r="AA86" s="2524">
        <f>Subscribers!CQ143</f>
        <v>1620.595</v>
      </c>
      <c r="AB86" s="2524">
        <f>Subscribers!CR143</f>
        <v>1576.4</v>
      </c>
    </row>
    <row r="87" spans="3:28" ht="15.75" customHeight="1">
      <c r="C87" s="2524" t="s">
        <v>1582</v>
      </c>
      <c r="G87" s="2555">
        <f t="shared" ref="G87:W87" si="4">+SUM(D83:G83)</f>
        <v>239</v>
      </c>
      <c r="H87" s="2555">
        <f t="shared" si="4"/>
        <v>243</v>
      </c>
      <c r="I87" s="2555">
        <f t="shared" si="4"/>
        <v>227</v>
      </c>
      <c r="J87" s="2555">
        <f t="shared" si="4"/>
        <v>195</v>
      </c>
      <c r="K87" s="2555">
        <f t="shared" si="4"/>
        <v>169</v>
      </c>
      <c r="L87" s="2555">
        <f t="shared" si="4"/>
        <v>143</v>
      </c>
      <c r="M87" s="2555">
        <f t="shared" si="4"/>
        <v>132</v>
      </c>
      <c r="N87" s="2555">
        <f t="shared" si="4"/>
        <v>140</v>
      </c>
      <c r="O87" s="2555">
        <f t="shared" si="4"/>
        <v>140</v>
      </c>
      <c r="P87" s="2555">
        <f t="shared" si="4"/>
        <v>146</v>
      </c>
      <c r="Q87" s="2555">
        <f t="shared" si="4"/>
        <v>121</v>
      </c>
      <c r="R87" s="2555">
        <f t="shared" si="4"/>
        <v>90.6</v>
      </c>
      <c r="S87" s="2555">
        <f t="shared" si="4"/>
        <v>60</v>
      </c>
      <c r="T87" s="2555">
        <f t="shared" si="4"/>
        <v>53</v>
      </c>
      <c r="U87" s="2555">
        <f t="shared" si="4"/>
        <v>8</v>
      </c>
      <c r="V87" s="2555">
        <f t="shared" si="4"/>
        <v>-33.6</v>
      </c>
      <c r="W87" s="2555">
        <f t="shared" si="4"/>
        <v>-61</v>
      </c>
      <c r="X87" s="2555">
        <f>+SUM(U83:X83)</f>
        <v>-118</v>
      </c>
    </row>
    <row r="88" spans="3:28" ht="15.75" customHeight="1">
      <c r="F88" s="2534"/>
      <c r="G88" s="2534"/>
      <c r="H88" s="2534"/>
      <c r="I88" s="2534"/>
      <c r="J88" s="2534"/>
      <c r="K88" s="2534"/>
      <c r="L88" s="2534"/>
      <c r="M88" s="2534"/>
      <c r="N88" s="2534"/>
      <c r="O88" s="2534"/>
      <c r="P88" s="2534"/>
      <c r="R88" s="2534"/>
      <c r="S88" s="2534"/>
      <c r="T88" s="2534"/>
      <c r="U88" s="2534"/>
      <c r="V88" s="2534"/>
      <c r="W88" s="2534"/>
      <c r="X88" s="2534"/>
      <c r="Y88" s="2534"/>
      <c r="Z88" s="2534"/>
      <c r="AA88" s="2534"/>
      <c r="AB88" s="2534"/>
    </row>
    <row r="89" spans="3:28" ht="15.75" customHeight="1">
      <c r="F89" s="2534"/>
      <c r="G89" s="2534"/>
      <c r="H89" s="2534"/>
      <c r="I89" s="2534"/>
      <c r="J89" s="2534"/>
      <c r="K89" s="2534"/>
      <c r="L89" s="2534"/>
      <c r="M89" s="2534"/>
      <c r="N89" s="2534"/>
      <c r="O89" s="2534"/>
      <c r="P89" s="2534"/>
      <c r="R89" s="2534"/>
      <c r="S89" s="2534"/>
      <c r="T89" s="2534"/>
      <c r="U89" s="2534"/>
      <c r="V89" s="2534"/>
      <c r="W89" s="2534"/>
      <c r="X89" s="2534"/>
      <c r="Y89" s="2534"/>
      <c r="Z89" s="2534"/>
      <c r="AA89" s="2534"/>
      <c r="AB89" s="2534"/>
    </row>
    <row r="90" spans="3:28" ht="15.75" customHeight="1">
      <c r="F90" s="2534"/>
      <c r="G90" s="2534"/>
      <c r="H90" s="2534"/>
      <c r="I90" s="2534"/>
      <c r="J90" s="2534"/>
      <c r="K90" s="2534"/>
      <c r="L90" s="2534"/>
      <c r="M90" s="2534"/>
      <c r="N90" s="2534"/>
      <c r="O90" s="2534"/>
      <c r="P90" s="2534"/>
      <c r="R90" s="2534"/>
      <c r="S90" s="2534"/>
      <c r="T90" s="2534"/>
      <c r="U90" s="2534"/>
      <c r="V90" s="2534"/>
      <c r="W90" s="2534"/>
      <c r="X90" s="2534"/>
      <c r="Y90" s="2534"/>
      <c r="Z90" s="2534"/>
      <c r="AA90" s="2534"/>
      <c r="AB90" s="2534"/>
    </row>
    <row r="91" spans="3:28" ht="15.75" customHeight="1">
      <c r="F91" s="2534"/>
      <c r="G91" s="2534"/>
      <c r="H91" s="2534"/>
      <c r="I91" s="2534"/>
      <c r="J91" s="2534"/>
      <c r="K91" s="2534"/>
      <c r="L91" s="2534"/>
      <c r="M91" s="2534"/>
      <c r="N91" s="2534"/>
      <c r="O91" s="2534"/>
      <c r="P91" s="2534"/>
      <c r="R91" s="2534"/>
      <c r="S91" s="2534"/>
      <c r="T91" s="2534"/>
      <c r="U91" s="2534"/>
      <c r="V91" s="2534"/>
      <c r="W91" s="2534"/>
      <c r="X91" s="2534"/>
      <c r="Y91" s="2534"/>
      <c r="Z91" s="2534"/>
      <c r="AA91" s="2534"/>
      <c r="AB91" s="2534"/>
    </row>
    <row r="92" spans="3:28" ht="15.75" customHeight="1">
      <c r="F92" s="2534"/>
      <c r="G92" s="2534"/>
      <c r="H92" s="2534"/>
      <c r="I92" s="2534"/>
      <c r="J92" s="2534"/>
      <c r="K92" s="2534"/>
      <c r="L92" s="2534"/>
      <c r="M92" s="2534"/>
      <c r="N92" s="2534"/>
      <c r="O92" s="2534"/>
      <c r="P92" s="2534"/>
      <c r="R92" s="2534"/>
      <c r="S92" s="2534"/>
      <c r="T92" s="2534"/>
      <c r="U92" s="2534"/>
      <c r="V92" s="2534"/>
      <c r="W92" s="2534"/>
      <c r="X92" s="2534"/>
      <c r="Y92" s="2534"/>
      <c r="Z92" s="2534"/>
      <c r="AA92" s="2534"/>
      <c r="AB92" s="2534"/>
    </row>
    <row r="93" spans="3:28" ht="15.75" customHeight="1">
      <c r="F93" s="2534"/>
      <c r="G93" s="2534"/>
      <c r="H93" s="2534"/>
      <c r="I93" s="2534"/>
      <c r="J93" s="2534"/>
      <c r="K93" s="2534"/>
      <c r="L93" s="2534"/>
      <c r="M93" s="2534"/>
      <c r="N93" s="2534"/>
      <c r="O93" s="2534"/>
      <c r="P93" s="2534"/>
      <c r="R93" s="2534"/>
      <c r="S93" s="2534"/>
      <c r="T93" s="2534"/>
      <c r="U93" s="2534"/>
      <c r="V93" s="2534"/>
      <c r="W93" s="2534"/>
      <c r="X93" s="2534"/>
      <c r="Y93" s="2534"/>
      <c r="Z93" s="2534"/>
      <c r="AA93" s="2534"/>
      <c r="AB93" s="2534"/>
    </row>
    <row r="94" spans="3:28" ht="15.75" customHeight="1">
      <c r="F94" s="2534"/>
      <c r="G94" s="2534"/>
      <c r="H94" s="2534"/>
      <c r="I94" s="2534"/>
      <c r="J94" s="2534"/>
      <c r="K94" s="2534"/>
      <c r="L94" s="2534"/>
      <c r="M94" s="2534"/>
      <c r="N94" s="2534"/>
      <c r="O94" s="2534"/>
      <c r="P94" s="2534"/>
      <c r="R94" s="2534"/>
      <c r="S94" s="2534"/>
      <c r="T94" s="2534"/>
      <c r="U94" s="2534"/>
      <c r="V94" s="2534"/>
      <c r="W94" s="2534"/>
      <c r="X94" s="2534"/>
      <c r="Y94" s="2534"/>
      <c r="Z94" s="2534"/>
      <c r="AA94" s="2534"/>
      <c r="AB94" s="2534"/>
    </row>
    <row r="95" spans="3:28" ht="15.75" customHeight="1">
      <c r="F95" s="2534"/>
      <c r="G95" s="2534"/>
      <c r="H95" s="2534"/>
      <c r="I95" s="2534"/>
      <c r="J95" s="2534"/>
      <c r="K95" s="2534"/>
      <c r="L95" s="2534"/>
      <c r="M95" s="2534"/>
      <c r="N95" s="2534"/>
      <c r="O95" s="2534"/>
      <c r="P95" s="2534"/>
      <c r="R95" s="2534"/>
      <c r="S95" s="2534"/>
      <c r="T95" s="2534"/>
      <c r="U95" s="2534"/>
      <c r="V95" s="2534"/>
      <c r="W95" s="2534"/>
      <c r="X95" s="2534"/>
      <c r="Y95" s="2534"/>
      <c r="Z95" s="2534"/>
      <c r="AA95" s="2534"/>
      <c r="AB95" s="2534"/>
    </row>
    <row r="96" spans="3:28" ht="15.75" customHeight="1">
      <c r="F96" s="2534"/>
      <c r="G96" s="2534"/>
      <c r="H96" s="2534"/>
      <c r="I96" s="2534"/>
      <c r="J96" s="2534"/>
      <c r="K96" s="2534"/>
      <c r="L96" s="2534"/>
      <c r="M96" s="2534"/>
      <c r="N96" s="2534"/>
      <c r="O96" s="2534"/>
      <c r="P96" s="2534"/>
      <c r="R96" s="2534"/>
      <c r="S96" s="2534"/>
      <c r="T96" s="2534"/>
      <c r="U96" s="2534"/>
      <c r="V96" s="2534"/>
      <c r="W96" s="2534"/>
      <c r="X96" s="2534"/>
      <c r="Y96" s="2534"/>
      <c r="Z96" s="2534"/>
      <c r="AA96" s="2534"/>
      <c r="AB96" s="2534"/>
    </row>
    <row r="97" spans="3:39" ht="15.75" customHeight="1">
      <c r="F97" s="2534"/>
      <c r="G97" s="2534"/>
      <c r="H97" s="2534"/>
      <c r="I97" s="2534"/>
      <c r="J97" s="2534"/>
      <c r="K97" s="2534"/>
      <c r="L97" s="2534"/>
      <c r="M97" s="2534"/>
      <c r="N97" s="2534"/>
      <c r="O97" s="2534"/>
      <c r="P97" s="2534"/>
      <c r="R97" s="2534"/>
      <c r="S97" s="2534"/>
      <c r="T97" s="2534"/>
      <c r="U97" s="2534"/>
      <c r="V97" s="2534"/>
      <c r="W97" s="2534"/>
      <c r="X97" s="2534"/>
      <c r="Y97" s="2534"/>
      <c r="Z97" s="2534"/>
      <c r="AA97" s="2534"/>
      <c r="AB97" s="2534"/>
    </row>
    <row r="98" spans="3:39" ht="15.75" customHeight="1">
      <c r="F98" s="2534"/>
      <c r="G98" s="2534"/>
      <c r="H98" s="2534"/>
      <c r="I98" s="2534"/>
      <c r="J98" s="2534"/>
      <c r="K98" s="2534"/>
      <c r="L98" s="2534"/>
      <c r="M98" s="2534"/>
      <c r="N98" s="2534"/>
      <c r="O98" s="2534"/>
      <c r="P98" s="2534"/>
      <c r="R98" s="2534"/>
      <c r="S98" s="2534"/>
      <c r="T98" s="2534"/>
      <c r="U98" s="2534"/>
      <c r="V98" s="2534"/>
      <c r="W98" s="2534"/>
      <c r="X98" s="2534"/>
      <c r="Y98" s="2534"/>
      <c r="Z98" s="2534"/>
      <c r="AA98" s="2534"/>
      <c r="AB98" s="2534"/>
    </row>
    <row r="99" spans="3:39" ht="15.75" customHeight="1">
      <c r="F99" s="2534"/>
      <c r="G99" s="2534"/>
      <c r="H99" s="2534"/>
      <c r="I99" s="2534"/>
      <c r="J99" s="2534"/>
      <c r="K99" s="2534"/>
      <c r="L99" s="2534"/>
      <c r="M99" s="2534"/>
      <c r="N99" s="2534"/>
      <c r="O99" s="2534"/>
      <c r="P99" s="2534"/>
      <c r="R99" s="2534"/>
      <c r="S99" s="2534"/>
      <c r="T99" s="2534"/>
      <c r="U99" s="2534"/>
      <c r="V99" s="2534"/>
      <c r="W99" s="2534"/>
      <c r="X99" s="2534"/>
      <c r="Y99" s="2534"/>
      <c r="Z99" s="2534"/>
      <c r="AA99" s="2534"/>
      <c r="AB99" s="2534"/>
    </row>
    <row r="100" spans="3:39" ht="15.75" customHeight="1">
      <c r="F100" s="2534"/>
      <c r="G100" s="2534"/>
      <c r="H100" s="2534"/>
      <c r="I100" s="2534"/>
      <c r="J100" s="2534"/>
      <c r="K100" s="2534"/>
      <c r="L100" s="2534"/>
      <c r="M100" s="2534"/>
      <c r="N100" s="2534"/>
      <c r="O100" s="2534"/>
      <c r="P100" s="2534"/>
      <c r="R100" s="2534"/>
      <c r="S100" s="2534"/>
      <c r="T100" s="2534"/>
      <c r="U100" s="2534"/>
      <c r="V100" s="2534"/>
      <c r="W100" s="2534"/>
      <c r="X100" s="2534"/>
      <c r="Y100" s="2534"/>
      <c r="Z100" s="2534"/>
      <c r="AA100" s="2534"/>
      <c r="AB100" s="2534"/>
    </row>
    <row r="101" spans="3:39" ht="15.75" customHeight="1">
      <c r="F101" s="2534"/>
      <c r="G101" s="2534"/>
      <c r="H101" s="2534"/>
      <c r="I101" s="2534"/>
      <c r="J101" s="2534"/>
      <c r="K101" s="2534"/>
      <c r="L101" s="2534"/>
      <c r="M101" s="2534"/>
      <c r="N101" s="2534"/>
      <c r="O101" s="2534"/>
      <c r="P101" s="2534"/>
      <c r="R101" s="2534"/>
      <c r="S101" s="2534"/>
      <c r="T101" s="2534"/>
      <c r="U101" s="2534"/>
      <c r="V101" s="2534"/>
      <c r="W101" s="2534"/>
      <c r="X101" s="2534"/>
      <c r="Y101" s="2534"/>
      <c r="Z101" s="2534"/>
      <c r="AA101" s="2534"/>
      <c r="AB101" s="2534"/>
    </row>
    <row r="102" spans="3:39" ht="15.75" customHeight="1">
      <c r="F102" s="2534"/>
      <c r="G102" s="2534"/>
      <c r="H102" s="2534"/>
      <c r="I102" s="2534"/>
      <c r="J102" s="2534"/>
      <c r="K102" s="2534"/>
      <c r="L102" s="2534"/>
      <c r="M102" s="2534"/>
      <c r="N102" s="2534"/>
      <c r="O102" s="2534"/>
      <c r="P102" s="2534"/>
      <c r="R102" s="2534"/>
      <c r="S102" s="2534"/>
      <c r="T102" s="2534"/>
      <c r="U102" s="2534"/>
      <c r="V102" s="2534"/>
      <c r="W102" s="2534"/>
      <c r="X102" s="2534"/>
      <c r="Y102" s="2534"/>
      <c r="Z102" s="2534"/>
      <c r="AA102" s="2534"/>
      <c r="AB102" s="2534"/>
    </row>
    <row r="103" spans="3:39" ht="15.75" customHeight="1">
      <c r="F103" s="2534"/>
      <c r="G103" s="2534"/>
      <c r="H103" s="2534"/>
      <c r="I103" s="2534"/>
      <c r="J103" s="2534"/>
      <c r="K103" s="2534"/>
      <c r="L103" s="2534"/>
      <c r="M103" s="2534"/>
      <c r="N103" s="2534"/>
      <c r="O103" s="2534"/>
      <c r="P103" s="2534"/>
      <c r="R103" s="2534"/>
      <c r="S103" s="2534"/>
      <c r="T103" s="2534"/>
      <c r="U103" s="2534"/>
      <c r="V103" s="2534"/>
      <c r="W103" s="2534"/>
      <c r="X103" s="2534"/>
      <c r="Y103" s="2534"/>
      <c r="Z103" s="2534"/>
      <c r="AA103" s="2534"/>
      <c r="AB103" s="2534"/>
    </row>
    <row r="104" spans="3:39" ht="15.75" customHeight="1">
      <c r="F104" s="2534"/>
      <c r="G104" s="2534"/>
      <c r="H104" s="2534"/>
      <c r="I104" s="2534"/>
      <c r="J104" s="2534"/>
      <c r="K104" s="2534"/>
      <c r="L104" s="2534"/>
      <c r="M104" s="2534"/>
      <c r="N104" s="2534"/>
      <c r="O104" s="2534"/>
      <c r="P104" s="2534"/>
      <c r="R104" s="2534"/>
      <c r="S104" s="2534"/>
      <c r="T104" s="2534"/>
      <c r="U104" s="2534"/>
      <c r="V104" s="2534"/>
      <c r="W104" s="2534"/>
      <c r="X104" s="2534"/>
      <c r="Y104" s="2534"/>
      <c r="Z104" s="2534"/>
      <c r="AA104" s="2534"/>
      <c r="AB104" s="2534"/>
    </row>
    <row r="105" spans="3:39" ht="15.75" customHeight="1">
      <c r="F105" s="2534"/>
      <c r="G105" s="2534"/>
      <c r="H105" s="2534"/>
      <c r="I105" s="2534"/>
      <c r="J105" s="2534"/>
      <c r="K105" s="2534"/>
      <c r="L105" s="2534"/>
      <c r="M105" s="2534"/>
      <c r="N105" s="2534"/>
      <c r="O105" s="2534"/>
      <c r="P105" s="2534"/>
      <c r="R105" s="2534"/>
      <c r="S105" s="2534"/>
      <c r="T105" s="2534"/>
      <c r="U105" s="2534"/>
      <c r="V105" s="2534"/>
      <c r="W105" s="2534"/>
      <c r="X105" s="2534"/>
      <c r="Y105" s="2534"/>
      <c r="Z105" s="2534"/>
      <c r="AA105" s="2534"/>
      <c r="AB105" s="2534"/>
    </row>
    <row r="108" spans="3:39" ht="15.75" customHeight="1" outlineLevel="1">
      <c r="C108" s="759" t="str">
        <f>IS!A8</f>
        <v>INCOME STATEMENT ($MM)</v>
      </c>
      <c r="D108" s="396" t="str">
        <f>IS!L8</f>
        <v>2011</v>
      </c>
      <c r="E108" s="396" t="str">
        <f>IS!M8</f>
        <v>2012</v>
      </c>
      <c r="F108" s="396" t="str">
        <f>IS!N8</f>
        <v>2013</v>
      </c>
      <c r="G108" s="396" t="str">
        <f>IS!O8</f>
        <v>2014</v>
      </c>
      <c r="H108" s="396" t="str">
        <f>IS!P8</f>
        <v>2015</v>
      </c>
      <c r="I108" s="396" t="str">
        <f>IS!Q8</f>
        <v>2016</v>
      </c>
      <c r="J108" s="396" t="str">
        <f>IS!R8</f>
        <v>2017</v>
      </c>
      <c r="K108" s="396" t="str">
        <f>IS!S8</f>
        <v>2018E</v>
      </c>
      <c r="L108" s="396" t="str">
        <f>IS!T8</f>
        <v>2019E</v>
      </c>
      <c r="M108" s="396" t="str">
        <f>IS!U8</f>
        <v>2020E</v>
      </c>
      <c r="S108" s="2613" t="str">
        <f t="shared" ref="S108:AB108" si="5">D111</f>
        <v>2011</v>
      </c>
      <c r="T108" s="2613" t="str">
        <f t="shared" si="5"/>
        <v>2012</v>
      </c>
      <c r="U108" s="2613" t="str">
        <f t="shared" si="5"/>
        <v>2013</v>
      </c>
      <c r="V108" s="2613" t="str">
        <f t="shared" si="5"/>
        <v>2014</v>
      </c>
      <c r="W108" s="2613" t="str">
        <f t="shared" si="5"/>
        <v>2015</v>
      </c>
      <c r="X108" s="2613" t="str">
        <f t="shared" si="5"/>
        <v>2016</v>
      </c>
      <c r="Y108" s="2613" t="str">
        <f t="shared" si="5"/>
        <v>2017</v>
      </c>
      <c r="Z108" s="2613" t="str">
        <f t="shared" si="5"/>
        <v>2018E</v>
      </c>
      <c r="AA108" s="2613" t="str">
        <f t="shared" si="5"/>
        <v>2019E</v>
      </c>
      <c r="AB108" s="2613" t="str">
        <f t="shared" si="5"/>
        <v>2020E</v>
      </c>
      <c r="AF108" s="2613"/>
      <c r="AG108" s="2613"/>
      <c r="AH108" s="2613"/>
      <c r="AI108" s="2613"/>
      <c r="AJ108" s="2613"/>
      <c r="AK108" s="2613"/>
      <c r="AL108" s="2613"/>
      <c r="AM108" s="2613"/>
    </row>
    <row r="109" spans="3:39" ht="15.75" customHeight="1" outlineLevel="1">
      <c r="C109" s="404" t="str">
        <f>IS!A25</f>
        <v>Total revenues</v>
      </c>
      <c r="D109" s="2609">
        <f ca="1">IS!L25/1000</f>
        <v>18.691800000000001</v>
      </c>
      <c r="E109" s="2609">
        <f>IS!M25/1000</f>
        <v>18.376999999999999</v>
      </c>
      <c r="F109" s="2609">
        <f>IS!N25/1000</f>
        <v>18.094999999999999</v>
      </c>
      <c r="G109" s="2609">
        <f>IS!O25/1000</f>
        <v>18.027000000000001</v>
      </c>
      <c r="H109" s="2609">
        <f>IS!P25/1000</f>
        <v>17.899999999999999</v>
      </c>
      <c r="I109" s="2609">
        <f>IS!Q25/1000</f>
        <v>17.47</v>
      </c>
      <c r="J109" s="2609">
        <f>IS!R25/1000</f>
        <v>18.338000000000001</v>
      </c>
      <c r="K109" s="2609">
        <f>IS!S25/1000</f>
        <v>23.840293709116747</v>
      </c>
      <c r="L109" s="2609">
        <f>IS!T25/1000</f>
        <v>23.587128801288248</v>
      </c>
      <c r="M109" s="2609">
        <f>IS!U25/1000</f>
        <v>23.39039658586254</v>
      </c>
      <c r="R109" s="2524" t="s">
        <v>752</v>
      </c>
      <c r="S109" s="2614">
        <f ca="1">CFS!L80/1000</f>
        <v>4.6857609999999994</v>
      </c>
      <c r="T109" s="2614">
        <f>CFS!M80/1000</f>
        <v>3.6844999999999999</v>
      </c>
      <c r="U109" s="2614">
        <f>CFS!N80/1000</f>
        <v>3.024</v>
      </c>
      <c r="V109" s="2614">
        <f>CFS!O80/1000</f>
        <v>2.9319999999999999</v>
      </c>
      <c r="W109" s="2614">
        <f>CFS!P80/1000</f>
        <v>2.738</v>
      </c>
      <c r="X109" s="2614">
        <f>CFS!Q80/1000</f>
        <v>1.518</v>
      </c>
      <c r="Y109" s="2614">
        <f>CFS!R80/1000</f>
        <v>1.157</v>
      </c>
      <c r="Z109" s="2614">
        <f>CFS!S80/1000</f>
        <v>2.2686170838790725</v>
      </c>
      <c r="AA109" s="2614">
        <f>CFS!T80/1000</f>
        <v>2.8487700275455445</v>
      </c>
      <c r="AB109" s="2614">
        <f>CFS!U80/1000</f>
        <v>3.2236930221716711</v>
      </c>
      <c r="AF109" s="2614"/>
      <c r="AG109" s="2614"/>
      <c r="AH109" s="2614"/>
      <c r="AI109" s="2614"/>
      <c r="AJ109" s="2614"/>
      <c r="AK109" s="2614"/>
      <c r="AL109" s="2614"/>
      <c r="AM109" s="2614"/>
    </row>
    <row r="110" spans="3:39" ht="15.75" customHeight="1" outlineLevel="1">
      <c r="C110" s="418" t="str">
        <f>IS!A26</f>
        <v>% growth</v>
      </c>
      <c r="D110" s="409">
        <f ca="1">IS!L26</f>
        <v>-3.8042303535587463E-2</v>
      </c>
      <c r="E110" s="409">
        <f ca="1">IS!M26</f>
        <v>-1.6841609689810522E-2</v>
      </c>
      <c r="F110" s="409">
        <f>IS!N26</f>
        <v>-1.5345268542199531E-2</v>
      </c>
      <c r="G110" s="409">
        <f>IS!O26</f>
        <v>-3.7579441834760807E-3</v>
      </c>
      <c r="H110" s="409">
        <f>IS!P26</f>
        <v>-7.0449880734453352E-3</v>
      </c>
      <c r="I110" s="409">
        <f>IS!Q26</f>
        <v>-2.4022346368715031E-2</v>
      </c>
      <c r="J110" s="409" t="str">
        <f>IS!R26</f>
        <v>na</v>
      </c>
      <c r="K110" s="409" t="str">
        <f>IS!S26</f>
        <v>na</v>
      </c>
      <c r="L110" s="409">
        <f>IS!T26</f>
        <v>-1.061920255335147E-2</v>
      </c>
      <c r="M110" s="409">
        <f>IS!U26</f>
        <v>-8.3406597336662669E-3</v>
      </c>
      <c r="R110" s="2524" t="s">
        <v>1241</v>
      </c>
      <c r="S110" s="2612">
        <f ca="1">CFS!L104</f>
        <v>0.3807138851085235</v>
      </c>
      <c r="T110" s="2612">
        <f>CFS!M104</f>
        <v>0.49151852354457864</v>
      </c>
      <c r="U110" s="2612">
        <f>CFS!N104</f>
        <v>0.43022486772486773</v>
      </c>
      <c r="V110" s="2612">
        <f>CFS!O104</f>
        <v>0.49179014817781336</v>
      </c>
      <c r="W110" s="2612">
        <f>CFS!P104</f>
        <v>0.44684819097351736</v>
      </c>
      <c r="X110" s="2612">
        <f>CFS!Q104</f>
        <v>0.65783540022547915</v>
      </c>
      <c r="Y110" s="2612">
        <f>CFS!R104</f>
        <v>0.91845764854614409</v>
      </c>
      <c r="Z110" s="2612">
        <f>CFS!S104</f>
        <v>0.81259615026433729</v>
      </c>
      <c r="AA110" s="2612">
        <f>CFS!T104</f>
        <v>0.71495213368217148</v>
      </c>
      <c r="AB110" s="2612">
        <f>CFS!U104</f>
        <v>0.67076805624097946</v>
      </c>
      <c r="AF110" s="2612"/>
      <c r="AG110" s="2612"/>
      <c r="AH110" s="2612"/>
      <c r="AI110" s="2612"/>
      <c r="AJ110" s="2612"/>
      <c r="AK110" s="2612"/>
      <c r="AL110" s="2612"/>
      <c r="AM110" s="2612"/>
    </row>
    <row r="111" spans="3:39" ht="15.75" customHeight="1" outlineLevel="1">
      <c r="C111" s="759"/>
      <c r="D111" s="396" t="str">
        <f t="shared" ref="D111:M111" si="6">D108</f>
        <v>2011</v>
      </c>
      <c r="E111" s="396" t="str">
        <f t="shared" si="6"/>
        <v>2012</v>
      </c>
      <c r="F111" s="396" t="str">
        <f t="shared" si="6"/>
        <v>2013</v>
      </c>
      <c r="G111" s="396" t="str">
        <f t="shared" si="6"/>
        <v>2014</v>
      </c>
      <c r="H111" s="396" t="str">
        <f t="shared" si="6"/>
        <v>2015</v>
      </c>
      <c r="I111" s="396" t="str">
        <f t="shared" si="6"/>
        <v>2016</v>
      </c>
      <c r="J111" s="396" t="str">
        <f t="shared" si="6"/>
        <v>2017</v>
      </c>
      <c r="K111" s="396" t="str">
        <f t="shared" si="6"/>
        <v>2018E</v>
      </c>
      <c r="L111" s="396" t="str">
        <f t="shared" si="6"/>
        <v>2019E</v>
      </c>
      <c r="M111" s="396" t="str">
        <f t="shared" si="6"/>
        <v>2020E</v>
      </c>
    </row>
    <row r="112" spans="3:39" ht="15.75" customHeight="1" outlineLevel="1">
      <c r="C112" s="2734" t="str">
        <f>IS!A60</f>
        <v>EBITDA (Adj. OCF)</v>
      </c>
      <c r="D112" s="2610">
        <f ca="1">IS!L60/1000</f>
        <v>7.889549999999999</v>
      </c>
      <c r="E112" s="2610">
        <f>IS!M60/1000</f>
        <v>8.0694999999999997</v>
      </c>
      <c r="F112" s="2610">
        <f>IS!N60/1000</f>
        <v>7.4320000000000004</v>
      </c>
      <c r="G112" s="2610">
        <f>IS!O60/1000</f>
        <v>7.0519999999999996</v>
      </c>
      <c r="H112" s="2610">
        <f>IS!P60/1000</f>
        <v>6.9340000000000002</v>
      </c>
      <c r="I112" s="2610">
        <f>IS!Q60/1000</f>
        <v>6.5129999999999999</v>
      </c>
      <c r="J112" s="2610">
        <f>IS!R60/1000</f>
        <v>6.5819999999999999</v>
      </c>
      <c r="K112" s="2610">
        <f>IS!S60/1000</f>
        <v>8.846968097327391</v>
      </c>
      <c r="L112" s="2610">
        <f>IS!T60/1000</f>
        <v>9.1701733004830928</v>
      </c>
      <c r="M112" s="2610">
        <f>IS!U60/1000</f>
        <v>9.3456450650722545</v>
      </c>
    </row>
    <row r="113" spans="3:28" ht="15.75" customHeight="1" outlineLevel="1">
      <c r="C113" s="2733" t="str">
        <f>IS!A61</f>
        <v>Y/Y % growth</v>
      </c>
      <c r="D113" s="452">
        <f ca="1">IS!L61</f>
        <v>-4.5310987415295378E-2</v>
      </c>
      <c r="E113" s="452">
        <f ca="1">IS!M61</f>
        <v>2.280865195099846E-2</v>
      </c>
      <c r="F113" s="452">
        <f>IS!N61</f>
        <v>-7.90011772724456E-2</v>
      </c>
      <c r="G113" s="452">
        <f>IS!O61</f>
        <v>-5.1130247578040855E-2</v>
      </c>
      <c r="H113" s="452">
        <f>IS!P61</f>
        <v>-1.6732841747022165E-2</v>
      </c>
      <c r="I113" s="452">
        <f>IS!Q61</f>
        <v>-6.0715315835015882E-2</v>
      </c>
      <c r="J113" s="452">
        <f>IS!R61</f>
        <v>1.0594196222938779E-2</v>
      </c>
      <c r="K113" s="452">
        <f>IS!S61</f>
        <v>0.34411548121048186</v>
      </c>
      <c r="L113" s="452">
        <f>IS!T61</f>
        <v>3.6532877659334995E-2</v>
      </c>
      <c r="M113" s="452">
        <f>IS!U61</f>
        <v>1.9135054359323611E-2</v>
      </c>
    </row>
    <row r="114" spans="3:28" ht="15.75" customHeight="1" outlineLevel="1">
      <c r="C114" s="2732" t="str">
        <f>IS!A63</f>
        <v>% margin</v>
      </c>
      <c r="D114" s="483">
        <f ca="1">IS!L63</f>
        <v>0.42208615542644368</v>
      </c>
      <c r="E114" s="483">
        <f>IS!M63</f>
        <v>0.43910866844425095</v>
      </c>
      <c r="F114" s="483">
        <f>IS!N63</f>
        <v>0.41072119369991711</v>
      </c>
      <c r="G114" s="483">
        <f>IS!O63</f>
        <v>0.39119099129084151</v>
      </c>
      <c r="H114" s="483">
        <f>IS!P63</f>
        <v>0.38737430167597764</v>
      </c>
      <c r="I114" s="483">
        <f>IS!Q63</f>
        <v>0.37281053234115624</v>
      </c>
      <c r="J114" s="483">
        <f>IS!R63</f>
        <v>0.35892681862798559</v>
      </c>
      <c r="K114" s="483">
        <f>IS!S63</f>
        <v>0.37109308321752049</v>
      </c>
      <c r="L114" s="483">
        <f>IS!T63</f>
        <v>0.38877870120343982</v>
      </c>
      <c r="M114" s="483">
        <f>IS!U63</f>
        <v>0.39955051769925454</v>
      </c>
    </row>
    <row r="116" spans="3:28" ht="15.75" customHeight="1">
      <c r="F116" s="2534"/>
      <c r="G116" s="2534"/>
      <c r="H116" s="2534"/>
      <c r="I116" s="2534"/>
      <c r="J116" s="2534"/>
      <c r="K116" s="2534"/>
      <c r="L116" s="2534"/>
      <c r="M116" s="2534"/>
      <c r="N116" s="2534"/>
      <c r="O116" s="2534"/>
      <c r="P116" s="2534"/>
      <c r="R116" s="2534"/>
      <c r="S116" s="2534"/>
      <c r="T116" s="2534"/>
      <c r="U116" s="2534"/>
      <c r="V116" s="2534"/>
      <c r="W116" s="2534"/>
      <c r="X116" s="2534"/>
      <c r="Y116" s="2534"/>
      <c r="Z116" s="2534"/>
      <c r="AA116" s="2534"/>
      <c r="AB116" s="2534"/>
    </row>
    <row r="117" spans="3:28" ht="15.75" customHeight="1">
      <c r="F117" s="2534"/>
      <c r="G117" s="2534"/>
      <c r="H117" s="2534"/>
      <c r="I117" s="2534"/>
      <c r="J117" s="2534"/>
      <c r="K117" s="2534"/>
      <c r="L117" s="2534"/>
      <c r="M117" s="2534"/>
      <c r="N117" s="2534"/>
      <c r="O117" s="2534"/>
      <c r="P117" s="2534"/>
      <c r="R117" s="2534"/>
      <c r="S117" s="2534"/>
      <c r="T117" s="2534"/>
      <c r="U117" s="2534"/>
      <c r="V117" s="2534"/>
      <c r="W117" s="2534"/>
      <c r="X117" s="2534"/>
      <c r="Y117" s="2534"/>
      <c r="Z117" s="2534"/>
      <c r="AA117" s="2534"/>
      <c r="AB117" s="2534"/>
    </row>
    <row r="118" spans="3:28" ht="15.75" customHeight="1">
      <c r="F118" s="2534"/>
      <c r="G118" s="2534"/>
      <c r="H118" s="2534"/>
      <c r="I118" s="2534"/>
      <c r="J118" s="2534"/>
      <c r="K118" s="2534"/>
      <c r="L118" s="2534"/>
      <c r="M118" s="2534"/>
      <c r="N118" s="2534"/>
      <c r="O118" s="2534"/>
      <c r="P118" s="2534"/>
      <c r="R118" s="2534"/>
      <c r="S118" s="2534"/>
      <c r="T118" s="2534"/>
      <c r="U118" s="2534"/>
      <c r="V118" s="2534"/>
      <c r="W118" s="2534"/>
      <c r="X118" s="2534"/>
      <c r="Y118" s="2534"/>
      <c r="Z118" s="2534"/>
      <c r="AA118" s="2534"/>
      <c r="AB118" s="2534"/>
    </row>
    <row r="119" spans="3:28" ht="15.75" customHeight="1">
      <c r="F119" s="2534"/>
      <c r="G119" s="2534"/>
      <c r="H119" s="2534"/>
      <c r="I119" s="2534"/>
      <c r="J119" s="2534"/>
      <c r="K119" s="2534"/>
      <c r="L119" s="2534"/>
      <c r="M119" s="2534"/>
      <c r="N119" s="2534"/>
      <c r="O119" s="2534"/>
      <c r="P119" s="2534"/>
      <c r="R119" s="2534"/>
      <c r="S119" s="2534"/>
      <c r="T119" s="2534"/>
      <c r="U119" s="2534"/>
      <c r="V119" s="2534"/>
      <c r="W119" s="2534"/>
      <c r="X119" s="2534"/>
      <c r="Y119" s="2534"/>
      <c r="Z119" s="2534"/>
      <c r="AA119" s="2534"/>
      <c r="AB119" s="2534"/>
    </row>
    <row r="120" spans="3:28" ht="15.75" customHeight="1">
      <c r="F120" s="2534"/>
      <c r="G120" s="2534"/>
      <c r="H120" s="2534"/>
      <c r="I120" s="2534"/>
      <c r="J120" s="2534"/>
      <c r="K120" s="2534"/>
      <c r="L120" s="2534"/>
      <c r="M120" s="2534"/>
      <c r="N120" s="2534"/>
      <c r="O120" s="2534"/>
      <c r="P120" s="2534"/>
      <c r="R120" s="2534"/>
      <c r="S120" s="2534"/>
      <c r="T120" s="2534"/>
      <c r="U120" s="2534"/>
      <c r="V120" s="2534"/>
      <c r="W120" s="2534"/>
      <c r="X120" s="2534"/>
      <c r="Y120" s="2534"/>
      <c r="Z120" s="2534"/>
      <c r="AA120" s="2534"/>
      <c r="AB120" s="2534"/>
    </row>
    <row r="121" spans="3:28" ht="15.75" customHeight="1">
      <c r="F121" s="2534"/>
      <c r="G121" s="2534"/>
      <c r="H121" s="2534"/>
      <c r="I121" s="2534"/>
      <c r="J121" s="2534"/>
      <c r="K121" s="2534"/>
      <c r="L121" s="2534"/>
      <c r="M121" s="2534"/>
      <c r="N121" s="2534"/>
      <c r="O121" s="2534"/>
      <c r="P121" s="2534"/>
      <c r="R121" s="2534"/>
      <c r="S121" s="2534"/>
      <c r="T121" s="2534"/>
      <c r="U121" s="2534"/>
      <c r="V121" s="2534"/>
      <c r="W121" s="2534"/>
      <c r="X121" s="2534"/>
      <c r="Y121" s="2534"/>
      <c r="Z121" s="2534"/>
      <c r="AA121" s="2534"/>
      <c r="AB121" s="2534"/>
    </row>
    <row r="122" spans="3:28" ht="15.75" customHeight="1">
      <c r="F122" s="2534"/>
      <c r="G122" s="2534"/>
      <c r="H122" s="2534"/>
      <c r="I122" s="2534"/>
      <c r="J122" s="2534"/>
      <c r="K122" s="2534"/>
      <c r="L122" s="2534"/>
      <c r="M122" s="2534"/>
      <c r="N122" s="2534"/>
      <c r="O122" s="2534"/>
      <c r="P122" s="2534"/>
      <c r="R122" s="2534"/>
      <c r="S122" s="2534"/>
      <c r="T122" s="2534"/>
      <c r="U122" s="2534"/>
      <c r="V122" s="2534"/>
      <c r="W122" s="2534"/>
      <c r="X122" s="2534"/>
      <c r="Y122" s="2534"/>
      <c r="Z122" s="2534"/>
      <c r="AA122" s="2534"/>
      <c r="AB122" s="2534"/>
    </row>
    <row r="123" spans="3:28" ht="15.75" customHeight="1">
      <c r="F123" s="2534"/>
      <c r="G123" s="2534"/>
      <c r="H123" s="2534"/>
      <c r="I123" s="2534"/>
      <c r="J123" s="2534"/>
      <c r="K123" s="2534"/>
      <c r="L123" s="2534"/>
      <c r="M123" s="2534"/>
      <c r="N123" s="2534"/>
      <c r="O123" s="2534"/>
      <c r="P123" s="2534"/>
      <c r="R123" s="2534"/>
      <c r="S123" s="2534"/>
      <c r="T123" s="2534"/>
      <c r="U123" s="2534"/>
      <c r="V123" s="2534"/>
      <c r="W123" s="2534"/>
      <c r="X123" s="2534"/>
      <c r="Y123" s="2534"/>
      <c r="Z123" s="2534"/>
      <c r="AA123" s="2534"/>
      <c r="AB123" s="2534"/>
    </row>
    <row r="124" spans="3:28" ht="15.75" customHeight="1">
      <c r="F124" s="2534"/>
      <c r="G124" s="2534"/>
      <c r="H124" s="2534"/>
      <c r="I124" s="2534"/>
      <c r="J124" s="2534"/>
      <c r="K124" s="2534"/>
      <c r="L124" s="2534"/>
      <c r="M124" s="2534"/>
      <c r="N124" s="2534"/>
      <c r="O124" s="2534"/>
      <c r="P124" s="2534"/>
      <c r="R124" s="2534"/>
      <c r="S124" s="2534"/>
      <c r="T124" s="2534"/>
      <c r="U124" s="2534"/>
      <c r="V124" s="2534"/>
      <c r="W124" s="2534"/>
      <c r="X124" s="2534"/>
      <c r="Y124" s="2534"/>
      <c r="Z124" s="2534"/>
      <c r="AA124" s="2534"/>
      <c r="AB124" s="2534"/>
    </row>
    <row r="125" spans="3:28" ht="15.75" customHeight="1">
      <c r="F125" s="2534"/>
      <c r="G125" s="2534"/>
      <c r="H125" s="2534"/>
      <c r="I125" s="2534"/>
      <c r="J125" s="2534"/>
      <c r="K125" s="2534"/>
      <c r="L125" s="2534"/>
      <c r="M125" s="2534"/>
      <c r="N125" s="2534"/>
      <c r="O125" s="2534"/>
      <c r="P125" s="2534"/>
      <c r="R125" s="2534"/>
      <c r="S125" s="2534"/>
      <c r="T125" s="2534"/>
      <c r="U125" s="2534"/>
      <c r="V125" s="2534"/>
      <c r="W125" s="2534"/>
      <c r="X125" s="2534"/>
      <c r="Y125" s="2534"/>
      <c r="Z125" s="2534"/>
      <c r="AA125" s="2534"/>
      <c r="AB125" s="2534"/>
    </row>
    <row r="126" spans="3:28" ht="15.75" customHeight="1">
      <c r="F126" s="2534"/>
      <c r="G126" s="2534"/>
      <c r="H126" s="2534"/>
      <c r="I126" s="2534"/>
      <c r="J126" s="2534"/>
      <c r="K126" s="2534"/>
      <c r="L126" s="2534"/>
      <c r="M126" s="2534"/>
      <c r="N126" s="2534"/>
      <c r="O126" s="2534"/>
      <c r="P126" s="2534"/>
      <c r="R126" s="2534"/>
      <c r="S126" s="2534"/>
      <c r="T126" s="2534"/>
      <c r="U126" s="2534"/>
      <c r="V126" s="2534"/>
      <c r="W126" s="2534"/>
      <c r="X126" s="2534"/>
      <c r="Y126" s="2534"/>
      <c r="Z126" s="2534"/>
      <c r="AA126" s="2534"/>
      <c r="AB126" s="2534"/>
    </row>
    <row r="127" spans="3:28" ht="15.75" customHeight="1">
      <c r="F127" s="2534"/>
      <c r="G127" s="2534"/>
      <c r="H127" s="2534"/>
      <c r="I127" s="2534"/>
      <c r="J127" s="2534"/>
      <c r="K127" s="2534"/>
      <c r="L127" s="2534"/>
      <c r="M127" s="2534"/>
      <c r="N127" s="2534"/>
      <c r="O127" s="2534"/>
      <c r="P127" s="2534"/>
      <c r="R127" s="2534"/>
      <c r="S127" s="2534"/>
      <c r="T127" s="2534"/>
      <c r="U127" s="2534"/>
      <c r="V127" s="2534"/>
      <c r="W127" s="2534"/>
      <c r="X127" s="2534"/>
      <c r="Y127" s="2534"/>
      <c r="Z127" s="2534"/>
      <c r="AA127" s="2534"/>
      <c r="AB127" s="2534"/>
    </row>
    <row r="128" spans="3:28" ht="15.75" customHeight="1">
      <c r="F128" s="2534"/>
      <c r="G128" s="2534"/>
      <c r="H128" s="2534"/>
      <c r="I128" s="2534"/>
      <c r="J128" s="2534"/>
      <c r="K128" s="2534"/>
      <c r="L128" s="2534"/>
      <c r="M128" s="2534"/>
      <c r="N128" s="2534"/>
      <c r="O128" s="2534"/>
      <c r="P128" s="2534"/>
      <c r="R128" s="2534"/>
      <c r="S128" s="2534"/>
      <c r="T128" s="2534"/>
      <c r="U128" s="2534"/>
      <c r="V128" s="2534"/>
      <c r="W128" s="2534"/>
      <c r="X128" s="2534"/>
      <c r="Y128" s="2534"/>
      <c r="Z128" s="2534"/>
      <c r="AA128" s="2534"/>
      <c r="AB128" s="2534"/>
    </row>
    <row r="129" spans="6:28" ht="15.75" customHeight="1">
      <c r="F129" s="2534"/>
      <c r="G129" s="2534"/>
      <c r="H129" s="2534"/>
      <c r="I129" s="2534"/>
      <c r="J129" s="2534"/>
      <c r="K129" s="2534"/>
      <c r="L129" s="2534"/>
      <c r="M129" s="2534"/>
      <c r="N129" s="2534"/>
      <c r="O129" s="2534"/>
      <c r="P129" s="2534"/>
      <c r="R129" s="2534"/>
      <c r="S129" s="2534"/>
      <c r="T129" s="2534"/>
      <c r="U129" s="2534"/>
      <c r="V129" s="2534"/>
      <c r="W129" s="2534"/>
      <c r="X129" s="2534"/>
      <c r="Y129" s="2534"/>
      <c r="Z129" s="2534"/>
      <c r="AA129" s="2534"/>
      <c r="AB129" s="2534"/>
    </row>
    <row r="130" spans="6:28" ht="15.75" customHeight="1">
      <c r="F130" s="2534"/>
      <c r="G130" s="2534"/>
      <c r="H130" s="2534"/>
      <c r="I130" s="2534"/>
      <c r="J130" s="2534"/>
      <c r="K130" s="2534"/>
      <c r="L130" s="2534"/>
      <c r="M130" s="2534"/>
      <c r="N130" s="2534"/>
      <c r="O130" s="2534"/>
      <c r="P130" s="2534"/>
      <c r="R130" s="2534"/>
      <c r="S130" s="2534"/>
      <c r="T130" s="2534"/>
      <c r="U130" s="2534"/>
      <c r="V130" s="2534"/>
      <c r="W130" s="2534"/>
      <c r="X130" s="2534"/>
      <c r="Y130" s="2534"/>
      <c r="Z130" s="2534"/>
      <c r="AA130" s="2534"/>
      <c r="AB130" s="2534"/>
    </row>
    <row r="131" spans="6:28" ht="15.75" customHeight="1">
      <c r="F131" s="2534"/>
      <c r="G131" s="2534"/>
      <c r="H131" s="2534"/>
      <c r="I131" s="2534"/>
      <c r="J131" s="2534"/>
      <c r="K131" s="2534"/>
      <c r="L131" s="2534"/>
      <c r="M131" s="2534"/>
      <c r="N131" s="2534"/>
      <c r="O131" s="2534"/>
      <c r="P131" s="2534"/>
      <c r="R131" s="2534"/>
      <c r="S131" s="2534"/>
      <c r="T131" s="2534"/>
      <c r="U131" s="2534"/>
      <c r="V131" s="2534"/>
      <c r="W131" s="2534"/>
      <c r="X131" s="2534"/>
      <c r="Y131" s="2534"/>
      <c r="Z131" s="2534"/>
      <c r="AA131" s="2534"/>
      <c r="AB131" s="2534"/>
    </row>
    <row r="132" spans="6:28" ht="15.75" customHeight="1">
      <c r="F132" s="2534"/>
      <c r="G132" s="2534"/>
      <c r="H132" s="2534"/>
      <c r="I132" s="2534"/>
      <c r="J132" s="2534"/>
      <c r="K132" s="2534"/>
      <c r="L132" s="2534"/>
      <c r="M132" s="2534"/>
      <c r="N132" s="2534"/>
      <c r="O132" s="2534"/>
      <c r="P132" s="2534"/>
      <c r="R132" s="2534"/>
      <c r="S132" s="2534"/>
      <c r="T132" s="2534"/>
      <c r="U132" s="2534"/>
      <c r="V132" s="2534"/>
      <c r="W132" s="2534"/>
      <c r="X132" s="2534"/>
      <c r="Y132" s="2534"/>
      <c r="Z132" s="2534"/>
      <c r="AA132" s="2534"/>
      <c r="AB132" s="2534"/>
    </row>
    <row r="133" spans="6:28" ht="15.75" customHeight="1">
      <c r="F133" s="2534"/>
      <c r="G133" s="2534"/>
      <c r="H133" s="2534"/>
      <c r="I133" s="2534"/>
      <c r="J133" s="2534"/>
      <c r="K133" s="2534"/>
      <c r="L133" s="2534"/>
      <c r="M133" s="2534"/>
      <c r="N133" s="2534"/>
      <c r="O133" s="2534"/>
      <c r="P133" s="2534"/>
      <c r="R133" s="2534"/>
      <c r="S133" s="2534"/>
      <c r="T133" s="2534"/>
      <c r="U133" s="2534"/>
      <c r="V133" s="2534"/>
      <c r="W133" s="2534"/>
      <c r="X133" s="2534"/>
      <c r="Y133" s="2534"/>
      <c r="Z133" s="2534"/>
      <c r="AA133" s="2534"/>
      <c r="AB133" s="2534"/>
    </row>
    <row r="136" spans="6:28" ht="15.75" customHeight="1">
      <c r="F136" s="2534"/>
      <c r="G136" s="2534"/>
      <c r="H136" s="2534"/>
      <c r="I136" s="2534"/>
      <c r="J136" s="2534"/>
      <c r="K136" s="2534"/>
      <c r="L136" s="2534"/>
      <c r="M136" s="2534"/>
      <c r="N136" s="2534"/>
      <c r="O136" s="2534"/>
      <c r="P136" s="2534"/>
      <c r="R136" s="2534"/>
      <c r="S136" s="2534"/>
      <c r="T136" s="2534"/>
      <c r="U136" s="2534"/>
      <c r="V136" s="2534"/>
      <c r="W136" s="2534"/>
      <c r="X136" s="2534"/>
      <c r="Y136" s="2534"/>
      <c r="Z136" s="2534"/>
      <c r="AA136" s="2534"/>
      <c r="AB136" s="2534"/>
    </row>
    <row r="137" spans="6:28" ht="15.75" customHeight="1">
      <c r="F137" s="2534"/>
      <c r="G137" s="2534"/>
      <c r="H137" s="2534"/>
      <c r="I137" s="2534"/>
      <c r="J137" s="2534"/>
      <c r="K137" s="2534"/>
      <c r="L137" s="2534"/>
      <c r="M137" s="2534"/>
      <c r="N137" s="2534"/>
      <c r="O137" s="2534"/>
      <c r="P137" s="2534"/>
      <c r="R137" s="2534"/>
      <c r="S137" s="2534"/>
      <c r="T137" s="2534"/>
      <c r="U137" s="2534"/>
      <c r="V137" s="2534"/>
      <c r="W137" s="2534"/>
      <c r="X137" s="2534"/>
      <c r="Y137" s="2534"/>
      <c r="Z137" s="2534"/>
      <c r="AA137" s="2534"/>
      <c r="AB137" s="2534"/>
    </row>
    <row r="138" spans="6:28" ht="15.75" customHeight="1">
      <c r="F138" s="2534"/>
      <c r="G138" s="2534"/>
      <c r="H138" s="2534"/>
      <c r="I138" s="2534"/>
      <c r="J138" s="2534"/>
      <c r="K138" s="2534"/>
      <c r="L138" s="2534"/>
      <c r="M138" s="2534"/>
      <c r="N138" s="2534"/>
      <c r="O138" s="2534"/>
      <c r="P138" s="2534"/>
      <c r="R138" s="2534"/>
      <c r="S138" s="2534"/>
      <c r="T138" s="2534"/>
      <c r="U138" s="2534"/>
      <c r="V138" s="2534"/>
      <c r="W138" s="2534"/>
      <c r="X138" s="2534"/>
      <c r="Y138" s="2534"/>
      <c r="Z138" s="2534"/>
      <c r="AA138" s="2534"/>
      <c r="AB138" s="2534"/>
    </row>
    <row r="139" spans="6:28" ht="15.75" customHeight="1">
      <c r="F139" s="2534"/>
      <c r="G139" s="2534"/>
      <c r="H139" s="2534"/>
      <c r="I139" s="2534"/>
      <c r="J139" s="2534"/>
      <c r="K139" s="2534"/>
      <c r="L139" s="2534"/>
      <c r="M139" s="2534"/>
      <c r="N139" s="2534"/>
      <c r="O139" s="2534"/>
      <c r="P139" s="2534"/>
      <c r="R139" s="2534"/>
      <c r="S139" s="2534"/>
      <c r="T139" s="2534"/>
      <c r="U139" s="2534"/>
      <c r="V139" s="2534"/>
      <c r="W139" s="2534"/>
      <c r="X139" s="2534"/>
      <c r="Y139" s="2534"/>
      <c r="Z139" s="2534"/>
      <c r="AA139" s="2534"/>
      <c r="AB139" s="2534"/>
    </row>
    <row r="140" spans="6:28" ht="15.75" customHeight="1">
      <c r="F140" s="2534"/>
      <c r="G140" s="2534"/>
      <c r="H140" s="2534"/>
      <c r="I140" s="2534"/>
      <c r="J140" s="2534"/>
      <c r="K140" s="2534"/>
      <c r="L140" s="2534"/>
      <c r="M140" s="2534"/>
      <c r="N140" s="2534"/>
      <c r="O140" s="2534"/>
      <c r="P140" s="2534"/>
      <c r="R140" s="2534"/>
      <c r="S140" s="2534"/>
      <c r="T140" s="2534"/>
      <c r="U140" s="2534"/>
      <c r="V140" s="2534"/>
      <c r="W140" s="2534"/>
      <c r="X140" s="2534"/>
      <c r="Y140" s="2534"/>
      <c r="Z140" s="2534"/>
      <c r="AA140" s="2534"/>
      <c r="AB140" s="2534"/>
    </row>
    <row r="141" spans="6:28" ht="15.75" customHeight="1">
      <c r="F141" s="2534"/>
      <c r="G141" s="2534"/>
      <c r="H141" s="2534"/>
      <c r="I141" s="2534"/>
      <c r="J141" s="2534"/>
      <c r="K141" s="2534"/>
      <c r="L141" s="2534"/>
      <c r="M141" s="2534"/>
      <c r="N141" s="2534"/>
      <c r="O141" s="2534"/>
      <c r="P141" s="2534"/>
      <c r="R141" s="2534"/>
      <c r="S141" s="2534"/>
      <c r="T141" s="2534"/>
      <c r="U141" s="2534"/>
      <c r="V141" s="2534"/>
      <c r="W141" s="2534"/>
      <c r="X141" s="2534"/>
      <c r="Y141" s="2534"/>
      <c r="Z141" s="2534"/>
      <c r="AA141" s="2534"/>
      <c r="AB141" s="2534"/>
    </row>
    <row r="142" spans="6:28" ht="15.75" customHeight="1">
      <c r="F142" s="2534"/>
      <c r="G142" s="2534"/>
      <c r="H142" s="2534"/>
      <c r="I142" s="2534"/>
      <c r="J142" s="2534"/>
      <c r="K142" s="2534"/>
      <c r="L142" s="2534"/>
      <c r="M142" s="2534"/>
      <c r="N142" s="2534"/>
      <c r="O142" s="2534"/>
      <c r="P142" s="2534"/>
      <c r="R142" s="2534"/>
      <c r="S142" s="2534"/>
      <c r="T142" s="2534"/>
      <c r="U142" s="2534"/>
      <c r="V142" s="2534"/>
      <c r="W142" s="2534"/>
      <c r="X142" s="2534"/>
      <c r="Y142" s="2534"/>
      <c r="Z142" s="2534"/>
      <c r="AA142" s="2534"/>
      <c r="AB142" s="2534"/>
    </row>
    <row r="143" spans="6:28" ht="15.75" customHeight="1">
      <c r="F143" s="2534"/>
      <c r="G143" s="2534"/>
      <c r="H143" s="2534"/>
      <c r="I143" s="2534"/>
      <c r="J143" s="2534"/>
      <c r="K143" s="2534"/>
      <c r="L143" s="2534"/>
      <c r="M143" s="2534"/>
      <c r="N143" s="2534"/>
      <c r="O143" s="2534"/>
      <c r="P143" s="2534"/>
      <c r="R143" s="2534"/>
      <c r="S143" s="2534"/>
      <c r="T143" s="2534"/>
      <c r="U143" s="2534"/>
      <c r="V143" s="2534"/>
      <c r="W143" s="2534"/>
      <c r="X143" s="2534"/>
      <c r="Y143" s="2534"/>
      <c r="Z143" s="2534"/>
      <c r="AA143" s="2534"/>
      <c r="AB143" s="2534"/>
    </row>
    <row r="144" spans="6:28" ht="15.75" customHeight="1">
      <c r="F144" s="2534"/>
      <c r="G144" s="2534"/>
      <c r="H144" s="2534"/>
      <c r="I144" s="2534"/>
      <c r="J144" s="2534"/>
      <c r="K144" s="2534"/>
      <c r="L144" s="2534"/>
      <c r="M144" s="2534"/>
      <c r="N144" s="2534"/>
      <c r="O144" s="2534"/>
      <c r="P144" s="2534"/>
      <c r="R144" s="2534"/>
      <c r="S144" s="2534"/>
      <c r="T144" s="2534"/>
      <c r="U144" s="2534"/>
      <c r="V144" s="2534"/>
      <c r="W144" s="2534"/>
      <c r="X144" s="2534"/>
      <c r="Y144" s="2534"/>
      <c r="Z144" s="2534"/>
      <c r="AA144" s="2534"/>
      <c r="AB144" s="2534"/>
    </row>
    <row r="145" spans="6:28" ht="15.75" customHeight="1">
      <c r="F145" s="2534"/>
      <c r="G145" s="2534"/>
      <c r="H145" s="2534"/>
      <c r="I145" s="2534"/>
      <c r="J145" s="2534"/>
      <c r="K145" s="2534"/>
      <c r="L145" s="2534"/>
      <c r="M145" s="2534"/>
      <c r="N145" s="2534"/>
      <c r="O145" s="2534"/>
      <c r="P145" s="2534"/>
      <c r="R145" s="2534"/>
      <c r="S145" s="2534"/>
      <c r="T145" s="2534"/>
      <c r="U145" s="2534"/>
      <c r="V145" s="2534"/>
      <c r="W145" s="2534"/>
      <c r="X145" s="2534"/>
      <c r="Y145" s="2534"/>
      <c r="Z145" s="2534"/>
      <c r="AA145" s="2534"/>
      <c r="AB145" s="2534"/>
    </row>
    <row r="146" spans="6:28" ht="15.75" customHeight="1">
      <c r="F146" s="2534"/>
      <c r="G146" s="2534"/>
      <c r="H146" s="2534"/>
      <c r="I146" s="2534"/>
      <c r="J146" s="2534"/>
      <c r="K146" s="2534"/>
      <c r="L146" s="2534"/>
      <c r="M146" s="2534"/>
      <c r="N146" s="2534"/>
      <c r="O146" s="2534"/>
      <c r="P146" s="2534"/>
      <c r="R146" s="2534"/>
      <c r="S146" s="2534"/>
      <c r="T146" s="2534"/>
      <c r="U146" s="2534"/>
      <c r="V146" s="2534"/>
      <c r="W146" s="2534"/>
      <c r="X146" s="2534"/>
      <c r="Y146" s="2534"/>
      <c r="Z146" s="2534"/>
      <c r="AA146" s="2534"/>
      <c r="AB146" s="2534"/>
    </row>
    <row r="147" spans="6:28" ht="15.75" customHeight="1">
      <c r="F147" s="2534"/>
      <c r="G147" s="2534"/>
      <c r="H147" s="2534"/>
      <c r="I147" s="2534"/>
      <c r="J147" s="2534"/>
      <c r="K147" s="2534"/>
      <c r="L147" s="2534"/>
      <c r="M147" s="2534"/>
      <c r="N147" s="2534"/>
      <c r="O147" s="2534"/>
      <c r="P147" s="2534"/>
      <c r="R147" s="2534"/>
      <c r="S147" s="2534"/>
      <c r="T147" s="2534"/>
      <c r="U147" s="2534"/>
      <c r="V147" s="2534"/>
      <c r="W147" s="2534"/>
      <c r="X147" s="2534"/>
      <c r="Y147" s="2534"/>
      <c r="Z147" s="2534"/>
      <c r="AA147" s="2534"/>
      <c r="AB147" s="2534"/>
    </row>
    <row r="148" spans="6:28" ht="15.75" customHeight="1">
      <c r="F148" s="2534"/>
      <c r="G148" s="2534"/>
      <c r="H148" s="2534"/>
      <c r="I148" s="2534"/>
      <c r="J148" s="2534"/>
      <c r="K148" s="2534"/>
      <c r="L148" s="2534"/>
      <c r="M148" s="2534"/>
      <c r="N148" s="2534"/>
      <c r="O148" s="2534"/>
      <c r="P148" s="2534"/>
      <c r="R148" s="2534"/>
      <c r="S148" s="2534"/>
      <c r="T148" s="2534"/>
      <c r="U148" s="2534"/>
      <c r="V148" s="2534"/>
      <c r="W148" s="2534"/>
      <c r="X148" s="2534"/>
      <c r="Y148" s="2534"/>
      <c r="Z148" s="2534"/>
      <c r="AA148" s="2534"/>
      <c r="AB148" s="2534"/>
    </row>
    <row r="149" spans="6:28" ht="15.75" customHeight="1">
      <c r="F149" s="2534"/>
      <c r="G149" s="2534"/>
      <c r="H149" s="2534"/>
      <c r="I149" s="2534"/>
      <c r="J149" s="2534"/>
      <c r="K149" s="2534"/>
      <c r="L149" s="2534"/>
      <c r="M149" s="2534"/>
      <c r="N149" s="2534"/>
      <c r="O149" s="2534"/>
      <c r="P149" s="2534"/>
      <c r="R149" s="2534"/>
      <c r="S149" s="2534"/>
      <c r="T149" s="2534"/>
      <c r="U149" s="2534"/>
      <c r="V149" s="2534"/>
      <c r="W149" s="2534"/>
      <c r="X149" s="2534"/>
      <c r="Y149" s="2534"/>
      <c r="Z149" s="2534"/>
      <c r="AA149" s="2534"/>
      <c r="AB149" s="2534"/>
    </row>
    <row r="150" spans="6:28" ht="15.75" customHeight="1">
      <c r="F150" s="2534"/>
      <c r="G150" s="2534"/>
      <c r="H150" s="2534"/>
      <c r="I150" s="2534"/>
      <c r="J150" s="2534"/>
      <c r="K150" s="2534"/>
      <c r="L150" s="2534"/>
      <c r="M150" s="2534"/>
      <c r="N150" s="2534"/>
      <c r="O150" s="2534"/>
      <c r="P150" s="2534"/>
      <c r="R150" s="2534"/>
      <c r="S150" s="2534"/>
      <c r="T150" s="2534"/>
      <c r="U150" s="2534"/>
      <c r="V150" s="2534"/>
      <c r="W150" s="2534"/>
      <c r="X150" s="2534"/>
      <c r="Y150" s="2534"/>
      <c r="Z150" s="2534"/>
      <c r="AA150" s="2534"/>
      <c r="AB150" s="2534"/>
    </row>
    <row r="151" spans="6:28" ht="15.75" customHeight="1">
      <c r="F151" s="2534"/>
      <c r="G151" s="2534"/>
      <c r="H151" s="2534"/>
      <c r="I151" s="2534"/>
      <c r="J151" s="2534"/>
      <c r="K151" s="2534"/>
      <c r="L151" s="2534"/>
      <c r="M151" s="2534"/>
      <c r="N151" s="2534"/>
      <c r="O151" s="2534"/>
      <c r="P151" s="2534"/>
      <c r="R151" s="2534"/>
      <c r="S151" s="2534"/>
      <c r="T151" s="2534"/>
      <c r="U151" s="2534"/>
      <c r="V151" s="2534"/>
      <c r="W151" s="2534"/>
      <c r="X151" s="2534"/>
      <c r="Y151" s="2534"/>
      <c r="Z151" s="2534"/>
      <c r="AA151" s="2534"/>
      <c r="AB151" s="2534"/>
    </row>
    <row r="152" spans="6:28" ht="15.75" customHeight="1">
      <c r="F152" s="2534"/>
      <c r="G152" s="2534"/>
      <c r="H152" s="2534"/>
      <c r="I152" s="2534"/>
      <c r="J152" s="2534"/>
      <c r="K152" s="2534"/>
      <c r="L152" s="2534"/>
      <c r="M152" s="2534"/>
      <c r="N152" s="2534"/>
      <c r="O152" s="2534"/>
      <c r="P152" s="2534"/>
      <c r="R152" s="2534"/>
      <c r="S152" s="2534"/>
      <c r="T152" s="2534"/>
      <c r="U152" s="2534"/>
      <c r="V152" s="2534"/>
      <c r="W152" s="2534"/>
      <c r="X152" s="2534"/>
      <c r="Y152" s="2534"/>
      <c r="Z152" s="2534"/>
      <c r="AA152" s="2534"/>
      <c r="AB152" s="2534"/>
    </row>
    <row r="153" spans="6:28" ht="15.75" customHeight="1">
      <c r="F153" s="2534"/>
      <c r="G153" s="2534"/>
      <c r="H153" s="2534"/>
      <c r="I153" s="2534"/>
      <c r="J153" s="2534"/>
      <c r="K153" s="2534"/>
      <c r="L153" s="2534"/>
      <c r="M153" s="2534"/>
      <c r="N153" s="2534"/>
      <c r="O153" s="2534"/>
      <c r="P153" s="2534"/>
      <c r="R153" s="2534"/>
      <c r="S153" s="2534"/>
      <c r="T153" s="2534"/>
      <c r="U153" s="2534"/>
      <c r="V153" s="2534"/>
      <c r="W153" s="2534"/>
      <c r="X153" s="2534"/>
      <c r="Y153" s="2534"/>
      <c r="Z153" s="2534"/>
      <c r="AA153" s="2534"/>
      <c r="AB153" s="2534"/>
    </row>
    <row r="154" spans="6:28" ht="15.75" customHeight="1">
      <c r="F154" s="2534"/>
      <c r="G154" s="2534"/>
      <c r="H154" s="2534"/>
      <c r="I154" s="2534"/>
      <c r="J154" s="2534"/>
      <c r="K154" s="2534"/>
      <c r="L154" s="2534"/>
      <c r="M154" s="2534"/>
      <c r="N154" s="2534"/>
      <c r="O154" s="2534"/>
      <c r="P154" s="2534"/>
      <c r="R154" s="2534"/>
      <c r="S154" s="2534"/>
      <c r="T154" s="2534"/>
      <c r="U154" s="2534"/>
      <c r="V154" s="2534"/>
      <c r="W154" s="2534"/>
      <c r="X154" s="2534"/>
      <c r="Y154" s="2534"/>
      <c r="Z154" s="2534"/>
      <c r="AA154" s="2534"/>
      <c r="AB154" s="2534"/>
    </row>
    <row r="155" spans="6:28" ht="15.75" customHeight="1">
      <c r="F155" s="2534"/>
      <c r="G155" s="2534"/>
      <c r="H155" s="2534"/>
      <c r="I155" s="2534"/>
      <c r="J155" s="2534"/>
      <c r="K155" s="2534"/>
      <c r="L155" s="2534"/>
      <c r="M155" s="2534"/>
      <c r="N155" s="2534"/>
      <c r="O155" s="2534"/>
      <c r="P155" s="2534"/>
      <c r="R155" s="2534"/>
      <c r="S155" s="2534"/>
      <c r="T155" s="2534"/>
      <c r="U155" s="2534"/>
      <c r="V155" s="2534"/>
      <c r="W155" s="2534"/>
      <c r="X155" s="2534"/>
      <c r="Y155" s="2534"/>
      <c r="Z155" s="2534"/>
      <c r="AA155" s="2534"/>
      <c r="AB155" s="2534"/>
    </row>
    <row r="158" spans="6:28" ht="15.75" customHeight="1">
      <c r="M158" s="2524" t="str">
        <f>Subscribers!CA9</f>
        <v>1Q14</v>
      </c>
      <c r="N158" s="2524" t="str">
        <f>Subscribers!CB9</f>
        <v>2Q14</v>
      </c>
      <c r="O158" s="2524" t="str">
        <f>Subscribers!CC9</f>
        <v>3Q14</v>
      </c>
      <c r="P158" s="2524" t="str">
        <f>Subscribers!CD9</f>
        <v>4Q14</v>
      </c>
      <c r="Q158" s="2524" t="str">
        <f>Subscribers!CE9</f>
        <v>1Q15</v>
      </c>
      <c r="R158" s="2524" t="str">
        <f>Subscribers!CF9</f>
        <v>2Q15</v>
      </c>
      <c r="S158" s="2524" t="str">
        <f>Subscribers!CG9</f>
        <v>3Q15</v>
      </c>
      <c r="T158" s="2524" t="str">
        <f>Subscribers!CH9</f>
        <v>4Q15</v>
      </c>
      <c r="U158" s="2524" t="str">
        <f>Subscribers!CI9</f>
        <v>1Q16</v>
      </c>
      <c r="V158" s="2524" t="str">
        <f>Subscribers!CJ9</f>
        <v>2Q16</v>
      </c>
      <c r="W158" s="2524" t="str">
        <f>Subscribers!CK9</f>
        <v>3Q16</v>
      </c>
      <c r="X158" s="2524" t="str">
        <f>Subscribers!CL9</f>
        <v>4Q16</v>
      </c>
      <c r="Y158" s="2524" t="str">
        <f>Subscribers!CM9</f>
        <v>1Q17</v>
      </c>
      <c r="Z158" s="2524" t="str">
        <f>Subscribers!CN9</f>
        <v>2Q17</v>
      </c>
      <c r="AA158" s="2524" t="str">
        <f>Subscribers!CO9</f>
        <v>3Q17</v>
      </c>
      <c r="AB158" s="2524" t="str">
        <f>Subscribers!CP9</f>
        <v>4Q17</v>
      </c>
    </row>
    <row r="159" spans="6:28" ht="15.75" customHeight="1">
      <c r="M159" s="3113">
        <f>Subscribers!CA352</f>
        <v>617</v>
      </c>
      <c r="N159" s="3113">
        <f>Subscribers!CB352</f>
        <v>632</v>
      </c>
      <c r="O159" s="3113">
        <f>Subscribers!CC352</f>
        <v>655</v>
      </c>
      <c r="P159" s="3113">
        <f>Subscribers!CD352</f>
        <v>675</v>
      </c>
      <c r="Q159" s="3113">
        <f>Subscribers!CE352</f>
        <v>687</v>
      </c>
      <c r="R159" s="3113">
        <f>Subscribers!CF352</f>
        <v>697</v>
      </c>
      <c r="S159" s="3113">
        <f>Subscribers!CG352</f>
        <v>699</v>
      </c>
      <c r="T159" s="3113">
        <f>Subscribers!CH352</f>
        <v>733</v>
      </c>
      <c r="U159" s="3113">
        <f>Subscribers!CI352</f>
        <v>738</v>
      </c>
      <c r="V159" s="3113">
        <f>Subscribers!CJ352</f>
        <v>753</v>
      </c>
      <c r="W159" s="3113">
        <f>Subscribers!CK352</f>
        <v>744</v>
      </c>
      <c r="X159" s="3113">
        <f>Subscribers!CL352</f>
        <v>755</v>
      </c>
      <c r="Y159" s="3113">
        <f>Subscribers!CM352</f>
        <v>769</v>
      </c>
      <c r="Z159" s="3113">
        <f>Subscribers!CN352</f>
        <v>760</v>
      </c>
      <c r="AA159" s="3113">
        <f>Subscribers!CO352</f>
        <v>767</v>
      </c>
      <c r="AB159" s="3113">
        <f>Subscribers!CP352</f>
        <v>773</v>
      </c>
    </row>
    <row r="160" spans="6:28" ht="15.75" customHeight="1">
      <c r="M160" s="2612"/>
      <c r="N160" s="2612"/>
      <c r="O160" s="2612">
        <f>Subscribers!CC353</f>
        <v>0.16755793226381455</v>
      </c>
      <c r="P160" s="2612">
        <f>Subscribers!CD353</f>
        <v>0.125</v>
      </c>
      <c r="Q160" s="2612">
        <f>Subscribers!CE353</f>
        <v>0.11345218800648293</v>
      </c>
      <c r="R160" s="2612">
        <f>Subscribers!CF353</f>
        <v>0.10284810126582289</v>
      </c>
      <c r="S160" s="2612">
        <f>Subscribers!CG353</f>
        <v>6.7175572519083904E-2</v>
      </c>
      <c r="T160" s="2612">
        <f>Subscribers!CH353</f>
        <v>8.5925925925925961E-2</v>
      </c>
      <c r="U160" s="2612">
        <f>Subscribers!CI353</f>
        <v>7.4235807860262071E-2</v>
      </c>
      <c r="V160" s="2612">
        <f>Subscribers!CJ353</f>
        <v>8.0344332855093237E-2</v>
      </c>
      <c r="W160" s="2612">
        <f>Subscribers!CK353</f>
        <v>6.4377682403433445E-2</v>
      </c>
      <c r="X160" s="2612">
        <f>Subscribers!CL353</f>
        <v>3.0013642564802101E-2</v>
      </c>
      <c r="Y160" s="2612">
        <f>Subscribers!CM353</f>
        <v>4.2005420054200604E-2</v>
      </c>
      <c r="Z160" s="2612">
        <f>Subscribers!CN353</f>
        <v>9.2961487383798058E-3</v>
      </c>
      <c r="AA160" s="2612">
        <f>Subscribers!CO353</f>
        <v>3.0913978494623739E-2</v>
      </c>
      <c r="AB160" s="2612">
        <f>Subscribers!CP353</f>
        <v>2.384105960264904E-2</v>
      </c>
    </row>
    <row r="163" spans="19:24" ht="15.75" customHeight="1">
      <c r="S163" s="2613" t="str">
        <f>Subscribers!Q9</f>
        <v>2015</v>
      </c>
      <c r="T163" s="2613" t="str">
        <f>Subscribers!R9</f>
        <v>2016</v>
      </c>
      <c r="U163" s="2613" t="str">
        <f>Subscribers!S9</f>
        <v>2017</v>
      </c>
      <c r="V163" s="2613" t="str">
        <f>Subscribers!T9</f>
        <v>2018E</v>
      </c>
      <c r="W163" s="2613" t="str">
        <f>Subscribers!U9</f>
        <v>2019E</v>
      </c>
      <c r="X163" s="2613" t="str">
        <f>Subscribers!V9</f>
        <v>2020E</v>
      </c>
    </row>
    <row r="164" spans="19:24" ht="15.75" customHeight="1">
      <c r="S164" s="2525">
        <f>Subscribers!Q352</f>
        <v>2816</v>
      </c>
      <c r="T164" s="2525">
        <f>Subscribers!R352</f>
        <v>2990</v>
      </c>
      <c r="U164" s="2525">
        <f>Subscribers!S352</f>
        <v>3069</v>
      </c>
      <c r="V164" s="2525">
        <f>Subscribers!T352</f>
        <v>3176.4149999999995</v>
      </c>
      <c r="W164" s="2525">
        <f>Subscribers!U352</f>
        <v>3287.5895249999994</v>
      </c>
      <c r="X164" s="2525">
        <f>Subscribers!V352</f>
        <v>3402.6551583749992</v>
      </c>
    </row>
    <row r="165" spans="19:24" ht="15.75" customHeight="1">
      <c r="S165" s="2533">
        <f>Subscribers!Q353</f>
        <v>9.1896083753392865E-2</v>
      </c>
      <c r="T165" s="2533">
        <f>Subscribers!R353</f>
        <v>6.1789772727272707E-2</v>
      </c>
      <c r="U165" s="2533">
        <f>Subscribers!S353</f>
        <v>2.6421404682274163E-2</v>
      </c>
      <c r="V165" s="2533">
        <f>Subscribers!T353</f>
        <v>3.499999999999992E-2</v>
      </c>
      <c r="W165" s="2533">
        <f>Subscribers!U353</f>
        <v>3.499999999999992E-2</v>
      </c>
      <c r="X165" s="2533">
        <f>Subscribers!V353</f>
        <v>3.499999999999992E-2</v>
      </c>
    </row>
    <row r="192" spans="13:32" ht="15.75" customHeight="1">
      <c r="M192" s="2612"/>
      <c r="N192" s="2612"/>
      <c r="O192" s="2612"/>
      <c r="P192" s="2612"/>
      <c r="Q192" s="2612"/>
      <c r="R192" s="2612"/>
      <c r="S192" s="2612"/>
      <c r="T192" s="2612"/>
      <c r="U192" s="2612"/>
      <c r="V192" s="2612"/>
      <c r="W192" s="2612"/>
      <c r="X192" s="2612"/>
      <c r="Y192" s="2612"/>
      <c r="Z192" s="2612"/>
      <c r="AA192" s="2612"/>
      <c r="AB192" s="2612"/>
      <c r="AC192" s="2612"/>
      <c r="AD192" s="2612"/>
      <c r="AE192" s="2612"/>
      <c r="AF192" s="2612"/>
    </row>
    <row r="193" spans="13:32" ht="15.75" customHeight="1">
      <c r="M193" s="2525"/>
      <c r="N193" s="2525"/>
      <c r="O193" s="2525"/>
      <c r="P193" s="2525"/>
      <c r="Q193" s="2525"/>
      <c r="R193" s="2525"/>
      <c r="S193" s="2525"/>
      <c r="T193" s="2525"/>
      <c r="U193" s="2525"/>
      <c r="V193" s="2525"/>
      <c r="W193" s="2525"/>
      <c r="X193" s="2525"/>
      <c r="Y193" s="2525"/>
      <c r="Z193" s="2525"/>
      <c r="AA193" s="2525"/>
      <c r="AB193" s="2525"/>
      <c r="AC193" s="2525"/>
      <c r="AD193" s="2525"/>
      <c r="AE193" s="2525"/>
      <c r="AF193" s="2525"/>
    </row>
    <row r="194" spans="13:32" ht="15.75" customHeight="1">
      <c r="Y194" s="2525"/>
      <c r="Z194" s="2525"/>
      <c r="AA194" s="2525"/>
      <c r="AB194" s="2525"/>
      <c r="AC194" s="2525"/>
      <c r="AD194" s="2525"/>
    </row>
    <row r="197" spans="13:32" ht="15.75" customHeight="1">
      <c r="P197" s="2612"/>
      <c r="Q197" s="2612"/>
      <c r="R197" s="2612"/>
      <c r="S197" s="2612"/>
      <c r="T197" s="2612"/>
      <c r="U197" s="2612"/>
      <c r="V197" s="2612"/>
      <c r="W197" s="2612"/>
      <c r="X197" s="2612"/>
      <c r="Y197" s="2612"/>
      <c r="Z197" s="2612"/>
      <c r="AA197" s="2612"/>
      <c r="AB197" s="2612"/>
      <c r="AC197" s="2612"/>
      <c r="AD197" s="2612"/>
      <c r="AE197" s="2612"/>
      <c r="AF197" s="2612"/>
    </row>
    <row r="198" spans="13:32" ht="15.75" customHeight="1">
      <c r="P198" s="2525"/>
      <c r="Q198" s="2525"/>
      <c r="R198" s="2525"/>
      <c r="S198" s="2525"/>
      <c r="T198" s="2525"/>
      <c r="U198" s="2525"/>
      <c r="V198" s="2525"/>
      <c r="W198" s="2525"/>
      <c r="X198" s="2525"/>
      <c r="Y198" s="2525"/>
      <c r="Z198" s="2525"/>
      <c r="AA198" s="2525"/>
      <c r="AB198" s="2525"/>
      <c r="AC198" s="2525"/>
      <c r="AD198" s="2525"/>
      <c r="AE198" s="2525"/>
      <c r="AF198" s="2525"/>
    </row>
  </sheetData>
  <pageMargins left="0.5" right="0.5" top="0.5" bottom="0.5" header="0.5" footer="0.5"/>
  <pageSetup scale="19" orientation="landscape" r:id="rId1"/>
  <headerFooter alignWithMargins="0"/>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X100"/>
  <sheetViews>
    <sheetView workbookViewId="0">
      <selection activeCell="E111" sqref="E111"/>
    </sheetView>
  </sheetViews>
  <sheetFormatPr defaultRowHeight="12.75" outlineLevelRow="1"/>
  <cols>
    <col min="1" max="1" width="22" bestFit="1" customWidth="1"/>
    <col min="2" max="2" width="12.5703125" bestFit="1" customWidth="1"/>
    <col min="3" max="5" width="9.7109375" bestFit="1" customWidth="1"/>
    <col min="6" max="6" width="10.28515625" bestFit="1" customWidth="1"/>
    <col min="7" max="7" width="10.140625" bestFit="1" customWidth="1"/>
    <col min="13" max="13" width="12.5703125" bestFit="1" customWidth="1"/>
    <col min="14" max="16" width="9.7109375" bestFit="1" customWidth="1"/>
  </cols>
  <sheetData>
    <row r="1" spans="1:12">
      <c r="C1" s="1855"/>
      <c r="D1" s="1855"/>
      <c r="E1" s="1855"/>
      <c r="F1" s="1855"/>
    </row>
    <row r="2" spans="1:12">
      <c r="C2" s="1855"/>
      <c r="D2" s="1855"/>
      <c r="E2" s="1855"/>
      <c r="F2" s="1855"/>
    </row>
    <row r="3" spans="1:12" hidden="1" outlineLevel="1">
      <c r="A3" s="3314" t="s">
        <v>1689</v>
      </c>
      <c r="B3" s="3314" t="s">
        <v>539</v>
      </c>
      <c r="C3" s="3476" t="s">
        <v>1260</v>
      </c>
      <c r="D3" s="3476" t="s">
        <v>1261</v>
      </c>
      <c r="E3" s="3477" t="s">
        <v>1262</v>
      </c>
      <c r="F3" s="3476"/>
      <c r="G3" s="3314"/>
    </row>
    <row r="4" spans="1:12" hidden="1" outlineLevel="1">
      <c r="A4" s="3314"/>
      <c r="B4" s="3314" t="s">
        <v>876</v>
      </c>
      <c r="C4" s="3476">
        <v>4460</v>
      </c>
      <c r="D4" s="3476">
        <v>4510</v>
      </c>
      <c r="E4" s="3476">
        <f>+AVERAGE(C4:D4)</f>
        <v>4485</v>
      </c>
      <c r="F4" s="3476">
        <v>4538</v>
      </c>
      <c r="G4" s="3314">
        <f>+F4-E4</f>
        <v>53</v>
      </c>
    </row>
    <row r="5" spans="1:12" hidden="1" outlineLevel="1">
      <c r="A5" s="3314"/>
      <c r="B5" s="3314" t="s">
        <v>1264</v>
      </c>
      <c r="C5" s="3476">
        <v>4070</v>
      </c>
      <c r="D5" s="3476">
        <v>4120</v>
      </c>
      <c r="E5" s="3476">
        <f>+AVERAGE(C5:D5)</f>
        <v>4095</v>
      </c>
      <c r="F5" s="3476">
        <v>4110</v>
      </c>
      <c r="G5" s="3314">
        <f>+F5-E5</f>
        <v>15</v>
      </c>
    </row>
    <row r="6" spans="1:12" hidden="1" outlineLevel="1">
      <c r="A6" s="3314"/>
      <c r="B6" s="3314" t="s">
        <v>1688</v>
      </c>
      <c r="C6" s="3476">
        <v>1730</v>
      </c>
      <c r="D6" s="3476">
        <v>1780</v>
      </c>
      <c r="E6" s="3476">
        <f>+AVERAGE(C6:D6)</f>
        <v>1755</v>
      </c>
      <c r="F6" s="3476">
        <v>1788</v>
      </c>
      <c r="G6" s="3314">
        <f>+F6-E6</f>
        <v>33</v>
      </c>
    </row>
    <row r="7" spans="1:12" hidden="1" outlineLevel="1">
      <c r="A7" s="3314"/>
      <c r="B7" s="3314" t="s">
        <v>764</v>
      </c>
      <c r="C7" s="3476">
        <v>0.57999999999999996</v>
      </c>
      <c r="D7" s="3476">
        <v>0.63</v>
      </c>
      <c r="E7" s="3476">
        <f>+AVERAGE(C7:D7)</f>
        <v>0.60499999999999998</v>
      </c>
      <c r="F7" s="3476">
        <v>0.66</v>
      </c>
      <c r="G7" s="3314">
        <f>+F7-E7</f>
        <v>5.5000000000000049E-2</v>
      </c>
    </row>
    <row r="8" spans="1:12" hidden="1" outlineLevel="1">
      <c r="A8" s="3314"/>
      <c r="B8" s="3314"/>
      <c r="C8" s="3476"/>
      <c r="D8" s="3476"/>
      <c r="E8" s="3476"/>
      <c r="F8" s="3476"/>
      <c r="G8" s="3314"/>
    </row>
    <row r="9" spans="1:12" hidden="1" outlineLevel="1">
      <c r="A9" s="3314"/>
      <c r="B9" s="3314" t="s">
        <v>1215</v>
      </c>
      <c r="C9" s="3476" t="s">
        <v>1260</v>
      </c>
      <c r="D9" s="3476" t="s">
        <v>1261</v>
      </c>
      <c r="E9" s="3477" t="s">
        <v>1262</v>
      </c>
      <c r="F9" s="3476"/>
      <c r="G9" s="3314"/>
    </row>
    <row r="10" spans="1:12" hidden="1" outlineLevel="1">
      <c r="A10" s="3314"/>
      <c r="B10" s="3314" t="s">
        <v>876</v>
      </c>
      <c r="C10" s="3476">
        <v>4480</v>
      </c>
      <c r="D10" s="3476">
        <v>4530</v>
      </c>
      <c r="E10" s="3476">
        <f>+AVERAGE(C10:D10)</f>
        <v>4505</v>
      </c>
      <c r="F10" s="3476">
        <v>4541</v>
      </c>
      <c r="G10" s="3314">
        <f>+F10-E10</f>
        <v>36</v>
      </c>
      <c r="I10" s="287"/>
      <c r="J10" s="287"/>
      <c r="K10" s="287"/>
      <c r="L10" s="287"/>
    </row>
    <row r="11" spans="1:12" s="292" customFormat="1" hidden="1" outlineLevel="1">
      <c r="A11" s="3315"/>
      <c r="B11" s="3314" t="s">
        <v>1264</v>
      </c>
      <c r="C11" s="3476">
        <v>4070</v>
      </c>
      <c r="D11" s="3476">
        <v>4120</v>
      </c>
      <c r="E11" s="3476">
        <f>+AVERAGE(C11:D11)</f>
        <v>4095</v>
      </c>
      <c r="F11" s="3476">
        <v>4100</v>
      </c>
      <c r="G11" s="3314">
        <f>+F11-E11</f>
        <v>5</v>
      </c>
    </row>
    <row r="12" spans="1:12" hidden="1" outlineLevel="1">
      <c r="A12" s="3314"/>
      <c r="B12" s="3314" t="s">
        <v>1688</v>
      </c>
      <c r="C12" s="3476">
        <v>1750</v>
      </c>
      <c r="D12" s="3476">
        <v>1800</v>
      </c>
      <c r="E12" s="3476">
        <f>+AVERAGE(C12:D12)</f>
        <v>1775</v>
      </c>
      <c r="F12" s="3476">
        <v>1813</v>
      </c>
      <c r="G12" s="3314">
        <f>+F12-E12</f>
        <v>38</v>
      </c>
    </row>
    <row r="13" spans="1:12" hidden="1" outlineLevel="1">
      <c r="A13" s="3314"/>
      <c r="B13" s="3314" t="s">
        <v>764</v>
      </c>
      <c r="C13" s="3476">
        <v>0.62</v>
      </c>
      <c r="D13" s="3476">
        <v>0.67</v>
      </c>
      <c r="E13" s="3476">
        <f>+AVERAGE(C13:D13)</f>
        <v>0.64500000000000002</v>
      </c>
      <c r="F13" s="3476">
        <v>0.72</v>
      </c>
      <c r="G13" s="3314">
        <f>+F13-E13</f>
        <v>7.4999999999999956E-2</v>
      </c>
    </row>
    <row r="14" spans="1:12" hidden="1" outlineLevel="1">
      <c r="A14" s="3314"/>
      <c r="B14" s="3314"/>
      <c r="C14" s="3476"/>
      <c r="D14" s="3476"/>
      <c r="E14" s="3476"/>
      <c r="F14" s="3476"/>
      <c r="G14" s="3314"/>
    </row>
    <row r="15" spans="1:12" hidden="1" outlineLevel="1">
      <c r="A15" s="3314"/>
      <c r="B15" s="3314" t="s">
        <v>1222</v>
      </c>
      <c r="C15" s="3476" t="s">
        <v>1260</v>
      </c>
      <c r="D15" s="3476" t="s">
        <v>1261</v>
      </c>
      <c r="E15" s="3477" t="s">
        <v>1262</v>
      </c>
      <c r="F15" s="3476"/>
      <c r="G15" s="3314"/>
    </row>
    <row r="16" spans="1:12" hidden="1" outlineLevel="1">
      <c r="A16" s="3314"/>
      <c r="B16" s="3314" t="s">
        <v>876</v>
      </c>
      <c r="C16" s="3476">
        <v>4470</v>
      </c>
      <c r="D16" s="3476">
        <v>4520</v>
      </c>
      <c r="E16" s="3476">
        <f>+AVERAGE(C16:D16)</f>
        <v>4495</v>
      </c>
      <c r="F16" s="3476">
        <v>4541</v>
      </c>
      <c r="G16" s="3314">
        <f>+F16-E16</f>
        <v>46</v>
      </c>
    </row>
    <row r="17" spans="1:7" hidden="1" outlineLevel="1">
      <c r="A17" s="3314"/>
      <c r="B17" s="3314" t="s">
        <v>1264</v>
      </c>
      <c r="C17" s="3476">
        <v>4060</v>
      </c>
      <c r="D17" s="3476">
        <v>4110</v>
      </c>
      <c r="E17" s="3476">
        <f>+AVERAGE(C17:D17)</f>
        <v>4085</v>
      </c>
      <c r="F17" s="3476">
        <v>4078</v>
      </c>
      <c r="G17" s="3314">
        <f>+F17-E17</f>
        <v>-7</v>
      </c>
    </row>
    <row r="18" spans="1:7" hidden="1" outlineLevel="1">
      <c r="A18" s="3314"/>
      <c r="B18" s="3314" t="s">
        <v>1688</v>
      </c>
      <c r="C18" s="3476">
        <v>1720</v>
      </c>
      <c r="D18" s="3476">
        <v>1770</v>
      </c>
      <c r="E18" s="3476">
        <f>+AVERAGE(C18:D18)</f>
        <v>1745</v>
      </c>
      <c r="F18" s="3476">
        <v>1746</v>
      </c>
      <c r="G18" s="3314">
        <f>+F18-E18</f>
        <v>1</v>
      </c>
    </row>
    <row r="19" spans="1:7" hidden="1" outlineLevel="1">
      <c r="A19" s="3314"/>
      <c r="B19" s="3314" t="s">
        <v>764</v>
      </c>
      <c r="C19" s="3476">
        <v>0.57999999999999996</v>
      </c>
      <c r="D19" s="3476">
        <v>0.63</v>
      </c>
      <c r="E19" s="3476">
        <f>+AVERAGE(C19:D19)</f>
        <v>0.60499999999999998</v>
      </c>
      <c r="F19" s="3476">
        <v>0.63</v>
      </c>
      <c r="G19" s="3314">
        <f>+F19-E19</f>
        <v>2.5000000000000022E-2</v>
      </c>
    </row>
    <row r="20" spans="1:7" hidden="1" outlineLevel="1">
      <c r="A20" s="3314"/>
      <c r="B20" s="3314"/>
      <c r="C20" s="3476"/>
      <c r="D20" s="3476"/>
      <c r="E20" s="3476"/>
      <c r="F20" s="3476"/>
      <c r="G20" s="3314"/>
    </row>
    <row r="21" spans="1:7" hidden="1" outlineLevel="1">
      <c r="A21" s="3314"/>
      <c r="B21" s="3314" t="s">
        <v>1238</v>
      </c>
      <c r="C21" s="3476" t="s">
        <v>1260</v>
      </c>
      <c r="D21" s="3476" t="s">
        <v>1261</v>
      </c>
      <c r="E21" s="3477" t="s">
        <v>1262</v>
      </c>
      <c r="F21" s="3476"/>
      <c r="G21" s="3314"/>
    </row>
    <row r="22" spans="1:7" hidden="1" outlineLevel="1">
      <c r="A22" s="3314"/>
      <c r="B22" s="3314" t="s">
        <v>876</v>
      </c>
      <c r="C22" s="3476">
        <v>4400</v>
      </c>
      <c r="D22" s="3476">
        <v>4500</v>
      </c>
      <c r="E22" s="3476">
        <f>+AVERAGE(C22:D22)</f>
        <v>4450</v>
      </c>
      <c r="F22" s="3476">
        <v>4438</v>
      </c>
      <c r="G22" s="3314">
        <f>+F22-E22</f>
        <v>-12</v>
      </c>
    </row>
    <row r="23" spans="1:7" hidden="1" outlineLevel="1">
      <c r="A23" s="3314"/>
      <c r="B23" s="3314" t="s">
        <v>1264</v>
      </c>
      <c r="C23" s="3476">
        <v>3970</v>
      </c>
      <c r="D23" s="3476">
        <v>4020</v>
      </c>
      <c r="E23" s="3476">
        <f>+AVERAGE(C23:D23)</f>
        <v>3995</v>
      </c>
      <c r="F23" s="3476">
        <v>4046</v>
      </c>
      <c r="G23" s="3314">
        <f>+F23-E23</f>
        <v>51</v>
      </c>
    </row>
    <row r="24" spans="1:7" hidden="1" outlineLevel="1">
      <c r="A24" s="3314"/>
      <c r="B24" s="3314" t="s">
        <v>1688</v>
      </c>
      <c r="C24" s="3476">
        <v>1720</v>
      </c>
      <c r="D24" s="3476">
        <v>1770</v>
      </c>
      <c r="E24" s="3476">
        <f>+AVERAGE(C24:D24)</f>
        <v>1745</v>
      </c>
      <c r="F24" s="3476">
        <v>1709</v>
      </c>
      <c r="G24" s="3314">
        <f>+F24-E24</f>
        <v>-36</v>
      </c>
    </row>
    <row r="25" spans="1:7" hidden="1" outlineLevel="1">
      <c r="A25" s="3314"/>
      <c r="B25" s="3314" t="s">
        <v>764</v>
      </c>
      <c r="C25" s="3476">
        <v>0.62</v>
      </c>
      <c r="D25" s="3476">
        <v>0.67</v>
      </c>
      <c r="E25" s="3476">
        <f>+AVERAGE(C25:D25)</f>
        <v>0.64500000000000002</v>
      </c>
      <c r="F25" s="3476">
        <v>0.6</v>
      </c>
      <c r="G25" s="3314">
        <f>+F25-E25</f>
        <v>-4.500000000000004E-2</v>
      </c>
    </row>
    <row r="26" spans="1:7" collapsed="1">
      <c r="A26" s="3314" t="str">
        <f>A3</f>
        <v>2014 Quarterly Guidance</v>
      </c>
      <c r="B26" s="3314"/>
      <c r="C26" s="3476"/>
      <c r="D26" s="3476"/>
      <c r="E26" s="3476"/>
      <c r="F26" s="3476"/>
      <c r="G26" s="3314"/>
    </row>
    <row r="27" spans="1:7" hidden="1" outlineLevel="1">
      <c r="A27" s="3313" t="s">
        <v>1690</v>
      </c>
      <c r="B27" s="3313" t="s">
        <v>1257</v>
      </c>
      <c r="C27" s="3470" t="s">
        <v>1260</v>
      </c>
      <c r="D27" s="3470" t="s">
        <v>1261</v>
      </c>
      <c r="E27" s="3471" t="s">
        <v>1262</v>
      </c>
      <c r="F27" s="3470"/>
      <c r="G27" s="3313"/>
    </row>
    <row r="28" spans="1:7" hidden="1" outlineLevel="1">
      <c r="A28" s="3313"/>
      <c r="B28" s="3313" t="s">
        <v>876</v>
      </c>
      <c r="C28" s="3470">
        <v>4450</v>
      </c>
      <c r="D28" s="3470">
        <v>4500</v>
      </c>
      <c r="E28" s="3470">
        <f>+AVERAGE(C28:D28)</f>
        <v>4475</v>
      </c>
      <c r="F28" s="3470">
        <v>4451</v>
      </c>
      <c r="G28" s="3313">
        <f>+F28-E28</f>
        <v>-24</v>
      </c>
    </row>
    <row r="29" spans="1:7" hidden="1" outlineLevel="1">
      <c r="A29" s="3313"/>
      <c r="B29" s="3313" t="s">
        <v>1264</v>
      </c>
      <c r="C29" s="3470">
        <v>4040</v>
      </c>
      <c r="D29" s="3470">
        <v>4090</v>
      </c>
      <c r="E29" s="3470">
        <f>+AVERAGE(C29:D29)</f>
        <v>4065</v>
      </c>
      <c r="F29" s="3470">
        <v>4054</v>
      </c>
      <c r="G29" s="3313">
        <f t="shared" ref="G29:G49" si="0">+F29-E29</f>
        <v>-11</v>
      </c>
    </row>
    <row r="30" spans="1:7" hidden="1" outlineLevel="1">
      <c r="A30" s="3313"/>
      <c r="B30" s="3313" t="s">
        <v>1688</v>
      </c>
      <c r="C30" s="3470">
        <v>1640</v>
      </c>
      <c r="D30" s="3470">
        <v>1690</v>
      </c>
      <c r="E30" s="3470">
        <f>+AVERAGE(C30:D30)</f>
        <v>1665</v>
      </c>
      <c r="F30" s="3470">
        <v>1735</v>
      </c>
      <c r="G30" s="3313">
        <f t="shared" si="0"/>
        <v>70</v>
      </c>
    </row>
    <row r="31" spans="1:7" hidden="1" outlineLevel="1">
      <c r="A31" s="3313"/>
      <c r="B31" s="3313" t="s">
        <v>764</v>
      </c>
      <c r="C31" s="3470">
        <v>0.56000000000000005</v>
      </c>
      <c r="D31" s="3470">
        <v>0.61</v>
      </c>
      <c r="E31" s="3470">
        <f>+AVERAGE(C31:D31)</f>
        <v>0.58499999999999996</v>
      </c>
      <c r="F31" s="3470">
        <v>0.67</v>
      </c>
      <c r="G31" s="3313">
        <f t="shared" si="0"/>
        <v>8.5000000000000075E-2</v>
      </c>
    </row>
    <row r="32" spans="1:7" hidden="1" outlineLevel="1">
      <c r="A32" s="3313"/>
      <c r="B32" s="3313"/>
      <c r="C32" s="3470"/>
      <c r="D32" s="3470"/>
      <c r="E32" s="3470"/>
      <c r="F32" s="3470"/>
      <c r="G32" s="3313"/>
    </row>
    <row r="33" spans="1:17" hidden="1" outlineLevel="1">
      <c r="A33" s="3313"/>
      <c r="B33" s="3313" t="s">
        <v>1259</v>
      </c>
      <c r="C33" s="3470" t="s">
        <v>1260</v>
      </c>
      <c r="D33" s="3470" t="s">
        <v>1261</v>
      </c>
      <c r="E33" s="3471" t="s">
        <v>1262</v>
      </c>
      <c r="F33" s="3470"/>
      <c r="G33" s="3313"/>
    </row>
    <row r="34" spans="1:17" hidden="1" outlineLevel="1">
      <c r="A34" s="3313"/>
      <c r="B34" s="3313" t="s">
        <v>876</v>
      </c>
      <c r="C34" s="3470">
        <v>4410</v>
      </c>
      <c r="D34" s="3470">
        <v>4460</v>
      </c>
      <c r="E34" s="3470">
        <f>+AVERAGE(C34:D34)</f>
        <v>4435</v>
      </c>
      <c r="F34" s="3470">
        <v>4419</v>
      </c>
      <c r="G34" s="3313">
        <f>+F34-E34</f>
        <v>-16</v>
      </c>
    </row>
    <row r="35" spans="1:17" hidden="1" outlineLevel="1">
      <c r="A35" s="3313"/>
      <c r="B35" s="3313" t="s">
        <v>1264</v>
      </c>
      <c r="C35" s="3470">
        <v>4020</v>
      </c>
      <c r="D35" s="3470">
        <v>4070</v>
      </c>
      <c r="E35" s="3470">
        <f>+AVERAGE(C35:D35)</f>
        <v>4045</v>
      </c>
      <c r="F35" s="3470">
        <v>4018</v>
      </c>
      <c r="G35" s="3313">
        <f t="shared" si="0"/>
        <v>-27</v>
      </c>
    </row>
    <row r="36" spans="1:17" hidden="1" outlineLevel="1">
      <c r="A36" s="3313"/>
      <c r="B36" s="3313" t="s">
        <v>1688</v>
      </c>
      <c r="C36" s="3470">
        <v>1670</v>
      </c>
      <c r="D36" s="3470">
        <v>1720</v>
      </c>
      <c r="E36" s="3470">
        <f>+AVERAGE(C36:D36)</f>
        <v>1695</v>
      </c>
      <c r="F36" s="3470">
        <v>1624</v>
      </c>
      <c r="G36" s="3313">
        <f t="shared" si="0"/>
        <v>-71</v>
      </c>
    </row>
    <row r="37" spans="1:17" hidden="1" outlineLevel="1">
      <c r="A37" s="3313"/>
      <c r="B37" s="3313" t="s">
        <v>764</v>
      </c>
      <c r="C37" s="3470">
        <v>0.59</v>
      </c>
      <c r="D37" s="3470">
        <v>0.64</v>
      </c>
      <c r="E37" s="3470">
        <f>+AVERAGE(C37:D37)</f>
        <v>0.61499999999999999</v>
      </c>
      <c r="F37" s="3470">
        <v>0.55000000000000004</v>
      </c>
      <c r="G37" s="3313">
        <f t="shared" si="0"/>
        <v>-6.4999999999999947E-2</v>
      </c>
    </row>
    <row r="38" spans="1:17" hidden="1" outlineLevel="1">
      <c r="A38" s="3313"/>
      <c r="B38" s="3313"/>
      <c r="C38" s="3470"/>
      <c r="D38" s="3470"/>
      <c r="E38" s="3470"/>
      <c r="F38" s="3470"/>
      <c r="G38" s="3313"/>
    </row>
    <row r="39" spans="1:17" hidden="1" outlineLevel="1">
      <c r="A39" s="3313"/>
      <c r="B39" s="3313" t="s">
        <v>1292</v>
      </c>
      <c r="C39" s="3470" t="s">
        <v>1260</v>
      </c>
      <c r="D39" s="3470" t="s">
        <v>1261</v>
      </c>
      <c r="E39" s="3471" t="s">
        <v>1262</v>
      </c>
      <c r="F39" s="3470"/>
      <c r="G39" s="3313"/>
    </row>
    <row r="40" spans="1:17" hidden="1" outlineLevel="1">
      <c r="A40" s="3313"/>
      <c r="B40" s="3313" t="s">
        <v>876</v>
      </c>
      <c r="C40" s="3470">
        <v>4420</v>
      </c>
      <c r="D40" s="3470">
        <v>4470</v>
      </c>
      <c r="E40" s="3470">
        <f>+AVERAGE(C40:D40)</f>
        <v>4445</v>
      </c>
      <c r="F40" s="3470">
        <v>4554</v>
      </c>
      <c r="G40" s="3313">
        <f>+F40-E40</f>
        <v>109</v>
      </c>
      <c r="I40" s="287"/>
      <c r="J40" s="287"/>
      <c r="K40" s="287"/>
      <c r="L40" s="287"/>
      <c r="M40" s="287"/>
      <c r="N40" s="287"/>
      <c r="O40" s="287"/>
      <c r="P40" s="287"/>
      <c r="Q40" s="287"/>
    </row>
    <row r="41" spans="1:17" hidden="1" outlineLevel="1">
      <c r="A41" s="3313"/>
      <c r="B41" s="3313" t="s">
        <v>1264</v>
      </c>
      <c r="C41" s="3470">
        <v>4020</v>
      </c>
      <c r="D41" s="3470">
        <v>4070</v>
      </c>
      <c r="E41" s="3470">
        <f>+AVERAGE(C41:D41)</f>
        <v>4045</v>
      </c>
      <c r="F41" s="3470">
        <v>3991</v>
      </c>
      <c r="G41" s="3313">
        <f t="shared" si="0"/>
        <v>-54</v>
      </c>
      <c r="I41" s="287"/>
      <c r="J41" s="287"/>
      <c r="K41" s="287"/>
      <c r="L41" s="287"/>
      <c r="M41" s="287"/>
      <c r="N41" s="287"/>
      <c r="O41" s="287"/>
      <c r="P41" s="287"/>
      <c r="Q41" s="287"/>
    </row>
    <row r="42" spans="1:17" hidden="1" outlineLevel="1">
      <c r="A42" s="3313"/>
      <c r="B42" s="3313" t="s">
        <v>1688</v>
      </c>
      <c r="C42" s="3470">
        <v>1620</v>
      </c>
      <c r="D42" s="3470">
        <v>1670</v>
      </c>
      <c r="E42" s="3470">
        <f>+AVERAGE(C42:D42)</f>
        <v>1645</v>
      </c>
      <c r="F42" s="3470">
        <v>1782</v>
      </c>
      <c r="G42" s="3313">
        <f t="shared" si="0"/>
        <v>137</v>
      </c>
      <c r="I42" s="287"/>
      <c r="J42" s="287"/>
      <c r="K42" s="287"/>
      <c r="L42" s="287"/>
      <c r="M42" s="287"/>
      <c r="N42" s="287"/>
      <c r="O42" s="287"/>
      <c r="P42" s="287"/>
      <c r="Q42" s="287"/>
    </row>
    <row r="43" spans="1:17" hidden="1" outlineLevel="1">
      <c r="A43" s="3313"/>
      <c r="B43" s="3313" t="s">
        <v>764</v>
      </c>
      <c r="C43" s="3470">
        <v>0.53</v>
      </c>
      <c r="D43" s="3470">
        <v>0.57999999999999996</v>
      </c>
      <c r="E43" s="3470">
        <f>+AVERAGE(C43:D43)</f>
        <v>0.55499999999999994</v>
      </c>
      <c r="F43" s="3470">
        <v>0.7</v>
      </c>
      <c r="G43" s="3313">
        <f t="shared" si="0"/>
        <v>0.14500000000000002</v>
      </c>
      <c r="J43" s="287"/>
      <c r="K43" s="287"/>
      <c r="L43" s="287"/>
      <c r="M43" s="287"/>
      <c r="N43" s="287"/>
      <c r="O43" s="287"/>
      <c r="P43" s="287"/>
      <c r="Q43" s="287"/>
    </row>
    <row r="44" spans="1:17" hidden="1" outlineLevel="1">
      <c r="A44" s="3313"/>
      <c r="B44" s="3313"/>
      <c r="C44" s="3470"/>
      <c r="D44" s="3470"/>
      <c r="E44" s="3470"/>
      <c r="F44" s="3470"/>
      <c r="G44" s="3313"/>
    </row>
    <row r="45" spans="1:17" hidden="1" outlineLevel="1">
      <c r="A45" s="3313"/>
      <c r="B45" s="3313" t="s">
        <v>1450</v>
      </c>
      <c r="C45" s="3470" t="s">
        <v>1260</v>
      </c>
      <c r="D45" s="3470" t="s">
        <v>1261</v>
      </c>
      <c r="E45" s="3471" t="s">
        <v>1262</v>
      </c>
      <c r="F45" s="3470"/>
      <c r="G45" s="3313"/>
    </row>
    <row r="46" spans="1:17" hidden="1" outlineLevel="1">
      <c r="A46" s="3313"/>
      <c r="B46" s="3313" t="s">
        <v>876</v>
      </c>
      <c r="C46" s="3470">
        <v>4400</v>
      </c>
      <c r="D46" s="3470">
        <v>4500</v>
      </c>
      <c r="E46" s="3470">
        <f>+AVERAGE(C46:D46)</f>
        <v>4450</v>
      </c>
      <c r="F46" s="3470">
        <v>4476</v>
      </c>
      <c r="G46" s="3313">
        <f>+F46-E46</f>
        <v>26</v>
      </c>
    </row>
    <row r="47" spans="1:17" hidden="1" outlineLevel="1">
      <c r="A47" s="3313"/>
      <c r="B47" s="3313" t="s">
        <v>1264</v>
      </c>
      <c r="C47" s="3470">
        <v>3970</v>
      </c>
      <c r="D47" s="3470">
        <v>4020</v>
      </c>
      <c r="E47" s="3470">
        <f>+AVERAGE(C47:D47)</f>
        <v>3995</v>
      </c>
      <c r="F47" s="3470">
        <v>4028</v>
      </c>
      <c r="G47" s="3313">
        <f t="shared" si="0"/>
        <v>33</v>
      </c>
    </row>
    <row r="48" spans="1:17" hidden="1" outlineLevel="1">
      <c r="A48" s="3313"/>
      <c r="B48" s="3313" t="s">
        <v>1688</v>
      </c>
      <c r="C48" s="3470">
        <v>1720</v>
      </c>
      <c r="D48" s="3470">
        <v>1770</v>
      </c>
      <c r="E48" s="3470">
        <f>+AVERAGE(C48:D48)</f>
        <v>1745</v>
      </c>
      <c r="F48" s="3470">
        <v>1819</v>
      </c>
      <c r="G48" s="3313">
        <f t="shared" si="0"/>
        <v>74</v>
      </c>
    </row>
    <row r="49" spans="1:13" hidden="1" outlineLevel="1">
      <c r="A49" s="3313"/>
      <c r="B49" s="3313" t="s">
        <v>764</v>
      </c>
      <c r="C49" s="3470">
        <v>0.62</v>
      </c>
      <c r="D49" s="3470">
        <v>0.67</v>
      </c>
      <c r="E49" s="3470">
        <f>+AVERAGE(C49:D49)</f>
        <v>0.64500000000000002</v>
      </c>
      <c r="F49" s="3470">
        <v>0.8</v>
      </c>
      <c r="G49" s="3313">
        <f t="shared" si="0"/>
        <v>0.15500000000000003</v>
      </c>
    </row>
    <row r="50" spans="1:13" collapsed="1">
      <c r="A50" s="3313" t="str">
        <f>A27</f>
        <v>2015 Quarterly Guidance</v>
      </c>
      <c r="B50" s="3313"/>
      <c r="C50" s="3470"/>
      <c r="D50" s="3470"/>
      <c r="E50" s="3470"/>
      <c r="F50" s="3470"/>
      <c r="G50" s="3313"/>
    </row>
    <row r="51" spans="1:13" hidden="1" outlineLevel="1">
      <c r="A51" s="3314" t="s">
        <v>1691</v>
      </c>
      <c r="B51" s="3314" t="s">
        <v>1465</v>
      </c>
      <c r="C51" s="3476" t="s">
        <v>1260</v>
      </c>
      <c r="D51" s="3476" t="s">
        <v>1261</v>
      </c>
      <c r="E51" s="3477" t="s">
        <v>1262</v>
      </c>
      <c r="F51" s="3476"/>
      <c r="G51" s="3314"/>
      <c r="J51" s="287"/>
      <c r="K51" s="287"/>
      <c r="L51" s="287"/>
      <c r="M51" s="287"/>
    </row>
    <row r="52" spans="1:13" hidden="1" outlineLevel="1">
      <c r="A52" s="3314"/>
      <c r="B52" s="3314" t="s">
        <v>876</v>
      </c>
      <c r="C52" s="3481">
        <v>4400</v>
      </c>
      <c r="D52" s="3481">
        <v>4450</v>
      </c>
      <c r="E52" s="3476">
        <f>+AVERAGE(C52:D52)</f>
        <v>4425</v>
      </c>
      <c r="F52" s="3481">
        <v>4401</v>
      </c>
      <c r="G52" s="3314">
        <f>+F52-E52</f>
        <v>-24</v>
      </c>
      <c r="J52" s="287"/>
      <c r="K52" s="287"/>
      <c r="L52" s="287"/>
      <c r="M52" s="287"/>
    </row>
    <row r="53" spans="1:13" hidden="1" outlineLevel="1">
      <c r="A53" s="3314"/>
      <c r="B53" s="3314" t="s">
        <v>1264</v>
      </c>
      <c r="C53" s="3481">
        <v>3950</v>
      </c>
      <c r="D53" s="3481">
        <v>4000</v>
      </c>
      <c r="E53" s="3476">
        <f>+AVERAGE(C53:D53)</f>
        <v>3975</v>
      </c>
      <c r="F53" s="3481">
        <v>3977</v>
      </c>
      <c r="G53" s="3314">
        <f t="shared" ref="G53:G73" si="1">+F53-E53</f>
        <v>2</v>
      </c>
      <c r="J53" s="287"/>
      <c r="K53" s="287"/>
      <c r="L53" s="287"/>
      <c r="M53" s="287"/>
    </row>
    <row r="54" spans="1:13" hidden="1" outlineLevel="1">
      <c r="A54" s="3314"/>
      <c r="B54" s="3314" t="s">
        <v>1688</v>
      </c>
      <c r="C54" s="3481">
        <v>1660</v>
      </c>
      <c r="D54" s="3481">
        <v>1720</v>
      </c>
      <c r="E54" s="3476">
        <f>+AVERAGE(C54:D54)</f>
        <v>1690</v>
      </c>
      <c r="F54" s="3481">
        <v>1690</v>
      </c>
      <c r="G54" s="3314">
        <f t="shared" si="1"/>
        <v>0</v>
      </c>
      <c r="J54" s="287"/>
      <c r="K54" s="287"/>
      <c r="L54" s="287"/>
      <c r="M54" s="287"/>
    </row>
    <row r="55" spans="1:13" hidden="1" outlineLevel="1">
      <c r="A55" s="3314"/>
      <c r="B55" s="3314" t="s">
        <v>764</v>
      </c>
      <c r="C55" s="3482">
        <v>0.67</v>
      </c>
      <c r="D55" s="3482">
        <v>0.73</v>
      </c>
      <c r="E55" s="3483">
        <f>+AVERAGE(C55:D55)</f>
        <v>0.7</v>
      </c>
      <c r="F55" s="3482">
        <v>0.71</v>
      </c>
      <c r="G55" s="3484">
        <f t="shared" si="1"/>
        <v>1.0000000000000009E-2</v>
      </c>
    </row>
    <row r="56" spans="1:13" hidden="1" outlineLevel="1">
      <c r="A56" s="3314"/>
      <c r="B56" s="3314"/>
      <c r="C56" s="3476"/>
      <c r="D56" s="3476"/>
      <c r="E56" s="3476"/>
      <c r="F56" s="3481"/>
      <c r="G56" s="3314"/>
    </row>
    <row r="57" spans="1:13" hidden="1" outlineLevel="1">
      <c r="A57" s="3314"/>
      <c r="B57" s="3314" t="s">
        <v>1568</v>
      </c>
      <c r="C57" s="3476" t="s">
        <v>1260</v>
      </c>
      <c r="D57" s="3476" t="s">
        <v>1261</v>
      </c>
      <c r="E57" s="3477" t="s">
        <v>1262</v>
      </c>
      <c r="F57" s="3481"/>
      <c r="G57" s="3314"/>
    </row>
    <row r="58" spans="1:13" hidden="1" outlineLevel="1">
      <c r="A58" s="3314"/>
      <c r="B58" s="3314" t="s">
        <v>876</v>
      </c>
      <c r="C58" s="3481">
        <v>4380</v>
      </c>
      <c r="D58" s="3481">
        <v>4430</v>
      </c>
      <c r="E58" s="3476">
        <f>+AVERAGE(C58:D58)</f>
        <v>4405</v>
      </c>
      <c r="F58" s="3481">
        <v>4398</v>
      </c>
      <c r="G58" s="3314">
        <f>+F58-E58</f>
        <v>-7</v>
      </c>
    </row>
    <row r="59" spans="1:13" hidden="1" outlineLevel="1">
      <c r="A59" s="3314"/>
      <c r="B59" s="3314" t="s">
        <v>1264</v>
      </c>
      <c r="C59" s="3481">
        <v>3940</v>
      </c>
      <c r="D59" s="3481">
        <v>3990</v>
      </c>
      <c r="E59" s="3476">
        <f>+AVERAGE(C59:D59)</f>
        <v>3965</v>
      </c>
      <c r="F59" s="3481">
        <v>3968</v>
      </c>
      <c r="G59" s="3314">
        <f t="shared" si="1"/>
        <v>3</v>
      </c>
    </row>
    <row r="60" spans="1:13" hidden="1" outlineLevel="1">
      <c r="A60" s="3314"/>
      <c r="B60" s="3314" t="s">
        <v>1688</v>
      </c>
      <c r="C60" s="3481">
        <v>1590</v>
      </c>
      <c r="D60" s="3481">
        <v>1640</v>
      </c>
      <c r="E60" s="3476">
        <f>+AVERAGE(C60:D60)</f>
        <v>1615</v>
      </c>
      <c r="F60" s="3481">
        <v>1651</v>
      </c>
      <c r="G60" s="3314">
        <f t="shared" si="1"/>
        <v>36</v>
      </c>
    </row>
    <row r="61" spans="1:13" hidden="1" outlineLevel="1">
      <c r="A61" s="3314"/>
      <c r="B61" s="3314" t="s">
        <v>764</v>
      </c>
      <c r="C61" s="3482">
        <v>0.56999999999999995</v>
      </c>
      <c r="D61" s="3482">
        <v>0.62</v>
      </c>
      <c r="E61" s="3483">
        <f>+AVERAGE(C61:D61)</f>
        <v>0.59499999999999997</v>
      </c>
      <c r="F61" s="3482">
        <v>0.63</v>
      </c>
      <c r="G61" s="3484">
        <f t="shared" si="1"/>
        <v>3.5000000000000031E-2</v>
      </c>
    </row>
    <row r="62" spans="1:13" hidden="1" outlineLevel="1">
      <c r="A62" s="3314"/>
      <c r="B62" s="3314"/>
      <c r="C62" s="3476"/>
      <c r="D62" s="3476"/>
      <c r="E62" s="3476"/>
      <c r="F62" s="3481"/>
      <c r="G62" s="3314"/>
    </row>
    <row r="63" spans="1:13" hidden="1" outlineLevel="1">
      <c r="A63" s="3314"/>
      <c r="B63" s="3314" t="s">
        <v>1580</v>
      </c>
      <c r="C63" s="3476" t="s">
        <v>1260</v>
      </c>
      <c r="D63" s="3476" t="s">
        <v>1261</v>
      </c>
      <c r="E63" s="3477" t="s">
        <v>1262</v>
      </c>
      <c r="F63" s="3481"/>
      <c r="G63" s="3314"/>
    </row>
    <row r="64" spans="1:13" hidden="1" outlineLevel="1">
      <c r="A64" s="3314"/>
      <c r="B64" s="3314" t="s">
        <v>876</v>
      </c>
      <c r="C64" s="3481">
        <v>4350</v>
      </c>
      <c r="D64" s="3481">
        <v>4400</v>
      </c>
      <c r="E64" s="3476">
        <f>+AVERAGE(C64:D64)</f>
        <v>4375</v>
      </c>
      <c r="F64" s="3481">
        <v>4382</v>
      </c>
      <c r="G64" s="3314">
        <f>+F64-E64</f>
        <v>7</v>
      </c>
    </row>
    <row r="65" spans="1:23" hidden="1" outlineLevel="1">
      <c r="A65" s="3314"/>
      <c r="B65" s="3314" t="s">
        <v>1264</v>
      </c>
      <c r="C65" s="3481">
        <v>3900</v>
      </c>
      <c r="D65" s="3481">
        <v>3950</v>
      </c>
      <c r="E65" s="3476">
        <f>+AVERAGE(C65:D65)</f>
        <v>3925</v>
      </c>
      <c r="F65" s="3481">
        <v>3915</v>
      </c>
      <c r="G65" s="3314">
        <f t="shared" si="1"/>
        <v>-10</v>
      </c>
    </row>
    <row r="66" spans="1:23" hidden="1" outlineLevel="1">
      <c r="A66" s="3314"/>
      <c r="B66" s="3314" t="s">
        <v>1688</v>
      </c>
      <c r="C66" s="3481">
        <v>1560</v>
      </c>
      <c r="D66" s="3481">
        <v>1610</v>
      </c>
      <c r="E66" s="3476">
        <f>+AVERAGE(C66:D66)</f>
        <v>1585</v>
      </c>
      <c r="F66" s="3481">
        <v>1598</v>
      </c>
      <c r="G66" s="3314">
        <f t="shared" si="1"/>
        <v>13</v>
      </c>
    </row>
    <row r="67" spans="1:23" hidden="1" outlineLevel="1">
      <c r="A67" s="3314"/>
      <c r="B67" s="3314" t="s">
        <v>764</v>
      </c>
      <c r="C67" s="3482">
        <v>0.52</v>
      </c>
      <c r="D67" s="3482">
        <v>0.56999999999999995</v>
      </c>
      <c r="E67" s="3483">
        <f>+AVERAGE(C67:D67)</f>
        <v>0.54499999999999993</v>
      </c>
      <c r="F67" s="3482">
        <v>0.56000000000000005</v>
      </c>
      <c r="G67" s="3484">
        <f t="shared" si="1"/>
        <v>1.5000000000000124E-2</v>
      </c>
    </row>
    <row r="68" spans="1:23" hidden="1" outlineLevel="1">
      <c r="A68" s="3314"/>
      <c r="B68" s="3314"/>
      <c r="C68" s="3476"/>
      <c r="D68" s="3476"/>
      <c r="E68" s="3476"/>
      <c r="F68" s="3481"/>
      <c r="G68" s="3314"/>
    </row>
    <row r="69" spans="1:23" hidden="1" outlineLevel="1">
      <c r="A69" s="3314"/>
      <c r="B69" s="3314" t="s">
        <v>1652</v>
      </c>
      <c r="C69" s="3476" t="s">
        <v>1260</v>
      </c>
      <c r="D69" s="3476" t="s">
        <v>1261</v>
      </c>
      <c r="E69" s="3477" t="s">
        <v>1262</v>
      </c>
      <c r="F69" s="3481"/>
      <c r="G69" s="3314"/>
    </row>
    <row r="70" spans="1:23" hidden="1" outlineLevel="1">
      <c r="A70" s="3314"/>
      <c r="B70" s="3314" t="s">
        <v>876</v>
      </c>
      <c r="C70" s="3481">
        <v>4280</v>
      </c>
      <c r="D70" s="3481">
        <v>4340</v>
      </c>
      <c r="E70" s="3476">
        <f>+AVERAGE(C70:D70)</f>
        <v>4310</v>
      </c>
      <c r="F70" s="3481">
        <v>4289</v>
      </c>
      <c r="G70" s="3314">
        <f>+F70-E70</f>
        <v>-21</v>
      </c>
    </row>
    <row r="71" spans="1:23" hidden="1" outlineLevel="1">
      <c r="A71" s="3314"/>
      <c r="B71" s="3314" t="s">
        <v>1264</v>
      </c>
      <c r="C71" s="3481">
        <v>3860</v>
      </c>
      <c r="D71" s="3481">
        <v>3920</v>
      </c>
      <c r="E71" s="3476">
        <f>+AVERAGE(C71:D71)</f>
        <v>3890</v>
      </c>
      <c r="F71" s="3481">
        <v>3862</v>
      </c>
      <c r="G71" s="3314">
        <f t="shared" si="1"/>
        <v>-28</v>
      </c>
    </row>
    <row r="72" spans="1:23" hidden="1" outlineLevel="1">
      <c r="A72" s="3314"/>
      <c r="B72" s="3314" t="s">
        <v>1688</v>
      </c>
      <c r="C72" s="3481">
        <v>1580</v>
      </c>
      <c r="D72" s="3481">
        <v>1640</v>
      </c>
      <c r="E72" s="3476">
        <f>+AVERAGE(C72:D72)</f>
        <v>1610</v>
      </c>
      <c r="F72" s="3481">
        <v>1588</v>
      </c>
      <c r="G72" s="3314">
        <f t="shared" si="1"/>
        <v>-22</v>
      </c>
    </row>
    <row r="73" spans="1:23" hidden="1" outlineLevel="1">
      <c r="A73" s="3314"/>
      <c r="B73" s="3314" t="s">
        <v>764</v>
      </c>
      <c r="C73" s="3482">
        <v>0.53</v>
      </c>
      <c r="D73" s="3482">
        <v>0.59</v>
      </c>
      <c r="E73" s="3483">
        <f>+AVERAGE(C73:D73)</f>
        <v>0.56000000000000005</v>
      </c>
      <c r="F73" s="3482">
        <v>0.54</v>
      </c>
      <c r="G73" s="3484">
        <f t="shared" si="1"/>
        <v>-2.0000000000000018E-2</v>
      </c>
    </row>
    <row r="74" spans="1:23" collapsed="1">
      <c r="A74" s="3314" t="str">
        <f>A51</f>
        <v>2016 Quarterly Guidance</v>
      </c>
      <c r="B74" s="3314"/>
      <c r="C74" s="3476"/>
      <c r="D74" s="3476"/>
      <c r="E74" s="3476"/>
      <c r="F74" s="3476"/>
      <c r="G74" s="3314"/>
    </row>
    <row r="75" spans="1:23">
      <c r="A75" s="3313" t="s">
        <v>1692</v>
      </c>
      <c r="B75" s="3472" t="s">
        <v>1687</v>
      </c>
      <c r="C75" s="3473" t="s">
        <v>1260</v>
      </c>
      <c r="D75" s="3473" t="s">
        <v>1261</v>
      </c>
      <c r="E75" s="3474" t="s">
        <v>1262</v>
      </c>
      <c r="F75" s="3473" t="s">
        <v>1569</v>
      </c>
      <c r="G75" s="3473" t="s">
        <v>1946</v>
      </c>
    </row>
    <row r="76" spans="1:23">
      <c r="A76" s="3313"/>
      <c r="B76" s="3313" t="s">
        <v>876</v>
      </c>
      <c r="C76" s="3470">
        <v>4230</v>
      </c>
      <c r="D76" s="3470">
        <v>4290</v>
      </c>
      <c r="E76" s="3470">
        <f>+AVERAGE(C76:D76)</f>
        <v>4260</v>
      </c>
      <c r="F76" s="3470">
        <v>4209</v>
      </c>
      <c r="G76" s="3313">
        <f>+F76-E76</f>
        <v>-51</v>
      </c>
      <c r="M76" s="3133" t="s">
        <v>1701</v>
      </c>
      <c r="N76" s="3133"/>
      <c r="O76" s="3133"/>
      <c r="P76" s="3133"/>
      <c r="R76" t="s">
        <v>1702</v>
      </c>
    </row>
    <row r="77" spans="1:23">
      <c r="A77" s="3313"/>
      <c r="B77" s="3313" t="s">
        <v>1264</v>
      </c>
      <c r="C77" s="3470">
        <v>3800</v>
      </c>
      <c r="D77" s="3470">
        <v>3860</v>
      </c>
      <c r="E77" s="3470">
        <f>+AVERAGE(C77:D77)</f>
        <v>3830</v>
      </c>
      <c r="F77" s="3470">
        <v>3803</v>
      </c>
      <c r="G77" s="3313">
        <f>+F77-E77</f>
        <v>-27</v>
      </c>
      <c r="J77" s="287"/>
      <c r="M77" s="3133"/>
      <c r="N77" s="3133" t="s">
        <v>1260</v>
      </c>
      <c r="O77" s="3133" t="s">
        <v>1261</v>
      </c>
      <c r="P77" s="4" t="s">
        <v>1262</v>
      </c>
      <c r="U77" t="s">
        <v>1260</v>
      </c>
      <c r="V77" t="s">
        <v>1262</v>
      </c>
      <c r="W77" t="s">
        <v>1703</v>
      </c>
    </row>
    <row r="78" spans="1:23">
      <c r="A78" s="3313"/>
      <c r="B78" s="3313" t="s">
        <v>1688</v>
      </c>
      <c r="C78" s="3470">
        <v>1490</v>
      </c>
      <c r="D78" s="3470">
        <v>1550</v>
      </c>
      <c r="E78" s="3470">
        <f>+AVERAGE(C78:D78)</f>
        <v>1520</v>
      </c>
      <c r="F78" s="3470">
        <v>1532</v>
      </c>
      <c r="G78" s="3313">
        <f>+F78-E78</f>
        <v>12</v>
      </c>
      <c r="I78" t="s">
        <v>1694</v>
      </c>
      <c r="J78" s="287"/>
      <c r="M78" s="3133" t="s">
        <v>876</v>
      </c>
      <c r="N78" s="74">
        <v>17050</v>
      </c>
      <c r="O78" s="74">
        <v>17300</v>
      </c>
      <c r="P78" s="74">
        <f t="shared" ref="P78:P83" si="2">+AVERAGE(N78:O78)</f>
        <v>17175</v>
      </c>
      <c r="R78">
        <v>-400</v>
      </c>
      <c r="U78" s="74">
        <f>+N78+R78</f>
        <v>16650</v>
      </c>
      <c r="V78" s="74">
        <f>+P78+R78</f>
        <v>16775</v>
      </c>
      <c r="W78" s="74">
        <f>+AVERAGE(U78:V78)</f>
        <v>16712.5</v>
      </c>
    </row>
    <row r="79" spans="1:23">
      <c r="A79" s="3313"/>
      <c r="B79" s="3313" t="s">
        <v>764</v>
      </c>
      <c r="C79" s="3470">
        <v>0.51</v>
      </c>
      <c r="D79" s="3470">
        <v>0.56999999999999995</v>
      </c>
      <c r="E79" s="3470">
        <f>+AVERAGE(C79:D79)</f>
        <v>0.54</v>
      </c>
      <c r="F79" s="3470">
        <v>0.52</v>
      </c>
      <c r="G79" s="3475">
        <f>+F79-E79</f>
        <v>-2.0000000000000018E-2</v>
      </c>
      <c r="J79" s="287"/>
      <c r="M79" s="3133" t="s">
        <v>1264</v>
      </c>
      <c r="N79" s="74">
        <v>15250</v>
      </c>
      <c r="O79" s="74">
        <v>15500</v>
      </c>
      <c r="P79" s="74">
        <f t="shared" si="2"/>
        <v>15375</v>
      </c>
      <c r="R79" s="3133">
        <v>-400</v>
      </c>
      <c r="U79" s="74">
        <f>+N79+R79</f>
        <v>14850</v>
      </c>
      <c r="V79" s="74">
        <f>+P79+R79</f>
        <v>14975</v>
      </c>
      <c r="W79" s="74">
        <f>+AVERAGE(U79:V79)</f>
        <v>14912.5</v>
      </c>
    </row>
    <row r="80" spans="1:23">
      <c r="A80" s="3313"/>
      <c r="B80" s="3313"/>
      <c r="C80" s="3470"/>
      <c r="D80" s="3470"/>
      <c r="E80" s="3470"/>
      <c r="F80" s="3470"/>
      <c r="G80" s="3313"/>
      <c r="J80" s="287"/>
      <c r="M80" s="3133" t="s">
        <v>1688</v>
      </c>
      <c r="N80" s="74">
        <v>6150</v>
      </c>
      <c r="O80" s="74">
        <v>6350</v>
      </c>
      <c r="P80" s="74">
        <f t="shared" si="2"/>
        <v>6250</v>
      </c>
      <c r="R80" s="3133">
        <f>+R79+(200+240)/2</f>
        <v>-180</v>
      </c>
      <c r="U80" s="74">
        <f>+N80+R80</f>
        <v>5970</v>
      </c>
      <c r="V80" s="74">
        <f>+P80+R80</f>
        <v>6070</v>
      </c>
      <c r="W80" s="74">
        <f>+AVERAGE(U80:V80)</f>
        <v>6020</v>
      </c>
    </row>
    <row r="81" spans="1:24">
      <c r="A81" s="3313"/>
      <c r="B81" s="3472" t="s">
        <v>1693</v>
      </c>
      <c r="C81" s="3473" t="s">
        <v>1260</v>
      </c>
      <c r="D81" s="3473" t="s">
        <v>1261</v>
      </c>
      <c r="E81" s="3474" t="s">
        <v>1262</v>
      </c>
      <c r="F81" s="3473" t="s">
        <v>1756</v>
      </c>
      <c r="G81" s="3473" t="s">
        <v>1946</v>
      </c>
      <c r="M81" s="3133" t="s">
        <v>764</v>
      </c>
      <c r="N81" s="3136">
        <v>2.1</v>
      </c>
      <c r="O81" s="3136">
        <v>2.2999999999999998</v>
      </c>
      <c r="P81" s="3136">
        <f t="shared" si="2"/>
        <v>2.2000000000000002</v>
      </c>
      <c r="R81" s="3133"/>
      <c r="U81" s="74"/>
      <c r="V81" s="74"/>
      <c r="W81" s="74"/>
    </row>
    <row r="82" spans="1:24">
      <c r="A82" s="3313"/>
      <c r="B82" s="3313" t="s">
        <v>876</v>
      </c>
      <c r="C82" s="3470">
        <v>4070</v>
      </c>
      <c r="D82" s="3470">
        <v>4130</v>
      </c>
      <c r="E82" s="3470">
        <f>+AVERAGE(C82:D82)</f>
        <v>4100</v>
      </c>
      <c r="F82" s="3478">
        <f>Subscribers!CN154</f>
        <v>4090</v>
      </c>
      <c r="G82" s="3316">
        <f>+F82-E82</f>
        <v>-10</v>
      </c>
      <c r="M82" s="3133" t="s">
        <v>752</v>
      </c>
      <c r="N82" s="74">
        <v>1550</v>
      </c>
      <c r="O82" s="74">
        <v>1750</v>
      </c>
      <c r="P82" s="74">
        <f t="shared" si="2"/>
        <v>1650</v>
      </c>
      <c r="R82" s="3133">
        <v>-60</v>
      </c>
      <c r="U82" s="74">
        <f>+N82+R82</f>
        <v>1490</v>
      </c>
      <c r="V82" s="74">
        <f>+P82+R82</f>
        <v>1590</v>
      </c>
      <c r="W82" s="74">
        <f>+AVERAGE(U82:V82)</f>
        <v>1540</v>
      </c>
    </row>
    <row r="83" spans="1:24">
      <c r="A83" s="3313"/>
      <c r="B83" s="3313" t="s">
        <v>1264</v>
      </c>
      <c r="C83" s="3470">
        <v>3660</v>
      </c>
      <c r="D83" s="3470">
        <v>3720</v>
      </c>
      <c r="E83" s="3470">
        <f>+AVERAGE(C83:D83)</f>
        <v>3690</v>
      </c>
      <c r="F83" s="3478">
        <f>Subscribers!CN157</f>
        <v>3655</v>
      </c>
      <c r="G83" s="3316">
        <f>+F83-E83</f>
        <v>-35</v>
      </c>
      <c r="M83" s="3133" t="s">
        <v>1038</v>
      </c>
      <c r="N83" s="74">
        <v>2600</v>
      </c>
      <c r="O83" s="74">
        <v>2600</v>
      </c>
      <c r="P83" s="74">
        <f t="shared" si="2"/>
        <v>2600</v>
      </c>
      <c r="R83" s="3133"/>
    </row>
    <row r="84" spans="1:24">
      <c r="A84" s="3313"/>
      <c r="B84" s="3313" t="s">
        <v>1688</v>
      </c>
      <c r="C84" s="3470">
        <v>1400</v>
      </c>
      <c r="D84" s="3470">
        <v>1460</v>
      </c>
      <c r="E84" s="3470">
        <f>+AVERAGE(C84:D84)</f>
        <v>1430</v>
      </c>
      <c r="F84" s="3479">
        <f>IS!CF60</f>
        <v>1442</v>
      </c>
      <c r="G84" s="3316">
        <f>+F84-E84</f>
        <v>12</v>
      </c>
      <c r="M84" s="3133"/>
      <c r="N84" s="3133"/>
      <c r="O84" s="3133"/>
      <c r="P84" s="3133"/>
    </row>
    <row r="85" spans="1:24">
      <c r="A85" s="3313"/>
      <c r="B85" s="3313" t="s">
        <v>764</v>
      </c>
      <c r="C85" s="3470">
        <v>0.46</v>
      </c>
      <c r="D85" s="3470">
        <v>0.52</v>
      </c>
      <c r="E85" s="3470">
        <f>+AVERAGE(C85:D85)</f>
        <v>0.49</v>
      </c>
      <c r="F85" s="3480">
        <f>IS!CF93</f>
        <v>3.1356577779991186E-2</v>
      </c>
      <c r="G85" s="3475">
        <f>+F85-E85</f>
        <v>-0.45864342222000881</v>
      </c>
      <c r="M85" s="3133"/>
      <c r="N85" s="3133"/>
      <c r="O85" s="3133"/>
      <c r="P85" s="3133"/>
      <c r="R85">
        <v>120</v>
      </c>
    </row>
    <row r="87" spans="1:24">
      <c r="E87" t="s">
        <v>1755</v>
      </c>
      <c r="U87" s="74"/>
      <c r="V87" s="74"/>
    </row>
    <row r="88" spans="1:24">
      <c r="E88" t="str">
        <f>B76</f>
        <v>Total Revenue</v>
      </c>
      <c r="G88" s="2932">
        <f>+AVERAGE(G28,G34,G40,G46,G52,G58,G64,G70,G76)</f>
        <v>-0.1111111111111111</v>
      </c>
      <c r="U88" s="74"/>
    </row>
    <row r="89" spans="1:24">
      <c r="E89" s="3144" t="str">
        <f>B77</f>
        <v>Core Revenue</v>
      </c>
      <c r="G89" s="2932">
        <f>+AVERAGE(G29,G35,G41,G47,G53,G59,G65,G71,G77)</f>
        <v>-13.222222222222221</v>
      </c>
      <c r="V89" s="74"/>
    </row>
    <row r="90" spans="1:24">
      <c r="E90" s="3144" t="str">
        <f>B78</f>
        <v>Adj. EBITDA</v>
      </c>
      <c r="G90" s="2932">
        <f>+AVERAGE(G30,G36,G42,G48,G54,G60,G66,G72,G78)</f>
        <v>27.666666666666668</v>
      </c>
    </row>
    <row r="91" spans="1:24">
      <c r="E91" s="3144" t="str">
        <f>B79</f>
        <v>EPS</v>
      </c>
      <c r="G91" s="3136">
        <f>+AVERAGE(G31,G37,G43,G49,G55,G61,G67,G73,G79)</f>
        <v>3.7777777777777813E-2</v>
      </c>
      <c r="V91" s="293"/>
    </row>
    <row r="93" spans="1:24">
      <c r="E93" s="4"/>
      <c r="G93" s="2932"/>
    </row>
    <row r="94" spans="1:24">
      <c r="G94" s="2932"/>
    </row>
    <row r="95" spans="1:24">
      <c r="G95" s="2932"/>
    </row>
    <row r="96" spans="1:24">
      <c r="G96" s="2932"/>
      <c r="U96" s="74"/>
      <c r="V96" s="74"/>
      <c r="X96" s="74"/>
    </row>
    <row r="97" spans="7:24">
      <c r="G97" s="3136"/>
      <c r="X97" s="74"/>
    </row>
    <row r="98" spans="7:24">
      <c r="G98" s="2932"/>
      <c r="X98" s="65"/>
    </row>
    <row r="99" spans="7:24">
      <c r="G99" s="2932"/>
    </row>
    <row r="100" spans="7:24">
      <c r="G100" s="3136"/>
    </row>
  </sheetData>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7:I28"/>
  <sheetViews>
    <sheetView zoomScale="115" zoomScaleNormal="115" workbookViewId="0">
      <selection activeCell="H37" sqref="H37"/>
    </sheetView>
  </sheetViews>
  <sheetFormatPr defaultRowHeight="12.75"/>
  <cols>
    <col min="3" max="8" width="9.28515625" bestFit="1" customWidth="1"/>
    <col min="9" max="9" width="9.7109375" bestFit="1" customWidth="1"/>
    <col min="10" max="10" width="9.140625" style="292"/>
    <col min="11" max="11" width="4.7109375" style="292" customWidth="1"/>
    <col min="12" max="12" width="30.7109375" style="292" customWidth="1"/>
    <col min="13" max="14" width="9.140625" style="292" customWidth="1"/>
    <col min="15" max="15" width="30.7109375" style="292" customWidth="1"/>
    <col min="16" max="20" width="9.140625" style="292" customWidth="1"/>
    <col min="21" max="21" width="30.7109375" style="292" customWidth="1"/>
    <col min="22" max="24" width="9.140625" style="292" customWidth="1"/>
    <col min="25" max="16384" width="9.140625" style="292"/>
  </cols>
  <sheetData>
    <row r="7" spans="3:3">
      <c r="C7" s="114"/>
    </row>
    <row r="11" spans="3:3" ht="12.75" customHeight="1"/>
    <row r="19" spans="3:9" ht="12.75" customHeight="1">
      <c r="D19" s="3024"/>
      <c r="E19" s="3024"/>
      <c r="F19" s="3024"/>
    </row>
    <row r="25" spans="3:9">
      <c r="C25" t="s">
        <v>1700</v>
      </c>
      <c r="D25" t="s">
        <v>1704</v>
      </c>
      <c r="E25" t="s">
        <v>1696</v>
      </c>
      <c r="F25" t="s">
        <v>1695</v>
      </c>
      <c r="G25" t="s">
        <v>1697</v>
      </c>
      <c r="H25" t="s">
        <v>1698</v>
      </c>
      <c r="I25" t="s">
        <v>1699</v>
      </c>
    </row>
    <row r="26" spans="3:9">
      <c r="D26">
        <f>+C28-D27</f>
        <v>1508</v>
      </c>
      <c r="E26">
        <f>+D26-E27</f>
        <v>1493</v>
      </c>
      <c r="F26">
        <f>+E26-F27</f>
        <v>1448</v>
      </c>
      <c r="G26">
        <f>+F26+F27</f>
        <v>1493</v>
      </c>
      <c r="H26">
        <f>+G28-H27</f>
        <v>1430</v>
      </c>
    </row>
    <row r="27" spans="3:9">
      <c r="D27">
        <v>15</v>
      </c>
      <c r="E27">
        <v>15</v>
      </c>
      <c r="F27">
        <v>45</v>
      </c>
      <c r="H27">
        <f>+G28-I28</f>
        <v>18</v>
      </c>
    </row>
    <row r="28" spans="3:9">
      <c r="C28">
        <v>1523</v>
      </c>
      <c r="G28">
        <f>+G26-F27</f>
        <v>1448</v>
      </c>
      <c r="I28">
        <v>1430</v>
      </c>
    </row>
  </sheetData>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indexed="22"/>
  </sheetPr>
  <dimension ref="A1:AX124"/>
  <sheetViews>
    <sheetView zoomScale="85" workbookViewId="0">
      <pane xSplit="10" ySplit="2" topLeftCell="AH3" activePane="bottomRight" state="frozen"/>
      <selection pane="topRight" activeCell="K1" sqref="K1"/>
      <selection pane="bottomLeft" activeCell="A3" sqref="A3"/>
      <selection pane="bottomRight" activeCell="AH57" sqref="AG57:AH57"/>
    </sheetView>
  </sheetViews>
  <sheetFormatPr defaultRowHeight="12.75" outlineLevelRow="1" outlineLevelCol="1"/>
  <cols>
    <col min="1" max="1" width="32.5703125" customWidth="1"/>
    <col min="2" max="2" width="9.7109375" hidden="1" customWidth="1" outlineLevel="1"/>
    <col min="3" max="30" width="10.7109375" hidden="1" customWidth="1" outlineLevel="1"/>
    <col min="31" max="31" width="10.7109375" bestFit="1" customWidth="1" collapsed="1"/>
    <col min="32" max="34" width="10.7109375" bestFit="1" customWidth="1"/>
  </cols>
  <sheetData>
    <row r="1" spans="1:50">
      <c r="B1" s="1855"/>
      <c r="C1" s="1855"/>
      <c r="D1" s="1855"/>
      <c r="E1" s="1855"/>
      <c r="F1" s="1855"/>
      <c r="G1" s="1855"/>
      <c r="H1" s="1855"/>
      <c r="I1" s="1855"/>
      <c r="J1" s="1855"/>
      <c r="K1" s="1855"/>
      <c r="L1" s="1855"/>
      <c r="M1" s="1855"/>
      <c r="N1" s="1855"/>
      <c r="O1" s="1855"/>
      <c r="P1" s="1855"/>
      <c r="Q1" s="1855"/>
      <c r="R1" s="1855"/>
      <c r="S1" s="1855"/>
      <c r="T1" s="1855"/>
      <c r="U1" s="1855"/>
      <c r="V1" s="1855"/>
      <c r="W1" s="1855"/>
      <c r="X1" s="1855"/>
      <c r="Y1" s="1855"/>
      <c r="Z1" s="1855"/>
      <c r="AA1" s="1855"/>
      <c r="AB1" s="1855"/>
      <c r="AC1" s="1855"/>
      <c r="AD1" s="1855"/>
      <c r="AE1" s="1855"/>
      <c r="AF1" s="1855"/>
      <c r="AG1" s="1855"/>
      <c r="AH1" s="1855"/>
    </row>
    <row r="2" spans="1:50">
      <c r="B2" s="1850" t="str">
        <f>+Subscribers!AL9</f>
        <v>4Q03</v>
      </c>
      <c r="C2" s="1850" t="str">
        <f>+Subscribers!AM9</f>
        <v>1Q04</v>
      </c>
      <c r="D2" s="1850" t="str">
        <f>+Subscribers!AN9</f>
        <v>2Q04</v>
      </c>
      <c r="E2" s="1850" t="str">
        <f>+Subscribers!AO9</f>
        <v>3Q04</v>
      </c>
      <c r="F2" s="1850" t="str">
        <f>+Subscribers!AP9</f>
        <v>4Q04</v>
      </c>
      <c r="G2" s="1850" t="str">
        <f>+Subscribers!AQ9</f>
        <v>1Q05</v>
      </c>
      <c r="H2" s="1850" t="str">
        <f>+Subscribers!AR9</f>
        <v>2Q05</v>
      </c>
      <c r="I2" s="1850" t="str">
        <f>+Subscribers!AS9</f>
        <v>3Q05</v>
      </c>
      <c r="J2" s="1850" t="str">
        <f>+Subscribers!AT9</f>
        <v>4Q05</v>
      </c>
      <c r="K2" s="1850" t="str">
        <f>+Subscribers!AU9</f>
        <v>1Q06</v>
      </c>
      <c r="L2" s="1850" t="str">
        <f>+Subscribers!AV9</f>
        <v>2Q06</v>
      </c>
      <c r="M2" s="1850" t="str">
        <f>+Subscribers!AW9</f>
        <v>3Q06</v>
      </c>
      <c r="N2" s="1850" t="str">
        <f>+Subscribers!AX9</f>
        <v>4Q06</v>
      </c>
      <c r="O2" s="1850" t="str">
        <f>+Subscribers!AY9</f>
        <v>1Q07</v>
      </c>
      <c r="P2" s="1850" t="str">
        <f>+Subscribers!AZ9</f>
        <v>2Q07</v>
      </c>
      <c r="Q2" s="1850" t="str">
        <f>+Subscribers!BA9</f>
        <v>3Q07</v>
      </c>
      <c r="R2" s="1850" t="str">
        <f>+Subscribers!BB9</f>
        <v>4Q07</v>
      </c>
      <c r="S2" s="1850" t="str">
        <f>+Subscribers!BC9</f>
        <v>1Q08</v>
      </c>
      <c r="T2" s="1850" t="str">
        <f>+Subscribers!BD9</f>
        <v>2Q08</v>
      </c>
      <c r="U2" s="1850" t="str">
        <f>+Subscribers!BE9</f>
        <v>3Q08</v>
      </c>
      <c r="V2" s="1850" t="str">
        <f>+Subscribers!BF9</f>
        <v>4Q08</v>
      </c>
      <c r="W2" s="1850" t="str">
        <f>+Subscribers!BG9</f>
        <v>1Q09</v>
      </c>
      <c r="X2" s="1850" t="str">
        <f>+Subscribers!BH9</f>
        <v>2Q09</v>
      </c>
      <c r="Y2" s="1850" t="str">
        <f>+Subscribers!BI9</f>
        <v>3Q09</v>
      </c>
      <c r="Z2" s="1850" t="str">
        <f>+Subscribers!BJ9</f>
        <v>4Q09</v>
      </c>
      <c r="AA2" s="1850" t="str">
        <f>+Subscribers!BK9</f>
        <v>1Q10</v>
      </c>
      <c r="AB2" s="1850" t="str">
        <f>+Subscribers!BL9</f>
        <v>2Q10</v>
      </c>
      <c r="AC2" s="1850" t="str">
        <f>+Subscribers!BM9</f>
        <v>3Q10</v>
      </c>
      <c r="AD2" s="1850" t="str">
        <f>+Subscribers!BN9</f>
        <v>4Q10</v>
      </c>
      <c r="AE2" s="1850" t="str">
        <f>+Subscribers!BO9</f>
        <v>1Q11</v>
      </c>
      <c r="AF2" s="1850" t="str">
        <f>+Subscribers!BP9</f>
        <v>2Q11</v>
      </c>
      <c r="AG2" s="1850" t="str">
        <f>+Subscribers!BQ9</f>
        <v>3Q11</v>
      </c>
      <c r="AH2" s="1850" t="str">
        <f>+Subscribers!BR9</f>
        <v>4Q11</v>
      </c>
      <c r="AI2" s="1850" t="str">
        <f>+Subscribers!BS9</f>
        <v>1Q12</v>
      </c>
      <c r="AJ2" s="1850" t="str">
        <f>+Subscribers!BT9</f>
        <v>2Q12</v>
      </c>
      <c r="AK2" s="1850" t="str">
        <f>+Subscribers!BU9</f>
        <v>3Q12</v>
      </c>
      <c r="AL2" s="1850" t="str">
        <f>+Subscribers!BV9</f>
        <v>4Q12</v>
      </c>
      <c r="AM2" s="1850" t="str">
        <f>+Subscribers!BW9</f>
        <v>1Q13</v>
      </c>
      <c r="AN2" s="1850" t="str">
        <f>+Subscribers!BX9</f>
        <v>2Q13</v>
      </c>
      <c r="AO2" s="1850" t="str">
        <f>+Subscribers!BY9</f>
        <v>3Q13</v>
      </c>
      <c r="AP2" s="1850" t="str">
        <f>+Subscribers!BZ9</f>
        <v>4Q13</v>
      </c>
      <c r="AQ2" s="1850" t="str">
        <f>+Subscribers!CA9</f>
        <v>1Q14</v>
      </c>
      <c r="AR2" s="1850" t="str">
        <f>+Subscribers!CB9</f>
        <v>2Q14</v>
      </c>
      <c r="AS2" s="1850" t="str">
        <f>+Subscribers!CC9</f>
        <v>3Q14</v>
      </c>
      <c r="AT2" s="1850" t="str">
        <f>+Subscribers!CD9</f>
        <v>4Q14</v>
      </c>
    </row>
    <row r="3" spans="1:50">
      <c r="B3" s="1855"/>
      <c r="C3" s="1855"/>
      <c r="D3" s="1855"/>
      <c r="E3" s="1855"/>
      <c r="F3" s="1855"/>
      <c r="G3" s="1855"/>
      <c r="H3" s="1855"/>
      <c r="I3" s="1855"/>
      <c r="J3" s="1855"/>
      <c r="K3" s="1855"/>
      <c r="L3" s="1855"/>
      <c r="M3" s="1855"/>
      <c r="N3" s="1855"/>
      <c r="O3" s="1855"/>
      <c r="P3" s="1855"/>
      <c r="Q3" s="1855"/>
      <c r="R3" s="1855"/>
      <c r="S3" s="1855"/>
      <c r="T3" s="1855"/>
      <c r="U3" s="1855"/>
      <c r="V3" s="1855"/>
      <c r="W3" s="1855"/>
      <c r="X3" s="1855"/>
      <c r="Y3" s="1855"/>
      <c r="Z3" s="1855"/>
      <c r="AA3" s="1855"/>
      <c r="AB3" s="1855"/>
      <c r="AC3" s="1855"/>
      <c r="AD3" s="1855"/>
      <c r="AE3" s="1855"/>
      <c r="AF3" s="1855"/>
      <c r="AG3" s="1855"/>
      <c r="AH3" s="1855"/>
      <c r="AI3" s="1855"/>
      <c r="AJ3" s="1855"/>
      <c r="AK3" s="1855"/>
      <c r="AL3" s="1855"/>
      <c r="AM3" s="1855"/>
      <c r="AN3" s="1855"/>
      <c r="AO3" s="1855"/>
      <c r="AP3" s="1855"/>
      <c r="AQ3" s="1855"/>
      <c r="AR3" s="1855"/>
      <c r="AS3" s="1855"/>
      <c r="AT3" s="1855"/>
    </row>
    <row r="4" spans="1:50">
      <c r="B4" s="1855"/>
      <c r="C4" s="1855"/>
      <c r="D4" s="1855"/>
      <c r="E4" s="1855"/>
      <c r="F4" s="1855"/>
      <c r="G4" s="1855"/>
      <c r="H4" s="1855"/>
      <c r="I4" s="1855"/>
      <c r="J4" s="1855"/>
      <c r="K4" s="1855"/>
      <c r="L4" s="1855"/>
      <c r="M4" s="1855"/>
      <c r="N4" s="1855"/>
      <c r="O4" s="1855"/>
      <c r="P4" s="1855"/>
      <c r="Q4" s="1855"/>
      <c r="R4" s="1855"/>
      <c r="S4" s="1855"/>
      <c r="T4" s="1855"/>
      <c r="U4" s="1855"/>
      <c r="V4" s="1855"/>
      <c r="W4" s="1855"/>
      <c r="X4" s="1855"/>
      <c r="Y4" s="1855"/>
      <c r="Z4" s="1855"/>
      <c r="AA4" s="1855"/>
      <c r="AB4" s="1855"/>
      <c r="AC4" s="1855"/>
      <c r="AD4" s="1855"/>
      <c r="AE4" s="1855"/>
      <c r="AF4" s="1855"/>
      <c r="AG4" s="1855"/>
      <c r="AH4" s="1855"/>
      <c r="AI4" s="1855"/>
      <c r="AJ4" s="1855"/>
      <c r="AK4" s="1855"/>
      <c r="AL4" s="1855"/>
      <c r="AM4" s="1855"/>
      <c r="AN4" s="1855"/>
      <c r="AO4" s="1855"/>
      <c r="AP4" s="1855"/>
      <c r="AQ4" s="1855"/>
      <c r="AR4" s="1855"/>
      <c r="AS4" s="1855"/>
      <c r="AT4" s="1855"/>
    </row>
    <row r="5" spans="1:50">
      <c r="A5" s="113" t="str">
        <f>+Subscribers!A11</f>
        <v>Total access lines</v>
      </c>
      <c r="B5" s="1856"/>
      <c r="C5" s="1856">
        <f>+Subscribers!AM11/1000</f>
        <v>23915.74</v>
      </c>
      <c r="D5" s="1856">
        <f>+Subscribers!AN11/1000</f>
        <v>23608.74</v>
      </c>
      <c r="E5" s="1856">
        <f>+Subscribers!AO11/1000</f>
        <v>23387.74</v>
      </c>
      <c r="F5" s="1856">
        <f>+Subscribers!AP11/1000</f>
        <v>23179.74</v>
      </c>
      <c r="G5" s="1856">
        <f>+Subscribers!AQ11/1000</f>
        <v>25443.629781260337</v>
      </c>
      <c r="H5" s="1856">
        <f>+Subscribers!AR11/1000</f>
        <v>25055.964548010274</v>
      </c>
      <c r="I5" s="1856">
        <f>+Subscribers!AS11/1000</f>
        <v>24787.356473684209</v>
      </c>
      <c r="J5" s="1856">
        <f>+Subscribers!AT11/1000</f>
        <v>24469.160500000002</v>
      </c>
      <c r="K5" s="1856">
        <f>+Subscribers!AU11/1000</f>
        <v>24011.538</v>
      </c>
      <c r="L5" s="1856">
        <f>+Subscribers!AV11/1000</f>
        <v>23569.317719999999</v>
      </c>
      <c r="M5" s="1856">
        <f>+Subscribers!AW11/1000</f>
        <v>23166.33</v>
      </c>
      <c r="N5" s="1856">
        <f>+Subscribers!AX11/1000</f>
        <v>22801.735000000001</v>
      </c>
      <c r="O5" s="1856">
        <f>+Subscribers!AY11/1000</f>
        <v>22029.49</v>
      </c>
      <c r="P5" s="1856">
        <f>+Subscribers!AZ11/1000</f>
        <v>21567.74</v>
      </c>
      <c r="Q5" s="1856">
        <f>+Subscribers!BA11/1000</f>
        <v>21143.74</v>
      </c>
      <c r="R5" s="1856">
        <f>+Subscribers!BB11/1000</f>
        <v>20772.740000000002</v>
      </c>
      <c r="S5" s="1856">
        <f>+Subscribers!BC11/1000</f>
        <v>20347.740000000002</v>
      </c>
      <c r="T5" s="1856">
        <f>+Subscribers!BD11/1000</f>
        <v>19859.259999999998</v>
      </c>
      <c r="U5" s="1856">
        <f>+Subscribers!BE11/1000</f>
        <v>19344.66</v>
      </c>
      <c r="V5" s="1856">
        <f>+Subscribers!BF11/1000</f>
        <v>18841</v>
      </c>
      <c r="W5" s="1856">
        <f>+Subscribers!BG11/1000</f>
        <v>18343</v>
      </c>
      <c r="X5" s="1856">
        <f>+Subscribers!BH11/1000</f>
        <v>17710.239651416123</v>
      </c>
      <c r="Y5" s="1856">
        <f>+Subscribers!BI11/1000</f>
        <v>17355</v>
      </c>
      <c r="Z5" s="1856">
        <f>+Subscribers!BJ11/1000</f>
        <v>16964</v>
      </c>
      <c r="AA5" s="1856">
        <f>+Subscribers!BK11/1000</f>
        <v>16627</v>
      </c>
      <c r="AB5" s="1856">
        <f>+Subscribers!BL11/1000</f>
        <v>16258</v>
      </c>
      <c r="AC5" s="1856">
        <f>+Subscribers!BM11/1000</f>
        <v>15936</v>
      </c>
      <c r="AD5" s="1856">
        <f>+Subscribers!BN11/1000</f>
        <v>15613</v>
      </c>
      <c r="AE5" s="1856">
        <f>+Subscribers!BO11/1000</f>
        <v>15357</v>
      </c>
      <c r="AF5" s="1856">
        <f>+Subscribers!BP11/1000</f>
        <v>15057</v>
      </c>
      <c r="AG5" s="1856">
        <f>+Subscribers!BQ11/1000</f>
        <v>14803</v>
      </c>
      <c r="AH5" s="1856">
        <f>+Subscribers!BR11/1000</f>
        <v>14584</v>
      </c>
      <c r="AI5" s="1856">
        <f>+Subscribers!BS11/1000</f>
        <v>14383</v>
      </c>
      <c r="AJ5" s="1856">
        <f>+Subscribers!BT11/1000</f>
        <v>14149</v>
      </c>
      <c r="AK5" s="1856">
        <f>+Subscribers!BU11/1000</f>
        <v>13950</v>
      </c>
      <c r="AL5" s="1856">
        <f>+Subscribers!BV11/1000</f>
        <v>13751</v>
      </c>
      <c r="AM5" s="1856">
        <f>+Subscribers!BW11/1000</f>
        <v>13561</v>
      </c>
      <c r="AN5" s="1856">
        <f>+Subscribers!BX11/1000</f>
        <v>13331</v>
      </c>
      <c r="AO5" s="1856">
        <f>+Subscribers!BY11/1000</f>
        <v>13150</v>
      </c>
      <c r="AP5" s="1856">
        <f>+Subscribers!BZ11/1000</f>
        <v>13002</v>
      </c>
      <c r="AQ5" s="1856">
        <f>+Subscribers!CA11/1000</f>
        <v>12882</v>
      </c>
      <c r="AR5" s="1856">
        <f>+Subscribers!CB11/1000</f>
        <v>12707</v>
      </c>
      <c r="AS5" s="1856">
        <f>+Subscribers!CC11/1000</f>
        <v>12537</v>
      </c>
      <c r="AT5" s="1856">
        <f>+Subscribers!CD11/1000</f>
        <v>12394</v>
      </c>
      <c r="AU5" s="1856">
        <f>+Subscribers!CE11/1000</f>
        <v>12270</v>
      </c>
      <c r="AV5" s="1856">
        <f>+Subscribers!CF11/1000</f>
        <v>12109</v>
      </c>
      <c r="AW5" s="1856">
        <f>+Subscribers!CG11/1000</f>
        <v>11915</v>
      </c>
      <c r="AX5" s="1856">
        <f>+Subscribers!CH11/1000</f>
        <v>11748</v>
      </c>
    </row>
    <row r="6" spans="1:50">
      <c r="A6" s="74" t="str">
        <f>+Subscribers!A12</f>
        <v xml:space="preserve">   % Y/Y growth</v>
      </c>
      <c r="B6" s="1851"/>
      <c r="C6" s="1852">
        <f>+Subscribers!AM12</f>
        <v>0</v>
      </c>
      <c r="D6" s="1852">
        <f>+Subscribers!AN12</f>
        <v>0</v>
      </c>
      <c r="E6" s="1852">
        <f>+Subscribers!AO12</f>
        <v>0</v>
      </c>
      <c r="F6" s="1852">
        <f>+Subscribers!AP12</f>
        <v>1.9353556024384746</v>
      </c>
      <c r="G6" s="1852">
        <f>+Subscribers!AQ12</f>
        <v>6.3886368611648203E-2</v>
      </c>
      <c r="H6" s="1852">
        <f>+Subscribers!AR12</f>
        <v>6.1300372150749016E-2</v>
      </c>
      <c r="I6" s="1852">
        <f>+Subscribers!AS12</f>
        <v>5.9844023992237316E-2</v>
      </c>
      <c r="J6" s="1852">
        <f>+Subscribers!AT12</f>
        <v>5.5627047585520728E-2</v>
      </c>
      <c r="K6" s="1852">
        <f>+Subscribers!AU12</f>
        <v>-5.6284885198066292E-2</v>
      </c>
      <c r="L6" s="1852">
        <f>+Subscribers!AV12</f>
        <v>-5.9333051224656708E-2</v>
      </c>
      <c r="M6" s="1852">
        <f>+Subscribers!AW12</f>
        <v>-6.5397311544907688E-2</v>
      </c>
      <c r="N6" s="1852">
        <f>+Subscribers!AX12</f>
        <v>-6.8143960231083489E-2</v>
      </c>
      <c r="O6" s="1852">
        <f>+Subscribers!AY12</f>
        <v>-8.2545649512330233E-2</v>
      </c>
      <c r="P6" s="1852">
        <f>+Subscribers!AZ12</f>
        <v>-8.4923023389070762E-2</v>
      </c>
      <c r="Q6" s="1852">
        <f>+Subscribers!BA12</f>
        <v>-8.7307311947986577E-2</v>
      </c>
      <c r="R6" s="1852">
        <f>+Subscribers!BB12</f>
        <v>-8.8984237383690323E-2</v>
      </c>
      <c r="S6" s="1852">
        <f>+Subscribers!BC12</f>
        <v>-7.6340850378288416E-2</v>
      </c>
      <c r="T6" s="1852">
        <f>+Subscribers!BD12</f>
        <v>-7.9214604775465602E-2</v>
      </c>
      <c r="U6" s="1852">
        <f>+Subscribers!BE12</f>
        <v>-8.5088068619837309E-2</v>
      </c>
      <c r="V6" s="1852">
        <f>+Subscribers!BF12</f>
        <v>-9.2993991163418999E-2</v>
      </c>
      <c r="W6" s="1852">
        <f>+Subscribers!BG12</f>
        <v>-9.8523963840701723E-2</v>
      </c>
      <c r="X6" s="1852">
        <f>+Subscribers!BH12</f>
        <v>-0.10821250885399947</v>
      </c>
      <c r="Y6" s="1852">
        <f>+Subscribers!BI12</f>
        <v>-0.10285319049288022</v>
      </c>
      <c r="Z6" s="1852">
        <f>+Subscribers!BJ12</f>
        <v>-9.9623162252534314E-2</v>
      </c>
      <c r="AA6" s="1852" t="str">
        <f>+Subscribers!BK12</f>
        <v>NM</v>
      </c>
      <c r="AB6" s="1852">
        <f>+Subscribers!BL12</f>
        <v>-8.2000000000000003E-2</v>
      </c>
      <c r="AC6" s="1852" t="str">
        <f>+Subscribers!BM12</f>
        <v>NM</v>
      </c>
      <c r="AD6" s="1852" t="str">
        <f>+Subscribers!BN12</f>
        <v>NM</v>
      </c>
      <c r="AE6" s="1852">
        <f>+Subscribers!BO12</f>
        <v>-7.6381788657003624E-2</v>
      </c>
      <c r="AF6" s="1852">
        <f>+Subscribers!BP12</f>
        <v>-7.3871324886209844E-2</v>
      </c>
      <c r="AG6" s="1852">
        <f>+Subscribers!BQ12</f>
        <v>-7.1096887550200827E-2</v>
      </c>
      <c r="AH6" s="1852">
        <f>+Subscribers!BR12</f>
        <v>-6.5906616281304009E-2</v>
      </c>
      <c r="AI6" s="1852">
        <f>+Subscribers!BS12</f>
        <v>-6.3423845803216805E-2</v>
      </c>
      <c r="AJ6" s="1852">
        <f>+Subscribers!BT12</f>
        <v>-6.0304177458989194E-2</v>
      </c>
      <c r="AK6" s="1852">
        <f>+Subscribers!BU12</f>
        <v>-5.7623454705127308E-2</v>
      </c>
      <c r="AL6" s="1852">
        <f>+Subscribers!BV12</f>
        <v>-5.7117388919363687E-2</v>
      </c>
      <c r="AM6" s="1852">
        <f>+Subscribers!BW12</f>
        <v>-5.7150803031356445E-2</v>
      </c>
      <c r="AN6" s="1852">
        <f>+Subscribers!BX12</f>
        <v>-5.781327302282846E-2</v>
      </c>
      <c r="AO6" s="1852">
        <f>+Subscribers!BY12</f>
        <v>-5.7347670250896043E-2</v>
      </c>
      <c r="AP6" s="1852">
        <f>+Subscribers!BZ12</f>
        <v>-5.4468765907933925E-2</v>
      </c>
      <c r="AQ6" s="1852">
        <f>+Subscribers!CA12</f>
        <v>-5.0070053830838401E-2</v>
      </c>
      <c r="AR6" s="1852">
        <f>+Subscribers!CB12</f>
        <v>-4.6808191433500901E-2</v>
      </c>
      <c r="AS6" s="1852">
        <f>+Subscribers!CC12</f>
        <v>-4.6615969581749073E-2</v>
      </c>
      <c r="AT6" s="1852">
        <f>+Subscribers!CD12</f>
        <v>-4.6762036609752311E-2</v>
      </c>
      <c r="AU6" s="1852">
        <f>+Subscribers!CE12</f>
        <v>-4.7508150908244007E-2</v>
      </c>
      <c r="AV6" s="1852">
        <f>+Subscribers!CF12</f>
        <v>-4.706067521838353E-2</v>
      </c>
      <c r="AW6" s="1852">
        <f>+Subscribers!CG12</f>
        <v>-4.9613145090532051E-2</v>
      </c>
      <c r="AX6" s="1852">
        <f>+Subscribers!CH12</f>
        <v>-5.2121994513474212E-2</v>
      </c>
    </row>
    <row r="7" spans="1:50">
      <c r="A7" s="74" t="str">
        <f>+Subscribers!A16</f>
        <v>Net adds</v>
      </c>
      <c r="B7" s="1851"/>
      <c r="C7" s="1851">
        <f t="shared" ref="C7:AG7" si="0">+C5-B5</f>
        <v>23915.74</v>
      </c>
      <c r="D7" s="1851">
        <f t="shared" si="0"/>
        <v>-307</v>
      </c>
      <c r="E7" s="1851">
        <f t="shared" si="0"/>
        <v>-221</v>
      </c>
      <c r="F7" s="1851">
        <f t="shared" si="0"/>
        <v>-208</v>
      </c>
      <c r="G7" s="1851">
        <f t="shared" si="0"/>
        <v>2263.8897812603354</v>
      </c>
      <c r="H7" s="1851">
        <f t="shared" si="0"/>
        <v>-387.66523325006347</v>
      </c>
      <c r="I7" s="1851">
        <f t="shared" si="0"/>
        <v>-268.60807432606452</v>
      </c>
      <c r="J7" s="1851">
        <f t="shared" si="0"/>
        <v>-318.19597368420727</v>
      </c>
      <c r="K7" s="1851">
        <f t="shared" si="0"/>
        <v>-457.62250000000131</v>
      </c>
      <c r="L7" s="1851">
        <f t="shared" si="0"/>
        <v>-442.22028000000137</v>
      </c>
      <c r="M7" s="1851">
        <f t="shared" si="0"/>
        <v>-402.98771999999735</v>
      </c>
      <c r="N7" s="1851">
        <f t="shared" si="0"/>
        <v>-364.59500000000116</v>
      </c>
      <c r="O7" s="1851">
        <f t="shared" si="0"/>
        <v>-772.24499999999898</v>
      </c>
      <c r="P7" s="1851">
        <f t="shared" si="0"/>
        <v>-461.75</v>
      </c>
      <c r="Q7" s="1851">
        <f t="shared" si="0"/>
        <v>-424</v>
      </c>
      <c r="R7" s="1851">
        <f t="shared" si="0"/>
        <v>-371</v>
      </c>
      <c r="S7" s="1851">
        <f t="shared" si="0"/>
        <v>-425</v>
      </c>
      <c r="T7" s="1851">
        <f t="shared" si="0"/>
        <v>-488.4800000000032</v>
      </c>
      <c r="U7" s="1851">
        <f t="shared" si="0"/>
        <v>-514.59999999999854</v>
      </c>
      <c r="V7" s="1851">
        <f t="shared" si="0"/>
        <v>-503.65999999999985</v>
      </c>
      <c r="W7" s="1851">
        <f t="shared" si="0"/>
        <v>-498</v>
      </c>
      <c r="X7" s="1851">
        <f t="shared" si="0"/>
        <v>-632.7603485838772</v>
      </c>
      <c r="Y7" s="1851">
        <f t="shared" si="0"/>
        <v>-355.2396514161228</v>
      </c>
      <c r="Z7" s="1851">
        <f t="shared" si="0"/>
        <v>-391</v>
      </c>
      <c r="AA7" s="1851">
        <f t="shared" si="0"/>
        <v>-337</v>
      </c>
      <c r="AB7" s="1851">
        <f t="shared" si="0"/>
        <v>-369</v>
      </c>
      <c r="AC7" s="1851">
        <f t="shared" si="0"/>
        <v>-322</v>
      </c>
      <c r="AD7" s="1851">
        <f t="shared" si="0"/>
        <v>-323</v>
      </c>
      <c r="AE7" s="1851">
        <f t="shared" si="0"/>
        <v>-256</v>
      </c>
      <c r="AF7" s="1851">
        <f t="shared" si="0"/>
        <v>-300</v>
      </c>
      <c r="AG7" s="1851">
        <f t="shared" si="0"/>
        <v>-254</v>
      </c>
      <c r="AH7" s="1851">
        <f t="shared" ref="AH7:AP7" si="1">+AH5-AG5</f>
        <v>-219</v>
      </c>
      <c r="AI7" s="1851">
        <f t="shared" si="1"/>
        <v>-201</v>
      </c>
      <c r="AJ7" s="1851">
        <f t="shared" si="1"/>
        <v>-234</v>
      </c>
      <c r="AK7" s="1851">
        <f t="shared" si="1"/>
        <v>-199</v>
      </c>
      <c r="AL7" s="1851">
        <f t="shared" si="1"/>
        <v>-199</v>
      </c>
      <c r="AM7" s="1851">
        <f t="shared" si="1"/>
        <v>-190</v>
      </c>
      <c r="AN7" s="1851">
        <f t="shared" si="1"/>
        <v>-230</v>
      </c>
      <c r="AO7" s="1851">
        <f t="shared" si="1"/>
        <v>-181</v>
      </c>
      <c r="AP7" s="1851">
        <f t="shared" si="1"/>
        <v>-148</v>
      </c>
      <c r="AQ7" s="1851">
        <f t="shared" ref="AQ7:AX7" si="2">+AQ5-AP5</f>
        <v>-120</v>
      </c>
      <c r="AR7" s="1851">
        <f t="shared" si="2"/>
        <v>-175</v>
      </c>
      <c r="AS7" s="1851">
        <f t="shared" si="2"/>
        <v>-170</v>
      </c>
      <c r="AT7" s="1851">
        <f t="shared" si="2"/>
        <v>-143</v>
      </c>
      <c r="AU7" s="1851">
        <f t="shared" si="2"/>
        <v>-124</v>
      </c>
      <c r="AV7" s="1851">
        <f t="shared" si="2"/>
        <v>-161</v>
      </c>
      <c r="AW7" s="1851">
        <f t="shared" si="2"/>
        <v>-194</v>
      </c>
      <c r="AX7" s="1851">
        <f t="shared" si="2"/>
        <v>-167</v>
      </c>
    </row>
    <row r="8" spans="1:50">
      <c r="A8" s="74" t="str">
        <f>+Subscribers!A17</f>
        <v>Average access lines</v>
      </c>
      <c r="B8" s="1851"/>
      <c r="C8" s="1851"/>
      <c r="D8" s="1851">
        <f>+Subscribers!AN17/1000</f>
        <v>23762.240000000002</v>
      </c>
      <c r="E8" s="1851">
        <f>+Subscribers!AO17/1000</f>
        <v>23498.240000000002</v>
      </c>
      <c r="F8" s="1851">
        <f>+Subscribers!AP17/1000</f>
        <v>23283.74</v>
      </c>
      <c r="G8" s="1851">
        <f>+Subscribers!AQ17/1000</f>
        <v>24311.684890630171</v>
      </c>
      <c r="H8" s="1851">
        <f>+Subscribers!AR17/1000</f>
        <v>25249.797164635307</v>
      </c>
      <c r="I8" s="1851">
        <f>+Subscribers!AS17/1000</f>
        <v>24921.660510847239</v>
      </c>
      <c r="J8" s="1851">
        <f>+Subscribers!AT17/1000</f>
        <v>24628.258486842104</v>
      </c>
      <c r="K8" s="1851">
        <f>+Subscribers!AU17/1000</f>
        <v>24240.349249999999</v>
      </c>
      <c r="L8" s="1851">
        <f>+Subscribers!AV17/1000</f>
        <v>23790.42786</v>
      </c>
      <c r="M8" s="1851">
        <f>+Subscribers!AW17/1000</f>
        <v>23367.82386</v>
      </c>
      <c r="N8" s="1851">
        <f>+Subscribers!AX17/1000</f>
        <v>22984.032500000001</v>
      </c>
      <c r="O8" s="1851">
        <f>+Subscribers!AY17/1000</f>
        <v>22415.612499999999</v>
      </c>
      <c r="P8" s="1851">
        <f>+Subscribers!AZ17/1000</f>
        <v>21798.615000000002</v>
      </c>
      <c r="Q8" s="1851">
        <f>+Subscribers!BA17/1000</f>
        <v>21355.74</v>
      </c>
      <c r="R8" s="1851">
        <f>+Subscribers!BB17/1000</f>
        <v>20958.240000000002</v>
      </c>
      <c r="S8" s="1851">
        <f>+Subscribers!BC17/1000</f>
        <v>20560.240000000002</v>
      </c>
      <c r="T8" s="1851">
        <f>+Subscribers!BD17/1000</f>
        <v>20103.5</v>
      </c>
      <c r="U8" s="1851">
        <f>+Subscribers!BE17/1000</f>
        <v>19601.96</v>
      </c>
      <c r="V8" s="1851">
        <f>+Subscribers!BF17/1000</f>
        <v>19092.830000000002</v>
      </c>
      <c r="W8" s="1851">
        <f>+Subscribers!BG17/1000</f>
        <v>18592</v>
      </c>
      <c r="X8" s="1851">
        <f>+Subscribers!BH17/1000</f>
        <v>18026.619825708061</v>
      </c>
      <c r="Y8" s="1851">
        <f>+Subscribers!BI17/1000</f>
        <v>17532.619825708061</v>
      </c>
      <c r="Z8" s="1851">
        <f>+Subscribers!BJ17/1000</f>
        <v>17159.5</v>
      </c>
      <c r="AA8" s="1851">
        <f>+Subscribers!BK17/1000</f>
        <v>16795.5</v>
      </c>
      <c r="AB8" s="1851">
        <f>+Subscribers!BL17/1000</f>
        <v>16442.5</v>
      </c>
      <c r="AC8" s="1851">
        <f>+Subscribers!BM17/1000</f>
        <v>16097</v>
      </c>
      <c r="AD8" s="1851">
        <f>+Subscribers!BN17/1000</f>
        <v>15774.5</v>
      </c>
      <c r="AE8" s="1851">
        <f>+Subscribers!BO17/1000</f>
        <v>15485</v>
      </c>
      <c r="AF8" s="1851">
        <f>+Subscribers!BP17/1000</f>
        <v>15207</v>
      </c>
      <c r="AG8" s="1851">
        <f>+Subscribers!BQ17/1000</f>
        <v>14930</v>
      </c>
      <c r="AH8" s="1851">
        <f>+Subscribers!BR17/1000</f>
        <v>14693.5</v>
      </c>
      <c r="AI8" s="1851">
        <f>+Subscribers!BS17/1000</f>
        <v>14483.5</v>
      </c>
      <c r="AJ8" s="1851">
        <f>+Subscribers!BT17/1000</f>
        <v>14266</v>
      </c>
      <c r="AK8" s="1851">
        <f>+Subscribers!BU17/1000</f>
        <v>14049.5</v>
      </c>
      <c r="AL8" s="1851">
        <f>+Subscribers!BV17/1000</f>
        <v>13850.5</v>
      </c>
      <c r="AM8" s="1851">
        <f>+Subscribers!BW17/1000</f>
        <v>13656</v>
      </c>
      <c r="AN8" s="1851">
        <f>+Subscribers!BX17/1000</f>
        <v>13446</v>
      </c>
      <c r="AO8" s="1851">
        <f>+Subscribers!BY17/1000</f>
        <v>13240.5</v>
      </c>
      <c r="AP8" s="1851">
        <f>+Subscribers!BZ17/1000</f>
        <v>13076</v>
      </c>
      <c r="AQ8" s="1851">
        <f>+Subscribers!CA17/1000</f>
        <v>12942</v>
      </c>
      <c r="AR8" s="1851">
        <f>+Subscribers!CB17/1000</f>
        <v>12794.5</v>
      </c>
      <c r="AS8" s="1851">
        <f>+Subscribers!CC17/1000</f>
        <v>12622</v>
      </c>
      <c r="AT8" s="1851">
        <f>+Subscribers!CD17/1000</f>
        <v>12465.5</v>
      </c>
      <c r="AU8" s="1851">
        <f>+Subscribers!CE17/1000</f>
        <v>12332</v>
      </c>
      <c r="AV8" s="1851">
        <f>+Subscribers!CF17/1000</f>
        <v>12189.5</v>
      </c>
      <c r="AW8" s="1851">
        <f>+Subscribers!CG17/1000</f>
        <v>12012</v>
      </c>
      <c r="AX8" s="1851">
        <f>+Subscribers!CH17/1000</f>
        <v>11831.5</v>
      </c>
    </row>
    <row r="9" spans="1:50">
      <c r="A9" s="74"/>
      <c r="B9" s="1851"/>
      <c r="C9" s="1853"/>
      <c r="D9" s="1853"/>
      <c r="E9" s="1853" t="e">
        <f t="shared" ref="E9:AG9" si="3">+E7/A7-1</f>
        <v>#VALUE!</v>
      </c>
      <c r="F9" s="1853" t="e">
        <f t="shared" si="3"/>
        <v>#DIV/0!</v>
      </c>
      <c r="G9" s="1853">
        <f t="shared" si="3"/>
        <v>-0.90533891983855252</v>
      </c>
      <c r="H9" s="1853">
        <f t="shared" si="3"/>
        <v>0.26275320276893632</v>
      </c>
      <c r="I9" s="1853">
        <f t="shared" si="3"/>
        <v>0.21542115079667212</v>
      </c>
      <c r="J9" s="1853">
        <f t="shared" si="3"/>
        <v>0.52978833502022726</v>
      </c>
      <c r="K9" s="1853">
        <f t="shared" si="3"/>
        <v>-1.2021399203212257</v>
      </c>
      <c r="L9" s="1853">
        <f t="shared" si="3"/>
        <v>0.14072721015646805</v>
      </c>
      <c r="M9" s="1853">
        <f t="shared" si="3"/>
        <v>0.50028148264377492</v>
      </c>
      <c r="N9" s="1853">
        <f t="shared" si="3"/>
        <v>0.14581902397621938</v>
      </c>
      <c r="O9" s="1853">
        <f t="shared" si="3"/>
        <v>0.68751536473839625</v>
      </c>
      <c r="P9" s="1853">
        <f t="shared" si="3"/>
        <v>4.41628773786642E-2</v>
      </c>
      <c r="Q9" s="1853">
        <f t="shared" si="3"/>
        <v>5.2141241425428086E-2</v>
      </c>
      <c r="R9" s="1853">
        <f t="shared" si="3"/>
        <v>1.7567437841985889E-2</v>
      </c>
      <c r="S9" s="1853">
        <f t="shared" si="3"/>
        <v>-0.44965652092276343</v>
      </c>
      <c r="T9" s="1853">
        <f t="shared" si="3"/>
        <v>5.7888467785605302E-2</v>
      </c>
      <c r="U9" s="1853">
        <f t="shared" si="3"/>
        <v>0.21367924528301541</v>
      </c>
      <c r="V9" s="1853">
        <f t="shared" si="3"/>
        <v>0.35757412398921784</v>
      </c>
      <c r="W9" s="1853">
        <f t="shared" si="3"/>
        <v>0.17176470588235304</v>
      </c>
      <c r="X9" s="1853">
        <f t="shared" si="3"/>
        <v>0.29536592815237683</v>
      </c>
      <c r="Y9" s="1853">
        <f t="shared" si="3"/>
        <v>-0.30967809674286084</v>
      </c>
      <c r="Z9" s="1853">
        <f t="shared" si="3"/>
        <v>-0.2236826430528529</v>
      </c>
      <c r="AA9" s="1853">
        <f t="shared" si="3"/>
        <v>-0.32329317269076308</v>
      </c>
      <c r="AB9" s="1853">
        <f t="shared" si="3"/>
        <v>-0.41684082950863621</v>
      </c>
      <c r="AC9" s="1853">
        <f t="shared" si="3"/>
        <v>-9.3569654411090331E-2</v>
      </c>
      <c r="AD9" s="1853">
        <f t="shared" si="3"/>
        <v>-0.17391304347826086</v>
      </c>
      <c r="AE9" s="1853">
        <f t="shared" si="3"/>
        <v>-0.24035608308605338</v>
      </c>
      <c r="AF9" s="1853">
        <f t="shared" si="3"/>
        <v>-0.18699186991869921</v>
      </c>
      <c r="AG9" s="1853">
        <f t="shared" si="3"/>
        <v>-0.21118012422360244</v>
      </c>
      <c r="AH9" s="1853">
        <f t="shared" ref="AH9:AP9" si="4">+AH7/AD7-1</f>
        <v>-0.32198142414860687</v>
      </c>
      <c r="AI9" s="1853">
        <f t="shared" si="4"/>
        <v>-0.21484375</v>
      </c>
      <c r="AJ9" s="1853">
        <f t="shared" si="4"/>
        <v>-0.21999999999999997</v>
      </c>
      <c r="AK9" s="1853">
        <f t="shared" si="4"/>
        <v>-0.21653543307086609</v>
      </c>
      <c r="AL9" s="1853">
        <f t="shared" si="4"/>
        <v>-9.1324200913242004E-2</v>
      </c>
      <c r="AM9" s="1853">
        <f t="shared" si="4"/>
        <v>-5.4726368159203953E-2</v>
      </c>
      <c r="AN9" s="1853">
        <f t="shared" si="4"/>
        <v>-1.7094017094017144E-2</v>
      </c>
      <c r="AO9" s="1853">
        <f t="shared" si="4"/>
        <v>-9.0452261306532611E-2</v>
      </c>
      <c r="AP9" s="1853">
        <f t="shared" si="4"/>
        <v>-0.25628140703517588</v>
      </c>
      <c r="AQ9" s="1853">
        <f t="shared" ref="AQ9:AX9" si="5">+AQ7/AM7-1</f>
        <v>-0.36842105263157898</v>
      </c>
      <c r="AR9" s="1853">
        <f t="shared" si="5"/>
        <v>-0.23913043478260865</v>
      </c>
      <c r="AS9" s="1853">
        <f t="shared" si="5"/>
        <v>-6.0773480662983381E-2</v>
      </c>
      <c r="AT9" s="1853">
        <f t="shared" si="5"/>
        <v>-3.3783783783783772E-2</v>
      </c>
      <c r="AU9" s="1853">
        <f t="shared" si="5"/>
        <v>3.3333333333333437E-2</v>
      </c>
      <c r="AV9" s="1853">
        <f t="shared" si="5"/>
        <v>-7.999999999999996E-2</v>
      </c>
      <c r="AW9" s="1853">
        <f t="shared" si="5"/>
        <v>0.14117647058823524</v>
      </c>
      <c r="AX9" s="1853">
        <f t="shared" si="5"/>
        <v>0.16783216783216792</v>
      </c>
    </row>
    <row r="10" spans="1:50">
      <c r="A10" s="74"/>
      <c r="B10" s="1851"/>
      <c r="C10" s="1851"/>
      <c r="D10" s="1851"/>
      <c r="E10" s="1851"/>
      <c r="F10" s="1851"/>
      <c r="G10" s="1851"/>
      <c r="H10" s="1851"/>
      <c r="I10" s="1851"/>
      <c r="J10" s="1851"/>
      <c r="K10" s="1851"/>
      <c r="L10" s="1851"/>
      <c r="M10" s="1851"/>
      <c r="N10" s="1851"/>
      <c r="O10" s="1851"/>
      <c r="P10" s="1851"/>
      <c r="Q10" s="1851"/>
      <c r="R10" s="1851"/>
      <c r="S10" s="1851"/>
      <c r="T10" s="1851"/>
      <c r="U10" s="1851"/>
      <c r="V10" s="1851"/>
      <c r="W10" s="1851"/>
      <c r="X10" s="1851"/>
      <c r="Y10" s="1851"/>
      <c r="Z10" s="1851"/>
      <c r="AA10" s="1851"/>
      <c r="AB10" s="1851"/>
      <c r="AC10" s="1851"/>
      <c r="AD10" s="1851"/>
      <c r="AE10" s="1851"/>
      <c r="AF10" s="1851"/>
      <c r="AG10" s="1851"/>
      <c r="AH10" s="1851"/>
      <c r="AI10" s="1851"/>
      <c r="AJ10" s="1851"/>
      <c r="AK10" s="1851"/>
      <c r="AL10" s="1851"/>
      <c r="AM10" s="1851"/>
      <c r="AN10" s="1851"/>
      <c r="AO10" s="1851"/>
      <c r="AP10" s="1851"/>
      <c r="AQ10" s="1851"/>
      <c r="AR10" s="1851"/>
      <c r="AS10" s="1851"/>
      <c r="AT10" s="1851"/>
      <c r="AU10" s="1851"/>
      <c r="AV10" s="1851"/>
      <c r="AW10" s="1851"/>
      <c r="AX10" s="1851"/>
    </row>
    <row r="11" spans="1:50">
      <c r="A11" s="113" t="str">
        <f>+Subscribers!A34</f>
        <v>DATA SUBSCRIBERS</v>
      </c>
      <c r="B11" s="1851"/>
      <c r="C11" s="1851"/>
      <c r="D11" s="1851"/>
      <c r="E11" s="1851"/>
      <c r="F11" s="1851"/>
      <c r="G11" s="1851"/>
      <c r="H11" s="1851"/>
      <c r="I11" s="1851"/>
      <c r="J11" s="1851"/>
      <c r="K11" s="1851"/>
      <c r="L11" s="1851"/>
      <c r="M11" s="1851"/>
      <c r="N11" s="1851"/>
      <c r="O11" s="1851"/>
      <c r="P11" s="1851"/>
      <c r="Q11" s="1851"/>
      <c r="R11" s="1851"/>
      <c r="S11" s="1851"/>
      <c r="T11" s="1851"/>
      <c r="U11" s="1851"/>
      <c r="V11" s="1851"/>
      <c r="W11" s="1851"/>
      <c r="X11" s="1851"/>
      <c r="Y11" s="1851"/>
      <c r="Z11" s="1851"/>
      <c r="AA11" s="1851"/>
      <c r="AB11" s="1851"/>
      <c r="AC11" s="1851"/>
      <c r="AD11" s="1851"/>
      <c r="AE11" s="1851"/>
      <c r="AF11" s="1851"/>
      <c r="AG11" s="1851"/>
      <c r="AH11" s="1851"/>
      <c r="AI11" s="1851"/>
      <c r="AJ11" s="1851"/>
      <c r="AK11" s="1851"/>
      <c r="AL11" s="1851"/>
      <c r="AM11" s="1851"/>
      <c r="AN11" s="1851"/>
      <c r="AO11" s="1851"/>
      <c r="AP11" s="1851"/>
      <c r="AQ11" s="1851"/>
      <c r="AR11" s="1851"/>
      <c r="AS11" s="1851"/>
      <c r="AT11" s="1851"/>
      <c r="AU11" s="1851"/>
      <c r="AV11" s="1851"/>
      <c r="AW11" s="1851"/>
      <c r="AX11" s="1851"/>
    </row>
    <row r="12" spans="1:50">
      <c r="A12" s="113" t="str">
        <f>+Subscribers!A35</f>
        <v>Total Broadband</v>
      </c>
      <c r="B12" s="1856">
        <f>+Subscribers!AL35/1000</f>
        <v>304</v>
      </c>
      <c r="C12" s="1856">
        <f>+Subscribers!AM35/1000</f>
        <v>1093</v>
      </c>
      <c r="D12" s="1856">
        <f>+Subscribers!AN35/1000</f>
        <v>1236</v>
      </c>
      <c r="E12" s="1856">
        <f>+Subscribers!AO35/1000</f>
        <v>1388</v>
      </c>
      <c r="F12" s="1856">
        <f>+Subscribers!AP35/1000</f>
        <v>1711.1369999999999</v>
      </c>
      <c r="G12" s="1856">
        <f>+Subscribers!AQ35/1000</f>
        <v>1888.625</v>
      </c>
      <c r="H12" s="1856">
        <f>+Subscribers!AR35/1000</f>
        <v>2017.674</v>
      </c>
      <c r="I12" s="1856">
        <f>+Subscribers!AS35/1000</f>
        <v>2242.2820000000002</v>
      </c>
      <c r="J12" s="1856">
        <f>+Subscribers!AT35/1000</f>
        <v>2467.2750000000001</v>
      </c>
      <c r="K12" s="1856">
        <f>+Subscribers!AU35/1000</f>
        <v>2789.7829999999999</v>
      </c>
      <c r="L12" s="1856">
        <f>+Subscribers!AV35/1000</f>
        <v>3011.2946000000002</v>
      </c>
      <c r="M12" s="1856">
        <f>+Subscribers!AW35/1000</f>
        <v>3298.8</v>
      </c>
      <c r="N12" s="1856">
        <f>+Subscribers!AX35/1000</f>
        <v>3577.710409679878</v>
      </c>
      <c r="O12" s="1856">
        <f>+Subscribers!AY35/1000</f>
        <v>3686.053169921875</v>
      </c>
      <c r="P12" s="1856">
        <f>+Subscribers!AZ35/1000</f>
        <v>3869</v>
      </c>
      <c r="Q12" s="1856">
        <f>+Subscribers!BA35/1000</f>
        <v>4063</v>
      </c>
      <c r="R12" s="1856">
        <f>+Subscribers!BB35/1000</f>
        <v>4245</v>
      </c>
      <c r="S12" s="1856">
        <f>+Subscribers!BC35/1000</f>
        <v>4441</v>
      </c>
      <c r="T12" s="1856">
        <f>+Subscribers!BD35/1000</f>
        <v>4525</v>
      </c>
      <c r="U12" s="1856">
        <f>+Subscribers!BE35/1000</f>
        <v>4615</v>
      </c>
      <c r="V12" s="1856">
        <f>+Subscribers!BF35/1000</f>
        <v>4705</v>
      </c>
      <c r="W12" s="1856">
        <f>+Subscribers!BG35/1000</f>
        <v>4825</v>
      </c>
      <c r="X12" s="1856">
        <f>+Subscribers!BH35/1000</f>
        <v>4887</v>
      </c>
      <c r="Y12" s="1856">
        <f>+Subscribers!BI35/1000</f>
        <v>4959</v>
      </c>
      <c r="Z12" s="1856">
        <f>+Subscribers!BJ35/1000</f>
        <v>5048</v>
      </c>
      <c r="AA12" s="1856">
        <f>+Subscribers!BK35/1000</f>
        <v>5249</v>
      </c>
      <c r="AB12" s="1856">
        <f>+Subscribers!BL35/1000</f>
        <v>5287</v>
      </c>
      <c r="AC12" s="1856">
        <f>+Subscribers!BM35/1000</f>
        <v>5359</v>
      </c>
      <c r="AD12" s="1856">
        <f>+Subscribers!BN35/1000</f>
        <v>5404</v>
      </c>
      <c r="AE12" s="1856">
        <f>+Subscribers!BO35/1000</f>
        <v>5505</v>
      </c>
      <c r="AF12" s="1856">
        <f>+Subscribers!BP35/1000</f>
        <v>5519</v>
      </c>
      <c r="AG12" s="1856">
        <f>+Subscribers!BQ35/1000</f>
        <v>5579</v>
      </c>
      <c r="AH12" s="1856">
        <f>+Subscribers!BR35/1000</f>
        <v>5656</v>
      </c>
      <c r="AI12" s="1856">
        <f>+Subscribers!BS35/1000</f>
        <v>5748</v>
      </c>
      <c r="AJ12" s="1856">
        <f>+Subscribers!BT35/1000</f>
        <v>5766</v>
      </c>
      <c r="AK12" s="1856">
        <f>+Subscribers!BU35/1000</f>
        <v>5810</v>
      </c>
      <c r="AL12" s="1856">
        <f>+Subscribers!BV35/1000</f>
        <v>5851</v>
      </c>
      <c r="AM12" s="1856">
        <f>+Subscribers!BW35/1000</f>
        <v>5917</v>
      </c>
      <c r="AN12" s="1856">
        <f>+Subscribers!BX35/1000</f>
        <v>5909</v>
      </c>
      <c r="AO12" s="1856">
        <f>+Subscribers!BY35/1000</f>
        <v>5942</v>
      </c>
      <c r="AP12" s="1856">
        <f>+Subscribers!BZ35/1000</f>
        <v>5991</v>
      </c>
      <c r="AQ12" s="1856">
        <f>+Subscribers!CA35/1000</f>
        <v>6057</v>
      </c>
      <c r="AR12" s="1856">
        <f>+Subscribers!CB35/1000</f>
        <v>6055</v>
      </c>
      <c r="AS12" s="1856">
        <f>+Subscribers!CC35/1000</f>
        <v>6063</v>
      </c>
      <c r="AT12" s="1856">
        <f>+Subscribers!CD35/1000</f>
        <v>6081.6</v>
      </c>
      <c r="AU12" s="1856">
        <f>+Subscribers!CE35/1000</f>
        <v>6117</v>
      </c>
      <c r="AV12" s="1856">
        <f>+Subscribers!CF35/1000</f>
        <v>6108</v>
      </c>
      <c r="AW12" s="1856">
        <f>+Subscribers!CG35/1000</f>
        <v>6071</v>
      </c>
      <c r="AX12" s="1856">
        <f>+Subscribers!CH35/1000</f>
        <v>6048</v>
      </c>
    </row>
    <row r="13" spans="1:50">
      <c r="A13" s="74" t="str">
        <f>+Subscribers!A36</f>
        <v xml:space="preserve">   % growth</v>
      </c>
      <c r="B13" s="1851">
        <f>+Subscribers!AL36</f>
        <v>0</v>
      </c>
      <c r="C13" s="1853">
        <f>+Subscribers!AM36</f>
        <v>0</v>
      </c>
      <c r="D13" s="1853">
        <f>+Subscribers!AN36</f>
        <v>0</v>
      </c>
      <c r="E13" s="1853">
        <f>+Subscribers!AO36</f>
        <v>0</v>
      </c>
      <c r="F13" s="1853">
        <f>+Subscribers!AP36</f>
        <v>4.6287401315789474</v>
      </c>
      <c r="G13" s="1853">
        <f>+Subscribers!AQ36</f>
        <v>0.72792772186642263</v>
      </c>
      <c r="H13" s="1853">
        <f>+Subscribers!AR36</f>
        <v>0.63242233009708748</v>
      </c>
      <c r="I13" s="1853">
        <f>+Subscribers!AS36</f>
        <v>0.61547694524495666</v>
      </c>
      <c r="J13" s="1853">
        <f>+Subscribers!AT36</f>
        <v>0.44189214539805999</v>
      </c>
      <c r="K13" s="1853">
        <f>+Subscribers!AU36</f>
        <v>0.47715030776358458</v>
      </c>
      <c r="L13" s="1853">
        <f>+Subscribers!AV36</f>
        <v>0.49245844472397438</v>
      </c>
      <c r="M13" s="1853">
        <f>+Subscribers!AW36</f>
        <v>0.47117980700019002</v>
      </c>
      <c r="N13" s="1853">
        <f>+Subscribers!AX36</f>
        <v>0.4500655215490279</v>
      </c>
      <c r="O13" s="1853">
        <f>+Subscribers!AY36</f>
        <v>0.32126877607393656</v>
      </c>
      <c r="P13" s="1853">
        <f>+Subscribers!AZ36</f>
        <v>0.28482945507888857</v>
      </c>
      <c r="Q13" s="1853">
        <f>+Subscribers!BA36</f>
        <v>0.23165999757487565</v>
      </c>
      <c r="R13" s="1853">
        <f>+Subscribers!BB36</f>
        <v>0.18651302478666199</v>
      </c>
      <c r="S13" s="1853">
        <f>+Subscribers!BC36</f>
        <v>0.20481170381330283</v>
      </c>
      <c r="T13" s="1853">
        <f>+Subscribers!BD36</f>
        <v>0.16955285603515113</v>
      </c>
      <c r="U13" s="1853">
        <f>+Subscribers!BE36</f>
        <v>0.1358602018213142</v>
      </c>
      <c r="V13" s="1853">
        <f>+Subscribers!BF36</f>
        <v>0.10836277974087172</v>
      </c>
      <c r="W13" s="1853">
        <f>+Subscribers!BG36</f>
        <v>8.6467011934248994E-2</v>
      </c>
      <c r="X13" s="1853">
        <f>+Subscribers!BH36</f>
        <v>8.0000000000000071E-2</v>
      </c>
      <c r="Y13" s="1853">
        <f>+Subscribers!BI36</f>
        <v>7.4539544962080262E-2</v>
      </c>
      <c r="Z13" s="1853">
        <f>+Subscribers!BJ36</f>
        <v>7.290116896918164E-2</v>
      </c>
      <c r="AA13" s="1853" t="str">
        <f>+Subscribers!BK36</f>
        <v>NM</v>
      </c>
      <c r="AB13" s="1853" t="str">
        <f>+Subscribers!BL36</f>
        <v>NM</v>
      </c>
      <c r="AC13" s="1853" t="str">
        <f>+Subscribers!BM36</f>
        <v>NM</v>
      </c>
      <c r="AD13" s="1853" t="str">
        <f>+Subscribers!BN36</f>
        <v>NM</v>
      </c>
      <c r="AE13" s="1853">
        <f>+Subscribers!BO36</f>
        <v>4.8771194513240523E-2</v>
      </c>
      <c r="AF13" s="1853">
        <f>+Subscribers!BP36</f>
        <v>4.3881218082088225E-2</v>
      </c>
      <c r="AG13" s="1853">
        <f>+Subscribers!BQ36</f>
        <v>4.1052435155812583E-2</v>
      </c>
      <c r="AH13" s="1853">
        <f>+Subscribers!BR36</f>
        <v>4.663212435233155E-2</v>
      </c>
      <c r="AI13" s="1853">
        <f>+Subscribers!BS36</f>
        <v>4.4141689373297099E-2</v>
      </c>
      <c r="AJ13" s="1853">
        <f>+Subscribers!BT36</f>
        <v>4.4754484508062964E-2</v>
      </c>
      <c r="AK13" s="1853">
        <f>+Subscribers!BU36</f>
        <v>4.1405269761606078E-2</v>
      </c>
      <c r="AL13" s="1853">
        <f>+Subscribers!BV36</f>
        <v>3.447666195190946E-2</v>
      </c>
      <c r="AM13" s="1853">
        <f>+Subscribers!BW36</f>
        <v>2.9401530967293033E-2</v>
      </c>
      <c r="AN13" s="1853">
        <f>+Subscribers!BX36</f>
        <v>2.4800554977454148E-2</v>
      </c>
      <c r="AO13" s="1853">
        <f>+Subscribers!BY36</f>
        <v>2.271944922547342E-2</v>
      </c>
      <c r="AP13" s="1853">
        <f>+Subscribers!BZ36</f>
        <v>2.3927533754913632E-2</v>
      </c>
      <c r="AQ13" s="1853">
        <f>+Subscribers!CA36</f>
        <v>2.3660638837248671E-2</v>
      </c>
      <c r="AR13" s="1853">
        <f>+Subscribers!CB36</f>
        <v>2.4708072431883554E-2</v>
      </c>
      <c r="AS13" s="1853">
        <f>+Subscribers!CC36</f>
        <v>2.0363513968360891E-2</v>
      </c>
      <c r="AT13" s="1853">
        <f>+Subscribers!CD36</f>
        <v>1.5122684026039002E-2</v>
      </c>
      <c r="AU13" s="1853">
        <f>+Subscribers!CE36</f>
        <v>9.9058940069340906E-3</v>
      </c>
      <c r="AV13" s="1853">
        <f>+Subscribers!CF36</f>
        <v>8.7530966143682942E-3</v>
      </c>
      <c r="AW13" s="1853">
        <f>+Subscribers!CG36</f>
        <v>1.3194788058716878E-3</v>
      </c>
      <c r="AX13" s="1853">
        <f>+Subscribers!CH36</f>
        <v>-5.5248618784530246E-3</v>
      </c>
    </row>
    <row r="14" spans="1:50">
      <c r="A14" s="113" t="str">
        <f>+Subscribers!A37</f>
        <v>Net adds</v>
      </c>
      <c r="B14" s="1856"/>
      <c r="C14" s="1856">
        <f t="shared" ref="C14:AG14" si="6">+C12-B12</f>
        <v>789</v>
      </c>
      <c r="D14" s="1856">
        <f t="shared" si="6"/>
        <v>143</v>
      </c>
      <c r="E14" s="1856">
        <f t="shared" si="6"/>
        <v>152</v>
      </c>
      <c r="F14" s="1856">
        <f t="shared" si="6"/>
        <v>323.13699999999994</v>
      </c>
      <c r="G14" s="1856">
        <f t="shared" si="6"/>
        <v>177.48800000000006</v>
      </c>
      <c r="H14" s="1856">
        <f t="shared" si="6"/>
        <v>129.04899999999998</v>
      </c>
      <c r="I14" s="1856">
        <f t="shared" si="6"/>
        <v>224.60800000000017</v>
      </c>
      <c r="J14" s="1856">
        <f t="shared" si="6"/>
        <v>224.99299999999994</v>
      </c>
      <c r="K14" s="1856">
        <f t="shared" si="6"/>
        <v>322.50799999999981</v>
      </c>
      <c r="L14" s="1856">
        <f t="shared" si="6"/>
        <v>221.51160000000027</v>
      </c>
      <c r="M14" s="1856">
        <f t="shared" si="6"/>
        <v>287.50540000000001</v>
      </c>
      <c r="N14" s="1856">
        <f t="shared" si="6"/>
        <v>278.91040967987783</v>
      </c>
      <c r="O14" s="1856">
        <f t="shared" si="6"/>
        <v>108.34276024199698</v>
      </c>
      <c r="P14" s="1856">
        <f t="shared" si="6"/>
        <v>182.946830078125</v>
      </c>
      <c r="Q14" s="1856">
        <f t="shared" si="6"/>
        <v>194</v>
      </c>
      <c r="R14" s="1856">
        <f t="shared" si="6"/>
        <v>182</v>
      </c>
      <c r="S14" s="1856">
        <f t="shared" si="6"/>
        <v>196</v>
      </c>
      <c r="T14" s="1856">
        <f t="shared" si="6"/>
        <v>84</v>
      </c>
      <c r="U14" s="1856">
        <f t="shared" si="6"/>
        <v>90</v>
      </c>
      <c r="V14" s="1856">
        <f t="shared" si="6"/>
        <v>90</v>
      </c>
      <c r="W14" s="1856">
        <f t="shared" si="6"/>
        <v>120</v>
      </c>
      <c r="X14" s="1856">
        <f t="shared" si="6"/>
        <v>62</v>
      </c>
      <c r="Y14" s="1856">
        <f t="shared" si="6"/>
        <v>72</v>
      </c>
      <c r="Z14" s="1856">
        <f t="shared" si="6"/>
        <v>89</v>
      </c>
      <c r="AA14" s="1856">
        <f t="shared" si="6"/>
        <v>201</v>
      </c>
      <c r="AB14" s="1856">
        <f t="shared" si="6"/>
        <v>38</v>
      </c>
      <c r="AC14" s="1856">
        <f t="shared" si="6"/>
        <v>72</v>
      </c>
      <c r="AD14" s="1856">
        <f t="shared" si="6"/>
        <v>45</v>
      </c>
      <c r="AE14" s="1856">
        <f t="shared" si="6"/>
        <v>101</v>
      </c>
      <c r="AF14" s="1856">
        <f t="shared" si="6"/>
        <v>14</v>
      </c>
      <c r="AG14" s="1856">
        <f t="shared" si="6"/>
        <v>60</v>
      </c>
      <c r="AH14" s="1856">
        <f t="shared" ref="AH14:AP14" si="7">+AH12-AG12</f>
        <v>77</v>
      </c>
      <c r="AI14" s="1856">
        <f t="shared" si="7"/>
        <v>92</v>
      </c>
      <c r="AJ14" s="1856">
        <f t="shared" si="7"/>
        <v>18</v>
      </c>
      <c r="AK14" s="1856">
        <f t="shared" si="7"/>
        <v>44</v>
      </c>
      <c r="AL14" s="1856">
        <f t="shared" si="7"/>
        <v>41</v>
      </c>
      <c r="AM14" s="1856">
        <f t="shared" si="7"/>
        <v>66</v>
      </c>
      <c r="AN14" s="1856">
        <f t="shared" si="7"/>
        <v>-8</v>
      </c>
      <c r="AO14" s="1856">
        <f t="shared" si="7"/>
        <v>33</v>
      </c>
      <c r="AP14" s="1856">
        <f t="shared" si="7"/>
        <v>49</v>
      </c>
      <c r="AQ14" s="1856">
        <f t="shared" ref="AQ14:AX14" si="8">+AQ12-AP12</f>
        <v>66</v>
      </c>
      <c r="AR14" s="1856">
        <f t="shared" si="8"/>
        <v>-2</v>
      </c>
      <c r="AS14" s="1856">
        <f t="shared" si="8"/>
        <v>8</v>
      </c>
      <c r="AT14" s="1856">
        <f t="shared" si="8"/>
        <v>18.600000000000364</v>
      </c>
      <c r="AU14" s="1856">
        <f t="shared" si="8"/>
        <v>35.399999999999636</v>
      </c>
      <c r="AV14" s="1856">
        <f t="shared" si="8"/>
        <v>-9</v>
      </c>
      <c r="AW14" s="1856">
        <f t="shared" si="8"/>
        <v>-37</v>
      </c>
      <c r="AX14" s="1856">
        <f t="shared" si="8"/>
        <v>-23</v>
      </c>
    </row>
    <row r="15" spans="1:50">
      <c r="A15" s="74" t="str">
        <f>+Subscribers!A38</f>
        <v xml:space="preserve">   % growth</v>
      </c>
      <c r="B15" s="1851">
        <f>+Subscribers!AL38</f>
        <v>0</v>
      </c>
      <c r="C15" s="1853">
        <f>+Subscribers!AM38</f>
        <v>0</v>
      </c>
      <c r="D15" s="1853">
        <f>+Subscribers!AN38</f>
        <v>0</v>
      </c>
      <c r="E15" s="1853">
        <f>+Subscribers!AO38</f>
        <v>0</v>
      </c>
      <c r="F15" s="1853">
        <f>+Subscribers!AP38</f>
        <v>0</v>
      </c>
      <c r="G15" s="1853">
        <f>+Subscribers!AQ38</f>
        <v>-0.77504689480354882</v>
      </c>
      <c r="H15" s="1853">
        <f>+Subscribers!AR38</f>
        <v>-9.7559440559440547E-2</v>
      </c>
      <c r="I15" s="1853">
        <f>+Subscribers!AS38</f>
        <v>0.47768421052631571</v>
      </c>
      <c r="J15" s="1853">
        <f>+Subscribers!AT38</f>
        <v>-0.30372256968406586</v>
      </c>
      <c r="K15" s="1853">
        <f>+Subscribers!AU38</f>
        <v>0.81706932299648427</v>
      </c>
      <c r="L15" s="1853">
        <f>+Subscribers!AV38</f>
        <v>0.71649218513897894</v>
      </c>
      <c r="M15" s="1853">
        <f>+Subscribers!AW38</f>
        <v>0.28003187776036431</v>
      </c>
      <c r="N15" s="1853">
        <f>+Subscribers!AX38</f>
        <v>0.23964038738928783</v>
      </c>
      <c r="O15" s="1853">
        <f>+Subscribers!AY38</f>
        <v>-0.6640617899649095</v>
      </c>
      <c r="P15" s="1853">
        <f>+Subscribers!AZ38</f>
        <v>-0.1740981958591562</v>
      </c>
      <c r="Q15" s="1853">
        <f>+Subscribers!BA38</f>
        <v>-0.32523006524399167</v>
      </c>
      <c r="R15" s="1853">
        <f>+Subscribers!BB38</f>
        <v>-0.3474607125316973</v>
      </c>
      <c r="S15" s="1853">
        <f>+Subscribers!BC38</f>
        <v>0.80907334797645669</v>
      </c>
      <c r="T15" s="1853">
        <f>+Subscribers!BD38</f>
        <v>-0.54085020241056414</v>
      </c>
      <c r="U15" s="1853">
        <f>+Subscribers!BE38</f>
        <v>-0.53608247422680411</v>
      </c>
      <c r="V15" s="1853">
        <f>+Subscribers!BF38</f>
        <v>-0.50549450549450547</v>
      </c>
      <c r="W15" s="1853">
        <f>+Subscribers!BG38</f>
        <v>-0.38775510204081631</v>
      </c>
      <c r="X15" s="1853">
        <f>+Subscribers!BH38</f>
        <v>-0.26190476190476186</v>
      </c>
      <c r="Y15" s="1853">
        <f>+Subscribers!BI38</f>
        <v>-0.19999999999999996</v>
      </c>
      <c r="Z15" s="1853">
        <f>+Subscribers!BJ38</f>
        <v>-1.1111111111111072E-2</v>
      </c>
      <c r="AA15" s="1853" t="str">
        <f>+Subscribers!BK38</f>
        <v>NM</v>
      </c>
      <c r="AB15" s="1853" t="str">
        <f>+Subscribers!BL38</f>
        <v>NM</v>
      </c>
      <c r="AC15" s="1853" t="str">
        <f>+Subscribers!BM38</f>
        <v>NM</v>
      </c>
      <c r="AD15" s="1853" t="str">
        <f>+Subscribers!BN38</f>
        <v>NM</v>
      </c>
      <c r="AE15" s="1853" t="str">
        <f>+Subscribers!BO38</f>
        <v>NM</v>
      </c>
      <c r="AF15" s="1853" t="str">
        <f>+Subscribers!BP38</f>
        <v>NM</v>
      </c>
      <c r="AG15" s="1853" t="str">
        <f>+Subscribers!BQ38</f>
        <v>NM</v>
      </c>
      <c r="AH15" s="1853" t="str">
        <f>+Subscribers!BR38</f>
        <v>NM</v>
      </c>
      <c r="AI15" s="1853">
        <f>+Subscribers!BS38</f>
        <v>-8.9108910891089077E-2</v>
      </c>
      <c r="AJ15" s="1853">
        <f>+Subscribers!BT38</f>
        <v>0.28571428571428581</v>
      </c>
      <c r="AK15" s="1853">
        <f>+Subscribers!BU38</f>
        <v>-0.26666666666666672</v>
      </c>
      <c r="AL15" s="1853">
        <f>+Subscribers!BV38</f>
        <v>-0.43835616438356162</v>
      </c>
      <c r="AM15" s="1853">
        <f>+Subscribers!BW38</f>
        <v>-0.28260869565217395</v>
      </c>
      <c r="AN15" s="1853">
        <f>+Subscribers!BX38</f>
        <v>-1.4444444444444444</v>
      </c>
      <c r="AO15" s="1853">
        <f>+Subscribers!BY38</f>
        <v>-0.25</v>
      </c>
      <c r="AP15" s="1853">
        <f>+Subscribers!BZ38</f>
        <v>0.19512195121951215</v>
      </c>
      <c r="AQ15" s="1853">
        <f>+Subscribers!CA38</f>
        <v>0</v>
      </c>
      <c r="AR15" s="1853">
        <f>+Subscribers!CB38</f>
        <v>-0.75</v>
      </c>
      <c r="AS15" s="1853">
        <f>+Subscribers!CC38</f>
        <v>-0.75757575757575757</v>
      </c>
      <c r="AT15" s="1853">
        <f>+Subscribers!CD38</f>
        <v>-0.62040816326530612</v>
      </c>
      <c r="AU15" s="1853">
        <f>+Subscribers!CE38</f>
        <v>-0.46363636363636362</v>
      </c>
      <c r="AV15" s="1853">
        <f>+Subscribers!CF38</f>
        <v>3.5</v>
      </c>
      <c r="AW15" s="1853">
        <f>+Subscribers!CG38</f>
        <v>-5.625</v>
      </c>
      <c r="AX15" s="1853">
        <f>+Subscribers!CH38</f>
        <v>-2.236559139784946</v>
      </c>
    </row>
    <row r="16" spans="1:50">
      <c r="A16" s="74" t="str">
        <f>+Subscribers!A39</f>
        <v>Average B'band subscribers</v>
      </c>
      <c r="B16" s="1851">
        <f>+Subscribers!AL39</f>
        <v>0</v>
      </c>
      <c r="C16" s="1851">
        <f t="shared" ref="C16:AG16" si="9">+AVERAGE(B12:C12)</f>
        <v>698.5</v>
      </c>
      <c r="D16" s="1851">
        <f t="shared" si="9"/>
        <v>1164.5</v>
      </c>
      <c r="E16" s="1851">
        <f t="shared" si="9"/>
        <v>1312</v>
      </c>
      <c r="F16" s="1851">
        <f t="shared" si="9"/>
        <v>1549.5684999999999</v>
      </c>
      <c r="G16" s="1851">
        <f t="shared" si="9"/>
        <v>1799.8809999999999</v>
      </c>
      <c r="H16" s="1851">
        <f t="shared" si="9"/>
        <v>1953.1495</v>
      </c>
      <c r="I16" s="1851">
        <f t="shared" si="9"/>
        <v>2129.9780000000001</v>
      </c>
      <c r="J16" s="1851">
        <f t="shared" si="9"/>
        <v>2354.7785000000003</v>
      </c>
      <c r="K16" s="1851">
        <f t="shared" si="9"/>
        <v>2628.529</v>
      </c>
      <c r="L16" s="1851">
        <f t="shared" si="9"/>
        <v>2900.5388000000003</v>
      </c>
      <c r="M16" s="1851">
        <f t="shared" si="9"/>
        <v>3155.0473000000002</v>
      </c>
      <c r="N16" s="1851">
        <f t="shared" si="9"/>
        <v>3438.2552048399393</v>
      </c>
      <c r="O16" s="1851">
        <f t="shared" si="9"/>
        <v>3631.8817898008765</v>
      </c>
      <c r="P16" s="1851">
        <f t="shared" si="9"/>
        <v>3777.5265849609377</v>
      </c>
      <c r="Q16" s="1851">
        <f t="shared" si="9"/>
        <v>3966</v>
      </c>
      <c r="R16" s="1851">
        <f t="shared" si="9"/>
        <v>4154</v>
      </c>
      <c r="S16" s="1851">
        <f t="shared" si="9"/>
        <v>4343</v>
      </c>
      <c r="T16" s="1851">
        <f t="shared" si="9"/>
        <v>4483</v>
      </c>
      <c r="U16" s="1851">
        <f t="shared" si="9"/>
        <v>4570</v>
      </c>
      <c r="V16" s="1851">
        <f t="shared" si="9"/>
        <v>4660</v>
      </c>
      <c r="W16" s="1851">
        <f t="shared" si="9"/>
        <v>4765</v>
      </c>
      <c r="X16" s="1851">
        <f t="shared" si="9"/>
        <v>4856</v>
      </c>
      <c r="Y16" s="1851">
        <f t="shared" si="9"/>
        <v>4923</v>
      </c>
      <c r="Z16" s="1851">
        <f t="shared" si="9"/>
        <v>5003.5</v>
      </c>
      <c r="AA16" s="1851">
        <f t="shared" si="9"/>
        <v>5148.5</v>
      </c>
      <c r="AB16" s="1851">
        <f t="shared" si="9"/>
        <v>5268</v>
      </c>
      <c r="AC16" s="1851">
        <f t="shared" si="9"/>
        <v>5323</v>
      </c>
      <c r="AD16" s="1851">
        <f t="shared" si="9"/>
        <v>5381.5</v>
      </c>
      <c r="AE16" s="1851">
        <f t="shared" si="9"/>
        <v>5454.5</v>
      </c>
      <c r="AF16" s="1851">
        <f t="shared" si="9"/>
        <v>5512</v>
      </c>
      <c r="AG16" s="1851">
        <f t="shared" si="9"/>
        <v>5549</v>
      </c>
      <c r="AH16" s="1851">
        <f t="shared" ref="AH16:AP16" si="10">+AVERAGE(AG12:AH12)</f>
        <v>5617.5</v>
      </c>
      <c r="AI16" s="1851">
        <f t="shared" si="10"/>
        <v>5702</v>
      </c>
      <c r="AJ16" s="1851">
        <f t="shared" si="10"/>
        <v>5757</v>
      </c>
      <c r="AK16" s="1851">
        <f t="shared" si="10"/>
        <v>5788</v>
      </c>
      <c r="AL16" s="1851">
        <f t="shared" si="10"/>
        <v>5830.5</v>
      </c>
      <c r="AM16" s="1851">
        <f t="shared" si="10"/>
        <v>5884</v>
      </c>
      <c r="AN16" s="1851">
        <f t="shared" si="10"/>
        <v>5913</v>
      </c>
      <c r="AO16" s="1851">
        <f t="shared" si="10"/>
        <v>5925.5</v>
      </c>
      <c r="AP16" s="1851">
        <f t="shared" si="10"/>
        <v>5966.5</v>
      </c>
      <c r="AQ16" s="1851">
        <f t="shared" ref="AQ16:AX16" si="11">+AVERAGE(AP12:AQ12)</f>
        <v>6024</v>
      </c>
      <c r="AR16" s="1851">
        <f t="shared" si="11"/>
        <v>6056</v>
      </c>
      <c r="AS16" s="1851">
        <f t="shared" si="11"/>
        <v>6059</v>
      </c>
      <c r="AT16" s="1851">
        <f t="shared" si="11"/>
        <v>6072.3</v>
      </c>
      <c r="AU16" s="1851">
        <f t="shared" si="11"/>
        <v>6099.3</v>
      </c>
      <c r="AV16" s="1851">
        <f t="shared" si="11"/>
        <v>6112.5</v>
      </c>
      <c r="AW16" s="1851">
        <f t="shared" si="11"/>
        <v>6089.5</v>
      </c>
      <c r="AX16" s="1851">
        <f t="shared" si="11"/>
        <v>6059.5</v>
      </c>
    </row>
    <row r="17" spans="1:50">
      <c r="A17" s="74"/>
      <c r="B17" s="1851"/>
      <c r="C17" s="1851"/>
      <c r="D17" s="1851"/>
      <c r="E17" s="1851"/>
      <c r="F17" s="1851"/>
      <c r="G17" s="1851"/>
      <c r="H17" s="1851"/>
      <c r="I17" s="1851"/>
      <c r="J17" s="1851"/>
      <c r="K17" s="1851"/>
      <c r="L17" s="1851"/>
      <c r="M17" s="1851"/>
      <c r="N17" s="1851"/>
      <c r="O17" s="1851"/>
      <c r="P17" s="1851"/>
      <c r="Q17" s="1851"/>
      <c r="R17" s="1851"/>
      <c r="S17" s="1851"/>
      <c r="T17" s="1851"/>
      <c r="U17" s="1851"/>
      <c r="V17" s="1851"/>
      <c r="W17" s="1851"/>
      <c r="X17" s="1851"/>
      <c r="Y17" s="1851"/>
      <c r="Z17" s="1851"/>
      <c r="AA17" s="1851"/>
      <c r="AB17" s="1851"/>
      <c r="AC17" s="1851"/>
      <c r="AD17" s="1851"/>
      <c r="AE17" s="1851"/>
      <c r="AF17" s="1851"/>
      <c r="AG17" s="1851"/>
      <c r="AH17" s="1851"/>
      <c r="AI17" s="1851"/>
      <c r="AJ17" s="1851"/>
      <c r="AK17" s="1851"/>
      <c r="AL17" s="1851"/>
      <c r="AM17" s="1851"/>
      <c r="AN17" s="1851"/>
      <c r="AO17" s="1851"/>
      <c r="AP17" s="1851"/>
      <c r="AQ17" s="1851"/>
      <c r="AR17" s="1851"/>
      <c r="AS17" s="1851"/>
      <c r="AT17" s="1851"/>
      <c r="AU17" s="1851"/>
      <c r="AV17" s="1851"/>
      <c r="AW17" s="1851"/>
      <c r="AX17" s="1851"/>
    </row>
    <row r="18" spans="1:50">
      <c r="A18" s="74"/>
      <c r="B18" s="1851"/>
      <c r="C18" s="1851"/>
      <c r="D18" s="1851"/>
      <c r="E18" s="1851"/>
      <c r="F18" s="1851"/>
      <c r="G18" s="1851"/>
      <c r="H18" s="1851"/>
      <c r="I18" s="1851"/>
      <c r="J18" s="1851"/>
      <c r="K18" s="1851"/>
      <c r="L18" s="1851"/>
      <c r="M18" s="1851"/>
      <c r="N18" s="1851"/>
      <c r="O18" s="1851"/>
      <c r="P18" s="1851"/>
      <c r="Q18" s="1851"/>
      <c r="R18" s="1851"/>
      <c r="S18" s="1851"/>
      <c r="T18" s="1851"/>
      <c r="U18" s="1851"/>
      <c r="V18" s="1851"/>
      <c r="W18" s="1851"/>
      <c r="X18" s="1851"/>
      <c r="Y18" s="1851"/>
      <c r="Z18" s="1851"/>
      <c r="AA18" s="1851"/>
      <c r="AB18" s="1851"/>
      <c r="AC18" s="1851"/>
      <c r="AD18" s="1851"/>
      <c r="AE18" s="1851"/>
      <c r="AF18" s="1851"/>
      <c r="AG18" s="1851"/>
      <c r="AH18" s="1851"/>
      <c r="AI18" s="1851"/>
      <c r="AJ18" s="1851"/>
      <c r="AK18" s="1851"/>
      <c r="AL18" s="1851"/>
      <c r="AM18" s="1851"/>
      <c r="AN18" s="1851"/>
      <c r="AO18" s="1851"/>
      <c r="AP18" s="1851"/>
      <c r="AQ18" s="1851"/>
      <c r="AR18" s="1851"/>
      <c r="AS18" s="1851"/>
      <c r="AT18" s="1851"/>
      <c r="AU18" s="1851"/>
      <c r="AV18" s="1851"/>
      <c r="AW18" s="1851"/>
      <c r="AX18" s="1851"/>
    </row>
    <row r="19" spans="1:50">
      <c r="A19" s="113" t="str">
        <f>+Subscribers!A79</f>
        <v>FIBER</v>
      </c>
      <c r="B19" s="1851"/>
      <c r="C19" s="1851"/>
      <c r="D19" s="1851"/>
      <c r="E19" s="1851"/>
      <c r="F19" s="1851"/>
      <c r="G19" s="1851"/>
      <c r="H19" s="1851"/>
      <c r="I19" s="1851"/>
      <c r="J19" s="1851"/>
      <c r="K19" s="1851"/>
      <c r="L19" s="1851"/>
      <c r="M19" s="1851"/>
      <c r="N19" s="1851"/>
      <c r="O19" s="1851"/>
      <c r="P19" s="1851"/>
      <c r="Q19" s="1851"/>
      <c r="R19" s="1851"/>
      <c r="S19" s="1851"/>
      <c r="T19" s="1851"/>
      <c r="U19" s="1851"/>
      <c r="V19" s="1851"/>
      <c r="W19" s="1851"/>
      <c r="X19" s="1851"/>
      <c r="Y19" s="1851"/>
      <c r="Z19" s="1851"/>
      <c r="AA19" s="1851"/>
      <c r="AB19" s="1851"/>
      <c r="AC19" s="1851"/>
      <c r="AD19" s="1851"/>
      <c r="AE19" s="1851"/>
      <c r="AF19" s="1851"/>
      <c r="AG19" s="1851"/>
      <c r="AH19" s="1851"/>
      <c r="AI19" s="1851"/>
      <c r="AJ19" s="1851"/>
      <c r="AK19" s="1851"/>
      <c r="AL19" s="1851"/>
      <c r="AM19" s="1851"/>
      <c r="AN19" s="1851"/>
      <c r="AO19" s="1851"/>
      <c r="AP19" s="1851"/>
      <c r="AQ19" s="1851"/>
      <c r="AR19" s="1851"/>
      <c r="AS19" s="1851"/>
      <c r="AT19" s="1851"/>
      <c r="AU19" s="1851"/>
      <c r="AV19" s="1851"/>
      <c r="AW19" s="1851"/>
      <c r="AX19" s="1851"/>
    </row>
    <row r="20" spans="1:50">
      <c r="A20" s="74" t="str">
        <f>+Subscribers!A80</f>
        <v>Homes passed</v>
      </c>
      <c r="B20" s="1851">
        <f>+Subscribers!AL80</f>
        <v>0</v>
      </c>
      <c r="C20" s="1851">
        <f>+Subscribers!AM80</f>
        <v>0</v>
      </c>
      <c r="D20" s="1851">
        <f>+Subscribers!AN80</f>
        <v>0</v>
      </c>
      <c r="E20" s="1851">
        <f>+Subscribers!AO80</f>
        <v>0</v>
      </c>
      <c r="F20" s="1851">
        <f>+Subscribers!AP80</f>
        <v>0</v>
      </c>
      <c r="G20" s="1851">
        <f>+Subscribers!AQ80</f>
        <v>0</v>
      </c>
      <c r="H20" s="1851">
        <f>+Subscribers!AR80</f>
        <v>0</v>
      </c>
      <c r="I20" s="1851">
        <f>+Subscribers!AS80</f>
        <v>0</v>
      </c>
      <c r="J20" s="1851">
        <f>+Subscribers!AT80</f>
        <v>0</v>
      </c>
      <c r="K20" s="1851">
        <f>+Subscribers!AU80</f>
        <v>0</v>
      </c>
      <c r="L20" s="1851">
        <f>+Subscribers!AV80</f>
        <v>0</v>
      </c>
      <c r="M20" s="1851">
        <f>+Subscribers!AW80</f>
        <v>0</v>
      </c>
      <c r="N20" s="1851">
        <f>+Subscribers!AX80</f>
        <v>0</v>
      </c>
      <c r="O20" s="1851">
        <f>+Subscribers!AY80</f>
        <v>0</v>
      </c>
      <c r="P20" s="1851">
        <f>+Subscribers!AZ80</f>
        <v>0</v>
      </c>
      <c r="Q20" s="1851">
        <f>+Subscribers!BA80</f>
        <v>0</v>
      </c>
      <c r="R20" s="1851">
        <f>+Subscribers!BB80</f>
        <v>0</v>
      </c>
      <c r="S20" s="1851">
        <f>+Subscribers!BC80</f>
        <v>0</v>
      </c>
      <c r="T20" s="1851">
        <f>+Subscribers!BD80</f>
        <v>0</v>
      </c>
      <c r="U20" s="1851">
        <f>+Subscribers!BE80</f>
        <v>0</v>
      </c>
      <c r="V20" s="1851">
        <f>+Subscribers!BF80</f>
        <v>0</v>
      </c>
      <c r="W20" s="1851">
        <f>+Subscribers!BG80</f>
        <v>2225</v>
      </c>
      <c r="X20" s="1851">
        <f>+Subscribers!BH80</f>
        <v>2600</v>
      </c>
      <c r="Y20" s="1851">
        <f>+Subscribers!BI80</f>
        <v>3000</v>
      </c>
      <c r="Z20" s="1851">
        <f>+Subscribers!BJ80</f>
        <v>3500</v>
      </c>
      <c r="AA20" s="1851">
        <f>+Subscribers!BK80</f>
        <v>3800</v>
      </c>
      <c r="AB20" s="1851">
        <f>+Subscribers!BL80</f>
        <v>4000</v>
      </c>
      <c r="AC20" s="1851">
        <f>+Subscribers!BM80</f>
        <v>4500</v>
      </c>
      <c r="AD20" s="1851">
        <f>+Subscribers!BN80</f>
        <v>4700</v>
      </c>
      <c r="AE20" s="1851">
        <f>+Subscribers!BO80</f>
        <v>4900</v>
      </c>
      <c r="AF20" s="1851">
        <f>+Subscribers!BP80</f>
        <v>4950</v>
      </c>
      <c r="AG20" s="1851">
        <f>+Subscribers!BQ80</f>
        <v>5000</v>
      </c>
      <c r="AH20" s="1851">
        <f>+Subscribers!BR80</f>
        <v>5050</v>
      </c>
      <c r="AI20" s="1851">
        <f>+Subscribers!BS80</f>
        <v>5100</v>
      </c>
      <c r="AJ20" s="1851">
        <f>+Subscribers!BT80</f>
        <v>5150</v>
      </c>
      <c r="AK20" s="1851">
        <f>+Subscribers!BU80</f>
        <v>5200</v>
      </c>
      <c r="AL20" s="1851">
        <f>+Subscribers!BV80</f>
        <v>5250</v>
      </c>
      <c r="AM20" s="1851">
        <f>+Subscribers!BW80</f>
        <v>5300</v>
      </c>
      <c r="AN20" s="1851">
        <f>+Subscribers!BX80</f>
        <v>5350</v>
      </c>
      <c r="AO20" s="1851">
        <f>+Subscribers!BY80</f>
        <v>5400</v>
      </c>
      <c r="AP20" s="1851">
        <f>+Subscribers!BZ80</f>
        <v>5450</v>
      </c>
      <c r="AQ20" s="1851">
        <f>+Subscribers!CA80</f>
        <v>5500</v>
      </c>
      <c r="AR20" s="1851">
        <f>+Subscribers!CB80</f>
        <v>5550</v>
      </c>
      <c r="AS20" s="1851">
        <f>+Subscribers!CC80</f>
        <v>5600</v>
      </c>
      <c r="AT20" s="1851">
        <f>+Subscribers!CD80</f>
        <v>5650</v>
      </c>
      <c r="AU20" s="1851">
        <f>+Subscribers!CE80</f>
        <v>5700</v>
      </c>
      <c r="AV20" s="1851">
        <f>+Subscribers!CF80</f>
        <v>5750</v>
      </c>
      <c r="AW20" s="1851">
        <f>+Subscribers!CG80</f>
        <v>5800</v>
      </c>
      <c r="AX20" s="1851">
        <f>+Subscribers!CH80</f>
        <v>5850</v>
      </c>
    </row>
    <row r="21" spans="1:50">
      <c r="A21" s="74" t="str">
        <f>+Subscribers!A81</f>
        <v>Incremental homes passed</v>
      </c>
      <c r="B21" s="1851">
        <f>+Subscribers!AL81</f>
        <v>0</v>
      </c>
      <c r="C21" s="1851">
        <f>+Subscribers!AM81</f>
        <v>0</v>
      </c>
      <c r="D21" s="1851">
        <f>+Subscribers!AN81</f>
        <v>0</v>
      </c>
      <c r="E21" s="1851">
        <f>+Subscribers!AO81</f>
        <v>0</v>
      </c>
      <c r="F21" s="1851">
        <f>+Subscribers!AP81</f>
        <v>0</v>
      </c>
      <c r="G21" s="1851">
        <f>+Subscribers!AQ81</f>
        <v>0</v>
      </c>
      <c r="H21" s="1851">
        <f>+Subscribers!AR81</f>
        <v>0</v>
      </c>
      <c r="I21" s="1851">
        <f>+Subscribers!AS81</f>
        <v>0</v>
      </c>
      <c r="J21" s="1851">
        <f>+Subscribers!AT81</f>
        <v>0</v>
      </c>
      <c r="K21" s="1851">
        <f>+Subscribers!AU81</f>
        <v>0</v>
      </c>
      <c r="L21" s="1851">
        <f>+Subscribers!AV81</f>
        <v>0</v>
      </c>
      <c r="M21" s="1851">
        <f>+Subscribers!AW81</f>
        <v>0</v>
      </c>
      <c r="N21" s="1851">
        <f>+Subscribers!AX81</f>
        <v>0</v>
      </c>
      <c r="O21" s="1851">
        <f>+Subscribers!AY81</f>
        <v>0</v>
      </c>
      <c r="P21" s="1851">
        <f>+Subscribers!AZ81</f>
        <v>0</v>
      </c>
      <c r="Q21" s="1851">
        <f>+Subscribers!BA81</f>
        <v>0</v>
      </c>
      <c r="R21" s="1851">
        <f>+Subscribers!BB81</f>
        <v>0</v>
      </c>
      <c r="S21" s="1851">
        <f>+Subscribers!BC81</f>
        <v>0</v>
      </c>
      <c r="T21" s="1851">
        <f>+Subscribers!BD81</f>
        <v>0</v>
      </c>
      <c r="U21" s="1851">
        <f>+Subscribers!BE81</f>
        <v>0</v>
      </c>
      <c r="V21" s="1851">
        <f>+Subscribers!BF81</f>
        <v>0</v>
      </c>
      <c r="W21" s="1851">
        <f>+Subscribers!BG81</f>
        <v>325</v>
      </c>
      <c r="X21" s="1851">
        <f>+Subscribers!BH81</f>
        <v>375</v>
      </c>
      <c r="Y21" s="1851">
        <f>+Subscribers!BI81</f>
        <v>400</v>
      </c>
      <c r="Z21" s="1851">
        <f>+Subscribers!BJ81</f>
        <v>500</v>
      </c>
      <c r="AA21" s="1851">
        <f>+Subscribers!BK81</f>
        <v>300</v>
      </c>
      <c r="AB21" s="1851">
        <f>+Subscribers!BL81</f>
        <v>200</v>
      </c>
      <c r="AC21" s="1851">
        <f>+Subscribers!BM81</f>
        <v>500</v>
      </c>
      <c r="AD21" s="1851">
        <f>+Subscribers!BN81</f>
        <v>200</v>
      </c>
      <c r="AE21" s="1851">
        <f>+Subscribers!BO81</f>
        <v>200</v>
      </c>
      <c r="AF21" s="1851">
        <f>+Subscribers!BP81</f>
        <v>50</v>
      </c>
      <c r="AG21" s="1851">
        <f>+Subscribers!BQ81</f>
        <v>50</v>
      </c>
      <c r="AH21" s="1851">
        <f>+Subscribers!BR81</f>
        <v>50</v>
      </c>
      <c r="AI21" s="1851">
        <f>+Subscribers!BS81</f>
        <v>50</v>
      </c>
      <c r="AJ21" s="1851">
        <f>+Subscribers!BT81</f>
        <v>50</v>
      </c>
      <c r="AK21" s="1851">
        <f>+Subscribers!BU81</f>
        <v>50</v>
      </c>
      <c r="AL21" s="1851">
        <f>+Subscribers!BV81</f>
        <v>50</v>
      </c>
      <c r="AM21" s="1851">
        <f>+Subscribers!BW81</f>
        <v>50</v>
      </c>
      <c r="AN21" s="1851">
        <f>+Subscribers!BX81</f>
        <v>50</v>
      </c>
      <c r="AO21" s="1851">
        <f>+Subscribers!BY81</f>
        <v>50</v>
      </c>
      <c r="AP21" s="1851">
        <f>+Subscribers!BZ81</f>
        <v>50</v>
      </c>
      <c r="AQ21" s="1851">
        <f>+Subscribers!CA81</f>
        <v>50</v>
      </c>
      <c r="AR21" s="1851">
        <f>+Subscribers!CB81</f>
        <v>50</v>
      </c>
      <c r="AS21" s="1851">
        <f>+Subscribers!CC81</f>
        <v>50</v>
      </c>
      <c r="AT21" s="1851">
        <f>+Subscribers!CD81</f>
        <v>50</v>
      </c>
      <c r="AU21" s="1851">
        <f>+Subscribers!CE81</f>
        <v>50</v>
      </c>
      <c r="AV21" s="1851">
        <f>+Subscribers!CF81</f>
        <v>50</v>
      </c>
      <c r="AW21" s="1851">
        <f>+Subscribers!CG81</f>
        <v>50</v>
      </c>
      <c r="AX21" s="1851">
        <f>+Subscribers!CH81</f>
        <v>50</v>
      </c>
    </row>
    <row r="22" spans="1:50">
      <c r="A22" s="113" t="str">
        <f>+Subscribers!A82</f>
        <v>Fiber subs</v>
      </c>
      <c r="B22" s="1856">
        <f>+Subscribers!AL82</f>
        <v>0</v>
      </c>
      <c r="C22" s="1856">
        <f>+Subscribers!AM82</f>
        <v>0</v>
      </c>
      <c r="D22" s="1856">
        <f>+Subscribers!AN82</f>
        <v>0</v>
      </c>
      <c r="E22" s="1856">
        <f>+Subscribers!AO82</f>
        <v>0</v>
      </c>
      <c r="F22" s="1856">
        <f>+Subscribers!AP82</f>
        <v>0</v>
      </c>
      <c r="G22" s="1856">
        <f>+Subscribers!AQ82</f>
        <v>0</v>
      </c>
      <c r="H22" s="1856">
        <f>+Subscribers!AR82</f>
        <v>0</v>
      </c>
      <c r="I22" s="1856">
        <f>+Subscribers!AS82</f>
        <v>0</v>
      </c>
      <c r="J22" s="1856">
        <f>+Subscribers!AT82</f>
        <v>0</v>
      </c>
      <c r="K22" s="1856">
        <f>+Subscribers!AU82</f>
        <v>0</v>
      </c>
      <c r="L22" s="1856">
        <f>+Subscribers!AV82</f>
        <v>0</v>
      </c>
      <c r="M22" s="1856">
        <f>+Subscribers!AW82</f>
        <v>0</v>
      </c>
      <c r="N22" s="1856">
        <f>+Subscribers!AX82</f>
        <v>0</v>
      </c>
      <c r="O22" s="1856">
        <f>+Subscribers!AY82</f>
        <v>0</v>
      </c>
      <c r="P22" s="1856">
        <f>+Subscribers!AZ82</f>
        <v>0</v>
      </c>
      <c r="Q22" s="1856">
        <f>+Subscribers!BA82</f>
        <v>0</v>
      </c>
      <c r="R22" s="1856">
        <f>+Subscribers!BB82</f>
        <v>7</v>
      </c>
      <c r="S22" s="1856">
        <f>+Subscribers!BC82</f>
        <v>20</v>
      </c>
      <c r="T22" s="1856">
        <f>+Subscribers!BD82</f>
        <v>39</v>
      </c>
      <c r="U22" s="1856">
        <f>+Subscribers!BE82</f>
        <v>79</v>
      </c>
      <c r="V22" s="1856">
        <f>+Subscribers!BF82</f>
        <v>140</v>
      </c>
      <c r="W22" s="1856">
        <f>+Subscribers!BG82</f>
        <v>203</v>
      </c>
      <c r="X22" s="1856">
        <f>+Subscribers!BH82</f>
        <v>268</v>
      </c>
      <c r="Y22" s="1856">
        <f>+Subscribers!BI82</f>
        <v>339</v>
      </c>
      <c r="Z22" s="1856">
        <f>+Subscribers!BJ82</f>
        <v>419</v>
      </c>
      <c r="AA22" s="1856">
        <f>+Subscribers!BK82</f>
        <v>483</v>
      </c>
      <c r="AB22" s="1856">
        <f>+Subscribers!BL82</f>
        <v>535</v>
      </c>
      <c r="AC22" s="1856">
        <f>+Subscribers!BM82</f>
        <v>627</v>
      </c>
      <c r="AD22" s="1856">
        <f>+Subscribers!BN82</f>
        <v>719</v>
      </c>
      <c r="AE22" s="1856">
        <f>+Subscribers!BO82</f>
        <v>833</v>
      </c>
      <c r="AF22" s="1856">
        <f>+Subscribers!BP82</f>
        <v>893</v>
      </c>
      <c r="AG22" s="1856">
        <f>+Subscribers!BQ82</f>
        <v>953</v>
      </c>
      <c r="AH22" s="1856">
        <f>+Subscribers!BR82</f>
        <v>1013</v>
      </c>
      <c r="AI22" s="1856">
        <f>+Subscribers!BS82</f>
        <v>1073</v>
      </c>
      <c r="AJ22" s="1856">
        <f>+Subscribers!BT82</f>
        <v>1133</v>
      </c>
      <c r="AK22" s="1856">
        <f>+Subscribers!BU82</f>
        <v>1193</v>
      </c>
      <c r="AL22" s="1856">
        <f>+Subscribers!BV82</f>
        <v>1253</v>
      </c>
      <c r="AM22" s="1856">
        <f>+Subscribers!BW82</f>
        <v>1313</v>
      </c>
      <c r="AN22" s="1856">
        <f>+Subscribers!BX82</f>
        <v>1373</v>
      </c>
      <c r="AO22" s="1856">
        <f>+Subscribers!BY82</f>
        <v>1433</v>
      </c>
      <c r="AP22" s="1856">
        <f>+Subscribers!BZ82</f>
        <v>1493</v>
      </c>
      <c r="AQ22" s="1856">
        <f>+Subscribers!CA82</f>
        <v>1553</v>
      </c>
      <c r="AR22" s="1856">
        <f>+Subscribers!CB82</f>
        <v>1613</v>
      </c>
      <c r="AS22" s="1856">
        <f>+Subscribers!CC82</f>
        <v>1673</v>
      </c>
      <c r="AT22" s="1856">
        <f>+Subscribers!CD82</f>
        <v>1733</v>
      </c>
      <c r="AU22" s="1856">
        <f>+Subscribers!CE82</f>
        <v>1793</v>
      </c>
      <c r="AV22" s="1856">
        <f>+Subscribers!CF82</f>
        <v>1853</v>
      </c>
      <c r="AW22" s="1856">
        <f>+Subscribers!CG82</f>
        <v>1913</v>
      </c>
      <c r="AX22" s="1856">
        <f>+Subscribers!CH82</f>
        <v>1973</v>
      </c>
    </row>
    <row r="23" spans="1:50">
      <c r="A23" s="1849" t="str">
        <f>+Subscribers!A83</f>
        <v>Y/Y Growth</v>
      </c>
      <c r="B23" s="1851">
        <f>+Subscribers!AL83</f>
        <v>0</v>
      </c>
      <c r="C23" s="1851">
        <f>+Subscribers!AM83</f>
        <v>0</v>
      </c>
      <c r="D23" s="1853">
        <f>+Subscribers!AN83</f>
        <v>0</v>
      </c>
      <c r="E23" s="1853">
        <f>+Subscribers!AO83</f>
        <v>0</v>
      </c>
      <c r="F23" s="1853">
        <f>+Subscribers!AP83</f>
        <v>0</v>
      </c>
      <c r="G23" s="1853">
        <f>+Subscribers!AQ83</f>
        <v>0</v>
      </c>
      <c r="H23" s="1853">
        <f>+Subscribers!AR83</f>
        <v>0</v>
      </c>
      <c r="I23" s="1853">
        <f>+Subscribers!AS83</f>
        <v>0</v>
      </c>
      <c r="J23" s="1853">
        <f>+Subscribers!AT83</f>
        <v>0</v>
      </c>
      <c r="K23" s="1853">
        <f>+Subscribers!AU83</f>
        <v>0</v>
      </c>
      <c r="L23" s="1853">
        <f>+Subscribers!AV83</f>
        <v>0</v>
      </c>
      <c r="M23" s="1853">
        <f>+Subscribers!AW83</f>
        <v>0</v>
      </c>
      <c r="N23" s="1853">
        <f>+Subscribers!AX83</f>
        <v>0</v>
      </c>
      <c r="O23" s="1853">
        <f>+Subscribers!AY83</f>
        <v>0</v>
      </c>
      <c r="P23" s="1853">
        <f>+Subscribers!AZ83</f>
        <v>0</v>
      </c>
      <c r="Q23" s="1853">
        <f>+Subscribers!BA83</f>
        <v>0</v>
      </c>
      <c r="R23" s="1853">
        <f>+Subscribers!BB83</f>
        <v>0</v>
      </c>
      <c r="S23" s="1853">
        <f>+Subscribers!BC83</f>
        <v>0</v>
      </c>
      <c r="T23" s="1853">
        <f>+Subscribers!BD83</f>
        <v>0</v>
      </c>
      <c r="U23" s="1853">
        <f>+Subscribers!BE83</f>
        <v>0</v>
      </c>
      <c r="V23" s="1853">
        <f>+Subscribers!BF83</f>
        <v>0</v>
      </c>
      <c r="W23" s="1853">
        <f>+Subscribers!BG83</f>
        <v>9.15</v>
      </c>
      <c r="X23" s="1853">
        <f>+Subscribers!BH83</f>
        <v>5.8717948717948714</v>
      </c>
      <c r="Y23" s="1853">
        <f>+Subscribers!BI83</f>
        <v>3.2911392405063289</v>
      </c>
      <c r="Z23" s="1853">
        <f>+Subscribers!BJ83</f>
        <v>1.9928571428571429</v>
      </c>
      <c r="AA23" s="1853">
        <f>+Subscribers!BK83</f>
        <v>1.3793103448275863</v>
      </c>
      <c r="AB23" s="1853">
        <f>+Subscribers!BL83</f>
        <v>0.99626865671641784</v>
      </c>
      <c r="AC23" s="1853">
        <f>+Subscribers!BM83</f>
        <v>0.84955752212389379</v>
      </c>
      <c r="AD23" s="1853">
        <f>+Subscribers!BN83</f>
        <v>0.71599045346062051</v>
      </c>
      <c r="AE23" s="1853">
        <f>+Subscribers!BO83</f>
        <v>0.7246376811594204</v>
      </c>
      <c r="AF23" s="1853">
        <f>+Subscribers!BP83</f>
        <v>0.66915887850467293</v>
      </c>
      <c r="AG23" s="1853">
        <f>+Subscribers!BQ83</f>
        <v>0.51993620414673036</v>
      </c>
      <c r="AH23" s="1853">
        <f>+Subscribers!BR83</f>
        <v>0.40890125173852576</v>
      </c>
      <c r="AI23" s="1853">
        <f>+Subscribers!BS83</f>
        <v>0.2881152460984393</v>
      </c>
      <c r="AJ23" s="1853">
        <f>+Subscribers!BT83</f>
        <v>0.26875699888017923</v>
      </c>
      <c r="AK23" s="1853">
        <f>+Subscribers!BU83</f>
        <v>0.25183630640083954</v>
      </c>
      <c r="AL23" s="1853">
        <f>+Subscribers!BV83</f>
        <v>0.23692003948667328</v>
      </c>
      <c r="AM23" s="1853">
        <f>+Subscribers!BW83</f>
        <v>0.22367194780987876</v>
      </c>
      <c r="AN23" s="1853">
        <f>+Subscribers!BX83</f>
        <v>0.21182700794351272</v>
      </c>
      <c r="AO23" s="1853">
        <f>+Subscribers!BY83</f>
        <v>0.20117351215423307</v>
      </c>
      <c r="AP23" s="1853">
        <f>+Subscribers!BZ83</f>
        <v>0.19154030327214677</v>
      </c>
      <c r="AQ23" s="1853">
        <f>+Subscribers!CA83</f>
        <v>0.18278750952018274</v>
      </c>
      <c r="AR23" s="1853">
        <f>+Subscribers!CB83</f>
        <v>0.17479970866715222</v>
      </c>
      <c r="AS23" s="1853">
        <f>+Subscribers!CC83</f>
        <v>0.16748080949057931</v>
      </c>
      <c r="AT23" s="1853">
        <f>+Subscribers!CD83</f>
        <v>0.16075016744809112</v>
      </c>
      <c r="AU23" s="1853">
        <f>+Subscribers!CE83</f>
        <v>0.15453960077269802</v>
      </c>
      <c r="AV23" s="1853">
        <f>+Subscribers!CF83</f>
        <v>0.14879107253564783</v>
      </c>
      <c r="AW23" s="1853">
        <f>+Subscribers!CG83</f>
        <v>0.14345487148834435</v>
      </c>
      <c r="AX23" s="1853">
        <f>+Subscribers!CH83</f>
        <v>0.13848817080207732</v>
      </c>
    </row>
    <row r="24" spans="1:50">
      <c r="A24" s="74" t="str">
        <f>+Subscribers!A84</f>
        <v>Fiber adds</v>
      </c>
      <c r="B24" s="1851">
        <f>+Subscribers!AL84</f>
        <v>0</v>
      </c>
      <c r="C24" s="1851">
        <f>+Subscribers!AM84</f>
        <v>0</v>
      </c>
      <c r="D24" s="1851">
        <f>+Subscribers!AN84</f>
        <v>0</v>
      </c>
      <c r="E24" s="1851">
        <f>+Subscribers!AO84</f>
        <v>0</v>
      </c>
      <c r="F24" s="1851">
        <f>+Subscribers!AP84</f>
        <v>0</v>
      </c>
      <c r="G24" s="1851">
        <f>+Subscribers!AQ84</f>
        <v>0</v>
      </c>
      <c r="H24" s="1851">
        <f>+Subscribers!AR84</f>
        <v>0</v>
      </c>
      <c r="I24" s="1851">
        <f>+Subscribers!AS84</f>
        <v>0</v>
      </c>
      <c r="J24" s="1851">
        <f>+Subscribers!AT84</f>
        <v>0</v>
      </c>
      <c r="K24" s="1851">
        <f>+Subscribers!AU84</f>
        <v>0</v>
      </c>
      <c r="L24" s="1851">
        <f>+Subscribers!AV84</f>
        <v>0</v>
      </c>
      <c r="M24" s="1851">
        <f>+Subscribers!AW84</f>
        <v>0</v>
      </c>
      <c r="N24" s="1851">
        <f>+Subscribers!AX84</f>
        <v>0</v>
      </c>
      <c r="O24" s="1851">
        <f>+Subscribers!AY84</f>
        <v>0</v>
      </c>
      <c r="P24" s="1851">
        <f>+Subscribers!AZ84</f>
        <v>0</v>
      </c>
      <c r="Q24" s="1851">
        <f>+Subscribers!BA84</f>
        <v>0</v>
      </c>
      <c r="R24" s="1851">
        <f>+Subscribers!BB84</f>
        <v>0</v>
      </c>
      <c r="S24" s="1851">
        <f>+Subscribers!BC84</f>
        <v>0</v>
      </c>
      <c r="T24" s="1851">
        <f>+Subscribers!BD84</f>
        <v>0</v>
      </c>
      <c r="U24" s="1851">
        <f>+Subscribers!BE84</f>
        <v>0</v>
      </c>
      <c r="V24" s="1851">
        <f>+Subscribers!BF84</f>
        <v>0</v>
      </c>
      <c r="W24" s="1851">
        <f>+Subscribers!BG84</f>
        <v>63</v>
      </c>
      <c r="X24" s="1851">
        <f>+Subscribers!BH84</f>
        <v>65</v>
      </c>
      <c r="Y24" s="1851">
        <f>+Subscribers!BI84</f>
        <v>71</v>
      </c>
      <c r="Z24" s="1851">
        <f>+Subscribers!BJ84</f>
        <v>80</v>
      </c>
      <c r="AA24" s="1851">
        <f>+Subscribers!BK84</f>
        <v>64</v>
      </c>
      <c r="AB24" s="1851">
        <f>+Subscribers!BL84</f>
        <v>52</v>
      </c>
      <c r="AC24" s="1851">
        <f>+Subscribers!BM84</f>
        <v>92</v>
      </c>
      <c r="AD24" s="1851">
        <f>+Subscribers!BN84</f>
        <v>92</v>
      </c>
      <c r="AE24" s="1851">
        <f>+Subscribers!BO84</f>
        <v>114</v>
      </c>
      <c r="AF24" s="1851">
        <f>+Subscribers!BP84</f>
        <v>60</v>
      </c>
      <c r="AG24" s="1851">
        <f>+Subscribers!BQ84</f>
        <v>60</v>
      </c>
      <c r="AH24" s="1851">
        <f>+Subscribers!BR84</f>
        <v>60</v>
      </c>
      <c r="AI24" s="1851">
        <f>+Subscribers!BS84</f>
        <v>60</v>
      </c>
      <c r="AJ24" s="1851">
        <f>+Subscribers!BT84</f>
        <v>60</v>
      </c>
      <c r="AK24" s="1851">
        <f>+Subscribers!BU84</f>
        <v>60</v>
      </c>
      <c r="AL24" s="1851">
        <f>+Subscribers!BV84</f>
        <v>60</v>
      </c>
      <c r="AM24" s="1851">
        <f>+Subscribers!BW84</f>
        <v>60</v>
      </c>
      <c r="AN24" s="1851">
        <f>+Subscribers!BX84</f>
        <v>60</v>
      </c>
      <c r="AO24" s="1851">
        <f>+Subscribers!BY84</f>
        <v>60</v>
      </c>
      <c r="AP24" s="1851">
        <f>+Subscribers!BZ84</f>
        <v>60</v>
      </c>
      <c r="AQ24" s="1851">
        <f>+Subscribers!CA84</f>
        <v>60</v>
      </c>
      <c r="AR24" s="1851">
        <f>+Subscribers!CB84</f>
        <v>60</v>
      </c>
      <c r="AS24" s="1851">
        <f>+Subscribers!CC84</f>
        <v>60</v>
      </c>
      <c r="AT24" s="1851">
        <f>+Subscribers!CD84</f>
        <v>60</v>
      </c>
      <c r="AU24" s="1851">
        <f>+Subscribers!CE84</f>
        <v>60</v>
      </c>
      <c r="AV24" s="1851">
        <f>+Subscribers!CF84</f>
        <v>60</v>
      </c>
      <c r="AW24" s="1851">
        <f>+Subscribers!CG84</f>
        <v>60</v>
      </c>
      <c r="AX24" s="1851">
        <f>+Subscribers!CH84</f>
        <v>60</v>
      </c>
    </row>
    <row r="25" spans="1:50">
      <c r="A25" s="1849" t="str">
        <f>+Subscribers!A88</f>
        <v>Y/Y Growth</v>
      </c>
      <c r="B25" s="1851">
        <f>+Subscribers!AL88</f>
        <v>0</v>
      </c>
      <c r="C25" s="1851">
        <f>+Subscribers!AM88</f>
        <v>0</v>
      </c>
      <c r="D25" s="1851">
        <f>+Subscribers!AN88</f>
        <v>0</v>
      </c>
      <c r="E25" s="1851">
        <f>+Subscribers!AO88</f>
        <v>0</v>
      </c>
      <c r="F25" s="1851">
        <f>+Subscribers!AP88</f>
        <v>0</v>
      </c>
      <c r="G25" s="1851">
        <f>+Subscribers!AQ88</f>
        <v>0</v>
      </c>
      <c r="H25" s="1851">
        <f>+Subscribers!AR88</f>
        <v>0</v>
      </c>
      <c r="I25" s="1851">
        <f>+Subscribers!AS88</f>
        <v>0</v>
      </c>
      <c r="J25" s="1851">
        <f>+Subscribers!AT88</f>
        <v>0</v>
      </c>
      <c r="K25" s="1851">
        <f>+Subscribers!AU88</f>
        <v>0</v>
      </c>
      <c r="L25" s="1851">
        <f>+Subscribers!AV88</f>
        <v>0</v>
      </c>
      <c r="M25" s="1851">
        <f>+Subscribers!AW88</f>
        <v>0</v>
      </c>
      <c r="N25" s="1851">
        <f>+Subscribers!AX88</f>
        <v>0</v>
      </c>
      <c r="O25" s="1851">
        <f>+Subscribers!AY88</f>
        <v>0</v>
      </c>
      <c r="P25" s="1851">
        <f>+Subscribers!AZ88</f>
        <v>0</v>
      </c>
      <c r="Q25" s="1851">
        <f>+Subscribers!BA88</f>
        <v>0</v>
      </c>
      <c r="R25" s="1851">
        <f>+Subscribers!BB88</f>
        <v>0</v>
      </c>
      <c r="S25" s="1851">
        <f>+Subscribers!BC88</f>
        <v>0</v>
      </c>
      <c r="T25" s="1851">
        <f>+Subscribers!BD88</f>
        <v>0</v>
      </c>
      <c r="U25" s="1851">
        <f>+Subscribers!BE88</f>
        <v>0</v>
      </c>
      <c r="V25" s="1851">
        <f>+Subscribers!BF88</f>
        <v>0</v>
      </c>
      <c r="W25" s="1851">
        <f>+Subscribers!BG88</f>
        <v>3.8461538461538458</v>
      </c>
      <c r="X25" s="1851">
        <f>+Subscribers!BH88</f>
        <v>2.4210526315789473</v>
      </c>
      <c r="Y25" s="1851">
        <f>+Subscribers!BI88</f>
        <v>0.77499999999999991</v>
      </c>
      <c r="Z25" s="1851">
        <f>+Subscribers!BJ88</f>
        <v>0.31147540983606548</v>
      </c>
      <c r="AA25" s="1851">
        <f>+Subscribers!BK88</f>
        <v>1.5873015873015817E-2</v>
      </c>
      <c r="AB25" s="1851">
        <f>+Subscribers!BL88</f>
        <v>-0.19999999999999996</v>
      </c>
      <c r="AC25" s="1851">
        <f>+Subscribers!BM88</f>
        <v>0.29577464788732399</v>
      </c>
      <c r="AD25" s="1851">
        <f>+Subscribers!BN88</f>
        <v>0.14999999999999991</v>
      </c>
      <c r="AE25" s="1851">
        <f>+Subscribers!BO88</f>
        <v>0.78125</v>
      </c>
      <c r="AF25" s="1851">
        <f>+Subscribers!BP88</f>
        <v>0.15384615384615374</v>
      </c>
      <c r="AG25" s="1851">
        <f>+Subscribers!BQ88</f>
        <v>-0.34782608695652173</v>
      </c>
      <c r="AH25" s="1851">
        <f>+Subscribers!BR88</f>
        <v>-0.34782608695652173</v>
      </c>
      <c r="AI25" s="1851">
        <f>+Subscribers!BS88</f>
        <v>-0.47368421052631582</v>
      </c>
      <c r="AJ25" s="1851">
        <f>+Subscribers!BT88</f>
        <v>0</v>
      </c>
      <c r="AK25" s="1851">
        <f>+Subscribers!BU88</f>
        <v>0</v>
      </c>
      <c r="AL25" s="1851">
        <f>+Subscribers!BV88</f>
        <v>0</v>
      </c>
      <c r="AM25" s="1851">
        <f>+Subscribers!BW88</f>
        <v>0</v>
      </c>
      <c r="AN25" s="1851">
        <f>+Subscribers!BX88</f>
        <v>0</v>
      </c>
      <c r="AO25" s="1851">
        <f>+Subscribers!BY88</f>
        <v>0</v>
      </c>
      <c r="AP25" s="1851">
        <f>+Subscribers!BZ88</f>
        <v>0</v>
      </c>
      <c r="AQ25" s="1851">
        <f>+Subscribers!CA88</f>
        <v>0</v>
      </c>
      <c r="AR25" s="1851">
        <f>+Subscribers!CB88</f>
        <v>0</v>
      </c>
      <c r="AS25" s="1851">
        <f>+Subscribers!CC88</f>
        <v>0</v>
      </c>
      <c r="AT25" s="1851">
        <f>+Subscribers!CD88</f>
        <v>0</v>
      </c>
      <c r="AU25" s="1851">
        <f>+Subscribers!CE88</f>
        <v>0</v>
      </c>
      <c r="AV25" s="1851">
        <f>+Subscribers!CF88</f>
        <v>0</v>
      </c>
      <c r="AW25" s="1851">
        <f>+Subscribers!CG88</f>
        <v>0</v>
      </c>
      <c r="AX25" s="1851">
        <f>+Subscribers!CH88</f>
        <v>0</v>
      </c>
    </row>
    <row r="26" spans="1:50">
      <c r="A26" s="74"/>
      <c r="B26" s="1851"/>
      <c r="C26" s="1851"/>
      <c r="D26" s="1851"/>
      <c r="E26" s="1851"/>
      <c r="F26" s="1851"/>
      <c r="G26" s="1851"/>
      <c r="H26" s="1851"/>
      <c r="I26" s="1851"/>
      <c r="J26" s="1851"/>
      <c r="K26" s="1851"/>
      <c r="L26" s="1851"/>
      <c r="M26" s="1851"/>
      <c r="N26" s="1851"/>
      <c r="O26" s="1851"/>
      <c r="P26" s="1851"/>
      <c r="Q26" s="1851"/>
      <c r="R26" s="1851"/>
      <c r="S26" s="1851"/>
      <c r="T26" s="1851"/>
      <c r="U26" s="1851"/>
      <c r="V26" s="1851"/>
      <c r="W26" s="1851"/>
      <c r="X26" s="1851"/>
      <c r="Y26" s="1851"/>
      <c r="Z26" s="1851"/>
      <c r="AA26" s="1851"/>
      <c r="AB26" s="1851"/>
      <c r="AC26" s="1851"/>
      <c r="AD26" s="1851"/>
      <c r="AE26" s="1851"/>
      <c r="AF26" s="1851"/>
      <c r="AG26" s="1851"/>
      <c r="AH26" s="1851"/>
      <c r="AI26" s="1851"/>
      <c r="AJ26" s="1851"/>
      <c r="AK26" s="1851"/>
      <c r="AL26" s="1851"/>
      <c r="AM26" s="1851"/>
      <c r="AN26" s="1851"/>
      <c r="AO26" s="1851"/>
      <c r="AP26" s="1851"/>
      <c r="AQ26" s="1851"/>
      <c r="AR26" s="1851"/>
      <c r="AS26" s="1851"/>
      <c r="AT26" s="1851"/>
      <c r="AU26" s="1851"/>
      <c r="AV26" s="1851"/>
      <c r="AW26" s="1851"/>
      <c r="AX26" s="1851"/>
    </row>
    <row r="27" spans="1:50">
      <c r="A27" s="74"/>
      <c r="B27" s="1851"/>
      <c r="C27" s="1851"/>
      <c r="D27" s="1851"/>
      <c r="E27" s="1851"/>
      <c r="F27" s="1851"/>
      <c r="G27" s="1851"/>
      <c r="H27" s="1851"/>
      <c r="I27" s="1851"/>
      <c r="J27" s="1851"/>
      <c r="K27" s="1851"/>
      <c r="L27" s="1851"/>
      <c r="M27" s="1851"/>
      <c r="N27" s="1851"/>
      <c r="O27" s="1851"/>
      <c r="P27" s="1851"/>
      <c r="Q27" s="1851"/>
      <c r="R27" s="1851"/>
      <c r="S27" s="1851"/>
      <c r="T27" s="1851"/>
      <c r="U27" s="1851"/>
      <c r="V27" s="1851"/>
      <c r="W27" s="1851"/>
      <c r="X27" s="1851"/>
      <c r="Y27" s="1851"/>
      <c r="Z27" s="1851"/>
      <c r="AA27" s="1851"/>
      <c r="AB27" s="1851"/>
      <c r="AC27" s="1851"/>
      <c r="AD27" s="1851"/>
      <c r="AE27" s="1851"/>
      <c r="AF27" s="1851"/>
      <c r="AG27" s="1851"/>
      <c r="AH27" s="1851"/>
      <c r="AI27" s="1851"/>
      <c r="AJ27" s="1851"/>
      <c r="AK27" s="1851"/>
      <c r="AL27" s="1851"/>
      <c r="AM27" s="1851"/>
      <c r="AN27" s="1851"/>
      <c r="AO27" s="1851"/>
      <c r="AP27" s="1851"/>
      <c r="AQ27" s="1851"/>
      <c r="AR27" s="1851"/>
      <c r="AS27" s="1851"/>
      <c r="AT27" s="1851"/>
      <c r="AU27" s="1851"/>
      <c r="AV27" s="1851"/>
      <c r="AW27" s="1851"/>
      <c r="AX27" s="1851"/>
    </row>
    <row r="28" spans="1:50">
      <c r="A28" s="113" t="str">
        <f>+Subscribers!A91</f>
        <v>BROADBAND ADDS</v>
      </c>
      <c r="B28" s="1856">
        <f>+Subscribers!AL91</f>
        <v>0</v>
      </c>
      <c r="C28" s="1856">
        <f>+Subscribers!AM91</f>
        <v>0</v>
      </c>
      <c r="D28" s="1856">
        <f>+Subscribers!AN91</f>
        <v>0</v>
      </c>
      <c r="E28" s="1856">
        <f>+Subscribers!AO91</f>
        <v>0</v>
      </c>
      <c r="F28" s="1856">
        <f>+Subscribers!AP91</f>
        <v>0</v>
      </c>
      <c r="G28" s="1856">
        <f>+Subscribers!AQ91</f>
        <v>0</v>
      </c>
      <c r="H28" s="1856">
        <f>+Subscribers!AR91</f>
        <v>0</v>
      </c>
      <c r="I28" s="1856">
        <f>+Subscribers!AS91</f>
        <v>0</v>
      </c>
      <c r="J28" s="1856">
        <f>+Subscribers!AT91</f>
        <v>0</v>
      </c>
      <c r="K28" s="1856">
        <f>+Subscribers!AU91</f>
        <v>0</v>
      </c>
      <c r="L28" s="1856">
        <f>+Subscribers!AV91</f>
        <v>0</v>
      </c>
      <c r="M28" s="1856">
        <f>+Subscribers!AW91</f>
        <v>0</v>
      </c>
      <c r="N28" s="1856">
        <f>+Subscribers!AX91</f>
        <v>0</v>
      </c>
      <c r="O28" s="1856">
        <f>+Subscribers!AY91</f>
        <v>0</v>
      </c>
      <c r="P28" s="1856">
        <f>+Subscribers!AZ91</f>
        <v>0</v>
      </c>
      <c r="Q28" s="1856">
        <f>+Subscribers!BA91</f>
        <v>0</v>
      </c>
      <c r="R28" s="1856">
        <f>+Subscribers!BB91</f>
        <v>0</v>
      </c>
      <c r="S28" s="1856">
        <f>+Subscribers!BC91</f>
        <v>0</v>
      </c>
      <c r="T28" s="1856">
        <f>+Subscribers!BD91</f>
        <v>0</v>
      </c>
      <c r="U28" s="1856">
        <f>+Subscribers!BE91</f>
        <v>0</v>
      </c>
      <c r="V28" s="1856">
        <f>+Subscribers!BF91</f>
        <v>0</v>
      </c>
      <c r="W28" s="1856">
        <f>+Subscribers!BG91</f>
        <v>120</v>
      </c>
      <c r="X28" s="1856">
        <f>+Subscribers!BH91</f>
        <v>62</v>
      </c>
      <c r="Y28" s="1856">
        <f>+Subscribers!BI91</f>
        <v>72</v>
      </c>
      <c r="Z28" s="1856">
        <f>+Subscribers!BJ91</f>
        <v>89</v>
      </c>
      <c r="AA28" s="1856">
        <f>+Subscribers!BK91</f>
        <v>0</v>
      </c>
      <c r="AB28" s="1856" t="e">
        <f>+Subscribers!BL91</f>
        <v>#VALUE!</v>
      </c>
      <c r="AC28" s="1856" t="e">
        <f>+Subscribers!BM91</f>
        <v>#VALUE!</v>
      </c>
      <c r="AD28" s="1856" t="e">
        <f>+Subscribers!BN91</f>
        <v>#VALUE!</v>
      </c>
      <c r="AE28" s="1856"/>
      <c r="AF28" s="1856">
        <f>+Subscribers!BP91</f>
        <v>14</v>
      </c>
      <c r="AG28" s="1856">
        <f>+Subscribers!BQ91</f>
        <v>60</v>
      </c>
      <c r="AH28" s="1856">
        <f>+Subscribers!BR91</f>
        <v>73</v>
      </c>
      <c r="AI28" s="1856">
        <f>+Subscribers!BS91</f>
        <v>92</v>
      </c>
      <c r="AJ28" s="1856">
        <f>+Subscribers!BT91</f>
        <v>18</v>
      </c>
      <c r="AK28" s="1856">
        <f>+Subscribers!BU91</f>
        <v>44</v>
      </c>
      <c r="AL28" s="1856">
        <f>+Subscribers!BV91</f>
        <v>41</v>
      </c>
      <c r="AM28" s="1856">
        <f>+Subscribers!BW91</f>
        <v>66</v>
      </c>
      <c r="AN28" s="1856">
        <f>+Subscribers!BX91</f>
        <v>-8</v>
      </c>
      <c r="AO28" s="1856">
        <f>+Subscribers!BY91</f>
        <v>33</v>
      </c>
      <c r="AP28" s="1856">
        <f>+Subscribers!BZ91</f>
        <v>49</v>
      </c>
      <c r="AQ28" s="1856">
        <f>+Subscribers!CA91</f>
        <v>66</v>
      </c>
      <c r="AR28" s="1856">
        <f>+Subscribers!CB91</f>
        <v>-2</v>
      </c>
      <c r="AS28" s="1856">
        <f>+Subscribers!CC91</f>
        <v>8</v>
      </c>
      <c r="AT28" s="1856">
        <f>+Subscribers!CD91</f>
        <v>18.600000000000001</v>
      </c>
      <c r="AU28" s="1856">
        <f>+Subscribers!CE91</f>
        <v>35.4</v>
      </c>
      <c r="AV28" s="1856">
        <f>+Subscribers!CF91</f>
        <v>-9</v>
      </c>
      <c r="AW28" s="1856">
        <f>+Subscribers!CG91</f>
        <v>-37</v>
      </c>
      <c r="AX28" s="1856">
        <f>+Subscribers!CH91</f>
        <v>-23</v>
      </c>
    </row>
    <row r="29" spans="1:50">
      <c r="A29" s="74" t="str">
        <f>+Subscribers!A92</f>
        <v>FIBER ADDS</v>
      </c>
      <c r="B29" s="1851">
        <f>+Subscribers!AL92</f>
        <v>0</v>
      </c>
      <c r="C29" s="1851">
        <f>+Subscribers!AM92</f>
        <v>0</v>
      </c>
      <c r="D29" s="1851">
        <f>+Subscribers!AN92</f>
        <v>0</v>
      </c>
      <c r="E29" s="1851">
        <f>+Subscribers!AO92</f>
        <v>0</v>
      </c>
      <c r="F29" s="1851">
        <f>+Subscribers!AP92</f>
        <v>0</v>
      </c>
      <c r="G29" s="1851">
        <f>+Subscribers!AQ92</f>
        <v>0</v>
      </c>
      <c r="H29" s="1851">
        <f>+Subscribers!AR92</f>
        <v>0</v>
      </c>
      <c r="I29" s="1851">
        <f>+Subscribers!AS92</f>
        <v>0</v>
      </c>
      <c r="J29" s="1851">
        <f>+Subscribers!AT92</f>
        <v>0</v>
      </c>
      <c r="K29" s="1851">
        <f>+Subscribers!AU92</f>
        <v>0</v>
      </c>
      <c r="L29" s="1851">
        <f>+Subscribers!AV92</f>
        <v>0</v>
      </c>
      <c r="M29" s="1851">
        <f>+Subscribers!AW92</f>
        <v>0</v>
      </c>
      <c r="N29" s="1851">
        <f>+Subscribers!AX92</f>
        <v>0</v>
      </c>
      <c r="O29" s="1851">
        <f>+Subscribers!AY92</f>
        <v>0</v>
      </c>
      <c r="P29" s="1851">
        <f>+Subscribers!AZ92</f>
        <v>0</v>
      </c>
      <c r="Q29" s="1851">
        <f>+Subscribers!BA92</f>
        <v>0</v>
      </c>
      <c r="R29" s="1851">
        <f>+Subscribers!BB92</f>
        <v>0</v>
      </c>
      <c r="S29" s="1851">
        <f>+Subscribers!BC92</f>
        <v>0</v>
      </c>
      <c r="T29" s="1851">
        <f>+Subscribers!BD92</f>
        <v>0</v>
      </c>
      <c r="U29" s="1851">
        <f>+Subscribers!BE92</f>
        <v>0</v>
      </c>
      <c r="V29" s="1851">
        <f>+Subscribers!BF92</f>
        <v>0</v>
      </c>
      <c r="W29" s="1851">
        <f>+Subscribers!BG92</f>
        <v>63</v>
      </c>
      <c r="X29" s="1851">
        <f>+Subscribers!BH92</f>
        <v>65</v>
      </c>
      <c r="Y29" s="1851">
        <f>+Subscribers!BI92</f>
        <v>71</v>
      </c>
      <c r="Z29" s="1851">
        <f>+Subscribers!BJ92</f>
        <v>80</v>
      </c>
      <c r="AA29" s="1851">
        <f>+Subscribers!BK92</f>
        <v>64</v>
      </c>
      <c r="AB29" s="1851">
        <f>+Subscribers!BL92</f>
        <v>52</v>
      </c>
      <c r="AC29" s="1851">
        <f>+Subscribers!BM92</f>
        <v>92</v>
      </c>
      <c r="AD29" s="1851">
        <f>+Subscribers!BN92</f>
        <v>92</v>
      </c>
      <c r="AE29" s="1851">
        <f>+Subscribers!BO92</f>
        <v>114</v>
      </c>
      <c r="AF29" s="1851">
        <f>+Subscribers!BP92</f>
        <v>60</v>
      </c>
      <c r="AG29" s="1851">
        <f>+Subscribers!BQ92</f>
        <v>60</v>
      </c>
      <c r="AH29" s="1851">
        <f>+Subscribers!BR92</f>
        <v>60</v>
      </c>
      <c r="AI29" s="1851">
        <f>+Subscribers!BS92</f>
        <v>60</v>
      </c>
      <c r="AJ29" s="1851">
        <f>+Subscribers!BT92</f>
        <v>60</v>
      </c>
      <c r="AK29" s="1851">
        <f>+Subscribers!BU92</f>
        <v>60</v>
      </c>
      <c r="AL29" s="1851">
        <f>+Subscribers!BV92</f>
        <v>60</v>
      </c>
      <c r="AM29" s="1851">
        <f>+Subscribers!BW92</f>
        <v>60</v>
      </c>
      <c r="AN29" s="1851">
        <f>+Subscribers!BX92</f>
        <v>60</v>
      </c>
      <c r="AO29" s="1851">
        <f>+Subscribers!BY92</f>
        <v>60</v>
      </c>
      <c r="AP29" s="1851">
        <f>+Subscribers!BZ92</f>
        <v>60</v>
      </c>
      <c r="AQ29" s="1851">
        <f>+Subscribers!CA92</f>
        <v>60</v>
      </c>
      <c r="AR29" s="1851">
        <f>+Subscribers!CB92</f>
        <v>60</v>
      </c>
      <c r="AS29" s="1851">
        <f>+Subscribers!CC92</f>
        <v>60</v>
      </c>
      <c r="AT29" s="1851">
        <f>+Subscribers!CD92</f>
        <v>60</v>
      </c>
      <c r="AU29" s="1851">
        <f>+Subscribers!CE92</f>
        <v>60</v>
      </c>
      <c r="AV29" s="1851">
        <f>+Subscribers!CF92</f>
        <v>60</v>
      </c>
      <c r="AW29" s="1851">
        <f>+Subscribers!CG92</f>
        <v>60</v>
      </c>
      <c r="AX29" s="1851">
        <f>+Subscribers!CH92</f>
        <v>60</v>
      </c>
    </row>
    <row r="30" spans="1:50">
      <c r="A30" s="74" t="str">
        <f>+Subscribers!A93</f>
        <v>DSL ADDS</v>
      </c>
      <c r="B30" s="1851">
        <f>+Subscribers!AL93</f>
        <v>0</v>
      </c>
      <c r="C30" s="1851">
        <f>+Subscribers!AM93</f>
        <v>0</v>
      </c>
      <c r="D30" s="1851">
        <f>+Subscribers!AN93</f>
        <v>0</v>
      </c>
      <c r="E30" s="1851">
        <f>+Subscribers!AO93</f>
        <v>0</v>
      </c>
      <c r="F30" s="1851">
        <f>+Subscribers!AP93</f>
        <v>0</v>
      </c>
      <c r="G30" s="1851">
        <f>+Subscribers!AQ93</f>
        <v>0</v>
      </c>
      <c r="H30" s="1851">
        <f>+Subscribers!AR93</f>
        <v>0</v>
      </c>
      <c r="I30" s="1851">
        <f>+Subscribers!AS93</f>
        <v>0</v>
      </c>
      <c r="J30" s="1851">
        <f>+Subscribers!AT93</f>
        <v>0</v>
      </c>
      <c r="K30" s="1851">
        <f>+Subscribers!AU93</f>
        <v>0</v>
      </c>
      <c r="L30" s="1851">
        <f>+Subscribers!AV93</f>
        <v>0</v>
      </c>
      <c r="M30" s="1851">
        <f>+Subscribers!AW93</f>
        <v>0</v>
      </c>
      <c r="N30" s="1851">
        <f>+Subscribers!AX93</f>
        <v>0</v>
      </c>
      <c r="O30" s="1851">
        <f>+Subscribers!AY93</f>
        <v>0</v>
      </c>
      <c r="P30" s="1851">
        <f>+Subscribers!AZ93</f>
        <v>0</v>
      </c>
      <c r="Q30" s="1851">
        <f>+Subscribers!BA93</f>
        <v>0</v>
      </c>
      <c r="R30" s="1851">
        <f>+Subscribers!BB93</f>
        <v>0</v>
      </c>
      <c r="S30" s="1851">
        <f>+Subscribers!BC93</f>
        <v>0</v>
      </c>
      <c r="T30" s="1851">
        <f>+Subscribers!BD93</f>
        <v>0</v>
      </c>
      <c r="U30" s="1851">
        <f>+Subscribers!BE93</f>
        <v>0</v>
      </c>
      <c r="V30" s="1851">
        <f>+Subscribers!BF93</f>
        <v>0</v>
      </c>
      <c r="W30" s="1851">
        <f>+Subscribers!BG93</f>
        <v>57</v>
      </c>
      <c r="X30" s="1851">
        <f>+Subscribers!BH93</f>
        <v>-3</v>
      </c>
      <c r="Y30" s="1851">
        <f>+Subscribers!BI93</f>
        <v>1</v>
      </c>
      <c r="Z30" s="1851">
        <f>+Subscribers!BJ93</f>
        <v>9</v>
      </c>
      <c r="AA30" s="1851">
        <f>+Subscribers!BK93</f>
        <v>-64</v>
      </c>
      <c r="AB30" s="1851" t="e">
        <f>+Subscribers!BL93</f>
        <v>#VALUE!</v>
      </c>
      <c r="AC30" s="1851" t="e">
        <f>+Subscribers!BM93</f>
        <v>#VALUE!</v>
      </c>
      <c r="AD30" s="1851" t="e">
        <f>+Subscribers!BN93</f>
        <v>#VALUE!</v>
      </c>
      <c r="AE30" s="1851"/>
      <c r="AF30" s="1851">
        <f>+Subscribers!BP93</f>
        <v>-46</v>
      </c>
      <c r="AG30" s="1851">
        <f>+Subscribers!BQ93</f>
        <v>0</v>
      </c>
      <c r="AH30" s="1851">
        <f>+Subscribers!BR93</f>
        <v>13</v>
      </c>
      <c r="AI30" s="1851">
        <f>+Subscribers!BS93</f>
        <v>32</v>
      </c>
      <c r="AJ30" s="1851">
        <f>+Subscribers!BT93</f>
        <v>-42</v>
      </c>
      <c r="AK30" s="1851">
        <f>+Subscribers!BU93</f>
        <v>-16</v>
      </c>
      <c r="AL30" s="1851">
        <f>+Subscribers!BV93</f>
        <v>-19</v>
      </c>
      <c r="AM30" s="1851">
        <f>+Subscribers!BW93</f>
        <v>6</v>
      </c>
      <c r="AN30" s="1851">
        <f>+Subscribers!BX93</f>
        <v>-68</v>
      </c>
      <c r="AO30" s="1851">
        <f>+Subscribers!BY93</f>
        <v>-27</v>
      </c>
      <c r="AP30" s="1851">
        <f>+Subscribers!BZ93</f>
        <v>-11</v>
      </c>
      <c r="AQ30" s="1851">
        <f>+Subscribers!CA93</f>
        <v>6</v>
      </c>
      <c r="AR30" s="1851">
        <f>+Subscribers!CB93</f>
        <v>-62</v>
      </c>
      <c r="AS30" s="1851">
        <f>+Subscribers!CC93</f>
        <v>-52</v>
      </c>
      <c r="AT30" s="1851">
        <f>+Subscribers!CD93</f>
        <v>-41.4</v>
      </c>
      <c r="AU30" s="1851">
        <f>+Subscribers!CE93</f>
        <v>-24.6</v>
      </c>
      <c r="AV30" s="1851">
        <f>+Subscribers!CF93</f>
        <v>-69</v>
      </c>
      <c r="AW30" s="1851">
        <f>+Subscribers!CG93</f>
        <v>-97</v>
      </c>
      <c r="AX30" s="1851">
        <f>+Subscribers!CH93</f>
        <v>-83</v>
      </c>
    </row>
    <row r="31" spans="1:50">
      <c r="A31" s="74"/>
      <c r="B31" s="1851"/>
      <c r="C31" s="1851"/>
      <c r="D31" s="1851"/>
      <c r="E31" s="1851"/>
      <c r="F31" s="1851"/>
      <c r="G31" s="1851"/>
      <c r="H31" s="1851"/>
      <c r="I31" s="1851"/>
      <c r="J31" s="1851"/>
      <c r="K31" s="1851"/>
      <c r="L31" s="1851"/>
      <c r="M31" s="1851"/>
      <c r="N31" s="1851"/>
      <c r="O31" s="1851"/>
      <c r="P31" s="1851"/>
      <c r="Q31" s="1851"/>
      <c r="R31" s="1851"/>
      <c r="S31" s="1851"/>
      <c r="T31" s="1851"/>
      <c r="U31" s="1851"/>
      <c r="V31" s="1851"/>
      <c r="W31" s="1851"/>
      <c r="X31" s="1851"/>
      <c r="Y31" s="1851"/>
      <c r="Z31" s="1851"/>
      <c r="AA31" s="1851"/>
      <c r="AB31" s="1851"/>
      <c r="AC31" s="1851"/>
      <c r="AD31" s="1851"/>
      <c r="AE31" s="1851"/>
      <c r="AF31" s="1851"/>
      <c r="AG31" s="1851"/>
      <c r="AH31" s="1851"/>
      <c r="AI31" s="1851"/>
      <c r="AJ31" s="1851"/>
      <c r="AK31" s="1851"/>
      <c r="AL31" s="1851"/>
      <c r="AM31" s="1851"/>
      <c r="AN31" s="1851"/>
      <c r="AO31" s="1851"/>
      <c r="AP31" s="1851"/>
      <c r="AQ31" s="1851"/>
      <c r="AR31" s="1851"/>
      <c r="AS31" s="1851"/>
      <c r="AT31" s="1851"/>
      <c r="AU31" s="1851"/>
      <c r="AV31" s="1851"/>
      <c r="AW31" s="1851"/>
      <c r="AX31" s="1851"/>
    </row>
    <row r="32" spans="1:50">
      <c r="A32" s="113" t="str">
        <f>+Subscribers!A97</f>
        <v>RGUs (millions)</v>
      </c>
      <c r="B32" s="1856"/>
      <c r="C32" s="1856"/>
      <c r="D32" s="1856"/>
      <c r="E32" s="1856"/>
      <c r="F32" s="1856"/>
      <c r="G32" s="1856"/>
      <c r="H32" s="1856"/>
      <c r="I32" s="1856"/>
      <c r="J32" s="1856"/>
      <c r="K32" s="1856"/>
      <c r="L32" s="1856"/>
      <c r="M32" s="1856"/>
      <c r="N32" s="1856"/>
      <c r="O32" s="1856"/>
      <c r="P32" s="1856"/>
      <c r="Q32" s="1856"/>
      <c r="R32" s="1856"/>
      <c r="S32" s="1856"/>
      <c r="T32" s="1856"/>
      <c r="U32" s="1856"/>
      <c r="V32" s="1856"/>
      <c r="W32" s="1856"/>
      <c r="X32" s="1856"/>
      <c r="Y32" s="1856"/>
      <c r="Z32" s="1856"/>
      <c r="AA32" s="1856"/>
      <c r="AB32" s="1856"/>
      <c r="AC32" s="1856"/>
      <c r="AD32" s="1856"/>
      <c r="AE32" s="1856"/>
      <c r="AF32" s="1856"/>
      <c r="AG32" s="1856"/>
      <c r="AH32" s="1856"/>
      <c r="AI32" s="1856"/>
      <c r="AJ32" s="1856"/>
      <c r="AK32" s="1856"/>
      <c r="AL32" s="1856"/>
      <c r="AM32" s="1856"/>
      <c r="AN32" s="1856"/>
      <c r="AO32" s="1856"/>
      <c r="AP32" s="1856"/>
      <c r="AQ32" s="1856"/>
      <c r="AR32" s="1856"/>
      <c r="AS32" s="1856"/>
      <c r="AT32" s="1856"/>
      <c r="AU32" s="1856"/>
      <c r="AV32" s="1856"/>
      <c r="AW32" s="1856"/>
      <c r="AX32" s="1856"/>
    </row>
    <row r="33" spans="1:50">
      <c r="A33" s="74" t="str">
        <f>+Subscribers!A98</f>
        <v>ACCESS LINES</v>
      </c>
      <c r="B33" s="1851"/>
      <c r="C33" s="1851">
        <f t="shared" ref="C33:AG33" si="12">+C5/1000</f>
        <v>23.915740000000003</v>
      </c>
      <c r="D33" s="1851">
        <f t="shared" si="12"/>
        <v>23.608740000000001</v>
      </c>
      <c r="E33" s="1851">
        <f t="shared" si="12"/>
        <v>23.387740000000001</v>
      </c>
      <c r="F33" s="1851">
        <f t="shared" si="12"/>
        <v>23.179740000000002</v>
      </c>
      <c r="G33" s="1851">
        <f t="shared" si="12"/>
        <v>25.443629781260338</v>
      </c>
      <c r="H33" s="1851">
        <f t="shared" si="12"/>
        <v>25.055964548010273</v>
      </c>
      <c r="I33" s="1851">
        <f t="shared" si="12"/>
        <v>24.787356473684209</v>
      </c>
      <c r="J33" s="1851">
        <f t="shared" si="12"/>
        <v>24.469160500000001</v>
      </c>
      <c r="K33" s="1851">
        <f t="shared" si="12"/>
        <v>24.011538000000002</v>
      </c>
      <c r="L33" s="1851">
        <f t="shared" si="12"/>
        <v>23.569317720000001</v>
      </c>
      <c r="M33" s="1851">
        <f t="shared" si="12"/>
        <v>23.166330000000002</v>
      </c>
      <c r="N33" s="1851">
        <f t="shared" si="12"/>
        <v>22.801735000000001</v>
      </c>
      <c r="O33" s="1851">
        <f t="shared" si="12"/>
        <v>22.029490000000003</v>
      </c>
      <c r="P33" s="1851">
        <f t="shared" si="12"/>
        <v>21.567740000000001</v>
      </c>
      <c r="Q33" s="1851">
        <f t="shared" si="12"/>
        <v>21.143740000000001</v>
      </c>
      <c r="R33" s="1851">
        <f t="shared" si="12"/>
        <v>20.772740000000002</v>
      </c>
      <c r="S33" s="1851">
        <f t="shared" si="12"/>
        <v>20.347740000000002</v>
      </c>
      <c r="T33" s="1851">
        <f t="shared" si="12"/>
        <v>19.859259999999999</v>
      </c>
      <c r="U33" s="1851">
        <f t="shared" si="12"/>
        <v>19.344660000000001</v>
      </c>
      <c r="V33" s="1851">
        <f t="shared" si="12"/>
        <v>18.841000000000001</v>
      </c>
      <c r="W33" s="1851">
        <f t="shared" si="12"/>
        <v>18.343</v>
      </c>
      <c r="X33" s="1851">
        <f t="shared" si="12"/>
        <v>17.710239651416124</v>
      </c>
      <c r="Y33" s="1851">
        <f t="shared" si="12"/>
        <v>17.355</v>
      </c>
      <c r="Z33" s="1851">
        <f t="shared" si="12"/>
        <v>16.963999999999999</v>
      </c>
      <c r="AA33" s="1851">
        <f t="shared" si="12"/>
        <v>16.626999999999999</v>
      </c>
      <c r="AB33" s="1851">
        <f t="shared" si="12"/>
        <v>16.257999999999999</v>
      </c>
      <c r="AC33" s="1851">
        <f t="shared" si="12"/>
        <v>15.936</v>
      </c>
      <c r="AD33" s="1851">
        <f t="shared" si="12"/>
        <v>15.613</v>
      </c>
      <c r="AE33" s="1851">
        <f t="shared" si="12"/>
        <v>15.356999999999999</v>
      </c>
      <c r="AF33" s="1851">
        <f t="shared" si="12"/>
        <v>15.057</v>
      </c>
      <c r="AG33" s="1851">
        <f t="shared" si="12"/>
        <v>14.803000000000001</v>
      </c>
      <c r="AH33" s="1851">
        <f t="shared" ref="AH33:AP33" si="13">+AH5/1000</f>
        <v>14.584</v>
      </c>
      <c r="AI33" s="1851">
        <f t="shared" si="13"/>
        <v>14.382999999999999</v>
      </c>
      <c r="AJ33" s="1851">
        <f t="shared" si="13"/>
        <v>14.148999999999999</v>
      </c>
      <c r="AK33" s="1851">
        <f t="shared" si="13"/>
        <v>13.95</v>
      </c>
      <c r="AL33" s="1851">
        <f t="shared" si="13"/>
        <v>13.750999999999999</v>
      </c>
      <c r="AM33" s="1851">
        <f t="shared" si="13"/>
        <v>13.561</v>
      </c>
      <c r="AN33" s="1851">
        <f t="shared" si="13"/>
        <v>13.331</v>
      </c>
      <c r="AO33" s="1851">
        <f t="shared" si="13"/>
        <v>13.15</v>
      </c>
      <c r="AP33" s="1851">
        <f t="shared" si="13"/>
        <v>13.002000000000001</v>
      </c>
      <c r="AQ33" s="1851">
        <f t="shared" ref="AQ33:AX33" si="14">+AQ5/1000</f>
        <v>12.882</v>
      </c>
      <c r="AR33" s="1851">
        <f t="shared" si="14"/>
        <v>12.707000000000001</v>
      </c>
      <c r="AS33" s="1851">
        <f t="shared" si="14"/>
        <v>12.537000000000001</v>
      </c>
      <c r="AT33" s="1851">
        <f t="shared" si="14"/>
        <v>12.394</v>
      </c>
      <c r="AU33" s="1851">
        <f t="shared" si="14"/>
        <v>12.27</v>
      </c>
      <c r="AV33" s="1851">
        <f t="shared" si="14"/>
        <v>12.109</v>
      </c>
      <c r="AW33" s="1851">
        <f t="shared" si="14"/>
        <v>11.914999999999999</v>
      </c>
      <c r="AX33" s="1851">
        <f t="shared" si="14"/>
        <v>11.747999999999999</v>
      </c>
    </row>
    <row r="34" spans="1:50">
      <c r="A34" s="74" t="str">
        <f>+Subscribers!A99</f>
        <v>B'BAND</v>
      </c>
      <c r="B34" s="1851"/>
      <c r="C34" s="1851">
        <f t="shared" ref="C34:AG34" si="15">+C12/1000</f>
        <v>1.093</v>
      </c>
      <c r="D34" s="1851">
        <f t="shared" si="15"/>
        <v>1.236</v>
      </c>
      <c r="E34" s="1851">
        <f t="shared" si="15"/>
        <v>1.3879999999999999</v>
      </c>
      <c r="F34" s="1851">
        <f t="shared" si="15"/>
        <v>1.7111369999999999</v>
      </c>
      <c r="G34" s="1851">
        <f t="shared" si="15"/>
        <v>1.888625</v>
      </c>
      <c r="H34" s="1851">
        <f t="shared" si="15"/>
        <v>2.017674</v>
      </c>
      <c r="I34" s="1851">
        <f t="shared" si="15"/>
        <v>2.2422820000000003</v>
      </c>
      <c r="J34" s="1851">
        <f t="shared" si="15"/>
        <v>2.4672749999999999</v>
      </c>
      <c r="K34" s="1851">
        <f t="shared" si="15"/>
        <v>2.7897829999999999</v>
      </c>
      <c r="L34" s="1851">
        <f t="shared" si="15"/>
        <v>3.0112946000000003</v>
      </c>
      <c r="M34" s="1851">
        <f t="shared" si="15"/>
        <v>3.2988000000000004</v>
      </c>
      <c r="N34" s="1851">
        <f t="shared" si="15"/>
        <v>3.5777104096798782</v>
      </c>
      <c r="O34" s="1851">
        <f t="shared" si="15"/>
        <v>3.686053169921875</v>
      </c>
      <c r="P34" s="1851">
        <f t="shared" si="15"/>
        <v>3.8690000000000002</v>
      </c>
      <c r="Q34" s="1851">
        <f t="shared" si="15"/>
        <v>4.0629999999999997</v>
      </c>
      <c r="R34" s="1851">
        <f t="shared" si="15"/>
        <v>4.2450000000000001</v>
      </c>
      <c r="S34" s="1851">
        <f t="shared" si="15"/>
        <v>4.4409999999999998</v>
      </c>
      <c r="T34" s="1851">
        <f t="shared" si="15"/>
        <v>4.5250000000000004</v>
      </c>
      <c r="U34" s="1851">
        <f t="shared" si="15"/>
        <v>4.6150000000000002</v>
      </c>
      <c r="V34" s="1851">
        <f t="shared" si="15"/>
        <v>4.7050000000000001</v>
      </c>
      <c r="W34" s="1851">
        <f t="shared" si="15"/>
        <v>4.8250000000000002</v>
      </c>
      <c r="X34" s="1851">
        <f t="shared" si="15"/>
        <v>4.8869999999999996</v>
      </c>
      <c r="Y34" s="1851">
        <f t="shared" si="15"/>
        <v>4.9589999999999996</v>
      </c>
      <c r="Z34" s="1851">
        <f t="shared" si="15"/>
        <v>5.048</v>
      </c>
      <c r="AA34" s="1851">
        <f t="shared" si="15"/>
        <v>5.2489999999999997</v>
      </c>
      <c r="AB34" s="1851">
        <f t="shared" si="15"/>
        <v>5.2869999999999999</v>
      </c>
      <c r="AC34" s="1851">
        <f t="shared" si="15"/>
        <v>5.359</v>
      </c>
      <c r="AD34" s="1851">
        <f t="shared" si="15"/>
        <v>5.4039999999999999</v>
      </c>
      <c r="AE34" s="1851">
        <f t="shared" si="15"/>
        <v>5.5049999999999999</v>
      </c>
      <c r="AF34" s="1851">
        <f t="shared" si="15"/>
        <v>5.5190000000000001</v>
      </c>
      <c r="AG34" s="1851">
        <f t="shared" si="15"/>
        <v>5.5789999999999997</v>
      </c>
      <c r="AH34" s="1851">
        <f t="shared" ref="AH34:AP34" si="16">+AH12/1000</f>
        <v>5.6559999999999997</v>
      </c>
      <c r="AI34" s="1851">
        <f t="shared" si="16"/>
        <v>5.7480000000000002</v>
      </c>
      <c r="AJ34" s="1851">
        <f t="shared" si="16"/>
        <v>5.766</v>
      </c>
      <c r="AK34" s="1851">
        <f t="shared" si="16"/>
        <v>5.81</v>
      </c>
      <c r="AL34" s="1851">
        <f t="shared" si="16"/>
        <v>5.851</v>
      </c>
      <c r="AM34" s="1851">
        <f t="shared" si="16"/>
        <v>5.9169999999999998</v>
      </c>
      <c r="AN34" s="1851">
        <f t="shared" si="16"/>
        <v>5.9089999999999998</v>
      </c>
      <c r="AO34" s="1851">
        <f t="shared" si="16"/>
        <v>5.9420000000000002</v>
      </c>
      <c r="AP34" s="1851">
        <f t="shared" si="16"/>
        <v>5.9909999999999997</v>
      </c>
      <c r="AQ34" s="1851">
        <f t="shared" ref="AQ34:AX34" si="17">+AQ12/1000</f>
        <v>6.0570000000000004</v>
      </c>
      <c r="AR34" s="1851">
        <f t="shared" si="17"/>
        <v>6.0549999999999997</v>
      </c>
      <c r="AS34" s="1851">
        <f t="shared" si="17"/>
        <v>6.0629999999999997</v>
      </c>
      <c r="AT34" s="1851">
        <f t="shared" si="17"/>
        <v>6.0816000000000008</v>
      </c>
      <c r="AU34" s="1851">
        <f t="shared" si="17"/>
        <v>6.117</v>
      </c>
      <c r="AV34" s="1851">
        <f t="shared" si="17"/>
        <v>6.1079999999999997</v>
      </c>
      <c r="AW34" s="1851">
        <f t="shared" si="17"/>
        <v>6.0709999999999997</v>
      </c>
      <c r="AX34" s="1851">
        <f t="shared" si="17"/>
        <v>6.048</v>
      </c>
    </row>
    <row r="35" spans="1:50">
      <c r="A35" s="74" t="s">
        <v>741</v>
      </c>
      <c r="B35" s="1851"/>
      <c r="C35" s="1851"/>
      <c r="D35" s="1851"/>
      <c r="E35" s="1851"/>
      <c r="F35" s="1851"/>
      <c r="G35" s="1851"/>
      <c r="H35" s="1851"/>
      <c r="I35" s="1851"/>
      <c r="J35" s="1851"/>
      <c r="K35" s="1851"/>
      <c r="L35" s="1851"/>
      <c r="M35" s="1851"/>
      <c r="N35" s="1851"/>
      <c r="O35" s="1851"/>
      <c r="P35" s="1851"/>
      <c r="Q35" s="1851"/>
      <c r="R35" s="1851"/>
      <c r="S35" s="1851"/>
      <c r="T35" s="1851"/>
      <c r="U35" s="1851"/>
      <c r="V35" s="1851"/>
      <c r="W35" s="1851"/>
      <c r="X35" s="1851"/>
      <c r="Y35" s="1851"/>
      <c r="Z35" s="1851"/>
      <c r="AA35" s="1851"/>
      <c r="AB35" s="1851"/>
      <c r="AC35" s="1851"/>
      <c r="AD35" s="1851"/>
      <c r="AE35" s="1851"/>
      <c r="AF35" s="1851"/>
      <c r="AG35" s="1851"/>
      <c r="AH35" s="1851"/>
      <c r="AI35" s="1851"/>
      <c r="AJ35" s="1851"/>
      <c r="AK35" s="1851"/>
      <c r="AL35" s="1851"/>
      <c r="AM35" s="1851"/>
      <c r="AN35" s="1851"/>
      <c r="AO35" s="1851"/>
      <c r="AP35" s="1851"/>
      <c r="AQ35" s="1851"/>
      <c r="AR35" s="1851"/>
      <c r="AS35" s="1851"/>
      <c r="AT35" s="1851"/>
      <c r="AU35" s="1851"/>
      <c r="AV35" s="1851"/>
      <c r="AW35" s="1851"/>
      <c r="AX35" s="1851"/>
    </row>
    <row r="36" spans="1:50">
      <c r="A36" s="113" t="str">
        <f>+Subscribers!A100</f>
        <v>TOTAL</v>
      </c>
      <c r="B36" s="1856"/>
      <c r="C36" s="1856">
        <f t="shared" ref="C36:AG36" si="18">SUM(C33:C34)</f>
        <v>25.008740000000003</v>
      </c>
      <c r="D36" s="1856">
        <f t="shared" si="18"/>
        <v>24.844740000000002</v>
      </c>
      <c r="E36" s="1856">
        <f t="shared" si="18"/>
        <v>24.775739999999999</v>
      </c>
      <c r="F36" s="1856">
        <f t="shared" si="18"/>
        <v>24.890877000000003</v>
      </c>
      <c r="G36" s="1856">
        <f t="shared" si="18"/>
        <v>27.332254781260339</v>
      </c>
      <c r="H36" s="1856">
        <f t="shared" si="18"/>
        <v>27.073638548010273</v>
      </c>
      <c r="I36" s="1856">
        <f t="shared" si="18"/>
        <v>27.029638473684209</v>
      </c>
      <c r="J36" s="1856">
        <f t="shared" si="18"/>
        <v>26.936435500000002</v>
      </c>
      <c r="K36" s="1856">
        <f t="shared" si="18"/>
        <v>26.801321000000002</v>
      </c>
      <c r="L36" s="1856">
        <f t="shared" si="18"/>
        <v>26.58061232</v>
      </c>
      <c r="M36" s="1856">
        <f t="shared" si="18"/>
        <v>26.465130000000002</v>
      </c>
      <c r="N36" s="1856">
        <f t="shared" si="18"/>
        <v>26.379445409679878</v>
      </c>
      <c r="O36" s="1856">
        <f t="shared" si="18"/>
        <v>25.715543169921879</v>
      </c>
      <c r="P36" s="1856">
        <f t="shared" si="18"/>
        <v>25.43674</v>
      </c>
      <c r="Q36" s="1856">
        <f t="shared" si="18"/>
        <v>25.20674</v>
      </c>
      <c r="R36" s="1856">
        <f t="shared" si="18"/>
        <v>25.017740000000003</v>
      </c>
      <c r="S36" s="1856">
        <f t="shared" si="18"/>
        <v>24.788740000000001</v>
      </c>
      <c r="T36" s="1856">
        <f t="shared" si="18"/>
        <v>24.384259999999998</v>
      </c>
      <c r="U36" s="1856">
        <f t="shared" si="18"/>
        <v>23.95966</v>
      </c>
      <c r="V36" s="1856">
        <f t="shared" si="18"/>
        <v>23.545999999999999</v>
      </c>
      <c r="W36" s="1856">
        <f t="shared" si="18"/>
        <v>23.167999999999999</v>
      </c>
      <c r="X36" s="1856">
        <f t="shared" si="18"/>
        <v>22.597239651416125</v>
      </c>
      <c r="Y36" s="1856">
        <f t="shared" si="18"/>
        <v>22.314</v>
      </c>
      <c r="Z36" s="1856">
        <f t="shared" si="18"/>
        <v>22.012</v>
      </c>
      <c r="AA36" s="1856">
        <f t="shared" si="18"/>
        <v>21.875999999999998</v>
      </c>
      <c r="AB36" s="1856">
        <f t="shared" si="18"/>
        <v>21.544999999999998</v>
      </c>
      <c r="AC36" s="1856">
        <f t="shared" si="18"/>
        <v>21.295000000000002</v>
      </c>
      <c r="AD36" s="1856">
        <f t="shared" si="18"/>
        <v>21.016999999999999</v>
      </c>
      <c r="AE36" s="1856">
        <f t="shared" si="18"/>
        <v>20.861999999999998</v>
      </c>
      <c r="AF36" s="1856">
        <f t="shared" si="18"/>
        <v>20.576000000000001</v>
      </c>
      <c r="AG36" s="1856">
        <f t="shared" si="18"/>
        <v>20.382000000000001</v>
      </c>
      <c r="AH36" s="1856">
        <f t="shared" ref="AH36:AP36" si="19">SUM(AH33:AH34)</f>
        <v>20.239999999999998</v>
      </c>
      <c r="AI36" s="1856">
        <f t="shared" si="19"/>
        <v>20.131</v>
      </c>
      <c r="AJ36" s="1856">
        <f t="shared" si="19"/>
        <v>19.914999999999999</v>
      </c>
      <c r="AK36" s="1856">
        <f t="shared" si="19"/>
        <v>19.759999999999998</v>
      </c>
      <c r="AL36" s="1856">
        <f t="shared" si="19"/>
        <v>19.602</v>
      </c>
      <c r="AM36" s="1856">
        <f t="shared" si="19"/>
        <v>19.478000000000002</v>
      </c>
      <c r="AN36" s="1856">
        <f t="shared" si="19"/>
        <v>19.239999999999998</v>
      </c>
      <c r="AO36" s="1856">
        <f t="shared" si="19"/>
        <v>19.091999999999999</v>
      </c>
      <c r="AP36" s="1856">
        <f t="shared" si="19"/>
        <v>18.993000000000002</v>
      </c>
      <c r="AQ36" s="1856">
        <f t="shared" ref="AQ36:AX36" si="20">SUM(AQ33:AQ34)</f>
        <v>18.939</v>
      </c>
      <c r="AR36" s="1856">
        <f t="shared" si="20"/>
        <v>18.762</v>
      </c>
      <c r="AS36" s="1856">
        <f t="shared" si="20"/>
        <v>18.600000000000001</v>
      </c>
      <c r="AT36" s="1856">
        <f t="shared" si="20"/>
        <v>18.4756</v>
      </c>
      <c r="AU36" s="1856">
        <f t="shared" si="20"/>
        <v>18.387</v>
      </c>
      <c r="AV36" s="1856">
        <f t="shared" si="20"/>
        <v>18.216999999999999</v>
      </c>
      <c r="AW36" s="1856">
        <f t="shared" si="20"/>
        <v>17.985999999999997</v>
      </c>
      <c r="AX36" s="1856">
        <f t="shared" si="20"/>
        <v>17.795999999999999</v>
      </c>
    </row>
    <row r="37" spans="1:50">
      <c r="A37" s="74" t="str">
        <f>+Subscribers!A101</f>
        <v>Avg</v>
      </c>
      <c r="B37" s="1851"/>
      <c r="C37" s="1851">
        <f t="shared" ref="C37:AG37" si="21">+AVERAGE(B36:C36)</f>
        <v>25.008740000000003</v>
      </c>
      <c r="D37" s="1851">
        <f t="shared" si="21"/>
        <v>24.926740000000002</v>
      </c>
      <c r="E37" s="1851">
        <f t="shared" si="21"/>
        <v>24.81024</v>
      </c>
      <c r="F37" s="1851">
        <f t="shared" si="21"/>
        <v>24.833308500000001</v>
      </c>
      <c r="G37" s="1851">
        <f t="shared" si="21"/>
        <v>26.111565890630171</v>
      </c>
      <c r="H37" s="1851">
        <f t="shared" si="21"/>
        <v>27.202946664635306</v>
      </c>
      <c r="I37" s="1851">
        <f t="shared" si="21"/>
        <v>27.051638510847241</v>
      </c>
      <c r="J37" s="1851">
        <f t="shared" si="21"/>
        <v>26.983036986842105</v>
      </c>
      <c r="K37" s="1851">
        <f t="shared" si="21"/>
        <v>26.868878250000002</v>
      </c>
      <c r="L37" s="1851">
        <f t="shared" si="21"/>
        <v>26.690966660000001</v>
      </c>
      <c r="M37" s="1851">
        <f t="shared" si="21"/>
        <v>26.522871160000001</v>
      </c>
      <c r="N37" s="1851">
        <f t="shared" si="21"/>
        <v>26.422287704839938</v>
      </c>
      <c r="O37" s="1851">
        <f t="shared" si="21"/>
        <v>26.047494289800881</v>
      </c>
      <c r="P37" s="1851">
        <f t="shared" si="21"/>
        <v>25.57614158496094</v>
      </c>
      <c r="Q37" s="1851">
        <f t="shared" si="21"/>
        <v>25.321739999999998</v>
      </c>
      <c r="R37" s="1851">
        <f t="shared" si="21"/>
        <v>25.11224</v>
      </c>
      <c r="S37" s="1851">
        <f t="shared" si="21"/>
        <v>24.903240000000004</v>
      </c>
      <c r="T37" s="1851">
        <f t="shared" si="21"/>
        <v>24.586500000000001</v>
      </c>
      <c r="U37" s="1851">
        <f t="shared" si="21"/>
        <v>24.171959999999999</v>
      </c>
      <c r="V37" s="1851">
        <f t="shared" si="21"/>
        <v>23.752829999999999</v>
      </c>
      <c r="W37" s="1851">
        <f t="shared" si="21"/>
        <v>23.356999999999999</v>
      </c>
      <c r="X37" s="1851">
        <f t="shared" si="21"/>
        <v>22.882619825708062</v>
      </c>
      <c r="Y37" s="1851">
        <f t="shared" si="21"/>
        <v>22.455619825708062</v>
      </c>
      <c r="Z37" s="1851">
        <f t="shared" si="21"/>
        <v>22.163</v>
      </c>
      <c r="AA37" s="1851">
        <f t="shared" si="21"/>
        <v>21.943999999999999</v>
      </c>
      <c r="AB37" s="1851">
        <f t="shared" si="21"/>
        <v>21.710499999999996</v>
      </c>
      <c r="AC37" s="1851">
        <f t="shared" si="21"/>
        <v>21.42</v>
      </c>
      <c r="AD37" s="1851">
        <f t="shared" si="21"/>
        <v>21.155999999999999</v>
      </c>
      <c r="AE37" s="1851">
        <f t="shared" si="21"/>
        <v>20.939499999999999</v>
      </c>
      <c r="AF37" s="1851">
        <f t="shared" si="21"/>
        <v>20.719000000000001</v>
      </c>
      <c r="AG37" s="1851">
        <f t="shared" si="21"/>
        <v>20.478999999999999</v>
      </c>
      <c r="AH37" s="1851">
        <f t="shared" ref="AH37:AP37" si="22">+AVERAGE(AG36:AH36)</f>
        <v>20.311</v>
      </c>
      <c r="AI37" s="1851">
        <f t="shared" si="22"/>
        <v>20.185499999999998</v>
      </c>
      <c r="AJ37" s="1851">
        <f t="shared" si="22"/>
        <v>20.023</v>
      </c>
      <c r="AK37" s="1851">
        <f t="shared" si="22"/>
        <v>19.837499999999999</v>
      </c>
      <c r="AL37" s="1851">
        <f t="shared" si="22"/>
        <v>19.680999999999997</v>
      </c>
      <c r="AM37" s="1851">
        <f t="shared" si="22"/>
        <v>19.54</v>
      </c>
      <c r="AN37" s="1851">
        <f t="shared" si="22"/>
        <v>19.359000000000002</v>
      </c>
      <c r="AO37" s="1851">
        <f t="shared" si="22"/>
        <v>19.165999999999997</v>
      </c>
      <c r="AP37" s="1851">
        <f t="shared" si="22"/>
        <v>19.0425</v>
      </c>
      <c r="AQ37" s="1851">
        <f t="shared" ref="AQ37:AX37" si="23">+AVERAGE(AP36:AQ36)</f>
        <v>18.966000000000001</v>
      </c>
      <c r="AR37" s="1851">
        <f t="shared" si="23"/>
        <v>18.8505</v>
      </c>
      <c r="AS37" s="1851">
        <f t="shared" si="23"/>
        <v>18.681000000000001</v>
      </c>
      <c r="AT37" s="1851">
        <f t="shared" si="23"/>
        <v>18.537800000000001</v>
      </c>
      <c r="AU37" s="1851">
        <f t="shared" si="23"/>
        <v>18.4313</v>
      </c>
      <c r="AV37" s="1851">
        <f t="shared" si="23"/>
        <v>18.302</v>
      </c>
      <c r="AW37" s="1851">
        <f t="shared" si="23"/>
        <v>18.101499999999998</v>
      </c>
      <c r="AX37" s="1851">
        <f t="shared" si="23"/>
        <v>17.890999999999998</v>
      </c>
    </row>
    <row r="38" spans="1:50">
      <c r="A38" s="74"/>
      <c r="B38" s="1851"/>
      <c r="C38" s="1851"/>
      <c r="D38" s="1851"/>
      <c r="E38" s="1851"/>
      <c r="F38" s="1851"/>
      <c r="G38" s="1851"/>
      <c r="H38" s="1851"/>
      <c r="I38" s="1851"/>
      <c r="J38" s="1851"/>
      <c r="K38" s="1851"/>
      <c r="L38" s="1851"/>
      <c r="M38" s="1851"/>
      <c r="N38" s="1851"/>
      <c r="O38" s="1851"/>
      <c r="P38" s="1851"/>
      <c r="Q38" s="1851"/>
      <c r="R38" s="1851"/>
      <c r="S38" s="1851"/>
      <c r="T38" s="1851"/>
      <c r="U38" s="1851"/>
      <c r="V38" s="1851"/>
      <c r="W38" s="1851"/>
      <c r="X38" s="1851"/>
      <c r="Y38" s="1851"/>
      <c r="Z38" s="1851"/>
      <c r="AA38" s="1851"/>
      <c r="AB38" s="1851"/>
      <c r="AC38" s="1851"/>
      <c r="AD38" s="1851"/>
      <c r="AE38" s="1851"/>
      <c r="AF38" s="1851"/>
      <c r="AG38" s="1851"/>
      <c r="AH38" s="1851"/>
      <c r="AI38" s="1851"/>
      <c r="AJ38" s="1851"/>
      <c r="AK38" s="1851"/>
      <c r="AL38" s="1851"/>
      <c r="AM38" s="1851"/>
      <c r="AN38" s="1851"/>
      <c r="AO38" s="1851"/>
      <c r="AP38" s="1851"/>
      <c r="AQ38" s="1851"/>
      <c r="AR38" s="1851"/>
      <c r="AS38" s="1851"/>
      <c r="AT38" s="1851"/>
      <c r="AU38" s="1851"/>
      <c r="AV38" s="1851"/>
      <c r="AW38" s="1851"/>
      <c r="AX38" s="1851"/>
    </row>
    <row r="39" spans="1:50">
      <c r="A39" s="113" t="str">
        <f>+Subscribers!A103</f>
        <v>RGU net adds</v>
      </c>
      <c r="B39" s="1851"/>
      <c r="C39" s="1851"/>
      <c r="D39" s="1851"/>
      <c r="E39" s="1851"/>
      <c r="F39" s="1851"/>
      <c r="G39" s="1851"/>
      <c r="H39" s="1851"/>
      <c r="I39" s="1851"/>
      <c r="J39" s="1851"/>
      <c r="K39" s="1851"/>
      <c r="L39" s="1851"/>
      <c r="M39" s="1851"/>
      <c r="N39" s="1851"/>
      <c r="O39" s="1851"/>
      <c r="P39" s="1851"/>
      <c r="Q39" s="1851"/>
      <c r="R39" s="1851"/>
      <c r="S39" s="1851"/>
      <c r="T39" s="1851"/>
      <c r="U39" s="1851"/>
      <c r="V39" s="1851"/>
      <c r="W39" s="1851"/>
      <c r="X39" s="1851"/>
      <c r="Y39" s="1851"/>
      <c r="Z39" s="1851"/>
      <c r="AA39" s="1851"/>
      <c r="AB39" s="1851"/>
      <c r="AC39" s="1851"/>
      <c r="AD39" s="1851"/>
      <c r="AE39" s="1851"/>
      <c r="AF39" s="1851"/>
      <c r="AG39" s="1851"/>
      <c r="AH39" s="1851"/>
      <c r="AI39" s="1851"/>
      <c r="AJ39" s="1851"/>
      <c r="AK39" s="1851"/>
      <c r="AL39" s="1851"/>
      <c r="AM39" s="1851"/>
      <c r="AN39" s="1851"/>
      <c r="AO39" s="1851"/>
      <c r="AP39" s="1851"/>
      <c r="AQ39" s="1851"/>
      <c r="AR39" s="1851"/>
      <c r="AS39" s="1851"/>
      <c r="AT39" s="1851"/>
      <c r="AU39" s="1851"/>
      <c r="AV39" s="1851"/>
      <c r="AW39" s="1851"/>
      <c r="AX39" s="1851"/>
    </row>
    <row r="40" spans="1:50">
      <c r="A40" s="74" t="str">
        <f>+Subscribers!A104</f>
        <v>ACCESS LINES</v>
      </c>
      <c r="B40" s="1851"/>
      <c r="C40" s="1854"/>
      <c r="D40" s="1854">
        <f t="shared" ref="D40:AG40" si="24">+D33-C33</f>
        <v>-0.30700000000000216</v>
      </c>
      <c r="E40" s="1854">
        <f t="shared" si="24"/>
        <v>-0.22100000000000009</v>
      </c>
      <c r="F40" s="1854">
        <f t="shared" si="24"/>
        <v>-0.20799999999999841</v>
      </c>
      <c r="G40" s="1854">
        <f t="shared" si="24"/>
        <v>2.2638897812603354</v>
      </c>
      <c r="H40" s="1854">
        <f t="shared" si="24"/>
        <v>-0.38766523325006474</v>
      </c>
      <c r="I40" s="1854">
        <f t="shared" si="24"/>
        <v>-0.26860807432606393</v>
      </c>
      <c r="J40" s="1854">
        <f t="shared" si="24"/>
        <v>-0.31819597368420816</v>
      </c>
      <c r="K40" s="1854">
        <f t="shared" si="24"/>
        <v>-0.45762249999999938</v>
      </c>
      <c r="L40" s="1854">
        <f t="shared" si="24"/>
        <v>-0.4422202800000008</v>
      </c>
      <c r="M40" s="1854">
        <f t="shared" si="24"/>
        <v>-0.40298771999999872</v>
      </c>
      <c r="N40" s="1854">
        <f t="shared" si="24"/>
        <v>-0.36459500000000133</v>
      </c>
      <c r="O40" s="1854">
        <f t="shared" si="24"/>
        <v>-0.77224499999999807</v>
      </c>
      <c r="P40" s="1854">
        <f t="shared" si="24"/>
        <v>-0.4617500000000021</v>
      </c>
      <c r="Q40" s="1854">
        <f t="shared" si="24"/>
        <v>-0.42399999999999949</v>
      </c>
      <c r="R40" s="1854">
        <f t="shared" si="24"/>
        <v>-0.37099999999999866</v>
      </c>
      <c r="S40" s="1854">
        <f t="shared" si="24"/>
        <v>-0.42500000000000071</v>
      </c>
      <c r="T40" s="1854">
        <f t="shared" si="24"/>
        <v>-0.48848000000000269</v>
      </c>
      <c r="U40" s="1854">
        <f t="shared" si="24"/>
        <v>-0.51459999999999795</v>
      </c>
      <c r="V40" s="1854">
        <f t="shared" si="24"/>
        <v>-0.50366</v>
      </c>
      <c r="W40" s="1854">
        <f t="shared" si="24"/>
        <v>-0.49800000000000111</v>
      </c>
      <c r="X40" s="1854">
        <f t="shared" si="24"/>
        <v>-0.63276034858387575</v>
      </c>
      <c r="Y40" s="1854">
        <f t="shared" si="24"/>
        <v>-0.35523965141612379</v>
      </c>
      <c r="Z40" s="1854">
        <f t="shared" si="24"/>
        <v>-0.39100000000000179</v>
      </c>
      <c r="AA40" s="1854">
        <f t="shared" si="24"/>
        <v>-0.33699999999999974</v>
      </c>
      <c r="AB40" s="1854">
        <f t="shared" si="24"/>
        <v>-0.36899999999999977</v>
      </c>
      <c r="AC40" s="1854">
        <f t="shared" si="24"/>
        <v>-0.32199999999999918</v>
      </c>
      <c r="AD40" s="1854">
        <f t="shared" si="24"/>
        <v>-0.3230000000000004</v>
      </c>
      <c r="AE40" s="1854">
        <f t="shared" si="24"/>
        <v>-0.25600000000000023</v>
      </c>
      <c r="AF40" s="1854">
        <f t="shared" si="24"/>
        <v>-0.29999999999999893</v>
      </c>
      <c r="AG40" s="1854">
        <f t="shared" si="24"/>
        <v>-0.25399999999999956</v>
      </c>
      <c r="AH40" s="1854">
        <f t="shared" ref="AH40:AL43" si="25">+AH33-AG33</f>
        <v>-0.21900000000000119</v>
      </c>
      <c r="AI40" s="1854">
        <f t="shared" si="25"/>
        <v>-0.20100000000000051</v>
      </c>
      <c r="AJ40" s="1854">
        <f t="shared" si="25"/>
        <v>-0.23399999999999999</v>
      </c>
      <c r="AK40" s="1854">
        <f t="shared" si="25"/>
        <v>-0.19899999999999984</v>
      </c>
      <c r="AL40" s="1854">
        <f t="shared" si="25"/>
        <v>-0.19899999999999984</v>
      </c>
      <c r="AM40" s="1854">
        <f t="shared" ref="AM40:AP43" si="26">+AM33-AL33</f>
        <v>-0.1899999999999995</v>
      </c>
      <c r="AN40" s="1854">
        <f t="shared" si="26"/>
        <v>-0.23000000000000043</v>
      </c>
      <c r="AO40" s="1854">
        <f t="shared" si="26"/>
        <v>-0.18099999999999916</v>
      </c>
      <c r="AP40" s="1854">
        <f t="shared" si="26"/>
        <v>-0.14799999999999969</v>
      </c>
      <c r="AQ40" s="1854">
        <f t="shared" ref="AQ40:AT43" si="27">+AQ33-AP33</f>
        <v>-0.12000000000000099</v>
      </c>
      <c r="AR40" s="1854">
        <f t="shared" si="27"/>
        <v>-0.17499999999999893</v>
      </c>
      <c r="AS40" s="1854">
        <f t="shared" si="27"/>
        <v>-0.16999999999999993</v>
      </c>
      <c r="AT40" s="1854">
        <f t="shared" si="27"/>
        <v>-0.14300000000000068</v>
      </c>
      <c r="AU40" s="1854">
        <f t="shared" ref="AU40:AX43" si="28">+AU33-AT33</f>
        <v>-0.12400000000000055</v>
      </c>
      <c r="AV40" s="1854">
        <f t="shared" si="28"/>
        <v>-0.16099999999999959</v>
      </c>
      <c r="AW40" s="1854">
        <f t="shared" si="28"/>
        <v>-0.19400000000000084</v>
      </c>
      <c r="AX40" s="1854">
        <f t="shared" si="28"/>
        <v>-0.16699999999999982</v>
      </c>
    </row>
    <row r="41" spans="1:50">
      <c r="A41" s="74" t="str">
        <f>+Subscribers!A105</f>
        <v>B'BAND</v>
      </c>
      <c r="B41" s="1851"/>
      <c r="C41" s="1854"/>
      <c r="D41" s="1854">
        <f t="shared" ref="D41:AG41" si="29">+D34-C34</f>
        <v>0.14300000000000002</v>
      </c>
      <c r="E41" s="1854">
        <f t="shared" si="29"/>
        <v>0.15199999999999991</v>
      </c>
      <c r="F41" s="1854">
        <f t="shared" si="29"/>
        <v>0.32313700000000001</v>
      </c>
      <c r="G41" s="1854">
        <f t="shared" si="29"/>
        <v>0.17748800000000009</v>
      </c>
      <c r="H41" s="1854">
        <f t="shared" si="29"/>
        <v>0.12904899999999997</v>
      </c>
      <c r="I41" s="1854">
        <f t="shared" si="29"/>
        <v>0.22460800000000036</v>
      </c>
      <c r="J41" s="1854">
        <f t="shared" si="29"/>
        <v>0.22499299999999955</v>
      </c>
      <c r="K41" s="1854">
        <f t="shared" si="29"/>
        <v>0.32250800000000002</v>
      </c>
      <c r="L41" s="1854">
        <f t="shared" si="29"/>
        <v>0.22151160000000036</v>
      </c>
      <c r="M41" s="1854">
        <f t="shared" si="29"/>
        <v>0.28750540000000013</v>
      </c>
      <c r="N41" s="1854">
        <f t="shared" si="29"/>
        <v>0.27891040967987779</v>
      </c>
      <c r="O41" s="1854">
        <f t="shared" si="29"/>
        <v>0.10834276024199685</v>
      </c>
      <c r="P41" s="1854">
        <f t="shared" si="29"/>
        <v>0.18294683007812518</v>
      </c>
      <c r="Q41" s="1854">
        <f t="shared" si="29"/>
        <v>0.19399999999999951</v>
      </c>
      <c r="R41" s="1854">
        <f t="shared" si="29"/>
        <v>0.18200000000000038</v>
      </c>
      <c r="S41" s="1854">
        <f t="shared" si="29"/>
        <v>0.19599999999999973</v>
      </c>
      <c r="T41" s="1854">
        <f t="shared" si="29"/>
        <v>8.4000000000000519E-2</v>
      </c>
      <c r="U41" s="1854">
        <f t="shared" si="29"/>
        <v>8.9999999999999858E-2</v>
      </c>
      <c r="V41" s="1854">
        <f t="shared" si="29"/>
        <v>8.9999999999999858E-2</v>
      </c>
      <c r="W41" s="1854">
        <f t="shared" si="29"/>
        <v>0.12000000000000011</v>
      </c>
      <c r="X41" s="1854">
        <f t="shared" si="29"/>
        <v>6.1999999999999389E-2</v>
      </c>
      <c r="Y41" s="1854">
        <f t="shared" si="29"/>
        <v>7.2000000000000064E-2</v>
      </c>
      <c r="Z41" s="1854">
        <f t="shared" si="29"/>
        <v>8.9000000000000412E-2</v>
      </c>
      <c r="AA41" s="1854">
        <f t="shared" si="29"/>
        <v>0.20099999999999962</v>
      </c>
      <c r="AB41" s="1854">
        <f t="shared" si="29"/>
        <v>3.8000000000000256E-2</v>
      </c>
      <c r="AC41" s="1854">
        <f t="shared" si="29"/>
        <v>7.2000000000000064E-2</v>
      </c>
      <c r="AD41" s="1854">
        <f t="shared" si="29"/>
        <v>4.4999999999999929E-2</v>
      </c>
      <c r="AE41" s="1854">
        <f t="shared" si="29"/>
        <v>0.10099999999999998</v>
      </c>
      <c r="AF41" s="1854">
        <f t="shared" si="29"/>
        <v>1.4000000000000234E-2</v>
      </c>
      <c r="AG41" s="1854">
        <f t="shared" si="29"/>
        <v>5.9999999999999609E-2</v>
      </c>
      <c r="AH41" s="1854">
        <f t="shared" si="25"/>
        <v>7.6999999999999957E-2</v>
      </c>
      <c r="AI41" s="1854">
        <f t="shared" si="25"/>
        <v>9.2000000000000526E-2</v>
      </c>
      <c r="AJ41" s="1854">
        <f t="shared" si="25"/>
        <v>1.7999999999999794E-2</v>
      </c>
      <c r="AK41" s="1854">
        <f t="shared" si="25"/>
        <v>4.3999999999999595E-2</v>
      </c>
      <c r="AL41" s="1854">
        <f t="shared" si="25"/>
        <v>4.1000000000000369E-2</v>
      </c>
      <c r="AM41" s="1854">
        <f t="shared" si="26"/>
        <v>6.5999999999999837E-2</v>
      </c>
      <c r="AN41" s="1854">
        <f t="shared" si="26"/>
        <v>-8.0000000000000071E-3</v>
      </c>
      <c r="AO41" s="1854">
        <f t="shared" si="26"/>
        <v>3.3000000000000362E-2</v>
      </c>
      <c r="AP41" s="1854">
        <f t="shared" si="26"/>
        <v>4.8999999999999488E-2</v>
      </c>
      <c r="AQ41" s="1854">
        <f t="shared" si="27"/>
        <v>6.6000000000000725E-2</v>
      </c>
      <c r="AR41" s="1854">
        <f t="shared" si="27"/>
        <v>-2.0000000000006679E-3</v>
      </c>
      <c r="AS41" s="1854">
        <f t="shared" si="27"/>
        <v>8.0000000000000071E-3</v>
      </c>
      <c r="AT41" s="1854">
        <f t="shared" si="27"/>
        <v>1.860000000000106E-2</v>
      </c>
      <c r="AU41" s="1854">
        <f t="shared" si="28"/>
        <v>3.539999999999921E-2</v>
      </c>
      <c r="AV41" s="1854">
        <f t="shared" si="28"/>
        <v>-9.0000000000003411E-3</v>
      </c>
      <c r="AW41" s="1854">
        <f t="shared" si="28"/>
        <v>-3.6999999999999922E-2</v>
      </c>
      <c r="AX41" s="1854">
        <f t="shared" si="28"/>
        <v>-2.2999999999999687E-2</v>
      </c>
    </row>
    <row r="42" spans="1:50">
      <c r="A42" s="74" t="s">
        <v>741</v>
      </c>
      <c r="B42" s="1851"/>
      <c r="C42" s="1854"/>
      <c r="D42" s="1854">
        <f t="shared" ref="D42:AG42" si="30">+D35-C35</f>
        <v>0</v>
      </c>
      <c r="E42" s="1854">
        <f t="shared" si="30"/>
        <v>0</v>
      </c>
      <c r="F42" s="1854">
        <f t="shared" si="30"/>
        <v>0</v>
      </c>
      <c r="G42" s="1854">
        <f t="shared" si="30"/>
        <v>0</v>
      </c>
      <c r="H42" s="1854">
        <f t="shared" si="30"/>
        <v>0</v>
      </c>
      <c r="I42" s="1854">
        <f t="shared" si="30"/>
        <v>0</v>
      </c>
      <c r="J42" s="1854">
        <f t="shared" si="30"/>
        <v>0</v>
      </c>
      <c r="K42" s="1854">
        <f t="shared" si="30"/>
        <v>0</v>
      </c>
      <c r="L42" s="1854">
        <f t="shared" si="30"/>
        <v>0</v>
      </c>
      <c r="M42" s="1854">
        <f t="shared" si="30"/>
        <v>0</v>
      </c>
      <c r="N42" s="1854">
        <f t="shared" si="30"/>
        <v>0</v>
      </c>
      <c r="O42" s="1854">
        <f t="shared" si="30"/>
        <v>0</v>
      </c>
      <c r="P42" s="1854">
        <f t="shared" si="30"/>
        <v>0</v>
      </c>
      <c r="Q42" s="1854">
        <f t="shared" si="30"/>
        <v>0</v>
      </c>
      <c r="R42" s="1854">
        <f t="shared" si="30"/>
        <v>0</v>
      </c>
      <c r="S42" s="1854">
        <f t="shared" si="30"/>
        <v>0</v>
      </c>
      <c r="T42" s="1854">
        <f t="shared" si="30"/>
        <v>0</v>
      </c>
      <c r="U42" s="1854">
        <f t="shared" si="30"/>
        <v>0</v>
      </c>
      <c r="V42" s="1854">
        <f t="shared" si="30"/>
        <v>0</v>
      </c>
      <c r="W42" s="1854">
        <f t="shared" si="30"/>
        <v>0</v>
      </c>
      <c r="X42" s="1854">
        <f t="shared" si="30"/>
        <v>0</v>
      </c>
      <c r="Y42" s="1854">
        <f t="shared" si="30"/>
        <v>0</v>
      </c>
      <c r="Z42" s="1854">
        <f t="shared" si="30"/>
        <v>0</v>
      </c>
      <c r="AA42" s="1854">
        <f t="shared" si="30"/>
        <v>0</v>
      </c>
      <c r="AB42" s="1854">
        <f t="shared" si="30"/>
        <v>0</v>
      </c>
      <c r="AC42" s="1854">
        <f t="shared" si="30"/>
        <v>0</v>
      </c>
      <c r="AD42" s="1854">
        <f t="shared" si="30"/>
        <v>0</v>
      </c>
      <c r="AE42" s="1854">
        <f t="shared" si="30"/>
        <v>0</v>
      </c>
      <c r="AF42" s="1854">
        <f t="shared" si="30"/>
        <v>0</v>
      </c>
      <c r="AG42" s="1854">
        <f t="shared" si="30"/>
        <v>0</v>
      </c>
      <c r="AH42" s="1854">
        <f t="shared" si="25"/>
        <v>0</v>
      </c>
      <c r="AI42" s="1854">
        <f t="shared" si="25"/>
        <v>0</v>
      </c>
      <c r="AJ42" s="1854">
        <f t="shared" si="25"/>
        <v>0</v>
      </c>
      <c r="AK42" s="1854">
        <f t="shared" si="25"/>
        <v>0</v>
      </c>
      <c r="AL42" s="1854">
        <f t="shared" si="25"/>
        <v>0</v>
      </c>
      <c r="AM42" s="1854">
        <f t="shared" si="26"/>
        <v>0</v>
      </c>
      <c r="AN42" s="1854">
        <f t="shared" si="26"/>
        <v>0</v>
      </c>
      <c r="AO42" s="1854">
        <f t="shared" si="26"/>
        <v>0</v>
      </c>
      <c r="AP42" s="1854">
        <f t="shared" si="26"/>
        <v>0</v>
      </c>
      <c r="AQ42" s="1854">
        <f t="shared" si="27"/>
        <v>0</v>
      </c>
      <c r="AR42" s="1854">
        <f t="shared" si="27"/>
        <v>0</v>
      </c>
      <c r="AS42" s="1854">
        <f t="shared" si="27"/>
        <v>0</v>
      </c>
      <c r="AT42" s="1854">
        <f t="shared" si="27"/>
        <v>0</v>
      </c>
      <c r="AU42" s="1854">
        <f t="shared" si="28"/>
        <v>0</v>
      </c>
      <c r="AV42" s="1854">
        <f t="shared" si="28"/>
        <v>0</v>
      </c>
      <c r="AW42" s="1854">
        <f t="shared" si="28"/>
        <v>0</v>
      </c>
      <c r="AX42" s="1854">
        <f t="shared" si="28"/>
        <v>0</v>
      </c>
    </row>
    <row r="43" spans="1:50">
      <c r="A43" s="113" t="str">
        <f>+Subscribers!A106</f>
        <v>TOTAL</v>
      </c>
      <c r="B43" s="1856"/>
      <c r="C43" s="1857"/>
      <c r="D43" s="1857">
        <f t="shared" ref="D43:AG43" si="31">+D36-C36</f>
        <v>-0.16400000000000148</v>
      </c>
      <c r="E43" s="1857">
        <f t="shared" si="31"/>
        <v>-6.9000000000002615E-2</v>
      </c>
      <c r="F43" s="1857">
        <f t="shared" si="31"/>
        <v>0.11513700000000426</v>
      </c>
      <c r="G43" s="1857">
        <f t="shared" si="31"/>
        <v>2.4413777812603357</v>
      </c>
      <c r="H43" s="1857">
        <f t="shared" si="31"/>
        <v>-0.25861623325006633</v>
      </c>
      <c r="I43" s="1857">
        <f t="shared" si="31"/>
        <v>-4.4000074326064009E-2</v>
      </c>
      <c r="J43" s="1857">
        <f t="shared" si="31"/>
        <v>-9.3202973684206825E-2</v>
      </c>
      <c r="K43" s="1857">
        <f t="shared" si="31"/>
        <v>-0.13511450000000025</v>
      </c>
      <c r="L43" s="1857">
        <f t="shared" si="31"/>
        <v>-0.22070868000000132</v>
      </c>
      <c r="M43" s="1857">
        <f t="shared" si="31"/>
        <v>-0.11548231999999814</v>
      </c>
      <c r="N43" s="1857">
        <f t="shared" si="31"/>
        <v>-8.5684590320123988E-2</v>
      </c>
      <c r="O43" s="1857">
        <f t="shared" si="31"/>
        <v>-0.66390223975799856</v>
      </c>
      <c r="P43" s="1857">
        <f t="shared" si="31"/>
        <v>-0.27880316992187915</v>
      </c>
      <c r="Q43" s="1857">
        <f t="shared" si="31"/>
        <v>-0.23000000000000043</v>
      </c>
      <c r="R43" s="1857">
        <f t="shared" si="31"/>
        <v>-0.1889999999999965</v>
      </c>
      <c r="S43" s="1857">
        <f t="shared" si="31"/>
        <v>-0.22900000000000276</v>
      </c>
      <c r="T43" s="1857">
        <f t="shared" si="31"/>
        <v>-0.40448000000000306</v>
      </c>
      <c r="U43" s="1857">
        <f t="shared" si="31"/>
        <v>-0.42459999999999809</v>
      </c>
      <c r="V43" s="1857">
        <f t="shared" si="31"/>
        <v>-0.41366000000000014</v>
      </c>
      <c r="W43" s="1857">
        <f t="shared" si="31"/>
        <v>-0.37800000000000011</v>
      </c>
      <c r="X43" s="1857">
        <f t="shared" si="31"/>
        <v>-0.57076034858387459</v>
      </c>
      <c r="Y43" s="1857">
        <f t="shared" si="31"/>
        <v>-0.28323965141612462</v>
      </c>
      <c r="Z43" s="1857">
        <f t="shared" si="31"/>
        <v>-0.3019999999999996</v>
      </c>
      <c r="AA43" s="1857">
        <f t="shared" si="31"/>
        <v>-0.13600000000000279</v>
      </c>
      <c r="AB43" s="1857">
        <f t="shared" si="31"/>
        <v>-0.33099999999999952</v>
      </c>
      <c r="AC43" s="1857">
        <f t="shared" si="31"/>
        <v>-0.24999999999999645</v>
      </c>
      <c r="AD43" s="1857">
        <f t="shared" si="31"/>
        <v>-0.27800000000000225</v>
      </c>
      <c r="AE43" s="1857">
        <f t="shared" si="31"/>
        <v>-0.15500000000000114</v>
      </c>
      <c r="AF43" s="1857">
        <f t="shared" si="31"/>
        <v>-0.28599999999999781</v>
      </c>
      <c r="AG43" s="1857">
        <f t="shared" si="31"/>
        <v>-0.19399999999999906</v>
      </c>
      <c r="AH43" s="1857">
        <f t="shared" si="25"/>
        <v>-0.14200000000000301</v>
      </c>
      <c r="AI43" s="1857">
        <f t="shared" si="25"/>
        <v>-0.10899999999999821</v>
      </c>
      <c r="AJ43" s="1857">
        <f t="shared" si="25"/>
        <v>-0.21600000000000108</v>
      </c>
      <c r="AK43" s="1857">
        <f t="shared" si="25"/>
        <v>-0.15500000000000114</v>
      </c>
      <c r="AL43" s="1857">
        <f t="shared" si="25"/>
        <v>-0.1579999999999977</v>
      </c>
      <c r="AM43" s="1857">
        <f t="shared" si="26"/>
        <v>-0.12399999999999878</v>
      </c>
      <c r="AN43" s="1857">
        <f t="shared" si="26"/>
        <v>-0.2380000000000031</v>
      </c>
      <c r="AO43" s="1857">
        <f t="shared" si="26"/>
        <v>-0.14799999999999969</v>
      </c>
      <c r="AP43" s="1857">
        <f t="shared" si="26"/>
        <v>-9.8999999999996646E-2</v>
      </c>
      <c r="AQ43" s="1857">
        <f t="shared" si="27"/>
        <v>-5.4000000000002046E-2</v>
      </c>
      <c r="AR43" s="1857">
        <f t="shared" si="27"/>
        <v>-0.1769999999999996</v>
      </c>
      <c r="AS43" s="1857">
        <f t="shared" si="27"/>
        <v>-0.16199999999999903</v>
      </c>
      <c r="AT43" s="1857">
        <f t="shared" si="27"/>
        <v>-0.1244000000000014</v>
      </c>
      <c r="AU43" s="1857">
        <f t="shared" si="28"/>
        <v>-8.8599999999999568E-2</v>
      </c>
      <c r="AV43" s="1857">
        <f t="shared" si="28"/>
        <v>-0.17000000000000171</v>
      </c>
      <c r="AW43" s="1857">
        <f t="shared" si="28"/>
        <v>-0.23100000000000165</v>
      </c>
      <c r="AX43" s="1857">
        <f t="shared" si="28"/>
        <v>-0.18999999999999773</v>
      </c>
    </row>
    <row r="44" spans="1:50">
      <c r="A44" s="74"/>
      <c r="B44" s="1851"/>
      <c r="C44" s="1851"/>
      <c r="D44" s="1851"/>
      <c r="E44" s="1851"/>
      <c r="F44" s="1851"/>
      <c r="G44" s="1851"/>
      <c r="H44" s="1851"/>
      <c r="I44" s="1851"/>
      <c r="J44" s="1851"/>
      <c r="K44" s="1851"/>
      <c r="L44" s="1851"/>
      <c r="M44" s="1851"/>
      <c r="N44" s="1851"/>
      <c r="O44" s="1851"/>
      <c r="P44" s="1851"/>
      <c r="Q44" s="1851"/>
      <c r="R44" s="1851"/>
      <c r="S44" s="1851"/>
      <c r="T44" s="1851"/>
      <c r="U44" s="1851"/>
      <c r="V44" s="1851"/>
      <c r="W44" s="1851"/>
      <c r="X44" s="1851"/>
      <c r="Y44" s="1851"/>
      <c r="Z44" s="1851"/>
      <c r="AA44" s="1851"/>
      <c r="AB44" s="1851"/>
      <c r="AC44" s="1851"/>
      <c r="AD44" s="1851"/>
      <c r="AE44" s="1851"/>
      <c r="AF44" s="1851"/>
      <c r="AG44" s="1851"/>
      <c r="AH44" s="1851"/>
      <c r="AI44" s="1851"/>
      <c r="AJ44" s="1851"/>
      <c r="AK44" s="1851"/>
      <c r="AL44" s="1851"/>
      <c r="AM44" s="1851"/>
      <c r="AN44" s="1851"/>
      <c r="AO44" s="1851"/>
      <c r="AP44" s="1851"/>
      <c r="AQ44" s="1851"/>
      <c r="AR44" s="1851"/>
      <c r="AS44" s="1851"/>
      <c r="AT44" s="1851"/>
      <c r="AU44" s="1851"/>
      <c r="AV44" s="1851"/>
      <c r="AW44" s="1851"/>
      <c r="AX44" s="1851"/>
    </row>
    <row r="45" spans="1:50">
      <c r="A45" s="113" t="str">
        <f>+Subscribers!A108</f>
        <v>RGU GROWTH</v>
      </c>
      <c r="B45" s="1851"/>
      <c r="C45" s="1851"/>
      <c r="D45" s="1851"/>
      <c r="E45" s="1851"/>
      <c r="F45" s="1851"/>
      <c r="G45" s="1851"/>
      <c r="H45" s="1851"/>
      <c r="I45" s="1851"/>
      <c r="J45" s="1851"/>
      <c r="K45" s="1851"/>
      <c r="L45" s="1851"/>
      <c r="M45" s="1851"/>
      <c r="N45" s="1851"/>
      <c r="O45" s="1851"/>
      <c r="P45" s="1851"/>
      <c r="Q45" s="1851"/>
      <c r="R45" s="1851"/>
      <c r="S45" s="1851"/>
      <c r="T45" s="1851"/>
      <c r="U45" s="1851"/>
      <c r="V45" s="1851"/>
      <c r="W45" s="1851"/>
      <c r="X45" s="1851"/>
      <c r="Y45" s="1851"/>
      <c r="Z45" s="1851"/>
      <c r="AA45" s="1851"/>
      <c r="AB45" s="1851"/>
      <c r="AC45" s="1851"/>
      <c r="AD45" s="1851"/>
      <c r="AE45" s="1851"/>
      <c r="AF45" s="1851"/>
      <c r="AG45" s="1851"/>
      <c r="AH45" s="1851"/>
      <c r="AI45" s="1851"/>
      <c r="AJ45" s="1851"/>
      <c r="AK45" s="1851"/>
      <c r="AL45" s="1851"/>
      <c r="AM45" s="1851"/>
      <c r="AN45" s="1851"/>
      <c r="AO45" s="1851"/>
      <c r="AP45" s="1851"/>
      <c r="AQ45" s="1851"/>
      <c r="AR45" s="1851"/>
      <c r="AS45" s="1851"/>
      <c r="AT45" s="1851"/>
      <c r="AU45" s="1851"/>
      <c r="AV45" s="1851"/>
      <c r="AW45" s="1851"/>
      <c r="AX45" s="1851"/>
    </row>
    <row r="46" spans="1:50">
      <c r="A46" s="74" t="str">
        <f>+Subscribers!A109</f>
        <v>ACCESS LINES</v>
      </c>
      <c r="B46" s="1852"/>
      <c r="C46" s="1852"/>
      <c r="D46" s="1852"/>
      <c r="E46" s="1852" t="e">
        <f t="shared" ref="E46:AG46" si="32">+E33/A33-1</f>
        <v>#VALUE!</v>
      </c>
      <c r="F46" s="1852" t="e">
        <f t="shared" si="32"/>
        <v>#DIV/0!</v>
      </c>
      <c r="G46" s="1852">
        <f t="shared" si="32"/>
        <v>6.3886368611647981E-2</v>
      </c>
      <c r="H46" s="1852">
        <f t="shared" si="32"/>
        <v>6.1300372150749016E-2</v>
      </c>
      <c r="I46" s="1852">
        <f t="shared" si="32"/>
        <v>5.9844023992237316E-2</v>
      </c>
      <c r="J46" s="1852">
        <f t="shared" si="32"/>
        <v>5.5627047585520728E-2</v>
      </c>
      <c r="K46" s="1852">
        <f t="shared" si="32"/>
        <v>-5.6284885198066181E-2</v>
      </c>
      <c r="L46" s="1852">
        <f t="shared" si="32"/>
        <v>-5.9333051224656597E-2</v>
      </c>
      <c r="M46" s="1852">
        <f t="shared" si="32"/>
        <v>-6.5397311544907577E-2</v>
      </c>
      <c r="N46" s="1852">
        <f t="shared" si="32"/>
        <v>-6.8143960231083489E-2</v>
      </c>
      <c r="O46" s="1852">
        <f t="shared" si="32"/>
        <v>-8.2545649512330233E-2</v>
      </c>
      <c r="P46" s="1852">
        <f t="shared" si="32"/>
        <v>-8.4923023389070762E-2</v>
      </c>
      <c r="Q46" s="1852">
        <f t="shared" si="32"/>
        <v>-8.7307311947986577E-2</v>
      </c>
      <c r="R46" s="1852">
        <f t="shared" si="32"/>
        <v>-8.8984237383690212E-2</v>
      </c>
      <c r="S46" s="1852">
        <f t="shared" si="32"/>
        <v>-7.6340850378288416E-2</v>
      </c>
      <c r="T46" s="1852">
        <f t="shared" si="32"/>
        <v>-7.9214604775465602E-2</v>
      </c>
      <c r="U46" s="1852">
        <f t="shared" si="32"/>
        <v>-8.5088068619837309E-2</v>
      </c>
      <c r="V46" s="1852">
        <f t="shared" si="32"/>
        <v>-9.2993991163418999E-2</v>
      </c>
      <c r="W46" s="1852">
        <f t="shared" si="32"/>
        <v>-9.8523963840701834E-2</v>
      </c>
      <c r="X46" s="1852">
        <f t="shared" si="32"/>
        <v>-0.10821250885399936</v>
      </c>
      <c r="Y46" s="1852">
        <f t="shared" si="32"/>
        <v>-0.10285319049288022</v>
      </c>
      <c r="Z46" s="1852">
        <f t="shared" si="32"/>
        <v>-9.9623162252534536E-2</v>
      </c>
      <c r="AA46" s="1852">
        <f t="shared" si="32"/>
        <v>-9.3550673281360797E-2</v>
      </c>
      <c r="AB46" s="1852">
        <f t="shared" si="32"/>
        <v>-8.2000000000000184E-2</v>
      </c>
      <c r="AC46" s="1852">
        <f t="shared" si="32"/>
        <v>-8.1763180639585209E-2</v>
      </c>
      <c r="AD46" s="1852">
        <f t="shared" si="32"/>
        <v>-7.9639236029238392E-2</v>
      </c>
      <c r="AE46" s="1852">
        <f t="shared" si="32"/>
        <v>-7.6381788657003624E-2</v>
      </c>
      <c r="AF46" s="1852">
        <f t="shared" si="32"/>
        <v>-7.3871324886209844E-2</v>
      </c>
      <c r="AG46" s="1852">
        <f t="shared" si="32"/>
        <v>-7.1096887550200716E-2</v>
      </c>
      <c r="AH46" s="1852">
        <f t="shared" ref="AH46:AL47" si="33">+AH33/AD33-1</f>
        <v>-6.5906616281304009E-2</v>
      </c>
      <c r="AI46" s="1852">
        <f t="shared" si="33"/>
        <v>-6.3423845803216805E-2</v>
      </c>
      <c r="AJ46" s="1852">
        <f t="shared" si="33"/>
        <v>-6.0304177458989305E-2</v>
      </c>
      <c r="AK46" s="1852">
        <f t="shared" si="33"/>
        <v>-5.7623454705127419E-2</v>
      </c>
      <c r="AL46" s="1852">
        <f t="shared" si="33"/>
        <v>-5.7117388919363687E-2</v>
      </c>
      <c r="AM46" s="1852">
        <f t="shared" ref="AM46:AP47" si="34">+AM33/AI33-1</f>
        <v>-5.7150803031356445E-2</v>
      </c>
      <c r="AN46" s="1852">
        <f t="shared" si="34"/>
        <v>-5.781327302282846E-2</v>
      </c>
      <c r="AO46" s="1852">
        <f t="shared" si="34"/>
        <v>-5.7347670250895932E-2</v>
      </c>
      <c r="AP46" s="1852">
        <f t="shared" si="34"/>
        <v>-5.4468765907933925E-2</v>
      </c>
      <c r="AQ46" s="1852">
        <f t="shared" ref="AQ46:AT47" si="35">+AQ33/AM33-1</f>
        <v>-5.0070053830838401E-2</v>
      </c>
      <c r="AR46" s="1852">
        <f t="shared" si="35"/>
        <v>-4.680819143350079E-2</v>
      </c>
      <c r="AS46" s="1852">
        <f t="shared" si="35"/>
        <v>-4.6615969581748962E-2</v>
      </c>
      <c r="AT46" s="1852">
        <f t="shared" si="35"/>
        <v>-4.6762036609752422E-2</v>
      </c>
      <c r="AU46" s="1852">
        <f t="shared" ref="AU46:AX47" si="36">+AU33/AQ33-1</f>
        <v>-4.7508150908244118E-2</v>
      </c>
      <c r="AV46" s="1852">
        <f t="shared" si="36"/>
        <v>-4.7060675218383641E-2</v>
      </c>
      <c r="AW46" s="1852">
        <f t="shared" si="36"/>
        <v>-4.9613145090532162E-2</v>
      </c>
      <c r="AX46" s="1852">
        <f t="shared" si="36"/>
        <v>-5.2121994513474323E-2</v>
      </c>
    </row>
    <row r="47" spans="1:50">
      <c r="A47" s="74" t="str">
        <f>+Subscribers!A110</f>
        <v>B'BAND</v>
      </c>
      <c r="B47" s="1852"/>
      <c r="C47" s="1852"/>
      <c r="D47" s="1852"/>
      <c r="E47" s="1852" t="e">
        <f t="shared" ref="E47:AG47" si="37">+E34/A34-1</f>
        <v>#VALUE!</v>
      </c>
      <c r="F47" s="1852" t="e">
        <f t="shared" si="37"/>
        <v>#DIV/0!</v>
      </c>
      <c r="G47" s="1852">
        <f t="shared" si="37"/>
        <v>0.72792772186642263</v>
      </c>
      <c r="H47" s="1852">
        <f t="shared" si="37"/>
        <v>0.63242233009708726</v>
      </c>
      <c r="I47" s="1852">
        <f t="shared" si="37"/>
        <v>0.61547694524495711</v>
      </c>
      <c r="J47" s="1852">
        <f t="shared" si="37"/>
        <v>0.44189214539805999</v>
      </c>
      <c r="K47" s="1852">
        <f t="shared" si="37"/>
        <v>0.47715030776358458</v>
      </c>
      <c r="L47" s="1852">
        <f t="shared" si="37"/>
        <v>0.49245844472397438</v>
      </c>
      <c r="M47" s="1852">
        <f t="shared" si="37"/>
        <v>0.47117980700019002</v>
      </c>
      <c r="N47" s="1852">
        <f t="shared" si="37"/>
        <v>0.45006552154902812</v>
      </c>
      <c r="O47" s="1852">
        <f t="shared" si="37"/>
        <v>0.32126877607393656</v>
      </c>
      <c r="P47" s="1852">
        <f t="shared" si="37"/>
        <v>0.28482945507888857</v>
      </c>
      <c r="Q47" s="1852">
        <f t="shared" si="37"/>
        <v>0.23165999757487543</v>
      </c>
      <c r="R47" s="1852">
        <f t="shared" si="37"/>
        <v>0.18651302478666199</v>
      </c>
      <c r="S47" s="1852">
        <f t="shared" si="37"/>
        <v>0.20481170381330283</v>
      </c>
      <c r="T47" s="1852">
        <f t="shared" si="37"/>
        <v>0.16955285603515113</v>
      </c>
      <c r="U47" s="1852">
        <f t="shared" si="37"/>
        <v>0.13586020182131442</v>
      </c>
      <c r="V47" s="1852">
        <f t="shared" si="37"/>
        <v>0.1083627797408715</v>
      </c>
      <c r="W47" s="1852">
        <f t="shared" si="37"/>
        <v>8.6467011934249216E-2</v>
      </c>
      <c r="X47" s="1852">
        <f t="shared" si="37"/>
        <v>7.9999999999999849E-2</v>
      </c>
      <c r="Y47" s="1852">
        <f t="shared" si="37"/>
        <v>7.453954496208004E-2</v>
      </c>
      <c r="Z47" s="1852">
        <f t="shared" si="37"/>
        <v>7.290116896918164E-2</v>
      </c>
      <c r="AA47" s="1852">
        <f t="shared" si="37"/>
        <v>8.787564766839373E-2</v>
      </c>
      <c r="AB47" s="1852">
        <f t="shared" si="37"/>
        <v>8.1849805606711845E-2</v>
      </c>
      <c r="AC47" s="1852">
        <f t="shared" si="37"/>
        <v>8.0661423674127875E-2</v>
      </c>
      <c r="AD47" s="1852">
        <f t="shared" si="37"/>
        <v>7.0522979397781294E-2</v>
      </c>
      <c r="AE47" s="1852">
        <f t="shared" si="37"/>
        <v>4.8771194513240745E-2</v>
      </c>
      <c r="AF47" s="1852">
        <f t="shared" si="37"/>
        <v>4.3881218082088225E-2</v>
      </c>
      <c r="AG47" s="1852">
        <f t="shared" si="37"/>
        <v>4.1052435155812583E-2</v>
      </c>
      <c r="AH47" s="1852">
        <f t="shared" si="33"/>
        <v>4.663212435233155E-2</v>
      </c>
      <c r="AI47" s="1852">
        <f t="shared" si="33"/>
        <v>4.4141689373297099E-2</v>
      </c>
      <c r="AJ47" s="1852">
        <f t="shared" si="33"/>
        <v>4.4754484508062964E-2</v>
      </c>
      <c r="AK47" s="1852">
        <f t="shared" si="33"/>
        <v>4.1405269761606078E-2</v>
      </c>
      <c r="AL47" s="1852">
        <f t="shared" si="33"/>
        <v>3.447666195190946E-2</v>
      </c>
      <c r="AM47" s="1852">
        <f t="shared" si="34"/>
        <v>2.940153096729281E-2</v>
      </c>
      <c r="AN47" s="1852">
        <f t="shared" si="34"/>
        <v>2.4800554977453926E-2</v>
      </c>
      <c r="AO47" s="1852">
        <f t="shared" si="34"/>
        <v>2.271944922547342E-2</v>
      </c>
      <c r="AP47" s="1852">
        <f t="shared" si="34"/>
        <v>2.3927533754913632E-2</v>
      </c>
      <c r="AQ47" s="1852">
        <f t="shared" si="35"/>
        <v>2.3660638837248671E-2</v>
      </c>
      <c r="AR47" s="1852">
        <f t="shared" si="35"/>
        <v>2.4708072431883554E-2</v>
      </c>
      <c r="AS47" s="1852">
        <f t="shared" si="35"/>
        <v>2.0363513968360669E-2</v>
      </c>
      <c r="AT47" s="1852">
        <f t="shared" si="35"/>
        <v>1.5122684026039224E-2</v>
      </c>
      <c r="AU47" s="1852">
        <f t="shared" si="36"/>
        <v>9.9058940069340906E-3</v>
      </c>
      <c r="AV47" s="1852">
        <f t="shared" si="36"/>
        <v>8.7530966143682942E-3</v>
      </c>
      <c r="AW47" s="1852">
        <f t="shared" si="36"/>
        <v>1.3194788058716878E-3</v>
      </c>
      <c r="AX47" s="1852">
        <f t="shared" si="36"/>
        <v>-5.5248618784531356E-3</v>
      </c>
    </row>
    <row r="48" spans="1:50">
      <c r="A48" s="74" t="s">
        <v>741</v>
      </c>
      <c r="B48" s="1852"/>
      <c r="C48" s="1852"/>
      <c r="D48" s="1852"/>
      <c r="E48" s="1852"/>
      <c r="F48" s="1852"/>
      <c r="G48" s="1852"/>
      <c r="H48" s="1852"/>
      <c r="I48" s="1852"/>
      <c r="J48" s="1852"/>
      <c r="K48" s="1852"/>
      <c r="L48" s="1852"/>
      <c r="M48" s="1852"/>
      <c r="N48" s="1852"/>
      <c r="O48" s="1852"/>
      <c r="P48" s="1852"/>
      <c r="Q48" s="1852"/>
      <c r="R48" s="1852"/>
      <c r="S48" s="1852"/>
      <c r="T48" s="1852"/>
      <c r="U48" s="1852"/>
      <c r="V48" s="1852"/>
      <c r="W48" s="1852"/>
      <c r="X48" s="1852"/>
      <c r="Y48" s="1852"/>
      <c r="Z48" s="1852"/>
      <c r="AA48" s="1852"/>
      <c r="AB48" s="1852"/>
      <c r="AC48" s="1852"/>
      <c r="AD48" s="1852"/>
      <c r="AE48" s="1852"/>
      <c r="AF48" s="1852"/>
      <c r="AG48" s="1852"/>
      <c r="AH48" s="1852"/>
      <c r="AI48" s="1852"/>
      <c r="AJ48" s="1852"/>
      <c r="AK48" s="1852"/>
      <c r="AL48" s="1852"/>
      <c r="AM48" s="1852"/>
      <c r="AN48" s="1852"/>
      <c r="AO48" s="1852"/>
      <c r="AP48" s="1852"/>
      <c r="AQ48" s="1852"/>
      <c r="AR48" s="1852"/>
      <c r="AS48" s="1852"/>
      <c r="AT48" s="1852"/>
      <c r="AU48" s="1852"/>
      <c r="AV48" s="1852"/>
      <c r="AW48" s="1852"/>
      <c r="AX48" s="1852"/>
    </row>
    <row r="49" spans="1:50">
      <c r="A49" s="113" t="str">
        <f>+Subscribers!A111</f>
        <v>TOTAL</v>
      </c>
      <c r="B49" s="1858"/>
      <c r="C49" s="1858"/>
      <c r="D49" s="1858"/>
      <c r="E49" s="1858" t="e">
        <f t="shared" ref="E49:AG49" si="38">+E36/A36-1</f>
        <v>#VALUE!</v>
      </c>
      <c r="F49" s="1858" t="e">
        <f t="shared" si="38"/>
        <v>#DIV/0!</v>
      </c>
      <c r="G49" s="1858">
        <f t="shared" si="38"/>
        <v>9.2908110574956515E-2</v>
      </c>
      <c r="H49" s="1858">
        <f t="shared" si="38"/>
        <v>8.9713096132632897E-2</v>
      </c>
      <c r="I49" s="1858">
        <f t="shared" si="38"/>
        <v>9.097199412345347E-2</v>
      </c>
      <c r="J49" s="1858">
        <f t="shared" si="38"/>
        <v>8.2181053725025377E-2</v>
      </c>
      <c r="K49" s="1858">
        <f t="shared" si="38"/>
        <v>-1.9425173133698403E-2</v>
      </c>
      <c r="L49" s="1858">
        <f t="shared" si="38"/>
        <v>-1.8210564019164877E-2</v>
      </c>
      <c r="M49" s="1858">
        <f t="shared" si="38"/>
        <v>-2.0884795563721914E-2</v>
      </c>
      <c r="N49" s="1858">
        <f t="shared" si="38"/>
        <v>-2.0677943461380521E-2</v>
      </c>
      <c r="O49" s="1858">
        <f t="shared" si="38"/>
        <v>-4.0512101253446509E-2</v>
      </c>
      <c r="P49" s="1858">
        <f t="shared" si="38"/>
        <v>-4.3034084626384583E-2</v>
      </c>
      <c r="Q49" s="1858">
        <f t="shared" si="38"/>
        <v>-4.7548982377944138E-2</v>
      </c>
      <c r="R49" s="1858">
        <f t="shared" si="38"/>
        <v>-5.1619940773288575E-2</v>
      </c>
      <c r="S49" s="1858">
        <f t="shared" si="38"/>
        <v>-3.6040583074516297E-2</v>
      </c>
      <c r="T49" s="1858">
        <f t="shared" si="38"/>
        <v>-4.1376371343183282E-2</v>
      </c>
      <c r="U49" s="1858">
        <f t="shared" si="38"/>
        <v>-4.9474069237037455E-2</v>
      </c>
      <c r="V49" s="1858">
        <f t="shared" si="38"/>
        <v>-5.8827855753557423E-2</v>
      </c>
      <c r="W49" s="1858">
        <f t="shared" si="38"/>
        <v>-6.538210493958152E-2</v>
      </c>
      <c r="X49" s="1858">
        <f t="shared" si="38"/>
        <v>-7.3285814233602919E-2</v>
      </c>
      <c r="Y49" s="1858">
        <f t="shared" si="38"/>
        <v>-6.8684614055458226E-2</v>
      </c>
      <c r="Z49" s="1858">
        <f t="shared" si="38"/>
        <v>-6.514906990571645E-2</v>
      </c>
      <c r="AA49" s="1858">
        <f t="shared" si="38"/>
        <v>-5.5766574585635387E-2</v>
      </c>
      <c r="AB49" s="1858">
        <f t="shared" si="38"/>
        <v>-4.6564964024275679E-2</v>
      </c>
      <c r="AC49" s="1858">
        <f t="shared" si="38"/>
        <v>-4.5666397777180179E-2</v>
      </c>
      <c r="AD49" s="1858">
        <f t="shared" si="38"/>
        <v>-4.5202616754497549E-2</v>
      </c>
      <c r="AE49" s="1858">
        <f t="shared" si="38"/>
        <v>-4.6352166758091062E-2</v>
      </c>
      <c r="AF49" s="1858">
        <f t="shared" si="38"/>
        <v>-4.4975632397307841E-2</v>
      </c>
      <c r="AG49" s="1858">
        <f t="shared" si="38"/>
        <v>-4.2873914064334384E-2</v>
      </c>
      <c r="AH49" s="1858">
        <f t="shared" ref="AH49:AP49" si="39">+AH36/AD36-1</f>
        <v>-3.6970071846600394E-2</v>
      </c>
      <c r="AI49" s="1858">
        <f t="shared" si="39"/>
        <v>-3.5039785255488343E-2</v>
      </c>
      <c r="AJ49" s="1858">
        <f t="shared" si="39"/>
        <v>-3.2124805598755857E-2</v>
      </c>
      <c r="AK49" s="1858">
        <f t="shared" si="39"/>
        <v>-3.051712295162412E-2</v>
      </c>
      <c r="AL49" s="1858">
        <f t="shared" si="39"/>
        <v>-3.1521739130434656E-2</v>
      </c>
      <c r="AM49" s="1858">
        <f t="shared" si="39"/>
        <v>-3.24375341513089E-2</v>
      </c>
      <c r="AN49" s="1858">
        <f t="shared" si="39"/>
        <v>-3.3894049711272967E-2</v>
      </c>
      <c r="AO49" s="1858">
        <f t="shared" si="39"/>
        <v>-3.3805668016194335E-2</v>
      </c>
      <c r="AP49" s="1858">
        <f t="shared" si="39"/>
        <v>-3.1068258340985477E-2</v>
      </c>
      <c r="AQ49" s="1858">
        <f t="shared" ref="AQ49:AX49" si="40">+AQ36/AM36-1</f>
        <v>-2.7672245610432356E-2</v>
      </c>
      <c r="AR49" s="1858">
        <f t="shared" si="40"/>
        <v>-2.4844074844074693E-2</v>
      </c>
      <c r="AS49" s="1858">
        <f t="shared" si="40"/>
        <v>-2.5769956002513972E-2</v>
      </c>
      <c r="AT49" s="1858">
        <f t="shared" si="40"/>
        <v>-2.7241615331964564E-2</v>
      </c>
      <c r="AU49" s="1858">
        <f t="shared" si="40"/>
        <v>-2.9146206241089767E-2</v>
      </c>
      <c r="AV49" s="1858">
        <f t="shared" si="40"/>
        <v>-2.9048075898091996E-2</v>
      </c>
      <c r="AW49" s="1858">
        <f t="shared" si="40"/>
        <v>-3.3010752688172218E-2</v>
      </c>
      <c r="AX49" s="1858">
        <f t="shared" si="40"/>
        <v>-3.6783649786745753E-2</v>
      </c>
    </row>
    <row r="50" spans="1:50">
      <c r="A50" s="74"/>
      <c r="B50" s="1851"/>
      <c r="C50" s="1851"/>
      <c r="D50" s="1851"/>
      <c r="E50" s="1851"/>
      <c r="F50" s="1851"/>
      <c r="G50" s="1851"/>
      <c r="H50" s="1851"/>
      <c r="I50" s="1851"/>
      <c r="J50" s="1851"/>
      <c r="K50" s="1851"/>
      <c r="L50" s="1851"/>
      <c r="M50" s="1851"/>
      <c r="N50" s="1851"/>
      <c r="O50" s="1851"/>
      <c r="P50" s="1851"/>
      <c r="Q50" s="1851"/>
      <c r="R50" s="1851"/>
      <c r="S50" s="1851"/>
      <c r="T50" s="1851"/>
      <c r="U50" s="1851"/>
      <c r="V50" s="1851"/>
      <c r="W50" s="1851"/>
      <c r="X50" s="1851"/>
      <c r="Y50" s="1851"/>
      <c r="Z50" s="1851"/>
      <c r="AA50" s="1851"/>
      <c r="AB50" s="1851"/>
      <c r="AC50" s="1851"/>
      <c r="AD50" s="1851"/>
      <c r="AE50" s="1851"/>
      <c r="AF50" s="1851"/>
      <c r="AG50" s="1851"/>
      <c r="AH50" s="1851"/>
      <c r="AI50" s="1851"/>
      <c r="AJ50" s="1851"/>
      <c r="AK50" s="1851"/>
      <c r="AL50" s="1851"/>
      <c r="AM50" s="1851"/>
      <c r="AN50" s="1851"/>
      <c r="AO50" s="1851"/>
      <c r="AP50" s="1851"/>
      <c r="AQ50" s="1851"/>
      <c r="AR50" s="1851"/>
      <c r="AS50" s="1851"/>
      <c r="AT50" s="1851"/>
      <c r="AU50" s="1851"/>
      <c r="AV50" s="1851"/>
      <c r="AW50" s="1851"/>
      <c r="AX50" s="1851"/>
    </row>
    <row r="51" spans="1:50">
      <c r="A51" s="113" t="str">
        <f>+Subscribers!A113</f>
        <v>RGU GROWTH COMPONENTS</v>
      </c>
      <c r="B51" s="1851"/>
      <c r="C51" s="1851"/>
      <c r="D51" s="1851"/>
      <c r="E51" s="1851">
        <f>+Subscribers!AO113</f>
        <v>0</v>
      </c>
      <c r="F51" s="1851">
        <f>+Subscribers!AP113</f>
        <v>0</v>
      </c>
      <c r="G51" s="1851">
        <f>+Subscribers!AQ113</f>
        <v>0</v>
      </c>
      <c r="H51" s="1851">
        <f>+Subscribers!AR113</f>
        <v>0</v>
      </c>
      <c r="I51" s="1851">
        <f>+Subscribers!AS113</f>
        <v>0</v>
      </c>
      <c r="J51" s="1851">
        <f>+Subscribers!AT113</f>
        <v>0</v>
      </c>
      <c r="K51" s="1851">
        <f>+Subscribers!AU113</f>
        <v>0</v>
      </c>
      <c r="L51" s="1851">
        <f>+Subscribers!AV113</f>
        <v>0</v>
      </c>
      <c r="M51" s="1851">
        <f>+Subscribers!AW113</f>
        <v>0</v>
      </c>
      <c r="N51" s="1851">
        <f>+Subscribers!AX113</f>
        <v>0</v>
      </c>
      <c r="O51" s="1851">
        <f>+Subscribers!AY113</f>
        <v>0</v>
      </c>
      <c r="P51" s="1851">
        <f>+Subscribers!AZ113</f>
        <v>0</v>
      </c>
      <c r="Q51" s="1851">
        <f>+Subscribers!BA113</f>
        <v>0</v>
      </c>
      <c r="R51" s="1851">
        <f>+Subscribers!BB113</f>
        <v>0</v>
      </c>
      <c r="S51" s="1851">
        <f>+Subscribers!BC113</f>
        <v>0</v>
      </c>
      <c r="T51" s="1851">
        <f>+Subscribers!BD113</f>
        <v>0</v>
      </c>
      <c r="U51" s="1851">
        <f>+Subscribers!BE113</f>
        <v>0</v>
      </c>
      <c r="V51" s="1851">
        <f>+Subscribers!BF113</f>
        <v>0</v>
      </c>
      <c r="W51" s="1851">
        <f>+Subscribers!BG113</f>
        <v>0</v>
      </c>
      <c r="X51" s="1851">
        <f>+Subscribers!BH113</f>
        <v>0</v>
      </c>
      <c r="Y51" s="1851">
        <f>+Subscribers!BI113</f>
        <v>0</v>
      </c>
      <c r="Z51" s="1851">
        <f>+Subscribers!BJ113</f>
        <v>0</v>
      </c>
      <c r="AA51" s="1851">
        <f>+Subscribers!BK113</f>
        <v>0</v>
      </c>
      <c r="AB51" s="1851">
        <f>+Subscribers!BL113</f>
        <v>0</v>
      </c>
      <c r="AC51" s="1851">
        <f>+Subscribers!BM113</f>
        <v>0</v>
      </c>
      <c r="AD51" s="1851">
        <f>+Subscribers!BN113</f>
        <v>0</v>
      </c>
      <c r="AE51" s="1851">
        <f>+Subscribers!BO113</f>
        <v>0</v>
      </c>
      <c r="AF51" s="1851">
        <f>+Subscribers!BP113</f>
        <v>0</v>
      </c>
      <c r="AG51" s="1851">
        <f>+Subscribers!BQ113</f>
        <v>0</v>
      </c>
      <c r="AH51" s="1851">
        <f>+Subscribers!BR113</f>
        <v>0</v>
      </c>
      <c r="AI51" s="1851">
        <f>+Subscribers!BS113</f>
        <v>0</v>
      </c>
      <c r="AJ51" s="1851">
        <f>+Subscribers!BT113</f>
        <v>0</v>
      </c>
      <c r="AK51" s="1851">
        <f>+Subscribers!BU113</f>
        <v>0</v>
      </c>
      <c r="AL51" s="1851">
        <f>+Subscribers!BV113</f>
        <v>0</v>
      </c>
      <c r="AM51" s="1851">
        <f>+Subscribers!BW113</f>
        <v>0</v>
      </c>
      <c r="AN51" s="1851">
        <f>+Subscribers!BX113</f>
        <v>0</v>
      </c>
      <c r="AO51" s="1851">
        <f>+Subscribers!BY113</f>
        <v>0</v>
      </c>
      <c r="AP51" s="1851">
        <f>+Subscribers!BZ113</f>
        <v>0</v>
      </c>
      <c r="AQ51" s="1851">
        <f>+Subscribers!CA113</f>
        <v>0</v>
      </c>
      <c r="AR51" s="1851">
        <f>+Subscribers!CB113</f>
        <v>0</v>
      </c>
      <c r="AS51" s="1851">
        <f>+Subscribers!CC113</f>
        <v>0</v>
      </c>
      <c r="AT51" s="1851">
        <f>+Subscribers!CD113</f>
        <v>0</v>
      </c>
      <c r="AU51" s="1851">
        <f>+Subscribers!CE113</f>
        <v>0</v>
      </c>
      <c r="AV51" s="1851">
        <f>+Subscribers!CF113</f>
        <v>0</v>
      </c>
      <c r="AW51" s="1851">
        <f>+Subscribers!CG113</f>
        <v>0</v>
      </c>
      <c r="AX51" s="1851">
        <f>+Subscribers!CH113</f>
        <v>0</v>
      </c>
    </row>
    <row r="52" spans="1:50">
      <c r="A52" s="74" t="str">
        <f>+Subscribers!A114</f>
        <v>ACCESS LINES</v>
      </c>
      <c r="B52" s="1851"/>
      <c r="C52" s="1851"/>
      <c r="D52" s="1851"/>
      <c r="E52" s="1851">
        <f>+Subscribers!AO114</f>
        <v>0</v>
      </c>
      <c r="F52" s="1851">
        <f>+Subscribers!AP114</f>
        <v>0</v>
      </c>
      <c r="G52" s="1851">
        <f>+Subscribers!AQ114</f>
        <v>0</v>
      </c>
      <c r="H52" s="1851">
        <f>+Subscribers!AR114</f>
        <v>0</v>
      </c>
      <c r="I52" s="1851">
        <f>+Subscribers!AS114</f>
        <v>0</v>
      </c>
      <c r="J52" s="1851">
        <f>+Subscribers!AT114</f>
        <v>0</v>
      </c>
      <c r="K52" s="1851">
        <f>+Subscribers!AU114</f>
        <v>0</v>
      </c>
      <c r="L52" s="1851">
        <f>+Subscribers!AV114</f>
        <v>0</v>
      </c>
      <c r="M52" s="1851">
        <f>+Subscribers!AW114</f>
        <v>0</v>
      </c>
      <c r="N52" s="1851">
        <f>+Subscribers!AX114</f>
        <v>0</v>
      </c>
      <c r="O52" s="1851">
        <f>+Subscribers!AY114</f>
        <v>0</v>
      </c>
      <c r="P52" s="1851">
        <f>+Subscribers!AZ114</f>
        <v>0</v>
      </c>
      <c r="Q52" s="1851">
        <f>+Subscribers!BA114</f>
        <v>0</v>
      </c>
      <c r="R52" s="1851">
        <f>+Subscribers!BB114</f>
        <v>0</v>
      </c>
      <c r="S52" s="1851">
        <f>+Subscribers!BC114</f>
        <v>0</v>
      </c>
      <c r="T52" s="1851">
        <f>+Subscribers!BD114</f>
        <v>0</v>
      </c>
      <c r="U52" s="1851">
        <f>+Subscribers!BE114</f>
        <v>0</v>
      </c>
      <c r="V52" s="1851">
        <f>+Subscribers!BF114</f>
        <v>0</v>
      </c>
      <c r="W52" s="1851">
        <f>+Subscribers!BG114</f>
        <v>0</v>
      </c>
      <c r="X52" s="1851">
        <f>+Subscribers!BH114</f>
        <v>0</v>
      </c>
      <c r="Y52" s="1851">
        <f>+Subscribers!BI114</f>
        <v>0</v>
      </c>
      <c r="Z52" s="1851">
        <f>+Subscribers!BJ114</f>
        <v>0</v>
      </c>
      <c r="AA52" s="1851">
        <f>+Subscribers!BK114</f>
        <v>-7.4067679558010968E-2</v>
      </c>
      <c r="AB52" s="1851">
        <f>+Subscribers!BL114</f>
        <v>-6.4266241090429665E-2</v>
      </c>
      <c r="AC52" s="1851">
        <f>+Subscribers!BM114</f>
        <v>-6.3592363538585661E-2</v>
      </c>
      <c r="AD52" s="1851">
        <f>+Subscribers!BN114</f>
        <v>-6.1375613301835386E-2</v>
      </c>
      <c r="AE52" s="1851">
        <f>+Subscribers!BO114</f>
        <v>-5.8054488937648641E-2</v>
      </c>
      <c r="AF52" s="1851">
        <f>+Subscribers!BP114</f>
        <v>-5.5743792063123632E-2</v>
      </c>
      <c r="AG52" s="1851">
        <f>+Subscribers!BQ114</f>
        <v>-5.3204977694294442E-2</v>
      </c>
      <c r="AH52" s="1851">
        <f>+Subscribers!BR114</f>
        <v>-4.8960365418470708E-2</v>
      </c>
      <c r="AI52" s="1851">
        <f>+Subscribers!BS114</f>
        <v>-4.6687757645479722E-2</v>
      </c>
      <c r="AJ52" s="1851">
        <f>+Subscribers!BT114</f>
        <v>-4.4129082426127453E-2</v>
      </c>
      <c r="AK52" s="1851">
        <f>+Subscribers!BU114</f>
        <v>-4.1850652536551847E-2</v>
      </c>
      <c r="AL52" s="1851">
        <f>+Subscribers!BV114</f>
        <v>-4.1156126482213451E-2</v>
      </c>
      <c r="AM52" s="1851">
        <f>+Subscribers!BW114</f>
        <v>-4.083254681833981E-2</v>
      </c>
      <c r="AN52" s="1851">
        <f>+Subscribers!BX114</f>
        <v>-4.107456690936484E-2</v>
      </c>
      <c r="AO52" s="1851">
        <f>+Subscribers!BY114</f>
        <v>-4.0485829959513997E-2</v>
      </c>
      <c r="AP52" s="1851">
        <f>+Subscribers!BZ114</f>
        <v>-3.8210386695235132E-2</v>
      </c>
      <c r="AQ52" s="1851">
        <f>+Subscribers!CA114</f>
        <v>-3.4859841872882269E-2</v>
      </c>
      <c r="AR52" s="1851">
        <f>+Subscribers!CB114</f>
        <v>-3.2432432432432212E-2</v>
      </c>
      <c r="AS52" s="1851">
        <f>+Subscribers!CC114</f>
        <v>-3.2107689084433177E-2</v>
      </c>
      <c r="AT52" s="1851">
        <f>+Subscribers!CD114</f>
        <v>-3.2011793818775391E-2</v>
      </c>
      <c r="AU52" s="1851">
        <f>+Subscribers!CE114</f>
        <v>-3.2314272136860445E-2</v>
      </c>
      <c r="AV52" s="1851">
        <f>+Subscribers!CF114</f>
        <v>-3.1872934655154062E-2</v>
      </c>
      <c r="AW52" s="1851">
        <f>+Subscribers!CG114</f>
        <v>-3.3440860215053769E-2</v>
      </c>
      <c r="AX52" s="1851">
        <f>+Subscribers!CH114</f>
        <v>-3.4965034965035002E-2</v>
      </c>
    </row>
    <row r="53" spans="1:50">
      <c r="A53" s="74" t="str">
        <f>+Subscribers!A115</f>
        <v>B'BAND</v>
      </c>
      <c r="B53" s="1851"/>
      <c r="C53" s="1851"/>
      <c r="D53" s="1851"/>
      <c r="E53" s="1851">
        <f>+Subscribers!AO115</f>
        <v>0</v>
      </c>
      <c r="F53" s="1851">
        <f>+Subscribers!AP115</f>
        <v>0</v>
      </c>
      <c r="G53" s="1851">
        <f>+Subscribers!AQ115</f>
        <v>0</v>
      </c>
      <c r="H53" s="1851">
        <f>+Subscribers!AR115</f>
        <v>0</v>
      </c>
      <c r="I53" s="1851">
        <f>+Subscribers!AS115</f>
        <v>0</v>
      </c>
      <c r="J53" s="1851">
        <f>+Subscribers!AT115</f>
        <v>0</v>
      </c>
      <c r="K53" s="1851">
        <f>+Subscribers!AU115</f>
        <v>0</v>
      </c>
      <c r="L53" s="1851">
        <f>+Subscribers!AV115</f>
        <v>0</v>
      </c>
      <c r="M53" s="1851">
        <f>+Subscribers!AW115</f>
        <v>0</v>
      </c>
      <c r="N53" s="1851">
        <f>+Subscribers!AX115</f>
        <v>0</v>
      </c>
      <c r="O53" s="1851">
        <f>+Subscribers!AY115</f>
        <v>0</v>
      </c>
      <c r="P53" s="1851">
        <f>+Subscribers!AZ115</f>
        <v>0</v>
      </c>
      <c r="Q53" s="1851">
        <f>+Subscribers!BA115</f>
        <v>0</v>
      </c>
      <c r="R53" s="1851">
        <f>+Subscribers!BB115</f>
        <v>0</v>
      </c>
      <c r="S53" s="1851">
        <f>+Subscribers!BC115</f>
        <v>0</v>
      </c>
      <c r="T53" s="1851">
        <f>+Subscribers!BD115</f>
        <v>0</v>
      </c>
      <c r="U53" s="1851">
        <f>+Subscribers!BE115</f>
        <v>0</v>
      </c>
      <c r="V53" s="1851">
        <f>+Subscribers!BF115</f>
        <v>0</v>
      </c>
      <c r="W53" s="1851">
        <f>+Subscribers!BG115</f>
        <v>0</v>
      </c>
      <c r="X53" s="1851">
        <f>+Subscribers!BH115</f>
        <v>0</v>
      </c>
      <c r="Y53" s="1851">
        <f>+Subscribers!BI115</f>
        <v>0</v>
      </c>
      <c r="Z53" s="1851">
        <f>+Subscribers!BJ115</f>
        <v>0</v>
      </c>
      <c r="AA53" s="1851">
        <f>+Subscribers!BK115</f>
        <v>1.8301104972375692E-2</v>
      </c>
      <c r="AB53" s="1851">
        <f>+Subscribers!BL115</f>
        <v>1.7701277066153986E-2</v>
      </c>
      <c r="AC53" s="1851">
        <f>+Subscribers!BM115</f>
        <v>1.7925965761405371E-2</v>
      </c>
      <c r="AD53" s="1851">
        <f>+Subscribers!BN115</f>
        <v>1.6172996547337726E-2</v>
      </c>
      <c r="AE53" s="1851">
        <f>+Subscribers!BO115</f>
        <v>1.1702322179557467E-2</v>
      </c>
      <c r="AF53" s="1851">
        <f>+Subscribers!BP115</f>
        <v>1.076815966581568E-2</v>
      </c>
      <c r="AG53" s="1851">
        <f>+Subscribers!BQ115</f>
        <v>1.0331063629960169E-2</v>
      </c>
      <c r="AH53" s="1851">
        <f>+Subscribers!BR115</f>
        <v>1.1990293571870314E-2</v>
      </c>
      <c r="AI53" s="1851">
        <f>+Subscribers!BS115</f>
        <v>1.164797238999149E-2</v>
      </c>
      <c r="AJ53" s="1851">
        <f>+Subscribers!BT115</f>
        <v>1.2004276827371707E-2</v>
      </c>
      <c r="AK53" s="1851">
        <f>+Subscribers!BU115</f>
        <v>1.1333529584927837E-2</v>
      </c>
      <c r="AL53" s="1851">
        <f>+Subscribers!BV115</f>
        <v>9.6343873517786838E-3</v>
      </c>
      <c r="AM53" s="1851">
        <f>+Subscribers!BW115</f>
        <v>8.39501266703091E-3</v>
      </c>
      <c r="AN53" s="1851">
        <f>+Subscribers!BX115</f>
        <v>7.1805171980917626E-3</v>
      </c>
      <c r="AO53" s="1851">
        <f>+Subscribers!BY115</f>
        <v>6.6801619433198844E-3</v>
      </c>
      <c r="AP53" s="1851">
        <f>+Subscribers!BZ115</f>
        <v>7.142128354249655E-3</v>
      </c>
      <c r="AQ53" s="1851">
        <f>+Subscribers!CA115</f>
        <v>7.1875962624500245E-3</v>
      </c>
      <c r="AR53" s="1851">
        <f>+Subscribers!CB115</f>
        <v>7.5883575883576304E-3</v>
      </c>
      <c r="AS53" s="1851">
        <f>+Subscribers!CC115</f>
        <v>6.3377330819190947E-3</v>
      </c>
      <c r="AT53" s="1851">
        <f>+Subscribers!CD115</f>
        <v>4.7701784868109387E-3</v>
      </c>
      <c r="AU53" s="1851">
        <f>+Subscribers!CE115</f>
        <v>3.1680658957707886E-3</v>
      </c>
      <c r="AV53" s="1851">
        <f>+Subscribers!CF115</f>
        <v>2.8248587570621764E-3</v>
      </c>
      <c r="AW53" s="1851">
        <f>+Subscribers!CG115</f>
        <v>4.3010752688177334E-4</v>
      </c>
      <c r="AX53" s="1851">
        <f>+Subscribers!CH115</f>
        <v>-1.8186148217107512E-3</v>
      </c>
    </row>
    <row r="54" spans="1:50">
      <c r="A54" s="74" t="s">
        <v>741</v>
      </c>
      <c r="B54" s="1851"/>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row>
    <row r="55" spans="1:50">
      <c r="A55" s="74" t="str">
        <f>+Subscribers!A116</f>
        <v>Check</v>
      </c>
      <c r="B55" s="1851"/>
      <c r="C55" s="1851"/>
      <c r="D55" s="1851"/>
      <c r="E55" s="1851">
        <f>+Subscribers!AO116</f>
        <v>0</v>
      </c>
      <c r="F55" s="1851">
        <f>+Subscribers!AP116</f>
        <v>0</v>
      </c>
      <c r="G55" s="1851">
        <f>+Subscribers!AQ116</f>
        <v>0</v>
      </c>
      <c r="H55" s="1851">
        <f>+Subscribers!AR116</f>
        <v>0</v>
      </c>
      <c r="I55" s="1851">
        <f>+Subscribers!AS116</f>
        <v>0</v>
      </c>
      <c r="J55" s="1851">
        <f>+Subscribers!AT116</f>
        <v>0</v>
      </c>
      <c r="K55" s="1851">
        <f>+Subscribers!AU116</f>
        <v>0</v>
      </c>
      <c r="L55" s="1851">
        <f>+Subscribers!AV116</f>
        <v>0</v>
      </c>
      <c r="M55" s="1851">
        <f>+Subscribers!AW116</f>
        <v>0</v>
      </c>
      <c r="N55" s="1851">
        <f>+Subscribers!AX116</f>
        <v>0</v>
      </c>
      <c r="O55" s="1851">
        <f>+Subscribers!AY116</f>
        <v>0</v>
      </c>
      <c r="P55" s="1851">
        <f>+Subscribers!AZ116</f>
        <v>0</v>
      </c>
      <c r="Q55" s="1851">
        <f>+Subscribers!BA116</f>
        <v>0</v>
      </c>
      <c r="R55" s="1851">
        <f>+Subscribers!BB116</f>
        <v>0</v>
      </c>
      <c r="S55" s="1851">
        <f>+Subscribers!BC116</f>
        <v>0</v>
      </c>
      <c r="T55" s="1851">
        <f>+Subscribers!BD116</f>
        <v>0</v>
      </c>
      <c r="U55" s="1851">
        <f>+Subscribers!BE116</f>
        <v>0</v>
      </c>
      <c r="V55" s="1851">
        <f>+Subscribers!BF116</f>
        <v>0</v>
      </c>
      <c r="W55" s="1851">
        <f>+Subscribers!BG116</f>
        <v>0</v>
      </c>
      <c r="X55" s="1851">
        <f>+Subscribers!BH116</f>
        <v>0</v>
      </c>
      <c r="Y55" s="1851">
        <f>+Subscribers!BI116</f>
        <v>0</v>
      </c>
      <c r="Z55" s="1851">
        <f>+Subscribers!BJ116</f>
        <v>0</v>
      </c>
      <c r="AA55" s="1851">
        <f>+Subscribers!BK116</f>
        <v>-1.1102230246251565E-16</v>
      </c>
      <c r="AB55" s="1851">
        <f>+Subscribers!BL116</f>
        <v>0</v>
      </c>
      <c r="AC55" s="1851">
        <f>+Subscribers!BM116</f>
        <v>1.1102230246251565E-16</v>
      </c>
      <c r="AD55" s="1851">
        <f>+Subscribers!BN116</f>
        <v>1.1102230246251565E-16</v>
      </c>
      <c r="AE55" s="1851">
        <f>+Subscribers!BO116</f>
        <v>1.1102230246251565E-16</v>
      </c>
      <c r="AF55" s="1851">
        <f>+Subscribers!BP116</f>
        <v>1.1102230246251565E-16</v>
      </c>
      <c r="AG55" s="1851">
        <f>+Subscribers!BQ116</f>
        <v>-1.1102230246251565E-16</v>
      </c>
      <c r="AH55" s="1851">
        <f>+Subscribers!BR116</f>
        <v>0</v>
      </c>
      <c r="AI55" s="1851">
        <f>+Subscribers!BS116</f>
        <v>-1.1102230246251565E-16</v>
      </c>
      <c r="AJ55" s="1851">
        <f>+Subscribers!BT116</f>
        <v>-1.1102230246251565E-16</v>
      </c>
      <c r="AK55" s="1851">
        <f>+Subscribers!BU116</f>
        <v>-1.1102230246251565E-16</v>
      </c>
      <c r="AL55" s="1851">
        <f>+Subscribers!BV116</f>
        <v>1.1102230246251565E-16</v>
      </c>
      <c r="AM55" s="1851">
        <f>+Subscribers!BW116</f>
        <v>0</v>
      </c>
      <c r="AN55" s="1851">
        <f>+Subscribers!BX116</f>
        <v>1.1102230246251565E-16</v>
      </c>
      <c r="AO55" s="1851">
        <f>+Subscribers!BY116</f>
        <v>-2.2204460492503131E-16</v>
      </c>
      <c r="AP55" s="1851">
        <f>+Subscribers!BZ116</f>
        <v>0</v>
      </c>
      <c r="AQ55" s="1851">
        <f>+Subscribers!CA116</f>
        <v>-1.1102230246251565E-16</v>
      </c>
      <c r="AR55" s="1851">
        <f>+Subscribers!CB116</f>
        <v>-1.1102230246251565E-16</v>
      </c>
      <c r="AS55" s="1851">
        <f>+Subscribers!CC116</f>
        <v>1.1102230246251565E-16</v>
      </c>
      <c r="AT55" s="1851">
        <f>+Subscribers!CD116</f>
        <v>-1.1102230246251565E-16</v>
      </c>
      <c r="AU55" s="1851">
        <f>+Subscribers!CE116</f>
        <v>-1.1102230246251565E-16</v>
      </c>
      <c r="AV55" s="1851">
        <f>+Subscribers!CF116</f>
        <v>-1.1102230246251565E-16</v>
      </c>
      <c r="AW55" s="1851">
        <f>+Subscribers!CG116</f>
        <v>-2.2204460492503131E-16</v>
      </c>
      <c r="AX55" s="1851">
        <f>+Subscribers!CH116</f>
        <v>0</v>
      </c>
    </row>
    <row r="56" spans="1:50">
      <c r="A56" s="74"/>
      <c r="B56" s="1851"/>
      <c r="C56" s="1851"/>
      <c r="D56" s="1851"/>
      <c r="E56" s="1851">
        <f>+Subscribers!AO117</f>
        <v>0</v>
      </c>
      <c r="F56" s="1851">
        <f>+Subscribers!AP117</f>
        <v>0</v>
      </c>
      <c r="G56" s="1851">
        <f>+Subscribers!AQ117</f>
        <v>0</v>
      </c>
      <c r="H56" s="1851">
        <f>+Subscribers!AR117</f>
        <v>0</v>
      </c>
      <c r="I56" s="1851">
        <f>+Subscribers!AS117</f>
        <v>0</v>
      </c>
      <c r="J56" s="1851">
        <f>+Subscribers!AT117</f>
        <v>0</v>
      </c>
      <c r="K56" s="1851">
        <f>+Subscribers!AU117</f>
        <v>0</v>
      </c>
      <c r="L56" s="1851">
        <f>+Subscribers!AV117</f>
        <v>0</v>
      </c>
      <c r="M56" s="1851">
        <f>+Subscribers!AW117</f>
        <v>0</v>
      </c>
      <c r="N56" s="1851">
        <f>+Subscribers!AX117</f>
        <v>0</v>
      </c>
      <c r="O56" s="1851">
        <f>+Subscribers!AY117</f>
        <v>0</v>
      </c>
      <c r="P56" s="1851">
        <f>+Subscribers!AZ117</f>
        <v>0</v>
      </c>
      <c r="Q56" s="1851">
        <f>+Subscribers!BA117</f>
        <v>0</v>
      </c>
      <c r="R56" s="1851">
        <f>+Subscribers!BB117</f>
        <v>0</v>
      </c>
      <c r="S56" s="1851">
        <f>+Subscribers!BC117</f>
        <v>0</v>
      </c>
      <c r="T56" s="1851">
        <f>+Subscribers!BD117</f>
        <v>0</v>
      </c>
      <c r="U56" s="1851">
        <f>+Subscribers!BE117</f>
        <v>0</v>
      </c>
      <c r="V56" s="1851">
        <f>+Subscribers!BF117</f>
        <v>0</v>
      </c>
      <c r="W56" s="1851">
        <f>+Subscribers!BG117</f>
        <v>0</v>
      </c>
      <c r="X56" s="1851">
        <f>+Subscribers!BH117</f>
        <v>0</v>
      </c>
      <c r="Y56" s="1851">
        <f>+Subscribers!BI117</f>
        <v>0</v>
      </c>
      <c r="Z56" s="1851">
        <f>+Subscribers!BJ117</f>
        <v>0</v>
      </c>
      <c r="AA56" s="1851">
        <f>+Subscribers!BK117</f>
        <v>0</v>
      </c>
      <c r="AB56" s="1851">
        <f>+Subscribers!BL117</f>
        <v>0</v>
      </c>
      <c r="AC56" s="1851">
        <f>+Subscribers!BM117</f>
        <v>0</v>
      </c>
      <c r="AD56" s="1851">
        <f>+Subscribers!BN117</f>
        <v>0</v>
      </c>
      <c r="AE56" s="1851">
        <f>+Subscribers!BO117</f>
        <v>0</v>
      </c>
      <c r="AF56" s="1851">
        <f>+Subscribers!BP117</f>
        <v>0</v>
      </c>
      <c r="AG56" s="1851">
        <f>+Subscribers!BQ117</f>
        <v>0</v>
      </c>
      <c r="AH56" s="1851">
        <f>+Subscribers!BR117</f>
        <v>0</v>
      </c>
      <c r="AI56" s="1851">
        <f>+Subscribers!BS117</f>
        <v>0</v>
      </c>
      <c r="AJ56" s="1851">
        <f>+Subscribers!BT117</f>
        <v>0</v>
      </c>
      <c r="AK56" s="1851">
        <f>+Subscribers!BU117</f>
        <v>0</v>
      </c>
      <c r="AL56" s="1851">
        <f>+Subscribers!BV117</f>
        <v>0</v>
      </c>
      <c r="AM56" s="1851">
        <f>+Subscribers!BW117</f>
        <v>0</v>
      </c>
      <c r="AN56" s="1851">
        <f>+Subscribers!BX117</f>
        <v>0</v>
      </c>
      <c r="AO56" s="1851">
        <f>+Subscribers!BY117</f>
        <v>0</v>
      </c>
      <c r="AP56" s="1851">
        <f>+Subscribers!BZ117</f>
        <v>0</v>
      </c>
      <c r="AQ56" s="1851">
        <f>+Subscribers!CA117</f>
        <v>0</v>
      </c>
      <c r="AR56" s="1851">
        <f>+Subscribers!CB117</f>
        <v>0</v>
      </c>
      <c r="AS56" s="1851">
        <f>+Subscribers!CC117</f>
        <v>0</v>
      </c>
      <c r="AT56" s="1851">
        <f>+Subscribers!CD117</f>
        <v>0</v>
      </c>
      <c r="AU56" s="1851">
        <f>+Subscribers!CE117</f>
        <v>0</v>
      </c>
      <c r="AV56" s="1851">
        <f>+Subscribers!CF117</f>
        <v>0</v>
      </c>
      <c r="AW56" s="1851">
        <f>+Subscribers!CG117</f>
        <v>0</v>
      </c>
      <c r="AX56" s="1851">
        <f>+Subscribers!CH117</f>
        <v>0</v>
      </c>
    </row>
    <row r="57" spans="1:50">
      <c r="A57" s="74"/>
      <c r="B57" s="1851"/>
      <c r="C57" s="1851"/>
      <c r="D57" s="1851"/>
      <c r="E57" s="1851">
        <f>+Subscribers!AO118</f>
        <v>0</v>
      </c>
      <c r="F57" s="1851">
        <f>+Subscribers!AP118</f>
        <v>0</v>
      </c>
      <c r="G57" s="1851">
        <f>+Subscribers!AQ118</f>
        <v>0</v>
      </c>
      <c r="H57" s="1851">
        <f>+Subscribers!AR118</f>
        <v>0</v>
      </c>
      <c r="I57" s="1851">
        <f>+Subscribers!AS118</f>
        <v>0</v>
      </c>
      <c r="J57" s="1851">
        <f>+Subscribers!AT118</f>
        <v>0</v>
      </c>
      <c r="K57" s="1851">
        <f>+Subscribers!AU118</f>
        <v>0</v>
      </c>
      <c r="L57" s="1851">
        <f>+Subscribers!AV118</f>
        <v>0</v>
      </c>
      <c r="M57" s="1851">
        <f>+Subscribers!AW118</f>
        <v>0</v>
      </c>
      <c r="N57" s="1851">
        <f>+Subscribers!AX118</f>
        <v>0</v>
      </c>
      <c r="O57" s="1851">
        <f>+Subscribers!AY118</f>
        <v>0</v>
      </c>
      <c r="P57" s="1851">
        <f>+Subscribers!AZ118</f>
        <v>0</v>
      </c>
      <c r="Q57" s="1851">
        <f>+Subscribers!BA118</f>
        <v>0</v>
      </c>
      <c r="R57" s="1851">
        <f>+Subscribers!BB118</f>
        <v>0</v>
      </c>
      <c r="S57" s="1851">
        <f>+Subscribers!BC118</f>
        <v>0</v>
      </c>
      <c r="T57" s="1851">
        <f>+Subscribers!BD118</f>
        <v>0</v>
      </c>
      <c r="U57" s="1851">
        <f>+Subscribers!BE118</f>
        <v>0</v>
      </c>
      <c r="V57" s="1851">
        <f>+Subscribers!BF118</f>
        <v>0</v>
      </c>
      <c r="W57" s="1851">
        <f>+Subscribers!BG118</f>
        <v>0</v>
      </c>
      <c r="X57" s="1851">
        <f>+Subscribers!BH118</f>
        <v>0</v>
      </c>
      <c r="Y57" s="1851">
        <f>+Subscribers!BI118</f>
        <v>0</v>
      </c>
      <c r="Z57" s="1851">
        <f>+Subscribers!BJ118</f>
        <v>0</v>
      </c>
      <c r="AA57" s="1851">
        <f>+Subscribers!BK118</f>
        <v>0</v>
      </c>
      <c r="AB57" s="1851">
        <f>+Subscribers!BL118</f>
        <v>0</v>
      </c>
      <c r="AC57" s="1851">
        <f>+Subscribers!BM118</f>
        <v>0</v>
      </c>
      <c r="AD57" s="1851">
        <f>+Subscribers!BN118</f>
        <v>0</v>
      </c>
      <c r="AE57" s="1851">
        <f>+Subscribers!BO118</f>
        <v>0</v>
      </c>
      <c r="AF57" s="1851">
        <f>+Subscribers!BP118</f>
        <v>0</v>
      </c>
      <c r="AG57" s="1851">
        <f>+Subscribers!BQ118</f>
        <v>0</v>
      </c>
      <c r="AH57" s="1851">
        <f>+Subscribers!BR118</f>
        <v>0</v>
      </c>
      <c r="AI57" s="1851">
        <f>+Subscribers!BS118</f>
        <v>0</v>
      </c>
      <c r="AJ57" s="1851">
        <f>+Subscribers!BT118</f>
        <v>0</v>
      </c>
      <c r="AK57" s="1851">
        <f>+Subscribers!BU118</f>
        <v>0</v>
      </c>
      <c r="AL57" s="1851">
        <f>+Subscribers!BV118</f>
        <v>0</v>
      </c>
      <c r="AM57" s="1851">
        <f>+Subscribers!BW118</f>
        <v>4513</v>
      </c>
      <c r="AN57" s="1851">
        <f>+Subscribers!BX118</f>
        <v>4525</v>
      </c>
      <c r="AO57" s="1851">
        <f>+Subscribers!BY118</f>
        <v>4515</v>
      </c>
      <c r="AP57" s="1851">
        <f>+Subscribers!BZ118</f>
        <v>4542</v>
      </c>
      <c r="AQ57" s="1851">
        <f>+Subscribers!CA118</f>
        <v>4538</v>
      </c>
      <c r="AR57" s="1851">
        <f>+Subscribers!CB118</f>
        <v>4540</v>
      </c>
      <c r="AS57" s="1851">
        <f>+Subscribers!CC118</f>
        <v>4513</v>
      </c>
      <c r="AT57" s="1851">
        <f>+Subscribers!CD118</f>
        <v>4436</v>
      </c>
      <c r="AU57" s="1851">
        <f>+Subscribers!CE118</f>
        <v>4451</v>
      </c>
      <c r="AV57" s="1851">
        <f>+Subscribers!CF118</f>
        <v>4419</v>
      </c>
      <c r="AW57" s="1851">
        <f>+Subscribers!CG118</f>
        <v>4554</v>
      </c>
      <c r="AX57" s="1851">
        <f>+Subscribers!CH118</f>
        <v>4476</v>
      </c>
    </row>
    <row r="58" spans="1:50">
      <c r="A58" s="74"/>
      <c r="B58" s="1851"/>
      <c r="C58" s="1851"/>
      <c r="D58" s="1851"/>
      <c r="E58" s="1851"/>
      <c r="F58" s="1851"/>
      <c r="G58" s="1851"/>
      <c r="H58" s="1851"/>
      <c r="I58" s="1851"/>
      <c r="J58" s="1851"/>
      <c r="K58" s="1851"/>
      <c r="L58" s="1851"/>
      <c r="M58" s="1851"/>
      <c r="N58" s="1851"/>
      <c r="O58" s="1851"/>
      <c r="P58" s="1851"/>
      <c r="Q58" s="1851"/>
      <c r="R58" s="1851"/>
      <c r="S58" s="1851"/>
      <c r="T58" s="1851"/>
      <c r="U58" s="1851"/>
      <c r="V58" s="1851"/>
      <c r="W58" s="1851"/>
      <c r="X58" s="1851"/>
      <c r="Y58" s="1851"/>
      <c r="Z58" s="1851"/>
      <c r="AA58" s="1851"/>
      <c r="AB58" s="1851"/>
      <c r="AC58" s="1851"/>
      <c r="AD58" s="1851"/>
      <c r="AE58" s="1851"/>
      <c r="AF58" s="1851"/>
      <c r="AG58" s="1851"/>
      <c r="AH58" s="1851"/>
      <c r="AI58" s="1851"/>
      <c r="AJ58" s="1851"/>
      <c r="AK58" s="1851"/>
      <c r="AL58" s="1851"/>
      <c r="AM58" s="1851"/>
      <c r="AN58" s="1851"/>
      <c r="AO58" s="1851"/>
      <c r="AP58" s="1851"/>
      <c r="AQ58" s="1851"/>
      <c r="AR58" s="1851"/>
      <c r="AS58" s="1851"/>
      <c r="AT58" s="1851"/>
      <c r="AU58" s="1851"/>
      <c r="AV58" s="1851"/>
      <c r="AW58" s="1851"/>
      <c r="AX58" s="1851"/>
    </row>
    <row r="59" spans="1:50" hidden="1" outlineLevel="1">
      <c r="A59" s="1861"/>
      <c r="B59" s="1851"/>
      <c r="C59" s="1851"/>
      <c r="D59" s="1851"/>
      <c r="E59" s="1851"/>
      <c r="F59" s="1851"/>
      <c r="G59" s="1851"/>
      <c r="H59" s="1851"/>
      <c r="I59" s="1851"/>
      <c r="J59" s="1851"/>
      <c r="K59" s="1851"/>
      <c r="L59" s="1851"/>
      <c r="M59" s="1851"/>
      <c r="N59" s="1851"/>
      <c r="O59" s="1851"/>
      <c r="P59" s="1851"/>
      <c r="Q59" s="1851"/>
      <c r="R59" s="1851"/>
      <c r="S59" s="1851"/>
      <c r="T59" s="1851"/>
      <c r="U59" s="1851"/>
      <c r="V59" s="1851"/>
      <c r="W59" s="1851"/>
      <c r="X59" s="1851"/>
      <c r="Y59" s="1851"/>
      <c r="Z59" s="1851"/>
      <c r="AA59" s="1851"/>
      <c r="AB59" s="1851"/>
      <c r="AC59" s="1851"/>
      <c r="AD59" s="1851"/>
      <c r="AE59" s="1851"/>
      <c r="AF59" s="1851"/>
      <c r="AG59" s="1851"/>
      <c r="AH59" s="1851"/>
      <c r="AI59" s="1851"/>
      <c r="AJ59" s="1851"/>
      <c r="AK59" s="1851"/>
      <c r="AL59" s="1851"/>
      <c r="AM59" s="1851"/>
      <c r="AN59" s="1851"/>
      <c r="AO59" s="1851"/>
      <c r="AP59" s="1851"/>
      <c r="AQ59" s="1851"/>
      <c r="AR59" s="1851"/>
      <c r="AS59" s="1851"/>
      <c r="AT59" s="1851"/>
      <c r="AU59" s="1851"/>
      <c r="AV59" s="1851"/>
      <c r="AW59" s="1851"/>
      <c r="AX59" s="1851"/>
    </row>
    <row r="60" spans="1:50" hidden="1" outlineLevel="1">
      <c r="A60" s="1861"/>
      <c r="B60" s="1851"/>
      <c r="C60" s="1851"/>
      <c r="D60" s="1851"/>
      <c r="E60" s="1851"/>
      <c r="F60" s="1851"/>
      <c r="G60" s="1851"/>
      <c r="H60" s="1851"/>
      <c r="I60" s="1851"/>
      <c r="J60" s="1851"/>
      <c r="K60" s="1851"/>
      <c r="L60" s="1851"/>
      <c r="M60" s="1851"/>
      <c r="N60" s="1851"/>
      <c r="O60" s="1851"/>
      <c r="P60" s="1851"/>
      <c r="Q60" s="1851"/>
      <c r="R60" s="1851"/>
      <c r="S60" s="1851"/>
      <c r="T60" s="1851"/>
      <c r="U60" s="1851"/>
      <c r="V60" s="1851"/>
      <c r="W60" s="1851"/>
      <c r="X60" s="1851"/>
      <c r="Y60" s="1851"/>
      <c r="Z60" s="1851"/>
      <c r="AA60" s="1851"/>
      <c r="AB60" s="1851"/>
      <c r="AC60" s="1851"/>
      <c r="AD60" s="1851"/>
      <c r="AE60" s="1851"/>
      <c r="AF60" s="1851"/>
      <c r="AG60" s="1851"/>
      <c r="AH60" s="1851"/>
      <c r="AI60" s="1851"/>
      <c r="AJ60" s="1851"/>
      <c r="AK60" s="1851"/>
      <c r="AL60" s="1851"/>
      <c r="AM60" s="1851"/>
      <c r="AN60" s="1851"/>
      <c r="AO60" s="1851"/>
      <c r="AP60" s="1851"/>
      <c r="AQ60" s="1851"/>
      <c r="AR60" s="1851"/>
      <c r="AS60" s="1851"/>
      <c r="AT60" s="1851"/>
      <c r="AU60" s="1851"/>
      <c r="AV60" s="1851"/>
      <c r="AW60" s="1851"/>
      <c r="AX60" s="1851"/>
    </row>
    <row r="61" spans="1:50" hidden="1" outlineLevel="1">
      <c r="A61" s="1863" t="s">
        <v>743</v>
      </c>
      <c r="B61" s="1851"/>
      <c r="C61" s="1851"/>
      <c r="D61" s="1851"/>
      <c r="E61" s="1851"/>
      <c r="F61" s="1851"/>
      <c r="G61" s="1851"/>
      <c r="H61" s="1851"/>
      <c r="I61" s="1851"/>
      <c r="J61" s="1851"/>
      <c r="K61" s="1851"/>
      <c r="L61" s="1851"/>
      <c r="M61" s="1851"/>
      <c r="N61" s="1851"/>
      <c r="O61" s="1851"/>
      <c r="P61" s="1851"/>
      <c r="Q61" s="1851"/>
      <c r="R61" s="1851"/>
      <c r="S61" s="1851"/>
      <c r="T61" s="1851"/>
      <c r="U61" s="1851"/>
      <c r="V61" s="1851"/>
      <c r="W61" s="1851"/>
      <c r="X61" s="1851"/>
      <c r="Y61" s="1851"/>
      <c r="Z61" s="1851"/>
      <c r="AA61" s="1851"/>
      <c r="AB61" s="1851"/>
      <c r="AC61" s="1851"/>
      <c r="AD61" s="1851"/>
      <c r="AE61" s="1851"/>
      <c r="AF61" s="1851"/>
      <c r="AG61" s="1851"/>
      <c r="AH61" s="1851"/>
      <c r="AI61" s="1851"/>
      <c r="AJ61" s="1851"/>
      <c r="AK61" s="1851"/>
      <c r="AL61" s="1851"/>
      <c r="AM61" s="1851"/>
      <c r="AN61" s="1851"/>
      <c r="AO61" s="1851"/>
      <c r="AP61" s="1851"/>
      <c r="AQ61" s="1851"/>
      <c r="AR61" s="1851"/>
      <c r="AS61" s="1851"/>
      <c r="AT61" s="1851"/>
      <c r="AU61" s="1851"/>
      <c r="AV61" s="1851"/>
      <c r="AW61" s="1851"/>
      <c r="AX61" s="1851"/>
    </row>
    <row r="62" spans="1:50" hidden="1" outlineLevel="1">
      <c r="A62" s="1863" t="s">
        <v>744</v>
      </c>
      <c r="B62" s="1851"/>
      <c r="C62" s="1851"/>
      <c r="D62" s="1851"/>
      <c r="E62" s="1851"/>
      <c r="F62" s="1851"/>
      <c r="G62" s="1851"/>
      <c r="H62" s="1851"/>
      <c r="I62" s="1851"/>
      <c r="J62" s="1851"/>
      <c r="K62" s="1851"/>
      <c r="L62" s="1851"/>
      <c r="M62" s="1851"/>
      <c r="N62" s="1851"/>
      <c r="O62" s="1851"/>
      <c r="P62" s="1851"/>
      <c r="Q62" s="1851"/>
      <c r="R62" s="1851"/>
      <c r="S62" s="1851"/>
      <c r="T62" s="1851"/>
      <c r="U62" s="1851"/>
      <c r="V62" s="1851"/>
      <c r="W62" s="1851"/>
      <c r="X62" s="1851"/>
      <c r="Y62" s="1851"/>
      <c r="Z62" s="1851"/>
      <c r="AA62" s="1851"/>
      <c r="AB62" s="1851"/>
      <c r="AC62" s="1851"/>
      <c r="AD62" s="1851"/>
      <c r="AE62" s="1851"/>
      <c r="AF62" s="1851"/>
      <c r="AG62" s="1851"/>
      <c r="AH62" s="1851"/>
      <c r="AI62" s="1851"/>
      <c r="AJ62" s="1851"/>
      <c r="AK62" s="1851"/>
      <c r="AL62" s="1851"/>
      <c r="AM62" s="1851"/>
      <c r="AN62" s="1851"/>
      <c r="AO62" s="1851"/>
      <c r="AP62" s="1851"/>
      <c r="AQ62" s="1851"/>
      <c r="AR62" s="1851"/>
      <c r="AS62" s="1851"/>
      <c r="AT62" s="1851"/>
      <c r="AU62" s="1851"/>
      <c r="AV62" s="1851"/>
      <c r="AW62" s="1851"/>
      <c r="AX62" s="1851"/>
    </row>
    <row r="63" spans="1:50" hidden="1" outlineLevel="1">
      <c r="A63" s="1863" t="s">
        <v>745</v>
      </c>
      <c r="B63" s="1851"/>
      <c r="C63" s="1851"/>
      <c r="D63" s="1851"/>
      <c r="E63" s="1851"/>
      <c r="F63" s="1851"/>
      <c r="G63" s="1851"/>
      <c r="H63" s="1851"/>
      <c r="I63" s="1851"/>
      <c r="J63" s="1851"/>
      <c r="K63" s="1851"/>
      <c r="L63" s="1851"/>
      <c r="M63" s="1851"/>
      <c r="N63" s="1851"/>
      <c r="O63" s="1851"/>
      <c r="P63" s="1851"/>
      <c r="Q63" s="1851"/>
      <c r="R63" s="1851"/>
      <c r="S63" s="1851"/>
      <c r="T63" s="1851"/>
      <c r="U63" s="1851"/>
      <c r="V63" s="1851"/>
      <c r="W63" s="1851"/>
      <c r="X63" s="1851"/>
      <c r="Y63" s="1851"/>
      <c r="Z63" s="1851"/>
      <c r="AA63" s="1851"/>
      <c r="AB63" s="1851"/>
      <c r="AC63" s="1851"/>
      <c r="AD63" s="1851"/>
      <c r="AE63" s="1851"/>
      <c r="AF63" s="1851"/>
      <c r="AG63" s="1851"/>
      <c r="AH63" s="1851"/>
      <c r="AI63" s="1851"/>
      <c r="AJ63" s="1851"/>
      <c r="AK63" s="1851"/>
      <c r="AL63" s="1851"/>
      <c r="AM63" s="1851"/>
      <c r="AN63" s="1851"/>
      <c r="AO63" s="1851"/>
      <c r="AP63" s="1851"/>
      <c r="AQ63" s="1851"/>
      <c r="AR63" s="1851"/>
      <c r="AS63" s="1851"/>
      <c r="AT63" s="1851"/>
      <c r="AU63" s="1851"/>
      <c r="AV63" s="1851"/>
      <c r="AW63" s="1851"/>
      <c r="AX63" s="1851"/>
    </row>
    <row r="64" spans="1:50" hidden="1" outlineLevel="1">
      <c r="A64" s="1863" t="s">
        <v>746</v>
      </c>
      <c r="B64" s="1851"/>
      <c r="C64" s="1851"/>
      <c r="D64" s="1851"/>
      <c r="E64" s="1851"/>
      <c r="F64" s="1851"/>
      <c r="G64" s="1851"/>
      <c r="H64" s="1851"/>
      <c r="I64" s="1851"/>
      <c r="J64" s="1851"/>
      <c r="K64" s="1851"/>
      <c r="L64" s="1851"/>
      <c r="M64" s="1851"/>
      <c r="N64" s="1851"/>
      <c r="O64" s="1851"/>
      <c r="P64" s="1851"/>
      <c r="Q64" s="1851"/>
      <c r="R64" s="1851"/>
      <c r="S64" s="1851"/>
      <c r="T64" s="1851"/>
      <c r="U64" s="1851"/>
      <c r="V64" s="1851"/>
      <c r="W64" s="1851"/>
      <c r="X64" s="1851"/>
      <c r="Y64" s="1851"/>
      <c r="Z64" s="1851"/>
      <c r="AA64" s="1851"/>
      <c r="AB64" s="1851"/>
      <c r="AC64" s="1851"/>
      <c r="AD64" s="1851"/>
      <c r="AE64" s="1851"/>
      <c r="AF64" s="1851"/>
      <c r="AG64" s="1851"/>
      <c r="AH64" s="1851"/>
      <c r="AI64" s="1851"/>
      <c r="AJ64" s="1851"/>
      <c r="AK64" s="1851"/>
      <c r="AL64" s="1851"/>
      <c r="AM64" s="1851"/>
      <c r="AN64" s="1851"/>
      <c r="AO64" s="1851"/>
      <c r="AP64" s="1851"/>
      <c r="AQ64" s="1851"/>
      <c r="AR64" s="1851"/>
      <c r="AS64" s="1851"/>
      <c r="AT64" s="1851"/>
      <c r="AU64" s="1851"/>
      <c r="AV64" s="1851"/>
      <c r="AW64" s="1851"/>
      <c r="AX64" s="1851"/>
    </row>
    <row r="65" spans="1:50" hidden="1" outlineLevel="1">
      <c r="A65" s="1863" t="s">
        <v>747</v>
      </c>
      <c r="B65" s="1851"/>
      <c r="C65" s="1851"/>
      <c r="D65" s="1851"/>
      <c r="E65" s="1851"/>
      <c r="F65" s="1851"/>
      <c r="G65" s="1851"/>
      <c r="H65" s="1851"/>
      <c r="I65" s="1851"/>
      <c r="J65" s="1851"/>
      <c r="K65" s="1851"/>
      <c r="L65" s="1851"/>
      <c r="M65" s="1851"/>
      <c r="N65" s="1851"/>
      <c r="O65" s="1851"/>
      <c r="P65" s="1851"/>
      <c r="Q65" s="1851"/>
      <c r="R65" s="1851"/>
      <c r="S65" s="1851"/>
      <c r="T65" s="1851"/>
      <c r="U65" s="1851"/>
      <c r="V65" s="1851"/>
      <c r="W65" s="1851"/>
      <c r="X65" s="1851"/>
      <c r="Y65" s="1851"/>
      <c r="Z65" s="1851"/>
      <c r="AA65" s="1851"/>
      <c r="AB65" s="1851"/>
      <c r="AC65" s="1851"/>
      <c r="AD65" s="1851"/>
      <c r="AE65" s="1851"/>
      <c r="AF65" s="1851"/>
      <c r="AG65" s="1851"/>
      <c r="AH65" s="1851"/>
      <c r="AI65" s="1851"/>
      <c r="AJ65" s="1851"/>
      <c r="AK65" s="1851"/>
      <c r="AL65" s="1851"/>
      <c r="AM65" s="1851"/>
      <c r="AN65" s="1851"/>
      <c r="AO65" s="1851"/>
      <c r="AP65" s="1851"/>
      <c r="AQ65" s="1851"/>
      <c r="AR65" s="1851"/>
      <c r="AS65" s="1851"/>
      <c r="AT65" s="1851"/>
      <c r="AU65" s="1851"/>
      <c r="AV65" s="1851"/>
      <c r="AW65" s="1851"/>
      <c r="AX65" s="1851"/>
    </row>
    <row r="66" spans="1:50" hidden="1" outlineLevel="1">
      <c r="A66" s="1863" t="s">
        <v>748</v>
      </c>
      <c r="B66" s="1851"/>
      <c r="C66" s="1851"/>
      <c r="D66" s="1851"/>
      <c r="E66" s="1851"/>
      <c r="F66" s="1851"/>
      <c r="G66" s="1851"/>
      <c r="H66" s="1851"/>
      <c r="I66" s="1851"/>
      <c r="J66" s="1851"/>
      <c r="K66" s="1851"/>
      <c r="L66" s="1851"/>
      <c r="M66" s="1851"/>
      <c r="N66" s="1851"/>
      <c r="O66" s="1851"/>
      <c r="P66" s="1851"/>
      <c r="Q66" s="1851"/>
      <c r="R66" s="1851"/>
      <c r="S66" s="1851"/>
      <c r="T66" s="1851"/>
      <c r="U66" s="1851"/>
      <c r="V66" s="1851"/>
      <c r="W66" s="1851"/>
      <c r="X66" s="1851"/>
      <c r="Y66" s="1851"/>
      <c r="Z66" s="1851"/>
      <c r="AA66" s="1851"/>
      <c r="AB66" s="1851"/>
      <c r="AC66" s="1851"/>
      <c r="AD66" s="1851"/>
      <c r="AE66" s="1851"/>
      <c r="AF66" s="1851"/>
      <c r="AG66" s="1851"/>
      <c r="AH66" s="1851"/>
      <c r="AI66" s="1851"/>
      <c r="AJ66" s="1851"/>
      <c r="AK66" s="1851"/>
      <c r="AL66" s="1851"/>
      <c r="AM66" s="1851"/>
      <c r="AN66" s="1851"/>
      <c r="AO66" s="1851"/>
      <c r="AP66" s="1851"/>
      <c r="AQ66" s="1851"/>
      <c r="AR66" s="1851"/>
      <c r="AS66" s="1851"/>
      <c r="AT66" s="1851"/>
      <c r="AU66" s="1851"/>
      <c r="AV66" s="1851"/>
      <c r="AW66" s="1851"/>
      <c r="AX66" s="1851"/>
    </row>
    <row r="67" spans="1:50" hidden="1" outlineLevel="1">
      <c r="A67" s="1863" t="s">
        <v>749</v>
      </c>
      <c r="B67" s="1851"/>
      <c r="C67" s="1851"/>
      <c r="D67" s="1851"/>
      <c r="E67" s="1851"/>
      <c r="F67" s="1851"/>
      <c r="G67" s="1851"/>
      <c r="H67" s="1851"/>
      <c r="I67" s="1851"/>
      <c r="J67" s="1851"/>
      <c r="K67" s="1851"/>
      <c r="L67" s="1851"/>
      <c r="M67" s="1851"/>
      <c r="N67" s="1851"/>
      <c r="O67" s="1851"/>
      <c r="P67" s="1851"/>
      <c r="Q67" s="1851"/>
      <c r="R67" s="1851"/>
      <c r="S67" s="1851"/>
      <c r="T67" s="1851"/>
      <c r="U67" s="1851"/>
      <c r="V67" s="1851"/>
      <c r="W67" s="1851"/>
      <c r="X67" s="1851"/>
      <c r="Y67" s="1851"/>
      <c r="Z67" s="1851"/>
      <c r="AA67" s="1851"/>
      <c r="AB67" s="1851"/>
      <c r="AC67" s="1851"/>
      <c r="AD67" s="1851"/>
      <c r="AE67" s="1851"/>
      <c r="AF67" s="1851"/>
      <c r="AG67" s="1851"/>
      <c r="AH67" s="1851"/>
      <c r="AI67" s="1851"/>
      <c r="AJ67" s="1851"/>
      <c r="AK67" s="1851"/>
      <c r="AL67" s="1851"/>
      <c r="AM67" s="1851"/>
      <c r="AN67" s="1851"/>
      <c r="AO67" s="1851"/>
      <c r="AP67" s="1851"/>
      <c r="AQ67" s="1851"/>
      <c r="AR67" s="1851"/>
      <c r="AS67" s="1851"/>
      <c r="AT67" s="1851"/>
      <c r="AU67" s="1851"/>
      <c r="AV67" s="1851"/>
      <c r="AW67" s="1851"/>
      <c r="AX67" s="1851"/>
    </row>
    <row r="68" spans="1:50" hidden="1" outlineLevel="1">
      <c r="A68" s="1863" t="s">
        <v>750</v>
      </c>
      <c r="B68" s="1851"/>
      <c r="C68" s="1851"/>
      <c r="D68" s="1851"/>
      <c r="E68" s="1851"/>
      <c r="F68" s="1851"/>
      <c r="G68" s="1851"/>
      <c r="H68" s="1851"/>
      <c r="I68" s="1851"/>
      <c r="J68" s="1851"/>
      <c r="K68" s="1851"/>
      <c r="L68" s="1851"/>
      <c r="M68" s="1851"/>
      <c r="N68" s="1851"/>
      <c r="O68" s="1851"/>
      <c r="P68" s="1851"/>
      <c r="Q68" s="1851"/>
      <c r="R68" s="1851"/>
      <c r="S68" s="1851"/>
      <c r="T68" s="1851"/>
      <c r="U68" s="1851"/>
      <c r="V68" s="1851"/>
      <c r="W68" s="1851"/>
      <c r="X68" s="1851"/>
      <c r="Y68" s="1851"/>
      <c r="Z68" s="1851"/>
      <c r="AA68" s="1851"/>
      <c r="AB68" s="1851"/>
      <c r="AC68" s="1851"/>
      <c r="AD68" s="1851"/>
      <c r="AE68" s="1851"/>
      <c r="AF68" s="1851"/>
      <c r="AG68" s="1851"/>
      <c r="AH68" s="1851"/>
      <c r="AI68" s="1851"/>
      <c r="AJ68" s="1851"/>
      <c r="AK68" s="1851"/>
      <c r="AL68" s="1851"/>
      <c r="AM68" s="1851"/>
      <c r="AN68" s="1851"/>
      <c r="AO68" s="1851"/>
      <c r="AP68" s="1851"/>
      <c r="AQ68" s="1851"/>
      <c r="AR68" s="1851"/>
      <c r="AS68" s="1851"/>
      <c r="AT68" s="1851"/>
      <c r="AU68" s="1851"/>
      <c r="AV68" s="1851"/>
      <c r="AW68" s="1851"/>
      <c r="AX68" s="1851"/>
    </row>
    <row r="69" spans="1:50" hidden="1" outlineLevel="1">
      <c r="A69" s="1863" t="s">
        <v>751</v>
      </c>
      <c r="B69" s="1851"/>
      <c r="C69" s="1851"/>
      <c r="D69" s="1851"/>
      <c r="E69" s="1851"/>
      <c r="F69" s="1851"/>
      <c r="G69" s="1851"/>
      <c r="H69" s="1851"/>
      <c r="I69" s="1851"/>
      <c r="J69" s="1851"/>
      <c r="K69" s="1851"/>
      <c r="L69" s="1851"/>
      <c r="M69" s="1851"/>
      <c r="N69" s="1851"/>
      <c r="O69" s="1851"/>
      <c r="P69" s="1851"/>
      <c r="Q69" s="1851"/>
      <c r="R69" s="1851"/>
      <c r="S69" s="1851"/>
      <c r="T69" s="1851"/>
      <c r="U69" s="1851"/>
      <c r="V69" s="1851"/>
      <c r="W69" s="1851"/>
      <c r="X69" s="1851"/>
      <c r="Y69" s="1851"/>
      <c r="Z69" s="1851"/>
      <c r="AA69" s="1851"/>
      <c r="AB69" s="1851"/>
      <c r="AC69" s="1851"/>
      <c r="AD69" s="1851"/>
      <c r="AE69" s="1851"/>
      <c r="AF69" s="1851"/>
      <c r="AG69" s="1851"/>
      <c r="AH69" s="1851"/>
      <c r="AI69" s="1851"/>
      <c r="AJ69" s="1851"/>
      <c r="AK69" s="1851"/>
      <c r="AL69" s="1851"/>
      <c r="AM69" s="1851"/>
      <c r="AN69" s="1851"/>
      <c r="AO69" s="1851"/>
      <c r="AP69" s="1851"/>
      <c r="AQ69" s="1851"/>
      <c r="AR69" s="1851"/>
      <c r="AS69" s="1851"/>
      <c r="AT69" s="1851"/>
      <c r="AU69" s="1851"/>
      <c r="AV69" s="1851"/>
      <c r="AW69" s="1851"/>
      <c r="AX69" s="1851"/>
    </row>
    <row r="70" spans="1:50" hidden="1" outlineLevel="1">
      <c r="A70" s="1861"/>
      <c r="B70" s="1851"/>
      <c r="C70" s="1851"/>
      <c r="D70" s="1851"/>
      <c r="E70" s="1851"/>
      <c r="F70" s="1851"/>
      <c r="G70" s="1851"/>
      <c r="H70" s="1851"/>
      <c r="I70" s="1851"/>
      <c r="J70" s="1851"/>
      <c r="K70" s="1851"/>
      <c r="L70" s="1851"/>
      <c r="M70" s="1851"/>
      <c r="N70" s="1851"/>
      <c r="O70" s="1851"/>
      <c r="P70" s="1851"/>
      <c r="Q70" s="1851"/>
      <c r="R70" s="1851"/>
      <c r="S70" s="1851"/>
      <c r="T70" s="1851"/>
      <c r="U70" s="1851"/>
      <c r="V70" s="1851"/>
      <c r="W70" s="1851"/>
      <c r="X70" s="1851"/>
      <c r="Y70" s="1851"/>
      <c r="Z70" s="1851"/>
      <c r="AA70" s="1851"/>
      <c r="AB70" s="1851"/>
      <c r="AC70" s="1851"/>
      <c r="AD70" s="1851"/>
      <c r="AE70" s="1851"/>
      <c r="AF70" s="1851"/>
      <c r="AG70" s="1851"/>
      <c r="AH70" s="1851"/>
      <c r="AI70" s="1851"/>
      <c r="AJ70" s="1851"/>
      <c r="AK70" s="1851"/>
      <c r="AL70" s="1851"/>
      <c r="AM70" s="1851"/>
      <c r="AN70" s="1851"/>
      <c r="AO70" s="1851"/>
      <c r="AP70" s="1851"/>
      <c r="AQ70" s="1851"/>
      <c r="AR70" s="1851"/>
      <c r="AS70" s="1851"/>
      <c r="AT70" s="1851"/>
      <c r="AU70" s="1851"/>
      <c r="AV70" s="1851"/>
      <c r="AW70" s="1851"/>
      <c r="AX70" s="1851"/>
    </row>
    <row r="71" spans="1:50" hidden="1" outlineLevel="1">
      <c r="A71" s="1861"/>
      <c r="B71" s="1851"/>
      <c r="C71" s="1851"/>
      <c r="D71" s="1851"/>
      <c r="E71" s="1851"/>
      <c r="F71" s="1851"/>
      <c r="G71" s="1851"/>
      <c r="H71" s="1851"/>
      <c r="I71" s="1851"/>
      <c r="J71" s="1851"/>
      <c r="K71" s="1851"/>
      <c r="L71" s="1851"/>
      <c r="M71" s="1851"/>
      <c r="N71" s="1851"/>
      <c r="O71" s="1851"/>
      <c r="P71" s="1851"/>
      <c r="Q71" s="1851"/>
      <c r="R71" s="1851"/>
      <c r="S71" s="1851"/>
      <c r="T71" s="1851"/>
      <c r="U71" s="1851"/>
      <c r="V71" s="1851"/>
      <c r="W71" s="1851"/>
      <c r="X71" s="1851"/>
      <c r="Y71" s="1851"/>
      <c r="Z71" s="1851"/>
      <c r="AA71" s="1851"/>
      <c r="AB71" s="1851"/>
      <c r="AC71" s="1851"/>
      <c r="AD71" s="1851"/>
      <c r="AE71" s="1851"/>
      <c r="AF71" s="1851"/>
      <c r="AG71" s="1851"/>
      <c r="AH71" s="1851"/>
      <c r="AI71" s="1851"/>
      <c r="AJ71" s="1851"/>
      <c r="AK71" s="1851"/>
      <c r="AL71" s="1851"/>
      <c r="AM71" s="1851"/>
      <c r="AN71" s="1851"/>
      <c r="AO71" s="1851"/>
      <c r="AP71" s="1851"/>
      <c r="AQ71" s="1851"/>
      <c r="AR71" s="1851"/>
      <c r="AS71" s="1851"/>
      <c r="AT71" s="1851"/>
      <c r="AU71" s="1851"/>
      <c r="AV71" s="1851"/>
      <c r="AW71" s="1851"/>
      <c r="AX71" s="1851"/>
    </row>
    <row r="72" spans="1:50" hidden="1" outlineLevel="1">
      <c r="A72" s="1861"/>
      <c r="B72" s="1851"/>
      <c r="C72" s="1851"/>
      <c r="D72" s="1851"/>
      <c r="E72" s="1851"/>
      <c r="F72" s="1851"/>
      <c r="G72" s="1851"/>
      <c r="H72" s="1851"/>
      <c r="I72" s="1851"/>
      <c r="J72" s="1851"/>
      <c r="K72" s="1851"/>
      <c r="L72" s="1851"/>
      <c r="M72" s="1851"/>
      <c r="N72" s="1851"/>
      <c r="O72" s="1851"/>
      <c r="P72" s="1851"/>
      <c r="Q72" s="1851"/>
      <c r="R72" s="1851"/>
      <c r="S72" s="1851"/>
      <c r="T72" s="1851"/>
      <c r="U72" s="1851"/>
      <c r="V72" s="1851"/>
      <c r="W72" s="1851"/>
      <c r="X72" s="1851"/>
      <c r="Y72" s="1851"/>
      <c r="Z72" s="1851"/>
      <c r="AA72" s="1851"/>
      <c r="AB72" s="1851"/>
      <c r="AC72" s="1851"/>
      <c r="AD72" s="1851"/>
      <c r="AE72" s="1851"/>
      <c r="AF72" s="1851"/>
      <c r="AG72" s="1851"/>
      <c r="AH72" s="1851"/>
      <c r="AI72" s="1851"/>
      <c r="AJ72" s="1851"/>
      <c r="AK72" s="1851"/>
      <c r="AL72" s="1851"/>
      <c r="AM72" s="1851"/>
      <c r="AN72" s="1851"/>
      <c r="AO72" s="1851"/>
      <c r="AP72" s="1851"/>
      <c r="AQ72" s="1851"/>
      <c r="AR72" s="1851"/>
      <c r="AS72" s="1851"/>
      <c r="AT72" s="1851"/>
      <c r="AU72" s="1851"/>
      <c r="AV72" s="1851"/>
      <c r="AW72" s="1851"/>
      <c r="AX72" s="1851"/>
    </row>
    <row r="73" spans="1:50" hidden="1" outlineLevel="1">
      <c r="A73" s="1861"/>
      <c r="B73" s="1851"/>
      <c r="C73" s="1851"/>
      <c r="D73" s="1851"/>
      <c r="E73" s="1851"/>
      <c r="F73" s="1851"/>
      <c r="G73" s="1851"/>
      <c r="H73" s="1851"/>
      <c r="I73" s="1851"/>
      <c r="J73" s="1851"/>
      <c r="K73" s="1851"/>
      <c r="L73" s="1851"/>
      <c r="M73" s="1851"/>
      <c r="N73" s="1851"/>
      <c r="O73" s="1851"/>
      <c r="P73" s="1851"/>
      <c r="Q73" s="1851"/>
      <c r="R73" s="1851"/>
      <c r="S73" s="1851"/>
      <c r="T73" s="1851"/>
      <c r="U73" s="1851"/>
      <c r="V73" s="1851"/>
      <c r="W73" s="1851"/>
      <c r="X73" s="1851"/>
      <c r="Y73" s="1851"/>
      <c r="Z73" s="1851"/>
      <c r="AA73" s="1851"/>
      <c r="AB73" s="1851"/>
      <c r="AC73" s="1851"/>
      <c r="AD73" s="1851"/>
      <c r="AE73" s="1851"/>
      <c r="AF73" s="1851"/>
      <c r="AG73" s="1851"/>
      <c r="AH73" s="1851"/>
      <c r="AI73" s="1851"/>
      <c r="AJ73" s="1851"/>
      <c r="AK73" s="1851"/>
      <c r="AL73" s="1851"/>
      <c r="AM73" s="1851"/>
      <c r="AN73" s="1851"/>
      <c r="AO73" s="1851"/>
      <c r="AP73" s="1851"/>
      <c r="AQ73" s="1851"/>
      <c r="AR73" s="1851"/>
      <c r="AS73" s="1851"/>
      <c r="AT73" s="1851"/>
      <c r="AU73" s="1851"/>
      <c r="AV73" s="1851"/>
      <c r="AW73" s="1851"/>
      <c r="AX73" s="1851"/>
    </row>
    <row r="74" spans="1:50" hidden="1" outlineLevel="1">
      <c r="A74" s="1861"/>
      <c r="B74" s="1851"/>
      <c r="C74" s="1851"/>
      <c r="D74" s="1851"/>
      <c r="E74" s="1851"/>
      <c r="F74" s="1851"/>
      <c r="G74" s="1851"/>
      <c r="H74" s="1851"/>
      <c r="I74" s="1851"/>
      <c r="J74" s="1851"/>
      <c r="K74" s="1851"/>
      <c r="L74" s="1851"/>
      <c r="M74" s="1851"/>
      <c r="N74" s="1851"/>
      <c r="O74" s="1851"/>
      <c r="P74" s="1851"/>
      <c r="Q74" s="1851"/>
      <c r="R74" s="1851"/>
      <c r="S74" s="1851"/>
      <c r="T74" s="1851"/>
      <c r="U74" s="1851"/>
      <c r="V74" s="1851"/>
      <c r="W74" s="1851"/>
      <c r="X74" s="1851"/>
      <c r="Y74" s="1851"/>
      <c r="Z74" s="1851"/>
      <c r="AA74" s="1851"/>
      <c r="AB74" s="1851"/>
      <c r="AC74" s="1851"/>
      <c r="AD74" s="1851"/>
      <c r="AE74" s="1851"/>
      <c r="AF74" s="1851"/>
      <c r="AG74" s="1851"/>
      <c r="AH74" s="1851"/>
      <c r="AI74" s="1851"/>
      <c r="AJ74" s="1851"/>
      <c r="AK74" s="1851"/>
      <c r="AL74" s="1851"/>
      <c r="AM74" s="1851"/>
      <c r="AN74" s="1851"/>
      <c r="AO74" s="1851"/>
      <c r="AP74" s="1851"/>
      <c r="AQ74" s="1851"/>
      <c r="AR74" s="1851"/>
      <c r="AS74" s="1851"/>
      <c r="AT74" s="1851"/>
      <c r="AU74" s="1851"/>
      <c r="AV74" s="1851"/>
      <c r="AW74" s="1851"/>
      <c r="AX74" s="1851"/>
    </row>
    <row r="75" spans="1:50" hidden="1" outlineLevel="1">
      <c r="A75" s="1861"/>
      <c r="B75" s="1851"/>
      <c r="C75" s="1851"/>
      <c r="D75" s="1851"/>
      <c r="E75" s="1851"/>
      <c r="F75" s="1851"/>
      <c r="G75" s="1851"/>
      <c r="H75" s="1851"/>
      <c r="I75" s="1851"/>
      <c r="J75" s="1851"/>
      <c r="K75" s="1851"/>
      <c r="L75" s="1851"/>
      <c r="M75" s="1851"/>
      <c r="N75" s="1851"/>
      <c r="O75" s="1851"/>
      <c r="P75" s="1851"/>
      <c r="Q75" s="1851"/>
      <c r="R75" s="1851"/>
      <c r="S75" s="1851"/>
      <c r="T75" s="1851"/>
      <c r="U75" s="1851"/>
      <c r="V75" s="1851"/>
      <c r="W75" s="1851"/>
      <c r="X75" s="1851"/>
      <c r="Y75" s="1851"/>
      <c r="Z75" s="1851"/>
      <c r="AA75" s="1851"/>
      <c r="AB75" s="1851"/>
      <c r="AC75" s="1851"/>
      <c r="AD75" s="1851"/>
      <c r="AE75" s="1851"/>
      <c r="AF75" s="1851"/>
      <c r="AG75" s="1851"/>
      <c r="AH75" s="1851"/>
      <c r="AI75" s="1851"/>
      <c r="AJ75" s="1851"/>
      <c r="AK75" s="1851"/>
      <c r="AL75" s="1851"/>
      <c r="AM75" s="1851"/>
      <c r="AN75" s="1851"/>
      <c r="AO75" s="1851"/>
      <c r="AP75" s="1851"/>
      <c r="AQ75" s="1851"/>
      <c r="AR75" s="1851"/>
      <c r="AS75" s="1851"/>
      <c r="AT75" s="1851"/>
      <c r="AU75" s="1851"/>
      <c r="AV75" s="1851"/>
      <c r="AW75" s="1851"/>
      <c r="AX75" s="1851"/>
    </row>
    <row r="76" spans="1:50" hidden="1" outlineLevel="1">
      <c r="A76" s="1861"/>
      <c r="B76" s="1851"/>
      <c r="C76" s="1851"/>
      <c r="D76" s="1851"/>
      <c r="E76" s="1851"/>
      <c r="F76" s="1851"/>
      <c r="G76" s="1851"/>
      <c r="H76" s="1851"/>
      <c r="I76" s="1851"/>
      <c r="J76" s="1851"/>
      <c r="K76" s="1851"/>
      <c r="L76" s="1851"/>
      <c r="M76" s="1851"/>
      <c r="N76" s="1851"/>
      <c r="O76" s="1851"/>
      <c r="P76" s="1851"/>
      <c r="Q76" s="1851"/>
      <c r="R76" s="1851"/>
      <c r="S76" s="1851"/>
      <c r="T76" s="1851"/>
      <c r="U76" s="1851"/>
      <c r="V76" s="1851"/>
      <c r="W76" s="1851"/>
      <c r="X76" s="1851"/>
      <c r="Y76" s="1851"/>
      <c r="Z76" s="1851"/>
      <c r="AA76" s="1851"/>
      <c r="AB76" s="1851"/>
      <c r="AC76" s="1851"/>
      <c r="AD76" s="1851"/>
      <c r="AE76" s="1851"/>
      <c r="AF76" s="1851"/>
      <c r="AG76" s="1851"/>
      <c r="AH76" s="1851"/>
      <c r="AI76" s="1851"/>
      <c r="AJ76" s="1851"/>
      <c r="AK76" s="1851"/>
      <c r="AL76" s="1851"/>
      <c r="AM76" s="1851"/>
      <c r="AN76" s="1851"/>
      <c r="AO76" s="1851"/>
      <c r="AP76" s="1851"/>
      <c r="AQ76" s="1851"/>
      <c r="AR76" s="1851"/>
      <c r="AS76" s="1851"/>
      <c r="AT76" s="1851"/>
      <c r="AU76" s="1851"/>
      <c r="AV76" s="1851"/>
      <c r="AW76" s="1851"/>
      <c r="AX76" s="1851"/>
    </row>
    <row r="77" spans="1:50" hidden="1" outlineLevel="1">
      <c r="A77" s="1861"/>
      <c r="B77" s="1851"/>
      <c r="C77" s="1851"/>
      <c r="D77" s="1851"/>
      <c r="E77" s="1851"/>
      <c r="F77" s="1851"/>
      <c r="G77" s="1851"/>
      <c r="H77" s="1851"/>
      <c r="I77" s="1851"/>
      <c r="J77" s="1851"/>
      <c r="K77" s="1851"/>
      <c r="L77" s="1851"/>
      <c r="M77" s="1851"/>
      <c r="N77" s="1851"/>
      <c r="O77" s="1851"/>
      <c r="P77" s="1851"/>
      <c r="Q77" s="1851"/>
      <c r="R77" s="1851"/>
      <c r="S77" s="1851"/>
      <c r="T77" s="1851"/>
      <c r="U77" s="1851"/>
      <c r="V77" s="1851"/>
      <c r="W77" s="1851"/>
      <c r="X77" s="1851"/>
      <c r="Y77" s="1851"/>
      <c r="Z77" s="1851"/>
      <c r="AA77" s="1851"/>
      <c r="AB77" s="1851"/>
      <c r="AC77" s="1851"/>
      <c r="AD77" s="1851"/>
      <c r="AE77" s="1851"/>
      <c r="AF77" s="1851"/>
      <c r="AG77" s="1851"/>
      <c r="AH77" s="1851"/>
      <c r="AI77" s="1851"/>
      <c r="AJ77" s="1851"/>
      <c r="AK77" s="1851"/>
      <c r="AL77" s="1851"/>
      <c r="AM77" s="1851"/>
      <c r="AN77" s="1851"/>
      <c r="AO77" s="1851"/>
      <c r="AP77" s="1851"/>
      <c r="AQ77" s="1851"/>
      <c r="AR77" s="1851"/>
      <c r="AS77" s="1851"/>
      <c r="AT77" s="1851"/>
      <c r="AU77" s="1851"/>
      <c r="AV77" s="1851"/>
      <c r="AW77" s="1851"/>
      <c r="AX77" s="1851"/>
    </row>
    <row r="78" spans="1:50" hidden="1" outlineLevel="1">
      <c r="A78" s="1861"/>
      <c r="B78" s="1851"/>
      <c r="C78" s="1851"/>
      <c r="D78" s="1851"/>
      <c r="E78" s="1851"/>
      <c r="F78" s="1851"/>
      <c r="G78" s="1851"/>
      <c r="H78" s="1851"/>
      <c r="I78" s="1851"/>
      <c r="J78" s="1851"/>
      <c r="K78" s="1851"/>
      <c r="L78" s="1851"/>
      <c r="M78" s="1851"/>
      <c r="N78" s="1851"/>
      <c r="O78" s="1851"/>
      <c r="P78" s="1851"/>
      <c r="Q78" s="1851"/>
      <c r="R78" s="1851"/>
      <c r="S78" s="1851"/>
      <c r="T78" s="1851"/>
      <c r="U78" s="1851"/>
      <c r="V78" s="1851"/>
      <c r="W78" s="1851"/>
      <c r="X78" s="1851"/>
      <c r="Y78" s="1851"/>
      <c r="Z78" s="1851"/>
      <c r="AA78" s="1851"/>
      <c r="AB78" s="1851"/>
      <c r="AC78" s="1851"/>
      <c r="AD78" s="1851"/>
      <c r="AE78" s="1851"/>
      <c r="AF78" s="1851"/>
      <c r="AG78" s="1851"/>
      <c r="AH78" s="1851"/>
      <c r="AI78" s="1851"/>
      <c r="AJ78" s="1851"/>
      <c r="AK78" s="1851"/>
      <c r="AL78" s="1851"/>
      <c r="AM78" s="1851"/>
      <c r="AN78" s="1851"/>
      <c r="AO78" s="1851"/>
      <c r="AP78" s="1851"/>
      <c r="AQ78" s="1851"/>
      <c r="AR78" s="1851"/>
      <c r="AS78" s="1851"/>
      <c r="AT78" s="1851"/>
      <c r="AU78" s="1851"/>
      <c r="AV78" s="1851"/>
      <c r="AW78" s="1851"/>
      <c r="AX78" s="1851"/>
    </row>
    <row r="79" spans="1:50" hidden="1" outlineLevel="1">
      <c r="A79" s="1862"/>
      <c r="B79" s="1855"/>
      <c r="C79" s="1855"/>
      <c r="D79" s="1855"/>
      <c r="E79" s="1855"/>
      <c r="F79" s="1855"/>
      <c r="G79" s="1855"/>
      <c r="H79" s="1855"/>
      <c r="I79" s="1855"/>
      <c r="J79" s="1855"/>
      <c r="K79" s="1855"/>
      <c r="L79" s="1855"/>
      <c r="M79" s="1855"/>
      <c r="N79" s="1855"/>
      <c r="O79" s="1855"/>
      <c r="P79" s="1855"/>
      <c r="Q79" s="1855"/>
      <c r="R79" s="1855"/>
      <c r="S79" s="1855"/>
      <c r="T79" s="1855"/>
      <c r="U79" s="1855"/>
      <c r="V79" s="1855"/>
      <c r="W79" s="1855"/>
      <c r="X79" s="1855"/>
      <c r="Y79" s="1855"/>
      <c r="Z79" s="1855"/>
      <c r="AA79" s="1855"/>
      <c r="AB79" s="1855"/>
      <c r="AC79" s="1855"/>
      <c r="AD79" s="1855"/>
      <c r="AE79" s="1855"/>
      <c r="AF79" s="1855"/>
      <c r="AG79" s="1855"/>
      <c r="AH79" s="1855"/>
      <c r="AI79" s="1855"/>
      <c r="AJ79" s="1855"/>
      <c r="AK79" s="1855"/>
      <c r="AL79" s="1855"/>
      <c r="AM79" s="1855"/>
      <c r="AN79" s="1855"/>
      <c r="AO79" s="1855"/>
      <c r="AP79" s="1855"/>
      <c r="AQ79" s="1855"/>
      <c r="AR79" s="1855"/>
      <c r="AS79" s="1855"/>
      <c r="AT79" s="1855"/>
      <c r="AU79" s="1855"/>
      <c r="AV79" s="1855"/>
      <c r="AW79" s="1855"/>
      <c r="AX79" s="1855"/>
    </row>
    <row r="80" spans="1:50" hidden="1" outlineLevel="1">
      <c r="A80" s="1862"/>
      <c r="B80" s="1855"/>
      <c r="C80" s="1855"/>
      <c r="D80" s="1855"/>
      <c r="E80" s="1855"/>
      <c r="F80" s="1855"/>
      <c r="G80" s="1855"/>
      <c r="H80" s="1855"/>
      <c r="I80" s="1855"/>
      <c r="J80" s="1855"/>
      <c r="K80" s="1855"/>
      <c r="L80" s="1855"/>
      <c r="M80" s="1855"/>
      <c r="N80" s="1855"/>
      <c r="O80" s="1855"/>
      <c r="P80" s="1855"/>
      <c r="Q80" s="1855"/>
      <c r="R80" s="1855"/>
      <c r="S80" s="1855"/>
      <c r="T80" s="1855"/>
      <c r="U80" s="1855"/>
      <c r="V80" s="1855"/>
      <c r="W80" s="1855"/>
      <c r="X80" s="1855"/>
      <c r="Y80" s="1855"/>
      <c r="Z80" s="1855"/>
      <c r="AA80" s="1855"/>
      <c r="AB80" s="1855"/>
      <c r="AC80" s="1855"/>
      <c r="AD80" s="1855"/>
      <c r="AE80" s="1855"/>
      <c r="AF80" s="1855"/>
      <c r="AG80" s="1855"/>
      <c r="AH80" s="1855"/>
      <c r="AI80" s="1855"/>
      <c r="AJ80" s="1855"/>
      <c r="AK80" s="1855"/>
      <c r="AL80" s="1855"/>
      <c r="AM80" s="1855"/>
      <c r="AN80" s="1855"/>
      <c r="AO80" s="1855"/>
      <c r="AP80" s="1855"/>
      <c r="AQ80" s="1855"/>
      <c r="AR80" s="1855"/>
      <c r="AS80" s="1855"/>
      <c r="AT80" s="1855"/>
      <c r="AU80" s="1855"/>
      <c r="AV80" s="1855"/>
      <c r="AW80" s="1855"/>
      <c r="AX80" s="1855"/>
    </row>
    <row r="81" spans="1:50" hidden="1" outlineLevel="1">
      <c r="A81" s="1862"/>
      <c r="B81" s="1855"/>
      <c r="C81" s="1855"/>
      <c r="D81" s="1855"/>
      <c r="E81" s="1855"/>
      <c r="F81" s="1855"/>
      <c r="G81" s="1855"/>
      <c r="H81" s="1855"/>
      <c r="I81" s="1855"/>
      <c r="J81" s="1855"/>
      <c r="K81" s="1855"/>
      <c r="L81" s="1855"/>
      <c r="M81" s="1855"/>
      <c r="N81" s="1855"/>
      <c r="O81" s="1855"/>
      <c r="P81" s="1855"/>
      <c r="Q81" s="1855"/>
      <c r="R81" s="1855"/>
      <c r="S81" s="1855"/>
      <c r="T81" s="1855"/>
      <c r="U81" s="1855"/>
      <c r="V81" s="1855"/>
      <c r="W81" s="1855"/>
      <c r="X81" s="1855"/>
      <c r="Y81" s="1855"/>
      <c r="Z81" s="1855"/>
      <c r="AA81" s="1855"/>
      <c r="AB81" s="1855"/>
      <c r="AC81" s="1855"/>
      <c r="AD81" s="1855"/>
      <c r="AE81" s="1855"/>
      <c r="AF81" s="1855"/>
      <c r="AG81" s="1855"/>
      <c r="AH81" s="1855"/>
      <c r="AI81" s="1855"/>
      <c r="AJ81" s="1855"/>
      <c r="AK81" s="1855"/>
      <c r="AL81" s="1855"/>
      <c r="AM81" s="1855"/>
      <c r="AN81" s="1855"/>
      <c r="AO81" s="1855"/>
      <c r="AP81" s="1855"/>
      <c r="AQ81" s="1855"/>
      <c r="AR81" s="1855"/>
      <c r="AS81" s="1855"/>
      <c r="AT81" s="1855"/>
      <c r="AU81" s="1855"/>
      <c r="AV81" s="1855"/>
      <c r="AW81" s="1855"/>
      <c r="AX81" s="1855"/>
    </row>
    <row r="82" spans="1:50" hidden="1" outlineLevel="1">
      <c r="A82" s="1862"/>
      <c r="B82" s="1855"/>
      <c r="C82" s="1855"/>
      <c r="D82" s="1855"/>
      <c r="E82" s="1855"/>
      <c r="F82" s="1855"/>
      <c r="G82" s="1855"/>
      <c r="H82" s="1855"/>
      <c r="I82" s="1855"/>
      <c r="J82" s="1855"/>
      <c r="K82" s="1855"/>
      <c r="L82" s="1855"/>
      <c r="M82" s="1855"/>
      <c r="N82" s="1855"/>
      <c r="O82" s="1855"/>
      <c r="P82" s="1855"/>
      <c r="Q82" s="1855"/>
      <c r="R82" s="1855"/>
      <c r="S82" s="1855"/>
      <c r="T82" s="1855"/>
      <c r="U82" s="1855"/>
      <c r="V82" s="1855"/>
      <c r="W82" s="1855"/>
      <c r="X82" s="1855"/>
      <c r="Y82" s="1855"/>
      <c r="Z82" s="1855"/>
      <c r="AA82" s="1855"/>
      <c r="AB82" s="1855"/>
      <c r="AC82" s="1855"/>
      <c r="AD82" s="1855"/>
      <c r="AE82" s="1855"/>
      <c r="AF82" s="1855"/>
      <c r="AG82" s="1855"/>
      <c r="AH82" s="1855"/>
      <c r="AI82" s="1855"/>
      <c r="AJ82" s="1855"/>
      <c r="AK82" s="1855"/>
      <c r="AL82" s="1855"/>
      <c r="AM82" s="1855"/>
      <c r="AN82" s="1855"/>
      <c r="AO82" s="1855"/>
      <c r="AP82" s="1855"/>
      <c r="AQ82" s="1855"/>
      <c r="AR82" s="1855"/>
      <c r="AS82" s="1855"/>
      <c r="AT82" s="1855"/>
      <c r="AU82" s="1855"/>
      <c r="AV82" s="1855"/>
      <c r="AW82" s="1855"/>
      <c r="AX82" s="1855"/>
    </row>
    <row r="83" spans="1:50" collapsed="1">
      <c r="B83" s="1855"/>
      <c r="C83" s="1855"/>
      <c r="D83" s="1855"/>
      <c r="E83" s="1855"/>
      <c r="F83" s="1855"/>
      <c r="G83" s="1855"/>
      <c r="H83" s="1855"/>
      <c r="I83" s="1855"/>
      <c r="J83" s="1855"/>
      <c r="K83" s="1855"/>
      <c r="L83" s="1855"/>
      <c r="M83" s="1855"/>
      <c r="N83" s="1855"/>
      <c r="O83" s="1855"/>
      <c r="P83" s="1855"/>
      <c r="Q83" s="1855"/>
      <c r="R83" s="1855"/>
      <c r="S83" s="1855"/>
      <c r="T83" s="1855"/>
      <c r="U83" s="1855"/>
      <c r="V83" s="1855"/>
      <c r="W83" s="1855"/>
      <c r="X83" s="1855"/>
      <c r="Y83" s="1855"/>
      <c r="Z83" s="1855"/>
      <c r="AA83" s="1855"/>
      <c r="AB83" s="1855"/>
      <c r="AC83" s="1855"/>
      <c r="AD83" s="1855"/>
      <c r="AE83" s="1855"/>
      <c r="AF83" s="1855"/>
      <c r="AG83" s="1855"/>
      <c r="AH83" s="1855"/>
      <c r="AI83" s="1855"/>
      <c r="AJ83" s="1855"/>
      <c r="AK83" s="1855"/>
      <c r="AL83" s="1855"/>
      <c r="AM83" s="1855"/>
      <c r="AN83" s="1855"/>
      <c r="AO83" s="1855"/>
      <c r="AP83" s="1855"/>
      <c r="AQ83" s="1855"/>
      <c r="AR83" s="1855"/>
      <c r="AS83" s="1855"/>
      <c r="AT83" s="1855"/>
      <c r="AU83" s="1855"/>
      <c r="AV83" s="1855"/>
      <c r="AW83" s="1855"/>
      <c r="AX83" s="1855"/>
    </row>
    <row r="84" spans="1:50">
      <c r="B84" s="1855"/>
      <c r="C84" s="1855"/>
      <c r="D84" s="1855"/>
      <c r="E84" s="1855"/>
      <c r="F84" s="1855"/>
      <c r="G84" s="1855"/>
      <c r="H84" s="1855"/>
      <c r="I84" s="1855"/>
      <c r="J84" s="1855"/>
      <c r="K84" s="1855"/>
      <c r="L84" s="1855"/>
      <c r="M84" s="1855"/>
      <c r="N84" s="1855"/>
      <c r="O84" s="1855"/>
      <c r="P84" s="1855"/>
      <c r="Q84" s="1855"/>
      <c r="R84" s="1855"/>
      <c r="S84" s="1855"/>
      <c r="T84" s="1855"/>
      <c r="U84" s="1855"/>
      <c r="V84" s="1855"/>
      <c r="W84" s="1855"/>
      <c r="X84" s="1855"/>
      <c r="Y84" s="1855"/>
      <c r="Z84" s="1855"/>
      <c r="AA84" s="1855"/>
      <c r="AB84" s="1855"/>
      <c r="AC84" s="1855"/>
      <c r="AD84" s="1855"/>
      <c r="AE84" s="1855"/>
      <c r="AF84" s="1855"/>
      <c r="AG84" s="1855"/>
      <c r="AH84" s="1855"/>
      <c r="AI84" s="1855"/>
      <c r="AJ84" s="1855"/>
      <c r="AK84" s="1855"/>
      <c r="AL84" s="1855"/>
      <c r="AM84" s="1855"/>
      <c r="AN84" s="1855"/>
      <c r="AO84" s="1855"/>
      <c r="AP84" s="1855"/>
      <c r="AQ84" s="1855"/>
      <c r="AR84" s="1855"/>
      <c r="AS84" s="1855"/>
      <c r="AT84" s="1855"/>
      <c r="AU84" s="1855"/>
      <c r="AV84" s="1855"/>
      <c r="AW84" s="1855"/>
      <c r="AX84" s="1855"/>
    </row>
    <row r="85" spans="1:50">
      <c r="B85" s="1855"/>
      <c r="C85" s="1855"/>
      <c r="D85" s="1855"/>
      <c r="E85" s="1855"/>
      <c r="F85" s="1855"/>
      <c r="G85" s="1855"/>
      <c r="H85" s="1855"/>
      <c r="I85" s="1855"/>
      <c r="J85" s="1855"/>
      <c r="K85" s="1855"/>
      <c r="L85" s="1855"/>
      <c r="M85" s="1855"/>
      <c r="N85" s="1855"/>
      <c r="O85" s="1855"/>
      <c r="P85" s="1855"/>
      <c r="Q85" s="1855"/>
      <c r="R85" s="1855"/>
      <c r="S85" s="1855"/>
      <c r="T85" s="1855"/>
      <c r="U85" s="1855"/>
      <c r="V85" s="1855"/>
      <c r="W85" s="1855"/>
      <c r="X85" s="1855"/>
      <c r="Y85" s="1855"/>
      <c r="Z85" s="1855"/>
      <c r="AA85" s="1855"/>
      <c r="AB85" s="1855"/>
      <c r="AC85" s="1855"/>
      <c r="AD85" s="1855"/>
      <c r="AE85" s="1855"/>
      <c r="AF85" s="1855"/>
      <c r="AG85" s="1855"/>
      <c r="AH85" s="1855"/>
      <c r="AI85" s="1855"/>
      <c r="AJ85" s="1855"/>
      <c r="AK85" s="1855"/>
      <c r="AL85" s="1855"/>
      <c r="AM85" s="1855"/>
      <c r="AN85" s="1855"/>
      <c r="AO85" s="1855"/>
      <c r="AP85" s="1855"/>
      <c r="AQ85" s="1855"/>
      <c r="AR85" s="1855"/>
      <c r="AS85" s="1855"/>
      <c r="AT85" s="1855"/>
      <c r="AU85" s="1855"/>
      <c r="AV85" s="1855"/>
      <c r="AW85" s="1855"/>
      <c r="AX85" s="1855"/>
    </row>
    <row r="86" spans="1:50">
      <c r="A86" s="113" t="str">
        <f>+Subscribers!A20</f>
        <v>Revenue</v>
      </c>
      <c r="B86" s="1856">
        <f>+Subscribers!AL20</f>
        <v>285154</v>
      </c>
      <c r="C86" s="1856">
        <f>+Subscribers!AM20</f>
        <v>288275</v>
      </c>
      <c r="D86" s="1856">
        <f>+Subscribers!AN20</f>
        <v>294038</v>
      </c>
      <c r="E86" s="1856">
        <f>+Subscribers!AO20</f>
        <v>299528</v>
      </c>
      <c r="F86" s="1856">
        <f>+Subscribers!AP20</f>
        <v>297383</v>
      </c>
      <c r="G86" s="1856">
        <f>+Subscribers!AQ20</f>
        <v>297406</v>
      </c>
      <c r="H86" s="1856">
        <f>+Subscribers!AR20</f>
        <v>297757</v>
      </c>
      <c r="I86" s="1856">
        <f>+Subscribers!AS20</f>
        <v>314768</v>
      </c>
      <c r="J86" s="1856">
        <f>+Subscribers!AT20</f>
        <v>301111</v>
      </c>
      <c r="K86" s="1856">
        <f>+Subscribers!AU20</f>
        <v>1728503</v>
      </c>
      <c r="L86" s="1856">
        <f>+Subscribers!AV20</f>
        <v>1703233</v>
      </c>
      <c r="M86" s="1856">
        <f>+Subscribers!AW20</f>
        <v>1697562</v>
      </c>
      <c r="N86" s="1856">
        <f>+Subscribers!AX20</f>
        <v>1718722</v>
      </c>
      <c r="O86" s="1856">
        <f>+Subscribers!AY20</f>
        <v>1702939</v>
      </c>
      <c r="P86" s="1856">
        <f>+Subscribers!AZ20</f>
        <v>1721883</v>
      </c>
      <c r="Q86" s="1856">
        <f>+Subscribers!BA20</f>
        <v>1749492</v>
      </c>
      <c r="R86" s="1856">
        <f>+Subscribers!BB20</f>
        <v>1716648</v>
      </c>
      <c r="S86" s="1856">
        <f>+Subscribers!BC20</f>
        <v>3949252</v>
      </c>
      <c r="T86" s="1856">
        <f>+Subscribers!BD20</f>
        <v>3879340</v>
      </c>
      <c r="U86" s="1856">
        <f>+Subscribers!BE20</f>
        <v>3829884</v>
      </c>
      <c r="V86" s="1856">
        <f>+Subscribers!BF20</f>
        <v>5291474</v>
      </c>
      <c r="W86" s="1856">
        <f>+Subscribers!BG20</f>
        <v>5102597</v>
      </c>
      <c r="X86" s="1856">
        <f>+Subscribers!BH20</f>
        <v>4996413</v>
      </c>
      <c r="Y86" s="1856">
        <f>+Subscribers!BI20</f>
        <v>3198570</v>
      </c>
      <c r="Z86" s="1856">
        <f>+Subscribers!BJ20</f>
        <v>3119077</v>
      </c>
      <c r="AA86" s="1856">
        <f>+Subscribers!BK20</f>
        <v>213000</v>
      </c>
      <c r="AB86" s="1856">
        <f>+Subscribers!BL20</f>
        <v>219000</v>
      </c>
      <c r="AC86" s="1856">
        <f>+Subscribers!BM20</f>
        <v>240000</v>
      </c>
      <c r="AD86" s="1856">
        <f>+Subscribers!BN20</f>
        <v>251000</v>
      </c>
      <c r="AE86" s="1856">
        <f ca="1">+Subscribers!BO20</f>
        <v>4736800</v>
      </c>
      <c r="AF86" s="1856">
        <f>+Subscribers!BP20</f>
        <v>4669000</v>
      </c>
      <c r="AG86" s="1856">
        <f>+Subscribers!BQ20</f>
        <v>4633000</v>
      </c>
      <c r="AH86" s="1856">
        <f>+Subscribers!BR20</f>
        <v>4653000</v>
      </c>
      <c r="AI86" s="1856">
        <f>+Subscribers!BS20</f>
        <v>4610000</v>
      </c>
      <c r="AJ86" s="1856">
        <f>+Subscribers!BT20</f>
        <v>4612000</v>
      </c>
      <c r="AK86" s="1856">
        <f>+Subscribers!BU20</f>
        <v>4571000</v>
      </c>
      <c r="AL86" s="1856">
        <f>+Subscribers!BV20</f>
        <v>4584000</v>
      </c>
      <c r="AM86" s="1856">
        <f>+Subscribers!BW20</f>
        <v>4513000</v>
      </c>
      <c r="AN86" s="1856">
        <f>+Subscribers!BX20</f>
        <v>4525000</v>
      </c>
      <c r="AO86" s="1856">
        <f>+Subscribers!BY20</f>
        <v>4515000</v>
      </c>
      <c r="AP86" s="1856">
        <f>+Subscribers!BZ20</f>
        <v>4542000</v>
      </c>
      <c r="AQ86" s="1856">
        <f>+Subscribers!CA20</f>
        <v>4538000</v>
      </c>
      <c r="AR86" s="1856">
        <f>+Subscribers!CB20</f>
        <v>4540000</v>
      </c>
      <c r="AS86" s="1856">
        <f>+Subscribers!CC20</f>
        <v>4513000</v>
      </c>
      <c r="AT86" s="1856">
        <f>+Subscribers!CD20</f>
        <v>4436000</v>
      </c>
      <c r="AU86" s="1856">
        <f>+Subscribers!CE20</f>
        <v>4451000</v>
      </c>
      <c r="AV86" s="1856">
        <f>+Subscribers!CF20</f>
        <v>4419000</v>
      </c>
      <c r="AW86" s="1856">
        <f>+Subscribers!CG20</f>
        <v>4554000</v>
      </c>
      <c r="AX86" s="1856">
        <f>+Subscribers!CH20</f>
        <v>4476000</v>
      </c>
    </row>
    <row r="87" spans="1:50">
      <c r="A87" s="74" t="str">
        <f>+Subscribers!A21</f>
        <v xml:space="preserve">   % growth</v>
      </c>
      <c r="B87" s="1851">
        <f>+Subscribers!AL21</f>
        <v>0</v>
      </c>
      <c r="C87" s="1851">
        <f>+Subscribers!AM21</f>
        <v>0</v>
      </c>
      <c r="D87" s="1851">
        <f>+Subscribers!AN21</f>
        <v>0</v>
      </c>
      <c r="E87" s="1851">
        <f>+Subscribers!AO21</f>
        <v>0</v>
      </c>
      <c r="F87" s="1851">
        <f>+Subscribers!AP21</f>
        <v>4.2885598658970236E-2</v>
      </c>
      <c r="G87" s="1851">
        <f>+Subscribers!AQ21</f>
        <v>3.1674616251842869E-2</v>
      </c>
      <c r="H87" s="1851">
        <f>+Subscribers!AR21</f>
        <v>1.2648025085193026E-2</v>
      </c>
      <c r="I87" s="1851">
        <f>+Subscribers!AS21</f>
        <v>5.0880051280681515E-2</v>
      </c>
      <c r="J87" s="1851">
        <f>+Subscribers!AT21</f>
        <v>1.2536022570220906E-2</v>
      </c>
      <c r="K87" s="1853">
        <f>+Subscribers!AU21</f>
        <v>4.8119304923236248</v>
      </c>
      <c r="L87" s="1853">
        <f>+Subscribers!AV21</f>
        <v>4.7202114475898131</v>
      </c>
      <c r="M87" s="1853">
        <f>+Subscribers!AW21</f>
        <v>4.3930577441163017</v>
      </c>
      <c r="N87" s="1853">
        <f>+Subscribers!AX21</f>
        <v>4.7079349475774714</v>
      </c>
      <c r="O87" s="1853">
        <f>+Subscribers!AY21</f>
        <v>-1.4789676384709738E-2</v>
      </c>
      <c r="P87" s="1853">
        <f>+Subscribers!AZ21</f>
        <v>1.0949764359896808E-2</v>
      </c>
      <c r="Q87" s="1853">
        <f>+Subscribers!BA21</f>
        <v>3.0590929815818235E-2</v>
      </c>
      <c r="R87" s="1853">
        <f>+Subscribers!BB21</f>
        <v>-1.2067105675030998E-3</v>
      </c>
      <c r="S87" s="1853">
        <f>+Subscribers!BC21</f>
        <v>1.3190801314668348</v>
      </c>
      <c r="T87" s="1853">
        <f>+Subscribers!BD21</f>
        <v>1.2529637611847031</v>
      </c>
      <c r="U87" s="1853">
        <f>+Subscribers!BE21</f>
        <v>1.1891406191054319</v>
      </c>
      <c r="V87" s="1853">
        <f>+Subscribers!BF21</f>
        <v>2.0824455566895486</v>
      </c>
      <c r="W87" s="1853">
        <f>+Subscribers!BG21</f>
        <v>0.29204137897505644</v>
      </c>
      <c r="X87" s="1853">
        <f>+Subscribers!BH21</f>
        <v>0.28795439430418579</v>
      </c>
      <c r="Y87" s="1853">
        <f>+Subscribers!BI21</f>
        <v>-0.16483893506957392</v>
      </c>
      <c r="Z87" s="1853">
        <f>+Subscribers!BJ21</f>
        <v>-0.4105466643131952</v>
      </c>
      <c r="AA87" s="1853" t="str">
        <f>+Subscribers!BK21</f>
        <v>NM</v>
      </c>
      <c r="AB87" s="1853" t="str">
        <f>+Subscribers!BL21</f>
        <v>NM</v>
      </c>
      <c r="AC87" s="1853" t="str">
        <f>+Subscribers!BM21</f>
        <v>NM</v>
      </c>
      <c r="AD87" s="1853" t="str">
        <f>+Subscribers!BN21</f>
        <v>NM</v>
      </c>
      <c r="AE87" s="1853">
        <f ca="1">+Subscribers!BO21</f>
        <v>21.238497652582161</v>
      </c>
      <c r="AF87" s="1853">
        <f>+Subscribers!BP21</f>
        <v>20.319634703196346</v>
      </c>
      <c r="AG87" s="1853">
        <f>+Subscribers!BQ21</f>
        <v>18.304166666666667</v>
      </c>
      <c r="AH87" s="1853">
        <f>+Subscribers!BR21</f>
        <v>17.53784860557769</v>
      </c>
      <c r="AI87" s="1853">
        <f ca="1">+Subscribers!BS21</f>
        <v>-2.6769126836682977E-2</v>
      </c>
      <c r="AJ87" s="1853">
        <f>+Subscribers!BT21</f>
        <v>-1.2208181623473924E-2</v>
      </c>
      <c r="AK87" s="1853">
        <f>+Subscribers!BU21</f>
        <v>-1.3382257716382462E-2</v>
      </c>
      <c r="AL87" s="1853">
        <f>+Subscribers!BV21</f>
        <v>-1.4829142488716918E-2</v>
      </c>
      <c r="AM87" s="1853">
        <f>+Subscribers!BW21</f>
        <v>-2.1041214750542325E-2</v>
      </c>
      <c r="AN87" s="1853">
        <f>+Subscribers!BX21</f>
        <v>-1.8863833477883785E-2</v>
      </c>
      <c r="AO87" s="1853">
        <f>+Subscribers!BY21</f>
        <v>-1.225114854517606E-2</v>
      </c>
      <c r="AP87" s="1853">
        <f>+Subscribers!BZ21</f>
        <v>-9.162303664921434E-3</v>
      </c>
      <c r="AQ87" s="1853">
        <f>+Subscribers!CA21</f>
        <v>5.539552404165704E-3</v>
      </c>
      <c r="AR87" s="1853">
        <f>+Subscribers!CB21</f>
        <v>3.3149171270718814E-3</v>
      </c>
      <c r="AS87" s="1853">
        <f>+Subscribers!CC21</f>
        <v>-4.4296788482833804E-4</v>
      </c>
      <c r="AT87" s="1853">
        <f>+Subscribers!CD21</f>
        <v>-2.3337736679876708E-2</v>
      </c>
      <c r="AU87" s="1853">
        <f>+Subscribers!CE21</f>
        <v>-1.9171441163508107E-2</v>
      </c>
      <c r="AV87" s="1853">
        <f>+Subscribers!CF21</f>
        <v>-2.6651982378854577E-2</v>
      </c>
      <c r="AW87" s="1853">
        <f>+Subscribers!CG21</f>
        <v>9.0848659428317546E-3</v>
      </c>
      <c r="AX87" s="1853">
        <f>+Subscribers!CH21</f>
        <v>9.0171325518484391E-3</v>
      </c>
    </row>
    <row r="88" spans="1:50">
      <c r="A88" s="74" t="str">
        <f>+Subscribers!A22</f>
        <v xml:space="preserve">   % growth q/q</v>
      </c>
      <c r="B88" s="1851">
        <f>+Subscribers!AL22</f>
        <v>0</v>
      </c>
      <c r="C88" s="1851">
        <f>+Subscribers!AM22</f>
        <v>0</v>
      </c>
      <c r="D88" s="1851">
        <f>+Subscribers!AN22</f>
        <v>0</v>
      </c>
      <c r="E88" s="1851">
        <f>+Subscribers!AO22</f>
        <v>0</v>
      </c>
      <c r="F88" s="1851">
        <f>+Subscribers!AP22</f>
        <v>0</v>
      </c>
      <c r="G88" s="1851">
        <f>+Subscribers!AQ22</f>
        <v>0</v>
      </c>
      <c r="H88" s="1851">
        <f>+Subscribers!AR22</f>
        <v>0</v>
      </c>
      <c r="I88" s="1851">
        <f>+Subscribers!AS22</f>
        <v>0</v>
      </c>
      <c r="J88" s="1851">
        <f>+Subscribers!AT22</f>
        <v>0</v>
      </c>
      <c r="K88" s="1853">
        <f>+Subscribers!AU22</f>
        <v>0</v>
      </c>
      <c r="L88" s="1853">
        <f>+Subscribers!AV22</f>
        <v>0</v>
      </c>
      <c r="M88" s="1853">
        <f>+Subscribers!AW22</f>
        <v>0</v>
      </c>
      <c r="N88" s="1853">
        <f>+Subscribers!AX22</f>
        <v>0</v>
      </c>
      <c r="O88" s="1853">
        <f>+Subscribers!AY22</f>
        <v>0</v>
      </c>
      <c r="P88" s="1853">
        <f>+Subscribers!AZ22</f>
        <v>0</v>
      </c>
      <c r="Q88" s="1853">
        <f>+Subscribers!BA22</f>
        <v>0</v>
      </c>
      <c r="R88" s="1853">
        <f>+Subscribers!BB22</f>
        <v>0</v>
      </c>
      <c r="S88" s="1853">
        <f>+Subscribers!BC22</f>
        <v>0</v>
      </c>
      <c r="T88" s="1853">
        <f>+Subscribers!BD22</f>
        <v>0</v>
      </c>
      <c r="U88" s="1853">
        <f>+Subscribers!BE22</f>
        <v>0</v>
      </c>
      <c r="V88" s="1853">
        <f>+Subscribers!BF22</f>
        <v>0</v>
      </c>
      <c r="W88" s="1853">
        <f>+Subscribers!BG22</f>
        <v>0</v>
      </c>
      <c r="X88" s="1853">
        <f>+Subscribers!BH22</f>
        <v>-2.0809795482574889E-2</v>
      </c>
      <c r="Y88" s="1853">
        <f>+Subscribers!BI22</f>
        <v>-0.359826739703063</v>
      </c>
      <c r="Z88" s="1853">
        <f>+Subscribers!BJ22</f>
        <v>-2.485266853625212E-2</v>
      </c>
      <c r="AA88" s="1853" t="str">
        <f>+Subscribers!BK22</f>
        <v>NM</v>
      </c>
      <c r="AB88" s="1853">
        <f>+Subscribers!BL22</f>
        <v>2.8169014084507005E-2</v>
      </c>
      <c r="AC88" s="1853">
        <f>+Subscribers!BM22</f>
        <v>9.5890410958904049E-2</v>
      </c>
      <c r="AD88" s="1853">
        <f>+Subscribers!BN22</f>
        <v>4.5833333333333393E-2</v>
      </c>
      <c r="AE88" s="1853">
        <f ca="1">+Subscribers!BO22</f>
        <v>17.871713147410357</v>
      </c>
      <c r="AF88" s="1853">
        <f ca="1">+Subscribers!BP22</f>
        <v>-1.4313460564093883E-2</v>
      </c>
      <c r="AG88" s="1853">
        <f>+Subscribers!BQ22</f>
        <v>-7.7104304990361916E-3</v>
      </c>
      <c r="AH88" s="1853">
        <f>+Subscribers!BR22</f>
        <v>4.3168573278653533E-3</v>
      </c>
      <c r="AI88" s="1853">
        <f>+Subscribers!BS22</f>
        <v>-9.2413496668816153E-3</v>
      </c>
      <c r="AJ88" s="1853">
        <f>+Subscribers!BT22</f>
        <v>4.3383947939257261E-4</v>
      </c>
      <c r="AK88" s="1853">
        <f>+Subscribers!BU22</f>
        <v>-8.88985255854291E-3</v>
      </c>
      <c r="AL88" s="1853">
        <f>+Subscribers!BV22</f>
        <v>2.8440166265586431E-3</v>
      </c>
      <c r="AM88" s="1853">
        <f>+Subscribers!BW22</f>
        <v>-1.5488656195462469E-2</v>
      </c>
      <c r="AN88" s="1853">
        <f>+Subscribers!BX22</f>
        <v>2.6589851539995379E-3</v>
      </c>
      <c r="AO88" s="1853">
        <f>+Subscribers!BY22</f>
        <v>-2.2099447513812542E-3</v>
      </c>
      <c r="AP88" s="1853">
        <f>+Subscribers!BZ22</f>
        <v>5.9800664451827856E-3</v>
      </c>
      <c r="AQ88" s="1853">
        <f>+Subscribers!CA22</f>
        <v>-8.8066930867458648E-4</v>
      </c>
      <c r="AR88" s="1853">
        <f>+Subscribers!CB22</f>
        <v>4.4072278536799736E-4</v>
      </c>
      <c r="AS88" s="1853">
        <f>+Subscribers!CC22</f>
        <v>-5.9471365638766871E-3</v>
      </c>
      <c r="AT88" s="1853">
        <f>+Subscribers!CD22</f>
        <v>-1.7061821404830479E-2</v>
      </c>
      <c r="AU88" s="1853">
        <f>+Subscribers!CE22</f>
        <v>3.3814247069432479E-3</v>
      </c>
      <c r="AV88" s="1853">
        <f>+Subscribers!CF22</f>
        <v>-7.1893956414288418E-3</v>
      </c>
      <c r="AW88" s="1853">
        <f>+Subscribers!CG22</f>
        <v>3.054989816700604E-2</v>
      </c>
      <c r="AX88" s="1853">
        <f>+Subscribers!CH22</f>
        <v>-1.7127799736495364E-2</v>
      </c>
    </row>
    <row r="89" spans="1:50">
      <c r="A89" s="74" t="str">
        <f>+Subscribers!A23</f>
        <v>Adjustments</v>
      </c>
      <c r="B89" s="1851">
        <f>+Subscribers!AL23</f>
        <v>0</v>
      </c>
      <c r="C89" s="1851">
        <f>+Subscribers!AM23</f>
        <v>0</v>
      </c>
      <c r="D89" s="1851">
        <f>+Subscribers!AN23</f>
        <v>0</v>
      </c>
      <c r="E89" s="1851">
        <f>+Subscribers!AO23</f>
        <v>0</v>
      </c>
      <c r="F89" s="1851">
        <f>+Subscribers!AP23</f>
        <v>0</v>
      </c>
      <c r="G89" s="1851">
        <f>+Subscribers!AQ23</f>
        <v>0</v>
      </c>
      <c r="H89" s="1851">
        <f>+Subscribers!AR23</f>
        <v>0</v>
      </c>
      <c r="I89" s="1851">
        <f>+Subscribers!AS23</f>
        <v>0</v>
      </c>
      <c r="J89" s="1851">
        <f>+Subscribers!AT23</f>
        <v>0</v>
      </c>
      <c r="K89" s="1851">
        <f>+Subscribers!AU23</f>
        <v>0</v>
      </c>
      <c r="L89" s="1851">
        <f>+Subscribers!AV23</f>
        <v>0</v>
      </c>
      <c r="M89" s="1851">
        <f>+Subscribers!AW23</f>
        <v>0</v>
      </c>
      <c r="N89" s="1851">
        <f>+Subscribers!AX23</f>
        <v>0</v>
      </c>
      <c r="O89" s="1851">
        <f>+Subscribers!AY23</f>
        <v>0</v>
      </c>
      <c r="P89" s="1851">
        <f>+Subscribers!AZ23</f>
        <v>0</v>
      </c>
      <c r="Q89" s="1851">
        <f>+Subscribers!BA23</f>
        <v>0</v>
      </c>
      <c r="R89" s="1851">
        <f>+Subscribers!BB23</f>
        <v>0</v>
      </c>
      <c r="S89" s="1851">
        <f>+Subscribers!BC23</f>
        <v>0</v>
      </c>
      <c r="T89" s="1851">
        <f>+Subscribers!BD23</f>
        <v>0</v>
      </c>
      <c r="U89" s="1851">
        <f>+Subscribers!BE23</f>
        <v>0</v>
      </c>
      <c r="V89" s="1851">
        <f>+Subscribers!BF23</f>
        <v>0</v>
      </c>
      <c r="W89" s="1851">
        <f>+Subscribers!BG23</f>
        <v>0</v>
      </c>
      <c r="X89" s="1851">
        <f>+Subscribers!BH23</f>
        <v>0</v>
      </c>
      <c r="Y89" s="1851">
        <f>+Subscribers!BI23</f>
        <v>0</v>
      </c>
      <c r="Z89" s="1851">
        <f>+Subscribers!BJ23</f>
        <v>0</v>
      </c>
      <c r="AA89" s="1851">
        <f>+Subscribers!BK23</f>
        <v>0</v>
      </c>
      <c r="AB89" s="1851">
        <f>+Subscribers!BL23</f>
        <v>0</v>
      </c>
      <c r="AC89" s="1851">
        <f>+Subscribers!BM23</f>
        <v>0</v>
      </c>
      <c r="AD89" s="1851">
        <f>+Subscribers!BN23</f>
        <v>0</v>
      </c>
      <c r="AE89" s="1851">
        <f>+Subscribers!BO23</f>
        <v>0</v>
      </c>
      <c r="AF89" s="1851">
        <f>+Subscribers!BP23</f>
        <v>0</v>
      </c>
      <c r="AG89" s="1851">
        <f>+Subscribers!BQ23</f>
        <v>0</v>
      </c>
      <c r="AH89" s="1851">
        <f>+Subscribers!BR23</f>
        <v>0</v>
      </c>
      <c r="AI89" s="1851">
        <f>+Subscribers!BS23</f>
        <v>0</v>
      </c>
      <c r="AJ89" s="1851">
        <f>+Subscribers!BT23</f>
        <v>0</v>
      </c>
      <c r="AK89" s="1851">
        <f>+Subscribers!BU23</f>
        <v>0</v>
      </c>
      <c r="AL89" s="1851">
        <f>+Subscribers!BV23</f>
        <v>0</v>
      </c>
      <c r="AM89" s="1851">
        <f>+Subscribers!BW23</f>
        <v>0</v>
      </c>
      <c r="AN89" s="1851">
        <f>+Subscribers!BX23</f>
        <v>0</v>
      </c>
      <c r="AO89" s="1851">
        <f>+Subscribers!BY23</f>
        <v>0</v>
      </c>
      <c r="AP89" s="1851">
        <f>+Subscribers!BZ23</f>
        <v>0</v>
      </c>
      <c r="AQ89" s="1851">
        <f>+Subscribers!CA23</f>
        <v>0</v>
      </c>
      <c r="AR89" s="1851">
        <f>+Subscribers!CB23</f>
        <v>0</v>
      </c>
      <c r="AS89" s="1851">
        <f>+Subscribers!CC23</f>
        <v>0</v>
      </c>
      <c r="AT89" s="1851">
        <f>+Subscribers!CD23</f>
        <v>0</v>
      </c>
      <c r="AU89" s="1851">
        <f>+Subscribers!CE23</f>
        <v>0</v>
      </c>
      <c r="AV89" s="1851">
        <f>+Subscribers!CF23</f>
        <v>0</v>
      </c>
      <c r="AW89" s="1851">
        <f>+Subscribers!CG23</f>
        <v>0</v>
      </c>
      <c r="AX89" s="1851">
        <f>+Subscribers!CH23</f>
        <v>0</v>
      </c>
    </row>
    <row r="90" spans="1:50">
      <c r="A90" s="113" t="str">
        <f>+Subscribers!A26</f>
        <v>Voice revenues</v>
      </c>
      <c r="B90" s="1856">
        <f>+Subscribers!AL26</f>
        <v>220972</v>
      </c>
      <c r="C90" s="1856">
        <f>+Subscribers!AM26</f>
        <v>222647</v>
      </c>
      <c r="D90" s="1856">
        <f>+Subscribers!AN26</f>
        <v>225869</v>
      </c>
      <c r="E90" s="1856">
        <f>+Subscribers!AO26</f>
        <v>229536</v>
      </c>
      <c r="F90" s="1856">
        <f>+Subscribers!AP26</f>
        <v>224973</v>
      </c>
      <c r="G90" s="1856">
        <f>+Subscribers!AQ26</f>
        <v>224500</v>
      </c>
      <c r="H90" s="1856">
        <f>+Subscribers!AR26</f>
        <v>221708</v>
      </c>
      <c r="I90" s="1856">
        <f>+Subscribers!AS26</f>
        <v>225857</v>
      </c>
      <c r="J90" s="1856">
        <f>+Subscribers!AT26</f>
        <v>220207</v>
      </c>
      <c r="K90" s="1856">
        <f>+Subscribers!AU26</f>
        <v>1372449</v>
      </c>
      <c r="L90" s="1856">
        <f>+Subscribers!AV26</f>
        <v>1339786</v>
      </c>
      <c r="M90" s="1856">
        <f>+Subscribers!AW26</f>
        <v>1317180</v>
      </c>
      <c r="N90" s="1856">
        <f>+Subscribers!AX26</f>
        <v>1331385</v>
      </c>
      <c r="O90" s="1856">
        <f>+Subscribers!AY26</f>
        <v>1293075</v>
      </c>
      <c r="P90" s="1856">
        <f>+Subscribers!AZ26</f>
        <v>1293677</v>
      </c>
      <c r="Q90" s="1856">
        <f>+Subscribers!BA26</f>
        <v>1280862</v>
      </c>
      <c r="R90" s="1856">
        <f>+Subscribers!BB26</f>
        <v>1257525</v>
      </c>
      <c r="S90" s="1856">
        <f>+Subscribers!BC26</f>
        <v>3359480</v>
      </c>
      <c r="T90" s="1856">
        <f>+Subscribers!BD26</f>
        <v>3262101</v>
      </c>
      <c r="U90" s="1856">
        <f>+Subscribers!BE26</f>
        <v>3186253</v>
      </c>
      <c r="V90" s="1856">
        <f>+Subscribers!BF26</f>
        <v>3084407</v>
      </c>
      <c r="W90" s="1856">
        <f>+Subscribers!BG26</f>
        <v>2995018</v>
      </c>
      <c r="X90" s="1856">
        <f>+Subscribers!BH26</f>
        <v>2898671</v>
      </c>
      <c r="Y90" s="1856">
        <f>+Subscribers!BI26</f>
        <v>2585357</v>
      </c>
      <c r="Z90" s="1856">
        <f>+Subscribers!BJ26</f>
        <v>2509738</v>
      </c>
      <c r="AA90" s="1856">
        <f>+Subscribers!BK26</f>
        <v>2443876</v>
      </c>
      <c r="AB90" s="1856">
        <f>+Subscribers!BL26</f>
        <v>2360580</v>
      </c>
      <c r="AC90" s="1856">
        <f>+Subscribers!BM26</f>
        <v>2330367</v>
      </c>
      <c r="AD90" s="1856">
        <f>+Subscribers!BN26</f>
        <v>2257098</v>
      </c>
      <c r="AE90" s="1856">
        <f>+Subscribers!BO26</f>
        <v>2205203</v>
      </c>
      <c r="AF90" s="1856">
        <f>+Subscribers!BP26</f>
        <v>2136709.8616250902</v>
      </c>
      <c r="AG90" s="1856">
        <f>+Subscribers!BQ26</f>
        <v>2115389.386871445</v>
      </c>
      <c r="AH90" s="1856">
        <f>+Subscribers!BR26</f>
        <v>2100320.4408087102</v>
      </c>
      <c r="AI90" s="1856">
        <f>+Subscribers!BS26</f>
        <v>2060517.8296964483</v>
      </c>
      <c r="AJ90" s="1856">
        <f>+Subscribers!BT26</f>
        <v>2002487.0509013997</v>
      </c>
      <c r="AK90" s="1856">
        <f>+Subscribers!BU26</f>
        <v>1988643.2034601145</v>
      </c>
      <c r="AL90" s="1856">
        <f>+Subscribers!BV26</f>
        <v>1977840.3904553454</v>
      </c>
      <c r="AM90" s="1856">
        <f>+Subscribers!BW26</f>
        <v>1940849.4528844797</v>
      </c>
      <c r="AN90" s="1856">
        <f>+Subscribers!BX26</f>
        <v>1885498.0685219264</v>
      </c>
      <c r="AO90" s="1856">
        <f>+Subscribers!BY26</f>
        <v>1872258.7782539048</v>
      </c>
      <c r="AP90" s="1856">
        <f>+Subscribers!BZ26</f>
        <v>1865375.1636871237</v>
      </c>
      <c r="AQ90" s="1856">
        <f>+Subscribers!CA26</f>
        <v>1837533.3293505935</v>
      </c>
      <c r="AR90" s="1856">
        <f>+Subscribers!CB26</f>
        <v>1792345.7558133337</v>
      </c>
      <c r="AS90" s="1856">
        <f>+Subscribers!CC26</f>
        <v>1783015.6450905679</v>
      </c>
      <c r="AT90" s="1856">
        <f>+Subscribers!CD26</f>
        <v>1776505.144450818</v>
      </c>
      <c r="AU90" s="1856">
        <f>+Subscribers!CE26</f>
        <v>1749173.2774326971</v>
      </c>
      <c r="AV90" s="1856">
        <f>+Subscribers!CF26</f>
        <v>1705885.4032510959</v>
      </c>
      <c r="AW90" s="1856">
        <f>+Subscribers!CG26</f>
        <v>1695148.6567025096</v>
      </c>
      <c r="AX90" s="1856">
        <f>+Subscribers!CH26</f>
        <v>1684465.2758375746</v>
      </c>
    </row>
    <row r="91" spans="1:50">
      <c r="A91" s="74" t="str">
        <f>+Subscribers!A27</f>
        <v xml:space="preserve">   % growth</v>
      </c>
      <c r="B91" s="1851">
        <f>+Subscribers!AL27</f>
        <v>0</v>
      </c>
      <c r="C91" s="1851">
        <f>+Subscribers!AM27</f>
        <v>0</v>
      </c>
      <c r="D91" s="1851">
        <f>+Subscribers!AN27</f>
        <v>0</v>
      </c>
      <c r="E91" s="1851">
        <f>+Subscribers!AO27</f>
        <v>0</v>
      </c>
      <c r="F91" s="1851">
        <f>+Subscribers!AP27</f>
        <v>1.8106366417464548E-2</v>
      </c>
      <c r="G91" s="1851">
        <f>+Subscribers!AQ27</f>
        <v>8.3225913666027385E-3</v>
      </c>
      <c r="H91" s="1851">
        <f>+Subscribers!AR27</f>
        <v>-1.8422182769658568E-2</v>
      </c>
      <c r="I91" s="1851">
        <f>+Subscribers!AS27</f>
        <v>-1.6027986895301827E-2</v>
      </c>
      <c r="J91" s="1851">
        <f>+Subscribers!AT27</f>
        <v>-2.1184764393949451E-2</v>
      </c>
      <c r="K91" s="1853">
        <f>+Subscribers!AU27</f>
        <v>5.1133585746102446</v>
      </c>
      <c r="L91" s="1853">
        <f>+Subscribers!AV27</f>
        <v>5.0430205495516622</v>
      </c>
      <c r="M91" s="1853">
        <f>+Subscribers!AW27</f>
        <v>4.8319201972929777</v>
      </c>
      <c r="N91" s="1853">
        <f>+Subscribers!AX27</f>
        <v>5.0460612060470371</v>
      </c>
      <c r="O91" s="1853">
        <f>+Subscribers!AY27</f>
        <v>-5.7833843006188212E-2</v>
      </c>
      <c r="P91" s="1853">
        <f>+Subscribers!AZ27</f>
        <v>-3.4415197650968121E-2</v>
      </c>
      <c r="Q91" s="1853">
        <f>+Subscribers!BA27</f>
        <v>-2.7572541338313661E-2</v>
      </c>
      <c r="R91" s="1853">
        <f>+Subscribers!BB27</f>
        <v>-5.5476064399103242E-2</v>
      </c>
      <c r="S91" s="1853">
        <f>+Subscribers!BC27</f>
        <v>1.5980550238771918</v>
      </c>
      <c r="T91" s="1853">
        <f>+Subscribers!BD27</f>
        <v>1.5215730046990092</v>
      </c>
      <c r="U91" s="1853">
        <f>+Subscribers!BE27</f>
        <v>1.4875849232782299</v>
      </c>
      <c r="V91" s="1853">
        <f>+Subscribers!BF27</f>
        <v>1.4527599848909563</v>
      </c>
      <c r="W91" s="1853">
        <f>+Subscribers!BG27</f>
        <v>-0.10848762308452498</v>
      </c>
      <c r="X91" s="1853">
        <f>+Subscribers!BH27</f>
        <v>-0.11140979387210881</v>
      </c>
      <c r="Y91" s="1853">
        <f>+Subscribers!BI27</f>
        <v>-0.18859017159026603</v>
      </c>
      <c r="Z91" s="1853">
        <f>+Subscribers!BJ27</f>
        <v>-0.18631425748936503</v>
      </c>
      <c r="AA91" s="1853">
        <f>+Subscribers!BK27</f>
        <v>-0.184019595207775</v>
      </c>
      <c r="AB91" s="1853">
        <f>+Subscribers!BL27</f>
        <v>-0.18563369212994507</v>
      </c>
      <c r="AC91" s="1853">
        <f>+Subscribers!BM27</f>
        <v>-9.8628545303414583E-2</v>
      </c>
      <c r="AD91" s="1853">
        <f>+Subscribers!BN27</f>
        <v>-0.10066389400009079</v>
      </c>
      <c r="AE91" s="1853">
        <f>+Subscribers!BO27</f>
        <v>-9.7661665321808422E-2</v>
      </c>
      <c r="AF91" s="1853">
        <f>+Subscribers!BP27</f>
        <v>-9.4836920746134368E-2</v>
      </c>
      <c r="AG91" s="1853">
        <f>+Subscribers!BQ27</f>
        <v>-9.2250539562461653E-2</v>
      </c>
      <c r="AH91" s="1853">
        <f>+Subscribers!BR27</f>
        <v>-6.9459792703413736E-2</v>
      </c>
      <c r="AI91" s="1853">
        <f>+Subscribers!BS27</f>
        <v>-6.5610816919599579E-2</v>
      </c>
      <c r="AJ91" s="1853">
        <f>+Subscribers!BT27</f>
        <v>-6.2817518248175497E-2</v>
      </c>
      <c r="AK91" s="1853">
        <f>+Subscribers!BU27</f>
        <v>-5.9916242464836067E-2</v>
      </c>
      <c r="AL91" s="1853">
        <f>+Subscribers!BV27</f>
        <v>-5.8314935175417748E-2</v>
      </c>
      <c r="AM91" s="1853">
        <f>+Subscribers!BW27</f>
        <v>-5.8076846066213328E-2</v>
      </c>
      <c r="AN91" s="1853">
        <f>+Subscribers!BX27</f>
        <v>-5.8421842142156066E-2</v>
      </c>
      <c r="AO91" s="1853">
        <f>+Subscribers!BY27</f>
        <v>-5.8524538239794976E-2</v>
      </c>
      <c r="AP91" s="1853">
        <f>+Subscribers!BZ27</f>
        <v>-5.6862640337893788E-2</v>
      </c>
      <c r="AQ91" s="1853">
        <f>+Subscribers!CA27</f>
        <v>-5.3232425307557119E-2</v>
      </c>
      <c r="AR91" s="1853">
        <f>+Subscribers!CB27</f>
        <v>-4.9404618473895545E-2</v>
      </c>
      <c r="AS91" s="1853">
        <f>+Subscribers!CC27</f>
        <v>-4.766602469695258E-2</v>
      </c>
      <c r="AT91" s="1853">
        <f>+Subscribers!CD27</f>
        <v>-4.7641901193025471E-2</v>
      </c>
      <c r="AU91" s="1853">
        <f>+Subscribers!CE27</f>
        <v>-4.8086230876216995E-2</v>
      </c>
      <c r="AV91" s="1853">
        <f>+Subscribers!CF27</f>
        <v>-4.823865723553078E-2</v>
      </c>
      <c r="AW91" s="1853">
        <f>+Subscribers!CG27</f>
        <v>-4.9279987323720409E-2</v>
      </c>
      <c r="AX91" s="1853">
        <f>+Subscribers!CH27</f>
        <v>-5.1809514259355649E-2</v>
      </c>
    </row>
    <row r="92" spans="1:50">
      <c r="A92" s="74" t="str">
        <f>+Subscribers!A28</f>
        <v xml:space="preserve">   % growth q/q</v>
      </c>
      <c r="B92" s="1851">
        <f>+Subscribers!AL28</f>
        <v>0</v>
      </c>
      <c r="C92" s="1851">
        <f>+Subscribers!AM28</f>
        <v>7.5801459008382199E-3</v>
      </c>
      <c r="D92" s="1851">
        <f>+Subscribers!AN28</f>
        <v>1.4471338037341575E-2</v>
      </c>
      <c r="E92" s="1851">
        <f>+Subscribers!AO28</f>
        <v>1.6235074312986653E-2</v>
      </c>
      <c r="F92" s="1851">
        <f>+Subscribers!AP28</f>
        <v>-1.9879234629861964E-2</v>
      </c>
      <c r="G92" s="1851">
        <f>+Subscribers!AQ28</f>
        <v>-2.1024745191645655E-3</v>
      </c>
      <c r="H92" s="1851">
        <f>+Subscribers!AR28</f>
        <v>-1.2436525612472216E-2</v>
      </c>
      <c r="I92" s="1851">
        <f>+Subscribers!AS28</f>
        <v>1.8713803741858603E-2</v>
      </c>
      <c r="J92" s="1851">
        <f>+Subscribers!AT28</f>
        <v>-2.5015828599512124E-2</v>
      </c>
      <c r="K92" s="1853">
        <f>+Subscribers!AU28</f>
        <v>5.232540291634689</v>
      </c>
      <c r="L92" s="1853">
        <f>+Subscribers!AV28</f>
        <v>-2.3799062843136598E-2</v>
      </c>
      <c r="M92" s="1853">
        <f>+Subscribers!AW28</f>
        <v>-1.68728438720811E-2</v>
      </c>
      <c r="N92" s="1853">
        <f>+Subscribers!AX28</f>
        <v>1.0784403042864321E-2</v>
      </c>
      <c r="O92" s="1853">
        <f>+Subscribers!AY28</f>
        <v>-2.8774546806521029E-2</v>
      </c>
      <c r="P92" s="1853">
        <f>+Subscribers!AZ28</f>
        <v>4.6555690891869617E-4</v>
      </c>
      <c r="Q92" s="1853">
        <f>+Subscribers!BA28</f>
        <v>-9.905872949739436E-3</v>
      </c>
      <c r="R92" s="1853">
        <f>+Subscribers!BB28</f>
        <v>-1.8219761379446031E-2</v>
      </c>
      <c r="S92" s="1853">
        <f>+Subscribers!BC28</f>
        <v>1.6715015606051571</v>
      </c>
      <c r="T92" s="1853">
        <f>+Subscribers!BD28</f>
        <v>-2.8986331217926598E-2</v>
      </c>
      <c r="U92" s="1853">
        <f>+Subscribers!BE28</f>
        <v>-2.3251272722702332E-2</v>
      </c>
      <c r="V92" s="1853">
        <f>+Subscribers!BF28</f>
        <v>-3.1964191167493605E-2</v>
      </c>
      <c r="W92" s="1853">
        <f>+Subscribers!BG28</f>
        <v>-2.8980935395361285E-2</v>
      </c>
      <c r="X92" s="1853">
        <f>+Subscribers!BH28</f>
        <v>-3.2169088800134138E-2</v>
      </c>
      <c r="Y92" s="1853">
        <f>+Subscribers!BI28</f>
        <v>-0.10808884485338277</v>
      </c>
      <c r="Z92" s="1853">
        <f>+Subscribers!BJ28</f>
        <v>-2.9248958654452761E-2</v>
      </c>
      <c r="AA92" s="1853">
        <f>+Subscribers!BK28</f>
        <v>-2.6242579902762797E-2</v>
      </c>
      <c r="AB92" s="1853">
        <f>+Subscribers!BL28</f>
        <v>-3.4083562341133522E-2</v>
      </c>
      <c r="AC92" s="1853">
        <f>+Subscribers!BM28</f>
        <v>-1.2798973133721359E-2</v>
      </c>
      <c r="AD92" s="1853">
        <f>+Subscribers!BN28</f>
        <v>-3.1440970456584783E-2</v>
      </c>
      <c r="AE92" s="1853">
        <f>+Subscribers!BO28</f>
        <v>-2.2991912624086286E-2</v>
      </c>
      <c r="AF92" s="1853">
        <f>+Subscribers!BP28</f>
        <v>-3.1059788316499581E-2</v>
      </c>
      <c r="AG92" s="1853">
        <f>+Subscribers!BQ28</f>
        <v>-9.9781796005892209E-3</v>
      </c>
      <c r="AH92" s="1853">
        <f>+Subscribers!BR28</f>
        <v>-7.1234857072914881E-3</v>
      </c>
      <c r="AI92" s="1853">
        <f>+Subscribers!BS28</f>
        <v>-1.8950732630558131E-2</v>
      </c>
      <c r="AJ92" s="1853">
        <f>+Subscribers!BT28</f>
        <v>-2.8163201482026334E-2</v>
      </c>
      <c r="AK92" s="1853">
        <f>+Subscribers!BU28</f>
        <v>-6.9133268227894451E-3</v>
      </c>
      <c r="AL92" s="1853">
        <f>+Subscribers!BV28</f>
        <v>-5.4322529984126566E-3</v>
      </c>
      <c r="AM92" s="1853">
        <f>+Subscribers!BW28</f>
        <v>-1.8702690949874645E-2</v>
      </c>
      <c r="AN92" s="1853">
        <f>+Subscribers!BX28</f>
        <v>-2.8519153961318544E-2</v>
      </c>
      <c r="AO92" s="1853">
        <f>+Subscribers!BY28</f>
        <v>-7.0216408539734987E-3</v>
      </c>
      <c r="AP92" s="1853">
        <f>+Subscribers!BZ28</f>
        <v>-3.6766362891356152E-3</v>
      </c>
      <c r="AQ92" s="1853">
        <f>+Subscribers!CA28</f>
        <v>-1.4925595064478991E-2</v>
      </c>
      <c r="AR92" s="1853">
        <f>+Subscribers!CB28</f>
        <v>-2.4591430705221407E-2</v>
      </c>
      <c r="AS92" s="1853">
        <f>+Subscribers!CC28</f>
        <v>-5.205530625162158E-3</v>
      </c>
      <c r="AT92" s="1853">
        <f>+Subscribers!CD28</f>
        <v>-3.6513984931518806E-3</v>
      </c>
      <c r="AU92" s="1853">
        <f>+Subscribers!CE28</f>
        <v>-1.5385188781184223E-2</v>
      </c>
      <c r="AV92" s="1853">
        <f>+Subscribers!CF28</f>
        <v>-2.4747619198216775E-2</v>
      </c>
      <c r="AW92" s="1853">
        <f>+Subscribers!CG28</f>
        <v>-6.2939436190285747E-3</v>
      </c>
      <c r="AX92" s="1853">
        <f>+Subscribers!CH28</f>
        <v>-6.3023268329261972E-3</v>
      </c>
    </row>
    <row r="93" spans="1:50">
      <c r="A93" s="113" t="str">
        <f>+Subscribers!A44</f>
        <v>Data revenues</v>
      </c>
      <c r="B93" s="1856">
        <f>+Subscribers!AL44</f>
        <v>64182</v>
      </c>
      <c r="C93" s="1856">
        <f>+Subscribers!AM44</f>
        <v>65628</v>
      </c>
      <c r="D93" s="1856">
        <f>+Subscribers!AN44</f>
        <v>68169</v>
      </c>
      <c r="E93" s="1856">
        <f>+Subscribers!AO44</f>
        <v>69992</v>
      </c>
      <c r="F93" s="1856">
        <f>+Subscribers!AP44</f>
        <v>72410</v>
      </c>
      <c r="G93" s="1856">
        <f>+Subscribers!AQ44</f>
        <v>72906</v>
      </c>
      <c r="H93" s="1856">
        <f>+Subscribers!AR44</f>
        <v>76049</v>
      </c>
      <c r="I93" s="1856">
        <f>+Subscribers!AS44</f>
        <v>88911</v>
      </c>
      <c r="J93" s="1856">
        <f>+Subscribers!AT44</f>
        <v>80904</v>
      </c>
      <c r="K93" s="1856">
        <f>+Subscribers!AU44</f>
        <v>356054</v>
      </c>
      <c r="L93" s="1856">
        <f>+Subscribers!AV44</f>
        <v>363447</v>
      </c>
      <c r="M93" s="1856">
        <f>+Subscribers!AW44</f>
        <v>380382</v>
      </c>
      <c r="N93" s="1856">
        <f>+Subscribers!AX44</f>
        <v>387337</v>
      </c>
      <c r="O93" s="1856">
        <f>+Subscribers!AY44</f>
        <v>409864</v>
      </c>
      <c r="P93" s="1856">
        <f>+Subscribers!AZ44</f>
        <v>428206</v>
      </c>
      <c r="Q93" s="1856">
        <f>+Subscribers!BA44</f>
        <v>468630</v>
      </c>
      <c r="R93" s="1856">
        <f>+Subscribers!BB44</f>
        <v>459123</v>
      </c>
      <c r="S93" s="1856">
        <f>+Subscribers!BC44</f>
        <v>589772</v>
      </c>
      <c r="T93" s="1856">
        <f>+Subscribers!BD44</f>
        <v>617239</v>
      </c>
      <c r="U93" s="1856">
        <f>+Subscribers!BE44</f>
        <v>643631</v>
      </c>
      <c r="V93" s="1856">
        <f>+Subscribers!BF44</f>
        <v>651731</v>
      </c>
      <c r="W93" s="1856">
        <f>+Subscribers!BG44</f>
        <v>619037</v>
      </c>
      <c r="X93" s="1856">
        <f>+Subscribers!BH44</f>
        <v>626074.5</v>
      </c>
      <c r="Y93" s="1856">
        <f>+Subscribers!BI44</f>
        <v>613213</v>
      </c>
      <c r="Z93" s="1856">
        <f>+Subscribers!BJ44</f>
        <v>609339</v>
      </c>
      <c r="AA93" s="1856">
        <f>+Subscribers!BK44</f>
        <v>602440</v>
      </c>
      <c r="AB93" s="1856">
        <f>+Subscribers!BL44</f>
        <v>614999</v>
      </c>
      <c r="AC93" s="1856">
        <f>+Subscribers!BM44</f>
        <v>637111</v>
      </c>
      <c r="AD93" s="1856">
        <f>+Subscribers!BN44</f>
        <v>658351</v>
      </c>
      <c r="AE93" s="1856">
        <f>+Subscribers!BO44</f>
        <v>620078</v>
      </c>
      <c r="AF93" s="1856">
        <f>+Subscribers!BP44</f>
        <v>640266.72656795743</v>
      </c>
      <c r="AG93" s="1856">
        <f>+Subscribers!BQ44</f>
        <v>665489.30995265837</v>
      </c>
      <c r="AH93" s="1856">
        <f>+Subscribers!BR44</f>
        <v>688596.73250673607</v>
      </c>
      <c r="AI93" s="1856">
        <f>+Subscribers!BS44</f>
        <v>649510.70226638555</v>
      </c>
      <c r="AJ93" s="1856">
        <f>+Subscribers!BT44</f>
        <v>682100.11896748282</v>
      </c>
      <c r="AK93" s="1856">
        <f>+Subscribers!BU44</f>
        <v>708035.53226276929</v>
      </c>
      <c r="AL93" s="1856">
        <f>+Subscribers!BV44</f>
        <v>729000.53651235159</v>
      </c>
      <c r="AM93" s="1856">
        <f>+Subscribers!BW44</f>
        <v>683647.03465067002</v>
      </c>
      <c r="AN93" s="1856">
        <f>+Subscribers!BX44</f>
        <v>714594.9563181902</v>
      </c>
      <c r="AO93" s="1856">
        <f>+Subscribers!BY44</f>
        <v>739352.77079327917</v>
      </c>
      <c r="AP93" s="1856">
        <f>+Subscribers!BZ44</f>
        <v>760925.02103129495</v>
      </c>
      <c r="AQ93" s="1856">
        <f>+Subscribers!CA44</f>
        <v>713911.54511732655</v>
      </c>
      <c r="AR93" s="1856">
        <f>+Subscribers!CB44</f>
        <v>746514.25614277343</v>
      </c>
      <c r="AS93" s="1856">
        <f>+Subscribers!CC44</f>
        <v>771130.40367921838</v>
      </c>
      <c r="AT93" s="1856">
        <f>+Subscribers!CD44</f>
        <v>789906.36140325118</v>
      </c>
      <c r="AU93" s="1856">
        <f>+Subscribers!CE44</f>
        <v>737292.14821991895</v>
      </c>
      <c r="AV93" s="1856">
        <f>+Subscribers!CF44</f>
        <v>768548.5070155476</v>
      </c>
      <c r="AW93" s="1856">
        <f>+Subscribers!CG44</f>
        <v>790512.38901942433</v>
      </c>
      <c r="AX93" s="1856">
        <f>+Subscribers!CH44</f>
        <v>804006.11775792716</v>
      </c>
    </row>
    <row r="94" spans="1:50">
      <c r="A94" s="74" t="str">
        <f>+Subscribers!A45</f>
        <v xml:space="preserve">   % growth</v>
      </c>
      <c r="B94" s="1851">
        <f>+Subscribers!AL45</f>
        <v>0</v>
      </c>
      <c r="C94" s="1851">
        <f>+Subscribers!AM45</f>
        <v>0</v>
      </c>
      <c r="D94" s="1851">
        <f>+Subscribers!AN45</f>
        <v>0</v>
      </c>
      <c r="E94" s="1851">
        <f>+Subscribers!AO45</f>
        <v>0</v>
      </c>
      <c r="F94" s="1851">
        <f>+Subscribers!AP45</f>
        <v>0.12819793711632554</v>
      </c>
      <c r="G94" s="1851">
        <f>+Subscribers!AQ45</f>
        <v>0.11089778752971302</v>
      </c>
      <c r="H94" s="1851">
        <f>+Subscribers!AR45</f>
        <v>0.11559506520559193</v>
      </c>
      <c r="I94" s="1851">
        <f>+Subscribers!AS45</f>
        <v>0.27030232026517309</v>
      </c>
      <c r="J94" s="1851">
        <f>+Subscribers!AT45</f>
        <v>0.11730423974589144</v>
      </c>
      <c r="K94" s="1853">
        <f>+Subscribers!AU45</f>
        <v>3.8837407072120262</v>
      </c>
      <c r="L94" s="1853">
        <f>+Subscribers!AV45</f>
        <v>3.7791160962011334</v>
      </c>
      <c r="M94" s="1853">
        <f>+Subscribers!AW45</f>
        <v>3.2782332894692443</v>
      </c>
      <c r="N94" s="1853">
        <f>+Subscribers!AX45</f>
        <v>3.7876124789874419</v>
      </c>
      <c r="O94" s="1853">
        <f>+Subscribers!AY45</f>
        <v>0.15112876136765774</v>
      </c>
      <c r="P94" s="1853">
        <f>+Subscribers!AZ45</f>
        <v>0.17818003725440024</v>
      </c>
      <c r="Q94" s="1853">
        <f>+Subscribers!BA45</f>
        <v>0.23199835954382708</v>
      </c>
      <c r="R94" s="1853">
        <f>+Subscribers!BB45</f>
        <v>0.18533215262161895</v>
      </c>
      <c r="S94" s="1853">
        <f>+Subscribers!BC45</f>
        <v>0.43894560146780393</v>
      </c>
      <c r="T94" s="1853">
        <f>+Subscribers!BD45</f>
        <v>0.44145341260981863</v>
      </c>
      <c r="U94" s="1853">
        <f>+Subscribers!BE45</f>
        <v>0.37343106501931156</v>
      </c>
      <c r="V94" s="1853">
        <f>+Subscribers!BF45</f>
        <v>0.41951285385397807</v>
      </c>
      <c r="W94" s="1853">
        <f>+Subscribers!BG45</f>
        <v>4.9620870438067621E-2</v>
      </c>
      <c r="X94" s="1853">
        <f>+Subscribers!BH45</f>
        <v>1.4314552385704671E-2</v>
      </c>
      <c r="Y94" s="1853">
        <f>+Subscribers!BI45</f>
        <v>-4.725999835309358E-2</v>
      </c>
      <c r="Z94" s="1853">
        <f>+Subscribers!BJ45</f>
        <v>-6.5045241058043879E-2</v>
      </c>
      <c r="AA94" s="1853">
        <f>+Subscribers!BK45</f>
        <v>-2.6810998373279826E-2</v>
      </c>
      <c r="AB94" s="1853">
        <f>+Subscribers!BL45</f>
        <v>-1.7690386687207349E-2</v>
      </c>
      <c r="AC94" s="1853">
        <f>+Subscribers!BM45</f>
        <v>3.8971776527894963E-2</v>
      </c>
      <c r="AD94" s="1853">
        <f>+Subscribers!BN45</f>
        <v>8.0434700552566074E-2</v>
      </c>
      <c r="AE94" s="1853">
        <f>+Subscribers!BO45</f>
        <v>2.9277604408737723E-2</v>
      </c>
      <c r="AF94" s="1853">
        <f>+Subscribers!BP45</f>
        <v>4.1085801063021954E-2</v>
      </c>
      <c r="AG94" s="1853">
        <f>+Subscribers!BQ45</f>
        <v>4.4542175464963529E-2</v>
      </c>
      <c r="AH94" s="1853">
        <f>+Subscribers!BR45</f>
        <v>4.5941651955774487E-2</v>
      </c>
      <c r="AI94" s="1853">
        <f>+Subscribers!BS45</f>
        <v>4.7466128884407377E-2</v>
      </c>
      <c r="AJ94" s="1853">
        <f>+Subscribers!BT45</f>
        <v>6.5337445573294461E-2</v>
      </c>
      <c r="AK94" s="1853">
        <f>+Subscribers!BU45</f>
        <v>6.3932240043251154E-2</v>
      </c>
      <c r="AL94" s="1853">
        <f>+Subscribers!BV45</f>
        <v>5.8675567423230879E-2</v>
      </c>
      <c r="AM94" s="1853">
        <f>+Subscribers!BW45</f>
        <v>5.2556997544721096E-2</v>
      </c>
      <c r="AN94" s="1853">
        <f>+Subscribers!BX45</f>
        <v>4.7639395518499272E-2</v>
      </c>
      <c r="AO94" s="1853">
        <f>+Subscribers!BY45</f>
        <v>4.4231167933655779E-2</v>
      </c>
      <c r="AP94" s="1853">
        <f>+Subscribers!BZ45</f>
        <v>4.379212760483675E-2</v>
      </c>
      <c r="AQ94" s="1853">
        <f>+Subscribers!CA45</f>
        <v>4.4269204622705782E-2</v>
      </c>
      <c r="AR94" s="1853">
        <f>+Subscribers!CB45</f>
        <v>4.4667681380010205E-2</v>
      </c>
      <c r="AS94" s="1853">
        <f>+Subscribers!CC45</f>
        <v>4.2980339211881047E-2</v>
      </c>
      <c r="AT94" s="1853">
        <f>+Subscribers!CD45</f>
        <v>3.8086985669990581E-2</v>
      </c>
      <c r="AU94" s="1853">
        <f>+Subscribers!CE45</f>
        <v>3.2749999999999835E-2</v>
      </c>
      <c r="AV94" s="1853">
        <f>+Subscribers!CF45</f>
        <v>2.95161822985468E-2</v>
      </c>
      <c r="AW94" s="1853">
        <f>+Subscribers!CG45</f>
        <v>2.5134510645320907E-2</v>
      </c>
      <c r="AX94" s="1853">
        <f>+Subscribers!CH45</f>
        <v>1.7849908601353714E-2</v>
      </c>
    </row>
    <row r="95" spans="1:50">
      <c r="A95" s="74" t="str">
        <f>+Subscribers!A46</f>
        <v xml:space="preserve">   % growth q/q</v>
      </c>
      <c r="B95" s="1851">
        <f>+Subscribers!AL46</f>
        <v>0</v>
      </c>
      <c r="C95" s="1851">
        <f>+Subscribers!AM46</f>
        <v>0</v>
      </c>
      <c r="D95" s="1851">
        <f>+Subscribers!AN46</f>
        <v>0</v>
      </c>
      <c r="E95" s="1851">
        <f>+Subscribers!AO46</f>
        <v>0</v>
      </c>
      <c r="F95" s="1851">
        <f>+Subscribers!AP46</f>
        <v>0</v>
      </c>
      <c r="G95" s="1851">
        <f>+Subscribers!AQ46</f>
        <v>0</v>
      </c>
      <c r="H95" s="1851">
        <f>+Subscribers!AR46</f>
        <v>0</v>
      </c>
      <c r="I95" s="1851">
        <f>+Subscribers!AS46</f>
        <v>0</v>
      </c>
      <c r="J95" s="1851">
        <f>+Subscribers!AT46</f>
        <v>0</v>
      </c>
      <c r="K95" s="1853">
        <f>+Subscribers!AU46</f>
        <v>0</v>
      </c>
      <c r="L95" s="1853">
        <f>+Subscribers!AV46</f>
        <v>0</v>
      </c>
      <c r="M95" s="1853">
        <f>+Subscribers!AW46</f>
        <v>0</v>
      </c>
      <c r="N95" s="1853">
        <f>+Subscribers!AX46</f>
        <v>0</v>
      </c>
      <c r="O95" s="1853">
        <f>+Subscribers!AY46</f>
        <v>0</v>
      </c>
      <c r="P95" s="1853">
        <f>+Subscribers!AZ46</f>
        <v>0</v>
      </c>
      <c r="Q95" s="1853">
        <f>+Subscribers!BA46</f>
        <v>0</v>
      </c>
      <c r="R95" s="1853">
        <f>+Subscribers!BB46</f>
        <v>0</v>
      </c>
      <c r="S95" s="1853">
        <f>+Subscribers!BC46</f>
        <v>0</v>
      </c>
      <c r="T95" s="1853">
        <f>+Subscribers!BD46</f>
        <v>0</v>
      </c>
      <c r="U95" s="1853">
        <f>+Subscribers!BE46</f>
        <v>0</v>
      </c>
      <c r="V95" s="1853">
        <f>+Subscribers!BF46</f>
        <v>0</v>
      </c>
      <c r="W95" s="1853">
        <f>+Subscribers!BG46</f>
        <v>0</v>
      </c>
      <c r="X95" s="1853">
        <f>+Subscribers!BH46</f>
        <v>0</v>
      </c>
      <c r="Y95" s="1853">
        <f>+Subscribers!BI46</f>
        <v>0</v>
      </c>
      <c r="Z95" s="1853">
        <f>+Subscribers!BJ46</f>
        <v>-6.3175438224564173E-3</v>
      </c>
      <c r="AA95" s="1853">
        <f>+Subscribers!BK46</f>
        <v>-1.132210477254858E-2</v>
      </c>
      <c r="AB95" s="1853">
        <f>+Subscribers!BL46</f>
        <v>2.0846889316778361E-2</v>
      </c>
      <c r="AC95" s="1853">
        <f>+Subscribers!BM46</f>
        <v>3.5954530007365815E-2</v>
      </c>
      <c r="AD95" s="1853">
        <f>+Subscribers!BN46</f>
        <v>3.3337989769443688E-2</v>
      </c>
      <c r="AE95" s="1853">
        <f>+Subscribers!BO46</f>
        <v>-5.8134642462759234E-2</v>
      </c>
      <c r="AF95" s="1853">
        <f>+Subscribers!BP46</f>
        <v>3.2558366153866869E-2</v>
      </c>
      <c r="AG95" s="1853">
        <f>+Subscribers!BQ46</f>
        <v>3.9393868739520999E-2</v>
      </c>
      <c r="AH95" s="1853">
        <f>+Subscribers!BR46</f>
        <v>3.4722454904229094E-2</v>
      </c>
      <c r="AI95" s="1853">
        <f>+Subscribers!BS46</f>
        <v>-5.6761858421929379E-2</v>
      </c>
      <c r="AJ95" s="1853">
        <f>+Subscribers!BT46</f>
        <v>5.0175334428486984E-2</v>
      </c>
      <c r="AK95" s="1853">
        <f>+Subscribers!BU46</f>
        <v>3.8022883406831465E-2</v>
      </c>
      <c r="AL95" s="1853">
        <f>+Subscribers!BV46</f>
        <v>2.9610101886527351E-2</v>
      </c>
      <c r="AM95" s="1853">
        <f>+Subscribers!BW46</f>
        <v>-6.2213262665977709E-2</v>
      </c>
      <c r="AN95" s="1853">
        <f>+Subscribers!BX46</f>
        <v>4.5268859658455174E-2</v>
      </c>
      <c r="AO95" s="1853">
        <f>+Subscribers!BY46</f>
        <v>3.464594069156135E-2</v>
      </c>
      <c r="AP95" s="1853">
        <f>+Subscribers!BZ46</f>
        <v>2.9177208891596029E-2</v>
      </c>
      <c r="AQ95" s="1853">
        <f>+Subscribers!CA46</f>
        <v>-6.1784636612750909E-2</v>
      </c>
      <c r="AR95" s="1853">
        <f>+Subscribers!CB46</f>
        <v>4.5667717868449476E-2</v>
      </c>
      <c r="AS95" s="1853">
        <f>+Subscribers!CC46</f>
        <v>3.2974785590346389E-2</v>
      </c>
      <c r="AT95" s="1853">
        <f>+Subscribers!CD46</f>
        <v>2.4348615531755602E-2</v>
      </c>
      <c r="AU95" s="1853">
        <f>+Subscribers!CE46</f>
        <v>-6.6608164909400469E-2</v>
      </c>
      <c r="AV95" s="1853">
        <f>+Subscribers!CF46</f>
        <v>4.2393451321965703E-2</v>
      </c>
      <c r="AW95" s="1853">
        <f>+Subscribers!CG46</f>
        <v>2.8578393950913439E-2</v>
      </c>
      <c r="AX95" s="1853">
        <f>+Subscribers!CH46</f>
        <v>1.7069598055561075E-2</v>
      </c>
    </row>
    <row r="96" spans="1:50">
      <c r="A96" s="113" t="str">
        <f>+Subscribers!A69</f>
        <v>Other revenues</v>
      </c>
      <c r="B96" s="1856">
        <f>+Subscribers!AL69</f>
        <v>0</v>
      </c>
      <c r="C96" s="1856">
        <f>+Subscribers!AM69</f>
        <v>0</v>
      </c>
      <c r="D96" s="1856">
        <f>+Subscribers!AN69</f>
        <v>0</v>
      </c>
      <c r="E96" s="1856">
        <f>+Subscribers!AO69</f>
        <v>0</v>
      </c>
      <c r="F96" s="1856">
        <f>+Subscribers!AP69</f>
        <v>0</v>
      </c>
      <c r="G96" s="1856">
        <f>+Subscribers!AQ69</f>
        <v>0</v>
      </c>
      <c r="H96" s="1856">
        <f>+Subscribers!AR69</f>
        <v>0</v>
      </c>
      <c r="I96" s="1856">
        <f>+Subscribers!AS69</f>
        <v>0</v>
      </c>
      <c r="J96" s="1856">
        <f>+Subscribers!AT69</f>
        <v>0</v>
      </c>
      <c r="K96" s="1856">
        <f>+Subscribers!AU69</f>
        <v>0</v>
      </c>
      <c r="L96" s="1856">
        <f>+Subscribers!AV69</f>
        <v>0</v>
      </c>
      <c r="M96" s="1856">
        <f>+Subscribers!AW69</f>
        <v>0</v>
      </c>
      <c r="N96" s="1856">
        <f>+Subscribers!AX69</f>
        <v>0</v>
      </c>
      <c r="O96" s="1856">
        <f>+Subscribers!AY69</f>
        <v>0</v>
      </c>
      <c r="P96" s="1856">
        <f>+Subscribers!AZ69</f>
        <v>0</v>
      </c>
      <c r="Q96" s="1856">
        <f>+Subscribers!BA69</f>
        <v>0</v>
      </c>
      <c r="R96" s="1856">
        <f>+Subscribers!BB69</f>
        <v>0</v>
      </c>
      <c r="S96" s="1856">
        <f>+Subscribers!BC69</f>
        <v>0</v>
      </c>
      <c r="T96" s="1856">
        <f>+Subscribers!BD69</f>
        <v>0</v>
      </c>
      <c r="U96" s="1856">
        <f>+Subscribers!BE69</f>
        <v>0</v>
      </c>
      <c r="V96" s="1856">
        <f>+Subscribers!BF69</f>
        <v>0</v>
      </c>
      <c r="W96" s="1856">
        <f>+Subscribers!BG69</f>
        <v>0</v>
      </c>
      <c r="X96" s="1856">
        <f>+Subscribers!BH69</f>
        <v>0</v>
      </c>
      <c r="Y96" s="1856">
        <f>+Subscribers!BI69</f>
        <v>0</v>
      </c>
      <c r="Z96" s="1856">
        <f>+Subscribers!BJ69</f>
        <v>0</v>
      </c>
      <c r="AA96" s="1856">
        <f>+Subscribers!BK69</f>
        <v>0</v>
      </c>
      <c r="AB96" s="1856">
        <f>+Subscribers!BL69</f>
        <v>0</v>
      </c>
      <c r="AC96" s="1856">
        <f>+Subscribers!BM69</f>
        <v>0</v>
      </c>
      <c r="AD96" s="1856">
        <f>+Subscribers!BN69</f>
        <v>0</v>
      </c>
      <c r="AE96" s="1856">
        <f>+Subscribers!BO69</f>
        <v>0</v>
      </c>
      <c r="AF96" s="1856">
        <f>+Subscribers!BP69</f>
        <v>0</v>
      </c>
      <c r="AG96" s="1856">
        <f>+Subscribers!BQ69</f>
        <v>0</v>
      </c>
      <c r="AH96" s="1856">
        <f>+Subscribers!BR69</f>
        <v>0</v>
      </c>
      <c r="AI96" s="1856">
        <f>+Subscribers!BS69</f>
        <v>0</v>
      </c>
      <c r="AJ96" s="1856">
        <f>+Subscribers!BT69</f>
        <v>0</v>
      </c>
      <c r="AK96" s="1856">
        <f>+Subscribers!BU69</f>
        <v>0</v>
      </c>
      <c r="AL96" s="1856">
        <f>+Subscribers!BV69</f>
        <v>0</v>
      </c>
      <c r="AM96" s="1856">
        <f>+Subscribers!BW69</f>
        <v>0</v>
      </c>
      <c r="AN96" s="1856">
        <f>+Subscribers!BX69</f>
        <v>0</v>
      </c>
      <c r="AO96" s="1856">
        <f>+Subscribers!BY69</f>
        <v>0</v>
      </c>
      <c r="AP96" s="1856">
        <f>+Subscribers!BZ69</f>
        <v>0</v>
      </c>
      <c r="AQ96" s="1856">
        <f>+Subscribers!CA69</f>
        <v>0</v>
      </c>
      <c r="AR96" s="1856">
        <f>+Subscribers!CB69</f>
        <v>0</v>
      </c>
      <c r="AS96" s="1856">
        <f>+Subscribers!CC69</f>
        <v>0</v>
      </c>
      <c r="AT96" s="1856">
        <f>+Subscribers!CD69</f>
        <v>0</v>
      </c>
      <c r="AU96" s="1856">
        <f>+Subscribers!CE69</f>
        <v>0</v>
      </c>
      <c r="AV96" s="1856">
        <f>+Subscribers!CF69</f>
        <v>0</v>
      </c>
      <c r="AW96" s="1856">
        <f>+Subscribers!CG69</f>
        <v>0</v>
      </c>
      <c r="AX96" s="1856">
        <f>+Subscribers!CH69</f>
        <v>0</v>
      </c>
    </row>
    <row r="97" spans="1:50">
      <c r="A97" s="74" t="str">
        <f>+Subscribers!A70</f>
        <v xml:space="preserve">   % growth</v>
      </c>
      <c r="B97" s="1851">
        <f>+Subscribers!AL70</f>
        <v>0</v>
      </c>
      <c r="C97" s="1851">
        <f>+Subscribers!AM70</f>
        <v>0</v>
      </c>
      <c r="D97" s="1851">
        <f>+Subscribers!AN70</f>
        <v>0</v>
      </c>
      <c r="E97" s="1851">
        <f>+Subscribers!AO70</f>
        <v>0</v>
      </c>
      <c r="F97" s="1851">
        <f>+Subscribers!AP70</f>
        <v>0</v>
      </c>
      <c r="G97" s="1851">
        <f>+Subscribers!AQ70</f>
        <v>0</v>
      </c>
      <c r="H97" s="1851">
        <f>+Subscribers!AR70</f>
        <v>0</v>
      </c>
      <c r="I97" s="1851">
        <f>+Subscribers!AS70</f>
        <v>0</v>
      </c>
      <c r="J97" s="1851">
        <f>+Subscribers!AT70</f>
        <v>0</v>
      </c>
      <c r="K97" s="1853">
        <f>+Subscribers!AU70</f>
        <v>0</v>
      </c>
      <c r="L97" s="1853">
        <f>+Subscribers!AV70</f>
        <v>0</v>
      </c>
      <c r="M97" s="1853">
        <f>+Subscribers!AW70</f>
        <v>0</v>
      </c>
      <c r="N97" s="1853">
        <f>+Subscribers!AX70</f>
        <v>0</v>
      </c>
      <c r="O97" s="1853">
        <f>+Subscribers!AY70</f>
        <v>0</v>
      </c>
      <c r="P97" s="1853">
        <f>+Subscribers!AZ70</f>
        <v>0</v>
      </c>
      <c r="Q97" s="1853">
        <f>+Subscribers!BA70</f>
        <v>0</v>
      </c>
      <c r="R97" s="1853">
        <f>+Subscribers!BB70</f>
        <v>0</v>
      </c>
      <c r="S97" s="1853">
        <f>+Subscribers!BC70</f>
        <v>0</v>
      </c>
      <c r="T97" s="1853">
        <f>+Subscribers!BD70</f>
        <v>0</v>
      </c>
      <c r="U97" s="1853">
        <f>+Subscribers!BE70</f>
        <v>0</v>
      </c>
      <c r="V97" s="1853">
        <f>+Subscribers!BF70</f>
        <v>0</v>
      </c>
      <c r="W97" s="1853">
        <f>+Subscribers!BG70</f>
        <v>0</v>
      </c>
      <c r="X97" s="1853">
        <f>+Subscribers!BH70</f>
        <v>0</v>
      </c>
      <c r="Y97" s="1853">
        <f>+Subscribers!BI70</f>
        <v>0</v>
      </c>
      <c r="Z97" s="1853">
        <f>+Subscribers!BJ70</f>
        <v>0</v>
      </c>
      <c r="AA97" s="1853">
        <f>+Subscribers!BK70</f>
        <v>0</v>
      </c>
      <c r="AB97" s="1853">
        <f>+Subscribers!BL70</f>
        <v>0</v>
      </c>
      <c r="AC97" s="1853">
        <f>+Subscribers!BM70</f>
        <v>0</v>
      </c>
      <c r="AD97" s="1853">
        <f>+Subscribers!BN70</f>
        <v>0</v>
      </c>
      <c r="AE97" s="1853">
        <f>+Subscribers!BO70</f>
        <v>0</v>
      </c>
      <c r="AF97" s="1853">
        <f>+Subscribers!BP70</f>
        <v>0</v>
      </c>
      <c r="AG97" s="1853">
        <f>+Subscribers!BQ70</f>
        <v>0</v>
      </c>
      <c r="AH97" s="1853">
        <f>+Subscribers!BR70</f>
        <v>0</v>
      </c>
      <c r="AI97" s="1853">
        <f>+Subscribers!BS70</f>
        <v>0</v>
      </c>
      <c r="AJ97" s="1853">
        <f>+Subscribers!BT70</f>
        <v>0</v>
      </c>
      <c r="AK97" s="1853">
        <f>+Subscribers!BU70</f>
        <v>0</v>
      </c>
      <c r="AL97" s="1853">
        <f>+Subscribers!BV70</f>
        <v>0</v>
      </c>
      <c r="AM97" s="1853">
        <f>+Subscribers!BW70</f>
        <v>0</v>
      </c>
      <c r="AN97" s="1853">
        <f>+Subscribers!BX70</f>
        <v>0</v>
      </c>
      <c r="AO97" s="1853">
        <f>+Subscribers!BY70</f>
        <v>0</v>
      </c>
      <c r="AP97" s="1853">
        <f>+Subscribers!BZ70</f>
        <v>0</v>
      </c>
      <c r="AQ97" s="1853">
        <f>+Subscribers!CA70</f>
        <v>0</v>
      </c>
      <c r="AR97" s="1853">
        <f>+Subscribers!CB70</f>
        <v>0</v>
      </c>
      <c r="AS97" s="1853">
        <f>+Subscribers!CC70</f>
        <v>0</v>
      </c>
      <c r="AT97" s="1853">
        <f>+Subscribers!CD70</f>
        <v>0</v>
      </c>
      <c r="AU97" s="1853">
        <f>+Subscribers!CE70</f>
        <v>0</v>
      </c>
      <c r="AV97" s="1853">
        <f>+Subscribers!CF70</f>
        <v>0</v>
      </c>
      <c r="AW97" s="1853">
        <f>+Subscribers!CG70</f>
        <v>0</v>
      </c>
      <c r="AX97" s="1853">
        <f>+Subscribers!CH70</f>
        <v>0</v>
      </c>
    </row>
    <row r="98" spans="1:50">
      <c r="A98" s="74" t="str">
        <f>+Subscribers!A71</f>
        <v xml:space="preserve">   % growth q/q</v>
      </c>
      <c r="B98" s="1851">
        <f>+Subscribers!AL71</f>
        <v>0</v>
      </c>
      <c r="C98" s="1851">
        <f>+Subscribers!AM71</f>
        <v>0</v>
      </c>
      <c r="D98" s="1851">
        <f>+Subscribers!AN71</f>
        <v>0</v>
      </c>
      <c r="E98" s="1851">
        <f>+Subscribers!AO71</f>
        <v>0</v>
      </c>
      <c r="F98" s="1851">
        <f>+Subscribers!AP71</f>
        <v>0</v>
      </c>
      <c r="G98" s="1851">
        <f>+Subscribers!AQ71</f>
        <v>0</v>
      </c>
      <c r="H98" s="1851">
        <f>+Subscribers!AR71</f>
        <v>0</v>
      </c>
      <c r="I98" s="1851">
        <f>+Subscribers!AS71</f>
        <v>0</v>
      </c>
      <c r="J98" s="1851">
        <f>+Subscribers!AT71</f>
        <v>0</v>
      </c>
      <c r="K98" s="1853">
        <f>+Subscribers!AU71</f>
        <v>0</v>
      </c>
      <c r="L98" s="1853">
        <f>+Subscribers!AV71</f>
        <v>0</v>
      </c>
      <c r="M98" s="1853">
        <f>+Subscribers!AW71</f>
        <v>0</v>
      </c>
      <c r="N98" s="1853">
        <f>+Subscribers!AX71</f>
        <v>0</v>
      </c>
      <c r="O98" s="1853">
        <f>+Subscribers!AY71</f>
        <v>0</v>
      </c>
      <c r="P98" s="1853">
        <f>+Subscribers!AZ71</f>
        <v>0</v>
      </c>
      <c r="Q98" s="1853">
        <f>+Subscribers!BA71</f>
        <v>0</v>
      </c>
      <c r="R98" s="1853">
        <f>+Subscribers!BB71</f>
        <v>0</v>
      </c>
      <c r="S98" s="1853">
        <f>+Subscribers!BC71</f>
        <v>0</v>
      </c>
      <c r="T98" s="1853">
        <f>+Subscribers!BD71</f>
        <v>0</v>
      </c>
      <c r="U98" s="1853">
        <f>+Subscribers!BE71</f>
        <v>0</v>
      </c>
      <c r="V98" s="1853">
        <f>+Subscribers!BF71</f>
        <v>0</v>
      </c>
      <c r="W98" s="1853">
        <f>+Subscribers!BG71</f>
        <v>0</v>
      </c>
      <c r="X98" s="1853">
        <f>+Subscribers!BH71</f>
        <v>0</v>
      </c>
      <c r="Y98" s="1853">
        <f>+Subscribers!BI71</f>
        <v>0</v>
      </c>
      <c r="Z98" s="1853">
        <f>+Subscribers!BJ71</f>
        <v>0</v>
      </c>
      <c r="AA98" s="1853">
        <f>+Subscribers!BK71</f>
        <v>0</v>
      </c>
      <c r="AB98" s="1853">
        <f>+Subscribers!BL71</f>
        <v>0</v>
      </c>
      <c r="AC98" s="1853">
        <f>+Subscribers!BM71</f>
        <v>0</v>
      </c>
      <c r="AD98" s="1853">
        <f>+Subscribers!BN71</f>
        <v>0</v>
      </c>
      <c r="AE98" s="1853">
        <f>+Subscribers!BO71</f>
        <v>0</v>
      </c>
      <c r="AF98" s="1853">
        <f>+Subscribers!BP71</f>
        <v>0</v>
      </c>
      <c r="AG98" s="1853">
        <f>+Subscribers!BQ71</f>
        <v>0</v>
      </c>
      <c r="AH98" s="1853">
        <f>+Subscribers!BR71</f>
        <v>0</v>
      </c>
      <c r="AI98" s="1853">
        <f>+Subscribers!BS71</f>
        <v>0</v>
      </c>
      <c r="AJ98" s="1853">
        <f>+Subscribers!BT71</f>
        <v>0</v>
      </c>
      <c r="AK98" s="1853">
        <f>+Subscribers!BU71</f>
        <v>0</v>
      </c>
      <c r="AL98" s="1853">
        <f>+Subscribers!BV71</f>
        <v>0</v>
      </c>
      <c r="AM98" s="1853">
        <f>+Subscribers!BW71</f>
        <v>0</v>
      </c>
      <c r="AN98" s="1853">
        <f>+Subscribers!BX71</f>
        <v>0</v>
      </c>
      <c r="AO98" s="1853">
        <f>+Subscribers!BY71</f>
        <v>0</v>
      </c>
      <c r="AP98" s="1853">
        <f>+Subscribers!BZ71</f>
        <v>0</v>
      </c>
      <c r="AQ98" s="1853">
        <f>+Subscribers!CA71</f>
        <v>0</v>
      </c>
      <c r="AR98" s="1853">
        <f>+Subscribers!CB71</f>
        <v>0</v>
      </c>
      <c r="AS98" s="1853">
        <f>+Subscribers!CC71</f>
        <v>0</v>
      </c>
      <c r="AT98" s="1853">
        <f>+Subscribers!CD71</f>
        <v>0</v>
      </c>
      <c r="AU98" s="1853">
        <f>+Subscribers!CE71</f>
        <v>0</v>
      </c>
      <c r="AV98" s="1853">
        <f>+Subscribers!CF71</f>
        <v>0</v>
      </c>
      <c r="AW98" s="1853">
        <f>+Subscribers!CG71</f>
        <v>0</v>
      </c>
      <c r="AX98" s="1853">
        <f>+Subscribers!CH71</f>
        <v>0</v>
      </c>
    </row>
    <row r="99" spans="1:50">
      <c r="B99" s="1855"/>
      <c r="C99" s="1855"/>
      <c r="D99" s="1855"/>
      <c r="E99" s="1855"/>
      <c r="F99" s="1855"/>
      <c r="G99" s="1855"/>
      <c r="H99" s="1855"/>
      <c r="I99" s="1855"/>
      <c r="J99" s="1855"/>
      <c r="K99" s="1855"/>
      <c r="L99" s="1855"/>
      <c r="M99" s="1855"/>
      <c r="N99" s="1855"/>
      <c r="O99" s="1855"/>
      <c r="P99" s="1855"/>
      <c r="Q99" s="1855"/>
      <c r="R99" s="1855"/>
      <c r="S99" s="1855"/>
      <c r="T99" s="1855"/>
      <c r="U99" s="1855"/>
      <c r="V99" s="1855"/>
      <c r="W99" s="1855"/>
      <c r="X99" s="1855"/>
      <c r="Y99" s="1855"/>
      <c r="Z99" s="1855"/>
      <c r="AA99" s="1855"/>
      <c r="AB99" s="1855"/>
      <c r="AC99" s="1855"/>
      <c r="AD99" s="1855"/>
      <c r="AE99" s="1855"/>
      <c r="AF99" s="1855"/>
      <c r="AG99" s="1855"/>
      <c r="AH99" s="1855"/>
      <c r="AI99" s="1855"/>
      <c r="AJ99" s="1855"/>
      <c r="AK99" s="1855"/>
      <c r="AL99" s="1855"/>
      <c r="AM99" s="1855"/>
      <c r="AN99" s="1855"/>
      <c r="AO99" s="1855"/>
      <c r="AP99" s="1855"/>
      <c r="AQ99" s="1855"/>
      <c r="AR99" s="1855"/>
      <c r="AS99" s="1855"/>
      <c r="AT99" s="1855"/>
      <c r="AU99" s="1855"/>
      <c r="AV99" s="1855"/>
      <c r="AW99" s="1855"/>
      <c r="AX99" s="1855"/>
    </row>
    <row r="100" spans="1:50">
      <c r="A100" s="5" t="s">
        <v>742</v>
      </c>
      <c r="B100" s="1859"/>
      <c r="C100" s="1859"/>
      <c r="D100" s="1859"/>
      <c r="E100" s="1859"/>
      <c r="F100" s="1859"/>
      <c r="G100" s="1859"/>
      <c r="H100" s="1859"/>
      <c r="I100" s="1859"/>
      <c r="J100" s="1859"/>
      <c r="K100" s="1859"/>
      <c r="L100" s="1859"/>
      <c r="M100" s="1860">
        <f t="shared" ref="M100:AH100" si="41">+M86-M89-M90-M93-M96</f>
        <v>0</v>
      </c>
      <c r="N100" s="1860">
        <f t="shared" si="41"/>
        <v>0</v>
      </c>
      <c r="O100" s="1860">
        <f t="shared" si="41"/>
        <v>0</v>
      </c>
      <c r="P100" s="1860">
        <f t="shared" si="41"/>
        <v>0</v>
      </c>
      <c r="Q100" s="1860">
        <f t="shared" si="41"/>
        <v>0</v>
      </c>
      <c r="R100" s="1860">
        <f t="shared" si="41"/>
        <v>0</v>
      </c>
      <c r="S100" s="1860">
        <f t="shared" si="41"/>
        <v>0</v>
      </c>
      <c r="T100" s="1860">
        <f t="shared" si="41"/>
        <v>0</v>
      </c>
      <c r="U100" s="1860">
        <f t="shared" si="41"/>
        <v>0</v>
      </c>
      <c r="V100" s="1860">
        <f t="shared" si="41"/>
        <v>1555336</v>
      </c>
      <c r="W100" s="1860">
        <f t="shared" si="41"/>
        <v>1488542</v>
      </c>
      <c r="X100" s="1860">
        <f t="shared" si="41"/>
        <v>1471667.5</v>
      </c>
      <c r="Y100" s="1860">
        <f t="shared" si="41"/>
        <v>0</v>
      </c>
      <c r="Z100" s="1860">
        <f t="shared" si="41"/>
        <v>0</v>
      </c>
      <c r="AA100" s="1860">
        <f t="shared" si="41"/>
        <v>-2833316</v>
      </c>
      <c r="AB100" s="1860">
        <f t="shared" si="41"/>
        <v>-2756579</v>
      </c>
      <c r="AC100" s="1860">
        <f t="shared" si="41"/>
        <v>-2727478</v>
      </c>
      <c r="AD100" s="1860">
        <f t="shared" si="41"/>
        <v>-2664449</v>
      </c>
      <c r="AE100" s="1860">
        <f t="shared" ca="1" si="41"/>
        <v>1911519</v>
      </c>
      <c r="AF100" s="1860">
        <f t="shared" si="41"/>
        <v>1892023.4118069522</v>
      </c>
      <c r="AG100" s="1860">
        <f t="shared" si="41"/>
        <v>1852121.3031758966</v>
      </c>
      <c r="AH100" s="1860">
        <f t="shared" si="41"/>
        <v>1864082.8266845536</v>
      </c>
      <c r="AI100" s="1860">
        <f t="shared" ref="AI100:AP100" si="42">+AI86-AI89-AI90-AI93-AI96</f>
        <v>1899971.4680371659</v>
      </c>
      <c r="AJ100" s="1860">
        <f t="shared" si="42"/>
        <v>1927412.8301311173</v>
      </c>
      <c r="AK100" s="1860">
        <f t="shared" si="42"/>
        <v>1874321.2642771162</v>
      </c>
      <c r="AL100" s="1860">
        <f t="shared" si="42"/>
        <v>1877159.0730323028</v>
      </c>
      <c r="AM100" s="1860">
        <f t="shared" si="42"/>
        <v>1888503.5124648507</v>
      </c>
      <c r="AN100" s="1860">
        <f t="shared" si="42"/>
        <v>1924906.9751598835</v>
      </c>
      <c r="AO100" s="1860">
        <f t="shared" si="42"/>
        <v>1903388.4509528163</v>
      </c>
      <c r="AP100" s="1860">
        <f t="shared" si="42"/>
        <v>1915699.8152815811</v>
      </c>
      <c r="AQ100" s="1860">
        <f t="shared" ref="AQ100:AX100" si="43">+AQ86-AQ89-AQ90-AQ93-AQ96</f>
        <v>1986555.12553208</v>
      </c>
      <c r="AR100" s="1860">
        <f t="shared" si="43"/>
        <v>2001139.9880438929</v>
      </c>
      <c r="AS100" s="1860">
        <f t="shared" si="43"/>
        <v>1958853.9512302137</v>
      </c>
      <c r="AT100" s="1860">
        <f t="shared" si="43"/>
        <v>1869588.4941459307</v>
      </c>
      <c r="AU100" s="1860">
        <f t="shared" si="43"/>
        <v>1964534.5743473843</v>
      </c>
      <c r="AV100" s="1860">
        <f t="shared" si="43"/>
        <v>1944566.0897333566</v>
      </c>
      <c r="AW100" s="1860">
        <f t="shared" si="43"/>
        <v>2068338.9542780661</v>
      </c>
      <c r="AX100" s="1860">
        <f t="shared" si="43"/>
        <v>1987528.6064044982</v>
      </c>
    </row>
    <row r="101" spans="1:50">
      <c r="B101" s="1855"/>
      <c r="C101" s="1855"/>
      <c r="D101" s="1855"/>
      <c r="E101" s="1855"/>
      <c r="F101" s="1855"/>
      <c r="G101" s="1855"/>
      <c r="H101" s="1855"/>
      <c r="I101" s="1855"/>
      <c r="J101" s="1855"/>
      <c r="K101" s="1855"/>
      <c r="L101" s="1855"/>
      <c r="M101" s="1855"/>
      <c r="N101" s="1855"/>
      <c r="O101" s="1855"/>
      <c r="P101" s="1855"/>
      <c r="Q101" s="1855"/>
      <c r="R101" s="1855"/>
      <c r="S101" s="1855"/>
      <c r="T101" s="1855"/>
      <c r="U101" s="1855"/>
      <c r="V101" s="1855"/>
      <c r="W101" s="1855"/>
      <c r="X101" s="1855"/>
      <c r="Y101" s="1855"/>
      <c r="Z101" s="1855"/>
      <c r="AA101" s="1855"/>
      <c r="AB101" s="1851">
        <f>+AB89+AB90+AB93+AB96</f>
        <v>2975579</v>
      </c>
      <c r="AC101" s="1855"/>
      <c r="AD101" s="1855"/>
      <c r="AE101" s="1855"/>
      <c r="AF101" s="1855"/>
      <c r="AG101" s="1855"/>
      <c r="AH101" s="1855"/>
      <c r="AI101" s="1855"/>
      <c r="AJ101" s="1855"/>
      <c r="AK101" s="1855"/>
      <c r="AL101" s="1855"/>
      <c r="AM101" s="1855"/>
      <c r="AN101" s="1855"/>
      <c r="AO101" s="1855"/>
      <c r="AP101" s="1855"/>
      <c r="AQ101" s="1855"/>
      <c r="AR101" s="1855"/>
      <c r="AS101" s="1855"/>
      <c r="AT101" s="1855"/>
      <c r="AU101" s="1855"/>
      <c r="AV101" s="1855"/>
      <c r="AW101" s="1855"/>
      <c r="AX101" s="1855"/>
    </row>
    <row r="102" spans="1:50">
      <c r="B102" s="1855"/>
      <c r="C102" s="1855"/>
      <c r="D102" s="1855"/>
      <c r="E102" s="1855"/>
      <c r="F102" s="1855"/>
      <c r="G102" s="1855"/>
      <c r="H102" s="1855"/>
      <c r="I102" s="1855"/>
      <c r="J102" s="1855"/>
      <c r="K102" s="1855"/>
      <c r="L102" s="1855"/>
      <c r="M102" s="1855"/>
      <c r="N102" s="1855"/>
      <c r="O102" s="1855"/>
      <c r="P102" s="1855"/>
      <c r="Q102" s="1855"/>
      <c r="R102" s="1855"/>
      <c r="S102" s="1855"/>
      <c r="T102" s="1855"/>
      <c r="U102" s="1855"/>
      <c r="V102" s="1855"/>
      <c r="W102" s="1855"/>
      <c r="X102" s="1855"/>
      <c r="Y102" s="1855"/>
      <c r="Z102" s="1855"/>
      <c r="AA102" s="1855"/>
      <c r="AB102" s="1855"/>
      <c r="AC102" s="1855"/>
      <c r="AD102" s="1855"/>
      <c r="AE102" s="1855"/>
      <c r="AF102" s="1855"/>
      <c r="AG102" s="1855"/>
      <c r="AH102" s="1855"/>
      <c r="AI102" s="1855"/>
      <c r="AJ102" s="1855"/>
      <c r="AK102" s="1855"/>
      <c r="AL102" s="1855"/>
      <c r="AM102" s="1855"/>
      <c r="AN102" s="1855"/>
      <c r="AO102" s="1855"/>
      <c r="AP102" s="1855"/>
      <c r="AQ102" s="1855"/>
      <c r="AR102" s="1855"/>
      <c r="AS102" s="1855"/>
      <c r="AT102" s="1855"/>
      <c r="AU102" s="1855"/>
      <c r="AV102" s="1855"/>
      <c r="AW102" s="1855"/>
      <c r="AX102" s="1855"/>
    </row>
    <row r="103" spans="1:50">
      <c r="B103" s="1855"/>
      <c r="C103" s="1855"/>
      <c r="D103" s="1855"/>
      <c r="E103" s="1855"/>
      <c r="F103" s="1855"/>
      <c r="G103" s="1855"/>
      <c r="H103" s="1855"/>
      <c r="I103" s="1855"/>
      <c r="J103" s="1855"/>
      <c r="K103" s="1855"/>
      <c r="L103" s="1855"/>
      <c r="M103" s="1855"/>
      <c r="N103" s="1855"/>
      <c r="O103" s="1855"/>
      <c r="P103" s="1855"/>
      <c r="Q103" s="1855"/>
      <c r="R103" s="1855"/>
      <c r="S103" s="1855"/>
      <c r="T103" s="1855"/>
      <c r="U103" s="1855">
        <v>1800</v>
      </c>
      <c r="V103" s="1855">
        <v>5650</v>
      </c>
      <c r="W103" s="1855">
        <f>+V103+U103</f>
        <v>7450</v>
      </c>
      <c r="X103" s="1855"/>
      <c r="Y103" s="1855"/>
      <c r="Z103" s="1855"/>
      <c r="AA103" s="1855"/>
      <c r="AB103" s="1855"/>
      <c r="AC103" s="1855"/>
      <c r="AD103" s="1855"/>
      <c r="AE103" s="1855"/>
      <c r="AF103" s="1855"/>
      <c r="AG103" s="1855"/>
      <c r="AH103" s="1855"/>
      <c r="AI103" s="1855"/>
      <c r="AJ103" s="1855"/>
      <c r="AK103" s="1855"/>
      <c r="AL103" s="1855"/>
      <c r="AM103" s="1855"/>
      <c r="AN103" s="1855"/>
      <c r="AO103" s="1855"/>
      <c r="AP103" s="1855"/>
      <c r="AQ103" s="1855"/>
      <c r="AR103" s="1855"/>
      <c r="AS103" s="1855"/>
      <c r="AT103" s="1855"/>
      <c r="AU103" s="1855"/>
      <c r="AV103" s="1855"/>
      <c r="AW103" s="1855"/>
      <c r="AX103" s="1855"/>
    </row>
    <row r="104" spans="1:50">
      <c r="A104" s="4" t="s">
        <v>752</v>
      </c>
      <c r="B104" s="1855"/>
      <c r="C104" s="1855"/>
      <c r="D104" s="1855"/>
      <c r="E104" s="1855"/>
      <c r="F104" s="1855"/>
      <c r="G104" s="1855"/>
      <c r="H104" s="1855"/>
      <c r="I104" s="1855"/>
      <c r="J104" s="1855"/>
      <c r="K104" s="1855"/>
      <c r="L104" s="1855"/>
      <c r="M104" s="1855"/>
      <c r="N104" s="1855"/>
      <c r="O104" s="1855"/>
      <c r="P104" s="1855"/>
      <c r="Q104" s="1855"/>
      <c r="R104" s="1855"/>
      <c r="S104" s="1855"/>
      <c r="T104" s="1855"/>
      <c r="U104" s="1855"/>
      <c r="V104" s="1855"/>
      <c r="W104" s="1855"/>
      <c r="X104" s="1855"/>
      <c r="Y104" s="1855"/>
      <c r="Z104" s="1855"/>
      <c r="AA104" s="1855"/>
      <c r="AB104" s="1855"/>
      <c r="AC104" s="1855"/>
      <c r="AD104" s="1855"/>
      <c r="AE104" s="1855"/>
      <c r="AF104" s="1855"/>
      <c r="AG104" s="1855"/>
      <c r="AH104" s="1855"/>
      <c r="AI104" s="1855"/>
      <c r="AJ104" s="1855"/>
      <c r="AK104" s="1855"/>
      <c r="AL104" s="1855"/>
      <c r="AM104" s="1855"/>
      <c r="AN104" s="1855"/>
      <c r="AO104" s="1855"/>
      <c r="AP104" s="1855"/>
      <c r="AQ104" s="1855"/>
      <c r="AR104" s="1855"/>
      <c r="AS104" s="1855"/>
      <c r="AT104" s="1855"/>
      <c r="AU104" s="1855"/>
      <c r="AV104" s="1855"/>
      <c r="AW104" s="1855"/>
      <c r="AX104" s="1855"/>
    </row>
    <row r="105" spans="1:50">
      <c r="A105" t="s">
        <v>753</v>
      </c>
      <c r="B105" s="1855"/>
      <c r="C105" s="1855"/>
      <c r="D105" s="1855"/>
      <c r="E105" s="1855"/>
      <c r="F105" s="1855"/>
      <c r="G105" s="1855"/>
      <c r="H105" s="1855"/>
      <c r="I105" s="1855"/>
      <c r="J105" s="1855"/>
      <c r="K105" s="1855"/>
      <c r="L105" s="1855"/>
      <c r="M105" s="1855"/>
      <c r="N105" s="1855"/>
      <c r="O105" s="1855"/>
      <c r="P105" s="1855"/>
      <c r="Q105" s="1855"/>
      <c r="R105" s="1855"/>
      <c r="S105" s="1864">
        <f>+CFS!AQ30</f>
        <v>1204.2099999999998</v>
      </c>
      <c r="T105" s="1864">
        <f>+CFS!AR30</f>
        <v>1362.7769999999998</v>
      </c>
      <c r="U105" s="1864">
        <f>+CFS!AS30</f>
        <v>1451.2459999999999</v>
      </c>
      <c r="V105" s="1864">
        <f>+CFS!AT30</f>
        <v>1469.067</v>
      </c>
      <c r="W105" s="1864">
        <f>+CFS!AU30</f>
        <v>1596.5659999999996</v>
      </c>
      <c r="X105" s="1864">
        <f>+CFS!AV30</f>
        <v>1649.4190000000001</v>
      </c>
      <c r="Y105" s="1864">
        <f>+CFS!AW30</f>
        <v>1387.2549999999994</v>
      </c>
      <c r="Z105" s="1864">
        <f>+CFS!AX30</f>
        <v>1580.808</v>
      </c>
      <c r="AA105" s="1864">
        <f>+CFS!AY30</f>
        <v>1402.3440000000001</v>
      </c>
      <c r="AB105" s="1864">
        <f>+CFS!AZ30</f>
        <v>1443.6290000000004</v>
      </c>
      <c r="AC105" s="1864">
        <f>+CFS!BA30</f>
        <v>1885.8340000000003</v>
      </c>
      <c r="AD105" s="1864">
        <f>+CFS!BB30</f>
        <v>1798.21</v>
      </c>
      <c r="AE105" s="1864">
        <f ca="1">+CFS!BC30</f>
        <v>1433.8000000000002</v>
      </c>
      <c r="AF105" s="1864">
        <f>+CFS!BD30</f>
        <v>2588</v>
      </c>
      <c r="AG105" s="1864">
        <f>+CFS!BE30</f>
        <v>2223</v>
      </c>
      <c r="AH105" s="1864">
        <f>+CFS!BF30</f>
        <v>1387</v>
      </c>
      <c r="AI105" s="1864">
        <f>+CFS!BG30</f>
        <v>1583</v>
      </c>
      <c r="AJ105" s="1864">
        <f>+CFS!BH30</f>
        <v>1216</v>
      </c>
      <c r="AK105" s="1864">
        <f>+CFS!BI30</f>
        <v>1887</v>
      </c>
      <c r="AL105" s="1864">
        <f>+CFS!BJ30</f>
        <v>1379</v>
      </c>
      <c r="AM105" s="1864">
        <f>+CFS!BK30</f>
        <v>1387</v>
      </c>
      <c r="AN105" s="1864">
        <f>+CFS!BL30</f>
        <v>1469</v>
      </c>
      <c r="AO105" s="1864">
        <f>+CFS!BM30</f>
        <v>1552</v>
      </c>
      <c r="AP105" s="1864">
        <f>+CFS!BN30</f>
        <v>1151</v>
      </c>
      <c r="AQ105" s="1864">
        <f>+CFS!BO30</f>
        <v>1380</v>
      </c>
      <c r="AR105" s="1864">
        <f>+CFS!BP30</f>
        <v>1129</v>
      </c>
      <c r="AS105" s="1864">
        <f>+CFS!BQ30</f>
        <v>1428</v>
      </c>
      <c r="AT105" s="1864">
        <f>+CFS!BR30</f>
        <v>1251</v>
      </c>
      <c r="AU105" s="1864">
        <f>+CFS!BS30</f>
        <v>1336</v>
      </c>
      <c r="AV105" s="1864">
        <f>+CFS!BT30</f>
        <v>1145</v>
      </c>
      <c r="AW105" s="1864">
        <f>+CFS!BU30</f>
        <v>1475</v>
      </c>
      <c r="AX105" s="1864">
        <f>+CFS!BV30</f>
        <v>1196</v>
      </c>
    </row>
    <row r="106" spans="1:50">
      <c r="A106" t="s">
        <v>207</v>
      </c>
      <c r="B106" s="1855"/>
      <c r="C106" s="1855"/>
      <c r="D106" s="1855"/>
      <c r="E106" s="1855"/>
      <c r="F106" s="1855"/>
      <c r="G106" s="1855"/>
      <c r="H106" s="1855"/>
      <c r="I106" s="1855"/>
      <c r="J106" s="1855"/>
      <c r="K106" s="1855"/>
      <c r="L106" s="1855"/>
      <c r="M106" s="1855"/>
      <c r="N106" s="1855"/>
      <c r="O106" s="1855"/>
      <c r="P106" s="1855"/>
      <c r="Q106" s="1855"/>
      <c r="R106" s="1855"/>
      <c r="S106" s="1864">
        <f>+CFS!AQ108</f>
        <v>647.73900000000003</v>
      </c>
      <c r="T106" s="1864">
        <f>+CFS!AR108</f>
        <v>772.65899999999999</v>
      </c>
      <c r="U106" s="1864">
        <f>+CFS!AS108</f>
        <v>706.60599999999999</v>
      </c>
      <c r="V106" s="1864">
        <f>+CFS!AT108</f>
        <v>611.81299999999999</v>
      </c>
      <c r="W106" s="1864">
        <f>+CFS!AU108</f>
        <v>481.69600000000003</v>
      </c>
      <c r="X106" s="1864">
        <f>+CFS!AV108</f>
        <v>579.10500000000002</v>
      </c>
      <c r="Y106" s="1864">
        <f>+CFS!AW108</f>
        <v>627.32600000000002</v>
      </c>
      <c r="Z106" s="1864">
        <f>+CFS!AX108</f>
        <v>723.41700000000003</v>
      </c>
      <c r="AA106" s="1864">
        <f>+CFS!AY108</f>
        <v>605.17999999999995</v>
      </c>
      <c r="AB106" s="1864">
        <f>+CFS!AZ108</f>
        <v>576.04600000000005</v>
      </c>
      <c r="AC106" s="1864">
        <f>+CFS!BA108</f>
        <v>661</v>
      </c>
      <c r="AD106" s="1864">
        <f>+CFS!BB108</f>
        <v>705.99</v>
      </c>
      <c r="AE106" s="1864">
        <f>+CFS!BC108</f>
        <v>651.59100000000001</v>
      </c>
      <c r="AF106" s="1864">
        <f>+CFS!BD108</f>
        <v>621</v>
      </c>
      <c r="AG106" s="1864">
        <f>+CFS!BE108</f>
        <v>721</v>
      </c>
      <c r="AH106" s="1864">
        <f>+CFS!BF108</f>
        <v>896</v>
      </c>
      <c r="AI106" s="1864">
        <f>+CFS!BG108</f>
        <v>668</v>
      </c>
      <c r="AJ106" s="1864">
        <f>+CFS!BH108</f>
        <v>609</v>
      </c>
      <c r="AK106" s="1864">
        <f>+CFS!BI108</f>
        <v>704</v>
      </c>
      <c r="AL106" s="1864">
        <f>+CFS!BJ108</f>
        <v>877</v>
      </c>
      <c r="AM106" s="1864">
        <f>+CFS!BK108</f>
        <v>656</v>
      </c>
      <c r="AN106" s="1864">
        <f>+CFS!BL108</f>
        <v>739</v>
      </c>
      <c r="AO106" s="1864">
        <f>+CFS!BM108</f>
        <v>786</v>
      </c>
      <c r="AP106" s="1864">
        <f>+CFS!BN108</f>
        <v>820</v>
      </c>
      <c r="AQ106" s="1864">
        <f>+CFS!BO108</f>
        <v>662</v>
      </c>
      <c r="AR106" s="1864">
        <f>+CFS!BP108</f>
        <v>723</v>
      </c>
      <c r="AS106" s="1864">
        <f>+CFS!BQ108</f>
        <v>711</v>
      </c>
      <c r="AT106" s="1864">
        <f>+CFS!BR108</f>
        <v>930</v>
      </c>
      <c r="AU106" s="1864">
        <f>+CFS!BS108</f>
        <v>613</v>
      </c>
      <c r="AV106" s="1864">
        <f>+CFS!BT108</f>
        <v>654</v>
      </c>
      <c r="AW106" s="1864">
        <f>+CFS!BU108</f>
        <v>764</v>
      </c>
      <c r="AX106" s="1864">
        <f>+CFS!BV108</f>
        <v>830</v>
      </c>
    </row>
    <row r="107" spans="1:50">
      <c r="A107" t="s">
        <v>752</v>
      </c>
      <c r="B107" s="1855"/>
      <c r="C107" s="1855"/>
      <c r="D107" s="1855"/>
      <c r="E107" s="1855"/>
      <c r="F107" s="1855"/>
      <c r="G107" s="1855"/>
      <c r="H107" s="1855"/>
      <c r="I107" s="1855"/>
      <c r="J107" s="1855"/>
      <c r="K107" s="1855"/>
      <c r="L107" s="1855"/>
      <c r="M107" s="1855"/>
      <c r="N107" s="1855"/>
      <c r="O107" s="1855"/>
      <c r="P107" s="1855"/>
      <c r="Q107" s="1855"/>
      <c r="R107" s="1855"/>
      <c r="S107" s="1864">
        <f t="shared" ref="S107:AG107" si="44">+S105-S106</f>
        <v>556.47099999999978</v>
      </c>
      <c r="T107" s="1864">
        <f t="shared" si="44"/>
        <v>590.11799999999982</v>
      </c>
      <c r="U107" s="1864">
        <f t="shared" si="44"/>
        <v>744.63999999999987</v>
      </c>
      <c r="V107" s="1864">
        <f t="shared" si="44"/>
        <v>857.25400000000002</v>
      </c>
      <c r="W107" s="1864">
        <f t="shared" si="44"/>
        <v>1114.8699999999994</v>
      </c>
      <c r="X107" s="1864">
        <f t="shared" si="44"/>
        <v>1070.3140000000001</v>
      </c>
      <c r="Y107" s="1864">
        <f t="shared" si="44"/>
        <v>759.92899999999941</v>
      </c>
      <c r="Z107" s="1864">
        <f t="shared" si="44"/>
        <v>857.39099999999996</v>
      </c>
      <c r="AA107" s="1864">
        <f t="shared" si="44"/>
        <v>797.1640000000001</v>
      </c>
      <c r="AB107" s="1864">
        <f t="shared" si="44"/>
        <v>867.58300000000031</v>
      </c>
      <c r="AC107" s="1864">
        <f t="shared" si="44"/>
        <v>1224.8340000000003</v>
      </c>
      <c r="AD107" s="1864">
        <f t="shared" si="44"/>
        <v>1092.22</v>
      </c>
      <c r="AE107" s="1864">
        <f t="shared" ca="1" si="44"/>
        <v>782.20900000000017</v>
      </c>
      <c r="AF107" s="1864">
        <f t="shared" si="44"/>
        <v>1967</v>
      </c>
      <c r="AG107" s="1864">
        <f t="shared" si="44"/>
        <v>1502</v>
      </c>
      <c r="AH107" s="1864">
        <f t="shared" ref="AH107:AP107" si="45">+AH105-AH106</f>
        <v>491</v>
      </c>
      <c r="AI107" s="1864">
        <f t="shared" si="45"/>
        <v>915</v>
      </c>
      <c r="AJ107" s="1864">
        <f t="shared" si="45"/>
        <v>607</v>
      </c>
      <c r="AK107" s="1864">
        <f t="shared" si="45"/>
        <v>1183</v>
      </c>
      <c r="AL107" s="1864">
        <f t="shared" si="45"/>
        <v>502</v>
      </c>
      <c r="AM107" s="1864">
        <f t="shared" si="45"/>
        <v>731</v>
      </c>
      <c r="AN107" s="1864">
        <f t="shared" si="45"/>
        <v>730</v>
      </c>
      <c r="AO107" s="1864">
        <f t="shared" si="45"/>
        <v>766</v>
      </c>
      <c r="AP107" s="1864">
        <f t="shared" si="45"/>
        <v>331</v>
      </c>
      <c r="AQ107" s="1864">
        <f t="shared" ref="AQ107:AX107" si="46">+AQ105-AQ106</f>
        <v>718</v>
      </c>
      <c r="AR107" s="1864">
        <f t="shared" si="46"/>
        <v>406</v>
      </c>
      <c r="AS107" s="1864">
        <f t="shared" si="46"/>
        <v>717</v>
      </c>
      <c r="AT107" s="1864">
        <f t="shared" si="46"/>
        <v>321</v>
      </c>
      <c r="AU107" s="1864">
        <f t="shared" si="46"/>
        <v>723</v>
      </c>
      <c r="AV107" s="1864">
        <f t="shared" si="46"/>
        <v>491</v>
      </c>
      <c r="AW107" s="1864">
        <f t="shared" si="46"/>
        <v>711</v>
      </c>
      <c r="AX107" s="1864">
        <f t="shared" si="46"/>
        <v>366</v>
      </c>
    </row>
    <row r="108" spans="1:50">
      <c r="A108" t="s">
        <v>754</v>
      </c>
      <c r="B108" s="1855"/>
      <c r="C108" s="1855"/>
      <c r="D108" s="1855"/>
      <c r="E108" s="1855"/>
      <c r="F108" s="1855"/>
      <c r="G108" s="1855"/>
      <c r="H108" s="1855"/>
      <c r="I108" s="1855"/>
      <c r="J108" s="1855"/>
      <c r="K108" s="1855"/>
      <c r="L108" s="1855"/>
      <c r="M108" s="1855"/>
      <c r="N108" s="1855"/>
      <c r="O108" s="1855"/>
      <c r="P108" s="1855"/>
      <c r="Q108" s="1855"/>
      <c r="R108" s="1855"/>
      <c r="S108" s="1851">
        <f>+IS!AU117</f>
        <v>362.73869999999999</v>
      </c>
      <c r="T108" s="1851">
        <f>+IS!AV117</f>
        <v>353.86687999999998</v>
      </c>
      <c r="U108" s="1851">
        <f>+IS!AW117</f>
        <v>344.92959999999999</v>
      </c>
      <c r="V108" s="1851">
        <f>+IS!AX117</f>
        <v>342.17320000000001</v>
      </c>
      <c r="W108" s="1851">
        <f>+IS!AY117</f>
        <v>404.96699711999997</v>
      </c>
      <c r="X108" s="1851">
        <f>+IS!AZ117</f>
        <v>406.62945343999996</v>
      </c>
      <c r="Y108" s="1851">
        <f>+IS!BA117</f>
        <v>408.10150191999992</v>
      </c>
      <c r="Z108" s="1851">
        <f>+IS!BB117</f>
        <v>408.79913535999998</v>
      </c>
      <c r="AA108" s="1851">
        <f>+IS!BC117</f>
        <v>434.25993971999998</v>
      </c>
      <c r="AB108" s="1851">
        <f>+IS!BD117</f>
        <v>435.29782535999999</v>
      </c>
      <c r="AC108" s="1851">
        <f>+IS!BE117</f>
        <v>436.25874152</v>
      </c>
      <c r="AD108" s="1851">
        <f>+IS!BF117</f>
        <v>438.62464387999995</v>
      </c>
      <c r="AE108" s="1851">
        <f>+IS!BG117</f>
        <v>442.97499999999997</v>
      </c>
      <c r="AF108" s="1851">
        <f>+IS!BH117</f>
        <v>445.533525</v>
      </c>
      <c r="AG108" s="1851">
        <f>+IS!BI117</f>
        <v>447.00599999999997</v>
      </c>
      <c r="AH108" s="1851">
        <f>+IS!BJ117</f>
        <v>448.41974999999996</v>
      </c>
      <c r="AI108" s="1851">
        <f>+IS!BK117</f>
        <v>448.20079999999996</v>
      </c>
      <c r="AJ108" s="1851">
        <f>+IS!BL117</f>
        <v>449.41807499999993</v>
      </c>
      <c r="AK108" s="1851">
        <f>+IS!BM117</f>
        <v>450.33230000000003</v>
      </c>
      <c r="AL108" s="1851">
        <f>+IS!BN117</f>
        <v>450.33230000000003</v>
      </c>
      <c r="AM108" s="1851">
        <f>+IS!BO117</f>
        <v>334.48842000000002</v>
      </c>
      <c r="AN108" s="1851">
        <f>+IS!BP117</f>
        <v>326.32308</v>
      </c>
      <c r="AO108" s="1851">
        <f>+IS!BQ117</f>
        <v>321.07697999999999</v>
      </c>
      <c r="AP108" s="1851">
        <f>+IS!BR117</f>
        <v>316.03986000000003</v>
      </c>
      <c r="AQ108" s="1851">
        <f>+IS!BS117</f>
        <v>310.24889999999999</v>
      </c>
      <c r="AR108" s="1851">
        <f>+IS!BT117</f>
        <v>306.67410000000001</v>
      </c>
      <c r="AS108" s="1851">
        <f>+IS!BU117</f>
        <v>306.67410000000001</v>
      </c>
      <c r="AT108" s="1851">
        <f>+IS!BV117</f>
        <v>305.27658000000002</v>
      </c>
      <c r="AU108" s="1851">
        <f>+IS!BW117</f>
        <v>303.46326000000005</v>
      </c>
      <c r="AV108" s="1851">
        <f>+IS!BX117</f>
        <v>301.66560000000004</v>
      </c>
      <c r="AW108" s="1851">
        <f>+IS!BY117</f>
        <v>299.64438000000007</v>
      </c>
      <c r="AX108" s="1851">
        <f>+IS!BZ117</f>
        <v>292.4667</v>
      </c>
    </row>
    <row r="109" spans="1:50">
      <c r="A109" t="s">
        <v>755</v>
      </c>
      <c r="B109" s="1855"/>
      <c r="C109" s="1855"/>
      <c r="D109" s="1855"/>
      <c r="E109" s="1855"/>
      <c r="F109" s="1855"/>
      <c r="G109" s="1855"/>
      <c r="H109" s="1855"/>
      <c r="I109" s="1855"/>
      <c r="J109" s="1855"/>
      <c r="K109" s="1855"/>
      <c r="L109" s="1855"/>
      <c r="M109" s="1855"/>
      <c r="N109" s="1855"/>
      <c r="O109" s="1855"/>
      <c r="P109" s="1855"/>
      <c r="Q109" s="1855"/>
      <c r="R109" s="1855"/>
      <c r="S109" s="1852">
        <f t="shared" ref="S109:AG109" si="47">+S108/S107</f>
        <v>0.65185553245362315</v>
      </c>
      <c r="T109" s="1852">
        <f t="shared" si="47"/>
        <v>0.59965444199295748</v>
      </c>
      <c r="U109" s="1852">
        <f t="shared" si="47"/>
        <v>0.46321658788139242</v>
      </c>
      <c r="V109" s="1852">
        <f t="shared" si="47"/>
        <v>0.39915031017644714</v>
      </c>
      <c r="W109" s="1852">
        <f t="shared" si="47"/>
        <v>0.36324145157731413</v>
      </c>
      <c r="X109" s="1852">
        <f t="shared" si="47"/>
        <v>0.37991603720029815</v>
      </c>
      <c r="Y109" s="1852">
        <f t="shared" si="47"/>
        <v>0.5370258299393762</v>
      </c>
      <c r="Z109" s="1852">
        <f t="shared" si="47"/>
        <v>0.47679429263894768</v>
      </c>
      <c r="AA109" s="1852">
        <f t="shared" si="47"/>
        <v>0.54475608497122285</v>
      </c>
      <c r="AB109" s="1852">
        <f t="shared" si="47"/>
        <v>0.50173623199163631</v>
      </c>
      <c r="AC109" s="1852">
        <f t="shared" si="47"/>
        <v>0.35617785064751623</v>
      </c>
      <c r="AD109" s="1852">
        <f t="shared" si="47"/>
        <v>0.40159001289117574</v>
      </c>
      <c r="AE109" s="1852">
        <f t="shared" ca="1" si="47"/>
        <v>0.56631283966305668</v>
      </c>
      <c r="AF109" s="1852">
        <f t="shared" si="47"/>
        <v>0.22650407981698018</v>
      </c>
      <c r="AG109" s="1852">
        <f t="shared" si="47"/>
        <v>0.29760719041278294</v>
      </c>
      <c r="AH109" s="1852">
        <f t="shared" ref="AH109:AP109" si="48">+AH108/AH107</f>
        <v>0.91327851323828912</v>
      </c>
      <c r="AI109" s="1852">
        <f t="shared" si="48"/>
        <v>0.48983693989071031</v>
      </c>
      <c r="AJ109" s="1852">
        <f t="shared" si="48"/>
        <v>0.74039221581548587</v>
      </c>
      <c r="AK109" s="1852">
        <f t="shared" si="48"/>
        <v>0.38066973795435338</v>
      </c>
      <c r="AL109" s="1852">
        <f t="shared" si="48"/>
        <v>0.89707629482071716</v>
      </c>
      <c r="AM109" s="1852">
        <f t="shared" si="48"/>
        <v>0.45757649794801647</v>
      </c>
      <c r="AN109" s="1852">
        <f t="shared" si="48"/>
        <v>0.4470179178082192</v>
      </c>
      <c r="AO109" s="1852">
        <f t="shared" si="48"/>
        <v>0.41916054830287203</v>
      </c>
      <c r="AP109" s="1852">
        <f t="shared" si="48"/>
        <v>0.95480320241691852</v>
      </c>
      <c r="AQ109" s="1852">
        <f t="shared" ref="AQ109:AX109" si="49">+AQ108/AQ107</f>
        <v>0.43210153203342616</v>
      </c>
      <c r="AR109" s="1852">
        <f t="shared" si="49"/>
        <v>0.7553549261083744</v>
      </c>
      <c r="AS109" s="1852">
        <f t="shared" si="49"/>
        <v>0.42771841004184102</v>
      </c>
      <c r="AT109" s="1852">
        <f t="shared" si="49"/>
        <v>0.95101738317757012</v>
      </c>
      <c r="AU109" s="1852">
        <f t="shared" si="49"/>
        <v>0.41972788381742743</v>
      </c>
      <c r="AV109" s="1852">
        <f t="shared" si="49"/>
        <v>0.61439022403258658</v>
      </c>
      <c r="AW109" s="1852">
        <f t="shared" si="49"/>
        <v>0.42144075949367099</v>
      </c>
      <c r="AX109" s="1852">
        <f t="shared" si="49"/>
        <v>0.79908934426229505</v>
      </c>
    </row>
    <row r="110" spans="1:50">
      <c r="B110" s="1855"/>
      <c r="C110" s="1855"/>
      <c r="D110" s="1855"/>
      <c r="E110" s="1855"/>
      <c r="F110" s="1855"/>
      <c r="G110" s="1855"/>
      <c r="H110" s="1855"/>
      <c r="I110" s="1855"/>
      <c r="J110" s="1855"/>
      <c r="K110" s="1855"/>
      <c r="L110" s="1855"/>
      <c r="M110" s="1855"/>
      <c r="N110" s="1855"/>
      <c r="O110" s="1855"/>
      <c r="P110" s="1855"/>
      <c r="Q110" s="1855"/>
      <c r="R110" s="1855"/>
      <c r="S110" s="1855"/>
      <c r="T110" s="1855"/>
      <c r="U110" s="1855"/>
      <c r="V110" s="1855"/>
      <c r="W110" s="1855"/>
      <c r="X110" s="1855"/>
      <c r="Y110" s="1855"/>
      <c r="Z110" s="1855"/>
      <c r="AA110" s="1855"/>
      <c r="AB110" s="1855"/>
      <c r="AC110" s="1855"/>
      <c r="AD110" s="1855"/>
      <c r="AE110" s="1855"/>
      <c r="AF110" s="1855"/>
      <c r="AG110" s="1855"/>
      <c r="AH110" s="1855"/>
      <c r="AI110" s="1855"/>
      <c r="AJ110" s="1855"/>
      <c r="AK110" s="1855"/>
      <c r="AL110" s="1855"/>
      <c r="AM110" s="1855"/>
      <c r="AN110" s="1855"/>
      <c r="AO110" s="1855"/>
      <c r="AP110" s="1855"/>
      <c r="AQ110" s="1855"/>
      <c r="AR110" s="1855"/>
      <c r="AS110" s="1855"/>
      <c r="AT110" s="1855"/>
      <c r="AU110" s="1855"/>
      <c r="AV110" s="1855"/>
      <c r="AW110" s="1855"/>
      <c r="AX110" s="1855"/>
    </row>
    <row r="111" spans="1:50">
      <c r="A111" t="s">
        <v>756</v>
      </c>
      <c r="B111" s="1855"/>
      <c r="C111" s="1855"/>
      <c r="D111" s="1855"/>
      <c r="E111" s="1855"/>
      <c r="F111" s="1855"/>
      <c r="G111" s="1855"/>
      <c r="H111" s="1855"/>
      <c r="I111" s="1855"/>
      <c r="J111" s="1855"/>
      <c r="K111" s="1855"/>
      <c r="L111" s="1855"/>
      <c r="M111" s="1855"/>
      <c r="N111" s="1855"/>
      <c r="O111" s="1855"/>
      <c r="P111" s="1855"/>
      <c r="Q111" s="1855"/>
      <c r="R111" s="1855"/>
      <c r="S111" s="1855"/>
      <c r="T111" s="1855"/>
      <c r="U111" s="1855"/>
      <c r="V111" s="1855"/>
      <c r="W111" s="1855"/>
      <c r="X111" s="1855"/>
      <c r="Y111" s="1855"/>
      <c r="Z111" s="1855"/>
      <c r="AA111" s="1855"/>
      <c r="AB111" s="1855"/>
      <c r="AC111" s="1855"/>
      <c r="AD111" s="1855"/>
      <c r="AE111" s="1855"/>
      <c r="AF111" s="1855"/>
      <c r="AG111" s="1855"/>
      <c r="AH111" s="1855"/>
      <c r="AI111" s="1855"/>
      <c r="AJ111" s="1855"/>
      <c r="AK111" s="1855"/>
      <c r="AL111" s="1855"/>
      <c r="AM111" s="1855"/>
      <c r="AN111" s="1855"/>
      <c r="AO111" s="1855"/>
      <c r="AP111" s="1855"/>
      <c r="AQ111" s="1855"/>
      <c r="AR111" s="1855"/>
      <c r="AS111" s="1855"/>
      <c r="AT111" s="1855"/>
      <c r="AU111" s="1855"/>
      <c r="AV111" s="1855"/>
      <c r="AW111" s="1855"/>
      <c r="AX111" s="1855"/>
    </row>
    <row r="112" spans="1:50">
      <c r="A112" t="str">
        <f>+CFS!A72</f>
        <v>Net income</v>
      </c>
      <c r="B112" s="1855"/>
      <c r="C112" s="1855"/>
      <c r="D112" s="1855"/>
      <c r="E112" s="1855"/>
      <c r="F112" s="1855"/>
      <c r="G112" s="1855"/>
      <c r="H112" s="1855"/>
      <c r="I112" s="1855"/>
      <c r="J112" s="1855"/>
      <c r="K112" s="1855"/>
      <c r="L112" s="1855"/>
      <c r="M112" s="1855"/>
      <c r="N112" s="1855"/>
      <c r="O112" s="1855"/>
      <c r="P112" s="1855"/>
      <c r="Q112" s="1855"/>
      <c r="R112" s="1855"/>
      <c r="S112" s="287">
        <f>+CFS!AQ72</f>
        <v>445.19899999999956</v>
      </c>
      <c r="T112" s="287">
        <f>+CFS!AR72</f>
        <v>440.57300000000032</v>
      </c>
      <c r="U112" s="287">
        <f>+CFS!AS72</f>
        <v>376.8430000000003</v>
      </c>
      <c r="V112" s="287">
        <f>+CFS!AT72</f>
        <v>472.12700000000046</v>
      </c>
      <c r="W112" s="287">
        <f>+CFS!AU72</f>
        <v>522.63499999999931</v>
      </c>
      <c r="X112" s="287">
        <f>+CFS!AV72</f>
        <v>430.38299999999992</v>
      </c>
      <c r="Y112" s="287">
        <f>+CFS!AW72</f>
        <v>422.74399999999946</v>
      </c>
      <c r="Z112" s="287">
        <f>+CFS!AX72</f>
        <v>428.72900000000004</v>
      </c>
      <c r="AA112" s="287">
        <f>+CFS!AY72</f>
        <v>500</v>
      </c>
      <c r="AB112" s="287">
        <f>+CFS!AZ72</f>
        <v>451</v>
      </c>
      <c r="AC112" s="287">
        <f>+CFS!BA72</f>
        <v>446</v>
      </c>
      <c r="AD112" s="287">
        <f>+CFS!BB72</f>
        <v>455</v>
      </c>
      <c r="AE112" s="287">
        <f ca="1">+CFS!BC72</f>
        <v>483.80000000000018</v>
      </c>
      <c r="AF112" s="287">
        <f>+CFS!BD72</f>
        <v>428</v>
      </c>
      <c r="AG112" s="287">
        <f>+CFS!BE72</f>
        <v>377</v>
      </c>
      <c r="AH112" s="287">
        <f>+CFS!BF72</f>
        <v>343</v>
      </c>
      <c r="AI112" s="287">
        <f>+CFS!BG72</f>
        <v>423</v>
      </c>
      <c r="AJ112" s="287">
        <f>+CFS!BH72</f>
        <v>403</v>
      </c>
      <c r="AK112" s="287">
        <f>+CFS!BI72</f>
        <v>413</v>
      </c>
      <c r="AL112" s="287">
        <f>+CFS!BJ72</f>
        <v>416</v>
      </c>
      <c r="AM112" s="287">
        <f>+CFS!BK72</f>
        <v>475</v>
      </c>
      <c r="AN112" s="287">
        <f>+CFS!BL72</f>
        <v>417</v>
      </c>
      <c r="AO112" s="287">
        <f>+CFS!BM72</f>
        <v>375</v>
      </c>
      <c r="AP112" s="287">
        <f>+CFS!BN72</f>
        <v>396</v>
      </c>
      <c r="AQ112" s="287">
        <f>+CFS!BO72</f>
        <v>231</v>
      </c>
      <c r="AR112" s="287">
        <f>+CFS!BP72</f>
        <v>271</v>
      </c>
      <c r="AS112" s="287">
        <f>+CFS!BQ72</f>
        <v>217</v>
      </c>
      <c r="AT112" s="287">
        <f>+CFS!BR72</f>
        <v>281</v>
      </c>
      <c r="AU112" s="287">
        <f>+CFS!BS72</f>
        <v>238</v>
      </c>
      <c r="AV112" s="287">
        <f>+CFS!BT72</f>
        <v>160</v>
      </c>
      <c r="AW112" s="287">
        <f>+CFS!BU72</f>
        <v>300</v>
      </c>
      <c r="AX112" s="287">
        <f>+CFS!BV72</f>
        <v>336</v>
      </c>
    </row>
    <row r="113" spans="1:50">
      <c r="A113" t="str">
        <f>+CFS!A73</f>
        <v xml:space="preserve">   Plus: D&amp;A</v>
      </c>
      <c r="B113" s="1855"/>
      <c r="C113" s="1855"/>
      <c r="D113" s="1855"/>
      <c r="E113" s="1855"/>
      <c r="F113" s="1855"/>
      <c r="G113" s="1855"/>
      <c r="H113" s="1855"/>
      <c r="I113" s="1855"/>
      <c r="J113" s="1855"/>
      <c r="K113" s="1855"/>
      <c r="L113" s="1855"/>
      <c r="M113" s="1855"/>
      <c r="N113" s="1855"/>
      <c r="O113" s="1855"/>
      <c r="P113" s="1855"/>
      <c r="Q113" s="1855"/>
      <c r="R113" s="1855"/>
      <c r="S113" s="287">
        <f>+CFS!AQ73</f>
        <v>962.68399999999997</v>
      </c>
      <c r="T113" s="287">
        <f>+CFS!AR73</f>
        <v>955.95399999999995</v>
      </c>
      <c r="U113" s="287">
        <f>+CFS!AS73</f>
        <v>979.35199999999998</v>
      </c>
      <c r="V113" s="287">
        <f>+CFS!AT73</f>
        <v>982.79600000000005</v>
      </c>
      <c r="W113" s="287">
        <f>+CFS!AU73</f>
        <v>944.72</v>
      </c>
      <c r="X113" s="287">
        <f>+CFS!AV73</f>
        <v>950.404</v>
      </c>
      <c r="Y113" s="287">
        <f>+CFS!AW73</f>
        <v>943.202</v>
      </c>
      <c r="Z113" s="287">
        <f>+CFS!AX73</f>
        <v>935.38400000000001</v>
      </c>
      <c r="AA113" s="287">
        <f>+CFS!AY73</f>
        <v>950</v>
      </c>
      <c r="AB113" s="287">
        <f>+CFS!AZ73</f>
        <v>957</v>
      </c>
      <c r="AC113" s="287">
        <f>+CFS!BA73</f>
        <v>968</v>
      </c>
      <c r="AD113" s="287">
        <f>+CFS!BB73</f>
        <v>961</v>
      </c>
      <c r="AE113" s="287">
        <f>+CFS!BC73</f>
        <v>930</v>
      </c>
      <c r="AF113" s="287">
        <f>+CFS!BD73</f>
        <v>963</v>
      </c>
      <c r="AG113" s="287">
        <f>+CFS!BE73</f>
        <v>957</v>
      </c>
      <c r="AH113" s="287">
        <f>+CFS!BF73</f>
        <v>950</v>
      </c>
      <c r="AI113" s="287">
        <f>+CFS!BG73</f>
        <v>917</v>
      </c>
      <c r="AJ113" s="287">
        <f>+CFS!BH73</f>
        <v>911</v>
      </c>
      <c r="AK113" s="287">
        <f>+CFS!BI73</f>
        <v>901</v>
      </c>
      <c r="AL113" s="287">
        <f>+CFS!BJ73</f>
        <v>935</v>
      </c>
      <c r="AM113" s="287">
        <f>+CFS!BK73</f>
        <v>836</v>
      </c>
      <c r="AN113" s="287">
        <f>+CFS!BL73</f>
        <v>847</v>
      </c>
      <c r="AO113" s="287">
        <f>+CFS!BM73</f>
        <v>867</v>
      </c>
      <c r="AP113" s="287">
        <f>+CFS!BN73</f>
        <v>888</v>
      </c>
      <c r="AQ113" s="287">
        <f>+CFS!BO73</f>
        <v>1107</v>
      </c>
      <c r="AR113" s="287">
        <f>+CFS!BP73</f>
        <v>1093</v>
      </c>
      <c r="AS113" s="287">
        <f>+CFS!BQ73</f>
        <v>1097</v>
      </c>
      <c r="AT113" s="287">
        <f>+CFS!BR73</f>
        <v>1131</v>
      </c>
      <c r="AU113" s="287">
        <f>+CFS!BS73</f>
        <v>1040</v>
      </c>
      <c r="AV113" s="287">
        <f>+CFS!BT73</f>
        <v>1048</v>
      </c>
      <c r="AW113" s="287">
        <f>+CFS!BU73</f>
        <v>1048</v>
      </c>
      <c r="AX113" s="287">
        <f>+CFS!BV73</f>
        <v>1053</v>
      </c>
    </row>
    <row r="114" spans="1:50">
      <c r="A114" t="str">
        <f>+CFS!A74</f>
        <v xml:space="preserve">   Less: Capex</v>
      </c>
      <c r="B114" s="1855"/>
      <c r="C114" s="1855"/>
      <c r="D114" s="1855"/>
      <c r="E114" s="1855"/>
      <c r="F114" s="1855"/>
      <c r="G114" s="1855"/>
      <c r="H114" s="1855"/>
      <c r="I114" s="1855"/>
      <c r="J114" s="1855"/>
      <c r="K114" s="1855"/>
      <c r="L114" s="1855"/>
      <c r="M114" s="1855"/>
      <c r="N114" s="1855"/>
      <c r="O114" s="1855"/>
      <c r="P114" s="1855"/>
      <c r="Q114" s="1855"/>
      <c r="R114" s="1855"/>
      <c r="S114" s="287">
        <f>+CFS!AQ74</f>
        <v>-647.73900000000003</v>
      </c>
      <c r="T114" s="287">
        <f>+CFS!AR74</f>
        <v>-772.65899999999999</v>
      </c>
      <c r="U114" s="287">
        <f>+CFS!AS74</f>
        <v>-706.60599999999999</v>
      </c>
      <c r="V114" s="287">
        <f>+CFS!AT74</f>
        <v>-611.81299999999999</v>
      </c>
      <c r="W114" s="287">
        <f>+CFS!AU74</f>
        <v>-481.69600000000003</v>
      </c>
      <c r="X114" s="287">
        <f>+CFS!AV74</f>
        <v>-579.10500000000002</v>
      </c>
      <c r="Y114" s="287">
        <f>+CFS!AW74</f>
        <v>-627.32600000000002</v>
      </c>
      <c r="Z114" s="287">
        <f>+CFS!AX74</f>
        <v>-723.41700000000003</v>
      </c>
      <c r="AA114" s="287">
        <f>+CFS!AY74</f>
        <v>-605.17999999999995</v>
      </c>
      <c r="AB114" s="287">
        <f>+CFS!AZ74</f>
        <v>-576.04600000000005</v>
      </c>
      <c r="AC114" s="287">
        <f>+CFS!BA74</f>
        <v>-661</v>
      </c>
      <c r="AD114" s="287">
        <f>+CFS!BB74</f>
        <v>-705.99</v>
      </c>
      <c r="AE114" s="287">
        <f>+CFS!BC74</f>
        <v>-651.59100000000001</v>
      </c>
      <c r="AF114" s="287">
        <f>+CFS!BD74</f>
        <v>-621</v>
      </c>
      <c r="AG114" s="287">
        <f>+CFS!BE74</f>
        <v>-721</v>
      </c>
      <c r="AH114" s="287">
        <f>+CFS!BF74</f>
        <v>-896</v>
      </c>
      <c r="AI114" s="287">
        <f>+CFS!BG74</f>
        <v>-668</v>
      </c>
      <c r="AJ114" s="287">
        <f>+CFS!BH74</f>
        <v>-609</v>
      </c>
      <c r="AK114" s="287">
        <f>+CFS!BI74</f>
        <v>-704</v>
      </c>
      <c r="AL114" s="287">
        <f>+CFS!BJ74</f>
        <v>-877</v>
      </c>
      <c r="AM114" s="287">
        <f>+CFS!BK74</f>
        <v>-656</v>
      </c>
      <c r="AN114" s="287">
        <f>+CFS!BL74</f>
        <v>-739</v>
      </c>
      <c r="AO114" s="287">
        <f>+CFS!BM74</f>
        <v>-786</v>
      </c>
      <c r="AP114" s="287">
        <f>+CFS!BN74</f>
        <v>-820</v>
      </c>
      <c r="AQ114" s="287">
        <f>+CFS!BO74</f>
        <v>-662</v>
      </c>
      <c r="AR114" s="287">
        <f>+CFS!BP74</f>
        <v>-723</v>
      </c>
      <c r="AS114" s="287">
        <f>+CFS!BQ74</f>
        <v>-711</v>
      </c>
      <c r="AT114" s="287">
        <f>+CFS!BR74</f>
        <v>-930</v>
      </c>
      <c r="AU114" s="287">
        <f>+CFS!BS74</f>
        <v>-613</v>
      </c>
      <c r="AV114" s="287">
        <f>+CFS!BT74</f>
        <v>-654</v>
      </c>
      <c r="AW114" s="287">
        <f>+CFS!BU74</f>
        <v>-764</v>
      </c>
      <c r="AX114" s="287">
        <f>+CFS!BV74</f>
        <v>-830</v>
      </c>
    </row>
    <row r="115" spans="1:50">
      <c r="A115" t="str">
        <f>+CFS!A77</f>
        <v xml:space="preserve">   Plus: Income tax</v>
      </c>
      <c r="B115" s="1855"/>
      <c r="C115" s="1855"/>
      <c r="D115" s="1855"/>
      <c r="E115" s="1855"/>
      <c r="F115" s="1855"/>
      <c r="G115" s="1855"/>
      <c r="H115" s="1855"/>
      <c r="I115" s="1855"/>
      <c r="J115" s="1855"/>
      <c r="K115" s="1855"/>
      <c r="L115" s="1855"/>
      <c r="M115" s="1855"/>
      <c r="N115" s="1855"/>
      <c r="O115" s="1855"/>
      <c r="P115" s="1855"/>
      <c r="Q115" s="1855"/>
      <c r="R115" s="1855"/>
      <c r="S115" s="287">
        <f>+CFS!AQ77</f>
        <v>0</v>
      </c>
      <c r="T115" s="287">
        <f>+CFS!AR77</f>
        <v>0</v>
      </c>
      <c r="U115" s="287">
        <f>+CFS!AS77</f>
        <v>0</v>
      </c>
      <c r="V115" s="287">
        <f>+CFS!AT77</f>
        <v>0</v>
      </c>
      <c r="W115" s="287">
        <f>+CFS!AU77</f>
        <v>0</v>
      </c>
      <c r="X115" s="287">
        <f>+CFS!AV77</f>
        <v>0</v>
      </c>
      <c r="Y115" s="287">
        <f>+CFS!AW77</f>
        <v>0</v>
      </c>
      <c r="Z115" s="287">
        <f>+CFS!AX77</f>
        <v>0</v>
      </c>
      <c r="AA115" s="287">
        <f>+CFS!AY77</f>
        <v>288</v>
      </c>
      <c r="AB115" s="287">
        <f>+CFS!AZ77</f>
        <v>297</v>
      </c>
      <c r="AC115" s="287">
        <f>+CFS!BA77</f>
        <v>303</v>
      </c>
      <c r="AD115" s="287">
        <f>+CFS!BB77</f>
        <v>265</v>
      </c>
      <c r="AE115" s="287">
        <f>+CFS!BC77</f>
        <v>310</v>
      </c>
      <c r="AF115" s="287">
        <f>+CFS!BD77</f>
        <v>273</v>
      </c>
      <c r="AG115" s="287">
        <f>+CFS!BE77</f>
        <v>240</v>
      </c>
      <c r="AH115" s="287">
        <f>+CFS!BF77</f>
        <v>218</v>
      </c>
      <c r="AI115" s="287">
        <f>+CFS!BG77</f>
        <v>268</v>
      </c>
      <c r="AJ115" s="287">
        <f>+CFS!BH77</f>
        <v>254</v>
      </c>
      <c r="AK115" s="287">
        <f>+CFS!BI77</f>
        <v>265</v>
      </c>
      <c r="AL115" s="287">
        <f>+CFS!BJ77</f>
        <v>253</v>
      </c>
      <c r="AM115" s="287">
        <f>+CFS!BK77</f>
        <v>308</v>
      </c>
      <c r="AN115" s="287">
        <f>+CFS!BL77</f>
        <v>273</v>
      </c>
      <c r="AO115" s="287">
        <f>+CFS!BM77</f>
        <v>243</v>
      </c>
      <c r="AP115" s="287">
        <f>+CFS!BN77</f>
        <v>231</v>
      </c>
      <c r="AQ115" s="287">
        <f>+CFS!BO77</f>
        <v>128</v>
      </c>
      <c r="AR115" s="287">
        <f>+CFS!BP77</f>
        <v>130</v>
      </c>
      <c r="AS115" s="287">
        <f>+CFS!BQ77</f>
        <v>111</v>
      </c>
      <c r="AT115" s="287">
        <f>+CFS!BR77</f>
        <v>-31</v>
      </c>
      <c r="AU115" s="287">
        <f>+CFS!BS77</f>
        <v>131</v>
      </c>
      <c r="AV115" s="287">
        <f>+CFS!BT77</f>
        <v>91</v>
      </c>
      <c r="AW115" s="287">
        <f>+CFS!BU77</f>
        <v>107</v>
      </c>
      <c r="AX115" s="287">
        <f>+CFS!BV77</f>
        <v>109</v>
      </c>
    </row>
    <row r="116" spans="1:50">
      <c r="A116" t="str">
        <f>+CFS!A78</f>
        <v xml:space="preserve">   Less:  Cash taxes</v>
      </c>
      <c r="B116" s="1855"/>
      <c r="C116" s="1855"/>
      <c r="D116" s="1855"/>
      <c r="E116" s="1855"/>
      <c r="F116" s="1855"/>
      <c r="G116" s="1855"/>
      <c r="H116" s="1855"/>
      <c r="I116" s="1855"/>
      <c r="J116" s="1855"/>
      <c r="K116" s="1855"/>
      <c r="L116" s="1855"/>
      <c r="M116" s="1855"/>
      <c r="N116" s="1855"/>
      <c r="O116" s="1855"/>
      <c r="P116" s="1855"/>
      <c r="Q116" s="1855"/>
      <c r="R116" s="1855"/>
      <c r="S116" s="287">
        <f>+CFS!AQ78</f>
        <v>0</v>
      </c>
      <c r="T116" s="287">
        <f>+CFS!AR78</f>
        <v>0</v>
      </c>
      <c r="U116" s="287">
        <f>+CFS!AS78</f>
        <v>0</v>
      </c>
      <c r="V116" s="287">
        <f>+CFS!AT78</f>
        <v>0</v>
      </c>
      <c r="W116" s="287">
        <f>+CFS!AU78</f>
        <v>0</v>
      </c>
      <c r="X116" s="287">
        <f>+CFS!AV78</f>
        <v>0</v>
      </c>
      <c r="Y116" s="287">
        <f>+CFS!AW78</f>
        <v>0</v>
      </c>
      <c r="Z116" s="287">
        <f>+CFS!AX78</f>
        <v>0</v>
      </c>
      <c r="AA116" s="287">
        <f>+CFS!AY78</f>
        <v>-98.369</v>
      </c>
      <c r="AB116" s="287">
        <f>+CFS!AZ78</f>
        <v>-201.09800000000001</v>
      </c>
      <c r="AC116" s="287">
        <f>+CFS!BA78</f>
        <v>-147.65799999999999</v>
      </c>
      <c r="AD116" s="287">
        <f>+CFS!BB78</f>
        <v>-66.106999999999999</v>
      </c>
      <c r="AE116" s="287">
        <f>+CFS!BC78</f>
        <v>-4.6980000000000004</v>
      </c>
      <c r="AF116" s="287">
        <f>+CFS!BD78</f>
        <v>1270</v>
      </c>
      <c r="AG116" s="287">
        <f>+CFS!BE78</f>
        <v>0</v>
      </c>
      <c r="AH116" s="287">
        <f>+CFS!BF78</f>
        <v>25</v>
      </c>
      <c r="AI116" s="287">
        <f>+CFS!BG78</f>
        <v>-1</v>
      </c>
      <c r="AJ116" s="287">
        <f>+CFS!BH78</f>
        <v>-30</v>
      </c>
      <c r="AK116" s="287">
        <f>+CFS!BI78</f>
        <v>-28</v>
      </c>
      <c r="AL116" s="287">
        <f>+CFS!BJ78</f>
        <v>-23</v>
      </c>
      <c r="AM116" s="287">
        <f>+CFS!BK78</f>
        <v>-8</v>
      </c>
      <c r="AN116" s="287">
        <f>+CFS!BL78</f>
        <v>-38</v>
      </c>
      <c r="AO116" s="287">
        <f>+CFS!BM78</f>
        <v>1</v>
      </c>
      <c r="AP116" s="287">
        <f>+CFS!BN78</f>
        <v>-3</v>
      </c>
      <c r="AQ116" s="287">
        <f>+CFS!BO78</f>
        <v>-10</v>
      </c>
      <c r="AR116" s="287">
        <f>+CFS!BP78</f>
        <v>-13</v>
      </c>
      <c r="AS116" s="287">
        <f>+CFS!BQ78</f>
        <v>2</v>
      </c>
      <c r="AT116" s="287">
        <f>+CFS!BR78</f>
        <v>-6</v>
      </c>
      <c r="AU116" s="287">
        <f>+CFS!BS78</f>
        <v>-5</v>
      </c>
      <c r="AV116" s="287">
        <f>+CFS!BT78</f>
        <v>-36</v>
      </c>
      <c r="AW116" s="287">
        <f>+CFS!BU78</f>
        <v>-13</v>
      </c>
      <c r="AX116" s="287">
        <f>+CFS!BV78</f>
        <v>-9</v>
      </c>
    </row>
    <row r="117" spans="1:50">
      <c r="A117" t="str">
        <f>+CFS!A79</f>
        <v xml:space="preserve">   Less:  Non-cash benefit to interest expense (&amp; other)</v>
      </c>
      <c r="B117" s="1855"/>
      <c r="C117" s="1855"/>
      <c r="D117" s="1855"/>
      <c r="E117" s="1855"/>
      <c r="F117" s="1855"/>
      <c r="G117" s="1855"/>
      <c r="H117" s="1855"/>
      <c r="I117" s="1855"/>
      <c r="J117" s="1855"/>
      <c r="K117" s="1855"/>
      <c r="L117" s="1855"/>
      <c r="M117" s="1855"/>
      <c r="N117" s="1855"/>
      <c r="O117" s="1855"/>
      <c r="P117" s="1855"/>
      <c r="Q117" s="1855"/>
      <c r="R117" s="1855"/>
      <c r="S117" s="287">
        <f>+CFS!AQ79</f>
        <v>0</v>
      </c>
      <c r="T117" s="287">
        <f>+CFS!AR79</f>
        <v>0</v>
      </c>
      <c r="U117" s="287">
        <f>+CFS!AS79</f>
        <v>0</v>
      </c>
      <c r="V117" s="287">
        <f>+CFS!AT79</f>
        <v>0</v>
      </c>
      <c r="W117" s="287">
        <f>+CFS!AU79</f>
        <v>0</v>
      </c>
      <c r="X117" s="287">
        <f>+CFS!AV79</f>
        <v>0</v>
      </c>
      <c r="Y117" s="287">
        <f>+CFS!AW79</f>
        <v>0</v>
      </c>
      <c r="Z117" s="287">
        <f>+CFS!AX79</f>
        <v>0</v>
      </c>
      <c r="AA117" s="287">
        <f>+CFS!AY79</f>
        <v>0</v>
      </c>
      <c r="AB117" s="287">
        <f>+CFS!AZ79</f>
        <v>0</v>
      </c>
      <c r="AC117" s="287">
        <f>+CFS!BA79</f>
        <v>0</v>
      </c>
      <c r="AD117" s="287">
        <f>+CFS!BB79</f>
        <v>0</v>
      </c>
      <c r="AE117" s="287">
        <f>+CFS!BC79</f>
        <v>44</v>
      </c>
      <c r="AF117" s="287">
        <f>+CFS!BD79</f>
        <v>78</v>
      </c>
      <c r="AG117" s="287">
        <f>+CFS!BE79</f>
        <v>48.5</v>
      </c>
      <c r="AH117" s="287">
        <f>+CFS!BF79</f>
        <v>125</v>
      </c>
      <c r="AI117" s="287">
        <f>+CFS!BG79</f>
        <v>-99</v>
      </c>
      <c r="AJ117" s="287">
        <f>+CFS!BH79</f>
        <v>150</v>
      </c>
      <c r="AK117" s="287">
        <f>+CFS!BI79</f>
        <v>-58</v>
      </c>
      <c r="AL117" s="287">
        <f>+CFS!BJ79</f>
        <v>93</v>
      </c>
      <c r="AM117" s="287">
        <f>+CFS!BK79</f>
        <v>-51</v>
      </c>
      <c r="AN117" s="287">
        <f>+CFS!BL79</f>
        <v>57</v>
      </c>
      <c r="AO117" s="287">
        <f>+CFS!BM79</f>
        <v>-61</v>
      </c>
      <c r="AP117" s="287">
        <f>+CFS!BN79</f>
        <v>91</v>
      </c>
      <c r="AQ117" s="287">
        <f>+CFS!BO79</f>
        <v>-66</v>
      </c>
      <c r="AR117" s="287">
        <f>+CFS!BP79</f>
        <v>-58</v>
      </c>
      <c r="AS117" s="287">
        <f>+CFS!BQ79</f>
        <v>-58</v>
      </c>
      <c r="AT117" s="287">
        <f>+CFS!BR79</f>
        <v>-58</v>
      </c>
      <c r="AU117" s="287">
        <f>+CFS!BS79</f>
        <v>-58</v>
      </c>
      <c r="AV117" s="287">
        <f>+CFS!BT79</f>
        <v>47</v>
      </c>
      <c r="AW117" s="287">
        <f>+CFS!BU79</f>
        <v>-69</v>
      </c>
      <c r="AX117" s="287">
        <f>+CFS!BV79</f>
        <v>68</v>
      </c>
    </row>
    <row r="118" spans="1:50">
      <c r="A118" t="str">
        <f>+CFS!A80</f>
        <v>Free cash flow (as calc by CTL)</v>
      </c>
      <c r="B118" s="1855"/>
      <c r="C118" s="1855"/>
      <c r="D118" s="1855"/>
      <c r="E118" s="1855"/>
      <c r="F118" s="1855"/>
      <c r="G118" s="1855"/>
      <c r="H118" s="1855"/>
      <c r="I118" s="1855"/>
      <c r="J118" s="1855"/>
      <c r="K118" s="1855"/>
      <c r="L118" s="1855"/>
      <c r="M118" s="1855"/>
      <c r="N118" s="1855"/>
      <c r="O118" s="1855"/>
      <c r="P118" s="1855"/>
      <c r="Q118" s="1855"/>
      <c r="R118" s="1855"/>
      <c r="S118" s="287">
        <f>+CFS!AQ80</f>
        <v>760.14399999999955</v>
      </c>
      <c r="T118" s="287">
        <f>+CFS!AR80</f>
        <v>623.86800000000028</v>
      </c>
      <c r="U118" s="287">
        <f>+CFS!AS80</f>
        <v>649.58900000000017</v>
      </c>
      <c r="V118" s="287">
        <f>+CFS!AT80</f>
        <v>843.11000000000035</v>
      </c>
      <c r="W118" s="287">
        <f>+CFS!AU80</f>
        <v>985.65899999999931</v>
      </c>
      <c r="X118" s="287">
        <f>+CFS!AV80</f>
        <v>801.68199999999979</v>
      </c>
      <c r="Y118" s="287">
        <f>+CFS!AW80</f>
        <v>738.61999999999944</v>
      </c>
      <c r="Z118" s="287">
        <f>+CFS!AX80</f>
        <v>640.69600000000003</v>
      </c>
      <c r="AA118" s="287">
        <f>+CFS!AY80</f>
        <v>1034.4510000000002</v>
      </c>
      <c r="AB118" s="287">
        <f>+CFS!AZ80</f>
        <v>927.85599999999999</v>
      </c>
      <c r="AC118" s="287">
        <f>+CFS!BA80</f>
        <v>908.34199999999998</v>
      </c>
      <c r="AD118" s="287">
        <f>+CFS!BB80</f>
        <v>908.90300000000002</v>
      </c>
      <c r="AE118" s="287">
        <f ca="1">+CFS!BC80</f>
        <v>1023.5110000000002</v>
      </c>
      <c r="AF118" s="287">
        <f>+CFS!BD80</f>
        <v>2235</v>
      </c>
      <c r="AG118" s="287">
        <f>+CFS!BE80</f>
        <v>804.5</v>
      </c>
      <c r="AH118" s="287">
        <f>+CFS!BF80</f>
        <v>515</v>
      </c>
      <c r="AI118" s="287">
        <f>+CFS!BG80</f>
        <v>1038</v>
      </c>
      <c r="AJ118" s="287">
        <f>+CFS!BH80</f>
        <v>779</v>
      </c>
      <c r="AK118" s="287">
        <f>+CFS!BI80</f>
        <v>905</v>
      </c>
      <c r="AL118" s="287">
        <f>+CFS!BJ80</f>
        <v>611</v>
      </c>
      <c r="AM118" s="287">
        <f>+CFS!BK80</f>
        <v>1006</v>
      </c>
      <c r="AN118" s="287">
        <f>+CFS!BL80</f>
        <v>703</v>
      </c>
      <c r="AO118" s="287">
        <f>+CFS!BM80</f>
        <v>761</v>
      </c>
      <c r="AP118" s="287">
        <f>+CFS!BN80</f>
        <v>601</v>
      </c>
      <c r="AQ118" s="287">
        <f>+CFS!BO80</f>
        <v>860</v>
      </c>
      <c r="AR118" s="287">
        <f>+CFS!BP80</f>
        <v>816</v>
      </c>
      <c r="AS118" s="287">
        <f>+CFS!BQ80</f>
        <v>774</v>
      </c>
      <c r="AT118" s="287">
        <f>+CFS!BR80</f>
        <v>503</v>
      </c>
      <c r="AU118" s="287">
        <f>+CFS!BS80</f>
        <v>849</v>
      </c>
      <c r="AV118" s="287">
        <f>+CFS!BT80</f>
        <v>562</v>
      </c>
      <c r="AW118" s="287">
        <f>+CFS!BU80</f>
        <v>747</v>
      </c>
      <c r="AX118" s="287">
        <f>+CFS!BV80</f>
        <v>591</v>
      </c>
    </row>
    <row r="119" spans="1:50">
      <c r="B119" s="1855"/>
      <c r="C119" s="1855"/>
      <c r="D119" s="1855"/>
      <c r="E119" s="1855"/>
      <c r="F119" s="1855"/>
      <c r="G119" s="1855"/>
      <c r="H119" s="1855"/>
      <c r="I119" s="1855"/>
      <c r="J119" s="1855"/>
      <c r="K119" s="1855"/>
      <c r="L119" s="1855"/>
      <c r="M119" s="1855"/>
      <c r="N119" s="1855"/>
      <c r="O119" s="1855"/>
      <c r="P119" s="1855"/>
      <c r="Q119" s="1855"/>
      <c r="R119" s="1855"/>
      <c r="S119" s="287"/>
      <c r="T119" s="287"/>
      <c r="U119" s="287"/>
      <c r="V119" s="287"/>
      <c r="W119" s="287"/>
      <c r="X119" s="287"/>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row>
    <row r="120" spans="1:50">
      <c r="A120" t="s">
        <v>755</v>
      </c>
      <c r="B120" s="1855"/>
      <c r="C120" s="1855"/>
      <c r="D120" s="1855"/>
      <c r="E120" s="1855"/>
      <c r="F120" s="1855"/>
      <c r="G120" s="1855"/>
      <c r="H120" s="1855"/>
      <c r="I120" s="1855"/>
      <c r="J120" s="1855"/>
      <c r="K120" s="1855"/>
      <c r="L120" s="1855"/>
      <c r="M120" s="1855"/>
      <c r="N120" s="1855"/>
      <c r="O120" s="1855"/>
      <c r="P120" s="1855"/>
      <c r="Q120" s="1855"/>
      <c r="R120" s="1855"/>
      <c r="S120" s="1853">
        <f>+S108/S118</f>
        <v>0.47719734681849785</v>
      </c>
      <c r="T120" s="1853">
        <f>+T108/T118</f>
        <v>0.56721434662460624</v>
      </c>
      <c r="U120" s="1853">
        <f>+U108/U118</f>
        <v>0.53099667635997516</v>
      </c>
      <c r="V120" s="1853">
        <f>+V108/V118</f>
        <v>0.40584644945499387</v>
      </c>
      <c r="W120" s="1853">
        <f>+W108/W118</f>
        <v>0.41085912787282441</v>
      </c>
      <c r="X120" s="1853">
        <f t="shared" ref="X120:AG120" si="50">+X108/X118</f>
        <v>0.50722038593856422</v>
      </c>
      <c r="Y120" s="1853">
        <f t="shared" si="50"/>
        <v>0.55251888917169889</v>
      </c>
      <c r="Z120" s="1853">
        <f t="shared" si="50"/>
        <v>0.63805476444366749</v>
      </c>
      <c r="AA120" s="1853">
        <f t="shared" si="50"/>
        <v>0.41979749617913259</v>
      </c>
      <c r="AB120" s="1853">
        <f t="shared" si="50"/>
        <v>0.46914373066510318</v>
      </c>
      <c r="AC120" s="1853">
        <f t="shared" si="50"/>
        <v>0.48028027055888645</v>
      </c>
      <c r="AD120" s="1853">
        <f t="shared" si="50"/>
        <v>0.48258685897174941</v>
      </c>
      <c r="AE120" s="1853">
        <f t="shared" ca="1" si="50"/>
        <v>0.43279945208209769</v>
      </c>
      <c r="AF120" s="1853">
        <f t="shared" si="50"/>
        <v>0.19934385906040269</v>
      </c>
      <c r="AG120" s="1853">
        <f t="shared" si="50"/>
        <v>0.55563206960845246</v>
      </c>
      <c r="AH120" s="1853">
        <f t="shared" ref="AH120:AP120" si="51">+AH108/AH118</f>
        <v>0.87071796116504852</v>
      </c>
      <c r="AI120" s="1853">
        <f t="shared" si="51"/>
        <v>0.43179267822736028</v>
      </c>
      <c r="AJ120" s="1853">
        <f t="shared" si="51"/>
        <v>0.57691665596919117</v>
      </c>
      <c r="AK120" s="1853">
        <f t="shared" si="51"/>
        <v>0.49760475138121552</v>
      </c>
      <c r="AL120" s="1853">
        <f t="shared" si="51"/>
        <v>0.73704140752864167</v>
      </c>
      <c r="AM120" s="1853">
        <f t="shared" si="51"/>
        <v>0.33249345924453283</v>
      </c>
      <c r="AN120" s="1853">
        <f t="shared" si="51"/>
        <v>0.46418645803698438</v>
      </c>
      <c r="AO120" s="1853">
        <f t="shared" si="51"/>
        <v>0.42191455978975034</v>
      </c>
      <c r="AP120" s="1853">
        <f t="shared" si="51"/>
        <v>0.52585667221297838</v>
      </c>
      <c r="AQ120" s="1853">
        <f t="shared" ref="AQ120:AX120" si="52">+AQ108/AQ118</f>
        <v>0.36075453488372095</v>
      </c>
      <c r="AR120" s="1853">
        <f t="shared" si="52"/>
        <v>0.37582610294117647</v>
      </c>
      <c r="AS120" s="1853">
        <f t="shared" si="52"/>
        <v>0.39621976744186049</v>
      </c>
      <c r="AT120" s="1853">
        <f t="shared" si="52"/>
        <v>0.60691168986083499</v>
      </c>
      <c r="AU120" s="1853">
        <f t="shared" si="52"/>
        <v>0.35743611307420503</v>
      </c>
      <c r="AV120" s="1853">
        <f t="shared" si="52"/>
        <v>0.5367715302491104</v>
      </c>
      <c r="AW120" s="1853">
        <f t="shared" si="52"/>
        <v>0.40113036144578323</v>
      </c>
      <c r="AX120" s="1853">
        <f t="shared" si="52"/>
        <v>0.49486751269035534</v>
      </c>
    </row>
    <row r="121" spans="1:50">
      <c r="B121" s="1855"/>
      <c r="C121" s="1855"/>
      <c r="D121" s="1855"/>
      <c r="E121" s="1855"/>
      <c r="F121" s="1855"/>
      <c r="G121" s="1855"/>
      <c r="H121" s="1855"/>
      <c r="I121" s="1855"/>
      <c r="J121" s="1855"/>
      <c r="K121" s="1855"/>
      <c r="L121" s="1855"/>
      <c r="M121" s="1855"/>
      <c r="N121" s="1855"/>
      <c r="O121" s="1855"/>
      <c r="P121" s="1855"/>
      <c r="Q121" s="1855"/>
      <c r="R121" s="1855"/>
      <c r="S121" s="1855"/>
      <c r="T121" s="1855"/>
      <c r="U121" s="1855"/>
      <c r="V121" s="1855"/>
      <c r="W121" s="1855"/>
      <c r="X121" s="1855"/>
      <c r="Y121" s="1855"/>
      <c r="Z121" s="1855"/>
      <c r="AA121" s="1855"/>
      <c r="AB121" s="1855"/>
      <c r="AC121" s="1855"/>
      <c r="AD121" s="1855"/>
      <c r="AE121" s="1855"/>
      <c r="AF121" s="1855"/>
      <c r="AG121" s="1855"/>
      <c r="AH121" s="1864"/>
      <c r="AI121" s="1864"/>
      <c r="AJ121" s="1864"/>
      <c r="AK121" s="1864"/>
      <c r="AL121" s="1864"/>
      <c r="AM121" s="1864"/>
      <c r="AN121" s="1864"/>
      <c r="AO121" s="1864"/>
      <c r="AP121" s="1864"/>
      <c r="AQ121" s="1864"/>
      <c r="AR121" s="1864"/>
      <c r="AS121" s="1864"/>
      <c r="AT121" s="1864"/>
      <c r="AU121" s="1864"/>
      <c r="AV121" s="1864"/>
      <c r="AW121" s="1864"/>
      <c r="AX121" s="1864"/>
    </row>
    <row r="122" spans="1:50">
      <c r="B122" s="1855"/>
      <c r="C122" s="1855"/>
      <c r="D122" s="1855"/>
      <c r="E122" s="1855"/>
      <c r="F122" s="1855"/>
      <c r="G122" s="1855"/>
      <c r="H122" s="1855"/>
      <c r="I122" s="1855"/>
      <c r="J122" s="1855"/>
      <c r="K122" s="1855"/>
      <c r="L122" s="1855"/>
      <c r="M122" s="1855"/>
      <c r="N122" s="1855"/>
      <c r="O122" s="1855"/>
      <c r="P122" s="1855"/>
      <c r="Q122" s="1855"/>
      <c r="R122" s="1855"/>
      <c r="S122" s="1855"/>
      <c r="T122" s="1855"/>
      <c r="U122" s="1855"/>
      <c r="V122" s="1855"/>
      <c r="W122" s="1855"/>
      <c r="X122" s="1855"/>
      <c r="Y122" s="1855"/>
      <c r="Z122" s="1855"/>
      <c r="AA122" s="1855"/>
      <c r="AB122" s="1855"/>
      <c r="AC122" s="1855"/>
      <c r="AD122" s="1855"/>
      <c r="AE122" s="1855"/>
      <c r="AF122" s="1855"/>
      <c r="AG122" s="1855"/>
      <c r="AH122" s="1855"/>
      <c r="AI122" s="1855"/>
      <c r="AJ122" s="1855"/>
      <c r="AK122" s="1855"/>
      <c r="AL122" s="1855"/>
      <c r="AM122" s="1855"/>
      <c r="AN122" s="1855"/>
      <c r="AO122" s="1855"/>
      <c r="AP122" s="1855"/>
      <c r="AQ122" s="1855"/>
      <c r="AR122" s="1855"/>
      <c r="AS122" s="1855"/>
      <c r="AT122" s="1855"/>
      <c r="AU122" s="1855"/>
      <c r="AV122" s="1855"/>
      <c r="AW122" s="1855"/>
      <c r="AX122" s="1855"/>
    </row>
    <row r="123" spans="1:50">
      <c r="A123" t="s">
        <v>757</v>
      </c>
      <c r="B123" s="1855"/>
      <c r="C123" s="1855"/>
      <c r="D123" s="1855"/>
      <c r="E123" s="1855"/>
      <c r="F123" s="1855"/>
      <c r="G123" s="1855"/>
      <c r="H123" s="1855"/>
      <c r="I123" s="1855"/>
      <c r="J123" s="1855"/>
      <c r="K123" s="1855"/>
      <c r="L123" s="1855"/>
      <c r="M123" s="1855"/>
      <c r="N123" s="1855"/>
      <c r="O123" s="1855"/>
      <c r="P123" s="1855"/>
      <c r="Q123" s="1855"/>
      <c r="R123" s="1855"/>
      <c r="S123" s="1855"/>
      <c r="T123" s="1855"/>
      <c r="U123" s="1855">
        <f>+IS!AW115</f>
        <v>0.59269886582300191</v>
      </c>
      <c r="V123" s="1855">
        <f>+IS!AX115</f>
        <v>0.59286392578731117</v>
      </c>
      <c r="W123" s="1855">
        <f>+IS!AY115</f>
        <v>0.7</v>
      </c>
      <c r="X123" s="1855">
        <f>+IS!AZ115</f>
        <v>0.7</v>
      </c>
      <c r="Y123" s="1855">
        <f>+IS!BA115</f>
        <v>0.7</v>
      </c>
      <c r="Z123" s="1855">
        <f>+IS!BB115</f>
        <v>0.7</v>
      </c>
      <c r="AA123" s="1855">
        <f>+IS!BC115</f>
        <v>0.72499999999999998</v>
      </c>
      <c r="AB123" s="1855">
        <f>+IS!BD115</f>
        <v>0.72499999999999998</v>
      </c>
      <c r="AC123" s="1855">
        <f>+IS!BE115</f>
        <v>0.72499999999999998</v>
      </c>
      <c r="AD123" s="1855">
        <f>+IS!BF115</f>
        <v>0.72499999999999998</v>
      </c>
      <c r="AE123" s="1855">
        <f>+IS!BG115</f>
        <v>0.72499999999999998</v>
      </c>
      <c r="AF123" s="1855">
        <f>+IS!BH115</f>
        <v>0.72499999999999998</v>
      </c>
      <c r="AG123" s="1855">
        <f>+IS!BI115</f>
        <v>0.72499999999999998</v>
      </c>
      <c r="AH123" s="1855">
        <f>+IS!BJ115</f>
        <v>0.72499999999999998</v>
      </c>
      <c r="AI123" s="1855">
        <f>+IS!BK115</f>
        <v>0.72499999999999998</v>
      </c>
      <c r="AJ123" s="1855">
        <f>+IS!BL115</f>
        <v>0.72499999999999998</v>
      </c>
      <c r="AK123" s="1855">
        <f>+IS!BM115</f>
        <v>0.72499999999999998</v>
      </c>
      <c r="AL123" s="1855">
        <f>+IS!BN115</f>
        <v>0.72499999999999998</v>
      </c>
      <c r="AM123" s="1855">
        <f>+IS!BO115</f>
        <v>0.54</v>
      </c>
      <c r="AN123" s="1855">
        <f>+IS!BP115</f>
        <v>0.54</v>
      </c>
      <c r="AO123" s="1855">
        <f>+IS!BQ115</f>
        <v>0.54</v>
      </c>
      <c r="AP123" s="1855">
        <f>+IS!BR115</f>
        <v>0.54</v>
      </c>
      <c r="AQ123" s="1855">
        <f>+IS!BS115</f>
        <v>0.54</v>
      </c>
      <c r="AR123" s="1855">
        <f>+IS!BT115</f>
        <v>0.54</v>
      </c>
      <c r="AS123" s="1855">
        <f>+IS!BU115</f>
        <v>0.54</v>
      </c>
      <c r="AT123" s="1855">
        <f>+IS!BV115</f>
        <v>0.54</v>
      </c>
      <c r="AU123" s="1855">
        <f>+IS!BW115</f>
        <v>0.54</v>
      </c>
      <c r="AV123" s="1855">
        <f>+IS!BX115</f>
        <v>0.54</v>
      </c>
      <c r="AW123" s="1855">
        <f>+IS!BY115</f>
        <v>0.54</v>
      </c>
      <c r="AX123" s="1855">
        <f>+IS!BZ115</f>
        <v>0.54</v>
      </c>
    </row>
    <row r="124" spans="1:50">
      <c r="A124" t="s">
        <v>758</v>
      </c>
      <c r="B124" s="1855"/>
      <c r="C124" s="1855"/>
      <c r="D124" s="1855"/>
      <c r="E124" s="1855"/>
      <c r="F124" s="1855"/>
      <c r="G124" s="1855"/>
      <c r="H124" s="1855"/>
      <c r="I124" s="1855"/>
      <c r="J124" s="1855"/>
      <c r="K124" s="1855"/>
      <c r="L124" s="1855"/>
      <c r="M124" s="1855"/>
      <c r="N124" s="1855"/>
      <c r="O124" s="1855"/>
      <c r="P124" s="1855"/>
      <c r="Q124" s="1855"/>
      <c r="R124" s="1855"/>
      <c r="S124" s="1855"/>
      <c r="T124" s="1851">
        <f>+IS!AV109</f>
        <v>598.76151040000002</v>
      </c>
      <c r="U124" s="1851">
        <f>+IS!AW109</f>
        <v>583.16716800000006</v>
      </c>
      <c r="V124" s="1851">
        <f>+IS!AX109</f>
        <v>577.39145600000006</v>
      </c>
      <c r="W124" s="1851">
        <f>+IS!AY109</f>
        <v>579.71518079999998</v>
      </c>
      <c r="X124" s="1851">
        <f>+IS!AZ109</f>
        <v>583.93027799999993</v>
      </c>
      <c r="Y124" s="1851">
        <f>+IS!BA109</f>
        <v>584.52813279999998</v>
      </c>
      <c r="Z124" s="1851">
        <f>+IS!BB109</f>
        <v>585.5996864</v>
      </c>
      <c r="AA124" s="1851">
        <f>+IS!BC109</f>
        <v>602.9</v>
      </c>
      <c r="AB124" s="1851">
        <f>+IS!BD109</f>
        <v>607.31676960000004</v>
      </c>
      <c r="AC124" s="1851">
        <f>+IS!BE109</f>
        <v>602.42019520000008</v>
      </c>
      <c r="AD124" s="1851">
        <f>+IS!BF109</f>
        <v>605.9</v>
      </c>
      <c r="AE124" s="1851">
        <f>+IS!BG109</f>
        <v>614.1</v>
      </c>
      <c r="AF124" s="1851">
        <f>+IS!BH109</f>
        <v>614.529</v>
      </c>
      <c r="AG124" s="1851">
        <f>+IS!BI109</f>
        <v>616.55999999999995</v>
      </c>
      <c r="AH124" s="1851">
        <f>+IS!BJ109</f>
        <v>618.51</v>
      </c>
      <c r="AI124" s="1851">
        <f>+IS!BK109</f>
        <v>620.35</v>
      </c>
      <c r="AJ124" s="1851">
        <f>+IS!BL109</f>
        <v>621.83900000000006</v>
      </c>
      <c r="AK124" s="1851">
        <f>+IS!BM109</f>
        <v>623.29600000000005</v>
      </c>
      <c r="AL124" s="1851">
        <f>+IS!BN109</f>
        <v>623.654</v>
      </c>
      <c r="AM124" s="1851">
        <f>+IS!BO109</f>
        <v>621.07399999999996</v>
      </c>
      <c r="AN124" s="1851">
        <f>+IS!BP109</f>
        <v>605.60199999999998</v>
      </c>
      <c r="AO124" s="1851">
        <f>+IS!BQ109</f>
        <v>594.58699999999999</v>
      </c>
      <c r="AP124" s="1851">
        <f>+IS!BR109</f>
        <v>586.38199999999995</v>
      </c>
      <c r="AQ124" s="1851">
        <f>+IS!BS109</f>
        <v>575.45600000000002</v>
      </c>
      <c r="AR124" s="1851">
        <f>+IS!BT109</f>
        <v>569.03200000000004</v>
      </c>
      <c r="AS124" s="1851">
        <f>+IS!BU109</f>
        <v>565.96500000000003</v>
      </c>
      <c r="AT124" s="1851">
        <f>+IS!BV109</f>
        <v>567.03499999999997</v>
      </c>
      <c r="AU124" s="1851">
        <f>+IS!BW109</f>
        <v>563.505</v>
      </c>
      <c r="AV124" s="1851">
        <f>+IS!BX109</f>
        <v>559.22</v>
      </c>
      <c r="AW124" s="1851">
        <f>+IS!BY109</f>
        <v>555.15599999999995</v>
      </c>
      <c r="AX124" s="1851">
        <f>+IS!BZ109</f>
        <v>542.49300000000005</v>
      </c>
    </row>
  </sheetData>
  <phoneticPr fontId="7" type="noConversion"/>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enableFormatConditionsCalculation="0">
    <tabColor indexed="56"/>
  </sheetPr>
  <dimension ref="A1:CO197"/>
  <sheetViews>
    <sheetView showGridLines="0" zoomScale="85" zoomScaleNormal="85" workbookViewId="0">
      <pane xSplit="9" ySplit="7" topLeftCell="J34" activePane="bottomRight" state="frozen"/>
      <selection activeCell="CH5" sqref="CH5"/>
      <selection pane="topRight" activeCell="CH5" sqref="CH5"/>
      <selection pane="bottomLeft" activeCell="CH5" sqref="CH5"/>
      <selection pane="bottomRight" activeCell="J47" sqref="J47"/>
    </sheetView>
  </sheetViews>
  <sheetFormatPr defaultColWidth="8" defaultRowHeight="12.75" outlineLevelRow="1" outlineLevelCol="1"/>
  <cols>
    <col min="1" max="1" width="36.5703125" customWidth="1"/>
    <col min="2" max="8" width="1.5703125" customWidth="1" outlineLevel="1"/>
    <col min="9" max="9" width="8.7109375" customWidth="1" outlineLevel="1"/>
    <col min="10" max="10" width="9.42578125" customWidth="1" outlineLevel="1" collapsed="1"/>
    <col min="11" max="14" width="9.42578125" customWidth="1" outlineLevel="1"/>
    <col min="15" max="15" width="8" customWidth="1" outlineLevel="1"/>
    <col min="16" max="16" width="8.42578125" customWidth="1" outlineLevel="1"/>
    <col min="17" max="17" width="8.28515625" customWidth="1"/>
    <col min="18" max="18" width="8.140625" bestFit="1" customWidth="1"/>
    <col min="19" max="19" width="8.42578125" customWidth="1"/>
    <col min="20" max="20" width="8" customWidth="1"/>
    <col min="21" max="21" width="8.140625" customWidth="1"/>
    <col min="22" max="23" width="4.85546875" bestFit="1" customWidth="1"/>
    <col min="24" max="24" width="2.7109375" customWidth="1"/>
    <col min="25" max="26" width="1.5703125" customWidth="1"/>
    <col min="27" max="53" width="1.5703125" customWidth="1" outlineLevel="1"/>
    <col min="54" max="57" width="9.7109375" customWidth="1" outlineLevel="1"/>
    <col min="58" max="58" width="9.42578125" customWidth="1" outlineLevel="1" collapsed="1"/>
    <col min="59" max="61" width="9.42578125" customWidth="1" outlineLevel="1"/>
    <col min="62" max="62" width="9.42578125" customWidth="1" outlineLevel="1" collapsed="1"/>
    <col min="63" max="73" width="9.42578125" customWidth="1" outlineLevel="1"/>
    <col min="74" max="77" width="7.7109375" customWidth="1" outlineLevel="1"/>
    <col min="78" max="79" width="8.42578125" customWidth="1" outlineLevel="1"/>
    <col min="80" max="81" width="8.140625" customWidth="1" outlineLevel="1"/>
    <col min="82" max="86" width="8.140625" customWidth="1"/>
    <col min="87" max="87" width="8.42578125" customWidth="1"/>
    <col min="88" max="89" width="8.140625" customWidth="1"/>
    <col min="90" max="90" width="8" customWidth="1"/>
    <col min="91" max="91" width="8" customWidth="1" collapsed="1"/>
    <col min="92" max="93" width="8" customWidth="1"/>
    <col min="94" max="97" width="7.42578125" bestFit="1" customWidth="1"/>
  </cols>
  <sheetData>
    <row r="1" spans="1:93" ht="15.75" customHeight="1">
      <c r="A1" s="942" t="s">
        <v>590</v>
      </c>
      <c r="B1" s="1169"/>
      <c r="C1" s="1169"/>
      <c r="D1" s="1170"/>
      <c r="E1" s="1170"/>
      <c r="F1" s="1170"/>
      <c r="G1" s="1170"/>
      <c r="H1" s="1170"/>
      <c r="I1" s="1170"/>
      <c r="J1" s="1170"/>
      <c r="K1" s="1170"/>
      <c r="L1" s="1170"/>
      <c r="M1" s="1170"/>
      <c r="N1" s="1171"/>
      <c r="O1" s="1172"/>
      <c r="P1" s="1172"/>
      <c r="Q1" s="1173"/>
      <c r="R1" s="1174"/>
      <c r="S1" s="1175"/>
      <c r="T1" s="1175"/>
      <c r="U1" s="1175"/>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c r="CL1" s="1173"/>
      <c r="CM1" s="1173"/>
      <c r="CN1" s="1173"/>
      <c r="CO1" s="1173"/>
    </row>
    <row r="2" spans="1:93" ht="15.75" customHeight="1">
      <c r="A2" s="942" t="s">
        <v>986</v>
      </c>
      <c r="B2" s="1170"/>
      <c r="C2" s="1170"/>
      <c r="D2" s="1170"/>
      <c r="E2" s="1170"/>
      <c r="F2" s="1170"/>
      <c r="G2" s="1170"/>
      <c r="H2" s="1170"/>
      <c r="I2" s="1170"/>
      <c r="J2" s="1179"/>
      <c r="K2" s="1179"/>
      <c r="L2" s="1179"/>
      <c r="M2" s="1179"/>
      <c r="N2" s="1179"/>
      <c r="O2" s="1179"/>
      <c r="P2" s="1180"/>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c r="CL2" s="1173"/>
      <c r="CM2" s="1173"/>
      <c r="CN2" s="1173"/>
      <c r="CO2" s="1173"/>
    </row>
    <row r="3" spans="1:93" ht="15.75" customHeight="1">
      <c r="A3" s="950" t="s">
        <v>32</v>
      </c>
      <c r="B3" s="1170"/>
      <c r="C3" s="1170"/>
      <c r="D3" s="1170"/>
      <c r="E3" s="1170"/>
      <c r="F3" s="1170"/>
      <c r="G3" s="1170"/>
      <c r="H3" s="1170"/>
      <c r="I3" s="1170"/>
      <c r="J3" s="1170"/>
      <c r="K3" s="1170"/>
      <c r="L3" s="1171"/>
      <c r="M3" s="1171"/>
      <c r="N3" s="1171"/>
      <c r="O3" s="1181"/>
      <c r="P3" s="1180"/>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c r="CL3" s="1180"/>
      <c r="CM3" s="1180"/>
      <c r="CN3" s="1180"/>
      <c r="CO3" s="1180"/>
    </row>
    <row r="4" spans="1:93" ht="24" customHeight="1">
      <c r="A4" s="942"/>
      <c r="B4" s="1170"/>
      <c r="C4" s="1170"/>
      <c r="D4" s="1170"/>
      <c r="E4" s="1170"/>
      <c r="F4" s="1170"/>
      <c r="G4" s="1170"/>
      <c r="H4" s="1170"/>
      <c r="I4" s="1170"/>
      <c r="J4" s="1170"/>
      <c r="K4" s="1170"/>
      <c r="L4" s="1171"/>
      <c r="M4" s="1171"/>
      <c r="N4" s="1171"/>
      <c r="O4" s="1182"/>
      <c r="P4" s="1180"/>
      <c r="Q4" s="1180"/>
      <c r="R4" s="1400"/>
      <c r="S4" s="1400"/>
      <c r="T4" s="1400"/>
      <c r="U4" s="1400"/>
      <c r="V4" s="1400"/>
      <c r="W4" s="1400"/>
      <c r="X4" s="1400"/>
      <c r="Y4" s="1400"/>
      <c r="Z4" s="1400"/>
      <c r="AA4" s="1400"/>
      <c r="AB4" s="1400"/>
      <c r="AC4" s="1400"/>
      <c r="AD4" s="1400"/>
      <c r="AE4" s="1400"/>
      <c r="AF4" s="1400"/>
      <c r="AG4" s="1400"/>
      <c r="AH4" s="1400"/>
      <c r="AI4" s="1400"/>
      <c r="AJ4" s="1400"/>
      <c r="AK4" s="1400"/>
      <c r="AL4" s="1400"/>
      <c r="AM4" s="1400"/>
      <c r="AN4" s="1400"/>
      <c r="AO4" s="1400"/>
      <c r="AP4" s="1400"/>
      <c r="AQ4" s="1400"/>
      <c r="AR4" s="1400"/>
      <c r="AS4" s="1400"/>
      <c r="AT4" s="1400"/>
      <c r="AU4" s="1400"/>
      <c r="AV4" s="1400"/>
      <c r="AW4" s="1400"/>
      <c r="AX4" s="1400"/>
      <c r="AY4" s="1400"/>
      <c r="AZ4" s="1400"/>
      <c r="BA4" s="1400"/>
      <c r="BB4" s="1400"/>
      <c r="BC4" s="1400"/>
      <c r="BD4" s="1400"/>
      <c r="BE4" s="1400"/>
      <c r="BF4" s="1400"/>
      <c r="BG4" s="1400"/>
      <c r="BH4" s="1400"/>
      <c r="BI4" s="1400"/>
      <c r="BJ4" s="1400"/>
      <c r="BK4" s="1400"/>
      <c r="BL4" s="1400"/>
      <c r="BM4" s="1400"/>
      <c r="BN4" s="1400"/>
      <c r="BO4" s="1400"/>
      <c r="BP4" s="1400"/>
      <c r="BQ4" s="1400"/>
      <c r="BR4" s="1400"/>
      <c r="BS4" s="1400"/>
      <c r="BT4" s="1400"/>
      <c r="BU4" s="1400"/>
      <c r="BV4" s="1400"/>
      <c r="BW4" s="1400"/>
      <c r="BX4" s="1400"/>
      <c r="BY4" s="1400"/>
      <c r="BZ4" s="1400"/>
      <c r="CA4" s="1400"/>
      <c r="CB4" s="1400"/>
      <c r="CC4" s="1400"/>
      <c r="CD4" s="1400"/>
      <c r="CE4" s="1400"/>
      <c r="CF4" s="1400"/>
      <c r="CG4" s="1400"/>
      <c r="CH4" s="1400"/>
      <c r="CI4" s="1400"/>
      <c r="CJ4" s="1400"/>
      <c r="CK4" s="1400"/>
      <c r="CL4" s="1400"/>
      <c r="CM4" s="1400"/>
      <c r="CN4" s="1400"/>
      <c r="CO4" s="1400"/>
    </row>
    <row r="5" spans="1:93">
      <c r="A5" s="1183"/>
      <c r="B5" s="1184"/>
      <c r="C5" s="1184"/>
      <c r="D5" s="1185"/>
      <c r="E5" s="1185"/>
      <c r="F5" s="1185"/>
      <c r="G5" s="1185"/>
      <c r="H5" s="1185">
        <v>2000</v>
      </c>
      <c r="I5" s="1185">
        <v>2001</v>
      </c>
      <c r="J5" s="1185">
        <v>2002</v>
      </c>
      <c r="K5" s="1185">
        <v>2003</v>
      </c>
      <c r="L5" s="1185">
        <v>2004</v>
      </c>
      <c r="M5" s="1185">
        <v>2005</v>
      </c>
      <c r="N5" s="1185">
        <v>2006</v>
      </c>
      <c r="O5" s="1185">
        <v>2007</v>
      </c>
      <c r="P5" s="1185">
        <v>2008</v>
      </c>
      <c r="Q5" s="1185">
        <v>2009</v>
      </c>
      <c r="R5" s="1186">
        <v>2010</v>
      </c>
      <c r="S5" s="1187">
        <v>2011</v>
      </c>
      <c r="T5" s="1400"/>
      <c r="U5" s="1400"/>
      <c r="V5" s="1400"/>
      <c r="W5" s="1400"/>
      <c r="X5" s="1188"/>
      <c r="Y5" s="1188"/>
      <c r="Z5" s="1188"/>
      <c r="AA5" s="1184"/>
      <c r="AB5" s="1184"/>
      <c r="AC5" s="1184"/>
      <c r="AD5" s="1184"/>
      <c r="AE5" s="1184"/>
      <c r="AF5" s="1184"/>
      <c r="AG5" s="1184"/>
      <c r="AH5" s="1184"/>
      <c r="AI5" s="1185"/>
      <c r="AJ5" s="1185"/>
      <c r="AK5" s="1185"/>
      <c r="AL5" s="1185"/>
      <c r="AM5" s="1185"/>
      <c r="AN5" s="1185"/>
      <c r="AO5" s="1185"/>
      <c r="AP5" s="1185"/>
      <c r="AQ5" s="1185"/>
      <c r="AR5" s="1185"/>
      <c r="AS5" s="1185"/>
      <c r="AT5" s="1185"/>
      <c r="AU5" s="1185"/>
      <c r="AV5" s="1185"/>
      <c r="AW5" s="1185"/>
      <c r="AX5" s="1185"/>
      <c r="AY5" s="1185"/>
      <c r="AZ5" s="1185"/>
      <c r="BA5" s="1185"/>
      <c r="BB5" s="1185" t="s">
        <v>138</v>
      </c>
      <c r="BC5" s="1185" t="s">
        <v>139</v>
      </c>
      <c r="BD5" s="1185" t="s">
        <v>140</v>
      </c>
      <c r="BE5" s="1185" t="s">
        <v>145</v>
      </c>
      <c r="BF5" s="1185" t="s">
        <v>146</v>
      </c>
      <c r="BG5" s="1185" t="s">
        <v>147</v>
      </c>
      <c r="BH5" s="1185" t="s">
        <v>148</v>
      </c>
      <c r="BI5" s="1185" t="s">
        <v>767</v>
      </c>
      <c r="BJ5" s="1185" t="s">
        <v>768</v>
      </c>
      <c r="BK5" s="1185" t="s">
        <v>769</v>
      </c>
      <c r="BL5" s="1185" t="s">
        <v>770</v>
      </c>
      <c r="BM5" s="1185" t="s">
        <v>771</v>
      </c>
      <c r="BN5" s="1185" t="s">
        <v>800</v>
      </c>
      <c r="BO5" s="1185" t="s">
        <v>801</v>
      </c>
      <c r="BP5" s="1185" t="s">
        <v>802</v>
      </c>
      <c r="BQ5" s="1185" t="s">
        <v>803</v>
      </c>
      <c r="BR5" s="1185" t="s">
        <v>804</v>
      </c>
      <c r="BS5" s="1185" t="s">
        <v>805</v>
      </c>
      <c r="BT5" s="1185" t="s">
        <v>806</v>
      </c>
      <c r="BU5" s="1185" t="s">
        <v>807</v>
      </c>
      <c r="BV5" s="1185" t="s">
        <v>808</v>
      </c>
      <c r="BW5" s="1185" t="s">
        <v>809</v>
      </c>
      <c r="BX5" s="1185" t="s">
        <v>810</v>
      </c>
      <c r="BY5" s="1185" t="s">
        <v>811</v>
      </c>
      <c r="BZ5" s="1189" t="s">
        <v>812</v>
      </c>
      <c r="CA5" s="1185" t="s">
        <v>813</v>
      </c>
      <c r="CB5" s="1185" t="s">
        <v>814</v>
      </c>
      <c r="CC5" s="1185" t="s">
        <v>430</v>
      </c>
      <c r="CD5" s="1185" t="s">
        <v>431</v>
      </c>
      <c r="CE5" s="1185" t="s">
        <v>486</v>
      </c>
      <c r="CF5" s="1185" t="s">
        <v>493</v>
      </c>
      <c r="CG5" s="1185" t="s">
        <v>513</v>
      </c>
      <c r="CH5" s="1189" t="s">
        <v>559</v>
      </c>
      <c r="CI5" s="1185" t="s">
        <v>730</v>
      </c>
      <c r="CJ5" s="1185" t="s">
        <v>367</v>
      </c>
      <c r="CK5" s="1185" t="s">
        <v>582</v>
      </c>
      <c r="CL5" s="1189" t="s">
        <v>257</v>
      </c>
      <c r="CM5" s="1400"/>
      <c r="CN5" s="1400"/>
      <c r="CO5" s="1400"/>
    </row>
    <row r="6" spans="1:93" ht="15.75" customHeight="1" outlineLevel="1">
      <c r="A6" s="1191" t="s">
        <v>33</v>
      </c>
      <c r="B6" s="1192"/>
      <c r="C6" s="1192"/>
      <c r="D6" s="1193"/>
      <c r="E6" s="1194"/>
      <c r="F6" s="1194"/>
      <c r="G6" s="1194"/>
      <c r="H6" s="1194"/>
      <c r="I6" s="1194"/>
      <c r="J6" s="1194">
        <f t="shared" ref="J6:S6" si="0">J84</f>
        <v>-0.61</v>
      </c>
      <c r="K6" s="1194">
        <f t="shared" si="0"/>
        <v>-0.47</v>
      </c>
      <c r="L6" s="1194">
        <f t="shared" si="0"/>
        <v>-0.54</v>
      </c>
      <c r="M6" s="1194">
        <f t="shared" si="0"/>
        <v>-0.24</v>
      </c>
      <c r="N6" s="1194">
        <f>N84</f>
        <v>0.27</v>
      </c>
      <c r="O6" s="1194">
        <f t="shared" si="0"/>
        <v>0.53</v>
      </c>
      <c r="P6" s="1195">
        <f t="shared" si="0"/>
        <v>0.40816275123599982</v>
      </c>
      <c r="Q6" s="1195">
        <f t="shared" ca="1" si="0"/>
        <v>0.38468923639072683</v>
      </c>
      <c r="R6" s="1196">
        <f t="shared" ca="1" si="0"/>
        <v>0.43299616319624257</v>
      </c>
      <c r="S6" s="1194">
        <f t="shared" ca="1" si="0"/>
        <v>0.12801266161598529</v>
      </c>
      <c r="T6" s="1400"/>
      <c r="U6" s="1400"/>
      <c r="V6" s="1400"/>
      <c r="W6" s="1400"/>
      <c r="X6" s="1188"/>
      <c r="Y6" s="1188"/>
      <c r="Z6" s="1188"/>
      <c r="AA6" s="1192"/>
      <c r="AB6" s="1192"/>
      <c r="AC6" s="1192"/>
      <c r="AD6" s="1192"/>
      <c r="AE6" s="1192"/>
      <c r="AF6" s="1192"/>
      <c r="AG6" s="1192"/>
      <c r="AH6" s="1192"/>
      <c r="AI6" s="1194"/>
      <c r="AJ6" s="1194"/>
      <c r="AK6" s="1194"/>
      <c r="AL6" s="1194"/>
      <c r="AM6" s="1194"/>
      <c r="AN6" s="1194"/>
      <c r="AO6" s="1194"/>
      <c r="AP6" s="1194"/>
      <c r="AQ6" s="1194"/>
      <c r="AR6" s="1194"/>
      <c r="AS6" s="1194"/>
      <c r="AT6" s="1194"/>
      <c r="AU6" s="1194"/>
      <c r="AV6" s="1194"/>
      <c r="AW6" s="1194"/>
      <c r="AX6" s="1194"/>
      <c r="AY6" s="1194"/>
      <c r="AZ6" s="1194"/>
      <c r="BA6" s="1194"/>
      <c r="BB6" s="1194">
        <f t="shared" ref="BB6:CC6" si="1">BB84</f>
        <v>-0.32</v>
      </c>
      <c r="BC6" s="1194">
        <f t="shared" si="1"/>
        <v>-0.34</v>
      </c>
      <c r="BD6" s="1194">
        <f t="shared" si="1"/>
        <v>-7.0000000000000007E-2</v>
      </c>
      <c r="BE6" s="1194">
        <f t="shared" si="1"/>
        <v>0.02</v>
      </c>
      <c r="BF6" s="1194">
        <f t="shared" si="1"/>
        <v>-0.06</v>
      </c>
      <c r="BG6" s="1194">
        <f t="shared" si="1"/>
        <v>-0.09</v>
      </c>
      <c r="BH6" s="1194">
        <f t="shared" si="1"/>
        <v>-0.13</v>
      </c>
      <c r="BI6" s="1194">
        <f t="shared" si="1"/>
        <v>-0.19</v>
      </c>
      <c r="BJ6" s="1194">
        <f t="shared" si="1"/>
        <v>-0.17</v>
      </c>
      <c r="BK6" s="1194">
        <f t="shared" si="1"/>
        <v>-0.16</v>
      </c>
      <c r="BL6" s="1194">
        <f t="shared" si="1"/>
        <v>-0.15</v>
      </c>
      <c r="BM6" s="1194">
        <f t="shared" si="1"/>
        <v>-0.06</v>
      </c>
      <c r="BN6" s="1197">
        <f t="shared" si="1"/>
        <v>-0.1</v>
      </c>
      <c r="BO6" s="1194">
        <f t="shared" si="1"/>
        <v>-7.0000000000000007E-2</v>
      </c>
      <c r="BP6" s="1194">
        <f t="shared" si="1"/>
        <v>-0.06</v>
      </c>
      <c r="BQ6" s="1196">
        <f t="shared" si="1"/>
        <v>0</v>
      </c>
      <c r="BR6" s="1194">
        <f t="shared" si="1"/>
        <v>0.06</v>
      </c>
      <c r="BS6" s="1194">
        <f t="shared" si="1"/>
        <v>0.06</v>
      </c>
      <c r="BT6" s="1194">
        <f t="shared" si="1"/>
        <v>7.0000000000000007E-2</v>
      </c>
      <c r="BU6" s="1195">
        <f t="shared" si="1"/>
        <v>0.08</v>
      </c>
      <c r="BV6" s="1197">
        <f t="shared" si="1"/>
        <v>0.14000000000000001</v>
      </c>
      <c r="BW6" s="1194">
        <f t="shared" si="1"/>
        <v>0.13</v>
      </c>
      <c r="BX6" s="1194">
        <f t="shared" si="1"/>
        <v>0.13</v>
      </c>
      <c r="BY6" s="1195">
        <f t="shared" si="1"/>
        <v>0.13</v>
      </c>
      <c r="BZ6" s="1197">
        <f t="shared" si="1"/>
        <v>0.10037786187269136</v>
      </c>
      <c r="CA6" s="1194">
        <f t="shared" si="1"/>
        <v>0.10430032533678403</v>
      </c>
      <c r="CB6" s="1194">
        <f t="shared" si="1"/>
        <v>9.6146159434454953E-2</v>
      </c>
      <c r="CC6" s="1194">
        <f t="shared" si="1"/>
        <v>0.11109906842633852</v>
      </c>
      <c r="CD6" s="1197">
        <f t="shared" ref="CD6:CK6" si="2">CD84</f>
        <v>0.12945110855144826</v>
      </c>
      <c r="CE6" s="1194">
        <f t="shared" si="2"/>
        <v>8.2889764739344202E-2</v>
      </c>
      <c r="CF6" s="1194">
        <f t="shared" si="2"/>
        <v>8.9142088814086876E-2</v>
      </c>
      <c r="CG6" s="1194">
        <f t="shared" si="2"/>
        <v>8.2299216936899872E-2</v>
      </c>
      <c r="CH6" s="1197">
        <f t="shared" si="2"/>
        <v>0.10494105743055815</v>
      </c>
      <c r="CI6" s="1194">
        <f t="shared" si="2"/>
        <v>0.1016185738315709</v>
      </c>
      <c r="CJ6" s="1194">
        <f t="shared" si="2"/>
        <v>0.10598991873835976</v>
      </c>
      <c r="CK6" s="1194">
        <f t="shared" si="2"/>
        <v>0.11504541584940808</v>
      </c>
      <c r="CL6" s="1197">
        <f>CL84</f>
        <v>0.1238927786841348</v>
      </c>
      <c r="CM6" s="1400"/>
      <c r="CN6" s="1400"/>
      <c r="CO6" s="1400"/>
    </row>
    <row r="7" spans="1:93" ht="15" customHeight="1" outlineLevel="1">
      <c r="A7" s="1200" t="s">
        <v>34</v>
      </c>
      <c r="B7" s="1178"/>
      <c r="C7" s="1178"/>
      <c r="D7" s="1201"/>
      <c r="E7" s="1195"/>
      <c r="F7" s="1195"/>
      <c r="G7" s="1195"/>
      <c r="H7" s="1195"/>
      <c r="I7" s="1195"/>
      <c r="J7" s="1195"/>
      <c r="K7" s="1202">
        <f t="shared" ref="K7:S7" si="3">K6/J6-1</f>
        <v>-0.22950819672131151</v>
      </c>
      <c r="L7" s="1202">
        <f t="shared" si="3"/>
        <v>0.14893617021276606</v>
      </c>
      <c r="M7" s="1202">
        <f t="shared" si="3"/>
        <v>-0.55555555555555558</v>
      </c>
      <c r="N7" s="1202">
        <f t="shared" si="3"/>
        <v>-2.125</v>
      </c>
      <c r="O7" s="1202">
        <f t="shared" si="3"/>
        <v>0.96296296296296302</v>
      </c>
      <c r="P7" s="1202">
        <f t="shared" si="3"/>
        <v>-0.22988160144150982</v>
      </c>
      <c r="Q7" s="1202">
        <f t="shared" ca="1" si="3"/>
        <v>-5.7510183803373582E-2</v>
      </c>
      <c r="R7" s="1203">
        <f t="shared" ca="1" si="3"/>
        <v>0.125573897670614</v>
      </c>
      <c r="S7" s="1202">
        <f t="shared" ca="1" si="3"/>
        <v>-0.70435612946074211</v>
      </c>
      <c r="T7" s="1400"/>
      <c r="U7" s="1400"/>
      <c r="V7" s="1400"/>
      <c r="W7" s="1400"/>
      <c r="X7" s="1188"/>
      <c r="Y7" s="1188"/>
      <c r="Z7" s="1188"/>
      <c r="AA7" s="1178"/>
      <c r="AB7" s="1178"/>
      <c r="AC7" s="1178"/>
      <c r="AD7" s="1178"/>
      <c r="AE7" s="1178"/>
      <c r="AF7" s="1178"/>
      <c r="AG7" s="1178"/>
      <c r="AH7" s="1178"/>
      <c r="AI7" s="1195"/>
      <c r="AJ7" s="1195"/>
      <c r="AK7" s="1195"/>
      <c r="AL7" s="1195"/>
      <c r="AM7" s="1195"/>
      <c r="AN7" s="1195"/>
      <c r="AO7" s="1195"/>
      <c r="AP7" s="1195"/>
      <c r="AQ7" s="1195"/>
      <c r="AR7" s="1195"/>
      <c r="AS7" s="1195"/>
      <c r="AT7" s="1195"/>
      <c r="AU7" s="1195"/>
      <c r="AV7" s="1195"/>
      <c r="AW7" s="1195"/>
      <c r="AX7" s="1195"/>
      <c r="AY7" s="1195"/>
      <c r="AZ7" s="1195"/>
      <c r="BA7" s="1195"/>
      <c r="BB7" s="1195"/>
      <c r="BC7" s="1195"/>
      <c r="BD7" s="1195"/>
      <c r="BE7" s="1195"/>
      <c r="BF7" s="1202">
        <f>+BF6/BB6-1</f>
        <v>-0.8125</v>
      </c>
      <c r="BG7" s="1202">
        <f>+BG6/BC6-1</f>
        <v>-0.73529411764705888</v>
      </c>
      <c r="BH7" s="1202">
        <f>+BH6/BD6-1</f>
        <v>0.85714285714285698</v>
      </c>
      <c r="BI7" s="1202">
        <f>+BI6/BE6-1</f>
        <v>-10.5</v>
      </c>
      <c r="BJ7" s="1202">
        <f t="shared" ref="BJ7:CC7" si="4">IF(ISERROR(BJ6/BF6-1),"NM",BJ6/BF6-1)</f>
        <v>1.8333333333333335</v>
      </c>
      <c r="BK7" s="1202">
        <f t="shared" si="4"/>
        <v>0.7777777777777779</v>
      </c>
      <c r="BL7" s="1202">
        <f t="shared" si="4"/>
        <v>0.15384615384615374</v>
      </c>
      <c r="BM7" s="1203">
        <f t="shared" si="4"/>
        <v>-0.68421052631578949</v>
      </c>
      <c r="BN7" s="1202">
        <f t="shared" si="4"/>
        <v>-0.41176470588235292</v>
      </c>
      <c r="BO7" s="1202">
        <f t="shared" si="4"/>
        <v>-0.5625</v>
      </c>
      <c r="BP7" s="1202">
        <f t="shared" si="4"/>
        <v>-0.6</v>
      </c>
      <c r="BQ7" s="1203">
        <f t="shared" si="4"/>
        <v>-1</v>
      </c>
      <c r="BR7" s="1202">
        <f t="shared" si="4"/>
        <v>-1.6</v>
      </c>
      <c r="BS7" s="1202">
        <f t="shared" si="4"/>
        <v>-1.857142857142857</v>
      </c>
      <c r="BT7" s="1202">
        <f t="shared" si="4"/>
        <v>-2.166666666666667</v>
      </c>
      <c r="BU7" s="1202" t="str">
        <f t="shared" si="4"/>
        <v>NM</v>
      </c>
      <c r="BV7" s="1204">
        <f t="shared" si="4"/>
        <v>1.3333333333333335</v>
      </c>
      <c r="BW7" s="1202">
        <f t="shared" si="4"/>
        <v>1.166666666666667</v>
      </c>
      <c r="BX7" s="1202">
        <f t="shared" si="4"/>
        <v>0.85714285714285698</v>
      </c>
      <c r="BY7" s="1202">
        <f t="shared" si="4"/>
        <v>0.625</v>
      </c>
      <c r="BZ7" s="1204">
        <f t="shared" si="4"/>
        <v>-0.2830152723379189</v>
      </c>
      <c r="CA7" s="1202">
        <f t="shared" si="4"/>
        <v>-0.19768980510166134</v>
      </c>
      <c r="CB7" s="1202">
        <f t="shared" si="4"/>
        <v>-0.26041415819650038</v>
      </c>
      <c r="CC7" s="1202">
        <f t="shared" si="4"/>
        <v>-0.14539178133585762</v>
      </c>
      <c r="CD7" s="1204">
        <f t="shared" ref="CD7:CK7" si="5">IF(ISERROR(CD6/BZ6-1),"NM",CD6/BZ6-1)</f>
        <v>0.28963803508417341</v>
      </c>
      <c r="CE7" s="1202">
        <f t="shared" si="5"/>
        <v>-0.20527798478389669</v>
      </c>
      <c r="CF7" s="1202">
        <f t="shared" si="5"/>
        <v>-7.2848158070660252E-2</v>
      </c>
      <c r="CG7" s="1202">
        <f t="shared" si="5"/>
        <v>-0.25922675948028917</v>
      </c>
      <c r="CH7" s="1204">
        <f t="shared" si="5"/>
        <v>-0.18933828682624976</v>
      </c>
      <c r="CI7" s="1202">
        <f t="shared" si="5"/>
        <v>0.22594839243568199</v>
      </c>
      <c r="CJ7" s="1202">
        <f t="shared" si="5"/>
        <v>0.18899972110155971</v>
      </c>
      <c r="CK7" s="1202">
        <f t="shared" si="5"/>
        <v>0.39789198647680024</v>
      </c>
      <c r="CL7" s="1204">
        <f>IF(ISERROR(CL6/CH6-1),"NM",CL6/CH6-1)</f>
        <v>0.1805939611969074</v>
      </c>
      <c r="CM7" s="1400"/>
      <c r="CN7" s="1400"/>
      <c r="CO7" s="1400"/>
    </row>
    <row r="8" spans="1:93" ht="12.75" customHeight="1">
      <c r="A8" s="1205"/>
      <c r="B8" s="1206"/>
      <c r="C8" s="1206"/>
      <c r="D8" s="1206"/>
      <c r="E8" s="1206"/>
      <c r="F8" s="1206"/>
      <c r="G8" s="1206"/>
      <c r="H8" s="1206"/>
      <c r="I8" s="1206"/>
      <c r="J8" s="1206"/>
      <c r="K8" s="1206"/>
      <c r="L8" s="1206"/>
      <c r="M8" s="1206"/>
      <c r="N8" s="1206"/>
      <c r="O8" s="1206"/>
      <c r="P8" s="1207"/>
      <c r="Q8" s="1207"/>
      <c r="R8" s="1208"/>
      <c r="S8" s="1206"/>
      <c r="T8" s="1400"/>
      <c r="U8" s="1400"/>
      <c r="V8" s="1400"/>
      <c r="W8" s="1400"/>
      <c r="X8" s="1188"/>
      <c r="Y8" s="1188"/>
      <c r="Z8" s="1188"/>
      <c r="AA8" s="1206"/>
      <c r="AB8" s="1206"/>
      <c r="AC8" s="1206"/>
      <c r="AD8" s="1206"/>
      <c r="AE8" s="1206"/>
      <c r="AF8" s="1206"/>
      <c r="AG8" s="1206"/>
      <c r="AH8" s="1206"/>
      <c r="AI8" s="1206"/>
      <c r="AJ8" s="1206"/>
      <c r="AK8" s="1206"/>
      <c r="AL8" s="1206"/>
      <c r="AM8" s="1206"/>
      <c r="AN8" s="1206"/>
      <c r="AO8" s="1206"/>
      <c r="AP8" s="1206"/>
      <c r="AQ8" s="1206"/>
      <c r="AR8" s="1206"/>
      <c r="AS8" s="1206"/>
      <c r="AT8" s="1206"/>
      <c r="AU8" s="1209"/>
      <c r="AV8" s="1209"/>
      <c r="AW8" s="1209"/>
      <c r="AX8" s="1209"/>
      <c r="AY8" s="1209"/>
      <c r="AZ8" s="1209"/>
      <c r="BA8" s="1209"/>
      <c r="BB8" s="1209"/>
      <c r="BC8" s="1209"/>
      <c r="BD8" s="1209"/>
      <c r="BE8" s="1209"/>
      <c r="BF8" s="1209"/>
      <c r="BG8" s="1209"/>
      <c r="BH8" s="1209"/>
      <c r="BI8" s="1209"/>
      <c r="BJ8" s="1209"/>
      <c r="BK8" s="1209"/>
      <c r="BL8" s="1209"/>
      <c r="BM8" s="1209"/>
      <c r="BN8" s="1210"/>
      <c r="BO8" s="1209"/>
      <c r="BP8" s="1209"/>
      <c r="BQ8" s="1211"/>
      <c r="BR8" s="1209"/>
      <c r="BS8" s="1209"/>
      <c r="BT8" s="1209"/>
      <c r="BU8" s="1211"/>
      <c r="BV8" s="1210"/>
      <c r="BW8" s="1209"/>
      <c r="BX8" s="1209"/>
      <c r="BY8" s="1212"/>
      <c r="BZ8" s="1210"/>
      <c r="CA8" s="1209"/>
      <c r="CB8" s="1209"/>
      <c r="CC8" s="1209"/>
      <c r="CD8" s="1210"/>
      <c r="CE8" s="1209"/>
      <c r="CF8" s="1209"/>
      <c r="CG8" s="1209"/>
      <c r="CH8" s="1210"/>
      <c r="CI8" s="1209"/>
      <c r="CJ8" s="1209"/>
      <c r="CK8" s="1209"/>
      <c r="CL8" s="1210"/>
      <c r="CM8" s="1400"/>
      <c r="CN8" s="1400"/>
      <c r="CO8" s="1400"/>
    </row>
    <row r="9" spans="1:93" ht="15" hidden="1" customHeight="1" outlineLevel="1">
      <c r="A9" s="1213" t="s">
        <v>149</v>
      </c>
      <c r="B9" s="1213"/>
      <c r="C9" s="1213"/>
      <c r="D9" s="1213"/>
      <c r="E9" s="1213"/>
      <c r="F9" s="1214"/>
      <c r="G9" s="1214"/>
      <c r="H9" s="1214"/>
      <c r="I9" s="1214">
        <v>8152</v>
      </c>
      <c r="J9" s="1214">
        <v>7720</v>
      </c>
      <c r="K9" s="1214">
        <v>7319</v>
      </c>
      <c r="L9" s="1214">
        <v>6704</v>
      </c>
      <c r="M9" s="1214">
        <v>6369</v>
      </c>
      <c r="N9" s="1215">
        <v>5912</v>
      </c>
      <c r="O9" s="1215">
        <v>5485</v>
      </c>
      <c r="P9" s="1216"/>
      <c r="Q9" s="1216"/>
      <c r="R9" s="1217"/>
      <c r="S9" s="1214"/>
      <c r="T9" s="1400"/>
      <c r="U9" s="1400"/>
      <c r="V9" s="1400"/>
      <c r="W9" s="1400"/>
      <c r="X9" s="1188"/>
      <c r="Y9" s="1188"/>
      <c r="Z9" s="1188"/>
      <c r="AA9" s="1214"/>
      <c r="AB9" s="1214"/>
      <c r="AC9" s="1214"/>
      <c r="AD9" s="1214"/>
      <c r="AE9" s="1214"/>
      <c r="AF9" s="1214"/>
      <c r="AG9" s="1214"/>
      <c r="AH9" s="1213"/>
      <c r="AI9" s="1214"/>
      <c r="AJ9" s="1214"/>
      <c r="AK9" s="1214"/>
      <c r="AL9" s="1214"/>
      <c r="AM9" s="1214"/>
      <c r="AN9" s="1214"/>
      <c r="AO9" s="1214"/>
      <c r="AP9" s="1214"/>
      <c r="AQ9" s="1214"/>
      <c r="AR9" s="1214"/>
      <c r="AS9" s="1214"/>
      <c r="AT9" s="1214"/>
      <c r="AU9" s="1214"/>
      <c r="AV9" s="1214"/>
      <c r="AW9" s="1214"/>
      <c r="AX9" s="1214"/>
      <c r="AY9" s="1214"/>
      <c r="AZ9" s="1214"/>
      <c r="BA9" s="1214"/>
      <c r="BB9" s="1214">
        <v>1978</v>
      </c>
      <c r="BC9" s="1214">
        <v>1951</v>
      </c>
      <c r="BD9" s="1214">
        <v>1909</v>
      </c>
      <c r="BE9" s="1214">
        <v>1882</v>
      </c>
      <c r="BF9" s="1214">
        <v>1889</v>
      </c>
      <c r="BG9" s="1214">
        <v>1857</v>
      </c>
      <c r="BH9" s="1214">
        <v>1824</v>
      </c>
      <c r="BI9" s="1214">
        <v>1749</v>
      </c>
      <c r="BJ9" s="1214">
        <v>1726</v>
      </c>
      <c r="BK9" s="1214">
        <v>1680</v>
      </c>
      <c r="BL9" s="1214">
        <v>1664</v>
      </c>
      <c r="BM9" s="1214">
        <v>1634</v>
      </c>
      <c r="BN9" s="1218">
        <v>1619</v>
      </c>
      <c r="BO9" s="1214">
        <v>1616</v>
      </c>
      <c r="BP9" s="1214">
        <v>1577</v>
      </c>
      <c r="BQ9" s="1217">
        <v>1557</v>
      </c>
      <c r="BR9" s="1215">
        <v>1520</v>
      </c>
      <c r="BS9" s="1215">
        <v>1501</v>
      </c>
      <c r="BT9" s="1215">
        <v>1466</v>
      </c>
      <c r="BU9" s="1219">
        <v>1425</v>
      </c>
      <c r="BV9" s="1220">
        <v>1394</v>
      </c>
      <c r="BW9" s="1215">
        <v>1392</v>
      </c>
      <c r="BX9" s="1215">
        <v>1362</v>
      </c>
      <c r="BY9" s="1221">
        <v>1337</v>
      </c>
      <c r="BZ9" s="1218"/>
      <c r="CA9" s="1214"/>
      <c r="CB9" s="1214"/>
      <c r="CC9" s="1214"/>
      <c r="CD9" s="1218"/>
      <c r="CE9" s="1214"/>
      <c r="CF9" s="1214"/>
      <c r="CG9" s="1214"/>
      <c r="CH9" s="1218"/>
      <c r="CI9" s="1214"/>
      <c r="CJ9" s="1214"/>
      <c r="CK9" s="1214"/>
      <c r="CL9" s="1222"/>
      <c r="CM9" s="1400"/>
      <c r="CN9" s="1400"/>
      <c r="CO9" s="1400"/>
    </row>
    <row r="10" spans="1:93" ht="12" hidden="1" customHeight="1" outlineLevel="1">
      <c r="A10" s="1225" t="s">
        <v>34</v>
      </c>
      <c r="B10" s="1198"/>
      <c r="C10" s="1198"/>
      <c r="D10" s="1198"/>
      <c r="E10" s="1198"/>
      <c r="F10" s="1226"/>
      <c r="G10" s="1227"/>
      <c r="H10" s="1227"/>
      <c r="I10" s="1227"/>
      <c r="J10" s="1227">
        <f t="shared" ref="J10:O10" si="6">J9/I9-1</f>
        <v>-5.2993130520117782E-2</v>
      </c>
      <c r="K10" s="1227">
        <f t="shared" si="6"/>
        <v>-5.1943005181347202E-2</v>
      </c>
      <c r="L10" s="1227">
        <f t="shared" si="6"/>
        <v>-8.402787266019951E-2</v>
      </c>
      <c r="M10" s="1227">
        <f t="shared" si="6"/>
        <v>-4.997016706443913E-2</v>
      </c>
      <c r="N10" s="1228">
        <f t="shared" si="6"/>
        <v>-7.1753807505102851E-2</v>
      </c>
      <c r="O10" s="1228">
        <f t="shared" si="6"/>
        <v>-7.2225981055480393E-2</v>
      </c>
      <c r="P10" s="1229"/>
      <c r="Q10" s="1229"/>
      <c r="R10" s="1230"/>
      <c r="S10" s="1227"/>
      <c r="T10" s="1400"/>
      <c r="U10" s="1400"/>
      <c r="V10" s="1400"/>
      <c r="W10" s="1400"/>
      <c r="X10" s="1188"/>
      <c r="Y10" s="1188"/>
      <c r="Z10" s="1188"/>
      <c r="AA10" s="1226"/>
      <c r="AB10" s="1226"/>
      <c r="AC10" s="1226"/>
      <c r="AD10" s="1226"/>
      <c r="AE10" s="1226"/>
      <c r="AF10" s="1226"/>
      <c r="AG10" s="1226"/>
      <c r="AH10" s="1198"/>
      <c r="AI10" s="1226"/>
      <c r="AJ10" s="1226"/>
      <c r="AK10" s="1226"/>
      <c r="AL10" s="1226"/>
      <c r="AM10" s="1226"/>
      <c r="AN10" s="1226"/>
      <c r="AO10" s="1226"/>
      <c r="AP10" s="1226"/>
      <c r="AQ10" s="1227"/>
      <c r="AR10" s="1227"/>
      <c r="AS10" s="1227"/>
      <c r="AT10" s="1227"/>
      <c r="AU10" s="1227"/>
      <c r="AV10" s="1227"/>
      <c r="AW10" s="1227"/>
      <c r="AX10" s="1227"/>
      <c r="AY10" s="1227"/>
      <c r="AZ10" s="1227"/>
      <c r="BA10" s="1227"/>
      <c r="BB10" s="1227"/>
      <c r="BC10" s="1227"/>
      <c r="BD10" s="1227"/>
      <c r="BE10" s="1227"/>
      <c r="BF10" s="1227">
        <f t="shared" ref="BF10:BY10" si="7">BF9/BB9-1</f>
        <v>-4.4994944388271008E-2</v>
      </c>
      <c r="BG10" s="1227">
        <f t="shared" si="7"/>
        <v>-4.8180420297283422E-2</v>
      </c>
      <c r="BH10" s="1227">
        <f t="shared" si="7"/>
        <v>-4.4525929806181197E-2</v>
      </c>
      <c r="BI10" s="1227">
        <f t="shared" si="7"/>
        <v>-7.0669500531349683E-2</v>
      </c>
      <c r="BJ10" s="1227">
        <f t="shared" si="7"/>
        <v>-8.6289041821069334E-2</v>
      </c>
      <c r="BK10" s="1227">
        <f t="shared" si="7"/>
        <v>-9.5315024232633272E-2</v>
      </c>
      <c r="BL10" s="1227">
        <f t="shared" si="7"/>
        <v>-8.7719298245614086E-2</v>
      </c>
      <c r="BM10" s="1227">
        <f t="shared" si="7"/>
        <v>-6.5751858204688429E-2</v>
      </c>
      <c r="BN10" s="1231">
        <f t="shared" si="7"/>
        <v>-6.1993047508690613E-2</v>
      </c>
      <c r="BO10" s="1227">
        <f t="shared" si="7"/>
        <v>-3.8095238095238071E-2</v>
      </c>
      <c r="BP10" s="1227">
        <f t="shared" si="7"/>
        <v>-5.2283653846153855E-2</v>
      </c>
      <c r="BQ10" s="1230">
        <f t="shared" si="7"/>
        <v>-4.7123623011015914E-2</v>
      </c>
      <c r="BR10" s="1228">
        <f t="shared" si="7"/>
        <v>-6.114885731933295E-2</v>
      </c>
      <c r="BS10" s="1228">
        <f t="shared" si="7"/>
        <v>-7.1163366336633671E-2</v>
      </c>
      <c r="BT10" s="1228">
        <f t="shared" si="7"/>
        <v>-7.0386810399492683E-2</v>
      </c>
      <c r="BU10" s="1232">
        <f t="shared" si="7"/>
        <v>-8.477842003853564E-2</v>
      </c>
      <c r="BV10" s="1233">
        <f t="shared" si="7"/>
        <v>-8.2894736842105243E-2</v>
      </c>
      <c r="BW10" s="1228">
        <f t="shared" si="7"/>
        <v>-7.2618254497001988E-2</v>
      </c>
      <c r="BX10" s="1228">
        <f t="shared" si="7"/>
        <v>-7.0941336971350633E-2</v>
      </c>
      <c r="BY10" s="1234">
        <f t="shared" si="7"/>
        <v>-6.1754385964912228E-2</v>
      </c>
      <c r="BZ10" s="1231"/>
      <c r="CA10" s="1227"/>
      <c r="CB10" s="1227"/>
      <c r="CC10" s="1227"/>
      <c r="CD10" s="1231"/>
      <c r="CE10" s="1227"/>
      <c r="CF10" s="1227"/>
      <c r="CG10" s="1227"/>
      <c r="CH10" s="1231"/>
      <c r="CI10" s="1227"/>
      <c r="CJ10" s="1227"/>
      <c r="CK10" s="1227"/>
      <c r="CL10" s="1222"/>
      <c r="CM10" s="1400"/>
      <c r="CN10" s="1400"/>
      <c r="CO10" s="1400"/>
    </row>
    <row r="11" spans="1:93" ht="12" hidden="1" customHeight="1" outlineLevel="1">
      <c r="A11" s="1225" t="s">
        <v>150</v>
      </c>
      <c r="B11" s="1198"/>
      <c r="C11" s="1198"/>
      <c r="D11" s="1198"/>
      <c r="E11" s="1198"/>
      <c r="F11" s="1226"/>
      <c r="G11" s="1226"/>
      <c r="H11" s="1226"/>
      <c r="I11" s="1227"/>
      <c r="J11" s="1227"/>
      <c r="K11" s="1227"/>
      <c r="L11" s="1227"/>
      <c r="M11" s="1227"/>
      <c r="N11" s="1228"/>
      <c r="O11" s="1228"/>
      <c r="P11" s="1229"/>
      <c r="Q11" s="1229"/>
      <c r="R11" s="1230"/>
      <c r="S11" s="1227"/>
      <c r="T11" s="1400"/>
      <c r="U11" s="1400"/>
      <c r="V11" s="1400"/>
      <c r="W11" s="1400"/>
      <c r="X11" s="1188"/>
      <c r="Y11" s="1188"/>
      <c r="Z11" s="1188"/>
      <c r="AA11" s="1226"/>
      <c r="AB11" s="1226"/>
      <c r="AC11" s="1226"/>
      <c r="AD11" s="1226"/>
      <c r="AE11" s="1226"/>
      <c r="AF11" s="1226"/>
      <c r="AG11" s="1226"/>
      <c r="AH11" s="1198"/>
      <c r="AI11" s="1226"/>
      <c r="AJ11" s="1226"/>
      <c r="AK11" s="1226"/>
      <c r="AL11" s="1226"/>
      <c r="AM11" s="1226"/>
      <c r="AN11" s="1226"/>
      <c r="AO11" s="1226"/>
      <c r="AP11" s="1226"/>
      <c r="AQ11" s="1227"/>
      <c r="AR11" s="1227"/>
      <c r="AS11" s="1227"/>
      <c r="AT11" s="1227"/>
      <c r="AU11" s="1227"/>
      <c r="AV11" s="1227"/>
      <c r="AW11" s="1227"/>
      <c r="AX11" s="1227"/>
      <c r="AY11" s="1227"/>
      <c r="AZ11" s="1227"/>
      <c r="BA11" s="1227"/>
      <c r="BB11" s="1227"/>
      <c r="BC11" s="1227">
        <f t="shared" ref="BC11:BY11" si="8">BC9/BB9-1</f>
        <v>-1.3650151668351818E-2</v>
      </c>
      <c r="BD11" s="1227">
        <f t="shared" si="8"/>
        <v>-2.1527421834956484E-2</v>
      </c>
      <c r="BE11" s="1227">
        <f t="shared" si="8"/>
        <v>-1.4143530644316393E-2</v>
      </c>
      <c r="BF11" s="1227">
        <f t="shared" si="8"/>
        <v>3.7194473963868546E-3</v>
      </c>
      <c r="BG11" s="1227">
        <f t="shared" si="8"/>
        <v>-1.6940179989412441E-2</v>
      </c>
      <c r="BH11" s="1227">
        <f t="shared" si="8"/>
        <v>-1.7770597738287597E-2</v>
      </c>
      <c r="BI11" s="1227">
        <f t="shared" si="8"/>
        <v>-4.1118421052631526E-2</v>
      </c>
      <c r="BJ11" s="1227">
        <f t="shared" si="8"/>
        <v>-1.3150371640937686E-2</v>
      </c>
      <c r="BK11" s="1227">
        <f t="shared" si="8"/>
        <v>-2.665121668597914E-2</v>
      </c>
      <c r="BL11" s="1227">
        <f t="shared" si="8"/>
        <v>-9.52380952380949E-3</v>
      </c>
      <c r="BM11" s="1227">
        <f t="shared" si="8"/>
        <v>-1.8028846153846145E-2</v>
      </c>
      <c r="BN11" s="1231">
        <f t="shared" si="8"/>
        <v>-9.1799265605875258E-3</v>
      </c>
      <c r="BO11" s="1227">
        <f t="shared" si="8"/>
        <v>-1.8529956763434496E-3</v>
      </c>
      <c r="BP11" s="1227">
        <f t="shared" si="8"/>
        <v>-2.41336633663366E-2</v>
      </c>
      <c r="BQ11" s="1230">
        <f t="shared" si="8"/>
        <v>-1.2682308180088753E-2</v>
      </c>
      <c r="BR11" s="1228">
        <f t="shared" si="8"/>
        <v>-2.3763648041104646E-2</v>
      </c>
      <c r="BS11" s="1228">
        <f t="shared" si="8"/>
        <v>-1.2499999999999956E-2</v>
      </c>
      <c r="BT11" s="1228">
        <f t="shared" si="8"/>
        <v>-2.3317788141239193E-2</v>
      </c>
      <c r="BU11" s="1232">
        <f t="shared" si="8"/>
        <v>-2.7967257844474736E-2</v>
      </c>
      <c r="BV11" s="1233">
        <f t="shared" si="8"/>
        <v>-2.1754385964912304E-2</v>
      </c>
      <c r="BW11" s="1228">
        <f t="shared" si="8"/>
        <v>-1.4347202295552641E-3</v>
      </c>
      <c r="BX11" s="1228">
        <f t="shared" si="8"/>
        <v>-2.155172413793105E-2</v>
      </c>
      <c r="BY11" s="1234">
        <f t="shared" si="8"/>
        <v>-1.8355359765051427E-2</v>
      </c>
      <c r="BZ11" s="1231"/>
      <c r="CA11" s="1227"/>
      <c r="CB11" s="1227"/>
      <c r="CC11" s="1227"/>
      <c r="CD11" s="1231"/>
      <c r="CE11" s="1227"/>
      <c r="CF11" s="1227"/>
      <c r="CG11" s="1227"/>
      <c r="CH11" s="1231"/>
      <c r="CI11" s="1227"/>
      <c r="CJ11" s="1227"/>
      <c r="CK11" s="1227"/>
      <c r="CL11" s="1222"/>
      <c r="CM11" s="1400"/>
      <c r="CN11" s="1400"/>
      <c r="CO11" s="1400"/>
    </row>
    <row r="12" spans="1:93" ht="12" hidden="1" customHeight="1" outlineLevel="1">
      <c r="A12" s="1225" t="s">
        <v>151</v>
      </c>
      <c r="B12" s="1198"/>
      <c r="C12" s="1198"/>
      <c r="D12" s="1198"/>
      <c r="E12" s="1198"/>
      <c r="F12" s="1227"/>
      <c r="G12" s="1227"/>
      <c r="H12" s="1227"/>
      <c r="I12" s="1227"/>
      <c r="J12" s="1227">
        <f t="shared" ref="J12:O12" si="9">J9/J$34</f>
        <v>0.50224448637043784</v>
      </c>
      <c r="K12" s="1227">
        <f t="shared" si="9"/>
        <v>0.51224804031354987</v>
      </c>
      <c r="L12" s="1227">
        <f t="shared" si="9"/>
        <v>0.48548048374248676</v>
      </c>
      <c r="M12" s="1227">
        <f t="shared" si="9"/>
        <v>0.45810256779112424</v>
      </c>
      <c r="N12" s="1228">
        <f t="shared" si="9"/>
        <v>0.42462113050348343</v>
      </c>
      <c r="O12" s="1228">
        <f t="shared" si="9"/>
        <v>0.39809841776745536</v>
      </c>
      <c r="P12" s="1229"/>
      <c r="Q12" s="1229"/>
      <c r="R12" s="1230"/>
      <c r="S12" s="1227"/>
      <c r="T12" s="1400"/>
      <c r="U12" s="1400"/>
      <c r="V12" s="1400"/>
      <c r="W12" s="1400"/>
      <c r="X12" s="1188"/>
      <c r="Y12" s="1188"/>
      <c r="Z12" s="1188"/>
      <c r="AA12" s="1226"/>
      <c r="AB12" s="1226"/>
      <c r="AC12" s="1226"/>
      <c r="AD12" s="1226"/>
      <c r="AE12" s="1226"/>
      <c r="AF12" s="1226"/>
      <c r="AG12" s="1226"/>
      <c r="AH12" s="1198"/>
      <c r="AI12" s="1226"/>
      <c r="AJ12" s="1226"/>
      <c r="AK12" s="1226"/>
      <c r="AL12" s="1226"/>
      <c r="AM12" s="1226"/>
      <c r="AN12" s="1226"/>
      <c r="AO12" s="1226"/>
      <c r="AP12" s="1226"/>
      <c r="AQ12" s="1227"/>
      <c r="AR12" s="1227"/>
      <c r="AS12" s="1227"/>
      <c r="AT12" s="1227"/>
      <c r="AU12" s="1227"/>
      <c r="AV12" s="1227"/>
      <c r="AW12" s="1227"/>
      <c r="AX12" s="1227"/>
      <c r="AY12" s="1227"/>
      <c r="AZ12" s="1227"/>
      <c r="BA12" s="1227"/>
      <c r="BB12" s="1227">
        <f t="shared" ref="BB12:BX12" si="10">BB9/BB$34</f>
        <v>0.49661059502887273</v>
      </c>
      <c r="BC12" s="1227">
        <f t="shared" si="10"/>
        <v>0.49884939913065712</v>
      </c>
      <c r="BD12" s="1227">
        <f t="shared" si="10"/>
        <v>0.50609756097560976</v>
      </c>
      <c r="BE12" s="1227">
        <f t="shared" si="10"/>
        <v>0.50796221322537116</v>
      </c>
      <c r="BF12" s="1227">
        <f t="shared" si="10"/>
        <v>0.52124724061810157</v>
      </c>
      <c r="BG12" s="1227">
        <f t="shared" si="10"/>
        <v>0.51640711902113456</v>
      </c>
      <c r="BH12" s="1227">
        <f t="shared" si="10"/>
        <v>0.51092436974789912</v>
      </c>
      <c r="BI12" s="1227">
        <f t="shared" si="10"/>
        <v>0.5</v>
      </c>
      <c r="BJ12" s="1227">
        <f t="shared" si="10"/>
        <v>0.49583453030738295</v>
      </c>
      <c r="BK12" s="1227">
        <f t="shared" si="10"/>
        <v>0.48808832074375363</v>
      </c>
      <c r="BL12" s="1227">
        <f t="shared" si="10"/>
        <v>0.48245868367642797</v>
      </c>
      <c r="BM12" s="1227">
        <f t="shared" si="10"/>
        <v>0.47541460576083794</v>
      </c>
      <c r="BN12" s="1231">
        <f t="shared" si="10"/>
        <v>0.46941142360104376</v>
      </c>
      <c r="BO12" s="1227">
        <f t="shared" si="10"/>
        <v>0.46570605187319886</v>
      </c>
      <c r="BP12" s="1227">
        <f t="shared" si="10"/>
        <v>0.45005707762557079</v>
      </c>
      <c r="BQ12" s="1230">
        <f t="shared" si="10"/>
        <v>0.44741379310344825</v>
      </c>
      <c r="BR12" s="1228">
        <f t="shared" si="10"/>
        <v>0.43728423475258921</v>
      </c>
      <c r="BS12" s="1228">
        <f t="shared" si="10"/>
        <v>0.43231566820276496</v>
      </c>
      <c r="BT12" s="1228">
        <f t="shared" si="10"/>
        <v>0.42041869802122167</v>
      </c>
      <c r="BU12" s="1232">
        <f t="shared" si="10"/>
        <v>0.40854357798165136</v>
      </c>
      <c r="BV12" s="1233">
        <f t="shared" si="10"/>
        <v>0.4045269878119559</v>
      </c>
      <c r="BW12" s="1228">
        <f t="shared" si="10"/>
        <v>0.40196361536240255</v>
      </c>
      <c r="BX12" s="1228">
        <f t="shared" si="10"/>
        <v>0.39662201514269074</v>
      </c>
      <c r="BY12" s="1234">
        <f>BY9/BY$34</f>
        <v>0.38922852983988354</v>
      </c>
      <c r="BZ12" s="1231"/>
      <c r="CA12" s="1227"/>
      <c r="CB12" s="1227"/>
      <c r="CC12" s="1227"/>
      <c r="CD12" s="1231"/>
      <c r="CE12" s="1227"/>
      <c r="CF12" s="1227"/>
      <c r="CG12" s="1227"/>
      <c r="CH12" s="1231"/>
      <c r="CI12" s="1227"/>
      <c r="CJ12" s="1227"/>
      <c r="CK12" s="1227"/>
      <c r="CL12" s="1222"/>
      <c r="CM12" s="1400"/>
      <c r="CN12" s="1400"/>
      <c r="CO12" s="1400"/>
    </row>
    <row r="13" spans="1:93" ht="15" hidden="1" customHeight="1" outlineLevel="1">
      <c r="A13" s="1213" t="s">
        <v>152</v>
      </c>
      <c r="B13" s="1213"/>
      <c r="C13" s="1213"/>
      <c r="D13" s="1213"/>
      <c r="E13" s="1213"/>
      <c r="F13" s="1214"/>
      <c r="G13" s="1214"/>
      <c r="H13" s="1214"/>
      <c r="I13" s="1214">
        <v>2516</v>
      </c>
      <c r="J13" s="1214">
        <v>2096</v>
      </c>
      <c r="K13" s="1214">
        <v>1864</v>
      </c>
      <c r="L13" s="1214">
        <v>2087</v>
      </c>
      <c r="M13" s="1214">
        <v>2231</v>
      </c>
      <c r="N13" s="1215">
        <v>2302</v>
      </c>
      <c r="O13" s="1215">
        <v>2100</v>
      </c>
      <c r="P13" s="1216"/>
      <c r="Q13" s="1216"/>
      <c r="R13" s="1217"/>
      <c r="S13" s="1214"/>
      <c r="T13" s="1400"/>
      <c r="U13" s="1400"/>
      <c r="V13" s="1400"/>
      <c r="W13" s="1400"/>
      <c r="X13" s="1188"/>
      <c r="Y13" s="1188"/>
      <c r="Z13" s="1188"/>
      <c r="AA13" s="1214"/>
      <c r="AB13" s="1214"/>
      <c r="AC13" s="1214"/>
      <c r="AD13" s="1214"/>
      <c r="AE13" s="1214"/>
      <c r="AF13" s="1214"/>
      <c r="AG13" s="1214"/>
      <c r="AH13" s="1213"/>
      <c r="AI13" s="1214"/>
      <c r="AJ13" s="1214"/>
      <c r="AK13" s="1214"/>
      <c r="AL13" s="1214"/>
      <c r="AM13" s="1214"/>
      <c r="AN13" s="1214"/>
      <c r="AO13" s="1214"/>
      <c r="AP13" s="1214"/>
      <c r="AQ13" s="1214"/>
      <c r="AR13" s="1214"/>
      <c r="AS13" s="1214"/>
      <c r="AT13" s="1214"/>
      <c r="AU13" s="1214"/>
      <c r="AV13" s="1214"/>
      <c r="AW13" s="1214"/>
      <c r="AX13" s="1214"/>
      <c r="AY13" s="1214"/>
      <c r="AZ13" s="1214"/>
      <c r="BA13" s="1214"/>
      <c r="BB13" s="1214">
        <v>563</v>
      </c>
      <c r="BC13" s="1214">
        <v>543</v>
      </c>
      <c r="BD13" s="1214">
        <v>518</v>
      </c>
      <c r="BE13" s="1214">
        <v>472</v>
      </c>
      <c r="BF13" s="1214">
        <v>447</v>
      </c>
      <c r="BG13" s="1214">
        <v>467</v>
      </c>
      <c r="BH13" s="1214">
        <v>467</v>
      </c>
      <c r="BI13" s="1214">
        <v>483</v>
      </c>
      <c r="BJ13" s="1214">
        <v>500</v>
      </c>
      <c r="BK13" s="1214">
        <v>493</v>
      </c>
      <c r="BL13" s="1214">
        <v>549</v>
      </c>
      <c r="BM13" s="1214">
        <v>545</v>
      </c>
      <c r="BN13" s="1218">
        <v>558</v>
      </c>
      <c r="BO13" s="1214">
        <v>547</v>
      </c>
      <c r="BP13" s="1214">
        <v>559</v>
      </c>
      <c r="BQ13" s="1217">
        <v>567</v>
      </c>
      <c r="BR13" s="1215">
        <v>570</v>
      </c>
      <c r="BS13" s="1215">
        <v>577</v>
      </c>
      <c r="BT13" s="1215">
        <v>595</v>
      </c>
      <c r="BU13" s="1219">
        <v>560</v>
      </c>
      <c r="BV13" s="1220">
        <v>550</v>
      </c>
      <c r="BW13" s="1215">
        <v>536</v>
      </c>
      <c r="BX13" s="1215">
        <v>514</v>
      </c>
      <c r="BY13" s="1221">
        <v>500</v>
      </c>
      <c r="BZ13" s="1218"/>
      <c r="CA13" s="1214"/>
      <c r="CB13" s="1214"/>
      <c r="CC13" s="1214"/>
      <c r="CD13" s="1218"/>
      <c r="CE13" s="1214"/>
      <c r="CF13" s="1214"/>
      <c r="CG13" s="1214"/>
      <c r="CH13" s="1218"/>
      <c r="CI13" s="1214"/>
      <c r="CJ13" s="1214"/>
      <c r="CK13" s="1214"/>
      <c r="CL13" s="1222"/>
      <c r="CM13" s="1400"/>
      <c r="CN13" s="1400"/>
      <c r="CO13" s="1400"/>
    </row>
    <row r="14" spans="1:93" ht="12" hidden="1" customHeight="1" outlineLevel="1">
      <c r="A14" s="1225" t="s">
        <v>34</v>
      </c>
      <c r="B14" s="1198"/>
      <c r="C14" s="1198"/>
      <c r="D14" s="1198"/>
      <c r="E14" s="1198"/>
      <c r="F14" s="1226"/>
      <c r="G14" s="1227"/>
      <c r="H14" s="1227"/>
      <c r="I14" s="1227"/>
      <c r="J14" s="1227">
        <f t="shared" ref="J14:O14" si="11">J13/I13-1</f>
        <v>-0.16693163751987283</v>
      </c>
      <c r="K14" s="1227">
        <f t="shared" si="11"/>
        <v>-0.11068702290076338</v>
      </c>
      <c r="L14" s="1227">
        <f t="shared" si="11"/>
        <v>0.11963519313304727</v>
      </c>
      <c r="M14" s="1227">
        <f t="shared" si="11"/>
        <v>6.8998562529947183E-2</v>
      </c>
      <c r="N14" s="1228">
        <f t="shared" si="11"/>
        <v>3.1824294038547807E-2</v>
      </c>
      <c r="O14" s="1228">
        <f t="shared" si="11"/>
        <v>-8.7749782797567288E-2</v>
      </c>
      <c r="P14" s="1229"/>
      <c r="Q14" s="1229"/>
      <c r="R14" s="1230"/>
      <c r="S14" s="1227"/>
      <c r="T14" s="1400"/>
      <c r="U14" s="1400"/>
      <c r="V14" s="1400"/>
      <c r="W14" s="1400"/>
      <c r="X14" s="1188"/>
      <c r="Y14" s="1188"/>
      <c r="Z14" s="1188"/>
      <c r="AA14" s="1226"/>
      <c r="AB14" s="1226"/>
      <c r="AC14" s="1226"/>
      <c r="AD14" s="1226"/>
      <c r="AE14" s="1226"/>
      <c r="AF14" s="1226"/>
      <c r="AG14" s="1226"/>
      <c r="AH14" s="1198"/>
      <c r="AI14" s="1226"/>
      <c r="AJ14" s="1226"/>
      <c r="AK14" s="1226"/>
      <c r="AL14" s="1226"/>
      <c r="AM14" s="1226"/>
      <c r="AN14" s="1226"/>
      <c r="AO14" s="1226"/>
      <c r="AP14" s="1226"/>
      <c r="AQ14" s="1227"/>
      <c r="AR14" s="1227"/>
      <c r="AS14" s="1227"/>
      <c r="AT14" s="1227"/>
      <c r="AU14" s="1227"/>
      <c r="AV14" s="1227"/>
      <c r="AW14" s="1227"/>
      <c r="AX14" s="1227"/>
      <c r="AY14" s="1227"/>
      <c r="AZ14" s="1227"/>
      <c r="BA14" s="1227"/>
      <c r="BB14" s="1227"/>
      <c r="BC14" s="1227"/>
      <c r="BD14" s="1227"/>
      <c r="BE14" s="1227"/>
      <c r="BF14" s="1227">
        <f t="shared" ref="BF14:BY14" si="12">BF13/BB13-1</f>
        <v>-0.20603907637655416</v>
      </c>
      <c r="BG14" s="1227">
        <f t="shared" si="12"/>
        <v>-0.13996316758747696</v>
      </c>
      <c r="BH14" s="1227">
        <f t="shared" si="12"/>
        <v>-9.8455598455598481E-2</v>
      </c>
      <c r="BI14" s="1227">
        <f t="shared" si="12"/>
        <v>2.3305084745762761E-2</v>
      </c>
      <c r="BJ14" s="1227">
        <f t="shared" si="12"/>
        <v>0.11856823266219241</v>
      </c>
      <c r="BK14" s="1227">
        <f t="shared" si="12"/>
        <v>5.5674518201284773E-2</v>
      </c>
      <c r="BL14" s="1227">
        <f t="shared" si="12"/>
        <v>0.17558886509635974</v>
      </c>
      <c r="BM14" s="1227">
        <f t="shared" si="12"/>
        <v>0.12836438923395455</v>
      </c>
      <c r="BN14" s="1231">
        <f t="shared" si="12"/>
        <v>0.1160000000000001</v>
      </c>
      <c r="BO14" s="1227">
        <f t="shared" si="12"/>
        <v>0.1095334685598377</v>
      </c>
      <c r="BP14" s="1227">
        <f t="shared" si="12"/>
        <v>1.8214936247723079E-2</v>
      </c>
      <c r="BQ14" s="1230">
        <f t="shared" si="12"/>
        <v>4.0366972477064111E-2</v>
      </c>
      <c r="BR14" s="1228">
        <f t="shared" si="12"/>
        <v>2.1505376344086002E-2</v>
      </c>
      <c r="BS14" s="1228">
        <f t="shared" si="12"/>
        <v>5.4844606946983454E-2</v>
      </c>
      <c r="BT14" s="1228">
        <f t="shared" si="12"/>
        <v>6.4400715563506239E-2</v>
      </c>
      <c r="BU14" s="1232">
        <f t="shared" si="12"/>
        <v>-1.2345679012345734E-2</v>
      </c>
      <c r="BV14" s="1233">
        <f t="shared" si="12"/>
        <v>-3.5087719298245612E-2</v>
      </c>
      <c r="BW14" s="1228">
        <f t="shared" si="12"/>
        <v>-7.1057192374350042E-2</v>
      </c>
      <c r="BX14" s="1228">
        <f t="shared" si="12"/>
        <v>-0.13613445378151257</v>
      </c>
      <c r="BY14" s="1234">
        <f t="shared" si="12"/>
        <v>-0.1071428571428571</v>
      </c>
      <c r="BZ14" s="1231"/>
      <c r="CA14" s="1227"/>
      <c r="CB14" s="1227"/>
      <c r="CC14" s="1227"/>
      <c r="CD14" s="1231"/>
      <c r="CE14" s="1227"/>
      <c r="CF14" s="1227"/>
      <c r="CG14" s="1227"/>
      <c r="CH14" s="1231"/>
      <c r="CI14" s="1227"/>
      <c r="CJ14" s="1227"/>
      <c r="CK14" s="1227"/>
      <c r="CL14" s="1222"/>
      <c r="CM14" s="1400"/>
      <c r="CN14" s="1400"/>
      <c r="CO14" s="1400"/>
    </row>
    <row r="15" spans="1:93" ht="12" hidden="1" customHeight="1" outlineLevel="1">
      <c r="A15" s="1225" t="s">
        <v>150</v>
      </c>
      <c r="B15" s="1198"/>
      <c r="C15" s="1198"/>
      <c r="D15" s="1198"/>
      <c r="E15" s="1198"/>
      <c r="F15" s="1226"/>
      <c r="G15" s="1227"/>
      <c r="H15" s="1227"/>
      <c r="I15" s="1227"/>
      <c r="J15" s="1227"/>
      <c r="K15" s="1227"/>
      <c r="L15" s="1227"/>
      <c r="M15" s="1227"/>
      <c r="N15" s="1228"/>
      <c r="O15" s="1228"/>
      <c r="P15" s="1229"/>
      <c r="Q15" s="1229"/>
      <c r="R15" s="1230"/>
      <c r="S15" s="1227"/>
      <c r="T15" s="1400"/>
      <c r="U15" s="1400"/>
      <c r="V15" s="1400"/>
      <c r="W15" s="1400"/>
      <c r="X15" s="1188"/>
      <c r="Y15" s="1188"/>
      <c r="Z15" s="1188"/>
      <c r="AA15" s="1226"/>
      <c r="AB15" s="1226"/>
      <c r="AC15" s="1226"/>
      <c r="AD15" s="1226"/>
      <c r="AE15" s="1226"/>
      <c r="AF15" s="1226"/>
      <c r="AG15" s="1226"/>
      <c r="AH15" s="1198"/>
      <c r="AI15" s="1226"/>
      <c r="AJ15" s="1226"/>
      <c r="AK15" s="1226"/>
      <c r="AL15" s="1226"/>
      <c r="AM15" s="1226"/>
      <c r="AN15" s="1226"/>
      <c r="AO15" s="1226"/>
      <c r="AP15" s="1226"/>
      <c r="AQ15" s="1227"/>
      <c r="AR15" s="1227"/>
      <c r="AS15" s="1227"/>
      <c r="AT15" s="1227"/>
      <c r="AU15" s="1227"/>
      <c r="AV15" s="1227"/>
      <c r="AW15" s="1227"/>
      <c r="AX15" s="1227"/>
      <c r="AY15" s="1227"/>
      <c r="AZ15" s="1227"/>
      <c r="BA15" s="1227"/>
      <c r="BB15" s="1227"/>
      <c r="BC15" s="1227">
        <f t="shared" ref="BC15:BY15" si="13">BC13/BB13-1</f>
        <v>-3.5523978685612745E-2</v>
      </c>
      <c r="BD15" s="1227">
        <f t="shared" si="13"/>
        <v>-4.6040515653775316E-2</v>
      </c>
      <c r="BE15" s="1227">
        <f t="shared" si="13"/>
        <v>-8.8803088803088848E-2</v>
      </c>
      <c r="BF15" s="1227">
        <f t="shared" si="13"/>
        <v>-5.2966101694915224E-2</v>
      </c>
      <c r="BG15" s="1227">
        <f t="shared" si="13"/>
        <v>4.4742729306487705E-2</v>
      </c>
      <c r="BH15" s="1227">
        <f t="shared" si="13"/>
        <v>0</v>
      </c>
      <c r="BI15" s="1227">
        <f t="shared" si="13"/>
        <v>3.426124197002145E-2</v>
      </c>
      <c r="BJ15" s="1227">
        <f t="shared" si="13"/>
        <v>3.5196687370600444E-2</v>
      </c>
      <c r="BK15" s="1227">
        <f t="shared" si="13"/>
        <v>-1.4000000000000012E-2</v>
      </c>
      <c r="BL15" s="1227">
        <f t="shared" si="13"/>
        <v>0.11359026369168368</v>
      </c>
      <c r="BM15" s="1227">
        <f t="shared" si="13"/>
        <v>-7.2859744990892983E-3</v>
      </c>
      <c r="BN15" s="1231">
        <f t="shared" si="13"/>
        <v>2.3853211009174258E-2</v>
      </c>
      <c r="BO15" s="1227">
        <f t="shared" si="13"/>
        <v>-1.9713261648745539E-2</v>
      </c>
      <c r="BP15" s="1227">
        <f t="shared" si="13"/>
        <v>2.1937842778793515E-2</v>
      </c>
      <c r="BQ15" s="1230">
        <f t="shared" si="13"/>
        <v>1.4311270125223707E-2</v>
      </c>
      <c r="BR15" s="1228">
        <f t="shared" si="13"/>
        <v>5.2910052910053462E-3</v>
      </c>
      <c r="BS15" s="1228">
        <f t="shared" si="13"/>
        <v>1.2280701754386003E-2</v>
      </c>
      <c r="BT15" s="1228">
        <f t="shared" si="13"/>
        <v>3.119584055459268E-2</v>
      </c>
      <c r="BU15" s="1232">
        <f t="shared" si="13"/>
        <v>-5.8823529411764719E-2</v>
      </c>
      <c r="BV15" s="1233">
        <f t="shared" si="13"/>
        <v>-1.7857142857142905E-2</v>
      </c>
      <c r="BW15" s="1228">
        <f t="shared" si="13"/>
        <v>-2.5454545454545507E-2</v>
      </c>
      <c r="BX15" s="1228">
        <f t="shared" si="13"/>
        <v>-4.1044776119402937E-2</v>
      </c>
      <c r="BY15" s="1234">
        <f t="shared" si="13"/>
        <v>-2.7237354085603127E-2</v>
      </c>
      <c r="BZ15" s="1231"/>
      <c r="CA15" s="1227"/>
      <c r="CB15" s="1227"/>
      <c r="CC15" s="1227"/>
      <c r="CD15" s="1231"/>
      <c r="CE15" s="1227"/>
      <c r="CF15" s="1227"/>
      <c r="CG15" s="1227"/>
      <c r="CH15" s="1231"/>
      <c r="CI15" s="1227"/>
      <c r="CJ15" s="1227"/>
      <c r="CK15" s="1227"/>
      <c r="CL15" s="1222"/>
      <c r="CM15" s="1400"/>
      <c r="CN15" s="1400"/>
      <c r="CO15" s="1400"/>
    </row>
    <row r="16" spans="1:93" ht="12" hidden="1" customHeight="1" outlineLevel="1">
      <c r="A16" s="1225" t="s">
        <v>151</v>
      </c>
      <c r="B16" s="1198"/>
      <c r="C16" s="1198"/>
      <c r="D16" s="1198"/>
      <c r="E16" s="1198"/>
      <c r="F16" s="1227"/>
      <c r="G16" s="1227"/>
      <c r="H16" s="1227"/>
      <c r="I16" s="1227"/>
      <c r="J16" s="1227">
        <f t="shared" ref="J16:O16" si="14">J13/J$34</f>
        <v>0.13636067920109296</v>
      </c>
      <c r="K16" s="1227">
        <f t="shared" si="14"/>
        <v>0.13045912653975364</v>
      </c>
      <c r="L16" s="1227">
        <f t="shared" si="14"/>
        <v>0.15113331885002534</v>
      </c>
      <c r="M16" s="1227">
        <f t="shared" si="14"/>
        <v>0.16046896353305043</v>
      </c>
      <c r="N16" s="1228">
        <f t="shared" si="14"/>
        <v>0.16533793004381239</v>
      </c>
      <c r="O16" s="1228">
        <f t="shared" si="14"/>
        <v>0.15241689650166934</v>
      </c>
      <c r="P16" s="1229"/>
      <c r="Q16" s="1229"/>
      <c r="R16" s="1230"/>
      <c r="S16" s="1227"/>
      <c r="T16" s="1400"/>
      <c r="U16" s="1400"/>
      <c r="V16" s="1400"/>
      <c r="W16" s="1400"/>
      <c r="X16" s="1188"/>
      <c r="Y16" s="1188"/>
      <c r="Z16" s="1188"/>
      <c r="AA16" s="1226"/>
      <c r="AB16" s="1226"/>
      <c r="AC16" s="1226"/>
      <c r="AD16" s="1226"/>
      <c r="AE16" s="1226"/>
      <c r="AF16" s="1226"/>
      <c r="AG16" s="1226"/>
      <c r="AH16" s="1198"/>
      <c r="AI16" s="1226"/>
      <c r="AJ16" s="1226"/>
      <c r="AK16" s="1226"/>
      <c r="AL16" s="1226"/>
      <c r="AM16" s="1226"/>
      <c r="AN16" s="1226"/>
      <c r="AO16" s="1226"/>
      <c r="AP16" s="1226"/>
      <c r="AQ16" s="1227"/>
      <c r="AR16" s="1227"/>
      <c r="AS16" s="1227"/>
      <c r="AT16" s="1227"/>
      <c r="AU16" s="1227"/>
      <c r="AV16" s="1235"/>
      <c r="AW16" s="1227"/>
      <c r="AX16" s="1227"/>
      <c r="AY16" s="1227"/>
      <c r="AZ16" s="1227"/>
      <c r="BA16" s="1227"/>
      <c r="BB16" s="1227">
        <f t="shared" ref="BB16:BX16" si="15">BB13/BB$34</f>
        <v>0.14135074064775294</v>
      </c>
      <c r="BC16" s="1227">
        <f t="shared" si="15"/>
        <v>0.13883917156737408</v>
      </c>
      <c r="BD16" s="1227">
        <f t="shared" si="15"/>
        <v>0.13732767762460232</v>
      </c>
      <c r="BE16" s="1227">
        <f t="shared" si="15"/>
        <v>0.12739541160593792</v>
      </c>
      <c r="BF16" s="1227">
        <f t="shared" si="15"/>
        <v>0.12334437086092716</v>
      </c>
      <c r="BG16" s="1227">
        <f t="shared" si="15"/>
        <v>0.12986651835372637</v>
      </c>
      <c r="BH16" s="1227">
        <f t="shared" si="15"/>
        <v>0.130812324929972</v>
      </c>
      <c r="BI16" s="1227">
        <f t="shared" si="15"/>
        <v>0.13807890222984562</v>
      </c>
      <c r="BJ16" s="1227">
        <f t="shared" si="15"/>
        <v>0.14363688595231255</v>
      </c>
      <c r="BK16" s="1227">
        <f t="shared" si="15"/>
        <v>0.14323067983730389</v>
      </c>
      <c r="BL16" s="1227">
        <f t="shared" si="15"/>
        <v>0.15917657291968687</v>
      </c>
      <c r="BM16" s="1227">
        <f t="shared" si="15"/>
        <v>0.15856851905731742</v>
      </c>
      <c r="BN16" s="1231">
        <f t="shared" si="15"/>
        <v>0.16178602493476371</v>
      </c>
      <c r="BO16" s="1227">
        <f t="shared" si="15"/>
        <v>0.15763688760806915</v>
      </c>
      <c r="BP16" s="1227">
        <f t="shared" si="15"/>
        <v>0.15953196347031964</v>
      </c>
      <c r="BQ16" s="1230">
        <f t="shared" si="15"/>
        <v>0.16293103448275861</v>
      </c>
      <c r="BR16" s="1228">
        <f t="shared" si="15"/>
        <v>0.16398158803222093</v>
      </c>
      <c r="BS16" s="1228">
        <f t="shared" si="15"/>
        <v>0.16618663594470046</v>
      </c>
      <c r="BT16" s="1228">
        <f t="shared" si="15"/>
        <v>0.17063378262116433</v>
      </c>
      <c r="BU16" s="1232">
        <f t="shared" si="15"/>
        <v>0.16055045871559634</v>
      </c>
      <c r="BV16" s="1233">
        <f t="shared" si="15"/>
        <v>0.1596053395240859</v>
      </c>
      <c r="BW16" s="1228">
        <f t="shared" si="15"/>
        <v>0.1547790932717297</v>
      </c>
      <c r="BX16" s="1228">
        <f t="shared" si="15"/>
        <v>0.1496796738497379</v>
      </c>
      <c r="BY16" s="1234">
        <f>BY13/BY$34</f>
        <v>0.14556040756914118</v>
      </c>
      <c r="BZ16" s="1231"/>
      <c r="CA16" s="1227"/>
      <c r="CB16" s="1227"/>
      <c r="CC16" s="1227"/>
      <c r="CD16" s="1231"/>
      <c r="CE16" s="1227"/>
      <c r="CF16" s="1227"/>
      <c r="CG16" s="1227"/>
      <c r="CH16" s="1231"/>
      <c r="CI16" s="1227"/>
      <c r="CJ16" s="1227"/>
      <c r="CK16" s="1227"/>
      <c r="CL16" s="1222"/>
      <c r="CM16" s="1400"/>
      <c r="CN16" s="1400"/>
      <c r="CO16" s="1400"/>
    </row>
    <row r="17" spans="1:93" ht="15" hidden="1" customHeight="1" outlineLevel="1">
      <c r="A17" s="1213" t="s">
        <v>153</v>
      </c>
      <c r="B17" s="1213"/>
      <c r="C17" s="1213"/>
      <c r="D17" s="1213"/>
      <c r="E17" s="1213"/>
      <c r="F17" s="1214"/>
      <c r="G17" s="1214"/>
      <c r="H17" s="1214"/>
      <c r="I17" s="1214">
        <v>1229</v>
      </c>
      <c r="J17" s="1214">
        <v>1022</v>
      </c>
      <c r="K17" s="1214">
        <v>702</v>
      </c>
      <c r="L17" s="1214">
        <v>636</v>
      </c>
      <c r="M17" s="1214">
        <v>642</v>
      </c>
      <c r="N17" s="1215">
        <v>550</v>
      </c>
      <c r="O17" s="1215">
        <v>524</v>
      </c>
      <c r="P17" s="1216"/>
      <c r="Q17" s="1216"/>
      <c r="R17" s="1217"/>
      <c r="S17" s="1214"/>
      <c r="T17" s="1400"/>
      <c r="U17" s="1400"/>
      <c r="V17" s="1400"/>
      <c r="W17" s="1400"/>
      <c r="X17" s="1188"/>
      <c r="Y17" s="1188"/>
      <c r="Z17" s="1188"/>
      <c r="AA17" s="1214"/>
      <c r="AB17" s="1214"/>
      <c r="AC17" s="1214"/>
      <c r="AD17" s="1214"/>
      <c r="AE17" s="1214"/>
      <c r="AF17" s="1214"/>
      <c r="AG17" s="1214"/>
      <c r="AH17" s="1213"/>
      <c r="AI17" s="1214"/>
      <c r="AJ17" s="1214"/>
      <c r="AK17" s="1214"/>
      <c r="AL17" s="1214"/>
      <c r="AM17" s="1214"/>
      <c r="AN17" s="1214"/>
      <c r="AO17" s="1214"/>
      <c r="AP17" s="1214"/>
      <c r="AQ17" s="1214"/>
      <c r="AR17" s="1214"/>
      <c r="AS17" s="1214"/>
      <c r="AT17" s="1214"/>
      <c r="AU17" s="1214"/>
      <c r="AV17" s="1214"/>
      <c r="AW17" s="1214"/>
      <c r="AX17" s="1214"/>
      <c r="AY17" s="1214"/>
      <c r="AZ17" s="1214"/>
      <c r="BA17" s="1214"/>
      <c r="BB17" s="1214">
        <v>270</v>
      </c>
      <c r="BC17" s="1214">
        <v>269</v>
      </c>
      <c r="BD17" s="1214">
        <v>235</v>
      </c>
      <c r="BE17" s="1214">
        <v>248</v>
      </c>
      <c r="BF17" s="1214">
        <v>184</v>
      </c>
      <c r="BG17" s="1214">
        <v>169</v>
      </c>
      <c r="BH17" s="1214">
        <v>174</v>
      </c>
      <c r="BI17" s="1214">
        <v>175</v>
      </c>
      <c r="BJ17" s="1214">
        <v>170</v>
      </c>
      <c r="BK17" s="1214">
        <v>164</v>
      </c>
      <c r="BL17" s="1214">
        <v>151</v>
      </c>
      <c r="BM17" s="1214">
        <v>151</v>
      </c>
      <c r="BN17" s="1218">
        <v>150</v>
      </c>
      <c r="BO17" s="1214">
        <v>172</v>
      </c>
      <c r="BP17" s="1214">
        <v>159</v>
      </c>
      <c r="BQ17" s="1217">
        <v>161</v>
      </c>
      <c r="BR17" s="1215">
        <v>146</v>
      </c>
      <c r="BS17" s="1215">
        <v>133</v>
      </c>
      <c r="BT17" s="1215">
        <v>139</v>
      </c>
      <c r="BU17" s="1219">
        <v>132</v>
      </c>
      <c r="BV17" s="1220">
        <v>134</v>
      </c>
      <c r="BW17" s="1215">
        <v>139</v>
      </c>
      <c r="BX17" s="1215">
        <v>127</v>
      </c>
      <c r="BY17" s="1221">
        <v>124</v>
      </c>
      <c r="BZ17" s="1218"/>
      <c r="CA17" s="1214"/>
      <c r="CB17" s="1214"/>
      <c r="CC17" s="1214"/>
      <c r="CD17" s="1218"/>
      <c r="CE17" s="1214"/>
      <c r="CF17" s="1214"/>
      <c r="CG17" s="1214"/>
      <c r="CH17" s="1218"/>
      <c r="CI17" s="1214"/>
      <c r="CJ17" s="1214"/>
      <c r="CK17" s="1214"/>
      <c r="CL17" s="1222"/>
      <c r="CM17" s="1400"/>
      <c r="CN17" s="1400"/>
      <c r="CO17" s="1400"/>
    </row>
    <row r="18" spans="1:93" ht="12" hidden="1" customHeight="1" outlineLevel="1">
      <c r="A18" s="1225" t="s">
        <v>34</v>
      </c>
      <c r="B18" s="1198"/>
      <c r="C18" s="1198"/>
      <c r="D18" s="1198"/>
      <c r="E18" s="1198"/>
      <c r="F18" s="1226"/>
      <c r="G18" s="1227"/>
      <c r="H18" s="1227"/>
      <c r="I18" s="1227"/>
      <c r="J18" s="1227">
        <f t="shared" ref="J18:O18" si="16">J17/I17-1</f>
        <v>-0.16842961757526442</v>
      </c>
      <c r="K18" s="1227">
        <f t="shared" si="16"/>
        <v>-0.3131115459882583</v>
      </c>
      <c r="L18" s="1227">
        <f t="shared" si="16"/>
        <v>-9.4017094017094016E-2</v>
      </c>
      <c r="M18" s="1227">
        <f t="shared" si="16"/>
        <v>9.4339622641510523E-3</v>
      </c>
      <c r="N18" s="1228">
        <f t="shared" si="16"/>
        <v>-0.14330218068535827</v>
      </c>
      <c r="O18" s="1228">
        <f t="shared" si="16"/>
        <v>-4.7272727272727244E-2</v>
      </c>
      <c r="P18" s="1229"/>
      <c r="Q18" s="1229"/>
      <c r="R18" s="1230"/>
      <c r="S18" s="1227"/>
      <c r="T18" s="1400"/>
      <c r="U18" s="1400"/>
      <c r="V18" s="1400"/>
      <c r="W18" s="1400"/>
      <c r="X18" s="1188"/>
      <c r="Y18" s="1188"/>
      <c r="Z18" s="1188"/>
      <c r="AA18" s="1226"/>
      <c r="AB18" s="1226"/>
      <c r="AC18" s="1226"/>
      <c r="AD18" s="1226"/>
      <c r="AE18" s="1226"/>
      <c r="AF18" s="1226"/>
      <c r="AG18" s="1226"/>
      <c r="AH18" s="1198"/>
      <c r="AI18" s="1226"/>
      <c r="AJ18" s="1226"/>
      <c r="AK18" s="1226"/>
      <c r="AL18" s="1226"/>
      <c r="AM18" s="1226"/>
      <c r="AN18" s="1226"/>
      <c r="AO18" s="1226"/>
      <c r="AP18" s="1226"/>
      <c r="AQ18" s="1227"/>
      <c r="AR18" s="1227"/>
      <c r="AS18" s="1227"/>
      <c r="AT18" s="1227"/>
      <c r="AU18" s="1227"/>
      <c r="AV18" s="1227"/>
      <c r="AW18" s="1227"/>
      <c r="AX18" s="1227"/>
      <c r="AY18" s="1227"/>
      <c r="AZ18" s="1227"/>
      <c r="BA18" s="1227"/>
      <c r="BB18" s="1227"/>
      <c r="BC18" s="1227"/>
      <c r="BD18" s="1227"/>
      <c r="BE18" s="1227"/>
      <c r="BF18" s="1227">
        <f t="shared" ref="BF18:BY18" si="17">BF17/BB17-1</f>
        <v>-0.31851851851851853</v>
      </c>
      <c r="BG18" s="1227">
        <f t="shared" si="17"/>
        <v>-0.37174721189591076</v>
      </c>
      <c r="BH18" s="1227">
        <f t="shared" si="17"/>
        <v>-0.25957446808510642</v>
      </c>
      <c r="BI18" s="1227">
        <f t="shared" si="17"/>
        <v>-0.29435483870967738</v>
      </c>
      <c r="BJ18" s="1227">
        <f t="shared" si="17"/>
        <v>-7.6086956521739135E-2</v>
      </c>
      <c r="BK18" s="1227">
        <f t="shared" si="17"/>
        <v>-2.9585798816568087E-2</v>
      </c>
      <c r="BL18" s="1227">
        <f t="shared" si="17"/>
        <v>-0.13218390804597702</v>
      </c>
      <c r="BM18" s="1227">
        <f t="shared" si="17"/>
        <v>-0.13714285714285712</v>
      </c>
      <c r="BN18" s="1231">
        <f t="shared" si="17"/>
        <v>-0.11764705882352944</v>
      </c>
      <c r="BO18" s="1227">
        <f t="shared" si="17"/>
        <v>4.8780487804878092E-2</v>
      </c>
      <c r="BP18" s="1227">
        <f t="shared" si="17"/>
        <v>5.2980132450331174E-2</v>
      </c>
      <c r="BQ18" s="1230">
        <f t="shared" si="17"/>
        <v>6.6225165562913801E-2</v>
      </c>
      <c r="BR18" s="1228">
        <f t="shared" si="17"/>
        <v>-2.6666666666666616E-2</v>
      </c>
      <c r="BS18" s="1228">
        <f t="shared" si="17"/>
        <v>-0.22674418604651159</v>
      </c>
      <c r="BT18" s="1228">
        <f t="shared" si="17"/>
        <v>-0.12578616352201255</v>
      </c>
      <c r="BU18" s="1232">
        <f t="shared" si="17"/>
        <v>-0.18012422360248448</v>
      </c>
      <c r="BV18" s="1233">
        <f t="shared" si="17"/>
        <v>-8.2191780821917804E-2</v>
      </c>
      <c r="BW18" s="1228">
        <f t="shared" si="17"/>
        <v>4.5112781954887327E-2</v>
      </c>
      <c r="BX18" s="1228">
        <f t="shared" si="17"/>
        <v>-8.633093525179858E-2</v>
      </c>
      <c r="BY18" s="1234">
        <f t="shared" si="17"/>
        <v>-6.0606060606060552E-2</v>
      </c>
      <c r="BZ18" s="1231"/>
      <c r="CA18" s="1227"/>
      <c r="CB18" s="1227"/>
      <c r="CC18" s="1227"/>
      <c r="CD18" s="1231"/>
      <c r="CE18" s="1227"/>
      <c r="CF18" s="1227"/>
      <c r="CG18" s="1227"/>
      <c r="CH18" s="1231"/>
      <c r="CI18" s="1227"/>
      <c r="CJ18" s="1227"/>
      <c r="CK18" s="1227"/>
      <c r="CL18" s="1222"/>
      <c r="CM18" s="1400"/>
      <c r="CN18" s="1400"/>
      <c r="CO18" s="1400"/>
    </row>
    <row r="19" spans="1:93" ht="12" hidden="1" customHeight="1" outlineLevel="1">
      <c r="A19" s="1225" t="s">
        <v>150</v>
      </c>
      <c r="B19" s="1198"/>
      <c r="C19" s="1198"/>
      <c r="D19" s="1198"/>
      <c r="E19" s="1198"/>
      <c r="F19" s="1226"/>
      <c r="G19" s="1227"/>
      <c r="H19" s="1227"/>
      <c r="I19" s="1214"/>
      <c r="J19" s="1227"/>
      <c r="K19" s="1227"/>
      <c r="L19" s="1227"/>
      <c r="M19" s="1227"/>
      <c r="N19" s="1228"/>
      <c r="O19" s="1228"/>
      <c r="P19" s="1229"/>
      <c r="Q19" s="1229"/>
      <c r="R19" s="1230"/>
      <c r="S19" s="1227"/>
      <c r="T19" s="1400"/>
      <c r="U19" s="1400"/>
      <c r="V19" s="1400"/>
      <c r="W19" s="1400"/>
      <c r="X19" s="1188"/>
      <c r="Y19" s="1188"/>
      <c r="Z19" s="1188"/>
      <c r="AA19" s="1226"/>
      <c r="AB19" s="1226"/>
      <c r="AC19" s="1226"/>
      <c r="AD19" s="1226"/>
      <c r="AE19" s="1226"/>
      <c r="AF19" s="1226"/>
      <c r="AG19" s="1226"/>
      <c r="AH19" s="1198"/>
      <c r="AI19" s="1226"/>
      <c r="AJ19" s="1226"/>
      <c r="AK19" s="1226"/>
      <c r="AL19" s="1226"/>
      <c r="AM19" s="1226"/>
      <c r="AN19" s="1226"/>
      <c r="AO19" s="1226"/>
      <c r="AP19" s="1226"/>
      <c r="AQ19" s="1227"/>
      <c r="AR19" s="1227"/>
      <c r="AS19" s="1227"/>
      <c r="AT19" s="1227"/>
      <c r="AU19" s="1227"/>
      <c r="AV19" s="1227"/>
      <c r="AW19" s="1227"/>
      <c r="AX19" s="1227"/>
      <c r="AY19" s="1227"/>
      <c r="AZ19" s="1227"/>
      <c r="BA19" s="1227"/>
      <c r="BB19" s="1227"/>
      <c r="BC19" s="1227">
        <f t="shared" ref="BC19:BY19" si="18">BC17/BB17-1</f>
        <v>-3.7037037037036535E-3</v>
      </c>
      <c r="BD19" s="1227">
        <f t="shared" si="18"/>
        <v>-0.12639405204460963</v>
      </c>
      <c r="BE19" s="1227">
        <f t="shared" si="18"/>
        <v>5.5319148936170182E-2</v>
      </c>
      <c r="BF19" s="1227">
        <f t="shared" si="18"/>
        <v>-0.25806451612903225</v>
      </c>
      <c r="BG19" s="1227">
        <f t="shared" si="18"/>
        <v>-8.1521739130434812E-2</v>
      </c>
      <c r="BH19" s="1227">
        <f t="shared" si="18"/>
        <v>2.9585798816567976E-2</v>
      </c>
      <c r="BI19" s="1227">
        <f t="shared" si="18"/>
        <v>5.7471264367816577E-3</v>
      </c>
      <c r="BJ19" s="1227">
        <f t="shared" si="18"/>
        <v>-2.8571428571428581E-2</v>
      </c>
      <c r="BK19" s="1227">
        <f t="shared" si="18"/>
        <v>-3.5294117647058809E-2</v>
      </c>
      <c r="BL19" s="1227">
        <f t="shared" si="18"/>
        <v>-7.9268292682926789E-2</v>
      </c>
      <c r="BM19" s="1227">
        <f t="shared" si="18"/>
        <v>0</v>
      </c>
      <c r="BN19" s="1231">
        <f t="shared" si="18"/>
        <v>-6.6225165562914245E-3</v>
      </c>
      <c r="BO19" s="1227">
        <f t="shared" si="18"/>
        <v>0.14666666666666672</v>
      </c>
      <c r="BP19" s="1227">
        <f t="shared" si="18"/>
        <v>-7.5581395348837233E-2</v>
      </c>
      <c r="BQ19" s="1230">
        <f t="shared" si="18"/>
        <v>1.2578616352201255E-2</v>
      </c>
      <c r="BR19" s="1228">
        <f t="shared" si="18"/>
        <v>-9.3167701863353991E-2</v>
      </c>
      <c r="BS19" s="1228">
        <f t="shared" si="18"/>
        <v>-8.9041095890410982E-2</v>
      </c>
      <c r="BT19" s="1228">
        <f t="shared" si="18"/>
        <v>4.5112781954887327E-2</v>
      </c>
      <c r="BU19" s="1232">
        <f t="shared" si="18"/>
        <v>-5.0359712230215847E-2</v>
      </c>
      <c r="BV19" s="1233">
        <f t="shared" si="18"/>
        <v>1.5151515151515138E-2</v>
      </c>
      <c r="BW19" s="1228">
        <f t="shared" si="18"/>
        <v>3.7313432835820892E-2</v>
      </c>
      <c r="BX19" s="1228">
        <f t="shared" si="18"/>
        <v>-8.633093525179858E-2</v>
      </c>
      <c r="BY19" s="1234">
        <f t="shared" si="18"/>
        <v>-2.3622047244094446E-2</v>
      </c>
      <c r="BZ19" s="1231"/>
      <c r="CA19" s="1227"/>
      <c r="CB19" s="1227"/>
      <c r="CC19" s="1227"/>
      <c r="CD19" s="1231"/>
      <c r="CE19" s="1227"/>
      <c r="CF19" s="1227"/>
      <c r="CG19" s="1227"/>
      <c r="CH19" s="1231"/>
      <c r="CI19" s="1227"/>
      <c r="CJ19" s="1227"/>
      <c r="CK19" s="1227"/>
      <c r="CL19" s="1222"/>
      <c r="CM19" s="1400"/>
      <c r="CN19" s="1400"/>
      <c r="CO19" s="1400"/>
    </row>
    <row r="20" spans="1:93" ht="12" hidden="1" customHeight="1" outlineLevel="1">
      <c r="A20" s="1225" t="s">
        <v>151</v>
      </c>
      <c r="B20" s="1198"/>
      <c r="C20" s="1198"/>
      <c r="D20" s="1198"/>
      <c r="E20" s="1198"/>
      <c r="F20" s="1227"/>
      <c r="G20" s="1227"/>
      <c r="H20" s="1227"/>
      <c r="I20" s="1227"/>
      <c r="J20" s="1227">
        <f t="shared" ref="J20:O20" si="19">J17/J$34</f>
        <v>6.6488842625723771E-2</v>
      </c>
      <c r="K20" s="1227">
        <f t="shared" si="19"/>
        <v>4.9132138857782753E-2</v>
      </c>
      <c r="L20" s="1227">
        <f t="shared" si="19"/>
        <v>4.6056919400391048E-2</v>
      </c>
      <c r="M20" s="1227">
        <f t="shared" si="19"/>
        <v>4.6177084082572109E-2</v>
      </c>
      <c r="N20" s="1228">
        <f t="shared" si="19"/>
        <v>3.9502980679451266E-2</v>
      </c>
      <c r="O20" s="1228">
        <f t="shared" si="19"/>
        <v>3.8031644650892725E-2</v>
      </c>
      <c r="P20" s="1229"/>
      <c r="Q20" s="1229"/>
      <c r="R20" s="1230"/>
      <c r="S20" s="1227"/>
      <c r="T20" s="1400"/>
      <c r="U20" s="1400"/>
      <c r="V20" s="1400"/>
      <c r="W20" s="1400"/>
      <c r="X20" s="1188"/>
      <c r="Y20" s="1188"/>
      <c r="Z20" s="1188"/>
      <c r="AA20" s="1226"/>
      <c r="AB20" s="1226"/>
      <c r="AC20" s="1226"/>
      <c r="AD20" s="1226"/>
      <c r="AE20" s="1226"/>
      <c r="AF20" s="1226"/>
      <c r="AG20" s="1226"/>
      <c r="AH20" s="1198"/>
      <c r="AI20" s="1226"/>
      <c r="AJ20" s="1226"/>
      <c r="AK20" s="1226"/>
      <c r="AL20" s="1226"/>
      <c r="AM20" s="1226"/>
      <c r="AN20" s="1226"/>
      <c r="AO20" s="1226"/>
      <c r="AP20" s="1226"/>
      <c r="AQ20" s="1227"/>
      <c r="AR20" s="1227"/>
      <c r="AS20" s="1227"/>
      <c r="AT20" s="1227"/>
      <c r="AU20" s="1227"/>
      <c r="AV20" s="1227"/>
      <c r="AW20" s="1227"/>
      <c r="AX20" s="1227"/>
      <c r="AY20" s="1227"/>
      <c r="AZ20" s="1227"/>
      <c r="BA20" s="1227"/>
      <c r="BB20" s="1227">
        <f t="shared" ref="BB20:BX20" si="20">BB17/BB$34</f>
        <v>6.7788099422545822E-2</v>
      </c>
      <c r="BC20" s="1227">
        <f t="shared" si="20"/>
        <v>6.8780363078496554E-2</v>
      </c>
      <c r="BD20" s="1227">
        <f t="shared" si="20"/>
        <v>6.2301166489925772E-2</v>
      </c>
      <c r="BE20" s="1227">
        <f t="shared" si="20"/>
        <v>6.6936572199730093E-2</v>
      </c>
      <c r="BF20" s="1227">
        <f t="shared" si="20"/>
        <v>5.0772626931567331E-2</v>
      </c>
      <c r="BG20" s="1227">
        <f t="shared" si="20"/>
        <v>4.6996662958843159E-2</v>
      </c>
      <c r="BH20" s="1227">
        <f t="shared" si="20"/>
        <v>4.8739495798319328E-2</v>
      </c>
      <c r="BI20" s="1227">
        <f t="shared" si="20"/>
        <v>5.0028587764436819E-2</v>
      </c>
      <c r="BJ20" s="1227">
        <f t="shared" si="20"/>
        <v>4.8836541223786271E-2</v>
      </c>
      <c r="BK20" s="1227">
        <f t="shared" si="20"/>
        <v>4.764671702498547E-2</v>
      </c>
      <c r="BL20" s="1227">
        <f t="shared" si="20"/>
        <v>4.3780806030733546E-2</v>
      </c>
      <c r="BM20" s="1227">
        <f t="shared" si="20"/>
        <v>4.3933663078265926E-2</v>
      </c>
      <c r="BN20" s="1231">
        <f t="shared" si="20"/>
        <v>4.3490866917947228E-2</v>
      </c>
      <c r="BO20" s="1227">
        <f t="shared" si="20"/>
        <v>4.9567723342939483E-2</v>
      </c>
      <c r="BP20" s="1227">
        <f t="shared" si="20"/>
        <v>4.5376712328767124E-2</v>
      </c>
      <c r="BQ20" s="1230">
        <f t="shared" si="20"/>
        <v>4.6264367816091952E-2</v>
      </c>
      <c r="BR20" s="1228">
        <f t="shared" si="20"/>
        <v>4.200230149597238E-2</v>
      </c>
      <c r="BS20" s="1228">
        <f t="shared" si="20"/>
        <v>3.8306451612903226E-2</v>
      </c>
      <c r="BT20" s="1228">
        <f t="shared" si="20"/>
        <v>3.9862345856036707E-2</v>
      </c>
      <c r="BU20" s="1232">
        <f t="shared" si="20"/>
        <v>3.7844036697247709E-2</v>
      </c>
      <c r="BV20" s="1233">
        <f t="shared" si="20"/>
        <v>3.8885664538595474E-2</v>
      </c>
      <c r="BW20" s="1228">
        <f t="shared" si="20"/>
        <v>4.0138608143228414E-2</v>
      </c>
      <c r="BX20" s="1228">
        <f t="shared" si="20"/>
        <v>3.6983110075713456E-2</v>
      </c>
      <c r="BY20" s="1234">
        <f>BY17/BY$34</f>
        <v>3.6098981077147013E-2</v>
      </c>
      <c r="BZ20" s="1231"/>
      <c r="CA20" s="1227"/>
      <c r="CB20" s="1227"/>
      <c r="CC20" s="1227"/>
      <c r="CD20" s="1231"/>
      <c r="CE20" s="1227"/>
      <c r="CF20" s="1227"/>
      <c r="CG20" s="1227"/>
      <c r="CH20" s="1231"/>
      <c r="CI20" s="1227"/>
      <c r="CJ20" s="1227"/>
      <c r="CK20" s="1227"/>
      <c r="CL20" s="1222"/>
      <c r="CM20" s="1400"/>
      <c r="CN20" s="1400"/>
      <c r="CO20" s="1400"/>
    </row>
    <row r="21" spans="1:93" ht="15" hidden="1" customHeight="1" outlineLevel="1">
      <c r="A21" s="1213" t="s">
        <v>154</v>
      </c>
      <c r="B21" s="1213"/>
      <c r="C21" s="1213"/>
      <c r="D21" s="1213"/>
      <c r="E21" s="1213"/>
      <c r="F21" s="1214"/>
      <c r="G21" s="1214"/>
      <c r="H21" s="1214"/>
      <c r="I21" s="1214">
        <v>3906</v>
      </c>
      <c r="J21" s="1214">
        <v>3797</v>
      </c>
      <c r="K21" s="1214">
        <v>3765</v>
      </c>
      <c r="L21" s="1214">
        <v>3833</v>
      </c>
      <c r="M21" s="1214">
        <v>4099</v>
      </c>
      <c r="N21" s="1215">
        <v>4564</v>
      </c>
      <c r="O21" s="1215">
        <v>5073</v>
      </c>
      <c r="P21" s="1216"/>
      <c r="Q21" s="1216"/>
      <c r="R21" s="1217"/>
      <c r="S21" s="1214"/>
      <c r="T21" s="1400"/>
      <c r="U21" s="1400"/>
      <c r="V21" s="1400"/>
      <c r="W21" s="1400"/>
      <c r="X21" s="1188"/>
      <c r="Y21" s="1188"/>
      <c r="Z21" s="1188"/>
      <c r="AA21" s="1214"/>
      <c r="AB21" s="1214"/>
      <c r="AC21" s="1214"/>
      <c r="AD21" s="1214"/>
      <c r="AE21" s="1214"/>
      <c r="AF21" s="1214"/>
      <c r="AG21" s="1214"/>
      <c r="AH21" s="1213"/>
      <c r="AI21" s="1214"/>
      <c r="AJ21" s="1214"/>
      <c r="AK21" s="1214"/>
      <c r="AL21" s="1214"/>
      <c r="AM21" s="1214"/>
      <c r="AN21" s="1214"/>
      <c r="AO21" s="1214"/>
      <c r="AP21" s="1214"/>
      <c r="AQ21" s="1214"/>
      <c r="AR21" s="1214"/>
      <c r="AS21" s="1214"/>
      <c r="AT21" s="1214"/>
      <c r="AU21" s="1214"/>
      <c r="AV21" s="1214"/>
      <c r="AW21" s="1214"/>
      <c r="AX21" s="1214"/>
      <c r="AY21" s="1214"/>
      <c r="AZ21" s="1214"/>
      <c r="BA21" s="1214"/>
      <c r="BB21" s="1214">
        <v>972</v>
      </c>
      <c r="BC21" s="1214">
        <v>956</v>
      </c>
      <c r="BD21" s="1214">
        <v>921</v>
      </c>
      <c r="BE21" s="1214">
        <v>948</v>
      </c>
      <c r="BF21" s="1214">
        <v>941</v>
      </c>
      <c r="BG21" s="1214">
        <v>942</v>
      </c>
      <c r="BH21" s="1214">
        <v>942</v>
      </c>
      <c r="BI21" s="1214">
        <v>940</v>
      </c>
      <c r="BJ21" s="1214">
        <v>946</v>
      </c>
      <c r="BK21" s="1214">
        <v>969</v>
      </c>
      <c r="BL21" s="1214">
        <v>944</v>
      </c>
      <c r="BM21" s="1214">
        <v>974</v>
      </c>
      <c r="BN21" s="1218">
        <v>987</v>
      </c>
      <c r="BO21" s="1214">
        <v>996</v>
      </c>
      <c r="BP21" s="1214">
        <v>1068</v>
      </c>
      <c r="BQ21" s="1217">
        <v>1048</v>
      </c>
      <c r="BR21" s="1215">
        <v>1091</v>
      </c>
      <c r="BS21" s="1215">
        <v>1109</v>
      </c>
      <c r="BT21" s="1215">
        <v>1143</v>
      </c>
      <c r="BU21" s="1219">
        <v>1221</v>
      </c>
      <c r="BV21" s="1220">
        <v>1220</v>
      </c>
      <c r="BW21" s="1215">
        <v>1247</v>
      </c>
      <c r="BX21" s="1215">
        <v>1279</v>
      </c>
      <c r="BY21" s="1221">
        <v>1327</v>
      </c>
      <c r="BZ21" s="1218"/>
      <c r="CA21" s="1214"/>
      <c r="CB21" s="1214"/>
      <c r="CC21" s="1214"/>
      <c r="CD21" s="1218"/>
      <c r="CE21" s="1214"/>
      <c r="CF21" s="1214"/>
      <c r="CG21" s="1214"/>
      <c r="CH21" s="1218"/>
      <c r="CI21" s="1214"/>
      <c r="CJ21" s="1214"/>
      <c r="CK21" s="1214"/>
      <c r="CL21" s="1222"/>
      <c r="CM21" s="1400"/>
      <c r="CN21" s="1400"/>
      <c r="CO21" s="1400"/>
    </row>
    <row r="22" spans="1:93" ht="12" hidden="1" customHeight="1" outlineLevel="1">
      <c r="A22" s="1225" t="s">
        <v>34</v>
      </c>
      <c r="B22" s="1198"/>
      <c r="C22" s="1198"/>
      <c r="D22" s="1198"/>
      <c r="E22" s="1198"/>
      <c r="F22" s="1226"/>
      <c r="G22" s="1227"/>
      <c r="H22" s="1227"/>
      <c r="I22" s="1227"/>
      <c r="J22" s="1227">
        <f t="shared" ref="J22:O22" si="21">J21/I21-1</f>
        <v>-2.7905785970302133E-2</v>
      </c>
      <c r="K22" s="1227">
        <f t="shared" si="21"/>
        <v>-8.4277060837503193E-3</v>
      </c>
      <c r="L22" s="1227">
        <f t="shared" si="21"/>
        <v>1.8061088977423534E-2</v>
      </c>
      <c r="M22" s="1227">
        <f t="shared" si="21"/>
        <v>6.9397338899034766E-2</v>
      </c>
      <c r="N22" s="1228">
        <f t="shared" si="21"/>
        <v>0.11344230300073188</v>
      </c>
      <c r="O22" s="1228">
        <f t="shared" si="21"/>
        <v>0.11152497808939521</v>
      </c>
      <c r="P22" s="1229"/>
      <c r="Q22" s="1229"/>
      <c r="R22" s="1230"/>
      <c r="S22" s="1227"/>
      <c r="T22" s="1400"/>
      <c r="U22" s="1400"/>
      <c r="V22" s="1400"/>
      <c r="W22" s="1400"/>
      <c r="X22" s="1188"/>
      <c r="Y22" s="1188"/>
      <c r="Z22" s="1188"/>
      <c r="AA22" s="1226"/>
      <c r="AB22" s="1226"/>
      <c r="AC22" s="1226"/>
      <c r="AD22" s="1226"/>
      <c r="AE22" s="1226"/>
      <c r="AF22" s="1226"/>
      <c r="AG22" s="1226"/>
      <c r="AH22" s="1198"/>
      <c r="AI22" s="1226"/>
      <c r="AJ22" s="1226"/>
      <c r="AK22" s="1226"/>
      <c r="AL22" s="1226"/>
      <c r="AM22" s="1226"/>
      <c r="AN22" s="1226"/>
      <c r="AO22" s="1226"/>
      <c r="AP22" s="1226"/>
      <c r="AQ22" s="1227"/>
      <c r="AR22" s="1227"/>
      <c r="AS22" s="1227"/>
      <c r="AT22" s="1227"/>
      <c r="AU22" s="1227"/>
      <c r="AV22" s="1227"/>
      <c r="AW22" s="1227"/>
      <c r="AX22" s="1227"/>
      <c r="AY22" s="1227"/>
      <c r="AZ22" s="1227"/>
      <c r="BA22" s="1227"/>
      <c r="BB22" s="1227"/>
      <c r="BC22" s="1227"/>
      <c r="BD22" s="1227"/>
      <c r="BE22" s="1227"/>
      <c r="BF22" s="1227">
        <f t="shared" ref="BF22:BY22" si="22">BF21/BB21-1</f>
        <v>-3.1893004115226331E-2</v>
      </c>
      <c r="BG22" s="1227">
        <f t="shared" si="22"/>
        <v>-1.4644351464435101E-2</v>
      </c>
      <c r="BH22" s="1227">
        <f t="shared" si="22"/>
        <v>2.2801302931596101E-2</v>
      </c>
      <c r="BI22" s="1227">
        <f t="shared" si="22"/>
        <v>-8.4388185654008518E-3</v>
      </c>
      <c r="BJ22" s="1227">
        <f t="shared" si="22"/>
        <v>5.3134962805525543E-3</v>
      </c>
      <c r="BK22" s="1227">
        <f t="shared" si="22"/>
        <v>2.866242038216571E-2</v>
      </c>
      <c r="BL22" s="1227">
        <f t="shared" si="22"/>
        <v>2.1231422505307851E-3</v>
      </c>
      <c r="BM22" s="1227">
        <f t="shared" si="22"/>
        <v>3.6170212765957555E-2</v>
      </c>
      <c r="BN22" s="1231">
        <f t="shared" si="22"/>
        <v>4.3340380549682811E-2</v>
      </c>
      <c r="BO22" s="1227">
        <f t="shared" si="22"/>
        <v>2.7863777089783381E-2</v>
      </c>
      <c r="BP22" s="1227">
        <f t="shared" si="22"/>
        <v>0.13135593220338992</v>
      </c>
      <c r="BQ22" s="1230">
        <f t="shared" si="22"/>
        <v>7.5975359342915771E-2</v>
      </c>
      <c r="BR22" s="1228">
        <f t="shared" si="22"/>
        <v>0.10536980749746716</v>
      </c>
      <c r="BS22" s="1228">
        <f t="shared" si="22"/>
        <v>0.11345381526104426</v>
      </c>
      <c r="BT22" s="1228">
        <f t="shared" si="22"/>
        <v>7.02247191011236E-2</v>
      </c>
      <c r="BU22" s="1232">
        <f t="shared" si="22"/>
        <v>0.16507633587786263</v>
      </c>
      <c r="BV22" s="1233">
        <f t="shared" si="22"/>
        <v>0.11824014665444538</v>
      </c>
      <c r="BW22" s="1228">
        <f t="shared" si="22"/>
        <v>0.12443642921550957</v>
      </c>
      <c r="BX22" s="1228">
        <f t="shared" si="22"/>
        <v>0.11898512685914264</v>
      </c>
      <c r="BY22" s="1234">
        <f t="shared" si="22"/>
        <v>8.6814086814086755E-2</v>
      </c>
      <c r="BZ22" s="1231"/>
      <c r="CA22" s="1227"/>
      <c r="CB22" s="1227"/>
      <c r="CC22" s="1227"/>
      <c r="CD22" s="1231"/>
      <c r="CE22" s="1227"/>
      <c r="CF22" s="1227"/>
      <c r="CG22" s="1227"/>
      <c r="CH22" s="1231"/>
      <c r="CI22" s="1227"/>
      <c r="CJ22" s="1227"/>
      <c r="CK22" s="1227"/>
      <c r="CL22" s="1222"/>
      <c r="CM22" s="1400"/>
      <c r="CN22" s="1400"/>
      <c r="CO22" s="1400"/>
    </row>
    <row r="23" spans="1:93" ht="12" hidden="1" customHeight="1" outlineLevel="1">
      <c r="A23" s="1225" t="s">
        <v>150</v>
      </c>
      <c r="B23" s="1198"/>
      <c r="C23" s="1198"/>
      <c r="D23" s="1198"/>
      <c r="E23" s="1198"/>
      <c r="F23" s="1226"/>
      <c r="G23" s="1227"/>
      <c r="H23" s="1226"/>
      <c r="I23" s="1227"/>
      <c r="J23" s="1227"/>
      <c r="K23" s="1227"/>
      <c r="L23" s="1227"/>
      <c r="M23" s="1227"/>
      <c r="N23" s="1228"/>
      <c r="O23" s="1228"/>
      <c r="P23" s="1229"/>
      <c r="Q23" s="1229"/>
      <c r="R23" s="1230"/>
      <c r="S23" s="1227"/>
      <c r="T23" s="1400"/>
      <c r="U23" s="1400"/>
      <c r="V23" s="1400"/>
      <c r="W23" s="1400"/>
      <c r="X23" s="1188"/>
      <c r="Y23" s="1188"/>
      <c r="Z23" s="1188"/>
      <c r="AA23" s="1226"/>
      <c r="AB23" s="1226"/>
      <c r="AC23" s="1226"/>
      <c r="AD23" s="1226"/>
      <c r="AE23" s="1226"/>
      <c r="AF23" s="1226"/>
      <c r="AG23" s="1226"/>
      <c r="AH23" s="1198"/>
      <c r="AI23" s="1226"/>
      <c r="AJ23" s="1226"/>
      <c r="AK23" s="1226"/>
      <c r="AL23" s="1226"/>
      <c r="AM23" s="1226"/>
      <c r="AN23" s="1226"/>
      <c r="AO23" s="1226"/>
      <c r="AP23" s="1226"/>
      <c r="AQ23" s="1227"/>
      <c r="AR23" s="1227"/>
      <c r="AS23" s="1227"/>
      <c r="AT23" s="1227"/>
      <c r="AU23" s="1227"/>
      <c r="AV23" s="1227"/>
      <c r="AW23" s="1227"/>
      <c r="AX23" s="1227"/>
      <c r="AY23" s="1227"/>
      <c r="AZ23" s="1227"/>
      <c r="BA23" s="1227"/>
      <c r="BB23" s="1227"/>
      <c r="BC23" s="1227">
        <f t="shared" ref="BC23:BY23" si="23">BC21/BB21-1</f>
        <v>-1.6460905349794275E-2</v>
      </c>
      <c r="BD23" s="1227">
        <f t="shared" si="23"/>
        <v>-3.661087866108792E-2</v>
      </c>
      <c r="BE23" s="1227">
        <f t="shared" si="23"/>
        <v>2.931596091205213E-2</v>
      </c>
      <c r="BF23" s="1227">
        <f t="shared" si="23"/>
        <v>-7.3839662447257037E-3</v>
      </c>
      <c r="BG23" s="1227">
        <f t="shared" si="23"/>
        <v>1.0626992561104665E-3</v>
      </c>
      <c r="BH23" s="1227">
        <f t="shared" si="23"/>
        <v>0</v>
      </c>
      <c r="BI23" s="1227">
        <f t="shared" si="23"/>
        <v>-2.1231422505307851E-3</v>
      </c>
      <c r="BJ23" s="1227">
        <f t="shared" si="23"/>
        <v>6.382978723404209E-3</v>
      </c>
      <c r="BK23" s="1227">
        <f t="shared" si="23"/>
        <v>2.4312896405919604E-2</v>
      </c>
      <c r="BL23" s="1227">
        <f t="shared" si="23"/>
        <v>-2.5799793601651189E-2</v>
      </c>
      <c r="BM23" s="1227">
        <f t="shared" si="23"/>
        <v>3.1779661016949179E-2</v>
      </c>
      <c r="BN23" s="1231">
        <f t="shared" si="23"/>
        <v>1.3347022587268942E-2</v>
      </c>
      <c r="BO23" s="1227">
        <f t="shared" si="23"/>
        <v>9.1185410334346795E-3</v>
      </c>
      <c r="BP23" s="1227">
        <f t="shared" si="23"/>
        <v>7.2289156626506035E-2</v>
      </c>
      <c r="BQ23" s="1230">
        <f t="shared" si="23"/>
        <v>-1.8726591760299671E-2</v>
      </c>
      <c r="BR23" s="1228">
        <f t="shared" si="23"/>
        <v>4.1030534351145009E-2</v>
      </c>
      <c r="BS23" s="1228">
        <f t="shared" si="23"/>
        <v>1.6498625114573784E-2</v>
      </c>
      <c r="BT23" s="1228">
        <f t="shared" si="23"/>
        <v>3.0658250676284915E-2</v>
      </c>
      <c r="BU23" s="1232">
        <f t="shared" si="23"/>
        <v>6.8241469816272993E-2</v>
      </c>
      <c r="BV23" s="1233">
        <f t="shared" si="23"/>
        <v>-8.1900081900077026E-4</v>
      </c>
      <c r="BW23" s="1228">
        <f t="shared" si="23"/>
        <v>2.2131147540983553E-2</v>
      </c>
      <c r="BX23" s="1228">
        <f t="shared" si="23"/>
        <v>2.566158781074579E-2</v>
      </c>
      <c r="BY23" s="1234">
        <f t="shared" si="23"/>
        <v>3.7529319781078874E-2</v>
      </c>
      <c r="BZ23" s="1231"/>
      <c r="CA23" s="1227"/>
      <c r="CB23" s="1227"/>
      <c r="CC23" s="1227"/>
      <c r="CD23" s="1231"/>
      <c r="CE23" s="1227"/>
      <c r="CF23" s="1227"/>
      <c r="CG23" s="1227"/>
      <c r="CH23" s="1231"/>
      <c r="CI23" s="1227"/>
      <c r="CJ23" s="1227"/>
      <c r="CK23" s="1227"/>
      <c r="CL23" s="1222"/>
      <c r="CM23" s="1400"/>
      <c r="CN23" s="1400"/>
      <c r="CO23" s="1400"/>
    </row>
    <row r="24" spans="1:93" ht="12" hidden="1" customHeight="1" outlineLevel="1">
      <c r="A24" s="1225" t="s">
        <v>151</v>
      </c>
      <c r="B24" s="1198"/>
      <c r="C24" s="1198"/>
      <c r="D24" s="1198"/>
      <c r="E24" s="1198"/>
      <c r="F24" s="1227"/>
      <c r="G24" s="1227"/>
      <c r="H24" s="1227"/>
      <c r="I24" s="1227"/>
      <c r="J24" s="1227">
        <f t="shared" ref="J24:O24" si="24">J21/J$34</f>
        <v>0.24702361590007157</v>
      </c>
      <c r="K24" s="1227">
        <f t="shared" si="24"/>
        <v>0.26350783874580069</v>
      </c>
      <c r="L24" s="1227">
        <f t="shared" si="24"/>
        <v>0.27757259758128755</v>
      </c>
      <c r="M24" s="1227">
        <f t="shared" si="24"/>
        <v>0.29482845429044091</v>
      </c>
      <c r="N24" s="1228">
        <f t="shared" si="24"/>
        <v>0.32780291603821016</v>
      </c>
      <c r="O24" s="1228">
        <f t="shared" si="24"/>
        <v>0.36819567426331834</v>
      </c>
      <c r="P24" s="1229"/>
      <c r="Q24" s="1229"/>
      <c r="R24" s="1230"/>
      <c r="S24" s="1227"/>
      <c r="T24" s="1400"/>
      <c r="U24" s="1400"/>
      <c r="V24" s="1400"/>
      <c r="W24" s="1400"/>
      <c r="X24" s="1188"/>
      <c r="Y24" s="1188"/>
      <c r="Z24" s="1188"/>
      <c r="AA24" s="1226"/>
      <c r="AB24" s="1226"/>
      <c r="AC24" s="1226"/>
      <c r="AD24" s="1226"/>
      <c r="AE24" s="1226"/>
      <c r="AF24" s="1226"/>
      <c r="AG24" s="1226"/>
      <c r="AH24" s="1198"/>
      <c r="AI24" s="1226"/>
      <c r="AJ24" s="1226"/>
      <c r="AK24" s="1226"/>
      <c r="AL24" s="1226"/>
      <c r="AM24" s="1226"/>
      <c r="AN24" s="1226"/>
      <c r="AO24" s="1226"/>
      <c r="AP24" s="1226"/>
      <c r="AQ24" s="1227"/>
      <c r="AR24" s="1227"/>
      <c r="AS24" s="1227"/>
      <c r="AT24" s="1227"/>
      <c r="AU24" s="1227"/>
      <c r="AV24" s="1227"/>
      <c r="AW24" s="1227"/>
      <c r="AX24" s="1227"/>
      <c r="AY24" s="1227"/>
      <c r="AZ24" s="1227"/>
      <c r="BA24" s="1227"/>
      <c r="BB24" s="1227">
        <f t="shared" ref="BB24:BX24" si="25">BB21/BB$34</f>
        <v>0.24403715792116495</v>
      </c>
      <c r="BC24" s="1227">
        <f t="shared" si="25"/>
        <v>0.24443876246484275</v>
      </c>
      <c r="BD24" s="1227">
        <f t="shared" si="25"/>
        <v>0.24416755037115589</v>
      </c>
      <c r="BE24" s="1227">
        <f t="shared" si="25"/>
        <v>0.25587044534412956</v>
      </c>
      <c r="BF24" s="1227">
        <f t="shared" si="25"/>
        <v>0.25965783664459163</v>
      </c>
      <c r="BG24" s="1227">
        <f t="shared" si="25"/>
        <v>0.26195773081201335</v>
      </c>
      <c r="BH24" s="1227">
        <f t="shared" si="25"/>
        <v>0.2638655462184874</v>
      </c>
      <c r="BI24" s="1227">
        <f t="shared" si="25"/>
        <v>0.2687249857061178</v>
      </c>
      <c r="BJ24" s="1227">
        <f t="shared" si="25"/>
        <v>0.27176098822177536</v>
      </c>
      <c r="BK24" s="1227">
        <f t="shared" si="25"/>
        <v>0.28152237071470076</v>
      </c>
      <c r="BL24" s="1227">
        <f t="shared" si="25"/>
        <v>0.27370252247028126</v>
      </c>
      <c r="BM24" s="1227">
        <f t="shared" si="25"/>
        <v>0.28338667442537097</v>
      </c>
      <c r="BN24" s="1231">
        <f t="shared" si="25"/>
        <v>0.28616990432009276</v>
      </c>
      <c r="BO24" s="1227">
        <f t="shared" si="25"/>
        <v>0.28703170028818442</v>
      </c>
      <c r="BP24" s="1227">
        <f t="shared" si="25"/>
        <v>0.3047945205479452</v>
      </c>
      <c r="BQ24" s="1230">
        <f t="shared" si="25"/>
        <v>0.30114942528735633</v>
      </c>
      <c r="BR24" s="1228">
        <f t="shared" si="25"/>
        <v>0.31386651323360182</v>
      </c>
      <c r="BS24" s="1228">
        <f t="shared" si="25"/>
        <v>0.31941244239631339</v>
      </c>
      <c r="BT24" s="1228">
        <f t="shared" si="25"/>
        <v>0.3277889303125896</v>
      </c>
      <c r="BU24" s="1232">
        <f t="shared" si="25"/>
        <v>0.35005733944954126</v>
      </c>
      <c r="BV24" s="1233">
        <f t="shared" si="25"/>
        <v>0.35403366221706328</v>
      </c>
      <c r="BW24" s="1228">
        <f t="shared" si="25"/>
        <v>0.36009240542881893</v>
      </c>
      <c r="BX24" s="1228">
        <f t="shared" si="25"/>
        <v>0.37245195107746071</v>
      </c>
      <c r="BY24" s="1234">
        <f>BY21/BY$34</f>
        <v>0.38631732168850075</v>
      </c>
      <c r="BZ24" s="1231"/>
      <c r="CA24" s="1227"/>
      <c r="CB24" s="1227"/>
      <c r="CC24" s="1227"/>
      <c r="CD24" s="1231"/>
      <c r="CE24" s="1227"/>
      <c r="CF24" s="1227"/>
      <c r="CG24" s="1227"/>
      <c r="CH24" s="1231"/>
      <c r="CI24" s="1227"/>
      <c r="CJ24" s="1227"/>
      <c r="CK24" s="1227"/>
      <c r="CL24" s="1222"/>
      <c r="CM24" s="1400"/>
      <c r="CN24" s="1400"/>
      <c r="CO24" s="1400"/>
    </row>
    <row r="25" spans="1:93" ht="15" hidden="1" customHeight="1" outlineLevel="1">
      <c r="A25" s="1213" t="s">
        <v>155</v>
      </c>
      <c r="B25" s="1213"/>
      <c r="C25" s="1213"/>
      <c r="D25" s="1213"/>
      <c r="E25" s="1213"/>
      <c r="F25" s="1214"/>
      <c r="G25" s="1214"/>
      <c r="H25" s="1214"/>
      <c r="I25" s="1214">
        <v>688</v>
      </c>
      <c r="J25" s="1214">
        <v>694</v>
      </c>
      <c r="K25" s="1214">
        <v>594</v>
      </c>
      <c r="L25" s="1214">
        <v>510</v>
      </c>
      <c r="M25" s="1214">
        <v>521</v>
      </c>
      <c r="N25" s="1215">
        <v>557</v>
      </c>
      <c r="O25" s="1215">
        <v>560</v>
      </c>
      <c r="P25" s="1216"/>
      <c r="Q25" s="1216"/>
      <c r="R25" s="1217"/>
      <c r="S25" s="1214"/>
      <c r="T25" s="1400"/>
      <c r="U25" s="1400"/>
      <c r="V25" s="1400"/>
      <c r="W25" s="1400"/>
      <c r="X25" s="1188"/>
      <c r="Y25" s="1188"/>
      <c r="Z25" s="1188"/>
      <c r="AA25" s="1214"/>
      <c r="AB25" s="1214"/>
      <c r="AC25" s="1214"/>
      <c r="AD25" s="1214"/>
      <c r="AE25" s="1214"/>
      <c r="AF25" s="1214"/>
      <c r="AG25" s="1214"/>
      <c r="AH25" s="1213"/>
      <c r="AI25" s="1214"/>
      <c r="AJ25" s="1214"/>
      <c r="AK25" s="1214"/>
      <c r="AL25" s="1214"/>
      <c r="AM25" s="1214"/>
      <c r="AN25" s="1214"/>
      <c r="AO25" s="1214"/>
      <c r="AP25" s="1214"/>
      <c r="AQ25" s="1214"/>
      <c r="AR25" s="1214"/>
      <c r="AS25" s="1214"/>
      <c r="AT25" s="1214"/>
      <c r="AU25" s="1214"/>
      <c r="AV25" s="1214"/>
      <c r="AW25" s="1214"/>
      <c r="AX25" s="1214"/>
      <c r="AY25" s="1214"/>
      <c r="AZ25" s="1214"/>
      <c r="BA25" s="1214"/>
      <c r="BB25" s="1214">
        <v>188</v>
      </c>
      <c r="BC25" s="1214">
        <v>183</v>
      </c>
      <c r="BD25" s="1214">
        <v>179</v>
      </c>
      <c r="BE25" s="1214">
        <v>144</v>
      </c>
      <c r="BF25" s="1214">
        <v>151</v>
      </c>
      <c r="BG25" s="1214">
        <v>153</v>
      </c>
      <c r="BH25" s="1214">
        <v>152</v>
      </c>
      <c r="BI25" s="1214">
        <v>138</v>
      </c>
      <c r="BJ25" s="1214">
        <v>126</v>
      </c>
      <c r="BK25" s="1214">
        <v>128</v>
      </c>
      <c r="BL25" s="1214">
        <v>132</v>
      </c>
      <c r="BM25" s="1214">
        <v>124</v>
      </c>
      <c r="BN25" s="1218">
        <v>124</v>
      </c>
      <c r="BO25" s="1214">
        <v>130</v>
      </c>
      <c r="BP25" s="1214">
        <v>129</v>
      </c>
      <c r="BQ25" s="1217">
        <v>138</v>
      </c>
      <c r="BR25" s="1215">
        <v>139</v>
      </c>
      <c r="BS25" s="1215">
        <v>142</v>
      </c>
      <c r="BT25" s="1215">
        <v>135</v>
      </c>
      <c r="BU25" s="1219">
        <v>141</v>
      </c>
      <c r="BV25" s="1220">
        <v>139</v>
      </c>
      <c r="BW25" s="1215">
        <v>139</v>
      </c>
      <c r="BX25" s="1215">
        <v>144</v>
      </c>
      <c r="BY25" s="1221">
        <v>138</v>
      </c>
      <c r="BZ25" s="1218"/>
      <c r="CA25" s="1214"/>
      <c r="CB25" s="1214"/>
      <c r="CC25" s="1214"/>
      <c r="CD25" s="1218"/>
      <c r="CE25" s="1214"/>
      <c r="CF25" s="1214"/>
      <c r="CG25" s="1214"/>
      <c r="CH25" s="1218"/>
      <c r="CI25" s="1214"/>
      <c r="CJ25" s="1214"/>
      <c r="CK25" s="1214"/>
      <c r="CL25" s="1222"/>
      <c r="CM25" s="1400"/>
      <c r="CN25" s="1400"/>
      <c r="CO25" s="1400"/>
    </row>
    <row r="26" spans="1:93" ht="12" hidden="1" customHeight="1" outlineLevel="1">
      <c r="A26" s="1225" t="s">
        <v>34</v>
      </c>
      <c r="B26" s="1198"/>
      <c r="C26" s="1198"/>
      <c r="D26" s="1198"/>
      <c r="E26" s="1198"/>
      <c r="F26" s="1226"/>
      <c r="G26" s="1227"/>
      <c r="H26" s="1227"/>
      <c r="I26" s="1227"/>
      <c r="J26" s="1227">
        <f t="shared" ref="J26:O26" si="26">J25/I25-1</f>
        <v>8.720930232558155E-3</v>
      </c>
      <c r="K26" s="1227">
        <f t="shared" si="26"/>
        <v>-0.14409221902017288</v>
      </c>
      <c r="L26" s="1227">
        <f t="shared" si="26"/>
        <v>-0.14141414141414144</v>
      </c>
      <c r="M26" s="1227">
        <f t="shared" si="26"/>
        <v>2.1568627450980316E-2</v>
      </c>
      <c r="N26" s="1228">
        <f t="shared" si="26"/>
        <v>6.909788867562372E-2</v>
      </c>
      <c r="O26" s="1228">
        <f t="shared" si="26"/>
        <v>5.3859964093356805E-3</v>
      </c>
      <c r="P26" s="1229"/>
      <c r="Q26" s="1229"/>
      <c r="R26" s="1230"/>
      <c r="S26" s="1227"/>
      <c r="T26" s="1400"/>
      <c r="U26" s="1400"/>
      <c r="V26" s="1400"/>
      <c r="W26" s="1400"/>
      <c r="X26" s="1188"/>
      <c r="Y26" s="1188"/>
      <c r="Z26" s="1188"/>
      <c r="AA26" s="1226"/>
      <c r="AB26" s="1226"/>
      <c r="AC26" s="1226"/>
      <c r="AD26" s="1226"/>
      <c r="AE26" s="1226"/>
      <c r="AF26" s="1226"/>
      <c r="AG26" s="1226"/>
      <c r="AH26" s="1198"/>
      <c r="AI26" s="1226"/>
      <c r="AJ26" s="1226"/>
      <c r="AK26" s="1226"/>
      <c r="AL26" s="1226"/>
      <c r="AM26" s="1226"/>
      <c r="AN26" s="1226"/>
      <c r="AO26" s="1226"/>
      <c r="AP26" s="1226"/>
      <c r="AQ26" s="1227"/>
      <c r="AR26" s="1227"/>
      <c r="AS26" s="1227"/>
      <c r="AT26" s="1227"/>
      <c r="AU26" s="1227"/>
      <c r="AV26" s="1227"/>
      <c r="AW26" s="1227"/>
      <c r="AX26" s="1227"/>
      <c r="AY26" s="1227"/>
      <c r="AZ26" s="1227"/>
      <c r="BA26" s="1227"/>
      <c r="BB26" s="1227"/>
      <c r="BC26" s="1227"/>
      <c r="BD26" s="1227"/>
      <c r="BE26" s="1227"/>
      <c r="BF26" s="1227">
        <f t="shared" ref="BF26:BY26" si="27">BF25/BB25-1</f>
        <v>-0.19680851063829785</v>
      </c>
      <c r="BG26" s="1227">
        <f t="shared" si="27"/>
        <v>-0.16393442622950816</v>
      </c>
      <c r="BH26" s="1227">
        <f t="shared" si="27"/>
        <v>-0.15083798882681565</v>
      </c>
      <c r="BI26" s="1227">
        <f t="shared" si="27"/>
        <v>-4.166666666666663E-2</v>
      </c>
      <c r="BJ26" s="1227">
        <f t="shared" si="27"/>
        <v>-0.16556291390728473</v>
      </c>
      <c r="BK26" s="1227">
        <f t="shared" si="27"/>
        <v>-0.16339869281045749</v>
      </c>
      <c r="BL26" s="1227">
        <f t="shared" si="27"/>
        <v>-0.13157894736842102</v>
      </c>
      <c r="BM26" s="1227">
        <f t="shared" si="27"/>
        <v>-0.10144927536231885</v>
      </c>
      <c r="BN26" s="1231">
        <f t="shared" si="27"/>
        <v>-1.5873015873015928E-2</v>
      </c>
      <c r="BO26" s="1227">
        <f t="shared" si="27"/>
        <v>1.5625E-2</v>
      </c>
      <c r="BP26" s="1227">
        <f t="shared" si="27"/>
        <v>-2.2727272727272707E-2</v>
      </c>
      <c r="BQ26" s="1230">
        <f t="shared" si="27"/>
        <v>0.11290322580645151</v>
      </c>
      <c r="BR26" s="1228">
        <f t="shared" si="27"/>
        <v>0.12096774193548376</v>
      </c>
      <c r="BS26" s="1228">
        <f t="shared" si="27"/>
        <v>9.2307692307692202E-2</v>
      </c>
      <c r="BT26" s="1228">
        <f t="shared" si="27"/>
        <v>4.6511627906976827E-2</v>
      </c>
      <c r="BU26" s="1232">
        <f t="shared" si="27"/>
        <v>2.1739130434782705E-2</v>
      </c>
      <c r="BV26" s="1233">
        <f t="shared" si="27"/>
        <v>0</v>
      </c>
      <c r="BW26" s="1228">
        <f t="shared" si="27"/>
        <v>-2.1126760563380254E-2</v>
      </c>
      <c r="BX26" s="1228">
        <f t="shared" si="27"/>
        <v>6.6666666666666652E-2</v>
      </c>
      <c r="BY26" s="1234">
        <f t="shared" si="27"/>
        <v>-2.1276595744680882E-2</v>
      </c>
      <c r="BZ26" s="1231"/>
      <c r="CA26" s="1227"/>
      <c r="CB26" s="1227"/>
      <c r="CC26" s="1227"/>
      <c r="CD26" s="1231"/>
      <c r="CE26" s="1227"/>
      <c r="CF26" s="1227"/>
      <c r="CG26" s="1227"/>
      <c r="CH26" s="1231"/>
      <c r="CI26" s="1227"/>
      <c r="CJ26" s="1227"/>
      <c r="CK26" s="1227"/>
      <c r="CL26" s="1222"/>
      <c r="CM26" s="1400"/>
      <c r="CN26" s="1400"/>
      <c r="CO26" s="1400"/>
    </row>
    <row r="27" spans="1:93" ht="12" hidden="1" customHeight="1" outlineLevel="1">
      <c r="A27" s="1225" t="s">
        <v>150</v>
      </c>
      <c r="B27" s="1198"/>
      <c r="C27" s="1198"/>
      <c r="D27" s="1198"/>
      <c r="E27" s="1198"/>
      <c r="F27" s="1226"/>
      <c r="G27" s="1227"/>
      <c r="H27" s="1227"/>
      <c r="I27" s="1227"/>
      <c r="J27" s="1227"/>
      <c r="K27" s="1227"/>
      <c r="L27" s="1227"/>
      <c r="M27" s="1227"/>
      <c r="N27" s="1228"/>
      <c r="O27" s="1228"/>
      <c r="P27" s="1229"/>
      <c r="Q27" s="1229"/>
      <c r="R27" s="1230"/>
      <c r="S27" s="1227"/>
      <c r="T27" s="1400"/>
      <c r="U27" s="1400"/>
      <c r="V27" s="1400"/>
      <c r="W27" s="1400"/>
      <c r="X27" s="1188"/>
      <c r="Y27" s="1188"/>
      <c r="Z27" s="1188"/>
      <c r="AA27" s="1226"/>
      <c r="AB27" s="1226"/>
      <c r="AC27" s="1226"/>
      <c r="AD27" s="1226"/>
      <c r="AE27" s="1226"/>
      <c r="AF27" s="1226"/>
      <c r="AG27" s="1226"/>
      <c r="AH27" s="1198"/>
      <c r="AI27" s="1226"/>
      <c r="AJ27" s="1226"/>
      <c r="AK27" s="1226"/>
      <c r="AL27" s="1226"/>
      <c r="AM27" s="1226"/>
      <c r="AN27" s="1226"/>
      <c r="AO27" s="1226"/>
      <c r="AP27" s="1226"/>
      <c r="AQ27" s="1227"/>
      <c r="AR27" s="1227"/>
      <c r="AS27" s="1227"/>
      <c r="AT27" s="1227"/>
      <c r="AU27" s="1227"/>
      <c r="AV27" s="1227"/>
      <c r="AW27" s="1227"/>
      <c r="AX27" s="1227"/>
      <c r="AY27" s="1227"/>
      <c r="AZ27" s="1227"/>
      <c r="BA27" s="1227"/>
      <c r="BB27" s="1227"/>
      <c r="BC27" s="1227">
        <f t="shared" ref="BC27:BY27" si="28">BC25/BB25-1</f>
        <v>-2.6595744680851019E-2</v>
      </c>
      <c r="BD27" s="1227">
        <f t="shared" si="28"/>
        <v>-2.1857923497267784E-2</v>
      </c>
      <c r="BE27" s="1227">
        <f t="shared" si="28"/>
        <v>-0.1955307262569832</v>
      </c>
      <c r="BF27" s="1227">
        <f t="shared" si="28"/>
        <v>4.861111111111116E-2</v>
      </c>
      <c r="BG27" s="1227">
        <f t="shared" si="28"/>
        <v>1.3245033112582849E-2</v>
      </c>
      <c r="BH27" s="1227">
        <f t="shared" si="28"/>
        <v>-6.5359477124182774E-3</v>
      </c>
      <c r="BI27" s="1227">
        <f t="shared" si="28"/>
        <v>-9.210526315789469E-2</v>
      </c>
      <c r="BJ27" s="1227">
        <f t="shared" si="28"/>
        <v>-8.6956521739130488E-2</v>
      </c>
      <c r="BK27" s="1227">
        <f t="shared" si="28"/>
        <v>1.5873015873015817E-2</v>
      </c>
      <c r="BL27" s="1227">
        <f t="shared" si="28"/>
        <v>3.125E-2</v>
      </c>
      <c r="BM27" s="1227">
        <f t="shared" si="28"/>
        <v>-6.0606060606060552E-2</v>
      </c>
      <c r="BN27" s="1231">
        <f t="shared" si="28"/>
        <v>0</v>
      </c>
      <c r="BO27" s="1227">
        <f t="shared" si="28"/>
        <v>4.8387096774193505E-2</v>
      </c>
      <c r="BP27" s="1227">
        <f t="shared" si="28"/>
        <v>-7.692307692307665E-3</v>
      </c>
      <c r="BQ27" s="1230">
        <f t="shared" si="28"/>
        <v>6.9767441860465018E-2</v>
      </c>
      <c r="BR27" s="1228">
        <f t="shared" si="28"/>
        <v>7.2463768115942351E-3</v>
      </c>
      <c r="BS27" s="1228">
        <f t="shared" si="28"/>
        <v>2.1582733812949728E-2</v>
      </c>
      <c r="BT27" s="1228">
        <f t="shared" si="28"/>
        <v>-4.9295774647887369E-2</v>
      </c>
      <c r="BU27" s="1232">
        <f t="shared" si="28"/>
        <v>4.4444444444444509E-2</v>
      </c>
      <c r="BV27" s="1233">
        <f t="shared" si="28"/>
        <v>-1.4184397163120588E-2</v>
      </c>
      <c r="BW27" s="1228">
        <f t="shared" si="28"/>
        <v>0</v>
      </c>
      <c r="BX27" s="1228">
        <f t="shared" si="28"/>
        <v>3.5971223021582732E-2</v>
      </c>
      <c r="BY27" s="1234">
        <f t="shared" si="28"/>
        <v>-4.166666666666663E-2</v>
      </c>
      <c r="BZ27" s="1231"/>
      <c r="CA27" s="1227"/>
      <c r="CB27" s="1227"/>
      <c r="CC27" s="1227"/>
      <c r="CD27" s="1231"/>
      <c r="CE27" s="1227"/>
      <c r="CF27" s="1227"/>
      <c r="CG27" s="1227"/>
      <c r="CH27" s="1231"/>
      <c r="CI27" s="1227"/>
      <c r="CJ27" s="1227"/>
      <c r="CK27" s="1227"/>
      <c r="CL27" s="1222"/>
      <c r="CM27" s="1400"/>
      <c r="CN27" s="1400"/>
      <c r="CO27" s="1400"/>
    </row>
    <row r="28" spans="1:93" ht="12" hidden="1" customHeight="1" outlineLevel="1">
      <c r="A28" s="1225" t="s">
        <v>151</v>
      </c>
      <c r="B28" s="1198"/>
      <c r="C28" s="1198"/>
      <c r="D28" s="1198"/>
      <c r="E28" s="1198"/>
      <c r="F28" s="1227"/>
      <c r="G28" s="1227"/>
      <c r="H28" s="1227"/>
      <c r="I28" s="1227">
        <f t="shared" ref="I28:O28" si="29">I25/I$34</f>
        <v>4.1621294615849971E-2</v>
      </c>
      <c r="J28" s="1227">
        <f t="shared" si="29"/>
        <v>4.5149957712575628E-2</v>
      </c>
      <c r="K28" s="1227">
        <f t="shared" si="29"/>
        <v>4.1573348264277714E-2</v>
      </c>
      <c r="L28" s="1227">
        <f t="shared" si="29"/>
        <v>3.6932435368238106E-2</v>
      </c>
      <c r="M28" s="1227">
        <f t="shared" si="29"/>
        <v>3.7473926490685462E-2</v>
      </c>
      <c r="N28" s="1228">
        <f t="shared" si="29"/>
        <v>4.0005745888098826E-2</v>
      </c>
      <c r="O28" s="1228">
        <f t="shared" si="29"/>
        <v>4.0644505733778487E-2</v>
      </c>
      <c r="P28" s="1229"/>
      <c r="Q28" s="1229"/>
      <c r="R28" s="1230"/>
      <c r="S28" s="1227"/>
      <c r="T28" s="1400"/>
      <c r="U28" s="1400"/>
      <c r="V28" s="1400"/>
      <c r="W28" s="1400"/>
      <c r="X28" s="1188"/>
      <c r="Y28" s="1188"/>
      <c r="Z28" s="1188"/>
      <c r="AA28" s="1226"/>
      <c r="AB28" s="1226"/>
      <c r="AC28" s="1226"/>
      <c r="AD28" s="1226"/>
      <c r="AE28" s="1226"/>
      <c r="AF28" s="1226"/>
      <c r="AG28" s="1226"/>
      <c r="AH28" s="1198"/>
      <c r="AI28" s="1226"/>
      <c r="AJ28" s="1226"/>
      <c r="AK28" s="1226"/>
      <c r="AL28" s="1226"/>
      <c r="AM28" s="1226"/>
      <c r="AN28" s="1226"/>
      <c r="AO28" s="1226"/>
      <c r="AP28" s="1226"/>
      <c r="AQ28" s="1227"/>
      <c r="AR28" s="1227"/>
      <c r="AS28" s="1227"/>
      <c r="AT28" s="1227"/>
      <c r="AU28" s="1227"/>
      <c r="AV28" s="1227"/>
      <c r="AW28" s="1227"/>
      <c r="AX28" s="1227"/>
      <c r="AY28" s="1227"/>
      <c r="AZ28" s="1227"/>
      <c r="BA28" s="1227"/>
      <c r="BB28" s="1227">
        <f t="shared" ref="BB28:BX28" si="30">BB25/BB$34</f>
        <v>4.7200602560883757E-2</v>
      </c>
      <c r="BC28" s="1227">
        <f t="shared" si="30"/>
        <v>4.6791102019943749E-2</v>
      </c>
      <c r="BD28" s="1227">
        <f t="shared" si="30"/>
        <v>4.7454931071049838E-2</v>
      </c>
      <c r="BE28" s="1227">
        <f t="shared" si="30"/>
        <v>3.8866396761133605E-2</v>
      </c>
      <c r="BF28" s="1227">
        <f t="shared" si="30"/>
        <v>4.1666666666666664E-2</v>
      </c>
      <c r="BG28" s="1227">
        <f t="shared" si="30"/>
        <v>4.2547274749721913E-2</v>
      </c>
      <c r="BH28" s="1227">
        <f t="shared" si="30"/>
        <v>4.2577030812324931E-2</v>
      </c>
      <c r="BI28" s="1227">
        <f t="shared" si="30"/>
        <v>3.9451114922813037E-2</v>
      </c>
      <c r="BJ28" s="1227">
        <f t="shared" si="30"/>
        <v>3.6196495259982767E-2</v>
      </c>
      <c r="BK28" s="1227">
        <f t="shared" si="30"/>
        <v>3.7187681580476466E-2</v>
      </c>
      <c r="BL28" s="1227">
        <f t="shared" si="30"/>
        <v>3.8271962887793561E-2</v>
      </c>
      <c r="BM28" s="1227">
        <f t="shared" si="30"/>
        <v>3.6077974978178641E-2</v>
      </c>
      <c r="BN28" s="1231">
        <f t="shared" si="30"/>
        <v>3.5952449985503045E-2</v>
      </c>
      <c r="BO28" s="1227">
        <f t="shared" si="30"/>
        <v>3.7463976945244955E-2</v>
      </c>
      <c r="BP28" s="1227">
        <f t="shared" si="30"/>
        <v>3.6815068493150686E-2</v>
      </c>
      <c r="BQ28" s="1230">
        <f t="shared" si="30"/>
        <v>3.9655172413793106E-2</v>
      </c>
      <c r="BR28" s="1228">
        <f t="shared" si="30"/>
        <v>3.9988492520138093E-2</v>
      </c>
      <c r="BS28" s="1228">
        <f t="shared" si="30"/>
        <v>4.0898617511520741E-2</v>
      </c>
      <c r="BT28" s="1228">
        <f t="shared" si="30"/>
        <v>3.8715227989675936E-2</v>
      </c>
      <c r="BU28" s="1232">
        <f t="shared" si="30"/>
        <v>4.0424311926605505E-2</v>
      </c>
      <c r="BV28" s="1233">
        <f t="shared" si="30"/>
        <v>4.0336622170632615E-2</v>
      </c>
      <c r="BW28" s="1228">
        <f t="shared" si="30"/>
        <v>4.0138608143228414E-2</v>
      </c>
      <c r="BX28" s="1228">
        <f t="shared" si="30"/>
        <v>4.1933605125218404E-2</v>
      </c>
      <c r="BY28" s="1234">
        <f>BY25/BY$34</f>
        <v>4.017467248908297E-2</v>
      </c>
      <c r="BZ28" s="1231"/>
      <c r="CA28" s="1227"/>
      <c r="CB28" s="1227"/>
      <c r="CC28" s="1227"/>
      <c r="CD28" s="1231"/>
      <c r="CE28" s="1227"/>
      <c r="CF28" s="1227"/>
      <c r="CG28" s="1227"/>
      <c r="CH28" s="1231"/>
      <c r="CI28" s="1227"/>
      <c r="CJ28" s="1227"/>
      <c r="CK28" s="1227"/>
      <c r="CL28" s="1222"/>
      <c r="CM28" s="1400"/>
      <c r="CN28" s="1400"/>
      <c r="CO28" s="1400"/>
    </row>
    <row r="29" spans="1:93" ht="12" hidden="1" customHeight="1" outlineLevel="1">
      <c r="A29" s="1213" t="s">
        <v>792</v>
      </c>
      <c r="B29" s="1198"/>
      <c r="C29" s="1198"/>
      <c r="D29" s="1198"/>
      <c r="E29" s="1198"/>
      <c r="F29" s="1226"/>
      <c r="G29" s="1227"/>
      <c r="H29" s="1227"/>
      <c r="I29" s="1214">
        <v>39</v>
      </c>
      <c r="J29" s="1214">
        <v>42</v>
      </c>
      <c r="K29" s="1214">
        <v>44</v>
      </c>
      <c r="L29" s="1214">
        <v>39</v>
      </c>
      <c r="M29" s="1214">
        <v>41</v>
      </c>
      <c r="N29" s="1215">
        <v>38</v>
      </c>
      <c r="O29" s="1215">
        <v>36</v>
      </c>
      <c r="P29" s="1216"/>
      <c r="Q29" s="1216"/>
      <c r="R29" s="1217"/>
      <c r="S29" s="1214"/>
      <c r="T29" s="1400"/>
      <c r="U29" s="1400"/>
      <c r="V29" s="1400"/>
      <c r="W29" s="1400"/>
      <c r="X29" s="1188"/>
      <c r="Y29" s="1188"/>
      <c r="Z29" s="1188"/>
      <c r="AA29" s="1226"/>
      <c r="AB29" s="1226"/>
      <c r="AC29" s="1226"/>
      <c r="AD29" s="1226"/>
      <c r="AE29" s="1226"/>
      <c r="AF29" s="1226"/>
      <c r="AG29" s="1226"/>
      <c r="AH29" s="1198"/>
      <c r="AI29" s="1226"/>
      <c r="AJ29" s="1226"/>
      <c r="AK29" s="1226"/>
      <c r="AL29" s="1226"/>
      <c r="AM29" s="1226"/>
      <c r="AN29" s="1226"/>
      <c r="AO29" s="1226"/>
      <c r="AP29" s="1226"/>
      <c r="AQ29" s="1227"/>
      <c r="AR29" s="1227"/>
      <c r="AS29" s="1227"/>
      <c r="AT29" s="1227"/>
      <c r="AU29" s="1227"/>
      <c r="AV29" s="1227"/>
      <c r="AW29" s="1227"/>
      <c r="AX29" s="1227"/>
      <c r="AY29" s="1227"/>
      <c r="AZ29" s="1227"/>
      <c r="BA29" s="1227"/>
      <c r="BB29" s="1214">
        <v>12</v>
      </c>
      <c r="BC29" s="1214">
        <v>9</v>
      </c>
      <c r="BD29" s="1214">
        <v>10</v>
      </c>
      <c r="BE29" s="1214">
        <v>11</v>
      </c>
      <c r="BF29" s="1214">
        <v>12</v>
      </c>
      <c r="BG29" s="1214">
        <v>8</v>
      </c>
      <c r="BH29" s="1214">
        <v>11</v>
      </c>
      <c r="BI29" s="1214">
        <v>13</v>
      </c>
      <c r="BJ29" s="1214">
        <v>13</v>
      </c>
      <c r="BK29" s="1214">
        <v>8</v>
      </c>
      <c r="BL29" s="1214">
        <v>9</v>
      </c>
      <c r="BM29" s="1214">
        <v>9</v>
      </c>
      <c r="BN29" s="1218">
        <v>11</v>
      </c>
      <c r="BO29" s="1214">
        <v>9</v>
      </c>
      <c r="BP29" s="1214">
        <v>12</v>
      </c>
      <c r="BQ29" s="1217">
        <v>9</v>
      </c>
      <c r="BR29" s="1215">
        <v>10</v>
      </c>
      <c r="BS29" s="1215">
        <v>10</v>
      </c>
      <c r="BT29" s="1215">
        <v>9</v>
      </c>
      <c r="BU29" s="1219">
        <v>9</v>
      </c>
      <c r="BV29" s="1220">
        <v>9</v>
      </c>
      <c r="BW29" s="1215">
        <v>10</v>
      </c>
      <c r="BX29" s="1215">
        <v>8</v>
      </c>
      <c r="BY29" s="1221">
        <v>9</v>
      </c>
      <c r="BZ29" s="1218"/>
      <c r="CA29" s="1214"/>
      <c r="CB29" s="1214"/>
      <c r="CC29" s="1214"/>
      <c r="CD29" s="1218"/>
      <c r="CE29" s="1214"/>
      <c r="CF29" s="1214"/>
      <c r="CG29" s="1214"/>
      <c r="CH29" s="1218"/>
      <c r="CI29" s="1214"/>
      <c r="CJ29" s="1214"/>
      <c r="CK29" s="1214"/>
      <c r="CL29" s="1222"/>
      <c r="CM29" s="1400"/>
      <c r="CN29" s="1400"/>
      <c r="CO29" s="1400"/>
    </row>
    <row r="30" spans="1:93" ht="12" hidden="1" customHeight="1" outlineLevel="1">
      <c r="A30" s="1225" t="s">
        <v>34</v>
      </c>
      <c r="B30" s="1198"/>
      <c r="C30" s="1198"/>
      <c r="D30" s="1198"/>
      <c r="E30" s="1198"/>
      <c r="F30" s="1226"/>
      <c r="G30" s="1227"/>
      <c r="H30" s="1227"/>
      <c r="I30" s="1227"/>
      <c r="J30" s="1227">
        <f t="shared" ref="J30:O30" si="31">J29/I29-1</f>
        <v>7.6923076923076872E-2</v>
      </c>
      <c r="K30" s="1227">
        <f t="shared" si="31"/>
        <v>4.7619047619047672E-2</v>
      </c>
      <c r="L30" s="1227">
        <f t="shared" si="31"/>
        <v>-0.11363636363636365</v>
      </c>
      <c r="M30" s="1227">
        <f t="shared" si="31"/>
        <v>5.1282051282051322E-2</v>
      </c>
      <c r="N30" s="1228">
        <f t="shared" si="31"/>
        <v>-7.3170731707317027E-2</v>
      </c>
      <c r="O30" s="1228">
        <f t="shared" si="31"/>
        <v>-5.2631578947368474E-2</v>
      </c>
      <c r="P30" s="1229"/>
      <c r="Q30" s="1229"/>
      <c r="R30" s="1230"/>
      <c r="S30" s="1227"/>
      <c r="T30" s="1400"/>
      <c r="U30" s="1400"/>
      <c r="V30" s="1400"/>
      <c r="W30" s="1400"/>
      <c r="X30" s="1188"/>
      <c r="Y30" s="1188"/>
      <c r="Z30" s="1188"/>
      <c r="AA30" s="1226"/>
      <c r="AB30" s="1226"/>
      <c r="AC30" s="1226"/>
      <c r="AD30" s="1226"/>
      <c r="AE30" s="1226"/>
      <c r="AF30" s="1226"/>
      <c r="AG30" s="1226"/>
      <c r="AH30" s="1198"/>
      <c r="AI30" s="1226"/>
      <c r="AJ30" s="1226"/>
      <c r="AK30" s="1226"/>
      <c r="AL30" s="1226"/>
      <c r="AM30" s="1226"/>
      <c r="AN30" s="1226"/>
      <c r="AO30" s="1226"/>
      <c r="AP30" s="1226"/>
      <c r="AQ30" s="1227"/>
      <c r="AR30" s="1227"/>
      <c r="AS30" s="1227"/>
      <c r="AT30" s="1227"/>
      <c r="AU30" s="1227"/>
      <c r="AV30" s="1227"/>
      <c r="AW30" s="1227"/>
      <c r="AX30" s="1227"/>
      <c r="AY30" s="1227"/>
      <c r="AZ30" s="1227"/>
      <c r="BA30" s="1227"/>
      <c r="BB30" s="1227"/>
      <c r="BC30" s="1227"/>
      <c r="BD30" s="1227"/>
      <c r="BE30" s="1227"/>
      <c r="BF30" s="1227">
        <f t="shared" ref="BF30:BY30" si="32">BF29/BB29-1</f>
        <v>0</v>
      </c>
      <c r="BG30" s="1227">
        <f t="shared" si="32"/>
        <v>-0.11111111111111116</v>
      </c>
      <c r="BH30" s="1227">
        <f t="shared" si="32"/>
        <v>0.10000000000000009</v>
      </c>
      <c r="BI30" s="1227">
        <f t="shared" si="32"/>
        <v>0.18181818181818188</v>
      </c>
      <c r="BJ30" s="1227">
        <f t="shared" si="32"/>
        <v>8.3333333333333259E-2</v>
      </c>
      <c r="BK30" s="1227">
        <f t="shared" si="32"/>
        <v>0</v>
      </c>
      <c r="BL30" s="1227">
        <f t="shared" si="32"/>
        <v>-0.18181818181818177</v>
      </c>
      <c r="BM30" s="1227">
        <f t="shared" si="32"/>
        <v>-0.30769230769230771</v>
      </c>
      <c r="BN30" s="1231">
        <f t="shared" si="32"/>
        <v>-0.15384615384615385</v>
      </c>
      <c r="BO30" s="1227">
        <f t="shared" si="32"/>
        <v>0.125</v>
      </c>
      <c r="BP30" s="1227">
        <f t="shared" si="32"/>
        <v>0.33333333333333326</v>
      </c>
      <c r="BQ30" s="1230">
        <f t="shared" si="32"/>
        <v>0</v>
      </c>
      <c r="BR30" s="1228">
        <f t="shared" si="32"/>
        <v>-9.0909090909090939E-2</v>
      </c>
      <c r="BS30" s="1228">
        <f t="shared" si="32"/>
        <v>0.11111111111111116</v>
      </c>
      <c r="BT30" s="1228">
        <f t="shared" si="32"/>
        <v>-0.25</v>
      </c>
      <c r="BU30" s="1232">
        <f t="shared" si="32"/>
        <v>0</v>
      </c>
      <c r="BV30" s="1233">
        <f t="shared" si="32"/>
        <v>-9.9999999999999978E-2</v>
      </c>
      <c r="BW30" s="1228">
        <f t="shared" si="32"/>
        <v>0</v>
      </c>
      <c r="BX30" s="1228">
        <f t="shared" si="32"/>
        <v>-0.11111111111111116</v>
      </c>
      <c r="BY30" s="1234">
        <f t="shared" si="32"/>
        <v>0</v>
      </c>
      <c r="BZ30" s="1231"/>
      <c r="CA30" s="1227"/>
      <c r="CB30" s="1227"/>
      <c r="CC30" s="1227"/>
      <c r="CD30" s="1231"/>
      <c r="CE30" s="1227"/>
      <c r="CF30" s="1227"/>
      <c r="CG30" s="1227"/>
      <c r="CH30" s="1231"/>
      <c r="CI30" s="1227"/>
      <c r="CJ30" s="1227"/>
      <c r="CK30" s="1227"/>
      <c r="CL30" s="1222"/>
      <c r="CM30" s="1400"/>
      <c r="CN30" s="1400"/>
      <c r="CO30" s="1400"/>
    </row>
    <row r="31" spans="1:93" ht="12" hidden="1" customHeight="1" outlineLevel="1">
      <c r="A31" s="1225" t="s">
        <v>150</v>
      </c>
      <c r="B31" s="1198"/>
      <c r="C31" s="1198"/>
      <c r="D31" s="1198"/>
      <c r="E31" s="1198"/>
      <c r="F31" s="1226"/>
      <c r="G31" s="1227"/>
      <c r="H31" s="1227"/>
      <c r="I31" s="1227"/>
      <c r="J31" s="1227"/>
      <c r="K31" s="1227"/>
      <c r="L31" s="1227"/>
      <c r="M31" s="1227"/>
      <c r="N31" s="1228"/>
      <c r="O31" s="1228"/>
      <c r="P31" s="1229"/>
      <c r="Q31" s="1229"/>
      <c r="R31" s="1230"/>
      <c r="S31" s="1227"/>
      <c r="T31" s="1400"/>
      <c r="U31" s="1400"/>
      <c r="V31" s="1400"/>
      <c r="W31" s="1400"/>
      <c r="X31" s="1188"/>
      <c r="Y31" s="1188"/>
      <c r="Z31" s="1188"/>
      <c r="AA31" s="1226"/>
      <c r="AB31" s="1226"/>
      <c r="AC31" s="1226"/>
      <c r="AD31" s="1226"/>
      <c r="AE31" s="1226"/>
      <c r="AF31" s="1226"/>
      <c r="AG31" s="1226"/>
      <c r="AH31" s="1198"/>
      <c r="AI31" s="1226"/>
      <c r="AJ31" s="1226"/>
      <c r="AK31" s="1226"/>
      <c r="AL31" s="1226"/>
      <c r="AM31" s="1226"/>
      <c r="AN31" s="1226"/>
      <c r="AO31" s="1226"/>
      <c r="AP31" s="1226"/>
      <c r="AQ31" s="1227"/>
      <c r="AR31" s="1227"/>
      <c r="AS31" s="1227"/>
      <c r="AT31" s="1227"/>
      <c r="AU31" s="1227"/>
      <c r="AV31" s="1227"/>
      <c r="AW31" s="1227"/>
      <c r="AX31" s="1227"/>
      <c r="AY31" s="1227"/>
      <c r="AZ31" s="1227"/>
      <c r="BA31" s="1227"/>
      <c r="BB31" s="1227"/>
      <c r="BC31" s="1227">
        <f t="shared" ref="BC31:BY31" si="33">BC29/BB29-1</f>
        <v>-0.25</v>
      </c>
      <c r="BD31" s="1227">
        <f t="shared" si="33"/>
        <v>0.11111111111111116</v>
      </c>
      <c r="BE31" s="1227">
        <f t="shared" si="33"/>
        <v>0.10000000000000009</v>
      </c>
      <c r="BF31" s="1227">
        <f t="shared" si="33"/>
        <v>9.0909090909090828E-2</v>
      </c>
      <c r="BG31" s="1227">
        <f t="shared" si="33"/>
        <v>-0.33333333333333337</v>
      </c>
      <c r="BH31" s="1227">
        <f t="shared" si="33"/>
        <v>0.375</v>
      </c>
      <c r="BI31" s="1227">
        <f t="shared" si="33"/>
        <v>0.18181818181818188</v>
      </c>
      <c r="BJ31" s="1227">
        <f t="shared" si="33"/>
        <v>0</v>
      </c>
      <c r="BK31" s="1227">
        <f t="shared" si="33"/>
        <v>-0.38461538461538458</v>
      </c>
      <c r="BL31" s="1227">
        <f t="shared" si="33"/>
        <v>0.125</v>
      </c>
      <c r="BM31" s="1227">
        <f t="shared" si="33"/>
        <v>0</v>
      </c>
      <c r="BN31" s="1231">
        <f t="shared" si="33"/>
        <v>0.22222222222222232</v>
      </c>
      <c r="BO31" s="1227">
        <f t="shared" si="33"/>
        <v>-0.18181818181818177</v>
      </c>
      <c r="BP31" s="1227">
        <f t="shared" si="33"/>
        <v>0.33333333333333326</v>
      </c>
      <c r="BQ31" s="1230">
        <f t="shared" si="33"/>
        <v>-0.25</v>
      </c>
      <c r="BR31" s="1228">
        <f t="shared" si="33"/>
        <v>0.11111111111111116</v>
      </c>
      <c r="BS31" s="1228">
        <f t="shared" si="33"/>
        <v>0</v>
      </c>
      <c r="BT31" s="1228">
        <f t="shared" si="33"/>
        <v>-9.9999999999999978E-2</v>
      </c>
      <c r="BU31" s="1232">
        <f t="shared" si="33"/>
        <v>0</v>
      </c>
      <c r="BV31" s="1233">
        <f t="shared" si="33"/>
        <v>0</v>
      </c>
      <c r="BW31" s="1228">
        <f t="shared" si="33"/>
        <v>0.11111111111111116</v>
      </c>
      <c r="BX31" s="1228">
        <f t="shared" si="33"/>
        <v>-0.19999999999999996</v>
      </c>
      <c r="BY31" s="1234">
        <f t="shared" si="33"/>
        <v>0.125</v>
      </c>
      <c r="BZ31" s="1231"/>
      <c r="CA31" s="1227"/>
      <c r="CB31" s="1227"/>
      <c r="CC31" s="1227"/>
      <c r="CD31" s="1231"/>
      <c r="CE31" s="1227"/>
      <c r="CF31" s="1227"/>
      <c r="CG31" s="1227"/>
      <c r="CH31" s="1231"/>
      <c r="CI31" s="1227"/>
      <c r="CJ31" s="1227"/>
      <c r="CK31" s="1227"/>
      <c r="CL31" s="1222"/>
      <c r="CM31" s="1400"/>
      <c r="CN31" s="1400"/>
      <c r="CO31" s="1400"/>
    </row>
    <row r="32" spans="1:93" ht="12" hidden="1" customHeight="1" outlineLevel="1">
      <c r="A32" s="1225" t="s">
        <v>151</v>
      </c>
      <c r="B32" s="1198"/>
      <c r="C32" s="1198"/>
      <c r="D32" s="1198"/>
      <c r="E32" s="1198"/>
      <c r="F32" s="1226"/>
      <c r="G32" s="1227"/>
      <c r="H32" s="1227"/>
      <c r="I32" s="1227"/>
      <c r="J32" s="1227">
        <f t="shared" ref="J32:O32" si="34">J29/J$34</f>
        <v>2.732418190098237E-3</v>
      </c>
      <c r="K32" s="1227">
        <f t="shared" si="34"/>
        <v>3.0795072788353862E-3</v>
      </c>
      <c r="L32" s="1227">
        <f t="shared" si="34"/>
        <v>2.8242450575711492E-3</v>
      </c>
      <c r="M32" s="1227">
        <f t="shared" si="34"/>
        <v>2.9490038121268792E-3</v>
      </c>
      <c r="N32" s="1228">
        <f t="shared" si="34"/>
        <v>2.7292968469439056E-3</v>
      </c>
      <c r="O32" s="1228">
        <f t="shared" si="34"/>
        <v>2.6128610828857601E-3</v>
      </c>
      <c r="P32" s="1229"/>
      <c r="Q32" s="1229"/>
      <c r="R32" s="1230"/>
      <c r="S32" s="1227"/>
      <c r="T32" s="1400"/>
      <c r="U32" s="1400"/>
      <c r="V32" s="1400"/>
      <c r="W32" s="1400"/>
      <c r="X32" s="1188"/>
      <c r="Y32" s="1188"/>
      <c r="Z32" s="1188"/>
      <c r="AA32" s="1226"/>
      <c r="AB32" s="1226"/>
      <c r="AC32" s="1226"/>
      <c r="AD32" s="1226"/>
      <c r="AE32" s="1226"/>
      <c r="AF32" s="1226"/>
      <c r="AG32" s="1226"/>
      <c r="AH32" s="1198"/>
      <c r="AI32" s="1226"/>
      <c r="AJ32" s="1226"/>
      <c r="AK32" s="1226"/>
      <c r="AL32" s="1226"/>
      <c r="AM32" s="1226"/>
      <c r="AN32" s="1226"/>
      <c r="AO32" s="1226"/>
      <c r="AP32" s="1226"/>
      <c r="AQ32" s="1227"/>
      <c r="AR32" s="1227"/>
      <c r="AS32" s="1227"/>
      <c r="AT32" s="1227"/>
      <c r="AU32" s="1227"/>
      <c r="AV32" s="1227"/>
      <c r="AW32" s="1227"/>
      <c r="AX32" s="1227"/>
      <c r="AY32" s="1227"/>
      <c r="AZ32" s="1227"/>
      <c r="BA32" s="1227"/>
      <c r="BB32" s="1227">
        <f t="shared" ref="BB32:BX32" si="35">BB29/BB$34</f>
        <v>3.0128044187798142E-3</v>
      </c>
      <c r="BC32" s="1227">
        <f t="shared" si="35"/>
        <v>2.3012017386857581E-3</v>
      </c>
      <c r="BD32" s="1227">
        <f t="shared" si="35"/>
        <v>2.6511134676564158E-3</v>
      </c>
      <c r="BE32" s="1227">
        <f t="shared" si="35"/>
        <v>2.9689608636977059E-3</v>
      </c>
      <c r="BF32" s="1227">
        <f t="shared" si="35"/>
        <v>3.3112582781456954E-3</v>
      </c>
      <c r="BG32" s="1227">
        <f t="shared" si="35"/>
        <v>2.2246941045606229E-3</v>
      </c>
      <c r="BH32" s="1227">
        <f t="shared" si="35"/>
        <v>3.0812324929971988E-3</v>
      </c>
      <c r="BI32" s="1227">
        <f t="shared" si="35"/>
        <v>3.7164093767867354E-3</v>
      </c>
      <c r="BJ32" s="1227">
        <f t="shared" si="35"/>
        <v>3.7345590347601263E-3</v>
      </c>
      <c r="BK32" s="1227">
        <f t="shared" si="35"/>
        <v>2.3242300987797791E-3</v>
      </c>
      <c r="BL32" s="1227">
        <f t="shared" si="35"/>
        <v>2.6094520150768338E-3</v>
      </c>
      <c r="BM32" s="1227">
        <f t="shared" si="35"/>
        <v>2.6185627000290951E-3</v>
      </c>
      <c r="BN32" s="1231">
        <f t="shared" si="35"/>
        <v>3.1893302406494637E-3</v>
      </c>
      <c r="BO32" s="1227">
        <f t="shared" si="35"/>
        <v>2.5936599423631124E-3</v>
      </c>
      <c r="BP32" s="1227">
        <f t="shared" si="35"/>
        <v>3.4246575342465752E-3</v>
      </c>
      <c r="BQ32" s="1230">
        <f t="shared" si="35"/>
        <v>2.5862068965517241E-3</v>
      </c>
      <c r="BR32" s="1228">
        <f t="shared" si="35"/>
        <v>2.8768699654775605E-3</v>
      </c>
      <c r="BS32" s="1228">
        <f t="shared" si="35"/>
        <v>2.8801843317972351E-3</v>
      </c>
      <c r="BT32" s="1228">
        <f t="shared" si="35"/>
        <v>2.5810151993117293E-3</v>
      </c>
      <c r="BU32" s="1232">
        <f t="shared" si="35"/>
        <v>2.5802752293577983E-3</v>
      </c>
      <c r="BV32" s="1233">
        <f t="shared" si="35"/>
        <v>2.6117237376668601E-3</v>
      </c>
      <c r="BW32" s="1228">
        <f t="shared" si="35"/>
        <v>2.8876696505919725E-3</v>
      </c>
      <c r="BX32" s="1228">
        <f t="shared" si="35"/>
        <v>2.3296447291788003E-3</v>
      </c>
      <c r="BY32" s="1234">
        <f>BY29/BY$34</f>
        <v>2.6200873362445414E-3</v>
      </c>
      <c r="BZ32" s="1231"/>
      <c r="CA32" s="1227"/>
      <c r="CB32" s="1227"/>
      <c r="CC32" s="1227"/>
      <c r="CD32" s="1231"/>
      <c r="CE32" s="1227"/>
      <c r="CF32" s="1227"/>
      <c r="CG32" s="1227"/>
      <c r="CH32" s="1231"/>
      <c r="CI32" s="1227"/>
      <c r="CJ32" s="1227"/>
      <c r="CK32" s="1227"/>
      <c r="CL32" s="1222"/>
      <c r="CM32" s="1400"/>
      <c r="CN32" s="1400"/>
      <c r="CO32" s="1400"/>
    </row>
    <row r="33" spans="1:93" ht="12" hidden="1" customHeight="1" outlineLevel="1">
      <c r="A33" s="1225" t="s">
        <v>156</v>
      </c>
      <c r="B33" s="1198"/>
      <c r="C33" s="1198"/>
      <c r="D33" s="1198"/>
      <c r="E33" s="1198"/>
      <c r="F33" s="1226"/>
      <c r="G33" s="1227"/>
      <c r="H33" s="1227"/>
      <c r="I33" s="1227"/>
      <c r="J33" s="1227"/>
      <c r="K33" s="1236"/>
      <c r="L33" s="1236"/>
      <c r="M33" s="1236"/>
      <c r="N33" s="1237"/>
      <c r="O33" s="1237"/>
      <c r="P33" s="1238"/>
      <c r="Q33" s="1238"/>
      <c r="R33" s="1239"/>
      <c r="S33" s="1216"/>
      <c r="T33" s="1400"/>
      <c r="U33" s="1400"/>
      <c r="V33" s="1400"/>
      <c r="W33" s="1400"/>
      <c r="X33" s="1188"/>
      <c r="Y33" s="1188"/>
      <c r="Z33" s="1188"/>
      <c r="AA33" s="1226"/>
      <c r="AB33" s="1226"/>
      <c r="AC33" s="1226"/>
      <c r="AD33" s="1226"/>
      <c r="AE33" s="1226"/>
      <c r="AF33" s="1226"/>
      <c r="AG33" s="1226"/>
      <c r="AH33" s="1198"/>
      <c r="AI33" s="1226"/>
      <c r="AJ33" s="1226"/>
      <c r="AK33" s="1226"/>
      <c r="AL33" s="1226"/>
      <c r="AM33" s="1226"/>
      <c r="AN33" s="1226"/>
      <c r="AO33" s="1226"/>
      <c r="AP33" s="1226"/>
      <c r="AQ33" s="1227"/>
      <c r="AR33" s="1227"/>
      <c r="AS33" s="1227"/>
      <c r="AT33" s="1227"/>
      <c r="AU33" s="1227"/>
      <c r="AV33" s="1227"/>
      <c r="AW33" s="1227"/>
      <c r="AX33" s="1227"/>
      <c r="AY33" s="1227"/>
      <c r="AZ33" s="1227"/>
      <c r="BA33" s="1227"/>
      <c r="BB33" s="1227">
        <f t="shared" ref="BB33:BY33" si="36">(BB29-AX29)/(BB$34-AX$34)</f>
        <v>3.0128044187798142E-3</v>
      </c>
      <c r="BC33" s="1227">
        <f t="shared" si="36"/>
        <v>2.3012017386857581E-3</v>
      </c>
      <c r="BD33" s="1227">
        <f t="shared" si="36"/>
        <v>2.6511134676564158E-3</v>
      </c>
      <c r="BE33" s="1227">
        <f t="shared" si="36"/>
        <v>2.9689608636977059E-3</v>
      </c>
      <c r="BF33" s="1227">
        <f t="shared" si="36"/>
        <v>0</v>
      </c>
      <c r="BG33" s="1227">
        <f t="shared" si="36"/>
        <v>3.1746031746031746E-3</v>
      </c>
      <c r="BH33" s="1227">
        <f t="shared" si="36"/>
        <v>-4.9504950495049506E-3</v>
      </c>
      <c r="BI33" s="1227">
        <f t="shared" si="36"/>
        <v>-9.6618357487922701E-3</v>
      </c>
      <c r="BJ33" s="1227">
        <f t="shared" si="36"/>
        <v>-6.993006993006993E-3</v>
      </c>
      <c r="BK33" s="1227">
        <f t="shared" si="36"/>
        <v>0</v>
      </c>
      <c r="BL33" s="1227">
        <f t="shared" si="36"/>
        <v>1.6528925619834711E-2</v>
      </c>
      <c r="BM33" s="1227">
        <f t="shared" si="36"/>
        <v>6.5573770491803282E-2</v>
      </c>
      <c r="BN33" s="1231">
        <f t="shared" si="36"/>
        <v>6.25E-2</v>
      </c>
      <c r="BO33" s="1227">
        <f t="shared" si="36"/>
        <v>3.5714285714285712E-2</v>
      </c>
      <c r="BP33" s="1227">
        <f t="shared" si="36"/>
        <v>5.4545454545454543E-2</v>
      </c>
      <c r="BQ33" s="1230">
        <f t="shared" si="36"/>
        <v>0</v>
      </c>
      <c r="BR33" s="1228">
        <f t="shared" si="36"/>
        <v>-3.7037037037037035E-2</v>
      </c>
      <c r="BS33" s="1228">
        <f t="shared" si="36"/>
        <v>0.5</v>
      </c>
      <c r="BT33" s="1228">
        <f t="shared" si="36"/>
        <v>0.17647058823529413</v>
      </c>
      <c r="BU33" s="1232">
        <f t="shared" si="36"/>
        <v>0</v>
      </c>
      <c r="BV33" s="1233">
        <f t="shared" si="36"/>
        <v>3.3333333333333333E-2</v>
      </c>
      <c r="BW33" s="1228">
        <f t="shared" si="36"/>
        <v>0</v>
      </c>
      <c r="BX33" s="1228">
        <f t="shared" si="36"/>
        <v>1.8867924528301886E-2</v>
      </c>
      <c r="BY33" s="1234">
        <f t="shared" si="36"/>
        <v>0</v>
      </c>
      <c r="BZ33" s="1231"/>
      <c r="CA33" s="1227"/>
      <c r="CB33" s="1227"/>
      <c r="CC33" s="1227"/>
      <c r="CD33" s="1231"/>
      <c r="CE33" s="1227"/>
      <c r="CF33" s="1227"/>
      <c r="CG33" s="1227"/>
      <c r="CH33" s="1231"/>
      <c r="CI33" s="1227"/>
      <c r="CJ33" s="1227"/>
      <c r="CK33" s="1227"/>
      <c r="CL33" s="1222"/>
      <c r="CM33" s="1400"/>
      <c r="CN33" s="1400"/>
      <c r="CO33" s="1400"/>
    </row>
    <row r="34" spans="1:93" ht="15" customHeight="1" collapsed="1">
      <c r="A34" s="1213" t="s">
        <v>124</v>
      </c>
      <c r="B34" s="1213"/>
      <c r="C34" s="1213"/>
      <c r="D34" s="1213"/>
      <c r="E34" s="1213"/>
      <c r="F34" s="1214"/>
      <c r="G34" s="1214"/>
      <c r="H34" s="1214"/>
      <c r="I34" s="1214">
        <f>I9+I13+I17+I21+I25+I29</f>
        <v>16530</v>
      </c>
      <c r="J34" s="1214">
        <f>J9+J13+J17+J21+J25+J29</f>
        <v>15371</v>
      </c>
      <c r="K34" s="1214">
        <f>SUM(BF34:BI34)</f>
        <v>14288</v>
      </c>
      <c r="L34" s="1214">
        <f>SUM(BJ34:BM34)</f>
        <v>13809</v>
      </c>
      <c r="M34" s="1214">
        <f>M9+M13+M17+M21+M25+M29</f>
        <v>13903</v>
      </c>
      <c r="N34" s="1214">
        <f>SUM(BR34:BU34)</f>
        <v>13923</v>
      </c>
      <c r="O34" s="1214">
        <f>SUM(BV34:BY34)</f>
        <v>13778</v>
      </c>
      <c r="P34" s="1216">
        <f>SUM(BZ34:CC34)</f>
        <v>13475</v>
      </c>
      <c r="Q34" s="1216">
        <f>SUM(CD34:CG34)</f>
        <v>12311</v>
      </c>
      <c r="R34" s="1217">
        <f>SUM(CH34:CK34)</f>
        <v>11730</v>
      </c>
      <c r="S34" s="1240">
        <f>SUM(CL34:CO34)</f>
        <v>2846</v>
      </c>
      <c r="T34" s="1400"/>
      <c r="U34" s="1400"/>
      <c r="V34" s="1400"/>
      <c r="W34" s="1400"/>
      <c r="X34" s="1188"/>
      <c r="Y34" s="1188"/>
      <c r="Z34" s="1188"/>
      <c r="AA34" s="1214"/>
      <c r="AB34" s="1214"/>
      <c r="AC34" s="1214"/>
      <c r="AD34" s="1214"/>
      <c r="AE34" s="1214"/>
      <c r="AF34" s="1214"/>
      <c r="AG34" s="1214"/>
      <c r="AH34" s="1213"/>
      <c r="AI34" s="1214"/>
      <c r="AJ34" s="1214"/>
      <c r="AK34" s="1214"/>
      <c r="AL34" s="1214"/>
      <c r="AM34" s="1214"/>
      <c r="AN34" s="1214"/>
      <c r="AO34" s="1214"/>
      <c r="AP34" s="1214"/>
      <c r="AQ34" s="1214"/>
      <c r="AR34" s="1214"/>
      <c r="AS34" s="1214"/>
      <c r="AT34" s="1214"/>
      <c r="AU34" s="1214"/>
      <c r="AV34" s="1214"/>
      <c r="AW34" s="1214"/>
      <c r="AX34" s="1214"/>
      <c r="AY34" s="1214"/>
      <c r="AZ34" s="1214"/>
      <c r="BA34" s="1214"/>
      <c r="BB34" s="1214">
        <v>3983</v>
      </c>
      <c r="BC34" s="1214">
        <v>3911</v>
      </c>
      <c r="BD34" s="1214">
        <v>3772</v>
      </c>
      <c r="BE34" s="1214">
        <v>3705</v>
      </c>
      <c r="BF34" s="1214">
        <v>3624</v>
      </c>
      <c r="BG34" s="1214">
        <v>3596</v>
      </c>
      <c r="BH34" s="1214">
        <v>3570</v>
      </c>
      <c r="BI34" s="1214">
        <v>3498</v>
      </c>
      <c r="BJ34" s="1214">
        <v>3481</v>
      </c>
      <c r="BK34" s="1214">
        <v>3442</v>
      </c>
      <c r="BL34" s="1214">
        <v>3449</v>
      </c>
      <c r="BM34" s="1214">
        <v>3437</v>
      </c>
      <c r="BN34" s="1218">
        <v>3449</v>
      </c>
      <c r="BO34" s="1214">
        <v>3470</v>
      </c>
      <c r="BP34" s="1214">
        <v>3504</v>
      </c>
      <c r="BQ34" s="1217">
        <v>3480</v>
      </c>
      <c r="BR34" s="1214">
        <f>Q_Segments!BR21</f>
        <v>3476</v>
      </c>
      <c r="BS34" s="1214">
        <f>Q_Segments!BS21</f>
        <v>3472</v>
      </c>
      <c r="BT34" s="1214">
        <f>Q_Segments!BT21</f>
        <v>3487</v>
      </c>
      <c r="BU34" s="1217">
        <f>Q_Segments!BU21</f>
        <v>3488</v>
      </c>
      <c r="BV34" s="1218">
        <f>Q_Segments!BV21</f>
        <v>3446</v>
      </c>
      <c r="BW34" s="1214">
        <f>Q_Segments!BW21</f>
        <v>3463</v>
      </c>
      <c r="BX34" s="1214">
        <f>Q_Segments!BX21</f>
        <v>3434</v>
      </c>
      <c r="BY34" s="1216">
        <f>Q_Segments!BY21</f>
        <v>3435</v>
      </c>
      <c r="BZ34" s="1218">
        <f>Q_Segments!BZ21</f>
        <v>3399</v>
      </c>
      <c r="CA34" s="1214">
        <f>Q_Segments!CA21</f>
        <v>3382</v>
      </c>
      <c r="CB34" s="1214">
        <f>Q_Segments!CB21</f>
        <v>3379</v>
      </c>
      <c r="CC34" s="1214">
        <f>Q_Segments!CC21</f>
        <v>3315</v>
      </c>
      <c r="CD34" s="1218">
        <f>Q_Segments!CD21</f>
        <v>3173</v>
      </c>
      <c r="CE34" s="1214">
        <f>Q_Segments!CE21</f>
        <v>3090</v>
      </c>
      <c r="CF34" s="1214">
        <f>Q_Segments!CF21</f>
        <v>3054</v>
      </c>
      <c r="CG34" s="1214">
        <f>Q_Segments!CG21</f>
        <v>2994</v>
      </c>
      <c r="CH34" s="1218">
        <f>Q_Segments!CH21</f>
        <v>2966</v>
      </c>
      <c r="CI34" s="1214">
        <f>Q_Segments!CI21</f>
        <v>2930</v>
      </c>
      <c r="CJ34" s="1214">
        <f>Q_Segments!CJ21</f>
        <v>2935</v>
      </c>
      <c r="CK34" s="1214">
        <f>Q_Segments!CK21</f>
        <v>2899</v>
      </c>
      <c r="CL34" s="1218">
        <f>Q_Segments!CL21</f>
        <v>2846</v>
      </c>
      <c r="CM34" s="1400"/>
      <c r="CN34" s="1400"/>
      <c r="CO34" s="1400"/>
    </row>
    <row r="35" spans="1:93" ht="12" customHeight="1">
      <c r="A35" s="1225" t="s">
        <v>34</v>
      </c>
      <c r="B35" s="1198"/>
      <c r="C35" s="1198"/>
      <c r="D35" s="1198"/>
      <c r="E35" s="1198"/>
      <c r="F35" s="1226"/>
      <c r="G35" s="1227"/>
      <c r="H35" s="1227"/>
      <c r="I35" s="1227"/>
      <c r="J35" s="1227">
        <f t="shared" ref="J35:S35" si="37">J34/I34-1</f>
        <v>-7.0114942528735624E-2</v>
      </c>
      <c r="K35" s="1227">
        <f t="shared" si="37"/>
        <v>-7.0457354758961643E-2</v>
      </c>
      <c r="L35" s="1227">
        <f t="shared" si="37"/>
        <v>-3.3524636058230639E-2</v>
      </c>
      <c r="M35" s="1227">
        <f t="shared" si="37"/>
        <v>6.8071547541459498E-3</v>
      </c>
      <c r="N35" s="1227">
        <f t="shared" si="37"/>
        <v>1.4385384449400185E-3</v>
      </c>
      <c r="O35" s="1227">
        <f t="shared" si="37"/>
        <v>-1.0414422179128024E-2</v>
      </c>
      <c r="P35" s="1229">
        <f>P34/O34-1</f>
        <v>-2.19915807809552E-2</v>
      </c>
      <c r="Q35" s="1229">
        <f>Q34/P34-1</f>
        <v>-8.6382189239332052E-2</v>
      </c>
      <c r="R35" s="1230">
        <f t="shared" si="37"/>
        <v>-4.7193566728941594E-2</v>
      </c>
      <c r="S35" s="1241">
        <f t="shared" si="37"/>
        <v>-0.75737425404944592</v>
      </c>
      <c r="T35" s="1400"/>
      <c r="U35" s="1400"/>
      <c r="V35" s="1400"/>
      <c r="W35" s="1400"/>
      <c r="X35" s="1188"/>
      <c r="Y35" s="1188"/>
      <c r="Z35" s="1188"/>
      <c r="AA35" s="1226"/>
      <c r="AB35" s="1226"/>
      <c r="AC35" s="1226"/>
      <c r="AD35" s="1226"/>
      <c r="AE35" s="1226"/>
      <c r="AF35" s="1226"/>
      <c r="AG35" s="1226"/>
      <c r="AH35" s="1198"/>
      <c r="AI35" s="1226"/>
      <c r="AJ35" s="1226"/>
      <c r="AK35" s="1226"/>
      <c r="AL35" s="1226"/>
      <c r="AM35" s="1226"/>
      <c r="AN35" s="1226"/>
      <c r="AO35" s="1226"/>
      <c r="AP35" s="1226"/>
      <c r="AQ35" s="1227"/>
      <c r="AR35" s="1227"/>
      <c r="AS35" s="1227"/>
      <c r="AT35" s="1227"/>
      <c r="AU35" s="1227"/>
      <c r="AV35" s="1227"/>
      <c r="AW35" s="1227"/>
      <c r="AX35" s="1227"/>
      <c r="AY35" s="1227"/>
      <c r="AZ35" s="1227"/>
      <c r="BA35" s="1227"/>
      <c r="BB35" s="1227"/>
      <c r="BC35" s="1227"/>
      <c r="BD35" s="1227"/>
      <c r="BE35" s="1227"/>
      <c r="BF35" s="1227">
        <f t="shared" ref="BF35:CG35" si="38">BF34/BB34-1</f>
        <v>-9.0133065528496092E-2</v>
      </c>
      <c r="BG35" s="1227">
        <f t="shared" si="38"/>
        <v>-8.0542060854001507E-2</v>
      </c>
      <c r="BH35" s="1227">
        <f t="shared" si="38"/>
        <v>-5.3552492046659572E-2</v>
      </c>
      <c r="BI35" s="1227">
        <f t="shared" si="38"/>
        <v>-5.5870445344129549E-2</v>
      </c>
      <c r="BJ35" s="1227">
        <f t="shared" si="38"/>
        <v>-3.9459161147902821E-2</v>
      </c>
      <c r="BK35" s="1227">
        <f t="shared" si="38"/>
        <v>-4.2825361512792037E-2</v>
      </c>
      <c r="BL35" s="1227">
        <f t="shared" si="38"/>
        <v>-3.3893557422969178E-2</v>
      </c>
      <c r="BM35" s="1227">
        <f t="shared" si="38"/>
        <v>-1.7438536306460861E-2</v>
      </c>
      <c r="BN35" s="1231">
        <f t="shared" si="38"/>
        <v>-9.1927607009479884E-3</v>
      </c>
      <c r="BO35" s="1227">
        <f t="shared" si="38"/>
        <v>8.1348053457293013E-3</v>
      </c>
      <c r="BP35" s="1227">
        <f t="shared" si="38"/>
        <v>1.5946651203247342E-2</v>
      </c>
      <c r="BQ35" s="1230">
        <f t="shared" si="38"/>
        <v>1.2510910677916875E-2</v>
      </c>
      <c r="BR35" s="1227">
        <f t="shared" si="38"/>
        <v>7.8283560452305778E-3</v>
      </c>
      <c r="BS35" s="1227">
        <f t="shared" si="38"/>
        <v>5.7636887608070175E-4</v>
      </c>
      <c r="BT35" s="1227">
        <f t="shared" si="38"/>
        <v>-4.8515981735159919E-3</v>
      </c>
      <c r="BU35" s="1230">
        <f t="shared" si="38"/>
        <v>2.2988505747125743E-3</v>
      </c>
      <c r="BV35" s="1231">
        <f t="shared" si="38"/>
        <v>-8.6306098964327171E-3</v>
      </c>
      <c r="BW35" s="1227">
        <f t="shared" si="38"/>
        <v>-2.5921658986175489E-3</v>
      </c>
      <c r="BX35" s="1227">
        <f t="shared" si="38"/>
        <v>-1.5199311729280129E-2</v>
      </c>
      <c r="BY35" s="1229">
        <f t="shared" si="38"/>
        <v>-1.5194954128440408E-2</v>
      </c>
      <c r="BZ35" s="1231">
        <f t="shared" si="38"/>
        <v>-1.3639001741149182E-2</v>
      </c>
      <c r="CA35" s="1227">
        <f t="shared" si="38"/>
        <v>-2.3390124169795024E-2</v>
      </c>
      <c r="CB35" s="1227">
        <f t="shared" si="38"/>
        <v>-1.6016307513104233E-2</v>
      </c>
      <c r="CC35" s="1227">
        <f t="shared" si="38"/>
        <v>-3.4934497816593857E-2</v>
      </c>
      <c r="CD35" s="1231">
        <f t="shared" si="38"/>
        <v>-6.649014416004706E-2</v>
      </c>
      <c r="CE35" s="1227">
        <f t="shared" si="38"/>
        <v>-8.6339444115907771E-2</v>
      </c>
      <c r="CF35" s="1227">
        <f t="shared" si="38"/>
        <v>-9.6182302456348068E-2</v>
      </c>
      <c r="CG35" s="1227">
        <f t="shared" si="38"/>
        <v>-9.6832579185520351E-2</v>
      </c>
      <c r="CH35" s="1231">
        <f>CH34/CD34-1</f>
        <v>-6.5237945162306965E-2</v>
      </c>
      <c r="CI35" s="1227">
        <f>CI34/CE34-1</f>
        <v>-5.1779935275080957E-2</v>
      </c>
      <c r="CJ35" s="1227">
        <f>CJ34/CF34-1</f>
        <v>-3.8965291421087067E-2</v>
      </c>
      <c r="CK35" s="1227">
        <f>CK34/CG34-1</f>
        <v>-3.1730126920507695E-2</v>
      </c>
      <c r="CL35" s="1231">
        <f>CL34/CH34-1</f>
        <v>-4.0458530006743043E-2</v>
      </c>
      <c r="CM35" s="1400"/>
      <c r="CN35" s="1400"/>
      <c r="CO35" s="1400"/>
    </row>
    <row r="36" spans="1:93" ht="12" customHeight="1">
      <c r="A36" s="1225" t="s">
        <v>84</v>
      </c>
      <c r="B36" s="1198"/>
      <c r="C36" s="1198"/>
      <c r="D36" s="1198"/>
      <c r="E36" s="1198"/>
      <c r="F36" s="1226"/>
      <c r="G36" s="1214"/>
      <c r="H36" s="1214"/>
      <c r="I36" s="1227"/>
      <c r="J36" s="1214"/>
      <c r="K36" s="1229">
        <f>+(K34-Q_Segments!K15)/(Q_IS!J34-Q_Segments!J15)-1</f>
        <v>-7.0457354758961643E-2</v>
      </c>
      <c r="L36" s="1229">
        <f>+(L34-Q_Segments!L15)/(Q_IS!K34-Q_Segments!K15)-1</f>
        <v>-3.3524636058230639E-2</v>
      </c>
      <c r="M36" s="1229">
        <f>+(M34-Q_Segments!M15)/(Q_IS!L34-Q_Segments!L15)-1</f>
        <v>6.8071547541459498E-3</v>
      </c>
      <c r="N36" s="1229">
        <f>+(N34-Q_Segments!N15)/(Q_IS!M34-Q_Segments!M15)-1</f>
        <v>-3.7330072646191481E-2</v>
      </c>
      <c r="O36" s="1229">
        <f>+(O34-Q_Segments!O15)/(Q_IS!N34-Q_Segments!N15)-1</f>
        <v>-1.0534967124925299E-2</v>
      </c>
      <c r="P36" s="1229">
        <f>+(P34-Q_Segments!P15)/(Q_IS!O34-Q_Segments!O15)-1</f>
        <v>-1.7216642754662836E-2</v>
      </c>
      <c r="Q36" s="1229">
        <f>+(Q34-Q_Segments!Q15)/(Q_IS!P34-Q_Segments!P15)-1</f>
        <v>-6.2696888205916235E-2</v>
      </c>
      <c r="R36" s="1230">
        <f>+(R34-Q_Segments!R15)/(Q_IS!Q34-Q_Segments!Q15)-1</f>
        <v>-3.8445774243790476E-2</v>
      </c>
      <c r="S36" s="1241">
        <f>+(S34-Q_Segments!S15)/(Q_IS!R34-Q_Segments!R15)-1</f>
        <v>-0.75737425404944592</v>
      </c>
      <c r="T36" s="1400"/>
      <c r="U36" s="1400"/>
      <c r="V36" s="1400"/>
      <c r="W36" s="1400"/>
      <c r="X36" s="1188"/>
      <c r="Y36" s="1188"/>
      <c r="Z36" s="1188"/>
      <c r="AA36" s="1226"/>
      <c r="AB36" s="1226"/>
      <c r="AC36" s="1226"/>
      <c r="AD36" s="1226"/>
      <c r="AE36" s="1226"/>
      <c r="AF36" s="1226"/>
      <c r="AG36" s="1226"/>
      <c r="AH36" s="1198"/>
      <c r="AI36" s="1226"/>
      <c r="AJ36" s="1226"/>
      <c r="AK36" s="1226"/>
      <c r="AL36" s="1226"/>
      <c r="AM36" s="1226"/>
      <c r="AN36" s="1226"/>
      <c r="AO36" s="1226"/>
      <c r="AP36" s="1226"/>
      <c r="AQ36" s="1227"/>
      <c r="AR36" s="1227"/>
      <c r="AS36" s="1227"/>
      <c r="AT36" s="1227"/>
      <c r="AU36" s="1227"/>
      <c r="AV36" s="1227"/>
      <c r="AW36" s="1227"/>
      <c r="AX36" s="1227"/>
      <c r="AY36" s="1227"/>
      <c r="AZ36" s="1227"/>
      <c r="BA36" s="1227"/>
      <c r="BB36" s="1227"/>
      <c r="BC36" s="1227"/>
      <c r="BD36" s="1227"/>
      <c r="BE36" s="1227"/>
      <c r="BF36" s="1227">
        <f>+(BF34-Q_Segments!BF15)/(Q_IS!BB34-Q_Segments!BB15)-1</f>
        <v>-9.0133065528496092E-2</v>
      </c>
      <c r="BG36" s="1227">
        <f>+(BG34-Q_Segments!BG15)/(Q_IS!BC34-Q_Segments!BC15)-1</f>
        <v>-8.0542060854001507E-2</v>
      </c>
      <c r="BH36" s="1227">
        <f>+(BH34-Q_Segments!BH15)/(Q_IS!BD34-Q_Segments!BD15)-1</f>
        <v>-5.3552492046659572E-2</v>
      </c>
      <c r="BI36" s="1227">
        <f>+(BI34-Q_Segments!BI15)/(Q_IS!BE34-Q_Segments!BE15)-1</f>
        <v>-5.5870445344129549E-2</v>
      </c>
      <c r="BJ36" s="1227">
        <f>+(BJ34-Q_Segments!BJ15)/(Q_IS!BF34-Q_Segments!BF15)-1</f>
        <v>-3.9459161147902821E-2</v>
      </c>
      <c r="BK36" s="1227">
        <f>+(BK34-Q_Segments!BK15)/(Q_IS!BG34-Q_Segments!BG15)-1</f>
        <v>-4.2825361512792037E-2</v>
      </c>
      <c r="BL36" s="1227">
        <f>+(BL34-Q_Segments!BL15)/(Q_IS!BH34-Q_Segments!BH15)-1</f>
        <v>-3.3893557422969178E-2</v>
      </c>
      <c r="BM36" s="1227">
        <f>+(BM34-Q_Segments!BM15)/(Q_IS!BI34-Q_Segments!BI15)-1</f>
        <v>-1.7438536306460861E-2</v>
      </c>
      <c r="BN36" s="1231">
        <f>+(BN34-Q_Segments!BN15)/(Q_IS!BJ34-Q_Segments!BJ15)-1</f>
        <v>-9.1927607009479884E-3</v>
      </c>
      <c r="BO36" s="1227">
        <f>+(BO34-Q_Segments!BO15)/(Q_IS!BK34-Q_Segments!BK15)-1</f>
        <v>8.1348053457293013E-3</v>
      </c>
      <c r="BP36" s="1227">
        <f>+(BP34-Q_Segments!BP15)/(Q_IS!BL34-Q_Segments!BL15)-1</f>
        <v>1.5946651203247342E-2</v>
      </c>
      <c r="BQ36" s="1230">
        <f>+(BQ34-Q_Segments!BQ15)/(Q_IS!BM34-Q_Segments!BM15)-1</f>
        <v>1.2510910677916875E-2</v>
      </c>
      <c r="BR36" s="1227">
        <f>+(BR34-Q_Segments!BR15)/(Q_IS!BN34-Q_Segments!BN15)-1</f>
        <v>-3.0733545955349384E-2</v>
      </c>
      <c r="BS36" s="1227">
        <f>+(BS34-Q_Segments!BS15)/(Q_IS!BO34-Q_Segments!BO15)-1</f>
        <v>-3.8904899135446702E-2</v>
      </c>
      <c r="BT36" s="1227">
        <f>+(BT34-Q_Segments!BT15)/(Q_IS!BP34-Q_Segments!BP15)-1</f>
        <v>-4.3093607305936033E-2</v>
      </c>
      <c r="BU36" s="1230">
        <f>+(BU34-Q_Segments!BU15)/(Q_IS!BQ34-Q_Segments!BQ15)-1</f>
        <v>-3.6494252873563227E-2</v>
      </c>
      <c r="BV36" s="1231">
        <f>+(BV34-Q_Segments!BV15)/(Q_IS!BR34-Q_Segments!BR15)-1</f>
        <v>-8.973975471133766E-3</v>
      </c>
      <c r="BW36" s="1227">
        <f>+(BW34-Q_Segments!BW15)/(Q_IS!BS34-Q_Segments!BS15)-1</f>
        <v>-1.4992503748125774E-3</v>
      </c>
      <c r="BX36" s="1227">
        <f>+(BX34-Q_Segments!BX15)/(Q_IS!BT34-Q_Segments!BT15)-1</f>
        <v>-1.6999701759618291E-2</v>
      </c>
      <c r="BY36" s="1229">
        <f>+(BY34-Q_Segments!BY15)/(Q_IS!BU34-Q_Segments!BU15)-1</f>
        <v>-1.4613778705636737E-2</v>
      </c>
      <c r="BZ36" s="1231">
        <f>+(BZ34-Q_Segments!BZ15)/(Q_IS!BV34-Q_Segments!BV15)-1</f>
        <v>-1.2979172955025708E-2</v>
      </c>
      <c r="CA36" s="1227">
        <f>+(CA34-Q_Segments!CA15)/(Q_IS!BW34-Q_Segments!BW15)-1</f>
        <v>-2.2222222222222254E-2</v>
      </c>
      <c r="CB36" s="1227">
        <f>+(CB34-Q_Segments!CB15)/(Q_IS!BX34-Q_Segments!BX15)-1</f>
        <v>-1.0012135922330079E-2</v>
      </c>
      <c r="CC36" s="1227">
        <f>+(CC34-Q_Segments!CC15)/(Q_IS!BY34-Q_Segments!BY15)-1</f>
        <v>-2.3607748184019339E-2</v>
      </c>
      <c r="CD36" s="1231">
        <f>+(CD34-Q_Segments!CD15)/(Q_IS!BZ34-Q_Segments!BZ15)-1</f>
        <v>-4.6483180428134596E-2</v>
      </c>
      <c r="CE36" s="1227">
        <f>+(CE34-Q_Segments!CE15)/(Q_IS!CA34-Q_Segments!CA15)-1</f>
        <v>-6.1117936117936145E-2</v>
      </c>
      <c r="CF36" s="1227">
        <f>+(CF34-Q_Segments!CF15)/(Q_IS!CB34-Q_Segments!CB15)-1</f>
        <v>-7.0180815200735491E-2</v>
      </c>
      <c r="CG36" s="1227">
        <f>+(CG34-Q_Segments!CG15)/(Q_IS!CC34-Q_Segments!CC15)-1</f>
        <v>-7.3155610663360182E-2</v>
      </c>
      <c r="CH36" s="1231">
        <f>+(CH34-Q_Segments!CH15)/(Q_IS!CD34-Q_Segments!CD15)-1</f>
        <v>-4.874919820397694E-2</v>
      </c>
      <c r="CI36" s="1227">
        <f>+(CI34-Q_Segments!CI15)/(Q_IS!CE34-Q_Segments!CE15)-1</f>
        <v>-4.1543997383055253E-2</v>
      </c>
      <c r="CJ36" s="1227">
        <f>+(CJ34-Q_Segments!CJ15)/(Q_IS!CF34-Q_Segments!CF15)-1</f>
        <v>-3.2630191166776568E-2</v>
      </c>
      <c r="CK36" s="1227">
        <f>+(CK34-Q_Segments!CK15)/(Q_IS!CG34-Q_Segments!CG15)-1</f>
        <v>-3.0434782608695699E-2</v>
      </c>
      <c r="CL36" s="1231">
        <f>+(CL34-Q_Segments!CL15)/(Q_IS!CH34-Q_Segments!CH15)-1</f>
        <v>-4.0458530006743043E-2</v>
      </c>
      <c r="CM36" s="1400"/>
      <c r="CN36" s="1400"/>
      <c r="CO36" s="1400"/>
    </row>
    <row r="37" spans="1:93" ht="12" customHeight="1">
      <c r="A37" s="1242" t="s">
        <v>157</v>
      </c>
      <c r="B37" s="1243"/>
      <c r="C37" s="1243"/>
      <c r="D37" s="1243"/>
      <c r="E37" s="1243"/>
      <c r="F37" s="1244"/>
      <c r="G37" s="1244"/>
      <c r="H37" s="1244"/>
      <c r="I37" s="1244"/>
      <c r="J37" s="1245">
        <f t="shared" ref="J37:R37" si="39">J34-I34</f>
        <v>-1159</v>
      </c>
      <c r="K37" s="1245">
        <f t="shared" si="39"/>
        <v>-1083</v>
      </c>
      <c r="L37" s="1245">
        <f t="shared" si="39"/>
        <v>-479</v>
      </c>
      <c r="M37" s="1245">
        <f t="shared" si="39"/>
        <v>94</v>
      </c>
      <c r="N37" s="1245">
        <f t="shared" si="39"/>
        <v>20</v>
      </c>
      <c r="O37" s="1245">
        <f t="shared" si="39"/>
        <v>-145</v>
      </c>
      <c r="P37" s="1245">
        <f>P34-O34</f>
        <v>-303</v>
      </c>
      <c r="Q37" s="1245">
        <f>Q34-P34</f>
        <v>-1164</v>
      </c>
      <c r="R37" s="1246">
        <f t="shared" si="39"/>
        <v>-581</v>
      </c>
      <c r="S37" s="1247">
        <f>S34-R34</f>
        <v>-8884</v>
      </c>
      <c r="T37" s="1400"/>
      <c r="U37" s="1400"/>
      <c r="V37" s="1400"/>
      <c r="W37" s="1400"/>
      <c r="X37" s="1188"/>
      <c r="Y37" s="1188"/>
      <c r="Z37" s="1188"/>
      <c r="AA37" s="1226"/>
      <c r="AB37" s="1226"/>
      <c r="AC37" s="1226"/>
      <c r="AD37" s="1226"/>
      <c r="AE37" s="1226"/>
      <c r="AF37" s="1226"/>
      <c r="AG37" s="1226"/>
      <c r="AH37" s="1198"/>
      <c r="AI37" s="1226"/>
      <c r="AJ37" s="1226"/>
      <c r="AK37" s="1226"/>
      <c r="AL37" s="1226"/>
      <c r="AM37" s="1226"/>
      <c r="AN37" s="1226"/>
      <c r="AO37" s="1226"/>
      <c r="AP37" s="1226"/>
      <c r="AQ37" s="1227"/>
      <c r="AR37" s="1227"/>
      <c r="AS37" s="1227"/>
      <c r="AT37" s="1226"/>
      <c r="AU37" s="1226"/>
      <c r="AV37" s="1226"/>
      <c r="AW37" s="1226"/>
      <c r="AX37" s="1226"/>
      <c r="AY37" s="1226"/>
      <c r="AZ37" s="1226"/>
      <c r="BA37" s="1226"/>
      <c r="BB37" s="1226">
        <f t="shared" ref="BB37:CG37" si="40">BB34-BA34</f>
        <v>3983</v>
      </c>
      <c r="BC37" s="1226">
        <f t="shared" si="40"/>
        <v>-72</v>
      </c>
      <c r="BD37" s="1226">
        <f t="shared" si="40"/>
        <v>-139</v>
      </c>
      <c r="BE37" s="1226">
        <f t="shared" si="40"/>
        <v>-67</v>
      </c>
      <c r="BF37" s="1248">
        <f t="shared" si="40"/>
        <v>-81</v>
      </c>
      <c r="BG37" s="1248">
        <f t="shared" si="40"/>
        <v>-28</v>
      </c>
      <c r="BH37" s="1248">
        <f t="shared" si="40"/>
        <v>-26</v>
      </c>
      <c r="BI37" s="1248">
        <f t="shared" si="40"/>
        <v>-72</v>
      </c>
      <c r="BJ37" s="1248">
        <f t="shared" si="40"/>
        <v>-17</v>
      </c>
      <c r="BK37" s="1248">
        <f t="shared" si="40"/>
        <v>-39</v>
      </c>
      <c r="BL37" s="1248">
        <f t="shared" si="40"/>
        <v>7</v>
      </c>
      <c r="BM37" s="1248">
        <f t="shared" si="40"/>
        <v>-12</v>
      </c>
      <c r="BN37" s="1249">
        <f t="shared" si="40"/>
        <v>12</v>
      </c>
      <c r="BO37" s="1248">
        <f t="shared" si="40"/>
        <v>21</v>
      </c>
      <c r="BP37" s="1248">
        <f t="shared" si="40"/>
        <v>34</v>
      </c>
      <c r="BQ37" s="1250">
        <f t="shared" si="40"/>
        <v>-24</v>
      </c>
      <c r="BR37" s="1248">
        <f t="shared" si="40"/>
        <v>-4</v>
      </c>
      <c r="BS37" s="1248">
        <f t="shared" si="40"/>
        <v>-4</v>
      </c>
      <c r="BT37" s="1248">
        <f t="shared" si="40"/>
        <v>15</v>
      </c>
      <c r="BU37" s="1250">
        <f t="shared" si="40"/>
        <v>1</v>
      </c>
      <c r="BV37" s="1251">
        <f t="shared" si="40"/>
        <v>-42</v>
      </c>
      <c r="BW37" s="1245">
        <f t="shared" si="40"/>
        <v>17</v>
      </c>
      <c r="BX37" s="1245">
        <f t="shared" si="40"/>
        <v>-29</v>
      </c>
      <c r="BY37" s="1245">
        <f t="shared" si="40"/>
        <v>1</v>
      </c>
      <c r="BZ37" s="1251">
        <f t="shared" si="40"/>
        <v>-36</v>
      </c>
      <c r="CA37" s="1245">
        <f t="shared" si="40"/>
        <v>-17</v>
      </c>
      <c r="CB37" s="1245">
        <f t="shared" si="40"/>
        <v>-3</v>
      </c>
      <c r="CC37" s="1245">
        <f t="shared" si="40"/>
        <v>-64</v>
      </c>
      <c r="CD37" s="1251">
        <f t="shared" si="40"/>
        <v>-142</v>
      </c>
      <c r="CE37" s="1245">
        <f t="shared" si="40"/>
        <v>-83</v>
      </c>
      <c r="CF37" s="1245">
        <f t="shared" si="40"/>
        <v>-36</v>
      </c>
      <c r="CG37" s="1245">
        <f t="shared" si="40"/>
        <v>-60</v>
      </c>
      <c r="CH37" s="1251">
        <f>CH34-CG34</f>
        <v>-28</v>
      </c>
      <c r="CI37" s="1245">
        <f>CI34-CH34</f>
        <v>-36</v>
      </c>
      <c r="CJ37" s="1245">
        <f>CJ34-CI34</f>
        <v>5</v>
      </c>
      <c r="CK37" s="1245">
        <f>CK34-CJ34</f>
        <v>-36</v>
      </c>
      <c r="CL37" s="1251">
        <f>CL34-CK34</f>
        <v>-53</v>
      </c>
      <c r="CM37" s="1400"/>
      <c r="CN37" s="1400"/>
      <c r="CO37" s="1400"/>
    </row>
    <row r="38" spans="1:93" ht="15" customHeight="1">
      <c r="A38" s="1213" t="s">
        <v>668</v>
      </c>
      <c r="B38" s="1213"/>
      <c r="C38" s="1213"/>
      <c r="D38" s="1213"/>
      <c r="E38" s="1213"/>
      <c r="F38" s="1214"/>
      <c r="G38" s="1214"/>
      <c r="H38" s="1214"/>
      <c r="I38" s="1214"/>
      <c r="J38" s="1214">
        <v>6032</v>
      </c>
      <c r="K38" s="1214">
        <f>SUM(BF38:BI38)</f>
        <v>5993</v>
      </c>
      <c r="L38" s="1214">
        <f>SUM(BJ38:BM38)</f>
        <v>5900</v>
      </c>
      <c r="M38" s="1214">
        <f>SUM(BN38:BQ38)</f>
        <v>5836</v>
      </c>
      <c r="N38" s="1214">
        <f>SUM(BR38:BU38)</f>
        <v>4939</v>
      </c>
      <c r="O38" s="1214">
        <f>SUM(BV38:BY38)</f>
        <v>4681</v>
      </c>
      <c r="P38" s="1216">
        <f>SUM(BZ38:CC38)</f>
        <v>4956</v>
      </c>
      <c r="Q38" s="1216">
        <f>SUM(CD38:CG38)</f>
        <v>4072</v>
      </c>
      <c r="R38" s="1217">
        <f>SUM(CH38:CK38)</f>
        <v>4095</v>
      </c>
      <c r="S38" s="1240">
        <f>SUM(CL38:CO38)</f>
        <v>1178</v>
      </c>
      <c r="T38" s="1400"/>
      <c r="U38" s="1400"/>
      <c r="V38" s="1400"/>
      <c r="W38" s="1400"/>
      <c r="X38" s="1188"/>
      <c r="Y38" s="1188"/>
      <c r="Z38" s="1188"/>
      <c r="AA38" s="1214"/>
      <c r="AB38" s="1214"/>
      <c r="AC38" s="1214"/>
      <c r="AD38" s="1214"/>
      <c r="AE38" s="1214"/>
      <c r="AF38" s="1214"/>
      <c r="AG38" s="1214"/>
      <c r="AH38" s="1213"/>
      <c r="AI38" s="1214"/>
      <c r="AJ38" s="1214"/>
      <c r="AK38" s="1214"/>
      <c r="AL38" s="1214"/>
      <c r="AM38" s="1214"/>
      <c r="AN38" s="1214"/>
      <c r="AO38" s="1214"/>
      <c r="AP38" s="1214"/>
      <c r="AQ38" s="1214"/>
      <c r="AR38" s="1214"/>
      <c r="AS38" s="1214"/>
      <c r="AT38" s="1214"/>
      <c r="AU38" s="1214"/>
      <c r="AV38" s="1214"/>
      <c r="AW38" s="1214"/>
      <c r="AX38" s="1214"/>
      <c r="AY38" s="1214"/>
      <c r="AZ38" s="1214"/>
      <c r="BA38" s="1214"/>
      <c r="BB38" s="1214">
        <v>1469</v>
      </c>
      <c r="BC38" s="1214">
        <v>1598</v>
      </c>
      <c r="BD38" s="1214">
        <v>1452</v>
      </c>
      <c r="BE38" s="1214">
        <v>1513</v>
      </c>
      <c r="BF38" s="1214">
        <v>1476</v>
      </c>
      <c r="BG38" s="1214">
        <v>1475</v>
      </c>
      <c r="BH38" s="1214">
        <v>1572</v>
      </c>
      <c r="BI38" s="1214">
        <v>1470</v>
      </c>
      <c r="BJ38" s="1214">
        <v>1454</v>
      </c>
      <c r="BK38" s="1214">
        <v>1487</v>
      </c>
      <c r="BL38" s="1214">
        <v>1557</v>
      </c>
      <c r="BM38" s="1214">
        <v>1402</v>
      </c>
      <c r="BN38" s="1218">
        <v>1439</v>
      </c>
      <c r="BO38" s="1214">
        <v>1434</v>
      </c>
      <c r="BP38" s="1214">
        <v>1512</v>
      </c>
      <c r="BQ38" s="1217">
        <v>1451</v>
      </c>
      <c r="BR38" s="1214">
        <f>Q_Segments!BR30</f>
        <v>1236</v>
      </c>
      <c r="BS38" s="1214">
        <f>Q_Segments!BS30</f>
        <v>1217</v>
      </c>
      <c r="BT38" s="1214">
        <f>Q_Segments!BT30</f>
        <v>1224</v>
      </c>
      <c r="BU38" s="1217">
        <f>Q_Segments!BU30</f>
        <v>1262</v>
      </c>
      <c r="BV38" s="1252">
        <f>1265-40</f>
        <v>1225</v>
      </c>
      <c r="BW38" s="1253">
        <v>1264</v>
      </c>
      <c r="BX38" s="1253">
        <f>1266-353</f>
        <v>913</v>
      </c>
      <c r="BY38" s="1254">
        <v>1279</v>
      </c>
      <c r="BZ38" s="1252">
        <v>1274</v>
      </c>
      <c r="CA38" s="1253">
        <v>1246</v>
      </c>
      <c r="CB38" s="1253">
        <v>1330</v>
      </c>
      <c r="CC38" s="1253">
        <v>1106</v>
      </c>
      <c r="CD38" s="1252">
        <v>1014</v>
      </c>
      <c r="CE38" s="1253">
        <v>1028</v>
      </c>
      <c r="CF38" s="1253">
        <f>1029-16</f>
        <v>1013</v>
      </c>
      <c r="CG38" s="1253">
        <v>1017</v>
      </c>
      <c r="CH38" s="1252">
        <v>1247</v>
      </c>
      <c r="CI38" s="1253">
        <v>940</v>
      </c>
      <c r="CJ38" s="1253">
        <f>980-15</f>
        <v>965</v>
      </c>
      <c r="CK38" s="1253">
        <v>943</v>
      </c>
      <c r="CL38" s="1801">
        <v>1178</v>
      </c>
      <c r="CM38" s="1400"/>
      <c r="CN38" s="1400"/>
      <c r="CO38" s="1400"/>
    </row>
    <row r="39" spans="1:93" ht="14.25" customHeight="1">
      <c r="A39" s="1225" t="s">
        <v>993</v>
      </c>
      <c r="B39" s="1198"/>
      <c r="C39" s="1198"/>
      <c r="D39" s="1198"/>
      <c r="E39" s="1198"/>
      <c r="F39" s="1226"/>
      <c r="G39" s="1227"/>
      <c r="H39" s="1227"/>
      <c r="I39" s="1227"/>
      <c r="J39" s="1227"/>
      <c r="K39" s="1227">
        <f t="shared" ref="K39:S39" si="41">K38/J38-1</f>
        <v>-6.4655172413793371E-3</v>
      </c>
      <c r="L39" s="1227">
        <f t="shared" si="41"/>
        <v>-1.5518104455197745E-2</v>
      </c>
      <c r="M39" s="1227">
        <f t="shared" si="41"/>
        <v>-1.0847457627118695E-2</v>
      </c>
      <c r="N39" s="1227">
        <f t="shared" si="41"/>
        <v>-0.15370116518163124</v>
      </c>
      <c r="O39" s="1227">
        <f t="shared" si="41"/>
        <v>-5.223729499898766E-2</v>
      </c>
      <c r="P39" s="1229">
        <f t="shared" si="41"/>
        <v>5.8748130741294702E-2</v>
      </c>
      <c r="Q39" s="1229">
        <f t="shared" si="41"/>
        <v>-0.17836965294592411</v>
      </c>
      <c r="R39" s="1230">
        <f t="shared" si="41"/>
        <v>5.6483300589391661E-3</v>
      </c>
      <c r="S39" s="1241">
        <f t="shared" si="41"/>
        <v>-0.71233211233211235</v>
      </c>
      <c r="T39" s="1400"/>
      <c r="U39" s="1400"/>
      <c r="V39" s="1400"/>
      <c r="W39" s="1400"/>
      <c r="X39" s="1188"/>
      <c r="Y39" s="1188"/>
      <c r="Z39" s="1188"/>
      <c r="AA39" s="1226"/>
      <c r="AB39" s="1226"/>
      <c r="AC39" s="1226"/>
      <c r="AD39" s="1226"/>
      <c r="AE39" s="1226"/>
      <c r="AF39" s="1226"/>
      <c r="AG39" s="1226"/>
      <c r="AH39" s="1198"/>
      <c r="AI39" s="1226"/>
      <c r="AJ39" s="1226"/>
      <c r="AK39" s="1226"/>
      <c r="AL39" s="1226"/>
      <c r="AM39" s="1226"/>
      <c r="AN39" s="1226"/>
      <c r="AO39" s="1226"/>
      <c r="AP39" s="1226"/>
      <c r="AQ39" s="1227"/>
      <c r="AR39" s="1227"/>
      <c r="AS39" s="1227"/>
      <c r="AT39" s="1227"/>
      <c r="AU39" s="1227"/>
      <c r="AV39" s="1227"/>
      <c r="AW39" s="1227"/>
      <c r="AX39" s="1227"/>
      <c r="AY39" s="1227"/>
      <c r="AZ39" s="1227"/>
      <c r="BA39" s="1227"/>
      <c r="BB39" s="1227"/>
      <c r="BC39" s="1227"/>
      <c r="BD39" s="1227"/>
      <c r="BE39" s="1227"/>
      <c r="BF39" s="1227">
        <f t="shared" ref="BF39:CG39" si="42">BF38/BB38-1</f>
        <v>4.7651463580666853E-3</v>
      </c>
      <c r="BG39" s="1227">
        <f t="shared" si="42"/>
        <v>-7.6971214017521938E-2</v>
      </c>
      <c r="BH39" s="1227">
        <f t="shared" si="42"/>
        <v>8.2644628099173501E-2</v>
      </c>
      <c r="BI39" s="1227">
        <f t="shared" si="42"/>
        <v>-2.8420356906807664E-2</v>
      </c>
      <c r="BJ39" s="1227">
        <f t="shared" si="42"/>
        <v>-1.490514905149054E-2</v>
      </c>
      <c r="BK39" s="1227">
        <f t="shared" si="42"/>
        <v>8.1355932203390768E-3</v>
      </c>
      <c r="BL39" s="1227">
        <f t="shared" si="42"/>
        <v>-9.5419847328244156E-3</v>
      </c>
      <c r="BM39" s="1227">
        <f t="shared" si="42"/>
        <v>-4.6258503401360507E-2</v>
      </c>
      <c r="BN39" s="1231">
        <f t="shared" si="42"/>
        <v>-1.031636863823937E-2</v>
      </c>
      <c r="BO39" s="1227">
        <f t="shared" si="42"/>
        <v>-3.5642232683254838E-2</v>
      </c>
      <c r="BP39" s="1227">
        <f t="shared" si="42"/>
        <v>-2.8901734104046284E-2</v>
      </c>
      <c r="BQ39" s="1230">
        <f t="shared" si="42"/>
        <v>3.4950071326676158E-2</v>
      </c>
      <c r="BR39" s="1227">
        <f t="shared" si="42"/>
        <v>-0.14107018763029877</v>
      </c>
      <c r="BS39" s="1227">
        <f t="shared" si="42"/>
        <v>-0.15132496513249649</v>
      </c>
      <c r="BT39" s="1227">
        <f t="shared" si="42"/>
        <v>-0.19047619047619047</v>
      </c>
      <c r="BU39" s="1230">
        <f t="shared" si="42"/>
        <v>-0.13025499655410067</v>
      </c>
      <c r="BV39" s="1231">
        <f t="shared" si="42"/>
        <v>-8.8996763754045638E-3</v>
      </c>
      <c r="BW39" s="1227">
        <f t="shared" si="42"/>
        <v>3.8619556285949042E-2</v>
      </c>
      <c r="BX39" s="1227">
        <f t="shared" si="42"/>
        <v>-0.25408496732026142</v>
      </c>
      <c r="BY39" s="1229">
        <f t="shared" si="42"/>
        <v>1.3470681458003231E-2</v>
      </c>
      <c r="BZ39" s="1231">
        <f t="shared" si="42"/>
        <v>4.0000000000000036E-2</v>
      </c>
      <c r="CA39" s="1227">
        <f t="shared" si="42"/>
        <v>-1.4240506329113889E-2</v>
      </c>
      <c r="CB39" s="1227">
        <f t="shared" si="42"/>
        <v>0.45673603504928817</v>
      </c>
      <c r="CC39" s="1227">
        <f t="shared" si="42"/>
        <v>-0.13526192337763876</v>
      </c>
      <c r="CD39" s="1231">
        <f t="shared" si="42"/>
        <v>-0.20408163265306123</v>
      </c>
      <c r="CE39" s="1227">
        <f t="shared" si="42"/>
        <v>-0.1749598715890851</v>
      </c>
      <c r="CF39" s="1227">
        <f t="shared" si="42"/>
        <v>-0.23834586466165408</v>
      </c>
      <c r="CG39" s="1227">
        <f t="shared" si="42"/>
        <v>-8.0470162748643714E-2</v>
      </c>
      <c r="CH39" s="1231">
        <f>CH38/CD38-1</f>
        <v>0.22978303747534512</v>
      </c>
      <c r="CI39" s="1229">
        <f>CI38/CE38-1</f>
        <v>-8.5603112840466955E-2</v>
      </c>
      <c r="CJ39" s="1229">
        <f>CJ38/CF38-1</f>
        <v>-4.7384007897334657E-2</v>
      </c>
      <c r="CK39" s="1229">
        <f>CK38/CG38-1</f>
        <v>-7.2763028515240857E-2</v>
      </c>
      <c r="CL39" s="1231">
        <f>CL38/CH38-1</f>
        <v>-5.533279871692065E-2</v>
      </c>
      <c r="CM39" s="1400"/>
      <c r="CN39" s="1400"/>
      <c r="CO39" s="1400"/>
    </row>
    <row r="40" spans="1:93">
      <c r="A40" s="1225" t="s">
        <v>158</v>
      </c>
      <c r="B40" s="1198"/>
      <c r="C40" s="1198"/>
      <c r="D40" s="1198"/>
      <c r="E40" s="1198"/>
      <c r="F40" s="1227"/>
      <c r="G40" s="1227"/>
      <c r="H40" s="1227"/>
      <c r="I40" s="1227"/>
      <c r="J40" s="1227">
        <f t="shared" ref="J40:O40" si="43">J38/J$34</f>
        <v>0.39242729815887062</v>
      </c>
      <c r="K40" s="1227">
        <f t="shared" si="43"/>
        <v>0.41944288913773797</v>
      </c>
      <c r="L40" s="1227">
        <f t="shared" si="43"/>
        <v>0.4272575856325585</v>
      </c>
      <c r="M40" s="1227">
        <f t="shared" si="43"/>
        <v>0.4197655182334748</v>
      </c>
      <c r="N40" s="1227">
        <f t="shared" si="43"/>
        <v>0.3547367665014724</v>
      </c>
      <c r="O40" s="1227">
        <f t="shared" si="43"/>
        <v>0.33974452024967339</v>
      </c>
      <c r="P40" s="1229">
        <f>P38/P$34</f>
        <v>0.36779220779220778</v>
      </c>
      <c r="Q40" s="1229">
        <f>Q38/Q$34</f>
        <v>0.33076110795223784</v>
      </c>
      <c r="R40" s="1230">
        <f>R38/R$34</f>
        <v>0.34910485933503838</v>
      </c>
      <c r="S40" s="1241">
        <f>S38/S$34</f>
        <v>0.41391426563598033</v>
      </c>
      <c r="T40" s="1400"/>
      <c r="U40" s="1400"/>
      <c r="V40" s="1400"/>
      <c r="W40" s="1400"/>
      <c r="X40" s="1188"/>
      <c r="Y40" s="1188"/>
      <c r="Z40" s="1188"/>
      <c r="AA40" s="1226"/>
      <c r="AB40" s="1226"/>
      <c r="AC40" s="1226"/>
      <c r="AD40" s="1226"/>
      <c r="AE40" s="1226"/>
      <c r="AF40" s="1226"/>
      <c r="AG40" s="1226"/>
      <c r="AH40" s="1198"/>
      <c r="AI40" s="1226"/>
      <c r="AJ40" s="1226"/>
      <c r="AK40" s="1226"/>
      <c r="AL40" s="1226"/>
      <c r="AM40" s="1226"/>
      <c r="AN40" s="1226"/>
      <c r="AO40" s="1226"/>
      <c r="AP40" s="1226"/>
      <c r="AQ40" s="1227"/>
      <c r="AR40" s="1227"/>
      <c r="AS40" s="1227"/>
      <c r="AT40" s="1227"/>
      <c r="AU40" s="1227"/>
      <c r="AV40" s="1227"/>
      <c r="AW40" s="1227"/>
      <c r="AX40" s="1227"/>
      <c r="AY40" s="1227"/>
      <c r="AZ40" s="1227"/>
      <c r="BA40" s="1227"/>
      <c r="BB40" s="1227">
        <f t="shared" ref="BB40:BX40" si="44">BB38/BB$34</f>
        <v>0.36881747426562894</v>
      </c>
      <c r="BC40" s="1227">
        <f t="shared" si="44"/>
        <v>0.40859115315776018</v>
      </c>
      <c r="BD40" s="1227">
        <f t="shared" si="44"/>
        <v>0.38494167550371156</v>
      </c>
      <c r="BE40" s="1227">
        <f t="shared" si="44"/>
        <v>0.40836707152496626</v>
      </c>
      <c r="BF40" s="1227">
        <f t="shared" si="44"/>
        <v>0.40728476821192056</v>
      </c>
      <c r="BG40" s="1227">
        <f t="shared" si="44"/>
        <v>0.41017797552836482</v>
      </c>
      <c r="BH40" s="1227">
        <f t="shared" si="44"/>
        <v>0.4403361344537815</v>
      </c>
      <c r="BI40" s="1227">
        <f t="shared" si="44"/>
        <v>0.42024013722126929</v>
      </c>
      <c r="BJ40" s="1227">
        <f t="shared" si="44"/>
        <v>0.41769606434932488</v>
      </c>
      <c r="BK40" s="1227">
        <f t="shared" si="44"/>
        <v>0.43201626961069145</v>
      </c>
      <c r="BL40" s="1227">
        <f t="shared" si="44"/>
        <v>0.45143519860829223</v>
      </c>
      <c r="BM40" s="1227">
        <f t="shared" si="44"/>
        <v>0.40791387838231014</v>
      </c>
      <c r="BN40" s="1231">
        <f t="shared" si="44"/>
        <v>0.41722238329950712</v>
      </c>
      <c r="BO40" s="1227">
        <f t="shared" si="44"/>
        <v>0.41325648414985588</v>
      </c>
      <c r="BP40" s="1227">
        <f t="shared" si="44"/>
        <v>0.4315068493150685</v>
      </c>
      <c r="BQ40" s="1230">
        <f t="shared" si="44"/>
        <v>0.41695402298850576</v>
      </c>
      <c r="BR40" s="1227">
        <f t="shared" si="44"/>
        <v>0.35558112773302647</v>
      </c>
      <c r="BS40" s="1227">
        <f t="shared" si="44"/>
        <v>0.35051843317972348</v>
      </c>
      <c r="BT40" s="1227">
        <f t="shared" si="44"/>
        <v>0.35101806710639516</v>
      </c>
      <c r="BU40" s="1230">
        <f t="shared" si="44"/>
        <v>0.3618119266055046</v>
      </c>
      <c r="BV40" s="1231">
        <f t="shared" si="44"/>
        <v>0.3554846198491004</v>
      </c>
      <c r="BW40" s="1227">
        <f t="shared" si="44"/>
        <v>0.3650014438348253</v>
      </c>
      <c r="BX40" s="1227">
        <f t="shared" si="44"/>
        <v>0.2658707047175306</v>
      </c>
      <c r="BY40" s="1229">
        <f t="shared" ref="BY40:CJ40" si="45">BY38/BY$34</f>
        <v>0.37234352256186315</v>
      </c>
      <c r="BZ40" s="1231">
        <f t="shared" si="45"/>
        <v>0.37481612238893791</v>
      </c>
      <c r="CA40" s="1227">
        <f t="shared" si="45"/>
        <v>0.36842105263157893</v>
      </c>
      <c r="CB40" s="1227">
        <f t="shared" si="45"/>
        <v>0.39360757620597808</v>
      </c>
      <c r="CC40" s="1227">
        <f t="shared" si="45"/>
        <v>0.33363499245852185</v>
      </c>
      <c r="CD40" s="1231">
        <f t="shared" si="45"/>
        <v>0.31957138354869208</v>
      </c>
      <c r="CE40" s="1227">
        <f t="shared" si="45"/>
        <v>0.33268608414239481</v>
      </c>
      <c r="CF40" s="1227">
        <f t="shared" si="45"/>
        <v>0.33169613621480026</v>
      </c>
      <c r="CG40" s="1227">
        <f>CG38/CG$34</f>
        <v>0.33967935871743488</v>
      </c>
      <c r="CH40" s="1231">
        <f>CH38/CH$34</f>
        <v>0.42043155765340529</v>
      </c>
      <c r="CI40" s="1227">
        <f t="shared" si="45"/>
        <v>0.32081911262798635</v>
      </c>
      <c r="CJ40" s="1227">
        <f t="shared" si="45"/>
        <v>0.32879045996592843</v>
      </c>
      <c r="CK40" s="1227">
        <f>CK38/CK$34</f>
        <v>0.32528458088996204</v>
      </c>
      <c r="CL40" s="1231">
        <f>CL38/CL$34</f>
        <v>0.41391426563598033</v>
      </c>
      <c r="CM40" s="1400"/>
      <c r="CN40" s="1400"/>
      <c r="CO40" s="1400"/>
    </row>
    <row r="41" spans="1:93" ht="15" customHeight="1">
      <c r="A41" s="1213" t="s">
        <v>159</v>
      </c>
      <c r="B41" s="1213"/>
      <c r="C41" s="1213"/>
      <c r="D41" s="1213"/>
      <c r="E41" s="1213"/>
      <c r="F41" s="1214"/>
      <c r="G41" s="1214"/>
      <c r="H41" s="1214"/>
      <c r="I41" s="1214"/>
      <c r="J41" s="1214">
        <v>5219</v>
      </c>
      <c r="K41" s="1214">
        <f>SUM(BF41:BI41)</f>
        <v>4646</v>
      </c>
      <c r="L41" s="1214">
        <f>SUM(BJ41:BM41)</f>
        <v>4316</v>
      </c>
      <c r="M41" s="1214">
        <f>SUM(BN41:BQ41)</f>
        <v>4047</v>
      </c>
      <c r="N41" s="1214">
        <f>SUM(BR41:BU41)</f>
        <v>4595</v>
      </c>
      <c r="O41" s="1214">
        <f>SUM(BV41:BY41)</f>
        <v>4489</v>
      </c>
      <c r="P41" s="1216">
        <f>SUM(BZ41:CC41)</f>
        <v>3972</v>
      </c>
      <c r="Q41" s="1216">
        <f>SUM(CD41:CG41)</f>
        <v>3824</v>
      </c>
      <c r="R41" s="1217">
        <f>SUM(CH41:CK41)</f>
        <v>3200</v>
      </c>
      <c r="S41" s="1240">
        <f>SUM(CL41:CO41)</f>
        <v>542</v>
      </c>
      <c r="T41" s="1400"/>
      <c r="U41" s="1400"/>
      <c r="V41" s="1400"/>
      <c r="W41" s="1400"/>
      <c r="X41" s="1188"/>
      <c r="Y41" s="1188"/>
      <c r="Z41" s="1188"/>
      <c r="AA41" s="1214"/>
      <c r="AB41" s="1214"/>
      <c r="AC41" s="1214"/>
      <c r="AD41" s="1214"/>
      <c r="AE41" s="1214"/>
      <c r="AF41" s="1214"/>
      <c r="AG41" s="1214"/>
      <c r="AH41" s="1213"/>
      <c r="AI41" s="1214"/>
      <c r="AJ41" s="1214"/>
      <c r="AK41" s="1214"/>
      <c r="AL41" s="1214"/>
      <c r="AM41" s="1214"/>
      <c r="AN41" s="1214"/>
      <c r="AO41" s="1214"/>
      <c r="AP41" s="1214"/>
      <c r="AQ41" s="1214"/>
      <c r="AR41" s="1214"/>
      <c r="AS41" s="1214"/>
      <c r="AT41" s="1214"/>
      <c r="AU41" s="1214"/>
      <c r="AV41" s="1214"/>
      <c r="AW41" s="1214"/>
      <c r="AX41" s="1214"/>
      <c r="AY41" s="1214"/>
      <c r="AZ41" s="1214"/>
      <c r="BA41" s="1214"/>
      <c r="BB41" s="1214">
        <v>1449</v>
      </c>
      <c r="BC41" s="1214">
        <v>1466</v>
      </c>
      <c r="BD41" s="1214">
        <v>1313</v>
      </c>
      <c r="BE41" s="1214">
        <v>991</v>
      </c>
      <c r="BF41" s="1214">
        <v>1168</v>
      </c>
      <c r="BG41" s="1214">
        <v>1138</v>
      </c>
      <c r="BH41" s="1214">
        <v>1065</v>
      </c>
      <c r="BI41" s="1214">
        <v>1275</v>
      </c>
      <c r="BJ41" s="1214">
        <v>1139</v>
      </c>
      <c r="BK41" s="1214">
        <v>1091</v>
      </c>
      <c r="BL41" s="1214">
        <v>1016</v>
      </c>
      <c r="BM41" s="1214">
        <v>1070</v>
      </c>
      <c r="BN41" s="1218">
        <v>1036</v>
      </c>
      <c r="BO41" s="1214">
        <v>1045</v>
      </c>
      <c r="BP41" s="1214">
        <v>990</v>
      </c>
      <c r="BQ41" s="1217">
        <v>976</v>
      </c>
      <c r="BR41" s="1214">
        <f>SUM(Q_Segments!BR39,Q_Segments!BR49)</f>
        <v>1174</v>
      </c>
      <c r="BS41" s="1214">
        <f>SUM(Q_Segments!BS39,Q_Segments!BS49)</f>
        <v>1146</v>
      </c>
      <c r="BT41" s="1214">
        <f>SUM(Q_Segments!BT39,Q_Segments!BT49)</f>
        <v>1129</v>
      </c>
      <c r="BU41" s="1217">
        <f>SUM(Q_Segments!BU39,Q_Segments!BU49)</f>
        <v>1146</v>
      </c>
      <c r="BV41" s="1252">
        <f>516+534</f>
        <v>1050</v>
      </c>
      <c r="BW41" s="1253">
        <f>540+510</f>
        <v>1050</v>
      </c>
      <c r="BX41" s="1253">
        <f>544+826</f>
        <v>1370</v>
      </c>
      <c r="BY41" s="1254">
        <f>536+483</f>
        <v>1019</v>
      </c>
      <c r="BZ41" s="1252">
        <f>545+484-45</f>
        <v>984</v>
      </c>
      <c r="CA41" s="1253">
        <f>526+468-2</f>
        <v>992</v>
      </c>
      <c r="CB41" s="1253">
        <f>572+424-30</f>
        <v>966</v>
      </c>
      <c r="CC41" s="1253">
        <f>545+504-19</f>
        <v>1030</v>
      </c>
      <c r="CD41" s="1252">
        <f>543+494-23</f>
        <v>1014</v>
      </c>
      <c r="CE41" s="1253">
        <f>493+500-23</f>
        <v>970</v>
      </c>
      <c r="CF41" s="1253">
        <f>455+504-11</f>
        <v>948</v>
      </c>
      <c r="CG41" s="1253">
        <f>453+495-56</f>
        <v>892</v>
      </c>
      <c r="CH41" s="1252">
        <f>606-11</f>
        <v>595</v>
      </c>
      <c r="CI41" s="1253">
        <f>428+505-8-27</f>
        <v>898</v>
      </c>
      <c r="CJ41" s="1253">
        <f>420+486-51-5</f>
        <v>850</v>
      </c>
      <c r="CK41" s="1253">
        <f>414+560-19-25-67-6</f>
        <v>857</v>
      </c>
      <c r="CL41" s="1252">
        <f>556-14</f>
        <v>542</v>
      </c>
      <c r="CM41" s="1400"/>
      <c r="CN41" s="1400"/>
      <c r="CO41" s="1400"/>
    </row>
    <row r="42" spans="1:93" ht="11.25" customHeight="1">
      <c r="A42" s="1225" t="s">
        <v>993</v>
      </c>
      <c r="B42" s="1198"/>
      <c r="C42" s="1198"/>
      <c r="D42" s="1198"/>
      <c r="E42" s="1198"/>
      <c r="F42" s="1226"/>
      <c r="G42" s="1227"/>
      <c r="H42" s="1227"/>
      <c r="I42" s="1227"/>
      <c r="J42" s="1227"/>
      <c r="K42" s="1227">
        <f t="shared" ref="K42:S42" si="46">K41/J41-1</f>
        <v>-0.10979114772945009</v>
      </c>
      <c r="L42" s="1227">
        <f t="shared" si="46"/>
        <v>-7.1028842014636218E-2</v>
      </c>
      <c r="M42" s="1227">
        <f t="shared" si="46"/>
        <v>-6.2326227988878546E-2</v>
      </c>
      <c r="N42" s="1227">
        <f t="shared" si="46"/>
        <v>0.13540894489745492</v>
      </c>
      <c r="O42" s="1227">
        <f t="shared" si="46"/>
        <v>-2.3068552774755169E-2</v>
      </c>
      <c r="P42" s="1229">
        <f>P41/O41-1</f>
        <v>-0.11517041657384719</v>
      </c>
      <c r="Q42" s="1229">
        <f>Q41/P41-1</f>
        <v>-3.7260825780463191E-2</v>
      </c>
      <c r="R42" s="1230">
        <f t="shared" si="46"/>
        <v>-0.16317991631799167</v>
      </c>
      <c r="S42" s="1241">
        <f t="shared" si="46"/>
        <v>-0.83062499999999995</v>
      </c>
      <c r="T42" s="1400"/>
      <c r="U42" s="1400"/>
      <c r="V42" s="1400"/>
      <c r="W42" s="1400"/>
      <c r="X42" s="1226"/>
      <c r="Y42" s="1226"/>
      <c r="Z42" s="1226"/>
      <c r="AA42" s="1226"/>
      <c r="AB42" s="1226"/>
      <c r="AC42" s="1226"/>
      <c r="AD42" s="1226"/>
      <c r="AE42" s="1226"/>
      <c r="AF42" s="1226"/>
      <c r="AG42" s="1226"/>
      <c r="AH42" s="1198"/>
      <c r="AI42" s="1226"/>
      <c r="AJ42" s="1226"/>
      <c r="AK42" s="1226"/>
      <c r="AL42" s="1226"/>
      <c r="AM42" s="1226"/>
      <c r="AN42" s="1226"/>
      <c r="AO42" s="1226"/>
      <c r="AP42" s="1226"/>
      <c r="AQ42" s="1227"/>
      <c r="AR42" s="1227"/>
      <c r="AS42" s="1227"/>
      <c r="AT42" s="1227"/>
      <c r="AU42" s="1227"/>
      <c r="AV42" s="1227"/>
      <c r="AW42" s="1227"/>
      <c r="AX42" s="1227"/>
      <c r="AY42" s="1227"/>
      <c r="AZ42" s="1227"/>
      <c r="BA42" s="1227"/>
      <c r="BB42" s="1227"/>
      <c r="BC42" s="1227"/>
      <c r="BD42" s="1227"/>
      <c r="BE42" s="1227"/>
      <c r="BF42" s="1227">
        <f t="shared" ref="BF42:CG42" si="47">BF41/BB41-1</f>
        <v>-0.19392684610075916</v>
      </c>
      <c r="BG42" s="1227">
        <f t="shared" si="47"/>
        <v>-0.22373806275579811</v>
      </c>
      <c r="BH42" s="1227">
        <f t="shared" si="47"/>
        <v>-0.1888804265041889</v>
      </c>
      <c r="BI42" s="1227">
        <f t="shared" si="47"/>
        <v>0.28657921291624611</v>
      </c>
      <c r="BJ42" s="1227">
        <f t="shared" si="47"/>
        <v>-2.4828767123287632E-2</v>
      </c>
      <c r="BK42" s="1227">
        <f t="shared" si="47"/>
        <v>-4.1300527240773266E-2</v>
      </c>
      <c r="BL42" s="1227">
        <f t="shared" si="47"/>
        <v>-4.6009389671361478E-2</v>
      </c>
      <c r="BM42" s="1227">
        <f t="shared" si="47"/>
        <v>-0.16078431372549018</v>
      </c>
      <c r="BN42" s="1231">
        <f t="shared" si="47"/>
        <v>-9.043020193151885E-2</v>
      </c>
      <c r="BO42" s="1227">
        <f t="shared" si="47"/>
        <v>-4.2163153070577497E-2</v>
      </c>
      <c r="BP42" s="1227">
        <f t="shared" si="47"/>
        <v>-2.5590551181102317E-2</v>
      </c>
      <c r="BQ42" s="1230">
        <f t="shared" si="47"/>
        <v>-8.785046728971968E-2</v>
      </c>
      <c r="BR42" s="1227">
        <f t="shared" si="47"/>
        <v>0.13320463320463327</v>
      </c>
      <c r="BS42" s="1227">
        <f t="shared" si="47"/>
        <v>9.665071770334932E-2</v>
      </c>
      <c r="BT42" s="1227">
        <f t="shared" si="47"/>
        <v>0.14040404040404031</v>
      </c>
      <c r="BU42" s="1230">
        <f t="shared" si="47"/>
        <v>0.17418032786885251</v>
      </c>
      <c r="BV42" s="1231">
        <f t="shared" si="47"/>
        <v>-0.10562180579216351</v>
      </c>
      <c r="BW42" s="1227">
        <f t="shared" si="47"/>
        <v>-8.376963350785338E-2</v>
      </c>
      <c r="BX42" s="1227">
        <f t="shared" si="47"/>
        <v>0.21346324180690868</v>
      </c>
      <c r="BY42" s="1229">
        <f t="shared" si="47"/>
        <v>-0.11082024432809778</v>
      </c>
      <c r="BZ42" s="1231">
        <f t="shared" si="47"/>
        <v>-6.2857142857142834E-2</v>
      </c>
      <c r="CA42" s="1227">
        <f t="shared" si="47"/>
        <v>-5.5238095238095197E-2</v>
      </c>
      <c r="CB42" s="1227">
        <f t="shared" si="47"/>
        <v>-0.29489051094890506</v>
      </c>
      <c r="CC42" s="1227">
        <f t="shared" si="47"/>
        <v>1.0794896957801781E-2</v>
      </c>
      <c r="CD42" s="1231">
        <f t="shared" si="47"/>
        <v>3.0487804878048808E-2</v>
      </c>
      <c r="CE42" s="1227">
        <f t="shared" si="47"/>
        <v>-2.2177419354838745E-2</v>
      </c>
      <c r="CF42" s="1227">
        <f t="shared" si="47"/>
        <v>-1.8633540372670843E-2</v>
      </c>
      <c r="CG42" s="1227">
        <f t="shared" si="47"/>
        <v>-0.13398058252427181</v>
      </c>
      <c r="CH42" s="1231">
        <f>CH41/CD41-1</f>
        <v>-0.41321499013806706</v>
      </c>
      <c r="CI42" s="1229">
        <f>CI41/CE41-1</f>
        <v>-7.4226804123711299E-2</v>
      </c>
      <c r="CJ42" s="1229">
        <f>CJ41/CF41-1</f>
        <v>-0.1033755274261603</v>
      </c>
      <c r="CK42" s="1229">
        <f>CK41/CG41-1</f>
        <v>-3.9237668161434924E-2</v>
      </c>
      <c r="CL42" s="1231">
        <f>CL41/CH41-1</f>
        <v>-8.9075630252100857E-2</v>
      </c>
      <c r="CM42" s="1400"/>
      <c r="CN42" s="1400"/>
      <c r="CO42" s="1400"/>
    </row>
    <row r="43" spans="1:93" ht="12" customHeight="1">
      <c r="A43" s="1225" t="s">
        <v>158</v>
      </c>
      <c r="B43" s="1198"/>
      <c r="C43" s="1198"/>
      <c r="D43" s="1198"/>
      <c r="E43" s="1198"/>
      <c r="F43" s="1227"/>
      <c r="G43" s="1227"/>
      <c r="H43" s="1227"/>
      <c r="I43" s="1227"/>
      <c r="J43" s="1227">
        <f t="shared" ref="J43:S43" si="48">J41/J$34</f>
        <v>0.33953548890768331</v>
      </c>
      <c r="K43" s="1227">
        <f t="shared" si="48"/>
        <v>0.32516797312430012</v>
      </c>
      <c r="L43" s="1227">
        <f t="shared" si="48"/>
        <v>0.31254978637120717</v>
      </c>
      <c r="M43" s="1227">
        <f t="shared" si="48"/>
        <v>0.29108825433359709</v>
      </c>
      <c r="N43" s="1227">
        <f t="shared" si="48"/>
        <v>0.33002944767650649</v>
      </c>
      <c r="O43" s="1227">
        <f t="shared" si="48"/>
        <v>0.32580926114094932</v>
      </c>
      <c r="P43" s="1229">
        <f>P41/P$34</f>
        <v>0.29476808905380336</v>
      </c>
      <c r="Q43" s="1229">
        <f>Q41/Q$34</f>
        <v>0.31061652180976362</v>
      </c>
      <c r="R43" s="1230">
        <f t="shared" si="48"/>
        <v>0.27280477408354648</v>
      </c>
      <c r="S43" s="1241">
        <f t="shared" si="48"/>
        <v>0.1904427266338721</v>
      </c>
      <c r="T43" s="1400"/>
      <c r="U43" s="1400"/>
      <c r="V43" s="1400"/>
      <c r="W43" s="1400"/>
      <c r="X43" s="1226"/>
      <c r="Y43" s="1226"/>
      <c r="Z43" s="1226"/>
      <c r="AA43" s="1226"/>
      <c r="AB43" s="1226"/>
      <c r="AC43" s="1226"/>
      <c r="AD43" s="1226"/>
      <c r="AE43" s="1226"/>
      <c r="AF43" s="1226"/>
      <c r="AG43" s="1226"/>
      <c r="AH43" s="1198"/>
      <c r="AI43" s="1226"/>
      <c r="AJ43" s="1226"/>
      <c r="AK43" s="1226"/>
      <c r="AL43" s="1226"/>
      <c r="AM43" s="1226"/>
      <c r="AN43" s="1226"/>
      <c r="AO43" s="1226"/>
      <c r="AP43" s="1226"/>
      <c r="AQ43" s="1227"/>
      <c r="AR43" s="1227"/>
      <c r="AS43" s="1227"/>
      <c r="AT43" s="1227"/>
      <c r="AU43" s="1227"/>
      <c r="AV43" s="1227"/>
      <c r="AW43" s="1227"/>
      <c r="AX43" s="1227"/>
      <c r="AY43" s="1227"/>
      <c r="AZ43" s="1227"/>
      <c r="BA43" s="1227"/>
      <c r="BB43" s="1227">
        <f t="shared" ref="BB43:BZ43" si="49">BB41/BB$34</f>
        <v>0.36379613356766255</v>
      </c>
      <c r="BC43" s="1227">
        <f t="shared" si="49"/>
        <v>0.37484019432370236</v>
      </c>
      <c r="BD43" s="1227">
        <f t="shared" si="49"/>
        <v>0.34809119830328739</v>
      </c>
      <c r="BE43" s="1227">
        <f t="shared" si="49"/>
        <v>0.26747638326585693</v>
      </c>
      <c r="BF43" s="1227">
        <f t="shared" si="49"/>
        <v>0.32229580573951433</v>
      </c>
      <c r="BG43" s="1227">
        <f t="shared" si="49"/>
        <v>0.31646273637374861</v>
      </c>
      <c r="BH43" s="1227">
        <f t="shared" si="49"/>
        <v>0.29831932773109243</v>
      </c>
      <c r="BI43" s="1227">
        <f t="shared" si="49"/>
        <v>0.36449399656946829</v>
      </c>
      <c r="BJ43" s="1227">
        <f t="shared" si="49"/>
        <v>0.32720482619936797</v>
      </c>
      <c r="BK43" s="1227">
        <f t="shared" si="49"/>
        <v>0.31696687972109239</v>
      </c>
      <c r="BL43" s="1227">
        <f t="shared" si="49"/>
        <v>0.29457813859089593</v>
      </c>
      <c r="BM43" s="1227">
        <f t="shared" si="49"/>
        <v>0.31131800989234798</v>
      </c>
      <c r="BN43" s="1231">
        <f t="shared" si="49"/>
        <v>0.30037692084662221</v>
      </c>
      <c r="BO43" s="1227">
        <f t="shared" si="49"/>
        <v>0.30115273775216139</v>
      </c>
      <c r="BP43" s="1227">
        <f t="shared" si="49"/>
        <v>0.28253424657534248</v>
      </c>
      <c r="BQ43" s="1230">
        <f t="shared" si="49"/>
        <v>0.28045977011494255</v>
      </c>
      <c r="BR43" s="1227">
        <f t="shared" si="49"/>
        <v>0.33774453394706561</v>
      </c>
      <c r="BS43" s="1227">
        <f t="shared" si="49"/>
        <v>0.33006912442396313</v>
      </c>
      <c r="BT43" s="1227">
        <f t="shared" si="49"/>
        <v>0.32377401778032694</v>
      </c>
      <c r="BU43" s="1230">
        <f t="shared" si="49"/>
        <v>0.32855504587155965</v>
      </c>
      <c r="BV43" s="1231">
        <f t="shared" si="49"/>
        <v>0.30470110272780032</v>
      </c>
      <c r="BW43" s="1227">
        <f t="shared" si="49"/>
        <v>0.30320531331215711</v>
      </c>
      <c r="BX43" s="1227">
        <f t="shared" si="49"/>
        <v>0.39895165987186954</v>
      </c>
      <c r="BY43" s="1229">
        <f>BY41/BY$34</f>
        <v>0.29665211062590974</v>
      </c>
      <c r="BZ43" s="1231">
        <f t="shared" si="49"/>
        <v>0.28949691085613416</v>
      </c>
      <c r="CA43" s="1227">
        <f t="shared" ref="CA43:CF43" si="50">CA41/CA$34</f>
        <v>0.29331756357185096</v>
      </c>
      <c r="CB43" s="1227">
        <f t="shared" si="50"/>
        <v>0.28588339745486829</v>
      </c>
      <c r="CC43" s="1227">
        <f t="shared" si="50"/>
        <v>0.31070889894419307</v>
      </c>
      <c r="CD43" s="1231">
        <f>CD41/CD$34</f>
        <v>0.31957138354869208</v>
      </c>
      <c r="CE43" s="1227">
        <f t="shared" si="50"/>
        <v>0.31391585760517798</v>
      </c>
      <c r="CF43" s="1227">
        <f t="shared" si="50"/>
        <v>0.31041257367387032</v>
      </c>
      <c r="CG43" s="1227">
        <f t="shared" ref="CG43:CL43" si="51">CG41/CG$34</f>
        <v>0.29792919171676685</v>
      </c>
      <c r="CH43" s="1231">
        <f t="shared" si="51"/>
        <v>0.20060687795010115</v>
      </c>
      <c r="CI43" s="1227">
        <f t="shared" si="51"/>
        <v>0.30648464163822525</v>
      </c>
      <c r="CJ43" s="1227">
        <f t="shared" si="51"/>
        <v>0.28960817717206133</v>
      </c>
      <c r="CK43" s="1227">
        <f t="shared" si="51"/>
        <v>0.29561917902725077</v>
      </c>
      <c r="CL43" s="1231">
        <f t="shared" si="51"/>
        <v>0.1904427266338721</v>
      </c>
      <c r="CM43" s="1400"/>
      <c r="CN43" s="1400"/>
      <c r="CO43" s="1400"/>
    </row>
    <row r="44" spans="1:93" ht="15" customHeight="1">
      <c r="A44" s="1213" t="s">
        <v>160</v>
      </c>
      <c r="B44" s="1213"/>
      <c r="C44" s="1213"/>
      <c r="D44" s="1213"/>
      <c r="E44" s="1213"/>
      <c r="F44" s="1214"/>
      <c r="G44" s="1214"/>
      <c r="H44" s="1214"/>
      <c r="I44" s="1214"/>
      <c r="J44" s="1214">
        <f t="shared" ref="J44:O44" si="52">J38+J41</f>
        <v>11251</v>
      </c>
      <c r="K44" s="1214">
        <f t="shared" si="52"/>
        <v>10639</v>
      </c>
      <c r="L44" s="1214">
        <f t="shared" si="52"/>
        <v>10216</v>
      </c>
      <c r="M44" s="1214">
        <f t="shared" si="52"/>
        <v>9883</v>
      </c>
      <c r="N44" s="1214">
        <f t="shared" si="52"/>
        <v>9534</v>
      </c>
      <c r="O44" s="1214">
        <f t="shared" si="52"/>
        <v>9170</v>
      </c>
      <c r="P44" s="1216">
        <f>P38+P41</f>
        <v>8928</v>
      </c>
      <c r="Q44" s="1216">
        <f>Q38+Q41</f>
        <v>7896</v>
      </c>
      <c r="R44" s="1217">
        <f>R38+R41</f>
        <v>7295</v>
      </c>
      <c r="S44" s="1240">
        <f>S38+S41</f>
        <v>1720</v>
      </c>
      <c r="T44" s="1400"/>
      <c r="U44" s="1400"/>
      <c r="V44" s="1400"/>
      <c r="W44" s="1400"/>
      <c r="X44" s="1214"/>
      <c r="Y44" s="1214"/>
      <c r="Z44" s="1214"/>
      <c r="AA44" s="1214"/>
      <c r="AB44" s="1214"/>
      <c r="AC44" s="1214"/>
      <c r="AD44" s="1214"/>
      <c r="AE44" s="1214"/>
      <c r="AF44" s="1214"/>
      <c r="AG44" s="1214"/>
      <c r="AH44" s="1213"/>
      <c r="AI44" s="1214"/>
      <c r="AJ44" s="1214"/>
      <c r="AK44" s="1214"/>
      <c r="AL44" s="1214"/>
      <c r="AM44" s="1214"/>
      <c r="AN44" s="1214"/>
      <c r="AO44" s="1214"/>
      <c r="AP44" s="1214"/>
      <c r="AQ44" s="1214"/>
      <c r="AR44" s="1214"/>
      <c r="AS44" s="1214"/>
      <c r="AT44" s="1214"/>
      <c r="AU44" s="1214"/>
      <c r="AV44" s="1214"/>
      <c r="AW44" s="1214"/>
      <c r="AX44" s="1214"/>
      <c r="AY44" s="1214"/>
      <c r="AZ44" s="1214"/>
      <c r="BA44" s="1214"/>
      <c r="BB44" s="1214">
        <f t="shared" ref="BB44:BX44" si="53">BB38+BB41</f>
        <v>2918</v>
      </c>
      <c r="BC44" s="1214">
        <f t="shared" si="53"/>
        <v>3064</v>
      </c>
      <c r="BD44" s="1214">
        <f t="shared" si="53"/>
        <v>2765</v>
      </c>
      <c r="BE44" s="1214">
        <f t="shared" si="53"/>
        <v>2504</v>
      </c>
      <c r="BF44" s="1214">
        <f t="shared" si="53"/>
        <v>2644</v>
      </c>
      <c r="BG44" s="1214">
        <f t="shared" si="53"/>
        <v>2613</v>
      </c>
      <c r="BH44" s="1214">
        <f t="shared" si="53"/>
        <v>2637</v>
      </c>
      <c r="BI44" s="1214">
        <f t="shared" si="53"/>
        <v>2745</v>
      </c>
      <c r="BJ44" s="1214">
        <f t="shared" si="53"/>
        <v>2593</v>
      </c>
      <c r="BK44" s="1214">
        <f t="shared" si="53"/>
        <v>2578</v>
      </c>
      <c r="BL44" s="1214">
        <f t="shared" si="53"/>
        <v>2573</v>
      </c>
      <c r="BM44" s="1214">
        <f t="shared" si="53"/>
        <v>2472</v>
      </c>
      <c r="BN44" s="1218">
        <f t="shared" si="53"/>
        <v>2475</v>
      </c>
      <c r="BO44" s="1214">
        <f t="shared" si="53"/>
        <v>2479</v>
      </c>
      <c r="BP44" s="1214">
        <f t="shared" si="53"/>
        <v>2502</v>
      </c>
      <c r="BQ44" s="1217">
        <f t="shared" si="53"/>
        <v>2427</v>
      </c>
      <c r="BR44" s="1214">
        <f t="shared" si="53"/>
        <v>2410</v>
      </c>
      <c r="BS44" s="1214">
        <f t="shared" si="53"/>
        <v>2363</v>
      </c>
      <c r="BT44" s="1214">
        <f t="shared" si="53"/>
        <v>2353</v>
      </c>
      <c r="BU44" s="1217">
        <f t="shared" si="53"/>
        <v>2408</v>
      </c>
      <c r="BV44" s="1218">
        <f t="shared" si="53"/>
        <v>2275</v>
      </c>
      <c r="BW44" s="1214">
        <f t="shared" si="53"/>
        <v>2314</v>
      </c>
      <c r="BX44" s="1214">
        <f t="shared" si="53"/>
        <v>2283</v>
      </c>
      <c r="BY44" s="1216">
        <f>BY38+BY41</f>
        <v>2298</v>
      </c>
      <c r="BZ44" s="1218">
        <f>SUM(BZ38,BZ41)</f>
        <v>2258</v>
      </c>
      <c r="CA44" s="1214">
        <f>SUM(CA38,CA41)</f>
        <v>2238</v>
      </c>
      <c r="CB44" s="1214">
        <f>SUM(CB38,CB41)</f>
        <v>2296</v>
      </c>
      <c r="CC44" s="1214">
        <f>SUM(CC38,CC41)</f>
        <v>2136</v>
      </c>
      <c r="CD44" s="1218">
        <f t="shared" ref="CD44:CK44" si="54">CD38+CD41</f>
        <v>2028</v>
      </c>
      <c r="CE44" s="1216">
        <f t="shared" si="54"/>
        <v>1998</v>
      </c>
      <c r="CF44" s="1216">
        <f t="shared" si="54"/>
        <v>1961</v>
      </c>
      <c r="CG44" s="1216">
        <f t="shared" si="54"/>
        <v>1909</v>
      </c>
      <c r="CH44" s="1218">
        <f t="shared" si="54"/>
        <v>1842</v>
      </c>
      <c r="CI44" s="1216">
        <f t="shared" si="54"/>
        <v>1838</v>
      </c>
      <c r="CJ44" s="1216">
        <f t="shared" si="54"/>
        <v>1815</v>
      </c>
      <c r="CK44" s="1216">
        <f t="shared" si="54"/>
        <v>1800</v>
      </c>
      <c r="CL44" s="1218">
        <f>CL38+CL41</f>
        <v>1720</v>
      </c>
      <c r="CM44" s="1400"/>
      <c r="CN44" s="1400"/>
      <c r="CO44" s="1400"/>
    </row>
    <row r="45" spans="1:93" ht="11.25" customHeight="1">
      <c r="A45" s="1225" t="s">
        <v>993</v>
      </c>
      <c r="B45" s="1198"/>
      <c r="C45" s="1198"/>
      <c r="D45" s="1198"/>
      <c r="E45" s="1198"/>
      <c r="F45" s="1226"/>
      <c r="G45" s="1227"/>
      <c r="H45" s="1227"/>
      <c r="I45" s="1227"/>
      <c r="J45" s="1227"/>
      <c r="K45" s="1227">
        <f t="shared" ref="K45:S45" si="55">K44/J44-1</f>
        <v>-5.4395164874233348E-2</v>
      </c>
      <c r="L45" s="1227">
        <f t="shared" si="55"/>
        <v>-3.9759375881191827E-2</v>
      </c>
      <c r="M45" s="1227">
        <f t="shared" si="55"/>
        <v>-3.2595927956147186E-2</v>
      </c>
      <c r="N45" s="1227">
        <f t="shared" si="55"/>
        <v>-3.5313164019022514E-2</v>
      </c>
      <c r="O45" s="1227">
        <f t="shared" si="55"/>
        <v>-3.8179148311306865E-2</v>
      </c>
      <c r="P45" s="1229">
        <f t="shared" si="55"/>
        <v>-2.6390403489640168E-2</v>
      </c>
      <c r="Q45" s="1229">
        <f t="shared" si="55"/>
        <v>-0.11559139784946237</v>
      </c>
      <c r="R45" s="1230">
        <f t="shared" si="55"/>
        <v>-7.6114488348530851E-2</v>
      </c>
      <c r="S45" s="1227">
        <f t="shared" si="55"/>
        <v>-0.76422206991089792</v>
      </c>
      <c r="T45" s="1400"/>
      <c r="U45" s="1400"/>
      <c r="V45" s="1400"/>
      <c r="W45" s="1400"/>
      <c r="X45" s="1226"/>
      <c r="Y45" s="1226"/>
      <c r="Z45" s="1226"/>
      <c r="AA45" s="1226"/>
      <c r="AB45" s="1226"/>
      <c r="AC45" s="1226"/>
      <c r="AD45" s="1226"/>
      <c r="AE45" s="1226"/>
      <c r="AF45" s="1226"/>
      <c r="AG45" s="1226"/>
      <c r="AH45" s="1198"/>
      <c r="AI45" s="1226"/>
      <c r="AJ45" s="1226"/>
      <c r="AK45" s="1226"/>
      <c r="AL45" s="1226"/>
      <c r="AM45" s="1226"/>
      <c r="AN45" s="1226"/>
      <c r="AO45" s="1226"/>
      <c r="AP45" s="1226"/>
      <c r="AQ45" s="1227"/>
      <c r="AR45" s="1227"/>
      <c r="AS45" s="1227"/>
      <c r="AT45" s="1227"/>
      <c r="AU45" s="1227"/>
      <c r="AV45" s="1227"/>
      <c r="AW45" s="1227"/>
      <c r="AX45" s="1227"/>
      <c r="AY45" s="1227"/>
      <c r="AZ45" s="1227"/>
      <c r="BA45" s="1227"/>
      <c r="BB45" s="1227"/>
      <c r="BC45" s="1227"/>
      <c r="BD45" s="1227"/>
      <c r="BE45" s="1227"/>
      <c r="BF45" s="1227">
        <f t="shared" ref="BF45:CG45" si="56">BF44/BB44-1</f>
        <v>-9.3899931459904051E-2</v>
      </c>
      <c r="BG45" s="1227">
        <f t="shared" si="56"/>
        <v>-0.14719321148825071</v>
      </c>
      <c r="BH45" s="1227">
        <f t="shared" si="56"/>
        <v>-4.6292947558770337E-2</v>
      </c>
      <c r="BI45" s="1227">
        <f t="shared" si="56"/>
        <v>9.6246006389776317E-2</v>
      </c>
      <c r="BJ45" s="1227">
        <f t="shared" si="56"/>
        <v>-1.9288956127080148E-2</v>
      </c>
      <c r="BK45" s="1227">
        <f t="shared" si="56"/>
        <v>-1.3394565633371602E-2</v>
      </c>
      <c r="BL45" s="1227">
        <f t="shared" si="56"/>
        <v>-2.4270003792188133E-2</v>
      </c>
      <c r="BM45" s="1227">
        <f t="shared" si="56"/>
        <v>-9.9453551912568328E-2</v>
      </c>
      <c r="BN45" s="1231">
        <f t="shared" si="56"/>
        <v>-4.5507134593135379E-2</v>
      </c>
      <c r="BO45" s="1227">
        <f t="shared" si="56"/>
        <v>-3.8401861908456181E-2</v>
      </c>
      <c r="BP45" s="1227">
        <f t="shared" si="56"/>
        <v>-2.7594247959580209E-2</v>
      </c>
      <c r="BQ45" s="1230">
        <f t="shared" si="56"/>
        <v>-1.8203883495145678E-2</v>
      </c>
      <c r="BR45" s="1227">
        <f t="shared" si="56"/>
        <v>-2.626262626262621E-2</v>
      </c>
      <c r="BS45" s="1227">
        <f t="shared" si="56"/>
        <v>-4.6793061718434892E-2</v>
      </c>
      <c r="BT45" s="1227">
        <f t="shared" si="56"/>
        <v>-5.9552358113509229E-2</v>
      </c>
      <c r="BU45" s="1230">
        <f t="shared" si="56"/>
        <v>-7.8285949732179727E-3</v>
      </c>
      <c r="BV45" s="1231">
        <f t="shared" si="56"/>
        <v>-5.6016597510373467E-2</v>
      </c>
      <c r="BW45" s="1227">
        <f t="shared" si="56"/>
        <v>-2.0736352094794741E-2</v>
      </c>
      <c r="BX45" s="1227">
        <f t="shared" si="56"/>
        <v>-2.974925626859326E-2</v>
      </c>
      <c r="BY45" s="1229">
        <f t="shared" si="56"/>
        <v>-4.5681063122923637E-2</v>
      </c>
      <c r="BZ45" s="1231">
        <f t="shared" si="56"/>
        <v>-7.4725274725274682E-3</v>
      </c>
      <c r="CA45" s="1227">
        <f t="shared" si="56"/>
        <v>-3.2843560933448535E-2</v>
      </c>
      <c r="CB45" s="1227">
        <f t="shared" si="56"/>
        <v>5.6942619360491609E-3</v>
      </c>
      <c r="CC45" s="1227">
        <f t="shared" si="56"/>
        <v>-7.0496083550913857E-2</v>
      </c>
      <c r="CD45" s="1231">
        <f t="shared" si="56"/>
        <v>-0.10186005314437552</v>
      </c>
      <c r="CE45" s="1227">
        <f t="shared" si="56"/>
        <v>-0.10723860589812328</v>
      </c>
      <c r="CF45" s="1227">
        <f t="shared" si="56"/>
        <v>-0.14590592334494779</v>
      </c>
      <c r="CG45" s="1227">
        <f t="shared" si="56"/>
        <v>-0.10627340823970033</v>
      </c>
      <c r="CH45" s="1231">
        <f>CH44/CD44-1</f>
        <v>-9.1715976331360971E-2</v>
      </c>
      <c r="CI45" s="1227">
        <f>CI44/CE44-1</f>
        <v>-8.0080080080080052E-2</v>
      </c>
      <c r="CJ45" s="1227">
        <f>CJ44/CF44-1</f>
        <v>-7.4451810300866894E-2</v>
      </c>
      <c r="CK45" s="1227">
        <f>CK44/CG44-1</f>
        <v>-5.7097957045573633E-2</v>
      </c>
      <c r="CL45" s="1231">
        <f>CL44/CH44-1</f>
        <v>-6.6232356134636294E-2</v>
      </c>
      <c r="CM45" s="1400"/>
      <c r="CN45" s="1400"/>
      <c r="CO45" s="1400"/>
    </row>
    <row r="46" spans="1:93" ht="12" customHeight="1">
      <c r="A46" s="1242" t="s">
        <v>158</v>
      </c>
      <c r="B46" s="1243"/>
      <c r="C46" s="1243"/>
      <c r="D46" s="1243"/>
      <c r="E46" s="1243"/>
      <c r="F46" s="1258"/>
      <c r="G46" s="1258"/>
      <c r="H46" s="1258"/>
      <c r="I46" s="1258"/>
      <c r="J46" s="1258">
        <f t="shared" ref="J46:O46" si="57">J44/J$34</f>
        <v>0.73196278706655393</v>
      </c>
      <c r="K46" s="1258">
        <f t="shared" si="57"/>
        <v>0.7446108622620381</v>
      </c>
      <c r="L46" s="1258">
        <f t="shared" si="57"/>
        <v>0.73980737200376567</v>
      </c>
      <c r="M46" s="1258">
        <f t="shared" si="57"/>
        <v>0.71085377256707183</v>
      </c>
      <c r="N46" s="1258">
        <f t="shared" si="57"/>
        <v>0.68476621417797889</v>
      </c>
      <c r="O46" s="1258">
        <f t="shared" si="57"/>
        <v>0.66555378139062271</v>
      </c>
      <c r="P46" s="1258">
        <f>P44/P$34</f>
        <v>0.66256029684601114</v>
      </c>
      <c r="Q46" s="1258">
        <f>Q44/Q$34</f>
        <v>0.64137762976200141</v>
      </c>
      <c r="R46" s="1259">
        <f>R44/R$34</f>
        <v>0.62190963341858485</v>
      </c>
      <c r="S46" s="1258">
        <f>S44/S$34</f>
        <v>0.6043569922698524</v>
      </c>
      <c r="T46" s="1400"/>
      <c r="U46" s="1400"/>
      <c r="V46" s="1400"/>
      <c r="W46" s="1400"/>
      <c r="X46" s="1226"/>
      <c r="Y46" s="1226"/>
      <c r="Z46" s="1226"/>
      <c r="AA46" s="1226"/>
      <c r="AB46" s="1226"/>
      <c r="AC46" s="1226"/>
      <c r="AD46" s="1226"/>
      <c r="AE46" s="1226"/>
      <c r="AF46" s="1226"/>
      <c r="AG46" s="1226"/>
      <c r="AH46" s="1198"/>
      <c r="AI46" s="1226"/>
      <c r="AJ46" s="1226"/>
      <c r="AK46" s="1226"/>
      <c r="AL46" s="1226"/>
      <c r="AM46" s="1226"/>
      <c r="AN46" s="1226"/>
      <c r="AO46" s="1226"/>
      <c r="AP46" s="1226"/>
      <c r="AQ46" s="1227"/>
      <c r="AR46" s="1227"/>
      <c r="AS46" s="1227"/>
      <c r="AT46" s="1227"/>
      <c r="AU46" s="1227"/>
      <c r="AV46" s="1227"/>
      <c r="AW46" s="1227"/>
      <c r="AX46" s="1227"/>
      <c r="AY46" s="1227"/>
      <c r="AZ46" s="1227"/>
      <c r="BA46" s="1227"/>
      <c r="BB46" s="1227">
        <f t="shared" ref="BB46:BZ46" si="58">BB44/BB$34</f>
        <v>0.73261360783329144</v>
      </c>
      <c r="BC46" s="1227">
        <f t="shared" si="58"/>
        <v>0.78343134748146259</v>
      </c>
      <c r="BD46" s="1227">
        <f t="shared" si="58"/>
        <v>0.73303287380699889</v>
      </c>
      <c r="BE46" s="1227">
        <f t="shared" si="58"/>
        <v>0.67584345479082319</v>
      </c>
      <c r="BF46" s="1227">
        <f t="shared" si="58"/>
        <v>0.72958057395143483</v>
      </c>
      <c r="BG46" s="1227">
        <f t="shared" si="58"/>
        <v>0.72664071190211343</v>
      </c>
      <c r="BH46" s="1227">
        <f t="shared" si="58"/>
        <v>0.73865546218487399</v>
      </c>
      <c r="BI46" s="1227">
        <f t="shared" si="58"/>
        <v>0.78473413379073753</v>
      </c>
      <c r="BJ46" s="1227">
        <f t="shared" si="58"/>
        <v>0.74490089054869291</v>
      </c>
      <c r="BK46" s="1227">
        <f t="shared" si="58"/>
        <v>0.74898314933178389</v>
      </c>
      <c r="BL46" s="1227">
        <f t="shared" si="58"/>
        <v>0.74601333719918816</v>
      </c>
      <c r="BM46" s="1227">
        <f t="shared" si="58"/>
        <v>0.71923188827465812</v>
      </c>
      <c r="BN46" s="1231">
        <f t="shared" si="58"/>
        <v>0.71759930414612927</v>
      </c>
      <c r="BO46" s="1227">
        <f t="shared" si="58"/>
        <v>0.71440922190201728</v>
      </c>
      <c r="BP46" s="1227">
        <f t="shared" si="58"/>
        <v>0.71404109589041098</v>
      </c>
      <c r="BQ46" s="1230">
        <f t="shared" si="58"/>
        <v>0.69741379310344831</v>
      </c>
      <c r="BR46" s="1227">
        <f t="shared" si="58"/>
        <v>0.69332566168009202</v>
      </c>
      <c r="BS46" s="1227">
        <f t="shared" si="58"/>
        <v>0.68058755760368661</v>
      </c>
      <c r="BT46" s="1227">
        <f t="shared" si="58"/>
        <v>0.67479208488672215</v>
      </c>
      <c r="BU46" s="1230">
        <f t="shared" si="58"/>
        <v>0.69036697247706424</v>
      </c>
      <c r="BV46" s="1260">
        <f t="shared" si="58"/>
        <v>0.66018572257690078</v>
      </c>
      <c r="BW46" s="1258">
        <f t="shared" si="58"/>
        <v>0.66820675714698241</v>
      </c>
      <c r="BX46" s="1258">
        <f t="shared" si="58"/>
        <v>0.66482236458940014</v>
      </c>
      <c r="BY46" s="1258">
        <f>BY44/BY$34</f>
        <v>0.66899563318777289</v>
      </c>
      <c r="BZ46" s="1260">
        <f t="shared" si="58"/>
        <v>0.66431303324507207</v>
      </c>
      <c r="CA46" s="1258">
        <f t="shared" ref="CA46:CF46" si="59">CA44/CA$34</f>
        <v>0.66173861620342989</v>
      </c>
      <c r="CB46" s="1258">
        <f t="shared" si="59"/>
        <v>0.67949097366084643</v>
      </c>
      <c r="CC46" s="1258">
        <f t="shared" si="59"/>
        <v>0.64434389140271497</v>
      </c>
      <c r="CD46" s="1260">
        <f t="shared" si="59"/>
        <v>0.63914276709738416</v>
      </c>
      <c r="CE46" s="1258">
        <f t="shared" si="59"/>
        <v>0.64660194174757279</v>
      </c>
      <c r="CF46" s="1258">
        <f t="shared" si="59"/>
        <v>0.64210870988867064</v>
      </c>
      <c r="CG46" s="1258">
        <f t="shared" ref="CG46:CL46" si="60">CG44/CG$34</f>
        <v>0.63760855043420173</v>
      </c>
      <c r="CH46" s="1260">
        <f t="shared" si="60"/>
        <v>0.62103843560350636</v>
      </c>
      <c r="CI46" s="1258">
        <f t="shared" si="60"/>
        <v>0.62730375426621166</v>
      </c>
      <c r="CJ46" s="1258">
        <f t="shared" si="60"/>
        <v>0.61839863713798982</v>
      </c>
      <c r="CK46" s="1258">
        <f t="shared" si="60"/>
        <v>0.62090375991721281</v>
      </c>
      <c r="CL46" s="1260">
        <f t="shared" si="60"/>
        <v>0.6043569922698524</v>
      </c>
      <c r="CM46" s="1400"/>
      <c r="CN46" s="1400"/>
      <c r="CO46" s="1400"/>
    </row>
    <row r="47" spans="1:93" ht="15" customHeight="1">
      <c r="A47" s="1213" t="s">
        <v>1093</v>
      </c>
      <c r="B47" s="1213"/>
      <c r="C47" s="1213"/>
      <c r="D47" s="1213"/>
      <c r="E47" s="1213"/>
      <c r="F47" s="1214"/>
      <c r="G47" s="1214"/>
      <c r="H47" s="1214"/>
      <c r="I47" s="1214"/>
      <c r="J47" s="1214">
        <f t="shared" ref="J47:O47" si="61">J34-J44</f>
        <v>4120</v>
      </c>
      <c r="K47" s="1214">
        <f t="shared" si="61"/>
        <v>3649</v>
      </c>
      <c r="L47" s="1214">
        <f t="shared" si="61"/>
        <v>3593</v>
      </c>
      <c r="M47" s="1214">
        <f t="shared" si="61"/>
        <v>4020</v>
      </c>
      <c r="N47" s="1214">
        <f t="shared" si="61"/>
        <v>4389</v>
      </c>
      <c r="O47" s="1214">
        <f t="shared" si="61"/>
        <v>4608</v>
      </c>
      <c r="P47" s="1216">
        <f>P34-P44</f>
        <v>4547</v>
      </c>
      <c r="Q47" s="1216">
        <f>Q34-Q44</f>
        <v>4415</v>
      </c>
      <c r="R47" s="1772">
        <f>SUM(CH47:CK47)</f>
        <v>4435</v>
      </c>
      <c r="S47" s="1261">
        <f>SUM(CL47:CO47)</f>
        <v>1126</v>
      </c>
      <c r="T47" s="1400"/>
      <c r="U47" s="1400"/>
      <c r="V47" s="1400"/>
      <c r="W47" s="1400"/>
      <c r="X47" s="1214"/>
      <c r="Y47" s="1214"/>
      <c r="Z47" s="1214"/>
      <c r="AA47" s="1214"/>
      <c r="AB47" s="1214"/>
      <c r="AC47" s="1214"/>
      <c r="AD47" s="1214"/>
      <c r="AE47" s="1214"/>
      <c r="AF47" s="1214"/>
      <c r="AG47" s="1214"/>
      <c r="AH47" s="1213"/>
      <c r="AI47" s="1214"/>
      <c r="AJ47" s="1214"/>
      <c r="AK47" s="1214"/>
      <c r="AL47" s="1214"/>
      <c r="AM47" s="1214"/>
      <c r="AN47" s="1214"/>
      <c r="AO47" s="1214"/>
      <c r="AP47" s="1214"/>
      <c r="AQ47" s="1214"/>
      <c r="AR47" s="1214"/>
      <c r="AS47" s="1214"/>
      <c r="AT47" s="1214"/>
      <c r="AU47" s="1214"/>
      <c r="AV47" s="1214"/>
      <c r="AW47" s="1214"/>
      <c r="AX47" s="1214"/>
      <c r="AY47" s="1214"/>
      <c r="AZ47" s="1214"/>
      <c r="BA47" s="1214"/>
      <c r="BB47" s="1214">
        <f t="shared" ref="BB47:BZ47" si="62">BB34-BB44</f>
        <v>1065</v>
      </c>
      <c r="BC47" s="1214">
        <f t="shared" si="62"/>
        <v>847</v>
      </c>
      <c r="BD47" s="1214">
        <f t="shared" si="62"/>
        <v>1007</v>
      </c>
      <c r="BE47" s="1214">
        <f t="shared" si="62"/>
        <v>1201</v>
      </c>
      <c r="BF47" s="1214">
        <f t="shared" si="62"/>
        <v>980</v>
      </c>
      <c r="BG47" s="1214">
        <f t="shared" si="62"/>
        <v>983</v>
      </c>
      <c r="BH47" s="1214">
        <f t="shared" si="62"/>
        <v>933</v>
      </c>
      <c r="BI47" s="1214">
        <f t="shared" si="62"/>
        <v>753</v>
      </c>
      <c r="BJ47" s="1214">
        <f t="shared" si="62"/>
        <v>888</v>
      </c>
      <c r="BK47" s="1214">
        <f t="shared" si="62"/>
        <v>864</v>
      </c>
      <c r="BL47" s="1214">
        <f t="shared" si="62"/>
        <v>876</v>
      </c>
      <c r="BM47" s="1214">
        <f t="shared" si="62"/>
        <v>965</v>
      </c>
      <c r="BN47" s="1218">
        <f t="shared" si="62"/>
        <v>974</v>
      </c>
      <c r="BO47" s="1214">
        <f t="shared" si="62"/>
        <v>991</v>
      </c>
      <c r="BP47" s="1214">
        <f t="shared" si="62"/>
        <v>1002</v>
      </c>
      <c r="BQ47" s="1217">
        <f t="shared" si="62"/>
        <v>1053</v>
      </c>
      <c r="BR47" s="1214">
        <f t="shared" si="62"/>
        <v>1066</v>
      </c>
      <c r="BS47" s="1214">
        <f t="shared" si="62"/>
        <v>1109</v>
      </c>
      <c r="BT47" s="1214">
        <f t="shared" si="62"/>
        <v>1134</v>
      </c>
      <c r="BU47" s="1217">
        <f t="shared" si="62"/>
        <v>1080</v>
      </c>
      <c r="BV47" s="1218">
        <f t="shared" si="62"/>
        <v>1171</v>
      </c>
      <c r="BW47" s="1214">
        <f t="shared" si="62"/>
        <v>1149</v>
      </c>
      <c r="BX47" s="1214">
        <f t="shared" si="62"/>
        <v>1151</v>
      </c>
      <c r="BY47" s="1216">
        <f t="shared" si="62"/>
        <v>1137</v>
      </c>
      <c r="BZ47" s="1218">
        <f t="shared" si="62"/>
        <v>1141</v>
      </c>
      <c r="CA47" s="1214">
        <f t="shared" ref="CA47:CI47" si="63">CA34-CA44</f>
        <v>1144</v>
      </c>
      <c r="CB47" s="1214">
        <f t="shared" si="63"/>
        <v>1083</v>
      </c>
      <c r="CC47" s="1214">
        <f t="shared" si="63"/>
        <v>1179</v>
      </c>
      <c r="CD47" s="1218">
        <f t="shared" si="63"/>
        <v>1145</v>
      </c>
      <c r="CE47" s="1214">
        <f t="shared" si="63"/>
        <v>1092</v>
      </c>
      <c r="CF47" s="1214">
        <f t="shared" si="63"/>
        <v>1093</v>
      </c>
      <c r="CG47" s="1214">
        <f t="shared" si="63"/>
        <v>1085</v>
      </c>
      <c r="CH47" s="1218">
        <f>CH34-CH44</f>
        <v>1124</v>
      </c>
      <c r="CI47" s="1214">
        <f t="shared" si="63"/>
        <v>1092</v>
      </c>
      <c r="CJ47" s="1214">
        <f>CJ34-CJ44</f>
        <v>1120</v>
      </c>
      <c r="CK47" s="1214">
        <f>CK34-CK44</f>
        <v>1099</v>
      </c>
      <c r="CL47" s="1218">
        <f>CL34-CL44</f>
        <v>1126</v>
      </c>
      <c r="CM47" s="1400"/>
      <c r="CN47" s="1400"/>
      <c r="CO47" s="1400"/>
    </row>
    <row r="48" spans="1:93" ht="12" customHeight="1">
      <c r="A48" s="1225" t="s">
        <v>993</v>
      </c>
      <c r="B48" s="1198"/>
      <c r="C48" s="1198"/>
      <c r="D48" s="1198"/>
      <c r="E48" s="1198"/>
      <c r="F48" s="1226"/>
      <c r="G48" s="1227"/>
      <c r="H48" s="1227"/>
      <c r="I48" s="1227"/>
      <c r="J48" s="1227"/>
      <c r="K48" s="1227">
        <f t="shared" ref="K48:S48" si="64">K47/J47-1</f>
        <v>-0.11432038834951452</v>
      </c>
      <c r="L48" s="1227">
        <f t="shared" si="64"/>
        <v>-1.5346670320635747E-2</v>
      </c>
      <c r="M48" s="1227">
        <f t="shared" si="64"/>
        <v>0.11884219315335365</v>
      </c>
      <c r="N48" s="1227">
        <f t="shared" si="64"/>
        <v>9.1791044776119435E-2</v>
      </c>
      <c r="O48" s="1227">
        <f t="shared" si="64"/>
        <v>4.9897470950102552E-2</v>
      </c>
      <c r="P48" s="1229">
        <f t="shared" si="64"/>
        <v>-1.323784722222221E-2</v>
      </c>
      <c r="Q48" s="1229">
        <f t="shared" si="64"/>
        <v>-2.9030129755883038E-2</v>
      </c>
      <c r="R48" s="1230">
        <f t="shared" si="64"/>
        <v>4.5300113250283935E-3</v>
      </c>
      <c r="S48" s="1227">
        <f t="shared" si="64"/>
        <v>-0.74611048478015785</v>
      </c>
      <c r="T48" s="1400"/>
      <c r="U48" s="1400"/>
      <c r="V48" s="1400"/>
      <c r="W48" s="1400"/>
      <c r="X48" s="1226"/>
      <c r="Y48" s="1226"/>
      <c r="Z48" s="1226"/>
      <c r="AA48" s="1226"/>
      <c r="AB48" s="1226"/>
      <c r="AC48" s="1226"/>
      <c r="AD48" s="1226"/>
      <c r="AE48" s="1226"/>
      <c r="AF48" s="1226"/>
      <c r="AG48" s="1226"/>
      <c r="AH48" s="1198"/>
      <c r="AI48" s="1226"/>
      <c r="AJ48" s="1226"/>
      <c r="AK48" s="1226"/>
      <c r="AL48" s="1226"/>
      <c r="AM48" s="1226"/>
      <c r="AN48" s="1226"/>
      <c r="AO48" s="1226"/>
      <c r="AP48" s="1226"/>
      <c r="AQ48" s="1227"/>
      <c r="AR48" s="1227"/>
      <c r="AS48" s="1227"/>
      <c r="AT48" s="1227"/>
      <c r="AU48" s="1227"/>
      <c r="AV48" s="1227"/>
      <c r="AW48" s="1227"/>
      <c r="AX48" s="1227"/>
      <c r="AY48" s="1227"/>
      <c r="AZ48" s="1227"/>
      <c r="BA48" s="1227"/>
      <c r="BB48" s="1227"/>
      <c r="BC48" s="1227"/>
      <c r="BD48" s="1227"/>
      <c r="BE48" s="1227"/>
      <c r="BF48" s="1227">
        <f t="shared" ref="BF48:CF48" si="65">BF47/BB47-1</f>
        <v>-7.9812206572769995E-2</v>
      </c>
      <c r="BG48" s="1227">
        <f t="shared" si="65"/>
        <v>0.16056670602125145</v>
      </c>
      <c r="BH48" s="1227">
        <f t="shared" si="65"/>
        <v>-7.3485600794438888E-2</v>
      </c>
      <c r="BI48" s="1227">
        <f t="shared" si="65"/>
        <v>-0.37302248126561199</v>
      </c>
      <c r="BJ48" s="1227">
        <f t="shared" si="65"/>
        <v>-9.3877551020408179E-2</v>
      </c>
      <c r="BK48" s="1227">
        <f t="shared" si="65"/>
        <v>-0.12105798575788407</v>
      </c>
      <c r="BL48" s="1227">
        <f t="shared" si="65"/>
        <v>-6.1093247588424382E-2</v>
      </c>
      <c r="BM48" s="1227">
        <f t="shared" si="65"/>
        <v>0.28154050464807434</v>
      </c>
      <c r="BN48" s="1231">
        <f t="shared" si="65"/>
        <v>9.6846846846846857E-2</v>
      </c>
      <c r="BO48" s="1227">
        <f t="shared" si="65"/>
        <v>0.1469907407407407</v>
      </c>
      <c r="BP48" s="1227">
        <f t="shared" si="65"/>
        <v>0.14383561643835607</v>
      </c>
      <c r="BQ48" s="1230">
        <f t="shared" si="65"/>
        <v>9.1191709844559599E-2</v>
      </c>
      <c r="BR48" s="1227">
        <f t="shared" si="65"/>
        <v>9.4455852156057452E-2</v>
      </c>
      <c r="BS48" s="1227">
        <f t="shared" si="65"/>
        <v>0.11907164480322896</v>
      </c>
      <c r="BT48" s="1227">
        <f t="shared" si="65"/>
        <v>0.13173652694610771</v>
      </c>
      <c r="BU48" s="1230">
        <f t="shared" si="65"/>
        <v>2.564102564102555E-2</v>
      </c>
      <c r="BV48" s="1231">
        <f t="shared" si="65"/>
        <v>9.8499061913696062E-2</v>
      </c>
      <c r="BW48" s="1227">
        <f t="shared" si="65"/>
        <v>3.6068530207393978E-2</v>
      </c>
      <c r="BX48" s="1227">
        <f t="shared" si="65"/>
        <v>1.4991181657848296E-2</v>
      </c>
      <c r="BY48" s="1229">
        <f t="shared" si="65"/>
        <v>5.2777777777777812E-2</v>
      </c>
      <c r="BZ48" s="1231">
        <f t="shared" si="65"/>
        <v>-2.561912894961571E-2</v>
      </c>
      <c r="CA48" s="1227">
        <f t="shared" si="65"/>
        <v>-4.3516100957353698E-3</v>
      </c>
      <c r="CB48" s="1227">
        <f t="shared" si="65"/>
        <v>-5.907906168549093E-2</v>
      </c>
      <c r="CC48" s="1227">
        <f t="shared" si="65"/>
        <v>3.6939313984168942E-2</v>
      </c>
      <c r="CD48" s="1231">
        <f t="shared" si="65"/>
        <v>3.5056967572304476E-3</v>
      </c>
      <c r="CE48" s="1227">
        <f t="shared" si="65"/>
        <v>-4.5454545454545414E-2</v>
      </c>
      <c r="CF48" s="1227">
        <f t="shared" si="65"/>
        <v>9.2336103416434945E-3</v>
      </c>
      <c r="CG48" s="1227">
        <f t="shared" ref="CG48:CL48" si="66">CG47/CC47-1</f>
        <v>-7.9728583545377485E-2</v>
      </c>
      <c r="CH48" s="1231">
        <f t="shared" si="66"/>
        <v>-1.8340611353711789E-2</v>
      </c>
      <c r="CI48" s="1227">
        <f t="shared" si="66"/>
        <v>0</v>
      </c>
      <c r="CJ48" s="1227">
        <f t="shared" si="66"/>
        <v>2.470265324794152E-2</v>
      </c>
      <c r="CK48" s="1227">
        <f t="shared" si="66"/>
        <v>1.2903225806451646E-2</v>
      </c>
      <c r="CL48" s="1231">
        <f t="shared" si="66"/>
        <v>1.779359430605032E-3</v>
      </c>
      <c r="CM48" s="1400"/>
      <c r="CN48" s="1400"/>
      <c r="CO48" s="1400"/>
    </row>
    <row r="49" spans="1:93" ht="12" customHeight="1">
      <c r="A49" s="1225" t="s">
        <v>150</v>
      </c>
      <c r="B49" s="1198"/>
      <c r="C49" s="1198"/>
      <c r="D49" s="1198"/>
      <c r="E49" s="1198"/>
      <c r="F49" s="1226"/>
      <c r="G49" s="1227"/>
      <c r="H49" s="1227"/>
      <c r="I49" s="1214"/>
      <c r="J49" s="1214"/>
      <c r="K49" s="1227"/>
      <c r="L49" s="1227"/>
      <c r="M49" s="1227"/>
      <c r="N49" s="1227"/>
      <c r="O49" s="1227"/>
      <c r="P49" s="1179"/>
      <c r="Q49" s="1179"/>
      <c r="R49" s="1263"/>
      <c r="S49" s="1226"/>
      <c r="T49" s="1400"/>
      <c r="U49" s="1400"/>
      <c r="V49" s="1400"/>
      <c r="W49" s="1400"/>
      <c r="X49" s="1226"/>
      <c r="Y49" s="1226"/>
      <c r="Z49" s="1226"/>
      <c r="AA49" s="1226"/>
      <c r="AB49" s="1226"/>
      <c r="AC49" s="1226"/>
      <c r="AD49" s="1226"/>
      <c r="AE49" s="1226"/>
      <c r="AF49" s="1226"/>
      <c r="AG49" s="1226"/>
      <c r="AH49" s="1198"/>
      <c r="AI49" s="1226"/>
      <c r="AJ49" s="1226"/>
      <c r="AK49" s="1226"/>
      <c r="AL49" s="1226"/>
      <c r="AM49" s="1226"/>
      <c r="AN49" s="1226"/>
      <c r="AO49" s="1226"/>
      <c r="AP49" s="1226"/>
      <c r="AQ49" s="1227"/>
      <c r="AR49" s="1227"/>
      <c r="AS49" s="1227"/>
      <c r="AT49" s="1227"/>
      <c r="AU49" s="1227"/>
      <c r="AV49" s="1227"/>
      <c r="AW49" s="1227"/>
      <c r="AX49" s="1227"/>
      <c r="AY49" s="1227"/>
      <c r="AZ49" s="1227"/>
      <c r="BA49" s="1227"/>
      <c r="BB49" s="1227"/>
      <c r="BC49" s="1227">
        <f t="shared" ref="BC49:CF49" si="67">BC47/BB47-1</f>
        <v>-0.2046948356807512</v>
      </c>
      <c r="BD49" s="1227">
        <f t="shared" si="67"/>
        <v>0.18890200708382521</v>
      </c>
      <c r="BE49" s="1227">
        <f t="shared" si="67"/>
        <v>0.19265143992055611</v>
      </c>
      <c r="BF49" s="1227">
        <f t="shared" si="67"/>
        <v>-0.18401332223147382</v>
      </c>
      <c r="BG49" s="1227">
        <f t="shared" si="67"/>
        <v>3.0612244897958441E-3</v>
      </c>
      <c r="BH49" s="1227">
        <f t="shared" si="67"/>
        <v>-5.0864699898270582E-2</v>
      </c>
      <c r="BI49" s="1227">
        <f t="shared" si="67"/>
        <v>-0.19292604501607713</v>
      </c>
      <c r="BJ49" s="1227">
        <f t="shared" si="67"/>
        <v>0.17928286852589648</v>
      </c>
      <c r="BK49" s="1227">
        <f t="shared" si="67"/>
        <v>-2.7027027027026973E-2</v>
      </c>
      <c r="BL49" s="1227">
        <f t="shared" si="67"/>
        <v>1.388888888888884E-2</v>
      </c>
      <c r="BM49" s="1227">
        <f t="shared" si="67"/>
        <v>0.10159817351598166</v>
      </c>
      <c r="BN49" s="1231">
        <f t="shared" si="67"/>
        <v>9.32642487046631E-3</v>
      </c>
      <c r="BO49" s="1227">
        <f t="shared" si="67"/>
        <v>1.7453798767967044E-2</v>
      </c>
      <c r="BP49" s="1227">
        <f t="shared" si="67"/>
        <v>1.1099899091826515E-2</v>
      </c>
      <c r="BQ49" s="1230">
        <f t="shared" si="67"/>
        <v>5.0898203592814273E-2</v>
      </c>
      <c r="BR49" s="1227">
        <f t="shared" si="67"/>
        <v>1.2345679012345734E-2</v>
      </c>
      <c r="BS49" s="1227">
        <f t="shared" si="67"/>
        <v>4.0337711069418303E-2</v>
      </c>
      <c r="BT49" s="1227">
        <f t="shared" si="67"/>
        <v>2.2542831379621209E-2</v>
      </c>
      <c r="BU49" s="1230">
        <f t="shared" si="67"/>
        <v>-4.7619047619047672E-2</v>
      </c>
      <c r="BV49" s="1231">
        <f t="shared" si="67"/>
        <v>8.4259259259259256E-2</v>
      </c>
      <c r="BW49" s="1227">
        <f t="shared" si="67"/>
        <v>-1.8787361229718136E-2</v>
      </c>
      <c r="BX49" s="1227">
        <f t="shared" si="67"/>
        <v>1.7406440382941035E-3</v>
      </c>
      <c r="BY49" s="1229">
        <f t="shared" si="67"/>
        <v>-1.2163336229365718E-2</v>
      </c>
      <c r="BZ49" s="1231">
        <f t="shared" si="67"/>
        <v>3.5180299032542273E-3</v>
      </c>
      <c r="CA49" s="1227">
        <f t="shared" si="67"/>
        <v>2.6292725679228912E-3</v>
      </c>
      <c r="CB49" s="1227">
        <f t="shared" si="67"/>
        <v>-5.3321678321678334E-2</v>
      </c>
      <c r="CC49" s="1227">
        <f t="shared" si="67"/>
        <v>8.8642659279778435E-2</v>
      </c>
      <c r="CD49" s="1231">
        <f t="shared" si="67"/>
        <v>-2.8837998303647194E-2</v>
      </c>
      <c r="CE49" s="1227">
        <f t="shared" si="67"/>
        <v>-4.6288209606986874E-2</v>
      </c>
      <c r="CF49" s="1227">
        <f t="shared" si="67"/>
        <v>9.157509157509125E-4</v>
      </c>
      <c r="CG49" s="1227">
        <f t="shared" ref="CG49:CL49" si="68">CG47/CF47-1</f>
        <v>-7.3193046660566807E-3</v>
      </c>
      <c r="CH49" s="1231">
        <f t="shared" si="68"/>
        <v>3.5944700460829537E-2</v>
      </c>
      <c r="CI49" s="1227">
        <f t="shared" si="68"/>
        <v>-2.8469750889679735E-2</v>
      </c>
      <c r="CJ49" s="1227">
        <f t="shared" si="68"/>
        <v>2.564102564102555E-2</v>
      </c>
      <c r="CK49" s="1227">
        <f t="shared" si="68"/>
        <v>-1.8750000000000044E-2</v>
      </c>
      <c r="CL49" s="1231">
        <f t="shared" si="68"/>
        <v>2.4567788898999021E-2</v>
      </c>
      <c r="CM49" s="1400"/>
      <c r="CN49" s="1400"/>
      <c r="CO49" s="1400"/>
    </row>
    <row r="50" spans="1:93" ht="12" customHeight="1">
      <c r="A50" s="1225" t="s">
        <v>158</v>
      </c>
      <c r="B50" s="1198"/>
      <c r="C50" s="1198"/>
      <c r="D50" s="1198"/>
      <c r="E50" s="1198"/>
      <c r="F50" s="1227"/>
      <c r="G50" s="1227"/>
      <c r="H50" s="1227"/>
      <c r="I50" s="1227"/>
      <c r="J50" s="1227">
        <f t="shared" ref="J50:O50" si="69">J47/J$34</f>
        <v>0.26803721293344612</v>
      </c>
      <c r="K50" s="1227">
        <f t="shared" si="69"/>
        <v>0.2553891377379619</v>
      </c>
      <c r="L50" s="1227">
        <f t="shared" si="69"/>
        <v>0.26019262799623433</v>
      </c>
      <c r="M50" s="1227">
        <f t="shared" si="69"/>
        <v>0.28914622743292817</v>
      </c>
      <c r="N50" s="1227">
        <f t="shared" si="69"/>
        <v>0.31523378582202111</v>
      </c>
      <c r="O50" s="1227">
        <f t="shared" si="69"/>
        <v>0.33444621860937729</v>
      </c>
      <c r="P50" s="1229">
        <f>P47/P$34</f>
        <v>0.33743970315398886</v>
      </c>
      <c r="Q50" s="1229">
        <f>Q47/Q$34</f>
        <v>0.35862237023799853</v>
      </c>
      <c r="R50" s="1230">
        <f>R47/R$34</f>
        <v>0.37809036658141515</v>
      </c>
      <c r="S50" s="1227">
        <f>S47/S$34</f>
        <v>0.3956430077301476</v>
      </c>
      <c r="T50" s="1400"/>
      <c r="U50" s="1400"/>
      <c r="V50" s="1400"/>
      <c r="W50" s="1400"/>
      <c r="X50" s="1226"/>
      <c r="Y50" s="1226"/>
      <c r="Z50" s="1226"/>
      <c r="AA50" s="1226"/>
      <c r="AB50" s="1226"/>
      <c r="AC50" s="1226"/>
      <c r="AD50" s="1226"/>
      <c r="AE50" s="1226"/>
      <c r="AF50" s="1226"/>
      <c r="AG50" s="1226"/>
      <c r="AH50" s="1198"/>
      <c r="AI50" s="1226"/>
      <c r="AJ50" s="1226"/>
      <c r="AK50" s="1226"/>
      <c r="AL50" s="1226"/>
      <c r="AM50" s="1226"/>
      <c r="AN50" s="1226"/>
      <c r="AO50" s="1226"/>
      <c r="AP50" s="1226"/>
      <c r="AQ50" s="1227"/>
      <c r="AR50" s="1227"/>
      <c r="AS50" s="1227"/>
      <c r="AT50" s="1227"/>
      <c r="AU50" s="1227"/>
      <c r="AV50" s="1227"/>
      <c r="AW50" s="1227"/>
      <c r="AX50" s="1227"/>
      <c r="AY50" s="1227"/>
      <c r="AZ50" s="1227"/>
      <c r="BA50" s="1227"/>
      <c r="BB50" s="1227">
        <f t="shared" ref="BB50:BZ50" si="70">BB47/BB$34</f>
        <v>0.26738639216670851</v>
      </c>
      <c r="BC50" s="1227">
        <f t="shared" si="70"/>
        <v>0.21656865251853746</v>
      </c>
      <c r="BD50" s="1227">
        <f t="shared" si="70"/>
        <v>0.26696712619300106</v>
      </c>
      <c r="BE50" s="1227">
        <f t="shared" si="70"/>
        <v>0.32415654520917681</v>
      </c>
      <c r="BF50" s="1227">
        <f t="shared" si="70"/>
        <v>0.27041942604856511</v>
      </c>
      <c r="BG50" s="1227">
        <f t="shared" si="70"/>
        <v>0.27335928809788657</v>
      </c>
      <c r="BH50" s="1227">
        <f t="shared" si="70"/>
        <v>0.26134453781512607</v>
      </c>
      <c r="BI50" s="1227">
        <f t="shared" si="70"/>
        <v>0.21526586620926244</v>
      </c>
      <c r="BJ50" s="1227">
        <f t="shared" si="70"/>
        <v>0.25509910945130709</v>
      </c>
      <c r="BK50" s="1227">
        <f t="shared" si="70"/>
        <v>0.25101685066821616</v>
      </c>
      <c r="BL50" s="1227">
        <f t="shared" si="70"/>
        <v>0.25398666280081184</v>
      </c>
      <c r="BM50" s="1227">
        <f t="shared" si="70"/>
        <v>0.28076811172534188</v>
      </c>
      <c r="BN50" s="1231">
        <f t="shared" si="70"/>
        <v>0.28240069585387068</v>
      </c>
      <c r="BO50" s="1227">
        <f t="shared" si="70"/>
        <v>0.28559077809798272</v>
      </c>
      <c r="BP50" s="1227">
        <f t="shared" si="70"/>
        <v>0.28595890410958902</v>
      </c>
      <c r="BQ50" s="1230">
        <f t="shared" si="70"/>
        <v>0.30258620689655175</v>
      </c>
      <c r="BR50" s="1227">
        <f t="shared" si="70"/>
        <v>0.30667433831990792</v>
      </c>
      <c r="BS50" s="1227">
        <f t="shared" si="70"/>
        <v>0.31941244239631339</v>
      </c>
      <c r="BT50" s="1227">
        <f t="shared" si="70"/>
        <v>0.3252079151132779</v>
      </c>
      <c r="BU50" s="1230">
        <f t="shared" si="70"/>
        <v>0.30963302752293576</v>
      </c>
      <c r="BV50" s="1231">
        <f t="shared" si="70"/>
        <v>0.33981427742309922</v>
      </c>
      <c r="BW50" s="1227">
        <f t="shared" si="70"/>
        <v>0.33179324285301759</v>
      </c>
      <c r="BX50" s="1227">
        <f t="shared" si="70"/>
        <v>0.33517763541059986</v>
      </c>
      <c r="BY50" s="1229">
        <f>BY47/BY$34</f>
        <v>0.33100436681222706</v>
      </c>
      <c r="BZ50" s="1231">
        <f t="shared" si="70"/>
        <v>0.33568696675492793</v>
      </c>
      <c r="CA50" s="1227">
        <f t="shared" ref="CA50:CF50" si="71">CA47/CA$34</f>
        <v>0.33826138379657006</v>
      </c>
      <c r="CB50" s="1227">
        <f t="shared" si="71"/>
        <v>0.32050902633915357</v>
      </c>
      <c r="CC50" s="1227">
        <f t="shared" si="71"/>
        <v>0.35565610859728508</v>
      </c>
      <c r="CD50" s="1231">
        <f t="shared" si="71"/>
        <v>0.36085723290261584</v>
      </c>
      <c r="CE50" s="1227">
        <f t="shared" si="71"/>
        <v>0.35339805825242721</v>
      </c>
      <c r="CF50" s="1227">
        <f t="shared" si="71"/>
        <v>0.35789129011132942</v>
      </c>
      <c r="CG50" s="1227">
        <f t="shared" ref="CG50:CL50" si="72">CG47/CG$34</f>
        <v>0.36239144956579827</v>
      </c>
      <c r="CH50" s="1231">
        <f t="shared" si="72"/>
        <v>0.37896156439649359</v>
      </c>
      <c r="CI50" s="1227">
        <f t="shared" si="72"/>
        <v>0.3726962457337884</v>
      </c>
      <c r="CJ50" s="1227">
        <f>CJ47/CJ$34</f>
        <v>0.38160136286201024</v>
      </c>
      <c r="CK50" s="1227">
        <f>CK47/CK$34</f>
        <v>0.37909624008278719</v>
      </c>
      <c r="CL50" s="1231">
        <f t="shared" si="72"/>
        <v>0.3956430077301476</v>
      </c>
      <c r="CM50" s="1400"/>
      <c r="CN50" s="1400"/>
      <c r="CO50" s="1400"/>
    </row>
    <row r="51" spans="1:93" ht="12" customHeight="1">
      <c r="A51" s="1242" t="s">
        <v>161</v>
      </c>
      <c r="B51" s="1243"/>
      <c r="C51" s="1243"/>
      <c r="D51" s="1243"/>
      <c r="E51" s="1243"/>
      <c r="F51" s="1258"/>
      <c r="G51" s="1244"/>
      <c r="H51" s="1244"/>
      <c r="I51" s="1244"/>
      <c r="J51" s="1244">
        <f t="shared" ref="J51:O51" si="73">J47-I47</f>
        <v>4120</v>
      </c>
      <c r="K51" s="1244">
        <f t="shared" si="73"/>
        <v>-471</v>
      </c>
      <c r="L51" s="1244">
        <f t="shared" si="73"/>
        <v>-56</v>
      </c>
      <c r="M51" s="1244">
        <f t="shared" si="73"/>
        <v>427</v>
      </c>
      <c r="N51" s="1244">
        <f t="shared" si="73"/>
        <v>369</v>
      </c>
      <c r="O51" s="1244">
        <f t="shared" si="73"/>
        <v>219</v>
      </c>
      <c r="P51" s="1264">
        <f>P47-O47</f>
        <v>-61</v>
      </c>
      <c r="Q51" s="1264">
        <f>Q47-P47</f>
        <v>-132</v>
      </c>
      <c r="R51" s="1265">
        <f>R47-Q47</f>
        <v>20</v>
      </c>
      <c r="S51" s="1264">
        <f>S47-R47</f>
        <v>-3309</v>
      </c>
      <c r="T51" s="1400"/>
      <c r="U51" s="1400"/>
      <c r="V51" s="1400"/>
      <c r="W51" s="1400"/>
      <c r="X51" s="1226"/>
      <c r="Y51" s="1226"/>
      <c r="Z51" s="1226"/>
      <c r="AA51" s="1226"/>
      <c r="AB51" s="1226"/>
      <c r="AC51" s="1226"/>
      <c r="AD51" s="1226"/>
      <c r="AE51" s="1226"/>
      <c r="AF51" s="1226"/>
      <c r="AG51" s="1226"/>
      <c r="AH51" s="1198"/>
      <c r="AI51" s="1226"/>
      <c r="AJ51" s="1226"/>
      <c r="AK51" s="1226"/>
      <c r="AL51" s="1226"/>
      <c r="AM51" s="1226"/>
      <c r="AN51" s="1226"/>
      <c r="AO51" s="1226"/>
      <c r="AP51" s="1226"/>
      <c r="AQ51" s="1227"/>
      <c r="AR51" s="1226"/>
      <c r="AS51" s="1226"/>
      <c r="AT51" s="1226"/>
      <c r="AU51" s="1226"/>
      <c r="AV51" s="1226"/>
      <c r="AW51" s="1226"/>
      <c r="AX51" s="1226"/>
      <c r="AY51" s="1226"/>
      <c r="AZ51" s="1226"/>
      <c r="BA51" s="1226"/>
      <c r="BB51" s="1226">
        <f t="shared" ref="BB51:CF51" si="74">BB47-BA47</f>
        <v>1065</v>
      </c>
      <c r="BC51" s="1226">
        <f t="shared" si="74"/>
        <v>-218</v>
      </c>
      <c r="BD51" s="1226">
        <f t="shared" si="74"/>
        <v>160</v>
      </c>
      <c r="BE51" s="1226">
        <f t="shared" si="74"/>
        <v>194</v>
      </c>
      <c r="BF51" s="1248">
        <f t="shared" si="74"/>
        <v>-221</v>
      </c>
      <c r="BG51" s="1248">
        <f t="shared" si="74"/>
        <v>3</v>
      </c>
      <c r="BH51" s="1248">
        <f t="shared" si="74"/>
        <v>-50</v>
      </c>
      <c r="BI51" s="1248">
        <f t="shared" si="74"/>
        <v>-180</v>
      </c>
      <c r="BJ51" s="1248">
        <f t="shared" si="74"/>
        <v>135</v>
      </c>
      <c r="BK51" s="1248">
        <f t="shared" si="74"/>
        <v>-24</v>
      </c>
      <c r="BL51" s="1248">
        <f t="shared" si="74"/>
        <v>12</v>
      </c>
      <c r="BM51" s="1248">
        <f t="shared" si="74"/>
        <v>89</v>
      </c>
      <c r="BN51" s="1249">
        <f t="shared" si="74"/>
        <v>9</v>
      </c>
      <c r="BO51" s="1248">
        <f t="shared" si="74"/>
        <v>17</v>
      </c>
      <c r="BP51" s="1248">
        <f t="shared" si="74"/>
        <v>11</v>
      </c>
      <c r="BQ51" s="1250">
        <f t="shared" si="74"/>
        <v>51</v>
      </c>
      <c r="BR51" s="1248">
        <f t="shared" si="74"/>
        <v>13</v>
      </c>
      <c r="BS51" s="1248">
        <f t="shared" si="74"/>
        <v>43</v>
      </c>
      <c r="BT51" s="1248">
        <f t="shared" si="74"/>
        <v>25</v>
      </c>
      <c r="BU51" s="1250">
        <f t="shared" si="74"/>
        <v>-54</v>
      </c>
      <c r="BV51" s="1251">
        <f t="shared" si="74"/>
        <v>91</v>
      </c>
      <c r="BW51" s="1245">
        <f t="shared" si="74"/>
        <v>-22</v>
      </c>
      <c r="BX51" s="1245">
        <f t="shared" si="74"/>
        <v>2</v>
      </c>
      <c r="BY51" s="1245">
        <f t="shared" si="74"/>
        <v>-14</v>
      </c>
      <c r="BZ51" s="1251">
        <f t="shared" si="74"/>
        <v>4</v>
      </c>
      <c r="CA51" s="1245">
        <f t="shared" si="74"/>
        <v>3</v>
      </c>
      <c r="CB51" s="1245">
        <f t="shared" si="74"/>
        <v>-61</v>
      </c>
      <c r="CC51" s="1245">
        <f t="shared" si="74"/>
        <v>96</v>
      </c>
      <c r="CD51" s="1251">
        <f t="shared" si="74"/>
        <v>-34</v>
      </c>
      <c r="CE51" s="1245">
        <f t="shared" si="74"/>
        <v>-53</v>
      </c>
      <c r="CF51" s="1245">
        <f t="shared" si="74"/>
        <v>1</v>
      </c>
      <c r="CG51" s="1245">
        <f t="shared" ref="CG51:CL51" si="75">CG47-CF47</f>
        <v>-8</v>
      </c>
      <c r="CH51" s="1251">
        <f t="shared" si="75"/>
        <v>39</v>
      </c>
      <c r="CI51" s="1245">
        <f t="shared" si="75"/>
        <v>-32</v>
      </c>
      <c r="CJ51" s="1245">
        <f t="shared" si="75"/>
        <v>28</v>
      </c>
      <c r="CK51" s="1245">
        <f t="shared" si="75"/>
        <v>-21</v>
      </c>
      <c r="CL51" s="1251">
        <f t="shared" si="75"/>
        <v>27</v>
      </c>
      <c r="CM51" s="1400"/>
      <c r="CN51" s="1400"/>
      <c r="CO51" s="1400"/>
    </row>
    <row r="52" spans="1:93" ht="15" customHeight="1">
      <c r="A52" s="1213" t="s">
        <v>705</v>
      </c>
      <c r="B52" s="1198"/>
      <c r="C52" s="1198"/>
      <c r="D52" s="1198"/>
      <c r="E52" s="1198"/>
      <c r="F52" s="1226"/>
      <c r="G52" s="1226"/>
      <c r="H52" s="1226"/>
      <c r="I52" s="1226"/>
      <c r="J52" s="1226">
        <v>3268</v>
      </c>
      <c r="K52" s="1226">
        <f>SUM(BF52:BI52)</f>
        <v>2739</v>
      </c>
      <c r="L52" s="1226">
        <f>SUM(BJ52:BM52)</f>
        <v>2627</v>
      </c>
      <c r="M52" s="1226">
        <f>Q_Capex!M9</f>
        <v>2612</v>
      </c>
      <c r="N52" s="1226">
        <f>SUM(BR52:BU52)</f>
        <v>2381</v>
      </c>
      <c r="O52" s="1226">
        <f>SUM(BV52:BY52)</f>
        <v>2231</v>
      </c>
      <c r="P52" s="1179">
        <f>SUM(BZ52:CC52)</f>
        <v>2120</v>
      </c>
      <c r="Q52" s="1179">
        <f>SUM(CD52:CG52)</f>
        <v>2071</v>
      </c>
      <c r="R52" s="1263">
        <f>SUM(CH52:CK52)</f>
        <v>1949</v>
      </c>
      <c r="S52" s="1266">
        <f>Q_Capex!S9</f>
        <v>475</v>
      </c>
      <c r="T52" s="1400"/>
      <c r="U52" s="1400"/>
      <c r="V52" s="1400"/>
      <c r="W52" s="1400"/>
      <c r="X52" s="1226"/>
      <c r="Y52" s="1226"/>
      <c r="Z52" s="1226"/>
      <c r="AA52" s="1226"/>
      <c r="AB52" s="1226"/>
      <c r="AC52" s="1226"/>
      <c r="AD52" s="1226"/>
      <c r="AE52" s="1226"/>
      <c r="AF52" s="1226"/>
      <c r="AG52" s="1226"/>
      <c r="AH52" s="1198"/>
      <c r="AI52" s="1226"/>
      <c r="AJ52" s="1226"/>
      <c r="AK52" s="1226"/>
      <c r="AL52" s="1226"/>
      <c r="AM52" s="1226"/>
      <c r="AN52" s="1226"/>
      <c r="AO52" s="1226"/>
      <c r="AP52" s="1226"/>
      <c r="AQ52" s="1226"/>
      <c r="AR52" s="1226"/>
      <c r="AS52" s="1226"/>
      <c r="AT52" s="1226"/>
      <c r="AU52" s="1226"/>
      <c r="AV52" s="1226"/>
      <c r="AW52" s="1226"/>
      <c r="AX52" s="1226"/>
      <c r="AY52" s="1226"/>
      <c r="AZ52" s="1226"/>
      <c r="BA52" s="1226"/>
      <c r="BB52" s="1226">
        <v>941</v>
      </c>
      <c r="BC52" s="1226">
        <v>940</v>
      </c>
      <c r="BD52" s="1226">
        <v>692</v>
      </c>
      <c r="BE52" s="1226">
        <v>802</v>
      </c>
      <c r="BF52" s="1226">
        <v>675</v>
      </c>
      <c r="BG52" s="1226">
        <v>677</v>
      </c>
      <c r="BH52" s="1226">
        <v>677</v>
      </c>
      <c r="BI52" s="1226">
        <v>710</v>
      </c>
      <c r="BJ52" s="1226">
        <v>654</v>
      </c>
      <c r="BK52" s="1226">
        <v>661</v>
      </c>
      <c r="BL52" s="1226">
        <v>659</v>
      </c>
      <c r="BM52" s="1226">
        <v>653</v>
      </c>
      <c r="BN52" s="1267">
        <v>653</v>
      </c>
      <c r="BO52" s="1226">
        <v>649</v>
      </c>
      <c r="BP52" s="1226">
        <v>659</v>
      </c>
      <c r="BQ52" s="1263">
        <v>651</v>
      </c>
      <c r="BR52" s="1226">
        <f>Q_Capex!BR9</f>
        <v>588</v>
      </c>
      <c r="BS52" s="1226">
        <f>Q_Capex!BS9</f>
        <v>592</v>
      </c>
      <c r="BT52" s="1226">
        <f>Q_Capex!BT9</f>
        <v>594</v>
      </c>
      <c r="BU52" s="1263">
        <f>Q_Capex!BU9</f>
        <v>607</v>
      </c>
      <c r="BV52" s="1267">
        <f>Q_Capex!BV9</f>
        <v>555</v>
      </c>
      <c r="BW52" s="1226">
        <f>Q_Capex!BW9</f>
        <v>558</v>
      </c>
      <c r="BX52" s="1226">
        <f>Q_Capex!BX9</f>
        <v>562</v>
      </c>
      <c r="BY52" s="1179">
        <f>Q_Capex!BY9</f>
        <v>556</v>
      </c>
      <c r="BZ52" s="1267">
        <f>Q_Capex!BZ9</f>
        <v>522</v>
      </c>
      <c r="CA52" s="1226">
        <f>Q_Capex!CA9</f>
        <v>523</v>
      </c>
      <c r="CB52" s="1226">
        <f>Q_Capex!CB9</f>
        <v>537</v>
      </c>
      <c r="CC52" s="1226">
        <f>Q_Capex!CC9</f>
        <v>538</v>
      </c>
      <c r="CD52" s="1267">
        <f>Q_Capex!CD9</f>
        <v>514</v>
      </c>
      <c r="CE52" s="1226">
        <f>Q_Capex!CE9</f>
        <v>518</v>
      </c>
      <c r="CF52" s="1226">
        <f>Q_Capex!CF9</f>
        <v>520</v>
      </c>
      <c r="CG52" s="1226">
        <f>Q_Capex!CG9</f>
        <v>519</v>
      </c>
      <c r="CH52" s="1267">
        <f>Q_Capex!CH9</f>
        <v>491</v>
      </c>
      <c r="CI52" s="1226">
        <f>Q_Capex!CI9</f>
        <v>485</v>
      </c>
      <c r="CJ52" s="1226">
        <f>Q_Capex!CJ9</f>
        <v>490</v>
      </c>
      <c r="CK52" s="1226">
        <f>Q_Capex!CK9</f>
        <v>483</v>
      </c>
      <c r="CL52" s="1267">
        <f>Q_Capex!CL9</f>
        <v>475</v>
      </c>
      <c r="CM52" s="1400"/>
      <c r="CN52" s="1400"/>
      <c r="CO52" s="1400"/>
    </row>
    <row r="53" spans="1:93" ht="12" customHeight="1">
      <c r="A53" s="1225" t="s">
        <v>993</v>
      </c>
      <c r="B53" s="1198"/>
      <c r="C53" s="1198"/>
      <c r="D53" s="1198"/>
      <c r="E53" s="1198"/>
      <c r="F53" s="1226"/>
      <c r="G53" s="1227"/>
      <c r="H53" s="1227"/>
      <c r="I53" s="1227"/>
      <c r="J53" s="1227"/>
      <c r="K53" s="1227">
        <f t="shared" ref="K53:S53" si="76">K52/J52-1</f>
        <v>-0.16187270501835982</v>
      </c>
      <c r="L53" s="1227">
        <f t="shared" si="76"/>
        <v>-4.0890836071558967E-2</v>
      </c>
      <c r="M53" s="1227">
        <f t="shared" si="76"/>
        <v>-5.7099352874000475E-3</v>
      </c>
      <c r="N53" s="1227">
        <f t="shared" si="76"/>
        <v>-8.8437978560490071E-2</v>
      </c>
      <c r="O53" s="1227">
        <f t="shared" si="76"/>
        <v>-6.2998740025199451E-2</v>
      </c>
      <c r="P53" s="1229">
        <f t="shared" si="76"/>
        <v>-4.9753473778574642E-2</v>
      </c>
      <c r="Q53" s="1229">
        <f t="shared" si="76"/>
        <v>-2.3113207547169834E-2</v>
      </c>
      <c r="R53" s="1230">
        <f t="shared" si="76"/>
        <v>-5.8908739739256366E-2</v>
      </c>
      <c r="S53" s="1241">
        <f t="shared" si="76"/>
        <v>-0.75628527449974348</v>
      </c>
      <c r="T53" s="1400"/>
      <c r="U53" s="1400"/>
      <c r="V53" s="1400"/>
      <c r="W53" s="1400"/>
      <c r="X53" s="1226"/>
      <c r="Y53" s="1226"/>
      <c r="Z53" s="1226"/>
      <c r="AA53" s="1226"/>
      <c r="AB53" s="1226"/>
      <c r="AC53" s="1226"/>
      <c r="AD53" s="1226"/>
      <c r="AE53" s="1226"/>
      <c r="AF53" s="1226"/>
      <c r="AG53" s="1226"/>
      <c r="AH53" s="1198"/>
      <c r="AI53" s="1226"/>
      <c r="AJ53" s="1226"/>
      <c r="AK53" s="1226"/>
      <c r="AL53" s="1226"/>
      <c r="AM53" s="1226"/>
      <c r="AN53" s="1226"/>
      <c r="AO53" s="1226"/>
      <c r="AP53" s="1226"/>
      <c r="AQ53" s="1227"/>
      <c r="AR53" s="1227"/>
      <c r="AS53" s="1227"/>
      <c r="AT53" s="1227"/>
      <c r="AU53" s="1227"/>
      <c r="AV53" s="1227"/>
      <c r="AW53" s="1227"/>
      <c r="AX53" s="1227"/>
      <c r="AY53" s="1227"/>
      <c r="AZ53" s="1227"/>
      <c r="BA53" s="1227"/>
      <c r="BB53" s="1227"/>
      <c r="BC53" s="1227"/>
      <c r="BD53" s="1227"/>
      <c r="BE53" s="1227"/>
      <c r="BF53" s="1227">
        <f t="shared" ref="BF53:CG53" si="77">BF52/BB52-1</f>
        <v>-0.28267800212539851</v>
      </c>
      <c r="BG53" s="1227">
        <f t="shared" si="77"/>
        <v>-0.27978723404255323</v>
      </c>
      <c r="BH53" s="1227">
        <f t="shared" si="77"/>
        <v>-2.1676300578034713E-2</v>
      </c>
      <c r="BI53" s="1227">
        <f t="shared" si="77"/>
        <v>-0.11471321695760595</v>
      </c>
      <c r="BJ53" s="1227">
        <f t="shared" si="77"/>
        <v>-3.1111111111111089E-2</v>
      </c>
      <c r="BK53" s="1227">
        <f t="shared" si="77"/>
        <v>-2.3633677991137358E-2</v>
      </c>
      <c r="BL53" s="1227">
        <f t="shared" si="77"/>
        <v>-2.6587887740029514E-2</v>
      </c>
      <c r="BM53" s="1227">
        <f t="shared" si="77"/>
        <v>-8.0281690140845074E-2</v>
      </c>
      <c r="BN53" s="1231">
        <f t="shared" si="77"/>
        <v>-1.5290519877675379E-3</v>
      </c>
      <c r="BO53" s="1227">
        <f t="shared" si="77"/>
        <v>-1.8154311649016597E-2</v>
      </c>
      <c r="BP53" s="1227">
        <f t="shared" si="77"/>
        <v>0</v>
      </c>
      <c r="BQ53" s="1230">
        <f t="shared" si="77"/>
        <v>-3.0627871362940429E-3</v>
      </c>
      <c r="BR53" s="1227">
        <f t="shared" si="77"/>
        <v>-9.9540581929555949E-2</v>
      </c>
      <c r="BS53" s="1227">
        <f t="shared" si="77"/>
        <v>-8.7827426810477616E-2</v>
      </c>
      <c r="BT53" s="1227">
        <f t="shared" si="77"/>
        <v>-9.8634294385432475E-2</v>
      </c>
      <c r="BU53" s="1230">
        <f t="shared" si="77"/>
        <v>-6.7588325652841785E-2</v>
      </c>
      <c r="BV53" s="1231">
        <f t="shared" si="77"/>
        <v>-5.6122448979591844E-2</v>
      </c>
      <c r="BW53" s="1227">
        <f t="shared" si="77"/>
        <v>-5.7432432432432456E-2</v>
      </c>
      <c r="BX53" s="1227">
        <f t="shared" si="77"/>
        <v>-5.3872053872053849E-2</v>
      </c>
      <c r="BY53" s="1229">
        <f t="shared" si="77"/>
        <v>-8.4019769357495888E-2</v>
      </c>
      <c r="BZ53" s="1231">
        <f t="shared" si="77"/>
        <v>-5.9459459459459407E-2</v>
      </c>
      <c r="CA53" s="1227">
        <f t="shared" si="77"/>
        <v>-6.2724014336917544E-2</v>
      </c>
      <c r="CB53" s="1227">
        <f t="shared" si="77"/>
        <v>-4.4483985765124578E-2</v>
      </c>
      <c r="CC53" s="1227">
        <f t="shared" si="77"/>
        <v>-3.2374100719424481E-2</v>
      </c>
      <c r="CD53" s="1231">
        <f t="shared" si="77"/>
        <v>-1.5325670498084309E-2</v>
      </c>
      <c r="CE53" s="1227">
        <f t="shared" si="77"/>
        <v>-9.5602294455067183E-3</v>
      </c>
      <c r="CF53" s="1227">
        <f t="shared" si="77"/>
        <v>-3.1657355679702071E-2</v>
      </c>
      <c r="CG53" s="1227">
        <f t="shared" si="77"/>
        <v>-3.5315985130111471E-2</v>
      </c>
      <c r="CH53" s="1231">
        <f>CH52/CD52-1</f>
        <v>-4.4747081712062209E-2</v>
      </c>
      <c r="CI53" s="1227">
        <f>CI52/CE52-1</f>
        <v>-6.370656370656369E-2</v>
      </c>
      <c r="CJ53" s="1227">
        <f>CJ52/CF52-1</f>
        <v>-5.7692307692307709E-2</v>
      </c>
      <c r="CK53" s="1227">
        <f>CK52/CG52-1</f>
        <v>-6.9364161849710948E-2</v>
      </c>
      <c r="CL53" s="1231">
        <f>CL52/CH52-1</f>
        <v>-3.258655804480648E-2</v>
      </c>
      <c r="CM53" s="1400"/>
      <c r="CN53" s="1400"/>
      <c r="CO53" s="1400"/>
    </row>
    <row r="54" spans="1:93" ht="12" customHeight="1">
      <c r="A54" s="1225" t="s">
        <v>158</v>
      </c>
      <c r="B54" s="1198"/>
      <c r="C54" s="1198"/>
      <c r="D54" s="1198"/>
      <c r="E54" s="1198"/>
      <c r="F54" s="1227"/>
      <c r="G54" s="1227"/>
      <c r="H54" s="1227"/>
      <c r="I54" s="1227"/>
      <c r="J54" s="1227">
        <f t="shared" ref="J54:S54" si="78">J52/J$34</f>
        <v>0.21260815822002471</v>
      </c>
      <c r="K54" s="1227">
        <f t="shared" si="78"/>
        <v>0.19169932810750279</v>
      </c>
      <c r="L54" s="1227">
        <f t="shared" si="78"/>
        <v>0.19023825041639511</v>
      </c>
      <c r="M54" s="1227">
        <f t="shared" si="78"/>
        <v>0.18787312090915631</v>
      </c>
      <c r="N54" s="1227">
        <f t="shared" si="78"/>
        <v>0.17101199454140631</v>
      </c>
      <c r="O54" s="1227">
        <f t="shared" si="78"/>
        <v>0.16192480766439252</v>
      </c>
      <c r="P54" s="1229">
        <f>P52/P$34</f>
        <v>0.15732838589981446</v>
      </c>
      <c r="Q54" s="1229">
        <f>Q52/Q$34</f>
        <v>0.16822353992364553</v>
      </c>
      <c r="R54" s="1230">
        <f>R52/R$34</f>
        <v>0.16615515771526002</v>
      </c>
      <c r="S54" s="1241">
        <f t="shared" si="78"/>
        <v>0.1669009135628953</v>
      </c>
      <c r="T54" s="1400"/>
      <c r="U54" s="1400"/>
      <c r="V54" s="1400"/>
      <c r="W54" s="1400"/>
      <c r="X54" s="1226"/>
      <c r="Y54" s="1226"/>
      <c r="Z54" s="1226"/>
      <c r="AA54" s="1226"/>
      <c r="AB54" s="1226"/>
      <c r="AC54" s="1226"/>
      <c r="AD54" s="1226"/>
      <c r="AE54" s="1226"/>
      <c r="AF54" s="1226"/>
      <c r="AG54" s="1226"/>
      <c r="AH54" s="1198"/>
      <c r="AI54" s="1226"/>
      <c r="AJ54" s="1226"/>
      <c r="AK54" s="1226"/>
      <c r="AL54" s="1226"/>
      <c r="AM54" s="1226"/>
      <c r="AN54" s="1226"/>
      <c r="AO54" s="1226"/>
      <c r="AP54" s="1226"/>
      <c r="AQ54" s="1227"/>
      <c r="AR54" s="1227"/>
      <c r="AS54" s="1227"/>
      <c r="AT54" s="1227"/>
      <c r="AU54" s="1227"/>
      <c r="AV54" s="1227"/>
      <c r="AW54" s="1227"/>
      <c r="AX54" s="1227"/>
      <c r="AY54" s="1227"/>
      <c r="AZ54" s="1227"/>
      <c r="BA54" s="1227"/>
      <c r="BB54" s="1227">
        <f t="shared" ref="BB54:BZ54" si="79">BB52/BB$34</f>
        <v>0.23625407983931709</v>
      </c>
      <c r="BC54" s="1227">
        <f t="shared" si="79"/>
        <v>0.24034773715162364</v>
      </c>
      <c r="BD54" s="1227">
        <f t="shared" si="79"/>
        <v>0.18345705196182396</v>
      </c>
      <c r="BE54" s="1227">
        <f t="shared" si="79"/>
        <v>0.21646423751686911</v>
      </c>
      <c r="BF54" s="1227">
        <f t="shared" si="79"/>
        <v>0.18625827814569537</v>
      </c>
      <c r="BG54" s="1227">
        <f t="shared" si="79"/>
        <v>0.18826473859844273</v>
      </c>
      <c r="BH54" s="1227">
        <f t="shared" si="79"/>
        <v>0.18963585434173669</v>
      </c>
      <c r="BI54" s="1227">
        <f t="shared" si="79"/>
        <v>0.2029731275014294</v>
      </c>
      <c r="BJ54" s="1227">
        <f t="shared" si="79"/>
        <v>0.18787704682562481</v>
      </c>
      <c r="BK54" s="1227">
        <f t="shared" si="79"/>
        <v>0.19203951191167926</v>
      </c>
      <c r="BL54" s="1227">
        <f t="shared" si="79"/>
        <v>0.1910698753261815</v>
      </c>
      <c r="BM54" s="1227">
        <f t="shared" si="79"/>
        <v>0.18999127145766656</v>
      </c>
      <c r="BN54" s="1231">
        <f t="shared" si="79"/>
        <v>0.1893302406494636</v>
      </c>
      <c r="BO54" s="1227">
        <f t="shared" si="79"/>
        <v>0.18703170028818444</v>
      </c>
      <c r="BP54" s="1227">
        <f t="shared" si="79"/>
        <v>0.18807077625570776</v>
      </c>
      <c r="BQ54" s="1230">
        <f t="shared" si="79"/>
        <v>0.18706896551724139</v>
      </c>
      <c r="BR54" s="1227">
        <f t="shared" si="79"/>
        <v>0.16915995397008055</v>
      </c>
      <c r="BS54" s="1227">
        <f t="shared" si="79"/>
        <v>0.17050691244239632</v>
      </c>
      <c r="BT54" s="1227">
        <f t="shared" si="79"/>
        <v>0.17034700315457413</v>
      </c>
      <c r="BU54" s="1230">
        <f t="shared" si="79"/>
        <v>0.17402522935779816</v>
      </c>
      <c r="BV54" s="1231">
        <f t="shared" si="79"/>
        <v>0.16105629715612305</v>
      </c>
      <c r="BW54" s="1227">
        <f t="shared" si="79"/>
        <v>0.16113196650303205</v>
      </c>
      <c r="BX54" s="1227">
        <f t="shared" si="79"/>
        <v>0.16365754222481071</v>
      </c>
      <c r="BY54" s="1229">
        <f>BY52/BY$34</f>
        <v>0.16186317321688501</v>
      </c>
      <c r="BZ54" s="1231">
        <f t="shared" si="79"/>
        <v>0.15357458075904679</v>
      </c>
      <c r="CA54" s="1227">
        <f t="shared" ref="CA54:CI54" si="80">CA52/CA$34</f>
        <v>0.154642223536369</v>
      </c>
      <c r="CB54" s="1227">
        <f t="shared" si="80"/>
        <v>0.15892275821248891</v>
      </c>
      <c r="CC54" s="1227">
        <f t="shared" si="80"/>
        <v>0.16229260935143289</v>
      </c>
      <c r="CD54" s="1231">
        <f t="shared" si="80"/>
        <v>0.1619918058619603</v>
      </c>
      <c r="CE54" s="1227">
        <f t="shared" si="80"/>
        <v>0.16763754045307444</v>
      </c>
      <c r="CF54" s="1227">
        <f t="shared" si="80"/>
        <v>0.17026850032743943</v>
      </c>
      <c r="CG54" s="1227">
        <f t="shared" si="80"/>
        <v>0.17334669338677355</v>
      </c>
      <c r="CH54" s="1231">
        <f t="shared" si="80"/>
        <v>0.16554281861092379</v>
      </c>
      <c r="CI54" s="1227">
        <f t="shared" si="80"/>
        <v>0.16552901023890784</v>
      </c>
      <c r="CJ54" s="1227">
        <f>CJ52/CJ$34</f>
        <v>0.16695059625212946</v>
      </c>
      <c r="CK54" s="1227">
        <f>CK52/CK$34</f>
        <v>0.16660917557778546</v>
      </c>
      <c r="CL54" s="1231">
        <f>CL52/CL$34</f>
        <v>0.1669009135628953</v>
      </c>
      <c r="CM54" s="1400"/>
      <c r="CN54" s="1400"/>
      <c r="CO54" s="1400"/>
    </row>
    <row r="55" spans="1:93" ht="15" customHeight="1">
      <c r="A55" s="1213" t="s">
        <v>162</v>
      </c>
      <c r="B55" s="1213"/>
      <c r="C55" s="1213"/>
      <c r="D55" s="1213"/>
      <c r="E55" s="1213"/>
      <c r="F55" s="1226"/>
      <c r="G55" s="1226"/>
      <c r="H55" s="1226"/>
      <c r="I55" s="1226"/>
      <c r="J55" s="1226">
        <v>579</v>
      </c>
      <c r="K55" s="1226">
        <f>SUM(BF55:BI55)</f>
        <v>428</v>
      </c>
      <c r="L55" s="1226">
        <f>SUM(BJ55:BM55)</f>
        <v>497</v>
      </c>
      <c r="M55" s="1226">
        <f>SUM(BN55:BQ55)</f>
        <v>453</v>
      </c>
      <c r="N55" s="1226">
        <f>SUM(BR55:BU55)</f>
        <v>389</v>
      </c>
      <c r="O55" s="1226">
        <f>SUM(BV55:BY55)</f>
        <v>228</v>
      </c>
      <c r="P55" s="1179">
        <f>SUM(BZ55:CC55)</f>
        <v>234</v>
      </c>
      <c r="Q55" s="1179">
        <f>SUM(CD55:CG55)</f>
        <v>240</v>
      </c>
      <c r="R55" s="1263">
        <f>SUM(CH55:CK55)</f>
        <v>251</v>
      </c>
      <c r="S55" s="1266">
        <f>Q_Capex!S12</f>
        <v>58</v>
      </c>
      <c r="T55" s="1400"/>
      <c r="U55" s="1400"/>
      <c r="V55" s="1400"/>
      <c r="W55" s="1400"/>
      <c r="X55" s="1226"/>
      <c r="Y55" s="1226"/>
      <c r="Z55" s="1226"/>
      <c r="AA55" s="1226"/>
      <c r="AB55" s="1226"/>
      <c r="AC55" s="1226"/>
      <c r="AD55" s="1226"/>
      <c r="AE55" s="1226"/>
      <c r="AF55" s="1226"/>
      <c r="AG55" s="1226"/>
      <c r="AH55" s="1198"/>
      <c r="AI55" s="1226"/>
      <c r="AJ55" s="1226"/>
      <c r="AK55" s="1226"/>
      <c r="AL55" s="1226"/>
      <c r="AM55" s="1226"/>
      <c r="AN55" s="1226"/>
      <c r="AO55" s="1226"/>
      <c r="AP55" s="1226"/>
      <c r="AQ55" s="1226"/>
      <c r="AR55" s="1226"/>
      <c r="AS55" s="1226"/>
      <c r="AT55" s="1226"/>
      <c r="AU55" s="1226"/>
      <c r="AV55" s="1226"/>
      <c r="AW55" s="1226"/>
      <c r="AX55" s="1226"/>
      <c r="AY55" s="1226"/>
      <c r="AZ55" s="1226"/>
      <c r="BA55" s="1226"/>
      <c r="BB55" s="1226">
        <v>173</v>
      </c>
      <c r="BC55" s="1226">
        <v>192</v>
      </c>
      <c r="BD55" s="1226">
        <v>104</v>
      </c>
      <c r="BE55" s="1226">
        <v>8</v>
      </c>
      <c r="BF55" s="1226">
        <v>109</v>
      </c>
      <c r="BG55" s="1226">
        <v>112</v>
      </c>
      <c r="BH55" s="1226">
        <v>119</v>
      </c>
      <c r="BI55" s="1226">
        <v>88</v>
      </c>
      <c r="BJ55" s="1226">
        <v>123</v>
      </c>
      <c r="BK55" s="1226">
        <v>124</v>
      </c>
      <c r="BL55" s="1226">
        <v>120</v>
      </c>
      <c r="BM55" s="1226">
        <v>130</v>
      </c>
      <c r="BN55" s="1267">
        <v>121</v>
      </c>
      <c r="BO55" s="1226">
        <v>116</v>
      </c>
      <c r="BP55" s="1226">
        <v>109</v>
      </c>
      <c r="BQ55" s="1263">
        <v>107</v>
      </c>
      <c r="BR55" s="1226">
        <f>Q_Capex!BR12</f>
        <v>103</v>
      </c>
      <c r="BS55" s="1226">
        <f>Q_Capex!BS12</f>
        <v>101</v>
      </c>
      <c r="BT55" s="1226">
        <f>Q_Capex!BT12</f>
        <v>97</v>
      </c>
      <c r="BU55" s="1263">
        <f>Q_Capex!BU12</f>
        <v>88</v>
      </c>
      <c r="BV55" s="1267">
        <f>Q_Capex!BV12</f>
        <v>57</v>
      </c>
      <c r="BW55" s="1226">
        <f>Q_Capex!BW12</f>
        <v>57</v>
      </c>
      <c r="BX55" s="1226">
        <f>Q_Capex!BX12</f>
        <v>57</v>
      </c>
      <c r="BY55" s="1179">
        <f>Q_Capex!BY12</f>
        <v>57</v>
      </c>
      <c r="BZ55" s="1267">
        <f>Q_Capex!BZ12</f>
        <v>54</v>
      </c>
      <c r="CA55" s="1226">
        <f>Q_Capex!CA12</f>
        <v>55</v>
      </c>
      <c r="CB55" s="1226">
        <f>Q_Capex!CB12</f>
        <v>62</v>
      </c>
      <c r="CC55" s="1226">
        <f>Q_Capex!CC12</f>
        <v>63</v>
      </c>
      <c r="CD55" s="1267">
        <f>Q_Capex!CD12</f>
        <v>59</v>
      </c>
      <c r="CE55" s="1226">
        <f>Q_Capex!CE12</f>
        <v>60</v>
      </c>
      <c r="CF55" s="1226">
        <f>Q_Capex!CF12</f>
        <v>61</v>
      </c>
      <c r="CG55" s="1226">
        <f>Q_Capex!CG12</f>
        <v>60</v>
      </c>
      <c r="CH55" s="1267">
        <f>Q_Capex!CH12</f>
        <v>54</v>
      </c>
      <c r="CI55" s="1226">
        <f>Q_Capex!CI12</f>
        <v>63</v>
      </c>
      <c r="CJ55" s="1226">
        <f>Q_Capex!CJ12</f>
        <v>62</v>
      </c>
      <c r="CK55" s="1226">
        <f>Q_Capex!CK12</f>
        <v>72</v>
      </c>
      <c r="CL55" s="1267">
        <f>Q_Capex!CL12</f>
        <v>58</v>
      </c>
      <c r="CM55" s="1400"/>
      <c r="CN55" s="1400"/>
      <c r="CO55" s="1400"/>
    </row>
    <row r="56" spans="1:93" ht="12" customHeight="1">
      <c r="A56" s="1225" t="s">
        <v>993</v>
      </c>
      <c r="B56" s="1198"/>
      <c r="C56" s="1198"/>
      <c r="D56" s="1198"/>
      <c r="E56" s="1198"/>
      <c r="F56" s="1226"/>
      <c r="G56" s="1227"/>
      <c r="H56" s="1227"/>
      <c r="I56" s="1227"/>
      <c r="J56" s="1227"/>
      <c r="K56" s="1227">
        <f t="shared" ref="K56:S56" si="81">K55/J55-1</f>
        <v>-0.26079447322970639</v>
      </c>
      <c r="L56" s="1227">
        <f t="shared" si="81"/>
        <v>0.16121495327102808</v>
      </c>
      <c r="M56" s="1227">
        <f t="shared" si="81"/>
        <v>-8.8531187122736443E-2</v>
      </c>
      <c r="N56" s="1227">
        <f t="shared" si="81"/>
        <v>-0.14128035320088306</v>
      </c>
      <c r="O56" s="1227">
        <f t="shared" si="81"/>
        <v>-0.41388174807197942</v>
      </c>
      <c r="P56" s="1229">
        <f>P55/O55-1</f>
        <v>2.6315789473684292E-2</v>
      </c>
      <c r="Q56" s="1229">
        <f>Q55/P55-1</f>
        <v>2.564102564102555E-2</v>
      </c>
      <c r="R56" s="1230">
        <f t="shared" si="81"/>
        <v>4.5833333333333393E-2</v>
      </c>
      <c r="S56" s="1227">
        <f t="shared" si="81"/>
        <v>-0.7689243027888446</v>
      </c>
      <c r="T56" s="1400"/>
      <c r="U56" s="1400"/>
      <c r="V56" s="1400"/>
      <c r="W56" s="1400"/>
      <c r="X56" s="1226"/>
      <c r="Y56" s="1226"/>
      <c r="Z56" s="1226"/>
      <c r="AA56" s="1226"/>
      <c r="AB56" s="1226"/>
      <c r="AC56" s="1226"/>
      <c r="AD56" s="1226"/>
      <c r="AE56" s="1226"/>
      <c r="AF56" s="1226"/>
      <c r="AG56" s="1226"/>
      <c r="AH56" s="1198"/>
      <c r="AI56" s="1226"/>
      <c r="AJ56" s="1226"/>
      <c r="AK56" s="1226"/>
      <c r="AL56" s="1226"/>
      <c r="AM56" s="1226"/>
      <c r="AN56" s="1226"/>
      <c r="AO56" s="1226"/>
      <c r="AP56" s="1226"/>
      <c r="AQ56" s="1227"/>
      <c r="AR56" s="1227"/>
      <c r="AS56" s="1227"/>
      <c r="AT56" s="1227"/>
      <c r="AU56" s="1227"/>
      <c r="AV56" s="1227"/>
      <c r="AW56" s="1227"/>
      <c r="AX56" s="1227"/>
      <c r="AY56" s="1227"/>
      <c r="AZ56" s="1227"/>
      <c r="BA56" s="1227"/>
      <c r="BB56" s="1227"/>
      <c r="BC56" s="1227"/>
      <c r="BD56" s="1227"/>
      <c r="BE56" s="1227"/>
      <c r="BF56" s="1227">
        <f t="shared" ref="BF56:CG56" si="82">BF55/BB55-1</f>
        <v>-0.36994219653179194</v>
      </c>
      <c r="BG56" s="1227">
        <f t="shared" si="82"/>
        <v>-0.41666666666666663</v>
      </c>
      <c r="BH56" s="1227">
        <f t="shared" si="82"/>
        <v>0.14423076923076916</v>
      </c>
      <c r="BI56" s="1227">
        <f t="shared" si="82"/>
        <v>10</v>
      </c>
      <c r="BJ56" s="1227">
        <f t="shared" si="82"/>
        <v>0.12844036697247696</v>
      </c>
      <c r="BK56" s="1227">
        <f t="shared" si="82"/>
        <v>0.10714285714285721</v>
      </c>
      <c r="BL56" s="1227">
        <f t="shared" si="82"/>
        <v>8.4033613445377853E-3</v>
      </c>
      <c r="BM56" s="1227">
        <f t="shared" si="82"/>
        <v>0.47727272727272729</v>
      </c>
      <c r="BN56" s="1231">
        <f t="shared" si="82"/>
        <v>-1.6260162601625994E-2</v>
      </c>
      <c r="BO56" s="1227">
        <f t="shared" si="82"/>
        <v>-6.4516129032258118E-2</v>
      </c>
      <c r="BP56" s="1227">
        <f t="shared" si="82"/>
        <v>-9.1666666666666674E-2</v>
      </c>
      <c r="BQ56" s="1230">
        <f t="shared" si="82"/>
        <v>-0.17692307692307696</v>
      </c>
      <c r="BR56" s="1227">
        <f t="shared" si="82"/>
        <v>-0.14876033057851235</v>
      </c>
      <c r="BS56" s="1227">
        <f t="shared" si="82"/>
        <v>-0.12931034482758619</v>
      </c>
      <c r="BT56" s="1227">
        <f t="shared" si="82"/>
        <v>-0.11009174311926606</v>
      </c>
      <c r="BU56" s="1230">
        <f t="shared" si="82"/>
        <v>-0.17757009345794394</v>
      </c>
      <c r="BV56" s="1231">
        <f t="shared" si="82"/>
        <v>-0.44660194174757284</v>
      </c>
      <c r="BW56" s="1227">
        <f t="shared" si="82"/>
        <v>-0.4356435643564357</v>
      </c>
      <c r="BX56" s="1227">
        <f t="shared" si="82"/>
        <v>-0.41237113402061853</v>
      </c>
      <c r="BY56" s="1229">
        <f t="shared" si="82"/>
        <v>-0.35227272727272729</v>
      </c>
      <c r="BZ56" s="1231">
        <f t="shared" si="82"/>
        <v>-5.2631578947368474E-2</v>
      </c>
      <c r="CA56" s="1227">
        <f t="shared" si="82"/>
        <v>-3.5087719298245612E-2</v>
      </c>
      <c r="CB56" s="1227">
        <f t="shared" si="82"/>
        <v>8.7719298245614086E-2</v>
      </c>
      <c r="CC56" s="1227">
        <f t="shared" si="82"/>
        <v>0.10526315789473695</v>
      </c>
      <c r="CD56" s="1231">
        <f t="shared" si="82"/>
        <v>9.259259259259256E-2</v>
      </c>
      <c r="CE56" s="1227">
        <f t="shared" si="82"/>
        <v>9.0909090909090828E-2</v>
      </c>
      <c r="CF56" s="1227">
        <f t="shared" si="82"/>
        <v>-1.6129032258064502E-2</v>
      </c>
      <c r="CG56" s="1227">
        <f t="shared" si="82"/>
        <v>-4.7619047619047672E-2</v>
      </c>
      <c r="CH56" s="1231">
        <f>CH55/CD55-1</f>
        <v>-8.4745762711864403E-2</v>
      </c>
      <c r="CI56" s="1227">
        <f>CI55/CE55-1</f>
        <v>5.0000000000000044E-2</v>
      </c>
      <c r="CJ56" s="1227">
        <f>CJ55/CF55-1</f>
        <v>1.6393442622950838E-2</v>
      </c>
      <c r="CK56" s="1227">
        <f>CK55/CG55-1</f>
        <v>0.19999999999999996</v>
      </c>
      <c r="CL56" s="1231">
        <f>CL55/CH55-1</f>
        <v>7.4074074074074181E-2</v>
      </c>
      <c r="CM56" s="1400"/>
      <c r="CN56" s="1400"/>
      <c r="CO56" s="1400"/>
    </row>
    <row r="57" spans="1:93" ht="12" customHeight="1">
      <c r="A57" s="1225" t="s">
        <v>158</v>
      </c>
      <c r="B57" s="1198"/>
      <c r="C57" s="1198"/>
      <c r="D57" s="1198"/>
      <c r="E57" s="1198"/>
      <c r="F57" s="1227"/>
      <c r="G57" s="1227"/>
      <c r="H57" s="1227"/>
      <c r="I57" s="1227"/>
      <c r="J57" s="1227">
        <f t="shared" ref="J57:S57" si="83">J55/J$34</f>
        <v>3.7668336477782838E-2</v>
      </c>
      <c r="K57" s="1227">
        <f t="shared" si="83"/>
        <v>2.9955207166853303E-2</v>
      </c>
      <c r="L57" s="1227">
        <f t="shared" si="83"/>
        <v>3.599102034904772E-2</v>
      </c>
      <c r="M57" s="1227">
        <f t="shared" si="83"/>
        <v>3.2582895777889663E-2</v>
      </c>
      <c r="N57" s="1227">
        <f t="shared" si="83"/>
        <v>2.7939380880557352E-2</v>
      </c>
      <c r="O57" s="1227">
        <f t="shared" si="83"/>
        <v>1.6548120191609814E-2</v>
      </c>
      <c r="P57" s="1229">
        <f>P55/P$34</f>
        <v>1.7365491651205937E-2</v>
      </c>
      <c r="Q57" s="1229">
        <f>Q55/Q$34</f>
        <v>1.9494760783039557E-2</v>
      </c>
      <c r="R57" s="1230">
        <f t="shared" si="83"/>
        <v>2.1398124467178176E-2</v>
      </c>
      <c r="S57" s="1227">
        <f t="shared" si="83"/>
        <v>2.0379479971890373E-2</v>
      </c>
      <c r="T57" s="1400"/>
      <c r="U57" s="1400"/>
      <c r="V57" s="1400"/>
      <c r="W57" s="1400"/>
      <c r="X57" s="1226"/>
      <c r="Y57" s="1226"/>
      <c r="Z57" s="1226"/>
      <c r="AA57" s="1226"/>
      <c r="AB57" s="1226"/>
      <c r="AC57" s="1226"/>
      <c r="AD57" s="1226"/>
      <c r="AE57" s="1226"/>
      <c r="AF57" s="1226"/>
      <c r="AG57" s="1226"/>
      <c r="AH57" s="1198"/>
      <c r="AI57" s="1226"/>
      <c r="AJ57" s="1226"/>
      <c r="AK57" s="1226"/>
      <c r="AL57" s="1226"/>
      <c r="AM57" s="1226"/>
      <c r="AN57" s="1226"/>
      <c r="AO57" s="1226"/>
      <c r="AP57" s="1226"/>
      <c r="AQ57" s="1227"/>
      <c r="AR57" s="1227"/>
      <c r="AS57" s="1227"/>
      <c r="AT57" s="1227"/>
      <c r="AU57" s="1227"/>
      <c r="AV57" s="1227"/>
      <c r="AW57" s="1227"/>
      <c r="AX57" s="1227"/>
      <c r="AY57" s="1227"/>
      <c r="AZ57" s="1227"/>
      <c r="BA57" s="1227"/>
      <c r="BB57" s="1227">
        <f t="shared" ref="BB57:BZ57" si="84">BB55/BB$34</f>
        <v>4.3434597037408991E-2</v>
      </c>
      <c r="BC57" s="1227">
        <f t="shared" si="84"/>
        <v>4.9092303758629503E-2</v>
      </c>
      <c r="BD57" s="1227">
        <f t="shared" si="84"/>
        <v>2.7571580063626724E-2</v>
      </c>
      <c r="BE57" s="1227">
        <f t="shared" si="84"/>
        <v>2.1592442645074223E-3</v>
      </c>
      <c r="BF57" s="1227">
        <f t="shared" si="84"/>
        <v>3.0077262693156734E-2</v>
      </c>
      <c r="BG57" s="1227">
        <f t="shared" si="84"/>
        <v>3.114571746384872E-2</v>
      </c>
      <c r="BH57" s="1227">
        <f t="shared" si="84"/>
        <v>3.3333333333333333E-2</v>
      </c>
      <c r="BI57" s="1227">
        <f t="shared" si="84"/>
        <v>2.5157232704402517E-2</v>
      </c>
      <c r="BJ57" s="1227">
        <f t="shared" si="84"/>
        <v>3.5334673944268889E-2</v>
      </c>
      <c r="BK57" s="1227">
        <f t="shared" si="84"/>
        <v>3.6025566531086579E-2</v>
      </c>
      <c r="BL57" s="1227">
        <f t="shared" si="84"/>
        <v>3.4792693534357787E-2</v>
      </c>
      <c r="BM57" s="1227">
        <f t="shared" si="84"/>
        <v>3.7823683444864704E-2</v>
      </c>
      <c r="BN57" s="1231">
        <f t="shared" si="84"/>
        <v>3.5082632647144098E-2</v>
      </c>
      <c r="BO57" s="1227">
        <f t="shared" si="84"/>
        <v>3.3429394812680112E-2</v>
      </c>
      <c r="BP57" s="1227">
        <f t="shared" si="84"/>
        <v>3.1107305936073058E-2</v>
      </c>
      <c r="BQ57" s="1230">
        <f t="shared" si="84"/>
        <v>3.0747126436781611E-2</v>
      </c>
      <c r="BR57" s="1227">
        <f t="shared" si="84"/>
        <v>2.9631760644418872E-2</v>
      </c>
      <c r="BS57" s="1227">
        <f t="shared" si="84"/>
        <v>2.9089861751152073E-2</v>
      </c>
      <c r="BT57" s="1227">
        <f t="shared" si="84"/>
        <v>2.7817608259248637E-2</v>
      </c>
      <c r="BU57" s="1230">
        <f t="shared" si="84"/>
        <v>2.5229357798165139E-2</v>
      </c>
      <c r="BV57" s="1231">
        <f t="shared" si="84"/>
        <v>1.6540917005223449E-2</v>
      </c>
      <c r="BW57" s="1227">
        <f t="shared" si="84"/>
        <v>1.6459717008374241E-2</v>
      </c>
      <c r="BX57" s="1227">
        <f t="shared" si="84"/>
        <v>1.6598718695398952E-2</v>
      </c>
      <c r="BY57" s="1229">
        <f>BY55/BY$34</f>
        <v>1.6593886462882096E-2</v>
      </c>
      <c r="BZ57" s="1231">
        <f t="shared" si="84"/>
        <v>1.5887025595763458E-2</v>
      </c>
      <c r="CA57" s="1227">
        <f t="shared" ref="CA57:CI57" si="85">CA55/CA$34</f>
        <v>1.6262566528681254E-2</v>
      </c>
      <c r="CB57" s="1227">
        <f t="shared" si="85"/>
        <v>1.834862385321101E-2</v>
      </c>
      <c r="CC57" s="1227">
        <f t="shared" si="85"/>
        <v>1.9004524886877826E-2</v>
      </c>
      <c r="CD57" s="1231">
        <f t="shared" si="85"/>
        <v>1.8594390167034354E-2</v>
      </c>
      <c r="CE57" s="1227">
        <f t="shared" si="85"/>
        <v>1.9417475728155338E-2</v>
      </c>
      <c r="CF57" s="1227">
        <f t="shared" si="85"/>
        <v>1.997380484610347E-2</v>
      </c>
      <c r="CG57" s="1227">
        <f>CG55/CG$34</f>
        <v>2.004008016032064E-2</v>
      </c>
      <c r="CH57" s="1231">
        <f t="shared" si="85"/>
        <v>1.8206338503034391E-2</v>
      </c>
      <c r="CI57" s="1227">
        <f t="shared" si="85"/>
        <v>2.1501706484641638E-2</v>
      </c>
      <c r="CJ57" s="1227">
        <f>CJ55/CJ$34</f>
        <v>2.1124361158432709E-2</v>
      </c>
      <c r="CK57" s="1227">
        <f>CK55/CK$34</f>
        <v>2.4836150396688513E-2</v>
      </c>
      <c r="CL57" s="1231">
        <f>CL55/CL$34</f>
        <v>2.0379479971890373E-2</v>
      </c>
      <c r="CM57" s="1400"/>
      <c r="CN57" s="1400"/>
      <c r="CO57" s="1400"/>
    </row>
    <row r="58" spans="1:93" ht="15" customHeight="1">
      <c r="A58" s="1213" t="s">
        <v>163</v>
      </c>
      <c r="B58" s="1213"/>
      <c r="C58" s="1213"/>
      <c r="D58" s="1213"/>
      <c r="E58" s="1213"/>
      <c r="F58" s="1214"/>
      <c r="G58" s="1214"/>
      <c r="H58" s="1214"/>
      <c r="I58" s="1214"/>
      <c r="J58" s="1214">
        <f t="shared" ref="J58:O58" si="86">J47-J52-J55</f>
        <v>273</v>
      </c>
      <c r="K58" s="1214">
        <f t="shared" si="86"/>
        <v>482</v>
      </c>
      <c r="L58" s="1214">
        <f t="shared" si="86"/>
        <v>469</v>
      </c>
      <c r="M58" s="1214">
        <f t="shared" si="86"/>
        <v>955</v>
      </c>
      <c r="N58" s="1214">
        <f t="shared" si="86"/>
        <v>1619</v>
      </c>
      <c r="O58" s="1214">
        <f t="shared" si="86"/>
        <v>2149</v>
      </c>
      <c r="P58" s="1216">
        <f>P47-P52-P55</f>
        <v>2193</v>
      </c>
      <c r="Q58" s="1216">
        <f>Q47-Q52-Q55</f>
        <v>2104</v>
      </c>
      <c r="R58" s="1217">
        <f>R47-R52-R55</f>
        <v>2235</v>
      </c>
      <c r="S58" s="1262">
        <f>S47-S52-S55</f>
        <v>593</v>
      </c>
      <c r="T58" s="1400"/>
      <c r="U58" s="1400"/>
      <c r="V58" s="1400"/>
      <c r="W58" s="1400"/>
      <c r="X58" s="1214"/>
      <c r="Y58" s="1214"/>
      <c r="Z58" s="1214"/>
      <c r="AA58" s="1214"/>
      <c r="AB58" s="1214"/>
      <c r="AC58" s="1214"/>
      <c r="AD58" s="1214"/>
      <c r="AE58" s="1214"/>
      <c r="AF58" s="1214"/>
      <c r="AG58" s="1214"/>
      <c r="AH58" s="1213"/>
      <c r="AI58" s="1214"/>
      <c r="AJ58" s="1214"/>
      <c r="AK58" s="1214"/>
      <c r="AL58" s="1214"/>
      <c r="AM58" s="1214"/>
      <c r="AN58" s="1214"/>
      <c r="AO58" s="1214"/>
      <c r="AP58" s="1214"/>
      <c r="AQ58" s="1214"/>
      <c r="AR58" s="1214"/>
      <c r="AS58" s="1214"/>
      <c r="AT58" s="1214"/>
      <c r="AU58" s="1214"/>
      <c r="AV58" s="1214"/>
      <c r="AW58" s="1214"/>
      <c r="AX58" s="1214"/>
      <c r="AY58" s="1214"/>
      <c r="AZ58" s="1214"/>
      <c r="BA58" s="1214"/>
      <c r="BB58" s="1214">
        <f t="shared" ref="BB58:BZ58" si="87">BB47-BB52-BB55</f>
        <v>-49</v>
      </c>
      <c r="BC58" s="1214">
        <f t="shared" si="87"/>
        <v>-285</v>
      </c>
      <c r="BD58" s="1214">
        <f t="shared" si="87"/>
        <v>211</v>
      </c>
      <c r="BE58" s="1214">
        <f t="shared" si="87"/>
        <v>391</v>
      </c>
      <c r="BF58" s="1214">
        <f t="shared" si="87"/>
        <v>196</v>
      </c>
      <c r="BG58" s="1214">
        <f t="shared" si="87"/>
        <v>194</v>
      </c>
      <c r="BH58" s="1214">
        <f t="shared" si="87"/>
        <v>137</v>
      </c>
      <c r="BI58" s="1214">
        <f t="shared" si="87"/>
        <v>-45</v>
      </c>
      <c r="BJ58" s="1214">
        <f t="shared" si="87"/>
        <v>111</v>
      </c>
      <c r="BK58" s="1214">
        <f t="shared" si="87"/>
        <v>79</v>
      </c>
      <c r="BL58" s="1214">
        <f t="shared" si="87"/>
        <v>97</v>
      </c>
      <c r="BM58" s="1214">
        <f t="shared" si="87"/>
        <v>182</v>
      </c>
      <c r="BN58" s="1218">
        <f t="shared" si="87"/>
        <v>200</v>
      </c>
      <c r="BO58" s="1214">
        <f t="shared" si="87"/>
        <v>226</v>
      </c>
      <c r="BP58" s="1214">
        <f t="shared" si="87"/>
        <v>234</v>
      </c>
      <c r="BQ58" s="1217">
        <f t="shared" si="87"/>
        <v>295</v>
      </c>
      <c r="BR58" s="1214">
        <f t="shared" si="87"/>
        <v>375</v>
      </c>
      <c r="BS58" s="1214">
        <f t="shared" si="87"/>
        <v>416</v>
      </c>
      <c r="BT58" s="1214">
        <f t="shared" si="87"/>
        <v>443</v>
      </c>
      <c r="BU58" s="1217">
        <f t="shared" si="87"/>
        <v>385</v>
      </c>
      <c r="BV58" s="1218">
        <f t="shared" si="87"/>
        <v>559</v>
      </c>
      <c r="BW58" s="1214">
        <f t="shared" si="87"/>
        <v>534</v>
      </c>
      <c r="BX58" s="1214">
        <f t="shared" si="87"/>
        <v>532</v>
      </c>
      <c r="BY58" s="1216">
        <f t="shared" si="87"/>
        <v>524</v>
      </c>
      <c r="BZ58" s="1218">
        <f t="shared" si="87"/>
        <v>565</v>
      </c>
      <c r="CA58" s="1214">
        <f t="shared" ref="CA58:CI58" si="88">CA47-CA52-CA55</f>
        <v>566</v>
      </c>
      <c r="CB58" s="1214">
        <f t="shared" si="88"/>
        <v>484</v>
      </c>
      <c r="CC58" s="1214">
        <f t="shared" si="88"/>
        <v>578</v>
      </c>
      <c r="CD58" s="1218">
        <f t="shared" si="88"/>
        <v>572</v>
      </c>
      <c r="CE58" s="1214">
        <f t="shared" si="88"/>
        <v>514</v>
      </c>
      <c r="CF58" s="1214">
        <f t="shared" si="88"/>
        <v>512</v>
      </c>
      <c r="CG58" s="1214">
        <f t="shared" si="88"/>
        <v>506</v>
      </c>
      <c r="CH58" s="1218">
        <f t="shared" si="88"/>
        <v>579</v>
      </c>
      <c r="CI58" s="1214">
        <f t="shared" si="88"/>
        <v>544</v>
      </c>
      <c r="CJ58" s="1214">
        <f>CJ47-CJ52-CJ55</f>
        <v>568</v>
      </c>
      <c r="CK58" s="1214">
        <f>CK47-CK52-CK55</f>
        <v>544</v>
      </c>
      <c r="CL58" s="1218">
        <f>CL47-CL52-CL55</f>
        <v>593</v>
      </c>
      <c r="CM58" s="1400"/>
      <c r="CN58" s="1400"/>
      <c r="CO58" s="1400"/>
    </row>
    <row r="59" spans="1:93" ht="12" customHeight="1">
      <c r="A59" s="1225" t="s">
        <v>34</v>
      </c>
      <c r="B59" s="1198"/>
      <c r="C59" s="1198"/>
      <c r="D59" s="1198"/>
      <c r="E59" s="1198"/>
      <c r="F59" s="1226"/>
      <c r="G59" s="1227"/>
      <c r="H59" s="1227"/>
      <c r="I59" s="1227"/>
      <c r="J59" s="1227"/>
      <c r="K59" s="1227">
        <f t="shared" ref="K59:S59" si="89">K58/J58-1</f>
        <v>0.76556776556776551</v>
      </c>
      <c r="L59" s="1227">
        <f t="shared" si="89"/>
        <v>-2.6970954356846488E-2</v>
      </c>
      <c r="M59" s="1227">
        <f t="shared" si="89"/>
        <v>1.0362473347547976</v>
      </c>
      <c r="N59" s="1227">
        <f t="shared" si="89"/>
        <v>0.69528795811518318</v>
      </c>
      <c r="O59" s="1227">
        <f t="shared" si="89"/>
        <v>0.32736256948733788</v>
      </c>
      <c r="P59" s="1229">
        <f>P58/O58-1</f>
        <v>2.0474639367147551E-2</v>
      </c>
      <c r="Q59" s="1229">
        <f>Q58/P58-1</f>
        <v>-4.0583675330597369E-2</v>
      </c>
      <c r="R59" s="1230">
        <f t="shared" si="89"/>
        <v>6.2262357414448743E-2</v>
      </c>
      <c r="S59" s="1241">
        <f t="shared" si="89"/>
        <v>-0.734675615212528</v>
      </c>
      <c r="T59" s="1400"/>
      <c r="U59" s="1400"/>
      <c r="V59" s="1400"/>
      <c r="W59" s="1400"/>
      <c r="X59" s="1226"/>
      <c r="Y59" s="1226"/>
      <c r="Z59" s="1226"/>
      <c r="AA59" s="1226"/>
      <c r="AB59" s="1226"/>
      <c r="AC59" s="1226"/>
      <c r="AD59" s="1226"/>
      <c r="AE59" s="1226"/>
      <c r="AF59" s="1226"/>
      <c r="AG59" s="1226"/>
      <c r="AH59" s="1198"/>
      <c r="AI59" s="1226"/>
      <c r="AJ59" s="1226"/>
      <c r="AK59" s="1226"/>
      <c r="AL59" s="1226"/>
      <c r="AM59" s="1226"/>
      <c r="AN59" s="1226"/>
      <c r="AO59" s="1226"/>
      <c r="AP59" s="1226"/>
      <c r="AQ59" s="1227"/>
      <c r="AR59" s="1227"/>
      <c r="AS59" s="1227"/>
      <c r="AT59" s="1227"/>
      <c r="AU59" s="1227"/>
      <c r="AV59" s="1227"/>
      <c r="AW59" s="1227"/>
      <c r="AX59" s="1227"/>
      <c r="AY59" s="1227"/>
      <c r="AZ59" s="1227"/>
      <c r="BA59" s="1227"/>
      <c r="BB59" s="1227"/>
      <c r="BC59" s="1227"/>
      <c r="BD59" s="1227"/>
      <c r="BE59" s="1227"/>
      <c r="BF59" s="1227">
        <f t="shared" ref="BF59:CG59" si="90">BF58/BB58-1</f>
        <v>-5</v>
      </c>
      <c r="BG59" s="1227">
        <f t="shared" si="90"/>
        <v>-1.6807017543859648</v>
      </c>
      <c r="BH59" s="1227">
        <f t="shared" si="90"/>
        <v>-0.35071090047393361</v>
      </c>
      <c r="BI59" s="1227">
        <f t="shared" si="90"/>
        <v>-1.1150895140664963</v>
      </c>
      <c r="BJ59" s="1227">
        <f t="shared" si="90"/>
        <v>-0.43367346938775508</v>
      </c>
      <c r="BK59" s="1227">
        <f t="shared" si="90"/>
        <v>-0.59278350515463918</v>
      </c>
      <c r="BL59" s="1227">
        <f t="shared" si="90"/>
        <v>-0.29197080291970801</v>
      </c>
      <c r="BM59" s="1227">
        <f t="shared" si="90"/>
        <v>-5.0444444444444443</v>
      </c>
      <c r="BN59" s="1231">
        <f t="shared" si="90"/>
        <v>0.80180180180180183</v>
      </c>
      <c r="BO59" s="1227">
        <f t="shared" si="90"/>
        <v>1.8607594936708862</v>
      </c>
      <c r="BP59" s="1227">
        <f t="shared" si="90"/>
        <v>1.4123711340206184</v>
      </c>
      <c r="BQ59" s="1230">
        <f t="shared" si="90"/>
        <v>0.62087912087912089</v>
      </c>
      <c r="BR59" s="1227">
        <f t="shared" si="90"/>
        <v>0.875</v>
      </c>
      <c r="BS59" s="1227">
        <f t="shared" si="90"/>
        <v>0.84070796460176989</v>
      </c>
      <c r="BT59" s="1227">
        <f t="shared" si="90"/>
        <v>0.8931623931623931</v>
      </c>
      <c r="BU59" s="1230">
        <f t="shared" si="90"/>
        <v>0.30508474576271194</v>
      </c>
      <c r="BV59" s="1231">
        <f t="shared" si="90"/>
        <v>0.49066666666666658</v>
      </c>
      <c r="BW59" s="1227">
        <f t="shared" si="90"/>
        <v>0.28365384615384626</v>
      </c>
      <c r="BX59" s="1227">
        <f t="shared" si="90"/>
        <v>0.20090293453724595</v>
      </c>
      <c r="BY59" s="1229">
        <f t="shared" si="90"/>
        <v>0.36103896103896105</v>
      </c>
      <c r="BZ59" s="1231">
        <f t="shared" si="90"/>
        <v>1.0733452593917781E-2</v>
      </c>
      <c r="CA59" s="1227">
        <f t="shared" si="90"/>
        <v>5.9925093632958726E-2</v>
      </c>
      <c r="CB59" s="1227">
        <f t="shared" si="90"/>
        <v>-9.0225563909774431E-2</v>
      </c>
      <c r="CC59" s="1227">
        <f t="shared" si="90"/>
        <v>0.10305343511450382</v>
      </c>
      <c r="CD59" s="1231">
        <f t="shared" si="90"/>
        <v>1.2389380530973382E-2</v>
      </c>
      <c r="CE59" s="1227">
        <f t="shared" si="90"/>
        <v>-9.1872791519434616E-2</v>
      </c>
      <c r="CF59" s="1227">
        <f t="shared" si="90"/>
        <v>5.7851239669421517E-2</v>
      </c>
      <c r="CG59" s="1227">
        <f t="shared" si="90"/>
        <v>-0.12456747404844293</v>
      </c>
      <c r="CH59" s="1231">
        <f>CH58/CD58-1</f>
        <v>1.2237762237762295E-2</v>
      </c>
      <c r="CI59" s="1227">
        <f>CI58/CE58-1</f>
        <v>5.8365758754863828E-2</v>
      </c>
      <c r="CJ59" s="1227">
        <f>CJ58/CF58-1</f>
        <v>0.109375</v>
      </c>
      <c r="CK59" s="1227">
        <f>CK58/CG58-1</f>
        <v>7.5098814229249022E-2</v>
      </c>
      <c r="CL59" s="1231">
        <f>CL58/CH58-1</f>
        <v>2.4179620034542326E-2</v>
      </c>
      <c r="CM59" s="1400"/>
      <c r="CN59" s="1400"/>
      <c r="CO59" s="1400"/>
    </row>
    <row r="60" spans="1:93" ht="12" customHeight="1">
      <c r="A60" s="1225" t="s">
        <v>150</v>
      </c>
      <c r="B60" s="1198"/>
      <c r="C60" s="1198"/>
      <c r="D60" s="1198"/>
      <c r="E60" s="1198"/>
      <c r="F60" s="1226"/>
      <c r="G60" s="1227"/>
      <c r="H60" s="1226"/>
      <c r="I60" s="1226"/>
      <c r="J60" s="1227"/>
      <c r="K60" s="1227"/>
      <c r="L60" s="1227"/>
      <c r="M60" s="1227"/>
      <c r="N60" s="1227"/>
      <c r="O60" s="1227"/>
      <c r="P60" s="1229"/>
      <c r="Q60" s="1229"/>
      <c r="R60" s="1230"/>
      <c r="S60" s="1241"/>
      <c r="T60" s="1400"/>
      <c r="U60" s="1400"/>
      <c r="V60" s="1400"/>
      <c r="W60" s="1400"/>
      <c r="X60" s="1226"/>
      <c r="Y60" s="1226"/>
      <c r="Z60" s="1226"/>
      <c r="AA60" s="1226"/>
      <c r="AB60" s="1226"/>
      <c r="AC60" s="1226"/>
      <c r="AD60" s="1226"/>
      <c r="AE60" s="1226"/>
      <c r="AF60" s="1226"/>
      <c r="AG60" s="1226"/>
      <c r="AH60" s="1198"/>
      <c r="AI60" s="1226"/>
      <c r="AJ60" s="1226"/>
      <c r="AK60" s="1226"/>
      <c r="AL60" s="1226"/>
      <c r="AM60" s="1226"/>
      <c r="AN60" s="1226"/>
      <c r="AO60" s="1226"/>
      <c r="AP60" s="1226"/>
      <c r="AQ60" s="1227"/>
      <c r="AR60" s="1227"/>
      <c r="AS60" s="1227"/>
      <c r="AT60" s="1227"/>
      <c r="AU60" s="1227"/>
      <c r="AV60" s="1227"/>
      <c r="AW60" s="1227"/>
      <c r="AX60" s="1227"/>
      <c r="AY60" s="1227"/>
      <c r="AZ60" s="1227"/>
      <c r="BA60" s="1227"/>
      <c r="BB60" s="1227"/>
      <c r="BC60" s="1227">
        <f t="shared" ref="BC60:CG60" si="91">BC58/BB58-1</f>
        <v>4.8163265306122449</v>
      </c>
      <c r="BD60" s="1227">
        <f t="shared" si="91"/>
        <v>-1.7403508771929825</v>
      </c>
      <c r="BE60" s="1227">
        <f t="shared" si="91"/>
        <v>0.85308056872037907</v>
      </c>
      <c r="BF60" s="1227">
        <f t="shared" si="91"/>
        <v>-0.49872122762148341</v>
      </c>
      <c r="BG60" s="1227">
        <f t="shared" si="91"/>
        <v>-1.0204081632653073E-2</v>
      </c>
      <c r="BH60" s="1227">
        <f t="shared" si="91"/>
        <v>-0.29381443298969068</v>
      </c>
      <c r="BI60" s="1227">
        <f t="shared" si="91"/>
        <v>-1.3284671532846715</v>
      </c>
      <c r="BJ60" s="1227">
        <f t="shared" si="91"/>
        <v>-3.4666666666666668</v>
      </c>
      <c r="BK60" s="1227">
        <f t="shared" si="91"/>
        <v>-0.28828828828828834</v>
      </c>
      <c r="BL60" s="1227">
        <f t="shared" si="91"/>
        <v>0.22784810126582289</v>
      </c>
      <c r="BM60" s="1227">
        <f t="shared" si="91"/>
        <v>0.87628865979381443</v>
      </c>
      <c r="BN60" s="1231">
        <f t="shared" si="91"/>
        <v>9.8901098901098994E-2</v>
      </c>
      <c r="BO60" s="1227">
        <f t="shared" si="91"/>
        <v>0.12999999999999989</v>
      </c>
      <c r="BP60" s="1227">
        <f t="shared" si="91"/>
        <v>3.539823008849563E-2</v>
      </c>
      <c r="BQ60" s="1230">
        <f t="shared" si="91"/>
        <v>0.26068376068376065</v>
      </c>
      <c r="BR60" s="1227">
        <f t="shared" si="91"/>
        <v>0.27118644067796605</v>
      </c>
      <c r="BS60" s="1227">
        <f t="shared" si="91"/>
        <v>0.10933333333333328</v>
      </c>
      <c r="BT60" s="1227">
        <f t="shared" si="91"/>
        <v>6.4903846153846256E-2</v>
      </c>
      <c r="BU60" s="1230">
        <f t="shared" si="91"/>
        <v>-0.13092550790067725</v>
      </c>
      <c r="BV60" s="1231">
        <f t="shared" si="91"/>
        <v>0.45194805194805188</v>
      </c>
      <c r="BW60" s="1227">
        <f t="shared" si="91"/>
        <v>-4.4722719141323752E-2</v>
      </c>
      <c r="BX60" s="1227">
        <f t="shared" si="91"/>
        <v>-3.7453183520599342E-3</v>
      </c>
      <c r="BY60" s="1229">
        <f t="shared" si="91"/>
        <v>-1.5037593984962405E-2</v>
      </c>
      <c r="BZ60" s="1231">
        <f t="shared" si="91"/>
        <v>7.8244274809160297E-2</v>
      </c>
      <c r="CA60" s="1227">
        <f t="shared" si="91"/>
        <v>1.7699115044247371E-3</v>
      </c>
      <c r="CB60" s="1227">
        <f t="shared" si="91"/>
        <v>-0.14487632508833925</v>
      </c>
      <c r="CC60" s="1227">
        <f t="shared" si="91"/>
        <v>0.19421487603305776</v>
      </c>
      <c r="CD60" s="1231">
        <f t="shared" si="91"/>
        <v>-1.038062283737029E-2</v>
      </c>
      <c r="CE60" s="1227">
        <f t="shared" si="91"/>
        <v>-0.10139860139860135</v>
      </c>
      <c r="CF60" s="1227">
        <f t="shared" si="91"/>
        <v>-3.8910505836575737E-3</v>
      </c>
      <c r="CG60" s="1227">
        <f t="shared" si="91"/>
        <v>-1.171875E-2</v>
      </c>
      <c r="CH60" s="1231">
        <f>CH58/CG58-1</f>
        <v>0.14426877470355737</v>
      </c>
      <c r="CI60" s="1227">
        <f>CI58/CH58-1</f>
        <v>-6.0449050086355816E-2</v>
      </c>
      <c r="CJ60" s="1227">
        <f>CJ58/CI58-1</f>
        <v>4.4117647058823595E-2</v>
      </c>
      <c r="CK60" s="1227">
        <f>CK58/CJ58-1</f>
        <v>-4.2253521126760618E-2</v>
      </c>
      <c r="CL60" s="1231">
        <f>CL58/CK58-1</f>
        <v>9.0073529411764719E-2</v>
      </c>
      <c r="CM60" s="1400"/>
      <c r="CN60" s="1400"/>
      <c r="CO60" s="1400"/>
    </row>
    <row r="61" spans="1:93" ht="12" customHeight="1">
      <c r="A61" s="1225" t="s">
        <v>158</v>
      </c>
      <c r="B61" s="1198"/>
      <c r="C61" s="1198"/>
      <c r="D61" s="1198"/>
      <c r="E61" s="1198"/>
      <c r="F61" s="1227"/>
      <c r="G61" s="1227"/>
      <c r="H61" s="1227"/>
      <c r="I61" s="1227"/>
      <c r="J61" s="1227">
        <f t="shared" ref="J61:S61" si="92">J58/J$34</f>
        <v>1.7760718235638542E-2</v>
      </c>
      <c r="K61" s="1227">
        <f t="shared" si="92"/>
        <v>3.3734602463605823E-2</v>
      </c>
      <c r="L61" s="1227">
        <f t="shared" si="92"/>
        <v>3.396335723079151E-2</v>
      </c>
      <c r="M61" s="1227">
        <f t="shared" si="92"/>
        <v>6.8690210745882177E-2</v>
      </c>
      <c r="N61" s="1227">
        <f t="shared" si="92"/>
        <v>0.11628241040005746</v>
      </c>
      <c r="O61" s="1227">
        <f t="shared" si="92"/>
        <v>0.15597329075337493</v>
      </c>
      <c r="P61" s="1229">
        <f>P58/P$34</f>
        <v>0.16274582560296846</v>
      </c>
      <c r="Q61" s="1229">
        <f>Q58/Q$34</f>
        <v>0.17090406953131346</v>
      </c>
      <c r="R61" s="1230">
        <f t="shared" si="92"/>
        <v>0.19053708439897699</v>
      </c>
      <c r="S61" s="1241">
        <f t="shared" si="92"/>
        <v>0.20836261419536192</v>
      </c>
      <c r="T61" s="1400"/>
      <c r="U61" s="1400"/>
      <c r="V61" s="1400"/>
      <c r="W61" s="1400"/>
      <c r="X61" s="1226"/>
      <c r="Y61" s="1226"/>
      <c r="Z61" s="1226"/>
      <c r="AA61" s="1226"/>
      <c r="AB61" s="1226"/>
      <c r="AC61" s="1226"/>
      <c r="AD61" s="1226"/>
      <c r="AE61" s="1226"/>
      <c r="AF61" s="1226"/>
      <c r="AG61" s="1226"/>
      <c r="AH61" s="1198"/>
      <c r="AI61" s="1226"/>
      <c r="AJ61" s="1226"/>
      <c r="AK61" s="1226"/>
      <c r="AL61" s="1226"/>
      <c r="AM61" s="1226"/>
      <c r="AN61" s="1226"/>
      <c r="AO61" s="1226"/>
      <c r="AP61" s="1226"/>
      <c r="AQ61" s="1227"/>
      <c r="AR61" s="1227"/>
      <c r="AS61" s="1227"/>
      <c r="AT61" s="1227"/>
      <c r="AU61" s="1227"/>
      <c r="AV61" s="1227"/>
      <c r="AW61" s="1227"/>
      <c r="AX61" s="1227"/>
      <c r="AY61" s="1227"/>
      <c r="AZ61" s="1227"/>
      <c r="BA61" s="1227"/>
      <c r="BB61" s="1227">
        <f t="shared" ref="BB61:BZ61" si="93">BB58/BB$34</f>
        <v>-1.2302284710017574E-2</v>
      </c>
      <c r="BC61" s="1227">
        <f t="shared" si="93"/>
        <v>-7.2871388391715669E-2</v>
      </c>
      <c r="BD61" s="1227">
        <f t="shared" si="93"/>
        <v>5.5938494167550368E-2</v>
      </c>
      <c r="BE61" s="1227">
        <f t="shared" si="93"/>
        <v>0.10553306342780026</v>
      </c>
      <c r="BF61" s="1227">
        <f t="shared" si="93"/>
        <v>5.4083885209713023E-2</v>
      </c>
      <c r="BG61" s="1227">
        <f t="shared" si="93"/>
        <v>5.3948832035595105E-2</v>
      </c>
      <c r="BH61" s="1227">
        <f t="shared" si="93"/>
        <v>3.8375350140056025E-2</v>
      </c>
      <c r="BI61" s="1227">
        <f t="shared" si="93"/>
        <v>-1.2864493996569469E-2</v>
      </c>
      <c r="BJ61" s="1227">
        <f t="shared" si="93"/>
        <v>3.1887388681413387E-2</v>
      </c>
      <c r="BK61" s="1227">
        <f t="shared" si="93"/>
        <v>2.295177222545032E-2</v>
      </c>
      <c r="BL61" s="1227">
        <f t="shared" si="93"/>
        <v>2.8124093940272543E-2</v>
      </c>
      <c r="BM61" s="1227">
        <f t="shared" si="93"/>
        <v>5.2953156822810592E-2</v>
      </c>
      <c r="BN61" s="1231">
        <f t="shared" si="93"/>
        <v>5.7987822557262973E-2</v>
      </c>
      <c r="BO61" s="1227">
        <f t="shared" si="93"/>
        <v>6.512968299711816E-2</v>
      </c>
      <c r="BP61" s="1227">
        <f t="shared" si="93"/>
        <v>6.6780821917808222E-2</v>
      </c>
      <c r="BQ61" s="1230">
        <f t="shared" si="93"/>
        <v>8.4770114942528729E-2</v>
      </c>
      <c r="BR61" s="1227">
        <f t="shared" si="93"/>
        <v>0.10788262370540852</v>
      </c>
      <c r="BS61" s="1227">
        <f t="shared" si="93"/>
        <v>0.11981566820276497</v>
      </c>
      <c r="BT61" s="1227">
        <f t="shared" si="93"/>
        <v>0.12704330369945513</v>
      </c>
      <c r="BU61" s="1230">
        <f t="shared" si="93"/>
        <v>0.11037844036697247</v>
      </c>
      <c r="BV61" s="1231">
        <f t="shared" si="93"/>
        <v>0.16221706326175275</v>
      </c>
      <c r="BW61" s="1227">
        <f t="shared" si="93"/>
        <v>0.15420155934161131</v>
      </c>
      <c r="BX61" s="1227">
        <f t="shared" si="93"/>
        <v>0.15492137449039023</v>
      </c>
      <c r="BY61" s="1229">
        <f>BY58/BY$34</f>
        <v>0.15254730713245998</v>
      </c>
      <c r="BZ61" s="1231">
        <f t="shared" si="93"/>
        <v>0.16622536040011768</v>
      </c>
      <c r="CA61" s="1227">
        <f t="shared" ref="CA61:CI61" si="94">CA58/CA$34</f>
        <v>0.16735659373151981</v>
      </c>
      <c r="CB61" s="1227">
        <f t="shared" si="94"/>
        <v>0.14323764427345367</v>
      </c>
      <c r="CC61" s="1227">
        <f t="shared" si="94"/>
        <v>0.17435897435897435</v>
      </c>
      <c r="CD61" s="1231">
        <f t="shared" si="94"/>
        <v>0.18027103687362117</v>
      </c>
      <c r="CE61" s="1227">
        <f t="shared" si="94"/>
        <v>0.16634304207119741</v>
      </c>
      <c r="CF61" s="1227">
        <f t="shared" si="94"/>
        <v>0.16764898493778652</v>
      </c>
      <c r="CG61" s="1227">
        <f t="shared" si="94"/>
        <v>0.16900467601870409</v>
      </c>
      <c r="CH61" s="1231">
        <f t="shared" si="94"/>
        <v>0.19521240728253539</v>
      </c>
      <c r="CI61" s="1227">
        <f t="shared" si="94"/>
        <v>0.18566552901023892</v>
      </c>
      <c r="CJ61" s="1227">
        <f>CJ58/CJ$34</f>
        <v>0.19352640545144803</v>
      </c>
      <c r="CK61" s="1227">
        <f>CK58/CK$34</f>
        <v>0.18765091410831322</v>
      </c>
      <c r="CL61" s="1231">
        <f>CL58/CL$34</f>
        <v>0.20836261419536192</v>
      </c>
      <c r="CM61" s="1400"/>
      <c r="CN61" s="1400"/>
      <c r="CO61" s="1400"/>
    </row>
    <row r="62" spans="1:93" ht="15" customHeight="1">
      <c r="A62" s="1213" t="s">
        <v>1004</v>
      </c>
      <c r="B62" s="1213"/>
      <c r="C62" s="1213"/>
      <c r="D62" s="1213"/>
      <c r="E62" s="1213"/>
      <c r="F62" s="1214"/>
      <c r="G62" s="1214"/>
      <c r="H62" s="1214"/>
      <c r="I62" s="1214"/>
      <c r="J62" s="1214">
        <v>1789</v>
      </c>
      <c r="K62" s="1214">
        <f>SUM(BF62:BI62)</f>
        <v>1757</v>
      </c>
      <c r="L62" s="1214">
        <f>SUM(BJ62:BM62)</f>
        <v>1531</v>
      </c>
      <c r="M62" s="1214">
        <f>Q_BS!M83</f>
        <v>1483</v>
      </c>
      <c r="N62" s="1214">
        <f>SUM(BR62:BU62)</f>
        <v>1169</v>
      </c>
      <c r="O62" s="1214">
        <f>SUM(BV62:BY62)</f>
        <v>1139</v>
      </c>
      <c r="P62" s="1216">
        <f>SUM(BZ62:CC62)</f>
        <v>1069</v>
      </c>
      <c r="Q62" s="1216">
        <f>SUM(CD62:CG62)</f>
        <v>1089</v>
      </c>
      <c r="R62" s="1217">
        <f>SUM(CH62:CK62)</f>
        <v>1039</v>
      </c>
      <c r="S62" s="1262">
        <f>Q_BS!S83</f>
        <v>227</v>
      </c>
      <c r="T62" s="1400"/>
      <c r="U62" s="1400"/>
      <c r="V62" s="1400"/>
      <c r="W62" s="1400"/>
      <c r="X62" s="1214"/>
      <c r="Y62" s="1214"/>
      <c r="Z62" s="1214"/>
      <c r="AA62" s="1214"/>
      <c r="AB62" s="1214"/>
      <c r="AC62" s="1214"/>
      <c r="AD62" s="1214"/>
      <c r="AE62" s="1214"/>
      <c r="AF62" s="1214"/>
      <c r="AG62" s="1214"/>
      <c r="AH62" s="1213"/>
      <c r="AI62" s="1214"/>
      <c r="AJ62" s="1214"/>
      <c r="AK62" s="1214"/>
      <c r="AL62" s="1214"/>
      <c r="AM62" s="1214"/>
      <c r="AN62" s="1214"/>
      <c r="AO62" s="1214"/>
      <c r="AP62" s="1214"/>
      <c r="AQ62" s="1214"/>
      <c r="AR62" s="1214"/>
      <c r="AS62" s="1214"/>
      <c r="AT62" s="1214"/>
      <c r="AU62" s="1214"/>
      <c r="AV62" s="1214"/>
      <c r="AW62" s="1214"/>
      <c r="AX62" s="1214"/>
      <c r="AY62" s="1214"/>
      <c r="AZ62" s="1214"/>
      <c r="BA62" s="1214"/>
      <c r="BB62" s="1214">
        <v>411</v>
      </c>
      <c r="BC62" s="1214">
        <v>450</v>
      </c>
      <c r="BD62" s="1214">
        <v>455</v>
      </c>
      <c r="BE62" s="1214">
        <v>463</v>
      </c>
      <c r="BF62" s="1214">
        <v>440</v>
      </c>
      <c r="BG62" s="1214">
        <v>444</v>
      </c>
      <c r="BH62" s="1214">
        <v>437</v>
      </c>
      <c r="BI62" s="1214">
        <v>436</v>
      </c>
      <c r="BJ62" s="1214">
        <v>397</v>
      </c>
      <c r="BK62" s="1214">
        <v>394</v>
      </c>
      <c r="BL62" s="1214">
        <v>374</v>
      </c>
      <c r="BM62" s="1214">
        <v>366</v>
      </c>
      <c r="BN62" s="1218">
        <v>381</v>
      </c>
      <c r="BO62" s="1214">
        <v>380</v>
      </c>
      <c r="BP62" s="1214">
        <v>384</v>
      </c>
      <c r="BQ62" s="1217">
        <v>338</v>
      </c>
      <c r="BR62" s="1253">
        <v>296</v>
      </c>
      <c r="BS62" s="1253">
        <v>298</v>
      </c>
      <c r="BT62" s="1253">
        <v>291</v>
      </c>
      <c r="BU62" s="1268">
        <v>284</v>
      </c>
      <c r="BV62" s="1252">
        <v>292</v>
      </c>
      <c r="BW62" s="1253">
        <v>285</v>
      </c>
      <c r="BX62" s="1253">
        <v>283</v>
      </c>
      <c r="BY62" s="1254">
        <v>279</v>
      </c>
      <c r="BZ62" s="1252">
        <v>272</v>
      </c>
      <c r="CA62" s="1253">
        <v>270</v>
      </c>
      <c r="CB62" s="1253">
        <v>263</v>
      </c>
      <c r="CC62" s="1253">
        <v>264</v>
      </c>
      <c r="CD62" s="1252">
        <v>260</v>
      </c>
      <c r="CE62" s="1253">
        <v>276</v>
      </c>
      <c r="CF62" s="1253">
        <v>274</v>
      </c>
      <c r="CG62" s="1253">
        <v>279</v>
      </c>
      <c r="CH62" s="1252">
        <v>279</v>
      </c>
      <c r="CI62" s="1254">
        <f>265</f>
        <v>265</v>
      </c>
      <c r="CJ62" s="1254">
        <v>255</v>
      </c>
      <c r="CK62" s="1254">
        <v>240</v>
      </c>
      <c r="CL62" s="1252">
        <v>227</v>
      </c>
      <c r="CM62" s="1400"/>
      <c r="CN62" s="1400"/>
      <c r="CO62" s="1400"/>
    </row>
    <row r="63" spans="1:93" ht="12" customHeight="1">
      <c r="A63" s="1225" t="s">
        <v>993</v>
      </c>
      <c r="B63" s="1198"/>
      <c r="C63" s="1198"/>
      <c r="D63" s="1198"/>
      <c r="E63" s="1198"/>
      <c r="F63" s="1226"/>
      <c r="G63" s="1227"/>
      <c r="H63" s="1227"/>
      <c r="I63" s="1227"/>
      <c r="J63" s="1227"/>
      <c r="K63" s="1227">
        <f t="shared" ref="K63:S63" si="95">K62/J62-1</f>
        <v>-1.7887087758524323E-2</v>
      </c>
      <c r="L63" s="1227">
        <f t="shared" si="95"/>
        <v>-0.12862834376778598</v>
      </c>
      <c r="M63" s="1227">
        <f t="shared" si="95"/>
        <v>-3.1352057478772011E-2</v>
      </c>
      <c r="N63" s="1227">
        <f t="shared" si="95"/>
        <v>-0.21173297370195554</v>
      </c>
      <c r="O63" s="1227">
        <f t="shared" si="95"/>
        <v>-2.5662959794696349E-2</v>
      </c>
      <c r="P63" s="1229">
        <f>P62/O62-1</f>
        <v>-6.1457418788410934E-2</v>
      </c>
      <c r="Q63" s="1229">
        <f>Q62/P62-1</f>
        <v>1.8709073900841977E-2</v>
      </c>
      <c r="R63" s="1230">
        <f t="shared" si="95"/>
        <v>-4.5913682277318624E-2</v>
      </c>
      <c r="S63" s="1241">
        <f t="shared" si="95"/>
        <v>-0.7815206929740135</v>
      </c>
      <c r="T63" s="1400"/>
      <c r="U63" s="1400"/>
      <c r="V63" s="1400"/>
      <c r="W63" s="1400"/>
      <c r="X63" s="1226"/>
      <c r="Y63" s="1226"/>
      <c r="Z63" s="1226"/>
      <c r="AA63" s="1226"/>
      <c r="AB63" s="1226"/>
      <c r="AC63" s="1226"/>
      <c r="AD63" s="1226"/>
      <c r="AE63" s="1226"/>
      <c r="AF63" s="1226"/>
      <c r="AG63" s="1226"/>
      <c r="AH63" s="1198"/>
      <c r="AI63" s="1226"/>
      <c r="AJ63" s="1226"/>
      <c r="AK63" s="1226"/>
      <c r="AL63" s="1226"/>
      <c r="AM63" s="1226"/>
      <c r="AN63" s="1226"/>
      <c r="AO63" s="1226"/>
      <c r="AP63" s="1226"/>
      <c r="AQ63" s="1227"/>
      <c r="AR63" s="1227"/>
      <c r="AS63" s="1227"/>
      <c r="AT63" s="1227"/>
      <c r="AU63" s="1227"/>
      <c r="AV63" s="1227"/>
      <c r="AW63" s="1227"/>
      <c r="AX63" s="1227"/>
      <c r="AY63" s="1227"/>
      <c r="AZ63" s="1227"/>
      <c r="BA63" s="1227"/>
      <c r="BB63" s="1227"/>
      <c r="BC63" s="1227"/>
      <c r="BD63" s="1227"/>
      <c r="BE63" s="1227"/>
      <c r="BF63" s="1227">
        <f t="shared" ref="BF63:CB63" si="96">BF62/BB62-1</f>
        <v>7.0559610705596132E-2</v>
      </c>
      <c r="BG63" s="1227">
        <f t="shared" si="96"/>
        <v>-1.3333333333333308E-2</v>
      </c>
      <c r="BH63" s="1227">
        <f t="shared" si="96"/>
        <v>-3.9560439560439531E-2</v>
      </c>
      <c r="BI63" s="1227">
        <f t="shared" si="96"/>
        <v>-5.8315334773218153E-2</v>
      </c>
      <c r="BJ63" s="1227">
        <f t="shared" si="96"/>
        <v>-9.7727272727272774E-2</v>
      </c>
      <c r="BK63" s="1227">
        <f t="shared" si="96"/>
        <v>-0.11261261261261257</v>
      </c>
      <c r="BL63" s="1227">
        <f t="shared" si="96"/>
        <v>-0.14416475972540044</v>
      </c>
      <c r="BM63" s="1227">
        <f t="shared" si="96"/>
        <v>-0.16055045871559637</v>
      </c>
      <c r="BN63" s="1231">
        <f t="shared" si="96"/>
        <v>-4.0302267002518932E-2</v>
      </c>
      <c r="BO63" s="1227">
        <f t="shared" si="96"/>
        <v>-3.5532994923857864E-2</v>
      </c>
      <c r="BP63" s="1227">
        <f t="shared" si="96"/>
        <v>2.673796791443861E-2</v>
      </c>
      <c r="BQ63" s="1230">
        <f t="shared" si="96"/>
        <v>-7.6502732240437132E-2</v>
      </c>
      <c r="BR63" s="1227">
        <f t="shared" si="96"/>
        <v>-0.2230971128608924</v>
      </c>
      <c r="BS63" s="1227">
        <f t="shared" si="96"/>
        <v>-0.21578947368421053</v>
      </c>
      <c r="BT63" s="1227">
        <f t="shared" si="96"/>
        <v>-0.2421875</v>
      </c>
      <c r="BU63" s="1230">
        <f t="shared" si="96"/>
        <v>-0.15976331360946749</v>
      </c>
      <c r="BV63" s="1231">
        <f t="shared" si="96"/>
        <v>-1.3513513513513487E-2</v>
      </c>
      <c r="BW63" s="1227">
        <f t="shared" si="96"/>
        <v>-4.3624161073825496E-2</v>
      </c>
      <c r="BX63" s="1227">
        <f t="shared" si="96"/>
        <v>-2.7491408934707917E-2</v>
      </c>
      <c r="BY63" s="1229">
        <f t="shared" si="96"/>
        <v>-1.7605633802816878E-2</v>
      </c>
      <c r="BZ63" s="1231">
        <f t="shared" si="96"/>
        <v>-6.8493150684931559E-2</v>
      </c>
      <c r="CA63" s="1227">
        <f t="shared" si="96"/>
        <v>-5.2631578947368474E-2</v>
      </c>
      <c r="CB63" s="1227">
        <f t="shared" si="96"/>
        <v>-7.0671378091872739E-2</v>
      </c>
      <c r="CC63" s="1227">
        <f t="shared" ref="CC63:CL63" si="97">CC62/BY62-1</f>
        <v>-5.3763440860215006E-2</v>
      </c>
      <c r="CD63" s="1231">
        <f t="shared" si="97"/>
        <v>-4.4117647058823484E-2</v>
      </c>
      <c r="CE63" s="1227">
        <f t="shared" si="97"/>
        <v>2.2222222222222143E-2</v>
      </c>
      <c r="CF63" s="1227">
        <f t="shared" si="97"/>
        <v>4.1825095057034245E-2</v>
      </c>
      <c r="CG63" s="1227">
        <f t="shared" si="97"/>
        <v>5.6818181818181879E-2</v>
      </c>
      <c r="CH63" s="1231">
        <f t="shared" si="97"/>
        <v>7.3076923076923039E-2</v>
      </c>
      <c r="CI63" s="1229">
        <f t="shared" si="97"/>
        <v>-3.9855072463768071E-2</v>
      </c>
      <c r="CJ63" s="1229">
        <f t="shared" si="97"/>
        <v>-6.9343065693430628E-2</v>
      </c>
      <c r="CK63" s="1229">
        <f t="shared" si="97"/>
        <v>-0.13978494623655913</v>
      </c>
      <c r="CL63" s="1231">
        <f t="shared" si="97"/>
        <v>-0.18637992831541217</v>
      </c>
      <c r="CM63" s="1400"/>
      <c r="CN63" s="1400"/>
      <c r="CO63" s="1400"/>
    </row>
    <row r="64" spans="1:93" ht="12" customHeight="1">
      <c r="A64" s="1225" t="s">
        <v>158</v>
      </c>
      <c r="B64" s="1198"/>
      <c r="C64" s="1198"/>
      <c r="D64" s="1198"/>
      <c r="E64" s="1198"/>
      <c r="F64" s="1227"/>
      <c r="G64" s="1227"/>
      <c r="H64" s="1227"/>
      <c r="I64" s="1227"/>
      <c r="J64" s="1227">
        <f t="shared" ref="J64:S64" si="98">J62/J$34</f>
        <v>0.11638800338299395</v>
      </c>
      <c r="K64" s="1227">
        <f t="shared" si="98"/>
        <v>0.12297032474804032</v>
      </c>
      <c r="L64" s="1227">
        <f t="shared" si="98"/>
        <v>0.11086972264465204</v>
      </c>
      <c r="M64" s="1227">
        <f t="shared" si="98"/>
        <v>0.10666762569229662</v>
      </c>
      <c r="N64" s="1227">
        <f t="shared" si="98"/>
        <v>8.3961789844142778E-2</v>
      </c>
      <c r="O64" s="1227">
        <f t="shared" si="98"/>
        <v>8.2668021483524465E-2</v>
      </c>
      <c r="P64" s="1229">
        <f>P62/P$34</f>
        <v>7.9332096474953623E-2</v>
      </c>
      <c r="Q64" s="1229">
        <f>Q62/Q$34</f>
        <v>8.8457477053041994E-2</v>
      </c>
      <c r="R64" s="1230">
        <f t="shared" si="98"/>
        <v>8.8576300085251497E-2</v>
      </c>
      <c r="S64" s="1241">
        <f t="shared" si="98"/>
        <v>7.9761068165846799E-2</v>
      </c>
      <c r="T64" s="1400"/>
      <c r="U64" s="1400"/>
      <c r="V64" s="1400"/>
      <c r="W64" s="1400"/>
      <c r="X64" s="1226"/>
      <c r="Y64" s="1226"/>
      <c r="Z64" s="1226"/>
      <c r="AA64" s="1226"/>
      <c r="AB64" s="1226"/>
      <c r="AC64" s="1226"/>
      <c r="AD64" s="1226"/>
      <c r="AE64" s="1226"/>
      <c r="AF64" s="1226"/>
      <c r="AG64" s="1226"/>
      <c r="AH64" s="1198"/>
      <c r="AI64" s="1226"/>
      <c r="AJ64" s="1226"/>
      <c r="AK64" s="1226"/>
      <c r="AL64" s="1226"/>
      <c r="AM64" s="1226"/>
      <c r="AN64" s="1226"/>
      <c r="AO64" s="1226"/>
      <c r="AP64" s="1226"/>
      <c r="AQ64" s="1227"/>
      <c r="AR64" s="1227"/>
      <c r="AS64" s="1227"/>
      <c r="AT64" s="1227"/>
      <c r="AU64" s="1227"/>
      <c r="AV64" s="1227"/>
      <c r="AW64" s="1227"/>
      <c r="AX64" s="1227"/>
      <c r="AY64" s="1227"/>
      <c r="AZ64" s="1227"/>
      <c r="BA64" s="1227"/>
      <c r="BB64" s="1227">
        <f t="shared" ref="BB64:CA64" si="99">BB62/BB$34</f>
        <v>0.10318855134320863</v>
      </c>
      <c r="BC64" s="1227">
        <f t="shared" si="99"/>
        <v>0.1150600869342879</v>
      </c>
      <c r="BD64" s="1227">
        <f t="shared" si="99"/>
        <v>0.12062566277836691</v>
      </c>
      <c r="BE64" s="1227">
        <f t="shared" si="99"/>
        <v>0.12496626180836708</v>
      </c>
      <c r="BF64" s="1227">
        <f t="shared" si="99"/>
        <v>0.12141280353200883</v>
      </c>
      <c r="BG64" s="1227">
        <f t="shared" si="99"/>
        <v>0.12347052280311457</v>
      </c>
      <c r="BH64" s="1227">
        <f t="shared" si="99"/>
        <v>0.12240896358543417</v>
      </c>
      <c r="BI64" s="1227">
        <f t="shared" si="99"/>
        <v>0.12464265294453973</v>
      </c>
      <c r="BJ64" s="1227">
        <f t="shared" si="99"/>
        <v>0.11404768744613616</v>
      </c>
      <c r="BK64" s="1227">
        <f t="shared" si="99"/>
        <v>0.11446833236490413</v>
      </c>
      <c r="BL64" s="1227">
        <f t="shared" si="99"/>
        <v>0.10843722818208176</v>
      </c>
      <c r="BM64" s="1227">
        <f t="shared" si="99"/>
        <v>0.10648821646784987</v>
      </c>
      <c r="BN64" s="1231">
        <f t="shared" si="99"/>
        <v>0.11046680197158597</v>
      </c>
      <c r="BO64" s="1227">
        <f t="shared" si="99"/>
        <v>0.10951008645533142</v>
      </c>
      <c r="BP64" s="1227">
        <f t="shared" si="99"/>
        <v>0.1095890410958904</v>
      </c>
      <c r="BQ64" s="1230">
        <f t="shared" si="99"/>
        <v>9.7126436781609191E-2</v>
      </c>
      <c r="BR64" s="1227">
        <f t="shared" si="99"/>
        <v>8.5155350978135785E-2</v>
      </c>
      <c r="BS64" s="1227">
        <f t="shared" si="99"/>
        <v>8.5829493087557607E-2</v>
      </c>
      <c r="BT64" s="1227">
        <f t="shared" si="99"/>
        <v>8.3452824777745918E-2</v>
      </c>
      <c r="BU64" s="1230">
        <f t="shared" si="99"/>
        <v>8.1422018348623851E-2</v>
      </c>
      <c r="BV64" s="1231">
        <f t="shared" si="99"/>
        <v>8.4735925710969245E-2</v>
      </c>
      <c r="BW64" s="1227">
        <f t="shared" si="99"/>
        <v>8.2298585041871208E-2</v>
      </c>
      <c r="BX64" s="1227">
        <f t="shared" si="99"/>
        <v>8.2411182294700056E-2</v>
      </c>
      <c r="BY64" s="1229">
        <f>BY62/BY$34</f>
        <v>8.1222707423580787E-2</v>
      </c>
      <c r="BZ64" s="1231">
        <f t="shared" si="99"/>
        <v>8.0023536334215939E-2</v>
      </c>
      <c r="CA64" s="1227">
        <f t="shared" si="99"/>
        <v>7.9834417504435248E-2</v>
      </c>
      <c r="CB64" s="1227">
        <f t="shared" ref="CB64:CI64" si="100">CB62/CB$34</f>
        <v>7.7833678603137016E-2</v>
      </c>
      <c r="CC64" s="1227">
        <f t="shared" si="100"/>
        <v>7.963800904977375E-2</v>
      </c>
      <c r="CD64" s="1231">
        <f t="shared" si="100"/>
        <v>8.1941380397100541E-2</v>
      </c>
      <c r="CE64" s="1227">
        <f t="shared" si="100"/>
        <v>8.9320388349514557E-2</v>
      </c>
      <c r="CF64" s="1227">
        <f t="shared" si="100"/>
        <v>8.9718402095612312E-2</v>
      </c>
      <c r="CG64" s="1227">
        <f t="shared" si="100"/>
        <v>9.3186372745490978E-2</v>
      </c>
      <c r="CH64" s="1231">
        <f t="shared" si="100"/>
        <v>9.4066082265677683E-2</v>
      </c>
      <c r="CI64" s="1227">
        <f t="shared" si="100"/>
        <v>9.0443686006825938E-2</v>
      </c>
      <c r="CJ64" s="1227">
        <f>CJ62/CJ$34</f>
        <v>8.6882453151618397E-2</v>
      </c>
      <c r="CK64" s="1227">
        <f>CK62/CK$34</f>
        <v>8.2787167988961713E-2</v>
      </c>
      <c r="CL64" s="1231">
        <f>CL62/CL$34</f>
        <v>7.9761068165846799E-2</v>
      </c>
      <c r="CM64" s="1400"/>
      <c r="CN64" s="1400"/>
      <c r="CO64" s="1400"/>
    </row>
    <row r="65" spans="1:93" ht="15" customHeight="1">
      <c r="A65" s="1213" t="s">
        <v>164</v>
      </c>
      <c r="B65" s="1213"/>
      <c r="C65" s="1213"/>
      <c r="D65" s="1213"/>
      <c r="E65" s="1213"/>
      <c r="F65" s="1214"/>
      <c r="G65" s="1214"/>
      <c r="H65" s="1214"/>
      <c r="I65" s="1214"/>
      <c r="J65" s="1269">
        <v>-33</v>
      </c>
      <c r="K65" s="1269">
        <f>SUM(BF65:BI65)</f>
        <v>-174</v>
      </c>
      <c r="L65" s="1269">
        <f>SUM(BJ65:BM65)</f>
        <v>-60</v>
      </c>
      <c r="M65" s="1269">
        <f>SUM(BN65:BQ65)</f>
        <v>-78</v>
      </c>
      <c r="N65" s="1269">
        <f>SUM(BR65:BU65)</f>
        <v>-106</v>
      </c>
      <c r="O65" s="1269">
        <f>SUM(BV65:BY65)</f>
        <v>-25</v>
      </c>
      <c r="P65" s="1270">
        <f>SUM(BZ65:CC65)</f>
        <v>-23</v>
      </c>
      <c r="Q65" s="1270">
        <f>SUM(CD65:CG65)</f>
        <v>-17</v>
      </c>
      <c r="R65" s="1271">
        <f>SUM(CH65:CK65)</f>
        <v>-5</v>
      </c>
      <c r="S65" s="1272">
        <f>SUM(CL65:CO65)</f>
        <v>-5</v>
      </c>
      <c r="T65" s="1400"/>
      <c r="U65" s="1400"/>
      <c r="V65" s="1400"/>
      <c r="W65" s="1400"/>
      <c r="X65" s="1214"/>
      <c r="Y65" s="1214"/>
      <c r="Z65" s="1214"/>
      <c r="AA65" s="1214"/>
      <c r="AB65" s="1214"/>
      <c r="AC65" s="1214"/>
      <c r="AD65" s="1214"/>
      <c r="AE65" s="1214"/>
      <c r="AF65" s="1214"/>
      <c r="AG65" s="1214"/>
      <c r="AH65" s="1213"/>
      <c r="AI65" s="1214"/>
      <c r="AJ65" s="1214"/>
      <c r="AK65" s="1214"/>
      <c r="AL65" s="1214"/>
      <c r="AM65" s="1214"/>
      <c r="AN65" s="1214"/>
      <c r="AO65" s="1214"/>
      <c r="AP65" s="1214"/>
      <c r="AQ65" s="1214"/>
      <c r="AR65" s="1214"/>
      <c r="AS65" s="1214"/>
      <c r="AT65" s="1214"/>
      <c r="AU65" s="1214"/>
      <c r="AV65" s="1214"/>
      <c r="AW65" s="1214"/>
      <c r="AX65" s="1214"/>
      <c r="AY65" s="1214"/>
      <c r="AZ65" s="1214"/>
      <c r="BA65" s="1214"/>
      <c r="BB65" s="1214">
        <v>97</v>
      </c>
      <c r="BC65" s="1214">
        <v>20</v>
      </c>
      <c r="BD65" s="1214">
        <v>8</v>
      </c>
      <c r="BE65" s="1214">
        <v>36</v>
      </c>
      <c r="BF65" s="1269">
        <v>-61</v>
      </c>
      <c r="BG65" s="1269">
        <v>-58</v>
      </c>
      <c r="BH65" s="1269">
        <v>-18</v>
      </c>
      <c r="BI65" s="1269">
        <v>-37</v>
      </c>
      <c r="BJ65" s="1269">
        <v>12</v>
      </c>
      <c r="BK65" s="1269">
        <v>-22</v>
      </c>
      <c r="BL65" s="1269">
        <v>4</v>
      </c>
      <c r="BM65" s="1269">
        <v>-54</v>
      </c>
      <c r="BN65" s="1273">
        <v>15</v>
      </c>
      <c r="BO65" s="1269">
        <v>-30</v>
      </c>
      <c r="BP65" s="1269">
        <v>-31</v>
      </c>
      <c r="BQ65" s="1271">
        <v>-32</v>
      </c>
      <c r="BR65" s="1274">
        <v>-28</v>
      </c>
      <c r="BS65" s="1274">
        <v>-17</v>
      </c>
      <c r="BT65" s="1274">
        <v>-42</v>
      </c>
      <c r="BU65" s="1275">
        <f>-84+65</f>
        <v>-19</v>
      </c>
      <c r="BV65" s="1276">
        <v>-5</v>
      </c>
      <c r="BW65" s="1274">
        <f>14-22</f>
        <v>-8</v>
      </c>
      <c r="BX65" s="1274">
        <v>-9</v>
      </c>
      <c r="BY65" s="1277">
        <v>-3</v>
      </c>
      <c r="BZ65" s="1276">
        <v>3</v>
      </c>
      <c r="CA65" s="1274">
        <v>-4</v>
      </c>
      <c r="CB65" s="1274">
        <v>-27</v>
      </c>
      <c r="CC65" s="1274">
        <v>5</v>
      </c>
      <c r="CD65" s="1276">
        <v>-9</v>
      </c>
      <c r="CE65" s="1274">
        <v>-2</v>
      </c>
      <c r="CF65" s="1274">
        <v>0</v>
      </c>
      <c r="CG65" s="1274">
        <v>-6</v>
      </c>
      <c r="CH65" s="1278">
        <v>0</v>
      </c>
      <c r="CI65" s="1274">
        <v>-1</v>
      </c>
      <c r="CJ65" s="1274">
        <f>3-8</f>
        <v>-5</v>
      </c>
      <c r="CK65" s="1274">
        <v>1</v>
      </c>
      <c r="CL65" s="1278">
        <v>-5</v>
      </c>
      <c r="CM65" s="1400"/>
      <c r="CN65" s="1400"/>
      <c r="CO65" s="1400"/>
    </row>
    <row r="66" spans="1:93" ht="12" customHeight="1">
      <c r="A66" s="1225" t="s">
        <v>993</v>
      </c>
      <c r="B66" s="1198"/>
      <c r="C66" s="1198"/>
      <c r="D66" s="1198"/>
      <c r="E66" s="1198"/>
      <c r="F66" s="1226"/>
      <c r="G66" s="1227"/>
      <c r="H66" s="1227"/>
      <c r="I66" s="1227"/>
      <c r="J66" s="1227"/>
      <c r="K66" s="1227">
        <f t="shared" ref="K66:S66" si="101">K65/J65-1</f>
        <v>4.2727272727272725</v>
      </c>
      <c r="L66" s="1227">
        <f t="shared" si="101"/>
        <v>-0.65517241379310343</v>
      </c>
      <c r="M66" s="1227">
        <f t="shared" si="101"/>
        <v>0.30000000000000004</v>
      </c>
      <c r="N66" s="1227">
        <f t="shared" si="101"/>
        <v>0.35897435897435903</v>
      </c>
      <c r="O66" s="1227">
        <f t="shared" si="101"/>
        <v>-0.76415094339622636</v>
      </c>
      <c r="P66" s="1229">
        <f t="shared" si="101"/>
        <v>-7.999999999999996E-2</v>
      </c>
      <c r="Q66" s="1229">
        <f t="shared" si="101"/>
        <v>-0.26086956521739135</v>
      </c>
      <c r="R66" s="1230">
        <f t="shared" si="101"/>
        <v>-0.70588235294117641</v>
      </c>
      <c r="S66" s="1241">
        <f t="shared" si="101"/>
        <v>0</v>
      </c>
      <c r="T66" s="1400"/>
      <c r="U66" s="1400"/>
      <c r="V66" s="1400"/>
      <c r="W66" s="1400"/>
      <c r="X66" s="1226"/>
      <c r="Y66" s="1226"/>
      <c r="Z66" s="1226"/>
      <c r="AA66" s="1226"/>
      <c r="AB66" s="1226"/>
      <c r="AC66" s="1226"/>
      <c r="AD66" s="1226"/>
      <c r="AE66" s="1226"/>
      <c r="AF66" s="1226"/>
      <c r="AG66" s="1226"/>
      <c r="AH66" s="1198"/>
      <c r="AI66" s="1226"/>
      <c r="AJ66" s="1226"/>
      <c r="AK66" s="1226"/>
      <c r="AL66" s="1226"/>
      <c r="AM66" s="1226"/>
      <c r="AN66" s="1226"/>
      <c r="AO66" s="1226"/>
      <c r="AP66" s="1226"/>
      <c r="AQ66" s="1227"/>
      <c r="AR66" s="1227"/>
      <c r="AS66" s="1227"/>
      <c r="AT66" s="1227"/>
      <c r="AU66" s="1227"/>
      <c r="AV66" s="1227"/>
      <c r="AW66" s="1227"/>
      <c r="AX66" s="1227"/>
      <c r="AY66" s="1227"/>
      <c r="AZ66" s="1227"/>
      <c r="BA66" s="1227"/>
      <c r="BB66" s="1227"/>
      <c r="BC66" s="1227"/>
      <c r="BD66" s="1227"/>
      <c r="BE66" s="1227"/>
      <c r="BF66" s="1227">
        <f t="shared" ref="BF66:CB66" si="102">BF65/BB65-1</f>
        <v>-1.6288659793814433</v>
      </c>
      <c r="BG66" s="1227">
        <f t="shared" si="102"/>
        <v>-3.9</v>
      </c>
      <c r="BH66" s="1227">
        <f t="shared" si="102"/>
        <v>-3.25</v>
      </c>
      <c r="BI66" s="1227">
        <f t="shared" si="102"/>
        <v>-2.0277777777777777</v>
      </c>
      <c r="BJ66" s="1227">
        <f t="shared" si="102"/>
        <v>-1.1967213114754098</v>
      </c>
      <c r="BK66" s="1227">
        <f t="shared" si="102"/>
        <v>-0.62068965517241381</v>
      </c>
      <c r="BL66" s="1227">
        <f t="shared" si="102"/>
        <v>-1.2222222222222223</v>
      </c>
      <c r="BM66" s="1227">
        <f t="shared" si="102"/>
        <v>0.45945945945945943</v>
      </c>
      <c r="BN66" s="1231">
        <f t="shared" si="102"/>
        <v>0.25</v>
      </c>
      <c r="BO66" s="1227">
        <f t="shared" si="102"/>
        <v>0.36363636363636354</v>
      </c>
      <c r="BP66" s="1227">
        <f t="shared" si="102"/>
        <v>-8.75</v>
      </c>
      <c r="BQ66" s="1230">
        <f t="shared" si="102"/>
        <v>-0.40740740740740744</v>
      </c>
      <c r="BR66" s="1227">
        <f t="shared" si="102"/>
        <v>-2.8666666666666667</v>
      </c>
      <c r="BS66" s="1227">
        <f t="shared" si="102"/>
        <v>-0.43333333333333335</v>
      </c>
      <c r="BT66" s="1227">
        <f t="shared" si="102"/>
        <v>0.35483870967741926</v>
      </c>
      <c r="BU66" s="1230">
        <f t="shared" si="102"/>
        <v>-0.40625</v>
      </c>
      <c r="BV66" s="1231">
        <f t="shared" si="102"/>
        <v>-0.8214285714285714</v>
      </c>
      <c r="BW66" s="1227">
        <f t="shared" si="102"/>
        <v>-0.52941176470588236</v>
      </c>
      <c r="BX66" s="1227">
        <f t="shared" si="102"/>
        <v>-0.7857142857142857</v>
      </c>
      <c r="BY66" s="1229">
        <f t="shared" si="102"/>
        <v>-0.84210526315789469</v>
      </c>
      <c r="BZ66" s="1231">
        <f t="shared" si="102"/>
        <v>-1.6</v>
      </c>
      <c r="CA66" s="1227">
        <f t="shared" si="102"/>
        <v>-0.5</v>
      </c>
      <c r="CB66" s="1227">
        <f t="shared" si="102"/>
        <v>2</v>
      </c>
      <c r="CC66" s="1227">
        <f t="shared" ref="CC66:CI66" si="103">CC65/BY65-1</f>
        <v>-2.666666666666667</v>
      </c>
      <c r="CD66" s="1231">
        <f t="shared" si="103"/>
        <v>-4</v>
      </c>
      <c r="CE66" s="1227">
        <f t="shared" si="103"/>
        <v>-0.5</v>
      </c>
      <c r="CF66" s="1227">
        <f t="shared" si="103"/>
        <v>-1</v>
      </c>
      <c r="CG66" s="1227">
        <f t="shared" si="103"/>
        <v>-2.2000000000000002</v>
      </c>
      <c r="CH66" s="1231">
        <f t="shared" si="103"/>
        <v>-1</v>
      </c>
      <c r="CI66" s="1229">
        <f t="shared" si="103"/>
        <v>-0.5</v>
      </c>
      <c r="CJ66" s="1279" t="s">
        <v>446</v>
      </c>
      <c r="CK66" s="1279" t="s">
        <v>446</v>
      </c>
      <c r="CL66" s="1280" t="s">
        <v>446</v>
      </c>
      <c r="CM66" s="1400"/>
      <c r="CN66" s="1400"/>
      <c r="CO66" s="1400"/>
    </row>
    <row r="67" spans="1:93" ht="12" customHeight="1">
      <c r="A67" s="1242" t="s">
        <v>158</v>
      </c>
      <c r="B67" s="1243"/>
      <c r="C67" s="1243"/>
      <c r="D67" s="1243"/>
      <c r="E67" s="1243"/>
      <c r="F67" s="1258"/>
      <c r="G67" s="1258"/>
      <c r="H67" s="1258"/>
      <c r="I67" s="1258"/>
      <c r="J67" s="1258">
        <f t="shared" ref="J67:S67" si="104">J65/J$34</f>
        <v>-2.1469000065057575E-3</v>
      </c>
      <c r="K67" s="1258">
        <f t="shared" si="104"/>
        <v>-1.2178051511758119E-2</v>
      </c>
      <c r="L67" s="1258">
        <f t="shared" si="104"/>
        <v>-4.3449923962633067E-3</v>
      </c>
      <c r="M67" s="1258">
        <f t="shared" si="104"/>
        <v>-5.6102999352657702E-3</v>
      </c>
      <c r="N67" s="1258">
        <f t="shared" si="104"/>
        <v>-7.6133017309487896E-3</v>
      </c>
      <c r="O67" s="1258">
        <f t="shared" si="104"/>
        <v>-1.814486863115111E-3</v>
      </c>
      <c r="P67" s="1258">
        <f>P65/P$34</f>
        <v>-1.7068645640074211E-3</v>
      </c>
      <c r="Q67" s="1258">
        <f>Q65/Q$34</f>
        <v>-1.3808788887986353E-3</v>
      </c>
      <c r="R67" s="1259">
        <f>R65/R$34</f>
        <v>-4.2625745950554135E-4</v>
      </c>
      <c r="S67" s="1281">
        <f t="shared" si="104"/>
        <v>-1.7568517217146872E-3</v>
      </c>
      <c r="T67" s="1400"/>
      <c r="U67" s="1400"/>
      <c r="V67" s="1400"/>
      <c r="W67" s="1400"/>
      <c r="X67" s="1226"/>
      <c r="Y67" s="1226"/>
      <c r="Z67" s="1226"/>
      <c r="AA67" s="1226"/>
      <c r="AB67" s="1226"/>
      <c r="AC67" s="1226"/>
      <c r="AD67" s="1226"/>
      <c r="AE67" s="1226"/>
      <c r="AF67" s="1226"/>
      <c r="AG67" s="1226"/>
      <c r="AH67" s="1198"/>
      <c r="AI67" s="1226"/>
      <c r="AJ67" s="1226"/>
      <c r="AK67" s="1226"/>
      <c r="AL67" s="1226"/>
      <c r="AM67" s="1226"/>
      <c r="AN67" s="1226"/>
      <c r="AO67" s="1226"/>
      <c r="AP67" s="1226"/>
      <c r="AQ67" s="1227"/>
      <c r="AR67" s="1227"/>
      <c r="AS67" s="1227"/>
      <c r="AT67" s="1227"/>
      <c r="AU67" s="1227"/>
      <c r="AV67" s="1227"/>
      <c r="AW67" s="1227"/>
      <c r="AX67" s="1227"/>
      <c r="AY67" s="1227"/>
      <c r="AZ67" s="1227"/>
      <c r="BA67" s="1227"/>
      <c r="BB67" s="1227">
        <f t="shared" ref="BB67:CA67" si="105">BB65/BB$34</f>
        <v>2.4353502385136831E-2</v>
      </c>
      <c r="BC67" s="1227">
        <f t="shared" si="105"/>
        <v>5.1137816415239073E-3</v>
      </c>
      <c r="BD67" s="1227">
        <f t="shared" si="105"/>
        <v>2.1208907741251328E-3</v>
      </c>
      <c r="BE67" s="1227">
        <f t="shared" si="105"/>
        <v>9.7165991902834013E-3</v>
      </c>
      <c r="BF67" s="1227">
        <f t="shared" si="105"/>
        <v>-1.6832229580573951E-2</v>
      </c>
      <c r="BG67" s="1227">
        <f t="shared" si="105"/>
        <v>-1.6129032258064516E-2</v>
      </c>
      <c r="BH67" s="1227">
        <f t="shared" si="105"/>
        <v>-5.0420168067226894E-3</v>
      </c>
      <c r="BI67" s="1227">
        <f t="shared" si="105"/>
        <v>-1.0577472841623786E-2</v>
      </c>
      <c r="BJ67" s="1227">
        <f t="shared" si="105"/>
        <v>3.4472852628555013E-3</v>
      </c>
      <c r="BK67" s="1227">
        <f t="shared" si="105"/>
        <v>-6.3916327716443929E-3</v>
      </c>
      <c r="BL67" s="1227">
        <f t="shared" si="105"/>
        <v>1.1597564511452595E-3</v>
      </c>
      <c r="BM67" s="1227">
        <f t="shared" si="105"/>
        <v>-1.571137620017457E-2</v>
      </c>
      <c r="BN67" s="1231">
        <f t="shared" si="105"/>
        <v>4.3490866917947233E-3</v>
      </c>
      <c r="BO67" s="1227">
        <f t="shared" si="105"/>
        <v>-8.6455331412103754E-3</v>
      </c>
      <c r="BP67" s="1227">
        <f t="shared" si="105"/>
        <v>-8.8470319634703191E-3</v>
      </c>
      <c r="BQ67" s="1230">
        <f t="shared" si="105"/>
        <v>-9.1954022988505746E-3</v>
      </c>
      <c r="BR67" s="1227">
        <f t="shared" si="105"/>
        <v>-8.0552359033371698E-3</v>
      </c>
      <c r="BS67" s="1227">
        <f t="shared" si="105"/>
        <v>-4.8963133640552992E-3</v>
      </c>
      <c r="BT67" s="1227">
        <f t="shared" si="105"/>
        <v>-1.204473759678807E-2</v>
      </c>
      <c r="BU67" s="1230">
        <f t="shared" si="105"/>
        <v>-5.4472477064220187E-3</v>
      </c>
      <c r="BV67" s="1260">
        <f t="shared" si="105"/>
        <v>-1.4509576320371445E-3</v>
      </c>
      <c r="BW67" s="1258">
        <f t="shared" si="105"/>
        <v>-2.310135720473578E-3</v>
      </c>
      <c r="BX67" s="1258">
        <f t="shared" si="105"/>
        <v>-2.6208503203261502E-3</v>
      </c>
      <c r="BY67" s="1258">
        <f>BY65/BY$34</f>
        <v>-8.7336244541484718E-4</v>
      </c>
      <c r="BZ67" s="1260">
        <f t="shared" si="105"/>
        <v>8.8261253309797002E-4</v>
      </c>
      <c r="CA67" s="1258">
        <f t="shared" si="105"/>
        <v>-1.1827321111768185E-3</v>
      </c>
      <c r="CB67" s="1258">
        <f t="shared" ref="CB67:CK67" si="106">CB65/CB$34</f>
        <v>-7.9905297425273743E-3</v>
      </c>
      <c r="CC67" s="1258">
        <f t="shared" si="106"/>
        <v>1.5082956259426848E-3</v>
      </c>
      <c r="CD67" s="1260">
        <f t="shared" si="106"/>
        <v>-2.8364323983611725E-3</v>
      </c>
      <c r="CE67" s="1258">
        <f t="shared" si="106"/>
        <v>-6.4724919093851134E-4</v>
      </c>
      <c r="CF67" s="1258">
        <f t="shared" si="106"/>
        <v>0</v>
      </c>
      <c r="CG67" s="1258">
        <f t="shared" si="106"/>
        <v>-2.004008016032064E-3</v>
      </c>
      <c r="CH67" s="1260">
        <f t="shared" si="106"/>
        <v>0</v>
      </c>
      <c r="CI67" s="1258">
        <f>CI65/CI$34</f>
        <v>-3.4129692832764505E-4</v>
      </c>
      <c r="CJ67" s="1258">
        <f>CJ65/CJ$34</f>
        <v>-1.7035775127768314E-3</v>
      </c>
      <c r="CK67" s="1258">
        <f t="shared" si="106"/>
        <v>3.4494653328734045E-4</v>
      </c>
      <c r="CL67" s="1260">
        <f>CL65/CL$34</f>
        <v>-1.7568517217146872E-3</v>
      </c>
      <c r="CM67" s="1400"/>
      <c r="CN67" s="1400"/>
      <c r="CO67" s="1400"/>
    </row>
    <row r="68" spans="1:93" ht="15" customHeight="1">
      <c r="A68" s="1213" t="s">
        <v>165</v>
      </c>
      <c r="B68" s="1213"/>
      <c r="C68" s="1213"/>
      <c r="D68" s="1213"/>
      <c r="E68" s="1213"/>
      <c r="F68" s="1214"/>
      <c r="G68" s="1214"/>
      <c r="H68" s="1214"/>
      <c r="I68" s="1214"/>
      <c r="J68" s="1269">
        <f t="shared" ref="J68:O68" si="107">J58-J62-J65</f>
        <v>-1483</v>
      </c>
      <c r="K68" s="1269">
        <f t="shared" si="107"/>
        <v>-1101</v>
      </c>
      <c r="L68" s="1269">
        <f t="shared" si="107"/>
        <v>-1002</v>
      </c>
      <c r="M68" s="1269">
        <f t="shared" si="107"/>
        <v>-450</v>
      </c>
      <c r="N68" s="1269">
        <f t="shared" si="107"/>
        <v>556</v>
      </c>
      <c r="O68" s="1269">
        <f t="shared" si="107"/>
        <v>1035</v>
      </c>
      <c r="P68" s="1270">
        <f>P58-P62-P65</f>
        <v>1147</v>
      </c>
      <c r="Q68" s="1270">
        <f>Q58-Q62-Q65</f>
        <v>1032</v>
      </c>
      <c r="R68" s="1271">
        <f>R58-R62-R65</f>
        <v>1201</v>
      </c>
      <c r="S68" s="1272">
        <f>S58-S62-S65</f>
        <v>371</v>
      </c>
      <c r="T68" s="1400"/>
      <c r="U68" s="1400"/>
      <c r="V68" s="1400"/>
      <c r="W68" s="1400"/>
      <c r="X68" s="1214"/>
      <c r="Y68" s="1214"/>
      <c r="Z68" s="1214"/>
      <c r="AA68" s="1214"/>
      <c r="AB68" s="1214"/>
      <c r="AC68" s="1214"/>
      <c r="AD68" s="1214"/>
      <c r="AE68" s="1214"/>
      <c r="AF68" s="1214"/>
      <c r="AG68" s="1214"/>
      <c r="AH68" s="1213"/>
      <c r="AI68" s="1214"/>
      <c r="AJ68" s="1214"/>
      <c r="AK68" s="1214"/>
      <c r="AL68" s="1214"/>
      <c r="AM68" s="1214"/>
      <c r="AN68" s="1214"/>
      <c r="AO68" s="1214"/>
      <c r="AP68" s="1214"/>
      <c r="AQ68" s="1214"/>
      <c r="AR68" s="1214"/>
      <c r="AS68" s="1214"/>
      <c r="AT68" s="1214"/>
      <c r="AU68" s="1214"/>
      <c r="AV68" s="1214"/>
      <c r="AW68" s="1214"/>
      <c r="AX68" s="1214"/>
      <c r="AY68" s="1214"/>
      <c r="AZ68" s="1214"/>
      <c r="BA68" s="1214"/>
      <c r="BB68" s="1214">
        <f t="shared" ref="BB68:BZ68" si="108">BB58-BB62-BB65</f>
        <v>-557</v>
      </c>
      <c r="BC68" s="1214">
        <f t="shared" si="108"/>
        <v>-755</v>
      </c>
      <c r="BD68" s="1214">
        <f t="shared" si="108"/>
        <v>-252</v>
      </c>
      <c r="BE68" s="1214">
        <f t="shared" si="108"/>
        <v>-108</v>
      </c>
      <c r="BF68" s="1269">
        <f t="shared" si="108"/>
        <v>-183</v>
      </c>
      <c r="BG68" s="1269">
        <f t="shared" si="108"/>
        <v>-192</v>
      </c>
      <c r="BH68" s="1269">
        <f t="shared" si="108"/>
        <v>-282</v>
      </c>
      <c r="BI68" s="1269">
        <f t="shared" si="108"/>
        <v>-444</v>
      </c>
      <c r="BJ68" s="1269">
        <f t="shared" si="108"/>
        <v>-298</v>
      </c>
      <c r="BK68" s="1269">
        <f t="shared" si="108"/>
        <v>-293</v>
      </c>
      <c r="BL68" s="1269">
        <f t="shared" si="108"/>
        <v>-281</v>
      </c>
      <c r="BM68" s="1269">
        <f t="shared" si="108"/>
        <v>-130</v>
      </c>
      <c r="BN68" s="1273">
        <f t="shared" si="108"/>
        <v>-196</v>
      </c>
      <c r="BO68" s="1269">
        <f t="shared" si="108"/>
        <v>-124</v>
      </c>
      <c r="BP68" s="1269">
        <f t="shared" si="108"/>
        <v>-119</v>
      </c>
      <c r="BQ68" s="1271">
        <f t="shared" si="108"/>
        <v>-11</v>
      </c>
      <c r="BR68" s="1269">
        <f t="shared" si="108"/>
        <v>107</v>
      </c>
      <c r="BS68" s="1269">
        <f t="shared" si="108"/>
        <v>135</v>
      </c>
      <c r="BT68" s="1269">
        <f t="shared" si="108"/>
        <v>194</v>
      </c>
      <c r="BU68" s="1271">
        <f t="shared" si="108"/>
        <v>120</v>
      </c>
      <c r="BV68" s="1273">
        <f t="shared" si="108"/>
        <v>272</v>
      </c>
      <c r="BW68" s="1269">
        <f t="shared" si="108"/>
        <v>257</v>
      </c>
      <c r="BX68" s="1269">
        <f t="shared" si="108"/>
        <v>258</v>
      </c>
      <c r="BY68" s="1270">
        <f t="shared" si="108"/>
        <v>248</v>
      </c>
      <c r="BZ68" s="1273">
        <f t="shared" si="108"/>
        <v>290</v>
      </c>
      <c r="CA68" s="1269">
        <f t="shared" ref="CA68:CF68" si="109">CA58-CA62-CA65</f>
        <v>300</v>
      </c>
      <c r="CB68" s="1269">
        <f t="shared" si="109"/>
        <v>248</v>
      </c>
      <c r="CC68" s="1269">
        <f>CC58-CC62-CC65</f>
        <v>309</v>
      </c>
      <c r="CD68" s="1273">
        <f t="shared" si="109"/>
        <v>321</v>
      </c>
      <c r="CE68" s="1269">
        <f>CE58-CE62-CE65</f>
        <v>240</v>
      </c>
      <c r="CF68" s="1269">
        <f t="shared" si="109"/>
        <v>238</v>
      </c>
      <c r="CG68" s="1269">
        <f t="shared" ref="CG68:CL68" si="110">CG58-CG62-CG65</f>
        <v>233</v>
      </c>
      <c r="CH68" s="1273">
        <f t="shared" si="110"/>
        <v>300</v>
      </c>
      <c r="CI68" s="1269">
        <f t="shared" si="110"/>
        <v>280</v>
      </c>
      <c r="CJ68" s="1269">
        <f t="shared" si="110"/>
        <v>318</v>
      </c>
      <c r="CK68" s="1269">
        <f t="shared" si="110"/>
        <v>303</v>
      </c>
      <c r="CL68" s="1273">
        <f t="shared" si="110"/>
        <v>371</v>
      </c>
      <c r="CM68" s="1400"/>
      <c r="CN68" s="1400"/>
      <c r="CO68" s="1400"/>
    </row>
    <row r="69" spans="1:93" ht="12" customHeight="1">
      <c r="A69" s="1225" t="s">
        <v>993</v>
      </c>
      <c r="B69" s="1198"/>
      <c r="C69" s="1198"/>
      <c r="D69" s="1198"/>
      <c r="E69" s="1198"/>
      <c r="F69" s="1226"/>
      <c r="G69" s="1227"/>
      <c r="H69" s="1227"/>
      <c r="I69" s="1227"/>
      <c r="J69" s="1227"/>
      <c r="K69" s="1227">
        <f t="shared" ref="K69:S69" si="111">K68/J68-1</f>
        <v>-0.25758597437626429</v>
      </c>
      <c r="L69" s="1227">
        <f t="shared" si="111"/>
        <v>-8.9918256130790186E-2</v>
      </c>
      <c r="M69" s="1227">
        <f t="shared" si="111"/>
        <v>-0.55089820359281438</v>
      </c>
      <c r="N69" s="1227">
        <f t="shared" si="111"/>
        <v>-2.2355555555555555</v>
      </c>
      <c r="O69" s="1227">
        <f t="shared" si="111"/>
        <v>0.86151079136690645</v>
      </c>
      <c r="P69" s="1229">
        <f>P68/O68-1</f>
        <v>0.10821256038647342</v>
      </c>
      <c r="Q69" s="1229">
        <f>Q68/P68-1</f>
        <v>-0.10026155187445507</v>
      </c>
      <c r="R69" s="1230">
        <f t="shared" si="111"/>
        <v>0.16375968992248069</v>
      </c>
      <c r="S69" s="1241">
        <f t="shared" si="111"/>
        <v>-0.69109075770191508</v>
      </c>
      <c r="T69" s="1400"/>
      <c r="U69" s="1400"/>
      <c r="V69" s="1400"/>
      <c r="W69" s="1400"/>
      <c r="X69" s="1226"/>
      <c r="Y69" s="1226"/>
      <c r="Z69" s="1226"/>
      <c r="AA69" s="1226"/>
      <c r="AB69" s="1226"/>
      <c r="AC69" s="1226"/>
      <c r="AD69" s="1226"/>
      <c r="AE69" s="1226"/>
      <c r="AF69" s="1226"/>
      <c r="AG69" s="1226"/>
      <c r="AH69" s="1198"/>
      <c r="AI69" s="1226"/>
      <c r="AJ69" s="1226"/>
      <c r="AK69" s="1226"/>
      <c r="AL69" s="1226"/>
      <c r="AM69" s="1226"/>
      <c r="AN69" s="1226"/>
      <c r="AO69" s="1226"/>
      <c r="AP69" s="1226"/>
      <c r="AQ69" s="1227"/>
      <c r="AR69" s="1227"/>
      <c r="AS69" s="1227"/>
      <c r="AT69" s="1227"/>
      <c r="AU69" s="1227"/>
      <c r="AV69" s="1227"/>
      <c r="AW69" s="1227"/>
      <c r="AX69" s="1227"/>
      <c r="AY69" s="1227"/>
      <c r="AZ69" s="1227"/>
      <c r="BA69" s="1227"/>
      <c r="BB69" s="1227"/>
      <c r="BC69" s="1227"/>
      <c r="BD69" s="1227"/>
      <c r="BE69" s="1227"/>
      <c r="BF69" s="1227">
        <f t="shared" ref="BF69:CB69" si="112">BF68/BB68-1</f>
        <v>-0.6714542190305206</v>
      </c>
      <c r="BG69" s="1227">
        <f t="shared" si="112"/>
        <v>-0.74569536423841054</v>
      </c>
      <c r="BH69" s="1227">
        <f t="shared" si="112"/>
        <v>0.11904761904761907</v>
      </c>
      <c r="BI69" s="1227">
        <f t="shared" si="112"/>
        <v>3.1111111111111107</v>
      </c>
      <c r="BJ69" s="1227">
        <f t="shared" si="112"/>
        <v>0.62841530054644812</v>
      </c>
      <c r="BK69" s="1227">
        <f t="shared" si="112"/>
        <v>0.52604166666666674</v>
      </c>
      <c r="BL69" s="1227">
        <f t="shared" si="112"/>
        <v>-3.5460992907800915E-3</v>
      </c>
      <c r="BM69" s="1227">
        <f t="shared" si="112"/>
        <v>-0.7072072072072072</v>
      </c>
      <c r="BN69" s="1231">
        <f t="shared" si="112"/>
        <v>-0.34228187919463082</v>
      </c>
      <c r="BO69" s="1227">
        <f t="shared" si="112"/>
        <v>-0.57679180887372006</v>
      </c>
      <c r="BP69" s="1227">
        <f t="shared" si="112"/>
        <v>-0.57651245551601416</v>
      </c>
      <c r="BQ69" s="1230">
        <f t="shared" si="112"/>
        <v>-0.91538461538461535</v>
      </c>
      <c r="BR69" s="1227">
        <f t="shared" si="112"/>
        <v>-1.5459183673469388</v>
      </c>
      <c r="BS69" s="1227">
        <f t="shared" si="112"/>
        <v>-2.088709677419355</v>
      </c>
      <c r="BT69" s="1227">
        <f t="shared" si="112"/>
        <v>-2.6302521008403361</v>
      </c>
      <c r="BU69" s="1230">
        <f t="shared" si="112"/>
        <v>-11.909090909090908</v>
      </c>
      <c r="BV69" s="1231">
        <f t="shared" si="112"/>
        <v>1.542056074766355</v>
      </c>
      <c r="BW69" s="1227">
        <f t="shared" si="112"/>
        <v>0.90370370370370368</v>
      </c>
      <c r="BX69" s="1227">
        <f t="shared" si="112"/>
        <v>0.32989690721649478</v>
      </c>
      <c r="BY69" s="1229">
        <f t="shared" si="112"/>
        <v>1.0666666666666669</v>
      </c>
      <c r="BZ69" s="1231">
        <f t="shared" si="112"/>
        <v>6.6176470588235281E-2</v>
      </c>
      <c r="CA69" s="1227">
        <f t="shared" si="112"/>
        <v>0.16731517509727634</v>
      </c>
      <c r="CB69" s="1227">
        <f t="shared" si="112"/>
        <v>-3.8759689922480578E-2</v>
      </c>
      <c r="CC69" s="1227">
        <f t="shared" ref="CC69:CK69" si="113">CC68/BY68-1</f>
        <v>0.24596774193548376</v>
      </c>
      <c r="CD69" s="1231">
        <f t="shared" si="113"/>
        <v>0.10689655172413803</v>
      </c>
      <c r="CE69" s="1227">
        <f t="shared" si="113"/>
        <v>-0.19999999999999996</v>
      </c>
      <c r="CF69" s="1227">
        <f t="shared" si="113"/>
        <v>-4.0322580645161255E-2</v>
      </c>
      <c r="CG69" s="1227">
        <f t="shared" si="113"/>
        <v>-0.24595469255663427</v>
      </c>
      <c r="CH69" s="1231">
        <f t="shared" si="113"/>
        <v>-6.5420560747663559E-2</v>
      </c>
      <c r="CI69" s="1227">
        <f t="shared" si="113"/>
        <v>0.16666666666666674</v>
      </c>
      <c r="CJ69" s="1227">
        <f t="shared" si="113"/>
        <v>0.33613445378151252</v>
      </c>
      <c r="CK69" s="1227">
        <f t="shared" si="113"/>
        <v>0.3004291845493563</v>
      </c>
      <c r="CL69" s="1231">
        <f>CL68/CH68-1</f>
        <v>0.23666666666666658</v>
      </c>
      <c r="CM69" s="1400"/>
      <c r="CN69" s="1400"/>
      <c r="CO69" s="1400"/>
    </row>
    <row r="70" spans="1:93" ht="12" customHeight="1">
      <c r="A70" s="1225" t="s">
        <v>158</v>
      </c>
      <c r="B70" s="1198"/>
      <c r="C70" s="1198"/>
      <c r="D70" s="1198"/>
      <c r="E70" s="1198"/>
      <c r="F70" s="1227"/>
      <c r="G70" s="1227"/>
      <c r="H70" s="1227"/>
      <c r="I70" s="1227"/>
      <c r="J70" s="1227">
        <f t="shared" ref="J70:S70" si="114">J68/J$34</f>
        <v>-9.6480385140849653E-2</v>
      </c>
      <c r="K70" s="1227">
        <f t="shared" si="114"/>
        <v>-7.7057670772676376E-2</v>
      </c>
      <c r="L70" s="1227">
        <f t="shared" si="114"/>
        <v>-7.2561373017597214E-2</v>
      </c>
      <c r="M70" s="1227">
        <f t="shared" si="114"/>
        <v>-3.2367115011148674E-2</v>
      </c>
      <c r="N70" s="1227">
        <f t="shared" si="114"/>
        <v>3.993392228686346E-2</v>
      </c>
      <c r="O70" s="1227">
        <f t="shared" si="114"/>
        <v>7.5119756132965593E-2</v>
      </c>
      <c r="P70" s="1229">
        <f>P68/P$34</f>
        <v>8.5120593692022267E-2</v>
      </c>
      <c r="Q70" s="1229">
        <f>Q68/Q$34</f>
        <v>8.3827471367070097E-2</v>
      </c>
      <c r="R70" s="1230">
        <f t="shared" si="114"/>
        <v>0.10238704177323103</v>
      </c>
      <c r="S70" s="1241">
        <f t="shared" si="114"/>
        <v>0.13035839775122979</v>
      </c>
      <c r="T70" s="1400"/>
      <c r="U70" s="1400"/>
      <c r="V70" s="1400"/>
      <c r="W70" s="1400"/>
      <c r="X70" s="1226"/>
      <c r="Y70" s="1226"/>
      <c r="Z70" s="1226"/>
      <c r="AA70" s="1226"/>
      <c r="AB70" s="1226"/>
      <c r="AC70" s="1226"/>
      <c r="AD70" s="1226"/>
      <c r="AE70" s="1226"/>
      <c r="AF70" s="1226"/>
      <c r="AG70" s="1226"/>
      <c r="AH70" s="1198"/>
      <c r="AI70" s="1226"/>
      <c r="AJ70" s="1226"/>
      <c r="AK70" s="1226"/>
      <c r="AL70" s="1226"/>
      <c r="AM70" s="1226"/>
      <c r="AN70" s="1226"/>
      <c r="AO70" s="1226"/>
      <c r="AP70" s="1226"/>
      <c r="AQ70" s="1227"/>
      <c r="AR70" s="1227"/>
      <c r="AS70" s="1227"/>
      <c r="AT70" s="1227"/>
      <c r="AU70" s="1227"/>
      <c r="AV70" s="1227"/>
      <c r="AW70" s="1227"/>
      <c r="AX70" s="1227"/>
      <c r="AY70" s="1227"/>
      <c r="AZ70" s="1227"/>
      <c r="BA70" s="1227"/>
      <c r="BB70" s="1227">
        <f t="shared" ref="BB70:BZ70" si="115">BB68/BB$34</f>
        <v>-0.13984433843836305</v>
      </c>
      <c r="BC70" s="1227">
        <f t="shared" si="115"/>
        <v>-0.19304525696752747</v>
      </c>
      <c r="BD70" s="1227">
        <f t="shared" si="115"/>
        <v>-6.6808059384941679E-2</v>
      </c>
      <c r="BE70" s="1227">
        <f t="shared" si="115"/>
        <v>-2.9149797570850202E-2</v>
      </c>
      <c r="BF70" s="1227">
        <f t="shared" si="115"/>
        <v>-5.0496688741721855E-2</v>
      </c>
      <c r="BG70" s="1227">
        <f t="shared" si="115"/>
        <v>-5.3392658509454953E-2</v>
      </c>
      <c r="BH70" s="1227">
        <f t="shared" si="115"/>
        <v>-7.8991596638655459E-2</v>
      </c>
      <c r="BI70" s="1227">
        <f t="shared" si="115"/>
        <v>-0.12692967409948541</v>
      </c>
      <c r="BJ70" s="1227">
        <f t="shared" si="115"/>
        <v>-8.5607584027578287E-2</v>
      </c>
      <c r="BK70" s="1227">
        <f t="shared" si="115"/>
        <v>-8.5124927367809411E-2</v>
      </c>
      <c r="BL70" s="1227">
        <f t="shared" si="115"/>
        <v>-8.1472890692954478E-2</v>
      </c>
      <c r="BM70" s="1227">
        <f t="shared" si="115"/>
        <v>-3.7823683444864704E-2</v>
      </c>
      <c r="BN70" s="1231">
        <f t="shared" si="115"/>
        <v>-5.6828066106117715E-2</v>
      </c>
      <c r="BO70" s="1227">
        <f t="shared" si="115"/>
        <v>-3.5734870317002884E-2</v>
      </c>
      <c r="BP70" s="1227">
        <f t="shared" si="115"/>
        <v>-3.3961187214611874E-2</v>
      </c>
      <c r="BQ70" s="1230">
        <f t="shared" si="115"/>
        <v>-3.160919540229885E-3</v>
      </c>
      <c r="BR70" s="1227">
        <f t="shared" si="115"/>
        <v>3.0782508630609898E-2</v>
      </c>
      <c r="BS70" s="1227">
        <f t="shared" si="115"/>
        <v>3.8882488479262671E-2</v>
      </c>
      <c r="BT70" s="1227">
        <f t="shared" si="115"/>
        <v>5.5635216518497274E-2</v>
      </c>
      <c r="BU70" s="1230">
        <f t="shared" si="115"/>
        <v>3.4403669724770644E-2</v>
      </c>
      <c r="BV70" s="1231">
        <f t="shared" si="115"/>
        <v>7.8932095182820655E-2</v>
      </c>
      <c r="BW70" s="1227">
        <f t="shared" si="115"/>
        <v>7.4213110020213691E-2</v>
      </c>
      <c r="BX70" s="1227">
        <f t="shared" si="115"/>
        <v>7.5131042516016308E-2</v>
      </c>
      <c r="BY70" s="1229">
        <f>BY68/BY$34</f>
        <v>7.2197962154294026E-2</v>
      </c>
      <c r="BZ70" s="1231">
        <f t="shared" si="115"/>
        <v>8.5319211532803765E-2</v>
      </c>
      <c r="CA70" s="1227">
        <f t="shared" ref="CA70:CF70" si="116">CA68/CA$34</f>
        <v>8.870490833826139E-2</v>
      </c>
      <c r="CB70" s="1227">
        <f t="shared" si="116"/>
        <v>7.3394495412844041E-2</v>
      </c>
      <c r="CC70" s="1227">
        <f t="shared" si="116"/>
        <v>9.321266968325792E-2</v>
      </c>
      <c r="CD70" s="1231">
        <f t="shared" si="116"/>
        <v>0.10116608887488182</v>
      </c>
      <c r="CE70" s="1227">
        <f>CE68/CE$34</f>
        <v>7.7669902912621352E-2</v>
      </c>
      <c r="CF70" s="1227">
        <f t="shared" si="116"/>
        <v>7.7930582842174204E-2</v>
      </c>
      <c r="CG70" s="1227">
        <f t="shared" ref="CG70:CL70" si="117">CG68/CG$34</f>
        <v>7.7822311289245161E-2</v>
      </c>
      <c r="CH70" s="1231">
        <f t="shared" si="117"/>
        <v>0.10114632501685772</v>
      </c>
      <c r="CI70" s="1227">
        <f t="shared" si="117"/>
        <v>9.556313993174062E-2</v>
      </c>
      <c r="CJ70" s="1227">
        <f t="shared" si="117"/>
        <v>0.10834752981260648</v>
      </c>
      <c r="CK70" s="1227">
        <f t="shared" si="117"/>
        <v>0.10451879958606416</v>
      </c>
      <c r="CL70" s="1231">
        <f t="shared" si="117"/>
        <v>0.13035839775122979</v>
      </c>
      <c r="CM70" s="1400"/>
      <c r="CN70" s="1400"/>
      <c r="CO70" s="1400"/>
    </row>
    <row r="71" spans="1:93" ht="12" hidden="1" customHeight="1" outlineLevel="1">
      <c r="A71" s="1198" t="s">
        <v>166</v>
      </c>
      <c r="B71" s="1198"/>
      <c r="C71" s="1198"/>
      <c r="D71" s="1198"/>
      <c r="E71" s="1198"/>
      <c r="F71" s="1198"/>
      <c r="G71" s="1198"/>
      <c r="H71" s="1226"/>
      <c r="I71" s="1226"/>
      <c r="J71" s="1248">
        <f t="shared" ref="J71:S71" si="118">J68+J55</f>
        <v>-904</v>
      </c>
      <c r="K71" s="1248">
        <f t="shared" si="118"/>
        <v>-673</v>
      </c>
      <c r="L71" s="1248">
        <f t="shared" si="118"/>
        <v>-505</v>
      </c>
      <c r="M71" s="1248">
        <f t="shared" si="118"/>
        <v>3</v>
      </c>
      <c r="N71" s="1248">
        <f t="shared" si="118"/>
        <v>945</v>
      </c>
      <c r="O71" s="1248">
        <f t="shared" si="118"/>
        <v>1263</v>
      </c>
      <c r="P71" s="1282">
        <f>P68+P55</f>
        <v>1381</v>
      </c>
      <c r="Q71" s="1282">
        <f>Q68+Q55</f>
        <v>1272</v>
      </c>
      <c r="R71" s="1250">
        <f t="shared" si="118"/>
        <v>1452</v>
      </c>
      <c r="S71" s="1248">
        <f t="shared" si="118"/>
        <v>429</v>
      </c>
      <c r="T71" s="1400"/>
      <c r="U71" s="1400"/>
      <c r="V71" s="1400"/>
      <c r="W71" s="1400"/>
      <c r="X71" s="1226"/>
      <c r="Y71" s="1226"/>
      <c r="Z71" s="1226"/>
      <c r="AA71" s="1226"/>
      <c r="AB71" s="1226"/>
      <c r="AC71" s="1226"/>
      <c r="AD71" s="1226"/>
      <c r="AE71" s="1226"/>
      <c r="AF71" s="1226"/>
      <c r="AG71" s="1226"/>
      <c r="AH71" s="1198"/>
      <c r="AI71" s="1226"/>
      <c r="AJ71" s="1226"/>
      <c r="AK71" s="1226"/>
      <c r="AL71" s="1226"/>
      <c r="AM71" s="1226"/>
      <c r="AN71" s="1226"/>
      <c r="AO71" s="1226"/>
      <c r="AP71" s="1226"/>
      <c r="AQ71" s="1227"/>
      <c r="AR71" s="1227"/>
      <c r="AS71" s="1227"/>
      <c r="AT71" s="1227"/>
      <c r="AU71" s="1227"/>
      <c r="AV71" s="1227"/>
      <c r="AW71" s="1227"/>
      <c r="AX71" s="1226"/>
      <c r="AY71" s="1226"/>
      <c r="AZ71" s="1226"/>
      <c r="BA71" s="1226"/>
      <c r="BB71" s="1226">
        <f t="shared" ref="BB71:BQ71" si="119">BB68+BB55</f>
        <v>-384</v>
      </c>
      <c r="BC71" s="1226">
        <f t="shared" si="119"/>
        <v>-563</v>
      </c>
      <c r="BD71" s="1226">
        <f t="shared" si="119"/>
        <v>-148</v>
      </c>
      <c r="BE71" s="1226">
        <f t="shared" si="119"/>
        <v>-100</v>
      </c>
      <c r="BF71" s="1248">
        <f t="shared" si="119"/>
        <v>-74</v>
      </c>
      <c r="BG71" s="1248">
        <f t="shared" si="119"/>
        <v>-80</v>
      </c>
      <c r="BH71" s="1248">
        <f t="shared" si="119"/>
        <v>-163</v>
      </c>
      <c r="BI71" s="1248">
        <f t="shared" si="119"/>
        <v>-356</v>
      </c>
      <c r="BJ71" s="1248">
        <f t="shared" si="119"/>
        <v>-175</v>
      </c>
      <c r="BK71" s="1248">
        <f t="shared" si="119"/>
        <v>-169</v>
      </c>
      <c r="BL71" s="1248">
        <f t="shared" si="119"/>
        <v>-161</v>
      </c>
      <c r="BM71" s="1248">
        <f t="shared" si="119"/>
        <v>0</v>
      </c>
      <c r="BN71" s="1249">
        <f t="shared" si="119"/>
        <v>-75</v>
      </c>
      <c r="BO71" s="1248">
        <f t="shared" si="119"/>
        <v>-8</v>
      </c>
      <c r="BP71" s="1248">
        <f t="shared" si="119"/>
        <v>-10</v>
      </c>
      <c r="BQ71" s="1250">
        <f t="shared" si="119"/>
        <v>96</v>
      </c>
      <c r="BR71" s="1248"/>
      <c r="BS71" s="1248"/>
      <c r="BT71" s="1248"/>
      <c r="BU71" s="1250"/>
      <c r="BV71" s="1249"/>
      <c r="BW71" s="1248"/>
      <c r="BX71" s="1248"/>
      <c r="BY71" s="1282"/>
      <c r="BZ71" s="1249"/>
      <c r="CA71" s="1248"/>
      <c r="CB71" s="1248"/>
      <c r="CC71" s="1248"/>
      <c r="CD71" s="1249"/>
      <c r="CE71" s="1248"/>
      <c r="CF71" s="1248"/>
      <c r="CG71" s="1248"/>
      <c r="CH71" s="1249"/>
      <c r="CI71" s="1248"/>
      <c r="CJ71" s="1248"/>
      <c r="CK71" s="1248"/>
      <c r="CL71" s="1249"/>
      <c r="CM71" s="1400"/>
      <c r="CN71" s="1400"/>
      <c r="CO71" s="1400"/>
    </row>
    <row r="72" spans="1:93" ht="12" hidden="1" customHeight="1" outlineLevel="1">
      <c r="A72" s="1225" t="s">
        <v>993</v>
      </c>
      <c r="B72" s="1198"/>
      <c r="C72" s="1198"/>
      <c r="D72" s="1198"/>
      <c r="E72" s="1198"/>
      <c r="F72" s="1226"/>
      <c r="G72" s="1227"/>
      <c r="H72" s="1227"/>
      <c r="I72" s="1227"/>
      <c r="J72" s="1227"/>
      <c r="K72" s="1227">
        <f t="shared" ref="K72:S72" si="120">K71/J71-1</f>
        <v>-0.25553097345132747</v>
      </c>
      <c r="L72" s="1227">
        <f t="shared" si="120"/>
        <v>-0.24962852897473997</v>
      </c>
      <c r="M72" s="1227">
        <f t="shared" si="120"/>
        <v>-1.0059405940594059</v>
      </c>
      <c r="N72" s="1227">
        <f t="shared" si="120"/>
        <v>314</v>
      </c>
      <c r="O72" s="1227">
        <f t="shared" si="120"/>
        <v>0.33650793650793642</v>
      </c>
      <c r="P72" s="1229">
        <f>P71/O71-1</f>
        <v>9.3428345209817909E-2</v>
      </c>
      <c r="Q72" s="1229">
        <f>Q71/P71-1</f>
        <v>-7.8928312816799462E-2</v>
      </c>
      <c r="R72" s="1230">
        <f t="shared" si="120"/>
        <v>0.14150943396226423</v>
      </c>
      <c r="S72" s="1227">
        <f t="shared" si="120"/>
        <v>-0.70454545454545459</v>
      </c>
      <c r="T72" s="1400"/>
      <c r="U72" s="1400"/>
      <c r="V72" s="1400"/>
      <c r="W72" s="1400"/>
      <c r="X72" s="1226"/>
      <c r="Y72" s="1226"/>
      <c r="Z72" s="1226"/>
      <c r="AA72" s="1226"/>
      <c r="AB72" s="1226"/>
      <c r="AC72" s="1226"/>
      <c r="AD72" s="1226"/>
      <c r="AE72" s="1226"/>
      <c r="AF72" s="1226"/>
      <c r="AG72" s="1226"/>
      <c r="AH72" s="1198"/>
      <c r="AI72" s="1226"/>
      <c r="AJ72" s="1226"/>
      <c r="AK72" s="1226"/>
      <c r="AL72" s="1226"/>
      <c r="AM72" s="1226"/>
      <c r="AN72" s="1226"/>
      <c r="AO72" s="1226"/>
      <c r="AP72" s="1226"/>
      <c r="AQ72" s="1227"/>
      <c r="AR72" s="1227"/>
      <c r="AS72" s="1227"/>
      <c r="AT72" s="1227"/>
      <c r="AU72" s="1227"/>
      <c r="AV72" s="1227"/>
      <c r="AW72" s="1227"/>
      <c r="AX72" s="1227"/>
      <c r="AY72" s="1227"/>
      <c r="AZ72" s="1227"/>
      <c r="BA72" s="1227"/>
      <c r="BB72" s="1227"/>
      <c r="BC72" s="1227"/>
      <c r="BD72" s="1227"/>
      <c r="BE72" s="1227"/>
      <c r="BF72" s="1227">
        <f t="shared" ref="BF72:BP72" si="121">BF71/BB71-1</f>
        <v>-0.80729166666666663</v>
      </c>
      <c r="BG72" s="1227">
        <f t="shared" si="121"/>
        <v>-0.8579040852575488</v>
      </c>
      <c r="BH72" s="1227">
        <f t="shared" si="121"/>
        <v>0.10135135135135132</v>
      </c>
      <c r="BI72" s="1227">
        <f t="shared" si="121"/>
        <v>2.56</v>
      </c>
      <c r="BJ72" s="1227">
        <f t="shared" si="121"/>
        <v>1.3648648648648649</v>
      </c>
      <c r="BK72" s="1227">
        <f t="shared" si="121"/>
        <v>1.1124999999999998</v>
      </c>
      <c r="BL72" s="1227">
        <f t="shared" si="121"/>
        <v>-1.2269938650306789E-2</v>
      </c>
      <c r="BM72" s="1227">
        <f t="shared" si="121"/>
        <v>-1</v>
      </c>
      <c r="BN72" s="1231">
        <f t="shared" si="121"/>
        <v>-0.5714285714285714</v>
      </c>
      <c r="BO72" s="1227">
        <f t="shared" si="121"/>
        <v>-0.9526627218934911</v>
      </c>
      <c r="BP72" s="1227">
        <f t="shared" si="121"/>
        <v>-0.93788819875776397</v>
      </c>
      <c r="BQ72" s="1230"/>
      <c r="BR72" s="1227"/>
      <c r="BS72" s="1227"/>
      <c r="BT72" s="1227"/>
      <c r="BU72" s="1230"/>
      <c r="BV72" s="1231"/>
      <c r="BW72" s="1227"/>
      <c r="BX72" s="1227"/>
      <c r="BY72" s="1229"/>
      <c r="BZ72" s="1231"/>
      <c r="CA72" s="1227"/>
      <c r="CB72" s="1227"/>
      <c r="CC72" s="1227"/>
      <c r="CD72" s="1231"/>
      <c r="CE72" s="1227"/>
      <c r="CF72" s="1227"/>
      <c r="CG72" s="1227"/>
      <c r="CH72" s="1231"/>
      <c r="CI72" s="1227"/>
      <c r="CJ72" s="1227"/>
      <c r="CK72" s="1227"/>
      <c r="CL72" s="1231"/>
      <c r="CM72" s="1400"/>
      <c r="CN72" s="1400"/>
      <c r="CO72" s="1400"/>
    </row>
    <row r="73" spans="1:93" ht="12" hidden="1" customHeight="1" outlineLevel="1">
      <c r="A73" s="1225" t="s">
        <v>158</v>
      </c>
      <c r="B73" s="1198"/>
      <c r="C73" s="1198"/>
      <c r="D73" s="1198"/>
      <c r="E73" s="1198"/>
      <c r="F73" s="1227"/>
      <c r="G73" s="1227"/>
      <c r="H73" s="1227"/>
      <c r="I73" s="1227"/>
      <c r="J73" s="1227">
        <f t="shared" ref="J73:S73" si="122">J71/J$34</f>
        <v>-5.8812048663066815E-2</v>
      </c>
      <c r="K73" s="1227">
        <f t="shared" si="122"/>
        <v>-4.7102463605823069E-2</v>
      </c>
      <c r="L73" s="1227">
        <f t="shared" si="122"/>
        <v>-3.6570352668549494E-2</v>
      </c>
      <c r="M73" s="1227">
        <f t="shared" si="122"/>
        <v>2.1578076674099114E-4</v>
      </c>
      <c r="N73" s="1227">
        <f t="shared" si="122"/>
        <v>6.7873303167420809E-2</v>
      </c>
      <c r="O73" s="1227">
        <f t="shared" si="122"/>
        <v>9.1667876324575404E-2</v>
      </c>
      <c r="P73" s="1229">
        <f>P71/P$34</f>
        <v>0.1024860853432282</v>
      </c>
      <c r="Q73" s="1229">
        <f>Q71/Q$34</f>
        <v>0.10332223215010966</v>
      </c>
      <c r="R73" s="1230">
        <f t="shared" si="122"/>
        <v>0.12378516624040921</v>
      </c>
      <c r="S73" s="1227">
        <f t="shared" si="122"/>
        <v>0.15073787772312017</v>
      </c>
      <c r="T73" s="1400"/>
      <c r="U73" s="1400"/>
      <c r="V73" s="1400"/>
      <c r="W73" s="1400"/>
      <c r="X73" s="1226"/>
      <c r="Y73" s="1226"/>
      <c r="Z73" s="1226"/>
      <c r="AA73" s="1226"/>
      <c r="AB73" s="1226"/>
      <c r="AC73" s="1226"/>
      <c r="AD73" s="1226"/>
      <c r="AE73" s="1226"/>
      <c r="AF73" s="1226"/>
      <c r="AG73" s="1226"/>
      <c r="AH73" s="1198"/>
      <c r="AI73" s="1226"/>
      <c r="AJ73" s="1226"/>
      <c r="AK73" s="1226"/>
      <c r="AL73" s="1226"/>
      <c r="AM73" s="1226"/>
      <c r="AN73" s="1226"/>
      <c r="AO73" s="1226"/>
      <c r="AP73" s="1226"/>
      <c r="AQ73" s="1227"/>
      <c r="AR73" s="1227"/>
      <c r="AS73" s="1227"/>
      <c r="AT73" s="1227"/>
      <c r="AU73" s="1227"/>
      <c r="AV73" s="1227"/>
      <c r="AW73" s="1227"/>
      <c r="AX73" s="1227"/>
      <c r="AY73" s="1227"/>
      <c r="AZ73" s="1227"/>
      <c r="BA73" s="1227"/>
      <c r="BB73" s="1227">
        <f t="shared" ref="BB73:BQ73" si="123">BB71/BB$34</f>
        <v>-9.6409741400954055E-2</v>
      </c>
      <c r="BC73" s="1227">
        <f t="shared" si="123"/>
        <v>-0.14395295320889798</v>
      </c>
      <c r="BD73" s="1227">
        <f t="shared" si="123"/>
        <v>-3.9236479321314952E-2</v>
      </c>
      <c r="BE73" s="1227">
        <f t="shared" si="123"/>
        <v>-2.6990553306342781E-2</v>
      </c>
      <c r="BF73" s="1227">
        <f t="shared" si="123"/>
        <v>-2.0419426048565122E-2</v>
      </c>
      <c r="BG73" s="1227">
        <f t="shared" si="123"/>
        <v>-2.224694104560623E-2</v>
      </c>
      <c r="BH73" s="1227">
        <f t="shared" si="123"/>
        <v>-4.5658263305322126E-2</v>
      </c>
      <c r="BI73" s="1227">
        <f t="shared" si="123"/>
        <v>-0.1017724413950829</v>
      </c>
      <c r="BJ73" s="1227">
        <f t="shared" si="123"/>
        <v>-5.0272910083309391E-2</v>
      </c>
      <c r="BK73" s="1227">
        <f t="shared" si="123"/>
        <v>-4.9099360836722838E-2</v>
      </c>
      <c r="BL73" s="1227">
        <f t="shared" si="123"/>
        <v>-4.6680197158596698E-2</v>
      </c>
      <c r="BM73" s="1227">
        <f t="shared" si="123"/>
        <v>0</v>
      </c>
      <c r="BN73" s="1231">
        <f t="shared" si="123"/>
        <v>-2.1745433458973614E-2</v>
      </c>
      <c r="BO73" s="1227">
        <f t="shared" si="123"/>
        <v>-2.3054755043227667E-3</v>
      </c>
      <c r="BP73" s="1227">
        <f t="shared" si="123"/>
        <v>-2.8538812785388126E-3</v>
      </c>
      <c r="BQ73" s="1230">
        <f t="shared" si="123"/>
        <v>2.7586206896551724E-2</v>
      </c>
      <c r="BR73" s="1227"/>
      <c r="BS73" s="1227"/>
      <c r="BT73" s="1227"/>
      <c r="BU73" s="1230"/>
      <c r="BV73" s="1231"/>
      <c r="BW73" s="1227"/>
      <c r="BX73" s="1227"/>
      <c r="BY73" s="1229"/>
      <c r="BZ73" s="1231"/>
      <c r="CA73" s="1227"/>
      <c r="CB73" s="1227"/>
      <c r="CC73" s="1227"/>
      <c r="CD73" s="1231"/>
      <c r="CE73" s="1227"/>
      <c r="CF73" s="1227"/>
      <c r="CG73" s="1227"/>
      <c r="CH73" s="1231"/>
      <c r="CI73" s="1227"/>
      <c r="CJ73" s="1227"/>
      <c r="CK73" s="1227"/>
      <c r="CL73" s="1231"/>
      <c r="CM73" s="1400"/>
      <c r="CN73" s="1400"/>
      <c r="CO73" s="1400"/>
    </row>
    <row r="74" spans="1:93" ht="7.5" customHeight="1" collapsed="1">
      <c r="A74" s="1225"/>
      <c r="B74" s="1198"/>
      <c r="C74" s="1198"/>
      <c r="D74" s="1198"/>
      <c r="E74" s="1198"/>
      <c r="F74" s="1227"/>
      <c r="G74" s="1227"/>
      <c r="H74" s="1227"/>
      <c r="I74" s="1227"/>
      <c r="J74" s="1227"/>
      <c r="K74" s="1269"/>
      <c r="L74" s="1227"/>
      <c r="M74" s="1227"/>
      <c r="N74" s="1227"/>
      <c r="O74" s="1227"/>
      <c r="P74" s="1229"/>
      <c r="Q74" s="1229"/>
      <c r="R74" s="1230"/>
      <c r="S74" s="1227"/>
      <c r="T74" s="1400"/>
      <c r="U74" s="1400"/>
      <c r="V74" s="1400"/>
      <c r="W74" s="1400"/>
      <c r="X74" s="1226"/>
      <c r="Y74" s="1226"/>
      <c r="Z74" s="1226"/>
      <c r="AA74" s="1226"/>
      <c r="AB74" s="1226"/>
      <c r="AC74" s="1226"/>
      <c r="AD74" s="1226"/>
      <c r="AE74" s="1226"/>
      <c r="AF74" s="1226"/>
      <c r="AG74" s="1226"/>
      <c r="AH74" s="1198"/>
      <c r="AI74" s="1226"/>
      <c r="AJ74" s="1226"/>
      <c r="AK74" s="1226"/>
      <c r="AL74" s="1226"/>
      <c r="AM74" s="1226"/>
      <c r="AN74" s="1226"/>
      <c r="AO74" s="1226"/>
      <c r="AP74" s="1226"/>
      <c r="AQ74" s="1227"/>
      <c r="AR74" s="1227"/>
      <c r="AS74" s="1227"/>
      <c r="AT74" s="1227"/>
      <c r="AU74" s="1227"/>
      <c r="AV74" s="1227"/>
      <c r="AW74" s="1227"/>
      <c r="AX74" s="1227"/>
      <c r="AY74" s="1227"/>
      <c r="AZ74" s="1226"/>
      <c r="BA74" s="1227"/>
      <c r="BB74" s="1227"/>
      <c r="BC74" s="1227"/>
      <c r="BD74" s="1227"/>
      <c r="BE74" s="1227"/>
      <c r="BF74" s="1227"/>
      <c r="BG74" s="1227"/>
      <c r="BH74" s="1227"/>
      <c r="BI74" s="1227"/>
      <c r="BJ74" s="1227"/>
      <c r="BK74" s="1227"/>
      <c r="BL74" s="1227"/>
      <c r="BM74" s="1227"/>
      <c r="BN74" s="1231"/>
      <c r="BO74" s="1227"/>
      <c r="BP74" s="1227"/>
      <c r="BQ74" s="1230"/>
      <c r="BR74" s="1227"/>
      <c r="BS74" s="1227"/>
      <c r="BT74" s="1227"/>
      <c r="BU74" s="1230"/>
      <c r="BV74" s="1231"/>
      <c r="BW74" s="1227"/>
      <c r="BX74" s="1227"/>
      <c r="BY74" s="1229"/>
      <c r="BZ74" s="1231"/>
      <c r="CA74" s="1227"/>
      <c r="CB74" s="1227"/>
      <c r="CC74" s="1227"/>
      <c r="CD74" s="1231"/>
      <c r="CE74" s="1227"/>
      <c r="CF74" s="1227"/>
      <c r="CG74" s="1227"/>
      <c r="CH74" s="1231"/>
      <c r="CI74" s="1227"/>
      <c r="CJ74" s="1227"/>
      <c r="CK74" s="1227"/>
      <c r="CL74" s="1231"/>
      <c r="CM74" s="1400"/>
      <c r="CN74" s="1400"/>
      <c r="CO74" s="1400"/>
    </row>
    <row r="75" spans="1:93" ht="15" customHeight="1">
      <c r="A75" s="1224" t="s">
        <v>167</v>
      </c>
      <c r="B75" s="1199"/>
      <c r="C75" s="1199"/>
      <c r="D75" s="1199"/>
      <c r="E75" s="1199"/>
      <c r="F75" s="1266"/>
      <c r="G75" s="1266"/>
      <c r="H75" s="1266"/>
      <c r="I75" s="1266"/>
      <c r="J75" s="1272">
        <v>-450</v>
      </c>
      <c r="K75" s="1272">
        <f>SUM(BF75:BI75)</f>
        <v>-282</v>
      </c>
      <c r="L75" s="1272">
        <f>SUM(BJ75:BM75)</f>
        <v>-36</v>
      </c>
      <c r="M75" s="1272">
        <f>SUM(BN75:BQ75)</f>
        <v>-12</v>
      </c>
      <c r="N75" s="1272">
        <f>SUM(BR75:BU75)</f>
        <v>47.655000000000001</v>
      </c>
      <c r="O75" s="1272">
        <f>SUM(BV75:BY75)</f>
        <v>9.35</v>
      </c>
      <c r="P75" s="1283">
        <f>SUM(BZ75:CC75)</f>
        <v>434.036</v>
      </c>
      <c r="Q75" s="1283">
        <f>SUM(CD75:CG75)</f>
        <v>373.37</v>
      </c>
      <c r="R75" s="1284">
        <f>SUM(CH75:CK75)</f>
        <v>456.84500000000003</v>
      </c>
      <c r="S75" s="1283">
        <f>SUM(CL75:CO75)</f>
        <v>151</v>
      </c>
      <c r="T75" s="1400"/>
      <c r="U75" s="1400"/>
      <c r="V75" s="1400"/>
      <c r="W75" s="1400"/>
      <c r="X75" s="1266"/>
      <c r="Y75" s="1266"/>
      <c r="Z75" s="1266"/>
      <c r="AA75" s="1266"/>
      <c r="AB75" s="1266"/>
      <c r="AC75" s="1266"/>
      <c r="AD75" s="1266"/>
      <c r="AE75" s="1266"/>
      <c r="AF75" s="1266"/>
      <c r="AG75" s="1266"/>
      <c r="AH75" s="1199"/>
      <c r="AI75" s="1266"/>
      <c r="AJ75" s="1266"/>
      <c r="AK75" s="1266"/>
      <c r="AL75" s="1266"/>
      <c r="AM75" s="1266"/>
      <c r="AN75" s="1266"/>
      <c r="AO75" s="1266"/>
      <c r="AP75" s="1266"/>
      <c r="AQ75" s="1266"/>
      <c r="AR75" s="1266"/>
      <c r="AS75" s="1266"/>
      <c r="AT75" s="1266"/>
      <c r="AU75" s="1266"/>
      <c r="AV75" s="1266"/>
      <c r="AW75" s="1266"/>
      <c r="AX75" s="1266"/>
      <c r="AY75" s="1266"/>
      <c r="AZ75" s="1266"/>
      <c r="BA75" s="1266"/>
      <c r="BB75" s="1266">
        <v>-32</v>
      </c>
      <c r="BC75" s="1266">
        <v>-183</v>
      </c>
      <c r="BD75" s="1266">
        <v>-142</v>
      </c>
      <c r="BE75" s="1266">
        <v>-148</v>
      </c>
      <c r="BF75" s="1272">
        <v>-76</v>
      </c>
      <c r="BG75" s="1272">
        <v>-43</v>
      </c>
      <c r="BH75" s="1272">
        <v>-55</v>
      </c>
      <c r="BI75" s="1272">
        <v>-108</v>
      </c>
      <c r="BJ75" s="1272">
        <v>-3</v>
      </c>
      <c r="BK75" s="1272">
        <v>-4</v>
      </c>
      <c r="BL75" s="1272">
        <v>-2</v>
      </c>
      <c r="BM75" s="1272">
        <v>-27</v>
      </c>
      <c r="BN75" s="1285">
        <v>-5</v>
      </c>
      <c r="BO75" s="1272">
        <v>-3</v>
      </c>
      <c r="BP75" s="1272">
        <v>-1</v>
      </c>
      <c r="BQ75" s="1284">
        <v>-3</v>
      </c>
      <c r="BR75" s="1286">
        <v>-2</v>
      </c>
      <c r="BS75" s="1286">
        <v>18</v>
      </c>
      <c r="BT75" s="1286">
        <f>-43+92+(0.335*43)</f>
        <v>63.405000000000001</v>
      </c>
      <c r="BU75" s="1287">
        <f>-9-65*35%</f>
        <v>-31.75</v>
      </c>
      <c r="BV75" s="1278">
        <v>2</v>
      </c>
      <c r="BW75" s="1286">
        <f>21*35%</f>
        <v>7.35</v>
      </c>
      <c r="BX75" s="1286">
        <f>2149-2149</f>
        <v>0</v>
      </c>
      <c r="BY75" s="1288">
        <f>106-106</f>
        <v>0</v>
      </c>
      <c r="BZ75" s="1278">
        <f>95+45*(38.7%)</f>
        <v>112.41499999999999</v>
      </c>
      <c r="CA75" s="1286">
        <v>118</v>
      </c>
      <c r="CB75" s="1286">
        <f>73+(63-33)*34.1%</f>
        <v>83.23</v>
      </c>
      <c r="CC75" s="1286">
        <f>113+19*38.9%</f>
        <v>120.39100000000001</v>
      </c>
      <c r="CD75" s="1278">
        <f>92+(23)*35%</f>
        <v>100.05</v>
      </c>
      <c r="CE75" s="1288">
        <f>5+(23)*40%+83</f>
        <v>97.2</v>
      </c>
      <c r="CF75" s="1288">
        <f>75+27*36%</f>
        <v>84.72</v>
      </c>
      <c r="CG75" s="1288">
        <f>69+56*40%</f>
        <v>91.4</v>
      </c>
      <c r="CH75" s="1278">
        <f>209+(11+42)*40.5%-113</f>
        <v>117.465</v>
      </c>
      <c r="CI75" s="1286">
        <f>108+(8+27)*40%-21</f>
        <v>101</v>
      </c>
      <c r="CJ75" s="1286">
        <f>108+(51+5+15)*38%</f>
        <v>134.97999999999999</v>
      </c>
      <c r="CK75" s="1288">
        <f>80+117*20%</f>
        <v>103.4</v>
      </c>
      <c r="CL75" s="1278">
        <v>151</v>
      </c>
      <c r="CM75" s="1400"/>
      <c r="CN75" s="1400"/>
      <c r="CO75" s="1400"/>
    </row>
    <row r="76" spans="1:93" ht="12" customHeight="1">
      <c r="A76" s="1225" t="s">
        <v>993</v>
      </c>
      <c r="B76" s="1198"/>
      <c r="C76" s="1198"/>
      <c r="D76" s="1198"/>
      <c r="E76" s="1198"/>
      <c r="F76" s="1226"/>
      <c r="G76" s="1227"/>
      <c r="H76" s="1227"/>
      <c r="I76" s="1227"/>
      <c r="J76" s="1227"/>
      <c r="K76" s="1227">
        <f t="shared" ref="K76:S76" si="124">K75/J75-1</f>
        <v>-0.37333333333333329</v>
      </c>
      <c r="L76" s="1227">
        <f t="shared" si="124"/>
        <v>-0.87234042553191493</v>
      </c>
      <c r="M76" s="1227">
        <f t="shared" si="124"/>
        <v>-0.66666666666666674</v>
      </c>
      <c r="N76" s="1227">
        <f t="shared" si="124"/>
        <v>-4.9712499999999995</v>
      </c>
      <c r="O76" s="1227">
        <f t="shared" si="124"/>
        <v>-0.80379813241003051</v>
      </c>
      <c r="P76" s="1229">
        <f>P75/O75-1</f>
        <v>45.420962566844921</v>
      </c>
      <c r="Q76" s="1229">
        <f t="shared" si="124"/>
        <v>-0.13977181616271461</v>
      </c>
      <c r="R76" s="1230">
        <f>R75/Q75-1</f>
        <v>0.22357179205613731</v>
      </c>
      <c r="S76" s="1227">
        <f t="shared" si="124"/>
        <v>-0.66947214044150649</v>
      </c>
      <c r="T76" s="1400"/>
      <c r="U76" s="1400"/>
      <c r="V76" s="1400"/>
      <c r="W76" s="1400"/>
      <c r="X76" s="1226"/>
      <c r="Y76" s="1226"/>
      <c r="Z76" s="1226"/>
      <c r="AA76" s="1226"/>
      <c r="AB76" s="1226"/>
      <c r="AC76" s="1226"/>
      <c r="AD76" s="1226"/>
      <c r="AE76" s="1226"/>
      <c r="AF76" s="1226"/>
      <c r="AG76" s="1226"/>
      <c r="AH76" s="1198"/>
      <c r="AI76" s="1226"/>
      <c r="AJ76" s="1226"/>
      <c r="AK76" s="1226"/>
      <c r="AL76" s="1226"/>
      <c r="AM76" s="1226"/>
      <c r="AN76" s="1226"/>
      <c r="AO76" s="1226"/>
      <c r="AP76" s="1226"/>
      <c r="AQ76" s="1227"/>
      <c r="AR76" s="1227"/>
      <c r="AS76" s="1227"/>
      <c r="AT76" s="1227"/>
      <c r="AU76" s="1227"/>
      <c r="AV76" s="1227"/>
      <c r="AW76" s="1227"/>
      <c r="AX76" s="1227"/>
      <c r="AY76" s="1227"/>
      <c r="AZ76" s="1227"/>
      <c r="BA76" s="1227"/>
      <c r="BB76" s="1227"/>
      <c r="BC76" s="1227"/>
      <c r="BD76" s="1227"/>
      <c r="BE76" s="1227"/>
      <c r="BF76" s="1227">
        <f t="shared" ref="BF76:CA76" si="125">BF75/BB75-1</f>
        <v>1.375</v>
      </c>
      <c r="BG76" s="1227">
        <f t="shared" si="125"/>
        <v>-0.76502732240437155</v>
      </c>
      <c r="BH76" s="1227">
        <f t="shared" si="125"/>
        <v>-0.61267605633802824</v>
      </c>
      <c r="BI76" s="1227">
        <f t="shared" si="125"/>
        <v>-0.27027027027027029</v>
      </c>
      <c r="BJ76" s="1227">
        <f t="shared" si="125"/>
        <v>-0.96052631578947367</v>
      </c>
      <c r="BK76" s="1227">
        <f t="shared" si="125"/>
        <v>-0.90697674418604657</v>
      </c>
      <c r="BL76" s="1227">
        <f t="shared" si="125"/>
        <v>-0.96363636363636362</v>
      </c>
      <c r="BM76" s="1227">
        <f t="shared" si="125"/>
        <v>-0.75</v>
      </c>
      <c r="BN76" s="1231">
        <f t="shared" si="125"/>
        <v>0.66666666666666674</v>
      </c>
      <c r="BO76" s="1227">
        <f t="shared" si="125"/>
        <v>-0.25</v>
      </c>
      <c r="BP76" s="1227">
        <f t="shared" si="125"/>
        <v>-0.5</v>
      </c>
      <c r="BQ76" s="1230">
        <f t="shared" si="125"/>
        <v>-0.88888888888888884</v>
      </c>
      <c r="BR76" s="1227">
        <f t="shared" si="125"/>
        <v>-0.6</v>
      </c>
      <c r="BS76" s="1227">
        <f t="shared" si="125"/>
        <v>-7</v>
      </c>
      <c r="BT76" s="1227">
        <f t="shared" si="125"/>
        <v>-64.405000000000001</v>
      </c>
      <c r="BU76" s="1230">
        <f t="shared" si="125"/>
        <v>9.5833333333333339</v>
      </c>
      <c r="BV76" s="1231">
        <f t="shared" si="125"/>
        <v>-2</v>
      </c>
      <c r="BW76" s="1227">
        <f t="shared" si="125"/>
        <v>-0.59166666666666667</v>
      </c>
      <c r="BX76" s="1227">
        <f t="shared" si="125"/>
        <v>-1</v>
      </c>
      <c r="BY76" s="1229">
        <f t="shared" si="125"/>
        <v>-1</v>
      </c>
      <c r="BZ76" s="1231">
        <f t="shared" si="125"/>
        <v>55.207499999999996</v>
      </c>
      <c r="CA76" s="1227">
        <f t="shared" si="125"/>
        <v>15.054421768707485</v>
      </c>
      <c r="CB76" s="1227"/>
      <c r="CC76" s="1227"/>
      <c r="CD76" s="1231"/>
      <c r="CE76" s="1229"/>
      <c r="CF76" s="1227"/>
      <c r="CG76" s="1277"/>
      <c r="CH76" s="1231"/>
      <c r="CI76" s="1227"/>
      <c r="CJ76" s="1227"/>
      <c r="CK76" s="1227"/>
      <c r="CL76" s="1231"/>
      <c r="CM76" s="1400"/>
      <c r="CN76" s="1400"/>
      <c r="CO76" s="1400"/>
    </row>
    <row r="77" spans="1:93" ht="12" customHeight="1">
      <c r="A77" s="1225" t="s">
        <v>168</v>
      </c>
      <c r="B77" s="1198"/>
      <c r="C77" s="1198"/>
      <c r="D77" s="1198"/>
      <c r="E77" s="1198"/>
      <c r="F77" s="1227"/>
      <c r="G77" s="1227"/>
      <c r="H77" s="1227"/>
      <c r="I77" s="1227"/>
      <c r="J77" s="1227">
        <f t="shared" ref="J77:Q77" si="126">J75/J68</f>
        <v>0.30343897505057316</v>
      </c>
      <c r="K77" s="1227">
        <f t="shared" si="126"/>
        <v>0.2561307901907357</v>
      </c>
      <c r="L77" s="1227">
        <f t="shared" si="126"/>
        <v>3.5928143712574849E-2</v>
      </c>
      <c r="M77" s="1227">
        <f t="shared" si="126"/>
        <v>2.6666666666666668E-2</v>
      </c>
      <c r="N77" s="1227">
        <f t="shared" si="126"/>
        <v>8.5710431654676261E-2</v>
      </c>
      <c r="O77" s="1227">
        <f t="shared" si="126"/>
        <v>9.033816425120772E-3</v>
      </c>
      <c r="P77" s="1229">
        <f t="shared" si="126"/>
        <v>0.37840976460331299</v>
      </c>
      <c r="Q77" s="1229">
        <f t="shared" si="126"/>
        <v>0.36179263565891473</v>
      </c>
      <c r="R77" s="1230">
        <f>R75/R68</f>
        <v>0.38038717735220651</v>
      </c>
      <c r="S77" s="1229">
        <f>S75/S68</f>
        <v>0.40700808625336926</v>
      </c>
      <c r="T77" s="1400"/>
      <c r="U77" s="1400"/>
      <c r="V77" s="1400"/>
      <c r="W77" s="1400"/>
      <c r="X77" s="1226"/>
      <c r="Y77" s="1226"/>
      <c r="Z77" s="1226"/>
      <c r="AA77" s="1226"/>
      <c r="AB77" s="1226"/>
      <c r="AC77" s="1226"/>
      <c r="AD77" s="1226"/>
      <c r="AE77" s="1226"/>
      <c r="AF77" s="1226"/>
      <c r="AG77" s="1226"/>
      <c r="AH77" s="1198"/>
      <c r="AI77" s="1226"/>
      <c r="AJ77" s="1226"/>
      <c r="AK77" s="1226"/>
      <c r="AL77" s="1226"/>
      <c r="AM77" s="1226"/>
      <c r="AN77" s="1226"/>
      <c r="AO77" s="1226"/>
      <c r="AP77" s="1226"/>
      <c r="AQ77" s="1227"/>
      <c r="AR77" s="1227"/>
      <c r="AS77" s="1227"/>
      <c r="AT77" s="1227"/>
      <c r="AU77" s="1227"/>
      <c r="AV77" s="1227"/>
      <c r="AW77" s="1227"/>
      <c r="AX77" s="1227"/>
      <c r="AY77" s="1227"/>
      <c r="AZ77" s="1227"/>
      <c r="BA77" s="1227"/>
      <c r="BB77" s="1227">
        <f t="shared" ref="BB77:BX77" si="127">BB75/BB68</f>
        <v>5.7450628366247758E-2</v>
      </c>
      <c r="BC77" s="1227">
        <f t="shared" si="127"/>
        <v>0.24238410596026491</v>
      </c>
      <c r="BD77" s="1227">
        <f t="shared" si="127"/>
        <v>0.56349206349206349</v>
      </c>
      <c r="BE77" s="1227">
        <f t="shared" si="127"/>
        <v>1.3703703703703705</v>
      </c>
      <c r="BF77" s="1227">
        <f t="shared" si="127"/>
        <v>0.41530054644808745</v>
      </c>
      <c r="BG77" s="1227">
        <f t="shared" si="127"/>
        <v>0.22395833333333334</v>
      </c>
      <c r="BH77" s="1227">
        <f t="shared" si="127"/>
        <v>0.19503546099290781</v>
      </c>
      <c r="BI77" s="1227">
        <f t="shared" si="127"/>
        <v>0.24324324324324326</v>
      </c>
      <c r="BJ77" s="1227">
        <f t="shared" si="127"/>
        <v>1.0067114093959731E-2</v>
      </c>
      <c r="BK77" s="1227">
        <f t="shared" si="127"/>
        <v>1.3651877133105802E-2</v>
      </c>
      <c r="BL77" s="1227">
        <f t="shared" si="127"/>
        <v>7.1174377224199285E-3</v>
      </c>
      <c r="BM77" s="1227">
        <f t="shared" si="127"/>
        <v>0.2076923076923077</v>
      </c>
      <c r="BN77" s="1231">
        <f t="shared" si="127"/>
        <v>2.5510204081632654E-2</v>
      </c>
      <c r="BO77" s="1227">
        <f t="shared" si="127"/>
        <v>2.4193548387096774E-2</v>
      </c>
      <c r="BP77" s="1227">
        <f t="shared" si="127"/>
        <v>8.4033613445378148E-3</v>
      </c>
      <c r="BQ77" s="1230">
        <f t="shared" si="127"/>
        <v>0.27272727272727271</v>
      </c>
      <c r="BR77" s="1227">
        <f t="shared" si="127"/>
        <v>-1.8691588785046728E-2</v>
      </c>
      <c r="BS77" s="1227">
        <f t="shared" si="127"/>
        <v>0.13333333333333333</v>
      </c>
      <c r="BT77" s="1227">
        <f t="shared" si="127"/>
        <v>0.32682989690721648</v>
      </c>
      <c r="BU77" s="1230">
        <f t="shared" si="127"/>
        <v>-0.26458333333333334</v>
      </c>
      <c r="BV77" s="1231">
        <f t="shared" si="127"/>
        <v>7.3529411764705881E-3</v>
      </c>
      <c r="BW77" s="1227">
        <f t="shared" si="127"/>
        <v>2.8599221789883267E-2</v>
      </c>
      <c r="BX77" s="1227">
        <f t="shared" si="127"/>
        <v>0</v>
      </c>
      <c r="BY77" s="1229">
        <f t="shared" ref="BY77:CE77" si="128">BY75/BY68</f>
        <v>0</v>
      </c>
      <c r="BZ77" s="1231">
        <f t="shared" si="128"/>
        <v>0.38763793103448274</v>
      </c>
      <c r="CA77" s="1227">
        <f t="shared" si="128"/>
        <v>0.39333333333333331</v>
      </c>
      <c r="CB77" s="1227">
        <f t="shared" si="128"/>
        <v>0.33560483870967744</v>
      </c>
      <c r="CC77" s="1227">
        <f t="shared" si="128"/>
        <v>0.38961488673139161</v>
      </c>
      <c r="CD77" s="1231">
        <f t="shared" si="128"/>
        <v>0.31168224299065422</v>
      </c>
      <c r="CE77" s="1229">
        <f t="shared" si="128"/>
        <v>0.40500000000000003</v>
      </c>
      <c r="CF77" s="1229">
        <f t="shared" ref="CF77:CK77" si="129">CF75/CF68</f>
        <v>0.35596638655462182</v>
      </c>
      <c r="CG77" s="1229">
        <f t="shared" si="129"/>
        <v>0.392274678111588</v>
      </c>
      <c r="CH77" s="1289">
        <f t="shared" si="129"/>
        <v>0.39155000000000001</v>
      </c>
      <c r="CI77" s="1290">
        <f t="shared" si="129"/>
        <v>0.36071428571428571</v>
      </c>
      <c r="CJ77" s="1290">
        <f t="shared" si="129"/>
        <v>0.42446540880503142</v>
      </c>
      <c r="CK77" s="1290">
        <f t="shared" si="129"/>
        <v>0.3412541254125413</v>
      </c>
      <c r="CL77" s="1289">
        <f>CL75/CL68</f>
        <v>0.40700808625336926</v>
      </c>
      <c r="CM77" s="1400"/>
      <c r="CN77" s="1400"/>
      <c r="CO77" s="1400"/>
    </row>
    <row r="78" spans="1:93" ht="12" customHeight="1">
      <c r="A78" s="1225" t="s">
        <v>169</v>
      </c>
      <c r="B78" s="1198"/>
      <c r="C78" s="1198"/>
      <c r="D78" s="1198"/>
      <c r="E78" s="1198"/>
      <c r="F78" s="1227"/>
      <c r="G78" s="1227"/>
      <c r="H78" s="1227"/>
      <c r="I78" s="1227"/>
      <c r="J78" s="1227">
        <f t="shared" ref="J78:S78" si="130">J75/(J68+J55)</f>
        <v>0.49778761061946902</v>
      </c>
      <c r="K78" s="1227">
        <f t="shared" si="130"/>
        <v>0.41901931649331353</v>
      </c>
      <c r="L78" s="1227">
        <f t="shared" si="130"/>
        <v>7.1287128712871281E-2</v>
      </c>
      <c r="M78" s="1227">
        <f t="shared" si="130"/>
        <v>-4</v>
      </c>
      <c r="N78" s="1227">
        <f t="shared" si="130"/>
        <v>5.0428571428571427E-2</v>
      </c>
      <c r="O78" s="1227">
        <f t="shared" si="130"/>
        <v>7.4030087094220107E-3</v>
      </c>
      <c r="P78" s="1229">
        <f t="shared" si="130"/>
        <v>0.31429109341057204</v>
      </c>
      <c r="Q78" s="1229">
        <f t="shared" si="130"/>
        <v>0.29352987421383647</v>
      </c>
      <c r="R78" s="1230">
        <f t="shared" si="130"/>
        <v>0.31463154269972454</v>
      </c>
      <c r="S78" s="1227">
        <f t="shared" si="130"/>
        <v>0.351981351981352</v>
      </c>
      <c r="T78" s="1400"/>
      <c r="U78" s="1400"/>
      <c r="V78" s="1400"/>
      <c r="W78" s="1400"/>
      <c r="X78" s="1226"/>
      <c r="Y78" s="1226"/>
      <c r="Z78" s="1226"/>
      <c r="AA78" s="1226"/>
      <c r="AB78" s="1226"/>
      <c r="AC78" s="1226"/>
      <c r="AD78" s="1226"/>
      <c r="AE78" s="1226"/>
      <c r="AF78" s="1226"/>
      <c r="AG78" s="1226"/>
      <c r="AH78" s="1198"/>
      <c r="AI78" s="1226"/>
      <c r="AJ78" s="1226"/>
      <c r="AK78" s="1226"/>
      <c r="AL78" s="1226"/>
      <c r="AM78" s="1226"/>
      <c r="AN78" s="1226"/>
      <c r="AO78" s="1226"/>
      <c r="AP78" s="1226"/>
      <c r="AQ78" s="1227"/>
      <c r="AR78" s="1227"/>
      <c r="AS78" s="1227"/>
      <c r="AT78" s="1227"/>
      <c r="AU78" s="1227"/>
      <c r="AV78" s="1227"/>
      <c r="AW78" s="1227"/>
      <c r="AX78" s="1227"/>
      <c r="AY78" s="1227"/>
      <c r="AZ78" s="1227"/>
      <c r="BA78" s="1227"/>
      <c r="BB78" s="1227">
        <f t="shared" ref="BB78:BL78" si="131">BB75/(BB68+BB55)</f>
        <v>8.3333333333333329E-2</v>
      </c>
      <c r="BC78" s="1227">
        <f t="shared" si="131"/>
        <v>0.32504440497335702</v>
      </c>
      <c r="BD78" s="1227">
        <f t="shared" si="131"/>
        <v>0.95945945945945943</v>
      </c>
      <c r="BE78" s="1227">
        <f t="shared" si="131"/>
        <v>1.48</v>
      </c>
      <c r="BF78" s="1227">
        <f t="shared" si="131"/>
        <v>1.027027027027027</v>
      </c>
      <c r="BG78" s="1227">
        <f t="shared" si="131"/>
        <v>0.53749999999999998</v>
      </c>
      <c r="BH78" s="1227">
        <f t="shared" si="131"/>
        <v>0.33742331288343558</v>
      </c>
      <c r="BI78" s="1227">
        <f t="shared" si="131"/>
        <v>0.30337078651685395</v>
      </c>
      <c r="BJ78" s="1227">
        <f t="shared" si="131"/>
        <v>1.7142857142857144E-2</v>
      </c>
      <c r="BK78" s="1227">
        <f t="shared" si="131"/>
        <v>2.3668639053254437E-2</v>
      </c>
      <c r="BL78" s="1227">
        <f t="shared" si="131"/>
        <v>1.2422360248447204E-2</v>
      </c>
      <c r="BM78" s="1227"/>
      <c r="BN78" s="1231">
        <f t="shared" ref="BN78:CA78" si="132">BN75/(BN68+BN55)</f>
        <v>6.6666666666666666E-2</v>
      </c>
      <c r="BO78" s="1227">
        <f t="shared" si="132"/>
        <v>0.375</v>
      </c>
      <c r="BP78" s="1227">
        <f t="shared" si="132"/>
        <v>0.1</v>
      </c>
      <c r="BQ78" s="1230">
        <f t="shared" si="132"/>
        <v>-3.125E-2</v>
      </c>
      <c r="BR78" s="1227">
        <f t="shared" si="132"/>
        <v>-9.5238095238095247E-3</v>
      </c>
      <c r="BS78" s="1227">
        <f t="shared" si="132"/>
        <v>7.6271186440677971E-2</v>
      </c>
      <c r="BT78" s="1227">
        <f t="shared" si="132"/>
        <v>0.21788659793814433</v>
      </c>
      <c r="BU78" s="1230">
        <f t="shared" si="132"/>
        <v>-0.15264423076923078</v>
      </c>
      <c r="BV78" s="1231">
        <f t="shared" si="132"/>
        <v>6.0790273556231003E-3</v>
      </c>
      <c r="BW78" s="1227">
        <f t="shared" si="132"/>
        <v>2.3407643312101909E-2</v>
      </c>
      <c r="BX78" s="1227">
        <f t="shared" si="132"/>
        <v>0</v>
      </c>
      <c r="BY78" s="1229">
        <f t="shared" si="132"/>
        <v>0</v>
      </c>
      <c r="BZ78" s="1231">
        <f t="shared" si="132"/>
        <v>0.32678779069767439</v>
      </c>
      <c r="CA78" s="1227">
        <f t="shared" si="132"/>
        <v>0.3323943661971831</v>
      </c>
      <c r="CB78" s="1227">
        <f t="shared" ref="CB78:CI78" si="133">CB75/(CB68+CB55)</f>
        <v>0.26848387096774196</v>
      </c>
      <c r="CC78" s="1227">
        <f t="shared" si="133"/>
        <v>0.32363172043010752</v>
      </c>
      <c r="CD78" s="1231">
        <f t="shared" si="133"/>
        <v>0.26328947368421052</v>
      </c>
      <c r="CE78" s="1227">
        <f t="shared" si="133"/>
        <v>0.32400000000000001</v>
      </c>
      <c r="CF78" s="1227">
        <f t="shared" si="133"/>
        <v>0.28334448160535114</v>
      </c>
      <c r="CG78" s="1227">
        <f>CG75/(CG68+CG55)</f>
        <v>0.31194539249146758</v>
      </c>
      <c r="CH78" s="1231">
        <f>CH75/(CH68+CH55)</f>
        <v>0.33182203389830511</v>
      </c>
      <c r="CI78" s="1227">
        <f t="shared" si="133"/>
        <v>0.29446064139941691</v>
      </c>
      <c r="CJ78" s="1227">
        <f>CJ75/(CJ68+CJ55)</f>
        <v>0.35521052631578942</v>
      </c>
      <c r="CK78" s="1227">
        <f>CK75/(CK68+CK55)</f>
        <v>0.27573333333333333</v>
      </c>
      <c r="CL78" s="1231">
        <f>CL75/(CL68+CL55)</f>
        <v>0.351981351981352</v>
      </c>
      <c r="CM78" s="1400"/>
      <c r="CN78" s="1400"/>
      <c r="CO78" s="1400"/>
    </row>
    <row r="79" spans="1:93" ht="12" customHeight="1">
      <c r="A79" s="1242" t="s">
        <v>170</v>
      </c>
      <c r="B79" s="1243"/>
      <c r="C79" s="1243"/>
      <c r="D79" s="1243"/>
      <c r="E79" s="1243"/>
      <c r="F79" s="1258"/>
      <c r="G79" s="1258"/>
      <c r="H79" s="1258"/>
      <c r="I79" s="1258"/>
      <c r="J79" s="1258">
        <v>0.371</v>
      </c>
      <c r="K79" s="1258">
        <v>0.35799999999999998</v>
      </c>
      <c r="L79" s="1258">
        <f t="shared" ref="L79:S79" si="134">K79</f>
        <v>0.35799999999999998</v>
      </c>
      <c r="M79" s="1258">
        <f t="shared" si="134"/>
        <v>0.35799999999999998</v>
      </c>
      <c r="N79" s="1258">
        <f t="shared" si="134"/>
        <v>0.35799999999999998</v>
      </c>
      <c r="O79" s="1258">
        <f t="shared" si="134"/>
        <v>0.35799999999999998</v>
      </c>
      <c r="P79" s="1258">
        <f t="shared" si="134"/>
        <v>0.35799999999999998</v>
      </c>
      <c r="Q79" s="1258">
        <f t="shared" si="134"/>
        <v>0.35799999999999998</v>
      </c>
      <c r="R79" s="1259">
        <f t="shared" si="134"/>
        <v>0.35799999999999998</v>
      </c>
      <c r="S79" s="1258">
        <f t="shared" si="134"/>
        <v>0.35799999999999998</v>
      </c>
      <c r="T79" s="1400"/>
      <c r="U79" s="1400"/>
      <c r="V79" s="1400"/>
      <c r="W79" s="1400"/>
      <c r="X79" s="1226"/>
      <c r="Y79" s="1226"/>
      <c r="Z79" s="1226"/>
      <c r="AA79" s="1226"/>
      <c r="AB79" s="1226"/>
      <c r="AC79" s="1226"/>
      <c r="AD79" s="1226"/>
      <c r="AE79" s="1226"/>
      <c r="AF79" s="1226"/>
      <c r="AG79" s="1226"/>
      <c r="AH79" s="1198"/>
      <c r="AI79" s="1226"/>
      <c r="AJ79" s="1226"/>
      <c r="AK79" s="1226"/>
      <c r="AL79" s="1226"/>
      <c r="AM79" s="1226"/>
      <c r="AN79" s="1226"/>
      <c r="AO79" s="1226"/>
      <c r="AP79" s="1226"/>
      <c r="AQ79" s="1227"/>
      <c r="AR79" s="1227"/>
      <c r="AS79" s="1227"/>
      <c r="AT79" s="1227"/>
      <c r="AU79" s="1227"/>
      <c r="AV79" s="1227"/>
      <c r="AW79" s="1227"/>
      <c r="AX79" s="1227"/>
      <c r="AY79" s="1227"/>
      <c r="AZ79" s="1227"/>
      <c r="BA79" s="1227"/>
      <c r="BB79" s="1227">
        <f>+BC79</f>
        <v>0.371</v>
      </c>
      <c r="BC79" s="1227">
        <f>+BD79</f>
        <v>0.371</v>
      </c>
      <c r="BD79" s="1227">
        <f>+BE79</f>
        <v>0.371</v>
      </c>
      <c r="BE79" s="1291">
        <f>+J79</f>
        <v>0.371</v>
      </c>
      <c r="BF79" s="1227">
        <f>+BG79</f>
        <v>0.35799999999999998</v>
      </c>
      <c r="BG79" s="1227">
        <f>+BH79</f>
        <v>0.35799999999999998</v>
      </c>
      <c r="BH79" s="1227">
        <f>+BI79</f>
        <v>0.35799999999999998</v>
      </c>
      <c r="BI79" s="1291">
        <f>+K79</f>
        <v>0.35799999999999998</v>
      </c>
      <c r="BJ79" s="1227">
        <f>+BK79</f>
        <v>0.35799999999999998</v>
      </c>
      <c r="BK79" s="1227">
        <f>+BL79</f>
        <v>0.35799999999999998</v>
      </c>
      <c r="BL79" s="1227">
        <f>+BM79</f>
        <v>0.35799999999999998</v>
      </c>
      <c r="BM79" s="1291">
        <f>+L79</f>
        <v>0.35799999999999998</v>
      </c>
      <c r="BN79" s="1231">
        <f t="shared" ref="BN79:BY79" ca="1" si="135">+BO79</f>
        <v>0.35799999999999998</v>
      </c>
      <c r="BO79" s="1227">
        <f t="shared" ca="1" si="135"/>
        <v>0.35799999999999998</v>
      </c>
      <c r="BP79" s="1227">
        <f t="shared" ca="1" si="135"/>
        <v>0.35799999999999998</v>
      </c>
      <c r="BQ79" s="1230">
        <f t="shared" ca="1" si="135"/>
        <v>0.35799999999999998</v>
      </c>
      <c r="BR79" s="1227">
        <f t="shared" ca="1" si="135"/>
        <v>0.35799999999999998</v>
      </c>
      <c r="BS79" s="1227">
        <f t="shared" ca="1" si="135"/>
        <v>0.35799999999999998</v>
      </c>
      <c r="BT79" s="1227">
        <f t="shared" ca="1" si="135"/>
        <v>0.35799999999999998</v>
      </c>
      <c r="BU79" s="1230">
        <f t="shared" ca="1" si="135"/>
        <v>0.35799999999999998</v>
      </c>
      <c r="BV79" s="1260">
        <f t="shared" ca="1" si="135"/>
        <v>0.35799999999999998</v>
      </c>
      <c r="BW79" s="1258">
        <f t="shared" ca="1" si="135"/>
        <v>0.35799999999999998</v>
      </c>
      <c r="BX79" s="1258">
        <f t="shared" ca="1" si="135"/>
        <v>0.35799999999999998</v>
      </c>
      <c r="BY79" s="1258">
        <f t="shared" ca="1" si="135"/>
        <v>0.35799999999999998</v>
      </c>
      <c r="BZ79" s="1260">
        <f t="shared" ref="BZ79:CI79" ca="1" si="136">BY79</f>
        <v>0.35799999999999998</v>
      </c>
      <c r="CA79" s="1258">
        <f t="shared" ca="1" si="136"/>
        <v>0.35799999999999998</v>
      </c>
      <c r="CB79" s="1258">
        <f t="shared" ca="1" si="136"/>
        <v>0.35799999999999998</v>
      </c>
      <c r="CC79" s="1258">
        <f t="shared" ca="1" si="136"/>
        <v>0.35799999999999998</v>
      </c>
      <c r="CD79" s="1260">
        <f t="shared" ca="1" si="136"/>
        <v>0.35799999999999998</v>
      </c>
      <c r="CE79" s="1258">
        <f t="shared" ca="1" si="136"/>
        <v>0.35799999999999998</v>
      </c>
      <c r="CF79" s="1258">
        <f t="shared" ca="1" si="136"/>
        <v>0.35799999999999998</v>
      </c>
      <c r="CG79" s="1258">
        <f ca="1">CF79</f>
        <v>0.35799999999999998</v>
      </c>
      <c r="CH79" s="1260">
        <f ca="1">CG79</f>
        <v>0.35799999999999998</v>
      </c>
      <c r="CI79" s="1258">
        <f t="shared" ca="1" si="136"/>
        <v>0.35799999999999998</v>
      </c>
      <c r="CJ79" s="1258">
        <f ca="1">CI79</f>
        <v>0.35799999999999998</v>
      </c>
      <c r="CK79" s="1258">
        <f ca="1">CJ79</f>
        <v>0.35799999999999998</v>
      </c>
      <c r="CL79" s="1260">
        <f ca="1">CK79</f>
        <v>0.35799999999999998</v>
      </c>
      <c r="CM79" s="1400"/>
      <c r="CN79" s="1400"/>
      <c r="CO79" s="1400"/>
    </row>
    <row r="80" spans="1:93" ht="15" customHeight="1">
      <c r="A80" s="1213" t="s">
        <v>171</v>
      </c>
      <c r="B80" s="1213"/>
      <c r="C80" s="1213"/>
      <c r="D80" s="1213"/>
      <c r="E80" s="1213"/>
      <c r="F80" s="1214"/>
      <c r="G80" s="1214"/>
      <c r="H80" s="1214"/>
      <c r="I80" s="1214"/>
      <c r="J80" s="1269">
        <f t="shared" ref="J80:Q80" si="137">J68-J75</f>
        <v>-1033</v>
      </c>
      <c r="K80" s="1269">
        <f t="shared" si="137"/>
        <v>-819</v>
      </c>
      <c r="L80" s="1269">
        <f t="shared" si="137"/>
        <v>-966</v>
      </c>
      <c r="M80" s="1269">
        <f t="shared" si="137"/>
        <v>-438</v>
      </c>
      <c r="N80" s="1269">
        <f t="shared" si="137"/>
        <v>508.34500000000003</v>
      </c>
      <c r="O80" s="1269">
        <f t="shared" si="137"/>
        <v>1025.6500000000001</v>
      </c>
      <c r="P80" s="1270">
        <f t="shared" si="137"/>
        <v>712.96399999999994</v>
      </c>
      <c r="Q80" s="1270">
        <f t="shared" si="137"/>
        <v>658.63</v>
      </c>
      <c r="R80" s="1271">
        <f>R68-R75</f>
        <v>744.15499999999997</v>
      </c>
      <c r="S80" s="1272">
        <f>S68-S75</f>
        <v>220</v>
      </c>
      <c r="T80" s="1400"/>
      <c r="U80" s="1400"/>
      <c r="V80" s="1400"/>
      <c r="W80" s="1400"/>
      <c r="X80" s="1214"/>
      <c r="Y80" s="1214"/>
      <c r="Z80" s="1214"/>
      <c r="AA80" s="1214"/>
      <c r="AB80" s="1214"/>
      <c r="AC80" s="1214"/>
      <c r="AD80" s="1214"/>
      <c r="AE80" s="1214"/>
      <c r="AF80" s="1214"/>
      <c r="AG80" s="1214"/>
      <c r="AH80" s="1213"/>
      <c r="AI80" s="1214"/>
      <c r="AJ80" s="1214"/>
      <c r="AK80" s="1214"/>
      <c r="AL80" s="1214"/>
      <c r="AM80" s="1214"/>
      <c r="AN80" s="1214"/>
      <c r="AO80" s="1214"/>
      <c r="AP80" s="1214"/>
      <c r="AQ80" s="1214"/>
      <c r="AR80" s="1214"/>
      <c r="AS80" s="1214"/>
      <c r="AT80" s="1214"/>
      <c r="AU80" s="1214"/>
      <c r="AV80" s="1214"/>
      <c r="AW80" s="1214"/>
      <c r="AX80" s="1214"/>
      <c r="AY80" s="1214"/>
      <c r="AZ80" s="1214"/>
      <c r="BA80" s="1214"/>
      <c r="BB80" s="1214">
        <f t="shared" ref="BB80:BZ80" si="138">BB68-BB75</f>
        <v>-525</v>
      </c>
      <c r="BC80" s="1214">
        <f t="shared" si="138"/>
        <v>-572</v>
      </c>
      <c r="BD80" s="1214">
        <f t="shared" si="138"/>
        <v>-110</v>
      </c>
      <c r="BE80" s="1214">
        <f t="shared" si="138"/>
        <v>40</v>
      </c>
      <c r="BF80" s="1269">
        <f t="shared" si="138"/>
        <v>-107</v>
      </c>
      <c r="BG80" s="1269">
        <f t="shared" si="138"/>
        <v>-149</v>
      </c>
      <c r="BH80" s="1269">
        <f t="shared" si="138"/>
        <v>-227</v>
      </c>
      <c r="BI80" s="1269">
        <f t="shared" si="138"/>
        <v>-336</v>
      </c>
      <c r="BJ80" s="1269">
        <f t="shared" si="138"/>
        <v>-295</v>
      </c>
      <c r="BK80" s="1269">
        <f t="shared" si="138"/>
        <v>-289</v>
      </c>
      <c r="BL80" s="1269">
        <f t="shared" si="138"/>
        <v>-279</v>
      </c>
      <c r="BM80" s="1269">
        <f t="shared" si="138"/>
        <v>-103</v>
      </c>
      <c r="BN80" s="1273">
        <f t="shared" si="138"/>
        <v>-191</v>
      </c>
      <c r="BO80" s="1269">
        <f t="shared" si="138"/>
        <v>-121</v>
      </c>
      <c r="BP80" s="1269">
        <f t="shared" si="138"/>
        <v>-118</v>
      </c>
      <c r="BQ80" s="1271">
        <f t="shared" si="138"/>
        <v>-8</v>
      </c>
      <c r="BR80" s="1269">
        <f t="shared" si="138"/>
        <v>109</v>
      </c>
      <c r="BS80" s="1269">
        <f t="shared" si="138"/>
        <v>117</v>
      </c>
      <c r="BT80" s="1269">
        <f t="shared" si="138"/>
        <v>130.595</v>
      </c>
      <c r="BU80" s="1271">
        <f t="shared" si="138"/>
        <v>151.75</v>
      </c>
      <c r="BV80" s="1273">
        <f t="shared" si="138"/>
        <v>270</v>
      </c>
      <c r="BW80" s="1269">
        <f t="shared" si="138"/>
        <v>249.65</v>
      </c>
      <c r="BX80" s="1269">
        <f t="shared" si="138"/>
        <v>258</v>
      </c>
      <c r="BY80" s="1270">
        <f>BY68-BY75</f>
        <v>248</v>
      </c>
      <c r="BZ80" s="1273">
        <f t="shared" si="138"/>
        <v>177.58500000000001</v>
      </c>
      <c r="CA80" s="1269">
        <f t="shared" ref="CA80:CG80" si="139">CA68-CA75</f>
        <v>182</v>
      </c>
      <c r="CB80" s="1269">
        <f t="shared" si="139"/>
        <v>164.76999999999998</v>
      </c>
      <c r="CC80" s="1269">
        <f t="shared" si="139"/>
        <v>188.60899999999998</v>
      </c>
      <c r="CD80" s="1273">
        <f t="shared" si="139"/>
        <v>220.95</v>
      </c>
      <c r="CE80" s="1269">
        <f>CE68-CE75</f>
        <v>142.80000000000001</v>
      </c>
      <c r="CF80" s="1269">
        <f>CF68-CF75</f>
        <v>153.28</v>
      </c>
      <c r="CG80" s="1269">
        <f t="shared" si="139"/>
        <v>141.6</v>
      </c>
      <c r="CH80" s="1273">
        <f>CH68-CH75</f>
        <v>182.535</v>
      </c>
      <c r="CI80" s="1269">
        <f>CI68-CI75</f>
        <v>179</v>
      </c>
      <c r="CJ80" s="1269">
        <f>CJ68-CJ75</f>
        <v>183.02</v>
      </c>
      <c r="CK80" s="1269">
        <f>CK68-CK75</f>
        <v>199.6</v>
      </c>
      <c r="CL80" s="1273">
        <f>CL68-CL75</f>
        <v>220</v>
      </c>
      <c r="CM80" s="1400"/>
      <c r="CN80" s="1400"/>
      <c r="CO80" s="1400"/>
    </row>
    <row r="81" spans="1:93" ht="12" customHeight="1">
      <c r="A81" s="1225" t="s">
        <v>34</v>
      </c>
      <c r="B81" s="1198"/>
      <c r="C81" s="1198"/>
      <c r="D81" s="1198"/>
      <c r="E81" s="1198"/>
      <c r="F81" s="1226"/>
      <c r="G81" s="1227"/>
      <c r="H81" s="1227"/>
      <c r="I81" s="1227"/>
      <c r="J81" s="1227"/>
      <c r="K81" s="1227">
        <f t="shared" ref="K81:S81" si="140">K80/J80-1</f>
        <v>-0.2071636011616651</v>
      </c>
      <c r="L81" s="1227">
        <f t="shared" si="140"/>
        <v>0.17948717948717952</v>
      </c>
      <c r="M81" s="1227">
        <f t="shared" si="140"/>
        <v>-0.54658385093167694</v>
      </c>
      <c r="N81" s="1227">
        <f t="shared" si="140"/>
        <v>-2.1606050228310503</v>
      </c>
      <c r="O81" s="1227">
        <f t="shared" si="140"/>
        <v>1.0176258249810659</v>
      </c>
      <c r="P81" s="1229">
        <f t="shared" si="140"/>
        <v>-0.30486618242090391</v>
      </c>
      <c r="Q81" s="1229">
        <f t="shared" si="140"/>
        <v>-7.6208616423830589E-2</v>
      </c>
      <c r="R81" s="1230">
        <f t="shared" si="140"/>
        <v>0.12985287642530707</v>
      </c>
      <c r="S81" s="1227">
        <f t="shared" si="140"/>
        <v>-0.70436266637998801</v>
      </c>
      <c r="T81" s="1400"/>
      <c r="U81" s="1400"/>
      <c r="V81" s="1400"/>
      <c r="W81" s="1400"/>
      <c r="X81" s="1226"/>
      <c r="Y81" s="1226"/>
      <c r="Z81" s="1226"/>
      <c r="AA81" s="1226"/>
      <c r="AB81" s="1226"/>
      <c r="AC81" s="1226"/>
      <c r="AD81" s="1226"/>
      <c r="AE81" s="1226"/>
      <c r="AF81" s="1226"/>
      <c r="AG81" s="1226"/>
      <c r="AH81" s="1198"/>
      <c r="AI81" s="1226"/>
      <c r="AJ81" s="1226"/>
      <c r="AK81" s="1226"/>
      <c r="AL81" s="1226"/>
      <c r="AM81" s="1226"/>
      <c r="AN81" s="1226"/>
      <c r="AO81" s="1226"/>
      <c r="AP81" s="1226"/>
      <c r="AQ81" s="1227"/>
      <c r="AR81" s="1227"/>
      <c r="AS81" s="1227"/>
      <c r="AT81" s="1227"/>
      <c r="AU81" s="1227"/>
      <c r="AV81" s="1227"/>
      <c r="AW81" s="1227"/>
      <c r="AX81" s="1227"/>
      <c r="AY81" s="1227"/>
      <c r="AZ81" s="1227"/>
      <c r="BA81" s="1227"/>
      <c r="BB81" s="1227"/>
      <c r="BC81" s="1227"/>
      <c r="BD81" s="1227"/>
      <c r="BE81" s="1227"/>
      <c r="BF81" s="1227">
        <f t="shared" ref="BF81:CB81" si="141">BF80/BB80-1</f>
        <v>-0.79619047619047623</v>
      </c>
      <c r="BG81" s="1227">
        <f t="shared" si="141"/>
        <v>-0.73951048951048959</v>
      </c>
      <c r="BH81" s="1227">
        <f t="shared" si="141"/>
        <v>1.0636363636363635</v>
      </c>
      <c r="BI81" s="1227">
        <f t="shared" si="141"/>
        <v>-9.4</v>
      </c>
      <c r="BJ81" s="1227">
        <f t="shared" si="141"/>
        <v>1.7570093457943927</v>
      </c>
      <c r="BK81" s="1227">
        <f t="shared" si="141"/>
        <v>0.93959731543624159</v>
      </c>
      <c r="BL81" s="1227">
        <f t="shared" si="141"/>
        <v>0.22907488986784141</v>
      </c>
      <c r="BM81" s="1227">
        <f t="shared" si="141"/>
        <v>-0.69345238095238093</v>
      </c>
      <c r="BN81" s="1231">
        <f t="shared" si="141"/>
        <v>-0.35254237288135593</v>
      </c>
      <c r="BO81" s="1227">
        <f t="shared" si="141"/>
        <v>-0.58131487889273359</v>
      </c>
      <c r="BP81" s="1227">
        <f t="shared" si="141"/>
        <v>-0.57706093189964158</v>
      </c>
      <c r="BQ81" s="1230">
        <f t="shared" si="141"/>
        <v>-0.92233009708737868</v>
      </c>
      <c r="BR81" s="1227">
        <f t="shared" si="141"/>
        <v>-1.5706806282722514</v>
      </c>
      <c r="BS81" s="1227">
        <f t="shared" si="141"/>
        <v>-1.9669421487603307</v>
      </c>
      <c r="BT81" s="1227">
        <f t="shared" si="141"/>
        <v>-2.1067372881355935</v>
      </c>
      <c r="BU81" s="1230">
        <f t="shared" si="141"/>
        <v>-19.96875</v>
      </c>
      <c r="BV81" s="1231">
        <f t="shared" si="141"/>
        <v>1.477064220183486</v>
      </c>
      <c r="BW81" s="1227">
        <f t="shared" si="141"/>
        <v>1.1337606837606837</v>
      </c>
      <c r="BX81" s="1227">
        <f t="shared" si="141"/>
        <v>0.97557333741720598</v>
      </c>
      <c r="BY81" s="1229">
        <f t="shared" si="141"/>
        <v>0.63426688632619443</v>
      </c>
      <c r="BZ81" s="1231">
        <f t="shared" si="141"/>
        <v>-0.34227777777777779</v>
      </c>
      <c r="CA81" s="1227">
        <f t="shared" si="141"/>
        <v>-0.27097937111956738</v>
      </c>
      <c r="CB81" s="1227">
        <f t="shared" si="141"/>
        <v>-0.36135658914728686</v>
      </c>
      <c r="CC81" s="1227">
        <f t="shared" ref="CC81:CK81" si="142">CC80/BY80-1</f>
        <v>-0.23947983870967748</v>
      </c>
      <c r="CD81" s="1231">
        <f t="shared" si="142"/>
        <v>0.24419292169946782</v>
      </c>
      <c r="CE81" s="1227">
        <f t="shared" si="142"/>
        <v>-0.21538461538461529</v>
      </c>
      <c r="CF81" s="1227">
        <f t="shared" si="142"/>
        <v>-6.9733568003884083E-2</v>
      </c>
      <c r="CG81" s="1227">
        <f t="shared" si="142"/>
        <v>-0.24924049223525913</v>
      </c>
      <c r="CH81" s="1231">
        <f t="shared" si="142"/>
        <v>-0.17386286490156144</v>
      </c>
      <c r="CI81" s="1227">
        <f t="shared" si="142"/>
        <v>0.25350140056022408</v>
      </c>
      <c r="CJ81" s="1227">
        <f t="shared" si="142"/>
        <v>0.19402400835073075</v>
      </c>
      <c r="CK81" s="1227">
        <f t="shared" si="142"/>
        <v>0.40960451977401124</v>
      </c>
      <c r="CL81" s="1231">
        <f>CL80/CH80-1</f>
        <v>0.20524830854356702</v>
      </c>
      <c r="CM81" s="1400"/>
      <c r="CN81" s="1400"/>
      <c r="CO81" s="1400"/>
    </row>
    <row r="82" spans="1:93" ht="12" customHeight="1">
      <c r="A82" s="1225" t="s">
        <v>150</v>
      </c>
      <c r="B82" s="1198"/>
      <c r="C82" s="1198"/>
      <c r="D82" s="1198"/>
      <c r="E82" s="1198"/>
      <c r="F82" s="1226"/>
      <c r="G82" s="1227"/>
      <c r="H82" s="1227"/>
      <c r="I82" s="1227"/>
      <c r="J82" s="1227"/>
      <c r="K82" s="1227"/>
      <c r="L82" s="1227"/>
      <c r="M82" s="1227"/>
      <c r="N82" s="1227"/>
      <c r="O82" s="1227"/>
      <c r="P82" s="1229"/>
      <c r="Q82" s="1229"/>
      <c r="R82" s="1230"/>
      <c r="S82" s="1227"/>
      <c r="T82" s="1400"/>
      <c r="U82" s="1400"/>
      <c r="V82" s="1400"/>
      <c r="W82" s="1400"/>
      <c r="X82" s="1226"/>
      <c r="Y82" s="1226"/>
      <c r="Z82" s="1226"/>
      <c r="AA82" s="1226"/>
      <c r="AB82" s="1226"/>
      <c r="AC82" s="1226"/>
      <c r="AD82" s="1226"/>
      <c r="AE82" s="1226"/>
      <c r="AF82" s="1226"/>
      <c r="AG82" s="1226"/>
      <c r="AH82" s="1198"/>
      <c r="AI82" s="1226"/>
      <c r="AJ82" s="1226"/>
      <c r="AK82" s="1226"/>
      <c r="AL82" s="1226"/>
      <c r="AM82" s="1226"/>
      <c r="AN82" s="1226"/>
      <c r="AO82" s="1226"/>
      <c r="AP82" s="1226"/>
      <c r="AQ82" s="1227"/>
      <c r="AR82" s="1227"/>
      <c r="AS82" s="1227"/>
      <c r="AT82" s="1227"/>
      <c r="AU82" s="1227"/>
      <c r="AV82" s="1227"/>
      <c r="AW82" s="1227"/>
      <c r="AX82" s="1227"/>
      <c r="AY82" s="1227"/>
      <c r="AZ82" s="1227"/>
      <c r="BA82" s="1227"/>
      <c r="BB82" s="1227"/>
      <c r="BC82" s="1227">
        <f t="shared" ref="BC82:CC82" si="143">BC80/BB80-1</f>
        <v>8.9523809523809561E-2</v>
      </c>
      <c r="BD82" s="1227">
        <f t="shared" si="143"/>
        <v>-0.80769230769230771</v>
      </c>
      <c r="BE82" s="1227">
        <f t="shared" si="143"/>
        <v>-1.3636363636363638</v>
      </c>
      <c r="BF82" s="1227">
        <f t="shared" si="143"/>
        <v>-3.6749999999999998</v>
      </c>
      <c r="BG82" s="1227">
        <f t="shared" si="143"/>
        <v>0.39252336448598135</v>
      </c>
      <c r="BH82" s="1227">
        <f t="shared" si="143"/>
        <v>0.52348993288590595</v>
      </c>
      <c r="BI82" s="1227">
        <f t="shared" si="143"/>
        <v>0.48017621145374445</v>
      </c>
      <c r="BJ82" s="1227">
        <f t="shared" si="143"/>
        <v>-0.12202380952380953</v>
      </c>
      <c r="BK82" s="1227">
        <f t="shared" si="143"/>
        <v>-2.033898305084747E-2</v>
      </c>
      <c r="BL82" s="1227">
        <f t="shared" si="143"/>
        <v>-3.4602076124567449E-2</v>
      </c>
      <c r="BM82" s="1227">
        <f t="shared" si="143"/>
        <v>-0.63082437275985659</v>
      </c>
      <c r="BN82" s="1231">
        <f t="shared" si="143"/>
        <v>0.85436893203883502</v>
      </c>
      <c r="BO82" s="1227">
        <f t="shared" si="143"/>
        <v>-0.36649214659685869</v>
      </c>
      <c r="BP82" s="1227">
        <f t="shared" si="143"/>
        <v>-2.4793388429752095E-2</v>
      </c>
      <c r="BQ82" s="1230">
        <f t="shared" si="143"/>
        <v>-0.93220338983050843</v>
      </c>
      <c r="BR82" s="1227">
        <f t="shared" si="143"/>
        <v>-14.625</v>
      </c>
      <c r="BS82" s="1227">
        <f t="shared" si="143"/>
        <v>7.3394495412844041E-2</v>
      </c>
      <c r="BT82" s="1227">
        <f t="shared" si="143"/>
        <v>0.11619658119658127</v>
      </c>
      <c r="BU82" s="1230">
        <f t="shared" si="143"/>
        <v>0.16198935640721324</v>
      </c>
      <c r="BV82" s="1231">
        <f t="shared" si="143"/>
        <v>0.77924217462932455</v>
      </c>
      <c r="BW82" s="1227">
        <f t="shared" si="143"/>
        <v>-7.537037037037031E-2</v>
      </c>
      <c r="BX82" s="1227">
        <f t="shared" si="143"/>
        <v>3.3446825555778048E-2</v>
      </c>
      <c r="BY82" s="1229">
        <f t="shared" si="143"/>
        <v>-3.8759689922480578E-2</v>
      </c>
      <c r="BZ82" s="1231">
        <f t="shared" si="143"/>
        <v>-0.28393145161290323</v>
      </c>
      <c r="CA82" s="1227">
        <f t="shared" si="143"/>
        <v>2.4861334009065983E-2</v>
      </c>
      <c r="CB82" s="1227">
        <f t="shared" si="143"/>
        <v>-9.4670329670329734E-2</v>
      </c>
      <c r="CC82" s="1227">
        <f t="shared" si="143"/>
        <v>0.14468046367664011</v>
      </c>
      <c r="CD82" s="1231">
        <f t="shared" ref="CD82:CK82" si="144">CD80/CC80-1</f>
        <v>0.17147113870493991</v>
      </c>
      <c r="CE82" s="1227">
        <f t="shared" si="144"/>
        <v>-0.35369993211133732</v>
      </c>
      <c r="CF82" s="1227">
        <f t="shared" si="144"/>
        <v>7.338935574229688E-2</v>
      </c>
      <c r="CG82" s="1227">
        <f t="shared" si="144"/>
        <v>-7.6200417536534504E-2</v>
      </c>
      <c r="CH82" s="1231">
        <f t="shared" si="144"/>
        <v>0.2890889830508474</v>
      </c>
      <c r="CI82" s="1227">
        <f t="shared" si="144"/>
        <v>-1.9366148957734142E-2</v>
      </c>
      <c r="CJ82" s="1227">
        <f t="shared" si="144"/>
        <v>2.2458100558659266E-2</v>
      </c>
      <c r="CK82" s="1227">
        <f t="shared" si="144"/>
        <v>9.0591192219429573E-2</v>
      </c>
      <c r="CL82" s="1231">
        <f>CL80/CK80-1</f>
        <v>0.10220440881763526</v>
      </c>
      <c r="CM82" s="1400"/>
      <c r="CN82" s="1400"/>
      <c r="CO82" s="1400"/>
    </row>
    <row r="83" spans="1:93" ht="12" customHeight="1">
      <c r="A83" s="1225" t="s">
        <v>158</v>
      </c>
      <c r="B83" s="1198"/>
      <c r="C83" s="1198"/>
      <c r="D83" s="1198"/>
      <c r="E83" s="1198"/>
      <c r="F83" s="1227"/>
      <c r="G83" s="1227"/>
      <c r="H83" s="1227"/>
      <c r="I83" s="1227"/>
      <c r="J83" s="1227">
        <f t="shared" ref="J83:S83" si="145">J80/J$34</f>
        <v>-6.7204475961225682E-2</v>
      </c>
      <c r="K83" s="1227">
        <f t="shared" si="145"/>
        <v>-5.7320828667413212E-2</v>
      </c>
      <c r="L83" s="1227">
        <f t="shared" si="145"/>
        <v>-6.995437757983923E-2</v>
      </c>
      <c r="M83" s="1227">
        <f t="shared" si="145"/>
        <v>-3.1503991944184712E-2</v>
      </c>
      <c r="N83" s="1227">
        <f t="shared" si="145"/>
        <v>3.6511168569992099E-2</v>
      </c>
      <c r="O83" s="1227">
        <f t="shared" si="145"/>
        <v>7.4441138046160552E-2</v>
      </c>
      <c r="P83" s="1229">
        <f t="shared" si="145"/>
        <v>5.2910129870129864E-2</v>
      </c>
      <c r="Q83" s="1229">
        <f t="shared" si="145"/>
        <v>5.3499309560555604E-2</v>
      </c>
      <c r="R83" s="1230">
        <f t="shared" si="145"/>
        <v>6.3440323955669217E-2</v>
      </c>
      <c r="S83" s="1227">
        <f t="shared" si="145"/>
        <v>7.7301475755446242E-2</v>
      </c>
      <c r="T83" s="1400"/>
      <c r="U83" s="1400"/>
      <c r="V83" s="1400"/>
      <c r="W83" s="1400"/>
      <c r="X83" s="1226"/>
      <c r="Y83" s="1226"/>
      <c r="Z83" s="1226"/>
      <c r="AA83" s="1226"/>
      <c r="AB83" s="1226"/>
      <c r="AC83" s="1226"/>
      <c r="AD83" s="1226"/>
      <c r="AE83" s="1226"/>
      <c r="AF83" s="1226"/>
      <c r="AG83" s="1226"/>
      <c r="AH83" s="1198"/>
      <c r="AI83" s="1226"/>
      <c r="AJ83" s="1226"/>
      <c r="AK83" s="1226"/>
      <c r="AL83" s="1226"/>
      <c r="AM83" s="1226"/>
      <c r="AN83" s="1226"/>
      <c r="AO83" s="1226"/>
      <c r="AP83" s="1226"/>
      <c r="AQ83" s="1227"/>
      <c r="AR83" s="1227"/>
      <c r="AS83" s="1227"/>
      <c r="AT83" s="1227"/>
      <c r="AU83" s="1227"/>
      <c r="AV83" s="1227"/>
      <c r="AW83" s="1227"/>
      <c r="AX83" s="1227"/>
      <c r="AY83" s="1227"/>
      <c r="AZ83" s="1227"/>
      <c r="BA83" s="1227"/>
      <c r="BB83" s="1227">
        <f t="shared" ref="BB83:CG83" si="146">BB80/BB$34</f>
        <v>-0.13181019332161686</v>
      </c>
      <c r="BC83" s="1227">
        <f t="shared" si="146"/>
        <v>-0.14625415494758373</v>
      </c>
      <c r="BD83" s="1227">
        <f t="shared" si="146"/>
        <v>-2.9162248144220571E-2</v>
      </c>
      <c r="BE83" s="1227">
        <f t="shared" si="146"/>
        <v>1.0796221322537112E-2</v>
      </c>
      <c r="BF83" s="1227">
        <f t="shared" si="146"/>
        <v>-2.9525386313465785E-2</v>
      </c>
      <c r="BG83" s="1227">
        <f t="shared" si="146"/>
        <v>-4.1434927697441601E-2</v>
      </c>
      <c r="BH83" s="1227">
        <f t="shared" si="146"/>
        <v>-6.3585434173669464E-2</v>
      </c>
      <c r="BI83" s="1227">
        <f t="shared" si="146"/>
        <v>-9.6054888507718691E-2</v>
      </c>
      <c r="BJ83" s="1227">
        <f t="shared" si="146"/>
        <v>-8.4745762711864403E-2</v>
      </c>
      <c r="BK83" s="1227">
        <f t="shared" si="146"/>
        <v>-8.3962812318419525E-2</v>
      </c>
      <c r="BL83" s="1227">
        <f t="shared" si="146"/>
        <v>-8.0893012467381856E-2</v>
      </c>
      <c r="BM83" s="1227">
        <f t="shared" si="146"/>
        <v>-2.9967995344777423E-2</v>
      </c>
      <c r="BN83" s="1231">
        <f t="shared" si="146"/>
        <v>-5.5378370542186139E-2</v>
      </c>
      <c r="BO83" s="1227">
        <f t="shared" si="146"/>
        <v>-3.4870317002881845E-2</v>
      </c>
      <c r="BP83" s="1227">
        <f t="shared" si="146"/>
        <v>-3.3675799086757989E-2</v>
      </c>
      <c r="BQ83" s="1230">
        <f t="shared" si="146"/>
        <v>-2.2988505747126436E-3</v>
      </c>
      <c r="BR83" s="1227">
        <f t="shared" si="146"/>
        <v>3.135788262370541E-2</v>
      </c>
      <c r="BS83" s="1227">
        <f t="shared" si="146"/>
        <v>3.369815668202765E-2</v>
      </c>
      <c r="BT83" s="1227">
        <f t="shared" si="146"/>
        <v>3.745196443934614E-2</v>
      </c>
      <c r="BU83" s="1230">
        <f t="shared" si="146"/>
        <v>4.3506307339449539E-2</v>
      </c>
      <c r="BV83" s="1231">
        <f t="shared" si="146"/>
        <v>7.8351712130005802E-2</v>
      </c>
      <c r="BW83" s="1227">
        <f t="shared" si="146"/>
        <v>7.2090672827028593E-2</v>
      </c>
      <c r="BX83" s="1227">
        <f t="shared" si="146"/>
        <v>7.5131042516016308E-2</v>
      </c>
      <c r="BY83" s="1229">
        <f>BY80/BY$34</f>
        <v>7.2197962154294026E-2</v>
      </c>
      <c r="BZ83" s="1231">
        <f t="shared" si="146"/>
        <v>5.2246248896734335E-2</v>
      </c>
      <c r="CA83" s="1227">
        <f>CA80/CA$34</f>
        <v>5.3814311058545242E-2</v>
      </c>
      <c r="CB83" s="1227">
        <f>CB80/CB$34</f>
        <v>4.8762947617638351E-2</v>
      </c>
      <c r="CC83" s="1227">
        <f t="shared" si="146"/>
        <v>5.6895625942684762E-2</v>
      </c>
      <c r="CD83" s="1231">
        <f t="shared" si="146"/>
        <v>6.9634415379766779E-2</v>
      </c>
      <c r="CE83" s="1227">
        <f>CE80/CE$34</f>
        <v>4.6213592233009713E-2</v>
      </c>
      <c r="CF83" s="1227">
        <f>CF80/CF$34</f>
        <v>5.0189914865749835E-2</v>
      </c>
      <c r="CG83" s="1227">
        <f t="shared" si="146"/>
        <v>4.7294589178356709E-2</v>
      </c>
      <c r="CH83" s="1231">
        <f>CH80/CH$34</f>
        <v>6.1542481456507078E-2</v>
      </c>
      <c r="CI83" s="1227">
        <f>CI80/CI$34</f>
        <v>6.1092150170648465E-2</v>
      </c>
      <c r="CJ83" s="1227">
        <f>CJ80/CJ$34</f>
        <v>6.2357751277683136E-2</v>
      </c>
      <c r="CK83" s="1227">
        <f>CK80/CK$34</f>
        <v>6.8851328044153157E-2</v>
      </c>
      <c r="CL83" s="1231">
        <f>CL80/CL$34</f>
        <v>7.7301475755446242E-2</v>
      </c>
      <c r="CM83" s="1400"/>
      <c r="CN83" s="1400"/>
      <c r="CO83" s="1400"/>
    </row>
    <row r="84" spans="1:93" ht="15" customHeight="1">
      <c r="A84" s="1191" t="s">
        <v>172</v>
      </c>
      <c r="B84" s="1191"/>
      <c r="C84" s="1191"/>
      <c r="D84" s="1191"/>
      <c r="E84" s="1191"/>
      <c r="F84" s="1292"/>
      <c r="G84" s="1292"/>
      <c r="H84" s="1292"/>
      <c r="I84" s="1292"/>
      <c r="J84" s="1292">
        <f>ROUND(J80/J91,2)</f>
        <v>-0.61</v>
      </c>
      <c r="K84" s="1292">
        <f>ROUND(K80/K91,2)</f>
        <v>-0.47</v>
      </c>
      <c r="L84" s="1292">
        <f>ROUND(L80/L91,2)</f>
        <v>-0.54</v>
      </c>
      <c r="M84" s="1292">
        <f>ROUND(M80/M91,2)</f>
        <v>-0.24</v>
      </c>
      <c r="N84" s="1292">
        <f>SUM(BR84:BU84)</f>
        <v>0.27</v>
      </c>
      <c r="O84" s="1292">
        <f>SUM(BV84:BY84)</f>
        <v>0.53</v>
      </c>
      <c r="P84" s="1293">
        <f>(P80/P91)</f>
        <v>0.40816275123599982</v>
      </c>
      <c r="Q84" s="1293">
        <f ca="1">(Q80/Q91)</f>
        <v>0.38468923639072683</v>
      </c>
      <c r="R84" s="1294">
        <f ca="1">(R80/R91)</f>
        <v>0.43299616319624257</v>
      </c>
      <c r="S84" s="1292">
        <f ca="1">(S80/S91)</f>
        <v>0.12801266161598529</v>
      </c>
      <c r="T84" s="1400"/>
      <c r="U84" s="1400"/>
      <c r="V84" s="1400"/>
      <c r="W84" s="1400"/>
      <c r="X84" s="1213"/>
      <c r="Y84" s="1213"/>
      <c r="Z84" s="1213"/>
      <c r="AA84" s="1213"/>
      <c r="AB84" s="1213"/>
      <c r="AC84" s="1213"/>
      <c r="AD84" s="1213"/>
      <c r="AE84" s="1213"/>
      <c r="AF84" s="1213"/>
      <c r="AG84" s="1213"/>
      <c r="AH84" s="1213"/>
      <c r="AI84" s="1213"/>
      <c r="AJ84" s="1213"/>
      <c r="AK84" s="1213"/>
      <c r="AL84" s="1213"/>
      <c r="AM84" s="1213"/>
      <c r="AN84" s="1213"/>
      <c r="AO84" s="1213"/>
      <c r="AP84" s="1213"/>
      <c r="AQ84" s="1295"/>
      <c r="AR84" s="1295"/>
      <c r="AS84" s="1295"/>
      <c r="AT84" s="1295"/>
      <c r="AU84" s="1295"/>
      <c r="AV84" s="1295"/>
      <c r="AW84" s="1295"/>
      <c r="AX84" s="1295"/>
      <c r="AY84" s="1295"/>
      <c r="AZ84" s="1295"/>
      <c r="BA84" s="1295"/>
      <c r="BB84" s="1296">
        <f t="shared" ref="BB84:BY84" si="147">ROUND(BB80/BB91,2)</f>
        <v>-0.32</v>
      </c>
      <c r="BC84" s="1296">
        <f t="shared" si="147"/>
        <v>-0.34</v>
      </c>
      <c r="BD84" s="1296">
        <f t="shared" si="147"/>
        <v>-7.0000000000000007E-2</v>
      </c>
      <c r="BE84" s="1296">
        <f t="shared" si="147"/>
        <v>0.02</v>
      </c>
      <c r="BF84" s="1296">
        <f t="shared" si="147"/>
        <v>-0.06</v>
      </c>
      <c r="BG84" s="1296">
        <f t="shared" si="147"/>
        <v>-0.09</v>
      </c>
      <c r="BH84" s="1296">
        <f t="shared" si="147"/>
        <v>-0.13</v>
      </c>
      <c r="BI84" s="1296">
        <f t="shared" si="147"/>
        <v>-0.19</v>
      </c>
      <c r="BJ84" s="1296">
        <f t="shared" si="147"/>
        <v>-0.17</v>
      </c>
      <c r="BK84" s="1296">
        <f t="shared" si="147"/>
        <v>-0.16</v>
      </c>
      <c r="BL84" s="1296">
        <f t="shared" si="147"/>
        <v>-0.15</v>
      </c>
      <c r="BM84" s="1296">
        <f t="shared" si="147"/>
        <v>-0.06</v>
      </c>
      <c r="BN84" s="1297">
        <f t="shared" si="147"/>
        <v>-0.1</v>
      </c>
      <c r="BO84" s="1296">
        <f t="shared" si="147"/>
        <v>-7.0000000000000007E-2</v>
      </c>
      <c r="BP84" s="1296">
        <f t="shared" si="147"/>
        <v>-0.06</v>
      </c>
      <c r="BQ84" s="1298">
        <f t="shared" si="147"/>
        <v>0</v>
      </c>
      <c r="BR84" s="1296">
        <f t="shared" si="147"/>
        <v>0.06</v>
      </c>
      <c r="BS84" s="1296">
        <f t="shared" si="147"/>
        <v>0.06</v>
      </c>
      <c r="BT84" s="1296">
        <f t="shared" si="147"/>
        <v>7.0000000000000007E-2</v>
      </c>
      <c r="BU84" s="1298">
        <f t="shared" si="147"/>
        <v>0.08</v>
      </c>
      <c r="BV84" s="1299">
        <f t="shared" si="147"/>
        <v>0.14000000000000001</v>
      </c>
      <c r="BW84" s="1300">
        <f t="shared" si="147"/>
        <v>0.13</v>
      </c>
      <c r="BX84" s="1300">
        <f t="shared" si="147"/>
        <v>0.13</v>
      </c>
      <c r="BY84" s="1301">
        <f t="shared" si="147"/>
        <v>0.13</v>
      </c>
      <c r="BZ84" s="1299">
        <f t="shared" ref="BZ84:CG84" si="148">BZ80/BZ91</f>
        <v>0.10037786187269136</v>
      </c>
      <c r="CA84" s="1300">
        <f t="shared" si="148"/>
        <v>0.10430032533678403</v>
      </c>
      <c r="CB84" s="1300">
        <f>CB80/CB91</f>
        <v>9.6146159434454953E-2</v>
      </c>
      <c r="CC84" s="1300">
        <f t="shared" si="148"/>
        <v>0.11109906842633852</v>
      </c>
      <c r="CD84" s="1299">
        <f t="shared" si="148"/>
        <v>0.12945110855144826</v>
      </c>
      <c r="CE84" s="1300">
        <f>CE80/CE91</f>
        <v>8.2889764739344202E-2</v>
      </c>
      <c r="CF84" s="1300">
        <f t="shared" si="148"/>
        <v>8.9142088814086876E-2</v>
      </c>
      <c r="CG84" s="1300">
        <f t="shared" si="148"/>
        <v>8.2299216936899872E-2</v>
      </c>
      <c r="CH84" s="1299">
        <f>CH80/CH91</f>
        <v>0.10494105743055815</v>
      </c>
      <c r="CI84" s="1300">
        <f>CI80/CI91</f>
        <v>0.1016185738315709</v>
      </c>
      <c r="CJ84" s="1300">
        <f>CJ80/CJ91</f>
        <v>0.10598991873835976</v>
      </c>
      <c r="CK84" s="1300">
        <f>CK80/CK91</f>
        <v>0.11504541584940808</v>
      </c>
      <c r="CL84" s="1299">
        <f>CL80/CL91</f>
        <v>0.1238927786841348</v>
      </c>
      <c r="CM84" s="1400"/>
      <c r="CN84" s="1400"/>
      <c r="CO84" s="1400"/>
    </row>
    <row r="85" spans="1:93" ht="12" customHeight="1">
      <c r="A85" s="1225" t="s">
        <v>993</v>
      </c>
      <c r="B85" s="1198"/>
      <c r="C85" s="1198"/>
      <c r="D85" s="1198"/>
      <c r="E85" s="1198"/>
      <c r="F85" s="1226"/>
      <c r="G85" s="1227"/>
      <c r="H85" s="1227"/>
      <c r="I85" s="1227"/>
      <c r="J85" s="1227"/>
      <c r="K85" s="1227">
        <f t="shared" ref="K85:S85" si="149">K84/J84-1</f>
        <v>-0.22950819672131151</v>
      </c>
      <c r="L85" s="1227">
        <f t="shared" si="149"/>
        <v>0.14893617021276606</v>
      </c>
      <c r="M85" s="1227">
        <f t="shared" si="149"/>
        <v>-0.55555555555555558</v>
      </c>
      <c r="N85" s="1227">
        <f t="shared" si="149"/>
        <v>-2.125</v>
      </c>
      <c r="O85" s="1227">
        <f t="shared" si="149"/>
        <v>0.96296296296296302</v>
      </c>
      <c r="P85" s="1229">
        <f t="shared" si="149"/>
        <v>-0.22988160144150982</v>
      </c>
      <c r="Q85" s="1229">
        <f t="shared" ca="1" si="149"/>
        <v>-5.7510183803373582E-2</v>
      </c>
      <c r="R85" s="1230">
        <f t="shared" ca="1" si="149"/>
        <v>0.125573897670614</v>
      </c>
      <c r="S85" s="1227">
        <f t="shared" ca="1" si="149"/>
        <v>-0.70435612946074211</v>
      </c>
      <c r="T85" s="1400"/>
      <c r="U85" s="1400"/>
      <c r="V85" s="1400"/>
      <c r="W85" s="1400"/>
      <c r="X85" s="1226"/>
      <c r="Y85" s="1226"/>
      <c r="Z85" s="1226"/>
      <c r="AA85" s="1226"/>
      <c r="AB85" s="1226"/>
      <c r="AC85" s="1226"/>
      <c r="AD85" s="1226"/>
      <c r="AE85" s="1226"/>
      <c r="AF85" s="1226"/>
      <c r="AG85" s="1226"/>
      <c r="AH85" s="1226"/>
      <c r="AI85" s="1226"/>
      <c r="AJ85" s="1226"/>
      <c r="AK85" s="1226"/>
      <c r="AL85" s="1226"/>
      <c r="AM85" s="1226"/>
      <c r="AN85" s="1226"/>
      <c r="AO85" s="1226"/>
      <c r="AP85" s="1226"/>
      <c r="AQ85" s="1227"/>
      <c r="AR85" s="1227"/>
      <c r="AS85" s="1227"/>
      <c r="AT85" s="1227"/>
      <c r="AU85" s="1227"/>
      <c r="AV85" s="1227"/>
      <c r="AW85" s="1227"/>
      <c r="AX85" s="1227"/>
      <c r="AY85" s="1227"/>
      <c r="AZ85" s="1227"/>
      <c r="BA85" s="1227"/>
      <c r="BB85" s="1227"/>
      <c r="BC85" s="1227"/>
      <c r="BD85" s="1227"/>
      <c r="BE85" s="1227"/>
      <c r="BF85" s="1227">
        <f t="shared" ref="BF85:BT85" si="150">BF84/BB84-1</f>
        <v>-0.8125</v>
      </c>
      <c r="BG85" s="1227">
        <f t="shared" si="150"/>
        <v>-0.73529411764705888</v>
      </c>
      <c r="BH85" s="1227">
        <f t="shared" si="150"/>
        <v>0.85714285714285698</v>
      </c>
      <c r="BI85" s="1227">
        <f t="shared" si="150"/>
        <v>-10.5</v>
      </c>
      <c r="BJ85" s="1227">
        <f t="shared" si="150"/>
        <v>1.8333333333333335</v>
      </c>
      <c r="BK85" s="1227">
        <f t="shared" si="150"/>
        <v>0.7777777777777779</v>
      </c>
      <c r="BL85" s="1227">
        <f t="shared" si="150"/>
        <v>0.15384615384615374</v>
      </c>
      <c r="BM85" s="1227">
        <f t="shared" si="150"/>
        <v>-0.68421052631578949</v>
      </c>
      <c r="BN85" s="1231">
        <f t="shared" si="150"/>
        <v>-0.41176470588235292</v>
      </c>
      <c r="BO85" s="1227">
        <f t="shared" si="150"/>
        <v>-0.5625</v>
      </c>
      <c r="BP85" s="1227">
        <f t="shared" si="150"/>
        <v>-0.6</v>
      </c>
      <c r="BQ85" s="1230">
        <f t="shared" si="150"/>
        <v>-1</v>
      </c>
      <c r="BR85" s="1227">
        <f t="shared" si="150"/>
        <v>-1.6</v>
      </c>
      <c r="BS85" s="1227">
        <f t="shared" si="150"/>
        <v>-1.857142857142857</v>
      </c>
      <c r="BT85" s="1227">
        <f t="shared" si="150"/>
        <v>-2.166666666666667</v>
      </c>
      <c r="BU85" s="1230"/>
      <c r="BV85" s="1231">
        <f t="shared" ref="BV85:CB85" si="151">BV84/BR84-1</f>
        <v>1.3333333333333335</v>
      </c>
      <c r="BW85" s="1227">
        <f t="shared" si="151"/>
        <v>1.166666666666667</v>
      </c>
      <c r="BX85" s="1227">
        <f t="shared" si="151"/>
        <v>0.85714285714285698</v>
      </c>
      <c r="BY85" s="1229">
        <f t="shared" si="151"/>
        <v>0.625</v>
      </c>
      <c r="BZ85" s="1231">
        <f t="shared" si="151"/>
        <v>-0.2830152723379189</v>
      </c>
      <c r="CA85" s="1227">
        <f t="shared" si="151"/>
        <v>-0.19768980510166134</v>
      </c>
      <c r="CB85" s="1227">
        <f t="shared" si="151"/>
        <v>-0.26041415819650038</v>
      </c>
      <c r="CC85" s="1227">
        <f t="shared" ref="CC85:CK85" si="152">CC84/BY84-1</f>
        <v>-0.14539178133585762</v>
      </c>
      <c r="CD85" s="1231">
        <f t="shared" si="152"/>
        <v>0.28963803508417341</v>
      </c>
      <c r="CE85" s="1227">
        <f t="shared" si="152"/>
        <v>-0.20527798478389669</v>
      </c>
      <c r="CF85" s="1227">
        <f t="shared" si="152"/>
        <v>-7.2848158070660252E-2</v>
      </c>
      <c r="CG85" s="1227">
        <f t="shared" si="152"/>
        <v>-0.25922675948028917</v>
      </c>
      <c r="CH85" s="1231">
        <f t="shared" si="152"/>
        <v>-0.18933828682624976</v>
      </c>
      <c r="CI85" s="1227">
        <f t="shared" si="152"/>
        <v>0.22594839243568199</v>
      </c>
      <c r="CJ85" s="1227">
        <f t="shared" si="152"/>
        <v>0.18899972110155971</v>
      </c>
      <c r="CK85" s="1227">
        <f t="shared" si="152"/>
        <v>0.39789198647680024</v>
      </c>
      <c r="CL85" s="1231">
        <f>CL84/CH84-1</f>
        <v>0.1805939611969074</v>
      </c>
      <c r="CM85" s="1400"/>
      <c r="CN85" s="1400"/>
      <c r="CO85" s="1400"/>
    </row>
    <row r="86" spans="1:93" ht="15" hidden="1" customHeight="1" outlineLevel="1">
      <c r="A86" s="1198" t="s">
        <v>173</v>
      </c>
      <c r="B86" s="1198"/>
      <c r="C86" s="1198"/>
      <c r="D86" s="1198"/>
      <c r="E86" s="1198"/>
      <c r="F86" s="1198"/>
      <c r="G86" s="1198"/>
      <c r="H86" s="1198"/>
      <c r="I86" s="1302"/>
      <c r="J86" s="1302">
        <f t="shared" ref="J86:S86" si="153">ROUND((J80+J55*0.6)/J91,2)</f>
        <v>-0.41</v>
      </c>
      <c r="K86" s="1302">
        <f t="shared" si="153"/>
        <v>-0.32</v>
      </c>
      <c r="L86" s="1302">
        <f t="shared" si="153"/>
        <v>-0.37</v>
      </c>
      <c r="M86" s="1302">
        <f t="shared" si="153"/>
        <v>-0.09</v>
      </c>
      <c r="N86" s="1302">
        <f t="shared" si="153"/>
        <v>0.39</v>
      </c>
      <c r="O86" s="1302">
        <f t="shared" si="153"/>
        <v>0.6</v>
      </c>
      <c r="P86" s="1303">
        <f>ROUND((P80+P55*0.6)/P91,2)</f>
        <v>0.49</v>
      </c>
      <c r="Q86" s="1303">
        <f t="shared" ca="1" si="153"/>
        <v>0.47</v>
      </c>
      <c r="R86" s="1304">
        <f t="shared" ca="1" si="153"/>
        <v>0.52</v>
      </c>
      <c r="S86" s="1302">
        <f t="shared" ca="1" si="153"/>
        <v>0.15</v>
      </c>
      <c r="T86" s="1400"/>
      <c r="U86" s="1400"/>
      <c r="V86" s="1400"/>
      <c r="W86" s="1400"/>
      <c r="X86" s="1198"/>
      <c r="Y86" s="1198"/>
      <c r="Z86" s="1198"/>
      <c r="AA86" s="1198"/>
      <c r="AB86" s="1198"/>
      <c r="AC86" s="1198"/>
      <c r="AD86" s="1198"/>
      <c r="AE86" s="1198"/>
      <c r="AF86" s="1198"/>
      <c r="AG86" s="1198"/>
      <c r="AH86" s="1198"/>
      <c r="AI86" s="1198"/>
      <c r="AJ86" s="1198"/>
      <c r="AK86" s="1198"/>
      <c r="AL86" s="1198"/>
      <c r="AM86" s="1198"/>
      <c r="AN86" s="1198"/>
      <c r="AO86" s="1198"/>
      <c r="AP86" s="1198"/>
      <c r="AQ86" s="1302"/>
      <c r="AR86" s="1302"/>
      <c r="AS86" s="1302"/>
      <c r="AT86" s="1302"/>
      <c r="AU86" s="1302"/>
      <c r="AV86" s="1302"/>
      <c r="AW86" s="1302"/>
      <c r="AX86" s="1302"/>
      <c r="AY86" s="1302"/>
      <c r="AZ86" s="1302"/>
      <c r="BA86" s="1302"/>
      <c r="BB86" s="1302">
        <f t="shared" ref="BB86:BZ86" si="154">ROUND((BB80+BB55*0.6)/BB91,2)</f>
        <v>-0.25</v>
      </c>
      <c r="BC86" s="1302">
        <f t="shared" si="154"/>
        <v>-0.27</v>
      </c>
      <c r="BD86" s="1302">
        <f t="shared" si="154"/>
        <v>-0.03</v>
      </c>
      <c r="BE86" s="1302">
        <f t="shared" si="154"/>
        <v>0.03</v>
      </c>
      <c r="BF86" s="1302">
        <f t="shared" si="154"/>
        <v>-0.02</v>
      </c>
      <c r="BG86" s="1302">
        <f t="shared" si="154"/>
        <v>-0.05</v>
      </c>
      <c r="BH86" s="1302">
        <f t="shared" si="154"/>
        <v>-0.09</v>
      </c>
      <c r="BI86" s="1302">
        <f t="shared" si="154"/>
        <v>-0.16</v>
      </c>
      <c r="BJ86" s="1302">
        <f t="shared" si="154"/>
        <v>-0.12</v>
      </c>
      <c r="BK86" s="1302">
        <f t="shared" si="154"/>
        <v>-0.12</v>
      </c>
      <c r="BL86" s="1302">
        <f t="shared" si="154"/>
        <v>-0.11</v>
      </c>
      <c r="BM86" s="1302">
        <f t="shared" si="154"/>
        <v>-0.01</v>
      </c>
      <c r="BN86" s="1305">
        <f t="shared" si="154"/>
        <v>-0.06</v>
      </c>
      <c r="BO86" s="1302">
        <f t="shared" si="154"/>
        <v>-0.03</v>
      </c>
      <c r="BP86" s="1302">
        <f t="shared" si="154"/>
        <v>-0.03</v>
      </c>
      <c r="BQ86" s="1304">
        <f t="shared" si="154"/>
        <v>0.03</v>
      </c>
      <c r="BR86" s="1302">
        <f t="shared" si="154"/>
        <v>0.09</v>
      </c>
      <c r="BS86" s="1302">
        <f t="shared" si="154"/>
        <v>0.09</v>
      </c>
      <c r="BT86" s="1302">
        <f t="shared" si="154"/>
        <v>0.09</v>
      </c>
      <c r="BU86" s="1304">
        <f t="shared" si="154"/>
        <v>0.1</v>
      </c>
      <c r="BV86" s="1305">
        <f t="shared" si="154"/>
        <v>0.16</v>
      </c>
      <c r="BW86" s="1302">
        <f t="shared" si="154"/>
        <v>0.15</v>
      </c>
      <c r="BX86" s="1302">
        <f t="shared" si="154"/>
        <v>0.15</v>
      </c>
      <c r="BY86" s="1303">
        <f t="shared" si="154"/>
        <v>0.15</v>
      </c>
      <c r="BZ86" s="1305">
        <f t="shared" si="154"/>
        <v>0.12</v>
      </c>
      <c r="CA86" s="1302">
        <f t="shared" ref="CA86:CG86" si="155">ROUND((CA80+CA55*0.6)/CA91,2)</f>
        <v>0.12</v>
      </c>
      <c r="CB86" s="1302">
        <f t="shared" si="155"/>
        <v>0.12</v>
      </c>
      <c r="CC86" s="1302">
        <f t="shared" si="155"/>
        <v>0.13</v>
      </c>
      <c r="CD86" s="1305">
        <f t="shared" si="155"/>
        <v>0.15</v>
      </c>
      <c r="CE86" s="1302">
        <f>ROUND((CE80+CE55*0.6)/CE91,2)</f>
        <v>0.1</v>
      </c>
      <c r="CF86" s="1302">
        <f t="shared" si="155"/>
        <v>0.11</v>
      </c>
      <c r="CG86" s="1302">
        <f t="shared" si="155"/>
        <v>0.1</v>
      </c>
      <c r="CH86" s="1305">
        <f>ROUND((CH80+CH55*0.6)/CH91,2)</f>
        <v>0.12</v>
      </c>
      <c r="CI86" s="1302">
        <f>ROUND((CI80+CI55*0.6)/CI91,2)</f>
        <v>0.12</v>
      </c>
      <c r="CJ86" s="1302">
        <f>ROUND((CJ80+CJ55*0.6)/CJ91,2)</f>
        <v>0.13</v>
      </c>
      <c r="CK86" s="1302">
        <f>ROUND((CK80+CK55*0.6)/CK91,2)</f>
        <v>0.14000000000000001</v>
      </c>
      <c r="CL86" s="1305">
        <f>ROUND((CL80+CL55*0.6)/CL91,2)</f>
        <v>0.14000000000000001</v>
      </c>
      <c r="CM86" s="1400"/>
      <c r="CN86" s="1400"/>
      <c r="CO86" s="1400"/>
    </row>
    <row r="87" spans="1:93" ht="12" hidden="1" customHeight="1" outlineLevel="1">
      <c r="A87" s="1225" t="s">
        <v>993</v>
      </c>
      <c r="B87" s="1198"/>
      <c r="C87" s="1198"/>
      <c r="D87" s="1198"/>
      <c r="E87" s="1198"/>
      <c r="F87" s="1226"/>
      <c r="G87" s="1227"/>
      <c r="H87" s="1227"/>
      <c r="I87" s="1227"/>
      <c r="J87" s="1227"/>
      <c r="K87" s="1227">
        <f t="shared" ref="K87:S87" si="156">K86/J86-1</f>
        <v>-0.21951219512195119</v>
      </c>
      <c r="L87" s="1227">
        <f t="shared" si="156"/>
        <v>0.15625</v>
      </c>
      <c r="M87" s="1227">
        <f t="shared" si="156"/>
        <v>-0.7567567567567568</v>
      </c>
      <c r="N87" s="1227">
        <f t="shared" si="156"/>
        <v>-5.3333333333333339</v>
      </c>
      <c r="O87" s="1227">
        <f t="shared" si="156"/>
        <v>0.53846153846153832</v>
      </c>
      <c r="P87" s="1229">
        <f t="shared" si="156"/>
        <v>-0.18333333333333335</v>
      </c>
      <c r="Q87" s="1229">
        <f t="shared" ca="1" si="156"/>
        <v>-4.081632653061229E-2</v>
      </c>
      <c r="R87" s="1230">
        <f t="shared" ca="1" si="156"/>
        <v>0.1063829787234043</v>
      </c>
      <c r="S87" s="1227">
        <f t="shared" ca="1" si="156"/>
        <v>-0.71153846153846156</v>
      </c>
      <c r="T87" s="1400"/>
      <c r="U87" s="1400"/>
      <c r="V87" s="1400"/>
      <c r="W87" s="1400"/>
      <c r="X87" s="1226"/>
      <c r="Y87" s="1226"/>
      <c r="Z87" s="1226"/>
      <c r="AA87" s="1226"/>
      <c r="AB87" s="1226"/>
      <c r="AC87" s="1226"/>
      <c r="AD87" s="1226"/>
      <c r="AE87" s="1226"/>
      <c r="AF87" s="1226"/>
      <c r="AG87" s="1226"/>
      <c r="AH87" s="1226"/>
      <c r="AI87" s="1226"/>
      <c r="AJ87" s="1226"/>
      <c r="AK87" s="1226"/>
      <c r="AL87" s="1226"/>
      <c r="AM87" s="1226"/>
      <c r="AN87" s="1226"/>
      <c r="AO87" s="1226"/>
      <c r="AP87" s="1226"/>
      <c r="AQ87" s="1227"/>
      <c r="AR87" s="1227"/>
      <c r="AS87" s="1227"/>
      <c r="AT87" s="1227"/>
      <c r="AU87" s="1227"/>
      <c r="AV87" s="1227"/>
      <c r="AW87" s="1227"/>
      <c r="AX87" s="1227"/>
      <c r="AY87" s="1227"/>
      <c r="AZ87" s="1227"/>
      <c r="BA87" s="1227"/>
      <c r="BB87" s="1227"/>
      <c r="BC87" s="1227"/>
      <c r="BD87" s="1227"/>
      <c r="BE87" s="1227"/>
      <c r="BF87" s="1227">
        <f t="shared" ref="BF87:BY87" si="157">BF86/BB86-1</f>
        <v>-0.92</v>
      </c>
      <c r="BG87" s="1227">
        <f t="shared" si="157"/>
        <v>-0.81481481481481488</v>
      </c>
      <c r="BH87" s="1227">
        <f t="shared" si="157"/>
        <v>2</v>
      </c>
      <c r="BI87" s="1227">
        <f t="shared" si="157"/>
        <v>-6.3333333333333339</v>
      </c>
      <c r="BJ87" s="1227">
        <f t="shared" si="157"/>
        <v>5</v>
      </c>
      <c r="BK87" s="1227">
        <f t="shared" si="157"/>
        <v>1.4</v>
      </c>
      <c r="BL87" s="1227">
        <f t="shared" si="157"/>
        <v>0.22222222222222232</v>
      </c>
      <c r="BM87" s="1227">
        <f t="shared" si="157"/>
        <v>-0.9375</v>
      </c>
      <c r="BN87" s="1231">
        <f t="shared" si="157"/>
        <v>-0.5</v>
      </c>
      <c r="BO87" s="1227">
        <f t="shared" si="157"/>
        <v>-0.75</v>
      </c>
      <c r="BP87" s="1227">
        <f t="shared" si="157"/>
        <v>-0.72727272727272729</v>
      </c>
      <c r="BQ87" s="1230">
        <f t="shared" si="157"/>
        <v>-4</v>
      </c>
      <c r="BR87" s="1227">
        <f t="shared" si="157"/>
        <v>-2.5</v>
      </c>
      <c r="BS87" s="1227">
        <f t="shared" si="157"/>
        <v>-4</v>
      </c>
      <c r="BT87" s="1227">
        <f t="shared" si="157"/>
        <v>-4</v>
      </c>
      <c r="BU87" s="1230">
        <f t="shared" si="157"/>
        <v>2.3333333333333335</v>
      </c>
      <c r="BV87" s="1231">
        <f t="shared" si="157"/>
        <v>0.7777777777777779</v>
      </c>
      <c r="BW87" s="1227">
        <f t="shared" si="157"/>
        <v>0.66666666666666674</v>
      </c>
      <c r="BX87" s="1227">
        <f t="shared" si="157"/>
        <v>0.66666666666666674</v>
      </c>
      <c r="BY87" s="1229">
        <f t="shared" si="157"/>
        <v>0.49999999999999978</v>
      </c>
      <c r="BZ87" s="1231">
        <f>BZ86/BV86-1</f>
        <v>-0.25</v>
      </c>
      <c r="CA87" s="1227">
        <f>CA86/BW86-1</f>
        <v>-0.19999999999999996</v>
      </c>
      <c r="CB87" s="1227">
        <f>CB86/BX86-1</f>
        <v>-0.19999999999999996</v>
      </c>
      <c r="CC87" s="1230">
        <f t="shared" ref="CC87:CK87" si="158">CC86/BY86-1</f>
        <v>-0.1333333333333333</v>
      </c>
      <c r="CD87" s="1227">
        <f t="shared" si="158"/>
        <v>0.25</v>
      </c>
      <c r="CE87" s="1227">
        <f t="shared" si="158"/>
        <v>-0.16666666666666663</v>
      </c>
      <c r="CF87" s="1227">
        <f t="shared" si="158"/>
        <v>-8.3333333333333259E-2</v>
      </c>
      <c r="CG87" s="1230">
        <f t="shared" si="158"/>
        <v>-0.23076923076923073</v>
      </c>
      <c r="CH87" s="1227">
        <f t="shared" si="158"/>
        <v>-0.19999999999999996</v>
      </c>
      <c r="CI87" s="1227">
        <f t="shared" si="158"/>
        <v>0.19999999999999996</v>
      </c>
      <c r="CJ87" s="1227">
        <f t="shared" si="158"/>
        <v>0.18181818181818188</v>
      </c>
      <c r="CK87" s="1227">
        <f t="shared" si="158"/>
        <v>0.40000000000000013</v>
      </c>
      <c r="CL87" s="1231">
        <f>CL86/CH86-1</f>
        <v>0.16666666666666674</v>
      </c>
      <c r="CM87" s="1400"/>
      <c r="CN87" s="1400"/>
      <c r="CO87" s="1400"/>
    </row>
    <row r="88" spans="1:93" ht="15" hidden="1" customHeight="1" outlineLevel="1">
      <c r="A88" s="1213" t="s">
        <v>174</v>
      </c>
      <c r="B88" s="1213"/>
      <c r="C88" s="1213"/>
      <c r="D88" s="1213"/>
      <c r="E88" s="1213"/>
      <c r="F88" s="1295"/>
      <c r="G88" s="1295"/>
      <c r="H88" s="1226"/>
      <c r="I88" s="1306"/>
      <c r="J88" s="1255"/>
      <c r="K88" s="1255"/>
      <c r="L88" s="1307"/>
      <c r="M88" s="1307"/>
      <c r="N88" s="1307"/>
      <c r="O88" s="1307"/>
      <c r="P88" s="1308"/>
      <c r="Q88" s="1308"/>
      <c r="R88" s="1309"/>
      <c r="S88" s="1307"/>
      <c r="T88" s="1400"/>
      <c r="U88" s="1400"/>
      <c r="V88" s="1400"/>
      <c r="W88" s="1400"/>
      <c r="X88" s="1213"/>
      <c r="Y88" s="1213"/>
      <c r="Z88" s="1213"/>
      <c r="AA88" s="1213"/>
      <c r="AB88" s="1213"/>
      <c r="AC88" s="1213"/>
      <c r="AD88" s="1213"/>
      <c r="AE88" s="1213"/>
      <c r="AF88" s="1213"/>
      <c r="AG88" s="1213"/>
      <c r="AH88" s="1213"/>
      <c r="AI88" s="1213"/>
      <c r="AJ88" s="1213"/>
      <c r="AK88" s="1213"/>
      <c r="AL88" s="1213"/>
      <c r="AM88" s="1213"/>
      <c r="AN88" s="1213"/>
      <c r="AO88" s="1213"/>
      <c r="AP88" s="1213"/>
      <c r="AQ88" s="1295"/>
      <c r="AR88" s="1295"/>
      <c r="AS88" s="1295"/>
      <c r="AT88" s="1213"/>
      <c r="AU88" s="1213"/>
      <c r="AV88" s="1295"/>
      <c r="AW88" s="1213"/>
      <c r="AX88" s="1213"/>
      <c r="AY88" s="1213"/>
      <c r="AZ88" s="1213"/>
      <c r="BA88" s="1213"/>
      <c r="BB88" s="1296">
        <v>-0.1</v>
      </c>
      <c r="BC88" s="1296">
        <v>-0.13</v>
      </c>
      <c r="BD88" s="1296">
        <v>-0.15</v>
      </c>
      <c r="BE88" s="1296">
        <v>-0.02</v>
      </c>
      <c r="BF88" s="1296">
        <v>-6.2689129294864476E-2</v>
      </c>
      <c r="BG88" s="1296">
        <v>-8.5928489042675887E-2</v>
      </c>
      <c r="BH88" s="1296">
        <v>-0.26158950253346858</v>
      </c>
      <c r="BI88" s="1296">
        <v>-0.19015280135823429</v>
      </c>
      <c r="BJ88" s="1296">
        <v>-0.17373310763571914</v>
      </c>
      <c r="BK88" s="1296">
        <v>-0.1604395043141017</v>
      </c>
      <c r="BL88" s="1296">
        <v>-0.15370977720897203</v>
      </c>
      <c r="BM88" s="1296">
        <v>-7.6541850220264315E-2</v>
      </c>
      <c r="BN88" s="1297">
        <v>-0.1051323291269393</v>
      </c>
      <c r="BO88" s="1296">
        <v>-6.6361804558452683E-2</v>
      </c>
      <c r="BP88" s="1296">
        <v>-6.400121493831748E-2</v>
      </c>
      <c r="BQ88" s="1298">
        <v>-4.2971846994441596E-3</v>
      </c>
      <c r="BR88" s="1296">
        <f t="shared" ref="BR88:BZ88" si="159">BR80/BR99</f>
        <v>5.8154641193866763E-2</v>
      </c>
      <c r="BS88" s="1296">
        <f t="shared" si="159"/>
        <v>6.2154762170380552E-2</v>
      </c>
      <c r="BT88" s="1296">
        <f t="shared" si="159"/>
        <v>6.8684613005766365E-2</v>
      </c>
      <c r="BU88" s="1298">
        <f t="shared" si="159"/>
        <v>7.9829556663203446E-2</v>
      </c>
      <c r="BV88" s="1297">
        <f t="shared" si="159"/>
        <v>0.14477592172662981</v>
      </c>
      <c r="BW88" s="1296">
        <f t="shared" si="159"/>
        <v>0.13557810634884604</v>
      </c>
      <c r="BX88" s="1296">
        <f t="shared" si="159"/>
        <v>0.14186089604400548</v>
      </c>
      <c r="BY88" s="1310">
        <f t="shared" si="159"/>
        <v>0.13831929782877744</v>
      </c>
      <c r="BZ88" s="1297">
        <f t="shared" si="159"/>
        <v>0.10071139098942555</v>
      </c>
      <c r="CA88" s="1296">
        <f t="shared" ref="CA88:CG88" si="160">CA80/CA99</f>
        <v>0.10445998206961626</v>
      </c>
      <c r="CB88" s="1296">
        <f t="shared" si="160"/>
        <v>9.6180843568515348E-2</v>
      </c>
      <c r="CC88" s="1295">
        <f t="shared" si="160"/>
        <v>0.11115354310058796</v>
      </c>
      <c r="CD88" s="1311">
        <f t="shared" si="160"/>
        <v>0.12981259866668154</v>
      </c>
      <c r="CE88" s="1296">
        <f>CE80/CE99</f>
        <v>8.361008192382817E-2</v>
      </c>
      <c r="CF88" s="1295">
        <f t="shared" si="160"/>
        <v>8.9535116013631205E-2</v>
      </c>
      <c r="CG88" s="1295">
        <f t="shared" si="160"/>
        <v>8.2553226717628894E-2</v>
      </c>
      <c r="CH88" s="1311">
        <f>CH80/CH99</f>
        <v>0.10617759494819527</v>
      </c>
      <c r="CI88" s="1295">
        <f>CI80/CI99</f>
        <v>0.10387204820591503</v>
      </c>
      <c r="CJ88" s="1295">
        <f>CJ80/CJ99</f>
        <v>0.10598991873835976</v>
      </c>
      <c r="CK88" s="1295">
        <f>CK80/CK99</f>
        <v>0.11504541584940808</v>
      </c>
      <c r="CL88" s="1311">
        <f>CL80/CL99</f>
        <v>0.12491844812676271</v>
      </c>
      <c r="CM88" s="1400"/>
      <c r="CN88" s="1400"/>
      <c r="CO88" s="1400"/>
    </row>
    <row r="89" spans="1:93" ht="12" hidden="1" customHeight="1" outlineLevel="1">
      <c r="A89" s="1225" t="s">
        <v>993</v>
      </c>
      <c r="B89" s="1198"/>
      <c r="C89" s="1198"/>
      <c r="D89" s="1198"/>
      <c r="E89" s="1198"/>
      <c r="F89" s="1226"/>
      <c r="G89" s="1227"/>
      <c r="H89" s="1226"/>
      <c r="I89" s="1226"/>
      <c r="J89" s="1227"/>
      <c r="K89" s="1227"/>
      <c r="L89" s="1227"/>
      <c r="M89" s="1227"/>
      <c r="N89" s="1312"/>
      <c r="O89" s="1227"/>
      <c r="P89" s="1229"/>
      <c r="Q89" s="1229"/>
      <c r="R89" s="1230"/>
      <c r="S89" s="1227"/>
      <c r="T89" s="1400"/>
      <c r="U89" s="1400"/>
      <c r="V89" s="1400"/>
      <c r="W89" s="1400"/>
      <c r="X89" s="1226"/>
      <c r="Y89" s="1226"/>
      <c r="Z89" s="1226"/>
      <c r="AA89" s="1226"/>
      <c r="AB89" s="1226"/>
      <c r="AC89" s="1226"/>
      <c r="AD89" s="1226"/>
      <c r="AE89" s="1226"/>
      <c r="AF89" s="1226"/>
      <c r="AG89" s="1226"/>
      <c r="AH89" s="1226"/>
      <c r="AI89" s="1226"/>
      <c r="AJ89" s="1226"/>
      <c r="AK89" s="1226"/>
      <c r="AL89" s="1226"/>
      <c r="AM89" s="1226"/>
      <c r="AN89" s="1226"/>
      <c r="AO89" s="1226"/>
      <c r="AP89" s="1226"/>
      <c r="AQ89" s="1227"/>
      <c r="AR89" s="1227"/>
      <c r="AS89" s="1227"/>
      <c r="AT89" s="1227"/>
      <c r="AU89" s="1227"/>
      <c r="AV89" s="1227"/>
      <c r="AW89" s="1227"/>
      <c r="AX89" s="1227"/>
      <c r="AY89" s="1227"/>
      <c r="AZ89" s="1227"/>
      <c r="BA89" s="1227"/>
      <c r="BB89" s="1227"/>
      <c r="BC89" s="1227"/>
      <c r="BD89" s="1227"/>
      <c r="BE89" s="1227"/>
      <c r="BF89" s="1227">
        <f t="shared" ref="BF89:BX89" si="161">BF88/BB88-1</f>
        <v>-0.37310870705135524</v>
      </c>
      <c r="BG89" s="1227">
        <f t="shared" si="161"/>
        <v>-0.33901162274864705</v>
      </c>
      <c r="BH89" s="1227">
        <f t="shared" si="161"/>
        <v>0.74393001688979066</v>
      </c>
      <c r="BI89" s="1227">
        <f t="shared" si="161"/>
        <v>8.5076400679117139</v>
      </c>
      <c r="BJ89" s="1227">
        <f t="shared" si="161"/>
        <v>1.7713434464618008</v>
      </c>
      <c r="BK89" s="1227">
        <f t="shared" si="161"/>
        <v>0.86712819114531792</v>
      </c>
      <c r="BL89" s="1227">
        <f t="shared" si="161"/>
        <v>-0.4124008199094078</v>
      </c>
      <c r="BM89" s="1227">
        <f t="shared" si="161"/>
        <v>-0.59747187696664561</v>
      </c>
      <c r="BN89" s="1231">
        <f t="shared" si="161"/>
        <v>-0.39486301397785895</v>
      </c>
      <c r="BO89" s="1227">
        <f t="shared" si="161"/>
        <v>-0.58637490908391032</v>
      </c>
      <c r="BP89" s="1227">
        <f t="shared" si="161"/>
        <v>-0.58362300628862185</v>
      </c>
      <c r="BQ89" s="1230">
        <f t="shared" si="161"/>
        <v>-0.94385836392668643</v>
      </c>
      <c r="BR89" s="1227">
        <f t="shared" si="161"/>
        <v>-1.5531565949009791</v>
      </c>
      <c r="BS89" s="1227">
        <f t="shared" si="161"/>
        <v>-1.9366044607125401</v>
      </c>
      <c r="BT89" s="1227">
        <f t="shared" si="161"/>
        <v>-2.0731767056603942</v>
      </c>
      <c r="BU89" s="1230">
        <f t="shared" si="161"/>
        <v>-19.577176045872402</v>
      </c>
      <c r="BV89" s="1231">
        <f t="shared" si="161"/>
        <v>1.4894990108183919</v>
      </c>
      <c r="BW89" s="1227">
        <f t="shared" si="161"/>
        <v>1.1812987712380774</v>
      </c>
      <c r="BX89" s="1227">
        <f t="shared" si="161"/>
        <v>1.0653955789500578</v>
      </c>
      <c r="BY89" s="1229">
        <f t="shared" ref="BY89:CK89" si="162">BY88/BU88-1</f>
        <v>0.73268277578364893</v>
      </c>
      <c r="BZ89" s="1058">
        <f t="shared" si="162"/>
        <v>-0.30436366912177715</v>
      </c>
      <c r="CA89" s="1055">
        <f t="shared" si="162"/>
        <v>-0.22952175035666911</v>
      </c>
      <c r="CB89" s="1055">
        <f t="shared" si="162"/>
        <v>-0.32200594913287528</v>
      </c>
      <c r="CC89" s="1055">
        <f t="shared" si="162"/>
        <v>-0.19639887676278833</v>
      </c>
      <c r="CD89" s="1058">
        <f t="shared" si="162"/>
        <v>0.28895646650647033</v>
      </c>
      <c r="CE89" s="1055">
        <f t="shared" si="162"/>
        <v>-0.19959701057475676</v>
      </c>
      <c r="CF89" s="1055">
        <f t="shared" si="162"/>
        <v>-6.9096166225138145E-2</v>
      </c>
      <c r="CG89" s="1055">
        <f t="shared" si="162"/>
        <v>-0.25730458593728611</v>
      </c>
      <c r="CH89" s="1058">
        <f t="shared" si="162"/>
        <v>-0.18207018395166419</v>
      </c>
      <c r="CI89" s="1055">
        <f t="shared" si="162"/>
        <v>0.24233879235456612</v>
      </c>
      <c r="CJ89" s="1055">
        <f t="shared" si="162"/>
        <v>0.18378043674197508</v>
      </c>
      <c r="CK89" s="1055">
        <f t="shared" si="162"/>
        <v>0.39359078286446447</v>
      </c>
      <c r="CL89" s="1058">
        <f>CL88/CH88-1</f>
        <v>0.17650478133085623</v>
      </c>
      <c r="CM89" s="1400"/>
      <c r="CN89" s="1400"/>
      <c r="CO89" s="1400"/>
    </row>
    <row r="90" spans="1:93" ht="12.75" customHeight="1" collapsed="1">
      <c r="A90" s="1313" t="s">
        <v>488</v>
      </c>
      <c r="B90" s="1178"/>
      <c r="C90" s="1178"/>
      <c r="D90" s="1178"/>
      <c r="E90" s="1178"/>
      <c r="F90" s="1314"/>
      <c r="G90" s="1315"/>
      <c r="H90" s="1315"/>
      <c r="I90" s="1315"/>
      <c r="J90" s="1315"/>
      <c r="K90" s="1315"/>
      <c r="L90" s="1315"/>
      <c r="M90" s="1315"/>
      <c r="N90" s="1031"/>
      <c r="O90" s="1316">
        <v>1.52</v>
      </c>
      <c r="P90" s="1317">
        <f>+SUM(BZ90:CC90)</f>
        <v>0.36</v>
      </c>
      <c r="Q90" s="1317">
        <f>+SUM(CD90:CG90)</f>
        <v>0.38</v>
      </c>
      <c r="R90" s="1318">
        <f>+SUM(CH90:CK90)</f>
        <v>-0.03</v>
      </c>
      <c r="S90" s="1317"/>
      <c r="T90" s="1400"/>
      <c r="U90" s="1400"/>
      <c r="V90" s="1400"/>
      <c r="W90" s="1400"/>
      <c r="X90" s="1226"/>
      <c r="Y90" s="1226"/>
      <c r="Z90" s="1226"/>
      <c r="AA90" s="1226"/>
      <c r="AB90" s="1226"/>
      <c r="AC90" s="1226"/>
      <c r="AD90" s="1226"/>
      <c r="AE90" s="1226"/>
      <c r="AF90" s="1226"/>
      <c r="AG90" s="1226"/>
      <c r="AH90" s="1226"/>
      <c r="AI90" s="1226"/>
      <c r="AJ90" s="1226"/>
      <c r="AK90" s="1226"/>
      <c r="AL90" s="1226"/>
      <c r="AM90" s="1226"/>
      <c r="AN90" s="1226"/>
      <c r="AO90" s="1226"/>
      <c r="AP90" s="1226"/>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18"/>
      <c r="BO90" s="1319"/>
      <c r="BP90" s="1319"/>
      <c r="BQ90" s="1320"/>
      <c r="BR90" s="1321">
        <v>0.05</v>
      </c>
      <c r="BS90" s="1321">
        <v>0.06</v>
      </c>
      <c r="BT90" s="1321">
        <v>0.09</v>
      </c>
      <c r="BU90" s="1322">
        <v>0.1</v>
      </c>
      <c r="BV90" s="1323">
        <v>0.12</v>
      </c>
      <c r="BW90" s="1324">
        <v>0.12</v>
      </c>
      <c r="BX90" s="1324">
        <v>1.08</v>
      </c>
      <c r="BY90" s="1316">
        <v>0.19</v>
      </c>
      <c r="BZ90" s="1323">
        <v>0.08</v>
      </c>
      <c r="CA90" s="1324">
        <v>0.1</v>
      </c>
      <c r="CB90" s="1324">
        <v>0.08</v>
      </c>
      <c r="CC90" s="1324">
        <v>0.1</v>
      </c>
      <c r="CD90" s="1323">
        <v>0.12</v>
      </c>
      <c r="CE90" s="1324">
        <v>0.12</v>
      </c>
      <c r="CF90" s="1324">
        <v>0.08</v>
      </c>
      <c r="CG90" s="1324">
        <v>0.06</v>
      </c>
      <c r="CH90" s="1323">
        <v>0.02</v>
      </c>
      <c r="CI90" s="1325">
        <v>0.09</v>
      </c>
      <c r="CJ90" s="1325">
        <v>-0.05</v>
      </c>
      <c r="CK90" s="1324">
        <v>-0.09</v>
      </c>
      <c r="CL90" s="1323">
        <v>0.12</v>
      </c>
      <c r="CM90" s="1400"/>
      <c r="CN90" s="1400"/>
      <c r="CO90" s="1400"/>
    </row>
    <row r="91" spans="1:93" ht="15" customHeight="1">
      <c r="A91" s="1213" t="s">
        <v>175</v>
      </c>
      <c r="B91" s="1213"/>
      <c r="C91" s="1213"/>
      <c r="D91" s="1213"/>
      <c r="E91" s="1213"/>
      <c r="F91" s="1213"/>
      <c r="G91" s="1213"/>
      <c r="H91" s="1214"/>
      <c r="I91" s="1214"/>
      <c r="J91" s="1326">
        <f>+J99+J100</f>
        <v>1682.056</v>
      </c>
      <c r="K91" s="1326">
        <f>+K99+K100</f>
        <v>1738.7660000000001</v>
      </c>
      <c r="L91" s="1214">
        <f>AVERAGE(BJ91:BM91)</f>
        <v>1801.41975</v>
      </c>
      <c r="M91" s="1326">
        <f>+M99+M100</f>
        <v>1840.24675</v>
      </c>
      <c r="N91" s="1326">
        <f>N80/N84</f>
        <v>1882.7592592592591</v>
      </c>
      <c r="O91" s="1326">
        <f>O80/O84</f>
        <v>1935.1886792452831</v>
      </c>
      <c r="P91" s="1327">
        <f>+P99+P100</f>
        <v>1746.7639999999999</v>
      </c>
      <c r="Q91" s="1327">
        <f ca="1">+Q99+Q100</f>
        <v>1712.10925</v>
      </c>
      <c r="R91" s="1328">
        <f ca="1">+R99+R100</f>
        <v>1718.6179999999999</v>
      </c>
      <c r="S91" s="1326">
        <f ca="1">+S99+S100</f>
        <v>1718.5800000000002</v>
      </c>
      <c r="T91" s="1400"/>
      <c r="U91" s="1400"/>
      <c r="V91" s="1400"/>
      <c r="W91" s="1400"/>
      <c r="X91" s="1213"/>
      <c r="Y91" s="1213"/>
      <c r="Z91" s="1213"/>
      <c r="AA91" s="1213"/>
      <c r="AB91" s="1213"/>
      <c r="AC91" s="1213"/>
      <c r="AD91" s="1213"/>
      <c r="AE91" s="1213"/>
      <c r="AF91" s="1213"/>
      <c r="AG91" s="1213"/>
      <c r="AH91" s="1213"/>
      <c r="AI91" s="1213"/>
      <c r="AJ91" s="1213"/>
      <c r="AK91" s="1213"/>
      <c r="AL91" s="1213"/>
      <c r="AM91" s="1213"/>
      <c r="AN91" s="1213"/>
      <c r="AO91" s="1213"/>
      <c r="AP91" s="1213"/>
      <c r="AQ91" s="1213"/>
      <c r="AR91" s="1213"/>
      <c r="AS91" s="1213"/>
      <c r="AT91" s="1213"/>
      <c r="AU91" s="1213"/>
      <c r="AV91" s="1213"/>
      <c r="AW91" s="1213"/>
      <c r="AX91" s="1213"/>
      <c r="AY91" s="1213"/>
      <c r="AZ91" s="1213"/>
      <c r="BA91" s="1213"/>
      <c r="BB91" s="1214">
        <v>1666.6420000000001</v>
      </c>
      <c r="BC91" s="1214">
        <v>1677.796</v>
      </c>
      <c r="BD91" s="1214">
        <v>1687.7449999999999</v>
      </c>
      <c r="BE91" s="1214">
        <v>1696</v>
      </c>
      <c r="BF91" s="1214">
        <v>1706.835</v>
      </c>
      <c r="BG91" s="1214">
        <v>1733.922</v>
      </c>
      <c r="BH91" s="1214">
        <v>1747.0119999999999</v>
      </c>
      <c r="BI91" s="1214">
        <v>1769</v>
      </c>
      <c r="BJ91" s="1214">
        <v>1773.268</v>
      </c>
      <c r="BK91" s="1214">
        <v>1801.3019999999999</v>
      </c>
      <c r="BL91" s="1214">
        <v>1815.1089999999999</v>
      </c>
      <c r="BM91" s="1214">
        <v>1816</v>
      </c>
      <c r="BN91" s="1218">
        <v>1822.377</v>
      </c>
      <c r="BO91" s="1214">
        <v>1823.338</v>
      </c>
      <c r="BP91" s="1214">
        <v>1843.7149999999999</v>
      </c>
      <c r="BQ91" s="1217">
        <v>1861.684</v>
      </c>
      <c r="BR91" s="1253">
        <v>1911.376</v>
      </c>
      <c r="BS91" s="1253">
        <v>1951.7280000000001</v>
      </c>
      <c r="BT91" s="1253">
        <v>2004.502</v>
      </c>
      <c r="BU91" s="1268">
        <v>1992.133</v>
      </c>
      <c r="BV91" s="1252">
        <v>1952.37</v>
      </c>
      <c r="BW91" s="1253">
        <v>1943.6279999999999</v>
      </c>
      <c r="BX91" s="1253">
        <v>1911.1690000000001</v>
      </c>
      <c r="BY91" s="1254">
        <v>1849.5260000000001</v>
      </c>
      <c r="BZ91" s="1329">
        <v>1769.165</v>
      </c>
      <c r="CA91" s="1253">
        <v>1744.961</v>
      </c>
      <c r="CB91" s="1253">
        <v>1713.7449999999999</v>
      </c>
      <c r="CC91" s="1253">
        <v>1697.665</v>
      </c>
      <c r="CD91" s="1252">
        <v>1706.8219999999999</v>
      </c>
      <c r="CE91" s="1253">
        <v>1722.77</v>
      </c>
      <c r="CF91" s="1253">
        <v>1719.502</v>
      </c>
      <c r="CG91" s="1253">
        <v>1720.5509999999999</v>
      </c>
      <c r="CH91" s="1252">
        <v>1739.405</v>
      </c>
      <c r="CI91" s="1330">
        <v>1761.489</v>
      </c>
      <c r="CJ91" s="1330">
        <v>1726.768</v>
      </c>
      <c r="CK91" s="1253">
        <v>1734.9670000000001</v>
      </c>
      <c r="CL91" s="1252">
        <v>1775.729</v>
      </c>
      <c r="CM91" s="1400"/>
      <c r="CN91" s="1400"/>
      <c r="CO91" s="1400"/>
    </row>
    <row r="92" spans="1:93" ht="12" customHeight="1">
      <c r="A92" s="1225" t="s">
        <v>993</v>
      </c>
      <c r="B92" s="1198"/>
      <c r="C92" s="1198"/>
      <c r="D92" s="1198"/>
      <c r="E92" s="1198"/>
      <c r="F92" s="1226"/>
      <c r="G92" s="1227"/>
      <c r="H92" s="1227"/>
      <c r="I92" s="1227"/>
      <c r="J92" s="1227"/>
      <c r="K92" s="1227">
        <f t="shared" ref="K92:S92" si="163">K91/J91-1</f>
        <v>3.3714692019766401E-2</v>
      </c>
      <c r="L92" s="1227">
        <f t="shared" si="163"/>
        <v>3.6033457060927088E-2</v>
      </c>
      <c r="M92" s="1227">
        <f t="shared" si="163"/>
        <v>2.1553555188900342E-2</v>
      </c>
      <c r="N92" s="1227">
        <f t="shared" si="163"/>
        <v>2.3101526607374412E-2</v>
      </c>
      <c r="O92" s="1227">
        <f t="shared" si="163"/>
        <v>2.7847118386580938E-2</v>
      </c>
      <c r="P92" s="1229">
        <f t="shared" si="163"/>
        <v>-9.7367601033491069E-2</v>
      </c>
      <c r="Q92" s="1229">
        <f t="shared" ca="1" si="163"/>
        <v>-1.9839400170830079E-2</v>
      </c>
      <c r="R92" s="1230">
        <f t="shared" ca="1" si="163"/>
        <v>3.8015973571778883E-3</v>
      </c>
      <c r="S92" s="1227">
        <f t="shared" ca="1" si="163"/>
        <v>-2.2110789017593113E-5</v>
      </c>
      <c r="T92" s="1400"/>
      <c r="U92" s="1400"/>
      <c r="V92" s="1400"/>
      <c r="W92" s="1400"/>
      <c r="X92" s="1226"/>
      <c r="Y92" s="1226"/>
      <c r="Z92" s="1226"/>
      <c r="AA92" s="1226"/>
      <c r="AB92" s="1226"/>
      <c r="AC92" s="1226"/>
      <c r="AD92" s="1226"/>
      <c r="AE92" s="1226"/>
      <c r="AF92" s="1226"/>
      <c r="AG92" s="1226"/>
      <c r="AH92" s="1226"/>
      <c r="AI92" s="1226"/>
      <c r="AJ92" s="1226"/>
      <c r="AK92" s="1226"/>
      <c r="AL92" s="1226"/>
      <c r="AM92" s="1226"/>
      <c r="AN92" s="1226"/>
      <c r="AO92" s="1226"/>
      <c r="AP92" s="1226"/>
      <c r="AQ92" s="1227"/>
      <c r="AR92" s="1227"/>
      <c r="AS92" s="1227"/>
      <c r="AT92" s="1227"/>
      <c r="AU92" s="1227"/>
      <c r="AV92" s="1227"/>
      <c r="AW92" s="1227"/>
      <c r="AX92" s="1227"/>
      <c r="AY92" s="1227"/>
      <c r="AZ92" s="1227"/>
      <c r="BA92" s="1227"/>
      <c r="BB92" s="1227"/>
      <c r="BC92" s="1227"/>
      <c r="BD92" s="1227"/>
      <c r="BE92" s="1227"/>
      <c r="BF92" s="1227">
        <f t="shared" ref="BF92:CB92" si="164">BF91/BB91-1</f>
        <v>2.4116156919122389E-2</v>
      </c>
      <c r="BG92" s="1227">
        <f t="shared" si="164"/>
        <v>3.3452219459338295E-2</v>
      </c>
      <c r="BH92" s="1227">
        <f t="shared" si="164"/>
        <v>3.5116086849612982E-2</v>
      </c>
      <c r="BI92" s="1227">
        <f t="shared" si="164"/>
        <v>4.3042452830188704E-2</v>
      </c>
      <c r="BJ92" s="1227">
        <f t="shared" si="164"/>
        <v>3.8921746976128269E-2</v>
      </c>
      <c r="BK92" s="1227">
        <f t="shared" si="164"/>
        <v>3.8859879510150908E-2</v>
      </c>
      <c r="BL92" s="1227">
        <f t="shared" si="164"/>
        <v>3.8979125501141354E-2</v>
      </c>
      <c r="BM92" s="1227">
        <f t="shared" si="164"/>
        <v>2.6568682871678906E-2</v>
      </c>
      <c r="BN92" s="1231">
        <f t="shared" si="164"/>
        <v>2.7694065420455383E-2</v>
      </c>
      <c r="BO92" s="1227">
        <f t="shared" si="164"/>
        <v>1.2233373415451831E-2</v>
      </c>
      <c r="BP92" s="1227">
        <f t="shared" si="164"/>
        <v>1.5759935078279108E-2</v>
      </c>
      <c r="BQ92" s="1230">
        <f t="shared" si="164"/>
        <v>2.5156387665198121E-2</v>
      </c>
      <c r="BR92" s="1227">
        <f t="shared" si="164"/>
        <v>4.8836766486846539E-2</v>
      </c>
      <c r="BS92" s="1227">
        <f t="shared" si="164"/>
        <v>7.0414810638510295E-2</v>
      </c>
      <c r="BT92" s="1227">
        <f t="shared" si="164"/>
        <v>8.7208163951586926E-2</v>
      </c>
      <c r="BU92" s="1230">
        <f t="shared" si="164"/>
        <v>7.0070430857223975E-2</v>
      </c>
      <c r="BV92" s="1231">
        <f t="shared" si="164"/>
        <v>2.1447376131122242E-2</v>
      </c>
      <c r="BW92" s="1227">
        <f t="shared" si="164"/>
        <v>-4.1501684660978366E-3</v>
      </c>
      <c r="BX92" s="1227">
        <f t="shared" si="164"/>
        <v>-4.6561689636627879E-2</v>
      </c>
      <c r="BY92" s="1229">
        <f t="shared" si="164"/>
        <v>-7.158507991183316E-2</v>
      </c>
      <c r="BZ92" s="1231">
        <f t="shared" si="164"/>
        <v>-9.3837233721067226E-2</v>
      </c>
      <c r="CA92" s="1227">
        <f t="shared" si="164"/>
        <v>-0.10221451841607543</v>
      </c>
      <c r="CB92" s="1227">
        <f t="shared" si="164"/>
        <v>-0.1033001267810435</v>
      </c>
      <c r="CC92" s="1227">
        <f t="shared" ref="CC92:CL92" si="165">CC91/BY91-1</f>
        <v>-8.2108064444619933E-2</v>
      </c>
      <c r="CD92" s="1231">
        <f t="shared" si="165"/>
        <v>-3.5238657784887217E-2</v>
      </c>
      <c r="CE92" s="1229">
        <f t="shared" si="165"/>
        <v>-1.2717189667849293E-2</v>
      </c>
      <c r="CF92" s="1229">
        <f t="shared" si="165"/>
        <v>3.3593095822308516E-3</v>
      </c>
      <c r="CG92" s="1227">
        <f t="shared" si="165"/>
        <v>1.3480869311672139E-2</v>
      </c>
      <c r="CH92" s="1231">
        <f t="shared" si="165"/>
        <v>1.9089864086589081E-2</v>
      </c>
      <c r="CI92" s="1227">
        <f t="shared" si="165"/>
        <v>2.2474851547217511E-2</v>
      </c>
      <c r="CJ92" s="1227">
        <f t="shared" si="165"/>
        <v>4.2256420754380741E-3</v>
      </c>
      <c r="CK92" s="1227">
        <f t="shared" si="165"/>
        <v>8.3787112384348106E-3</v>
      </c>
      <c r="CL92" s="1231">
        <f t="shared" si="165"/>
        <v>2.0883003095886199E-2</v>
      </c>
      <c r="CM92" s="1400"/>
      <c r="CN92" s="1400"/>
      <c r="CO92" s="1400"/>
    </row>
    <row r="93" spans="1:93" ht="4.5" customHeight="1">
      <c r="A93" s="1225"/>
      <c r="B93" s="1198"/>
      <c r="C93" s="1198"/>
      <c r="D93" s="1198"/>
      <c r="E93" s="1198"/>
      <c r="F93" s="1226"/>
      <c r="G93" s="1227"/>
      <c r="H93" s="1227"/>
      <c r="I93" s="1227"/>
      <c r="J93" s="1227"/>
      <c r="K93" s="1227"/>
      <c r="L93" s="1227"/>
      <c r="M93" s="1227"/>
      <c r="N93" s="1227"/>
      <c r="O93" s="1227"/>
      <c r="P93" s="1229"/>
      <c r="Q93" s="1229"/>
      <c r="R93" s="1230"/>
      <c r="S93" s="1227"/>
      <c r="T93" s="1400"/>
      <c r="U93" s="1400"/>
      <c r="V93" s="1400"/>
      <c r="W93" s="1400"/>
      <c r="X93" s="1226"/>
      <c r="Y93" s="1226"/>
      <c r="Z93" s="1226"/>
      <c r="AA93" s="1226"/>
      <c r="AB93" s="1226"/>
      <c r="AC93" s="1226"/>
      <c r="AD93" s="1226"/>
      <c r="AE93" s="1226"/>
      <c r="AF93" s="1226"/>
      <c r="AG93" s="1226"/>
      <c r="AH93" s="1226"/>
      <c r="AI93" s="1226"/>
      <c r="AJ93" s="1226"/>
      <c r="AK93" s="1226"/>
      <c r="AL93" s="1226"/>
      <c r="AM93" s="1226"/>
      <c r="AN93" s="1226"/>
      <c r="AO93" s="1226"/>
      <c r="AP93" s="1226"/>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31"/>
      <c r="BO93" s="1227"/>
      <c r="BP93" s="1227"/>
      <c r="BQ93" s="1230"/>
      <c r="BR93" s="1227"/>
      <c r="BS93" s="1227"/>
      <c r="BT93" s="1227"/>
      <c r="BU93" s="1230"/>
      <c r="BV93" s="1231"/>
      <c r="BW93" s="1227"/>
      <c r="BX93" s="1227"/>
      <c r="BY93" s="1229"/>
      <c r="BZ93" s="1231"/>
      <c r="CA93" s="1227"/>
      <c r="CB93" s="1227"/>
      <c r="CC93" s="1227"/>
      <c r="CD93" s="1231"/>
      <c r="CE93" s="1229"/>
      <c r="CF93" s="1229"/>
      <c r="CG93" s="1227"/>
      <c r="CH93" s="1231"/>
      <c r="CI93" s="1227"/>
      <c r="CJ93" s="1227"/>
      <c r="CK93" s="1227"/>
      <c r="CL93" s="1231"/>
      <c r="CM93" s="1400"/>
      <c r="CN93" s="1400"/>
      <c r="CO93" s="1400"/>
    </row>
    <row r="94" spans="1:93" ht="12.75" customHeight="1">
      <c r="A94" s="1198" t="s">
        <v>1018</v>
      </c>
      <c r="B94" s="1198"/>
      <c r="C94" s="1198"/>
      <c r="D94" s="1198"/>
      <c r="E94" s="1198"/>
      <c r="F94" s="1198"/>
      <c r="G94" s="1198"/>
      <c r="H94" s="1226"/>
      <c r="I94" s="1226"/>
      <c r="J94" s="1332"/>
      <c r="K94" s="1302"/>
      <c r="L94" s="1226">
        <f>+SUM(BJ94:BM94)</f>
        <v>44.198572999999897</v>
      </c>
      <c r="M94" s="1226">
        <f>+SUM(BN94:BQ94)</f>
        <v>45.683999999999969</v>
      </c>
      <c r="N94" s="1226">
        <f>SUM(BR94:BU94)</f>
        <v>40.91599999999994</v>
      </c>
      <c r="O94" s="1248">
        <f>SUM(BV94:BY94)</f>
        <v>-118.05999999999995</v>
      </c>
      <c r="P94" s="1282">
        <f>SUM(BZ94:CC94)</f>
        <v>-80.539999999999878</v>
      </c>
      <c r="Q94" s="1282">
        <f ca="1">SUM(CD94:CG94)</f>
        <v>0</v>
      </c>
      <c r="R94" s="1348">
        <v>0</v>
      </c>
      <c r="S94" s="1333">
        <v>0</v>
      </c>
      <c r="T94" s="1400"/>
      <c r="U94" s="1400"/>
      <c r="V94" s="1400"/>
      <c r="W94" s="1400"/>
      <c r="X94" s="1248"/>
      <c r="Y94" s="1248"/>
      <c r="Z94" s="1248"/>
      <c r="AA94" s="1248"/>
      <c r="AB94" s="1248"/>
      <c r="AC94" s="1248"/>
      <c r="AD94" s="1248"/>
      <c r="AE94" s="1248"/>
      <c r="AF94" s="1248"/>
      <c r="AG94" s="1248"/>
      <c r="AH94" s="1248"/>
      <c r="AI94" s="1248"/>
      <c r="AJ94" s="1248"/>
      <c r="AK94" s="1248"/>
      <c r="AL94" s="1248"/>
      <c r="AM94" s="1248"/>
      <c r="AN94" s="1248"/>
      <c r="AO94" s="1248"/>
      <c r="AP94" s="1248"/>
      <c r="AQ94" s="1248"/>
      <c r="AR94" s="1248"/>
      <c r="AS94" s="1248"/>
      <c r="AT94" s="1248"/>
      <c r="AU94" s="1248"/>
      <c r="AV94" s="1248"/>
      <c r="AW94" s="1248"/>
      <c r="AX94" s="1248"/>
      <c r="AY94" s="1248"/>
      <c r="AZ94" s="1248"/>
      <c r="BA94" s="1248"/>
      <c r="BB94" s="1248"/>
      <c r="BC94" s="1248"/>
      <c r="BD94" s="1248"/>
      <c r="BE94" s="1248"/>
      <c r="BF94" s="1248"/>
      <c r="BG94" s="1248"/>
      <c r="BH94" s="1248"/>
      <c r="BI94" s="1248"/>
      <c r="BJ94" s="1248">
        <f t="shared" ref="BJ94:BY94" si="166">+BJ96-BI96</f>
        <v>12.544713000000002</v>
      </c>
      <c r="BK94" s="1248">
        <f t="shared" si="166"/>
        <v>30.736928999999918</v>
      </c>
      <c r="BL94" s="1248">
        <f t="shared" si="166"/>
        <v>0.82478100000002996</v>
      </c>
      <c r="BM94" s="1248">
        <f t="shared" si="166"/>
        <v>9.2149999999946886E-2</v>
      </c>
      <c r="BN94" s="1249">
        <f t="shared" si="166"/>
        <v>0.7580000000000382</v>
      </c>
      <c r="BO94" s="1248">
        <f t="shared" si="166"/>
        <v>6.5799999999999272</v>
      </c>
      <c r="BP94" s="1248">
        <f t="shared" si="166"/>
        <v>20.376999999999953</v>
      </c>
      <c r="BQ94" s="1250">
        <f t="shared" si="166"/>
        <v>17.969000000000051</v>
      </c>
      <c r="BR94" s="1248">
        <f t="shared" si="166"/>
        <v>12.629000000000133</v>
      </c>
      <c r="BS94" s="1248">
        <f t="shared" si="166"/>
        <v>30.451999999999998</v>
      </c>
      <c r="BT94" s="1248">
        <f t="shared" si="166"/>
        <v>9.6122779999998329</v>
      </c>
      <c r="BU94" s="1250">
        <f t="shared" si="166"/>
        <v>-11.777278000000024</v>
      </c>
      <c r="BV94" s="1249">
        <f t="shared" si="166"/>
        <v>-53.40658099999996</v>
      </c>
      <c r="BW94" s="1248">
        <f t="shared" si="166"/>
        <v>-13.193418999999949</v>
      </c>
      <c r="BX94" s="1248">
        <f t="shared" si="166"/>
        <v>-34.634000000000015</v>
      </c>
      <c r="BY94" s="1282">
        <f t="shared" si="166"/>
        <v>-16.826000000000022</v>
      </c>
      <c r="BZ94" s="1334">
        <f>-31.457006</f>
        <v>-31.457006</v>
      </c>
      <c r="CA94" s="1333">
        <v>-18.404574</v>
      </c>
      <c r="CB94" s="1333">
        <v>-45.968217000000003</v>
      </c>
      <c r="CC94" s="1335">
        <f>+CC96-CB96</f>
        <v>15.289797000000135</v>
      </c>
      <c r="CD94" s="1336">
        <f ca="1">+CD96-CC96</f>
        <v>0</v>
      </c>
      <c r="CE94" s="1335">
        <f ca="1">+CE96-CD96</f>
        <v>0</v>
      </c>
      <c r="CF94" s="1335">
        <f ca="1">+CF96-CE96</f>
        <v>0</v>
      </c>
      <c r="CG94" s="1333">
        <v>0</v>
      </c>
      <c r="CH94" s="1337">
        <v>0</v>
      </c>
      <c r="CI94" s="1333">
        <v>0</v>
      </c>
      <c r="CJ94" s="1333">
        <v>0</v>
      </c>
      <c r="CK94" s="1333">
        <v>0</v>
      </c>
      <c r="CL94" s="1337">
        <v>0</v>
      </c>
      <c r="CM94" s="1400"/>
      <c r="CN94" s="1400"/>
      <c r="CO94" s="1400"/>
    </row>
    <row r="95" spans="1:93" ht="12.75" customHeight="1">
      <c r="A95" s="1225" t="s">
        <v>993</v>
      </c>
      <c r="B95" s="1198"/>
      <c r="C95" s="1198"/>
      <c r="D95" s="1198"/>
      <c r="E95" s="1198"/>
      <c r="F95" s="1198"/>
      <c r="G95" s="1198"/>
      <c r="H95" s="1226"/>
      <c r="I95" s="1226"/>
      <c r="J95" s="1332"/>
      <c r="K95" s="1302"/>
      <c r="L95" s="1338"/>
      <c r="M95" s="1227">
        <f>M94/L94-1</f>
        <v>3.3608030738912609E-2</v>
      </c>
      <c r="N95" s="1227">
        <f>N94/M94-1</f>
        <v>-0.10436914455827051</v>
      </c>
      <c r="O95" s="1227">
        <f>O94/N94-1</f>
        <v>-3.8854237950923873</v>
      </c>
      <c r="P95" s="1229">
        <f>P94/O94-1</f>
        <v>-0.31780450618329736</v>
      </c>
      <c r="Q95" s="1229">
        <f ca="1">Q94/P94-1</f>
        <v>-1</v>
      </c>
      <c r="R95" s="1230"/>
      <c r="S95" s="1227"/>
      <c r="T95" s="1400"/>
      <c r="U95" s="1400"/>
      <c r="V95" s="1400"/>
      <c r="W95" s="1400"/>
      <c r="X95" s="1198"/>
      <c r="Y95" s="1198"/>
      <c r="Z95" s="1198"/>
      <c r="AA95" s="1198"/>
      <c r="AB95" s="1198"/>
      <c r="AC95" s="1198"/>
      <c r="AD95" s="1198"/>
      <c r="AE95" s="1198"/>
      <c r="AF95" s="1198"/>
      <c r="AG95" s="1198"/>
      <c r="AH95" s="1198"/>
      <c r="AI95" s="1198"/>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231"/>
      <c r="BO95" s="1227"/>
      <c r="BP95" s="1227"/>
      <c r="BQ95" s="1230"/>
      <c r="BR95" s="1227"/>
      <c r="BS95" s="1227"/>
      <c r="BT95" s="1227"/>
      <c r="BU95" s="1230"/>
      <c r="BV95" s="1231"/>
      <c r="BW95" s="1227"/>
      <c r="BX95" s="1227"/>
      <c r="BY95" s="1229"/>
      <c r="BZ95" s="1231"/>
      <c r="CA95" s="1227"/>
      <c r="CB95" s="1227"/>
      <c r="CC95" s="1227"/>
      <c r="CD95" s="1231"/>
      <c r="CE95" s="1229"/>
      <c r="CF95" s="1229"/>
      <c r="CG95" s="1227"/>
      <c r="CH95" s="1231"/>
      <c r="CI95" s="1227"/>
      <c r="CJ95" s="1227"/>
      <c r="CK95" s="1227"/>
      <c r="CL95" s="1231"/>
      <c r="CM95" s="1400"/>
      <c r="CN95" s="1400"/>
      <c r="CO95" s="1400"/>
    </row>
    <row r="96" spans="1:93" ht="12.75" customHeight="1">
      <c r="A96" s="1198" t="s">
        <v>176</v>
      </c>
      <c r="B96" s="1198"/>
      <c r="C96" s="1198"/>
      <c r="D96" s="1198"/>
      <c r="E96" s="1198"/>
      <c r="F96" s="1302"/>
      <c r="G96" s="1302"/>
      <c r="H96" s="1339"/>
      <c r="I96" s="1339"/>
      <c r="J96" s="1226">
        <f>BE96</f>
        <v>1696</v>
      </c>
      <c r="K96" s="1226">
        <f>BI96</f>
        <v>1771.8014270000001</v>
      </c>
      <c r="L96" s="1226">
        <f>BM96</f>
        <v>1816</v>
      </c>
      <c r="M96" s="1340">
        <f t="shared" ref="M96:S96" si="167">L96+M94</f>
        <v>1861.684</v>
      </c>
      <c r="N96" s="1340">
        <f t="shared" si="167"/>
        <v>1902.6</v>
      </c>
      <c r="O96" s="1340">
        <f t="shared" si="167"/>
        <v>1784.54</v>
      </c>
      <c r="P96" s="1341">
        <f t="shared" si="167"/>
        <v>1704</v>
      </c>
      <c r="Q96" s="1341">
        <f t="shared" ca="1" si="167"/>
        <v>1704</v>
      </c>
      <c r="R96" s="1342">
        <f t="shared" ca="1" si="167"/>
        <v>1704</v>
      </c>
      <c r="S96" s="1340">
        <f t="shared" ca="1" si="167"/>
        <v>1704</v>
      </c>
      <c r="T96" s="1400"/>
      <c r="U96" s="1400"/>
      <c r="V96" s="1400"/>
      <c r="W96" s="1400"/>
      <c r="X96" s="1198"/>
      <c r="Y96" s="1198"/>
      <c r="Z96" s="1198"/>
      <c r="AA96" s="1198"/>
      <c r="AB96" s="1198"/>
      <c r="AC96" s="1198"/>
      <c r="AD96" s="1198"/>
      <c r="AE96" s="1198"/>
      <c r="AF96" s="1198"/>
      <c r="AG96" s="1198"/>
      <c r="AH96" s="1198"/>
      <c r="AI96" s="1198"/>
      <c r="AJ96" s="1198"/>
      <c r="AK96" s="1198"/>
      <c r="AL96" s="1198"/>
      <c r="AM96" s="1198"/>
      <c r="AN96" s="1198"/>
      <c r="AO96" s="1198"/>
      <c r="AP96" s="1198"/>
      <c r="AQ96" s="1302"/>
      <c r="AR96" s="1302"/>
      <c r="AS96" s="1302"/>
      <c r="AT96" s="1198"/>
      <c r="AU96" s="1198"/>
      <c r="AV96" s="1198"/>
      <c r="AW96" s="1198"/>
      <c r="AX96" s="1198"/>
      <c r="AY96" s="1198"/>
      <c r="AZ96" s="1198"/>
      <c r="BA96" s="1198"/>
      <c r="BB96" s="1226">
        <v>1667</v>
      </c>
      <c r="BC96" s="1226">
        <v>1678</v>
      </c>
      <c r="BD96" s="1226">
        <v>1688</v>
      </c>
      <c r="BE96" s="1226">
        <v>1696</v>
      </c>
      <c r="BF96" s="1226">
        <v>1706.835</v>
      </c>
      <c r="BG96" s="1226">
        <v>1734</v>
      </c>
      <c r="BH96" s="1226">
        <v>1766.1726180000001</v>
      </c>
      <c r="BI96" s="1226">
        <v>1771.8014270000001</v>
      </c>
      <c r="BJ96" s="1226">
        <v>1784.3461400000001</v>
      </c>
      <c r="BK96" s="1226">
        <v>1815.083069</v>
      </c>
      <c r="BL96" s="1226">
        <v>1815.9078500000001</v>
      </c>
      <c r="BM96" s="1226">
        <v>1816</v>
      </c>
      <c r="BN96" s="1267">
        <v>1816.758</v>
      </c>
      <c r="BO96" s="1226">
        <v>1823.338</v>
      </c>
      <c r="BP96" s="1226">
        <v>1843.7149999999999</v>
      </c>
      <c r="BQ96" s="1263">
        <v>1861.684</v>
      </c>
      <c r="BR96" s="1226">
        <v>1874.3130000000001</v>
      </c>
      <c r="BS96" s="1226">
        <v>1904.7650000000001</v>
      </c>
      <c r="BT96" s="1226">
        <v>1914.3772779999999</v>
      </c>
      <c r="BU96" s="1263">
        <v>1902.6</v>
      </c>
      <c r="BV96" s="1267">
        <v>1849.1934189999999</v>
      </c>
      <c r="BW96" s="1226">
        <v>1836</v>
      </c>
      <c r="BX96" s="1226">
        <v>1801.366</v>
      </c>
      <c r="BY96" s="1179">
        <v>1784.54</v>
      </c>
      <c r="BZ96" s="1343">
        <f t="shared" ref="BZ96:CG96" si="168">BY96+BZ94</f>
        <v>1753.0829939999999</v>
      </c>
      <c r="CA96" s="1344">
        <f t="shared" si="168"/>
        <v>1734.67842</v>
      </c>
      <c r="CB96" s="1344">
        <f t="shared" si="168"/>
        <v>1688.7102029999999</v>
      </c>
      <c r="CC96" s="1345">
        <v>1704</v>
      </c>
      <c r="CD96" s="1346">
        <f t="shared" ca="1" si="168"/>
        <v>1704</v>
      </c>
      <c r="CE96" s="1341">
        <f ca="1">CD96+CE94</f>
        <v>1704</v>
      </c>
      <c r="CF96" s="1341">
        <f ca="1">CE96+CF94</f>
        <v>1704</v>
      </c>
      <c r="CG96" s="1340">
        <f t="shared" ca="1" si="168"/>
        <v>1704</v>
      </c>
      <c r="CH96" s="1346">
        <f ca="1">CG96+CH94</f>
        <v>1704</v>
      </c>
      <c r="CI96" s="1340">
        <f ca="1">CH96+CI94</f>
        <v>1704</v>
      </c>
      <c r="CJ96" s="1340">
        <f ca="1">CI96+CJ94</f>
        <v>1704</v>
      </c>
      <c r="CK96" s="1340">
        <f ca="1">CJ96+CK94</f>
        <v>1704</v>
      </c>
      <c r="CL96" s="1346">
        <f ca="1">CK96+CL94</f>
        <v>1704</v>
      </c>
      <c r="CM96" s="1400"/>
      <c r="CN96" s="1400"/>
      <c r="CO96" s="1400"/>
    </row>
    <row r="97" spans="1:93" ht="12.75" customHeight="1">
      <c r="A97" s="1225" t="s">
        <v>993</v>
      </c>
      <c r="B97" s="1198"/>
      <c r="C97" s="1198"/>
      <c r="D97" s="1198"/>
      <c r="E97" s="1198"/>
      <c r="F97" s="1226"/>
      <c r="G97" s="1227"/>
      <c r="H97" s="1227"/>
      <c r="I97" s="1227"/>
      <c r="J97" s="1227"/>
      <c r="K97" s="1227">
        <f t="shared" ref="K97:S97" si="169">+K96/J96-1</f>
        <v>4.4694237617924681E-2</v>
      </c>
      <c r="L97" s="1227">
        <f t="shared" si="169"/>
        <v>2.4945556723496187E-2</v>
      </c>
      <c r="M97" s="1227">
        <f t="shared" si="169"/>
        <v>2.5156387665198121E-2</v>
      </c>
      <c r="N97" s="1227">
        <f t="shared" si="169"/>
        <v>2.1977951145307095E-2</v>
      </c>
      <c r="O97" s="1227">
        <f t="shared" si="169"/>
        <v>-6.2051928939346079E-2</v>
      </c>
      <c r="P97" s="1229">
        <f>+P96/O96-1</f>
        <v>-4.5132078855055102E-2</v>
      </c>
      <c r="Q97" s="1229">
        <f ca="1">+Q96/P96-1</f>
        <v>0</v>
      </c>
      <c r="R97" s="1230">
        <f t="shared" ca="1" si="169"/>
        <v>0</v>
      </c>
      <c r="S97" s="1227">
        <f t="shared" ca="1" si="169"/>
        <v>0</v>
      </c>
      <c r="T97" s="1400"/>
      <c r="U97" s="1400"/>
      <c r="V97" s="1400"/>
      <c r="W97" s="1400"/>
      <c r="X97" s="1226"/>
      <c r="Y97" s="1226"/>
      <c r="Z97" s="1226"/>
      <c r="AA97" s="1226"/>
      <c r="AB97" s="1226"/>
      <c r="AC97" s="1226"/>
      <c r="AD97" s="1226"/>
      <c r="AE97" s="1226"/>
      <c r="AF97" s="1226"/>
      <c r="AG97" s="1226"/>
      <c r="AH97" s="1226"/>
      <c r="AI97" s="1226"/>
      <c r="AJ97" s="1226"/>
      <c r="AK97" s="1226"/>
      <c r="AL97" s="1226"/>
      <c r="AM97" s="1226"/>
      <c r="AN97" s="1226"/>
      <c r="AO97" s="1226"/>
      <c r="AP97" s="1226"/>
      <c r="AQ97" s="1227"/>
      <c r="AR97" s="1227"/>
      <c r="AS97" s="1227"/>
      <c r="AT97" s="1227"/>
      <c r="AU97" s="1227"/>
      <c r="AV97" s="1227"/>
      <c r="AW97" s="1227"/>
      <c r="AX97" s="1227"/>
      <c r="AY97" s="1227"/>
      <c r="AZ97" s="1227"/>
      <c r="BA97" s="1227"/>
      <c r="BB97" s="1227"/>
      <c r="BC97" s="1227"/>
      <c r="BD97" s="1227"/>
      <c r="BE97" s="1227"/>
      <c r="BF97" s="1227">
        <f t="shared" ref="BF97:CC97" si="170">BF96/BB96-1</f>
        <v>2.3896220755848852E-2</v>
      </c>
      <c r="BG97" s="1227">
        <f t="shared" si="170"/>
        <v>3.3373063170440975E-2</v>
      </c>
      <c r="BH97" s="1227">
        <f t="shared" si="170"/>
        <v>4.6310792654028488E-2</v>
      </c>
      <c r="BI97" s="1227">
        <f t="shared" si="170"/>
        <v>4.4694237617924681E-2</v>
      </c>
      <c r="BJ97" s="1227">
        <f t="shared" si="170"/>
        <v>4.5412204460302252E-2</v>
      </c>
      <c r="BK97" s="1227">
        <f t="shared" si="170"/>
        <v>4.6760708765859249E-2</v>
      </c>
      <c r="BL97" s="1227">
        <f t="shared" si="170"/>
        <v>2.8159893032607242E-2</v>
      </c>
      <c r="BM97" s="1227">
        <f t="shared" si="170"/>
        <v>2.4945556723496187E-2</v>
      </c>
      <c r="BN97" s="1231">
        <f t="shared" si="170"/>
        <v>1.8164558587270507E-2</v>
      </c>
      <c r="BO97" s="1227">
        <f t="shared" si="170"/>
        <v>4.5479631984821633E-3</v>
      </c>
      <c r="BP97" s="1227">
        <f t="shared" si="170"/>
        <v>1.5313084306563196E-2</v>
      </c>
      <c r="BQ97" s="1230">
        <f t="shared" si="170"/>
        <v>2.5156387665198121E-2</v>
      </c>
      <c r="BR97" s="1227">
        <f t="shared" si="170"/>
        <v>3.1680058653931864E-2</v>
      </c>
      <c r="BS97" s="1227">
        <f t="shared" si="170"/>
        <v>4.4658203799844198E-2</v>
      </c>
      <c r="BT97" s="1227">
        <f t="shared" si="170"/>
        <v>3.8326030867026573E-2</v>
      </c>
      <c r="BU97" s="1230">
        <f t="shared" si="170"/>
        <v>2.1977951145307095E-2</v>
      </c>
      <c r="BV97" s="1231">
        <f t="shared" si="170"/>
        <v>-1.3402020366929168E-2</v>
      </c>
      <c r="BW97" s="1227">
        <f t="shared" si="170"/>
        <v>-3.610156633495476E-2</v>
      </c>
      <c r="BX97" s="1227">
        <f t="shared" si="170"/>
        <v>-5.9032918588579286E-2</v>
      </c>
      <c r="BY97" s="1229">
        <f t="shared" si="170"/>
        <v>-6.2051928939346079E-2</v>
      </c>
      <c r="BZ97" s="1231">
        <f t="shared" si="170"/>
        <v>-5.1974241316505632E-2</v>
      </c>
      <c r="CA97" s="1227">
        <f t="shared" si="170"/>
        <v>-5.5186045751633994E-2</v>
      </c>
      <c r="CB97" s="1227">
        <f t="shared" si="170"/>
        <v>-6.2539093665584966E-2</v>
      </c>
      <c r="CC97" s="1227">
        <f t="shared" si="170"/>
        <v>-4.5132078855055102E-2</v>
      </c>
      <c r="CD97" s="1231">
        <f t="shared" ref="CD97:CL97" ca="1" si="171">CD96/BZ96-1</f>
        <v>-2.7998100585077013E-2</v>
      </c>
      <c r="CE97" s="1229">
        <f t="shared" ca="1" si="171"/>
        <v>-1.7685364414690707E-2</v>
      </c>
      <c r="CF97" s="1227">
        <f t="shared" ca="1" si="171"/>
        <v>9.0541272107185211E-3</v>
      </c>
      <c r="CG97" s="1227">
        <f t="shared" ca="1" si="171"/>
        <v>0</v>
      </c>
      <c r="CH97" s="1231">
        <f t="shared" ca="1" si="171"/>
        <v>0</v>
      </c>
      <c r="CI97" s="1227">
        <f t="shared" ca="1" si="171"/>
        <v>0</v>
      </c>
      <c r="CJ97" s="1227">
        <f t="shared" ca="1" si="171"/>
        <v>0</v>
      </c>
      <c r="CK97" s="1227">
        <f t="shared" ca="1" si="171"/>
        <v>0</v>
      </c>
      <c r="CL97" s="1231">
        <f t="shared" ca="1" si="171"/>
        <v>0</v>
      </c>
      <c r="CM97" s="1400"/>
      <c r="CN97" s="1400"/>
      <c r="CO97" s="1400"/>
    </row>
    <row r="98" spans="1:93" ht="12.75" customHeight="1">
      <c r="A98" s="1225" t="s">
        <v>177</v>
      </c>
      <c r="B98" s="1198"/>
      <c r="C98" s="1198"/>
      <c r="D98" s="1198"/>
      <c r="E98" s="1198"/>
      <c r="F98" s="1226"/>
      <c r="G98" s="1227"/>
      <c r="H98" s="1227"/>
      <c r="I98" s="1227"/>
      <c r="J98" s="1227">
        <f t="shared" ref="J98:S98" si="172">+J96/J91</f>
        <v>1.0082898547967487</v>
      </c>
      <c r="K98" s="1227">
        <f t="shared" si="172"/>
        <v>1.018999351839178</v>
      </c>
      <c r="L98" s="1227">
        <f t="shared" si="172"/>
        <v>1.0080937549396802</v>
      </c>
      <c r="M98" s="1227">
        <f t="shared" si="172"/>
        <v>1.0116491171632283</v>
      </c>
      <c r="N98" s="1227">
        <f t="shared" si="172"/>
        <v>1.0105381187972735</v>
      </c>
      <c r="O98" s="1227">
        <f t="shared" si="172"/>
        <v>0.92215297616145853</v>
      </c>
      <c r="P98" s="1229">
        <f>+P96/P91</f>
        <v>0.97551815814843912</v>
      </c>
      <c r="Q98" s="1229">
        <f ca="1">+Q96/Q91</f>
        <v>0.99526359080181359</v>
      </c>
      <c r="R98" s="1230">
        <f t="shared" ca="1" si="172"/>
        <v>0.99149432858261699</v>
      </c>
      <c r="S98" s="1227">
        <f t="shared" ca="1" si="172"/>
        <v>0.99151625178926783</v>
      </c>
      <c r="T98" s="1400"/>
      <c r="U98" s="1400"/>
      <c r="V98" s="1400"/>
      <c r="W98" s="1400"/>
      <c r="X98" s="1226"/>
      <c r="Y98" s="1226"/>
      <c r="Z98" s="1226"/>
      <c r="AA98" s="1226"/>
      <c r="AB98" s="1226"/>
      <c r="AC98" s="1226"/>
      <c r="AD98" s="1226"/>
      <c r="AE98" s="1226"/>
      <c r="AF98" s="1226"/>
      <c r="AG98" s="1226"/>
      <c r="AH98" s="1226"/>
      <c r="AI98" s="1226"/>
      <c r="AJ98" s="1226"/>
      <c r="AK98" s="1226"/>
      <c r="AL98" s="1226"/>
      <c r="AM98" s="1226"/>
      <c r="AN98" s="1226"/>
      <c r="AO98" s="1226"/>
      <c r="AP98" s="1226"/>
      <c r="AQ98" s="1227"/>
      <c r="AR98" s="1227"/>
      <c r="AS98" s="1227"/>
      <c r="AT98" s="1227"/>
      <c r="AU98" s="1227"/>
      <c r="AV98" s="1227"/>
      <c r="AW98" s="1227"/>
      <c r="AX98" s="1227"/>
      <c r="AY98" s="1227"/>
      <c r="AZ98" s="1227"/>
      <c r="BA98" s="1227"/>
      <c r="BB98" s="1227">
        <f t="shared" ref="BB98:CG98" si="173">+BB96/BB91</f>
        <v>1.000214803179087</v>
      </c>
      <c r="BC98" s="1227">
        <f t="shared" si="173"/>
        <v>1.0001215880834142</v>
      </c>
      <c r="BD98" s="1227">
        <f t="shared" si="173"/>
        <v>1.0001510891752012</v>
      </c>
      <c r="BE98" s="1227">
        <f t="shared" si="173"/>
        <v>1</v>
      </c>
      <c r="BF98" s="1227">
        <f t="shared" si="173"/>
        <v>1</v>
      </c>
      <c r="BG98" s="1227">
        <f t="shared" si="173"/>
        <v>1.0000449847224961</v>
      </c>
      <c r="BH98" s="1227">
        <f t="shared" si="173"/>
        <v>1.0109676510521965</v>
      </c>
      <c r="BI98" s="1227">
        <f t="shared" si="173"/>
        <v>1.0015836218202374</v>
      </c>
      <c r="BJ98" s="1227">
        <f t="shared" si="173"/>
        <v>1.0062473015923143</v>
      </c>
      <c r="BK98" s="1227">
        <f t="shared" si="173"/>
        <v>1.0076506154992333</v>
      </c>
      <c r="BL98" s="1227">
        <f t="shared" si="173"/>
        <v>1.0004401113101198</v>
      </c>
      <c r="BM98" s="1227">
        <f t="shared" si="173"/>
        <v>1</v>
      </c>
      <c r="BN98" s="1231">
        <f t="shared" si="173"/>
        <v>0.99691666433454773</v>
      </c>
      <c r="BO98" s="1227">
        <f t="shared" si="173"/>
        <v>1</v>
      </c>
      <c r="BP98" s="1227">
        <f t="shared" si="173"/>
        <v>1</v>
      </c>
      <c r="BQ98" s="1230">
        <f t="shared" si="173"/>
        <v>1</v>
      </c>
      <c r="BR98" s="1227">
        <f t="shared" si="173"/>
        <v>0.98060925741455374</v>
      </c>
      <c r="BS98" s="1227">
        <f t="shared" si="173"/>
        <v>0.97593773312674714</v>
      </c>
      <c r="BT98" s="1227">
        <f t="shared" si="173"/>
        <v>0.95503884655640148</v>
      </c>
      <c r="BU98" s="1230">
        <f t="shared" si="173"/>
        <v>0.95505671559077621</v>
      </c>
      <c r="BV98" s="1231">
        <f t="shared" si="173"/>
        <v>0.94715316205432376</v>
      </c>
      <c r="BW98" s="1227">
        <f t="shared" si="173"/>
        <v>0.94462520605794942</v>
      </c>
      <c r="BX98" s="1227">
        <f t="shared" si="173"/>
        <v>0.94254668216154613</v>
      </c>
      <c r="BY98" s="1229">
        <f>+BY96/BY91</f>
        <v>0.96486342987338369</v>
      </c>
      <c r="BZ98" s="1231">
        <f t="shared" si="173"/>
        <v>0.99090983260464682</v>
      </c>
      <c r="CA98" s="1227">
        <f t="shared" si="173"/>
        <v>0.99410727231153018</v>
      </c>
      <c r="CB98" s="1227">
        <f t="shared" si="173"/>
        <v>0.98539176073453172</v>
      </c>
      <c r="CC98" s="1227">
        <f t="shared" si="173"/>
        <v>1.0037315960451563</v>
      </c>
      <c r="CD98" s="1231">
        <f t="shared" ca="1" si="173"/>
        <v>0.99834663485706188</v>
      </c>
      <c r="CE98" s="1229">
        <f ca="1">+CE96/CE91</f>
        <v>0.9891047557131829</v>
      </c>
      <c r="CF98" s="1227">
        <f t="shared" ca="1" si="173"/>
        <v>0.99098459902925384</v>
      </c>
      <c r="CG98" s="1227">
        <f t="shared" ca="1" si="173"/>
        <v>0.99038040720676113</v>
      </c>
      <c r="CH98" s="1231">
        <f ca="1">+CH96/CH91</f>
        <v>0.9796453384921856</v>
      </c>
      <c r="CI98" s="1227">
        <f ca="1">+CI96/CI91</f>
        <v>0.96736340675417221</v>
      </c>
      <c r="CJ98" s="1227">
        <f ca="1">+CJ96/CJ91</f>
        <v>0.98681467342457119</v>
      </c>
      <c r="CK98" s="1227">
        <f ca="1">+CK96/CK91</f>
        <v>0.98215124552801292</v>
      </c>
      <c r="CL98" s="1231">
        <f ca="1">+CL96/CL91</f>
        <v>0.95960588580802586</v>
      </c>
      <c r="CM98" s="1400"/>
      <c r="CN98" s="1400"/>
      <c r="CO98" s="1400"/>
    </row>
    <row r="99" spans="1:93" ht="12.75" customHeight="1">
      <c r="A99" s="1198" t="s">
        <v>178</v>
      </c>
      <c r="B99" s="1198"/>
      <c r="C99" s="1198"/>
      <c r="D99" s="1198"/>
      <c r="E99" s="1198"/>
      <c r="F99" s="1226"/>
      <c r="G99" s="1227"/>
      <c r="H99" s="1227"/>
      <c r="I99" s="1227"/>
      <c r="J99" s="1347">
        <v>1682.056</v>
      </c>
      <c r="K99" s="1347">
        <v>1738.7660000000001</v>
      </c>
      <c r="L99" s="1226">
        <f>AVERAGE(K96:L96)</f>
        <v>1793.9007135000002</v>
      </c>
      <c r="M99" s="1226">
        <f>AVERAGE(L96:M96)</f>
        <v>1838.8420000000001</v>
      </c>
      <c r="N99" s="1226">
        <f>N91-N100</f>
        <v>1807.5765092592592</v>
      </c>
      <c r="O99" s="1226">
        <f>O91-O100</f>
        <v>1850.5056792452831</v>
      </c>
      <c r="P99" s="1179">
        <f>AVERAGE(O96:P96)</f>
        <v>1744.27</v>
      </c>
      <c r="Q99" s="1179">
        <f ca="1">AVERAGE(P96:Q96)</f>
        <v>1704</v>
      </c>
      <c r="R99" s="1263">
        <f ca="1">AVERAGE(Q96:R96)</f>
        <v>1704</v>
      </c>
      <c r="S99" s="1226">
        <f ca="1">AVERAGE(R96:S96)</f>
        <v>1704</v>
      </c>
      <c r="T99" s="1400"/>
      <c r="U99" s="1400"/>
      <c r="V99" s="1400"/>
      <c r="W99" s="1400"/>
      <c r="X99" s="1226"/>
      <c r="Y99" s="1226"/>
      <c r="Z99" s="1226"/>
      <c r="AA99" s="1226"/>
      <c r="AB99" s="1226"/>
      <c r="AC99" s="1226"/>
      <c r="AD99" s="1226"/>
      <c r="AE99" s="1226"/>
      <c r="AF99" s="1226"/>
      <c r="AG99" s="1226"/>
      <c r="AH99" s="1226"/>
      <c r="AI99" s="1226"/>
      <c r="AJ99" s="1226"/>
      <c r="AK99" s="1226"/>
      <c r="AL99" s="1226"/>
      <c r="AM99" s="1226"/>
      <c r="AN99" s="1226"/>
      <c r="AO99" s="1226"/>
      <c r="AP99" s="1226"/>
      <c r="AQ99" s="1227"/>
      <c r="AR99" s="1227"/>
      <c r="AS99" s="1227"/>
      <c r="AT99" s="1227"/>
      <c r="AU99" s="1227"/>
      <c r="AV99" s="1198"/>
      <c r="AW99" s="1227"/>
      <c r="AX99" s="1198"/>
      <c r="AY99" s="1198"/>
      <c r="AZ99" s="1198"/>
      <c r="BA99" s="1198"/>
      <c r="BB99" s="1248"/>
      <c r="BC99" s="1248">
        <f>+AVERAGE(BB96:BC96)</f>
        <v>1672.5</v>
      </c>
      <c r="BD99" s="1248">
        <f>+AVERAGE(BC96:BD96)</f>
        <v>1683</v>
      </c>
      <c r="BE99" s="1248">
        <f>+AVERAGE(BD96:BE96)</f>
        <v>1692</v>
      </c>
      <c r="BF99" s="1248">
        <v>1706.835</v>
      </c>
      <c r="BG99" s="1248">
        <v>1733.922</v>
      </c>
      <c r="BH99" s="1248">
        <v>1747.0119999999999</v>
      </c>
      <c r="BI99" s="1248">
        <v>1767</v>
      </c>
      <c r="BJ99" s="1248">
        <v>1773.268</v>
      </c>
      <c r="BK99" s="1248">
        <v>1801.3019999999999</v>
      </c>
      <c r="BL99" s="1248">
        <v>1815.1089999999999</v>
      </c>
      <c r="BM99" s="1248">
        <v>1816</v>
      </c>
      <c r="BN99" s="1249">
        <v>1816.758</v>
      </c>
      <c r="BO99" s="1248">
        <v>1823.338</v>
      </c>
      <c r="BP99" s="1248">
        <v>1843.7149999999999</v>
      </c>
      <c r="BQ99" s="1250">
        <v>1861.684</v>
      </c>
      <c r="BR99" s="1333">
        <v>1874.3130000000001</v>
      </c>
      <c r="BS99" s="1333">
        <v>1882.3979999999999</v>
      </c>
      <c r="BT99" s="1333">
        <v>1901.3720000000001</v>
      </c>
      <c r="BU99" s="1348">
        <v>1900.925</v>
      </c>
      <c r="BV99" s="1337">
        <v>1864.951</v>
      </c>
      <c r="BW99" s="1333">
        <v>1841.374</v>
      </c>
      <c r="BX99" s="1333">
        <v>1818.683</v>
      </c>
      <c r="BY99" s="1349">
        <v>1792.953</v>
      </c>
      <c r="BZ99" s="1337">
        <v>1763.306</v>
      </c>
      <c r="CA99" s="1333">
        <v>1742.2940000000001</v>
      </c>
      <c r="CB99" s="1333">
        <v>1713.127</v>
      </c>
      <c r="CC99" s="1333">
        <v>1696.8330000000001</v>
      </c>
      <c r="CD99" s="1337">
        <v>1702.069</v>
      </c>
      <c r="CE99" s="1349">
        <v>1707.9280000000001</v>
      </c>
      <c r="CF99" s="1349">
        <v>1711.954</v>
      </c>
      <c r="CG99" s="1333">
        <v>1715.2570000000001</v>
      </c>
      <c r="CH99" s="1337">
        <v>1719.1479999999999</v>
      </c>
      <c r="CI99" s="1333">
        <v>1723.2739999999999</v>
      </c>
      <c r="CJ99" s="1333">
        <v>1726.768</v>
      </c>
      <c r="CK99" s="1333">
        <v>1734.9670000000001</v>
      </c>
      <c r="CL99" s="1337">
        <v>1761.1489999999999</v>
      </c>
      <c r="CM99" s="1400"/>
      <c r="CN99" s="1400"/>
      <c r="CO99" s="1400"/>
    </row>
    <row r="100" spans="1:93" ht="12.75" customHeight="1">
      <c r="A100" s="1198" t="s">
        <v>179</v>
      </c>
      <c r="B100" s="1198"/>
      <c r="C100" s="1198"/>
      <c r="D100" s="1198"/>
      <c r="E100" s="1198"/>
      <c r="F100" s="1198"/>
      <c r="G100" s="1198"/>
      <c r="H100" s="1226"/>
      <c r="I100" s="1226"/>
      <c r="J100" s="1332"/>
      <c r="K100" s="1302"/>
      <c r="L100" s="1226"/>
      <c r="M100" s="1226">
        <f>AVERAGE(BN100:BQ100)</f>
        <v>1.4047499999999786</v>
      </c>
      <c r="N100" s="1226">
        <f>AVERAGE(BR100:BU100)</f>
        <v>75.182749999999999</v>
      </c>
      <c r="O100" s="1226">
        <f>AVERAGE(BV100:BY100)</f>
        <v>84.682999999999993</v>
      </c>
      <c r="P100" s="1179">
        <f>AVERAGE(BZ100:CC100)</f>
        <v>2.4939999999999145</v>
      </c>
      <c r="Q100" s="1179">
        <f>AVERAGE(CD100:CG100)</f>
        <v>8.1092499999999177</v>
      </c>
      <c r="R100" s="1263">
        <f>AVERAGE(CH100:CK100)</f>
        <v>14.618000000000052</v>
      </c>
      <c r="S100" s="1179">
        <f>AVERAGE(CL100:CO100)</f>
        <v>14.580000000000155</v>
      </c>
      <c r="T100" s="1400"/>
      <c r="U100" s="1400"/>
      <c r="V100" s="1400"/>
      <c r="W100" s="1400"/>
      <c r="X100" s="1198"/>
      <c r="Y100" s="1198"/>
      <c r="Z100" s="1198"/>
      <c r="AA100" s="1198"/>
      <c r="AB100" s="1198"/>
      <c r="AC100" s="1198"/>
      <c r="AD100" s="1198"/>
      <c r="AE100" s="1198"/>
      <c r="AF100" s="1198"/>
      <c r="AG100" s="1198"/>
      <c r="AH100" s="1198"/>
      <c r="AI100" s="1198"/>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235"/>
      <c r="BC100" s="1198"/>
      <c r="BD100" s="1198"/>
      <c r="BE100" s="1198"/>
      <c r="BF100" s="1198"/>
      <c r="BG100" s="1198"/>
      <c r="BH100" s="1198"/>
      <c r="BI100" s="1198"/>
      <c r="BJ100" s="1248">
        <f t="shared" ref="BJ100:BX100" si="174">+BJ91-BJ99</f>
        <v>0</v>
      </c>
      <c r="BK100" s="1248">
        <f t="shared" si="174"/>
        <v>0</v>
      </c>
      <c r="BL100" s="1248">
        <f t="shared" si="174"/>
        <v>0</v>
      </c>
      <c r="BM100" s="1248">
        <f t="shared" si="174"/>
        <v>0</v>
      </c>
      <c r="BN100" s="1249">
        <f t="shared" si="174"/>
        <v>5.6189999999999145</v>
      </c>
      <c r="BO100" s="1248">
        <f t="shared" si="174"/>
        <v>0</v>
      </c>
      <c r="BP100" s="1248">
        <f t="shared" si="174"/>
        <v>0</v>
      </c>
      <c r="BQ100" s="1250">
        <f t="shared" si="174"/>
        <v>0</v>
      </c>
      <c r="BR100" s="1248">
        <f t="shared" si="174"/>
        <v>37.062999999999874</v>
      </c>
      <c r="BS100" s="1248">
        <f t="shared" si="174"/>
        <v>69.330000000000155</v>
      </c>
      <c r="BT100" s="1248">
        <f t="shared" si="174"/>
        <v>103.12999999999988</v>
      </c>
      <c r="BU100" s="1250">
        <f t="shared" si="174"/>
        <v>91.208000000000084</v>
      </c>
      <c r="BV100" s="1249">
        <f t="shared" si="174"/>
        <v>87.418999999999869</v>
      </c>
      <c r="BW100" s="1248">
        <f t="shared" si="174"/>
        <v>102.25399999999991</v>
      </c>
      <c r="BX100" s="1248">
        <f t="shared" si="174"/>
        <v>92.486000000000104</v>
      </c>
      <c r="BY100" s="1282">
        <f t="shared" ref="BY100:CG100" si="175">+BY91-BY99</f>
        <v>56.573000000000093</v>
      </c>
      <c r="BZ100" s="1267">
        <f t="shared" si="175"/>
        <v>5.8589999999999236</v>
      </c>
      <c r="CA100" s="1226">
        <f t="shared" si="175"/>
        <v>2.6669999999999163</v>
      </c>
      <c r="CB100" s="1226">
        <f t="shared" si="175"/>
        <v>0.61799999999993815</v>
      </c>
      <c r="CC100" s="1226">
        <f t="shared" si="175"/>
        <v>0.83199999999987995</v>
      </c>
      <c r="CD100" s="1267">
        <f t="shared" si="175"/>
        <v>4.7529999999999291</v>
      </c>
      <c r="CE100" s="1179">
        <f>+CE91-CE99</f>
        <v>14.841999999999871</v>
      </c>
      <c r="CF100" s="1179">
        <f t="shared" si="175"/>
        <v>7.5480000000000018</v>
      </c>
      <c r="CG100" s="1179">
        <f t="shared" si="175"/>
        <v>5.293999999999869</v>
      </c>
      <c r="CH100" s="1267">
        <f>+CH91-CH99</f>
        <v>20.257000000000062</v>
      </c>
      <c r="CI100" s="1179">
        <f>+CI91-CI99</f>
        <v>38.215000000000146</v>
      </c>
      <c r="CJ100" s="1179">
        <f>+CJ91-CJ99</f>
        <v>0</v>
      </c>
      <c r="CK100" s="1179">
        <f>+CK91-CK99</f>
        <v>0</v>
      </c>
      <c r="CL100" s="1267">
        <f>+CL91-CL99</f>
        <v>14.580000000000155</v>
      </c>
      <c r="CM100" s="1400"/>
      <c r="CN100" s="1400"/>
      <c r="CO100" s="1400"/>
    </row>
    <row r="101" spans="1:93" ht="12.75" customHeight="1">
      <c r="A101" s="1225" t="s">
        <v>993</v>
      </c>
      <c r="B101" s="1198"/>
      <c r="C101" s="1198"/>
      <c r="D101" s="1198"/>
      <c r="E101" s="1198"/>
      <c r="F101" s="1198"/>
      <c r="G101" s="1198"/>
      <c r="H101" s="1226"/>
      <c r="I101" s="1226"/>
      <c r="J101" s="1332"/>
      <c r="K101" s="1302"/>
      <c r="L101" s="1338"/>
      <c r="M101" s="1227"/>
      <c r="N101" s="1223"/>
      <c r="O101" s="1227"/>
      <c r="P101" s="1229"/>
      <c r="Q101" s="1229"/>
      <c r="R101" s="1230"/>
      <c r="S101" s="1227"/>
      <c r="T101" s="1400"/>
      <c r="U101" s="1400"/>
      <c r="V101" s="1400"/>
      <c r="W101" s="1400"/>
      <c r="X101" s="1198"/>
      <c r="Y101" s="1198"/>
      <c r="Z101" s="1198"/>
      <c r="AA101" s="1198"/>
      <c r="AB101" s="1198"/>
      <c r="AC101" s="1198"/>
      <c r="AD101" s="1198"/>
      <c r="AE101" s="1198"/>
      <c r="AF101" s="1198"/>
      <c r="AG101" s="1198"/>
      <c r="AH101" s="1198"/>
      <c r="AI101" s="1198"/>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235"/>
      <c r="BC101" s="1198"/>
      <c r="BD101" s="1198"/>
      <c r="BE101" s="1198"/>
      <c r="BF101" s="1198"/>
      <c r="BG101" s="1198"/>
      <c r="BH101" s="1198"/>
      <c r="BI101" s="1198"/>
      <c r="BJ101" s="1198"/>
      <c r="BK101" s="1198"/>
      <c r="BL101" s="1198"/>
      <c r="BM101" s="1227"/>
      <c r="BN101" s="1231"/>
      <c r="BO101" s="1227"/>
      <c r="BP101" s="1227"/>
      <c r="BQ101" s="1230"/>
      <c r="BR101" s="1227"/>
      <c r="BS101" s="1227"/>
      <c r="BT101" s="1227"/>
      <c r="BU101" s="1230"/>
      <c r="BV101" s="1231"/>
      <c r="BW101" s="1227"/>
      <c r="BX101" s="1227"/>
      <c r="BY101" s="1229"/>
      <c r="BZ101" s="1231"/>
      <c r="CA101" s="1227"/>
      <c r="CB101" s="1227"/>
      <c r="CC101" s="1227"/>
      <c r="CD101" s="1231"/>
      <c r="CE101" s="1227"/>
      <c r="CF101" s="1227"/>
      <c r="CG101" s="1227"/>
      <c r="CH101" s="1231"/>
      <c r="CI101" s="1227"/>
      <c r="CJ101" s="1227"/>
      <c r="CK101" s="1227"/>
      <c r="CL101" s="1231"/>
      <c r="CM101" s="1400"/>
      <c r="CN101" s="1400"/>
      <c r="CO101" s="1400"/>
    </row>
    <row r="102" spans="1:93" ht="12" customHeight="1">
      <c r="A102" s="1213" t="s">
        <v>180</v>
      </c>
      <c r="B102" s="1350"/>
      <c r="C102" s="1350"/>
      <c r="D102" s="1350"/>
      <c r="E102" s="1350"/>
      <c r="F102" s="1350"/>
      <c r="G102" s="1350"/>
      <c r="H102" s="1350"/>
      <c r="I102" s="1351"/>
      <c r="J102" s="1351">
        <f>SUM(BB102:BE102)</f>
        <v>0</v>
      </c>
      <c r="K102" s="1351">
        <v>0</v>
      </c>
      <c r="L102" s="1351">
        <f>K102</f>
        <v>0</v>
      </c>
      <c r="M102" s="1351">
        <f>L102</f>
        <v>0</v>
      </c>
      <c r="N102" s="1351">
        <f>M102</f>
        <v>0</v>
      </c>
      <c r="O102" s="1351">
        <f>N102</f>
        <v>0</v>
      </c>
      <c r="P102" s="1352">
        <f>SUM(BZ102:CC102)</f>
        <v>0.32</v>
      </c>
      <c r="Q102" s="1352">
        <f>SUM(CD102:CG102)</f>
        <v>0.32</v>
      </c>
      <c r="R102" s="1353">
        <f>SUM(CH102:CK102)</f>
        <v>0.32</v>
      </c>
      <c r="S102" s="1351">
        <f>R102</f>
        <v>0.32</v>
      </c>
      <c r="T102" s="1400"/>
      <c r="U102" s="1400"/>
      <c r="V102" s="1400"/>
      <c r="W102" s="1400"/>
      <c r="X102" s="1350"/>
      <c r="Y102" s="1350"/>
      <c r="Z102" s="1350"/>
      <c r="AA102" s="1350"/>
      <c r="AB102" s="1350"/>
      <c r="AC102" s="1350"/>
      <c r="AD102" s="1350"/>
      <c r="AE102" s="1350"/>
      <c r="AF102" s="1350"/>
      <c r="AG102" s="1350"/>
      <c r="AH102" s="1350"/>
      <c r="AI102" s="1350"/>
      <c r="AJ102" s="1350"/>
      <c r="AK102" s="1350"/>
      <c r="AL102" s="1350"/>
      <c r="AM102" s="1350"/>
      <c r="AN102" s="1350"/>
      <c r="AO102" s="1350"/>
      <c r="AP102" s="1350"/>
      <c r="AQ102" s="1350"/>
      <c r="AR102" s="1350"/>
      <c r="AS102" s="1350"/>
      <c r="AT102" s="1350"/>
      <c r="AU102" s="1350"/>
      <c r="AV102" s="1351"/>
      <c r="AW102" s="1351"/>
      <c r="AX102" s="1351"/>
      <c r="AY102" s="1351"/>
      <c r="AZ102" s="1351"/>
      <c r="BA102" s="1350"/>
      <c r="BB102" s="1351">
        <f>BA102</f>
        <v>0</v>
      </c>
      <c r="BC102" s="1351">
        <v>0</v>
      </c>
      <c r="BD102" s="1351">
        <f t="shared" ref="BD102:BY102" si="176">BC102</f>
        <v>0</v>
      </c>
      <c r="BE102" s="1351">
        <f t="shared" si="176"/>
        <v>0</v>
      </c>
      <c r="BF102" s="1351">
        <f t="shared" si="176"/>
        <v>0</v>
      </c>
      <c r="BG102" s="1351">
        <f t="shared" si="176"/>
        <v>0</v>
      </c>
      <c r="BH102" s="1351">
        <f t="shared" si="176"/>
        <v>0</v>
      </c>
      <c r="BI102" s="1351">
        <f t="shared" si="176"/>
        <v>0</v>
      </c>
      <c r="BJ102" s="1351">
        <f t="shared" si="176"/>
        <v>0</v>
      </c>
      <c r="BK102" s="1351">
        <f t="shared" si="176"/>
        <v>0</v>
      </c>
      <c r="BL102" s="1351">
        <f t="shared" si="176"/>
        <v>0</v>
      </c>
      <c r="BM102" s="1351">
        <f t="shared" si="176"/>
        <v>0</v>
      </c>
      <c r="BN102" s="1354">
        <f t="shared" si="176"/>
        <v>0</v>
      </c>
      <c r="BO102" s="1351">
        <f t="shared" si="176"/>
        <v>0</v>
      </c>
      <c r="BP102" s="1351">
        <f t="shared" si="176"/>
        <v>0</v>
      </c>
      <c r="BQ102" s="1353">
        <f t="shared" si="176"/>
        <v>0</v>
      </c>
      <c r="BR102" s="1351">
        <f t="shared" si="176"/>
        <v>0</v>
      </c>
      <c r="BS102" s="1351">
        <f t="shared" si="176"/>
        <v>0</v>
      </c>
      <c r="BT102" s="1351">
        <f t="shared" si="176"/>
        <v>0</v>
      </c>
      <c r="BU102" s="1353">
        <f t="shared" si="176"/>
        <v>0</v>
      </c>
      <c r="BV102" s="1354">
        <f t="shared" si="176"/>
        <v>0</v>
      </c>
      <c r="BW102" s="1351">
        <f t="shared" si="176"/>
        <v>0</v>
      </c>
      <c r="BX102" s="1351">
        <f t="shared" si="176"/>
        <v>0</v>
      </c>
      <c r="BY102" s="1352">
        <f t="shared" si="176"/>
        <v>0</v>
      </c>
      <c r="BZ102" s="1354">
        <v>0.08</v>
      </c>
      <c r="CA102" s="1351">
        <f>BZ102</f>
        <v>0.08</v>
      </c>
      <c r="CB102" s="1351">
        <f>CA102</f>
        <v>0.08</v>
      </c>
      <c r="CC102" s="1351">
        <f>CB102</f>
        <v>0.08</v>
      </c>
      <c r="CD102" s="1354">
        <f t="shared" ref="CD102:CK102" si="177">+CC102</f>
        <v>0.08</v>
      </c>
      <c r="CE102" s="1351">
        <f t="shared" si="177"/>
        <v>0.08</v>
      </c>
      <c r="CF102" s="1351">
        <f t="shared" si="177"/>
        <v>0.08</v>
      </c>
      <c r="CG102" s="1351">
        <f>+CF102</f>
        <v>0.08</v>
      </c>
      <c r="CH102" s="1354">
        <f t="shared" si="177"/>
        <v>0.08</v>
      </c>
      <c r="CI102" s="1351">
        <f t="shared" si="177"/>
        <v>0.08</v>
      </c>
      <c r="CJ102" s="1351">
        <f t="shared" si="177"/>
        <v>0.08</v>
      </c>
      <c r="CK102" s="1351">
        <f t="shared" si="177"/>
        <v>0.08</v>
      </c>
      <c r="CL102" s="1354">
        <f>+CK102</f>
        <v>0.08</v>
      </c>
      <c r="CM102" s="1400"/>
      <c r="CN102" s="1400"/>
      <c r="CO102" s="1400"/>
    </row>
    <row r="103" spans="1:93" ht="13.5" customHeight="1">
      <c r="A103" s="1198" t="s">
        <v>181</v>
      </c>
      <c r="B103" s="1198"/>
      <c r="C103" s="1198"/>
      <c r="D103" s="1198"/>
      <c r="E103" s="1198"/>
      <c r="F103" s="1198"/>
      <c r="G103" s="1340"/>
      <c r="H103" s="1340"/>
      <c r="I103" s="1340"/>
      <c r="J103" s="1340">
        <f t="shared" ref="J103:S103" si="178">J102*J91</f>
        <v>0</v>
      </c>
      <c r="K103" s="1340">
        <f t="shared" si="178"/>
        <v>0</v>
      </c>
      <c r="L103" s="1340">
        <f t="shared" si="178"/>
        <v>0</v>
      </c>
      <c r="M103" s="1340">
        <f t="shared" si="178"/>
        <v>0</v>
      </c>
      <c r="N103" s="1340">
        <f t="shared" si="178"/>
        <v>0</v>
      </c>
      <c r="O103" s="1340">
        <f t="shared" si="178"/>
        <v>0</v>
      </c>
      <c r="P103" s="1341">
        <f>P102*P91</f>
        <v>558.96447999999998</v>
      </c>
      <c r="Q103" s="1341">
        <f ca="1">Q102*Q91</f>
        <v>547.87495999999999</v>
      </c>
      <c r="R103" s="1342">
        <f t="shared" ca="1" si="178"/>
        <v>549.95776000000001</v>
      </c>
      <c r="S103" s="1340">
        <f t="shared" ca="1" si="178"/>
        <v>549.94560000000001</v>
      </c>
      <c r="T103" s="1400"/>
      <c r="U103" s="1400"/>
      <c r="V103" s="1400"/>
      <c r="W103" s="1400"/>
      <c r="X103" s="1198"/>
      <c r="Y103" s="1198"/>
      <c r="Z103" s="1198"/>
      <c r="AA103" s="1198"/>
      <c r="AB103" s="1198"/>
      <c r="AC103" s="1198"/>
      <c r="AD103" s="1198"/>
      <c r="AE103" s="1198"/>
      <c r="AF103" s="1198"/>
      <c r="AG103" s="1198"/>
      <c r="AH103" s="1198"/>
      <c r="AI103" s="1198"/>
      <c r="AJ103" s="1198"/>
      <c r="AK103" s="1198"/>
      <c r="AL103" s="1198"/>
      <c r="AM103" s="1198"/>
      <c r="AN103" s="1198"/>
      <c r="AO103" s="1198"/>
      <c r="AP103" s="1198"/>
      <c r="AQ103" s="1198"/>
      <c r="AR103" s="1198"/>
      <c r="AS103" s="1198"/>
      <c r="AT103" s="1198"/>
      <c r="AU103" s="1198"/>
      <c r="AV103" s="1340"/>
      <c r="AW103" s="1340"/>
      <c r="AX103" s="1340"/>
      <c r="AY103" s="1340"/>
      <c r="AZ103" s="1340"/>
      <c r="BA103" s="1340"/>
      <c r="BB103" s="1340">
        <f t="shared" ref="BB103:BY103" si="179">BB102*BB91</f>
        <v>0</v>
      </c>
      <c r="BC103" s="1340">
        <f t="shared" si="179"/>
        <v>0</v>
      </c>
      <c r="BD103" s="1340">
        <f t="shared" si="179"/>
        <v>0</v>
      </c>
      <c r="BE103" s="1340">
        <f t="shared" si="179"/>
        <v>0</v>
      </c>
      <c r="BF103" s="1340">
        <f t="shared" si="179"/>
        <v>0</v>
      </c>
      <c r="BG103" s="1340">
        <f t="shared" si="179"/>
        <v>0</v>
      </c>
      <c r="BH103" s="1340">
        <f t="shared" si="179"/>
        <v>0</v>
      </c>
      <c r="BI103" s="1340">
        <f t="shared" si="179"/>
        <v>0</v>
      </c>
      <c r="BJ103" s="1340">
        <f t="shared" si="179"/>
        <v>0</v>
      </c>
      <c r="BK103" s="1340">
        <f t="shared" si="179"/>
        <v>0</v>
      </c>
      <c r="BL103" s="1340">
        <f t="shared" si="179"/>
        <v>0</v>
      </c>
      <c r="BM103" s="1340">
        <f t="shared" si="179"/>
        <v>0</v>
      </c>
      <c r="BN103" s="1346">
        <f t="shared" si="179"/>
        <v>0</v>
      </c>
      <c r="BO103" s="1340">
        <f t="shared" si="179"/>
        <v>0</v>
      </c>
      <c r="BP103" s="1340">
        <f t="shared" si="179"/>
        <v>0</v>
      </c>
      <c r="BQ103" s="1342">
        <f t="shared" si="179"/>
        <v>0</v>
      </c>
      <c r="BR103" s="1340">
        <f t="shared" si="179"/>
        <v>0</v>
      </c>
      <c r="BS103" s="1340">
        <f t="shared" si="179"/>
        <v>0</v>
      </c>
      <c r="BT103" s="1340">
        <f t="shared" si="179"/>
        <v>0</v>
      </c>
      <c r="BU103" s="1342">
        <f t="shared" si="179"/>
        <v>0</v>
      </c>
      <c r="BV103" s="1346">
        <f t="shared" si="179"/>
        <v>0</v>
      </c>
      <c r="BW103" s="1340">
        <f t="shared" si="179"/>
        <v>0</v>
      </c>
      <c r="BX103" s="1340">
        <f t="shared" si="179"/>
        <v>0</v>
      </c>
      <c r="BY103" s="1341">
        <f t="shared" si="179"/>
        <v>0</v>
      </c>
      <c r="BZ103" s="1346">
        <f>-Q_CFS!BZ53</f>
        <v>142</v>
      </c>
      <c r="CA103" s="1340">
        <f t="shared" ref="CA103:CK103" si="180">CA102*CA91</f>
        <v>139.59688</v>
      </c>
      <c r="CB103" s="1340">
        <f t="shared" si="180"/>
        <v>137.09959999999998</v>
      </c>
      <c r="CC103" s="1340">
        <f t="shared" si="180"/>
        <v>135.81319999999999</v>
      </c>
      <c r="CD103" s="1346">
        <f t="shared" si="180"/>
        <v>136.54576</v>
      </c>
      <c r="CE103" s="1340">
        <f t="shared" si="180"/>
        <v>137.82159999999999</v>
      </c>
      <c r="CF103" s="1340">
        <f t="shared" si="180"/>
        <v>137.56016</v>
      </c>
      <c r="CG103" s="1340">
        <f t="shared" si="180"/>
        <v>137.64408</v>
      </c>
      <c r="CH103" s="1346">
        <f t="shared" si="180"/>
        <v>139.1524</v>
      </c>
      <c r="CI103" s="1340">
        <f t="shared" si="180"/>
        <v>140.91911999999999</v>
      </c>
      <c r="CJ103" s="1340">
        <f t="shared" si="180"/>
        <v>138.14144000000002</v>
      </c>
      <c r="CK103" s="1340">
        <f t="shared" si="180"/>
        <v>138.79736</v>
      </c>
      <c r="CL103" s="1346">
        <f>CL102*CL91</f>
        <v>142.05832000000001</v>
      </c>
      <c r="CM103" s="1400"/>
      <c r="CN103" s="1400"/>
      <c r="CO103" s="1400"/>
    </row>
    <row r="104" spans="1:93" ht="13.5" customHeight="1">
      <c r="A104" s="1243" t="s">
        <v>182</v>
      </c>
      <c r="B104" s="1243"/>
      <c r="C104" s="1243"/>
      <c r="D104" s="1243"/>
      <c r="E104" s="1243"/>
      <c r="F104" s="1243"/>
      <c r="G104" s="1356"/>
      <c r="H104" s="1356"/>
      <c r="I104" s="1356"/>
      <c r="J104" s="1356">
        <v>0</v>
      </c>
      <c r="K104" s="1356">
        <v>0</v>
      </c>
      <c r="L104" s="1356">
        <v>0</v>
      </c>
      <c r="M104" s="1356">
        <v>0</v>
      </c>
      <c r="N104" s="1356">
        <v>0</v>
      </c>
      <c r="O104" s="1356">
        <v>0</v>
      </c>
      <c r="P104" s="1356">
        <f>P103</f>
        <v>558.96447999999998</v>
      </c>
      <c r="Q104" s="1356">
        <f ca="1">Q103</f>
        <v>547.87495999999999</v>
      </c>
      <c r="R104" s="1357">
        <f ca="1">R103</f>
        <v>549.95776000000001</v>
      </c>
      <c r="S104" s="1356">
        <f ca="1">S103</f>
        <v>549.94560000000001</v>
      </c>
      <c r="T104" s="1400"/>
      <c r="U104" s="1400"/>
      <c r="V104" s="1400"/>
      <c r="W104" s="1400"/>
      <c r="X104" s="1243"/>
      <c r="Y104" s="1243"/>
      <c r="Z104" s="1243"/>
      <c r="AA104" s="1243"/>
      <c r="AB104" s="1243"/>
      <c r="AC104" s="1243"/>
      <c r="AD104" s="1243"/>
      <c r="AE104" s="1243"/>
      <c r="AF104" s="1243"/>
      <c r="AG104" s="1243"/>
      <c r="AH104" s="1243"/>
      <c r="AI104" s="1243"/>
      <c r="AJ104" s="1243"/>
      <c r="AK104" s="1243"/>
      <c r="AL104" s="1243"/>
      <c r="AM104" s="1243"/>
      <c r="AN104" s="1243"/>
      <c r="AO104" s="1243"/>
      <c r="AP104" s="1243"/>
      <c r="AQ104" s="1243"/>
      <c r="AR104" s="1243"/>
      <c r="AS104" s="1243"/>
      <c r="AT104" s="1243"/>
      <c r="AU104" s="1243"/>
      <c r="AV104" s="1356"/>
      <c r="AW104" s="1356"/>
      <c r="AX104" s="1356"/>
      <c r="AY104" s="1356"/>
      <c r="AZ104" s="1356"/>
      <c r="BA104" s="1356"/>
      <c r="BB104" s="1356"/>
      <c r="BC104" s="1356"/>
      <c r="BD104" s="1356"/>
      <c r="BE104" s="1356"/>
      <c r="BF104" s="1356"/>
      <c r="BG104" s="1356"/>
      <c r="BH104" s="1356"/>
      <c r="BI104" s="1356"/>
      <c r="BJ104" s="1356"/>
      <c r="BK104" s="1356"/>
      <c r="BL104" s="1356"/>
      <c r="BM104" s="1356"/>
      <c r="BN104" s="1358"/>
      <c r="BO104" s="1356"/>
      <c r="BP104" s="1356"/>
      <c r="BQ104" s="1357"/>
      <c r="BR104" s="1356"/>
      <c r="BS104" s="1356"/>
      <c r="BT104" s="1356"/>
      <c r="BU104" s="1357"/>
      <c r="BV104" s="1358"/>
      <c r="BW104" s="1356"/>
      <c r="BX104" s="1356"/>
      <c r="BY104" s="1356"/>
      <c r="BZ104" s="1358">
        <f t="shared" ref="BZ104:CK104" si="181">BZ103</f>
        <v>142</v>
      </c>
      <c r="CA104" s="1356">
        <f t="shared" si="181"/>
        <v>139.59688</v>
      </c>
      <c r="CB104" s="1356">
        <f t="shared" si="181"/>
        <v>137.09959999999998</v>
      </c>
      <c r="CC104" s="1356">
        <f t="shared" si="181"/>
        <v>135.81319999999999</v>
      </c>
      <c r="CD104" s="1358">
        <f t="shared" si="181"/>
        <v>136.54576</v>
      </c>
      <c r="CE104" s="1356">
        <f t="shared" si="181"/>
        <v>137.82159999999999</v>
      </c>
      <c r="CF104" s="1356">
        <f t="shared" si="181"/>
        <v>137.56016</v>
      </c>
      <c r="CG104" s="1356">
        <f t="shared" si="181"/>
        <v>137.64408</v>
      </c>
      <c r="CH104" s="1358">
        <f t="shared" si="181"/>
        <v>139.1524</v>
      </c>
      <c r="CI104" s="1356">
        <f t="shared" si="181"/>
        <v>140.91911999999999</v>
      </c>
      <c r="CJ104" s="1356">
        <f t="shared" si="181"/>
        <v>138.14144000000002</v>
      </c>
      <c r="CK104" s="1356">
        <f t="shared" si="181"/>
        <v>138.79736</v>
      </c>
      <c r="CL104" s="1358">
        <f>CL103</f>
        <v>142.05832000000001</v>
      </c>
      <c r="CM104" s="1400"/>
      <c r="CN104" s="1400"/>
      <c r="CO104" s="1400"/>
    </row>
    <row r="105" spans="1:93" ht="13.5" customHeight="1">
      <c r="A105" s="1198"/>
      <c r="B105" s="1198"/>
      <c r="C105" s="1198"/>
      <c r="D105" s="1198"/>
      <c r="E105" s="1198"/>
      <c r="F105" s="1198"/>
      <c r="G105" s="1198"/>
      <c r="H105" s="1198"/>
      <c r="I105" s="1198"/>
      <c r="J105" s="1198"/>
      <c r="K105" s="1198"/>
      <c r="L105" s="1198"/>
      <c r="M105" s="1198"/>
      <c r="N105" s="1198"/>
      <c r="O105" s="1198"/>
      <c r="P105" s="1229"/>
      <c r="Q105" s="1229"/>
      <c r="R105" s="1230"/>
      <c r="S105" s="1227"/>
      <c r="T105" s="1400"/>
      <c r="U105" s="1400"/>
      <c r="V105" s="1400"/>
      <c r="W105" s="1400"/>
      <c r="X105" s="1198"/>
      <c r="Y105" s="1198"/>
      <c r="Z105" s="1198"/>
      <c r="AA105" s="1198"/>
      <c r="AB105" s="1198"/>
      <c r="AC105" s="1198"/>
      <c r="AD105" s="1198"/>
      <c r="AE105" s="1198"/>
      <c r="AF105" s="1198"/>
      <c r="AG105" s="1198"/>
      <c r="AH105" s="1198"/>
      <c r="AI105" s="1198"/>
      <c r="AJ105" s="1198"/>
      <c r="AK105" s="1198"/>
      <c r="AL105" s="1198"/>
      <c r="AM105" s="1198"/>
      <c r="AN105" s="1198"/>
      <c r="AO105" s="1198"/>
      <c r="AP105" s="1198"/>
      <c r="AQ105" s="1347"/>
      <c r="AR105" s="1347"/>
      <c r="AS105" s="1347"/>
      <c r="AT105" s="1198"/>
      <c r="AU105" s="1198"/>
      <c r="AV105" s="1198"/>
      <c r="AW105" s="1198"/>
      <c r="AX105" s="1198"/>
      <c r="AY105" s="1198"/>
      <c r="AZ105" s="1198"/>
      <c r="BA105" s="1198"/>
      <c r="BB105" s="1198"/>
      <c r="BC105" s="1198"/>
      <c r="BD105" s="1198"/>
      <c r="BE105" s="1198"/>
      <c r="BF105" s="1248"/>
      <c r="BG105" s="1198"/>
      <c r="BH105" s="1198"/>
      <c r="BI105" s="1198"/>
      <c r="BJ105" s="1198"/>
      <c r="BK105" s="1198"/>
      <c r="BL105" s="1198"/>
      <c r="BM105" s="1198"/>
      <c r="BN105" s="1359"/>
      <c r="BO105" s="1198"/>
      <c r="BP105" s="1198"/>
      <c r="BQ105" s="1360"/>
      <c r="BR105" s="1198"/>
      <c r="BS105" s="1198"/>
      <c r="BT105" s="1198"/>
      <c r="BU105" s="1360"/>
      <c r="BV105" s="1359"/>
      <c r="BW105" s="1198"/>
      <c r="BX105" s="1198"/>
      <c r="BY105" s="1170"/>
      <c r="BZ105" s="1359"/>
      <c r="CA105" s="1198"/>
      <c r="CB105" s="1198"/>
      <c r="CC105" s="1198"/>
      <c r="CD105" s="1359"/>
      <c r="CE105" s="1198"/>
      <c r="CF105" s="1198"/>
      <c r="CG105" s="1198"/>
      <c r="CH105" s="1359"/>
      <c r="CI105" s="1198"/>
      <c r="CJ105" s="1198"/>
      <c r="CK105" s="1198"/>
      <c r="CL105" s="1359"/>
      <c r="CM105" s="1400"/>
      <c r="CN105" s="1400"/>
      <c r="CO105" s="1400"/>
    </row>
    <row r="106" spans="1:93" ht="13.5" customHeight="1">
      <c r="A106" s="1205" t="s">
        <v>1020</v>
      </c>
      <c r="B106" s="1205"/>
      <c r="C106" s="1205"/>
      <c r="D106" s="1205"/>
      <c r="E106" s="1205"/>
      <c r="F106" s="1205"/>
      <c r="G106" s="1206"/>
      <c r="H106" s="1206"/>
      <c r="I106" s="1206"/>
      <c r="J106" s="1206"/>
      <c r="K106" s="1206"/>
      <c r="L106" s="1206"/>
      <c r="M106" s="1206"/>
      <c r="N106" s="1206"/>
      <c r="O106" s="1206"/>
      <c r="P106" s="1361"/>
      <c r="Q106" s="1361"/>
      <c r="R106" s="1362"/>
      <c r="S106" s="1363"/>
      <c r="T106" s="1400"/>
      <c r="U106" s="1400"/>
      <c r="V106" s="1400"/>
      <c r="W106" s="1400"/>
      <c r="X106" s="1206"/>
      <c r="Y106" s="1206"/>
      <c r="Z106" s="1206"/>
      <c r="AA106" s="1206"/>
      <c r="AB106" s="1206"/>
      <c r="AC106" s="1206"/>
      <c r="AD106" s="1206"/>
      <c r="AE106" s="1206"/>
      <c r="AF106" s="1206"/>
      <c r="AG106" s="1206"/>
      <c r="AH106" s="1206"/>
      <c r="AI106" s="1206"/>
      <c r="AJ106" s="1206"/>
      <c r="AK106" s="1206"/>
      <c r="AL106" s="1206"/>
      <c r="AM106" s="1206"/>
      <c r="AN106" s="1206"/>
      <c r="AO106" s="1206"/>
      <c r="AP106" s="1206"/>
      <c r="AQ106" s="1209"/>
      <c r="AR106" s="1209"/>
      <c r="AS106" s="1209"/>
      <c r="AT106" s="1206"/>
      <c r="AU106" s="1206"/>
      <c r="AV106" s="1206"/>
      <c r="AW106" s="1206"/>
      <c r="AX106" s="1206"/>
      <c r="AY106" s="1206"/>
      <c r="AZ106" s="1206"/>
      <c r="BA106" s="1206"/>
      <c r="BB106" s="1206"/>
      <c r="BC106" s="1206"/>
      <c r="BD106" s="1206"/>
      <c r="BE106" s="1206"/>
      <c r="BF106" s="1364"/>
      <c r="BG106" s="1206"/>
      <c r="BH106" s="1206"/>
      <c r="BI106" s="1206"/>
      <c r="BJ106" s="1206"/>
      <c r="BK106" s="1206"/>
      <c r="BL106" s="1206"/>
      <c r="BM106" s="1206"/>
      <c r="BN106" s="1365"/>
      <c r="BO106" s="1206"/>
      <c r="BP106" s="1206"/>
      <c r="BQ106" s="1208"/>
      <c r="BR106" s="1206"/>
      <c r="BS106" s="1206"/>
      <c r="BT106" s="1206"/>
      <c r="BU106" s="1208"/>
      <c r="BV106" s="1365"/>
      <c r="BW106" s="1206"/>
      <c r="BX106" s="1206"/>
      <c r="BY106" s="1207"/>
      <c r="BZ106" s="1365"/>
      <c r="CA106" s="1206"/>
      <c r="CB106" s="1206"/>
      <c r="CC106" s="1206"/>
      <c r="CD106" s="1365"/>
      <c r="CE106" s="1206"/>
      <c r="CF106" s="1206"/>
      <c r="CG106" s="1206"/>
      <c r="CH106" s="1365"/>
      <c r="CI106" s="1206"/>
      <c r="CJ106" s="1206"/>
      <c r="CK106" s="1206"/>
      <c r="CL106" s="1365"/>
      <c r="CM106" s="1400"/>
      <c r="CN106" s="1400"/>
      <c r="CO106" s="1400"/>
    </row>
    <row r="107" spans="1:93" ht="13.5" customHeight="1">
      <c r="A107" s="1213"/>
      <c r="B107" s="1198"/>
      <c r="C107" s="1198"/>
      <c r="D107" s="1198"/>
      <c r="E107" s="1198"/>
      <c r="F107" s="1198"/>
      <c r="G107" s="1198"/>
      <c r="H107" s="1198"/>
      <c r="I107" s="1198"/>
      <c r="J107" s="1198"/>
      <c r="K107" s="1198"/>
      <c r="L107" s="1198"/>
      <c r="M107" s="1198"/>
      <c r="N107" s="1198"/>
      <c r="O107" s="1198"/>
      <c r="P107" s="1170"/>
      <c r="Q107" s="1170"/>
      <c r="R107" s="1360"/>
      <c r="S107" s="1198"/>
      <c r="T107" s="1400"/>
      <c r="U107" s="1400"/>
      <c r="V107" s="1400"/>
      <c r="W107" s="1400"/>
      <c r="X107" s="1198"/>
      <c r="Y107" s="1198"/>
      <c r="Z107" s="1198"/>
      <c r="AA107" s="1198"/>
      <c r="AB107" s="1198"/>
      <c r="AC107" s="1198"/>
      <c r="AD107" s="1198"/>
      <c r="AE107" s="1198"/>
      <c r="AF107" s="1198"/>
      <c r="AG107" s="1198"/>
      <c r="AH107" s="1198"/>
      <c r="AI107" s="1198"/>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248"/>
      <c r="BG107" s="1198"/>
      <c r="BH107" s="1198"/>
      <c r="BI107" s="1198"/>
      <c r="BJ107" s="1198"/>
      <c r="BK107" s="1198"/>
      <c r="BL107" s="1198"/>
      <c r="BM107" s="1198"/>
      <c r="BN107" s="1359"/>
      <c r="BO107" s="1198"/>
      <c r="BP107" s="1198"/>
      <c r="BQ107" s="1360"/>
      <c r="BR107" s="1198"/>
      <c r="BS107" s="1198"/>
      <c r="BT107" s="1198"/>
      <c r="BU107" s="1360"/>
      <c r="BV107" s="1359"/>
      <c r="BW107" s="1198"/>
      <c r="BX107" s="1198"/>
      <c r="BY107" s="1170"/>
      <c r="BZ107" s="1359"/>
      <c r="CA107" s="1198"/>
      <c r="CB107" s="1198"/>
      <c r="CC107" s="1198"/>
      <c r="CD107" s="1359"/>
      <c r="CE107" s="1198"/>
      <c r="CF107" s="1198"/>
      <c r="CG107" s="1198"/>
      <c r="CH107" s="1359"/>
      <c r="CI107" s="1198"/>
      <c r="CJ107" s="1198"/>
      <c r="CK107" s="1198"/>
      <c r="CL107" s="1359"/>
      <c r="CM107" s="1400"/>
      <c r="CN107" s="1400"/>
      <c r="CO107" s="1400"/>
    </row>
    <row r="108" spans="1:93" ht="13.5" customHeight="1">
      <c r="A108" s="1213" t="s">
        <v>1021</v>
      </c>
      <c r="B108" s="1213"/>
      <c r="C108" s="1213"/>
      <c r="D108" s="1213"/>
      <c r="E108" s="1213"/>
      <c r="F108" s="1213"/>
      <c r="G108" s="1213"/>
      <c r="H108" s="1213"/>
      <c r="I108" s="1213"/>
      <c r="J108" s="1269">
        <f>Q_CFS!J10</f>
        <v>-38468</v>
      </c>
      <c r="K108" s="1269">
        <f>Q_CFS!K10</f>
        <v>1512</v>
      </c>
      <c r="L108" s="1269">
        <f>Q_CFS!L10</f>
        <v>-1794</v>
      </c>
      <c r="M108" s="1269">
        <f>Q_CFS!M10</f>
        <v>-779</v>
      </c>
      <c r="N108" s="1269">
        <f>Q_CFS!N10</f>
        <v>593</v>
      </c>
      <c r="O108" s="1269">
        <f>Q_CFS!O10</f>
        <v>2917</v>
      </c>
      <c r="P108" s="1270">
        <f>Q_CFS!P10</f>
        <v>681</v>
      </c>
      <c r="Q108" s="1270">
        <f>Q_CFS!Q10</f>
        <v>662</v>
      </c>
      <c r="R108" s="1271">
        <f>Q_CFS!R10</f>
        <v>-55</v>
      </c>
      <c r="S108" s="1269">
        <f>Q_CFS!S10</f>
        <v>211</v>
      </c>
      <c r="T108" s="1400"/>
      <c r="U108" s="1400"/>
      <c r="V108" s="1400"/>
      <c r="W108" s="1400"/>
      <c r="X108" s="1213"/>
      <c r="Y108" s="1213"/>
      <c r="Z108" s="1213"/>
      <c r="AA108" s="1213"/>
      <c r="AB108" s="1213"/>
      <c r="AC108" s="1213"/>
      <c r="AD108" s="1213"/>
      <c r="AE108" s="1213"/>
      <c r="AF108" s="1213"/>
      <c r="AG108" s="1213"/>
      <c r="AH108" s="1213"/>
      <c r="AI108" s="1213"/>
      <c r="AJ108" s="1213"/>
      <c r="AK108" s="1213"/>
      <c r="AL108" s="1213"/>
      <c r="AM108" s="1213"/>
      <c r="AN108" s="1213"/>
      <c r="AO108" s="1213"/>
      <c r="AP108" s="1213"/>
      <c r="AQ108" s="1213"/>
      <c r="AR108" s="1213"/>
      <c r="AS108" s="1213"/>
      <c r="AT108" s="1213"/>
      <c r="AU108" s="1213"/>
      <c r="AV108" s="1213"/>
      <c r="AW108" s="1213"/>
      <c r="AX108" s="1213"/>
      <c r="AY108" s="1213"/>
      <c r="AZ108" s="1213"/>
      <c r="BA108" s="1213"/>
      <c r="BB108" s="1269"/>
      <c r="BC108" s="1269"/>
      <c r="BD108" s="1269"/>
      <c r="BE108" s="1269"/>
      <c r="BF108" s="1269">
        <f>Q_CFS!BF10</f>
        <v>152</v>
      </c>
      <c r="BG108" s="1269">
        <f>Q_CFS!BG10</f>
        <v>-64</v>
      </c>
      <c r="BH108" s="1269">
        <f>Q_CFS!BH10</f>
        <v>1831</v>
      </c>
      <c r="BI108" s="1269">
        <f>Q_CFS!BI10</f>
        <v>-407</v>
      </c>
      <c r="BJ108" s="1269">
        <f>Q_CFS!BJ10</f>
        <v>-310</v>
      </c>
      <c r="BK108" s="1269">
        <f>Q_CFS!BK10</f>
        <v>-776</v>
      </c>
      <c r="BL108" s="1269">
        <f>Q_CFS!BL10</f>
        <v>-569</v>
      </c>
      <c r="BM108" s="1269">
        <f>Q_CFS!BM10</f>
        <v>-139</v>
      </c>
      <c r="BN108" s="1273">
        <f>Q_CFS!BN10</f>
        <v>57</v>
      </c>
      <c r="BO108" s="1269">
        <f>Q_CFS!BO10</f>
        <v>-164</v>
      </c>
      <c r="BP108" s="1269">
        <f>Q_CFS!BP10</f>
        <v>-144</v>
      </c>
      <c r="BQ108" s="1271">
        <f>Q_CFS!BQ10</f>
        <v>-528</v>
      </c>
      <c r="BR108" s="1269">
        <f>Q_CFS!BR10</f>
        <v>88</v>
      </c>
      <c r="BS108" s="1269">
        <f>Q_CFS!BS10</f>
        <v>117</v>
      </c>
      <c r="BT108" s="1269">
        <f>Q_CFS!BT10</f>
        <v>194</v>
      </c>
      <c r="BU108" s="1271">
        <f>Q_CFS!BU10</f>
        <v>194</v>
      </c>
      <c r="BV108" s="1273">
        <f>Q_CFS!BV10</f>
        <v>240</v>
      </c>
      <c r="BW108" s="1269">
        <f>Q_CFS!BW10</f>
        <v>246</v>
      </c>
      <c r="BX108" s="1269">
        <f>Q_CFS!BX10</f>
        <v>2065</v>
      </c>
      <c r="BY108" s="1270">
        <f>Q_CFS!BY10</f>
        <v>366</v>
      </c>
      <c r="BZ108" s="1273">
        <f>Q_CFS!BZ10</f>
        <v>150</v>
      </c>
      <c r="CA108" s="1269">
        <f>Q_CFS!CA10</f>
        <v>195</v>
      </c>
      <c r="CB108" s="1269">
        <f>Q_CFS!CB10</f>
        <v>151</v>
      </c>
      <c r="CC108" s="1269">
        <f>Q_CFS!CC10</f>
        <v>185</v>
      </c>
      <c r="CD108" s="1273">
        <f>Q_CFS!CD10</f>
        <v>206</v>
      </c>
      <c r="CE108" s="1269">
        <f>Q_CFS!CE10</f>
        <v>212</v>
      </c>
      <c r="CF108" s="1269">
        <f>Q_CFS!CF10</f>
        <v>136</v>
      </c>
      <c r="CG108" s="1269">
        <f>Q_CFS!CG10</f>
        <v>108</v>
      </c>
      <c r="CH108" s="1273">
        <f>Q_CFS!CH10</f>
        <v>38</v>
      </c>
      <c r="CI108" s="1269">
        <f>Q_CFS!CI10</f>
        <v>158</v>
      </c>
      <c r="CJ108" s="1269">
        <f>Q_CFS!CJ10</f>
        <v>-90</v>
      </c>
      <c r="CK108" s="1269">
        <f>Q_CFS!CK10</f>
        <v>-161</v>
      </c>
      <c r="CL108" s="1273">
        <f>Q_CFS!CL10</f>
        <v>211</v>
      </c>
      <c r="CM108" s="1400"/>
      <c r="CN108" s="1400"/>
      <c r="CO108" s="1400"/>
    </row>
    <row r="109" spans="1:93" ht="13.5" customHeight="1">
      <c r="A109" s="1225" t="s">
        <v>564</v>
      </c>
      <c r="B109" s="1198"/>
      <c r="C109" s="1198"/>
      <c r="D109" s="1198"/>
      <c r="E109" s="1198"/>
      <c r="F109" s="1198"/>
      <c r="G109" s="1198"/>
      <c r="H109" s="1198"/>
      <c r="I109" s="1198"/>
      <c r="J109" s="1226">
        <v>-1951</v>
      </c>
      <c r="K109" s="1248">
        <f>SUM(BF109:BI109)</f>
        <v>-2368</v>
      </c>
      <c r="L109" s="1248">
        <f t="shared" ref="L109:L116" si="182">+SUM(BJ109:BM109)</f>
        <v>0</v>
      </c>
      <c r="M109" s="1198">
        <f t="shared" ref="M109:M116" si="183">SUM(BN109:BQ109)</f>
        <v>0</v>
      </c>
      <c r="N109" s="1198">
        <f t="shared" ref="N109:N116" si="184">SUM(BR109:BU109)</f>
        <v>0</v>
      </c>
      <c r="O109" s="1198">
        <f t="shared" ref="O109:O116" si="185">SUM(BV109:BY109)</f>
        <v>0</v>
      </c>
      <c r="P109" s="1170">
        <f>SUM(BZ109:CC109)</f>
        <v>0</v>
      </c>
      <c r="Q109" s="1367">
        <f>SUM(CD109:CG109)</f>
        <v>0</v>
      </c>
      <c r="R109" s="1366">
        <f>SUM(CH109:CK109)</f>
        <v>0</v>
      </c>
      <c r="S109" s="1198"/>
      <c r="T109" s="1400"/>
      <c r="U109" s="1400"/>
      <c r="V109" s="1400"/>
      <c r="W109" s="1400"/>
      <c r="X109" s="1198"/>
      <c r="Y109" s="1198"/>
      <c r="Z109" s="1198"/>
      <c r="AA109" s="1198"/>
      <c r="AB109" s="1198"/>
      <c r="AC109" s="1198"/>
      <c r="AD109" s="1198"/>
      <c r="AE109" s="1198"/>
      <c r="AF109" s="1198"/>
      <c r="AG109" s="1198"/>
      <c r="AH109" s="1198"/>
      <c r="AI109" s="1198"/>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248"/>
      <c r="BC109" s="1248"/>
      <c r="BD109" s="1248"/>
      <c r="BE109" s="1248"/>
      <c r="BF109" s="1333">
        <v>-66</v>
      </c>
      <c r="BG109" s="1333">
        <v>-85</v>
      </c>
      <c r="BH109" s="1333">
        <v>-2288</v>
      </c>
      <c r="BI109" s="1333">
        <v>71</v>
      </c>
      <c r="BJ109" s="1333"/>
      <c r="BK109" s="1368"/>
      <c r="BL109" s="1368"/>
      <c r="BM109" s="1368"/>
      <c r="BN109" s="1369"/>
      <c r="BO109" s="1368"/>
      <c r="BP109" s="1368"/>
      <c r="BQ109" s="1370"/>
      <c r="BR109" s="1368"/>
      <c r="BS109" s="1368"/>
      <c r="BT109" s="1368"/>
      <c r="BU109" s="1370"/>
      <c r="BV109" s="1369"/>
      <c r="BW109" s="1368"/>
      <c r="BX109" s="1368"/>
      <c r="BY109" s="1371"/>
      <c r="BZ109" s="1369"/>
      <c r="CA109" s="1368"/>
      <c r="CB109" s="1368"/>
      <c r="CC109" s="1368"/>
      <c r="CD109" s="1369"/>
      <c r="CE109" s="1368"/>
      <c r="CF109" s="1368"/>
      <c r="CG109" s="1368"/>
      <c r="CH109" s="1369"/>
      <c r="CI109" s="1368"/>
      <c r="CJ109" s="1368"/>
      <c r="CK109" s="1368"/>
      <c r="CL109" s="1369"/>
      <c r="CM109" s="1400"/>
      <c r="CN109" s="1400"/>
      <c r="CO109" s="1400"/>
    </row>
    <row r="110" spans="1:93" ht="13.5" customHeight="1">
      <c r="A110" s="1225" t="s">
        <v>565</v>
      </c>
      <c r="B110" s="1198"/>
      <c r="C110" s="1198"/>
      <c r="D110" s="1198"/>
      <c r="E110" s="1198"/>
      <c r="F110" s="1198"/>
      <c r="G110" s="1198"/>
      <c r="H110" s="1198"/>
      <c r="I110" s="1198"/>
      <c r="J110" s="1226">
        <f>22800-2046</f>
        <v>20754</v>
      </c>
      <c r="K110" s="1248">
        <f>SUM(BF110:BI110)</f>
        <v>-206</v>
      </c>
      <c r="L110" s="1248">
        <f t="shared" si="182"/>
        <v>0</v>
      </c>
      <c r="M110" s="1198">
        <f t="shared" si="183"/>
        <v>22</v>
      </c>
      <c r="N110" s="1198">
        <f t="shared" si="184"/>
        <v>0</v>
      </c>
      <c r="O110" s="1198">
        <f t="shared" si="185"/>
        <v>-43</v>
      </c>
      <c r="P110" s="1170">
        <f t="shared" ref="P110:P116" si="186">SUM(BZ110:CC110)</f>
        <v>-27</v>
      </c>
      <c r="Q110" s="1367">
        <f t="shared" ref="Q110:Q117" si="187">SUM(CD110:CG110)</f>
        <v>-83</v>
      </c>
      <c r="R110" s="1366">
        <f t="shared" ref="R110:R117" si="188">SUM(CH110:CK110)</f>
        <v>113</v>
      </c>
      <c r="S110" s="1198"/>
      <c r="T110" s="1400"/>
      <c r="U110" s="1400"/>
      <c r="V110" s="1400"/>
      <c r="W110" s="1400"/>
      <c r="X110" s="1198"/>
      <c r="Y110" s="1198"/>
      <c r="Z110" s="1198"/>
      <c r="AA110" s="1198"/>
      <c r="AB110" s="1198"/>
      <c r="AC110" s="1198"/>
      <c r="AD110" s="1198"/>
      <c r="AE110" s="1198"/>
      <c r="AF110" s="1198"/>
      <c r="AG110" s="1198"/>
      <c r="AH110" s="1198"/>
      <c r="AI110" s="1198"/>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248"/>
      <c r="BC110" s="1248"/>
      <c r="BD110" s="1248"/>
      <c r="BE110" s="1248"/>
      <c r="BF110" s="1333">
        <f>Q_CFS!BF16</f>
        <v>-206</v>
      </c>
      <c r="BG110" s="1333">
        <f>Q_CFS!BG16</f>
        <v>0</v>
      </c>
      <c r="BH110" s="1333">
        <f>Q_CFS!BH16</f>
        <v>0</v>
      </c>
      <c r="BI110" s="1333"/>
      <c r="BJ110" s="1333"/>
      <c r="BK110" s="1368"/>
      <c r="BL110" s="1368"/>
      <c r="BM110" s="1368"/>
      <c r="BN110" s="1369"/>
      <c r="BO110" s="1368"/>
      <c r="BP110" s="1368"/>
      <c r="BQ110" s="1370">
        <v>22</v>
      </c>
      <c r="BR110" s="1368"/>
      <c r="BS110" s="1368"/>
      <c r="BT110" s="1368"/>
      <c r="BU110" s="1370"/>
      <c r="BV110" s="1369">
        <v>-10</v>
      </c>
      <c r="BW110" s="1368">
        <v>-10</v>
      </c>
      <c r="BX110" s="1368">
        <v>-11</v>
      </c>
      <c r="BY110" s="1371">
        <v>-12</v>
      </c>
      <c r="BZ110" s="1369">
        <v>-7</v>
      </c>
      <c r="CA110" s="1368">
        <v>-6</v>
      </c>
      <c r="CB110" s="1368">
        <v>-6</v>
      </c>
      <c r="CC110" s="1368">
        <v>-8</v>
      </c>
      <c r="CD110" s="1369"/>
      <c r="CE110" s="1368">
        <v>-83</v>
      </c>
      <c r="CF110" s="1368"/>
      <c r="CG110" s="1368"/>
      <c r="CH110" s="1369">
        <v>113</v>
      </c>
      <c r="CI110" s="1368"/>
      <c r="CJ110" s="1368"/>
      <c r="CK110" s="1368"/>
      <c r="CL110" s="1369"/>
      <c r="CM110" s="1400"/>
      <c r="CN110" s="1400"/>
      <c r="CO110" s="1400"/>
    </row>
    <row r="111" spans="1:93" ht="13.5" customHeight="1">
      <c r="A111" s="1225" t="s">
        <v>566</v>
      </c>
      <c r="B111" s="1198"/>
      <c r="C111" s="1198"/>
      <c r="D111" s="1198"/>
      <c r="E111" s="1198"/>
      <c r="F111" s="1198"/>
      <c r="G111" s="1198"/>
      <c r="H111" s="1226"/>
      <c r="I111" s="1226"/>
      <c r="J111" s="1226">
        <v>10525</v>
      </c>
      <c r="K111" s="1248">
        <f>SUM(BF111:BI111)</f>
        <v>230</v>
      </c>
      <c r="L111" s="1248">
        <f t="shared" si="182"/>
        <v>-9</v>
      </c>
      <c r="M111" s="1198">
        <f t="shared" si="183"/>
        <v>0</v>
      </c>
      <c r="N111" s="1198">
        <f t="shared" si="184"/>
        <v>0</v>
      </c>
      <c r="O111" s="1198">
        <f t="shared" si="185"/>
        <v>0</v>
      </c>
      <c r="P111" s="1170">
        <f t="shared" si="186"/>
        <v>0</v>
      </c>
      <c r="Q111" s="1367">
        <f t="shared" si="187"/>
        <v>0</v>
      </c>
      <c r="R111" s="1366">
        <f t="shared" si="188"/>
        <v>0</v>
      </c>
      <c r="S111" s="1198"/>
      <c r="T111" s="1400"/>
      <c r="U111" s="1400"/>
      <c r="V111" s="1400"/>
      <c r="W111" s="1400"/>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248"/>
      <c r="BC111" s="1248"/>
      <c r="BD111" s="1248"/>
      <c r="BE111" s="1248"/>
      <c r="BF111" s="1333">
        <f>Q_CFS!BF18</f>
        <v>0</v>
      </c>
      <c r="BG111" s="1333">
        <f>Q_CFS!BG18</f>
        <v>0</v>
      </c>
      <c r="BH111" s="1333">
        <f>Q_CFS!BH18</f>
        <v>230</v>
      </c>
      <c r="BI111" s="1333"/>
      <c r="BJ111" s="1333"/>
      <c r="BK111" s="1368">
        <f>43-52-70</f>
        <v>-79</v>
      </c>
      <c r="BL111" s="1368">
        <v>34</v>
      </c>
      <c r="BM111" s="1368">
        <v>36</v>
      </c>
      <c r="BN111" s="1369"/>
      <c r="BO111" s="1368"/>
      <c r="BP111" s="1368"/>
      <c r="BQ111" s="1370"/>
      <c r="BR111" s="1368"/>
      <c r="BS111" s="1368"/>
      <c r="BT111" s="1368"/>
      <c r="BU111" s="1370"/>
      <c r="BV111" s="1369"/>
      <c r="BW111" s="1368"/>
      <c r="BX111" s="1368"/>
      <c r="BY111" s="1371"/>
      <c r="BZ111" s="1369"/>
      <c r="CA111" s="1368"/>
      <c r="CB111" s="1368"/>
      <c r="CC111" s="1368"/>
      <c r="CD111" s="1369"/>
      <c r="CE111" s="1368"/>
      <c r="CF111" s="1368"/>
      <c r="CG111" s="1368"/>
      <c r="CH111" s="1369"/>
      <c r="CI111" s="1368"/>
      <c r="CJ111" s="1368"/>
      <c r="CK111" s="1368"/>
      <c r="CL111" s="1369"/>
      <c r="CM111" s="1400"/>
      <c r="CN111" s="1400"/>
      <c r="CO111" s="1400"/>
    </row>
    <row r="112" spans="1:93" ht="13.5" customHeight="1">
      <c r="A112" s="1225" t="s">
        <v>567</v>
      </c>
      <c r="B112" s="1198"/>
      <c r="C112" s="1198"/>
      <c r="D112" s="1198"/>
      <c r="E112" s="1198"/>
      <c r="F112" s="1198"/>
      <c r="G112" s="1198"/>
      <c r="H112" s="1198"/>
      <c r="I112" s="1198"/>
      <c r="J112" s="1226">
        <v>8483</v>
      </c>
      <c r="K112" s="1248">
        <f>SUM(BF112:BI112)</f>
        <v>0</v>
      </c>
      <c r="L112" s="1248">
        <f t="shared" si="182"/>
        <v>0</v>
      </c>
      <c r="M112" s="1198">
        <f t="shared" si="183"/>
        <v>0</v>
      </c>
      <c r="N112" s="1198">
        <f t="shared" si="184"/>
        <v>0</v>
      </c>
      <c r="O112" s="1198">
        <f t="shared" si="185"/>
        <v>0</v>
      </c>
      <c r="P112" s="1170">
        <f t="shared" si="186"/>
        <v>0</v>
      </c>
      <c r="Q112" s="1367">
        <f t="shared" si="187"/>
        <v>0</v>
      </c>
      <c r="R112" s="1366">
        <f t="shared" si="188"/>
        <v>0</v>
      </c>
      <c r="S112" s="1198"/>
      <c r="T112" s="1400"/>
      <c r="U112" s="1400"/>
      <c r="V112" s="1400"/>
      <c r="W112" s="1400"/>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248"/>
      <c r="BC112" s="1248"/>
      <c r="BD112" s="1248"/>
      <c r="BE112" s="1248"/>
      <c r="BF112" s="1333">
        <f>Q_CFS!BF17</f>
        <v>0</v>
      </c>
      <c r="BG112" s="1333">
        <f>Q_CFS!BG17</f>
        <v>0</v>
      </c>
      <c r="BH112" s="1333">
        <f>Q_CFS!BH17</f>
        <v>0</v>
      </c>
      <c r="BI112" s="1333"/>
      <c r="BJ112" s="1333"/>
      <c r="BK112" s="1368"/>
      <c r="BL112" s="1368"/>
      <c r="BM112" s="1368"/>
      <c r="BN112" s="1369"/>
      <c r="BO112" s="1368"/>
      <c r="BP112" s="1368"/>
      <c r="BQ112" s="1370"/>
      <c r="BR112" s="1368"/>
      <c r="BS112" s="1368"/>
      <c r="BT112" s="1368"/>
      <c r="BU112" s="1370"/>
      <c r="BV112" s="1369"/>
      <c r="BW112" s="1368"/>
      <c r="BX112" s="1368"/>
      <c r="BY112" s="1371"/>
      <c r="BZ112" s="1369"/>
      <c r="CA112" s="1368"/>
      <c r="CB112" s="1368"/>
      <c r="CC112" s="1368"/>
      <c r="CD112" s="1369"/>
      <c r="CE112" s="1368"/>
      <c r="CF112" s="1368"/>
      <c r="CG112" s="1368"/>
      <c r="CH112" s="1369"/>
      <c r="CI112" s="1368"/>
      <c r="CJ112" s="1368"/>
      <c r="CK112" s="1368"/>
      <c r="CL112" s="1369"/>
      <c r="CM112" s="1400"/>
      <c r="CN112" s="1400"/>
      <c r="CO112" s="1400"/>
    </row>
    <row r="113" spans="1:93" ht="13.5" customHeight="1">
      <c r="A113" s="1225" t="s">
        <v>568</v>
      </c>
      <c r="B113" s="1225"/>
      <c r="C113" s="1198"/>
      <c r="D113" s="1198"/>
      <c r="E113" s="1198"/>
      <c r="F113" s="1198"/>
      <c r="G113" s="1198"/>
      <c r="H113" s="1198"/>
      <c r="I113" s="1198"/>
      <c r="J113" s="1226">
        <v>-558</v>
      </c>
      <c r="K113" s="1248">
        <f>SUM(BF113:BI113)</f>
        <v>0</v>
      </c>
      <c r="L113" s="1248">
        <f t="shared" si="182"/>
        <v>0</v>
      </c>
      <c r="M113" s="1198">
        <f t="shared" si="183"/>
        <v>219</v>
      </c>
      <c r="N113" s="1198">
        <f t="shared" si="184"/>
        <v>-42.25</v>
      </c>
      <c r="O113" s="1307">
        <f t="shared" si="185"/>
        <v>13.65</v>
      </c>
      <c r="P113" s="1170">
        <f t="shared" si="186"/>
        <v>0</v>
      </c>
      <c r="Q113" s="1367">
        <f t="shared" si="187"/>
        <v>0</v>
      </c>
      <c r="R113" s="1366">
        <f t="shared" si="188"/>
        <v>496</v>
      </c>
      <c r="S113" s="1198"/>
      <c r="T113" s="1400"/>
      <c r="U113" s="1400"/>
      <c r="V113" s="1400"/>
      <c r="W113" s="1400"/>
      <c r="X113" s="1198"/>
      <c r="Y113" s="1198"/>
      <c r="Z113" s="1198"/>
      <c r="AA113" s="1198"/>
      <c r="AB113" s="1198"/>
      <c r="AC113" s="1198"/>
      <c r="AD113" s="1198"/>
      <c r="AE113" s="1198"/>
      <c r="AF113" s="1198"/>
      <c r="AG113" s="1198"/>
      <c r="AH113" s="1198"/>
      <c r="AI113" s="1198"/>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248"/>
      <c r="BC113" s="1248"/>
      <c r="BD113" s="1248"/>
      <c r="BE113" s="1248"/>
      <c r="BF113" s="1333"/>
      <c r="BG113" s="1333"/>
      <c r="BH113" s="1333"/>
      <c r="BI113" s="1333"/>
      <c r="BJ113" s="1333"/>
      <c r="BK113" s="1368"/>
      <c r="BL113" s="1368"/>
      <c r="BM113" s="1368"/>
      <c r="BN113" s="1369">
        <f>-257+9</f>
        <v>-248</v>
      </c>
      <c r="BO113" s="1368">
        <v>43</v>
      </c>
      <c r="BP113" s="1368"/>
      <c r="BQ113" s="1370">
        <f>430-6</f>
        <v>424</v>
      </c>
      <c r="BR113" s="1368"/>
      <c r="BS113" s="1368"/>
      <c r="BT113" s="1368"/>
      <c r="BU113" s="1372">
        <f>-65*(1-35%)</f>
        <v>-42.25</v>
      </c>
      <c r="BV113" s="1369"/>
      <c r="BW113" s="1373">
        <f>21*(1-35%)</f>
        <v>13.65</v>
      </c>
      <c r="BX113" s="1368"/>
      <c r="BY113" s="1371"/>
      <c r="BZ113" s="1369"/>
      <c r="CA113" s="1368"/>
      <c r="CB113" s="1368"/>
      <c r="CC113" s="1368"/>
      <c r="CD113" s="1369"/>
      <c r="CE113" s="1368"/>
      <c r="CF113" s="1368"/>
      <c r="CG113" s="1368"/>
      <c r="CH113" s="1369"/>
      <c r="CI113" s="1368"/>
      <c r="CJ113" s="1368">
        <v>229</v>
      </c>
      <c r="CK113" s="1368">
        <v>267</v>
      </c>
      <c r="CL113" s="1369"/>
      <c r="CM113" s="1400"/>
      <c r="CN113" s="1400"/>
      <c r="CO113" s="1400"/>
    </row>
    <row r="114" spans="1:93" ht="13.5" customHeight="1">
      <c r="A114" s="1225" t="s">
        <v>569</v>
      </c>
      <c r="B114" s="1198"/>
      <c r="C114" s="1198"/>
      <c r="D114" s="1198"/>
      <c r="E114" s="1198"/>
      <c r="F114" s="1198"/>
      <c r="G114" s="1198"/>
      <c r="H114" s="1198"/>
      <c r="I114" s="1198"/>
      <c r="J114" s="1226"/>
      <c r="K114" s="1248"/>
      <c r="L114" s="1248">
        <f t="shared" si="182"/>
        <v>568</v>
      </c>
      <c r="M114" s="1198">
        <f t="shared" si="183"/>
        <v>0</v>
      </c>
      <c r="N114" s="1198">
        <f t="shared" si="184"/>
        <v>0</v>
      </c>
      <c r="O114" s="1198">
        <f t="shared" si="185"/>
        <v>393</v>
      </c>
      <c r="P114" s="1170">
        <f t="shared" si="186"/>
        <v>0</v>
      </c>
      <c r="Q114" s="1367">
        <f t="shared" si="187"/>
        <v>10.24</v>
      </c>
      <c r="R114" s="1366">
        <f t="shared" si="188"/>
        <v>0</v>
      </c>
      <c r="S114" s="1198"/>
      <c r="T114" s="1400"/>
      <c r="U114" s="1400"/>
      <c r="V114" s="1400"/>
      <c r="W114" s="1400"/>
      <c r="X114" s="1198"/>
      <c r="Y114" s="1198"/>
      <c r="Z114" s="1198"/>
      <c r="AA114" s="1198"/>
      <c r="AB114" s="1198"/>
      <c r="AC114" s="1198"/>
      <c r="AD114" s="1198"/>
      <c r="AE114" s="1198"/>
      <c r="AF114" s="1198"/>
      <c r="AG114" s="1198"/>
      <c r="AH114" s="1198"/>
      <c r="AI114" s="1198"/>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248"/>
      <c r="BC114" s="1248"/>
      <c r="BD114" s="1248"/>
      <c r="BE114" s="1248"/>
      <c r="BF114" s="1333"/>
      <c r="BG114" s="1333"/>
      <c r="BH114" s="1333"/>
      <c r="BI114" s="1333"/>
      <c r="BJ114" s="1333"/>
      <c r="BK114" s="1368">
        <f>18+300</f>
        <v>318</v>
      </c>
      <c r="BL114" s="1368">
        <v>250</v>
      </c>
      <c r="BM114" s="1368"/>
      <c r="BN114" s="1369"/>
      <c r="BO114" s="1368"/>
      <c r="BP114" s="1368"/>
      <c r="BQ114" s="1370"/>
      <c r="BR114" s="1368"/>
      <c r="BS114" s="1368"/>
      <c r="BT114" s="1368"/>
      <c r="BU114" s="1370"/>
      <c r="BV114" s="1369">
        <v>40</v>
      </c>
      <c r="BW114" s="1368"/>
      <c r="BX114" s="1368">
        <v>353</v>
      </c>
      <c r="BY114" s="1371"/>
      <c r="BZ114" s="1374"/>
      <c r="CA114" s="1368"/>
      <c r="CB114" s="1368"/>
      <c r="CC114" s="1368"/>
      <c r="CD114" s="1375"/>
      <c r="CE114" s="1376"/>
      <c r="CF114" s="1376">
        <f>16*(1-0.36)</f>
        <v>10.24</v>
      </c>
      <c r="CG114" s="1376"/>
      <c r="CH114" s="1375"/>
      <c r="CI114" s="1376"/>
      <c r="CJ114" s="1376"/>
      <c r="CK114" s="1376"/>
      <c r="CL114" s="1375"/>
      <c r="CM114" s="1400"/>
      <c r="CN114" s="1400"/>
      <c r="CO114" s="1400"/>
    </row>
    <row r="115" spans="1:93" ht="13.5" customHeight="1">
      <c r="A115" s="1225" t="s">
        <v>570</v>
      </c>
      <c r="B115" s="1198"/>
      <c r="C115" s="1198"/>
      <c r="D115" s="1198"/>
      <c r="E115" s="1198"/>
      <c r="F115" s="1198"/>
      <c r="G115" s="1198"/>
      <c r="H115" s="1198"/>
      <c r="I115" s="1198"/>
      <c r="J115" s="1226">
        <v>182</v>
      </c>
      <c r="K115" s="1248">
        <f>SUM(BF115:BI115)</f>
        <v>0</v>
      </c>
      <c r="L115" s="1248">
        <f t="shared" si="182"/>
        <v>0</v>
      </c>
      <c r="M115" s="1198">
        <f t="shared" si="183"/>
        <v>0</v>
      </c>
      <c r="N115" s="1198">
        <f t="shared" si="184"/>
        <v>-1</v>
      </c>
      <c r="O115" s="1198">
        <f t="shared" si="185"/>
        <v>0</v>
      </c>
      <c r="P115" s="1170">
        <f t="shared" si="186"/>
        <v>0</v>
      </c>
      <c r="Q115" s="1367">
        <f t="shared" si="187"/>
        <v>0</v>
      </c>
      <c r="R115" s="1366">
        <f t="shared" si="188"/>
        <v>0</v>
      </c>
      <c r="S115" s="1198"/>
      <c r="T115" s="1400"/>
      <c r="U115" s="1400"/>
      <c r="V115" s="1400"/>
      <c r="W115" s="1400"/>
      <c r="X115" s="1198"/>
      <c r="Y115" s="1198"/>
      <c r="Z115" s="1198"/>
      <c r="AA115" s="1198"/>
      <c r="AB115" s="1198"/>
      <c r="AC115" s="1198"/>
      <c r="AD115" s="1198"/>
      <c r="AE115" s="1198"/>
      <c r="AF115" s="1198"/>
      <c r="AG115" s="1198"/>
      <c r="AH115" s="1198"/>
      <c r="AI115" s="1198"/>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248"/>
      <c r="BC115" s="1248"/>
      <c r="BD115" s="1248"/>
      <c r="BE115" s="1248"/>
      <c r="BF115" s="1333"/>
      <c r="BG115" s="1333"/>
      <c r="BH115" s="1333"/>
      <c r="BI115" s="1333"/>
      <c r="BJ115" s="1333"/>
      <c r="BK115" s="1368"/>
      <c r="BL115" s="1368"/>
      <c r="BM115" s="1368"/>
      <c r="BN115" s="1369"/>
      <c r="BO115" s="1368"/>
      <c r="BP115" s="1368"/>
      <c r="BQ115" s="1370"/>
      <c r="BR115" s="1368">
        <v>-1</v>
      </c>
      <c r="BS115" s="1368"/>
      <c r="BT115" s="1368"/>
      <c r="BU115" s="1370"/>
      <c r="BV115" s="1369"/>
      <c r="BW115" s="1368"/>
      <c r="BX115" s="1368"/>
      <c r="BY115" s="1371"/>
      <c r="BZ115" s="1369"/>
      <c r="CA115" s="1368"/>
      <c r="CB115" s="1368"/>
      <c r="CC115" s="1368"/>
      <c r="CD115" s="1369"/>
      <c r="CE115" s="1368"/>
      <c r="CF115" s="1368"/>
      <c r="CG115" s="1368"/>
      <c r="CH115" s="1369"/>
      <c r="CI115" s="1377"/>
      <c r="CJ115" s="1368"/>
      <c r="CK115" s="1368"/>
      <c r="CL115" s="1369"/>
      <c r="CM115" s="1400"/>
      <c r="CN115" s="1400"/>
      <c r="CO115" s="1400"/>
    </row>
    <row r="116" spans="1:93" ht="13.5" customHeight="1">
      <c r="A116" s="1225" t="s">
        <v>679</v>
      </c>
      <c r="B116" s="1198"/>
      <c r="C116" s="1198"/>
      <c r="D116" s="1198"/>
      <c r="E116" s="1198"/>
      <c r="F116" s="1198"/>
      <c r="G116" s="1198"/>
      <c r="H116" s="1198"/>
      <c r="I116" s="1198"/>
      <c r="J116" s="1198"/>
      <c r="K116" s="1248">
        <f>SUM(BF116:BI116)</f>
        <v>13</v>
      </c>
      <c r="L116" s="1248">
        <f t="shared" si="182"/>
        <v>269</v>
      </c>
      <c r="M116" s="1198">
        <f t="shared" si="183"/>
        <v>100</v>
      </c>
      <c r="N116" s="1198">
        <f t="shared" si="184"/>
        <v>-41.405000000000001</v>
      </c>
      <c r="O116" s="1248">
        <f t="shared" si="185"/>
        <v>-2255</v>
      </c>
      <c r="P116" s="1308">
        <f t="shared" si="186"/>
        <v>58.964000000000006</v>
      </c>
      <c r="Q116" s="1367">
        <f t="shared" si="187"/>
        <v>69.39</v>
      </c>
      <c r="R116" s="1366">
        <f t="shared" si="188"/>
        <v>190.15500000000003</v>
      </c>
      <c r="S116" s="1198"/>
      <c r="T116" s="1400"/>
      <c r="U116" s="1400"/>
      <c r="V116" s="1400"/>
      <c r="W116" s="1400"/>
      <c r="X116" s="1198"/>
      <c r="Y116" s="1198"/>
      <c r="Z116" s="1198"/>
      <c r="AA116" s="1198"/>
      <c r="AB116" s="1198"/>
      <c r="AC116" s="1198"/>
      <c r="AD116" s="1198"/>
      <c r="AE116" s="1198"/>
      <c r="AF116" s="1198"/>
      <c r="AG116" s="1198"/>
      <c r="AH116" s="1198"/>
      <c r="AI116" s="1198"/>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248"/>
      <c r="BC116" s="1248"/>
      <c r="BD116" s="1248"/>
      <c r="BE116" s="1248"/>
      <c r="BF116" s="1333">
        <v>13</v>
      </c>
      <c r="BG116" s="1333"/>
      <c r="BH116" s="1333"/>
      <c r="BI116" s="1333"/>
      <c r="BJ116" s="1333">
        <v>15</v>
      </c>
      <c r="BK116" s="1368">
        <f>127+140-19</f>
        <v>248</v>
      </c>
      <c r="BL116" s="1368">
        <f>-9-7+2+36-16</f>
        <v>6</v>
      </c>
      <c r="BM116" s="1368"/>
      <c r="BN116" s="1369"/>
      <c r="BO116" s="1368"/>
      <c r="BP116" s="1368">
        <v>26</v>
      </c>
      <c r="BQ116" s="1370">
        <v>74</v>
      </c>
      <c r="BR116" s="1368">
        <v>22</v>
      </c>
      <c r="BS116" s="1368"/>
      <c r="BT116" s="1373">
        <f>(1-0.335)*43-92</f>
        <v>-63.405000000000001</v>
      </c>
      <c r="BU116" s="1370"/>
      <c r="BV116" s="1369"/>
      <c r="BW116" s="1368"/>
      <c r="BX116" s="1368">
        <v>-2149</v>
      </c>
      <c r="BY116" s="1371">
        <v>-106</v>
      </c>
      <c r="BZ116" s="1378">
        <f>45*(1-38.7%)</f>
        <v>27.585000000000001</v>
      </c>
      <c r="CA116" s="1368"/>
      <c r="CB116" s="1373">
        <f>(63-33)*(1-0.341)</f>
        <v>19.77</v>
      </c>
      <c r="CC116" s="1373">
        <f>19*(1-0.389)</f>
        <v>11.609</v>
      </c>
      <c r="CD116" s="1378">
        <f>23*(1-0.35)</f>
        <v>14.950000000000001</v>
      </c>
      <c r="CE116" s="1379">
        <f>23*(1-0.4)</f>
        <v>13.799999999999999</v>
      </c>
      <c r="CF116" s="1376">
        <f>11*(1-0.36)</f>
        <v>7.04</v>
      </c>
      <c r="CG116" s="1376">
        <f>56*(1-0.4)</f>
        <v>33.6</v>
      </c>
      <c r="CH116" s="1375">
        <f>(11+42)*(1-0.405)</f>
        <v>31.535</v>
      </c>
      <c r="CI116" s="1376">
        <f>(8+27)*(1-0.4)</f>
        <v>21</v>
      </c>
      <c r="CJ116" s="1376">
        <f>(71)*(1-0.38)</f>
        <v>44.02</v>
      </c>
      <c r="CK116" s="1368">
        <f>117*(1-0.2)</f>
        <v>93.600000000000009</v>
      </c>
      <c r="CL116" s="1369"/>
      <c r="CM116" s="1400"/>
      <c r="CN116" s="1400"/>
      <c r="CO116" s="1400"/>
    </row>
    <row r="117" spans="1:93" ht="13.5" customHeight="1">
      <c r="A117" s="1380" t="s">
        <v>571</v>
      </c>
      <c r="B117" s="1198"/>
      <c r="C117" s="1198"/>
      <c r="D117" s="1198"/>
      <c r="E117" s="1198"/>
      <c r="F117" s="1198"/>
      <c r="G117" s="1198"/>
      <c r="H117" s="1198"/>
      <c r="I117" s="1198"/>
      <c r="J117" s="1198"/>
      <c r="K117" s="1248"/>
      <c r="L117" s="1248"/>
      <c r="M117" s="1198"/>
      <c r="N117" s="1198"/>
      <c r="O117" s="1198"/>
      <c r="P117" s="1170"/>
      <c r="Q117" s="1367">
        <f t="shared" si="187"/>
        <v>-3.3699999999999974</v>
      </c>
      <c r="R117" s="1366">
        <f t="shared" si="188"/>
        <v>799.15499999999997</v>
      </c>
      <c r="S117" s="1198"/>
      <c r="T117" s="1400"/>
      <c r="U117" s="1400"/>
      <c r="V117" s="1400"/>
      <c r="W117" s="1400"/>
      <c r="X117" s="1198"/>
      <c r="Y117" s="1198"/>
      <c r="Z117" s="1198"/>
      <c r="AA117" s="1198"/>
      <c r="AB117" s="1198"/>
      <c r="AC117" s="1198"/>
      <c r="AD117" s="1198"/>
      <c r="AE117" s="1198"/>
      <c r="AF117" s="1198"/>
      <c r="AG117" s="1198"/>
      <c r="AH117" s="1198"/>
      <c r="AI117" s="119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248"/>
      <c r="BC117" s="1248"/>
      <c r="BD117" s="1248"/>
      <c r="BE117" s="1248"/>
      <c r="BF117" s="1333"/>
      <c r="BG117" s="1333"/>
      <c r="BH117" s="1333"/>
      <c r="BI117" s="1333"/>
      <c r="BJ117" s="1333"/>
      <c r="BK117" s="1368"/>
      <c r="BL117" s="1368"/>
      <c r="BM117" s="1370"/>
      <c r="BN117" s="1213">
        <f t="shared" ref="BN117:CC117" si="189">SUM(BN109:BN116)</f>
        <v>-248</v>
      </c>
      <c r="BO117" s="1213">
        <f t="shared" si="189"/>
        <v>43</v>
      </c>
      <c r="BP117" s="1213">
        <f t="shared" si="189"/>
        <v>26</v>
      </c>
      <c r="BQ117" s="1381">
        <f t="shared" si="189"/>
        <v>520</v>
      </c>
      <c r="BR117" s="1213">
        <f t="shared" si="189"/>
        <v>21</v>
      </c>
      <c r="BS117" s="1213">
        <f t="shared" si="189"/>
        <v>0</v>
      </c>
      <c r="BT117" s="1382">
        <f t="shared" si="189"/>
        <v>-63.405000000000001</v>
      </c>
      <c r="BU117" s="1381">
        <f t="shared" si="189"/>
        <v>-42.25</v>
      </c>
      <c r="BV117" s="1383">
        <f t="shared" si="189"/>
        <v>30</v>
      </c>
      <c r="BW117" s="1382">
        <f t="shared" si="189"/>
        <v>3.6500000000000004</v>
      </c>
      <c r="BX117" s="1213">
        <f t="shared" si="189"/>
        <v>-1807</v>
      </c>
      <c r="BY117" s="1384">
        <f t="shared" si="189"/>
        <v>-118</v>
      </c>
      <c r="BZ117" s="1385">
        <f t="shared" si="189"/>
        <v>20.585000000000001</v>
      </c>
      <c r="CA117" s="1382">
        <f t="shared" si="189"/>
        <v>-6</v>
      </c>
      <c r="CB117" s="1382">
        <f t="shared" si="189"/>
        <v>13.77</v>
      </c>
      <c r="CC117" s="1382">
        <f t="shared" si="189"/>
        <v>3.609</v>
      </c>
      <c r="CD117" s="1385">
        <f t="shared" ref="CD117:CK117" si="190">SUM(CD109:CD116)</f>
        <v>14.950000000000001</v>
      </c>
      <c r="CE117" s="1382">
        <f t="shared" si="190"/>
        <v>-69.2</v>
      </c>
      <c r="CF117" s="1382">
        <f t="shared" si="190"/>
        <v>17.28</v>
      </c>
      <c r="CG117" s="1382">
        <f t="shared" si="190"/>
        <v>33.6</v>
      </c>
      <c r="CH117" s="1385">
        <f t="shared" si="190"/>
        <v>144.535</v>
      </c>
      <c r="CI117" s="1382">
        <f t="shared" si="190"/>
        <v>21</v>
      </c>
      <c r="CJ117" s="1382">
        <f t="shared" si="190"/>
        <v>273.02</v>
      </c>
      <c r="CK117" s="1382">
        <f t="shared" si="190"/>
        <v>360.6</v>
      </c>
      <c r="CL117" s="1385">
        <f>SUM(CL109:CL116)</f>
        <v>0</v>
      </c>
      <c r="CM117" s="1400"/>
      <c r="CN117" s="1400"/>
      <c r="CO117" s="1400"/>
    </row>
    <row r="118" spans="1:93" ht="13.5" customHeight="1">
      <c r="A118" s="1213" t="s">
        <v>1035</v>
      </c>
      <c r="B118" s="1213"/>
      <c r="C118" s="1213"/>
      <c r="D118" s="1213"/>
      <c r="E118" s="1213"/>
      <c r="F118" s="1213"/>
      <c r="G118" s="1213"/>
      <c r="H118" s="1213"/>
      <c r="I118" s="1213"/>
      <c r="J118" s="1269">
        <f>J80</f>
        <v>-1033</v>
      </c>
      <c r="K118" s="1269">
        <f>K80</f>
        <v>-819</v>
      </c>
      <c r="L118" s="1269">
        <f>L80</f>
        <v>-966</v>
      </c>
      <c r="M118" s="1269">
        <f t="shared" ref="M118:S118" si="191">SUM(M108:M116)</f>
        <v>-438</v>
      </c>
      <c r="N118" s="1269">
        <f t="shared" si="191"/>
        <v>508.34500000000003</v>
      </c>
      <c r="O118" s="1269">
        <f t="shared" si="191"/>
        <v>1025.6500000000001</v>
      </c>
      <c r="P118" s="1270">
        <f>SUM(P108:P116)</f>
        <v>712.96400000000006</v>
      </c>
      <c r="Q118" s="1270">
        <f>SUM(Q108:Q116)</f>
        <v>658.63</v>
      </c>
      <c r="R118" s="1271">
        <f t="shared" si="191"/>
        <v>744.15499999999997</v>
      </c>
      <c r="S118" s="1269">
        <f t="shared" si="191"/>
        <v>211</v>
      </c>
      <c r="T118" s="1400"/>
      <c r="U118" s="1400"/>
      <c r="V118" s="1400"/>
      <c r="W118" s="1400"/>
      <c r="X118" s="1213"/>
      <c r="Y118" s="1213"/>
      <c r="Z118" s="1213"/>
      <c r="AA118" s="1213"/>
      <c r="AB118" s="1213"/>
      <c r="AC118" s="1213"/>
      <c r="AD118" s="1213"/>
      <c r="AE118" s="1213"/>
      <c r="AF118" s="1213"/>
      <c r="AG118" s="1213"/>
      <c r="AH118" s="1213"/>
      <c r="AI118" s="1213"/>
      <c r="AJ118" s="1213"/>
      <c r="AK118" s="1213"/>
      <c r="AL118" s="1213"/>
      <c r="AM118" s="1213"/>
      <c r="AN118" s="1213"/>
      <c r="AO118" s="1213"/>
      <c r="AP118" s="1213"/>
      <c r="AQ118" s="1213"/>
      <c r="AR118" s="1213"/>
      <c r="AS118" s="1213"/>
      <c r="AT118" s="1213"/>
      <c r="AU118" s="1213"/>
      <c r="AV118" s="1213"/>
      <c r="AW118" s="1213"/>
      <c r="AX118" s="1213"/>
      <c r="AY118" s="1213"/>
      <c r="AZ118" s="1213"/>
      <c r="BA118" s="1213"/>
      <c r="BB118" s="1269"/>
      <c r="BC118" s="1269"/>
      <c r="BD118" s="1269"/>
      <c r="BE118" s="1269"/>
      <c r="BF118" s="1269">
        <f t="shared" ref="BF118:BM118" si="192">BF80</f>
        <v>-107</v>
      </c>
      <c r="BG118" s="1269">
        <f t="shared" si="192"/>
        <v>-149</v>
      </c>
      <c r="BH118" s="1269">
        <f t="shared" si="192"/>
        <v>-227</v>
      </c>
      <c r="BI118" s="1269">
        <f t="shared" si="192"/>
        <v>-336</v>
      </c>
      <c r="BJ118" s="1269">
        <f t="shared" si="192"/>
        <v>-295</v>
      </c>
      <c r="BK118" s="1269">
        <f t="shared" si="192"/>
        <v>-289</v>
      </c>
      <c r="BL118" s="1269">
        <f t="shared" si="192"/>
        <v>-279</v>
      </c>
      <c r="BM118" s="1271">
        <f t="shared" si="192"/>
        <v>-103</v>
      </c>
      <c r="BN118" s="1269">
        <f t="shared" ref="BN118:CG118" si="193">SUM(BN108:BN116)</f>
        <v>-191</v>
      </c>
      <c r="BO118" s="1269">
        <f t="shared" si="193"/>
        <v>-121</v>
      </c>
      <c r="BP118" s="1269">
        <f t="shared" si="193"/>
        <v>-118</v>
      </c>
      <c r="BQ118" s="1271">
        <f t="shared" si="193"/>
        <v>-8</v>
      </c>
      <c r="BR118" s="1269">
        <f t="shared" si="193"/>
        <v>109</v>
      </c>
      <c r="BS118" s="1269">
        <f t="shared" si="193"/>
        <v>117</v>
      </c>
      <c r="BT118" s="1269">
        <f t="shared" si="193"/>
        <v>130.595</v>
      </c>
      <c r="BU118" s="1271">
        <f t="shared" si="193"/>
        <v>151.75</v>
      </c>
      <c r="BV118" s="1273">
        <f t="shared" si="193"/>
        <v>270</v>
      </c>
      <c r="BW118" s="1269">
        <f t="shared" si="193"/>
        <v>249.65</v>
      </c>
      <c r="BX118" s="1269">
        <f t="shared" si="193"/>
        <v>258</v>
      </c>
      <c r="BY118" s="1270">
        <f t="shared" si="193"/>
        <v>248</v>
      </c>
      <c r="BZ118" s="1273">
        <f t="shared" si="193"/>
        <v>170.58500000000001</v>
      </c>
      <c r="CA118" s="1269">
        <f t="shared" si="193"/>
        <v>189</v>
      </c>
      <c r="CB118" s="1269">
        <f t="shared" si="193"/>
        <v>164.77</v>
      </c>
      <c r="CC118" s="1269">
        <f t="shared" si="193"/>
        <v>188.60900000000001</v>
      </c>
      <c r="CD118" s="1273">
        <f t="shared" si="193"/>
        <v>220.95</v>
      </c>
      <c r="CE118" s="1269">
        <f t="shared" si="193"/>
        <v>142.80000000000001</v>
      </c>
      <c r="CF118" s="1269">
        <f t="shared" si="193"/>
        <v>153.28</v>
      </c>
      <c r="CG118" s="1269">
        <f t="shared" si="193"/>
        <v>141.6</v>
      </c>
      <c r="CH118" s="1273">
        <f>SUM(CH108:CH116)</f>
        <v>182.535</v>
      </c>
      <c r="CI118" s="1269">
        <f>SUM(CI108:CI116)</f>
        <v>179</v>
      </c>
      <c r="CJ118" s="1269">
        <f>SUM(CJ108:CJ116)</f>
        <v>183.02</v>
      </c>
      <c r="CK118" s="1269">
        <f>SUM(CK108:CK116)</f>
        <v>199.60000000000002</v>
      </c>
      <c r="CL118" s="1273">
        <f>SUM(CL108:CL116)</f>
        <v>211</v>
      </c>
      <c r="CM118" s="1400"/>
      <c r="CN118" s="1400"/>
      <c r="CO118" s="1400"/>
    </row>
    <row r="119" spans="1:93" ht="13.5" customHeight="1">
      <c r="A119" s="1225" t="s">
        <v>793</v>
      </c>
      <c r="B119" s="1198"/>
      <c r="C119" s="1198"/>
      <c r="D119" s="1198"/>
      <c r="E119" s="1198"/>
      <c r="F119" s="1198"/>
      <c r="G119" s="1198"/>
      <c r="H119" s="1198"/>
      <c r="I119" s="1198"/>
      <c r="J119" s="1248">
        <f>SUM(J108:J116)-J118</f>
        <v>0</v>
      </c>
      <c r="K119" s="1248">
        <f>SUM(K108:K116)-K118</f>
        <v>0</v>
      </c>
      <c r="L119" s="1248">
        <f>SUM(L108:L116)-L118</f>
        <v>0</v>
      </c>
      <c r="M119" s="1248">
        <f t="shared" ref="M119:S119" si="194">M118-M80</f>
        <v>0</v>
      </c>
      <c r="N119" s="1248">
        <f t="shared" si="194"/>
        <v>0</v>
      </c>
      <c r="O119" s="1248">
        <f t="shared" si="194"/>
        <v>0</v>
      </c>
      <c r="P119" s="1282">
        <f>P118-P80</f>
        <v>0</v>
      </c>
      <c r="Q119" s="1282">
        <f>Q118-Q80</f>
        <v>0</v>
      </c>
      <c r="R119" s="1250">
        <f t="shared" si="194"/>
        <v>0</v>
      </c>
      <c r="S119" s="1248">
        <f t="shared" si="194"/>
        <v>-9</v>
      </c>
      <c r="T119" s="1400"/>
      <c r="U119" s="1400"/>
      <c r="V119" s="1400"/>
      <c r="W119" s="1400"/>
      <c r="X119" s="1213"/>
      <c r="Y119" s="1213"/>
      <c r="Z119" s="1213"/>
      <c r="AA119" s="1198"/>
      <c r="AB119" s="1198"/>
      <c r="AC119" s="1198"/>
      <c r="AD119" s="1198"/>
      <c r="AE119" s="1198"/>
      <c r="AF119" s="1198"/>
      <c r="AG119" s="1198"/>
      <c r="AH119" s="1198"/>
      <c r="AI119" s="119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248"/>
      <c r="BC119" s="1248"/>
      <c r="BD119" s="1248"/>
      <c r="BE119" s="1248"/>
      <c r="BF119" s="1248">
        <f t="shared" ref="BF119:BM119" si="195">SUM(BF108:BF116)-BF118</f>
        <v>0</v>
      </c>
      <c r="BG119" s="1248">
        <f t="shared" si="195"/>
        <v>0</v>
      </c>
      <c r="BH119" s="1248">
        <f t="shared" si="195"/>
        <v>0</v>
      </c>
      <c r="BI119" s="1248">
        <f t="shared" si="195"/>
        <v>0</v>
      </c>
      <c r="BJ119" s="1248">
        <f t="shared" si="195"/>
        <v>0</v>
      </c>
      <c r="BK119" s="1248">
        <f t="shared" si="195"/>
        <v>0</v>
      </c>
      <c r="BL119" s="1248">
        <f t="shared" si="195"/>
        <v>0</v>
      </c>
      <c r="BM119" s="1250">
        <f t="shared" si="195"/>
        <v>0</v>
      </c>
      <c r="BN119" s="1282">
        <f t="shared" ref="BN119:CA119" si="196">BN118-BN80</f>
        <v>0</v>
      </c>
      <c r="BO119" s="1248">
        <f t="shared" si="196"/>
        <v>0</v>
      </c>
      <c r="BP119" s="1248">
        <f t="shared" si="196"/>
        <v>0</v>
      </c>
      <c r="BQ119" s="1250">
        <f t="shared" si="196"/>
        <v>0</v>
      </c>
      <c r="BR119" s="1248">
        <f t="shared" si="196"/>
        <v>0</v>
      </c>
      <c r="BS119" s="1248">
        <f t="shared" si="196"/>
        <v>0</v>
      </c>
      <c r="BT119" s="1248">
        <f t="shared" si="196"/>
        <v>0</v>
      </c>
      <c r="BU119" s="1250">
        <f t="shared" si="196"/>
        <v>0</v>
      </c>
      <c r="BV119" s="1249">
        <f t="shared" si="196"/>
        <v>0</v>
      </c>
      <c r="BW119" s="1248">
        <f t="shared" si="196"/>
        <v>0</v>
      </c>
      <c r="BX119" s="1248">
        <f t="shared" si="196"/>
        <v>0</v>
      </c>
      <c r="BY119" s="1282">
        <f t="shared" si="196"/>
        <v>0</v>
      </c>
      <c r="BZ119" s="1249">
        <f t="shared" si="196"/>
        <v>-7</v>
      </c>
      <c r="CA119" s="1248">
        <f t="shared" si="196"/>
        <v>7</v>
      </c>
      <c r="CB119" s="1248">
        <f t="shared" ref="CB119:CK119" si="197">CB118-CB80</f>
        <v>0</v>
      </c>
      <c r="CC119" s="1248">
        <f t="shared" si="197"/>
        <v>0</v>
      </c>
      <c r="CD119" s="1249">
        <f t="shared" si="197"/>
        <v>0</v>
      </c>
      <c r="CE119" s="1248">
        <f>CE118-CE80</f>
        <v>0</v>
      </c>
      <c r="CF119" s="1248">
        <f t="shared" si="197"/>
        <v>0</v>
      </c>
      <c r="CG119" s="1248">
        <f t="shared" si="197"/>
        <v>0</v>
      </c>
      <c r="CH119" s="1249">
        <f t="shared" si="197"/>
        <v>0</v>
      </c>
      <c r="CI119" s="1386">
        <f>CI118-CI80</f>
        <v>0</v>
      </c>
      <c r="CJ119" s="1248">
        <f t="shared" si="197"/>
        <v>0</v>
      </c>
      <c r="CK119" s="1248">
        <f t="shared" si="197"/>
        <v>0</v>
      </c>
      <c r="CL119" s="1249">
        <f>CL118-CL80</f>
        <v>-9</v>
      </c>
      <c r="CM119" s="1400"/>
      <c r="CN119" s="1400"/>
      <c r="CO119" s="1400"/>
    </row>
    <row r="120" spans="1:93" ht="12.75" customHeight="1">
      <c r="A120" s="1243"/>
      <c r="B120" s="1243"/>
      <c r="C120" s="1243"/>
      <c r="D120" s="1243"/>
      <c r="E120" s="1243"/>
      <c r="F120" s="1243"/>
      <c r="G120" s="1243"/>
      <c r="H120" s="1243"/>
      <c r="I120" s="1243"/>
      <c r="J120" s="1243"/>
      <c r="K120" s="1243"/>
      <c r="L120" s="1243"/>
      <c r="M120" s="1243"/>
      <c r="N120" s="1243"/>
      <c r="O120" s="1243"/>
      <c r="P120" s="1243"/>
      <c r="Q120" s="1243"/>
      <c r="R120" s="1387"/>
      <c r="S120" s="1243"/>
      <c r="T120" s="1400"/>
      <c r="U120" s="1400"/>
      <c r="V120" s="1400"/>
      <c r="W120" s="1400"/>
      <c r="X120" s="1213"/>
      <c r="Y120" s="1213"/>
      <c r="Z120" s="1213"/>
      <c r="AA120" s="1243"/>
      <c r="AB120" s="1243"/>
      <c r="AC120" s="1243"/>
      <c r="AD120" s="1243"/>
      <c r="AE120" s="1243"/>
      <c r="AF120" s="1243"/>
      <c r="AG120" s="1243"/>
      <c r="AH120" s="1243"/>
      <c r="AI120" s="1243"/>
      <c r="AJ120" s="1243"/>
      <c r="AK120" s="1243"/>
      <c r="AL120" s="1243"/>
      <c r="AM120" s="1243"/>
      <c r="AN120" s="1243"/>
      <c r="AO120" s="1243"/>
      <c r="AP120" s="1243"/>
      <c r="AQ120" s="1243"/>
      <c r="AR120" s="1243"/>
      <c r="AS120" s="1243"/>
      <c r="AT120" s="1243"/>
      <c r="AU120" s="1243"/>
      <c r="AV120" s="1243"/>
      <c r="AW120" s="1243"/>
      <c r="AX120" s="1243"/>
      <c r="AY120" s="1243"/>
      <c r="AZ120" s="1243"/>
      <c r="BA120" s="1243"/>
      <c r="BB120" s="1243"/>
      <c r="BC120" s="1243"/>
      <c r="BD120" s="1243"/>
      <c r="BE120" s="1243"/>
      <c r="BF120" s="1243"/>
      <c r="BG120" s="1243"/>
      <c r="BH120" s="1243"/>
      <c r="BI120" s="1243"/>
      <c r="BJ120" s="1243"/>
      <c r="BK120" s="1243"/>
      <c r="BL120" s="1243"/>
      <c r="BM120" s="1243"/>
      <c r="BN120" s="1388"/>
      <c r="BO120" s="1243"/>
      <c r="BP120" s="1243"/>
      <c r="BQ120" s="1387"/>
      <c r="BR120" s="1243"/>
      <c r="BS120" s="1243"/>
      <c r="BT120" s="1243"/>
      <c r="BU120" s="1387"/>
      <c r="BV120" s="1388"/>
      <c r="BW120" s="1243"/>
      <c r="BX120" s="1243"/>
      <c r="BY120" s="1243"/>
      <c r="BZ120" s="1388"/>
      <c r="CA120" s="1243"/>
      <c r="CB120" s="1243"/>
      <c r="CC120" s="1243"/>
      <c r="CD120" s="1388"/>
      <c r="CE120" s="1243"/>
      <c r="CF120" s="1243"/>
      <c r="CG120" s="1243"/>
      <c r="CH120" s="1388"/>
      <c r="CI120" s="1243"/>
      <c r="CJ120" s="1243"/>
      <c r="CK120" s="1243"/>
      <c r="CL120" s="1388"/>
      <c r="CM120" s="1400"/>
      <c r="CN120" s="1400"/>
      <c r="CO120" s="1400"/>
    </row>
    <row r="121" spans="1:93" ht="12.75" customHeight="1">
      <c r="A121" s="1198"/>
      <c r="B121" s="1198"/>
      <c r="C121" s="1198"/>
      <c r="D121" s="1198"/>
      <c r="E121" s="1198"/>
      <c r="F121" s="1198"/>
      <c r="G121" s="1198"/>
      <c r="H121" s="1198"/>
      <c r="I121" s="1198"/>
      <c r="J121" s="1198"/>
      <c r="K121" s="1198"/>
      <c r="L121" s="1198"/>
      <c r="M121" s="1198"/>
      <c r="N121" s="1198"/>
      <c r="O121" s="1198"/>
      <c r="P121" s="1302"/>
      <c r="Q121" s="1198"/>
      <c r="R121" s="1360"/>
      <c r="S121" s="1198"/>
      <c r="T121" s="1400"/>
      <c r="U121" s="1400"/>
      <c r="V121" s="1400"/>
      <c r="W121" s="1400"/>
      <c r="X121" s="1213"/>
      <c r="Y121" s="1213"/>
      <c r="Z121" s="1213"/>
      <c r="AA121" s="1198"/>
      <c r="AB121" s="1198"/>
      <c r="AC121" s="1198"/>
      <c r="AD121" s="1198"/>
      <c r="AE121" s="1198"/>
      <c r="AF121" s="1198"/>
      <c r="AG121" s="1198"/>
      <c r="AH121" s="1198"/>
      <c r="AI121" s="119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77"/>
      <c r="CJ121" s="1198"/>
      <c r="CK121" s="1389"/>
      <c r="CL121" s="1222"/>
      <c r="CM121" s="1400"/>
      <c r="CN121" s="1400"/>
      <c r="CO121" s="1400"/>
    </row>
    <row r="122" spans="1:93">
      <c r="A122" s="946"/>
      <c r="B122" s="946"/>
      <c r="C122" s="946"/>
      <c r="D122" s="946"/>
      <c r="E122" s="946"/>
      <c r="F122" s="946"/>
      <c r="G122" s="946"/>
      <c r="H122" s="946"/>
      <c r="I122" s="946"/>
      <c r="J122" s="946"/>
      <c r="K122" s="946"/>
      <c r="L122" s="946"/>
      <c r="M122" s="946"/>
      <c r="N122" s="946"/>
      <c r="O122" s="946"/>
      <c r="P122" s="946"/>
      <c r="Q122" s="946"/>
      <c r="R122" s="946"/>
      <c r="S122" s="946"/>
      <c r="T122" s="1400"/>
      <c r="U122" s="1400"/>
      <c r="V122" s="1400"/>
      <c r="W122" s="1400"/>
      <c r="X122" s="946"/>
      <c r="Y122" s="946"/>
      <c r="Z122" s="946"/>
      <c r="AA122" s="946"/>
      <c r="AB122" s="946"/>
      <c r="AC122" s="946"/>
      <c r="AD122" s="946"/>
      <c r="AE122" s="946"/>
      <c r="AF122" s="946"/>
      <c r="AG122" s="946"/>
      <c r="AH122" s="946"/>
      <c r="AI122" s="946"/>
      <c r="AJ122" s="946"/>
      <c r="AK122" s="946"/>
      <c r="AL122" s="946"/>
      <c r="AM122" s="946"/>
      <c r="AN122" s="946"/>
      <c r="AO122" s="946"/>
      <c r="AP122" s="946"/>
      <c r="AQ122" s="946"/>
      <c r="AR122" s="946"/>
      <c r="AS122" s="946"/>
      <c r="AT122" s="946"/>
      <c r="AU122" s="946"/>
      <c r="AV122" s="946"/>
      <c r="AW122" s="946"/>
      <c r="AX122" s="946"/>
      <c r="AY122" s="946"/>
      <c r="AZ122" s="946"/>
      <c r="BA122" s="946"/>
      <c r="BB122" s="946"/>
      <c r="BC122" s="946"/>
      <c r="BD122" s="946"/>
      <c r="BE122" s="946"/>
      <c r="BF122" s="946"/>
      <c r="BG122" s="946"/>
      <c r="BH122" s="946"/>
      <c r="BI122" s="946"/>
      <c r="BJ122" s="946"/>
      <c r="BK122" s="946"/>
      <c r="BL122" s="946"/>
      <c r="BM122" s="946"/>
      <c r="BN122" s="946"/>
      <c r="BO122" s="946"/>
      <c r="BP122" s="946"/>
      <c r="BQ122" s="946"/>
      <c r="BR122" s="946"/>
      <c r="BS122" s="946"/>
      <c r="BT122" s="946"/>
      <c r="BU122" s="946"/>
      <c r="BV122" s="946"/>
      <c r="BW122" s="946"/>
      <c r="BX122" s="946"/>
      <c r="BY122" s="946"/>
      <c r="BZ122" s="946"/>
      <c r="CA122" s="946"/>
      <c r="CB122" s="946"/>
      <c r="CC122" s="946"/>
      <c r="CD122" s="946"/>
      <c r="CE122" s="946"/>
      <c r="CF122" s="946"/>
      <c r="CG122" s="946"/>
      <c r="CH122" s="946"/>
      <c r="CI122" s="946"/>
      <c r="CJ122" s="946"/>
      <c r="CK122" s="946"/>
      <c r="CL122" s="1398"/>
      <c r="CM122" s="1400"/>
      <c r="CN122" s="1400"/>
      <c r="CO122" s="1400"/>
    </row>
    <row r="123" spans="1:93">
      <c r="A123" s="946"/>
      <c r="B123" s="946"/>
      <c r="C123" s="946"/>
      <c r="D123" s="946"/>
      <c r="E123" s="946"/>
      <c r="F123" s="946"/>
      <c r="G123" s="946"/>
      <c r="H123" s="946"/>
      <c r="I123" s="946"/>
      <c r="J123" s="946"/>
      <c r="K123" s="946"/>
      <c r="L123" s="946"/>
      <c r="M123" s="946"/>
      <c r="N123" s="946"/>
      <c r="O123" s="946"/>
      <c r="P123" s="946"/>
      <c r="Q123" s="946"/>
      <c r="R123" s="946"/>
      <c r="S123" s="946"/>
      <c r="T123" s="1400"/>
      <c r="U123" s="1400"/>
      <c r="V123" s="1400"/>
      <c r="W123" s="1400"/>
      <c r="X123" s="946"/>
      <c r="Y123" s="946"/>
      <c r="Z123" s="946"/>
      <c r="AA123" s="946"/>
      <c r="AB123" s="946"/>
      <c r="AC123" s="946"/>
      <c r="AD123" s="946"/>
      <c r="AE123" s="946"/>
      <c r="AF123" s="946"/>
      <c r="AG123" s="946"/>
      <c r="AH123" s="946"/>
      <c r="AI123" s="946"/>
      <c r="AJ123" s="946"/>
      <c r="AK123" s="946"/>
      <c r="AL123" s="946"/>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1398"/>
      <c r="CM123" s="1400"/>
      <c r="CN123" s="1400"/>
      <c r="CO123" s="1400"/>
    </row>
    <row r="124" spans="1:93">
      <c r="A124" s="946"/>
      <c r="B124" s="946"/>
      <c r="C124" s="946"/>
      <c r="D124" s="946"/>
      <c r="E124" s="946"/>
      <c r="F124" s="946"/>
      <c r="G124" s="946"/>
      <c r="H124" s="946"/>
      <c r="I124" s="946"/>
      <c r="J124" s="946"/>
      <c r="K124" s="946"/>
      <c r="L124" s="946"/>
      <c r="M124" s="946"/>
      <c r="N124" s="946"/>
      <c r="O124" s="946"/>
      <c r="P124" s="946"/>
      <c r="Q124" s="946"/>
      <c r="R124" s="946"/>
      <c r="S124" s="946"/>
      <c r="T124" s="946"/>
      <c r="U124" s="946"/>
      <c r="V124" s="946"/>
      <c r="W124" s="946"/>
      <c r="X124" s="946"/>
      <c r="Y124" s="946"/>
      <c r="Z124" s="946"/>
      <c r="AA124" s="946"/>
      <c r="AB124" s="946"/>
      <c r="AC124" s="946"/>
      <c r="AD124" s="946"/>
      <c r="AE124" s="946"/>
      <c r="AF124" s="946"/>
      <c r="AG124" s="946"/>
      <c r="AH124" s="946"/>
      <c r="AI124" s="946"/>
      <c r="AJ124" s="946"/>
      <c r="AK124" s="946"/>
      <c r="AL124" s="946"/>
      <c r="AM124" s="946"/>
      <c r="AN124" s="946"/>
      <c r="AO124" s="946"/>
      <c r="AP124" s="946"/>
      <c r="AQ124" s="946"/>
      <c r="AR124" s="946"/>
      <c r="AS124" s="946"/>
      <c r="AT124" s="946"/>
      <c r="AU124" s="946"/>
      <c r="AV124" s="946"/>
      <c r="AW124" s="946"/>
      <c r="AX124" s="946"/>
      <c r="AY124" s="946"/>
      <c r="AZ124" s="946"/>
      <c r="BA124" s="946"/>
      <c r="BB124" s="946"/>
      <c r="BC124" s="946"/>
      <c r="BD124" s="946"/>
      <c r="BE124" s="946"/>
      <c r="BF124" s="946"/>
      <c r="BG124" s="946"/>
      <c r="BH124" s="946"/>
      <c r="BI124" s="946"/>
      <c r="BJ124" s="946"/>
      <c r="BK124" s="946"/>
      <c r="BL124" s="946"/>
      <c r="BM124" s="946"/>
      <c r="BN124" s="946"/>
      <c r="BO124" s="946"/>
      <c r="BP124" s="946"/>
      <c r="BQ124" s="946"/>
      <c r="BR124" s="946"/>
      <c r="BS124" s="946"/>
      <c r="BT124" s="946"/>
      <c r="BU124" s="946"/>
      <c r="BV124" s="946"/>
      <c r="BW124" s="946"/>
      <c r="BX124" s="946"/>
      <c r="BY124" s="946"/>
      <c r="BZ124" s="946"/>
      <c r="CA124" s="946"/>
      <c r="CB124" s="946"/>
      <c r="CC124" s="946"/>
      <c r="CD124" s="946"/>
      <c r="CE124" s="946"/>
      <c r="CF124" s="946"/>
      <c r="CG124" s="946"/>
      <c r="CH124" s="946"/>
      <c r="CI124" s="946"/>
      <c r="CJ124" s="946"/>
      <c r="CK124" s="946"/>
      <c r="CL124" s="1398"/>
      <c r="CM124" s="1400"/>
      <c r="CN124" s="1400"/>
      <c r="CO124" s="1400"/>
    </row>
    <row r="125" spans="1:93">
      <c r="A125" s="946"/>
      <c r="B125" s="946"/>
      <c r="C125" s="946"/>
      <c r="D125" s="946"/>
      <c r="E125" s="946"/>
      <c r="F125" s="946"/>
      <c r="G125" s="946"/>
      <c r="H125" s="946"/>
      <c r="I125" s="946"/>
      <c r="J125" s="946"/>
      <c r="K125" s="946"/>
      <c r="L125" s="946"/>
      <c r="M125" s="946"/>
      <c r="N125" s="946"/>
      <c r="O125" s="946"/>
      <c r="P125" s="946"/>
      <c r="Q125" s="946"/>
      <c r="R125" s="946"/>
      <c r="S125" s="946"/>
      <c r="T125" s="946"/>
      <c r="U125" s="946"/>
      <c r="V125" s="946"/>
      <c r="W125" s="946"/>
      <c r="X125" s="946"/>
      <c r="Y125" s="946"/>
      <c r="Z125" s="946"/>
      <c r="AA125" s="946"/>
      <c r="AB125" s="946"/>
      <c r="AC125" s="946"/>
      <c r="AD125" s="946"/>
      <c r="AE125" s="946"/>
      <c r="AF125" s="946"/>
      <c r="AG125" s="946"/>
      <c r="AH125" s="946"/>
      <c r="AI125" s="946"/>
      <c r="AJ125" s="946"/>
      <c r="AK125" s="946"/>
      <c r="AL125" s="946"/>
      <c r="AM125" s="946"/>
      <c r="AN125" s="946"/>
      <c r="AO125" s="946"/>
      <c r="AP125" s="946"/>
      <c r="AQ125" s="946"/>
      <c r="AR125" s="946"/>
      <c r="AS125" s="946"/>
      <c r="AT125" s="946"/>
      <c r="AU125" s="946"/>
      <c r="AV125" s="946"/>
      <c r="AW125" s="946"/>
      <c r="AX125" s="946"/>
      <c r="AY125" s="946"/>
      <c r="AZ125" s="946"/>
      <c r="BA125" s="946"/>
      <c r="BB125" s="946"/>
      <c r="BC125" s="946"/>
      <c r="BD125" s="946"/>
      <c r="BE125" s="946"/>
      <c r="BF125" s="946"/>
      <c r="BG125" s="946"/>
      <c r="BH125" s="946"/>
      <c r="BI125" s="946"/>
      <c r="BJ125" s="946"/>
      <c r="BK125" s="946"/>
      <c r="BL125" s="946"/>
      <c r="BM125" s="946"/>
      <c r="BN125" s="946"/>
      <c r="BO125" s="946"/>
      <c r="BP125" s="946"/>
      <c r="BQ125" s="946"/>
      <c r="BR125" s="946"/>
      <c r="BS125" s="946"/>
      <c r="BT125" s="946"/>
      <c r="BU125" s="946"/>
      <c r="BV125" s="946"/>
      <c r="BW125" s="946"/>
      <c r="BX125" s="946"/>
      <c r="BY125" s="946"/>
      <c r="BZ125" s="946"/>
      <c r="CA125" s="946"/>
      <c r="CB125" s="946"/>
      <c r="CC125" s="946"/>
      <c r="CD125" s="946"/>
      <c r="CE125" s="946"/>
      <c r="CF125" s="946"/>
      <c r="CG125" s="946"/>
      <c r="CH125" s="946"/>
      <c r="CI125" s="946"/>
      <c r="CJ125" s="946"/>
      <c r="CK125" s="946"/>
      <c r="CL125" s="1398"/>
      <c r="CM125" s="946"/>
      <c r="CN125" s="946"/>
      <c r="CO125" s="946"/>
    </row>
    <row r="126" spans="1:93">
      <c r="A126" s="946"/>
      <c r="B126" s="946"/>
      <c r="C126" s="946"/>
      <c r="D126" s="946"/>
      <c r="E126" s="946"/>
      <c r="F126" s="946"/>
      <c r="G126" s="946"/>
      <c r="H126" s="946"/>
      <c r="I126" s="946"/>
      <c r="J126" s="946"/>
      <c r="K126" s="946"/>
      <c r="L126" s="946"/>
      <c r="M126" s="946"/>
      <c r="N126" s="946"/>
      <c r="O126" s="946"/>
      <c r="P126" s="946"/>
      <c r="Q126" s="946"/>
      <c r="R126" s="946"/>
      <c r="S126" s="946"/>
      <c r="T126" s="946"/>
      <c r="U126" s="946"/>
      <c r="V126" s="946"/>
      <c r="W126" s="946"/>
      <c r="X126" s="946"/>
      <c r="Y126" s="946"/>
      <c r="Z126" s="946"/>
      <c r="AA126" s="946"/>
      <c r="AB126" s="946"/>
      <c r="AC126" s="946"/>
      <c r="AD126" s="946"/>
      <c r="AE126" s="946"/>
      <c r="AF126" s="946"/>
      <c r="AG126" s="946"/>
      <c r="AH126" s="946"/>
      <c r="AI126" s="946"/>
      <c r="AJ126" s="946"/>
      <c r="AK126" s="946"/>
      <c r="AL126" s="946"/>
      <c r="AM126" s="946"/>
      <c r="AN126" s="946"/>
      <c r="AO126" s="946"/>
      <c r="AP126" s="946"/>
      <c r="AQ126" s="946"/>
      <c r="AR126" s="946"/>
      <c r="AS126" s="946"/>
      <c r="AT126" s="946"/>
      <c r="AU126" s="946"/>
      <c r="AV126" s="946"/>
      <c r="AW126" s="946"/>
      <c r="AX126" s="946"/>
      <c r="AY126" s="946"/>
      <c r="AZ126" s="946"/>
      <c r="BA126" s="946"/>
      <c r="BB126" s="946"/>
      <c r="BC126" s="946"/>
      <c r="BD126" s="946"/>
      <c r="BE126" s="946"/>
      <c r="BF126" s="946"/>
      <c r="BG126" s="946"/>
      <c r="BH126" s="946"/>
      <c r="BI126" s="946"/>
      <c r="BJ126" s="946"/>
      <c r="BK126" s="946"/>
      <c r="BL126" s="946"/>
      <c r="BM126" s="946"/>
      <c r="BN126" s="946"/>
      <c r="BO126" s="946"/>
      <c r="BP126" s="946"/>
      <c r="BQ126" s="946"/>
      <c r="BR126" s="946"/>
      <c r="BS126" s="946"/>
      <c r="BT126" s="946"/>
      <c r="BU126" s="946"/>
      <c r="BV126" s="946"/>
      <c r="BW126" s="946"/>
      <c r="BX126" s="946"/>
      <c r="BY126" s="946"/>
      <c r="BZ126" s="946"/>
      <c r="CA126" s="946"/>
      <c r="CB126" s="946"/>
      <c r="CC126" s="946"/>
      <c r="CD126" s="946"/>
      <c r="CE126" s="946"/>
      <c r="CF126" s="946"/>
      <c r="CG126" s="946"/>
      <c r="CH126" s="946"/>
      <c r="CI126" s="946"/>
      <c r="CJ126" s="946"/>
      <c r="CK126" s="946"/>
      <c r="CL126" s="1398"/>
      <c r="CM126" s="946"/>
      <c r="CN126" s="946"/>
      <c r="CO126" s="946"/>
    </row>
    <row r="127" spans="1:93">
      <c r="A127" s="946"/>
      <c r="B127" s="946"/>
      <c r="C127" s="946"/>
      <c r="D127" s="946"/>
      <c r="E127" s="946"/>
      <c r="F127" s="946"/>
      <c r="G127" s="946"/>
      <c r="H127" s="946"/>
      <c r="I127" s="946"/>
      <c r="J127" s="946"/>
      <c r="K127" s="946"/>
      <c r="L127" s="946"/>
      <c r="M127" s="946"/>
      <c r="N127" s="946"/>
      <c r="O127" s="946"/>
      <c r="P127" s="946"/>
      <c r="Q127" s="946"/>
      <c r="R127" s="946"/>
      <c r="S127" s="946"/>
      <c r="T127" s="946"/>
      <c r="U127" s="946"/>
      <c r="V127" s="946"/>
      <c r="W127" s="946"/>
      <c r="X127" s="946"/>
      <c r="Y127" s="946"/>
      <c r="Z127" s="946"/>
      <c r="AA127" s="946"/>
      <c r="AB127" s="946"/>
      <c r="AC127" s="946"/>
      <c r="AD127" s="946"/>
      <c r="AE127" s="946"/>
      <c r="AF127" s="946"/>
      <c r="AG127" s="946"/>
      <c r="AH127" s="946"/>
      <c r="AI127" s="946"/>
      <c r="AJ127" s="946"/>
      <c r="AK127" s="946"/>
      <c r="AL127" s="946"/>
      <c r="AM127" s="946"/>
      <c r="AN127" s="946"/>
      <c r="AO127" s="946"/>
      <c r="AP127" s="946"/>
      <c r="AQ127" s="946"/>
      <c r="AR127" s="946"/>
      <c r="AS127" s="946"/>
      <c r="AT127" s="946"/>
      <c r="AU127" s="946"/>
      <c r="AV127" s="946"/>
      <c r="AW127" s="946"/>
      <c r="AX127" s="946"/>
      <c r="AY127" s="946"/>
      <c r="AZ127" s="946"/>
      <c r="BA127" s="946"/>
      <c r="BB127" s="946"/>
      <c r="BC127" s="946"/>
      <c r="BD127" s="946"/>
      <c r="BE127" s="946"/>
      <c r="BF127" s="946"/>
      <c r="BG127" s="946"/>
      <c r="BH127" s="946"/>
      <c r="BI127" s="946"/>
      <c r="BJ127" s="946"/>
      <c r="BK127" s="946"/>
      <c r="BL127" s="946"/>
      <c r="BM127" s="946"/>
      <c r="BN127" s="946"/>
      <c r="BO127" s="946"/>
      <c r="BP127" s="946"/>
      <c r="BQ127" s="946"/>
      <c r="BR127" s="946"/>
      <c r="BS127" s="946"/>
      <c r="BT127" s="946"/>
      <c r="BU127" s="946"/>
      <c r="BV127" s="946"/>
      <c r="BW127" s="946"/>
      <c r="BX127" s="946"/>
      <c r="BY127" s="946"/>
      <c r="BZ127" s="946"/>
      <c r="CA127" s="946"/>
      <c r="CB127" s="946"/>
      <c r="CC127" s="946"/>
      <c r="CD127" s="946"/>
      <c r="CE127" s="946"/>
      <c r="CF127" s="946"/>
      <c r="CG127" s="946"/>
      <c r="CH127" s="946"/>
      <c r="CI127" s="946"/>
      <c r="CJ127" s="946"/>
      <c r="CK127" s="946"/>
      <c r="CL127" s="1398"/>
      <c r="CM127" s="946"/>
      <c r="CN127" s="946"/>
      <c r="CO127" s="946"/>
    </row>
    <row r="128" spans="1:93">
      <c r="A128" s="946"/>
      <c r="B128" s="946"/>
      <c r="C128" s="946"/>
      <c r="D128" s="946"/>
      <c r="E128" s="946"/>
      <c r="F128" s="946"/>
      <c r="G128" s="946"/>
      <c r="H128" s="946"/>
      <c r="I128" s="946"/>
      <c r="J128" s="946"/>
      <c r="K128" s="946"/>
      <c r="L128" s="946"/>
      <c r="M128" s="946"/>
      <c r="N128" s="946"/>
      <c r="O128" s="946"/>
      <c r="P128" s="946"/>
      <c r="Q128" s="946"/>
      <c r="R128" s="946"/>
      <c r="S128" s="946"/>
      <c r="T128" s="946"/>
      <c r="U128" s="946"/>
      <c r="V128" s="946"/>
      <c r="W128" s="946"/>
      <c r="X128" s="946"/>
      <c r="Y128" s="946"/>
      <c r="Z128" s="946"/>
      <c r="AA128" s="946"/>
      <c r="AB128" s="946"/>
      <c r="AC128" s="946"/>
      <c r="AD128" s="946"/>
      <c r="AE128" s="946"/>
      <c r="AF128" s="946"/>
      <c r="AG128" s="946"/>
      <c r="AH128" s="946"/>
      <c r="AI128" s="946"/>
      <c r="AJ128" s="946"/>
      <c r="AK128" s="946"/>
      <c r="AL128" s="946"/>
      <c r="AM128" s="946"/>
      <c r="AN128" s="946"/>
      <c r="AO128" s="946"/>
      <c r="AP128" s="946"/>
      <c r="AQ128" s="946"/>
      <c r="AR128" s="946"/>
      <c r="AS128" s="946"/>
      <c r="AT128" s="946"/>
      <c r="AU128" s="946"/>
      <c r="AV128" s="946"/>
      <c r="AW128" s="946"/>
      <c r="AX128" s="946"/>
      <c r="AY128" s="946"/>
      <c r="AZ128" s="946"/>
      <c r="BA128" s="946"/>
      <c r="BB128" s="946"/>
      <c r="BC128" s="946"/>
      <c r="BD128" s="946"/>
      <c r="BE128" s="946"/>
      <c r="BF128" s="946"/>
      <c r="BG128" s="946"/>
      <c r="BH128" s="946"/>
      <c r="BI128" s="946"/>
      <c r="BJ128" s="946"/>
      <c r="BK128" s="946"/>
      <c r="BL128" s="946"/>
      <c r="BM128" s="946"/>
      <c r="BN128" s="946"/>
      <c r="BO128" s="946"/>
      <c r="BP128" s="946"/>
      <c r="BQ128" s="946"/>
      <c r="BR128" s="946"/>
      <c r="BS128" s="946"/>
      <c r="BT128" s="946"/>
      <c r="BU128" s="946"/>
      <c r="BV128" s="946"/>
      <c r="BW128" s="946"/>
      <c r="BX128" s="946"/>
      <c r="BY128" s="946"/>
      <c r="BZ128" s="946"/>
      <c r="CA128" s="946"/>
      <c r="CB128" s="946"/>
      <c r="CC128" s="946"/>
      <c r="CD128" s="946"/>
      <c r="CE128" s="946"/>
      <c r="CF128" s="946"/>
      <c r="CG128" s="946"/>
      <c r="CH128" s="946"/>
      <c r="CI128" s="946"/>
      <c r="CJ128" s="946"/>
      <c r="CK128" s="946"/>
      <c r="CL128" s="1398"/>
      <c r="CM128" s="946"/>
      <c r="CN128" s="946"/>
      <c r="CO128" s="946"/>
    </row>
    <row r="129" spans="1:93">
      <c r="A129" s="946"/>
      <c r="B129" s="946"/>
      <c r="C129" s="946"/>
      <c r="D129" s="946"/>
      <c r="E129" s="946"/>
      <c r="F129" s="946"/>
      <c r="G129" s="946"/>
      <c r="H129" s="946"/>
      <c r="I129" s="946"/>
      <c r="J129" s="946"/>
      <c r="K129" s="946"/>
      <c r="L129" s="946"/>
      <c r="M129" s="946"/>
      <c r="N129" s="946"/>
      <c r="O129" s="946"/>
      <c r="P129" s="946"/>
      <c r="Q129" s="946"/>
      <c r="R129" s="946"/>
      <c r="S129" s="946"/>
      <c r="T129" s="946"/>
      <c r="U129" s="946"/>
      <c r="V129" s="946"/>
      <c r="W129" s="946"/>
      <c r="X129" s="946"/>
      <c r="Y129" s="946"/>
      <c r="Z129" s="946"/>
      <c r="AA129" s="946"/>
      <c r="AB129" s="946"/>
      <c r="AC129" s="946"/>
      <c r="AD129" s="946"/>
      <c r="AE129" s="946"/>
      <c r="AF129" s="946"/>
      <c r="AG129" s="946"/>
      <c r="AH129" s="946"/>
      <c r="AI129" s="946"/>
      <c r="AJ129" s="946"/>
      <c r="AK129" s="946"/>
      <c r="AL129" s="946"/>
      <c r="AM129" s="946"/>
      <c r="AN129" s="946"/>
      <c r="AO129" s="946"/>
      <c r="AP129" s="946"/>
      <c r="AQ129" s="946"/>
      <c r="AR129" s="946"/>
      <c r="AS129" s="946"/>
      <c r="AT129" s="946"/>
      <c r="AU129" s="946"/>
      <c r="AV129" s="946"/>
      <c r="AW129" s="946"/>
      <c r="AX129" s="946"/>
      <c r="AY129" s="946"/>
      <c r="AZ129" s="946"/>
      <c r="BA129" s="946"/>
      <c r="BB129" s="946"/>
      <c r="BC129" s="946"/>
      <c r="BD129" s="946"/>
      <c r="BE129" s="946"/>
      <c r="BF129" s="946"/>
      <c r="BG129" s="946"/>
      <c r="BH129" s="946"/>
      <c r="BI129" s="946"/>
      <c r="BJ129" s="946"/>
      <c r="BK129" s="946"/>
      <c r="BL129" s="946"/>
      <c r="BM129" s="946"/>
      <c r="BN129" s="946"/>
      <c r="BO129" s="946"/>
      <c r="BP129" s="946"/>
      <c r="BQ129" s="946"/>
      <c r="BR129" s="946"/>
      <c r="BS129" s="946"/>
      <c r="BT129" s="946"/>
      <c r="BU129" s="946"/>
      <c r="BV129" s="946"/>
      <c r="BW129" s="946"/>
      <c r="BX129" s="946"/>
      <c r="BY129" s="946"/>
      <c r="BZ129" s="946"/>
      <c r="CA129" s="946"/>
      <c r="CB129" s="946"/>
      <c r="CC129" s="946"/>
      <c r="CD129" s="946"/>
      <c r="CE129" s="946"/>
      <c r="CF129" s="946"/>
      <c r="CG129" s="946"/>
      <c r="CH129" s="946"/>
      <c r="CI129" s="946"/>
      <c r="CJ129" s="946"/>
      <c r="CK129" s="946"/>
      <c r="CL129" s="1398"/>
      <c r="CM129" s="946"/>
      <c r="CN129" s="946"/>
      <c r="CO129" s="946"/>
    </row>
    <row r="130" spans="1:93">
      <c r="A130" s="946"/>
      <c r="B130" s="946"/>
      <c r="C130" s="946"/>
      <c r="D130" s="946"/>
      <c r="E130" s="946"/>
      <c r="F130" s="946"/>
      <c r="G130" s="946"/>
      <c r="H130" s="946"/>
      <c r="I130" s="946"/>
      <c r="J130" s="946"/>
      <c r="K130" s="946"/>
      <c r="L130" s="946"/>
      <c r="M130" s="946"/>
      <c r="N130" s="946"/>
      <c r="O130" s="946"/>
      <c r="P130" s="946"/>
      <c r="Q130" s="946"/>
      <c r="R130" s="946"/>
      <c r="S130" s="946"/>
      <c r="T130" s="946"/>
      <c r="U130" s="946"/>
      <c r="V130" s="946"/>
      <c r="W130" s="946"/>
      <c r="X130" s="946"/>
      <c r="Y130" s="946"/>
      <c r="Z130" s="946"/>
      <c r="AA130" s="946"/>
      <c r="AB130" s="946"/>
      <c r="AC130" s="946"/>
      <c r="AD130" s="946"/>
      <c r="AE130" s="946"/>
      <c r="AF130" s="946"/>
      <c r="AG130" s="946"/>
      <c r="AH130" s="946"/>
      <c r="AI130" s="946"/>
      <c r="AJ130" s="946"/>
      <c r="AK130" s="946"/>
      <c r="AL130" s="946"/>
      <c r="AM130" s="946"/>
      <c r="AN130" s="946"/>
      <c r="AO130" s="946"/>
      <c r="AP130" s="946"/>
      <c r="AQ130" s="946"/>
      <c r="AR130" s="946"/>
      <c r="AS130" s="946"/>
      <c r="AT130" s="946"/>
      <c r="AU130" s="946"/>
      <c r="AV130" s="946"/>
      <c r="AW130" s="946"/>
      <c r="AX130" s="946"/>
      <c r="AY130" s="946"/>
      <c r="AZ130" s="946"/>
      <c r="BA130" s="946"/>
      <c r="BB130" s="946"/>
      <c r="BC130" s="946"/>
      <c r="BD130" s="946"/>
      <c r="BE130" s="946"/>
      <c r="BF130" s="946"/>
      <c r="BG130" s="946"/>
      <c r="BH130" s="946"/>
      <c r="BI130" s="946"/>
      <c r="BJ130" s="946"/>
      <c r="BK130" s="946"/>
      <c r="BL130" s="946"/>
      <c r="BM130" s="946"/>
      <c r="BN130" s="946"/>
      <c r="BO130" s="946"/>
      <c r="BP130" s="946"/>
      <c r="BQ130" s="946"/>
      <c r="BR130" s="946"/>
      <c r="BS130" s="946"/>
      <c r="BT130" s="946"/>
      <c r="BU130" s="946"/>
      <c r="BV130" s="946"/>
      <c r="BW130" s="946"/>
      <c r="BX130" s="946"/>
      <c r="BY130" s="946"/>
      <c r="BZ130" s="946"/>
      <c r="CA130" s="946"/>
      <c r="CB130" s="946"/>
      <c r="CC130" s="946"/>
      <c r="CD130" s="946"/>
      <c r="CE130" s="946"/>
      <c r="CF130" s="946"/>
      <c r="CG130" s="946"/>
      <c r="CH130" s="946"/>
      <c r="CI130" s="946"/>
      <c r="CJ130" s="946"/>
      <c r="CK130" s="946"/>
      <c r="CL130" s="1398"/>
      <c r="CM130" s="946"/>
      <c r="CN130" s="946"/>
      <c r="CO130" s="946"/>
    </row>
    <row r="131" spans="1:93">
      <c r="A131" s="946"/>
      <c r="B131" s="946"/>
      <c r="C131" s="946"/>
      <c r="D131" s="946"/>
      <c r="E131" s="946"/>
      <c r="F131" s="946"/>
      <c r="G131" s="946"/>
      <c r="H131" s="946"/>
      <c r="I131" s="946"/>
      <c r="J131" s="946"/>
      <c r="K131" s="946"/>
      <c r="L131" s="946"/>
      <c r="M131" s="946"/>
      <c r="N131" s="946"/>
      <c r="O131" s="946"/>
      <c r="P131" s="946"/>
      <c r="Q131" s="946"/>
      <c r="R131" s="946"/>
      <c r="S131" s="946"/>
      <c r="T131" s="946"/>
      <c r="U131" s="946"/>
      <c r="V131" s="946"/>
      <c r="W131" s="946"/>
      <c r="X131" s="946"/>
      <c r="Y131" s="946"/>
      <c r="Z131" s="946"/>
      <c r="AA131" s="946"/>
      <c r="AB131" s="946"/>
      <c r="AC131" s="946"/>
      <c r="AD131" s="946"/>
      <c r="AE131" s="946"/>
      <c r="AF131" s="946"/>
      <c r="AG131" s="946"/>
      <c r="AH131" s="946"/>
      <c r="AI131" s="946"/>
      <c r="AJ131" s="946"/>
      <c r="AK131" s="946"/>
      <c r="AL131" s="946"/>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1398"/>
      <c r="CM131" s="946"/>
      <c r="CN131" s="946"/>
      <c r="CO131" s="946"/>
    </row>
    <row r="132" spans="1:93">
      <c r="A132" s="946"/>
      <c r="B132" s="946"/>
      <c r="C132" s="946"/>
      <c r="D132" s="946"/>
      <c r="E132" s="946"/>
      <c r="F132" s="946"/>
      <c r="G132" s="946"/>
      <c r="H132" s="946"/>
      <c r="I132" s="946"/>
      <c r="J132" s="946"/>
      <c r="K132" s="946"/>
      <c r="L132" s="946"/>
      <c r="M132" s="946"/>
      <c r="N132" s="946"/>
      <c r="O132" s="946"/>
      <c r="P132" s="946"/>
      <c r="Q132" s="946"/>
      <c r="R132" s="946"/>
      <c r="S132" s="946"/>
      <c r="T132" s="946"/>
      <c r="U132" s="946"/>
      <c r="V132" s="946"/>
      <c r="W132" s="946"/>
      <c r="X132" s="946"/>
      <c r="Y132" s="946"/>
      <c r="Z132" s="946"/>
      <c r="AA132" s="946"/>
      <c r="AB132" s="946"/>
      <c r="AC132" s="946"/>
      <c r="AD132" s="946"/>
      <c r="AE132" s="946"/>
      <c r="AF132" s="946"/>
      <c r="AG132" s="946"/>
      <c r="AH132" s="946"/>
      <c r="AI132" s="946"/>
      <c r="AJ132" s="946"/>
      <c r="AK132" s="946"/>
      <c r="AL132" s="946"/>
      <c r="AM132" s="946"/>
      <c r="AN132" s="946"/>
      <c r="AO132" s="946"/>
      <c r="AP132" s="946"/>
      <c r="AQ132" s="946"/>
      <c r="AR132" s="946"/>
      <c r="AS132" s="946"/>
      <c r="AT132" s="946"/>
      <c r="AU132" s="946"/>
      <c r="AV132" s="946"/>
      <c r="AW132" s="946"/>
      <c r="AX132" s="946"/>
      <c r="AY132" s="946"/>
      <c r="AZ132" s="946"/>
      <c r="BA132" s="946"/>
      <c r="BB132" s="946"/>
      <c r="BC132" s="946"/>
      <c r="BD132" s="946"/>
      <c r="BE132" s="946"/>
      <c r="BF132" s="946"/>
      <c r="BG132" s="946"/>
      <c r="BH132" s="946"/>
      <c r="BI132" s="946"/>
      <c r="BJ132" s="946"/>
      <c r="BK132" s="946"/>
      <c r="BL132" s="946"/>
      <c r="BM132" s="946"/>
      <c r="BN132" s="946"/>
      <c r="BO132" s="946"/>
      <c r="BP132" s="946"/>
      <c r="BQ132" s="946"/>
      <c r="BR132" s="946"/>
      <c r="BS132" s="946"/>
      <c r="BT132" s="946"/>
      <c r="BU132" s="946"/>
      <c r="BV132" s="946"/>
      <c r="BW132" s="946"/>
      <c r="BX132" s="946"/>
      <c r="BY132" s="946"/>
      <c r="BZ132" s="946"/>
      <c r="CA132" s="946"/>
      <c r="CB132" s="946"/>
      <c r="CC132" s="946"/>
      <c r="CD132" s="946"/>
      <c r="CE132" s="946"/>
      <c r="CF132" s="946"/>
      <c r="CG132" s="946"/>
      <c r="CH132" s="946"/>
      <c r="CI132" s="946"/>
      <c r="CJ132" s="946"/>
      <c r="CK132" s="946"/>
      <c r="CL132" s="1398"/>
      <c r="CM132" s="946"/>
      <c r="CN132" s="946"/>
      <c r="CO132" s="946"/>
    </row>
    <row r="133" spans="1:93">
      <c r="A133" s="946"/>
      <c r="B133" s="946"/>
      <c r="C133" s="946"/>
      <c r="D133" s="946"/>
      <c r="E133" s="946"/>
      <c r="F133" s="946"/>
      <c r="G133" s="946"/>
      <c r="H133" s="946"/>
      <c r="I133" s="946"/>
      <c r="J133" s="946"/>
      <c r="K133" s="946"/>
      <c r="L133" s="946"/>
      <c r="M133" s="946"/>
      <c r="N133" s="946"/>
      <c r="O133" s="946"/>
      <c r="P133" s="946"/>
      <c r="Q133" s="946"/>
      <c r="R133" s="946"/>
      <c r="S133" s="946"/>
      <c r="T133" s="946"/>
      <c r="U133" s="946"/>
      <c r="V133" s="946"/>
      <c r="W133" s="946"/>
      <c r="X133" s="946"/>
      <c r="Y133" s="946"/>
      <c r="Z133" s="946"/>
      <c r="AA133" s="946"/>
      <c r="AB133" s="946"/>
      <c r="AC133" s="946"/>
      <c r="AD133" s="946"/>
      <c r="AE133" s="946"/>
      <c r="AF133" s="946"/>
      <c r="AG133" s="946"/>
      <c r="AH133" s="946"/>
      <c r="AI133" s="946"/>
      <c r="AJ133" s="946"/>
      <c r="AK133" s="946"/>
      <c r="AL133" s="946"/>
      <c r="AM133" s="946"/>
      <c r="AN133" s="946"/>
      <c r="AO133" s="946"/>
      <c r="AP133" s="946"/>
      <c r="AQ133" s="946"/>
      <c r="AR133" s="946"/>
      <c r="AS133" s="946"/>
      <c r="AT133" s="946"/>
      <c r="AU133" s="946"/>
      <c r="AV133" s="946"/>
      <c r="AW133" s="946"/>
      <c r="AX133" s="946"/>
      <c r="AY133" s="946"/>
      <c r="AZ133" s="946"/>
      <c r="BA133" s="946"/>
      <c r="BB133" s="946"/>
      <c r="BC133" s="946"/>
      <c r="BD133" s="946"/>
      <c r="BE133" s="946"/>
      <c r="BF133" s="946"/>
      <c r="BG133" s="946"/>
      <c r="BH133" s="946"/>
      <c r="BI133" s="946"/>
      <c r="BJ133" s="946"/>
      <c r="BK133" s="946"/>
      <c r="BL133" s="946"/>
      <c r="BM133" s="946"/>
      <c r="BN133" s="946"/>
      <c r="BO133" s="946"/>
      <c r="BP133" s="946"/>
      <c r="BQ133" s="946"/>
      <c r="BR133" s="946"/>
      <c r="BS133" s="946"/>
      <c r="BT133" s="946"/>
      <c r="BU133" s="946"/>
      <c r="BV133" s="946"/>
      <c r="BW133" s="946"/>
      <c r="BX133" s="946"/>
      <c r="BY133" s="946"/>
      <c r="BZ133" s="946"/>
      <c r="CA133" s="946"/>
      <c r="CB133" s="946"/>
      <c r="CC133" s="946"/>
      <c r="CD133" s="946"/>
      <c r="CE133" s="946"/>
      <c r="CF133" s="946"/>
      <c r="CG133" s="946"/>
      <c r="CH133" s="946"/>
      <c r="CI133" s="946"/>
      <c r="CJ133" s="946"/>
      <c r="CK133" s="946"/>
      <c r="CL133" s="1398"/>
      <c r="CM133" s="946"/>
      <c r="CN133" s="946"/>
      <c r="CO133" s="946"/>
    </row>
    <row r="134" spans="1:93">
      <c r="A134" s="946"/>
      <c r="B134" s="946"/>
      <c r="C134" s="946"/>
      <c r="D134" s="946"/>
      <c r="E134" s="946"/>
      <c r="F134" s="946"/>
      <c r="G134" s="946"/>
      <c r="H134" s="946"/>
      <c r="I134" s="946"/>
      <c r="J134" s="946"/>
      <c r="K134" s="946"/>
      <c r="L134" s="946"/>
      <c r="M134" s="946"/>
      <c r="N134" s="946"/>
      <c r="O134" s="946"/>
      <c r="P134" s="946"/>
      <c r="Q134" s="946"/>
      <c r="R134" s="946"/>
      <c r="S134" s="946"/>
      <c r="T134" s="946"/>
      <c r="U134" s="946"/>
      <c r="V134" s="946"/>
      <c r="W134" s="946"/>
      <c r="X134" s="946"/>
      <c r="Y134" s="946"/>
      <c r="Z134" s="946"/>
      <c r="AA134" s="946"/>
      <c r="AB134" s="946"/>
      <c r="AC134" s="946"/>
      <c r="AD134" s="946"/>
      <c r="AE134" s="946"/>
      <c r="AF134" s="946"/>
      <c r="AG134" s="946"/>
      <c r="AH134" s="946"/>
      <c r="AI134" s="946"/>
      <c r="AJ134" s="946"/>
      <c r="AK134" s="946"/>
      <c r="AL134" s="946"/>
      <c r="AM134" s="946"/>
      <c r="AN134" s="946"/>
      <c r="AO134" s="946"/>
      <c r="AP134" s="946"/>
      <c r="AQ134" s="946"/>
      <c r="AR134" s="946"/>
      <c r="AS134" s="946"/>
      <c r="AT134" s="946"/>
      <c r="AU134" s="946"/>
      <c r="AV134" s="946"/>
      <c r="AW134" s="946"/>
      <c r="AX134" s="946"/>
      <c r="AY134" s="946"/>
      <c r="AZ134" s="946"/>
      <c r="BA134" s="946"/>
      <c r="BB134" s="946"/>
      <c r="BC134" s="946"/>
      <c r="BD134" s="946"/>
      <c r="BE134" s="946"/>
      <c r="BF134" s="946"/>
      <c r="BG134" s="946"/>
      <c r="BH134" s="946"/>
      <c r="BI134" s="946"/>
      <c r="BJ134" s="946"/>
      <c r="BK134" s="946"/>
      <c r="BL134" s="946"/>
      <c r="BM134" s="946"/>
      <c r="BN134" s="946"/>
      <c r="BO134" s="946"/>
      <c r="BP134" s="946"/>
      <c r="BQ134" s="946"/>
      <c r="BR134" s="946"/>
      <c r="BS134" s="946"/>
      <c r="BT134" s="946"/>
      <c r="BU134" s="946"/>
      <c r="BV134" s="946"/>
      <c r="BW134" s="946"/>
      <c r="BX134" s="946"/>
      <c r="BY134" s="946"/>
      <c r="BZ134" s="946"/>
      <c r="CA134" s="946"/>
      <c r="CB134" s="946"/>
      <c r="CC134" s="946"/>
      <c r="CD134" s="946"/>
      <c r="CE134" s="946"/>
      <c r="CF134" s="946"/>
      <c r="CG134" s="946"/>
      <c r="CH134" s="946"/>
      <c r="CI134" s="946"/>
      <c r="CJ134" s="946"/>
      <c r="CK134" s="946"/>
      <c r="CL134" s="1398"/>
      <c r="CM134" s="946"/>
      <c r="CN134" s="946"/>
      <c r="CO134" s="946"/>
    </row>
    <row r="135" spans="1:93">
      <c r="A135" s="946"/>
      <c r="B135" s="946"/>
      <c r="C135" s="946"/>
      <c r="D135" s="946"/>
      <c r="E135" s="946"/>
      <c r="F135" s="946"/>
      <c r="G135" s="946"/>
      <c r="H135" s="946"/>
      <c r="I135" s="946"/>
      <c r="J135" s="946"/>
      <c r="K135" s="946"/>
      <c r="L135" s="946"/>
      <c r="M135" s="946"/>
      <c r="N135" s="946"/>
      <c r="O135" s="946"/>
      <c r="P135" s="946"/>
      <c r="Q135" s="946"/>
      <c r="R135" s="946"/>
      <c r="S135" s="946"/>
      <c r="T135" s="946"/>
      <c r="U135" s="946"/>
      <c r="V135" s="946"/>
      <c r="W135" s="946"/>
      <c r="X135" s="946"/>
      <c r="Y135" s="946"/>
      <c r="Z135" s="946"/>
      <c r="AA135" s="946"/>
      <c r="AB135" s="946"/>
      <c r="AC135" s="946"/>
      <c r="AD135" s="946"/>
      <c r="AE135" s="946"/>
      <c r="AF135" s="946"/>
      <c r="AG135" s="946"/>
      <c r="AH135" s="946"/>
      <c r="AI135" s="946"/>
      <c r="AJ135" s="946"/>
      <c r="AK135" s="946"/>
      <c r="AL135" s="946"/>
      <c r="AM135" s="946"/>
      <c r="AN135" s="946"/>
      <c r="AO135" s="946"/>
      <c r="AP135" s="946"/>
      <c r="AQ135" s="946"/>
      <c r="AR135" s="946"/>
      <c r="AS135" s="946"/>
      <c r="AT135" s="946"/>
      <c r="AU135" s="946"/>
      <c r="AV135" s="946"/>
      <c r="AW135" s="946"/>
      <c r="AX135" s="946"/>
      <c r="AY135" s="946"/>
      <c r="AZ135" s="946"/>
      <c r="BA135" s="946"/>
      <c r="BB135" s="946"/>
      <c r="BC135" s="946"/>
      <c r="BD135" s="946"/>
      <c r="BE135" s="946"/>
      <c r="BF135" s="946"/>
      <c r="BG135" s="946"/>
      <c r="BH135" s="946"/>
      <c r="BI135" s="946"/>
      <c r="BJ135" s="946"/>
      <c r="BK135" s="946"/>
      <c r="BL135" s="946"/>
      <c r="BM135" s="946"/>
      <c r="BN135" s="946"/>
      <c r="BO135" s="946"/>
      <c r="BP135" s="946"/>
      <c r="BQ135" s="946"/>
      <c r="BR135" s="946"/>
      <c r="BS135" s="946"/>
      <c r="BT135" s="946"/>
      <c r="BU135" s="946"/>
      <c r="BV135" s="946"/>
      <c r="BW135" s="946"/>
      <c r="BX135" s="946"/>
      <c r="BY135" s="946"/>
      <c r="BZ135" s="946"/>
      <c r="CA135" s="946"/>
      <c r="CB135" s="946"/>
      <c r="CC135" s="946"/>
      <c r="CD135" s="946"/>
      <c r="CE135" s="946"/>
      <c r="CF135" s="946"/>
      <c r="CG135" s="946"/>
      <c r="CH135" s="946"/>
      <c r="CI135" s="946"/>
      <c r="CJ135" s="946"/>
      <c r="CK135" s="946"/>
      <c r="CL135" s="1398"/>
      <c r="CM135" s="946"/>
      <c r="CN135" s="946"/>
      <c r="CO135" s="946"/>
    </row>
    <row r="136" spans="1:93">
      <c r="A136" s="946"/>
      <c r="B136" s="946"/>
      <c r="C136" s="946"/>
      <c r="D136" s="946"/>
      <c r="E136" s="946"/>
      <c r="F136" s="946"/>
      <c r="G136" s="946"/>
      <c r="H136" s="946"/>
      <c r="I136" s="946"/>
      <c r="J136" s="946"/>
      <c r="K136" s="946"/>
      <c r="L136" s="946"/>
      <c r="M136" s="946"/>
      <c r="N136" s="946"/>
      <c r="O136" s="946"/>
      <c r="P136" s="946"/>
      <c r="Q136" s="946"/>
      <c r="R136" s="946"/>
      <c r="S136" s="946"/>
      <c r="T136" s="946"/>
      <c r="U136" s="946"/>
      <c r="V136" s="946"/>
      <c r="W136" s="946"/>
      <c r="X136" s="946"/>
      <c r="Y136" s="946"/>
      <c r="Z136" s="946"/>
      <c r="AA136" s="946"/>
      <c r="AB136" s="946"/>
      <c r="AC136" s="946"/>
      <c r="AD136" s="946"/>
      <c r="AE136" s="946"/>
      <c r="AF136" s="946"/>
      <c r="AG136" s="946"/>
      <c r="AH136" s="946"/>
      <c r="AI136" s="946"/>
      <c r="AJ136" s="946"/>
      <c r="AK136" s="946"/>
      <c r="AL136" s="946"/>
      <c r="AM136" s="946"/>
      <c r="AN136" s="946"/>
      <c r="AO136" s="946"/>
      <c r="AP136" s="946"/>
      <c r="AQ136" s="946"/>
      <c r="AR136" s="946"/>
      <c r="AS136" s="946"/>
      <c r="AT136" s="946"/>
      <c r="AU136" s="946"/>
      <c r="AV136" s="946"/>
      <c r="AW136" s="946"/>
      <c r="AX136" s="946"/>
      <c r="AY136" s="946"/>
      <c r="AZ136" s="946"/>
      <c r="BA136" s="946"/>
      <c r="BB136" s="946"/>
      <c r="BC136" s="946"/>
      <c r="BD136" s="946"/>
      <c r="BE136" s="946"/>
      <c r="BF136" s="946"/>
      <c r="BG136" s="946"/>
      <c r="BH136" s="946"/>
      <c r="BI136" s="946"/>
      <c r="BJ136" s="946"/>
      <c r="BK136" s="946"/>
      <c r="BL136" s="946"/>
      <c r="BM136" s="946"/>
      <c r="BN136" s="946"/>
      <c r="BO136" s="946"/>
      <c r="BP136" s="946"/>
      <c r="BQ136" s="946"/>
      <c r="BR136" s="946"/>
      <c r="BS136" s="946"/>
      <c r="BT136" s="946"/>
      <c r="BU136" s="946"/>
      <c r="BV136" s="946"/>
      <c r="BW136" s="946"/>
      <c r="BX136" s="946"/>
      <c r="BY136" s="946"/>
      <c r="BZ136" s="946"/>
      <c r="CA136" s="946"/>
      <c r="CB136" s="946"/>
      <c r="CC136" s="946"/>
      <c r="CD136" s="946"/>
      <c r="CE136" s="946"/>
      <c r="CF136" s="946"/>
      <c r="CG136" s="946"/>
      <c r="CH136" s="946"/>
      <c r="CI136" s="946"/>
      <c r="CJ136" s="946"/>
      <c r="CK136" s="946"/>
      <c r="CL136" s="1398"/>
      <c r="CM136" s="946"/>
      <c r="CN136" s="946"/>
      <c r="CO136" s="946"/>
    </row>
    <row r="137" spans="1:93">
      <c r="A137" s="946"/>
      <c r="B137" s="946"/>
      <c r="C137" s="946"/>
      <c r="D137" s="946"/>
      <c r="E137" s="946"/>
      <c r="F137" s="946"/>
      <c r="G137" s="946"/>
      <c r="H137" s="946"/>
      <c r="I137" s="946"/>
      <c r="J137" s="946"/>
      <c r="K137" s="946"/>
      <c r="L137" s="946"/>
      <c r="M137" s="946"/>
      <c r="N137" s="946"/>
      <c r="O137" s="946"/>
      <c r="P137" s="946"/>
      <c r="Q137" s="946"/>
      <c r="R137" s="946"/>
      <c r="S137" s="946"/>
      <c r="T137" s="946"/>
      <c r="U137" s="946"/>
      <c r="V137" s="946"/>
      <c r="W137" s="946"/>
      <c r="X137" s="946"/>
      <c r="Y137" s="946"/>
      <c r="Z137" s="946"/>
      <c r="AA137" s="946"/>
      <c r="AB137" s="946"/>
      <c r="AC137" s="946"/>
      <c r="AD137" s="946"/>
      <c r="AE137" s="946"/>
      <c r="AF137" s="946"/>
      <c r="AG137" s="946"/>
      <c r="AH137" s="946"/>
      <c r="AI137" s="946"/>
      <c r="AJ137" s="946"/>
      <c r="AK137" s="946"/>
      <c r="AL137" s="946"/>
      <c r="AM137" s="946"/>
      <c r="AN137" s="946"/>
      <c r="AO137" s="946"/>
      <c r="AP137" s="946"/>
      <c r="AQ137" s="946"/>
      <c r="AR137" s="946"/>
      <c r="AS137" s="946"/>
      <c r="AT137" s="946"/>
      <c r="AU137" s="946"/>
      <c r="AV137" s="946"/>
      <c r="AW137" s="946"/>
      <c r="AX137" s="946"/>
      <c r="AY137" s="946"/>
      <c r="AZ137" s="946"/>
      <c r="BA137" s="946"/>
      <c r="BB137" s="946"/>
      <c r="BC137" s="946"/>
      <c r="BD137" s="946"/>
      <c r="BE137" s="946"/>
      <c r="BF137" s="946"/>
      <c r="BG137" s="946"/>
      <c r="BH137" s="946"/>
      <c r="BI137" s="946"/>
      <c r="BJ137" s="946"/>
      <c r="BK137" s="946"/>
      <c r="BL137" s="946"/>
      <c r="BM137" s="946"/>
      <c r="BN137" s="946"/>
      <c r="BO137" s="946"/>
      <c r="BP137" s="946"/>
      <c r="BQ137" s="946"/>
      <c r="BR137" s="946"/>
      <c r="BS137" s="946"/>
      <c r="BT137" s="946"/>
      <c r="BU137" s="946"/>
      <c r="BV137" s="946"/>
      <c r="BW137" s="946"/>
      <c r="BX137" s="946"/>
      <c r="BY137" s="946"/>
      <c r="BZ137" s="946"/>
      <c r="CA137" s="946"/>
      <c r="CB137" s="946"/>
      <c r="CC137" s="946"/>
      <c r="CD137" s="946"/>
      <c r="CE137" s="946"/>
      <c r="CF137" s="946"/>
      <c r="CG137" s="946"/>
      <c r="CH137" s="946"/>
      <c r="CI137" s="946"/>
      <c r="CJ137" s="946"/>
      <c r="CK137" s="946"/>
      <c r="CL137" s="1398"/>
      <c r="CM137" s="946"/>
      <c r="CN137" s="946"/>
      <c r="CO137" s="946"/>
    </row>
    <row r="138" spans="1:93">
      <c r="A138" s="946"/>
      <c r="B138" s="946"/>
      <c r="C138" s="946"/>
      <c r="D138" s="946"/>
      <c r="E138" s="946"/>
      <c r="F138" s="946"/>
      <c r="G138" s="946"/>
      <c r="H138" s="946"/>
      <c r="I138" s="946"/>
      <c r="J138" s="946"/>
      <c r="K138" s="946"/>
      <c r="L138" s="946"/>
      <c r="M138" s="946"/>
      <c r="N138" s="946"/>
      <c r="O138" s="946"/>
      <c r="P138" s="946"/>
      <c r="Q138" s="946"/>
      <c r="R138" s="946"/>
      <c r="S138" s="946"/>
      <c r="T138" s="946"/>
      <c r="U138" s="946"/>
      <c r="V138" s="946"/>
      <c r="W138" s="946"/>
      <c r="X138" s="946"/>
      <c r="Y138" s="946"/>
      <c r="Z138" s="946"/>
      <c r="AA138" s="946"/>
      <c r="AB138" s="946"/>
      <c r="AC138" s="946"/>
      <c r="AD138" s="946"/>
      <c r="AE138" s="946"/>
      <c r="AF138" s="946"/>
      <c r="AG138" s="946"/>
      <c r="AH138" s="946"/>
      <c r="AI138" s="946"/>
      <c r="AJ138" s="946"/>
      <c r="AK138" s="946"/>
      <c r="AL138" s="946"/>
      <c r="AM138" s="946"/>
      <c r="AN138" s="946"/>
      <c r="AO138" s="946"/>
      <c r="AP138" s="946"/>
      <c r="AQ138" s="946"/>
      <c r="AR138" s="946"/>
      <c r="AS138" s="946"/>
      <c r="AT138" s="946"/>
      <c r="AU138" s="946"/>
      <c r="AV138" s="946"/>
      <c r="AW138" s="946"/>
      <c r="AX138" s="946"/>
      <c r="AY138" s="946"/>
      <c r="AZ138" s="946"/>
      <c r="BA138" s="946"/>
      <c r="BB138" s="946"/>
      <c r="BC138" s="946"/>
      <c r="BD138" s="946"/>
      <c r="BE138" s="946"/>
      <c r="BF138" s="946"/>
      <c r="BG138" s="946"/>
      <c r="BH138" s="946"/>
      <c r="BI138" s="946"/>
      <c r="BJ138" s="946"/>
      <c r="BK138" s="946"/>
      <c r="BL138" s="946"/>
      <c r="BM138" s="946"/>
      <c r="BN138" s="946"/>
      <c r="BO138" s="946"/>
      <c r="BP138" s="946"/>
      <c r="BQ138" s="946"/>
      <c r="BR138" s="946"/>
      <c r="BS138" s="946"/>
      <c r="BT138" s="946"/>
      <c r="BU138" s="946"/>
      <c r="BV138" s="946"/>
      <c r="BW138" s="946"/>
      <c r="BX138" s="946"/>
      <c r="BY138" s="946"/>
      <c r="BZ138" s="946"/>
      <c r="CA138" s="946"/>
      <c r="CB138" s="946"/>
      <c r="CC138" s="946"/>
      <c r="CD138" s="946"/>
      <c r="CE138" s="946"/>
      <c r="CF138" s="946"/>
      <c r="CG138" s="946"/>
      <c r="CH138" s="946"/>
      <c r="CI138" s="946"/>
      <c r="CJ138" s="946"/>
      <c r="CK138" s="946"/>
      <c r="CL138" s="1398"/>
      <c r="CM138" s="946"/>
      <c r="CN138" s="946"/>
      <c r="CO138" s="946"/>
    </row>
    <row r="139" spans="1:93">
      <c r="A139" s="946"/>
      <c r="B139" s="946"/>
      <c r="C139" s="946"/>
      <c r="D139" s="946"/>
      <c r="E139" s="946"/>
      <c r="F139" s="946"/>
      <c r="G139" s="946"/>
      <c r="H139" s="946"/>
      <c r="I139" s="946"/>
      <c r="J139" s="946"/>
      <c r="K139" s="946"/>
      <c r="L139" s="946"/>
      <c r="M139" s="946"/>
      <c r="N139" s="946"/>
      <c r="O139" s="946"/>
      <c r="P139" s="946"/>
      <c r="Q139" s="946"/>
      <c r="R139" s="946"/>
      <c r="S139" s="946"/>
      <c r="T139" s="946"/>
      <c r="U139" s="946"/>
      <c r="V139" s="946"/>
      <c r="W139" s="946"/>
      <c r="X139" s="946"/>
      <c r="Y139" s="946"/>
      <c r="Z139" s="946"/>
      <c r="AA139" s="946"/>
      <c r="AB139" s="946"/>
      <c r="AC139" s="946"/>
      <c r="AD139" s="946"/>
      <c r="AE139" s="946"/>
      <c r="AF139" s="946"/>
      <c r="AG139" s="946"/>
      <c r="AH139" s="946"/>
      <c r="AI139" s="946"/>
      <c r="AJ139" s="946"/>
      <c r="AK139" s="946"/>
      <c r="AL139" s="946"/>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1398"/>
      <c r="CM139" s="946"/>
      <c r="CN139" s="946"/>
      <c r="CO139" s="946"/>
    </row>
    <row r="140" spans="1:93">
      <c r="A140" s="946"/>
      <c r="B140" s="946"/>
      <c r="C140" s="946"/>
      <c r="D140" s="946"/>
      <c r="E140" s="946"/>
      <c r="F140" s="946"/>
      <c r="G140" s="946"/>
      <c r="H140" s="946"/>
      <c r="I140" s="946"/>
      <c r="J140" s="946"/>
      <c r="K140" s="946"/>
      <c r="L140" s="946"/>
      <c r="M140" s="946"/>
      <c r="N140" s="946"/>
      <c r="O140" s="946"/>
      <c r="P140" s="946"/>
      <c r="Q140" s="946"/>
      <c r="R140" s="946"/>
      <c r="S140" s="946"/>
      <c r="T140" s="946"/>
      <c r="U140" s="946"/>
      <c r="V140" s="946"/>
      <c r="W140" s="946"/>
      <c r="X140" s="946"/>
      <c r="Y140" s="946"/>
      <c r="Z140" s="946"/>
      <c r="AA140" s="946"/>
      <c r="AB140" s="946"/>
      <c r="AC140" s="946"/>
      <c r="AD140" s="946"/>
      <c r="AE140" s="946"/>
      <c r="AF140" s="946"/>
      <c r="AG140" s="946"/>
      <c r="AH140" s="946"/>
      <c r="AI140" s="946"/>
      <c r="AJ140" s="946"/>
      <c r="AK140" s="946"/>
      <c r="AL140" s="946"/>
      <c r="AM140" s="946"/>
      <c r="AN140" s="946"/>
      <c r="AO140" s="946"/>
      <c r="AP140" s="946"/>
      <c r="AQ140" s="946"/>
      <c r="AR140" s="946"/>
      <c r="AS140" s="946"/>
      <c r="AT140" s="946"/>
      <c r="AU140" s="946"/>
      <c r="AV140" s="946"/>
      <c r="AW140" s="946"/>
      <c r="AX140" s="946"/>
      <c r="AY140" s="946"/>
      <c r="AZ140" s="946"/>
      <c r="BA140" s="946"/>
      <c r="BB140" s="946"/>
      <c r="BC140" s="946"/>
      <c r="BD140" s="946"/>
      <c r="BE140" s="946"/>
      <c r="BF140" s="946"/>
      <c r="BG140" s="946"/>
      <c r="BH140" s="946"/>
      <c r="BI140" s="946"/>
      <c r="BJ140" s="946"/>
      <c r="BK140" s="946"/>
      <c r="BL140" s="946"/>
      <c r="BM140" s="946"/>
      <c r="BN140" s="946"/>
      <c r="BO140" s="946"/>
      <c r="BP140" s="946"/>
      <c r="BQ140" s="946"/>
      <c r="BR140" s="946"/>
      <c r="BS140" s="946"/>
      <c r="BT140" s="946"/>
      <c r="BU140" s="946"/>
      <c r="BV140" s="946"/>
      <c r="BW140" s="946"/>
      <c r="BX140" s="946"/>
      <c r="BY140" s="946"/>
      <c r="BZ140" s="946"/>
      <c r="CA140" s="946"/>
      <c r="CB140" s="946"/>
      <c r="CC140" s="946"/>
      <c r="CD140" s="946"/>
      <c r="CE140" s="946"/>
      <c r="CF140" s="946"/>
      <c r="CG140" s="946"/>
      <c r="CH140" s="946"/>
      <c r="CI140" s="946"/>
      <c r="CJ140" s="946"/>
      <c r="CK140" s="946"/>
      <c r="CL140" s="1398"/>
      <c r="CM140" s="946"/>
      <c r="CN140" s="946"/>
      <c r="CO140" s="946"/>
    </row>
    <row r="141" spans="1:93">
      <c r="A141" s="946"/>
      <c r="B141" s="946"/>
      <c r="C141" s="946"/>
      <c r="D141" s="946"/>
      <c r="E141" s="946"/>
      <c r="F141" s="946"/>
      <c r="G141" s="946"/>
      <c r="H141" s="946"/>
      <c r="I141" s="946"/>
      <c r="J141" s="946"/>
      <c r="K141" s="946"/>
      <c r="L141" s="946"/>
      <c r="M141" s="946"/>
      <c r="N141" s="946"/>
      <c r="O141" s="946"/>
      <c r="P141" s="946"/>
      <c r="Q141" s="946"/>
      <c r="R141" s="946"/>
      <c r="S141" s="946"/>
      <c r="T141" s="946"/>
      <c r="U141" s="946"/>
      <c r="V141" s="946"/>
      <c r="W141" s="946"/>
      <c r="X141" s="946"/>
      <c r="Y141" s="946"/>
      <c r="Z141" s="946"/>
      <c r="AA141" s="946"/>
      <c r="AB141" s="946"/>
      <c r="AC141" s="946"/>
      <c r="AD141" s="946"/>
      <c r="AE141" s="946"/>
      <c r="AF141" s="946"/>
      <c r="AG141" s="946"/>
      <c r="AH141" s="946"/>
      <c r="AI141" s="946"/>
      <c r="AJ141" s="946"/>
      <c r="AK141" s="946"/>
      <c r="AL141" s="946"/>
      <c r="AM141" s="946"/>
      <c r="AN141" s="946"/>
      <c r="AO141" s="946"/>
      <c r="AP141" s="946"/>
      <c r="AQ141" s="946"/>
      <c r="AR141" s="946"/>
      <c r="AS141" s="946"/>
      <c r="AT141" s="946"/>
      <c r="AU141" s="946"/>
      <c r="AV141" s="946"/>
      <c r="AW141" s="946"/>
      <c r="AX141" s="946"/>
      <c r="AY141" s="946"/>
      <c r="AZ141" s="946"/>
      <c r="BA141" s="946"/>
      <c r="BB141" s="946"/>
      <c r="BC141" s="946"/>
      <c r="BD141" s="946"/>
      <c r="BE141" s="946"/>
      <c r="BF141" s="946"/>
      <c r="BG141" s="946"/>
      <c r="BH141" s="946"/>
      <c r="BI141" s="946"/>
      <c r="BJ141" s="946"/>
      <c r="BK141" s="946"/>
      <c r="BL141" s="946"/>
      <c r="BM141" s="946"/>
      <c r="BN141" s="946"/>
      <c r="BO141" s="946"/>
      <c r="BP141" s="946"/>
      <c r="BQ141" s="946"/>
      <c r="BR141" s="946"/>
      <c r="BS141" s="946"/>
      <c r="BT141" s="946"/>
      <c r="BU141" s="946"/>
      <c r="BV141" s="946"/>
      <c r="BW141" s="946"/>
      <c r="BX141" s="946"/>
      <c r="BY141" s="946"/>
      <c r="BZ141" s="946"/>
      <c r="CA141" s="946"/>
      <c r="CB141" s="946"/>
      <c r="CC141" s="946"/>
      <c r="CD141" s="946"/>
      <c r="CE141" s="946"/>
      <c r="CF141" s="946"/>
      <c r="CG141" s="946"/>
      <c r="CH141" s="946"/>
      <c r="CI141" s="946"/>
      <c r="CJ141" s="946"/>
      <c r="CK141" s="946"/>
      <c r="CL141" s="1398"/>
      <c r="CM141" s="946"/>
      <c r="CN141" s="946"/>
      <c r="CO141" s="946"/>
    </row>
    <row r="142" spans="1:93">
      <c r="A142" s="946"/>
      <c r="B142" s="946"/>
      <c r="C142" s="946"/>
      <c r="D142" s="946"/>
      <c r="E142" s="946"/>
      <c r="F142" s="946"/>
      <c r="G142" s="946"/>
      <c r="H142" s="946"/>
      <c r="I142" s="946"/>
      <c r="J142" s="946"/>
      <c r="K142" s="946"/>
      <c r="L142" s="946"/>
      <c r="M142" s="946"/>
      <c r="N142" s="946"/>
      <c r="O142" s="946"/>
      <c r="P142" s="946"/>
      <c r="Q142" s="946"/>
      <c r="R142" s="946"/>
      <c r="S142" s="946"/>
      <c r="T142" s="946"/>
      <c r="U142" s="946"/>
      <c r="V142" s="946"/>
      <c r="W142" s="946"/>
      <c r="X142" s="946"/>
      <c r="Y142" s="946"/>
      <c r="Z142" s="946"/>
      <c r="AA142" s="946"/>
      <c r="AB142" s="946"/>
      <c r="AC142" s="946"/>
      <c r="AD142" s="946"/>
      <c r="AE142" s="946"/>
      <c r="AF142" s="946"/>
      <c r="AG142" s="946"/>
      <c r="AH142" s="946"/>
      <c r="AI142" s="946"/>
      <c r="AJ142" s="946"/>
      <c r="AK142" s="946"/>
      <c r="AL142" s="946"/>
      <c r="AM142" s="946"/>
      <c r="AN142" s="946"/>
      <c r="AO142" s="946"/>
      <c r="AP142" s="946"/>
      <c r="AQ142" s="946"/>
      <c r="AR142" s="946"/>
      <c r="AS142" s="946"/>
      <c r="AT142" s="946"/>
      <c r="AU142" s="946"/>
      <c r="AV142" s="946"/>
      <c r="AW142" s="946"/>
      <c r="AX142" s="946"/>
      <c r="AY142" s="946"/>
      <c r="AZ142" s="946"/>
      <c r="BA142" s="946"/>
      <c r="BB142" s="946"/>
      <c r="BC142" s="946"/>
      <c r="BD142" s="946"/>
      <c r="BE142" s="946"/>
      <c r="BF142" s="946"/>
      <c r="BG142" s="946"/>
      <c r="BH142" s="946"/>
      <c r="BI142" s="946"/>
      <c r="BJ142" s="946"/>
      <c r="BK142" s="946"/>
      <c r="BL142" s="946"/>
      <c r="BM142" s="946"/>
      <c r="BN142" s="946"/>
      <c r="BO142" s="946"/>
      <c r="BP142" s="946"/>
      <c r="BQ142" s="946"/>
      <c r="BR142" s="946"/>
      <c r="BS142" s="946"/>
      <c r="BT142" s="946"/>
      <c r="BU142" s="946"/>
      <c r="BV142" s="946"/>
      <c r="BW142" s="946"/>
      <c r="BX142" s="946"/>
      <c r="BY142" s="946"/>
      <c r="BZ142" s="946"/>
      <c r="CA142" s="946"/>
      <c r="CB142" s="946"/>
      <c r="CC142" s="946"/>
      <c r="CD142" s="946"/>
      <c r="CE142" s="946"/>
      <c r="CF142" s="946"/>
      <c r="CG142" s="946"/>
      <c r="CH142" s="946"/>
      <c r="CI142" s="946"/>
      <c r="CJ142" s="946"/>
      <c r="CK142" s="946"/>
      <c r="CL142" s="1398"/>
      <c r="CM142" s="946"/>
      <c r="CN142" s="946"/>
      <c r="CO142" s="946"/>
    </row>
    <row r="143" spans="1:93">
      <c r="A143" s="946"/>
      <c r="B143" s="946"/>
      <c r="C143" s="946"/>
      <c r="D143" s="946"/>
      <c r="E143" s="946"/>
      <c r="F143" s="946"/>
      <c r="G143" s="946"/>
      <c r="H143" s="946"/>
      <c r="I143" s="946"/>
      <c r="J143" s="946"/>
      <c r="K143" s="946"/>
      <c r="L143" s="946"/>
      <c r="M143" s="946"/>
      <c r="N143" s="946"/>
      <c r="O143" s="946"/>
      <c r="P143" s="946"/>
      <c r="Q143" s="946"/>
      <c r="R143" s="946"/>
      <c r="S143" s="946"/>
      <c r="T143" s="946"/>
      <c r="U143" s="946"/>
      <c r="V143" s="946"/>
      <c r="W143" s="946"/>
      <c r="X143" s="946"/>
      <c r="Y143" s="946"/>
      <c r="Z143" s="946"/>
      <c r="AA143" s="946"/>
      <c r="AB143" s="946"/>
      <c r="AC143" s="946"/>
      <c r="AD143" s="946"/>
      <c r="AE143" s="946"/>
      <c r="AF143" s="946"/>
      <c r="AG143" s="946"/>
      <c r="AH143" s="946"/>
      <c r="AI143" s="946"/>
      <c r="AJ143" s="946"/>
      <c r="AK143" s="946"/>
      <c r="AL143" s="946"/>
      <c r="AM143" s="946"/>
      <c r="AN143" s="946"/>
      <c r="AO143" s="946"/>
      <c r="AP143" s="946"/>
      <c r="AQ143" s="946"/>
      <c r="AR143" s="946"/>
      <c r="AS143" s="946"/>
      <c r="AT143" s="946"/>
      <c r="AU143" s="946"/>
      <c r="AV143" s="946"/>
      <c r="AW143" s="946"/>
      <c r="AX143" s="946"/>
      <c r="AY143" s="946"/>
      <c r="AZ143" s="946"/>
      <c r="BA143" s="946"/>
      <c r="BB143" s="946"/>
      <c r="BC143" s="946"/>
      <c r="BD143" s="946"/>
      <c r="BE143" s="946"/>
      <c r="BF143" s="946"/>
      <c r="BG143" s="946"/>
      <c r="BH143" s="946"/>
      <c r="BI143" s="946"/>
      <c r="BJ143" s="946"/>
      <c r="BK143" s="946"/>
      <c r="BL143" s="946"/>
      <c r="BM143" s="946"/>
      <c r="BN143" s="946"/>
      <c r="BO143" s="946"/>
      <c r="BP143" s="946"/>
      <c r="BQ143" s="946"/>
      <c r="BR143" s="946"/>
      <c r="BS143" s="946"/>
      <c r="BT143" s="946"/>
      <c r="BU143" s="946"/>
      <c r="BV143" s="946"/>
      <c r="BW143" s="946"/>
      <c r="BX143" s="946"/>
      <c r="BY143" s="946"/>
      <c r="BZ143" s="946"/>
      <c r="CA143" s="946"/>
      <c r="CB143" s="946"/>
      <c r="CC143" s="946"/>
      <c r="CD143" s="946"/>
      <c r="CE143" s="946"/>
      <c r="CF143" s="946"/>
      <c r="CG143" s="946"/>
      <c r="CH143" s="946"/>
      <c r="CI143" s="946"/>
      <c r="CJ143" s="946"/>
      <c r="CK143" s="946"/>
      <c r="CL143" s="1398"/>
      <c r="CM143" s="946"/>
      <c r="CN143" s="946"/>
      <c r="CO143" s="946"/>
    </row>
    <row r="144" spans="1:93">
      <c r="A144" s="946"/>
      <c r="B144" s="946"/>
      <c r="C144" s="946"/>
      <c r="D144" s="946"/>
      <c r="E144" s="946"/>
      <c r="F144" s="946"/>
      <c r="G144" s="946"/>
      <c r="H144" s="946"/>
      <c r="I144" s="946"/>
      <c r="J144" s="946"/>
      <c r="K144" s="946"/>
      <c r="L144" s="946"/>
      <c r="M144" s="946"/>
      <c r="N144" s="946"/>
      <c r="O144" s="946"/>
      <c r="P144" s="946"/>
      <c r="Q144" s="946"/>
      <c r="R144" s="946"/>
      <c r="S144" s="946"/>
      <c r="T144" s="946"/>
      <c r="U144" s="946"/>
      <c r="V144" s="946"/>
      <c r="W144" s="946"/>
      <c r="X144" s="946"/>
      <c r="Y144" s="946"/>
      <c r="Z144" s="946"/>
      <c r="AA144" s="946"/>
      <c r="AB144" s="946"/>
      <c r="AC144" s="946"/>
      <c r="AD144" s="946"/>
      <c r="AE144" s="946"/>
      <c r="AF144" s="946"/>
      <c r="AG144" s="946"/>
      <c r="AH144" s="946"/>
      <c r="AI144" s="946"/>
      <c r="AJ144" s="946"/>
      <c r="AK144" s="946"/>
      <c r="AL144" s="946"/>
      <c r="AM144" s="946"/>
      <c r="AN144" s="946"/>
      <c r="AO144" s="946"/>
      <c r="AP144" s="946"/>
      <c r="AQ144" s="946"/>
      <c r="AR144" s="946"/>
      <c r="AS144" s="946"/>
      <c r="AT144" s="946"/>
      <c r="AU144" s="946"/>
      <c r="AV144" s="946"/>
      <c r="AW144" s="946"/>
      <c r="AX144" s="946"/>
      <c r="AY144" s="946"/>
      <c r="AZ144" s="946"/>
      <c r="BA144" s="946"/>
      <c r="BB144" s="946"/>
      <c r="BC144" s="946"/>
      <c r="BD144" s="946"/>
      <c r="BE144" s="946"/>
      <c r="BF144" s="946"/>
      <c r="BG144" s="946"/>
      <c r="BH144" s="946"/>
      <c r="BI144" s="946"/>
      <c r="BJ144" s="946"/>
      <c r="BK144" s="946"/>
      <c r="BL144" s="946"/>
      <c r="BM144" s="946"/>
      <c r="BN144" s="946"/>
      <c r="BO144" s="946"/>
      <c r="BP144" s="946"/>
      <c r="BQ144" s="946"/>
      <c r="BR144" s="946"/>
      <c r="BS144" s="946"/>
      <c r="BT144" s="946"/>
      <c r="BU144" s="946"/>
      <c r="BV144" s="946"/>
      <c r="BW144" s="946"/>
      <c r="BX144" s="946"/>
      <c r="BY144" s="946"/>
      <c r="BZ144" s="946"/>
      <c r="CA144" s="946"/>
      <c r="CB144" s="946"/>
      <c r="CC144" s="946"/>
      <c r="CD144" s="946"/>
      <c r="CE144" s="946"/>
      <c r="CF144" s="946"/>
      <c r="CG144" s="946"/>
      <c r="CH144" s="946"/>
      <c r="CI144" s="946"/>
      <c r="CJ144" s="946"/>
      <c r="CK144" s="946"/>
      <c r="CL144" s="1398"/>
      <c r="CM144" s="946"/>
      <c r="CN144" s="946"/>
      <c r="CO144" s="946"/>
    </row>
    <row r="145" spans="1:93">
      <c r="A145" s="946"/>
      <c r="B145" s="946"/>
      <c r="C145" s="946"/>
      <c r="D145" s="946"/>
      <c r="E145" s="946"/>
      <c r="F145" s="946"/>
      <c r="G145" s="946"/>
      <c r="H145" s="946"/>
      <c r="I145" s="946"/>
      <c r="J145" s="946"/>
      <c r="K145" s="946"/>
      <c r="L145" s="946"/>
      <c r="M145" s="946"/>
      <c r="N145" s="946"/>
      <c r="O145" s="946"/>
      <c r="P145" s="946"/>
      <c r="Q145" s="946"/>
      <c r="R145" s="946"/>
      <c r="S145" s="946"/>
      <c r="T145" s="946"/>
      <c r="U145" s="946"/>
      <c r="V145" s="946"/>
      <c r="W145" s="946"/>
      <c r="X145" s="946"/>
      <c r="Y145" s="946"/>
      <c r="Z145" s="946"/>
      <c r="AA145" s="946"/>
      <c r="AB145" s="946"/>
      <c r="AC145" s="946"/>
      <c r="AD145" s="946"/>
      <c r="AE145" s="946"/>
      <c r="AF145" s="946"/>
      <c r="AG145" s="946"/>
      <c r="AH145" s="946"/>
      <c r="AI145" s="946"/>
      <c r="AJ145" s="946"/>
      <c r="AK145" s="946"/>
      <c r="AL145" s="946"/>
      <c r="AM145" s="946"/>
      <c r="AN145" s="946"/>
      <c r="AO145" s="946"/>
      <c r="AP145" s="946"/>
      <c r="AQ145" s="946"/>
      <c r="AR145" s="946"/>
      <c r="AS145" s="946"/>
      <c r="AT145" s="946"/>
      <c r="AU145" s="946"/>
      <c r="AV145" s="946"/>
      <c r="AW145" s="946"/>
      <c r="AX145" s="946"/>
      <c r="AY145" s="946"/>
      <c r="AZ145" s="946"/>
      <c r="BA145" s="946"/>
      <c r="BB145" s="946"/>
      <c r="BC145" s="946"/>
      <c r="BD145" s="946"/>
      <c r="BE145" s="946"/>
      <c r="BF145" s="946"/>
      <c r="BG145" s="946"/>
      <c r="BH145" s="946"/>
      <c r="BI145" s="946"/>
      <c r="BJ145" s="946"/>
      <c r="BK145" s="946"/>
      <c r="BL145" s="946"/>
      <c r="BM145" s="946"/>
      <c r="BN145" s="946"/>
      <c r="BO145" s="946"/>
      <c r="BP145" s="946"/>
      <c r="BQ145" s="946"/>
      <c r="BR145" s="946"/>
      <c r="BS145" s="946"/>
      <c r="BT145" s="946"/>
      <c r="BU145" s="946"/>
      <c r="BV145" s="946"/>
      <c r="BW145" s="946"/>
      <c r="BX145" s="946"/>
      <c r="BY145" s="946"/>
      <c r="BZ145" s="946"/>
      <c r="CA145" s="946"/>
      <c r="CB145" s="946"/>
      <c r="CC145" s="946"/>
      <c r="CD145" s="946"/>
      <c r="CE145" s="946"/>
      <c r="CF145" s="946"/>
      <c r="CG145" s="946"/>
      <c r="CH145" s="946"/>
      <c r="CI145" s="946"/>
      <c r="CJ145" s="946"/>
      <c r="CK145" s="946"/>
      <c r="CL145" s="1398"/>
      <c r="CM145" s="946"/>
      <c r="CN145" s="946"/>
      <c r="CO145" s="946"/>
    </row>
    <row r="146" spans="1:93">
      <c r="A146" s="946"/>
      <c r="B146" s="946"/>
      <c r="C146" s="946"/>
      <c r="D146" s="946"/>
      <c r="E146" s="946"/>
      <c r="F146" s="946"/>
      <c r="G146" s="946"/>
      <c r="H146" s="946"/>
      <c r="I146" s="946"/>
      <c r="J146" s="946"/>
      <c r="K146" s="946"/>
      <c r="L146" s="946"/>
      <c r="M146" s="946"/>
      <c r="N146" s="946"/>
      <c r="O146" s="946"/>
      <c r="P146" s="946"/>
      <c r="Q146" s="946"/>
      <c r="R146" s="946"/>
      <c r="S146" s="946"/>
      <c r="T146" s="946"/>
      <c r="U146" s="946"/>
      <c r="V146" s="946"/>
      <c r="W146" s="946"/>
      <c r="X146" s="946"/>
      <c r="Y146" s="946"/>
      <c r="Z146" s="946"/>
      <c r="AA146" s="946"/>
      <c r="AB146" s="946"/>
      <c r="AC146" s="946"/>
      <c r="AD146" s="946"/>
      <c r="AE146" s="946"/>
      <c r="AF146" s="946"/>
      <c r="AG146" s="946"/>
      <c r="AH146" s="946"/>
      <c r="AI146" s="946"/>
      <c r="AJ146" s="946"/>
      <c r="AK146" s="946"/>
      <c r="AL146" s="946"/>
      <c r="AM146" s="946"/>
      <c r="AN146" s="946"/>
      <c r="AO146" s="946"/>
      <c r="AP146" s="946"/>
      <c r="AQ146" s="946"/>
      <c r="AR146" s="946"/>
      <c r="AS146" s="946"/>
      <c r="AT146" s="946"/>
      <c r="AU146" s="946"/>
      <c r="AV146" s="946"/>
      <c r="AW146" s="946"/>
      <c r="AX146" s="946"/>
      <c r="AY146" s="946"/>
      <c r="AZ146" s="946"/>
      <c r="BA146" s="946"/>
      <c r="BB146" s="946"/>
      <c r="BC146" s="946"/>
      <c r="BD146" s="946"/>
      <c r="BE146" s="946"/>
      <c r="BF146" s="946"/>
      <c r="BG146" s="946"/>
      <c r="BH146" s="946"/>
      <c r="BI146" s="946"/>
      <c r="BJ146" s="946"/>
      <c r="BK146" s="946"/>
      <c r="BL146" s="946"/>
      <c r="BM146" s="946"/>
      <c r="BN146" s="946"/>
      <c r="BO146" s="946"/>
      <c r="BP146" s="946"/>
      <c r="BQ146" s="946"/>
      <c r="BR146" s="946"/>
      <c r="BS146" s="946"/>
      <c r="BT146" s="946"/>
      <c r="BU146" s="946"/>
      <c r="BV146" s="946"/>
      <c r="BW146" s="946"/>
      <c r="BX146" s="946"/>
      <c r="BY146" s="946"/>
      <c r="BZ146" s="946"/>
      <c r="CA146" s="946"/>
      <c r="CB146" s="946"/>
      <c r="CC146" s="946"/>
      <c r="CD146" s="946"/>
      <c r="CE146" s="946"/>
      <c r="CF146" s="946"/>
      <c r="CG146" s="946"/>
      <c r="CH146" s="946"/>
      <c r="CI146" s="946"/>
      <c r="CJ146" s="946"/>
      <c r="CK146" s="946"/>
      <c r="CL146" s="1398"/>
      <c r="CM146" s="946"/>
      <c r="CN146" s="946"/>
      <c r="CO146" s="946"/>
    </row>
    <row r="147" spans="1:93">
      <c r="A147" s="946"/>
      <c r="B147" s="946"/>
      <c r="C147" s="946"/>
      <c r="D147" s="946"/>
      <c r="E147" s="946"/>
      <c r="F147" s="946"/>
      <c r="G147" s="946"/>
      <c r="H147" s="946"/>
      <c r="I147" s="946"/>
      <c r="J147" s="946"/>
      <c r="K147" s="946"/>
      <c r="L147" s="946"/>
      <c r="M147" s="946"/>
      <c r="N147" s="946"/>
      <c r="O147" s="946"/>
      <c r="P147" s="946"/>
      <c r="Q147" s="946"/>
      <c r="R147" s="946"/>
      <c r="S147" s="946"/>
      <c r="T147" s="946"/>
      <c r="U147" s="946"/>
      <c r="V147" s="946"/>
      <c r="W147" s="946"/>
      <c r="X147" s="946"/>
      <c r="Y147" s="946"/>
      <c r="Z147" s="946"/>
      <c r="AA147" s="946"/>
      <c r="AB147" s="946"/>
      <c r="AC147" s="946"/>
      <c r="AD147" s="946"/>
      <c r="AE147" s="946"/>
      <c r="AF147" s="946"/>
      <c r="AG147" s="946"/>
      <c r="AH147" s="946"/>
      <c r="AI147" s="946"/>
      <c r="AJ147" s="946"/>
      <c r="AK147" s="946"/>
      <c r="AL147" s="946"/>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1398"/>
      <c r="CM147" s="946"/>
      <c r="CN147" s="946"/>
      <c r="CO147" s="946"/>
    </row>
    <row r="148" spans="1:93">
      <c r="A148" s="946"/>
      <c r="B148" s="946"/>
      <c r="C148" s="946"/>
      <c r="D148" s="946"/>
      <c r="E148" s="946"/>
      <c r="F148" s="946"/>
      <c r="G148" s="946"/>
      <c r="H148" s="946"/>
      <c r="I148" s="946"/>
      <c r="J148" s="946"/>
      <c r="K148" s="946"/>
      <c r="L148" s="946"/>
      <c r="M148" s="946"/>
      <c r="N148" s="946"/>
      <c r="O148" s="946"/>
      <c r="P148" s="946"/>
      <c r="Q148" s="946"/>
      <c r="R148" s="946"/>
      <c r="S148" s="946"/>
      <c r="T148" s="946"/>
      <c r="U148" s="946"/>
      <c r="V148" s="946"/>
      <c r="W148" s="946"/>
      <c r="X148" s="946"/>
      <c r="Y148" s="946"/>
      <c r="Z148" s="946"/>
      <c r="AA148" s="946"/>
      <c r="AB148" s="946"/>
      <c r="AC148" s="946"/>
      <c r="AD148" s="946"/>
      <c r="AE148" s="946"/>
      <c r="AF148" s="946"/>
      <c r="AG148" s="946"/>
      <c r="AH148" s="946"/>
      <c r="AI148" s="946"/>
      <c r="AJ148" s="946"/>
      <c r="AK148" s="946"/>
      <c r="AL148" s="946"/>
      <c r="AM148" s="946"/>
      <c r="AN148" s="946"/>
      <c r="AO148" s="946"/>
      <c r="AP148" s="946"/>
      <c r="AQ148" s="946"/>
      <c r="AR148" s="946"/>
      <c r="AS148" s="946"/>
      <c r="AT148" s="946"/>
      <c r="AU148" s="946"/>
      <c r="AV148" s="946"/>
      <c r="AW148" s="946"/>
      <c r="AX148" s="946"/>
      <c r="AY148" s="946"/>
      <c r="AZ148" s="946"/>
      <c r="BA148" s="946"/>
      <c r="BB148" s="946"/>
      <c r="BC148" s="946"/>
      <c r="BD148" s="946"/>
      <c r="BE148" s="946"/>
      <c r="BF148" s="946"/>
      <c r="BG148" s="946"/>
      <c r="BH148" s="946"/>
      <c r="BI148" s="946"/>
      <c r="BJ148" s="946"/>
      <c r="BK148" s="946"/>
      <c r="BL148" s="946"/>
      <c r="BM148" s="946"/>
      <c r="BN148" s="946"/>
      <c r="BO148" s="946"/>
      <c r="BP148" s="946"/>
      <c r="BQ148" s="946"/>
      <c r="BR148" s="946"/>
      <c r="BS148" s="946"/>
      <c r="BT148" s="946"/>
      <c r="BU148" s="946"/>
      <c r="BV148" s="946"/>
      <c r="BW148" s="946"/>
      <c r="BX148" s="946"/>
      <c r="BY148" s="946"/>
      <c r="BZ148" s="946"/>
      <c r="CA148" s="946"/>
      <c r="CB148" s="946"/>
      <c r="CC148" s="946"/>
      <c r="CD148" s="946"/>
      <c r="CE148" s="946"/>
      <c r="CF148" s="946"/>
      <c r="CG148" s="946"/>
      <c r="CH148" s="946"/>
      <c r="CI148" s="946"/>
      <c r="CJ148" s="946"/>
      <c r="CK148" s="946"/>
      <c r="CL148" s="1398"/>
      <c r="CM148" s="946"/>
      <c r="CN148" s="946"/>
      <c r="CO148" s="946"/>
    </row>
    <row r="149" spans="1:93">
      <c r="A149" s="946"/>
      <c r="B149" s="946"/>
      <c r="C149" s="946"/>
      <c r="D149" s="946"/>
      <c r="E149" s="946"/>
      <c r="F149" s="946"/>
      <c r="G149" s="946"/>
      <c r="H149" s="946"/>
      <c r="I149" s="946"/>
      <c r="J149" s="946"/>
      <c r="K149" s="946"/>
      <c r="L149" s="946"/>
      <c r="M149" s="946"/>
      <c r="N149" s="946"/>
      <c r="O149" s="946"/>
      <c r="P149" s="946"/>
      <c r="Q149" s="946"/>
      <c r="R149" s="946"/>
      <c r="S149" s="946"/>
      <c r="T149" s="946"/>
      <c r="U149" s="946"/>
      <c r="V149" s="946"/>
      <c r="W149" s="946"/>
      <c r="X149" s="946"/>
      <c r="Y149" s="946"/>
      <c r="Z149" s="946"/>
      <c r="AA149" s="946"/>
      <c r="AB149" s="946"/>
      <c r="AC149" s="946"/>
      <c r="AD149" s="946"/>
      <c r="AE149" s="946"/>
      <c r="AF149" s="946"/>
      <c r="AG149" s="946"/>
      <c r="AH149" s="946"/>
      <c r="AI149" s="946"/>
      <c r="AJ149" s="946"/>
      <c r="AK149" s="946"/>
      <c r="AL149" s="946"/>
      <c r="AM149" s="946"/>
      <c r="AN149" s="946"/>
      <c r="AO149" s="946"/>
      <c r="AP149" s="946"/>
      <c r="AQ149" s="946"/>
      <c r="AR149" s="946"/>
      <c r="AS149" s="946"/>
      <c r="AT149" s="946"/>
      <c r="AU149" s="946"/>
      <c r="AV149" s="946"/>
      <c r="AW149" s="946"/>
      <c r="AX149" s="946"/>
      <c r="AY149" s="946"/>
      <c r="AZ149" s="946"/>
      <c r="BA149" s="946"/>
      <c r="BB149" s="946"/>
      <c r="BC149" s="946"/>
      <c r="BD149" s="946"/>
      <c r="BE149" s="946"/>
      <c r="BF149" s="946"/>
      <c r="BG149" s="946"/>
      <c r="BH149" s="946"/>
      <c r="BI149" s="946"/>
      <c r="BJ149" s="946"/>
      <c r="BK149" s="946"/>
      <c r="BL149" s="946"/>
      <c r="BM149" s="946"/>
      <c r="BN149" s="946"/>
      <c r="BO149" s="946"/>
      <c r="BP149" s="946"/>
      <c r="BQ149" s="946"/>
      <c r="BR149" s="946"/>
      <c r="BS149" s="946"/>
      <c r="BT149" s="946"/>
      <c r="BU149" s="946"/>
      <c r="BV149" s="946"/>
      <c r="BW149" s="946"/>
      <c r="BX149" s="946"/>
      <c r="BY149" s="946"/>
      <c r="BZ149" s="946"/>
      <c r="CA149" s="946"/>
      <c r="CB149" s="946"/>
      <c r="CC149" s="946"/>
      <c r="CD149" s="946"/>
      <c r="CE149" s="946"/>
      <c r="CF149" s="946"/>
      <c r="CG149" s="946"/>
      <c r="CH149" s="946"/>
      <c r="CI149" s="946"/>
      <c r="CJ149" s="946"/>
      <c r="CK149" s="946"/>
      <c r="CL149" s="1398"/>
      <c r="CM149" s="946"/>
      <c r="CN149" s="946"/>
      <c r="CO149" s="946"/>
    </row>
    <row r="150" spans="1:93" ht="12.75" customHeight="1">
      <c r="A150" s="1198"/>
      <c r="B150" s="1198"/>
      <c r="C150" s="1198"/>
      <c r="D150" s="1198"/>
      <c r="E150" s="1198"/>
      <c r="F150" s="1198"/>
      <c r="G150" s="1198"/>
      <c r="H150" s="1198"/>
      <c r="I150" s="1198"/>
      <c r="J150" s="1198"/>
      <c r="K150" s="1198"/>
      <c r="L150" s="1198"/>
      <c r="M150" s="1198"/>
      <c r="N150" s="1198"/>
      <c r="O150" s="1198"/>
      <c r="P150" s="1198"/>
      <c r="Q150" s="1198"/>
      <c r="R150" s="1198"/>
      <c r="S150" s="1198"/>
      <c r="T150" s="1198"/>
      <c r="U150" s="1389"/>
      <c r="V150" s="1198"/>
      <c r="W150" s="1198"/>
      <c r="X150" s="1198"/>
      <c r="Y150" s="1198"/>
      <c r="Z150" s="1198"/>
      <c r="AA150" s="1198"/>
      <c r="AB150" s="1198"/>
      <c r="AC150" s="1198"/>
      <c r="AD150" s="1198"/>
      <c r="AE150" s="1198"/>
      <c r="AF150" s="1198"/>
      <c r="AG150" s="1198"/>
      <c r="AH150" s="1198"/>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77"/>
      <c r="CJ150" s="1198"/>
      <c r="CK150" s="1389"/>
      <c r="CL150" s="1399"/>
      <c r="CM150" s="1198"/>
      <c r="CN150" s="1198"/>
      <c r="CO150" s="1198"/>
    </row>
    <row r="151" spans="1:93" ht="12.75" customHeight="1">
      <c r="A151" s="1141" t="s">
        <v>562</v>
      </c>
      <c r="B151" s="1141"/>
      <c r="C151" s="1141"/>
      <c r="D151" s="1141"/>
      <c r="E151" s="1141"/>
      <c r="F151" s="1141"/>
      <c r="G151" s="1141"/>
      <c r="H151" s="1141"/>
      <c r="I151" s="1141"/>
      <c r="J151" s="1141"/>
      <c r="K151" s="1141"/>
      <c r="L151" s="1141"/>
      <c r="M151" s="1141"/>
      <c r="N151" s="1141"/>
      <c r="O151" s="1141"/>
      <c r="P151" s="1141"/>
      <c r="Q151" s="1390">
        <v>0</v>
      </c>
      <c r="R151" s="1773">
        <v>0</v>
      </c>
      <c r="S151" s="1390">
        <v>153.8125</v>
      </c>
      <c r="T151" s="1390">
        <v>379.5</v>
      </c>
      <c r="U151" s="1390">
        <v>575</v>
      </c>
      <c r="V151" s="1390">
        <v>575</v>
      </c>
      <c r="W151" s="1390">
        <v>575</v>
      </c>
      <c r="X151" s="1141"/>
      <c r="Y151" s="1141"/>
      <c r="Z151" s="1141"/>
      <c r="AA151" s="1141"/>
      <c r="AB151" s="1141"/>
      <c r="AC151" s="1141"/>
      <c r="AD151" s="1141"/>
      <c r="AE151" s="1141"/>
      <c r="AF151" s="1141"/>
      <c r="AG151" s="1141"/>
      <c r="AH151" s="1141"/>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390">
        <v>0</v>
      </c>
      <c r="CE151" s="1390">
        <v>0</v>
      </c>
      <c r="CF151" s="1390">
        <v>0</v>
      </c>
      <c r="CG151" s="1390">
        <v>0</v>
      </c>
      <c r="CH151" s="1390">
        <v>0</v>
      </c>
      <c r="CI151" s="1390">
        <v>0</v>
      </c>
      <c r="CJ151" s="1390">
        <v>0</v>
      </c>
      <c r="CK151" s="1390">
        <v>0</v>
      </c>
      <c r="CL151" s="1391">
        <v>0</v>
      </c>
      <c r="CM151" s="1390">
        <v>31.625</v>
      </c>
      <c r="CN151" s="1390">
        <v>57.5</v>
      </c>
      <c r="CO151" s="1390">
        <v>64.6875</v>
      </c>
    </row>
    <row r="152" spans="1:93" ht="12.75" customHeight="1">
      <c r="A152" s="1392" t="s">
        <v>78</v>
      </c>
      <c r="B152" s="1198"/>
      <c r="C152" s="1198"/>
      <c r="D152" s="1198"/>
      <c r="E152" s="1198"/>
      <c r="F152" s="1198"/>
      <c r="G152" s="1198"/>
      <c r="H152" s="1198"/>
      <c r="I152" s="1198"/>
      <c r="J152" s="1198"/>
      <c r="K152" s="1198"/>
      <c r="L152" s="1198"/>
      <c r="M152" s="1198"/>
      <c r="N152" s="1198"/>
      <c r="O152" s="1198"/>
      <c r="P152" s="1198"/>
      <c r="Q152" s="1392">
        <v>0</v>
      </c>
      <c r="R152" s="1774">
        <v>0</v>
      </c>
      <c r="S152" s="1392">
        <v>0</v>
      </c>
      <c r="T152" s="1392">
        <v>0</v>
      </c>
      <c r="U152" s="1392">
        <v>0</v>
      </c>
      <c r="V152" s="1392">
        <v>0</v>
      </c>
      <c r="W152" s="1392">
        <v>0</v>
      </c>
      <c r="X152" s="1198"/>
      <c r="Y152" s="1198"/>
      <c r="Z152" s="1198"/>
      <c r="AA152" s="1198"/>
      <c r="AB152" s="1198"/>
      <c r="AC152" s="1198"/>
      <c r="AD152" s="1198"/>
      <c r="AE152" s="1198"/>
      <c r="AF152" s="1198"/>
      <c r="AG152" s="1198"/>
      <c r="AH152" s="1198"/>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392">
        <v>0</v>
      </c>
      <c r="CE152" s="1392">
        <v>0</v>
      </c>
      <c r="CF152" s="1392">
        <v>0</v>
      </c>
      <c r="CG152" s="1392">
        <v>0</v>
      </c>
      <c r="CH152" s="1392">
        <v>0</v>
      </c>
      <c r="CI152" s="1392">
        <v>0</v>
      </c>
      <c r="CJ152" s="1392">
        <v>0</v>
      </c>
      <c r="CK152" s="1392">
        <v>0</v>
      </c>
      <c r="CL152" s="1393">
        <v>0</v>
      </c>
      <c r="CM152" s="1392">
        <v>0</v>
      </c>
      <c r="CN152" s="1392">
        <v>0</v>
      </c>
      <c r="CO152" s="1392">
        <v>0</v>
      </c>
    </row>
    <row r="153" spans="1:93" ht="12.75" customHeight="1">
      <c r="A153" s="1392" t="s">
        <v>79</v>
      </c>
      <c r="B153" s="1198"/>
      <c r="C153" s="1198"/>
      <c r="D153" s="1198"/>
      <c r="E153" s="1198"/>
      <c r="F153" s="1198"/>
      <c r="G153" s="1198"/>
      <c r="H153" s="1198"/>
      <c r="I153" s="1198"/>
      <c r="J153" s="1198"/>
      <c r="K153" s="1198"/>
      <c r="L153" s="1198"/>
      <c r="M153" s="1198"/>
      <c r="N153" s="1198"/>
      <c r="O153" s="1198"/>
      <c r="P153" s="1198"/>
      <c r="Q153" s="1392">
        <v>0</v>
      </c>
      <c r="R153" s="1774">
        <v>0</v>
      </c>
      <c r="S153" s="1392">
        <v>575</v>
      </c>
      <c r="T153" s="1392">
        <v>575</v>
      </c>
      <c r="U153" s="1392">
        <v>575</v>
      </c>
      <c r="V153" s="1392">
        <v>575</v>
      </c>
      <c r="W153" s="1392">
        <v>575</v>
      </c>
      <c r="X153" s="1198"/>
      <c r="Y153" s="1198"/>
      <c r="Z153" s="1198"/>
      <c r="AA153" s="1198"/>
      <c r="AB153" s="1198"/>
      <c r="AC153" s="1198"/>
      <c r="AD153" s="1198"/>
      <c r="AE153" s="1198"/>
      <c r="AF153" s="1198"/>
      <c r="AG153" s="1198"/>
      <c r="AH153" s="1198"/>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v>70</v>
      </c>
      <c r="BW153" s="1198"/>
      <c r="BX153" s="1198"/>
      <c r="BY153" s="1198"/>
      <c r="BZ153" s="1198"/>
      <c r="CA153" s="1198"/>
      <c r="CB153" s="1198"/>
      <c r="CC153" s="1198"/>
      <c r="CD153" s="1394"/>
      <c r="CE153" s="1394"/>
      <c r="CF153" s="1394"/>
      <c r="CG153" s="1394"/>
      <c r="CH153" s="1394"/>
      <c r="CI153" s="1394"/>
      <c r="CJ153" s="1394"/>
      <c r="CK153" s="1394"/>
      <c r="CL153" s="1395">
        <v>143.75</v>
      </c>
      <c r="CM153" s="1394">
        <v>143.75</v>
      </c>
      <c r="CN153" s="1394">
        <v>143.75</v>
      </c>
      <c r="CO153" s="1394">
        <v>143.75</v>
      </c>
    </row>
    <row r="154" spans="1:93" ht="12.75" customHeight="1">
      <c r="A154" s="1392" t="s">
        <v>80</v>
      </c>
      <c r="B154" s="1198"/>
      <c r="C154" s="1198"/>
      <c r="D154" s="1198"/>
      <c r="E154" s="1198"/>
      <c r="F154" s="1198"/>
      <c r="G154" s="1198"/>
      <c r="H154" s="1198"/>
      <c r="I154" s="1198"/>
      <c r="J154" s="1198"/>
      <c r="K154" s="1198"/>
      <c r="L154" s="1198"/>
      <c r="M154" s="1198"/>
      <c r="N154" s="1198"/>
      <c r="O154" s="1198"/>
      <c r="P154" s="1198"/>
      <c r="Q154" s="1392">
        <v>0</v>
      </c>
      <c r="R154" s="1774">
        <v>0</v>
      </c>
      <c r="S154" s="1392">
        <v>188.671875</v>
      </c>
      <c r="T154" s="1392">
        <v>474.375</v>
      </c>
      <c r="U154" s="1392">
        <v>718.75</v>
      </c>
      <c r="V154" s="1392">
        <v>718.75</v>
      </c>
      <c r="W154" s="1392">
        <v>718.75</v>
      </c>
      <c r="X154" s="1198"/>
      <c r="Y154" s="1198"/>
      <c r="Z154" s="1198"/>
      <c r="AA154" s="1198"/>
      <c r="AB154" s="1198"/>
      <c r="AC154" s="1198"/>
      <c r="AD154" s="1198"/>
      <c r="AE154" s="1198"/>
      <c r="AF154" s="1198"/>
      <c r="AG154" s="1198"/>
      <c r="AH154" s="1198"/>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394"/>
      <c r="CE154" s="1394"/>
      <c r="CF154" s="1394"/>
      <c r="CG154" s="1394"/>
      <c r="CH154" s="1394"/>
      <c r="CI154" s="1394"/>
      <c r="CJ154" s="1394"/>
      <c r="CK154" s="1394"/>
      <c r="CL154" s="1393">
        <v>0</v>
      </c>
      <c r="CM154" s="1392">
        <v>35.9375</v>
      </c>
      <c r="CN154" s="1392">
        <v>71.875</v>
      </c>
      <c r="CO154" s="1392">
        <v>80.859375</v>
      </c>
    </row>
    <row r="155" spans="1:93" ht="12.75" customHeight="1">
      <c r="A155" s="1790" t="s">
        <v>982</v>
      </c>
      <c r="B155" s="1198"/>
      <c r="C155" s="1198"/>
      <c r="D155" s="1198"/>
      <c r="E155" s="1198"/>
      <c r="F155" s="1198"/>
      <c r="G155" s="1198"/>
      <c r="H155" s="1198"/>
      <c r="I155" s="1198"/>
      <c r="J155" s="1198"/>
      <c r="K155" s="1198"/>
      <c r="L155" s="1198"/>
      <c r="M155" s="1198"/>
      <c r="N155" s="1198"/>
      <c r="O155" s="1198"/>
      <c r="P155" s="1198"/>
      <c r="Q155" s="1392"/>
      <c r="R155" s="1774"/>
      <c r="S155" s="1338">
        <v>0.26250000000000001</v>
      </c>
      <c r="T155" s="1396">
        <v>0.66</v>
      </c>
      <c r="U155" s="1396">
        <v>1</v>
      </c>
      <c r="V155" s="1791"/>
      <c r="W155" s="1791"/>
      <c r="X155" s="1198"/>
      <c r="Y155" s="1198"/>
      <c r="Z155" s="1198"/>
      <c r="AA155" s="1198"/>
      <c r="AB155" s="1198"/>
      <c r="AC155" s="1198"/>
      <c r="AD155" s="1198"/>
      <c r="AE155" s="1198"/>
      <c r="AF155" s="1198"/>
      <c r="AG155" s="1198"/>
      <c r="AH155" s="1198"/>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394"/>
      <c r="CE155" s="1394"/>
      <c r="CF155" s="1394"/>
      <c r="CG155" s="1394"/>
      <c r="CH155" s="1394"/>
      <c r="CI155" s="1394"/>
      <c r="CJ155" s="1394"/>
      <c r="CK155" s="1394"/>
      <c r="CL155" s="1397">
        <v>0</v>
      </c>
      <c r="CM155" s="1396">
        <v>0.2</v>
      </c>
      <c r="CN155" s="1396">
        <v>0.4</v>
      </c>
      <c r="CO155" s="1396">
        <v>0.45</v>
      </c>
    </row>
    <row r="156" spans="1:93" ht="12.75" customHeight="1">
      <c r="A156" s="1392" t="s">
        <v>81</v>
      </c>
      <c r="B156" s="1198"/>
      <c r="C156" s="1198"/>
      <c r="D156" s="1198"/>
      <c r="E156" s="1198"/>
      <c r="F156" s="1198"/>
      <c r="G156" s="1198"/>
      <c r="H156" s="1198"/>
      <c r="I156" s="1198"/>
      <c r="J156" s="1198"/>
      <c r="K156" s="1198"/>
      <c r="L156" s="1198"/>
      <c r="M156" s="1198"/>
      <c r="N156" s="1198"/>
      <c r="O156" s="1198"/>
      <c r="P156" s="1198"/>
      <c r="Q156" s="1392">
        <v>0</v>
      </c>
      <c r="R156" s="1774">
        <v>0</v>
      </c>
      <c r="S156" s="1392">
        <v>113.203125</v>
      </c>
      <c r="T156" s="1392">
        <v>284.625</v>
      </c>
      <c r="U156" s="1392">
        <v>431.25</v>
      </c>
      <c r="V156" s="1392">
        <v>431.25</v>
      </c>
      <c r="W156" s="1392">
        <v>431.25</v>
      </c>
      <c r="X156" s="1198"/>
      <c r="Y156" s="1198"/>
      <c r="Z156" s="1198"/>
      <c r="AA156" s="1198"/>
      <c r="AB156" s="1198"/>
      <c r="AC156" s="1198"/>
      <c r="AD156" s="1198"/>
      <c r="AE156" s="1198"/>
      <c r="AF156" s="1198"/>
      <c r="AG156" s="1198"/>
      <c r="AH156" s="1198"/>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394"/>
      <c r="CE156" s="1394"/>
      <c r="CF156" s="1394"/>
      <c r="CG156" s="1394"/>
      <c r="CH156" s="1394"/>
      <c r="CI156" s="1394"/>
      <c r="CJ156" s="1394"/>
      <c r="CK156" s="1394"/>
      <c r="CL156" s="1393">
        <v>0</v>
      </c>
      <c r="CM156" s="1392">
        <v>21.5625</v>
      </c>
      <c r="CN156" s="1392">
        <v>43.125</v>
      </c>
      <c r="CO156" s="1392">
        <v>48.515625</v>
      </c>
    </row>
    <row r="157" spans="1:93" ht="12.75" customHeight="1">
      <c r="A157" s="1790" t="s">
        <v>982</v>
      </c>
      <c r="B157" s="1198"/>
      <c r="C157" s="1198"/>
      <c r="D157" s="1198"/>
      <c r="E157" s="1198"/>
      <c r="F157" s="1198"/>
      <c r="G157" s="1198"/>
      <c r="H157" s="1198"/>
      <c r="I157" s="1198"/>
      <c r="J157" s="1198"/>
      <c r="K157" s="1198"/>
      <c r="L157" s="1198"/>
      <c r="M157" s="1198"/>
      <c r="N157" s="1198"/>
      <c r="O157" s="1198"/>
      <c r="P157" s="1198"/>
      <c r="Q157" s="1392"/>
      <c r="R157" s="1774"/>
      <c r="S157" s="1338">
        <v>0.26250000000000001</v>
      </c>
      <c r="T157" s="1396">
        <v>0.66</v>
      </c>
      <c r="U157" s="1396">
        <v>1</v>
      </c>
      <c r="V157" s="1791"/>
      <c r="W157" s="1791"/>
      <c r="X157" s="1198"/>
      <c r="Y157" s="1198"/>
      <c r="Z157" s="1198"/>
      <c r="AA157" s="1198"/>
      <c r="AB157" s="1198"/>
      <c r="AC157" s="1198"/>
      <c r="AD157" s="1198"/>
      <c r="AE157" s="1198"/>
      <c r="AF157" s="1198"/>
      <c r="AG157" s="1198"/>
      <c r="AH157" s="1198"/>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394"/>
      <c r="CE157" s="1394"/>
      <c r="CF157" s="1394"/>
      <c r="CG157" s="1394"/>
      <c r="CH157" s="1394"/>
      <c r="CI157" s="1394"/>
      <c r="CJ157" s="1394"/>
      <c r="CK157" s="1394"/>
      <c r="CL157" s="1397">
        <v>0</v>
      </c>
      <c r="CM157" s="1396">
        <v>0.2</v>
      </c>
      <c r="CN157" s="1396">
        <v>0.4</v>
      </c>
      <c r="CO157" s="1396">
        <v>0.45</v>
      </c>
    </row>
    <row r="158" spans="1:93" ht="12.75" customHeight="1">
      <c r="A158" s="1392" t="s">
        <v>983</v>
      </c>
      <c r="B158" s="1198"/>
      <c r="C158" s="1198"/>
      <c r="D158" s="1198"/>
      <c r="E158" s="1198"/>
      <c r="F158" s="1198"/>
      <c r="G158" s="1198"/>
      <c r="H158" s="1198"/>
      <c r="I158" s="1198"/>
      <c r="J158" s="1198"/>
      <c r="K158" s="1198"/>
      <c r="L158" s="1198"/>
      <c r="M158" s="1198"/>
      <c r="N158" s="1198"/>
      <c r="O158" s="1198"/>
      <c r="P158" s="1198"/>
      <c r="Q158" s="1392">
        <v>0</v>
      </c>
      <c r="R158" s="1774">
        <v>0</v>
      </c>
      <c r="S158" s="1392">
        <v>153.8125</v>
      </c>
      <c r="T158" s="1394">
        <v>379.5</v>
      </c>
      <c r="U158" s="1394">
        <v>575</v>
      </c>
      <c r="V158" s="1392">
        <v>575</v>
      </c>
      <c r="W158" s="1392">
        <v>575</v>
      </c>
      <c r="X158" s="1198"/>
      <c r="Y158" s="1198"/>
      <c r="Z158" s="1198"/>
      <c r="AA158" s="1198"/>
      <c r="AB158" s="1198"/>
      <c r="AC158" s="1198"/>
      <c r="AD158" s="1198"/>
      <c r="AE158" s="1198"/>
      <c r="AF158" s="1198"/>
      <c r="AG158" s="1198"/>
      <c r="AH158" s="1198"/>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v>44.674515503875966</v>
      </c>
      <c r="BW158" s="1198"/>
      <c r="BX158" s="1198"/>
      <c r="BY158" s="1198"/>
      <c r="BZ158" s="1198"/>
      <c r="CA158" s="1198"/>
      <c r="CB158" s="1198"/>
      <c r="CC158" s="1198"/>
      <c r="CD158" s="1394"/>
      <c r="CE158" s="1394"/>
      <c r="CF158" s="1394"/>
      <c r="CG158" s="1394"/>
      <c r="CH158" s="1394"/>
      <c r="CI158" s="1394"/>
      <c r="CJ158" s="1394"/>
      <c r="CK158" s="1394"/>
      <c r="CL158" s="1393">
        <v>0</v>
      </c>
      <c r="CM158" s="1789">
        <v>31.625</v>
      </c>
      <c r="CN158" s="1789">
        <v>57.5</v>
      </c>
      <c r="CO158" s="1789">
        <v>64.6875</v>
      </c>
    </row>
    <row r="159" spans="1:93" ht="12.75" customHeight="1">
      <c r="A159" s="1790" t="s">
        <v>982</v>
      </c>
      <c r="B159" s="946"/>
      <c r="C159" s="946"/>
      <c r="D159" s="946"/>
      <c r="E159" s="946"/>
      <c r="F159" s="946"/>
      <c r="G159" s="946"/>
      <c r="H159" s="946"/>
      <c r="I159" s="946"/>
      <c r="J159" s="946"/>
      <c r="K159" s="946"/>
      <c r="L159" s="946"/>
      <c r="M159" s="946"/>
      <c r="N159" s="946"/>
      <c r="O159" s="946"/>
      <c r="P159" s="946"/>
      <c r="Q159" s="1392"/>
      <c r="R159" s="1774"/>
      <c r="S159" s="1338">
        <v>0.26750000000000002</v>
      </c>
      <c r="T159" s="1396">
        <v>0.66</v>
      </c>
      <c r="U159" s="1396">
        <v>1</v>
      </c>
      <c r="V159" s="1791"/>
      <c r="W159" s="1791"/>
      <c r="X159" s="1198"/>
      <c r="Y159" s="1198"/>
      <c r="Z159" s="1198"/>
      <c r="AA159" s="1198"/>
      <c r="AB159" s="1198"/>
      <c r="AC159" s="1198"/>
      <c r="AD159" s="1198"/>
      <c r="AE159" s="1198"/>
      <c r="AF159" s="1198"/>
      <c r="AG159" s="1198"/>
      <c r="AH159" s="1198"/>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394"/>
      <c r="CE159" s="1394"/>
      <c r="CF159" s="1394"/>
      <c r="CG159" s="1394"/>
      <c r="CH159" s="1394"/>
      <c r="CI159" s="1394"/>
      <c r="CJ159" s="1394"/>
      <c r="CK159" s="1394"/>
      <c r="CL159" s="1397">
        <v>0</v>
      </c>
      <c r="CM159" s="1396">
        <v>0.22</v>
      </c>
      <c r="CN159" s="1396">
        <v>0.4</v>
      </c>
      <c r="CO159" s="1396">
        <v>0.45</v>
      </c>
    </row>
    <row r="160" spans="1:93"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sheetData>
  <phoneticPr fontId="83" type="noConversion"/>
  <conditionalFormatting sqref="A152 Q152:W152 CD152:CO152">
    <cfRule type="expression" dxfId="14" priority="1" stopIfTrue="1">
      <formula>#REF!=1</formula>
    </cfRule>
  </conditionalFormatting>
  <conditionalFormatting sqref="CD153:CO153 A153 Q153:W153">
    <cfRule type="expression" dxfId="13" priority="2" stopIfTrue="1">
      <formula>#REF!=2</formula>
    </cfRule>
  </conditionalFormatting>
  <conditionalFormatting sqref="Q154:W154 A154 CD154:CO154">
    <cfRule type="expression" dxfId="12" priority="3" stopIfTrue="1">
      <formula>#REF!=3</formula>
    </cfRule>
  </conditionalFormatting>
  <conditionalFormatting sqref="CL156:CO156 A156 CD155:CK157 CD159:CK159 Q156:W156">
    <cfRule type="expression" dxfId="11" priority="4" stopIfTrue="1">
      <formula>#REF!=4</formula>
    </cfRule>
  </conditionalFormatting>
  <conditionalFormatting sqref="CD158:CO158 A158 Q158:W158">
    <cfRule type="expression" dxfId="10" priority="5" stopIfTrue="1">
      <formula>#REF!=5</formula>
    </cfRule>
  </conditionalFormatting>
  <pageMargins left="0.25" right="0.25" top="0.25" bottom="0.25" header="0.5" footer="0.5"/>
  <pageSetup scale="61" orientation="landscape" r:id="rId1"/>
  <headerFooter alignWithMargins="0">
    <oddFooter>&amp;RSIMON FLANNERY
212-761-6432
MORGAN STANLEY</oddFooter>
  </headerFooter>
  <cellWatches>
    <cellWatch r="O6"/>
    <cellWatch r="P6"/>
    <cellWatch r="Q6"/>
  </cellWatches>
  <drawing r:id="rId2"/>
  <legacyDrawing r:id="rId3"/>
  <mc:AlternateContent xmlns:mc="http://schemas.openxmlformats.org/markup-compatibility/2006">
    <mc:Choice Requires="x14">
      <controls>
        <mc:AlternateContent xmlns:mc="http://schemas.openxmlformats.org/markup-compatibility/2006">
          <mc:Choice Requires="x14">
            <control shapeId="40993" r:id="rId4" name="Drop Down 33">
              <controlPr defaultSize="0" autoLine="0" autoPict="0">
                <anchor moveWithCells="1">
                  <from>
                    <xdr:col>0</xdr:col>
                    <xdr:colOff>57150</xdr:colOff>
                    <xdr:row>3</xdr:row>
                    <xdr:rowOff>9525</xdr:rowOff>
                  </from>
                  <to>
                    <xdr:col>0</xdr:col>
                    <xdr:colOff>1943100</xdr:colOff>
                    <xdr:row>3</xdr:row>
                    <xdr:rowOff>228600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enableFormatConditionsCalculation="0">
    <tabColor indexed="56"/>
  </sheetPr>
  <dimension ref="A1:CU327"/>
  <sheetViews>
    <sheetView showGridLines="0" zoomScale="85" zoomScaleNormal="85" zoomScaleSheetLayoutView="85" workbookViewId="0">
      <pane xSplit="9" ySplit="7" topLeftCell="Q308" activePane="bottomRight" state="frozen"/>
      <selection activeCell="CH5" sqref="CH5"/>
      <selection pane="topRight" activeCell="CH5" sqref="CH5"/>
      <selection pane="bottomLeft" activeCell="CH5" sqref="CH5"/>
      <selection pane="bottomRight" activeCell="Q8" sqref="Q8"/>
    </sheetView>
  </sheetViews>
  <sheetFormatPr defaultColWidth="8" defaultRowHeight="12.75" outlineLevelRow="1" outlineLevelCol="1"/>
  <cols>
    <col min="1" max="1" width="30.42578125" customWidth="1"/>
    <col min="2" max="2" width="7" hidden="1" customWidth="1" outlineLevel="1"/>
    <col min="3" max="3" width="7.42578125" hidden="1" customWidth="1" outlineLevel="1"/>
    <col min="4" max="9" width="2.42578125" hidden="1" customWidth="1" outlineLevel="1"/>
    <col min="10" max="10" width="8.85546875" hidden="1" customWidth="1" outlineLevel="1" collapsed="1"/>
    <col min="11" max="14" width="8.85546875" hidden="1" customWidth="1" outlineLevel="1"/>
    <col min="15" max="16" width="8" hidden="1" customWidth="1" outlineLevel="1"/>
    <col min="17" max="17" width="8" customWidth="1" collapsed="1"/>
    <col min="18" max="18" width="8" customWidth="1"/>
    <col min="19" max="23" width="8" hidden="1" customWidth="1"/>
    <col min="24" max="24" width="2.28515625" customWidth="1"/>
    <col min="25" max="25" width="3.42578125" customWidth="1"/>
    <col min="26" max="27" width="3.42578125" hidden="1" customWidth="1" outlineLevel="1"/>
    <col min="28" max="32" width="8" hidden="1" customWidth="1" outlineLevel="1"/>
    <col min="33" max="33" width="7.85546875" hidden="1" customWidth="1" outlineLevel="1"/>
    <col min="34" max="37" width="4.7109375" hidden="1" customWidth="1" outlineLevel="1"/>
    <col min="38" max="41" width="5.7109375" hidden="1" customWidth="1" outlineLevel="1"/>
    <col min="42" max="43" width="5.5703125" hidden="1" customWidth="1" outlineLevel="1"/>
    <col min="44" max="57" width="8.85546875" hidden="1" customWidth="1" outlineLevel="1"/>
    <col min="58" max="58" width="8.85546875" hidden="1" customWidth="1" outlineLevel="1" collapsed="1"/>
    <col min="59" max="60" width="8.85546875" hidden="1" customWidth="1" outlineLevel="1"/>
    <col min="61" max="61" width="9.5703125" hidden="1" customWidth="1" outlineLevel="1"/>
    <col min="62" max="62" width="8.85546875" hidden="1" customWidth="1" outlineLevel="1" collapsed="1"/>
    <col min="63" max="65" width="8.85546875" hidden="1" customWidth="1" outlineLevel="1"/>
    <col min="66" max="66" width="8.85546875" hidden="1" customWidth="1" outlineLevel="1" collapsed="1"/>
    <col min="67" max="79" width="8.85546875" hidden="1" customWidth="1" outlineLevel="1"/>
    <col min="80" max="81" width="8.140625" hidden="1" customWidth="1" outlineLevel="1"/>
    <col min="82" max="82" width="8.140625" customWidth="1" collapsed="1"/>
    <col min="83" max="93" width="8.140625" customWidth="1"/>
    <col min="94" max="94" width="8" customWidth="1"/>
    <col min="95" max="96" width="8" bestFit="1" customWidth="1"/>
    <col min="97" max="97" width="9.28515625" bestFit="1" customWidth="1"/>
    <col min="98" max="99" width="11" bestFit="1" customWidth="1"/>
    <col min="100" max="109" width="8" customWidth="1"/>
    <col min="110" max="110" width="22.28515625" customWidth="1"/>
  </cols>
  <sheetData>
    <row r="1" spans="1:99">
      <c r="A1" s="942" t="s">
        <v>590</v>
      </c>
      <c r="B1" s="1170"/>
      <c r="C1" s="1170"/>
      <c r="D1" s="1170"/>
      <c r="E1" s="1170"/>
      <c r="F1" s="1170"/>
      <c r="G1" s="1170"/>
      <c r="H1" s="1170"/>
      <c r="I1" s="1170"/>
      <c r="J1" s="1170"/>
      <c r="K1" s="1170"/>
      <c r="L1" s="1170"/>
      <c r="M1" s="1170"/>
      <c r="N1" s="1507"/>
      <c r="O1" s="1507"/>
      <c r="P1" s="1507"/>
      <c r="Q1" s="1507"/>
      <c r="R1" s="1507"/>
      <c r="S1" s="1507"/>
      <c r="T1" s="1507"/>
      <c r="U1" s="1507"/>
      <c r="V1" s="1507"/>
      <c r="W1" s="1507"/>
      <c r="X1" s="1507"/>
      <c r="Y1" s="1507"/>
      <c r="Z1" s="1507"/>
      <c r="AA1" s="1507"/>
      <c r="AB1" s="1507"/>
      <c r="AC1" s="1507"/>
      <c r="AD1" s="1507"/>
      <c r="AE1" s="1507"/>
      <c r="AF1" s="1507"/>
      <c r="AG1" s="1507"/>
      <c r="AH1" s="1507"/>
      <c r="AI1" s="1507"/>
      <c r="AJ1" s="1507"/>
      <c r="AK1" s="1507"/>
      <c r="AL1" s="1507"/>
      <c r="AM1" s="1507"/>
      <c r="AN1" s="1507"/>
      <c r="AO1" s="1507"/>
      <c r="AP1" s="1507"/>
      <c r="AQ1" s="1507"/>
      <c r="AR1" s="1507"/>
      <c r="AS1" s="1507"/>
      <c r="AT1" s="1507"/>
      <c r="AU1" s="1507"/>
      <c r="AV1" s="1507"/>
      <c r="AW1" s="1507"/>
      <c r="AX1" s="1507"/>
      <c r="AY1" s="1507"/>
      <c r="AZ1" s="1507"/>
      <c r="BA1" s="1507"/>
      <c r="BB1" s="1507"/>
      <c r="BC1" s="1507"/>
      <c r="BD1" s="1507"/>
      <c r="BE1" s="1507"/>
      <c r="BF1" s="1507"/>
      <c r="BG1" s="1507"/>
      <c r="BH1" s="1507"/>
      <c r="BI1" s="1507"/>
      <c r="BJ1" s="1507"/>
      <c r="BK1" s="1507"/>
      <c r="BL1" s="1507"/>
      <c r="BM1" s="1507"/>
      <c r="BN1" s="1507"/>
      <c r="BO1" s="1507"/>
      <c r="BP1" s="1507"/>
      <c r="BQ1" s="1507"/>
      <c r="BR1" s="1507"/>
      <c r="BS1" s="1507"/>
      <c r="BT1" s="1507"/>
      <c r="BU1" s="1507"/>
      <c r="BV1" s="1507"/>
      <c r="BW1" s="1507"/>
      <c r="BX1" s="1507"/>
      <c r="BY1" s="1507"/>
      <c r="BZ1" s="1507"/>
      <c r="CA1" s="1507"/>
      <c r="CB1" s="1507"/>
      <c r="CC1" s="1507"/>
      <c r="CD1" s="1507"/>
      <c r="CE1" s="1507"/>
      <c r="CF1" s="1507"/>
      <c r="CG1" s="1507"/>
      <c r="CH1" s="1508"/>
      <c r="CI1" s="1509"/>
      <c r="CJ1" s="1170"/>
      <c r="CK1" s="1170"/>
      <c r="CL1" s="1170"/>
      <c r="CM1" s="1170"/>
      <c r="CN1" s="1170"/>
      <c r="CO1" s="1170"/>
      <c r="CP1" s="1170"/>
      <c r="CQ1" s="1170"/>
      <c r="CR1" s="1170"/>
      <c r="CS1" s="1170"/>
      <c r="CT1" s="1170"/>
      <c r="CU1" s="1170"/>
    </row>
    <row r="2" spans="1:99" ht="12.75" customHeight="1">
      <c r="A2" s="942" t="s">
        <v>986</v>
      </c>
      <c r="B2" s="1170"/>
      <c r="C2" s="1170"/>
      <c r="D2" s="1170"/>
      <c r="E2" s="1170"/>
      <c r="F2" s="1170"/>
      <c r="G2" s="1170"/>
      <c r="H2" s="1170"/>
      <c r="I2" s="1170"/>
      <c r="J2" s="1170"/>
      <c r="K2" s="1170"/>
      <c r="L2" s="1170"/>
      <c r="M2" s="1170"/>
      <c r="N2" s="1507"/>
      <c r="O2" s="1510"/>
      <c r="P2" s="1511"/>
      <c r="Q2" s="1511"/>
      <c r="R2" s="1511"/>
      <c r="S2" s="1512"/>
      <c r="T2" s="1511"/>
      <c r="U2" s="1511"/>
      <c r="V2" s="1511"/>
      <c r="W2" s="1511"/>
      <c r="X2" s="1511"/>
      <c r="Y2" s="1511"/>
      <c r="Z2" s="1511"/>
      <c r="AA2" s="1511"/>
      <c r="AB2" s="1511"/>
      <c r="AC2" s="1511"/>
      <c r="AD2" s="1511"/>
      <c r="AE2" s="1511"/>
      <c r="AF2" s="1511"/>
      <c r="AG2" s="1511"/>
      <c r="AH2" s="1511"/>
      <c r="AI2" s="1511"/>
      <c r="AJ2" s="1511"/>
      <c r="AK2" s="1511"/>
      <c r="AL2" s="1511"/>
      <c r="AM2" s="1511"/>
      <c r="AN2" s="1511"/>
      <c r="AO2" s="1511"/>
      <c r="AP2" s="1511"/>
      <c r="AQ2" s="1511"/>
      <c r="AR2" s="1511"/>
      <c r="AS2" s="1511"/>
      <c r="AT2" s="1511"/>
      <c r="AU2" s="1511"/>
      <c r="AV2" s="1511"/>
      <c r="AW2" s="1511"/>
      <c r="AX2" s="1511"/>
      <c r="AY2" s="1511"/>
      <c r="AZ2" s="1511"/>
      <c r="BA2" s="1511"/>
      <c r="BB2" s="1511"/>
      <c r="BC2" s="1511"/>
      <c r="BD2" s="1511"/>
      <c r="BE2" s="1511"/>
      <c r="BF2" s="1511"/>
      <c r="BG2" s="1511"/>
      <c r="BH2" s="1511"/>
      <c r="BI2" s="1511"/>
      <c r="BJ2" s="1511"/>
      <c r="BK2" s="1511"/>
      <c r="BL2" s="1511"/>
      <c r="BM2" s="1511"/>
      <c r="BN2" s="1511"/>
      <c r="BO2" s="1511"/>
      <c r="BP2" s="1511"/>
      <c r="BQ2" s="1511"/>
      <c r="BR2" s="1511"/>
      <c r="BS2" s="1511"/>
      <c r="BT2" s="1511"/>
      <c r="BU2" s="1511"/>
      <c r="BV2" s="1511"/>
      <c r="BW2" s="1511"/>
      <c r="BX2" s="1511"/>
      <c r="BY2" s="1511"/>
      <c r="BZ2" s="1511"/>
      <c r="CA2" s="1511"/>
      <c r="CB2" s="1511"/>
      <c r="CC2" s="1511"/>
      <c r="CD2" s="1511"/>
      <c r="CE2" s="1511"/>
      <c r="CF2" s="1511"/>
      <c r="CG2" s="1511"/>
      <c r="CH2" s="1508"/>
      <c r="CI2" s="1513"/>
      <c r="CJ2" s="1170"/>
      <c r="CK2" s="1170"/>
      <c r="CL2" s="1282"/>
      <c r="CM2" s="1170"/>
      <c r="CN2" s="1170"/>
      <c r="CO2" s="1170"/>
      <c r="CP2" s="1170"/>
      <c r="CQ2" s="1170"/>
      <c r="CR2" s="1170"/>
      <c r="CS2" s="1170"/>
      <c r="CT2" s="1170"/>
      <c r="CU2" s="1170"/>
    </row>
    <row r="3" spans="1:99" ht="12.75" customHeight="1">
      <c r="A3" s="950" t="s">
        <v>32</v>
      </c>
      <c r="B3" s="1170"/>
      <c r="C3" s="1170"/>
      <c r="D3" s="1170"/>
      <c r="E3" s="1170"/>
      <c r="F3" s="1170"/>
      <c r="G3" s="1170"/>
      <c r="H3" s="1170"/>
      <c r="I3" s="1170"/>
      <c r="J3" s="1170"/>
      <c r="K3" s="1170"/>
      <c r="L3" s="1170"/>
      <c r="M3" s="1170"/>
      <c r="N3" s="1507"/>
      <c r="O3" s="1507"/>
      <c r="P3" s="1507"/>
      <c r="Q3" s="1248"/>
      <c r="R3" s="1248"/>
      <c r="S3" s="1248"/>
      <c r="T3" s="1248"/>
      <c r="U3" s="1248"/>
      <c r="V3" s="1248"/>
      <c r="W3" s="1248"/>
      <c r="X3" s="1248"/>
      <c r="Y3" s="1248"/>
      <c r="Z3" s="1248"/>
      <c r="AA3" s="1248"/>
      <c r="AB3" s="1248"/>
      <c r="AC3" s="1248"/>
      <c r="AD3" s="1248"/>
      <c r="AE3" s="1248"/>
      <c r="AF3" s="1248"/>
      <c r="AG3" s="1248"/>
      <c r="AH3" s="1248"/>
      <c r="AI3" s="1248"/>
      <c r="AJ3" s="1248"/>
      <c r="AK3" s="1248"/>
      <c r="AL3" s="1248"/>
      <c r="AM3" s="1248"/>
      <c r="AN3" s="1248"/>
      <c r="AO3" s="1248"/>
      <c r="AP3" s="1248"/>
      <c r="AQ3" s="1248"/>
      <c r="AR3" s="1248"/>
      <c r="AS3" s="1248"/>
      <c r="AT3" s="1248"/>
      <c r="AU3" s="1248"/>
      <c r="AV3" s="1248"/>
      <c r="AW3" s="1248"/>
      <c r="AX3" s="1248"/>
      <c r="AY3" s="1248"/>
      <c r="AZ3" s="1248"/>
      <c r="BA3" s="1248"/>
      <c r="BB3" s="1248"/>
      <c r="BC3" s="1248"/>
      <c r="BD3" s="1248"/>
      <c r="BE3" s="1248"/>
      <c r="BF3" s="1248"/>
      <c r="BG3" s="1248"/>
      <c r="BH3" s="1248"/>
      <c r="BI3" s="1248"/>
      <c r="BJ3" s="1248"/>
      <c r="BK3" s="1248"/>
      <c r="BL3" s="1248"/>
      <c r="BM3" s="1248"/>
      <c r="BN3" s="1248"/>
      <c r="BO3" s="1248"/>
      <c r="BP3" s="1248"/>
      <c r="BQ3" s="1248"/>
      <c r="BR3" s="1248"/>
      <c r="BS3" s="1248"/>
      <c r="BT3" s="1248"/>
      <c r="BU3" s="1248"/>
      <c r="BV3" s="1248"/>
      <c r="BW3" s="1248"/>
      <c r="BX3" s="1248"/>
      <c r="BY3" s="1248"/>
      <c r="BZ3" s="1248"/>
      <c r="CA3" s="1248"/>
      <c r="CB3" s="1248"/>
      <c r="CC3" s="1248"/>
      <c r="CD3" s="1248"/>
      <c r="CE3" s="1248"/>
      <c r="CF3" s="1514"/>
      <c r="CG3" s="1507"/>
      <c r="CH3" s="1508"/>
      <c r="CI3" s="1509"/>
      <c r="CJ3" s="1170"/>
      <c r="CK3" s="1170"/>
      <c r="CL3" s="1170"/>
      <c r="CM3" s="1170"/>
      <c r="CN3" s="1170"/>
      <c r="CO3" s="1170"/>
      <c r="CP3" s="1170"/>
      <c r="CQ3" s="1170"/>
      <c r="CR3" s="1170"/>
      <c r="CS3" s="1170"/>
      <c r="CT3" s="1170"/>
      <c r="CU3" s="1170"/>
    </row>
    <row r="4" spans="1:99" ht="20.25" customHeight="1">
      <c r="A4" s="942"/>
      <c r="B4" s="1170"/>
      <c r="C4" s="1170"/>
      <c r="D4" s="1170"/>
      <c r="E4" s="1170"/>
      <c r="F4" s="1170"/>
      <c r="G4" s="1170"/>
      <c r="H4" s="1170"/>
      <c r="I4" s="1170"/>
      <c r="J4" s="1170"/>
      <c r="K4" s="1170"/>
      <c r="L4" s="1170"/>
      <c r="M4" s="1170"/>
      <c r="N4" s="1507"/>
      <c r="O4" s="1507"/>
      <c r="P4" s="1507"/>
      <c r="Q4" s="1507"/>
      <c r="R4" s="1507"/>
      <c r="S4" s="1248"/>
      <c r="T4" s="1507"/>
      <c r="U4" s="1507"/>
      <c r="V4" s="1507"/>
      <c r="W4" s="1507"/>
      <c r="X4" s="1507"/>
      <c r="Y4" s="1507"/>
      <c r="Z4" s="1507"/>
      <c r="AA4" s="1507"/>
      <c r="AB4" s="1507"/>
      <c r="AC4" s="1507"/>
      <c r="AD4" s="1507"/>
      <c r="AE4" s="1507"/>
      <c r="AF4" s="1507"/>
      <c r="AG4" s="1507"/>
      <c r="AH4" s="1507"/>
      <c r="AI4" s="1507"/>
      <c r="AJ4" s="1507"/>
      <c r="AK4" s="1507"/>
      <c r="AL4" s="1507"/>
      <c r="AM4" s="1507"/>
      <c r="AN4" s="1507"/>
      <c r="AO4" s="1507"/>
      <c r="AP4" s="1507"/>
      <c r="AQ4" s="1507"/>
      <c r="AR4" s="1507"/>
      <c r="AS4" s="1507"/>
      <c r="AT4" s="1507"/>
      <c r="AU4" s="1507"/>
      <c r="AV4" s="1507"/>
      <c r="AW4" s="1507"/>
      <c r="AX4" s="1507"/>
      <c r="AY4" s="1507"/>
      <c r="AZ4" s="1507"/>
      <c r="BA4" s="1507"/>
      <c r="BB4" s="1507"/>
      <c r="BC4" s="1507"/>
      <c r="BD4" s="1507"/>
      <c r="BE4" s="1507"/>
      <c r="BF4" s="1507"/>
      <c r="BG4" s="1507"/>
      <c r="BH4" s="1507"/>
      <c r="BI4" s="1507"/>
      <c r="BJ4" s="1507"/>
      <c r="BK4" s="1507"/>
      <c r="BL4" s="1507"/>
      <c r="BM4" s="1507"/>
      <c r="BN4" s="1507"/>
      <c r="BO4" s="1507"/>
      <c r="BP4" s="1507"/>
      <c r="BQ4" s="1507"/>
      <c r="BR4" s="1507"/>
      <c r="BS4" s="1507"/>
      <c r="BT4" s="1507"/>
      <c r="BU4" s="1507"/>
      <c r="BV4" s="1507"/>
      <c r="BW4" s="1507"/>
      <c r="BX4" s="1507"/>
      <c r="BY4" s="1507"/>
      <c r="BZ4" s="1507"/>
      <c r="CA4" s="1507"/>
      <c r="CB4" s="1507"/>
      <c r="CC4" s="1507"/>
      <c r="CD4" s="1507"/>
      <c r="CE4" s="1507"/>
      <c r="CF4" s="1507"/>
      <c r="CG4" s="1507"/>
      <c r="CH4" s="1507"/>
      <c r="CI4" s="1509"/>
      <c r="CJ4" s="1170"/>
      <c r="CK4" s="1170"/>
      <c r="CL4" s="1170"/>
      <c r="CM4" s="1170"/>
      <c r="CN4" s="1170"/>
      <c r="CO4" s="1170"/>
      <c r="CP4" s="1170"/>
      <c r="CQ4" s="1170"/>
      <c r="CR4" s="1170"/>
      <c r="CS4" s="1170"/>
      <c r="CT4" s="1170"/>
      <c r="CU4" s="1170"/>
    </row>
    <row r="5" spans="1:99" ht="12.75" customHeight="1">
      <c r="A5" s="1184"/>
      <c r="B5" s="1184"/>
      <c r="C5" s="1184"/>
      <c r="D5" s="1185"/>
      <c r="E5" s="1185"/>
      <c r="F5" s="1185"/>
      <c r="G5" s="1185"/>
      <c r="H5" s="1185"/>
      <c r="I5" s="1185"/>
      <c r="J5" s="1185">
        <f>Q_IS!J5</f>
        <v>2002</v>
      </c>
      <c r="K5" s="1185">
        <f>Q_IS!K5</f>
        <v>2003</v>
      </c>
      <c r="L5" s="1185">
        <f>Q_IS!L5</f>
        <v>2004</v>
      </c>
      <c r="M5" s="1185">
        <f>Q_IS!M5</f>
        <v>2005</v>
      </c>
      <c r="N5" s="1185">
        <f>Q_IS!N5</f>
        <v>2006</v>
      </c>
      <c r="O5" s="1185">
        <f>Q_IS!O5</f>
        <v>2007</v>
      </c>
      <c r="P5" s="1185">
        <f>Q_IS!P5</f>
        <v>2008</v>
      </c>
      <c r="Q5" s="1608">
        <f>Q_IS!Q5</f>
        <v>2009</v>
      </c>
      <c r="R5" s="1515">
        <f>Q_IS!R5</f>
        <v>2010</v>
      </c>
      <c r="S5" s="1516">
        <f>Q_IS!S5</f>
        <v>2011</v>
      </c>
      <c r="T5" s="1507"/>
      <c r="U5" s="1507"/>
      <c r="V5" s="1507"/>
      <c r="W5" s="1507"/>
      <c r="X5" s="1282"/>
      <c r="Y5" s="1282"/>
      <c r="Z5" s="1282"/>
      <c r="AA5" s="1282"/>
      <c r="AB5" s="1282"/>
      <c r="AC5" s="1282"/>
      <c r="AD5" s="1282"/>
      <c r="AE5" s="1282"/>
      <c r="AF5" s="1282"/>
      <c r="AG5" s="1517"/>
      <c r="AH5" s="1185"/>
      <c r="AI5" s="1185"/>
      <c r="AJ5" s="1185"/>
      <c r="AK5" s="1185"/>
      <c r="AL5" s="1185"/>
      <c r="AM5" s="1185"/>
      <c r="AN5" s="1185"/>
      <c r="AO5" s="1185"/>
      <c r="AP5" s="1185"/>
      <c r="AQ5" s="1185"/>
      <c r="AR5" s="1185"/>
      <c r="AS5" s="1185"/>
      <c r="AT5" s="1185"/>
      <c r="AU5" s="1185"/>
      <c r="AV5" s="1185"/>
      <c r="AW5" s="1185"/>
      <c r="AX5" s="1185"/>
      <c r="AY5" s="1185"/>
      <c r="AZ5" s="1185"/>
      <c r="BA5" s="1185"/>
      <c r="BB5" s="1185" t="str">
        <f>Q_IS!BB5</f>
        <v>1Q02</v>
      </c>
      <c r="BC5" s="1185" t="str">
        <f>Q_IS!BC5</f>
        <v>2Q02</v>
      </c>
      <c r="BD5" s="1185" t="str">
        <f>Q_IS!BD5</f>
        <v>3Q02</v>
      </c>
      <c r="BE5" s="1185" t="str">
        <f>Q_IS!BE5</f>
        <v>4Q02</v>
      </c>
      <c r="BF5" s="1185" t="str">
        <f>Q_IS!BF5</f>
        <v>1Q03</v>
      </c>
      <c r="BG5" s="1185" t="str">
        <f>Q_IS!BG5</f>
        <v>2Q03</v>
      </c>
      <c r="BH5" s="1185" t="str">
        <f>Q_IS!BH5</f>
        <v>3Q03</v>
      </c>
      <c r="BI5" s="1185" t="str">
        <f>Q_IS!BI5</f>
        <v>4Q03</v>
      </c>
      <c r="BJ5" s="1185" t="str">
        <f>Q_IS!BJ5</f>
        <v>1Q04</v>
      </c>
      <c r="BK5" s="1185" t="str">
        <f>Q_IS!BK5</f>
        <v>2Q04</v>
      </c>
      <c r="BL5" s="1185" t="str">
        <f>Q_IS!BL5</f>
        <v>3Q04</v>
      </c>
      <c r="BM5" s="1185" t="str">
        <f>Q_IS!BM5</f>
        <v>4Q04</v>
      </c>
      <c r="BN5" s="1185" t="str">
        <f>Q_IS!BN5</f>
        <v>1Q05</v>
      </c>
      <c r="BO5" s="1185" t="str">
        <f>Q_IS!BO5</f>
        <v>2Q05</v>
      </c>
      <c r="BP5" s="1185" t="str">
        <f>Q_IS!BP5</f>
        <v>3Q05</v>
      </c>
      <c r="BQ5" s="1185" t="str">
        <f>Q_IS!BQ5</f>
        <v>4Q05</v>
      </c>
      <c r="BR5" s="1185" t="str">
        <f>Q_IS!BR5</f>
        <v>1Q06</v>
      </c>
      <c r="BS5" s="1185" t="str">
        <f>Q_IS!BS5</f>
        <v>2Q06</v>
      </c>
      <c r="BT5" s="1185" t="str">
        <f>Q_IS!BT5</f>
        <v>3Q06</v>
      </c>
      <c r="BU5" s="1185" t="str">
        <f>Q_IS!BU5</f>
        <v>4Q06</v>
      </c>
      <c r="BV5" s="1189" t="str">
        <f>Q_IS!BV5</f>
        <v>1Q07</v>
      </c>
      <c r="BW5" s="1185" t="str">
        <f>Q_IS!BW5</f>
        <v>2Q07</v>
      </c>
      <c r="BX5" s="1185" t="str">
        <f>Q_IS!BX5</f>
        <v>3Q07</v>
      </c>
      <c r="BY5" s="1185" t="str">
        <f>Q_IS!BY5</f>
        <v>4Q07</v>
      </c>
      <c r="BZ5" s="1185" t="str">
        <f>Q_IS!BZ5</f>
        <v>1Q08</v>
      </c>
      <c r="CA5" s="1185" t="str">
        <f>Q_IS!CA5</f>
        <v>2Q08</v>
      </c>
      <c r="CB5" s="1185" t="str">
        <f>Q_IS!CB5</f>
        <v>3Q08</v>
      </c>
      <c r="CC5" s="1185" t="str">
        <f>Q_IS!CC5</f>
        <v>4Q08</v>
      </c>
      <c r="CD5" s="1189" t="str">
        <f>Q_IS!CD5</f>
        <v>1Q09</v>
      </c>
      <c r="CE5" s="1185" t="str">
        <f>Q_IS!CE5</f>
        <v>2Q09</v>
      </c>
      <c r="CF5" s="1185" t="str">
        <f>Q_IS!CF5</f>
        <v>3Q09</v>
      </c>
      <c r="CG5" s="1185" t="str">
        <f>Q_IS!CG5</f>
        <v>4Q09</v>
      </c>
      <c r="CH5" s="1189" t="str">
        <f>Q_IS!CH5</f>
        <v>1Q10</v>
      </c>
      <c r="CI5" s="1185" t="str">
        <f>Q_IS!CI5</f>
        <v>2Q10</v>
      </c>
      <c r="CJ5" s="1185" t="str">
        <f>Q_IS!CJ5</f>
        <v>3Q10</v>
      </c>
      <c r="CK5" s="1185" t="str">
        <f>Q_IS!CK5</f>
        <v>4Q10</v>
      </c>
      <c r="CL5" s="1189" t="str">
        <f>Q_IS!CL5</f>
        <v>1Q11</v>
      </c>
      <c r="CM5" s="1170"/>
      <c r="CN5" s="1170"/>
      <c r="CO5" s="1170"/>
      <c r="CP5" s="1170"/>
      <c r="CQ5" s="1170"/>
      <c r="CR5" s="1170"/>
      <c r="CS5" s="1170"/>
      <c r="CT5" s="1170"/>
      <c r="CU5" s="1190"/>
    </row>
    <row r="6" spans="1:99" ht="12.75" hidden="1" customHeight="1" outlineLevel="1">
      <c r="A6" s="1191" t="s">
        <v>33</v>
      </c>
      <c r="B6" s="1192"/>
      <c r="C6" s="1192"/>
      <c r="D6" s="1193"/>
      <c r="E6" s="1194"/>
      <c r="F6" s="1194"/>
      <c r="G6" s="1194"/>
      <c r="H6" s="1194"/>
      <c r="I6" s="1194"/>
      <c r="J6" s="1194">
        <f>Q_IS!J6</f>
        <v>-0.61</v>
      </c>
      <c r="K6" s="1194">
        <f>Q_IS!K6</f>
        <v>-0.47</v>
      </c>
      <c r="L6" s="1194">
        <f>Q_IS!L6</f>
        <v>-0.54</v>
      </c>
      <c r="M6" s="1194">
        <f>Q_IS!M6</f>
        <v>-0.24</v>
      </c>
      <c r="N6" s="1194">
        <f>Q_IS!N6</f>
        <v>0.27</v>
      </c>
      <c r="O6" s="1195">
        <f>Q_IS!O6</f>
        <v>0.53</v>
      </c>
      <c r="P6" s="1195">
        <f>Q_IS!P6</f>
        <v>0.40816275123599982</v>
      </c>
      <c r="Q6" s="1195">
        <f ca="1">Q_IS!Q6</f>
        <v>0.38468923639072683</v>
      </c>
      <c r="R6" s="1196">
        <f ca="1">Q_IS!R6</f>
        <v>0.43299616319624257</v>
      </c>
      <c r="S6" s="1194">
        <f ca="1">Q_IS!S6</f>
        <v>0.12801266161598529</v>
      </c>
      <c r="T6" s="1507"/>
      <c r="U6" s="1507"/>
      <c r="V6" s="1507"/>
      <c r="W6" s="1507"/>
      <c r="X6" s="1248"/>
      <c r="Y6" s="1248"/>
      <c r="Z6" s="1282"/>
      <c r="AA6" s="1282"/>
      <c r="AB6" s="1282"/>
      <c r="AC6" s="1282"/>
      <c r="AD6" s="1282"/>
      <c r="AE6" s="1282"/>
      <c r="AF6" s="1282"/>
      <c r="AG6" s="1517"/>
      <c r="AH6" s="1195"/>
      <c r="AI6" s="1195"/>
      <c r="AJ6" s="1195"/>
      <c r="AK6" s="1195"/>
      <c r="AL6" s="1195"/>
      <c r="AM6" s="1195"/>
      <c r="AN6" s="1195"/>
      <c r="AO6" s="1195"/>
      <c r="AP6" s="1195"/>
      <c r="AQ6" s="1195"/>
      <c r="AR6" s="1195"/>
      <c r="AS6" s="1195"/>
      <c r="AT6" s="1195"/>
      <c r="AU6" s="1195"/>
      <c r="AV6" s="1195"/>
      <c r="AW6" s="1195"/>
      <c r="AX6" s="1195"/>
      <c r="AY6" s="1195"/>
      <c r="AZ6" s="1195"/>
      <c r="BA6" s="1195"/>
      <c r="BB6" s="1195">
        <f>Q_IS!BB6</f>
        <v>-0.32</v>
      </c>
      <c r="BC6" s="1195">
        <f>Q_IS!BC6</f>
        <v>-0.34</v>
      </c>
      <c r="BD6" s="1195">
        <f>Q_IS!BD6</f>
        <v>-7.0000000000000007E-2</v>
      </c>
      <c r="BE6" s="1195">
        <f>Q_IS!BE6</f>
        <v>0.02</v>
      </c>
      <c r="BF6" s="1195">
        <f>Q_IS!BF6</f>
        <v>-0.06</v>
      </c>
      <c r="BG6" s="1195">
        <f>Q_IS!BG6</f>
        <v>-0.09</v>
      </c>
      <c r="BH6" s="1195">
        <f>Q_IS!BH6</f>
        <v>-0.13</v>
      </c>
      <c r="BI6" s="1195">
        <f>Q_IS!BI6</f>
        <v>-0.19</v>
      </c>
      <c r="BJ6" s="1195">
        <f>Q_IS!BJ6</f>
        <v>-0.17</v>
      </c>
      <c r="BK6" s="1195">
        <f>Q_IS!BK6</f>
        <v>-0.16</v>
      </c>
      <c r="BL6" s="1195">
        <f>Q_IS!BL6</f>
        <v>-0.15</v>
      </c>
      <c r="BM6" s="1195">
        <f>Q_IS!BM6</f>
        <v>-0.06</v>
      </c>
      <c r="BN6" s="1195">
        <f>Q_IS!BN6</f>
        <v>-0.1</v>
      </c>
      <c r="BO6" s="1195">
        <f>Q_IS!BO6</f>
        <v>-7.0000000000000007E-2</v>
      </c>
      <c r="BP6" s="1195">
        <f>Q_IS!BP6</f>
        <v>-0.06</v>
      </c>
      <c r="BQ6" s="1196">
        <f>Q_IS!BQ6</f>
        <v>0</v>
      </c>
      <c r="BR6" s="1195">
        <f>Q_IS!BR6</f>
        <v>0.06</v>
      </c>
      <c r="BS6" s="1195">
        <f>Q_IS!BS6</f>
        <v>0.06</v>
      </c>
      <c r="BT6" s="1195">
        <f>Q_IS!BT6</f>
        <v>7.0000000000000007E-2</v>
      </c>
      <c r="BU6" s="1196">
        <f>Q_IS!BU6</f>
        <v>0.08</v>
      </c>
      <c r="BV6" s="1195">
        <f>Q_IS!BV6</f>
        <v>0.14000000000000001</v>
      </c>
      <c r="BW6" s="1195">
        <f>Q_IS!BW6</f>
        <v>0.13</v>
      </c>
      <c r="BX6" s="1195">
        <f>Q_IS!BX6</f>
        <v>0.13</v>
      </c>
      <c r="BY6" s="1196">
        <f>Q_IS!BY6</f>
        <v>0.13</v>
      </c>
      <c r="BZ6" s="1195">
        <f>Q_IS!BZ6</f>
        <v>0.10037786187269136</v>
      </c>
      <c r="CA6" s="1194">
        <f>Q_IS!CA6</f>
        <v>0.10430032533678403</v>
      </c>
      <c r="CB6" s="1194">
        <f>Q_IS!CB6</f>
        <v>9.6146159434454953E-2</v>
      </c>
      <c r="CC6" s="1194">
        <f>Q_IS!CC6</f>
        <v>0.11109906842633852</v>
      </c>
      <c r="CD6" s="1197">
        <f>Q_IS!CD6</f>
        <v>0.12945110855144826</v>
      </c>
      <c r="CE6" s="1194">
        <f>Q_IS!CE6</f>
        <v>8.2889764739344202E-2</v>
      </c>
      <c r="CF6" s="1194">
        <f>Q_IS!CF6</f>
        <v>8.9142088814086876E-2</v>
      </c>
      <c r="CG6" s="1194">
        <f>Q_IS!CG6</f>
        <v>8.2299216936899872E-2</v>
      </c>
      <c r="CH6" s="1197">
        <f>Q_IS!CH6</f>
        <v>0.10494105743055815</v>
      </c>
      <c r="CI6" s="1194">
        <f>Q_IS!CI6</f>
        <v>0.1016185738315709</v>
      </c>
      <c r="CJ6" s="1194">
        <f>Q_IS!CJ6</f>
        <v>0.10598991873835976</v>
      </c>
      <c r="CK6" s="1194">
        <f>Q_IS!CK6</f>
        <v>0.11504541584940808</v>
      </c>
      <c r="CL6" s="1197"/>
      <c r="CM6" s="1170"/>
      <c r="CN6" s="1170"/>
      <c r="CO6" s="1170"/>
      <c r="CP6" s="1170"/>
      <c r="CQ6" s="1170"/>
      <c r="CR6" s="1170"/>
      <c r="CS6" s="1170"/>
      <c r="CT6" s="1170"/>
      <c r="CU6" s="1198"/>
    </row>
    <row r="7" spans="1:99" ht="13.5" hidden="1" customHeight="1" outlineLevel="1">
      <c r="A7" s="1200" t="s">
        <v>34</v>
      </c>
      <c r="B7" s="1178"/>
      <c r="C7" s="1178"/>
      <c r="D7" s="1201"/>
      <c r="E7" s="1201"/>
      <c r="F7" s="1202"/>
      <c r="G7" s="1202"/>
      <c r="H7" s="1202"/>
      <c r="I7" s="1202"/>
      <c r="J7" s="1202"/>
      <c r="K7" s="1202"/>
      <c r="L7" s="1202"/>
      <c r="M7" s="1202">
        <f>Q_IS!M7</f>
        <v>-0.55555555555555558</v>
      </c>
      <c r="N7" s="1202">
        <f>Q_IS!N7</f>
        <v>-2.125</v>
      </c>
      <c r="O7" s="1202">
        <f>Q_IS!O7</f>
        <v>0.96296296296296302</v>
      </c>
      <c r="P7" s="1202">
        <f>Q_IS!P7</f>
        <v>-0.22988160144150982</v>
      </c>
      <c r="Q7" s="1202">
        <f ca="1">Q_IS!Q7</f>
        <v>-5.7510183803373582E-2</v>
      </c>
      <c r="R7" s="1203">
        <f ca="1">Q_IS!R7</f>
        <v>0.125573897670614</v>
      </c>
      <c r="S7" s="1202">
        <f ca="1">Q_IS!S7</f>
        <v>-0.70435612946074211</v>
      </c>
      <c r="T7" s="1507"/>
      <c r="U7" s="1507"/>
      <c r="V7" s="1507"/>
      <c r="W7" s="1507"/>
      <c r="X7" s="1282"/>
      <c r="Y7" s="1282"/>
      <c r="Z7" s="1282"/>
      <c r="AA7" s="1282"/>
      <c r="AB7" s="1282"/>
      <c r="AC7" s="1282"/>
      <c r="AD7" s="1282"/>
      <c r="AE7" s="1282"/>
      <c r="AF7" s="1282"/>
      <c r="AG7" s="1517"/>
      <c r="AH7" s="1201"/>
      <c r="AI7" s="1201"/>
      <c r="AJ7" s="1201"/>
      <c r="AK7" s="1201"/>
      <c r="AL7" s="1518"/>
      <c r="AM7" s="1518"/>
      <c r="AN7" s="1518"/>
      <c r="AO7" s="1518"/>
      <c r="AP7" s="1202"/>
      <c r="AQ7" s="1202"/>
      <c r="AR7" s="1202"/>
      <c r="AS7" s="1202"/>
      <c r="AT7" s="1202"/>
      <c r="AU7" s="1202"/>
      <c r="AV7" s="1202"/>
      <c r="AW7" s="1202"/>
      <c r="AX7" s="1202"/>
      <c r="AY7" s="1202"/>
      <c r="AZ7" s="1202"/>
      <c r="BA7" s="1202"/>
      <c r="BB7" s="1202"/>
      <c r="BC7" s="1202"/>
      <c r="BD7" s="1202"/>
      <c r="BE7" s="1202"/>
      <c r="BF7" s="1202">
        <f>BF6/BB6-1</f>
        <v>-0.8125</v>
      </c>
      <c r="BG7" s="1202">
        <f>BG6/BC6-1</f>
        <v>-0.73529411764705888</v>
      </c>
      <c r="BH7" s="1202">
        <f>BH6/BD6-1</f>
        <v>0.85714285714285698</v>
      </c>
      <c r="BI7" s="1202">
        <f>BI6/BE6-1</f>
        <v>-10.5</v>
      </c>
      <c r="BJ7" s="1202"/>
      <c r="BK7" s="1202"/>
      <c r="BL7" s="1202"/>
      <c r="BM7" s="1202"/>
      <c r="BN7" s="1202">
        <f>Q_IS!BN7</f>
        <v>-0.41176470588235292</v>
      </c>
      <c r="BO7" s="1202">
        <f>Q_IS!BO7</f>
        <v>-0.5625</v>
      </c>
      <c r="BP7" s="1202">
        <f>Q_IS!BP7</f>
        <v>-0.6</v>
      </c>
      <c r="BQ7" s="1203">
        <f>Q_IS!BQ7</f>
        <v>-1</v>
      </c>
      <c r="BR7" s="1202">
        <f>Q_IS!BR7</f>
        <v>-1.6</v>
      </c>
      <c r="BS7" s="1202">
        <f>Q_IS!BS7</f>
        <v>-1.857142857142857</v>
      </c>
      <c r="BT7" s="1202">
        <f>Q_IS!BT7</f>
        <v>-2.166666666666667</v>
      </c>
      <c r="BU7" s="1202" t="str">
        <f>Q_IS!BU7</f>
        <v>NM</v>
      </c>
      <c r="BV7" s="1204">
        <f>Q_IS!BV7</f>
        <v>1.3333333333333335</v>
      </c>
      <c r="BW7" s="1202">
        <f>Q_IS!BW7</f>
        <v>1.166666666666667</v>
      </c>
      <c r="BX7" s="1202">
        <f>Q_IS!BX7</f>
        <v>0.85714285714285698</v>
      </c>
      <c r="BY7" s="1203">
        <f>Q_IS!BY7</f>
        <v>0.625</v>
      </c>
      <c r="BZ7" s="1202">
        <f>Q_IS!BZ7</f>
        <v>-0.2830152723379189</v>
      </c>
      <c r="CA7" s="1202">
        <f>Q_IS!CA7</f>
        <v>-0.19768980510166134</v>
      </c>
      <c r="CB7" s="1202">
        <f>Q_IS!CB7</f>
        <v>-0.26041415819650038</v>
      </c>
      <c r="CC7" s="1202">
        <f>Q_IS!CC7</f>
        <v>-0.14539178133585762</v>
      </c>
      <c r="CD7" s="1204">
        <f>Q_IS!CD7</f>
        <v>0.28963803508417341</v>
      </c>
      <c r="CE7" s="1202">
        <f>Q_IS!CE7</f>
        <v>-0.20527798478389669</v>
      </c>
      <c r="CF7" s="1202">
        <f>Q_IS!CF7</f>
        <v>-7.2848158070660252E-2</v>
      </c>
      <c r="CG7" s="1202">
        <f>Q_IS!CG7</f>
        <v>-0.25922675948028917</v>
      </c>
      <c r="CH7" s="1204">
        <f>Q_IS!CH7</f>
        <v>-0.18933828682624976</v>
      </c>
      <c r="CI7" s="1202">
        <f>Q_IS!CI7</f>
        <v>0.22594839243568199</v>
      </c>
      <c r="CJ7" s="1202">
        <f>Q_IS!CJ7</f>
        <v>0.18899972110155971</v>
      </c>
      <c r="CK7" s="1202">
        <f>Q_IS!CK7</f>
        <v>0.39789198647680024</v>
      </c>
      <c r="CL7" s="1204"/>
      <c r="CM7" s="1170"/>
      <c r="CN7" s="1170"/>
      <c r="CO7" s="1170"/>
      <c r="CP7" s="1170"/>
      <c r="CQ7" s="1170"/>
      <c r="CR7" s="1170"/>
      <c r="CS7" s="1170"/>
      <c r="CT7" s="1170"/>
      <c r="CU7" s="1170" t="s">
        <v>217</v>
      </c>
    </row>
    <row r="8" spans="1:99" ht="12.75" customHeight="1" collapsed="1">
      <c r="A8" s="1205"/>
      <c r="B8" s="1206"/>
      <c r="C8" s="1206"/>
      <c r="D8" s="1206"/>
      <c r="E8" s="1206"/>
      <c r="F8" s="1206"/>
      <c r="G8" s="1206"/>
      <c r="H8" s="1206"/>
      <c r="I8" s="1206"/>
      <c r="J8" s="1206"/>
      <c r="K8" s="1206"/>
      <c r="L8" s="1206"/>
      <c r="M8" s="1206"/>
      <c r="N8" s="1206"/>
      <c r="O8" s="1207"/>
      <c r="P8" s="1207"/>
      <c r="Q8" s="1207"/>
      <c r="R8" s="1208"/>
      <c r="S8" s="1206"/>
      <c r="T8" s="1507"/>
      <c r="U8" s="1507"/>
      <c r="V8" s="1507"/>
      <c r="W8" s="1507"/>
      <c r="X8" s="1248"/>
      <c r="Y8" s="1248"/>
      <c r="Z8" s="1248"/>
      <c r="AA8" s="1248"/>
      <c r="AB8" s="1248"/>
      <c r="AC8" s="1248"/>
      <c r="AD8" s="1248"/>
      <c r="AE8" s="1248"/>
      <c r="AF8" s="1248"/>
      <c r="AG8" s="1519"/>
      <c r="AH8" s="1206"/>
      <c r="AI8" s="1206"/>
      <c r="AJ8" s="1206"/>
      <c r="AK8" s="1206"/>
      <c r="AL8" s="1206"/>
      <c r="AM8" s="1206"/>
      <c r="AN8" s="1206"/>
      <c r="AO8" s="1206"/>
      <c r="AP8" s="1206"/>
      <c r="AQ8" s="1206"/>
      <c r="AR8" s="1206"/>
      <c r="AS8" s="1206"/>
      <c r="AT8" s="1206"/>
      <c r="AU8" s="1206"/>
      <c r="AV8" s="1206"/>
      <c r="AW8" s="1206"/>
      <c r="AX8" s="1206"/>
      <c r="AY8" s="1206"/>
      <c r="AZ8" s="1206"/>
      <c r="BA8" s="1206"/>
      <c r="BB8" s="1206"/>
      <c r="BC8" s="1206"/>
      <c r="BD8" s="1206"/>
      <c r="BE8" s="1206"/>
      <c r="BF8" s="1206"/>
      <c r="BG8" s="1206"/>
      <c r="BH8" s="1206"/>
      <c r="BI8" s="1206"/>
      <c r="BJ8" s="1206"/>
      <c r="BK8" s="1206"/>
      <c r="BL8" s="1206"/>
      <c r="BM8" s="1206"/>
      <c r="BN8" s="1206"/>
      <c r="BO8" s="1206"/>
      <c r="BP8" s="1206"/>
      <c r="BQ8" s="1206"/>
      <c r="BR8" s="1365"/>
      <c r="BS8" s="1206"/>
      <c r="BT8" s="1206"/>
      <c r="BU8" s="1206"/>
      <c r="BV8" s="1365"/>
      <c r="BW8" s="1206"/>
      <c r="BX8" s="1206"/>
      <c r="BY8" s="1206"/>
      <c r="BZ8" s="1365"/>
      <c r="CA8" s="1206"/>
      <c r="CB8" s="1206"/>
      <c r="CC8" s="1206"/>
      <c r="CD8" s="1365"/>
      <c r="CE8" s="1206"/>
      <c r="CF8" s="1206"/>
      <c r="CG8" s="1206"/>
      <c r="CH8" s="1365"/>
      <c r="CI8" s="1206"/>
      <c r="CJ8" s="1206"/>
      <c r="CK8" s="1206"/>
      <c r="CL8" s="1365"/>
      <c r="CM8" s="1170"/>
      <c r="CN8" s="1170"/>
      <c r="CO8" s="1170"/>
      <c r="CP8" s="1170"/>
      <c r="CQ8" s="1170"/>
      <c r="CR8" s="1170"/>
      <c r="CS8" s="1170"/>
      <c r="CT8" s="1170"/>
      <c r="CU8" s="1198"/>
    </row>
    <row r="9" spans="1:99" ht="12.75" customHeight="1">
      <c r="A9" s="1520" t="s">
        <v>816</v>
      </c>
      <c r="B9" s="1198"/>
      <c r="C9" s="1198"/>
      <c r="D9" s="1198"/>
      <c r="E9" s="1198"/>
      <c r="F9" s="1198"/>
      <c r="G9" s="1198"/>
      <c r="H9" s="1248"/>
      <c r="I9" s="1248"/>
      <c r="J9" s="1248"/>
      <c r="K9" s="1248"/>
      <c r="L9" s="1248"/>
      <c r="M9" s="1248"/>
      <c r="N9" s="1248"/>
      <c r="O9" s="1282"/>
      <c r="P9" s="1282"/>
      <c r="Q9" s="1282"/>
      <c r="R9" s="1250"/>
      <c r="S9" s="1248"/>
      <c r="T9" s="1507"/>
      <c r="U9" s="1507"/>
      <c r="V9" s="1507"/>
      <c r="W9" s="1507"/>
      <c r="X9" s="1248"/>
      <c r="Y9" s="1248"/>
      <c r="Z9" s="1248"/>
      <c r="AA9" s="1248"/>
      <c r="AB9" s="1248"/>
      <c r="AC9" s="1248"/>
      <c r="AD9" s="1248"/>
      <c r="AE9" s="1248"/>
      <c r="AF9" s="1248"/>
      <c r="AG9" s="1519"/>
      <c r="AH9" s="1248"/>
      <c r="AI9" s="1248"/>
      <c r="AJ9" s="1248"/>
      <c r="AK9" s="1248"/>
      <c r="AL9" s="1248"/>
      <c r="AM9" s="1248"/>
      <c r="AN9" s="1248"/>
      <c r="AO9" s="1248"/>
      <c r="AP9" s="1248"/>
      <c r="AQ9" s="1248"/>
      <c r="AR9" s="1248"/>
      <c r="AS9" s="1248"/>
      <c r="AT9" s="1248"/>
      <c r="AU9" s="1248"/>
      <c r="AV9" s="1248"/>
      <c r="AW9" s="1248"/>
      <c r="AX9" s="1248"/>
      <c r="AY9" s="1248"/>
      <c r="AZ9" s="1248"/>
      <c r="BA9" s="1248"/>
      <c r="BB9" s="1248"/>
      <c r="BC9" s="1248"/>
      <c r="BD9" s="1248"/>
      <c r="BE9" s="1248"/>
      <c r="BF9" s="1248"/>
      <c r="BG9" s="1248"/>
      <c r="BH9" s="1248"/>
      <c r="BI9" s="1248"/>
      <c r="BJ9" s="1248"/>
      <c r="BK9" s="1248"/>
      <c r="BL9" s="1248"/>
      <c r="BM9" s="1248"/>
      <c r="BN9" s="1248"/>
      <c r="BO9" s="1248"/>
      <c r="BP9" s="1248"/>
      <c r="BQ9" s="1248"/>
      <c r="BR9" s="1249"/>
      <c r="BS9" s="1248"/>
      <c r="BT9" s="1248"/>
      <c r="BU9" s="1248"/>
      <c r="BV9" s="1249"/>
      <c r="BW9" s="1248"/>
      <c r="BX9" s="1248"/>
      <c r="BY9" s="1250"/>
      <c r="BZ9" s="1282"/>
      <c r="CA9" s="1248"/>
      <c r="CB9" s="1248"/>
      <c r="CC9" s="1248"/>
      <c r="CD9" s="1249"/>
      <c r="CE9" s="1248"/>
      <c r="CF9" s="1248"/>
      <c r="CG9" s="1248"/>
      <c r="CH9" s="1249"/>
      <c r="CI9" s="1248"/>
      <c r="CJ9" s="1248"/>
      <c r="CK9" s="1248"/>
      <c r="CL9" s="1249"/>
      <c r="CM9" s="1170"/>
      <c r="CN9" s="1170"/>
      <c r="CO9" s="1170"/>
      <c r="CP9" s="1170"/>
      <c r="CQ9" s="1170"/>
      <c r="CR9" s="1170"/>
      <c r="CS9" s="1170"/>
      <c r="CT9" s="1170"/>
      <c r="CU9" s="1198"/>
    </row>
    <row r="10" spans="1:99" ht="12.75" customHeight="1">
      <c r="A10" s="1225" t="s">
        <v>684</v>
      </c>
      <c r="B10" s="1198"/>
      <c r="C10" s="1198"/>
      <c r="D10" s="1198"/>
      <c r="E10" s="1198"/>
      <c r="F10" s="1226"/>
      <c r="G10" s="1226"/>
      <c r="H10" s="1248"/>
      <c r="I10" s="1248"/>
      <c r="J10" s="1248">
        <f t="shared" ref="J10:J17" si="0">BE10</f>
        <v>2253</v>
      </c>
      <c r="K10" s="1248">
        <f t="shared" ref="K10:K16" si="1">BI10</f>
        <v>1756</v>
      </c>
      <c r="L10" s="1248">
        <f t="shared" ref="L10:L16" si="2">BM10</f>
        <v>1151</v>
      </c>
      <c r="M10" s="1248">
        <f>+BQ10</f>
        <v>846</v>
      </c>
      <c r="N10" s="1248">
        <f>+BU10</f>
        <v>1241</v>
      </c>
      <c r="O10" s="1282">
        <f>+BY10</f>
        <v>902</v>
      </c>
      <c r="P10" s="1282">
        <f t="shared" ref="P10:P16" si="3">CC10</f>
        <v>565</v>
      </c>
      <c r="Q10" s="1776">
        <f t="shared" ref="Q10:Q16" si="4">CG10</f>
        <v>2406</v>
      </c>
      <c r="R10" s="1250">
        <f t="shared" ref="R10:R16" si="5">+CK10</f>
        <v>372</v>
      </c>
      <c r="S10" s="1386">
        <f>CO10</f>
        <v>0</v>
      </c>
      <c r="T10" s="1507"/>
      <c r="U10" s="1507"/>
      <c r="V10" s="1507"/>
      <c r="W10" s="1507"/>
      <c r="X10" s="1248"/>
      <c r="Y10" s="1248"/>
      <c r="Z10" s="1248"/>
      <c r="AA10" s="1248"/>
      <c r="AB10" s="1248"/>
      <c r="AC10" s="1248"/>
      <c r="AD10" s="1248"/>
      <c r="AE10" s="1248"/>
      <c r="AF10" s="1248"/>
      <c r="AG10" s="1519"/>
      <c r="AH10" s="1248"/>
      <c r="AI10" s="1248"/>
      <c r="AJ10" s="1248"/>
      <c r="AK10" s="1248"/>
      <c r="AL10" s="1248"/>
      <c r="AM10" s="1248"/>
      <c r="AN10" s="1248"/>
      <c r="AO10" s="1248"/>
      <c r="AP10" s="1248"/>
      <c r="AQ10" s="1248"/>
      <c r="AR10" s="1248"/>
      <c r="AS10" s="1248"/>
      <c r="AT10" s="1248"/>
      <c r="AU10" s="1248"/>
      <c r="AV10" s="1248"/>
      <c r="AW10" s="1248"/>
      <c r="AX10" s="1248"/>
      <c r="AY10" s="1248"/>
      <c r="AZ10" s="1248"/>
      <c r="BA10" s="1248"/>
      <c r="BB10" s="1248"/>
      <c r="BC10" s="1248"/>
      <c r="BD10" s="1248"/>
      <c r="BE10" s="1333">
        <v>2253</v>
      </c>
      <c r="BF10" s="1333">
        <v>2568</v>
      </c>
      <c r="BG10" s="1333">
        <v>2761</v>
      </c>
      <c r="BH10" s="1333">
        <v>6089</v>
      </c>
      <c r="BI10" s="1333">
        <v>1756</v>
      </c>
      <c r="BJ10" s="1333">
        <v>1880</v>
      </c>
      <c r="BK10" s="1333">
        <v>1451</v>
      </c>
      <c r="BL10" s="1333">
        <v>1809</v>
      </c>
      <c r="BM10" s="1333">
        <v>1151</v>
      </c>
      <c r="BN10" s="1333">
        <v>1406</v>
      </c>
      <c r="BO10" s="1333">
        <v>2245</v>
      </c>
      <c r="BP10" s="1333">
        <v>2311</v>
      </c>
      <c r="BQ10" s="1333">
        <v>846</v>
      </c>
      <c r="BR10" s="1337">
        <v>610</v>
      </c>
      <c r="BS10" s="1333">
        <v>1189</v>
      </c>
      <c r="BT10" s="1333">
        <v>962</v>
      </c>
      <c r="BU10" s="1333">
        <v>1241</v>
      </c>
      <c r="BV10" s="1337">
        <v>887</v>
      </c>
      <c r="BW10" s="1333">
        <v>869</v>
      </c>
      <c r="BX10" s="1333">
        <v>1119</v>
      </c>
      <c r="BY10" s="1348">
        <v>902</v>
      </c>
      <c r="BZ10" s="1333">
        <v>634</v>
      </c>
      <c r="CA10" s="1333">
        <v>755</v>
      </c>
      <c r="CB10" s="1333">
        <v>586</v>
      </c>
      <c r="CC10" s="1333">
        <v>565</v>
      </c>
      <c r="CD10" s="1337">
        <v>541</v>
      </c>
      <c r="CE10" s="1333">
        <v>1796</v>
      </c>
      <c r="CF10" s="1333">
        <v>2074</v>
      </c>
      <c r="CG10" s="1348">
        <v>2406</v>
      </c>
      <c r="CH10" s="1337">
        <v>1196</v>
      </c>
      <c r="CI10" s="1349">
        <v>1118</v>
      </c>
      <c r="CJ10" s="1349">
        <v>1967</v>
      </c>
      <c r="CK10" s="1333">
        <v>372</v>
      </c>
      <c r="CL10" s="1337">
        <v>424</v>
      </c>
      <c r="CM10" s="1170"/>
      <c r="CN10" s="1170"/>
      <c r="CO10" s="1170"/>
      <c r="CP10" s="1170"/>
      <c r="CQ10" s="1170"/>
      <c r="CR10" s="1170"/>
      <c r="CS10" s="1170"/>
      <c r="CT10" s="1170"/>
      <c r="CU10" s="1223">
        <f>CK10-R10</f>
        <v>0</v>
      </c>
    </row>
    <row r="11" spans="1:99" ht="12.75" customHeight="1">
      <c r="A11" s="1225" t="s">
        <v>573</v>
      </c>
      <c r="B11" s="1225"/>
      <c r="C11" s="1225"/>
      <c r="D11" s="1225"/>
      <c r="E11" s="1225"/>
      <c r="F11" s="1225"/>
      <c r="G11" s="1226"/>
      <c r="H11" s="1248"/>
      <c r="I11" s="1248"/>
      <c r="J11" s="1248">
        <f t="shared" si="0"/>
        <v>17</v>
      </c>
      <c r="K11" s="1248">
        <f t="shared" si="1"/>
        <v>0</v>
      </c>
      <c r="L11" s="1248">
        <f t="shared" si="2"/>
        <v>619</v>
      </c>
      <c r="M11" s="1248">
        <f t="shared" ref="M11:M16" si="6">+BQ11</f>
        <v>101</v>
      </c>
      <c r="N11" s="1248">
        <f t="shared" ref="N11:N16" si="7">+BU11</f>
        <v>248</v>
      </c>
      <c r="O11" s="1282">
        <f t="shared" ref="O11:O16" si="8">+BY11</f>
        <v>79</v>
      </c>
      <c r="P11" s="1282">
        <f t="shared" si="3"/>
        <v>0</v>
      </c>
      <c r="Q11" s="1282">
        <f t="shared" si="4"/>
        <v>0</v>
      </c>
      <c r="R11" s="1250">
        <f t="shared" si="5"/>
        <v>0</v>
      </c>
      <c r="S11" s="1386">
        <f t="shared" ref="S11:S16" si="9">CO11</f>
        <v>0</v>
      </c>
      <c r="T11" s="1507"/>
      <c r="U11" s="1507"/>
      <c r="V11" s="1507"/>
      <c r="W11" s="1507"/>
      <c r="X11" s="1248"/>
      <c r="Y11" s="1248"/>
      <c r="Z11" s="1248"/>
      <c r="AA11" s="1248"/>
      <c r="AB11" s="1248"/>
      <c r="AC11" s="1248"/>
      <c r="AD11" s="1248"/>
      <c r="AE11" s="1248"/>
      <c r="AF11" s="1248"/>
      <c r="AG11" s="1519"/>
      <c r="AH11" s="1248"/>
      <c r="AI11" s="1248"/>
      <c r="AJ11" s="1248"/>
      <c r="AK11" s="1248"/>
      <c r="AL11" s="1248"/>
      <c r="AM11" s="1248"/>
      <c r="AN11" s="1248"/>
      <c r="AO11" s="1248"/>
      <c r="AP11" s="1248"/>
      <c r="AQ11" s="1248"/>
      <c r="AR11" s="1248"/>
      <c r="AS11" s="1248"/>
      <c r="AT11" s="1248"/>
      <c r="AU11" s="1248"/>
      <c r="AV11" s="1248"/>
      <c r="AW11" s="1248"/>
      <c r="AX11" s="1248"/>
      <c r="AY11" s="1248"/>
      <c r="AZ11" s="1248"/>
      <c r="BA11" s="1248"/>
      <c r="BB11" s="1248"/>
      <c r="BC11" s="1248"/>
      <c r="BD11" s="1248"/>
      <c r="BE11" s="1333">
        <v>17</v>
      </c>
      <c r="BF11" s="1333">
        <v>11</v>
      </c>
      <c r="BG11" s="1333">
        <v>12</v>
      </c>
      <c r="BH11" s="1333">
        <v>12</v>
      </c>
      <c r="BI11" s="1333">
        <v>0</v>
      </c>
      <c r="BJ11" s="1333">
        <v>0</v>
      </c>
      <c r="BK11" s="1333">
        <v>0</v>
      </c>
      <c r="BL11" s="1333">
        <v>0</v>
      </c>
      <c r="BM11" s="1333">
        <v>619</v>
      </c>
      <c r="BN11" s="1333">
        <v>966</v>
      </c>
      <c r="BO11" s="1333">
        <v>634</v>
      </c>
      <c r="BP11" s="1333">
        <v>580</v>
      </c>
      <c r="BQ11" s="1333">
        <v>101</v>
      </c>
      <c r="BR11" s="1337">
        <v>130</v>
      </c>
      <c r="BS11" s="1333">
        <v>205</v>
      </c>
      <c r="BT11" s="1333">
        <v>218</v>
      </c>
      <c r="BU11" s="1333">
        <v>248</v>
      </c>
      <c r="BV11" s="1337">
        <v>242</v>
      </c>
      <c r="BW11" s="1333">
        <v>240</v>
      </c>
      <c r="BX11" s="1333">
        <v>0</v>
      </c>
      <c r="BY11" s="1348">
        <v>79</v>
      </c>
      <c r="BZ11" s="1333">
        <v>0</v>
      </c>
      <c r="CA11" s="1333">
        <v>0</v>
      </c>
      <c r="CB11" s="1333">
        <v>0</v>
      </c>
      <c r="CC11" s="1333">
        <v>0</v>
      </c>
      <c r="CD11" s="1337">
        <v>0</v>
      </c>
      <c r="CE11" s="1333">
        <v>0</v>
      </c>
      <c r="CF11" s="1333">
        <v>0</v>
      </c>
      <c r="CG11" s="1348">
        <v>0</v>
      </c>
      <c r="CH11" s="1337">
        <v>656</v>
      </c>
      <c r="CI11" s="1349">
        <v>661</v>
      </c>
      <c r="CJ11" s="1349">
        <v>0</v>
      </c>
      <c r="CK11" s="1333">
        <v>0</v>
      </c>
      <c r="CL11" s="1337"/>
      <c r="CM11" s="1170"/>
      <c r="CN11" s="1170"/>
      <c r="CO11" s="1170"/>
      <c r="CP11" s="1170"/>
      <c r="CQ11" s="1170"/>
      <c r="CR11" s="1170"/>
      <c r="CS11" s="1170"/>
      <c r="CT11" s="1170"/>
      <c r="CU11" s="1223">
        <f t="shared" ref="CU11:CU56" si="10">CK11-R11</f>
        <v>0</v>
      </c>
    </row>
    <row r="12" spans="1:99" ht="12.75" customHeight="1">
      <c r="A12" s="1225" t="s">
        <v>819</v>
      </c>
      <c r="B12" s="1198"/>
      <c r="C12" s="1198"/>
      <c r="D12" s="1198"/>
      <c r="E12" s="1198"/>
      <c r="F12" s="1226"/>
      <c r="G12" s="1226"/>
      <c r="H12" s="1248"/>
      <c r="I12" s="1248"/>
      <c r="J12" s="1248">
        <f t="shared" si="0"/>
        <v>2327</v>
      </c>
      <c r="K12" s="1248">
        <f t="shared" si="1"/>
        <v>1835</v>
      </c>
      <c r="L12" s="1248">
        <f t="shared" si="2"/>
        <v>1594</v>
      </c>
      <c r="M12" s="1248">
        <f t="shared" si="6"/>
        <v>1525</v>
      </c>
      <c r="N12" s="1248">
        <f t="shared" si="7"/>
        <v>1600</v>
      </c>
      <c r="O12" s="1282">
        <f t="shared" si="8"/>
        <v>1576</v>
      </c>
      <c r="P12" s="1282">
        <f t="shared" si="3"/>
        <v>1465</v>
      </c>
      <c r="Q12" s="1282">
        <f t="shared" si="4"/>
        <v>1302</v>
      </c>
      <c r="R12" s="1250">
        <f t="shared" si="5"/>
        <v>1264</v>
      </c>
      <c r="S12" s="1386">
        <f>CO12</f>
        <v>0</v>
      </c>
      <c r="T12" s="1507"/>
      <c r="U12" s="1507"/>
      <c r="V12" s="1507"/>
      <c r="W12" s="1507"/>
      <c r="X12" s="1248"/>
      <c r="Y12" s="1248"/>
      <c r="Z12" s="1248"/>
      <c r="AA12" s="1248"/>
      <c r="AB12" s="1248"/>
      <c r="AC12" s="1248"/>
      <c r="AD12" s="1248"/>
      <c r="AE12" s="1248"/>
      <c r="AF12" s="1248"/>
      <c r="AG12" s="1519"/>
      <c r="AH12" s="1248"/>
      <c r="AI12" s="1248"/>
      <c r="AJ12" s="1248"/>
      <c r="AK12" s="1248"/>
      <c r="AL12" s="1248"/>
      <c r="AM12" s="1248"/>
      <c r="AN12" s="1248"/>
      <c r="AO12" s="1248"/>
      <c r="AP12" s="1248"/>
      <c r="AQ12" s="1248"/>
      <c r="AR12" s="1248"/>
      <c r="AS12" s="1248"/>
      <c r="AT12" s="1248"/>
      <c r="AU12" s="1248"/>
      <c r="AV12" s="1248"/>
      <c r="AW12" s="1248"/>
      <c r="AX12" s="1248"/>
      <c r="AY12" s="1248"/>
      <c r="AZ12" s="1248"/>
      <c r="BA12" s="1248"/>
      <c r="BB12" s="1248"/>
      <c r="BC12" s="1248"/>
      <c r="BD12" s="1248"/>
      <c r="BE12" s="1333">
        <v>2327</v>
      </c>
      <c r="BF12" s="1333">
        <v>2060</v>
      </c>
      <c r="BG12" s="1333">
        <v>2048</v>
      </c>
      <c r="BH12" s="1333">
        <v>1891</v>
      </c>
      <c r="BI12" s="1333">
        <v>1835</v>
      </c>
      <c r="BJ12" s="1333">
        <v>1626</v>
      </c>
      <c r="BK12" s="1333">
        <v>1742</v>
      </c>
      <c r="BL12" s="1333">
        <v>1700</v>
      </c>
      <c r="BM12" s="1333">
        <v>1594</v>
      </c>
      <c r="BN12" s="1333">
        <v>1603</v>
      </c>
      <c r="BO12" s="1333">
        <v>1566</v>
      </c>
      <c r="BP12" s="1333">
        <v>1595</v>
      </c>
      <c r="BQ12" s="1333">
        <v>1525</v>
      </c>
      <c r="BR12" s="1337">
        <v>1541</v>
      </c>
      <c r="BS12" s="1333">
        <v>1477</v>
      </c>
      <c r="BT12" s="1333">
        <v>1718</v>
      </c>
      <c r="BU12" s="1333">
        <v>1600</v>
      </c>
      <c r="BV12" s="1337">
        <v>1510</v>
      </c>
      <c r="BW12" s="1333">
        <v>1497</v>
      </c>
      <c r="BX12" s="1333">
        <v>1586</v>
      </c>
      <c r="BY12" s="1348">
        <v>1576</v>
      </c>
      <c r="BZ12" s="1333">
        <v>1510</v>
      </c>
      <c r="CA12" s="1333">
        <v>1561</v>
      </c>
      <c r="CB12" s="1333">
        <v>1454</v>
      </c>
      <c r="CC12" s="1333">
        <v>1465</v>
      </c>
      <c r="CD12" s="1337">
        <v>1360</v>
      </c>
      <c r="CE12" s="1333">
        <v>1331</v>
      </c>
      <c r="CF12" s="1333">
        <v>1343</v>
      </c>
      <c r="CG12" s="1348">
        <v>1302</v>
      </c>
      <c r="CH12" s="1337">
        <v>1245</v>
      </c>
      <c r="CI12" s="1349">
        <v>1247</v>
      </c>
      <c r="CJ12" s="1349">
        <v>1259</v>
      </c>
      <c r="CK12" s="1333">
        <v>1264</v>
      </c>
      <c r="CL12" s="1337">
        <v>1188</v>
      </c>
      <c r="CM12" s="1170"/>
      <c r="CN12" s="1170"/>
      <c r="CO12" s="1170"/>
      <c r="CP12" s="1170"/>
      <c r="CQ12" s="1170"/>
      <c r="CR12" s="1170"/>
      <c r="CS12" s="1170"/>
      <c r="CT12" s="1170"/>
      <c r="CU12" s="1223">
        <f t="shared" si="10"/>
        <v>0</v>
      </c>
    </row>
    <row r="13" spans="1:99" ht="12.75" customHeight="1">
      <c r="A13" s="1225" t="s">
        <v>685</v>
      </c>
      <c r="B13" s="1198"/>
      <c r="C13" s="1198"/>
      <c r="D13" s="1198"/>
      <c r="E13" s="1198"/>
      <c r="F13" s="1226"/>
      <c r="G13" s="1226"/>
      <c r="H13" s="1248"/>
      <c r="I13" s="1248"/>
      <c r="J13" s="1248">
        <f t="shared" si="0"/>
        <v>68</v>
      </c>
      <c r="K13" s="1248">
        <f t="shared" si="1"/>
        <v>82</v>
      </c>
      <c r="L13" s="1248">
        <f t="shared" si="2"/>
        <v>0</v>
      </c>
      <c r="M13" s="1248">
        <f t="shared" si="6"/>
        <v>0</v>
      </c>
      <c r="N13" s="1248">
        <f t="shared" si="7"/>
        <v>0</v>
      </c>
      <c r="O13" s="1282">
        <f t="shared" si="8"/>
        <v>0</v>
      </c>
      <c r="P13" s="1282">
        <f t="shared" si="3"/>
        <v>0</v>
      </c>
      <c r="Q13" s="1282">
        <f t="shared" si="4"/>
        <v>0</v>
      </c>
      <c r="R13" s="1250">
        <f t="shared" ca="1" si="5"/>
        <v>0</v>
      </c>
      <c r="S13" s="1386">
        <f t="shared" si="9"/>
        <v>0</v>
      </c>
      <c r="T13" s="1507"/>
      <c r="U13" s="1507"/>
      <c r="V13" s="1507"/>
      <c r="W13" s="1507"/>
      <c r="X13" s="1248"/>
      <c r="Y13" s="1248"/>
      <c r="Z13" s="1248"/>
      <c r="AA13" s="1248"/>
      <c r="AB13" s="1248"/>
      <c r="AC13" s="1248"/>
      <c r="AD13" s="1248"/>
      <c r="AE13" s="1248"/>
      <c r="AF13" s="1248"/>
      <c r="AG13" s="1519"/>
      <c r="AH13" s="1248"/>
      <c r="AI13" s="1248"/>
      <c r="AJ13" s="1248"/>
      <c r="AK13" s="1248"/>
      <c r="AL13" s="1248"/>
      <c r="AM13" s="1248"/>
      <c r="AN13" s="1248"/>
      <c r="AO13" s="1248"/>
      <c r="AP13" s="1248"/>
      <c r="AQ13" s="1248"/>
      <c r="AR13" s="1248"/>
      <c r="AS13" s="1248"/>
      <c r="AT13" s="1248"/>
      <c r="AU13" s="1248"/>
      <c r="AV13" s="1248"/>
      <c r="AW13" s="1248"/>
      <c r="AX13" s="1248"/>
      <c r="AY13" s="1248"/>
      <c r="AZ13" s="1248"/>
      <c r="BA13" s="1248"/>
      <c r="BB13" s="1248"/>
      <c r="BC13" s="1248"/>
      <c r="BD13" s="1248"/>
      <c r="BE13" s="1333">
        <v>68</v>
      </c>
      <c r="BF13" s="1333">
        <v>72</v>
      </c>
      <c r="BG13" s="1333">
        <v>75</v>
      </c>
      <c r="BH13" s="1333">
        <v>84</v>
      </c>
      <c r="BI13" s="1333">
        <v>82</v>
      </c>
      <c r="BJ13" s="1333">
        <v>0</v>
      </c>
      <c r="BK13" s="1333">
        <v>0</v>
      </c>
      <c r="BL13" s="1333">
        <v>0</v>
      </c>
      <c r="BM13" s="1333">
        <v>0</v>
      </c>
      <c r="BN13" s="1333">
        <v>0</v>
      </c>
      <c r="BO13" s="1333">
        <v>0</v>
      </c>
      <c r="BP13" s="1333">
        <v>0</v>
      </c>
      <c r="BQ13" s="1333">
        <v>0</v>
      </c>
      <c r="BR13" s="1337">
        <v>0</v>
      </c>
      <c r="BS13" s="1333">
        <v>0</v>
      </c>
      <c r="BT13" s="1333">
        <v>0</v>
      </c>
      <c r="BU13" s="1333">
        <v>0</v>
      </c>
      <c r="BV13" s="1337">
        <v>0</v>
      </c>
      <c r="BW13" s="1333">
        <v>0</v>
      </c>
      <c r="BX13" s="1333">
        <v>0</v>
      </c>
      <c r="BY13" s="1348">
        <v>0</v>
      </c>
      <c r="BZ13" s="1333">
        <v>0</v>
      </c>
      <c r="CA13" s="1333">
        <v>0</v>
      </c>
      <c r="CB13" s="1333">
        <v>0</v>
      </c>
      <c r="CC13" s="1333">
        <v>0</v>
      </c>
      <c r="CD13" s="1337">
        <v>0</v>
      </c>
      <c r="CE13" s="1333">
        <v>0</v>
      </c>
      <c r="CF13" s="1333">
        <v>0</v>
      </c>
      <c r="CG13" s="1348">
        <v>0</v>
      </c>
      <c r="CH13" s="1337">
        <v>0</v>
      </c>
      <c r="CI13" s="1349">
        <v>0</v>
      </c>
      <c r="CJ13" s="1349">
        <v>0</v>
      </c>
      <c r="CK13" s="1333">
        <f ca="1">CK70*Q_IS!CK44/90</f>
        <v>0</v>
      </c>
      <c r="CL13" s="1337"/>
      <c r="CM13" s="1170"/>
      <c r="CN13" s="1170"/>
      <c r="CO13" s="1170"/>
      <c r="CP13" s="1170"/>
      <c r="CQ13" s="1170"/>
      <c r="CR13" s="1170"/>
      <c r="CS13" s="1170"/>
      <c r="CT13" s="1170"/>
      <c r="CU13" s="1223">
        <f t="shared" ca="1" si="10"/>
        <v>0</v>
      </c>
    </row>
    <row r="14" spans="1:99" ht="12.75" customHeight="1">
      <c r="A14" s="1225" t="s">
        <v>574</v>
      </c>
      <c r="B14" s="1225"/>
      <c r="C14" s="1198"/>
      <c r="D14" s="1198"/>
      <c r="E14" s="1198"/>
      <c r="F14" s="1198"/>
      <c r="G14" s="1198"/>
      <c r="H14" s="1248"/>
      <c r="I14" s="1248"/>
      <c r="J14" s="1248">
        <f t="shared" si="0"/>
        <v>898</v>
      </c>
      <c r="K14" s="1248">
        <f t="shared" si="1"/>
        <v>159</v>
      </c>
      <c r="L14" s="1248">
        <f t="shared" si="2"/>
        <v>0</v>
      </c>
      <c r="M14" s="1248">
        <f t="shared" si="6"/>
        <v>0</v>
      </c>
      <c r="N14" s="1248">
        <f t="shared" si="7"/>
        <v>0</v>
      </c>
      <c r="O14" s="1282">
        <f t="shared" si="8"/>
        <v>654</v>
      </c>
      <c r="P14" s="1282">
        <f t="shared" si="3"/>
        <v>572</v>
      </c>
      <c r="Q14" s="1282">
        <f t="shared" si="4"/>
        <v>538</v>
      </c>
      <c r="R14" s="1250">
        <f t="shared" si="5"/>
        <v>234</v>
      </c>
      <c r="S14" s="1386">
        <f t="shared" si="9"/>
        <v>0</v>
      </c>
      <c r="T14" s="1507"/>
      <c r="U14" s="1507"/>
      <c r="V14" s="1507"/>
      <c r="W14" s="1507"/>
      <c r="X14" s="1248"/>
      <c r="Y14" s="1248"/>
      <c r="Z14" s="1248"/>
      <c r="AA14" s="1248"/>
      <c r="AB14" s="1248"/>
      <c r="AC14" s="1248"/>
      <c r="AD14" s="1248"/>
      <c r="AE14" s="1248"/>
      <c r="AF14" s="1248"/>
      <c r="AG14" s="1519"/>
      <c r="AH14" s="1248"/>
      <c r="AI14" s="1248"/>
      <c r="AJ14" s="1248"/>
      <c r="AK14" s="1248"/>
      <c r="AL14" s="1248"/>
      <c r="AM14" s="1248"/>
      <c r="AN14" s="1248"/>
      <c r="AO14" s="1248"/>
      <c r="AP14" s="1248"/>
      <c r="AQ14" s="1248"/>
      <c r="AR14" s="1248"/>
      <c r="AS14" s="1248"/>
      <c r="AT14" s="1248"/>
      <c r="AU14" s="1248"/>
      <c r="AV14" s="1248"/>
      <c r="AW14" s="1248"/>
      <c r="AX14" s="1248"/>
      <c r="AY14" s="1248"/>
      <c r="AZ14" s="1248"/>
      <c r="BA14" s="1248"/>
      <c r="BB14" s="1248"/>
      <c r="BC14" s="1248"/>
      <c r="BD14" s="1248"/>
      <c r="BE14" s="1333">
        <v>898</v>
      </c>
      <c r="BF14" s="1333">
        <v>850</v>
      </c>
      <c r="BG14" s="1333">
        <v>867</v>
      </c>
      <c r="BH14" s="1333">
        <v>0</v>
      </c>
      <c r="BI14" s="1333">
        <v>159</v>
      </c>
      <c r="BJ14" s="1333">
        <v>758</v>
      </c>
      <c r="BK14" s="1333">
        <v>0</v>
      </c>
      <c r="BL14" s="1333">
        <v>0</v>
      </c>
      <c r="BM14" s="1333">
        <v>0</v>
      </c>
      <c r="BN14" s="1333">
        <v>0</v>
      </c>
      <c r="BO14" s="1333">
        <v>0</v>
      </c>
      <c r="BP14" s="1333">
        <v>0</v>
      </c>
      <c r="BQ14" s="1333">
        <v>0</v>
      </c>
      <c r="BR14" s="1337">
        <v>0</v>
      </c>
      <c r="BS14" s="1333">
        <v>0</v>
      </c>
      <c r="BT14" s="1333">
        <v>0</v>
      </c>
      <c r="BU14" s="1333">
        <v>0</v>
      </c>
      <c r="BV14" s="1337">
        <v>0</v>
      </c>
      <c r="BW14" s="1333">
        <v>0</v>
      </c>
      <c r="BX14" s="1333">
        <v>658</v>
      </c>
      <c r="BY14" s="1348">
        <v>654</v>
      </c>
      <c r="BZ14" s="1333">
        <v>609</v>
      </c>
      <c r="CA14" s="1333">
        <v>583</v>
      </c>
      <c r="CB14" s="1333">
        <v>577</v>
      </c>
      <c r="CC14" s="1333">
        <v>572</v>
      </c>
      <c r="CD14" s="1337">
        <v>589</v>
      </c>
      <c r="CE14" s="1333">
        <v>576</v>
      </c>
      <c r="CF14" s="1333">
        <v>569</v>
      </c>
      <c r="CG14" s="1348">
        <v>538</v>
      </c>
      <c r="CH14" s="1337">
        <v>527</v>
      </c>
      <c r="CI14" s="1349">
        <v>538</v>
      </c>
      <c r="CJ14" s="1349">
        <v>536</v>
      </c>
      <c r="CK14" s="1333">
        <v>234</v>
      </c>
      <c r="CL14" s="1337">
        <v>159</v>
      </c>
      <c r="CM14" s="1170"/>
      <c r="CN14" s="1170"/>
      <c r="CO14" s="1170"/>
      <c r="CP14" s="1170"/>
      <c r="CQ14" s="1170"/>
      <c r="CR14" s="1170"/>
      <c r="CS14" s="1170"/>
      <c r="CT14" s="1170"/>
      <c r="CU14" s="1223">
        <f t="shared" si="10"/>
        <v>0</v>
      </c>
    </row>
    <row r="15" spans="1:99" ht="12.75" customHeight="1">
      <c r="A15" s="1225" t="s">
        <v>575</v>
      </c>
      <c r="B15" s="1198"/>
      <c r="C15" s="1198"/>
      <c r="D15" s="1198"/>
      <c r="E15" s="1198"/>
      <c r="F15" s="1226"/>
      <c r="G15" s="1226"/>
      <c r="H15" s="1248"/>
      <c r="I15" s="1248"/>
      <c r="J15" s="1248">
        <f t="shared" si="0"/>
        <v>494</v>
      </c>
      <c r="K15" s="1248">
        <f t="shared" si="1"/>
        <v>584</v>
      </c>
      <c r="L15" s="1248">
        <f t="shared" si="2"/>
        <v>694</v>
      </c>
      <c r="M15" s="1248">
        <f t="shared" si="6"/>
        <v>692</v>
      </c>
      <c r="N15" s="1248">
        <f t="shared" si="7"/>
        <v>565</v>
      </c>
      <c r="O15" s="1282">
        <f t="shared" si="8"/>
        <v>362</v>
      </c>
      <c r="P15" s="1282">
        <f t="shared" si="3"/>
        <v>368</v>
      </c>
      <c r="Q15" s="1282">
        <f t="shared" si="4"/>
        <v>368</v>
      </c>
      <c r="R15" s="1250">
        <f t="shared" si="5"/>
        <v>360</v>
      </c>
      <c r="S15" s="1386">
        <f t="shared" si="9"/>
        <v>0</v>
      </c>
      <c r="T15" s="1507"/>
      <c r="U15" s="1507"/>
      <c r="V15" s="1507"/>
      <c r="W15" s="1507"/>
      <c r="X15" s="1248"/>
      <c r="Y15" s="1248"/>
      <c r="Z15" s="1248"/>
      <c r="AA15" s="1248"/>
      <c r="AB15" s="1248"/>
      <c r="AC15" s="1248"/>
      <c r="AD15" s="1248"/>
      <c r="AE15" s="1248"/>
      <c r="AF15" s="1248"/>
      <c r="AG15" s="1519"/>
      <c r="AH15" s="1248"/>
      <c r="AI15" s="1248"/>
      <c r="AJ15" s="1248"/>
      <c r="AK15" s="1248"/>
      <c r="AL15" s="1248"/>
      <c r="AM15" s="1248"/>
      <c r="AN15" s="1248"/>
      <c r="AO15" s="1248"/>
      <c r="AP15" s="1248"/>
      <c r="AQ15" s="1248"/>
      <c r="AR15" s="1248"/>
      <c r="AS15" s="1248"/>
      <c r="AT15" s="1248"/>
      <c r="AU15" s="1248"/>
      <c r="AV15" s="1248"/>
      <c r="AW15" s="1248"/>
      <c r="AX15" s="1248"/>
      <c r="AY15" s="1248"/>
      <c r="AZ15" s="1248"/>
      <c r="BA15" s="1248"/>
      <c r="BB15" s="1248"/>
      <c r="BC15" s="1248"/>
      <c r="BD15" s="1248"/>
      <c r="BE15" s="1333">
        <v>494</v>
      </c>
      <c r="BF15" s="1333">
        <v>440</v>
      </c>
      <c r="BG15" s="1333">
        <v>444</v>
      </c>
      <c r="BH15" s="1333">
        <v>417</v>
      </c>
      <c r="BI15" s="1333">
        <v>584</v>
      </c>
      <c r="BJ15" s="1333">
        <v>0</v>
      </c>
      <c r="BK15" s="1333">
        <v>714</v>
      </c>
      <c r="BL15" s="1333">
        <v>572</v>
      </c>
      <c r="BM15" s="1333">
        <v>694</v>
      </c>
      <c r="BN15" s="1333">
        <v>535</v>
      </c>
      <c r="BO15" s="1333">
        <v>439</v>
      </c>
      <c r="BP15" s="1333">
        <v>554</v>
      </c>
      <c r="BQ15" s="1333">
        <v>692</v>
      </c>
      <c r="BR15" s="1337">
        <v>743</v>
      </c>
      <c r="BS15" s="1333">
        <v>682</v>
      </c>
      <c r="BT15" s="1333">
        <v>677</v>
      </c>
      <c r="BU15" s="1333">
        <v>565</v>
      </c>
      <c r="BV15" s="1337">
        <v>555</v>
      </c>
      <c r="BW15" s="1333">
        <v>481</v>
      </c>
      <c r="BX15" s="1333">
        <v>406</v>
      </c>
      <c r="BY15" s="1348">
        <v>362</v>
      </c>
      <c r="BZ15" s="1333">
        <v>415</v>
      </c>
      <c r="CA15" s="1333">
        <v>359</v>
      </c>
      <c r="CB15" s="1333">
        <v>349</v>
      </c>
      <c r="CC15" s="1333">
        <v>368</v>
      </c>
      <c r="CD15" s="1337">
        <v>377</v>
      </c>
      <c r="CE15" s="1333">
        <v>345</v>
      </c>
      <c r="CF15" s="1333">
        <v>361</v>
      </c>
      <c r="CG15" s="1348">
        <v>368</v>
      </c>
      <c r="CH15" s="1337">
        <v>381</v>
      </c>
      <c r="CI15" s="1349">
        <v>316</v>
      </c>
      <c r="CJ15" s="1349">
        <v>323</v>
      </c>
      <c r="CK15" s="1333">
        <v>360</v>
      </c>
      <c r="CL15" s="1337">
        <v>342</v>
      </c>
      <c r="CM15" s="1170"/>
      <c r="CN15" s="1170"/>
      <c r="CO15" s="1170"/>
      <c r="CP15" s="1170"/>
      <c r="CQ15" s="1170"/>
      <c r="CR15" s="1170"/>
      <c r="CS15" s="1170"/>
      <c r="CT15" s="1170"/>
      <c r="CU15" s="1223">
        <f t="shared" si="10"/>
        <v>0</v>
      </c>
    </row>
    <row r="16" spans="1:99" ht="12.75" customHeight="1">
      <c r="A16" s="1225" t="s">
        <v>218</v>
      </c>
      <c r="B16" s="1198"/>
      <c r="C16" s="1198"/>
      <c r="D16" s="1198"/>
      <c r="E16" s="1198"/>
      <c r="F16" s="1198"/>
      <c r="G16" s="1198"/>
      <c r="H16" s="1248"/>
      <c r="I16" s="1248"/>
      <c r="J16" s="1248">
        <f t="shared" si="0"/>
        <v>315</v>
      </c>
      <c r="K16" s="1248">
        <f t="shared" si="1"/>
        <v>0</v>
      </c>
      <c r="L16" s="1248">
        <f t="shared" si="2"/>
        <v>160</v>
      </c>
      <c r="M16" s="1248">
        <f t="shared" si="6"/>
        <v>0</v>
      </c>
      <c r="N16" s="1248">
        <f t="shared" si="7"/>
        <v>0</v>
      </c>
      <c r="O16" s="1282">
        <f t="shared" si="8"/>
        <v>0</v>
      </c>
      <c r="P16" s="1282">
        <f t="shared" si="3"/>
        <v>0</v>
      </c>
      <c r="Q16" s="1282">
        <f t="shared" si="4"/>
        <v>0</v>
      </c>
      <c r="R16" s="1250">
        <f t="shared" si="5"/>
        <v>0</v>
      </c>
      <c r="S16" s="1386">
        <f t="shared" si="9"/>
        <v>0</v>
      </c>
      <c r="T16" s="1507"/>
      <c r="U16" s="1507"/>
      <c r="V16" s="1507"/>
      <c r="W16" s="1507"/>
      <c r="X16" s="1248"/>
      <c r="Y16" s="1248"/>
      <c r="Z16" s="1248"/>
      <c r="AA16" s="1248"/>
      <c r="AB16" s="1248"/>
      <c r="AC16" s="1248"/>
      <c r="AD16" s="1248"/>
      <c r="AE16" s="1248"/>
      <c r="AF16" s="1248"/>
      <c r="AG16" s="1519"/>
      <c r="AH16" s="1248"/>
      <c r="AI16" s="1248"/>
      <c r="AJ16" s="1248"/>
      <c r="AK16" s="1248"/>
      <c r="AL16" s="1248"/>
      <c r="AM16" s="1248"/>
      <c r="AN16" s="1248"/>
      <c r="AO16" s="1248"/>
      <c r="AP16" s="1248"/>
      <c r="AQ16" s="1248"/>
      <c r="AR16" s="1248"/>
      <c r="AS16" s="1248"/>
      <c r="AT16" s="1248"/>
      <c r="AU16" s="1248"/>
      <c r="AV16" s="1248"/>
      <c r="AW16" s="1248"/>
      <c r="AX16" s="1248"/>
      <c r="AY16" s="1248"/>
      <c r="AZ16" s="1248"/>
      <c r="BA16" s="1248"/>
      <c r="BB16" s="1248"/>
      <c r="BC16" s="1248"/>
      <c r="BD16" s="1248"/>
      <c r="BE16" s="1333">
        <v>315</v>
      </c>
      <c r="BF16" s="1333">
        <v>275</v>
      </c>
      <c r="BG16" s="1333">
        <v>266</v>
      </c>
      <c r="BH16" s="1333">
        <v>5</v>
      </c>
      <c r="BI16" s="1333">
        <v>0</v>
      </c>
      <c r="BJ16" s="1333">
        <v>0</v>
      </c>
      <c r="BK16" s="1333">
        <v>179</v>
      </c>
      <c r="BL16" s="1333">
        <v>165</v>
      </c>
      <c r="BM16" s="1333">
        <v>160</v>
      </c>
      <c r="BN16" s="1333">
        <v>18</v>
      </c>
      <c r="BO16" s="1333">
        <v>14</v>
      </c>
      <c r="BP16" s="1333">
        <v>14</v>
      </c>
      <c r="BQ16" s="1333">
        <v>0</v>
      </c>
      <c r="BR16" s="1337">
        <v>0</v>
      </c>
      <c r="BS16" s="1333">
        <v>0</v>
      </c>
      <c r="BT16" s="1333">
        <v>0</v>
      </c>
      <c r="BU16" s="1333">
        <v>0</v>
      </c>
      <c r="BV16" s="1337">
        <v>0</v>
      </c>
      <c r="BW16" s="1333">
        <v>0</v>
      </c>
      <c r="BX16" s="1333">
        <v>0</v>
      </c>
      <c r="BY16" s="1348">
        <v>0</v>
      </c>
      <c r="BZ16" s="1333">
        <v>0</v>
      </c>
      <c r="CA16" s="1333">
        <v>0</v>
      </c>
      <c r="CB16" s="1333">
        <v>0</v>
      </c>
      <c r="CC16" s="1333">
        <v>0</v>
      </c>
      <c r="CD16" s="1337">
        <v>0</v>
      </c>
      <c r="CE16" s="1333">
        <v>0</v>
      </c>
      <c r="CF16" s="1333">
        <v>0</v>
      </c>
      <c r="CG16" s="1348">
        <v>0</v>
      </c>
      <c r="CH16" s="1337">
        <v>0</v>
      </c>
      <c r="CI16" s="1349">
        <v>0</v>
      </c>
      <c r="CJ16" s="1349">
        <v>0</v>
      </c>
      <c r="CK16" s="1248"/>
      <c r="CL16" s="1337"/>
      <c r="CM16" s="1170"/>
      <c r="CN16" s="1170"/>
      <c r="CO16" s="1170"/>
      <c r="CP16" s="1170"/>
      <c r="CQ16" s="1170"/>
      <c r="CR16" s="1170"/>
      <c r="CS16" s="1170"/>
      <c r="CT16" s="1170"/>
      <c r="CU16" s="1223">
        <f t="shared" si="10"/>
        <v>0</v>
      </c>
    </row>
    <row r="17" spans="1:99" ht="12.75" customHeight="1">
      <c r="A17" s="1213" t="s">
        <v>817</v>
      </c>
      <c r="B17" s="1213"/>
      <c r="C17" s="1213"/>
      <c r="D17" s="1213"/>
      <c r="E17" s="1213"/>
      <c r="F17" s="1214"/>
      <c r="G17" s="1214"/>
      <c r="H17" s="1269"/>
      <c r="I17" s="1269"/>
      <c r="J17" s="1269">
        <f t="shared" si="0"/>
        <v>6372</v>
      </c>
      <c r="K17" s="1269">
        <f t="shared" ref="K17:R17" si="11">SUM(K10:K16)</f>
        <v>4416</v>
      </c>
      <c r="L17" s="1269">
        <f t="shared" si="11"/>
        <v>4218</v>
      </c>
      <c r="M17" s="1269">
        <f t="shared" si="11"/>
        <v>3164</v>
      </c>
      <c r="N17" s="1269">
        <f t="shared" si="11"/>
        <v>3654</v>
      </c>
      <c r="O17" s="1270">
        <f t="shared" si="11"/>
        <v>3573</v>
      </c>
      <c r="P17" s="1270">
        <f>SUM(P10:P16)</f>
        <v>2970</v>
      </c>
      <c r="Q17" s="1270">
        <f>SUM(Q10:Q16)</f>
        <v>4614</v>
      </c>
      <c r="R17" s="1271">
        <f t="shared" ca="1" si="11"/>
        <v>2230</v>
      </c>
      <c r="S17" s="1272">
        <f>SUM(S10:S16)</f>
        <v>0</v>
      </c>
      <c r="T17" s="1507"/>
      <c r="U17" s="1507"/>
      <c r="V17" s="1507"/>
      <c r="W17" s="1507"/>
      <c r="X17" s="1248"/>
      <c r="Y17" s="1248"/>
      <c r="Z17" s="1248"/>
      <c r="AA17" s="1248"/>
      <c r="AB17" s="1248"/>
      <c r="AC17" s="1248"/>
      <c r="AD17" s="1248"/>
      <c r="AE17" s="1248"/>
      <c r="AF17" s="1248"/>
      <c r="AG17" s="1519"/>
      <c r="AH17" s="1269"/>
      <c r="AI17" s="1269"/>
      <c r="AJ17" s="1269"/>
      <c r="AK17" s="1269"/>
      <c r="AL17" s="1269"/>
      <c r="AM17" s="1269"/>
      <c r="AN17" s="1269"/>
      <c r="AO17" s="1269"/>
      <c r="AP17" s="1269"/>
      <c r="AQ17" s="1269"/>
      <c r="AR17" s="1269"/>
      <c r="AS17" s="1269"/>
      <c r="AT17" s="1269"/>
      <c r="AU17" s="1269"/>
      <c r="AV17" s="1269"/>
      <c r="AW17" s="1269"/>
      <c r="AX17" s="1269"/>
      <c r="AY17" s="1269"/>
      <c r="AZ17" s="1269"/>
      <c r="BA17" s="1269"/>
      <c r="BB17" s="1269"/>
      <c r="BC17" s="1269"/>
      <c r="BD17" s="1269"/>
      <c r="BE17" s="1269">
        <f t="shared" ref="BE17:CJ17" si="12">SUM(BE10:BE16)</f>
        <v>6372</v>
      </c>
      <c r="BF17" s="1269">
        <f t="shared" si="12"/>
        <v>6276</v>
      </c>
      <c r="BG17" s="1269">
        <f t="shared" si="12"/>
        <v>6473</v>
      </c>
      <c r="BH17" s="1269">
        <f t="shared" si="12"/>
        <v>8498</v>
      </c>
      <c r="BI17" s="1269">
        <f t="shared" si="12"/>
        <v>4416</v>
      </c>
      <c r="BJ17" s="1269">
        <f t="shared" si="12"/>
        <v>4264</v>
      </c>
      <c r="BK17" s="1269">
        <f t="shared" si="12"/>
        <v>4086</v>
      </c>
      <c r="BL17" s="1269">
        <f t="shared" si="12"/>
        <v>4246</v>
      </c>
      <c r="BM17" s="1269">
        <f t="shared" si="12"/>
        <v>4218</v>
      </c>
      <c r="BN17" s="1269">
        <f t="shared" si="12"/>
        <v>4528</v>
      </c>
      <c r="BO17" s="1269">
        <f t="shared" si="12"/>
        <v>4898</v>
      </c>
      <c r="BP17" s="1269">
        <f t="shared" si="12"/>
        <v>5054</v>
      </c>
      <c r="BQ17" s="1269">
        <f t="shared" si="12"/>
        <v>3164</v>
      </c>
      <c r="BR17" s="1273">
        <f t="shared" si="12"/>
        <v>3024</v>
      </c>
      <c r="BS17" s="1269">
        <f t="shared" si="12"/>
        <v>3553</v>
      </c>
      <c r="BT17" s="1269">
        <f t="shared" si="12"/>
        <v>3575</v>
      </c>
      <c r="BU17" s="1269">
        <f t="shared" si="12"/>
        <v>3654</v>
      </c>
      <c r="BV17" s="1273">
        <f t="shared" si="12"/>
        <v>3194</v>
      </c>
      <c r="BW17" s="1269">
        <f t="shared" si="12"/>
        <v>3087</v>
      </c>
      <c r="BX17" s="1269">
        <f t="shared" si="12"/>
        <v>3769</v>
      </c>
      <c r="BY17" s="1271">
        <f t="shared" si="12"/>
        <v>3573</v>
      </c>
      <c r="BZ17" s="1269">
        <f t="shared" si="12"/>
        <v>3168</v>
      </c>
      <c r="CA17" s="1269">
        <f t="shared" si="12"/>
        <v>3258</v>
      </c>
      <c r="CB17" s="1269">
        <f t="shared" si="12"/>
        <v>2966</v>
      </c>
      <c r="CC17" s="1269">
        <f t="shared" si="12"/>
        <v>2970</v>
      </c>
      <c r="CD17" s="1273">
        <f t="shared" si="12"/>
        <v>2867</v>
      </c>
      <c r="CE17" s="1269">
        <f t="shared" si="12"/>
        <v>4048</v>
      </c>
      <c r="CF17" s="1269">
        <f t="shared" si="12"/>
        <v>4347</v>
      </c>
      <c r="CG17" s="1271">
        <f t="shared" si="12"/>
        <v>4614</v>
      </c>
      <c r="CH17" s="1273">
        <f t="shared" si="12"/>
        <v>4005</v>
      </c>
      <c r="CI17" s="1270">
        <f t="shared" si="12"/>
        <v>3880</v>
      </c>
      <c r="CJ17" s="1270">
        <f t="shared" si="12"/>
        <v>4085</v>
      </c>
      <c r="CK17" s="1269">
        <f ca="1">SUM(CK10:CK16)</f>
        <v>2230</v>
      </c>
      <c r="CL17" s="1273">
        <f>SUM(CL10:CL16)</f>
        <v>2113</v>
      </c>
      <c r="CM17" s="1170"/>
      <c r="CN17" s="1170"/>
      <c r="CO17" s="1170"/>
      <c r="CP17" s="1170"/>
      <c r="CQ17" s="1170"/>
      <c r="CR17" s="1170"/>
      <c r="CS17" s="1170"/>
      <c r="CT17" s="1170"/>
      <c r="CU17" s="1223">
        <f t="shared" ca="1" si="10"/>
        <v>0</v>
      </c>
    </row>
    <row r="18" spans="1:99" ht="12.75" customHeight="1">
      <c r="A18" s="1225" t="s">
        <v>686</v>
      </c>
      <c r="B18" s="1198"/>
      <c r="C18" s="1198"/>
      <c r="D18" s="1198"/>
      <c r="E18" s="1198"/>
      <c r="F18" s="1226"/>
      <c r="G18" s="1226"/>
      <c r="H18" s="1248"/>
      <c r="I18" s="1248"/>
      <c r="J18" s="1248">
        <v>44600</v>
      </c>
      <c r="K18" s="1248">
        <f>BI18</f>
        <v>45094</v>
      </c>
      <c r="L18" s="1248">
        <f>BM18</f>
        <v>45428</v>
      </c>
      <c r="M18" s="1248">
        <f t="shared" ref="M18:M28" si="13">+BQ18</f>
        <v>45954</v>
      </c>
      <c r="N18" s="1248">
        <f t="shared" ref="N18:N28" si="14">BU18</f>
        <v>46374</v>
      </c>
      <c r="O18" s="1282">
        <f t="shared" ref="O18:O28" si="15">BY18</f>
        <v>46646</v>
      </c>
      <c r="P18" s="1282">
        <f t="shared" ref="P18:P28" si="16">CC18</f>
        <v>46770</v>
      </c>
      <c r="Q18" s="1282">
        <f>CG18</f>
        <v>46600</v>
      </c>
      <c r="R18" s="1250">
        <f>+CK18</f>
        <v>47407</v>
      </c>
      <c r="S18" s="1386">
        <f>CO18</f>
        <v>0</v>
      </c>
      <c r="T18" s="1507"/>
      <c r="U18" s="1507"/>
      <c r="V18" s="1507"/>
      <c r="W18" s="1507"/>
      <c r="X18" s="1248"/>
      <c r="Y18" s="1248"/>
      <c r="Z18" s="1248"/>
      <c r="AA18" s="1248"/>
      <c r="AB18" s="1248"/>
      <c r="AC18" s="1248"/>
      <c r="AD18" s="1248"/>
      <c r="AE18" s="1248"/>
      <c r="AF18" s="1248"/>
      <c r="AG18" s="1519"/>
      <c r="AH18" s="1248"/>
      <c r="AI18" s="1248"/>
      <c r="AJ18" s="1248"/>
      <c r="AK18" s="1248"/>
      <c r="AL18" s="1248"/>
      <c r="AM18" s="1248"/>
      <c r="AN18" s="1248"/>
      <c r="AO18" s="1248"/>
      <c r="AP18" s="1248"/>
      <c r="AQ18" s="1248"/>
      <c r="AR18" s="1248"/>
      <c r="AS18" s="1248"/>
      <c r="AT18" s="1248"/>
      <c r="AU18" s="1248"/>
      <c r="AV18" s="1248"/>
      <c r="AW18" s="1248"/>
      <c r="AX18" s="1248"/>
      <c r="AY18" s="1248"/>
      <c r="AZ18" s="1248"/>
      <c r="BA18" s="1248"/>
      <c r="BB18" s="1248"/>
      <c r="BC18" s="1248"/>
      <c r="BD18" s="1248"/>
      <c r="BE18" s="1333">
        <v>44597</v>
      </c>
      <c r="BF18" s="1333">
        <v>45026</v>
      </c>
      <c r="BG18" s="1333">
        <v>45565</v>
      </c>
      <c r="BH18" s="1333">
        <v>46105</v>
      </c>
      <c r="BI18" s="1333">
        <v>45094</v>
      </c>
      <c r="BJ18" s="1333">
        <v>45578.5</v>
      </c>
      <c r="BK18" s="1333">
        <v>46095</v>
      </c>
      <c r="BL18" s="1333">
        <v>45855</v>
      </c>
      <c r="BM18" s="1333">
        <v>45428</v>
      </c>
      <c r="BN18" s="1333">
        <v>45495.5</v>
      </c>
      <c r="BO18" s="1333">
        <v>45601</v>
      </c>
      <c r="BP18" s="1333">
        <v>45712</v>
      </c>
      <c r="BQ18" s="1333">
        <v>45954</v>
      </c>
      <c r="BR18" s="1337">
        <v>46073</v>
      </c>
      <c r="BS18" s="1333">
        <v>46216</v>
      </c>
      <c r="BT18" s="1333">
        <v>46528</v>
      </c>
      <c r="BU18" s="1333">
        <v>46374</v>
      </c>
      <c r="BV18" s="1337">
        <v>46182</v>
      </c>
      <c r="BW18" s="1333">
        <v>46429</v>
      </c>
      <c r="BX18" s="1333">
        <v>46599</v>
      </c>
      <c r="BY18" s="1348">
        <v>46646</v>
      </c>
      <c r="BZ18" s="1333">
        <v>46675</v>
      </c>
      <c r="CA18" s="1333">
        <v>46972</v>
      </c>
      <c r="CB18" s="1333">
        <v>47184</v>
      </c>
      <c r="CC18" s="1333">
        <v>46770</v>
      </c>
      <c r="CD18" s="1337">
        <v>46624</v>
      </c>
      <c r="CE18" s="1333">
        <v>46635</v>
      </c>
      <c r="CF18" s="1333">
        <v>46560</v>
      </c>
      <c r="CG18" s="1348">
        <v>46600</v>
      </c>
      <c r="CH18" s="1337">
        <v>46676</v>
      </c>
      <c r="CI18" s="1349">
        <v>46782</v>
      </c>
      <c r="CJ18" s="1349">
        <v>47060</v>
      </c>
      <c r="CK18" s="1349">
        <v>47407</v>
      </c>
      <c r="CL18" s="1337">
        <v>47551</v>
      </c>
      <c r="CM18" s="1170"/>
      <c r="CN18" s="1170"/>
      <c r="CO18" s="1170"/>
      <c r="CP18" s="1170"/>
      <c r="CQ18" s="1170"/>
      <c r="CR18" s="1170"/>
      <c r="CS18" s="1170"/>
      <c r="CT18" s="1170"/>
      <c r="CU18" s="1223">
        <f t="shared" si="10"/>
        <v>0</v>
      </c>
    </row>
    <row r="19" spans="1:99" ht="12.75" customHeight="1">
      <c r="A19" s="1225" t="s">
        <v>827</v>
      </c>
      <c r="B19" s="1198"/>
      <c r="C19" s="1198"/>
      <c r="D19" s="1198"/>
      <c r="E19" s="1198"/>
      <c r="F19" s="1226"/>
      <c r="G19" s="1226"/>
      <c r="H19" s="1248"/>
      <c r="I19" s="1248"/>
      <c r="J19" s="1248">
        <f>J18-J20</f>
        <v>25588</v>
      </c>
      <c r="K19" s="1248">
        <f>BI19</f>
        <v>26945</v>
      </c>
      <c r="L19" s="1248">
        <f>BM19</f>
        <v>28575</v>
      </c>
      <c r="M19" s="1248">
        <f t="shared" si="13"/>
        <v>30386</v>
      </c>
      <c r="N19" s="1248">
        <f t="shared" si="14"/>
        <v>31795</v>
      </c>
      <c r="O19" s="1282">
        <f t="shared" si="15"/>
        <v>32975</v>
      </c>
      <c r="P19" s="1282">
        <f t="shared" si="16"/>
        <v>33725</v>
      </c>
      <c r="Q19" s="1282">
        <f>CG19</f>
        <v>34301</v>
      </c>
      <c r="R19" s="1250">
        <f>+CK19</f>
        <v>35550</v>
      </c>
      <c r="S19" s="1386">
        <f t="shared" ref="S19:S27" si="17">CO19</f>
        <v>0</v>
      </c>
      <c r="T19" s="1507"/>
      <c r="U19" s="1507"/>
      <c r="V19" s="1507"/>
      <c r="W19" s="1507"/>
      <c r="X19" s="1248"/>
      <c r="Y19" s="1248"/>
      <c r="Z19" s="1248"/>
      <c r="AA19" s="1248"/>
      <c r="AB19" s="1248"/>
      <c r="AC19" s="1248"/>
      <c r="AD19" s="1248"/>
      <c r="AE19" s="1248"/>
      <c r="AF19" s="1248"/>
      <c r="AG19" s="1519"/>
      <c r="AH19" s="1248"/>
      <c r="AI19" s="1248"/>
      <c r="AJ19" s="1248"/>
      <c r="AK19" s="1248"/>
      <c r="AL19" s="1248"/>
      <c r="AM19" s="1248"/>
      <c r="AN19" s="1248"/>
      <c r="AO19" s="1248"/>
      <c r="AP19" s="1248"/>
      <c r="AQ19" s="1248"/>
      <c r="AR19" s="1248"/>
      <c r="AS19" s="1248"/>
      <c r="AT19" s="1248"/>
      <c r="AU19" s="1248"/>
      <c r="AV19" s="1248"/>
      <c r="AW19" s="1248"/>
      <c r="AX19" s="1248"/>
      <c r="AY19" s="1248"/>
      <c r="AZ19" s="1248"/>
      <c r="BA19" s="1248"/>
      <c r="BB19" s="1248"/>
      <c r="BC19" s="1248"/>
      <c r="BD19" s="1248"/>
      <c r="BE19" s="1333">
        <v>25585</v>
      </c>
      <c r="BF19" s="1333">
        <v>25929</v>
      </c>
      <c r="BG19" s="1333">
        <v>26730</v>
      </c>
      <c r="BH19" s="1333">
        <v>27742</v>
      </c>
      <c r="BI19" s="1333">
        <v>26945</v>
      </c>
      <c r="BJ19" s="1333">
        <v>27772.5</v>
      </c>
      <c r="BK19" s="1333">
        <v>28600</v>
      </c>
      <c r="BL19" s="1333">
        <v>28600</v>
      </c>
      <c r="BM19" s="1333">
        <v>28575</v>
      </c>
      <c r="BN19" s="1333">
        <v>29037.5</v>
      </c>
      <c r="BO19" s="1333">
        <v>29500</v>
      </c>
      <c r="BP19" s="1333">
        <v>29900</v>
      </c>
      <c r="BQ19" s="1333">
        <v>30386</v>
      </c>
      <c r="BR19" s="1337">
        <v>30800</v>
      </c>
      <c r="BS19" s="1333">
        <v>31200</v>
      </c>
      <c r="BT19" s="1333">
        <v>31700</v>
      </c>
      <c r="BU19" s="1333">
        <v>31795</v>
      </c>
      <c r="BV19" s="1337">
        <v>31908</v>
      </c>
      <c r="BW19" s="1333">
        <v>32353</v>
      </c>
      <c r="BX19" s="1333">
        <v>32750</v>
      </c>
      <c r="BY19" s="1348">
        <v>32975</v>
      </c>
      <c r="BZ19" s="1333">
        <v>33176</v>
      </c>
      <c r="CA19" s="1333">
        <v>33522</v>
      </c>
      <c r="CB19" s="1333">
        <v>33883</v>
      </c>
      <c r="CC19" s="1333">
        <v>33725</v>
      </c>
      <c r="CD19" s="1337">
        <v>33808</v>
      </c>
      <c r="CE19" s="1333">
        <v>34013</v>
      </c>
      <c r="CF19" s="1333">
        <v>34161</v>
      </c>
      <c r="CG19" s="1348">
        <v>34301</v>
      </c>
      <c r="CH19" s="1337">
        <v>34598</v>
      </c>
      <c r="CI19" s="1349">
        <v>34853</v>
      </c>
      <c r="CJ19" s="1349">
        <v>35230</v>
      </c>
      <c r="CK19" s="1349">
        <v>35550</v>
      </c>
      <c r="CL19" s="1337">
        <v>35886</v>
      </c>
      <c r="CM19" s="1170"/>
      <c r="CN19" s="1170"/>
      <c r="CO19" s="1170"/>
      <c r="CP19" s="1170"/>
      <c r="CQ19" s="1170"/>
      <c r="CR19" s="1170"/>
      <c r="CS19" s="1170"/>
      <c r="CT19" s="1170"/>
      <c r="CU19" s="1223">
        <f t="shared" si="10"/>
        <v>0</v>
      </c>
    </row>
    <row r="20" spans="1:99" ht="12.75" customHeight="1">
      <c r="A20" s="1225" t="s">
        <v>687</v>
      </c>
      <c r="B20" s="1198"/>
      <c r="C20" s="1198"/>
      <c r="D20" s="1198"/>
      <c r="E20" s="1198"/>
      <c r="F20" s="1226"/>
      <c r="G20" s="1226"/>
      <c r="H20" s="1248"/>
      <c r="I20" s="1248"/>
      <c r="J20" s="1248">
        <f>BE20</f>
        <v>19012</v>
      </c>
      <c r="K20" s="1248">
        <f>BI20</f>
        <v>18149</v>
      </c>
      <c r="L20" s="1248">
        <f>BM20</f>
        <v>16853</v>
      </c>
      <c r="M20" s="1248">
        <f t="shared" si="13"/>
        <v>15568</v>
      </c>
      <c r="N20" s="1248">
        <f t="shared" si="14"/>
        <v>14579</v>
      </c>
      <c r="O20" s="1282">
        <f t="shared" si="15"/>
        <v>13671</v>
      </c>
      <c r="P20" s="1282">
        <f t="shared" si="16"/>
        <v>13045</v>
      </c>
      <c r="Q20" s="1282">
        <f>CG20</f>
        <v>12299</v>
      </c>
      <c r="R20" s="1250">
        <f>+CK20</f>
        <v>11857</v>
      </c>
      <c r="S20" s="1386">
        <f t="shared" si="17"/>
        <v>0</v>
      </c>
      <c r="T20" s="1507"/>
      <c r="U20" s="1507"/>
      <c r="V20" s="1507"/>
      <c r="W20" s="1507"/>
      <c r="X20" s="1248"/>
      <c r="Y20" s="1248"/>
      <c r="Z20" s="1248"/>
      <c r="AA20" s="1248"/>
      <c r="AB20" s="1248"/>
      <c r="AC20" s="1248"/>
      <c r="AD20" s="1248"/>
      <c r="AE20" s="1248"/>
      <c r="AF20" s="1248"/>
      <c r="AG20" s="1519"/>
      <c r="AH20" s="1248"/>
      <c r="AI20" s="1248"/>
      <c r="AJ20" s="1248"/>
      <c r="AK20" s="1248"/>
      <c r="AL20" s="1248"/>
      <c r="AM20" s="1248"/>
      <c r="AN20" s="1248"/>
      <c r="AO20" s="1248"/>
      <c r="AP20" s="1248"/>
      <c r="AQ20" s="1248"/>
      <c r="AR20" s="1248"/>
      <c r="AS20" s="1248"/>
      <c r="AT20" s="1248"/>
      <c r="AU20" s="1248"/>
      <c r="AV20" s="1248"/>
      <c r="AW20" s="1248"/>
      <c r="AX20" s="1248"/>
      <c r="AY20" s="1248"/>
      <c r="AZ20" s="1248"/>
      <c r="BA20" s="1248"/>
      <c r="BB20" s="1248"/>
      <c r="BC20" s="1248"/>
      <c r="BD20" s="1248"/>
      <c r="BE20" s="1333">
        <v>19012</v>
      </c>
      <c r="BF20" s="1333">
        <v>19097</v>
      </c>
      <c r="BG20" s="1333">
        <v>18835</v>
      </c>
      <c r="BH20" s="1333">
        <v>18363</v>
      </c>
      <c r="BI20" s="1333">
        <v>18149</v>
      </c>
      <c r="BJ20" s="1333">
        <v>17806</v>
      </c>
      <c r="BK20" s="1333">
        <v>17495</v>
      </c>
      <c r="BL20" s="1333">
        <v>17255</v>
      </c>
      <c r="BM20" s="1333">
        <v>16853</v>
      </c>
      <c r="BN20" s="1333">
        <v>16458</v>
      </c>
      <c r="BO20" s="1333">
        <v>16101</v>
      </c>
      <c r="BP20" s="1333">
        <v>15812</v>
      </c>
      <c r="BQ20" s="1333">
        <v>15568</v>
      </c>
      <c r="BR20" s="1337">
        <v>15273</v>
      </c>
      <c r="BS20" s="1333">
        <v>15016</v>
      </c>
      <c r="BT20" s="1333">
        <v>14828</v>
      </c>
      <c r="BU20" s="1333">
        <v>14579</v>
      </c>
      <c r="BV20" s="1337">
        <v>14274</v>
      </c>
      <c r="BW20" s="1333">
        <v>14076</v>
      </c>
      <c r="BX20" s="1333">
        <v>13849</v>
      </c>
      <c r="BY20" s="1348">
        <v>13671</v>
      </c>
      <c r="BZ20" s="1333">
        <v>13499</v>
      </c>
      <c r="CA20" s="1333">
        <v>13450</v>
      </c>
      <c r="CB20" s="1333">
        <v>13301</v>
      </c>
      <c r="CC20" s="1333">
        <v>13045</v>
      </c>
      <c r="CD20" s="1337">
        <v>12816</v>
      </c>
      <c r="CE20" s="1333">
        <v>12622</v>
      </c>
      <c r="CF20" s="1333">
        <v>12399</v>
      </c>
      <c r="CG20" s="1348">
        <v>12299</v>
      </c>
      <c r="CH20" s="1337">
        <v>12078</v>
      </c>
      <c r="CI20" s="1349">
        <v>11929</v>
      </c>
      <c r="CJ20" s="1349">
        <v>11830</v>
      </c>
      <c r="CK20" s="1349">
        <v>11857</v>
      </c>
      <c r="CL20" s="1337">
        <v>11665</v>
      </c>
      <c r="CM20" s="1170"/>
      <c r="CN20" s="1170"/>
      <c r="CO20" s="1170"/>
      <c r="CP20" s="1170"/>
      <c r="CQ20" s="1170"/>
      <c r="CR20" s="1170"/>
      <c r="CS20" s="1170"/>
      <c r="CT20" s="1170"/>
      <c r="CU20" s="1223">
        <f t="shared" si="10"/>
        <v>0</v>
      </c>
    </row>
    <row r="21" spans="1:99" ht="12.75" customHeight="1" outlineLevel="1">
      <c r="A21" s="1225" t="s">
        <v>576</v>
      </c>
      <c r="B21" s="1198"/>
      <c r="C21" s="1198"/>
      <c r="D21" s="1198"/>
      <c r="E21" s="1198"/>
      <c r="F21" s="1226"/>
      <c r="G21" s="1226"/>
      <c r="H21" s="1248"/>
      <c r="I21" s="1248"/>
      <c r="J21" s="1248"/>
      <c r="K21" s="1248"/>
      <c r="L21" s="1248"/>
      <c r="M21" s="1248">
        <f t="shared" si="13"/>
        <v>0</v>
      </c>
      <c r="N21" s="1248">
        <f t="shared" si="14"/>
        <v>0</v>
      </c>
      <c r="O21" s="1282">
        <f t="shared" si="15"/>
        <v>0</v>
      </c>
      <c r="P21" s="1282">
        <f t="shared" si="16"/>
        <v>0</v>
      </c>
      <c r="Q21" s="1282">
        <f>CG21</f>
        <v>0</v>
      </c>
      <c r="R21" s="1250"/>
      <c r="S21" s="1386">
        <f t="shared" si="17"/>
        <v>0</v>
      </c>
      <c r="T21" s="1507"/>
      <c r="U21" s="1507"/>
      <c r="V21" s="1507"/>
      <c r="W21" s="1507"/>
      <c r="X21" s="1248"/>
      <c r="Y21" s="1248"/>
      <c r="Z21" s="1248"/>
      <c r="AA21" s="1248"/>
      <c r="AB21" s="1248"/>
      <c r="AC21" s="1248"/>
      <c r="AD21" s="1248"/>
      <c r="AE21" s="1248"/>
      <c r="AF21" s="1248"/>
      <c r="AG21" s="1519"/>
      <c r="AH21" s="1248"/>
      <c r="AI21" s="1248"/>
      <c r="AJ21" s="1248"/>
      <c r="AK21" s="1248"/>
      <c r="AL21" s="1248"/>
      <c r="AM21" s="1248"/>
      <c r="AN21" s="1248"/>
      <c r="AO21" s="1248"/>
      <c r="AP21" s="1248"/>
      <c r="AQ21" s="1248"/>
      <c r="AR21" s="1248"/>
      <c r="AS21" s="1248"/>
      <c r="AT21" s="1248"/>
      <c r="AU21" s="1248"/>
      <c r="AV21" s="1248"/>
      <c r="AW21" s="1248"/>
      <c r="AX21" s="1248"/>
      <c r="AY21" s="1248"/>
      <c r="AZ21" s="1248"/>
      <c r="BA21" s="1248"/>
      <c r="BB21" s="1248"/>
      <c r="BC21" s="1248"/>
      <c r="BD21" s="1248"/>
      <c r="BE21" s="1333"/>
      <c r="BF21" s="1333"/>
      <c r="BG21" s="1333"/>
      <c r="BH21" s="1333"/>
      <c r="BI21" s="1333"/>
      <c r="BJ21" s="1333"/>
      <c r="BK21" s="1333"/>
      <c r="BL21" s="1333"/>
      <c r="BM21" s="1333"/>
      <c r="BN21" s="1333"/>
      <c r="BO21" s="1333"/>
      <c r="BP21" s="1333"/>
      <c r="BQ21" s="1333"/>
      <c r="BR21" s="1337"/>
      <c r="BS21" s="1333"/>
      <c r="BT21" s="1333"/>
      <c r="BU21" s="1333"/>
      <c r="BV21" s="1337"/>
      <c r="BW21" s="1333"/>
      <c r="BX21" s="1333"/>
      <c r="BY21" s="1348"/>
      <c r="BZ21" s="1333"/>
      <c r="CA21" s="1333"/>
      <c r="CB21" s="1333"/>
      <c r="CC21" s="1333"/>
      <c r="CD21" s="1337"/>
      <c r="CE21" s="1333"/>
      <c r="CF21" s="1333"/>
      <c r="CG21" s="1348"/>
      <c r="CH21" s="1337"/>
      <c r="CI21" s="1349"/>
      <c r="CJ21" s="1349"/>
      <c r="CK21" s="1248"/>
      <c r="CL21" s="1249"/>
      <c r="CM21" s="1170"/>
      <c r="CN21" s="1170"/>
      <c r="CO21" s="1170"/>
      <c r="CP21" s="1170"/>
      <c r="CQ21" s="1170"/>
      <c r="CR21" s="1170"/>
      <c r="CS21" s="1170"/>
      <c r="CT21" s="1170"/>
      <c r="CU21" s="1223">
        <f t="shared" si="10"/>
        <v>0</v>
      </c>
    </row>
    <row r="22" spans="1:99" ht="12.75" customHeight="1" outlineLevel="1">
      <c r="A22" s="1521" t="s">
        <v>219</v>
      </c>
      <c r="B22" s="1198"/>
      <c r="C22" s="1198"/>
      <c r="D22" s="1198"/>
      <c r="E22" s="1198"/>
      <c r="F22" s="1226"/>
      <c r="G22" s="1226"/>
      <c r="H22" s="1248"/>
      <c r="I22" s="1248"/>
      <c r="J22" s="1333">
        <v>0</v>
      </c>
      <c r="K22" s="1333">
        <f>+J22</f>
        <v>0</v>
      </c>
      <c r="L22" s="1333">
        <f>+K22</f>
        <v>0</v>
      </c>
      <c r="M22" s="1248">
        <f t="shared" si="13"/>
        <v>0</v>
      </c>
      <c r="N22" s="1248">
        <f t="shared" si="14"/>
        <v>0</v>
      </c>
      <c r="O22" s="1282">
        <f t="shared" si="15"/>
        <v>0</v>
      </c>
      <c r="P22" s="1282">
        <f t="shared" si="16"/>
        <v>0</v>
      </c>
      <c r="Q22" s="1282">
        <f>CG22</f>
        <v>0</v>
      </c>
      <c r="R22" s="1250">
        <f t="shared" ref="R22:R28" si="18">+CK22</f>
        <v>0</v>
      </c>
      <c r="S22" s="1386">
        <f t="shared" si="17"/>
        <v>0</v>
      </c>
      <c r="T22" s="1507"/>
      <c r="U22" s="1507"/>
      <c r="V22" s="1507"/>
      <c r="W22" s="1507"/>
      <c r="X22" s="1248"/>
      <c r="Y22" s="1248"/>
      <c r="Z22" s="1248"/>
      <c r="AA22" s="1248"/>
      <c r="AB22" s="1248"/>
      <c r="AC22" s="1248"/>
      <c r="AD22" s="1248"/>
      <c r="AE22" s="1248"/>
      <c r="AF22" s="1248"/>
      <c r="AG22" s="1519"/>
      <c r="AH22" s="1248"/>
      <c r="AI22" s="1248"/>
      <c r="AJ22" s="1248"/>
      <c r="AK22" s="1248"/>
      <c r="AL22" s="1248"/>
      <c r="AM22" s="1248"/>
      <c r="AN22" s="1248"/>
      <c r="AO22" s="1248"/>
      <c r="AP22" s="1248"/>
      <c r="AQ22" s="1248"/>
      <c r="AR22" s="1248"/>
      <c r="AS22" s="1248"/>
      <c r="AT22" s="1248"/>
      <c r="AU22" s="1248"/>
      <c r="AV22" s="1248"/>
      <c r="AW22" s="1248"/>
      <c r="AX22" s="1248"/>
      <c r="AY22" s="1248"/>
      <c r="AZ22" s="1248"/>
      <c r="BA22" s="1248"/>
      <c r="BB22" s="1248"/>
      <c r="BC22" s="1248"/>
      <c r="BD22" s="1248"/>
      <c r="BE22" s="1333"/>
      <c r="BF22" s="1333"/>
      <c r="BG22" s="1333"/>
      <c r="BH22" s="1333"/>
      <c r="BI22" s="1333"/>
      <c r="BJ22" s="1333"/>
      <c r="BK22" s="1333"/>
      <c r="BL22" s="1333"/>
      <c r="BM22" s="1333"/>
      <c r="BN22" s="1333"/>
      <c r="BO22" s="1333"/>
      <c r="BP22" s="1333"/>
      <c r="BQ22" s="1333"/>
      <c r="BR22" s="1337"/>
      <c r="BS22" s="1333"/>
      <c r="BT22" s="1333"/>
      <c r="BU22" s="1333"/>
      <c r="BV22" s="1337"/>
      <c r="BW22" s="1333"/>
      <c r="BX22" s="1333"/>
      <c r="BY22" s="1348"/>
      <c r="BZ22" s="1333"/>
      <c r="CA22" s="1333"/>
      <c r="CB22" s="1333"/>
      <c r="CC22" s="1333"/>
      <c r="CD22" s="1337"/>
      <c r="CE22" s="1333"/>
      <c r="CF22" s="1333"/>
      <c r="CG22" s="1348"/>
      <c r="CH22" s="1337"/>
      <c r="CI22" s="1349"/>
      <c r="CJ22" s="1349"/>
      <c r="CK22" s="1248"/>
      <c r="CL22" s="1249"/>
      <c r="CM22" s="1170"/>
      <c r="CN22" s="1170"/>
      <c r="CO22" s="1170"/>
      <c r="CP22" s="1170"/>
      <c r="CQ22" s="1170"/>
      <c r="CR22" s="1170"/>
      <c r="CS22" s="1170"/>
      <c r="CT22" s="1170"/>
      <c r="CU22" s="1223">
        <f t="shared" si="10"/>
        <v>0</v>
      </c>
    </row>
    <row r="23" spans="1:99" ht="12.75" customHeight="1" outlineLevel="1">
      <c r="A23" s="1521" t="s">
        <v>220</v>
      </c>
      <c r="B23" s="1521"/>
      <c r="C23" s="1521"/>
      <c r="D23" s="1521"/>
      <c r="E23" s="1521"/>
      <c r="F23" s="1521"/>
      <c r="G23" s="1226"/>
      <c r="H23" s="1248"/>
      <c r="I23" s="1248"/>
      <c r="J23" s="1333">
        <v>8483</v>
      </c>
      <c r="K23" s="1333">
        <f>+J23</f>
        <v>8483</v>
      </c>
      <c r="L23" s="1333">
        <f>+K23</f>
        <v>8483</v>
      </c>
      <c r="M23" s="1248">
        <f t="shared" si="13"/>
        <v>0</v>
      </c>
      <c r="N23" s="1248">
        <f t="shared" si="14"/>
        <v>0</v>
      </c>
      <c r="O23" s="1282">
        <f t="shared" si="15"/>
        <v>0</v>
      </c>
      <c r="P23" s="1282">
        <f t="shared" si="16"/>
        <v>0</v>
      </c>
      <c r="Q23" s="1282">
        <f>CG22</f>
        <v>0</v>
      </c>
      <c r="R23" s="1250">
        <f t="shared" si="18"/>
        <v>0</v>
      </c>
      <c r="S23" s="1386">
        <f t="shared" si="17"/>
        <v>0</v>
      </c>
      <c r="T23" s="1507"/>
      <c r="U23" s="1507"/>
      <c r="V23" s="1507"/>
      <c r="W23" s="1507"/>
      <c r="X23" s="1248"/>
      <c r="Y23" s="1248"/>
      <c r="Z23" s="1248"/>
      <c r="AA23" s="1248"/>
      <c r="AB23" s="1248"/>
      <c r="AC23" s="1248"/>
      <c r="AD23" s="1248"/>
      <c r="AE23" s="1248"/>
      <c r="AF23" s="1248"/>
      <c r="AG23" s="1519"/>
      <c r="AH23" s="1248"/>
      <c r="AI23" s="1248"/>
      <c r="AJ23" s="1248"/>
      <c r="AK23" s="1248"/>
      <c r="AL23" s="1248"/>
      <c r="AM23" s="1248"/>
      <c r="AN23" s="1248"/>
      <c r="AO23" s="1248"/>
      <c r="AP23" s="1248"/>
      <c r="AQ23" s="1248"/>
      <c r="AR23" s="1248"/>
      <c r="AS23" s="1248"/>
      <c r="AT23" s="1248"/>
      <c r="AU23" s="1248"/>
      <c r="AV23" s="1248"/>
      <c r="AW23" s="1248"/>
      <c r="AX23" s="1248"/>
      <c r="AY23" s="1248"/>
      <c r="AZ23" s="1248"/>
      <c r="BA23" s="1248"/>
      <c r="BB23" s="1248"/>
      <c r="BC23" s="1248"/>
      <c r="BD23" s="1248"/>
      <c r="BE23" s="1333"/>
      <c r="BF23" s="1333"/>
      <c r="BG23" s="1333"/>
      <c r="BH23" s="1333"/>
      <c r="BI23" s="1333"/>
      <c r="BJ23" s="1333"/>
      <c r="BK23" s="1333"/>
      <c r="BL23" s="1333"/>
      <c r="BM23" s="1333"/>
      <c r="BN23" s="1333"/>
      <c r="BO23" s="1333"/>
      <c r="BP23" s="1333"/>
      <c r="BQ23" s="1333"/>
      <c r="BR23" s="1337"/>
      <c r="BS23" s="1333"/>
      <c r="BT23" s="1333"/>
      <c r="BU23" s="1333"/>
      <c r="BV23" s="1337"/>
      <c r="BW23" s="1333"/>
      <c r="BX23" s="1333"/>
      <c r="BY23" s="1348"/>
      <c r="BZ23" s="1333"/>
      <c r="CA23" s="1333"/>
      <c r="CB23" s="1333"/>
      <c r="CC23" s="1333"/>
      <c r="CD23" s="1337"/>
      <c r="CE23" s="1333"/>
      <c r="CF23" s="1333"/>
      <c r="CG23" s="1348"/>
      <c r="CH23" s="1337"/>
      <c r="CI23" s="1349"/>
      <c r="CJ23" s="1349"/>
      <c r="CK23" s="1248"/>
      <c r="CL23" s="1249"/>
      <c r="CM23" s="1170"/>
      <c r="CN23" s="1170"/>
      <c r="CO23" s="1170"/>
      <c r="CP23" s="1170"/>
      <c r="CQ23" s="1170"/>
      <c r="CR23" s="1170"/>
      <c r="CS23" s="1170"/>
      <c r="CT23" s="1170"/>
      <c r="CU23" s="1223">
        <f t="shared" si="10"/>
        <v>0</v>
      </c>
    </row>
    <row r="24" spans="1:99" ht="12.75" customHeight="1" outlineLevel="1">
      <c r="A24" s="1521" t="s">
        <v>221</v>
      </c>
      <c r="B24" s="1198"/>
      <c r="C24" s="1198"/>
      <c r="D24" s="1198"/>
      <c r="E24" s="1198"/>
      <c r="F24" s="1226"/>
      <c r="G24" s="1226"/>
      <c r="H24" s="1248"/>
      <c r="I24" s="1248"/>
      <c r="J24" s="1333">
        <v>0</v>
      </c>
      <c r="K24" s="1333">
        <v>0</v>
      </c>
      <c r="L24" s="1333">
        <f>+K24</f>
        <v>0</v>
      </c>
      <c r="M24" s="1248">
        <f t="shared" si="13"/>
        <v>0</v>
      </c>
      <c r="N24" s="1248">
        <f t="shared" si="14"/>
        <v>0</v>
      </c>
      <c r="O24" s="1282">
        <f t="shared" si="15"/>
        <v>0</v>
      </c>
      <c r="P24" s="1282">
        <f t="shared" si="16"/>
        <v>0</v>
      </c>
      <c r="Q24" s="1282">
        <f>CG24</f>
        <v>0</v>
      </c>
      <c r="R24" s="1250">
        <f t="shared" si="18"/>
        <v>0</v>
      </c>
      <c r="S24" s="1386">
        <f t="shared" si="17"/>
        <v>0</v>
      </c>
      <c r="T24" s="1507"/>
      <c r="U24" s="1507"/>
      <c r="V24" s="1507"/>
      <c r="W24" s="1507"/>
      <c r="X24" s="1248"/>
      <c r="Y24" s="1248"/>
      <c r="Z24" s="1248"/>
      <c r="AA24" s="1248"/>
      <c r="AB24" s="1248"/>
      <c r="AC24" s="1248"/>
      <c r="AD24" s="1248"/>
      <c r="AE24" s="1248"/>
      <c r="AF24" s="1248"/>
      <c r="AG24" s="1519"/>
      <c r="AH24" s="1248"/>
      <c r="AI24" s="1248"/>
      <c r="AJ24" s="1248"/>
      <c r="AK24" s="1248"/>
      <c r="AL24" s="1248"/>
      <c r="AM24" s="1248"/>
      <c r="AN24" s="1248"/>
      <c r="AO24" s="1248"/>
      <c r="AP24" s="1248"/>
      <c r="AQ24" s="1248"/>
      <c r="AR24" s="1248"/>
      <c r="AS24" s="1248"/>
      <c r="AT24" s="1248"/>
      <c r="AU24" s="1248"/>
      <c r="AV24" s="1248"/>
      <c r="AW24" s="1248"/>
      <c r="AX24" s="1248"/>
      <c r="AY24" s="1248"/>
      <c r="AZ24" s="1248"/>
      <c r="BA24" s="1248"/>
      <c r="BB24" s="1248"/>
      <c r="BC24" s="1248"/>
      <c r="BD24" s="1248"/>
      <c r="BE24" s="1333"/>
      <c r="BF24" s="1333"/>
      <c r="BG24" s="1333"/>
      <c r="BH24" s="1333"/>
      <c r="BI24" s="1333"/>
      <c r="BJ24" s="1333"/>
      <c r="BK24" s="1333"/>
      <c r="BL24" s="1333"/>
      <c r="BM24" s="1333"/>
      <c r="BN24" s="1333"/>
      <c r="BO24" s="1333"/>
      <c r="BP24" s="1333"/>
      <c r="BQ24" s="1333"/>
      <c r="BR24" s="1337"/>
      <c r="BS24" s="1333"/>
      <c r="BT24" s="1333"/>
      <c r="BU24" s="1333"/>
      <c r="BV24" s="1337"/>
      <c r="BW24" s="1333"/>
      <c r="BX24" s="1333"/>
      <c r="BY24" s="1348"/>
      <c r="BZ24" s="1333"/>
      <c r="CA24" s="1333"/>
      <c r="CB24" s="1333"/>
      <c r="CC24" s="1333"/>
      <c r="CD24" s="1337"/>
      <c r="CE24" s="1333"/>
      <c r="CF24" s="1333"/>
      <c r="CG24" s="1348"/>
      <c r="CH24" s="1337"/>
      <c r="CI24" s="1349"/>
      <c r="CJ24" s="1349"/>
      <c r="CK24" s="1248"/>
      <c r="CL24" s="1249"/>
      <c r="CM24" s="1170"/>
      <c r="CN24" s="1170"/>
      <c r="CO24" s="1170"/>
      <c r="CP24" s="1170"/>
      <c r="CQ24" s="1170"/>
      <c r="CR24" s="1170"/>
      <c r="CS24" s="1170"/>
      <c r="CT24" s="1170"/>
      <c r="CU24" s="1223">
        <f t="shared" si="10"/>
        <v>0</v>
      </c>
    </row>
    <row r="25" spans="1:99" ht="12.75" customHeight="1">
      <c r="A25" s="1225" t="s">
        <v>579</v>
      </c>
      <c r="B25" s="1198"/>
      <c r="C25" s="1198"/>
      <c r="D25" s="1198"/>
      <c r="E25" s="1198"/>
      <c r="F25" s="1226"/>
      <c r="G25" s="1226"/>
      <c r="H25" s="1248"/>
      <c r="I25" s="1248"/>
      <c r="J25" s="1248">
        <f>BE25</f>
        <v>1612</v>
      </c>
      <c r="K25" s="1248">
        <f>BI25</f>
        <v>1549</v>
      </c>
      <c r="L25" s="1248">
        <f>BM25</f>
        <v>1179</v>
      </c>
      <c r="M25" s="1248">
        <f t="shared" si="13"/>
        <v>1007</v>
      </c>
      <c r="N25" s="1248">
        <f t="shared" si="14"/>
        <v>891</v>
      </c>
      <c r="O25" s="1282">
        <f t="shared" si="15"/>
        <v>853</v>
      </c>
      <c r="P25" s="1282">
        <f t="shared" si="16"/>
        <v>875</v>
      </c>
      <c r="Q25" s="1282">
        <f>CG25</f>
        <v>911</v>
      </c>
      <c r="R25" s="1250">
        <f t="shared" si="18"/>
        <v>888</v>
      </c>
      <c r="S25" s="1386">
        <f t="shared" si="17"/>
        <v>0</v>
      </c>
      <c r="T25" s="1507"/>
      <c r="U25" s="1507"/>
      <c r="V25" s="1507"/>
      <c r="W25" s="1507"/>
      <c r="X25" s="1248"/>
      <c r="Y25" s="1248"/>
      <c r="Z25" s="1248"/>
      <c r="AA25" s="1248"/>
      <c r="AB25" s="1248"/>
      <c r="AC25" s="1248"/>
      <c r="AD25" s="1248"/>
      <c r="AE25" s="1248"/>
      <c r="AF25" s="1248"/>
      <c r="AG25" s="1519"/>
      <c r="AH25" s="1248"/>
      <c r="AI25" s="1248"/>
      <c r="AJ25" s="1248"/>
      <c r="AK25" s="1248"/>
      <c r="AL25" s="1248"/>
      <c r="AM25" s="1248"/>
      <c r="AN25" s="1248"/>
      <c r="AO25" s="1248"/>
      <c r="AP25" s="1248"/>
      <c r="AQ25" s="1248"/>
      <c r="AR25" s="1248"/>
      <c r="AS25" s="1248"/>
      <c r="AT25" s="1248"/>
      <c r="AU25" s="1248"/>
      <c r="AV25" s="1248"/>
      <c r="AW25" s="1248"/>
      <c r="AX25" s="1248"/>
      <c r="AY25" s="1248"/>
      <c r="AZ25" s="1248"/>
      <c r="BA25" s="1248"/>
      <c r="BB25" s="1248"/>
      <c r="BC25" s="1248"/>
      <c r="BD25" s="1248"/>
      <c r="BE25" s="1333">
        <v>1612</v>
      </c>
      <c r="BF25" s="1333">
        <v>1585</v>
      </c>
      <c r="BG25" s="1333">
        <v>1585</v>
      </c>
      <c r="BH25" s="1333">
        <v>1536</v>
      </c>
      <c r="BI25" s="1333">
        <v>1549</v>
      </c>
      <c r="BJ25" s="1333">
        <v>1532</v>
      </c>
      <c r="BK25" s="1333">
        <v>1346</v>
      </c>
      <c r="BL25" s="1333">
        <v>1216</v>
      </c>
      <c r="BM25" s="1333">
        <v>1179</v>
      </c>
      <c r="BN25" s="1333">
        <v>1112</v>
      </c>
      <c r="BO25" s="1333">
        <v>1073</v>
      </c>
      <c r="BP25" s="1333">
        <v>1035</v>
      </c>
      <c r="BQ25" s="1333">
        <v>1007</v>
      </c>
      <c r="BR25" s="1337">
        <v>971</v>
      </c>
      <c r="BS25" s="1333">
        <v>929</v>
      </c>
      <c r="BT25" s="1333">
        <v>943</v>
      </c>
      <c r="BU25" s="1333">
        <v>891</v>
      </c>
      <c r="BV25" s="1337">
        <v>812</v>
      </c>
      <c r="BW25" s="1333">
        <v>817</v>
      </c>
      <c r="BX25" s="1333">
        <v>824</v>
      </c>
      <c r="BY25" s="1348">
        <v>853</v>
      </c>
      <c r="BZ25" s="1333">
        <v>868</v>
      </c>
      <c r="CA25" s="1333">
        <v>862</v>
      </c>
      <c r="CB25" s="1333">
        <v>864</v>
      </c>
      <c r="CC25" s="1333">
        <v>875</v>
      </c>
      <c r="CD25" s="1337">
        <v>880</v>
      </c>
      <c r="CE25" s="1333">
        <v>885</v>
      </c>
      <c r="CF25" s="1333">
        <v>888</v>
      </c>
      <c r="CG25" s="1348">
        <v>911</v>
      </c>
      <c r="CH25" s="1337">
        <v>912</v>
      </c>
      <c r="CI25" s="1349">
        <v>917</v>
      </c>
      <c r="CJ25" s="1349">
        <v>923</v>
      </c>
      <c r="CK25" s="1349">
        <v>888</v>
      </c>
      <c r="CL25" s="1337">
        <v>887</v>
      </c>
      <c r="CM25" s="1170"/>
      <c r="CN25" s="1170"/>
      <c r="CO25" s="1170"/>
      <c r="CP25" s="1170"/>
      <c r="CQ25" s="1170"/>
      <c r="CR25" s="1170"/>
      <c r="CS25" s="1170"/>
      <c r="CT25" s="1170"/>
      <c r="CU25" s="1223">
        <f t="shared" si="10"/>
        <v>0</v>
      </c>
    </row>
    <row r="26" spans="1:99" ht="12.75" customHeight="1">
      <c r="A26" s="1225" t="s">
        <v>222</v>
      </c>
      <c r="B26" s="1198"/>
      <c r="C26" s="1198"/>
      <c r="D26" s="1198"/>
      <c r="E26" s="1198"/>
      <c r="F26" s="1226"/>
      <c r="G26" s="1226"/>
      <c r="H26" s="1248"/>
      <c r="I26" s="1248"/>
      <c r="J26" s="1248">
        <f>BE26</f>
        <v>398</v>
      </c>
      <c r="K26" s="1248">
        <f>BI26</f>
        <v>0</v>
      </c>
      <c r="L26" s="1248">
        <f>BM26</f>
        <v>0</v>
      </c>
      <c r="M26" s="1248">
        <f t="shared" si="13"/>
        <v>0</v>
      </c>
      <c r="N26" s="1248">
        <f t="shared" si="14"/>
        <v>0</v>
      </c>
      <c r="O26" s="1282">
        <f t="shared" si="15"/>
        <v>0</v>
      </c>
      <c r="P26" s="1282">
        <f t="shared" si="16"/>
        <v>0</v>
      </c>
      <c r="Q26" s="1282">
        <f>CG26</f>
        <v>0</v>
      </c>
      <c r="R26" s="1250">
        <f t="shared" si="18"/>
        <v>0</v>
      </c>
      <c r="S26" s="1386">
        <f t="shared" si="17"/>
        <v>0</v>
      </c>
      <c r="T26" s="1507"/>
      <c r="U26" s="1507"/>
      <c r="V26" s="1507"/>
      <c r="W26" s="1507"/>
      <c r="X26" s="1248"/>
      <c r="Y26" s="1248"/>
      <c r="Z26" s="1248"/>
      <c r="AA26" s="1248"/>
      <c r="AB26" s="1248"/>
      <c r="AC26" s="1248"/>
      <c r="AD26" s="1248"/>
      <c r="AE26" s="1248"/>
      <c r="AF26" s="1248"/>
      <c r="AG26" s="1519"/>
      <c r="AH26" s="1248"/>
      <c r="AI26" s="1248"/>
      <c r="AJ26" s="1248"/>
      <c r="AK26" s="1248"/>
      <c r="AL26" s="1248"/>
      <c r="AM26" s="1248"/>
      <c r="AN26" s="1248"/>
      <c r="AO26" s="1248"/>
      <c r="AP26" s="1248"/>
      <c r="AQ26" s="1248"/>
      <c r="AR26" s="1248"/>
      <c r="AS26" s="1248"/>
      <c r="AT26" s="1248"/>
      <c r="AU26" s="1248"/>
      <c r="AV26" s="1248"/>
      <c r="AW26" s="1248"/>
      <c r="AX26" s="1248"/>
      <c r="AY26" s="1248"/>
      <c r="AZ26" s="1248"/>
      <c r="BA26" s="1248"/>
      <c r="BB26" s="1248"/>
      <c r="BC26" s="1248"/>
      <c r="BD26" s="1248"/>
      <c r="BE26" s="1333">
        <v>398</v>
      </c>
      <c r="BF26" s="1333">
        <v>337</v>
      </c>
      <c r="BG26" s="1333">
        <v>360</v>
      </c>
      <c r="BH26" s="1333">
        <v>38</v>
      </c>
      <c r="BI26" s="1333">
        <v>0</v>
      </c>
      <c r="BJ26" s="1333">
        <v>0</v>
      </c>
      <c r="BK26" s="1333">
        <v>0</v>
      </c>
      <c r="BL26" s="1333">
        <v>0</v>
      </c>
      <c r="BM26" s="1333">
        <v>0</v>
      </c>
      <c r="BN26" s="1333">
        <v>0</v>
      </c>
      <c r="BO26" s="1333">
        <v>0</v>
      </c>
      <c r="BP26" s="1333">
        <v>0</v>
      </c>
      <c r="BQ26" s="1333">
        <v>0</v>
      </c>
      <c r="BR26" s="1337">
        <v>0</v>
      </c>
      <c r="BS26" s="1333">
        <v>0</v>
      </c>
      <c r="BT26" s="1333">
        <v>0</v>
      </c>
      <c r="BU26" s="1333">
        <v>0</v>
      </c>
      <c r="BV26" s="1337">
        <v>0</v>
      </c>
      <c r="BW26" s="1333">
        <v>0</v>
      </c>
      <c r="BX26" s="1333">
        <v>0</v>
      </c>
      <c r="BY26" s="1348">
        <v>0</v>
      </c>
      <c r="BZ26" s="1333">
        <v>0</v>
      </c>
      <c r="CA26" s="1333">
        <v>0</v>
      </c>
      <c r="CB26" s="1333">
        <v>0</v>
      </c>
      <c r="CC26" s="1333">
        <v>0</v>
      </c>
      <c r="CD26" s="1337">
        <v>0</v>
      </c>
      <c r="CE26" s="1333">
        <v>0</v>
      </c>
      <c r="CF26" s="1333">
        <v>0</v>
      </c>
      <c r="CG26" s="1348">
        <v>0</v>
      </c>
      <c r="CH26" s="1337">
        <v>0</v>
      </c>
      <c r="CI26" s="1349">
        <v>0</v>
      </c>
      <c r="CJ26" s="1349">
        <v>0</v>
      </c>
      <c r="CK26" s="1349">
        <v>0</v>
      </c>
      <c r="CL26" s="1337">
        <v>0</v>
      </c>
      <c r="CM26" s="1170"/>
      <c r="CN26" s="1170"/>
      <c r="CO26" s="1170"/>
      <c r="CP26" s="1170"/>
      <c r="CQ26" s="1170"/>
      <c r="CR26" s="1170"/>
      <c r="CS26" s="1170"/>
      <c r="CT26" s="1170"/>
      <c r="CU26" s="1223">
        <f t="shared" si="10"/>
        <v>0</v>
      </c>
    </row>
    <row r="27" spans="1:99" ht="12.75" customHeight="1">
      <c r="A27" s="1225" t="s">
        <v>918</v>
      </c>
      <c r="B27" s="1198"/>
      <c r="C27" s="1198"/>
      <c r="D27" s="1198"/>
      <c r="E27" s="1198"/>
      <c r="F27" s="1226"/>
      <c r="G27" s="1226"/>
      <c r="H27" s="1248"/>
      <c r="I27" s="1248"/>
      <c r="J27" s="1248"/>
      <c r="K27" s="1248"/>
      <c r="L27" s="1248"/>
      <c r="M27" s="1248">
        <f t="shared" si="13"/>
        <v>0</v>
      </c>
      <c r="N27" s="1248">
        <f t="shared" si="14"/>
        <v>0</v>
      </c>
      <c r="O27" s="1282">
        <f t="shared" si="15"/>
        <v>1584</v>
      </c>
      <c r="P27" s="1282">
        <f t="shared" si="16"/>
        <v>2168</v>
      </c>
      <c r="Q27" s="1282">
        <f>CG27</f>
        <v>1971</v>
      </c>
      <c r="R27" s="1250">
        <f t="shared" si="18"/>
        <v>1686</v>
      </c>
      <c r="S27" s="1386">
        <f t="shared" si="17"/>
        <v>0</v>
      </c>
      <c r="T27" s="1507"/>
      <c r="U27" s="1507"/>
      <c r="V27" s="1507"/>
      <c r="W27" s="1507"/>
      <c r="X27" s="1248"/>
      <c r="Y27" s="1248"/>
      <c r="Z27" s="1248"/>
      <c r="AA27" s="1248"/>
      <c r="AB27" s="1248"/>
      <c r="AC27" s="1248"/>
      <c r="AD27" s="1248"/>
      <c r="AE27" s="1248"/>
      <c r="AF27" s="1248"/>
      <c r="AG27" s="1519"/>
      <c r="AH27" s="1248"/>
      <c r="AI27" s="1248"/>
      <c r="AJ27" s="1248"/>
      <c r="AK27" s="1248"/>
      <c r="AL27" s="1248"/>
      <c r="AM27" s="1248"/>
      <c r="AN27" s="1248"/>
      <c r="AO27" s="1248"/>
      <c r="AP27" s="1248"/>
      <c r="AQ27" s="1248"/>
      <c r="AR27" s="1248"/>
      <c r="AS27" s="1248"/>
      <c r="AT27" s="1248"/>
      <c r="AU27" s="1248"/>
      <c r="AV27" s="1248"/>
      <c r="AW27" s="1248"/>
      <c r="AX27" s="1248"/>
      <c r="AY27" s="1248"/>
      <c r="AZ27" s="1248"/>
      <c r="BA27" s="1248"/>
      <c r="BB27" s="1248"/>
      <c r="BC27" s="1248"/>
      <c r="BD27" s="1248"/>
      <c r="BE27" s="1333"/>
      <c r="BF27" s="1333"/>
      <c r="BG27" s="1333"/>
      <c r="BH27" s="1333"/>
      <c r="BI27" s="1333"/>
      <c r="BJ27" s="1333"/>
      <c r="BK27" s="1333"/>
      <c r="BL27" s="1333"/>
      <c r="BM27" s="1333"/>
      <c r="BN27" s="1333">
        <v>0</v>
      </c>
      <c r="BO27" s="1333">
        <v>0</v>
      </c>
      <c r="BP27" s="1333">
        <v>0</v>
      </c>
      <c r="BQ27" s="1333">
        <v>0</v>
      </c>
      <c r="BR27" s="1337">
        <v>0</v>
      </c>
      <c r="BS27" s="1333">
        <v>0</v>
      </c>
      <c r="BT27" s="1333">
        <v>0</v>
      </c>
      <c r="BU27" s="1333">
        <v>0</v>
      </c>
      <c r="BV27" s="1337">
        <v>0</v>
      </c>
      <c r="BW27" s="1333">
        <v>0</v>
      </c>
      <c r="BX27" s="1333">
        <v>1696</v>
      </c>
      <c r="BY27" s="1348">
        <v>1584</v>
      </c>
      <c r="BZ27" s="1333">
        <v>1491</v>
      </c>
      <c r="CA27" s="1333">
        <v>1404</v>
      </c>
      <c r="CB27" s="1333">
        <v>1192</v>
      </c>
      <c r="CC27" s="1333">
        <v>2168</v>
      </c>
      <c r="CD27" s="1337">
        <v>2051</v>
      </c>
      <c r="CE27" s="1333">
        <v>2063</v>
      </c>
      <c r="CF27" s="1333">
        <v>2003</v>
      </c>
      <c r="CG27" s="1348">
        <v>1971</v>
      </c>
      <c r="CH27" s="1337">
        <v>1772</v>
      </c>
      <c r="CI27" s="1349">
        <v>1658</v>
      </c>
      <c r="CJ27" s="1349">
        <v>1537</v>
      </c>
      <c r="CK27" s="1349">
        <v>1686</v>
      </c>
      <c r="CL27" s="1337">
        <v>1616</v>
      </c>
      <c r="CM27" s="1170"/>
      <c r="CN27" s="1170"/>
      <c r="CO27" s="1170"/>
      <c r="CP27" s="1170"/>
      <c r="CQ27" s="1170"/>
      <c r="CR27" s="1170"/>
      <c r="CS27" s="1170"/>
      <c r="CT27" s="1170"/>
      <c r="CU27" s="1223">
        <f t="shared" si="10"/>
        <v>0</v>
      </c>
    </row>
    <row r="28" spans="1:99" ht="12.75" customHeight="1">
      <c r="A28" s="1225" t="s">
        <v>223</v>
      </c>
      <c r="B28" s="1198"/>
      <c r="C28" s="1198"/>
      <c r="D28" s="1198"/>
      <c r="E28" s="1198"/>
      <c r="F28" s="1226"/>
      <c r="G28" s="1226"/>
      <c r="H28" s="1248"/>
      <c r="I28" s="1248"/>
      <c r="J28" s="1248">
        <f>BE28</f>
        <v>1951</v>
      </c>
      <c r="K28" s="1248">
        <f>BI28</f>
        <v>2102</v>
      </c>
      <c r="L28" s="1248">
        <f>+BM28</f>
        <v>2074</v>
      </c>
      <c r="M28" s="1248">
        <f t="shared" si="13"/>
        <v>1758</v>
      </c>
      <c r="N28" s="1248">
        <f t="shared" si="14"/>
        <v>2115</v>
      </c>
      <c r="O28" s="1282">
        <f t="shared" si="15"/>
        <v>2851</v>
      </c>
      <c r="P28" s="1282">
        <f t="shared" si="16"/>
        <v>1083</v>
      </c>
      <c r="Q28" s="1282">
        <f>CG28</f>
        <v>585</v>
      </c>
      <c r="R28" s="1250">
        <f t="shared" si="18"/>
        <v>559</v>
      </c>
      <c r="S28" s="1386">
        <f>CO28</f>
        <v>0</v>
      </c>
      <c r="T28" s="1507"/>
      <c r="U28" s="1507"/>
      <c r="V28" s="1507"/>
      <c r="W28" s="1507"/>
      <c r="X28" s="1248"/>
      <c r="Y28" s="1248"/>
      <c r="Z28" s="1248"/>
      <c r="AA28" s="1248"/>
      <c r="AB28" s="1248"/>
      <c r="AC28" s="1248"/>
      <c r="AD28" s="1248"/>
      <c r="AE28" s="1248"/>
      <c r="AF28" s="1248"/>
      <c r="AG28" s="1519"/>
      <c r="AH28" s="1248"/>
      <c r="AI28" s="1248"/>
      <c r="AJ28" s="1248"/>
      <c r="AK28" s="1248"/>
      <c r="AL28" s="1248"/>
      <c r="AM28" s="1248"/>
      <c r="AN28" s="1248"/>
      <c r="AO28" s="1248"/>
      <c r="AP28" s="1248"/>
      <c r="AQ28" s="1248"/>
      <c r="AR28" s="1248"/>
      <c r="AS28" s="1248"/>
      <c r="AT28" s="1248"/>
      <c r="AU28" s="1248"/>
      <c r="AV28" s="1248"/>
      <c r="AW28" s="1248"/>
      <c r="AX28" s="1248"/>
      <c r="AY28" s="1248"/>
      <c r="AZ28" s="1248"/>
      <c r="BA28" s="1248"/>
      <c r="BB28" s="1248"/>
      <c r="BC28" s="1248"/>
      <c r="BD28" s="1248"/>
      <c r="BE28" s="1333">
        <v>1951</v>
      </c>
      <c r="BF28" s="1333">
        <v>1915</v>
      </c>
      <c r="BG28" s="1333">
        <v>1971</v>
      </c>
      <c r="BH28" s="1333">
        <v>2027</v>
      </c>
      <c r="BI28" s="1333">
        <v>2102</v>
      </c>
      <c r="BJ28" s="1333">
        <v>2077</v>
      </c>
      <c r="BK28" s="1333">
        <v>2179</v>
      </c>
      <c r="BL28" s="1333">
        <v>2209</v>
      </c>
      <c r="BM28" s="1333">
        <v>2074</v>
      </c>
      <c r="BN28" s="1333">
        <v>2031</v>
      </c>
      <c r="BO28" s="1333">
        <v>1998</v>
      </c>
      <c r="BP28" s="1333">
        <v>1826</v>
      </c>
      <c r="BQ28" s="1333">
        <v>1758</v>
      </c>
      <c r="BR28" s="1337">
        <v>1858</v>
      </c>
      <c r="BS28" s="1333">
        <v>1794</v>
      </c>
      <c r="BT28" s="1333">
        <v>1768</v>
      </c>
      <c r="BU28" s="1333">
        <v>2115</v>
      </c>
      <c r="BV28" s="1337">
        <v>2421</v>
      </c>
      <c r="BW28" s="1333">
        <v>2409</v>
      </c>
      <c r="BX28" s="1333">
        <v>2573</v>
      </c>
      <c r="BY28" s="1348">
        <v>2851</v>
      </c>
      <c r="BZ28" s="1768">
        <v>2862</v>
      </c>
      <c r="CA28" s="1768">
        <v>2869</v>
      </c>
      <c r="CB28" s="1768">
        <v>2869</v>
      </c>
      <c r="CC28" s="1768">
        <v>1083</v>
      </c>
      <c r="CD28" s="1334">
        <v>1097</v>
      </c>
      <c r="CE28" s="1768">
        <v>608</v>
      </c>
      <c r="CF28" s="1768">
        <v>588</v>
      </c>
      <c r="CG28" s="1676">
        <v>585</v>
      </c>
      <c r="CH28" s="1334">
        <v>595</v>
      </c>
      <c r="CI28" s="1675">
        <v>575</v>
      </c>
      <c r="CJ28" s="1675">
        <v>584</v>
      </c>
      <c r="CK28" s="1675">
        <v>559</v>
      </c>
      <c r="CL28" s="1334">
        <v>568</v>
      </c>
      <c r="CM28" s="1170"/>
      <c r="CN28" s="1170"/>
      <c r="CO28" s="1170"/>
      <c r="CP28" s="1170"/>
      <c r="CQ28" s="1170"/>
      <c r="CR28" s="1170"/>
      <c r="CS28" s="1170"/>
      <c r="CT28" s="1170"/>
      <c r="CU28" s="1223">
        <f t="shared" si="10"/>
        <v>0</v>
      </c>
    </row>
    <row r="29" spans="1:99" ht="12.75" customHeight="1">
      <c r="A29" s="1213" t="s">
        <v>833</v>
      </c>
      <c r="B29" s="1213"/>
      <c r="C29" s="1213"/>
      <c r="D29" s="1213"/>
      <c r="E29" s="1213"/>
      <c r="F29" s="1214"/>
      <c r="G29" s="1214"/>
      <c r="H29" s="1269"/>
      <c r="I29" s="1269"/>
      <c r="J29" s="1269">
        <f>BE29</f>
        <v>29345</v>
      </c>
      <c r="K29" s="1269">
        <f>+K28+K25+K20+K17+K26</f>
        <v>26216</v>
      </c>
      <c r="L29" s="1269">
        <f>+L28+L25+L20+L17+L26</f>
        <v>24324</v>
      </c>
      <c r="M29" s="1269">
        <f t="shared" ref="M29:S29" si="19">SUM(M20,M25:M28,M17)</f>
        <v>21497</v>
      </c>
      <c r="N29" s="1269">
        <f t="shared" si="19"/>
        <v>21239</v>
      </c>
      <c r="O29" s="1270">
        <f t="shared" si="19"/>
        <v>22532</v>
      </c>
      <c r="P29" s="1270">
        <f>SUM(P20,P25:P28,P17)</f>
        <v>20141</v>
      </c>
      <c r="Q29" s="1270">
        <f>SUM(Q20,Q25:Q28,Q17)</f>
        <v>20380</v>
      </c>
      <c r="R29" s="1271">
        <f t="shared" ca="1" si="19"/>
        <v>17220</v>
      </c>
      <c r="S29" s="1272">
        <f t="shared" si="19"/>
        <v>0</v>
      </c>
      <c r="T29" s="1507"/>
      <c r="U29" s="1507"/>
      <c r="V29" s="1507"/>
      <c r="W29" s="1507"/>
      <c r="X29" s="1248"/>
      <c r="Y29" s="1248"/>
      <c r="Z29" s="1248"/>
      <c r="AA29" s="1248"/>
      <c r="AB29" s="1248"/>
      <c r="AC29" s="1248"/>
      <c r="AD29" s="1248"/>
      <c r="AE29" s="1248"/>
      <c r="AF29" s="1248"/>
      <c r="AG29" s="151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f t="shared" ref="BE29:BM29" si="20">+BE28+BE25+BE20+BE17+BE26</f>
        <v>29345</v>
      </c>
      <c r="BF29" s="1269">
        <f t="shared" si="20"/>
        <v>29210</v>
      </c>
      <c r="BG29" s="1269">
        <f t="shared" si="20"/>
        <v>29224</v>
      </c>
      <c r="BH29" s="1269">
        <f t="shared" si="20"/>
        <v>30462</v>
      </c>
      <c r="BI29" s="1269">
        <f t="shared" si="20"/>
        <v>26216</v>
      </c>
      <c r="BJ29" s="1269">
        <f t="shared" si="20"/>
        <v>25679</v>
      </c>
      <c r="BK29" s="1269">
        <f t="shared" si="20"/>
        <v>25106</v>
      </c>
      <c r="BL29" s="1269">
        <f t="shared" si="20"/>
        <v>24926</v>
      </c>
      <c r="BM29" s="1269">
        <f t="shared" si="20"/>
        <v>24324</v>
      </c>
      <c r="BN29" s="1269">
        <f t="shared" ref="BN29:CJ29" si="21">SUM(BN20,BN25:BN28,BN17)</f>
        <v>24129</v>
      </c>
      <c r="BO29" s="1269">
        <f t="shared" si="21"/>
        <v>24070</v>
      </c>
      <c r="BP29" s="1269">
        <f t="shared" si="21"/>
        <v>23727</v>
      </c>
      <c r="BQ29" s="1269">
        <f t="shared" si="21"/>
        <v>21497</v>
      </c>
      <c r="BR29" s="1273">
        <f t="shared" si="21"/>
        <v>21126</v>
      </c>
      <c r="BS29" s="1269">
        <f t="shared" si="21"/>
        <v>21292</v>
      </c>
      <c r="BT29" s="1269">
        <f t="shared" si="21"/>
        <v>21114</v>
      </c>
      <c r="BU29" s="1269">
        <f t="shared" si="21"/>
        <v>21239</v>
      </c>
      <c r="BV29" s="1273">
        <f t="shared" si="21"/>
        <v>20701</v>
      </c>
      <c r="BW29" s="1269">
        <f t="shared" si="21"/>
        <v>20389</v>
      </c>
      <c r="BX29" s="1269">
        <f t="shared" si="21"/>
        <v>22711</v>
      </c>
      <c r="BY29" s="1271">
        <f t="shared" si="21"/>
        <v>22532</v>
      </c>
      <c r="BZ29" s="1269">
        <f t="shared" si="21"/>
        <v>21888</v>
      </c>
      <c r="CA29" s="1269">
        <f t="shared" si="21"/>
        <v>21843</v>
      </c>
      <c r="CB29" s="1269">
        <f t="shared" si="21"/>
        <v>21192</v>
      </c>
      <c r="CC29" s="1269">
        <f t="shared" si="21"/>
        <v>20141</v>
      </c>
      <c r="CD29" s="1273">
        <f t="shared" si="21"/>
        <v>19711</v>
      </c>
      <c r="CE29" s="1269">
        <f t="shared" si="21"/>
        <v>20226</v>
      </c>
      <c r="CF29" s="1269">
        <f t="shared" si="21"/>
        <v>20225</v>
      </c>
      <c r="CG29" s="1271">
        <f t="shared" si="21"/>
        <v>20380</v>
      </c>
      <c r="CH29" s="1273">
        <f t="shared" si="21"/>
        <v>19362</v>
      </c>
      <c r="CI29" s="1270">
        <f t="shared" si="21"/>
        <v>18959</v>
      </c>
      <c r="CJ29" s="1270">
        <f t="shared" si="21"/>
        <v>18959</v>
      </c>
      <c r="CK29" s="1269">
        <f ca="1">SUM(CK20,CK25:CK28,CK17)</f>
        <v>17220</v>
      </c>
      <c r="CL29" s="1273">
        <f>SUM(CL20,CL25:CL28,CL17)</f>
        <v>16849</v>
      </c>
      <c r="CM29" s="1170"/>
      <c r="CN29" s="1170"/>
      <c r="CO29" s="1170"/>
      <c r="CP29" s="1170"/>
      <c r="CQ29" s="1170"/>
      <c r="CR29" s="1170"/>
      <c r="CS29" s="1170"/>
      <c r="CT29" s="1170"/>
      <c r="CU29" s="1223">
        <f t="shared" ca="1" si="10"/>
        <v>0</v>
      </c>
    </row>
    <row r="30" spans="1:99" ht="5.25" customHeight="1">
      <c r="A30" s="1198"/>
      <c r="B30" s="1198"/>
      <c r="C30" s="1198"/>
      <c r="D30" s="1198"/>
      <c r="E30" s="1198"/>
      <c r="F30" s="1198"/>
      <c r="G30" s="1198"/>
      <c r="H30" s="1248"/>
      <c r="I30" s="1248"/>
      <c r="J30" s="1523"/>
      <c r="K30" s="1523"/>
      <c r="L30" s="1523"/>
      <c r="M30" s="1523"/>
      <c r="N30" s="1523"/>
      <c r="O30" s="1524"/>
      <c r="P30" s="1524"/>
      <c r="Q30" s="1524"/>
      <c r="R30" s="1525"/>
      <c r="S30" s="1526"/>
      <c r="T30" s="1507"/>
      <c r="U30" s="1507"/>
      <c r="V30" s="1507"/>
      <c r="W30" s="1507"/>
      <c r="X30" s="1248"/>
      <c r="Y30" s="1248"/>
      <c r="Z30" s="1248"/>
      <c r="AA30" s="1248"/>
      <c r="AB30" s="1248"/>
      <c r="AC30" s="1248"/>
      <c r="AD30" s="1248"/>
      <c r="AE30" s="1248"/>
      <c r="AF30" s="1248"/>
      <c r="AG30" s="1519"/>
      <c r="AH30" s="1248"/>
      <c r="AI30" s="1248"/>
      <c r="AJ30" s="1248"/>
      <c r="AK30" s="1248"/>
      <c r="AL30" s="1248"/>
      <c r="AM30" s="1248"/>
      <c r="AN30" s="1248"/>
      <c r="AO30" s="1248"/>
      <c r="AP30" s="1248"/>
      <c r="AQ30" s="1248"/>
      <c r="AR30" s="1248"/>
      <c r="AS30" s="1248"/>
      <c r="AT30" s="1248"/>
      <c r="AU30" s="1248"/>
      <c r="AV30" s="1248"/>
      <c r="AW30" s="1248"/>
      <c r="AX30" s="1248"/>
      <c r="AY30" s="1248"/>
      <c r="AZ30" s="1248"/>
      <c r="BA30" s="1248"/>
      <c r="BB30" s="1248"/>
      <c r="BC30" s="1248"/>
      <c r="BD30" s="1248"/>
      <c r="BE30" s="1248"/>
      <c r="BF30" s="1248"/>
      <c r="BG30" s="1248"/>
      <c r="BH30" s="1248"/>
      <c r="BI30" s="1248"/>
      <c r="BJ30" s="1248"/>
      <c r="BK30" s="1248"/>
      <c r="BL30" s="1248"/>
      <c r="BM30" s="1248"/>
      <c r="BN30" s="1248"/>
      <c r="BO30" s="1248"/>
      <c r="BP30" s="1248"/>
      <c r="BQ30" s="1248"/>
      <c r="BR30" s="1249"/>
      <c r="BS30" s="1248"/>
      <c r="BT30" s="1248"/>
      <c r="BU30" s="1248"/>
      <c r="BV30" s="1249"/>
      <c r="BW30" s="1248"/>
      <c r="BX30" s="1248"/>
      <c r="BY30" s="1250"/>
      <c r="BZ30" s="1248"/>
      <c r="CA30" s="1248"/>
      <c r="CB30" s="1248"/>
      <c r="CC30" s="1248"/>
      <c r="CD30" s="1249"/>
      <c r="CE30" s="1248"/>
      <c r="CF30" s="1248"/>
      <c r="CG30" s="1250"/>
      <c r="CH30" s="1249"/>
      <c r="CI30" s="1282"/>
      <c r="CJ30" s="1282"/>
      <c r="CK30" s="1248"/>
      <c r="CL30" s="1249"/>
      <c r="CM30" s="1170"/>
      <c r="CN30" s="1170"/>
      <c r="CO30" s="1170"/>
      <c r="CP30" s="1170"/>
      <c r="CQ30" s="1170"/>
      <c r="CR30" s="1170"/>
      <c r="CS30" s="1170"/>
      <c r="CT30" s="1170"/>
      <c r="CU30" s="1223">
        <f t="shared" si="10"/>
        <v>0</v>
      </c>
    </row>
    <row r="31" spans="1:99" ht="12.75" customHeight="1">
      <c r="A31" s="1213" t="s">
        <v>224</v>
      </c>
      <c r="B31" s="1213"/>
      <c r="C31" s="1213"/>
      <c r="D31" s="1213"/>
      <c r="E31" s="1198"/>
      <c r="F31" s="1198"/>
      <c r="G31" s="1198"/>
      <c r="H31" s="1248"/>
      <c r="I31" s="1248"/>
      <c r="J31" s="1248"/>
      <c r="K31" s="1248"/>
      <c r="L31" s="1248"/>
      <c r="M31" s="1248"/>
      <c r="N31" s="1248"/>
      <c r="O31" s="1282"/>
      <c r="P31" s="1282"/>
      <c r="Q31" s="1282"/>
      <c r="R31" s="1250"/>
      <c r="S31" s="1386"/>
      <c r="T31" s="1507"/>
      <c r="U31" s="1507"/>
      <c r="V31" s="1507"/>
      <c r="W31" s="1507"/>
      <c r="X31" s="1248"/>
      <c r="Y31" s="1248"/>
      <c r="Z31" s="1248"/>
      <c r="AA31" s="1248"/>
      <c r="AB31" s="1248"/>
      <c r="AC31" s="1248"/>
      <c r="AD31" s="1248"/>
      <c r="AE31" s="1248"/>
      <c r="AF31" s="1248"/>
      <c r="AG31" s="1519"/>
      <c r="AH31" s="1248"/>
      <c r="AI31" s="1248"/>
      <c r="AJ31" s="1248"/>
      <c r="AK31" s="1248"/>
      <c r="AL31" s="1248"/>
      <c r="AM31" s="1248"/>
      <c r="AN31" s="1248"/>
      <c r="AO31" s="1248"/>
      <c r="AP31" s="1248"/>
      <c r="AQ31" s="1248"/>
      <c r="AR31" s="1248"/>
      <c r="AS31" s="1248"/>
      <c r="AT31" s="1248"/>
      <c r="AU31" s="1248"/>
      <c r="AV31" s="1248"/>
      <c r="AW31" s="1248"/>
      <c r="AX31" s="1248"/>
      <c r="AY31" s="1248"/>
      <c r="AZ31" s="1248"/>
      <c r="BA31" s="1248"/>
      <c r="BB31" s="1248"/>
      <c r="BC31" s="1248"/>
      <c r="BD31" s="1248"/>
      <c r="BE31" s="1248"/>
      <c r="BF31" s="1248"/>
      <c r="BG31" s="1248"/>
      <c r="BH31" s="1248"/>
      <c r="BI31" s="1248"/>
      <c r="BJ31" s="1248"/>
      <c r="BK31" s="1248"/>
      <c r="BL31" s="1248"/>
      <c r="BM31" s="1527"/>
      <c r="BN31" s="1527"/>
      <c r="BO31" s="1527"/>
      <c r="BP31" s="1527"/>
      <c r="BQ31" s="1527"/>
      <c r="BR31" s="1528"/>
      <c r="BS31" s="1527"/>
      <c r="BT31" s="1527"/>
      <c r="BU31" s="1527"/>
      <c r="BV31" s="1528"/>
      <c r="BW31" s="1527"/>
      <c r="BX31" s="1527"/>
      <c r="BY31" s="1529"/>
      <c r="BZ31" s="1527"/>
      <c r="CA31" s="1527"/>
      <c r="CB31" s="1527"/>
      <c r="CC31" s="1527"/>
      <c r="CD31" s="1528"/>
      <c r="CE31" s="1527"/>
      <c r="CF31" s="1527"/>
      <c r="CG31" s="1529"/>
      <c r="CH31" s="1528"/>
      <c r="CI31" s="1507"/>
      <c r="CJ31" s="1507"/>
      <c r="CK31" s="1527"/>
      <c r="CL31" s="1528"/>
      <c r="CM31" s="1170"/>
      <c r="CN31" s="1170"/>
      <c r="CO31" s="1170"/>
      <c r="CP31" s="1170"/>
      <c r="CQ31" s="1170"/>
      <c r="CR31" s="1170"/>
      <c r="CS31" s="1170"/>
      <c r="CT31" s="1170"/>
      <c r="CU31" s="1223">
        <f t="shared" si="10"/>
        <v>0</v>
      </c>
    </row>
    <row r="32" spans="1:99" ht="12.75" customHeight="1">
      <c r="A32" s="1225" t="s">
        <v>688</v>
      </c>
      <c r="B32" s="1198"/>
      <c r="C32" s="1198"/>
      <c r="D32" s="1198"/>
      <c r="E32" s="1198"/>
      <c r="F32" s="1198"/>
      <c r="G32" s="1198"/>
      <c r="H32" s="1248"/>
      <c r="I32" s="1248"/>
      <c r="J32" s="1248">
        <f t="shared" ref="J32:J47" si="22">BE32</f>
        <v>2772</v>
      </c>
      <c r="K32" s="1248">
        <f t="shared" ref="K32:K39" si="23">BI32</f>
        <v>1869</v>
      </c>
      <c r="L32" s="1248">
        <f t="shared" ref="L32:L39" si="24">BM32</f>
        <v>596</v>
      </c>
      <c r="M32" s="1248">
        <f t="shared" ref="M32:M39" si="25">+BQ32</f>
        <v>512</v>
      </c>
      <c r="N32" s="1248">
        <f t="shared" ref="N32:N39" si="26">BU32</f>
        <v>1686</v>
      </c>
      <c r="O32" s="1282">
        <f t="shared" ref="O32:O39" si="27">BY32</f>
        <v>601</v>
      </c>
      <c r="P32" s="1282">
        <f t="shared" ref="P32:P39" si="28">CC32</f>
        <v>820</v>
      </c>
      <c r="Q32" s="1282">
        <f t="shared" ref="Q32:Q39" si="29">CG32</f>
        <v>2196</v>
      </c>
      <c r="R32" s="1250">
        <f t="shared" ref="R32:R46" si="30">+CK32</f>
        <v>1089</v>
      </c>
      <c r="S32" s="1386">
        <f t="shared" ref="S32:S38" si="31">CO32</f>
        <v>0</v>
      </c>
      <c r="T32" s="1507"/>
      <c r="U32" s="1507"/>
      <c r="V32" s="1507"/>
      <c r="W32" s="1507"/>
      <c r="X32" s="1248"/>
      <c r="Y32" s="1248"/>
      <c r="Z32" s="1248"/>
      <c r="AA32" s="1248"/>
      <c r="AB32" s="1248"/>
      <c r="AC32" s="1248"/>
      <c r="AD32" s="1248"/>
      <c r="AE32" s="1248"/>
      <c r="AF32" s="1248"/>
      <c r="AG32" s="1519"/>
      <c r="AH32" s="1248"/>
      <c r="AI32" s="1248"/>
      <c r="AJ32" s="1248"/>
      <c r="AK32" s="1248"/>
      <c r="AL32" s="1248"/>
      <c r="AM32" s="1248"/>
      <c r="AN32" s="1248"/>
      <c r="AO32" s="1248"/>
      <c r="AP32" s="1248"/>
      <c r="AQ32" s="1248"/>
      <c r="AR32" s="1248"/>
      <c r="AS32" s="1248"/>
      <c r="AT32" s="1248"/>
      <c r="AU32" s="1248"/>
      <c r="AV32" s="1248"/>
      <c r="AW32" s="1248"/>
      <c r="AX32" s="1248"/>
      <c r="AY32" s="1248"/>
      <c r="AZ32" s="1248"/>
      <c r="BA32" s="1248"/>
      <c r="BB32" s="1248"/>
      <c r="BC32" s="1248"/>
      <c r="BD32" s="1248"/>
      <c r="BE32" s="1333">
        <v>2772</v>
      </c>
      <c r="BF32" s="1333">
        <v>2635</v>
      </c>
      <c r="BG32" s="1333">
        <v>1142</v>
      </c>
      <c r="BH32" s="1333">
        <v>1031</v>
      </c>
      <c r="BI32" s="1333">
        <v>1869</v>
      </c>
      <c r="BJ32" s="1333">
        <v>996</v>
      </c>
      <c r="BK32" s="1333">
        <v>836</v>
      </c>
      <c r="BL32" s="1333">
        <v>652</v>
      </c>
      <c r="BM32" s="1333">
        <v>596</v>
      </c>
      <c r="BN32" s="1333">
        <v>601</v>
      </c>
      <c r="BO32" s="1333">
        <v>261</v>
      </c>
      <c r="BP32" s="1333">
        <v>527</v>
      </c>
      <c r="BQ32" s="1333">
        <v>512</v>
      </c>
      <c r="BR32" s="1337">
        <v>604</v>
      </c>
      <c r="BS32" s="1333">
        <v>2683</v>
      </c>
      <c r="BT32" s="1333">
        <v>1685</v>
      </c>
      <c r="BU32" s="1333">
        <v>1686</v>
      </c>
      <c r="BV32" s="1337">
        <v>1688</v>
      </c>
      <c r="BW32" s="1333">
        <v>1304</v>
      </c>
      <c r="BX32" s="1333">
        <v>1727</v>
      </c>
      <c r="BY32" s="1348">
        <v>601</v>
      </c>
      <c r="BZ32" s="1333">
        <v>852</v>
      </c>
      <c r="CA32" s="1333">
        <v>851</v>
      </c>
      <c r="CB32" s="1333">
        <v>1240</v>
      </c>
      <c r="CC32" s="1333">
        <v>820</v>
      </c>
      <c r="CD32" s="1337">
        <v>587</v>
      </c>
      <c r="CE32" s="1333">
        <v>1085</v>
      </c>
      <c r="CF32" s="1333">
        <v>925</v>
      </c>
      <c r="CG32" s="1348">
        <v>2196</v>
      </c>
      <c r="CH32" s="1337">
        <v>2046</v>
      </c>
      <c r="CI32" s="1349">
        <v>1554</v>
      </c>
      <c r="CJ32" s="1349">
        <v>2191</v>
      </c>
      <c r="CK32" s="1348">
        <v>1089</v>
      </c>
      <c r="CL32" s="1337">
        <v>2422</v>
      </c>
      <c r="CM32" s="1170"/>
      <c r="CN32" s="1170"/>
      <c r="CO32" s="1170"/>
      <c r="CP32" s="1170"/>
      <c r="CQ32" s="1170"/>
      <c r="CR32" s="1170"/>
      <c r="CS32" s="1170"/>
      <c r="CT32" s="1170"/>
      <c r="CU32" s="1223">
        <f t="shared" si="10"/>
        <v>0</v>
      </c>
    </row>
    <row r="33" spans="1:99" ht="12.75" customHeight="1">
      <c r="A33" s="1225" t="s">
        <v>837</v>
      </c>
      <c r="B33" s="1198"/>
      <c r="C33" s="1198"/>
      <c r="D33" s="1198"/>
      <c r="E33" s="1198"/>
      <c r="F33" s="1198"/>
      <c r="G33" s="1198"/>
      <c r="H33" s="1248"/>
      <c r="I33" s="1248"/>
      <c r="J33" s="1248">
        <f t="shared" si="22"/>
        <v>921</v>
      </c>
      <c r="K33" s="1248">
        <f t="shared" si="23"/>
        <v>759</v>
      </c>
      <c r="L33" s="1248">
        <f t="shared" si="24"/>
        <v>731</v>
      </c>
      <c r="M33" s="1248">
        <f t="shared" si="25"/>
        <v>773</v>
      </c>
      <c r="N33" s="1248">
        <f t="shared" si="26"/>
        <v>997</v>
      </c>
      <c r="O33" s="1282">
        <f t="shared" si="27"/>
        <v>1008</v>
      </c>
      <c r="P33" s="1282">
        <f t="shared" si="28"/>
        <v>820</v>
      </c>
      <c r="Q33" s="1282">
        <f t="shared" si="29"/>
        <v>765</v>
      </c>
      <c r="R33" s="1250">
        <f t="shared" si="30"/>
        <v>1033</v>
      </c>
      <c r="S33" s="1386">
        <f t="shared" si="31"/>
        <v>0</v>
      </c>
      <c r="T33" s="1507"/>
      <c r="U33" s="1507"/>
      <c r="V33" s="1507"/>
      <c r="W33" s="1507"/>
      <c r="X33" s="1248"/>
      <c r="Y33" s="1248"/>
      <c r="Z33" s="1248"/>
      <c r="AA33" s="1248"/>
      <c r="AB33" s="1248"/>
      <c r="AC33" s="1248"/>
      <c r="AD33" s="1248"/>
      <c r="AE33" s="1248"/>
      <c r="AF33" s="1248"/>
      <c r="AG33" s="1519"/>
      <c r="AH33" s="1248"/>
      <c r="AI33" s="1248"/>
      <c r="AJ33" s="1248"/>
      <c r="AK33" s="1248"/>
      <c r="AL33" s="1248"/>
      <c r="AM33" s="1248"/>
      <c r="AN33" s="1248"/>
      <c r="AO33" s="1248"/>
      <c r="AP33" s="1248"/>
      <c r="AQ33" s="1248"/>
      <c r="AR33" s="1248"/>
      <c r="AS33" s="1248"/>
      <c r="AT33" s="1248"/>
      <c r="AU33" s="1248"/>
      <c r="AV33" s="1248"/>
      <c r="AW33" s="1248"/>
      <c r="AX33" s="1248"/>
      <c r="AY33" s="1248"/>
      <c r="AZ33" s="1248"/>
      <c r="BA33" s="1248"/>
      <c r="BB33" s="1248"/>
      <c r="BC33" s="1248"/>
      <c r="BD33" s="1248"/>
      <c r="BE33" s="1333">
        <v>921</v>
      </c>
      <c r="BF33" s="1333">
        <v>830</v>
      </c>
      <c r="BG33" s="1333">
        <v>807</v>
      </c>
      <c r="BH33" s="1333">
        <v>802</v>
      </c>
      <c r="BI33" s="1333">
        <v>759</v>
      </c>
      <c r="BJ33" s="1333">
        <v>828</v>
      </c>
      <c r="BK33" s="1333">
        <v>719</v>
      </c>
      <c r="BL33" s="1333">
        <v>863</v>
      </c>
      <c r="BM33" s="1333">
        <v>731</v>
      </c>
      <c r="BN33" s="1333">
        <v>705</v>
      </c>
      <c r="BO33" s="1333">
        <v>714</v>
      </c>
      <c r="BP33" s="1333">
        <v>740</v>
      </c>
      <c r="BQ33" s="1333">
        <v>773</v>
      </c>
      <c r="BR33" s="1337">
        <v>780</v>
      </c>
      <c r="BS33" s="1333">
        <v>748</v>
      </c>
      <c r="BT33" s="1333">
        <v>833</v>
      </c>
      <c r="BU33" s="1333">
        <v>997</v>
      </c>
      <c r="BV33" s="1337">
        <v>895</v>
      </c>
      <c r="BW33" s="1333">
        <v>918</v>
      </c>
      <c r="BX33" s="1333">
        <v>943</v>
      </c>
      <c r="BY33" s="1348">
        <v>1008</v>
      </c>
      <c r="BZ33" s="1333">
        <v>933</v>
      </c>
      <c r="CA33" s="1333">
        <v>930</v>
      </c>
      <c r="CB33" s="1333">
        <v>933</v>
      </c>
      <c r="CC33" s="1333">
        <v>820</v>
      </c>
      <c r="CD33" s="1337">
        <v>791</v>
      </c>
      <c r="CE33" s="1333">
        <v>767</v>
      </c>
      <c r="CF33" s="1333">
        <v>754</v>
      </c>
      <c r="CG33" s="1348">
        <v>765</v>
      </c>
      <c r="CH33" s="1337">
        <v>658</v>
      </c>
      <c r="CI33" s="1349">
        <v>686</v>
      </c>
      <c r="CJ33" s="1349">
        <v>759</v>
      </c>
      <c r="CK33" s="1348">
        <v>1033</v>
      </c>
      <c r="CL33" s="1337">
        <v>908</v>
      </c>
      <c r="CM33" s="1170"/>
      <c r="CN33" s="1170"/>
      <c r="CO33" s="1170"/>
      <c r="CP33" s="1170"/>
      <c r="CQ33" s="1170"/>
      <c r="CR33" s="1170"/>
      <c r="CS33" s="1170"/>
      <c r="CT33" s="1170"/>
      <c r="CU33" s="1223">
        <f t="shared" si="10"/>
        <v>0</v>
      </c>
    </row>
    <row r="34" spans="1:99" ht="12.75" customHeight="1">
      <c r="A34" s="1225" t="s">
        <v>689</v>
      </c>
      <c r="B34" s="1225"/>
      <c r="C34" s="1225"/>
      <c r="D34" s="1225"/>
      <c r="E34" s="1225"/>
      <c r="F34" s="1225"/>
      <c r="G34" s="1225"/>
      <c r="H34" s="1248"/>
      <c r="I34" s="1248"/>
      <c r="J34" s="1248">
        <f t="shared" si="22"/>
        <v>2191</v>
      </c>
      <c r="K34" s="1248">
        <f t="shared" si="23"/>
        <v>2266</v>
      </c>
      <c r="L34" s="1248">
        <f t="shared" si="24"/>
        <v>2290</v>
      </c>
      <c r="M34" s="1248">
        <f t="shared" si="25"/>
        <v>2317</v>
      </c>
      <c r="N34" s="1248">
        <f t="shared" si="26"/>
        <v>1856</v>
      </c>
      <c r="O34" s="1282">
        <f t="shared" si="27"/>
        <v>1999</v>
      </c>
      <c r="P34" s="1282">
        <f t="shared" si="28"/>
        <v>1641</v>
      </c>
      <c r="Q34" s="1282">
        <f t="shared" si="29"/>
        <v>1580</v>
      </c>
      <c r="R34" s="1250">
        <f t="shared" si="30"/>
        <v>1189</v>
      </c>
      <c r="S34" s="1386">
        <f t="shared" si="31"/>
        <v>0</v>
      </c>
      <c r="T34" s="1507"/>
      <c r="U34" s="1507"/>
      <c r="V34" s="1507"/>
      <c r="W34" s="1507"/>
      <c r="X34" s="1248"/>
      <c r="Y34" s="1248"/>
      <c r="Z34" s="1248"/>
      <c r="AA34" s="1248"/>
      <c r="AB34" s="1248"/>
      <c r="AC34" s="1248"/>
      <c r="AD34" s="1248"/>
      <c r="AE34" s="1248"/>
      <c r="AF34" s="1248"/>
      <c r="AG34" s="1519"/>
      <c r="AH34" s="1248"/>
      <c r="AI34" s="1248"/>
      <c r="AJ34" s="1248"/>
      <c r="AK34" s="1248"/>
      <c r="AL34" s="1248"/>
      <c r="AM34" s="1248"/>
      <c r="AN34" s="1248"/>
      <c r="AO34" s="1248"/>
      <c r="AP34" s="1248"/>
      <c r="AQ34" s="1248"/>
      <c r="AR34" s="1248"/>
      <c r="AS34" s="1248"/>
      <c r="AT34" s="1248"/>
      <c r="AU34" s="1248"/>
      <c r="AV34" s="1248"/>
      <c r="AW34" s="1248"/>
      <c r="AX34" s="1248"/>
      <c r="AY34" s="1248"/>
      <c r="AZ34" s="1248"/>
      <c r="BA34" s="1248"/>
      <c r="BB34" s="1248"/>
      <c r="BC34" s="1248"/>
      <c r="BD34" s="1248"/>
      <c r="BE34" s="1333">
        <v>2191</v>
      </c>
      <c r="BF34" s="1333">
        <v>2147</v>
      </c>
      <c r="BG34" s="1333">
        <v>2084</v>
      </c>
      <c r="BH34" s="1333">
        <v>2534</v>
      </c>
      <c r="BI34" s="1333">
        <v>2266</v>
      </c>
      <c r="BJ34" s="1333">
        <v>2075</v>
      </c>
      <c r="BK34" s="1333">
        <v>2361</v>
      </c>
      <c r="BL34" s="1333">
        <v>2547</v>
      </c>
      <c r="BM34" s="1333">
        <v>2290</v>
      </c>
      <c r="BN34" s="1333">
        <v>2111</v>
      </c>
      <c r="BO34" s="1333">
        <v>2049</v>
      </c>
      <c r="BP34" s="1333">
        <v>2330</v>
      </c>
      <c r="BQ34" s="1333">
        <v>2317</v>
      </c>
      <c r="BR34" s="1337">
        <v>1941</v>
      </c>
      <c r="BS34" s="1333">
        <v>2055</v>
      </c>
      <c r="BT34" s="1333">
        <v>2004</v>
      </c>
      <c r="BU34" s="1333">
        <v>1856</v>
      </c>
      <c r="BV34" s="1337">
        <v>1438</v>
      </c>
      <c r="BW34" s="1333">
        <v>1518</v>
      </c>
      <c r="BX34" s="1333">
        <v>1982</v>
      </c>
      <c r="BY34" s="1348">
        <v>1999</v>
      </c>
      <c r="BZ34" s="1333">
        <v>1546</v>
      </c>
      <c r="CA34" s="1333">
        <v>1567</v>
      </c>
      <c r="CB34" s="1333">
        <v>1417</v>
      </c>
      <c r="CC34" s="1333">
        <v>1641</v>
      </c>
      <c r="CD34" s="1337">
        <v>1268</v>
      </c>
      <c r="CE34" s="1333">
        <v>1385</v>
      </c>
      <c r="CF34" s="1333">
        <v>1355</v>
      </c>
      <c r="CG34" s="1348">
        <v>1580</v>
      </c>
      <c r="CH34" s="1337">
        <v>1344</v>
      </c>
      <c r="CI34" s="1349">
        <v>1523</v>
      </c>
      <c r="CJ34" s="1349">
        <v>1752</v>
      </c>
      <c r="CK34" s="1348">
        <f>553+262+219+155</f>
        <v>1189</v>
      </c>
      <c r="CL34" s="1337">
        <f>429+289+200+158</f>
        <v>1076</v>
      </c>
      <c r="CM34" s="1170"/>
      <c r="CN34" s="1170"/>
      <c r="CO34" s="1170"/>
      <c r="CP34" s="1170"/>
      <c r="CQ34" s="1170"/>
      <c r="CR34" s="1170"/>
      <c r="CS34" s="1170"/>
      <c r="CT34" s="1170"/>
      <c r="CU34" s="1223">
        <f t="shared" si="10"/>
        <v>0</v>
      </c>
    </row>
    <row r="35" spans="1:99" ht="12.75" customHeight="1">
      <c r="A35" s="1225" t="s">
        <v>581</v>
      </c>
      <c r="B35" s="1198"/>
      <c r="C35" s="1198"/>
      <c r="D35" s="1198"/>
      <c r="E35" s="1198"/>
      <c r="F35" s="1198"/>
      <c r="G35" s="1198"/>
      <c r="H35" s="1248"/>
      <c r="I35" s="1248"/>
      <c r="J35" s="1248">
        <f t="shared" si="22"/>
        <v>773</v>
      </c>
      <c r="K35" s="1248">
        <f t="shared" si="23"/>
        <v>654</v>
      </c>
      <c r="L35" s="1248">
        <f t="shared" si="24"/>
        <v>669</v>
      </c>
      <c r="M35" s="1248">
        <f t="shared" si="25"/>
        <v>633</v>
      </c>
      <c r="N35" s="1248">
        <f t="shared" si="26"/>
        <v>621</v>
      </c>
      <c r="O35" s="1282">
        <f t="shared" si="27"/>
        <v>601</v>
      </c>
      <c r="P35" s="1282">
        <f t="shared" si="28"/>
        <v>572</v>
      </c>
      <c r="Q35" s="1282">
        <f t="shared" si="29"/>
        <v>556</v>
      </c>
      <c r="R35" s="1250">
        <f t="shared" si="30"/>
        <v>551</v>
      </c>
      <c r="S35" s="1386">
        <f t="shared" si="31"/>
        <v>0</v>
      </c>
      <c r="T35" s="1507"/>
      <c r="U35" s="1507"/>
      <c r="V35" s="1507"/>
      <c r="W35" s="1507"/>
      <c r="X35" s="1248"/>
      <c r="Y35" s="1248"/>
      <c r="Z35" s="1248"/>
      <c r="AA35" s="1248"/>
      <c r="AB35" s="1248"/>
      <c r="AC35" s="1248"/>
      <c r="AD35" s="1248"/>
      <c r="AE35" s="1248"/>
      <c r="AF35" s="1248"/>
      <c r="AG35" s="1519"/>
      <c r="AH35" s="1248"/>
      <c r="AI35" s="1248"/>
      <c r="AJ35" s="1248"/>
      <c r="AK35" s="1248"/>
      <c r="AL35" s="1248"/>
      <c r="AM35" s="1248"/>
      <c r="AN35" s="1248"/>
      <c r="AO35" s="1248"/>
      <c r="AP35" s="1248"/>
      <c r="AQ35" s="1248"/>
      <c r="AR35" s="1248"/>
      <c r="AS35" s="1248"/>
      <c r="AT35" s="1248"/>
      <c r="AU35" s="1248"/>
      <c r="AV35" s="1248"/>
      <c r="AW35" s="1248"/>
      <c r="AX35" s="1248"/>
      <c r="AY35" s="1248"/>
      <c r="AZ35" s="1248"/>
      <c r="BA35" s="1248"/>
      <c r="BB35" s="1248"/>
      <c r="BC35" s="1248"/>
      <c r="BD35" s="1248"/>
      <c r="BE35" s="1333">
        <v>773</v>
      </c>
      <c r="BF35" s="1333">
        <v>739</v>
      </c>
      <c r="BG35" s="1333">
        <v>720</v>
      </c>
      <c r="BH35" s="1333">
        <v>648</v>
      </c>
      <c r="BI35" s="1333">
        <v>654</v>
      </c>
      <c r="BJ35" s="1333">
        <v>654</v>
      </c>
      <c r="BK35" s="1333">
        <v>725</v>
      </c>
      <c r="BL35" s="1333">
        <v>693</v>
      </c>
      <c r="BM35" s="1333">
        <v>669</v>
      </c>
      <c r="BN35" s="1333">
        <v>642</v>
      </c>
      <c r="BO35" s="1333">
        <v>626</v>
      </c>
      <c r="BP35" s="1333">
        <v>635</v>
      </c>
      <c r="BQ35" s="1333">
        <v>633</v>
      </c>
      <c r="BR35" s="1337">
        <v>622</v>
      </c>
      <c r="BS35" s="1333">
        <v>609</v>
      </c>
      <c r="BT35" s="1333">
        <v>622</v>
      </c>
      <c r="BU35" s="1333">
        <v>621</v>
      </c>
      <c r="BV35" s="1337">
        <v>613</v>
      </c>
      <c r="BW35" s="1333">
        <v>610</v>
      </c>
      <c r="BX35" s="1333">
        <v>603</v>
      </c>
      <c r="BY35" s="1348">
        <v>601</v>
      </c>
      <c r="BZ35" s="1333">
        <v>593</v>
      </c>
      <c r="CA35" s="1333">
        <v>585</v>
      </c>
      <c r="CB35" s="1333">
        <v>587</v>
      </c>
      <c r="CC35" s="1333">
        <v>572</v>
      </c>
      <c r="CD35" s="1337">
        <v>565</v>
      </c>
      <c r="CE35" s="1333">
        <v>551</v>
      </c>
      <c r="CF35" s="1333">
        <v>547</v>
      </c>
      <c r="CG35" s="1348">
        <v>556</v>
      </c>
      <c r="CH35" s="1337">
        <v>542</v>
      </c>
      <c r="CI35" s="1349">
        <v>541</v>
      </c>
      <c r="CJ35" s="1349">
        <v>546</v>
      </c>
      <c r="CK35" s="1348">
        <v>551</v>
      </c>
      <c r="CL35" s="1337">
        <v>535</v>
      </c>
      <c r="CM35" s="1170"/>
      <c r="CN35" s="1170"/>
      <c r="CO35" s="1170"/>
      <c r="CP35" s="1170"/>
      <c r="CQ35" s="1170"/>
      <c r="CR35" s="1170"/>
      <c r="CS35" s="1170"/>
      <c r="CT35" s="1170"/>
      <c r="CU35" s="1223">
        <f t="shared" si="10"/>
        <v>0</v>
      </c>
    </row>
    <row r="36" spans="1:99" ht="12.75" customHeight="1" outlineLevel="1">
      <c r="A36" s="1225" t="s">
        <v>225</v>
      </c>
      <c r="B36" s="1198"/>
      <c r="C36" s="1198"/>
      <c r="D36" s="1198"/>
      <c r="E36" s="1198"/>
      <c r="F36" s="1226"/>
      <c r="G36" s="1226"/>
      <c r="H36" s="1248"/>
      <c r="I36" s="1248"/>
      <c r="J36" s="1248">
        <f t="shared" si="22"/>
        <v>0</v>
      </c>
      <c r="K36" s="1248">
        <f t="shared" si="23"/>
        <v>0</v>
      </c>
      <c r="L36" s="1248">
        <f t="shared" si="24"/>
        <v>0</v>
      </c>
      <c r="M36" s="1248">
        <f t="shared" si="25"/>
        <v>0</v>
      </c>
      <c r="N36" s="1248">
        <f t="shared" si="26"/>
        <v>0</v>
      </c>
      <c r="O36" s="1282">
        <f t="shared" si="27"/>
        <v>0</v>
      </c>
      <c r="P36" s="1282">
        <f t="shared" si="28"/>
        <v>0</v>
      </c>
      <c r="Q36" s="1282">
        <f t="shared" si="29"/>
        <v>0</v>
      </c>
      <c r="R36" s="1250">
        <f t="shared" si="30"/>
        <v>0</v>
      </c>
      <c r="S36" s="1248">
        <f t="shared" si="31"/>
        <v>0</v>
      </c>
      <c r="T36" s="1507"/>
      <c r="U36" s="1507"/>
      <c r="V36" s="1507"/>
      <c r="W36" s="1507"/>
      <c r="X36" s="1248"/>
      <c r="Y36" s="1248"/>
      <c r="Z36" s="1248"/>
      <c r="AA36" s="1248"/>
      <c r="AB36" s="1248"/>
      <c r="AC36" s="1248"/>
      <c r="AD36" s="1248"/>
      <c r="AE36" s="1248"/>
      <c r="AF36" s="1248"/>
      <c r="AG36" s="1519"/>
      <c r="AH36" s="1248"/>
      <c r="AI36" s="1248"/>
      <c r="AJ36" s="1248"/>
      <c r="AK36" s="1248"/>
      <c r="AL36" s="1248"/>
      <c r="AM36" s="1248"/>
      <c r="AN36" s="1248"/>
      <c r="AO36" s="1248"/>
      <c r="AP36" s="1248"/>
      <c r="AQ36" s="1248"/>
      <c r="AR36" s="1248"/>
      <c r="AS36" s="1248"/>
      <c r="AT36" s="1248"/>
      <c r="AU36" s="1248"/>
      <c r="AV36" s="1248"/>
      <c r="AW36" s="1248"/>
      <c r="AX36" s="1248"/>
      <c r="AY36" s="1248"/>
      <c r="AZ36" s="1248"/>
      <c r="BA36" s="1248"/>
      <c r="BB36" s="1248"/>
      <c r="BC36" s="1248"/>
      <c r="BD36" s="1248"/>
      <c r="BE36" s="1333">
        <v>0</v>
      </c>
      <c r="BF36" s="1333">
        <v>95</v>
      </c>
      <c r="BG36" s="1333">
        <v>95</v>
      </c>
      <c r="BH36" s="1333">
        <v>101</v>
      </c>
      <c r="BI36" s="1333">
        <v>0</v>
      </c>
      <c r="BJ36" s="1333">
        <v>0</v>
      </c>
      <c r="BK36" s="1333">
        <v>0</v>
      </c>
      <c r="BL36" s="1333">
        <v>0</v>
      </c>
      <c r="BM36" s="1333">
        <v>0</v>
      </c>
      <c r="BN36" s="1333">
        <v>0</v>
      </c>
      <c r="BO36" s="1333">
        <v>0</v>
      </c>
      <c r="BP36" s="1333">
        <v>0</v>
      </c>
      <c r="BQ36" s="1333">
        <v>0</v>
      </c>
      <c r="BR36" s="1337">
        <v>0</v>
      </c>
      <c r="BS36" s="1333">
        <v>0</v>
      </c>
      <c r="BT36" s="1333">
        <v>0</v>
      </c>
      <c r="BU36" s="1333">
        <v>0</v>
      </c>
      <c r="BV36" s="1337">
        <v>0</v>
      </c>
      <c r="BW36" s="1333">
        <v>0</v>
      </c>
      <c r="BX36" s="1333">
        <v>0</v>
      </c>
      <c r="BY36" s="1348">
        <v>0</v>
      </c>
      <c r="BZ36" s="1333">
        <v>0</v>
      </c>
      <c r="CA36" s="1333">
        <v>0</v>
      </c>
      <c r="CB36" s="1333">
        <v>0</v>
      </c>
      <c r="CC36" s="1333">
        <v>0</v>
      </c>
      <c r="CD36" s="1337">
        <v>0</v>
      </c>
      <c r="CE36" s="1333">
        <v>0</v>
      </c>
      <c r="CF36" s="1333">
        <v>0</v>
      </c>
      <c r="CG36" s="1348">
        <v>0</v>
      </c>
      <c r="CH36" s="1337">
        <v>0</v>
      </c>
      <c r="CI36" s="1349">
        <v>0</v>
      </c>
      <c r="CJ36" s="1349">
        <v>0</v>
      </c>
      <c r="CK36" s="1348">
        <v>0</v>
      </c>
      <c r="CL36" s="1337">
        <f>CK36</f>
        <v>0</v>
      </c>
      <c r="CM36" s="1170"/>
      <c r="CN36" s="1170"/>
      <c r="CO36" s="1170"/>
      <c r="CP36" s="1170"/>
      <c r="CQ36" s="1170"/>
      <c r="CR36" s="1170"/>
      <c r="CS36" s="1170"/>
      <c r="CT36" s="1170"/>
      <c r="CU36" s="1223">
        <f t="shared" si="10"/>
        <v>0</v>
      </c>
    </row>
    <row r="37" spans="1:99" ht="12.75" customHeight="1" outlineLevel="1">
      <c r="A37" s="1225" t="s">
        <v>226</v>
      </c>
      <c r="B37" s="1198"/>
      <c r="C37" s="1198"/>
      <c r="D37" s="1198"/>
      <c r="E37" s="1198"/>
      <c r="F37" s="1226"/>
      <c r="G37" s="1226"/>
      <c r="H37" s="1248"/>
      <c r="I37" s="1248"/>
      <c r="J37" s="1248">
        <f t="shared" si="22"/>
        <v>0</v>
      </c>
      <c r="K37" s="1248">
        <f t="shared" si="23"/>
        <v>0</v>
      </c>
      <c r="L37" s="1248">
        <f t="shared" si="24"/>
        <v>0</v>
      </c>
      <c r="M37" s="1248">
        <f t="shared" si="25"/>
        <v>0</v>
      </c>
      <c r="N37" s="1248">
        <f t="shared" si="26"/>
        <v>0</v>
      </c>
      <c r="O37" s="1282">
        <f t="shared" si="27"/>
        <v>0</v>
      </c>
      <c r="P37" s="1282">
        <f t="shared" si="28"/>
        <v>0</v>
      </c>
      <c r="Q37" s="1282">
        <f t="shared" si="29"/>
        <v>0</v>
      </c>
      <c r="R37" s="1250">
        <f t="shared" si="30"/>
        <v>0</v>
      </c>
      <c r="S37" s="1248">
        <f t="shared" si="31"/>
        <v>0</v>
      </c>
      <c r="T37" s="1507"/>
      <c r="U37" s="1507"/>
      <c r="V37" s="1507"/>
      <c r="W37" s="1507"/>
      <c r="X37" s="1248"/>
      <c r="Y37" s="1248"/>
      <c r="Z37" s="1248"/>
      <c r="AA37" s="1248"/>
      <c r="AB37" s="1248"/>
      <c r="AC37" s="1248"/>
      <c r="AD37" s="1248"/>
      <c r="AE37" s="1248"/>
      <c r="AF37" s="1248"/>
      <c r="AG37" s="1519"/>
      <c r="AH37" s="1248"/>
      <c r="AI37" s="1248"/>
      <c r="AJ37" s="1248"/>
      <c r="AK37" s="1248"/>
      <c r="AL37" s="1248"/>
      <c r="AM37" s="1248"/>
      <c r="AN37" s="1248"/>
      <c r="AO37" s="1248"/>
      <c r="AP37" s="1248"/>
      <c r="AQ37" s="1248"/>
      <c r="AR37" s="1248"/>
      <c r="AS37" s="1248"/>
      <c r="AT37" s="1248"/>
      <c r="AU37" s="1248"/>
      <c r="AV37" s="1248"/>
      <c r="AW37" s="1248"/>
      <c r="AX37" s="1248"/>
      <c r="AY37" s="1248"/>
      <c r="AZ37" s="1248"/>
      <c r="BA37" s="1248"/>
      <c r="BB37" s="1248"/>
      <c r="BC37" s="1248"/>
      <c r="BD37" s="1248"/>
      <c r="BE37" s="1333">
        <v>0</v>
      </c>
      <c r="BF37" s="1333">
        <v>22</v>
      </c>
      <c r="BG37" s="1333">
        <v>22</v>
      </c>
      <c r="BH37" s="1333">
        <v>22</v>
      </c>
      <c r="BI37" s="1333">
        <v>0</v>
      </c>
      <c r="BJ37" s="1333">
        <v>0</v>
      </c>
      <c r="BK37" s="1333">
        <v>0</v>
      </c>
      <c r="BL37" s="1333">
        <v>0</v>
      </c>
      <c r="BM37" s="1333">
        <v>0</v>
      </c>
      <c r="BN37" s="1333">
        <v>0</v>
      </c>
      <c r="BO37" s="1333">
        <v>0</v>
      </c>
      <c r="BP37" s="1333">
        <v>0</v>
      </c>
      <c r="BQ37" s="1333">
        <v>0</v>
      </c>
      <c r="BR37" s="1337">
        <v>0</v>
      </c>
      <c r="BS37" s="1333">
        <v>0</v>
      </c>
      <c r="BT37" s="1333">
        <v>0</v>
      </c>
      <c r="BU37" s="1333">
        <v>0</v>
      </c>
      <c r="BV37" s="1337">
        <v>0</v>
      </c>
      <c r="BW37" s="1333">
        <v>0</v>
      </c>
      <c r="BX37" s="1333">
        <v>0</v>
      </c>
      <c r="BY37" s="1348">
        <v>0</v>
      </c>
      <c r="BZ37" s="1333">
        <v>0</v>
      </c>
      <c r="CA37" s="1333">
        <v>0</v>
      </c>
      <c r="CB37" s="1333">
        <v>0</v>
      </c>
      <c r="CC37" s="1333">
        <v>0</v>
      </c>
      <c r="CD37" s="1337">
        <v>0</v>
      </c>
      <c r="CE37" s="1333">
        <v>0</v>
      </c>
      <c r="CF37" s="1333">
        <v>0</v>
      </c>
      <c r="CG37" s="1348">
        <v>0</v>
      </c>
      <c r="CH37" s="1337">
        <v>0</v>
      </c>
      <c r="CI37" s="1349">
        <v>0</v>
      </c>
      <c r="CJ37" s="1349">
        <v>0</v>
      </c>
      <c r="CK37" s="1348">
        <v>0</v>
      </c>
      <c r="CL37" s="1337">
        <f>CK37</f>
        <v>0</v>
      </c>
      <c r="CM37" s="1170"/>
      <c r="CN37" s="1170"/>
      <c r="CO37" s="1170"/>
      <c r="CP37" s="1170"/>
      <c r="CQ37" s="1170"/>
      <c r="CR37" s="1170"/>
      <c r="CS37" s="1170"/>
      <c r="CT37" s="1170"/>
      <c r="CU37" s="1223">
        <f t="shared" si="10"/>
        <v>0</v>
      </c>
    </row>
    <row r="38" spans="1:99" ht="12.75" customHeight="1">
      <c r="A38" s="1225" t="s">
        <v>690</v>
      </c>
      <c r="B38" s="1198"/>
      <c r="C38" s="1198"/>
      <c r="D38" s="1198"/>
      <c r="E38" s="1198"/>
      <c r="F38" s="1226"/>
      <c r="G38" s="1226"/>
      <c r="H38" s="1248"/>
      <c r="I38" s="1248"/>
      <c r="J38" s="1248">
        <f t="shared" si="22"/>
        <v>0</v>
      </c>
      <c r="K38" s="1248">
        <f t="shared" si="23"/>
        <v>0</v>
      </c>
      <c r="L38" s="1248">
        <f t="shared" si="24"/>
        <v>0</v>
      </c>
      <c r="M38" s="1248">
        <f t="shared" si="25"/>
        <v>0</v>
      </c>
      <c r="N38" s="1248">
        <f t="shared" si="26"/>
        <v>0</v>
      </c>
      <c r="O38" s="1282">
        <f t="shared" si="27"/>
        <v>0</v>
      </c>
      <c r="P38" s="1282">
        <f t="shared" si="28"/>
        <v>0</v>
      </c>
      <c r="Q38" s="1522">
        <f t="shared" si="29"/>
        <v>0</v>
      </c>
      <c r="R38" s="1250">
        <f t="shared" si="30"/>
        <v>0</v>
      </c>
      <c r="S38" s="1248">
        <f t="shared" si="31"/>
        <v>0</v>
      </c>
      <c r="T38" s="1507"/>
      <c r="U38" s="1507"/>
      <c r="V38" s="1507"/>
      <c r="W38" s="1507"/>
      <c r="X38" s="1248"/>
      <c r="Y38" s="1248"/>
      <c r="Z38" s="1248"/>
      <c r="AA38" s="1248"/>
      <c r="AB38" s="1248"/>
      <c r="AC38" s="1248"/>
      <c r="AD38" s="1248"/>
      <c r="AE38" s="1248"/>
      <c r="AF38" s="1248"/>
      <c r="AG38" s="1519"/>
      <c r="AH38" s="1248"/>
      <c r="AI38" s="1248"/>
      <c r="AJ38" s="1248"/>
      <c r="AK38" s="1248"/>
      <c r="AL38" s="1248"/>
      <c r="AM38" s="1248"/>
      <c r="AN38" s="1248"/>
      <c r="AO38" s="1248"/>
      <c r="AP38" s="1248"/>
      <c r="AQ38" s="1248"/>
      <c r="AR38" s="1248"/>
      <c r="AS38" s="1248"/>
      <c r="AT38" s="1248"/>
      <c r="AU38" s="1248"/>
      <c r="AV38" s="1248"/>
      <c r="AW38" s="1248"/>
      <c r="AX38" s="1248"/>
      <c r="AY38" s="1248"/>
      <c r="AZ38" s="1248"/>
      <c r="BA38" s="1248"/>
      <c r="BB38" s="1248"/>
      <c r="BC38" s="1248"/>
      <c r="BD38" s="1248"/>
      <c r="BE38" s="1333">
        <v>0</v>
      </c>
      <c r="BF38" s="1333">
        <v>0</v>
      </c>
      <c r="BG38" s="1333">
        <v>0</v>
      </c>
      <c r="BH38" s="1333">
        <v>150</v>
      </c>
      <c r="BI38" s="1333">
        <v>0</v>
      </c>
      <c r="BJ38" s="1333">
        <v>0</v>
      </c>
      <c r="BK38" s="1333">
        <v>0</v>
      </c>
      <c r="BL38" s="1333">
        <v>0</v>
      </c>
      <c r="BM38" s="1333">
        <v>0</v>
      </c>
      <c r="BN38" s="1333">
        <v>0</v>
      </c>
      <c r="BO38" s="1333">
        <v>0</v>
      </c>
      <c r="BP38" s="1333">
        <v>0</v>
      </c>
      <c r="BQ38" s="1333">
        <v>0</v>
      </c>
      <c r="BR38" s="1337">
        <v>0</v>
      </c>
      <c r="BS38" s="1333">
        <v>0</v>
      </c>
      <c r="BT38" s="1333">
        <v>0</v>
      </c>
      <c r="BU38" s="1333">
        <v>0</v>
      </c>
      <c r="BV38" s="1337">
        <v>0</v>
      </c>
      <c r="BW38" s="1333">
        <v>0</v>
      </c>
      <c r="BX38" s="1333">
        <v>0</v>
      </c>
      <c r="BY38" s="1348">
        <v>0</v>
      </c>
      <c r="BZ38" s="1333">
        <v>0</v>
      </c>
      <c r="CA38" s="1333">
        <v>0</v>
      </c>
      <c r="CB38" s="1333">
        <v>0</v>
      </c>
      <c r="CC38" s="1333">
        <v>0</v>
      </c>
      <c r="CD38" s="1337">
        <v>0</v>
      </c>
      <c r="CE38" s="1333">
        <v>0</v>
      </c>
      <c r="CF38" s="1333">
        <v>0</v>
      </c>
      <c r="CG38" s="1348">
        <v>0</v>
      </c>
      <c r="CH38" s="1337">
        <v>0</v>
      </c>
      <c r="CI38" s="1349">
        <v>0</v>
      </c>
      <c r="CJ38" s="1349">
        <v>0</v>
      </c>
      <c r="CK38" s="1348">
        <v>0</v>
      </c>
      <c r="CL38" s="1337"/>
      <c r="CM38" s="1170"/>
      <c r="CN38" s="1170"/>
      <c r="CO38" s="1170"/>
      <c r="CP38" s="1170"/>
      <c r="CQ38" s="1170"/>
      <c r="CR38" s="1170"/>
      <c r="CS38" s="1170"/>
      <c r="CT38" s="1170"/>
      <c r="CU38" s="1223">
        <f t="shared" si="10"/>
        <v>0</v>
      </c>
    </row>
    <row r="39" spans="1:99">
      <c r="A39" s="1225" t="s">
        <v>227</v>
      </c>
      <c r="B39" s="1225"/>
      <c r="C39" s="1225"/>
      <c r="D39" s="1225"/>
      <c r="E39" s="1225"/>
      <c r="F39" s="1225"/>
      <c r="G39" s="1225"/>
      <c r="H39" s="1225"/>
      <c r="I39" s="1248"/>
      <c r="J39" s="1248">
        <f t="shared" si="22"/>
        <v>225</v>
      </c>
      <c r="K39" s="1248" t="e">
        <f t="shared" si="23"/>
        <v>#REF!</v>
      </c>
      <c r="L39" s="1248" t="e">
        <f t="shared" si="24"/>
        <v>#REF!</v>
      </c>
      <c r="M39" s="1248" t="e">
        <f t="shared" si="25"/>
        <v>#REF!</v>
      </c>
      <c r="N39" s="1248" t="e">
        <f t="shared" si="26"/>
        <v>#REF!</v>
      </c>
      <c r="O39" s="1282" t="e">
        <f t="shared" si="27"/>
        <v>#REF!</v>
      </c>
      <c r="P39" s="1282" t="e">
        <f t="shared" si="28"/>
        <v>#REF!</v>
      </c>
      <c r="Q39" s="1282">
        <f t="shared" si="29"/>
        <v>0</v>
      </c>
      <c r="R39" s="1250">
        <f t="shared" si="30"/>
        <v>0</v>
      </c>
      <c r="S39" s="1248">
        <f>R39</f>
        <v>0</v>
      </c>
      <c r="T39" s="1507"/>
      <c r="U39" s="1507"/>
      <c r="V39" s="1507"/>
      <c r="W39" s="1507"/>
      <c r="X39" s="1248"/>
      <c r="Y39" s="1248"/>
      <c r="Z39" s="1248"/>
      <c r="AA39" s="1248"/>
      <c r="AB39" s="1248"/>
      <c r="AC39" s="1248"/>
      <c r="AD39" s="1248"/>
      <c r="AE39" s="1248"/>
      <c r="AF39" s="1248"/>
      <c r="AG39" s="1519"/>
      <c r="AH39" s="1248"/>
      <c r="AI39" s="1248"/>
      <c r="AJ39" s="1248"/>
      <c r="AK39" s="1248"/>
      <c r="AL39" s="1248"/>
      <c r="AM39" s="1248"/>
      <c r="AN39" s="1248"/>
      <c r="AO39" s="1248"/>
      <c r="AP39" s="1248"/>
      <c r="AQ39" s="1248"/>
      <c r="AR39" s="1248"/>
      <c r="AS39" s="1248"/>
      <c r="AT39" s="1248"/>
      <c r="AU39" s="1248"/>
      <c r="AV39" s="1248"/>
      <c r="AW39" s="1248"/>
      <c r="AX39" s="1248"/>
      <c r="AY39" s="1248"/>
      <c r="AZ39" s="1248"/>
      <c r="BA39" s="1248"/>
      <c r="BB39" s="1248"/>
      <c r="BC39" s="1248"/>
      <c r="BD39" s="1248"/>
      <c r="BE39" s="1248">
        <v>225</v>
      </c>
      <c r="BF39" s="1248">
        <v>208</v>
      </c>
      <c r="BG39" s="1248">
        <v>189</v>
      </c>
      <c r="BH39" s="1248">
        <v>0</v>
      </c>
      <c r="BI39" s="1248" t="e">
        <v>#REF!</v>
      </c>
      <c r="BJ39" s="1248" t="e">
        <v>#REF!</v>
      </c>
      <c r="BK39" s="1248" t="e">
        <v>#REF!</v>
      </c>
      <c r="BL39" s="1248" t="e">
        <v>#REF!</v>
      </c>
      <c r="BM39" s="1248" t="e">
        <v>#REF!</v>
      </c>
      <c r="BN39" s="1248" t="e">
        <v>#REF!</v>
      </c>
      <c r="BO39" s="1248" t="e">
        <v>#REF!</v>
      </c>
      <c r="BP39" s="1248" t="e">
        <v>#REF!</v>
      </c>
      <c r="BQ39" s="1248" t="e">
        <v>#REF!</v>
      </c>
      <c r="BR39" s="1248" t="e">
        <v>#REF!</v>
      </c>
      <c r="BS39" s="1248" t="e">
        <v>#REF!</v>
      </c>
      <c r="BT39" s="1248" t="e">
        <v>#REF!</v>
      </c>
      <c r="BU39" s="1248" t="e">
        <v>#REF!</v>
      </c>
      <c r="BV39" s="1248" t="e">
        <v>#REF!</v>
      </c>
      <c r="BW39" s="1248" t="e">
        <v>#REF!</v>
      </c>
      <c r="BX39" s="1248" t="e">
        <v>#REF!</v>
      </c>
      <c r="BY39" s="1248" t="e">
        <v>#REF!</v>
      </c>
      <c r="BZ39" s="1248" t="e">
        <v>#REF!</v>
      </c>
      <c r="CA39" s="1248" t="e">
        <v>#REF!</v>
      </c>
      <c r="CB39" s="1248" t="e">
        <v>#REF!</v>
      </c>
      <c r="CC39" s="1248" t="e">
        <v>#REF!</v>
      </c>
      <c r="CD39" s="1249"/>
      <c r="CE39" s="1248"/>
      <c r="CF39" s="1248"/>
      <c r="CG39" s="1250"/>
      <c r="CH39" s="1249"/>
      <c r="CI39" s="1282"/>
      <c r="CJ39" s="1282"/>
      <c r="CK39" s="1248"/>
      <c r="CL39" s="1249"/>
      <c r="CM39" s="1170"/>
      <c r="CN39" s="1170"/>
      <c r="CO39" s="1170"/>
      <c r="CP39" s="1170"/>
      <c r="CQ39" s="1170"/>
      <c r="CR39" s="1170"/>
      <c r="CS39" s="1170"/>
      <c r="CT39" s="1170"/>
      <c r="CU39" s="1223">
        <f t="shared" si="10"/>
        <v>0</v>
      </c>
    </row>
    <row r="40" spans="1:99" ht="12.75" customHeight="1">
      <c r="A40" s="1213" t="s">
        <v>841</v>
      </c>
      <c r="B40" s="1213"/>
      <c r="C40" s="1213"/>
      <c r="D40" s="1213"/>
      <c r="E40" s="1213"/>
      <c r="F40" s="1214"/>
      <c r="G40" s="1214"/>
      <c r="H40" s="1269"/>
      <c r="I40" s="1269"/>
      <c r="J40" s="1269">
        <f t="shared" si="22"/>
        <v>6882</v>
      </c>
      <c r="K40" s="1269" t="e">
        <f t="shared" ref="K40:S40" si="32">SUM(K32:K39)</f>
        <v>#REF!</v>
      </c>
      <c r="L40" s="1269" t="e">
        <f t="shared" si="32"/>
        <v>#REF!</v>
      </c>
      <c r="M40" s="1269" t="e">
        <f t="shared" si="32"/>
        <v>#REF!</v>
      </c>
      <c r="N40" s="1269" t="e">
        <f t="shared" si="32"/>
        <v>#REF!</v>
      </c>
      <c r="O40" s="1270" t="e">
        <f t="shared" si="32"/>
        <v>#REF!</v>
      </c>
      <c r="P40" s="1270" t="e">
        <f>SUM(P32:P39)</f>
        <v>#REF!</v>
      </c>
      <c r="Q40" s="1270">
        <f>SUM(Q32:Q39)</f>
        <v>5097</v>
      </c>
      <c r="R40" s="1271">
        <f t="shared" si="32"/>
        <v>3862</v>
      </c>
      <c r="S40" s="1269">
        <f t="shared" si="32"/>
        <v>0</v>
      </c>
      <c r="T40" s="1507"/>
      <c r="U40" s="1507"/>
      <c r="V40" s="1507"/>
      <c r="W40" s="1507"/>
      <c r="X40" s="1248"/>
      <c r="Y40" s="1248"/>
      <c r="Z40" s="1248"/>
      <c r="AA40" s="1248"/>
      <c r="AB40" s="1248"/>
      <c r="AC40" s="1248"/>
      <c r="AD40" s="1248"/>
      <c r="AE40" s="1248"/>
      <c r="AF40" s="1248"/>
      <c r="AG40" s="151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f t="shared" ref="BE40:CG40" si="33">SUM(BE32:BE39)</f>
        <v>6882</v>
      </c>
      <c r="BF40" s="1269">
        <f t="shared" si="33"/>
        <v>6676</v>
      </c>
      <c r="BG40" s="1269">
        <f t="shared" si="33"/>
        <v>5059</v>
      </c>
      <c r="BH40" s="1269">
        <f t="shared" si="33"/>
        <v>5288</v>
      </c>
      <c r="BI40" s="1269" t="e">
        <f t="shared" si="33"/>
        <v>#REF!</v>
      </c>
      <c r="BJ40" s="1269" t="e">
        <f t="shared" si="33"/>
        <v>#REF!</v>
      </c>
      <c r="BK40" s="1269" t="e">
        <f t="shared" si="33"/>
        <v>#REF!</v>
      </c>
      <c r="BL40" s="1269" t="e">
        <f t="shared" si="33"/>
        <v>#REF!</v>
      </c>
      <c r="BM40" s="1269" t="e">
        <f t="shared" si="33"/>
        <v>#REF!</v>
      </c>
      <c r="BN40" s="1269" t="e">
        <f t="shared" si="33"/>
        <v>#REF!</v>
      </c>
      <c r="BO40" s="1269" t="e">
        <f t="shared" si="33"/>
        <v>#REF!</v>
      </c>
      <c r="BP40" s="1269" t="e">
        <f t="shared" si="33"/>
        <v>#REF!</v>
      </c>
      <c r="BQ40" s="1269" t="e">
        <f t="shared" si="33"/>
        <v>#REF!</v>
      </c>
      <c r="BR40" s="1273" t="e">
        <f t="shared" si="33"/>
        <v>#REF!</v>
      </c>
      <c r="BS40" s="1269" t="e">
        <f t="shared" si="33"/>
        <v>#REF!</v>
      </c>
      <c r="BT40" s="1269" t="e">
        <f t="shared" si="33"/>
        <v>#REF!</v>
      </c>
      <c r="BU40" s="1269" t="e">
        <f t="shared" si="33"/>
        <v>#REF!</v>
      </c>
      <c r="BV40" s="1273" t="e">
        <f t="shared" si="33"/>
        <v>#REF!</v>
      </c>
      <c r="BW40" s="1269" t="e">
        <f t="shared" si="33"/>
        <v>#REF!</v>
      </c>
      <c r="BX40" s="1269" t="e">
        <f t="shared" si="33"/>
        <v>#REF!</v>
      </c>
      <c r="BY40" s="1271" t="e">
        <f t="shared" si="33"/>
        <v>#REF!</v>
      </c>
      <c r="BZ40" s="1269" t="e">
        <f t="shared" si="33"/>
        <v>#REF!</v>
      </c>
      <c r="CA40" s="1269" t="e">
        <f t="shared" si="33"/>
        <v>#REF!</v>
      </c>
      <c r="CB40" s="1269" t="e">
        <f t="shared" si="33"/>
        <v>#REF!</v>
      </c>
      <c r="CC40" s="1269" t="e">
        <f t="shared" si="33"/>
        <v>#REF!</v>
      </c>
      <c r="CD40" s="1273">
        <f t="shared" si="33"/>
        <v>3211</v>
      </c>
      <c r="CE40" s="1269">
        <f t="shared" si="33"/>
        <v>3788</v>
      </c>
      <c r="CF40" s="1269">
        <f t="shared" si="33"/>
        <v>3581</v>
      </c>
      <c r="CG40" s="1271">
        <f t="shared" si="33"/>
        <v>5097</v>
      </c>
      <c r="CH40" s="1273">
        <f>SUM(CH32:CH39)</f>
        <v>4590</v>
      </c>
      <c r="CI40" s="1270">
        <f>SUM(CI32:CI39)</f>
        <v>4304</v>
      </c>
      <c r="CJ40" s="1270">
        <f>SUM(CJ32:CJ39)</f>
        <v>5248</v>
      </c>
      <c r="CK40" s="1269">
        <f>SUM(CK32:CK39)</f>
        <v>3862</v>
      </c>
      <c r="CL40" s="1273">
        <f>SUM(CL32:CL39)</f>
        <v>4941</v>
      </c>
      <c r="CM40" s="1170"/>
      <c r="CN40" s="1170"/>
      <c r="CO40" s="1170"/>
      <c r="CP40" s="1170"/>
      <c r="CQ40" s="1170"/>
      <c r="CR40" s="1170"/>
      <c r="CS40" s="1170"/>
      <c r="CT40" s="1170"/>
      <c r="CU40" s="1223">
        <f t="shared" si="10"/>
        <v>0</v>
      </c>
    </row>
    <row r="41" spans="1:99" ht="12.75" customHeight="1">
      <c r="A41" s="1225" t="s">
        <v>585</v>
      </c>
      <c r="B41" s="1198"/>
      <c r="C41" s="1198"/>
      <c r="D41" s="1198"/>
      <c r="E41" s="1198"/>
      <c r="F41" s="1198"/>
      <c r="G41" s="1198"/>
      <c r="H41" s="1248"/>
      <c r="I41" s="1248"/>
      <c r="J41" s="1248">
        <f t="shared" si="22"/>
        <v>19768</v>
      </c>
      <c r="K41" s="1248">
        <f>BI41</f>
        <v>15639</v>
      </c>
      <c r="L41" s="1248">
        <f>BM41</f>
        <v>16690</v>
      </c>
      <c r="M41" s="1248">
        <f>+BQ41</f>
        <v>14968</v>
      </c>
      <c r="N41" s="1248">
        <f>BU41</f>
        <v>13206</v>
      </c>
      <c r="O41" s="1282">
        <f>BY41</f>
        <v>13650</v>
      </c>
      <c r="P41" s="1282">
        <f t="shared" ref="P41:P46" si="34">CC41</f>
        <v>12735</v>
      </c>
      <c r="Q41" s="1282">
        <f t="shared" ref="Q41:Q46" si="35">CG41</f>
        <v>12004</v>
      </c>
      <c r="R41" s="1250">
        <f>+CK41</f>
        <v>10858</v>
      </c>
      <c r="S41" s="1248">
        <f t="shared" ref="S41:S46" si="36">CO41</f>
        <v>0</v>
      </c>
      <c r="T41" s="1507"/>
      <c r="U41" s="1507"/>
      <c r="V41" s="1507"/>
      <c r="W41" s="1507"/>
      <c r="X41" s="1248"/>
      <c r="Y41" s="1248"/>
      <c r="Z41" s="1248"/>
      <c r="AA41" s="1248"/>
      <c r="AB41" s="1248"/>
      <c r="AC41" s="1248"/>
      <c r="AD41" s="1248"/>
      <c r="AE41" s="1248"/>
      <c r="AF41" s="1248"/>
      <c r="AG41" s="1519"/>
      <c r="AH41" s="1248"/>
      <c r="AI41" s="1248"/>
      <c r="AJ41" s="1248"/>
      <c r="AK41" s="1248"/>
      <c r="AL41" s="1248"/>
      <c r="AM41" s="1248"/>
      <c r="AN41" s="1248"/>
      <c r="AO41" s="1248"/>
      <c r="AP41" s="1248"/>
      <c r="AQ41" s="1248"/>
      <c r="AR41" s="1248"/>
      <c r="AS41" s="1248"/>
      <c r="AT41" s="1248"/>
      <c r="AU41" s="1248"/>
      <c r="AV41" s="1248"/>
      <c r="AW41" s="1248"/>
      <c r="AX41" s="1248"/>
      <c r="AY41" s="1248"/>
      <c r="AZ41" s="1248"/>
      <c r="BA41" s="1248"/>
      <c r="BB41" s="1248"/>
      <c r="BC41" s="1248"/>
      <c r="BD41" s="1248"/>
      <c r="BE41" s="1333">
        <v>19768</v>
      </c>
      <c r="BF41" s="1333">
        <v>19650</v>
      </c>
      <c r="BG41" s="1333">
        <v>21335</v>
      </c>
      <c r="BH41" s="1333">
        <v>20242</v>
      </c>
      <c r="BI41" s="1333">
        <v>15639</v>
      </c>
      <c r="BJ41" s="1333">
        <v>16544</v>
      </c>
      <c r="BK41" s="1333">
        <v>16407</v>
      </c>
      <c r="BL41" s="1333">
        <v>16545</v>
      </c>
      <c r="BM41" s="1333">
        <v>16690</v>
      </c>
      <c r="BN41" s="1333">
        <v>16691</v>
      </c>
      <c r="BO41" s="1333">
        <v>17287</v>
      </c>
      <c r="BP41" s="1333">
        <v>16702</v>
      </c>
      <c r="BQ41" s="1333">
        <v>14968</v>
      </c>
      <c r="BR41" s="1337">
        <v>14834</v>
      </c>
      <c r="BS41" s="1333">
        <v>12693</v>
      </c>
      <c r="BT41" s="1333">
        <v>13228</v>
      </c>
      <c r="BU41" s="1333">
        <v>13206</v>
      </c>
      <c r="BV41" s="1337">
        <v>13199</v>
      </c>
      <c r="BW41" s="1333">
        <v>13207</v>
      </c>
      <c r="BX41" s="1333">
        <v>12779</v>
      </c>
      <c r="BY41" s="1348">
        <v>13650</v>
      </c>
      <c r="BZ41" s="1333">
        <v>13261</v>
      </c>
      <c r="CA41" s="1333">
        <v>13241</v>
      </c>
      <c r="CB41" s="1333">
        <v>12699</v>
      </c>
      <c r="CC41" s="1333">
        <v>12735</v>
      </c>
      <c r="CD41" s="1337">
        <v>12755</v>
      </c>
      <c r="CE41" s="1333">
        <v>13038</v>
      </c>
      <c r="CF41" s="1333">
        <v>13210</v>
      </c>
      <c r="CG41" s="1348">
        <v>12004</v>
      </c>
      <c r="CH41" s="1337">
        <v>11500</v>
      </c>
      <c r="CI41" s="1349">
        <v>11529</v>
      </c>
      <c r="CJ41" s="1349">
        <v>10788</v>
      </c>
      <c r="CK41" s="1348">
        <v>10858</v>
      </c>
      <c r="CL41" s="1337">
        <v>9355</v>
      </c>
      <c r="CM41" s="1170"/>
      <c r="CN41" s="1170"/>
      <c r="CO41" s="1170"/>
      <c r="CP41" s="1170"/>
      <c r="CQ41" s="1170"/>
      <c r="CR41" s="1170"/>
      <c r="CS41" s="1170"/>
      <c r="CT41" s="1170"/>
      <c r="CU41" s="1223">
        <f t="shared" si="10"/>
        <v>0</v>
      </c>
    </row>
    <row r="42" spans="1:99" ht="12.75" customHeight="1">
      <c r="A42" s="1225" t="s">
        <v>586</v>
      </c>
      <c r="B42" s="1225"/>
      <c r="C42" s="1225"/>
      <c r="D42" s="1225"/>
      <c r="E42" s="1225"/>
      <c r="F42" s="1225"/>
      <c r="G42" s="1225"/>
      <c r="H42" s="1225"/>
      <c r="I42" s="1225"/>
      <c r="J42" s="1248">
        <f t="shared" si="22"/>
        <v>3075</v>
      </c>
      <c r="K42" s="1248">
        <f>BI42</f>
        <v>3325</v>
      </c>
      <c r="L42" s="1248">
        <f>+BM42</f>
        <v>3391</v>
      </c>
      <c r="M42" s="1248">
        <f>+BQ42</f>
        <v>3459</v>
      </c>
      <c r="N42" s="1248">
        <f>BU42</f>
        <v>2366</v>
      </c>
      <c r="O42" s="1282">
        <f>BY42</f>
        <v>2188</v>
      </c>
      <c r="P42" s="1282">
        <f t="shared" si="34"/>
        <v>3232</v>
      </c>
      <c r="Q42" s="1282">
        <f t="shared" si="35"/>
        <v>3296</v>
      </c>
      <c r="R42" s="1250">
        <f>+CK42</f>
        <v>2979</v>
      </c>
      <c r="S42" s="1386">
        <f t="shared" si="36"/>
        <v>0</v>
      </c>
      <c r="T42" s="1507"/>
      <c r="U42" s="1507"/>
      <c r="V42" s="1507"/>
      <c r="W42" s="1507"/>
      <c r="X42" s="1248"/>
      <c r="Y42" s="1248"/>
      <c r="Z42" s="1248"/>
      <c r="AA42" s="1248"/>
      <c r="AB42" s="1248"/>
      <c r="AC42" s="1248"/>
      <c r="AD42" s="1248"/>
      <c r="AE42" s="1248"/>
      <c r="AF42" s="1248"/>
      <c r="AG42" s="1519"/>
      <c r="AH42" s="1248"/>
      <c r="AI42" s="1248"/>
      <c r="AJ42" s="1248"/>
      <c r="AK42" s="1248"/>
      <c r="AL42" s="1248"/>
      <c r="AM42" s="1248"/>
      <c r="AN42" s="1248"/>
      <c r="AO42" s="1248"/>
      <c r="AP42" s="1248"/>
      <c r="AQ42" s="1248"/>
      <c r="AR42" s="1248"/>
      <c r="AS42" s="1248"/>
      <c r="AT42" s="1248"/>
      <c r="AU42" s="1248"/>
      <c r="AV42" s="1248"/>
      <c r="AW42" s="1248"/>
      <c r="AX42" s="1248"/>
      <c r="AY42" s="1248"/>
      <c r="AZ42" s="1248"/>
      <c r="BA42" s="1248"/>
      <c r="BB42" s="1248"/>
      <c r="BC42" s="1248"/>
      <c r="BD42" s="1248"/>
      <c r="BE42" s="1333">
        <v>3075</v>
      </c>
      <c r="BF42" s="1333">
        <v>3075</v>
      </c>
      <c r="BG42" s="1333">
        <v>3103</v>
      </c>
      <c r="BH42" s="1333">
        <v>3150</v>
      </c>
      <c r="BI42" s="1333">
        <v>3325</v>
      </c>
      <c r="BJ42" s="1333">
        <v>3336</v>
      </c>
      <c r="BK42" s="1333">
        <v>3385</v>
      </c>
      <c r="BL42" s="1333">
        <v>3407</v>
      </c>
      <c r="BM42" s="1333">
        <v>3391</v>
      </c>
      <c r="BN42" s="1333">
        <v>3404</v>
      </c>
      <c r="BO42" s="1333">
        <v>3419</v>
      </c>
      <c r="BP42" s="1333">
        <v>3408</v>
      </c>
      <c r="BQ42" s="1333">
        <v>3459</v>
      </c>
      <c r="BR42" s="1337">
        <v>3441</v>
      </c>
      <c r="BS42" s="1333">
        <v>3439</v>
      </c>
      <c r="BT42" s="1333">
        <v>3436</v>
      </c>
      <c r="BU42" s="1333">
        <v>2366</v>
      </c>
      <c r="BV42" s="1337">
        <v>2364</v>
      </c>
      <c r="BW42" s="1333">
        <v>2346</v>
      </c>
      <c r="BX42" s="1333">
        <v>2325</v>
      </c>
      <c r="BY42" s="1348">
        <v>2188</v>
      </c>
      <c r="BZ42" s="1333">
        <v>2180</v>
      </c>
      <c r="CA42" s="1333">
        <v>2170</v>
      </c>
      <c r="CB42" s="1333">
        <v>2173</v>
      </c>
      <c r="CC42" s="1333">
        <v>3232</v>
      </c>
      <c r="CD42" s="1337">
        <v>3239</v>
      </c>
      <c r="CE42" s="1333">
        <v>3259</v>
      </c>
      <c r="CF42" s="1333">
        <v>3270</v>
      </c>
      <c r="CG42" s="1348">
        <v>3296</v>
      </c>
      <c r="CH42" s="1337">
        <v>3278</v>
      </c>
      <c r="CI42" s="1349">
        <v>3267</v>
      </c>
      <c r="CJ42" s="1349">
        <v>3257</v>
      </c>
      <c r="CK42" s="1348">
        <v>2979</v>
      </c>
      <c r="CL42" s="1337">
        <f>2962</f>
        <v>2962</v>
      </c>
      <c r="CM42" s="1170"/>
      <c r="CN42" s="1170"/>
      <c r="CO42" s="1170"/>
      <c r="CP42" s="1170"/>
      <c r="CQ42" s="1170"/>
      <c r="CR42" s="1170"/>
      <c r="CS42" s="1170"/>
      <c r="CT42" s="1170"/>
      <c r="CU42" s="1223">
        <f t="shared" si="10"/>
        <v>0</v>
      </c>
    </row>
    <row r="43" spans="1:99">
      <c r="A43" s="1225" t="s">
        <v>918</v>
      </c>
      <c r="B43" s="1198"/>
      <c r="C43" s="1198"/>
      <c r="D43" s="1198"/>
      <c r="E43" s="1198"/>
      <c r="F43" s="1226"/>
      <c r="G43" s="1226"/>
      <c r="H43" s="1248"/>
      <c r="I43" s="1248"/>
      <c r="J43" s="1248">
        <f t="shared" si="22"/>
        <v>0</v>
      </c>
      <c r="K43" s="1248">
        <f>BI43</f>
        <v>121</v>
      </c>
      <c r="L43" s="1248">
        <f>+BM43</f>
        <v>0</v>
      </c>
      <c r="M43" s="1248">
        <f>+BQ43</f>
        <v>0</v>
      </c>
      <c r="N43" s="1248">
        <f>BU43</f>
        <v>0</v>
      </c>
      <c r="O43" s="1282">
        <f>BY43</f>
        <v>0</v>
      </c>
      <c r="P43" s="1282">
        <f t="shared" si="34"/>
        <v>0</v>
      </c>
      <c r="Q43" s="1282">
        <f t="shared" si="35"/>
        <v>0</v>
      </c>
      <c r="R43" s="1250">
        <f t="shared" si="30"/>
        <v>0</v>
      </c>
      <c r="S43" s="1386">
        <f t="shared" si="36"/>
        <v>0</v>
      </c>
      <c r="T43" s="1507"/>
      <c r="U43" s="1507"/>
      <c r="V43" s="1507"/>
      <c r="W43" s="1507"/>
      <c r="X43" s="1248"/>
      <c r="Y43" s="1248"/>
      <c r="Z43" s="1248"/>
      <c r="AA43" s="1248"/>
      <c r="AB43" s="1248"/>
      <c r="AC43" s="1248"/>
      <c r="AD43" s="1248"/>
      <c r="AE43" s="1248"/>
      <c r="AF43" s="1248"/>
      <c r="AG43" s="1519"/>
      <c r="AH43" s="1248"/>
      <c r="AI43" s="1248"/>
      <c r="AJ43" s="1248"/>
      <c r="AK43" s="1248"/>
      <c r="AL43" s="1248"/>
      <c r="AM43" s="1248"/>
      <c r="AN43" s="1248"/>
      <c r="AO43" s="1248"/>
      <c r="AP43" s="1248"/>
      <c r="AQ43" s="1248"/>
      <c r="AR43" s="1248"/>
      <c r="AS43" s="1248"/>
      <c r="AT43" s="1248"/>
      <c r="AU43" s="1248"/>
      <c r="AV43" s="1248"/>
      <c r="AW43" s="1248"/>
      <c r="AX43" s="1248"/>
      <c r="AY43" s="1248"/>
      <c r="AZ43" s="1248"/>
      <c r="BA43" s="1248"/>
      <c r="BB43" s="1248"/>
      <c r="BC43" s="1248"/>
      <c r="BD43" s="1248"/>
      <c r="BE43" s="1333">
        <v>0</v>
      </c>
      <c r="BF43" s="1333">
        <v>0</v>
      </c>
      <c r="BG43" s="1333">
        <v>0</v>
      </c>
      <c r="BH43" s="1333">
        <v>0</v>
      </c>
      <c r="BI43" s="1333">
        <v>121</v>
      </c>
      <c r="BJ43" s="1333">
        <v>0</v>
      </c>
      <c r="BK43" s="1333">
        <v>0</v>
      </c>
      <c r="BL43" s="1333">
        <v>0</v>
      </c>
      <c r="BM43" s="1333">
        <v>0</v>
      </c>
      <c r="BN43" s="1333">
        <v>0</v>
      </c>
      <c r="BO43" s="1333">
        <v>0</v>
      </c>
      <c r="BP43" s="1333">
        <v>0</v>
      </c>
      <c r="BQ43" s="1333">
        <v>0</v>
      </c>
      <c r="BR43" s="1337">
        <v>0</v>
      </c>
      <c r="BS43" s="1333">
        <v>0</v>
      </c>
      <c r="BT43" s="1333">
        <v>0</v>
      </c>
      <c r="BU43" s="1333">
        <v>0</v>
      </c>
      <c r="BV43" s="1337">
        <v>0</v>
      </c>
      <c r="BW43" s="1333">
        <v>0</v>
      </c>
      <c r="BX43" s="1333">
        <v>0</v>
      </c>
      <c r="BY43" s="1348">
        <v>0</v>
      </c>
      <c r="BZ43" s="1333">
        <v>0</v>
      </c>
      <c r="CA43" s="1333">
        <v>0</v>
      </c>
      <c r="CB43" s="1333">
        <v>0</v>
      </c>
      <c r="CC43" s="1333">
        <v>0</v>
      </c>
      <c r="CD43" s="1337">
        <v>0</v>
      </c>
      <c r="CE43" s="1333">
        <v>0</v>
      </c>
      <c r="CF43" s="1333">
        <v>0</v>
      </c>
      <c r="CG43" s="1348">
        <v>0</v>
      </c>
      <c r="CH43" s="1337">
        <v>0</v>
      </c>
      <c r="CI43" s="1349">
        <v>0</v>
      </c>
      <c r="CJ43" s="1349">
        <v>0</v>
      </c>
      <c r="CK43" s="1348">
        <v>0</v>
      </c>
      <c r="CL43" s="1249"/>
      <c r="CM43" s="1170"/>
      <c r="CN43" s="1170"/>
      <c r="CO43" s="1170"/>
      <c r="CP43" s="1170"/>
      <c r="CQ43" s="1170"/>
      <c r="CR43" s="1170"/>
      <c r="CS43" s="1170"/>
      <c r="CT43" s="1170"/>
      <c r="CU43" s="1223">
        <f t="shared" si="10"/>
        <v>0</v>
      </c>
    </row>
    <row r="44" spans="1:99" ht="12.75" customHeight="1">
      <c r="A44" s="1225" t="s">
        <v>581</v>
      </c>
      <c r="B44" s="1198"/>
      <c r="C44" s="1198"/>
      <c r="D44" s="1198"/>
      <c r="E44" s="1198"/>
      <c r="F44" s="1227"/>
      <c r="G44" s="1227"/>
      <c r="H44" s="1248"/>
      <c r="I44" s="1248"/>
      <c r="J44" s="1248">
        <f t="shared" si="22"/>
        <v>957</v>
      </c>
      <c r="K44" s="1248">
        <f>BI44</f>
        <v>762</v>
      </c>
      <c r="L44" s="1248">
        <f>BM44</f>
        <v>559</v>
      </c>
      <c r="M44" s="1248">
        <f>+BQ44</f>
        <v>522</v>
      </c>
      <c r="N44" s="1248">
        <f>BU44</f>
        <v>506</v>
      </c>
      <c r="O44" s="1282">
        <f>BY44</f>
        <v>538</v>
      </c>
      <c r="P44" s="1282">
        <f t="shared" si="34"/>
        <v>519</v>
      </c>
      <c r="Q44" s="1282">
        <f t="shared" si="35"/>
        <v>486</v>
      </c>
      <c r="R44" s="1250">
        <f t="shared" si="30"/>
        <v>459</v>
      </c>
      <c r="S44" s="1386">
        <f t="shared" si="36"/>
        <v>0</v>
      </c>
      <c r="T44" s="1507"/>
      <c r="U44" s="1507"/>
      <c r="V44" s="1507"/>
      <c r="W44" s="1507"/>
      <c r="X44" s="1248"/>
      <c r="Y44" s="1248"/>
      <c r="Z44" s="1248"/>
      <c r="AA44" s="1248"/>
      <c r="AB44" s="1248"/>
      <c r="AC44" s="1248"/>
      <c r="AD44" s="1248"/>
      <c r="AE44" s="1248"/>
      <c r="AF44" s="1248"/>
      <c r="AG44" s="1519"/>
      <c r="AH44" s="1248"/>
      <c r="AI44" s="1248"/>
      <c r="AJ44" s="1248"/>
      <c r="AK44" s="1248"/>
      <c r="AL44" s="1248"/>
      <c r="AM44" s="1248"/>
      <c r="AN44" s="1248"/>
      <c r="AO44" s="1248"/>
      <c r="AP44" s="1248"/>
      <c r="AQ44" s="1248"/>
      <c r="AR44" s="1248"/>
      <c r="AS44" s="1248"/>
      <c r="AT44" s="1248"/>
      <c r="AU44" s="1248"/>
      <c r="AV44" s="1248"/>
      <c r="AW44" s="1248"/>
      <c r="AX44" s="1248"/>
      <c r="AY44" s="1248"/>
      <c r="AZ44" s="1248"/>
      <c r="BA44" s="1248"/>
      <c r="BB44" s="1248"/>
      <c r="BC44" s="1248"/>
      <c r="BD44" s="1248"/>
      <c r="BE44" s="1333">
        <v>957</v>
      </c>
      <c r="BF44" s="1333">
        <v>929</v>
      </c>
      <c r="BG44" s="1333">
        <v>809</v>
      </c>
      <c r="BH44" s="1333">
        <v>788</v>
      </c>
      <c r="BI44" s="1333">
        <v>762</v>
      </c>
      <c r="BJ44" s="1333">
        <v>702</v>
      </c>
      <c r="BK44" s="1333">
        <v>565</v>
      </c>
      <c r="BL44" s="1333">
        <v>571</v>
      </c>
      <c r="BM44" s="1333">
        <v>559</v>
      </c>
      <c r="BN44" s="1333">
        <v>554</v>
      </c>
      <c r="BO44" s="1333">
        <v>548</v>
      </c>
      <c r="BP44" s="1333">
        <v>532</v>
      </c>
      <c r="BQ44" s="1333">
        <v>522</v>
      </c>
      <c r="BR44" s="1337">
        <v>514</v>
      </c>
      <c r="BS44" s="1333">
        <v>508</v>
      </c>
      <c r="BT44" s="1333">
        <v>516</v>
      </c>
      <c r="BU44" s="1333">
        <v>506</v>
      </c>
      <c r="BV44" s="1337">
        <v>506</v>
      </c>
      <c r="BW44" s="1333">
        <v>509</v>
      </c>
      <c r="BX44" s="1333">
        <v>551</v>
      </c>
      <c r="BY44" s="1348">
        <v>538</v>
      </c>
      <c r="BZ44" s="1333">
        <v>537</v>
      </c>
      <c r="CA44" s="1333">
        <v>537</v>
      </c>
      <c r="CB44" s="1333">
        <v>528</v>
      </c>
      <c r="CC44" s="1333">
        <v>519</v>
      </c>
      <c r="CD44" s="1337">
        <v>515</v>
      </c>
      <c r="CE44" s="1333">
        <v>509</v>
      </c>
      <c r="CF44" s="1333">
        <v>502</v>
      </c>
      <c r="CG44" s="1348">
        <v>486</v>
      </c>
      <c r="CH44" s="1337">
        <v>475</v>
      </c>
      <c r="CI44" s="1349">
        <v>465</v>
      </c>
      <c r="CJ44" s="1349">
        <v>463</v>
      </c>
      <c r="CK44" s="1348">
        <v>459</v>
      </c>
      <c r="CL44" s="1337">
        <v>447</v>
      </c>
      <c r="CM44" s="1170"/>
      <c r="CN44" s="1170"/>
      <c r="CO44" s="1170"/>
      <c r="CP44" s="1170"/>
      <c r="CQ44" s="1170"/>
      <c r="CR44" s="1170"/>
      <c r="CS44" s="1170"/>
      <c r="CT44" s="1170"/>
      <c r="CU44" s="1223">
        <f t="shared" si="10"/>
        <v>0</v>
      </c>
    </row>
    <row r="45" spans="1:99" ht="12.75" hidden="1" customHeight="1">
      <c r="A45" s="1225" t="s">
        <v>228</v>
      </c>
      <c r="B45" s="1198"/>
      <c r="C45" s="1198"/>
      <c r="D45" s="1198"/>
      <c r="E45" s="1198"/>
      <c r="F45" s="1227"/>
      <c r="G45" s="1227"/>
      <c r="H45" s="1248"/>
      <c r="I45" s="1248"/>
      <c r="J45" s="1248">
        <f t="shared" si="22"/>
        <v>420</v>
      </c>
      <c r="K45" s="1248"/>
      <c r="L45" s="1248"/>
      <c r="M45" s="1248"/>
      <c r="N45" s="1248"/>
      <c r="O45" s="1282"/>
      <c r="P45" s="1282">
        <f t="shared" si="34"/>
        <v>0</v>
      </c>
      <c r="Q45" s="1282">
        <f t="shared" si="35"/>
        <v>0</v>
      </c>
      <c r="R45" s="1250"/>
      <c r="S45" s="1386">
        <f t="shared" si="36"/>
        <v>0</v>
      </c>
      <c r="T45" s="1507"/>
      <c r="U45" s="1507"/>
      <c r="V45" s="1507"/>
      <c r="W45" s="1507"/>
      <c r="X45" s="1248"/>
      <c r="Y45" s="1248"/>
      <c r="Z45" s="1248"/>
      <c r="AA45" s="1248"/>
      <c r="AB45" s="1248"/>
      <c r="AC45" s="1248"/>
      <c r="AD45" s="1248"/>
      <c r="AE45" s="1248"/>
      <c r="AF45" s="1248"/>
      <c r="AG45" s="1519"/>
      <c r="AH45" s="1248"/>
      <c r="AI45" s="1248"/>
      <c r="AJ45" s="1248"/>
      <c r="AK45" s="1248"/>
      <c r="AL45" s="1248"/>
      <c r="AM45" s="1248"/>
      <c r="AN45" s="1248"/>
      <c r="AO45" s="1248"/>
      <c r="AP45" s="1248"/>
      <c r="AQ45" s="1248"/>
      <c r="AR45" s="1248"/>
      <c r="AS45" s="1248"/>
      <c r="AT45" s="1248"/>
      <c r="AU45" s="1248"/>
      <c r="AV45" s="1248"/>
      <c r="AW45" s="1248"/>
      <c r="AX45" s="1248"/>
      <c r="AY45" s="1248"/>
      <c r="AZ45" s="1248"/>
      <c r="BA45" s="1248"/>
      <c r="BB45" s="1248"/>
      <c r="BC45" s="1248"/>
      <c r="BD45" s="1248"/>
      <c r="BE45" s="1333">
        <v>420</v>
      </c>
      <c r="BF45" s="1333">
        <v>389</v>
      </c>
      <c r="BG45" s="1333">
        <v>378</v>
      </c>
      <c r="BH45" s="1333">
        <v>386</v>
      </c>
      <c r="BI45" s="1333">
        <v>0</v>
      </c>
      <c r="BJ45" s="1333">
        <v>0</v>
      </c>
      <c r="BK45" s="1333">
        <v>0</v>
      </c>
      <c r="BL45" s="1333">
        <v>0</v>
      </c>
      <c r="BM45" s="1333">
        <v>0</v>
      </c>
      <c r="BN45" s="1333">
        <v>0</v>
      </c>
      <c r="BO45" s="1333">
        <v>0</v>
      </c>
      <c r="BP45" s="1333">
        <v>0</v>
      </c>
      <c r="BQ45" s="1333">
        <v>0</v>
      </c>
      <c r="BR45" s="1337">
        <v>0</v>
      </c>
      <c r="BS45" s="1333">
        <v>0</v>
      </c>
      <c r="BT45" s="1333">
        <v>0</v>
      </c>
      <c r="BU45" s="1333">
        <v>0</v>
      </c>
      <c r="BV45" s="1337">
        <v>0</v>
      </c>
      <c r="BW45" s="1333">
        <v>0</v>
      </c>
      <c r="BX45" s="1333">
        <v>0</v>
      </c>
      <c r="BY45" s="1348">
        <v>0</v>
      </c>
      <c r="BZ45" s="1333">
        <v>0</v>
      </c>
      <c r="CA45" s="1333">
        <v>0</v>
      </c>
      <c r="CB45" s="1333">
        <v>0</v>
      </c>
      <c r="CC45" s="1333">
        <v>0</v>
      </c>
      <c r="CD45" s="1337">
        <v>0</v>
      </c>
      <c r="CE45" s="1333">
        <v>0</v>
      </c>
      <c r="CF45" s="1333">
        <v>0</v>
      </c>
      <c r="CG45" s="1348">
        <v>0</v>
      </c>
      <c r="CH45" s="1337">
        <v>0</v>
      </c>
      <c r="CI45" s="1349">
        <v>0</v>
      </c>
      <c r="CJ45" s="1349">
        <v>0</v>
      </c>
      <c r="CK45" s="1348"/>
      <c r="CL45" s="1249"/>
      <c r="CM45" s="1170"/>
      <c r="CN45" s="1170"/>
      <c r="CO45" s="1170"/>
      <c r="CP45" s="1170"/>
      <c r="CQ45" s="1170"/>
      <c r="CR45" s="1170"/>
      <c r="CS45" s="1170"/>
      <c r="CT45" s="1170"/>
      <c r="CU45" s="1223">
        <f t="shared" si="10"/>
        <v>0</v>
      </c>
    </row>
    <row r="46" spans="1:99" ht="12.75" customHeight="1">
      <c r="A46" s="1225" t="s">
        <v>691</v>
      </c>
      <c r="B46" s="1198"/>
      <c r="C46" s="1198"/>
      <c r="D46" s="1198"/>
      <c r="E46" s="1198"/>
      <c r="F46" s="1226"/>
      <c r="G46" s="1226"/>
      <c r="H46" s="1248"/>
      <c r="I46" s="1248"/>
      <c r="J46" s="1248">
        <f t="shared" si="22"/>
        <v>1073</v>
      </c>
      <c r="K46" s="1248">
        <f>BI46</f>
        <v>1837</v>
      </c>
      <c r="L46" s="1248">
        <f>BM46</f>
        <v>2010</v>
      </c>
      <c r="M46" s="1248">
        <f>+BQ46</f>
        <v>1530</v>
      </c>
      <c r="N46" s="1248">
        <f>BU46</f>
        <v>1446</v>
      </c>
      <c r="O46" s="1282">
        <f>BY46</f>
        <v>1384</v>
      </c>
      <c r="P46" s="1282">
        <f t="shared" si="34"/>
        <v>1188</v>
      </c>
      <c r="Q46" s="1282">
        <f t="shared" si="35"/>
        <v>675</v>
      </c>
      <c r="R46" s="1250">
        <f t="shared" si="30"/>
        <v>717</v>
      </c>
      <c r="S46" s="1386">
        <f t="shared" si="36"/>
        <v>0</v>
      </c>
      <c r="T46" s="1507"/>
      <c r="U46" s="1507"/>
      <c r="V46" s="1507"/>
      <c r="W46" s="1507"/>
      <c r="X46" s="1248"/>
      <c r="Y46" s="1248"/>
      <c r="Z46" s="1248"/>
      <c r="AA46" s="1248"/>
      <c r="AB46" s="1248"/>
      <c r="AC46" s="1248"/>
      <c r="AD46" s="1248"/>
      <c r="AE46" s="1248"/>
      <c r="AF46" s="1248"/>
      <c r="AG46" s="1519"/>
      <c r="AH46" s="1248"/>
      <c r="AI46" s="1248"/>
      <c r="AJ46" s="1248"/>
      <c r="AK46" s="1248"/>
      <c r="AL46" s="1248"/>
      <c r="AM46" s="1248"/>
      <c r="AN46" s="1248"/>
      <c r="AO46" s="1248"/>
      <c r="AP46" s="1248"/>
      <c r="AQ46" s="1248"/>
      <c r="AR46" s="1248"/>
      <c r="AS46" s="1248"/>
      <c r="AT46" s="1248"/>
      <c r="AU46" s="1248"/>
      <c r="AV46" s="1248"/>
      <c r="AW46" s="1248"/>
      <c r="AX46" s="1248"/>
      <c r="AY46" s="1248"/>
      <c r="AZ46" s="1248"/>
      <c r="BA46" s="1248"/>
      <c r="BB46" s="1248"/>
      <c r="BC46" s="1248"/>
      <c r="BD46" s="1248"/>
      <c r="BE46" s="1333">
        <v>1073</v>
      </c>
      <c r="BF46" s="1333">
        <v>1074</v>
      </c>
      <c r="BG46" s="1333">
        <v>1109</v>
      </c>
      <c r="BH46" s="1333">
        <v>1242</v>
      </c>
      <c r="BI46" s="1333">
        <v>1837</v>
      </c>
      <c r="BJ46" s="1333">
        <v>1795</v>
      </c>
      <c r="BK46" s="1333">
        <v>2017</v>
      </c>
      <c r="BL46" s="1333">
        <v>2125</v>
      </c>
      <c r="BM46" s="1333">
        <v>2010</v>
      </c>
      <c r="BN46" s="1333">
        <v>1985</v>
      </c>
      <c r="BO46" s="1333">
        <v>1829</v>
      </c>
      <c r="BP46" s="1333">
        <v>1569</v>
      </c>
      <c r="BQ46" s="1333">
        <v>1530</v>
      </c>
      <c r="BR46" s="1337">
        <v>1450</v>
      </c>
      <c r="BS46" s="1333">
        <v>1383</v>
      </c>
      <c r="BT46" s="1333">
        <v>1366</v>
      </c>
      <c r="BU46" s="1333">
        <v>1446</v>
      </c>
      <c r="BV46" s="1337">
        <v>1532</v>
      </c>
      <c r="BW46" s="1333">
        <v>1533</v>
      </c>
      <c r="BX46" s="1333">
        <v>1510</v>
      </c>
      <c r="BY46" s="1348">
        <v>1384</v>
      </c>
      <c r="BZ46" s="1333">
        <v>1372</v>
      </c>
      <c r="CA46" s="1333">
        <v>1381</v>
      </c>
      <c r="CB46" s="1333">
        <v>1199</v>
      </c>
      <c r="CC46" s="1333">
        <v>1188</v>
      </c>
      <c r="CD46" s="1337">
        <v>1155</v>
      </c>
      <c r="CE46" s="1333">
        <v>683</v>
      </c>
      <c r="CF46" s="1333">
        <v>693</v>
      </c>
      <c r="CG46" s="1348">
        <v>675</v>
      </c>
      <c r="CH46" s="1337">
        <v>639</v>
      </c>
      <c r="CI46" s="1349">
        <v>635</v>
      </c>
      <c r="CJ46" s="1349">
        <v>628</v>
      </c>
      <c r="CK46" s="1348">
        <v>717</v>
      </c>
      <c r="CL46" s="1337">
        <v>704</v>
      </c>
      <c r="CM46" s="1170"/>
      <c r="CN46" s="1170"/>
      <c r="CO46" s="1170"/>
      <c r="CP46" s="1170"/>
      <c r="CQ46" s="1170"/>
      <c r="CR46" s="1170"/>
      <c r="CS46" s="1170"/>
      <c r="CT46" s="1170"/>
      <c r="CU46" s="1223">
        <f t="shared" si="10"/>
        <v>0</v>
      </c>
    </row>
    <row r="47" spans="1:99" ht="12.75" customHeight="1">
      <c r="A47" s="1213" t="s">
        <v>943</v>
      </c>
      <c r="B47" s="1213"/>
      <c r="C47" s="1213"/>
      <c r="D47" s="1213"/>
      <c r="E47" s="1213"/>
      <c r="F47" s="1214"/>
      <c r="G47" s="1214"/>
      <c r="H47" s="1269"/>
      <c r="I47" s="1269"/>
      <c r="J47" s="1269">
        <f t="shared" si="22"/>
        <v>32175</v>
      </c>
      <c r="K47" s="1269" t="e">
        <f t="shared" ref="K47:S47" si="37">SUM(K41:K46)+K40</f>
        <v>#REF!</v>
      </c>
      <c r="L47" s="1269" t="e">
        <f t="shared" si="37"/>
        <v>#REF!</v>
      </c>
      <c r="M47" s="1269" t="e">
        <f t="shared" si="37"/>
        <v>#REF!</v>
      </c>
      <c r="N47" s="1269" t="e">
        <f t="shared" si="37"/>
        <v>#REF!</v>
      </c>
      <c r="O47" s="1270" t="e">
        <f t="shared" si="37"/>
        <v>#REF!</v>
      </c>
      <c r="P47" s="1270" t="e">
        <f>SUM(P41:P46)+P40</f>
        <v>#REF!</v>
      </c>
      <c r="Q47" s="1270">
        <f>SUM(Q41:Q46)+Q40</f>
        <v>21558</v>
      </c>
      <c r="R47" s="1271">
        <f t="shared" si="37"/>
        <v>18875</v>
      </c>
      <c r="S47" s="1272">
        <f t="shared" si="37"/>
        <v>0</v>
      </c>
      <c r="T47" s="1507"/>
      <c r="U47" s="1507"/>
      <c r="V47" s="1507"/>
      <c r="W47" s="1507"/>
      <c r="X47" s="1248"/>
      <c r="Y47" s="1248"/>
      <c r="Z47" s="1248"/>
      <c r="AA47" s="1248"/>
      <c r="AB47" s="1248"/>
      <c r="AC47" s="1248"/>
      <c r="AD47" s="1248"/>
      <c r="AE47" s="1248"/>
      <c r="AF47" s="1248"/>
      <c r="AG47" s="151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f t="shared" ref="BE47:CF47" si="38">SUM(BE41:BE46)+BE40</f>
        <v>32175</v>
      </c>
      <c r="BF47" s="1269">
        <f t="shared" si="38"/>
        <v>31793</v>
      </c>
      <c r="BG47" s="1269">
        <f t="shared" si="38"/>
        <v>31793</v>
      </c>
      <c r="BH47" s="1269">
        <f t="shared" si="38"/>
        <v>31096</v>
      </c>
      <c r="BI47" s="1269" t="e">
        <f t="shared" si="38"/>
        <v>#REF!</v>
      </c>
      <c r="BJ47" s="1269" t="e">
        <f t="shared" si="38"/>
        <v>#REF!</v>
      </c>
      <c r="BK47" s="1269" t="e">
        <f t="shared" si="38"/>
        <v>#REF!</v>
      </c>
      <c r="BL47" s="1269" t="e">
        <f t="shared" si="38"/>
        <v>#REF!</v>
      </c>
      <c r="BM47" s="1269" t="e">
        <f t="shared" si="38"/>
        <v>#REF!</v>
      </c>
      <c r="BN47" s="1269" t="e">
        <f t="shared" si="38"/>
        <v>#REF!</v>
      </c>
      <c r="BO47" s="1269" t="e">
        <f t="shared" si="38"/>
        <v>#REF!</v>
      </c>
      <c r="BP47" s="1269" t="e">
        <f t="shared" si="38"/>
        <v>#REF!</v>
      </c>
      <c r="BQ47" s="1269" t="e">
        <f t="shared" si="38"/>
        <v>#REF!</v>
      </c>
      <c r="BR47" s="1273" t="e">
        <f t="shared" si="38"/>
        <v>#REF!</v>
      </c>
      <c r="BS47" s="1269" t="e">
        <f t="shared" si="38"/>
        <v>#REF!</v>
      </c>
      <c r="BT47" s="1269" t="e">
        <f t="shared" si="38"/>
        <v>#REF!</v>
      </c>
      <c r="BU47" s="1269" t="e">
        <f t="shared" si="38"/>
        <v>#REF!</v>
      </c>
      <c r="BV47" s="1273" t="e">
        <f t="shared" si="38"/>
        <v>#REF!</v>
      </c>
      <c r="BW47" s="1269" t="e">
        <f t="shared" si="38"/>
        <v>#REF!</v>
      </c>
      <c r="BX47" s="1269" t="e">
        <f t="shared" si="38"/>
        <v>#REF!</v>
      </c>
      <c r="BY47" s="1271" t="e">
        <f t="shared" si="38"/>
        <v>#REF!</v>
      </c>
      <c r="BZ47" s="1269" t="e">
        <f t="shared" si="38"/>
        <v>#REF!</v>
      </c>
      <c r="CA47" s="1269" t="e">
        <f t="shared" si="38"/>
        <v>#REF!</v>
      </c>
      <c r="CB47" s="1269" t="e">
        <f t="shared" si="38"/>
        <v>#REF!</v>
      </c>
      <c r="CC47" s="1269" t="e">
        <f t="shared" si="38"/>
        <v>#REF!</v>
      </c>
      <c r="CD47" s="1273">
        <f t="shared" si="38"/>
        <v>20875</v>
      </c>
      <c r="CE47" s="1269">
        <f t="shared" si="38"/>
        <v>21277</v>
      </c>
      <c r="CF47" s="1269">
        <f t="shared" si="38"/>
        <v>21256</v>
      </c>
      <c r="CG47" s="1271">
        <f t="shared" ref="CG47:CL47" si="39">SUM(CG41:CG46)+CG40</f>
        <v>21558</v>
      </c>
      <c r="CH47" s="1273">
        <f t="shared" si="39"/>
        <v>20482</v>
      </c>
      <c r="CI47" s="1270">
        <f t="shared" si="39"/>
        <v>20200</v>
      </c>
      <c r="CJ47" s="1270">
        <f t="shared" si="39"/>
        <v>20384</v>
      </c>
      <c r="CK47" s="1269">
        <f t="shared" si="39"/>
        <v>18875</v>
      </c>
      <c r="CL47" s="1273">
        <f t="shared" si="39"/>
        <v>18409</v>
      </c>
      <c r="CM47" s="1170"/>
      <c r="CN47" s="1170"/>
      <c r="CO47" s="1170"/>
      <c r="CP47" s="1170"/>
      <c r="CQ47" s="1170"/>
      <c r="CR47" s="1170"/>
      <c r="CS47" s="1170"/>
      <c r="CT47" s="1170"/>
      <c r="CU47" s="1223">
        <f t="shared" si="10"/>
        <v>0</v>
      </c>
    </row>
    <row r="48" spans="1:99" ht="12.75" customHeight="1">
      <c r="A48" s="1225" t="s">
        <v>229</v>
      </c>
      <c r="B48" s="1225"/>
      <c r="C48" s="1213"/>
      <c r="D48" s="1213"/>
      <c r="E48" s="1213"/>
      <c r="F48" s="1214"/>
      <c r="G48" s="1214"/>
      <c r="H48" s="1248"/>
      <c r="I48" s="1248"/>
      <c r="J48" s="1248" t="e">
        <v>#REF!</v>
      </c>
      <c r="K48" s="1269"/>
      <c r="L48" s="1269"/>
      <c r="M48" s="1269"/>
      <c r="N48" s="1269"/>
      <c r="O48" s="1530"/>
      <c r="P48" s="1530"/>
      <c r="Q48" s="1530"/>
      <c r="R48" s="1531"/>
      <c r="S48" s="1533"/>
      <c r="T48" s="1507"/>
      <c r="U48" s="1507"/>
      <c r="V48" s="1507"/>
      <c r="W48" s="1507"/>
      <c r="X48" s="1248"/>
      <c r="Y48" s="1248"/>
      <c r="Z48" s="1248"/>
      <c r="AA48" s="1248"/>
      <c r="AB48" s="1248"/>
      <c r="AC48" s="1248"/>
      <c r="AD48" s="1248"/>
      <c r="AE48" s="1248"/>
      <c r="AF48" s="1248"/>
      <c r="AG48" s="151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532"/>
      <c r="BQ48" s="1532"/>
      <c r="BR48" s="1534"/>
      <c r="BS48" s="1532"/>
      <c r="BT48" s="1532"/>
      <c r="BU48" s="1532"/>
      <c r="BV48" s="1534"/>
      <c r="BW48" s="1532"/>
      <c r="BX48" s="1532"/>
      <c r="BY48" s="1531"/>
      <c r="BZ48" s="1532"/>
      <c r="CA48" s="1532"/>
      <c r="CB48" s="1532"/>
      <c r="CC48" s="1532"/>
      <c r="CD48" s="1534"/>
      <c r="CE48" s="1532"/>
      <c r="CF48" s="1532"/>
      <c r="CG48" s="1531"/>
      <c r="CH48" s="1534"/>
      <c r="CI48" s="1530"/>
      <c r="CJ48" s="1530"/>
      <c r="CK48" s="1532"/>
      <c r="CL48" s="1534"/>
      <c r="CM48" s="1170"/>
      <c r="CN48" s="1170"/>
      <c r="CO48" s="1170"/>
      <c r="CP48" s="1170"/>
      <c r="CQ48" s="1170"/>
      <c r="CR48" s="1170"/>
      <c r="CS48" s="1170"/>
      <c r="CT48" s="1170"/>
      <c r="CU48" s="1223">
        <f t="shared" si="10"/>
        <v>0</v>
      </c>
    </row>
    <row r="49" spans="1:99">
      <c r="A49" s="1225" t="s">
        <v>230</v>
      </c>
      <c r="B49" s="1198"/>
      <c r="C49" s="1198"/>
      <c r="D49" s="1198"/>
      <c r="E49" s="1198"/>
      <c r="F49" s="1226"/>
      <c r="G49" s="1226"/>
      <c r="H49" s="1248"/>
      <c r="I49" s="1248"/>
      <c r="J49" s="1248">
        <f t="shared" ref="J49:J55" si="40">BE49</f>
        <v>0</v>
      </c>
      <c r="K49" s="1248">
        <f t="shared" ref="K49:K54" si="41">BI49</f>
        <v>0</v>
      </c>
      <c r="L49" s="1248">
        <f>BM49</f>
        <v>0</v>
      </c>
      <c r="M49" s="1248">
        <f t="shared" ref="M49:M54" si="42">+BQ49</f>
        <v>0</v>
      </c>
      <c r="N49" s="1248">
        <f t="shared" ref="N49:N54" si="43">BU49</f>
        <v>0</v>
      </c>
      <c r="O49" s="1282">
        <f t="shared" ref="O49:O54" si="44">BY49</f>
        <v>0</v>
      </c>
      <c r="P49" s="1282">
        <f t="shared" ref="P49:P54" si="45">CC49</f>
        <v>0</v>
      </c>
      <c r="Q49" s="1282">
        <f t="shared" ref="Q49:Q54" si="46">CG49</f>
        <v>0</v>
      </c>
      <c r="R49" s="1250">
        <f>Q49</f>
        <v>0</v>
      </c>
      <c r="S49" s="1386">
        <f>R49</f>
        <v>0</v>
      </c>
      <c r="T49" s="1507"/>
      <c r="U49" s="1507"/>
      <c r="V49" s="1507"/>
      <c r="W49" s="1507"/>
      <c r="X49" s="1248"/>
      <c r="Y49" s="1248"/>
      <c r="Z49" s="1248"/>
      <c r="AA49" s="1248"/>
      <c r="AB49" s="1248"/>
      <c r="AC49" s="1248"/>
      <c r="AD49" s="1248"/>
      <c r="AE49" s="1248"/>
      <c r="AF49" s="1248"/>
      <c r="AG49" s="1519"/>
      <c r="AH49" s="1248"/>
      <c r="AI49" s="1248"/>
      <c r="AJ49" s="1248"/>
      <c r="AK49" s="1248"/>
      <c r="AL49" s="1248"/>
      <c r="AM49" s="1248"/>
      <c r="AN49" s="1248"/>
      <c r="AO49" s="1248"/>
      <c r="AP49" s="1248"/>
      <c r="AQ49" s="1248"/>
      <c r="AR49" s="1248"/>
      <c r="AS49" s="1248"/>
      <c r="AT49" s="1248"/>
      <c r="AU49" s="1248"/>
      <c r="AV49" s="1248"/>
      <c r="AW49" s="1248"/>
      <c r="AX49" s="1248"/>
      <c r="AY49" s="1248"/>
      <c r="AZ49" s="1248"/>
      <c r="BA49" s="1248"/>
      <c r="BB49" s="1248"/>
      <c r="BC49" s="1248"/>
      <c r="BD49" s="1248"/>
      <c r="BE49" s="1248">
        <v>0</v>
      </c>
      <c r="BF49" s="1248">
        <v>0</v>
      </c>
      <c r="BG49" s="1248">
        <v>0</v>
      </c>
      <c r="BH49" s="1248">
        <v>0</v>
      </c>
      <c r="BI49" s="1248">
        <v>0</v>
      </c>
      <c r="BJ49" s="1248">
        <v>0</v>
      </c>
      <c r="BK49" s="1248">
        <v>0</v>
      </c>
      <c r="BL49" s="1248">
        <v>0</v>
      </c>
      <c r="BM49" s="1248">
        <v>0</v>
      </c>
      <c r="BN49" s="1248">
        <v>0</v>
      </c>
      <c r="BO49" s="1248">
        <v>0</v>
      </c>
      <c r="BP49" s="1248">
        <v>0</v>
      </c>
      <c r="BQ49" s="1248">
        <v>0</v>
      </c>
      <c r="BR49" s="1248">
        <v>0</v>
      </c>
      <c r="BS49" s="1248">
        <v>0</v>
      </c>
      <c r="BT49" s="1248">
        <v>0</v>
      </c>
      <c r="BU49" s="1248">
        <v>0</v>
      </c>
      <c r="BV49" s="1248">
        <v>0</v>
      </c>
      <c r="BW49" s="1248">
        <v>0</v>
      </c>
      <c r="BX49" s="1248">
        <v>0</v>
      </c>
      <c r="BY49" s="1248">
        <v>0</v>
      </c>
      <c r="BZ49" s="1248">
        <v>0</v>
      </c>
      <c r="CA49" s="1248">
        <v>0</v>
      </c>
      <c r="CB49" s="1248">
        <v>0</v>
      </c>
      <c r="CC49" s="1248">
        <v>0</v>
      </c>
      <c r="CD49" s="1249"/>
      <c r="CE49" s="1248"/>
      <c r="CF49" s="1248"/>
      <c r="CG49" s="1250"/>
      <c r="CH49" s="1249"/>
      <c r="CI49" s="1282"/>
      <c r="CJ49" s="1282"/>
      <c r="CK49" s="1248"/>
      <c r="CL49" s="1249"/>
      <c r="CM49" s="1170"/>
      <c r="CN49" s="1170"/>
      <c r="CO49" s="1170"/>
      <c r="CP49" s="1170"/>
      <c r="CQ49" s="1170"/>
      <c r="CR49" s="1170"/>
      <c r="CS49" s="1170"/>
      <c r="CT49" s="1170"/>
      <c r="CU49" s="1223">
        <f t="shared" si="10"/>
        <v>0</v>
      </c>
    </row>
    <row r="50" spans="1:99" ht="12.75" customHeight="1">
      <c r="A50" s="1225" t="s">
        <v>231</v>
      </c>
      <c r="B50" s="1225"/>
      <c r="C50" s="1225"/>
      <c r="D50" s="1198"/>
      <c r="E50" s="1198"/>
      <c r="F50" s="1226"/>
      <c r="G50" s="1226"/>
      <c r="H50" s="1248"/>
      <c r="I50" s="1248"/>
      <c r="J50" s="1248">
        <f t="shared" si="40"/>
        <v>17</v>
      </c>
      <c r="K50" s="1248">
        <f t="shared" si="41"/>
        <v>18</v>
      </c>
      <c r="L50" s="1248">
        <f>BM50</f>
        <v>18</v>
      </c>
      <c r="M50" s="1248">
        <f t="shared" si="42"/>
        <v>19</v>
      </c>
      <c r="N50" s="1248">
        <f t="shared" si="43"/>
        <v>19</v>
      </c>
      <c r="O50" s="1282">
        <f t="shared" si="44"/>
        <v>18</v>
      </c>
      <c r="P50" s="1282">
        <f t="shared" si="45"/>
        <v>17</v>
      </c>
      <c r="Q50" s="1282">
        <f t="shared" si="46"/>
        <v>17</v>
      </c>
      <c r="R50" s="1250">
        <f>+CK50</f>
        <v>18</v>
      </c>
      <c r="S50" s="1386">
        <f>CO50</f>
        <v>0</v>
      </c>
      <c r="T50" s="1507"/>
      <c r="U50" s="1507"/>
      <c r="V50" s="1507"/>
      <c r="W50" s="1507"/>
      <c r="X50" s="1248"/>
      <c r="Y50" s="1248"/>
      <c r="Z50" s="1248"/>
      <c r="AA50" s="1248"/>
      <c r="AB50" s="1248"/>
      <c r="AC50" s="1248"/>
      <c r="AD50" s="1248"/>
      <c r="AE50" s="1248"/>
      <c r="AF50" s="1248"/>
      <c r="AG50" s="1519"/>
      <c r="AH50" s="1248"/>
      <c r="AI50" s="1248"/>
      <c r="AJ50" s="1248"/>
      <c r="AK50" s="1248"/>
      <c r="AL50" s="1248"/>
      <c r="AM50" s="1248"/>
      <c r="AN50" s="1248"/>
      <c r="AO50" s="1248"/>
      <c r="AP50" s="1248"/>
      <c r="AQ50" s="1248"/>
      <c r="AR50" s="1248"/>
      <c r="AS50" s="1248"/>
      <c r="AT50" s="1248"/>
      <c r="AU50" s="1248"/>
      <c r="AV50" s="1248"/>
      <c r="AW50" s="1248"/>
      <c r="AX50" s="1248"/>
      <c r="AY50" s="1333"/>
      <c r="AZ50" s="1333"/>
      <c r="BA50" s="1248"/>
      <c r="BB50" s="1248"/>
      <c r="BC50" s="1248"/>
      <c r="BD50" s="1248"/>
      <c r="BE50" s="1333">
        <v>17</v>
      </c>
      <c r="BF50" s="1333">
        <v>17</v>
      </c>
      <c r="BG50" s="1333">
        <v>17</v>
      </c>
      <c r="BH50" s="1333">
        <v>18</v>
      </c>
      <c r="BI50" s="1333">
        <v>18</v>
      </c>
      <c r="BJ50" s="1333">
        <v>18</v>
      </c>
      <c r="BK50" s="1333">
        <v>18</v>
      </c>
      <c r="BL50" s="1333">
        <v>18</v>
      </c>
      <c r="BM50" s="1333">
        <v>18</v>
      </c>
      <c r="BN50" s="1333">
        <v>18</v>
      </c>
      <c r="BO50" s="1333">
        <v>18</v>
      </c>
      <c r="BP50" s="1333">
        <v>19</v>
      </c>
      <c r="BQ50" s="1333">
        <v>19</v>
      </c>
      <c r="BR50" s="1337">
        <v>19</v>
      </c>
      <c r="BS50" s="1333">
        <v>19</v>
      </c>
      <c r="BT50" s="1333">
        <v>19</v>
      </c>
      <c r="BU50" s="1333">
        <v>19</v>
      </c>
      <c r="BV50" s="1337">
        <v>19</v>
      </c>
      <c r="BW50" s="1333">
        <v>18</v>
      </c>
      <c r="BX50" s="1333">
        <v>18</v>
      </c>
      <c r="BY50" s="1348">
        <v>18</v>
      </c>
      <c r="BZ50" s="1333">
        <v>18</v>
      </c>
      <c r="CA50" s="1333">
        <v>17</v>
      </c>
      <c r="CB50" s="1333">
        <v>17</v>
      </c>
      <c r="CC50" s="1333">
        <v>17</v>
      </c>
      <c r="CD50" s="1337">
        <v>17</v>
      </c>
      <c r="CE50" s="1333">
        <v>17</v>
      </c>
      <c r="CF50" s="1333">
        <v>17</v>
      </c>
      <c r="CG50" s="1348">
        <v>17</v>
      </c>
      <c r="CH50" s="1337">
        <v>17</v>
      </c>
      <c r="CI50" s="1349">
        <v>17</v>
      </c>
      <c r="CJ50" s="1349">
        <v>17</v>
      </c>
      <c r="CK50" s="1348">
        <v>18</v>
      </c>
      <c r="CL50" s="1337">
        <v>18</v>
      </c>
      <c r="CM50" s="1170"/>
      <c r="CN50" s="1170"/>
      <c r="CO50" s="1170"/>
      <c r="CP50" s="1170"/>
      <c r="CQ50" s="1170"/>
      <c r="CR50" s="1170"/>
      <c r="CS50" s="1170"/>
      <c r="CT50" s="1170"/>
      <c r="CU50" s="1223">
        <f t="shared" si="10"/>
        <v>0</v>
      </c>
    </row>
    <row r="51" spans="1:99" ht="12.75" customHeight="1">
      <c r="A51" s="1225" t="s">
        <v>693</v>
      </c>
      <c r="B51" s="1198"/>
      <c r="C51" s="1198"/>
      <c r="D51" s="1198"/>
      <c r="E51" s="1198"/>
      <c r="F51" s="1226"/>
      <c r="G51" s="1226"/>
      <c r="H51" s="1248"/>
      <c r="I51" s="1248"/>
      <c r="J51" s="1248">
        <f t="shared" si="40"/>
        <v>43225</v>
      </c>
      <c r="K51" s="1248">
        <f t="shared" si="41"/>
        <v>42925</v>
      </c>
      <c r="L51" s="1248">
        <f>BM51</f>
        <v>43111</v>
      </c>
      <c r="M51" s="1248">
        <f t="shared" si="42"/>
        <v>43290</v>
      </c>
      <c r="N51" s="1248">
        <f t="shared" si="43"/>
        <v>43384</v>
      </c>
      <c r="O51" s="1282">
        <f t="shared" si="44"/>
        <v>42344</v>
      </c>
      <c r="P51" s="1282">
        <f t="shared" si="45"/>
        <v>42167</v>
      </c>
      <c r="Q51" s="1282">
        <f t="shared" si="46"/>
        <v>42269</v>
      </c>
      <c r="R51" s="1250">
        <f>+CK51</f>
        <v>42285</v>
      </c>
      <c r="S51" s="1386">
        <f>CO51</f>
        <v>0</v>
      </c>
      <c r="T51" s="1507"/>
      <c r="U51" s="1507"/>
      <c r="V51" s="1507"/>
      <c r="W51" s="1507"/>
      <c r="X51" s="1248"/>
      <c r="Y51" s="1248"/>
      <c r="Z51" s="1248"/>
      <c r="AA51" s="1248"/>
      <c r="AB51" s="1248"/>
      <c r="AC51" s="1248"/>
      <c r="AD51" s="1248"/>
      <c r="AE51" s="1248"/>
      <c r="AF51" s="1248"/>
      <c r="AG51" s="1519"/>
      <c r="AH51" s="1248"/>
      <c r="AI51" s="1248"/>
      <c r="AJ51" s="1248"/>
      <c r="AK51" s="1248"/>
      <c r="AL51" s="1248"/>
      <c r="AM51" s="1248"/>
      <c r="AN51" s="1248"/>
      <c r="AO51" s="1248"/>
      <c r="AP51" s="1248"/>
      <c r="AQ51" s="1248"/>
      <c r="AR51" s="1248"/>
      <c r="AS51" s="1248"/>
      <c r="AT51" s="1248"/>
      <c r="AU51" s="1248"/>
      <c r="AV51" s="1248"/>
      <c r="AW51" s="1248"/>
      <c r="AX51" s="1248"/>
      <c r="AY51" s="1248"/>
      <c r="AZ51" s="1248"/>
      <c r="BA51" s="1248"/>
      <c r="BB51" s="1248"/>
      <c r="BC51" s="1248"/>
      <c r="BD51" s="1248"/>
      <c r="BE51" s="1333">
        <v>43225</v>
      </c>
      <c r="BF51" s="1333">
        <v>42715</v>
      </c>
      <c r="BG51" s="1333">
        <v>42796</v>
      </c>
      <c r="BH51" s="1333">
        <v>42896</v>
      </c>
      <c r="BI51" s="1333">
        <v>42925</v>
      </c>
      <c r="BJ51" s="1333">
        <v>42989</v>
      </c>
      <c r="BK51" s="1333">
        <v>43106</v>
      </c>
      <c r="BL51" s="1333">
        <v>43107</v>
      </c>
      <c r="BM51" s="1333">
        <v>43111</v>
      </c>
      <c r="BN51" s="1333">
        <v>43111</v>
      </c>
      <c r="BO51" s="1333">
        <v>43170</v>
      </c>
      <c r="BP51" s="1333">
        <v>43260</v>
      </c>
      <c r="BQ51" s="1333">
        <v>43290</v>
      </c>
      <c r="BR51" s="1337">
        <v>43355</v>
      </c>
      <c r="BS51" s="1333">
        <v>43475</v>
      </c>
      <c r="BT51" s="1333">
        <v>43531</v>
      </c>
      <c r="BU51" s="1333">
        <v>43384</v>
      </c>
      <c r="BV51" s="1337">
        <v>43022</v>
      </c>
      <c r="BW51" s="1333">
        <v>42770</v>
      </c>
      <c r="BX51" s="1333">
        <v>42576</v>
      </c>
      <c r="BY51" s="1348">
        <v>42344</v>
      </c>
      <c r="BZ51" s="1333">
        <v>42348</v>
      </c>
      <c r="CA51" s="1333">
        <v>42287</v>
      </c>
      <c r="CB51" s="1333">
        <v>42138</v>
      </c>
      <c r="CC51" s="1333">
        <v>42167</v>
      </c>
      <c r="CD51" s="1337">
        <v>42190</v>
      </c>
      <c r="CE51" s="1333">
        <v>42222</v>
      </c>
      <c r="CF51" s="1333">
        <v>42245</v>
      </c>
      <c r="CG51" s="1348">
        <v>42269</v>
      </c>
      <c r="CH51" s="1337">
        <v>42294</v>
      </c>
      <c r="CI51" s="1349">
        <v>42147</v>
      </c>
      <c r="CJ51" s="1349">
        <v>42188</v>
      </c>
      <c r="CK51" s="1348">
        <v>42285</v>
      </c>
      <c r="CL51" s="1337">
        <v>42303</v>
      </c>
      <c r="CM51" s="1170"/>
      <c r="CN51" s="1170"/>
      <c r="CO51" s="1170"/>
      <c r="CP51" s="1170"/>
      <c r="CQ51" s="1170"/>
      <c r="CR51" s="1170"/>
      <c r="CS51" s="1170"/>
      <c r="CT51" s="1170"/>
      <c r="CU51" s="1223">
        <f t="shared" si="10"/>
        <v>0</v>
      </c>
    </row>
    <row r="52" spans="1:99" ht="12.75" customHeight="1">
      <c r="A52" s="1225" t="s">
        <v>926</v>
      </c>
      <c r="B52" s="1198"/>
      <c r="C52" s="1198"/>
      <c r="D52" s="1198"/>
      <c r="E52" s="1198"/>
      <c r="F52" s="1226"/>
      <c r="G52" s="1226"/>
      <c r="H52" s="1248"/>
      <c r="I52" s="1248"/>
      <c r="J52" s="1248">
        <f t="shared" si="40"/>
        <v>-618</v>
      </c>
      <c r="K52" s="1248">
        <f t="shared" si="41"/>
        <v>-15</v>
      </c>
      <c r="L52" s="1248">
        <f>BM52</f>
        <v>-20</v>
      </c>
      <c r="M52" s="1248">
        <f t="shared" si="42"/>
        <v>-17</v>
      </c>
      <c r="N52" s="1248">
        <f t="shared" si="43"/>
        <v>-24</v>
      </c>
      <c r="O52" s="1282">
        <f t="shared" si="44"/>
        <v>-18</v>
      </c>
      <c r="P52" s="1282">
        <f t="shared" si="45"/>
        <v>-20</v>
      </c>
      <c r="Q52" s="1282">
        <f t="shared" si="46"/>
        <v>-22</v>
      </c>
      <c r="R52" s="1250">
        <f>+CK52</f>
        <v>-157</v>
      </c>
      <c r="S52" s="1386">
        <f>CO52</f>
        <v>0</v>
      </c>
      <c r="T52" s="1507"/>
      <c r="U52" s="1507"/>
      <c r="V52" s="1507"/>
      <c r="W52" s="1507"/>
      <c r="X52" s="1248"/>
      <c r="Y52" s="1248"/>
      <c r="Z52" s="1248"/>
      <c r="AA52" s="1248"/>
      <c r="AB52" s="1248"/>
      <c r="AC52" s="1248"/>
      <c r="AD52" s="1248"/>
      <c r="AE52" s="1248"/>
      <c r="AF52" s="1248"/>
      <c r="AG52" s="1519"/>
      <c r="AH52" s="1248"/>
      <c r="AI52" s="1248"/>
      <c r="AJ52" s="1248"/>
      <c r="AK52" s="1248"/>
      <c r="AL52" s="1248"/>
      <c r="AM52" s="1248"/>
      <c r="AN52" s="1248"/>
      <c r="AO52" s="1248"/>
      <c r="AP52" s="1248"/>
      <c r="AQ52" s="1248"/>
      <c r="AR52" s="1248"/>
      <c r="AS52" s="1248"/>
      <c r="AT52" s="1248"/>
      <c r="AU52" s="1248"/>
      <c r="AV52" s="1248"/>
      <c r="AW52" s="1248"/>
      <c r="AX52" s="1248"/>
      <c r="AY52" s="1248"/>
      <c r="AZ52" s="1248"/>
      <c r="BA52" s="1248"/>
      <c r="BB52" s="1248"/>
      <c r="BC52" s="1248"/>
      <c r="BD52" s="1248"/>
      <c r="BE52" s="1333">
        <v>-618</v>
      </c>
      <c r="BF52" s="1333">
        <v>-14</v>
      </c>
      <c r="BG52" s="1333">
        <v>-14</v>
      </c>
      <c r="BH52" s="1333">
        <v>-14</v>
      </c>
      <c r="BI52" s="1333">
        <v>-15</v>
      </c>
      <c r="BJ52" s="1333">
        <v>-21</v>
      </c>
      <c r="BK52" s="1333">
        <v>-20</v>
      </c>
      <c r="BL52" s="1333">
        <v>-20</v>
      </c>
      <c r="BM52" s="1333">
        <v>-20</v>
      </c>
      <c r="BN52" s="1333">
        <v>-20</v>
      </c>
      <c r="BO52" s="1333">
        <v>-16</v>
      </c>
      <c r="BP52" s="1333">
        <v>-17</v>
      </c>
      <c r="BQ52" s="1333">
        <v>-17</v>
      </c>
      <c r="BR52" s="1337">
        <v>-17</v>
      </c>
      <c r="BS52" s="1333">
        <v>-17</v>
      </c>
      <c r="BT52" s="1333">
        <v>-18</v>
      </c>
      <c r="BU52" s="1333">
        <v>-24</v>
      </c>
      <c r="BV52" s="1337">
        <v>-28</v>
      </c>
      <c r="BW52" s="1333">
        <v>-33</v>
      </c>
      <c r="BX52" s="1333">
        <v>-51</v>
      </c>
      <c r="BY52" s="1348">
        <v>-18</v>
      </c>
      <c r="BZ52" s="1333">
        <v>-20</v>
      </c>
      <c r="CA52" s="1333">
        <v>-20</v>
      </c>
      <c r="CB52" s="1333">
        <v>-20</v>
      </c>
      <c r="CC52" s="1333">
        <v>-20</v>
      </c>
      <c r="CD52" s="1337">
        <v>-22</v>
      </c>
      <c r="CE52" s="1333">
        <v>-22</v>
      </c>
      <c r="CF52" s="1333">
        <v>-22</v>
      </c>
      <c r="CG52" s="1348">
        <v>-22</v>
      </c>
      <c r="CH52" s="1337">
        <v>-29</v>
      </c>
      <c r="CI52" s="1349">
        <v>-28</v>
      </c>
      <c r="CJ52" s="1349">
        <v>-30</v>
      </c>
      <c r="CK52" s="1348">
        <f>-157</f>
        <v>-157</v>
      </c>
      <c r="CL52" s="1337">
        <v>-157</v>
      </c>
      <c r="CM52" s="1170"/>
      <c r="CN52" s="1170"/>
      <c r="CO52" s="1170"/>
      <c r="CP52" s="1170"/>
      <c r="CQ52" s="1170"/>
      <c r="CR52" s="1170"/>
      <c r="CS52" s="1170"/>
      <c r="CT52" s="1170"/>
      <c r="CU52" s="1223">
        <f t="shared" si="10"/>
        <v>0</v>
      </c>
    </row>
    <row r="53" spans="1:99" ht="12.75" customHeight="1">
      <c r="A53" s="1225" t="s">
        <v>923</v>
      </c>
      <c r="B53" s="1198"/>
      <c r="C53" s="1198"/>
      <c r="D53" s="1198"/>
      <c r="E53" s="1198"/>
      <c r="F53" s="1226"/>
      <c r="G53" s="1226"/>
      <c r="H53" s="1248"/>
      <c r="I53" s="1248"/>
      <c r="J53" s="1248">
        <f t="shared" si="40"/>
        <v>-45439</v>
      </c>
      <c r="K53" s="1248">
        <f t="shared" si="41"/>
        <v>-43927</v>
      </c>
      <c r="L53" s="1248">
        <f>BM53</f>
        <v>-45721</v>
      </c>
      <c r="M53" s="1248">
        <f t="shared" si="42"/>
        <v>-46500</v>
      </c>
      <c r="N53" s="1248">
        <f t="shared" si="43"/>
        <v>-45907</v>
      </c>
      <c r="O53" s="1282">
        <f t="shared" si="44"/>
        <v>-43084</v>
      </c>
      <c r="P53" s="1282">
        <f t="shared" si="45"/>
        <v>-43063</v>
      </c>
      <c r="Q53" s="1282">
        <f t="shared" si="46"/>
        <v>-42953</v>
      </c>
      <c r="R53" s="1250">
        <f>+CK53</f>
        <v>-43425</v>
      </c>
      <c r="S53" s="1248">
        <f>CO53</f>
        <v>0</v>
      </c>
      <c r="T53" s="1507"/>
      <c r="U53" s="1507"/>
      <c r="V53" s="1507"/>
      <c r="W53" s="1507"/>
      <c r="X53" s="1248"/>
      <c r="Y53" s="1248"/>
      <c r="Z53" s="1248"/>
      <c r="AA53" s="1248"/>
      <c r="AB53" s="1248"/>
      <c r="AC53" s="1248"/>
      <c r="AD53" s="1248"/>
      <c r="AE53" s="1248"/>
      <c r="AF53" s="1248"/>
      <c r="AG53" s="1519"/>
      <c r="AH53" s="1248"/>
      <c r="AI53" s="1248"/>
      <c r="AJ53" s="1248"/>
      <c r="AK53" s="1248"/>
      <c r="AL53" s="1248"/>
      <c r="AM53" s="1248"/>
      <c r="AN53" s="1248"/>
      <c r="AO53" s="1248"/>
      <c r="AP53" s="1248"/>
      <c r="AQ53" s="1248"/>
      <c r="AR53" s="1248"/>
      <c r="AS53" s="1248"/>
      <c r="AT53" s="1248"/>
      <c r="AU53" s="1248"/>
      <c r="AV53" s="1248"/>
      <c r="AW53" s="1248"/>
      <c r="AX53" s="1248"/>
      <c r="AY53" s="1333"/>
      <c r="AZ53" s="1333"/>
      <c r="BA53" s="1333"/>
      <c r="BB53" s="1248"/>
      <c r="BC53" s="1333"/>
      <c r="BD53" s="1333"/>
      <c r="BE53" s="1333">
        <v>-45439</v>
      </c>
      <c r="BF53" s="1333">
        <v>-45287</v>
      </c>
      <c r="BG53" s="1333">
        <v>-45351</v>
      </c>
      <c r="BH53" s="1333">
        <v>-43520</v>
      </c>
      <c r="BI53" s="1333">
        <v>-43927</v>
      </c>
      <c r="BJ53" s="1333">
        <v>-44237</v>
      </c>
      <c r="BK53" s="1333">
        <v>-45013</v>
      </c>
      <c r="BL53" s="1333">
        <v>-45582</v>
      </c>
      <c r="BM53" s="1333">
        <v>-45721</v>
      </c>
      <c r="BN53" s="1333">
        <v>-45664</v>
      </c>
      <c r="BO53" s="1333">
        <v>-45828</v>
      </c>
      <c r="BP53" s="1333">
        <v>-45972</v>
      </c>
      <c r="BQ53" s="1333">
        <v>-46500</v>
      </c>
      <c r="BR53" s="1337">
        <v>-46412</v>
      </c>
      <c r="BS53" s="1333">
        <v>-46295</v>
      </c>
      <c r="BT53" s="1333">
        <v>-46101</v>
      </c>
      <c r="BU53" s="1333">
        <v>-45907</v>
      </c>
      <c r="BV53" s="1337">
        <v>-45619</v>
      </c>
      <c r="BW53" s="1333">
        <v>-45373</v>
      </c>
      <c r="BX53" s="1333">
        <v>-43308</v>
      </c>
      <c r="BY53" s="1348">
        <v>-43084</v>
      </c>
      <c r="BZ53" s="1333">
        <v>-43015</v>
      </c>
      <c r="CA53" s="1333">
        <v>-42975</v>
      </c>
      <c r="CB53" s="1333">
        <v>-42967</v>
      </c>
      <c r="CC53" s="1333">
        <v>-43063</v>
      </c>
      <c r="CD53" s="1337">
        <v>-42857</v>
      </c>
      <c r="CE53" s="1333">
        <v>-42783</v>
      </c>
      <c r="CF53" s="1333">
        <v>-42784</v>
      </c>
      <c r="CG53" s="1348">
        <v>-42953</v>
      </c>
      <c r="CH53" s="1337">
        <v>-42915</v>
      </c>
      <c r="CI53" s="1349">
        <v>-42896</v>
      </c>
      <c r="CJ53" s="1349">
        <v>-43125</v>
      </c>
      <c r="CK53" s="1348">
        <v>-43425</v>
      </c>
      <c r="CL53" s="1337">
        <v>-43355</v>
      </c>
      <c r="CM53" s="1170"/>
      <c r="CN53" s="1170"/>
      <c r="CO53" s="1170"/>
      <c r="CP53" s="1170"/>
      <c r="CQ53" s="1170"/>
      <c r="CR53" s="1170"/>
      <c r="CS53" s="1170"/>
      <c r="CT53" s="1170"/>
      <c r="CU53" s="1223">
        <f t="shared" si="10"/>
        <v>0</v>
      </c>
    </row>
    <row r="54" spans="1:99" ht="12.75" customHeight="1">
      <c r="A54" s="1225" t="s">
        <v>694</v>
      </c>
      <c r="B54" s="1225"/>
      <c r="C54" s="1225"/>
      <c r="D54" s="1225"/>
      <c r="E54" s="1225"/>
      <c r="F54" s="1225"/>
      <c r="G54" s="1226"/>
      <c r="H54" s="1248"/>
      <c r="I54" s="1248"/>
      <c r="J54" s="1248">
        <f t="shared" si="40"/>
        <v>-15</v>
      </c>
      <c r="K54" s="1248">
        <f t="shared" si="41"/>
        <v>-17</v>
      </c>
      <c r="L54" s="1248">
        <f>+BM54</f>
        <v>0</v>
      </c>
      <c r="M54" s="1248">
        <f t="shared" si="42"/>
        <v>-9</v>
      </c>
      <c r="N54" s="1248">
        <f t="shared" si="43"/>
        <v>1083</v>
      </c>
      <c r="O54" s="1282">
        <f t="shared" si="44"/>
        <v>1303</v>
      </c>
      <c r="P54" s="1282">
        <f t="shared" si="45"/>
        <v>-487</v>
      </c>
      <c r="Q54" s="1282">
        <f t="shared" si="46"/>
        <v>-489</v>
      </c>
      <c r="R54" s="1250">
        <f>+CK54</f>
        <v>-376</v>
      </c>
      <c r="S54" s="1248">
        <f>CO54</f>
        <v>0</v>
      </c>
      <c r="T54" s="1507"/>
      <c r="U54" s="1507"/>
      <c r="V54" s="1507"/>
      <c r="W54" s="1507"/>
      <c r="X54" s="1248"/>
      <c r="Y54" s="1248"/>
      <c r="Z54" s="1248"/>
      <c r="AA54" s="1248"/>
      <c r="AB54" s="1248"/>
      <c r="AC54" s="1248"/>
      <c r="AD54" s="1248"/>
      <c r="AE54" s="1248"/>
      <c r="AF54" s="1248"/>
      <c r="AG54" s="1519"/>
      <c r="AH54" s="1248"/>
      <c r="AI54" s="1248"/>
      <c r="AJ54" s="1248"/>
      <c r="AK54" s="1248"/>
      <c r="AL54" s="1248"/>
      <c r="AM54" s="1248"/>
      <c r="AN54" s="1248"/>
      <c r="AO54" s="1248"/>
      <c r="AP54" s="1248"/>
      <c r="AQ54" s="1248"/>
      <c r="AR54" s="1248"/>
      <c r="AS54" s="1248"/>
      <c r="AT54" s="1248"/>
      <c r="AU54" s="1248"/>
      <c r="AV54" s="1248"/>
      <c r="AW54" s="1248"/>
      <c r="AX54" s="1248"/>
      <c r="AY54" s="1248"/>
      <c r="AZ54" s="1248"/>
      <c r="BA54" s="1333"/>
      <c r="BB54" s="1248"/>
      <c r="BC54" s="1248"/>
      <c r="BD54" s="1248"/>
      <c r="BE54" s="1333">
        <v>-15</v>
      </c>
      <c r="BF54" s="1333">
        <v>-14</v>
      </c>
      <c r="BG54" s="1333">
        <v>-17</v>
      </c>
      <c r="BH54" s="1333">
        <v>-14</v>
      </c>
      <c r="BI54" s="1333">
        <v>-17</v>
      </c>
      <c r="BJ54" s="1333">
        <v>0</v>
      </c>
      <c r="BK54" s="1333">
        <v>0</v>
      </c>
      <c r="BL54" s="1333">
        <v>0</v>
      </c>
      <c r="BM54" s="1333">
        <v>0</v>
      </c>
      <c r="BN54" s="1333">
        <v>-9</v>
      </c>
      <c r="BO54" s="1333">
        <v>-7</v>
      </c>
      <c r="BP54" s="1333">
        <v>-6</v>
      </c>
      <c r="BQ54" s="1333">
        <v>-9</v>
      </c>
      <c r="BR54" s="1337">
        <v>-5</v>
      </c>
      <c r="BS54" s="1333">
        <v>-8</v>
      </c>
      <c r="BT54" s="1333">
        <v>-7</v>
      </c>
      <c r="BU54" s="1333">
        <v>1083</v>
      </c>
      <c r="BV54" s="1337">
        <v>1072</v>
      </c>
      <c r="BW54" s="1333">
        <v>1062</v>
      </c>
      <c r="BX54" s="1333">
        <v>1056</v>
      </c>
      <c r="BY54" s="1348">
        <v>1303</v>
      </c>
      <c r="BZ54" s="1333">
        <v>1283</v>
      </c>
      <c r="CA54" s="1333">
        <v>1272</v>
      </c>
      <c r="CB54" s="1333">
        <v>1248</v>
      </c>
      <c r="CC54" s="1333">
        <v>-487</v>
      </c>
      <c r="CD54" s="1337">
        <v>-492</v>
      </c>
      <c r="CE54" s="1333">
        <v>-485</v>
      </c>
      <c r="CF54" s="1333">
        <v>-487</v>
      </c>
      <c r="CG54" s="1348">
        <v>-489</v>
      </c>
      <c r="CH54" s="1337">
        <v>-487</v>
      </c>
      <c r="CI54" s="1349">
        <v>-481</v>
      </c>
      <c r="CJ54" s="1349">
        <v>-475</v>
      </c>
      <c r="CK54" s="1348">
        <v>-376</v>
      </c>
      <c r="CL54" s="1337">
        <v>-369</v>
      </c>
      <c r="CM54" s="1170"/>
      <c r="CN54" s="1170"/>
      <c r="CO54" s="1170"/>
      <c r="CP54" s="1170"/>
      <c r="CQ54" s="1170"/>
      <c r="CR54" s="1170"/>
      <c r="CS54" s="1170"/>
      <c r="CT54" s="1170"/>
      <c r="CU54" s="1223">
        <f t="shared" si="10"/>
        <v>0</v>
      </c>
    </row>
    <row r="55" spans="1:99" ht="12.75" customHeight="1">
      <c r="A55" s="1213" t="s">
        <v>944</v>
      </c>
      <c r="B55" s="1213"/>
      <c r="C55" s="1213"/>
      <c r="D55" s="1213"/>
      <c r="E55" s="1213"/>
      <c r="F55" s="1214"/>
      <c r="G55" s="1214"/>
      <c r="H55" s="1269"/>
      <c r="I55" s="1269"/>
      <c r="J55" s="1269">
        <f t="shared" si="40"/>
        <v>-2830</v>
      </c>
      <c r="K55" s="1269">
        <f t="shared" ref="K55:S55" si="47">SUM(K49:K54)</f>
        <v>-1016</v>
      </c>
      <c r="L55" s="1269">
        <f t="shared" si="47"/>
        <v>-2612</v>
      </c>
      <c r="M55" s="1269">
        <f t="shared" si="47"/>
        <v>-3217</v>
      </c>
      <c r="N55" s="1269">
        <f t="shared" si="47"/>
        <v>-1445</v>
      </c>
      <c r="O55" s="1270">
        <f t="shared" si="47"/>
        <v>563</v>
      </c>
      <c r="P55" s="1270">
        <f>SUM(P49:P54)</f>
        <v>-1386</v>
      </c>
      <c r="Q55" s="1270">
        <f>SUM(Q49:Q54)</f>
        <v>-1178</v>
      </c>
      <c r="R55" s="1271">
        <f t="shared" si="47"/>
        <v>-1655</v>
      </c>
      <c r="S55" s="1269">
        <f t="shared" si="47"/>
        <v>0</v>
      </c>
      <c r="T55" s="1507"/>
      <c r="U55" s="1507"/>
      <c r="V55" s="1507"/>
      <c r="W55" s="1507"/>
      <c r="X55" s="1248"/>
      <c r="Y55" s="1248"/>
      <c r="Z55" s="1248"/>
      <c r="AA55" s="1248"/>
      <c r="AB55" s="1248"/>
      <c r="AC55" s="1248"/>
      <c r="AD55" s="1248"/>
      <c r="AE55" s="1248"/>
      <c r="AF55" s="1248"/>
      <c r="AG55" s="1519"/>
      <c r="AH55" s="1269"/>
      <c r="AI55" s="1269"/>
      <c r="AJ55" s="1269"/>
      <c r="AK55" s="1269"/>
      <c r="AL55" s="1269"/>
      <c r="AM55" s="1269"/>
      <c r="AN55" s="1269"/>
      <c r="AO55" s="1269"/>
      <c r="AP55" s="1269"/>
      <c r="AQ55" s="1269"/>
      <c r="AR55" s="1269"/>
      <c r="AS55" s="1269"/>
      <c r="AT55" s="1269"/>
      <c r="AU55" s="1269"/>
      <c r="AV55" s="1269"/>
      <c r="AW55" s="1269"/>
      <c r="AX55" s="1269"/>
      <c r="AY55" s="1269"/>
      <c r="AZ55" s="1269"/>
      <c r="BA55" s="1269"/>
      <c r="BB55" s="1269"/>
      <c r="BC55" s="1269"/>
      <c r="BD55" s="1269"/>
      <c r="BE55" s="1269">
        <f t="shared" ref="BE55:CF55" si="48">SUM(BE49:BE54)</f>
        <v>-2830</v>
      </c>
      <c r="BF55" s="1269">
        <f t="shared" si="48"/>
        <v>-2583</v>
      </c>
      <c r="BG55" s="1269">
        <f t="shared" si="48"/>
        <v>-2569</v>
      </c>
      <c r="BH55" s="1269">
        <f t="shared" si="48"/>
        <v>-634</v>
      </c>
      <c r="BI55" s="1269">
        <f t="shared" si="48"/>
        <v>-1016</v>
      </c>
      <c r="BJ55" s="1269">
        <f t="shared" si="48"/>
        <v>-1251</v>
      </c>
      <c r="BK55" s="1269">
        <f t="shared" si="48"/>
        <v>-1909</v>
      </c>
      <c r="BL55" s="1269">
        <f t="shared" si="48"/>
        <v>-2477</v>
      </c>
      <c r="BM55" s="1269">
        <f t="shared" si="48"/>
        <v>-2612</v>
      </c>
      <c r="BN55" s="1269">
        <f t="shared" si="48"/>
        <v>-2564</v>
      </c>
      <c r="BO55" s="1269">
        <f t="shared" si="48"/>
        <v>-2663</v>
      </c>
      <c r="BP55" s="1269">
        <f t="shared" si="48"/>
        <v>-2716</v>
      </c>
      <c r="BQ55" s="1269">
        <f t="shared" si="48"/>
        <v>-3217</v>
      </c>
      <c r="BR55" s="1273">
        <f t="shared" si="48"/>
        <v>-3060</v>
      </c>
      <c r="BS55" s="1269">
        <f t="shared" si="48"/>
        <v>-2826</v>
      </c>
      <c r="BT55" s="1269">
        <f t="shared" si="48"/>
        <v>-2576</v>
      </c>
      <c r="BU55" s="1269">
        <f t="shared" si="48"/>
        <v>-1445</v>
      </c>
      <c r="BV55" s="1273">
        <f t="shared" si="48"/>
        <v>-1534</v>
      </c>
      <c r="BW55" s="1269">
        <f t="shared" si="48"/>
        <v>-1556</v>
      </c>
      <c r="BX55" s="1269">
        <f t="shared" si="48"/>
        <v>291</v>
      </c>
      <c r="BY55" s="1271">
        <f t="shared" si="48"/>
        <v>563</v>
      </c>
      <c r="BZ55" s="1269">
        <f t="shared" si="48"/>
        <v>614</v>
      </c>
      <c r="CA55" s="1269">
        <f t="shared" si="48"/>
        <v>581</v>
      </c>
      <c r="CB55" s="1269">
        <f t="shared" si="48"/>
        <v>416</v>
      </c>
      <c r="CC55" s="1269">
        <f t="shared" si="48"/>
        <v>-1386</v>
      </c>
      <c r="CD55" s="1273">
        <f t="shared" si="48"/>
        <v>-1164</v>
      </c>
      <c r="CE55" s="1269">
        <f t="shared" si="48"/>
        <v>-1051</v>
      </c>
      <c r="CF55" s="1269">
        <f t="shared" si="48"/>
        <v>-1031</v>
      </c>
      <c r="CG55" s="1271">
        <f t="shared" ref="CG55:CL55" si="49">SUM(CG49:CG54)</f>
        <v>-1178</v>
      </c>
      <c r="CH55" s="1273">
        <f t="shared" si="49"/>
        <v>-1120</v>
      </c>
      <c r="CI55" s="1270">
        <f t="shared" si="49"/>
        <v>-1241</v>
      </c>
      <c r="CJ55" s="1270">
        <f t="shared" si="49"/>
        <v>-1425</v>
      </c>
      <c r="CK55" s="1269">
        <f t="shared" si="49"/>
        <v>-1655</v>
      </c>
      <c r="CL55" s="1273">
        <f t="shared" si="49"/>
        <v>-1560</v>
      </c>
      <c r="CM55" s="1170"/>
      <c r="CN55" s="1170"/>
      <c r="CO55" s="1170"/>
      <c r="CP55" s="1170"/>
      <c r="CQ55" s="1170"/>
      <c r="CR55" s="1170"/>
      <c r="CS55" s="1170"/>
      <c r="CT55" s="1170"/>
      <c r="CU55" s="1223">
        <f t="shared" si="10"/>
        <v>0</v>
      </c>
    </row>
    <row r="56" spans="1:99" ht="12.75" customHeight="1">
      <c r="A56" s="1213" t="s">
        <v>232</v>
      </c>
      <c r="B56" s="1213"/>
      <c r="C56" s="1213"/>
      <c r="D56" s="1213"/>
      <c r="E56" s="1213"/>
      <c r="F56" s="1214"/>
      <c r="G56" s="1214"/>
      <c r="H56" s="1214"/>
      <c r="I56" s="1214"/>
      <c r="J56" s="1214">
        <f t="shared" ref="J56:S56" si="50">J47+J55</f>
        <v>29345</v>
      </c>
      <c r="K56" s="1214" t="e">
        <f t="shared" si="50"/>
        <v>#REF!</v>
      </c>
      <c r="L56" s="1214" t="e">
        <f t="shared" si="50"/>
        <v>#REF!</v>
      </c>
      <c r="M56" s="1214" t="e">
        <f t="shared" si="50"/>
        <v>#REF!</v>
      </c>
      <c r="N56" s="1214" t="e">
        <f t="shared" si="50"/>
        <v>#REF!</v>
      </c>
      <c r="O56" s="1216" t="e">
        <f t="shared" si="50"/>
        <v>#REF!</v>
      </c>
      <c r="P56" s="1216" t="e">
        <f>P47+P55</f>
        <v>#REF!</v>
      </c>
      <c r="Q56" s="1216">
        <f>Q47+Q55</f>
        <v>20380</v>
      </c>
      <c r="R56" s="1217">
        <f t="shared" si="50"/>
        <v>17220</v>
      </c>
      <c r="S56" s="1214">
        <f t="shared" si="50"/>
        <v>0</v>
      </c>
      <c r="T56" s="1507"/>
      <c r="U56" s="1507"/>
      <c r="V56" s="1507"/>
      <c r="W56" s="1507"/>
      <c r="X56" s="1248"/>
      <c r="Y56" s="1248"/>
      <c r="Z56" s="1248"/>
      <c r="AA56" s="1248"/>
      <c r="AB56" s="1248"/>
      <c r="AC56" s="1248"/>
      <c r="AD56" s="1248"/>
      <c r="AE56" s="1248"/>
      <c r="AF56" s="1248"/>
      <c r="AG56" s="1519"/>
      <c r="AH56" s="1214"/>
      <c r="AI56" s="1214"/>
      <c r="AJ56" s="1214"/>
      <c r="AK56" s="1214"/>
      <c r="AL56" s="1214"/>
      <c r="AM56" s="1214"/>
      <c r="AN56" s="1214"/>
      <c r="AO56" s="1214"/>
      <c r="AP56" s="1214"/>
      <c r="AQ56" s="1214"/>
      <c r="AR56" s="1214"/>
      <c r="AS56" s="1214"/>
      <c r="AT56" s="1214"/>
      <c r="AU56" s="1214"/>
      <c r="AV56" s="1214"/>
      <c r="AW56" s="1214"/>
      <c r="AX56" s="1214"/>
      <c r="AY56" s="1214"/>
      <c r="AZ56" s="1214"/>
      <c r="BA56" s="1214"/>
      <c r="BB56" s="1214"/>
      <c r="BC56" s="1214"/>
      <c r="BD56" s="1214"/>
      <c r="BE56" s="1214">
        <f t="shared" ref="BE56:CF56" si="51">BE47+BE55</f>
        <v>29345</v>
      </c>
      <c r="BF56" s="1214">
        <f t="shared" si="51"/>
        <v>29210</v>
      </c>
      <c r="BG56" s="1214">
        <f t="shared" si="51"/>
        <v>29224</v>
      </c>
      <c r="BH56" s="1214">
        <f t="shared" si="51"/>
        <v>30462</v>
      </c>
      <c r="BI56" s="1214" t="e">
        <f t="shared" si="51"/>
        <v>#REF!</v>
      </c>
      <c r="BJ56" s="1214" t="e">
        <f t="shared" si="51"/>
        <v>#REF!</v>
      </c>
      <c r="BK56" s="1214" t="e">
        <f t="shared" si="51"/>
        <v>#REF!</v>
      </c>
      <c r="BL56" s="1214" t="e">
        <f t="shared" si="51"/>
        <v>#REF!</v>
      </c>
      <c r="BM56" s="1214" t="e">
        <f t="shared" si="51"/>
        <v>#REF!</v>
      </c>
      <c r="BN56" s="1214" t="e">
        <f t="shared" si="51"/>
        <v>#REF!</v>
      </c>
      <c r="BO56" s="1214" t="e">
        <f t="shared" si="51"/>
        <v>#REF!</v>
      </c>
      <c r="BP56" s="1214" t="e">
        <f t="shared" si="51"/>
        <v>#REF!</v>
      </c>
      <c r="BQ56" s="1214" t="e">
        <f t="shared" si="51"/>
        <v>#REF!</v>
      </c>
      <c r="BR56" s="1218" t="e">
        <f t="shared" si="51"/>
        <v>#REF!</v>
      </c>
      <c r="BS56" s="1214" t="e">
        <f t="shared" si="51"/>
        <v>#REF!</v>
      </c>
      <c r="BT56" s="1214" t="e">
        <f t="shared" si="51"/>
        <v>#REF!</v>
      </c>
      <c r="BU56" s="1214" t="e">
        <f t="shared" si="51"/>
        <v>#REF!</v>
      </c>
      <c r="BV56" s="1218" t="e">
        <f t="shared" si="51"/>
        <v>#REF!</v>
      </c>
      <c r="BW56" s="1214" t="e">
        <f t="shared" si="51"/>
        <v>#REF!</v>
      </c>
      <c r="BX56" s="1214" t="e">
        <f t="shared" si="51"/>
        <v>#REF!</v>
      </c>
      <c r="BY56" s="1217" t="e">
        <f t="shared" si="51"/>
        <v>#REF!</v>
      </c>
      <c r="BZ56" s="1214" t="e">
        <f t="shared" si="51"/>
        <v>#REF!</v>
      </c>
      <c r="CA56" s="1214" t="e">
        <f t="shared" si="51"/>
        <v>#REF!</v>
      </c>
      <c r="CB56" s="1214" t="e">
        <f t="shared" si="51"/>
        <v>#REF!</v>
      </c>
      <c r="CC56" s="1214" t="e">
        <f t="shared" si="51"/>
        <v>#REF!</v>
      </c>
      <c r="CD56" s="1218">
        <f t="shared" si="51"/>
        <v>19711</v>
      </c>
      <c r="CE56" s="1214">
        <f t="shared" si="51"/>
        <v>20226</v>
      </c>
      <c r="CF56" s="1214">
        <f t="shared" si="51"/>
        <v>20225</v>
      </c>
      <c r="CG56" s="1217">
        <f t="shared" ref="CG56:CL56" si="52">CG47+CG55</f>
        <v>20380</v>
      </c>
      <c r="CH56" s="1218">
        <f t="shared" si="52"/>
        <v>19362</v>
      </c>
      <c r="CI56" s="1216">
        <f t="shared" si="52"/>
        <v>18959</v>
      </c>
      <c r="CJ56" s="1216">
        <f t="shared" si="52"/>
        <v>18959</v>
      </c>
      <c r="CK56" s="1214">
        <f t="shared" si="52"/>
        <v>17220</v>
      </c>
      <c r="CL56" s="1218">
        <f t="shared" si="52"/>
        <v>16849</v>
      </c>
      <c r="CM56" s="1170"/>
      <c r="CN56" s="1170"/>
      <c r="CO56" s="1170"/>
      <c r="CP56" s="1170"/>
      <c r="CQ56" s="1170"/>
      <c r="CR56" s="1170"/>
      <c r="CS56" s="1170"/>
      <c r="CT56" s="1170"/>
      <c r="CU56" s="1223">
        <f t="shared" si="10"/>
        <v>0</v>
      </c>
    </row>
    <row r="57" spans="1:99" ht="12.75" customHeight="1">
      <c r="A57" s="1225" t="s">
        <v>793</v>
      </c>
      <c r="B57" s="1198"/>
      <c r="C57" s="1198"/>
      <c r="D57" s="1198"/>
      <c r="E57" s="1198"/>
      <c r="F57" s="1198"/>
      <c r="G57" s="1535"/>
      <c r="H57" s="1535"/>
      <c r="I57" s="1535"/>
      <c r="J57" s="1535">
        <f t="shared" ref="J57:O57" si="53">J56-J29</f>
        <v>0</v>
      </c>
      <c r="K57" s="1535" t="e">
        <f t="shared" si="53"/>
        <v>#REF!</v>
      </c>
      <c r="L57" s="1535" t="e">
        <f t="shared" si="53"/>
        <v>#REF!</v>
      </c>
      <c r="M57" s="1535" t="e">
        <f t="shared" si="53"/>
        <v>#REF!</v>
      </c>
      <c r="N57" s="1535" t="e">
        <f t="shared" si="53"/>
        <v>#REF!</v>
      </c>
      <c r="O57" s="1535" t="e">
        <f t="shared" si="53"/>
        <v>#REF!</v>
      </c>
      <c r="P57" s="1535" t="e">
        <f>P56-P29</f>
        <v>#REF!</v>
      </c>
      <c r="Q57" s="1548">
        <f>Q56-Q29</f>
        <v>0</v>
      </c>
      <c r="R57" s="1777">
        <f ca="1">R56-R29</f>
        <v>0</v>
      </c>
      <c r="S57" s="1537">
        <f>S56-S29</f>
        <v>0</v>
      </c>
      <c r="T57" s="1507"/>
      <c r="U57" s="1507"/>
      <c r="V57" s="1507"/>
      <c r="W57" s="1507"/>
      <c r="X57" s="1537"/>
      <c r="Y57" s="1537"/>
      <c r="Z57" s="1537"/>
      <c r="AA57" s="1537"/>
      <c r="AB57" s="1537"/>
      <c r="AC57" s="1537"/>
      <c r="AD57" s="1537"/>
      <c r="AE57" s="1537"/>
      <c r="AF57" s="1537"/>
      <c r="AG57" s="1538"/>
      <c r="AH57" s="1537"/>
      <c r="AI57" s="1537"/>
      <c r="AJ57" s="1537"/>
      <c r="AK57" s="1537"/>
      <c r="AL57" s="1537"/>
      <c r="AM57" s="1537"/>
      <c r="AN57" s="1537"/>
      <c r="AO57" s="1537"/>
      <c r="AP57" s="1537"/>
      <c r="AQ57" s="1537"/>
      <c r="AR57" s="1537"/>
      <c r="AS57" s="1537"/>
      <c r="AT57" s="1537"/>
      <c r="AU57" s="1537"/>
      <c r="AV57" s="1537"/>
      <c r="AW57" s="1537"/>
      <c r="AX57" s="1537"/>
      <c r="AY57" s="1537"/>
      <c r="AZ57" s="1537"/>
      <c r="BA57" s="1537"/>
      <c r="BB57" s="1539">
        <f>BB29-BB47-BB55</f>
        <v>0</v>
      </c>
      <c r="BC57" s="1539">
        <f>BC29-BC47-BC55</f>
        <v>0</v>
      </c>
      <c r="BD57" s="1539">
        <f>BD29-BD47-BD55</f>
        <v>0</v>
      </c>
      <c r="BE57" s="1539">
        <f>BE56-BE29</f>
        <v>0</v>
      </c>
      <c r="BF57" s="1539">
        <f>BF56-BF29</f>
        <v>0</v>
      </c>
      <c r="BG57" s="1539">
        <f>BG56-BG29</f>
        <v>0</v>
      </c>
      <c r="BH57" s="1539">
        <f>BH56-BH29</f>
        <v>0</v>
      </c>
      <c r="BI57" s="1539" t="e">
        <f t="shared" ref="BI57:BX57" si="54">BI29-BI47-BI55</f>
        <v>#REF!</v>
      </c>
      <c r="BJ57" s="1539" t="e">
        <f t="shared" si="54"/>
        <v>#REF!</v>
      </c>
      <c r="BK57" s="1539" t="e">
        <f t="shared" si="54"/>
        <v>#REF!</v>
      </c>
      <c r="BL57" s="1539" t="e">
        <f t="shared" si="54"/>
        <v>#REF!</v>
      </c>
      <c r="BM57" s="1539" t="e">
        <f t="shared" si="54"/>
        <v>#REF!</v>
      </c>
      <c r="BN57" s="1539" t="e">
        <f t="shared" si="54"/>
        <v>#REF!</v>
      </c>
      <c r="BO57" s="1539" t="e">
        <f t="shared" si="54"/>
        <v>#REF!</v>
      </c>
      <c r="BP57" s="1539" t="e">
        <f t="shared" si="54"/>
        <v>#REF!</v>
      </c>
      <c r="BQ57" s="1539" t="e">
        <f t="shared" si="54"/>
        <v>#REF!</v>
      </c>
      <c r="BR57" s="1540" t="e">
        <f t="shared" si="54"/>
        <v>#REF!</v>
      </c>
      <c r="BS57" s="1539" t="e">
        <f t="shared" si="54"/>
        <v>#REF!</v>
      </c>
      <c r="BT57" s="1539" t="e">
        <f t="shared" si="54"/>
        <v>#REF!</v>
      </c>
      <c r="BU57" s="1539" t="e">
        <f t="shared" si="54"/>
        <v>#REF!</v>
      </c>
      <c r="BV57" s="1540" t="e">
        <f t="shared" si="54"/>
        <v>#REF!</v>
      </c>
      <c r="BW57" s="1539" t="e">
        <f t="shared" si="54"/>
        <v>#REF!</v>
      </c>
      <c r="BX57" s="1539" t="e">
        <f t="shared" si="54"/>
        <v>#REF!</v>
      </c>
      <c r="BY57" s="1541" t="e">
        <f t="shared" ref="BY57:CG57" si="55">BY29-BY47-BY55</f>
        <v>#REF!</v>
      </c>
      <c r="BZ57" s="1539" t="e">
        <f t="shared" si="55"/>
        <v>#REF!</v>
      </c>
      <c r="CA57" s="1539" t="e">
        <f t="shared" si="55"/>
        <v>#REF!</v>
      </c>
      <c r="CB57" s="1539" t="e">
        <f t="shared" si="55"/>
        <v>#REF!</v>
      </c>
      <c r="CC57" s="1539" t="e">
        <f t="shared" si="55"/>
        <v>#REF!</v>
      </c>
      <c r="CD57" s="1542">
        <f t="shared" si="55"/>
        <v>0</v>
      </c>
      <c r="CE57" s="1543">
        <f t="shared" si="55"/>
        <v>0</v>
      </c>
      <c r="CF57" s="1543">
        <f t="shared" si="55"/>
        <v>0</v>
      </c>
      <c r="CG57" s="1544">
        <f t="shared" si="55"/>
        <v>0</v>
      </c>
      <c r="CH57" s="1542">
        <f>CH29-CH47-CH55</f>
        <v>0</v>
      </c>
      <c r="CI57" s="1545">
        <f>CI29-CI47-CI55</f>
        <v>0</v>
      </c>
      <c r="CJ57" s="1545">
        <f>CJ29-CJ47-CJ55</f>
        <v>0</v>
      </c>
      <c r="CK57" s="1546">
        <f ca="1">CK29-CK47-CK55</f>
        <v>0</v>
      </c>
      <c r="CL57" s="1547">
        <f>CL29-CL47-CL55</f>
        <v>0</v>
      </c>
      <c r="CM57" s="1170"/>
      <c r="CN57" s="1170"/>
      <c r="CO57" s="1170"/>
      <c r="CP57" s="1170"/>
      <c r="CQ57" s="1170"/>
      <c r="CR57" s="1170"/>
      <c r="CS57" s="1170"/>
      <c r="CT57" s="1170"/>
      <c r="CU57" s="1198"/>
    </row>
    <row r="58" spans="1:99" ht="5.25" customHeight="1">
      <c r="A58" s="1198"/>
      <c r="B58" s="1198"/>
      <c r="C58" s="1198"/>
      <c r="D58" s="1198"/>
      <c r="E58" s="1198"/>
      <c r="F58" s="1198"/>
      <c r="G58" s="1198"/>
      <c r="H58" s="1198"/>
      <c r="I58" s="1198"/>
      <c r="J58" s="1535"/>
      <c r="K58" s="1535"/>
      <c r="L58" s="1535"/>
      <c r="M58" s="1535"/>
      <c r="N58" s="1535"/>
      <c r="O58" s="1548"/>
      <c r="P58" s="1548"/>
      <c r="Q58" s="1548"/>
      <c r="R58" s="1536"/>
      <c r="S58" s="1535"/>
      <c r="T58" s="1507"/>
      <c r="U58" s="1507"/>
      <c r="V58" s="1507"/>
      <c r="W58" s="1507"/>
      <c r="X58" s="1248"/>
      <c r="Y58" s="1248"/>
      <c r="Z58" s="1248"/>
      <c r="AA58" s="1248"/>
      <c r="AB58" s="1248"/>
      <c r="AC58" s="1248"/>
      <c r="AD58" s="1248"/>
      <c r="AE58" s="1248"/>
      <c r="AF58" s="1248"/>
      <c r="AG58" s="1519"/>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535"/>
      <c r="BO58" s="1535"/>
      <c r="BP58" s="1535"/>
      <c r="BQ58" s="1535"/>
      <c r="BR58" s="1549"/>
      <c r="BS58" s="1535"/>
      <c r="BT58" s="1535"/>
      <c r="BU58" s="1535"/>
      <c r="BV58" s="1549"/>
      <c r="BW58" s="1535"/>
      <c r="BX58" s="1535"/>
      <c r="BY58" s="1536"/>
      <c r="BZ58" s="1535"/>
      <c r="CA58" s="1535"/>
      <c r="CB58" s="1535"/>
      <c r="CC58" s="1535"/>
      <c r="CD58" s="1549"/>
      <c r="CE58" s="1535"/>
      <c r="CF58" s="1535"/>
      <c r="CG58" s="1536"/>
      <c r="CH58" s="1549"/>
      <c r="CI58" s="1548"/>
      <c r="CJ58" s="1548"/>
      <c r="CK58" s="1535"/>
      <c r="CL58" s="1549"/>
      <c r="CM58" s="1170"/>
      <c r="CN58" s="1170"/>
      <c r="CO58" s="1170"/>
      <c r="CP58" s="1170"/>
      <c r="CQ58" s="1170"/>
      <c r="CR58" s="1170"/>
      <c r="CS58" s="1170"/>
      <c r="CT58" s="1170"/>
      <c r="CU58" s="1198"/>
    </row>
    <row r="59" spans="1:99" ht="12.75" customHeight="1">
      <c r="A59" s="1213" t="s">
        <v>233</v>
      </c>
      <c r="B59" s="1213"/>
      <c r="C59" s="1213"/>
      <c r="D59" s="1213"/>
      <c r="E59" s="1213"/>
      <c r="F59" s="1213"/>
      <c r="G59" s="1213"/>
      <c r="H59" s="1213"/>
      <c r="I59" s="1213"/>
      <c r="J59" s="1269">
        <f>ROUND((J51-I51)+(J53-I53)+(J52-I52)-Q_IS!J108+Q_IS!J104,0)</f>
        <v>35636</v>
      </c>
      <c r="K59" s="1269">
        <f>SUM(BF59:BI59)</f>
        <v>303</v>
      </c>
      <c r="L59" s="1269">
        <f>SUM(BJ59:BM59)</f>
        <v>181</v>
      </c>
      <c r="M59" s="1269">
        <f>ROUND((M51-L51)+(M53-L53)+(M52-L52)-Q_IS!M108+Q_IS!M104,0)</f>
        <v>182</v>
      </c>
      <c r="N59" s="1269">
        <f>SUM(BR59:BU59)</f>
        <v>87</v>
      </c>
      <c r="O59" s="1270">
        <f>SUM(BV59:BY59)</f>
        <v>-1129</v>
      </c>
      <c r="P59" s="1270">
        <f>ROUND((P51-O51)+(P53-O53)+(P52-O52)+(P50-O50)-Q_IS!P108+Q_IS!P104,0)</f>
        <v>-281</v>
      </c>
      <c r="Q59" s="1283">
        <f ca="1">ROUND((Q51-P51)+(Q53-P53)+(Q52-P52)-Q_IS!Q108+Q_IS!Q104,0)</f>
        <v>96</v>
      </c>
      <c r="R59" s="1271">
        <f ca="1">ROUND((R51-Q51)+(R53-Q53)+(R52-Q52)-Q_IS!R108+Q_IS!R104,0)</f>
        <v>14</v>
      </c>
      <c r="S59" s="1269">
        <f ca="1">ROUND((S51-R51)+(S53-R53)+(S52-R52)-Q_IS!S108+Q_IS!S104,0)</f>
        <v>1636</v>
      </c>
      <c r="T59" s="1507"/>
      <c r="U59" s="1507"/>
      <c r="V59" s="1507"/>
      <c r="W59" s="1507"/>
      <c r="X59" s="1282"/>
      <c r="Y59" s="1282"/>
      <c r="Z59" s="1282"/>
      <c r="AA59" s="1282"/>
      <c r="AB59" s="1248"/>
      <c r="AC59" s="1248"/>
      <c r="AD59" s="1248"/>
      <c r="AE59" s="1248"/>
      <c r="AF59" s="1248"/>
      <c r="AG59" s="1519"/>
      <c r="AH59" s="1550"/>
      <c r="AI59" s="1550"/>
      <c r="AJ59" s="1550"/>
      <c r="AK59" s="1550"/>
      <c r="AL59" s="1550"/>
      <c r="AM59" s="1550"/>
      <c r="AN59" s="1550"/>
      <c r="AO59" s="1550"/>
      <c r="AP59" s="1550"/>
      <c r="AQ59" s="1550"/>
      <c r="AR59" s="1550"/>
      <c r="AS59" s="1550"/>
      <c r="AT59" s="1550"/>
      <c r="AU59" s="1550"/>
      <c r="AV59" s="1550"/>
      <c r="AW59" s="1550"/>
      <c r="AX59" s="1550"/>
      <c r="AY59" s="1550"/>
      <c r="AZ59" s="1550"/>
      <c r="BA59" s="1550"/>
      <c r="BB59" s="1550"/>
      <c r="BC59" s="1550"/>
      <c r="BD59" s="1550"/>
      <c r="BE59" s="1550"/>
      <c r="BF59" s="1551">
        <f>(BF51-BE51)+(BF53-BE53)+(BF52-BE52)-Q_IS!BF108+Q_IS!BF104</f>
        <v>94</v>
      </c>
      <c r="BG59" s="1551">
        <f>(BG51-BF51)+(BG53-BF53)+(BG52-BF52)-Q_IS!BG108+Q_IS!BG104</f>
        <v>81</v>
      </c>
      <c r="BH59" s="1551">
        <f>(BH51-BG51)+(BH53-BG53)+(BH52-BG52)-Q_IS!BH108+Q_IS!BH104</f>
        <v>100</v>
      </c>
      <c r="BI59" s="1551">
        <f>(BI51-BH51)+(BI53-BH53)+(BI52-BH52)-Q_IS!BI108+Q_IS!BI104</f>
        <v>28</v>
      </c>
      <c r="BJ59" s="1551">
        <f>(BJ51-BI51)+(BJ53-BI53)+(BJ52-BI52)-Q_IS!BJ108+Q_IS!BJ104</f>
        <v>58</v>
      </c>
      <c r="BK59" s="1551">
        <f>(BK51-BJ51)+(BK53-BJ53)+(BK52-BJ52)-Q_IS!BK108+Q_IS!BK104</f>
        <v>118</v>
      </c>
      <c r="BL59" s="1551">
        <f>(BL51-BK51)+(BL53-BK53)+(BL52-BK52)-Q_IS!BL108+Q_IS!BL104</f>
        <v>1</v>
      </c>
      <c r="BM59" s="1551">
        <f>(BM51-BL51)+(BM53-BL53)+(BM52-BL52)-Q_IS!BM108+Q_IS!BM104</f>
        <v>4</v>
      </c>
      <c r="BN59" s="1551">
        <f>ROUND((BN51-BM51)+(BN53-BM53)+(BN52-BM52)+(BN50-BM50)-Q_IS!BN108+Q_IS!BN104,0)</f>
        <v>0</v>
      </c>
      <c r="BO59" s="1551">
        <f>ROUND((BO51-BN51)+(BO53-BN53)+(BO52-BN52)+(BO50-BN50)-Q_IS!BO108+Q_IS!BO104,0)</f>
        <v>63</v>
      </c>
      <c r="BP59" s="1551">
        <f>ROUND((BP51-BO51)+(BP53-BO53)+(BP52-BO52)+(BP50-BO50)-Q_IS!BP108+Q_IS!BP104,0)</f>
        <v>90</v>
      </c>
      <c r="BQ59" s="1552">
        <f>ROUND((BQ51-BP51)+(BQ53-BP53)+(BQ52-BP52)+(BQ50-BP50)-Q_IS!BQ108+Q_IS!BQ104,0)</f>
        <v>30</v>
      </c>
      <c r="BR59" s="1553">
        <f>ROUND((BR51-BQ51)+(BR53-BQ53)+(BR52-BQ52)+(BR50-BQ50)-Q_IS!BR108+Q_IS!BR104,0)</f>
        <v>65</v>
      </c>
      <c r="BS59" s="1551">
        <f>ROUND((BS51-BR51)+(BS53-BR53)+(BS52-BR52)+(BS50-BR50)-Q_IS!BS108+Q_IS!BS104,0)</f>
        <v>120</v>
      </c>
      <c r="BT59" s="1551">
        <f>ROUND((BT51-BS51)+(BT53-BS53)+(BT52-BS52)+(BT50-BS50)-Q_IS!BT108+Q_IS!BT104,0)</f>
        <v>55</v>
      </c>
      <c r="BU59" s="1551">
        <f>ROUND((BU51-BT51)+(BU53-BT53)+(BU52-BT52)+(BU50-BT50)-Q_IS!BU108+Q_IS!BU104,0)</f>
        <v>-153</v>
      </c>
      <c r="BV59" s="1273">
        <f>ROUND((BV51-BU51)+(BV53-BU53)+(BV52-BU52)+(BV50-BU50)-Q_IS!BV108+Q_IS!BV104,0)</f>
        <v>-318</v>
      </c>
      <c r="BW59" s="1269">
        <f>ROUND((BW51-BV51)+(BW53-BV53)+(BW52-BV52)+(BW50-BV50)-Q_IS!BW108+Q_IS!BW104,0)</f>
        <v>-258</v>
      </c>
      <c r="BX59" s="1269">
        <f>ROUND((BX51-BW51)+(BX53-BW53)+(BX52-BW52)+(BX50-BW50)-Q_IS!BX108+Q_IS!BX104,0)</f>
        <v>-212</v>
      </c>
      <c r="BY59" s="1271">
        <f>ROUND((BY51-BX51)+(BY53-BX53)+(BY52-BX52)+(BY50-BX50)-Q_IS!BY108+Q_IS!BY104,0)</f>
        <v>-341</v>
      </c>
      <c r="BZ59" s="1269">
        <f>ROUND((BZ51-BY51)+(BZ53-BY53)+(BZ52-BY52)+(BZ50-BY50)-Q_IS!BZ108+Q_IS!BZ104,0)</f>
        <v>63</v>
      </c>
      <c r="CA59" s="1269">
        <f>ROUND((CA51-BZ51)+(CA53-BZ53)+(CA52-BZ52)+(CA50-BZ50)-Q_IS!CA108+Q_IS!CA104,0)</f>
        <v>-77</v>
      </c>
      <c r="CB59" s="1269">
        <f>ROUND((CB51-CA51)+(CB53-CA53)+(CB52-CA52)+(CB50-CA50)-Q_IS!CB108+Q_IS!CB104,0)</f>
        <v>-155</v>
      </c>
      <c r="CC59" s="1269">
        <f>ROUND((CC51-CB51)+(CC53-CB53)+(CC52-CB52)+(CC50-CB50)-Q_IS!CC108+Q_IS!CC104,0)</f>
        <v>-116</v>
      </c>
      <c r="CD59" s="1273">
        <f>ROUND((CD51-CC51)+(CD53-CC53)+(CD52-CC52)+(CD50-CC50)-Q_IS!CD108+Q_IS!CD104,0)</f>
        <v>158</v>
      </c>
      <c r="CE59" s="1269">
        <f>ROUND((CE51-CD51)+(CE53-CD53)+(CE52-CD52)+(CE50-CD50)-Q_IS!CE108+Q_IS!CE104,0)</f>
        <v>32</v>
      </c>
      <c r="CF59" s="1269">
        <f>ROUND((CF51-CE51)+(CF53-CE53)+(CF52-CE52)+(CF50-CE50)-Q_IS!CF108+Q_IS!CF104,0)</f>
        <v>24</v>
      </c>
      <c r="CG59" s="1271">
        <f>ROUND((CG51-CF51)+(CG53-CF53)+(CG52-CF52)+(CG50-CF50)-Q_IS!CG108+Q_IS!CG104,0)</f>
        <v>-115</v>
      </c>
      <c r="CH59" s="1273">
        <f>ROUND((CH51-CG51)+(CH53-CG53)+(CH52-CG52)+(CH50-CG50)-Q_IS!CH108+Q_IS!CH104,0)</f>
        <v>157</v>
      </c>
      <c r="CI59" s="1270">
        <f>ROUND((CI51-CH51)+(CI53-CH53)+(CI52-CH52)+(CI50-CH50)-Q_IS!CI108+Q_IS!CI104,0)</f>
        <v>-144</v>
      </c>
      <c r="CJ59" s="1270">
        <f>ROUND((CJ51-CI51)+(CJ53-CI53)+(CJ52-CI52)+(CJ50-CI50)-Q_IS!CJ108+Q_IS!CJ104,0)</f>
        <v>38</v>
      </c>
      <c r="CK59" s="1270">
        <f>ROUND((CK51-CJ51)+(CK53-CJ53)+(CK52-CJ52)+(CK50-CJ50)-Q_IS!CK108+Q_IS!CK104,0)</f>
        <v>-29</v>
      </c>
      <c r="CL59" s="1273">
        <f>ROUND((CL51-CK51)+(CL53-CK53)+(CL52-CK52)+(CL50-CK50)-Q_IS!CL108+Q_IS!CL104,0)</f>
        <v>19</v>
      </c>
      <c r="CM59" s="1170"/>
      <c r="CN59" s="1170"/>
      <c r="CO59" s="1170"/>
      <c r="CP59" s="1170"/>
      <c r="CQ59" s="1170"/>
      <c r="CR59" s="1170"/>
      <c r="CS59" s="1170"/>
      <c r="CT59" s="1170"/>
      <c r="CU59" s="1550"/>
    </row>
    <row r="60" spans="1:99" ht="12.75" customHeight="1">
      <c r="A60" s="1550"/>
      <c r="B60" s="1550"/>
      <c r="C60" s="1550"/>
      <c r="D60" s="1550"/>
      <c r="E60" s="1550"/>
      <c r="F60" s="1550"/>
      <c r="G60" s="1550"/>
      <c r="H60" s="1550"/>
      <c r="I60" s="1550"/>
      <c r="J60" s="1551"/>
      <c r="K60" s="1551"/>
      <c r="L60" s="1551"/>
      <c r="M60" s="1551"/>
      <c r="N60" s="1554"/>
      <c r="O60" s="1555"/>
      <c r="P60" s="1553"/>
      <c r="Q60" s="1555"/>
      <c r="R60" s="1556"/>
      <c r="S60" s="1554"/>
      <c r="T60" s="1507"/>
      <c r="U60" s="1507"/>
      <c r="V60" s="1507"/>
      <c r="W60" s="1507"/>
      <c r="X60" s="1282"/>
      <c r="Y60" s="1282"/>
      <c r="Z60" s="1282"/>
      <c r="AA60" s="1282"/>
      <c r="AB60" s="1282"/>
      <c r="AC60" s="1282"/>
      <c r="AD60" s="1282"/>
      <c r="AE60" s="1282"/>
      <c r="AF60" s="1282"/>
      <c r="AG60" s="1517"/>
      <c r="AH60" s="1557"/>
      <c r="AI60" s="1557"/>
      <c r="AJ60" s="1557"/>
      <c r="AK60" s="1557"/>
      <c r="AL60" s="1557"/>
      <c r="AM60" s="1557"/>
      <c r="AN60" s="1557"/>
      <c r="AO60" s="1557"/>
      <c r="AP60" s="1557"/>
      <c r="AQ60" s="1557"/>
      <c r="AR60" s="1557"/>
      <c r="AS60" s="1557"/>
      <c r="AT60" s="1557"/>
      <c r="AU60" s="1557"/>
      <c r="AV60" s="1557"/>
      <c r="AW60" s="1557"/>
      <c r="AX60" s="1557"/>
      <c r="AY60" s="1557"/>
      <c r="AZ60" s="1557"/>
      <c r="BA60" s="1557"/>
      <c r="BB60" s="1557"/>
      <c r="BC60" s="1557"/>
      <c r="BD60" s="1557"/>
      <c r="BE60" s="1557"/>
      <c r="BF60" s="1553"/>
      <c r="BG60" s="1553"/>
      <c r="BH60" s="1553"/>
      <c r="BI60" s="1553"/>
      <c r="BJ60" s="1553"/>
      <c r="BK60" s="1553"/>
      <c r="BL60" s="1553"/>
      <c r="BM60" s="1553"/>
      <c r="BN60" s="1553"/>
      <c r="BO60" s="1553"/>
      <c r="BP60" s="1553"/>
      <c r="BQ60" s="1552"/>
      <c r="BR60" s="1553"/>
      <c r="BS60" s="1553"/>
      <c r="BT60" s="1553"/>
      <c r="BU60" s="1552"/>
      <c r="BV60" s="1553"/>
      <c r="BW60" s="1553"/>
      <c r="BX60" s="1553"/>
      <c r="BY60" s="1552"/>
      <c r="BZ60" s="1553"/>
      <c r="CA60" s="1553"/>
      <c r="CB60" s="1551"/>
      <c r="CC60" s="1551"/>
      <c r="CD60" s="1558"/>
      <c r="CE60" s="1553"/>
      <c r="CF60" s="1553"/>
      <c r="CG60" s="1553"/>
      <c r="CH60" s="1558"/>
      <c r="CI60" s="1551"/>
      <c r="CJ60" s="1551"/>
      <c r="CK60" s="1551"/>
      <c r="CL60" s="1558"/>
      <c r="CM60" s="1170"/>
      <c r="CN60" s="1170"/>
      <c r="CO60" s="1170"/>
      <c r="CP60" s="1170"/>
      <c r="CQ60" s="1170"/>
      <c r="CR60" s="1170"/>
      <c r="CS60" s="1170"/>
      <c r="CT60" s="1170"/>
      <c r="CU60" s="1550"/>
    </row>
    <row r="61" spans="1:99" ht="12.75" customHeight="1">
      <c r="A61" s="1226" t="s">
        <v>234</v>
      </c>
      <c r="B61" s="1198"/>
      <c r="C61" s="1198"/>
      <c r="D61" s="1198"/>
      <c r="E61" s="1198"/>
      <c r="F61" s="1198"/>
      <c r="G61" s="1198"/>
      <c r="H61" s="1198"/>
      <c r="I61" s="1198"/>
      <c r="J61" s="1248">
        <v>35413</v>
      </c>
      <c r="K61" s="1248">
        <f>J55</f>
        <v>-2830</v>
      </c>
      <c r="L61" s="1198"/>
      <c r="M61" s="1198"/>
      <c r="N61" s="1198"/>
      <c r="O61" s="1170"/>
      <c r="P61" s="1170"/>
      <c r="Q61" s="1179"/>
      <c r="R61" s="1263"/>
      <c r="S61" s="1226"/>
      <c r="T61" s="1507"/>
      <c r="U61" s="1507"/>
      <c r="V61" s="1507"/>
      <c r="W61" s="1507"/>
      <c r="X61" s="1282"/>
      <c r="Y61" s="1282"/>
      <c r="Z61" s="1282"/>
      <c r="AA61" s="1282"/>
      <c r="AB61" s="1282"/>
      <c r="AC61" s="1282"/>
      <c r="AD61" s="1282"/>
      <c r="AE61" s="1282"/>
      <c r="AF61" s="1282"/>
      <c r="AG61" s="1517"/>
      <c r="AH61" s="1170"/>
      <c r="AI61" s="1170"/>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70"/>
      <c r="BF61" s="1170"/>
      <c r="BG61" s="1170"/>
      <c r="BH61" s="1170"/>
      <c r="BI61" s="1170"/>
      <c r="BJ61" s="1170"/>
      <c r="BK61" s="1170"/>
      <c r="BL61" s="1170"/>
      <c r="BM61" s="1170"/>
      <c r="BN61" s="1170"/>
      <c r="BO61" s="1170"/>
      <c r="BP61" s="1170"/>
      <c r="BQ61" s="1360"/>
      <c r="BR61" s="1170"/>
      <c r="BS61" s="1170"/>
      <c r="BT61" s="1170"/>
      <c r="BU61" s="1360"/>
      <c r="BV61" s="1170"/>
      <c r="BW61" s="1170"/>
      <c r="BX61" s="1170"/>
      <c r="BY61" s="1360"/>
      <c r="BZ61" s="1170"/>
      <c r="CA61" s="1198"/>
      <c r="CB61" s="1198"/>
      <c r="CC61" s="1198"/>
      <c r="CD61" s="1359"/>
      <c r="CE61" s="1198"/>
      <c r="CF61" s="1198"/>
      <c r="CG61" s="1198"/>
      <c r="CH61" s="1359"/>
      <c r="CI61" s="1198"/>
      <c r="CJ61" s="1198"/>
      <c r="CK61" s="1198"/>
      <c r="CL61" s="1359"/>
      <c r="CM61" s="1170"/>
      <c r="CN61" s="1170"/>
      <c r="CO61" s="1170"/>
      <c r="CP61" s="1170"/>
      <c r="CQ61" s="1170"/>
      <c r="CR61" s="1170"/>
      <c r="CS61" s="1170"/>
      <c r="CT61" s="1170"/>
      <c r="CU61" s="1198"/>
    </row>
    <row r="62" spans="1:99" ht="12.75" customHeight="1">
      <c r="A62" s="1226" t="s">
        <v>1041</v>
      </c>
      <c r="B62" s="1198"/>
      <c r="C62" s="1198"/>
      <c r="D62" s="1198"/>
      <c r="E62" s="1198"/>
      <c r="F62" s="1198"/>
      <c r="G62" s="1198"/>
      <c r="H62" s="1198"/>
      <c r="I62" s="1198"/>
      <c r="J62" s="1248">
        <v>-38468</v>
      </c>
      <c r="K62" s="1248">
        <v>1512</v>
      </c>
      <c r="L62" s="1198"/>
      <c r="M62" s="1198"/>
      <c r="N62" s="1198"/>
      <c r="O62" s="1170"/>
      <c r="P62" s="1170"/>
      <c r="Q62" s="1548"/>
      <c r="R62" s="1536"/>
      <c r="S62" s="1535"/>
      <c r="T62" s="1507"/>
      <c r="U62" s="1507"/>
      <c r="V62" s="1507"/>
      <c r="W62" s="1507"/>
      <c r="X62" s="1282"/>
      <c r="Y62" s="1282"/>
      <c r="Z62" s="1282"/>
      <c r="AA62" s="1282"/>
      <c r="AB62" s="1282"/>
      <c r="AC62" s="1282"/>
      <c r="AD62" s="1282"/>
      <c r="AE62" s="1282"/>
      <c r="AF62" s="1282"/>
      <c r="AG62" s="1517"/>
      <c r="AH62" s="1170"/>
      <c r="AI62" s="1170"/>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70"/>
      <c r="BF62" s="1170"/>
      <c r="BG62" s="1170"/>
      <c r="BH62" s="1170"/>
      <c r="BI62" s="1170"/>
      <c r="BJ62" s="1170"/>
      <c r="BK62" s="1170"/>
      <c r="BL62" s="1170"/>
      <c r="BM62" s="1170"/>
      <c r="BN62" s="1170"/>
      <c r="BO62" s="1170"/>
      <c r="BP62" s="1170"/>
      <c r="BQ62" s="1360"/>
      <c r="BR62" s="1170"/>
      <c r="BS62" s="1170"/>
      <c r="BT62" s="1170"/>
      <c r="BU62" s="1360"/>
      <c r="BV62" s="1170"/>
      <c r="BW62" s="1170"/>
      <c r="BX62" s="1282"/>
      <c r="BY62" s="1250"/>
      <c r="BZ62" s="1170"/>
      <c r="CA62" s="1198"/>
      <c r="CB62" s="1198"/>
      <c r="CC62" s="1198"/>
      <c r="CD62" s="1359"/>
      <c r="CE62" s="1198"/>
      <c r="CF62" s="1198"/>
      <c r="CG62" s="1198"/>
      <c r="CH62" s="1359"/>
      <c r="CI62" s="1198"/>
      <c r="CJ62" s="1198"/>
      <c r="CK62" s="1198"/>
      <c r="CL62" s="1359"/>
      <c r="CM62" s="1170"/>
      <c r="CN62" s="1170"/>
      <c r="CO62" s="1170"/>
      <c r="CP62" s="1170"/>
      <c r="CQ62" s="1170"/>
      <c r="CR62" s="1170"/>
      <c r="CS62" s="1170"/>
      <c r="CT62" s="1198"/>
      <c r="CU62" s="1198"/>
    </row>
    <row r="63" spans="1:99" ht="12.75" customHeight="1">
      <c r="A63" s="1226" t="s">
        <v>182</v>
      </c>
      <c r="B63" s="1198"/>
      <c r="C63" s="1198"/>
      <c r="D63" s="1198"/>
      <c r="E63" s="1198"/>
      <c r="F63" s="1198"/>
      <c r="G63" s="1198"/>
      <c r="H63" s="1198"/>
      <c r="I63" s="1198"/>
      <c r="J63" s="1248">
        <v>0</v>
      </c>
      <c r="K63" s="1248">
        <v>0</v>
      </c>
      <c r="L63" s="1198"/>
      <c r="M63" s="1198"/>
      <c r="N63" s="1198"/>
      <c r="O63" s="1170"/>
      <c r="P63" s="1170"/>
      <c r="Q63" s="1170"/>
      <c r="R63" s="1360"/>
      <c r="S63" s="1198"/>
      <c r="T63" s="1507"/>
      <c r="U63" s="1507"/>
      <c r="V63" s="1507"/>
      <c r="W63" s="1507"/>
      <c r="X63" s="1282"/>
      <c r="Y63" s="1282"/>
      <c r="Z63" s="1282"/>
      <c r="AA63" s="1282"/>
      <c r="AB63" s="1282"/>
      <c r="AC63" s="1282"/>
      <c r="AD63" s="1282"/>
      <c r="AE63" s="1282"/>
      <c r="AF63" s="1282"/>
      <c r="AG63" s="1517"/>
      <c r="AH63" s="1170"/>
      <c r="AI63" s="117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70"/>
      <c r="BF63" s="1170"/>
      <c r="BG63" s="1170"/>
      <c r="BH63" s="1170"/>
      <c r="BI63" s="1170"/>
      <c r="BJ63" s="1170"/>
      <c r="BK63" s="1170"/>
      <c r="BL63" s="1170"/>
      <c r="BM63" s="1170"/>
      <c r="BN63" s="1170"/>
      <c r="BO63" s="1170"/>
      <c r="BP63" s="1170"/>
      <c r="BQ63" s="1360"/>
      <c r="BR63" s="1170"/>
      <c r="BS63" s="1170"/>
      <c r="BT63" s="1170"/>
      <c r="BU63" s="1360"/>
      <c r="BV63" s="1170"/>
      <c r="BW63" s="1170"/>
      <c r="BX63" s="1170"/>
      <c r="BY63" s="1360"/>
      <c r="BZ63" s="1170"/>
      <c r="CA63" s="1198"/>
      <c r="CB63" s="1198"/>
      <c r="CC63" s="1198"/>
      <c r="CD63" s="1359"/>
      <c r="CE63" s="1198"/>
      <c r="CF63" s="1198"/>
      <c r="CG63" s="1198"/>
      <c r="CH63" s="1359"/>
      <c r="CI63" s="1198"/>
      <c r="CJ63" s="1198"/>
      <c r="CK63" s="1198"/>
      <c r="CL63" s="1359"/>
      <c r="CM63" s="1170"/>
      <c r="CN63" s="1170"/>
      <c r="CO63" s="1170"/>
      <c r="CP63" s="1170"/>
      <c r="CQ63" s="1170"/>
      <c r="CR63" s="1170"/>
      <c r="CS63" s="1170"/>
      <c r="CT63" s="1198"/>
      <c r="CU63" s="1198"/>
    </row>
    <row r="64" spans="1:99" ht="12.75" customHeight="1">
      <c r="A64" s="1226" t="s">
        <v>235</v>
      </c>
      <c r="B64" s="1198"/>
      <c r="C64" s="1198"/>
      <c r="D64" s="1198"/>
      <c r="E64" s="1198"/>
      <c r="F64" s="1198"/>
      <c r="G64" s="1198"/>
      <c r="H64" s="1198"/>
      <c r="I64" s="1198"/>
      <c r="J64" s="1248">
        <f>87-16+46</f>
        <v>117</v>
      </c>
      <c r="K64" s="1248">
        <f>202+20-2</f>
        <v>220</v>
      </c>
      <c r="L64" s="1198">
        <v>0</v>
      </c>
      <c r="M64" s="1198">
        <v>0</v>
      </c>
      <c r="N64" s="1198">
        <v>0</v>
      </c>
      <c r="O64" s="1170">
        <v>0</v>
      </c>
      <c r="P64" s="1170">
        <v>0</v>
      </c>
      <c r="Q64" s="1170">
        <v>0</v>
      </c>
      <c r="R64" s="1360">
        <v>0</v>
      </c>
      <c r="S64" s="1198">
        <v>0</v>
      </c>
      <c r="T64" s="1507"/>
      <c r="U64" s="1507"/>
      <c r="V64" s="1507"/>
      <c r="W64" s="1507"/>
      <c r="X64" s="1282"/>
      <c r="Y64" s="1282"/>
      <c r="Z64" s="1282"/>
      <c r="AA64" s="1282"/>
      <c r="AB64" s="1282"/>
      <c r="AC64" s="1282"/>
      <c r="AD64" s="1282"/>
      <c r="AE64" s="1282"/>
      <c r="AF64" s="1282"/>
      <c r="AG64" s="1517"/>
      <c r="AH64" s="1170"/>
      <c r="AI64" s="117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360"/>
      <c r="BR64" s="1170"/>
      <c r="BS64" s="1170"/>
      <c r="BT64" s="1170"/>
      <c r="BU64" s="1360"/>
      <c r="BV64" s="1170"/>
      <c r="BW64" s="1170"/>
      <c r="BX64" s="1170"/>
      <c r="BY64" s="1360"/>
      <c r="BZ64" s="1170"/>
      <c r="CA64" s="1198"/>
      <c r="CB64" s="1198"/>
      <c r="CC64" s="1198"/>
      <c r="CD64" s="1359"/>
      <c r="CE64" s="1198"/>
      <c r="CF64" s="1198"/>
      <c r="CG64" s="1198"/>
      <c r="CH64" s="1359"/>
      <c r="CI64" s="1198"/>
      <c r="CJ64" s="1198"/>
      <c r="CK64" s="1198"/>
      <c r="CL64" s="1359"/>
      <c r="CM64" s="1170"/>
      <c r="CN64" s="1170"/>
      <c r="CO64" s="1170"/>
      <c r="CP64" s="1170"/>
      <c r="CQ64" s="1170"/>
      <c r="CR64" s="1170"/>
      <c r="CS64" s="1170"/>
      <c r="CT64" s="1198"/>
      <c r="CU64" s="1198"/>
    </row>
    <row r="65" spans="1:99" ht="12.75" customHeight="1">
      <c r="A65" s="1226" t="s">
        <v>236</v>
      </c>
      <c r="B65" s="1198"/>
      <c r="C65" s="1198"/>
      <c r="D65" s="1198"/>
      <c r="E65" s="1198"/>
      <c r="F65" s="1198"/>
      <c r="G65" s="1198"/>
      <c r="H65" s="1198"/>
      <c r="I65" s="1198"/>
      <c r="J65" s="1248">
        <f>1+13+77+6+18-25+2+16</f>
        <v>108</v>
      </c>
      <c r="K65" s="1248">
        <f>76+6</f>
        <v>82</v>
      </c>
      <c r="L65" s="1198">
        <v>0</v>
      </c>
      <c r="M65" s="1198">
        <v>0</v>
      </c>
      <c r="N65" s="1198">
        <v>0</v>
      </c>
      <c r="O65" s="1170">
        <v>0</v>
      </c>
      <c r="P65" s="1170">
        <v>0</v>
      </c>
      <c r="Q65" s="1170">
        <v>0</v>
      </c>
      <c r="R65" s="1360">
        <v>0</v>
      </c>
      <c r="S65" s="1198">
        <v>0</v>
      </c>
      <c r="T65" s="1507"/>
      <c r="U65" s="1507"/>
      <c r="V65" s="1507"/>
      <c r="W65" s="1507"/>
      <c r="X65" s="1282"/>
      <c r="Y65" s="1282"/>
      <c r="Z65" s="1282"/>
      <c r="AA65" s="1282"/>
      <c r="AB65" s="1248"/>
      <c r="AC65" s="1248"/>
      <c r="AD65" s="1248"/>
      <c r="AE65" s="1248"/>
      <c r="AF65" s="1248"/>
      <c r="AG65" s="1519"/>
      <c r="AH65" s="1198"/>
      <c r="AI65" s="119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360"/>
      <c r="BR65" s="1170"/>
      <c r="BS65" s="1198"/>
      <c r="BT65" s="1198"/>
      <c r="BU65" s="1360"/>
      <c r="BV65" s="1170"/>
      <c r="BW65" s="1198"/>
      <c r="BX65" s="1198"/>
      <c r="BY65" s="1360"/>
      <c r="BZ65" s="1170"/>
      <c r="CA65" s="1198"/>
      <c r="CB65" s="1198"/>
      <c r="CC65" s="1198"/>
      <c r="CD65" s="1359"/>
      <c r="CE65" s="1198"/>
      <c r="CF65" s="1198"/>
      <c r="CG65" s="1198"/>
      <c r="CH65" s="1359"/>
      <c r="CI65" s="1198"/>
      <c r="CJ65" s="1198"/>
      <c r="CK65" s="1198"/>
      <c r="CL65" s="1359"/>
      <c r="CM65" s="1170"/>
      <c r="CN65" s="1170"/>
      <c r="CO65" s="1170"/>
      <c r="CP65" s="1170"/>
      <c r="CQ65" s="1170"/>
      <c r="CR65" s="1170"/>
      <c r="CS65" s="1170"/>
      <c r="CT65" s="1198"/>
      <c r="CU65" s="1198"/>
    </row>
    <row r="66" spans="1:99" ht="12.75" customHeight="1">
      <c r="A66" s="1226" t="s">
        <v>237</v>
      </c>
      <c r="B66" s="1198"/>
      <c r="C66" s="1198"/>
      <c r="D66" s="1198"/>
      <c r="E66" s="1198"/>
      <c r="F66" s="1198"/>
      <c r="G66" s="1198"/>
      <c r="H66" s="1198"/>
      <c r="I66" s="1198"/>
      <c r="J66" s="1248">
        <f>J55</f>
        <v>-2830</v>
      </c>
      <c r="K66" s="1248">
        <f>K55</f>
        <v>-1016</v>
      </c>
      <c r="L66" s="1198"/>
      <c r="M66" s="1198"/>
      <c r="N66" s="1198"/>
      <c r="O66" s="1170"/>
      <c r="P66" s="1170"/>
      <c r="Q66" s="1170"/>
      <c r="R66" s="1360"/>
      <c r="S66" s="1198"/>
      <c r="T66" s="1507"/>
      <c r="U66" s="1507"/>
      <c r="V66" s="1507"/>
      <c r="W66" s="1507"/>
      <c r="X66" s="1282"/>
      <c r="Y66" s="1282"/>
      <c r="Z66" s="1282"/>
      <c r="AA66" s="1282"/>
      <c r="AB66" s="1248"/>
      <c r="AC66" s="1248"/>
      <c r="AD66" s="1248"/>
      <c r="AE66" s="1248"/>
      <c r="AF66" s="1248"/>
      <c r="AG66" s="1519"/>
      <c r="AH66" s="1198"/>
      <c r="AI66" s="119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360"/>
      <c r="BR66" s="1170"/>
      <c r="BS66" s="1198"/>
      <c r="BT66" s="1198"/>
      <c r="BU66" s="1198"/>
      <c r="BV66" s="1359"/>
      <c r="BW66" s="1198"/>
      <c r="BX66" s="1198"/>
      <c r="BY66" s="1360"/>
      <c r="BZ66" s="1170"/>
      <c r="CA66" s="1198"/>
      <c r="CB66" s="1198"/>
      <c r="CC66" s="1198"/>
      <c r="CD66" s="1359"/>
      <c r="CE66" s="1198"/>
      <c r="CF66" s="1198"/>
      <c r="CG66" s="1198"/>
      <c r="CH66" s="1359"/>
      <c r="CI66" s="1198"/>
      <c r="CJ66" s="1198"/>
      <c r="CK66" s="1198"/>
      <c r="CL66" s="1359"/>
      <c r="CM66" s="1170"/>
      <c r="CN66" s="1170"/>
      <c r="CO66" s="1170"/>
      <c r="CP66" s="1170"/>
      <c r="CQ66" s="1170"/>
      <c r="CR66" s="1170"/>
      <c r="CS66" s="1170"/>
      <c r="CT66" s="1198"/>
      <c r="CU66" s="1198"/>
    </row>
    <row r="67" spans="1:99" ht="12.75" customHeight="1">
      <c r="A67" s="1205" t="s">
        <v>238</v>
      </c>
      <c r="B67" s="1205"/>
      <c r="C67" s="1205"/>
      <c r="D67" s="1205"/>
      <c r="E67" s="1205"/>
      <c r="F67" s="1205"/>
      <c r="G67" s="1205"/>
      <c r="H67" s="1205"/>
      <c r="I67" s="1206"/>
      <c r="J67" s="1206"/>
      <c r="K67" s="1206"/>
      <c r="L67" s="1206"/>
      <c r="M67" s="1206"/>
      <c r="N67" s="1206"/>
      <c r="O67" s="1207"/>
      <c r="P67" s="1207"/>
      <c r="Q67" s="1207"/>
      <c r="R67" s="1208"/>
      <c r="S67" s="1206"/>
      <c r="T67" s="1507"/>
      <c r="U67" s="1507"/>
      <c r="V67" s="1507"/>
      <c r="W67" s="1507"/>
      <c r="X67" s="1282"/>
      <c r="Y67" s="1282"/>
      <c r="Z67" s="1282"/>
      <c r="AA67" s="1282"/>
      <c r="AB67" s="1282"/>
      <c r="AC67" s="1282"/>
      <c r="AD67" s="1282"/>
      <c r="AE67" s="1282"/>
      <c r="AF67" s="1282"/>
      <c r="AG67" s="1517"/>
      <c r="AH67" s="1207"/>
      <c r="AI67" s="1207"/>
      <c r="AJ67" s="1207"/>
      <c r="AK67" s="1207"/>
      <c r="AL67" s="1207"/>
      <c r="AM67" s="1207"/>
      <c r="AN67" s="1207"/>
      <c r="AO67" s="1207"/>
      <c r="AP67" s="1207"/>
      <c r="AQ67" s="1207"/>
      <c r="AR67" s="1207"/>
      <c r="AS67" s="1207"/>
      <c r="AT67" s="1207"/>
      <c r="AU67" s="1207"/>
      <c r="AV67" s="1207"/>
      <c r="AW67" s="1207"/>
      <c r="AX67" s="1207"/>
      <c r="AY67" s="1207"/>
      <c r="AZ67" s="1207"/>
      <c r="BA67" s="1207"/>
      <c r="BB67" s="1207"/>
      <c r="BC67" s="1207"/>
      <c r="BD67" s="1207"/>
      <c r="BE67" s="1207"/>
      <c r="BF67" s="1207"/>
      <c r="BG67" s="1207"/>
      <c r="BH67" s="1207"/>
      <c r="BI67" s="1207"/>
      <c r="BJ67" s="1207"/>
      <c r="BK67" s="1207"/>
      <c r="BL67" s="1207"/>
      <c r="BM67" s="1207"/>
      <c r="BN67" s="1207"/>
      <c r="BO67" s="1207"/>
      <c r="BP67" s="1207"/>
      <c r="BQ67" s="1208"/>
      <c r="BR67" s="1207"/>
      <c r="BS67" s="1207"/>
      <c r="BT67" s="1207"/>
      <c r="BU67" s="1207"/>
      <c r="BV67" s="1207"/>
      <c r="BW67" s="1207"/>
      <c r="BX67" s="1207"/>
      <c r="BY67" s="1207"/>
      <c r="BZ67" s="1207"/>
      <c r="CA67" s="1206"/>
      <c r="CB67" s="1206"/>
      <c r="CC67" s="1206"/>
      <c r="CD67" s="1365"/>
      <c r="CE67" s="1206"/>
      <c r="CF67" s="1206"/>
      <c r="CG67" s="1206"/>
      <c r="CH67" s="1365"/>
      <c r="CI67" s="1206"/>
      <c r="CJ67" s="1206"/>
      <c r="CK67" s="1206"/>
      <c r="CL67" s="1365"/>
      <c r="CM67" s="1170"/>
      <c r="CN67" s="1170"/>
      <c r="CO67" s="1170"/>
      <c r="CP67" s="1170"/>
      <c r="CQ67" s="1170"/>
      <c r="CR67" s="1170"/>
      <c r="CS67" s="1170"/>
      <c r="CT67" s="1198"/>
      <c r="CU67" s="1198"/>
    </row>
    <row r="68" spans="1:99" ht="12.75" customHeight="1">
      <c r="A68" s="1213" t="s">
        <v>956</v>
      </c>
      <c r="B68" s="1198"/>
      <c r="C68" s="1198"/>
      <c r="D68" s="1198"/>
      <c r="E68" s="1198"/>
      <c r="F68" s="1198"/>
      <c r="G68" s="1198"/>
      <c r="H68" s="1198"/>
      <c r="I68" s="1198"/>
      <c r="J68" s="1198"/>
      <c r="K68" s="1198"/>
      <c r="L68" s="1198"/>
      <c r="M68" s="1198"/>
      <c r="N68" s="1198"/>
      <c r="O68" s="1170"/>
      <c r="P68" s="1170"/>
      <c r="Q68" s="1170"/>
      <c r="R68" s="1360"/>
      <c r="S68" s="1198"/>
      <c r="T68" s="1507"/>
      <c r="U68" s="1507"/>
      <c r="V68" s="1507"/>
      <c r="W68" s="1507"/>
      <c r="X68" s="1282"/>
      <c r="Y68" s="1282"/>
      <c r="Z68" s="1282"/>
      <c r="AA68" s="1282"/>
      <c r="AB68" s="1282"/>
      <c r="AC68" s="1282"/>
      <c r="AD68" s="1282"/>
      <c r="AE68" s="1282"/>
      <c r="AF68" s="1282"/>
      <c r="AG68" s="1517"/>
      <c r="AH68" s="1170"/>
      <c r="AI68" s="117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170"/>
      <c r="BF68" s="1170"/>
      <c r="BG68" s="1170"/>
      <c r="BH68" s="1170"/>
      <c r="BI68" s="1170"/>
      <c r="BJ68" s="1170"/>
      <c r="BK68" s="1170"/>
      <c r="BL68" s="1170"/>
      <c r="BM68" s="1170"/>
      <c r="BN68" s="1170"/>
      <c r="BO68" s="1170"/>
      <c r="BP68" s="1170"/>
      <c r="BQ68" s="1360"/>
      <c r="BR68" s="1170"/>
      <c r="BS68" s="1170"/>
      <c r="BT68" s="1170"/>
      <c r="BU68" s="1360"/>
      <c r="BV68" s="1170"/>
      <c r="BW68" s="1170"/>
      <c r="BX68" s="1170"/>
      <c r="BY68" s="1360"/>
      <c r="BZ68" s="1170"/>
      <c r="CA68" s="1198"/>
      <c r="CB68" s="1198"/>
      <c r="CC68" s="1198"/>
      <c r="CD68" s="1359"/>
      <c r="CE68" s="1198"/>
      <c r="CF68" s="1198"/>
      <c r="CG68" s="1198"/>
      <c r="CH68" s="1359"/>
      <c r="CI68" s="1198"/>
      <c r="CJ68" s="1198"/>
      <c r="CK68" s="1198"/>
      <c r="CL68" s="1359"/>
      <c r="CM68" s="1170"/>
      <c r="CN68" s="1170"/>
      <c r="CO68" s="1170"/>
      <c r="CP68" s="1170"/>
      <c r="CQ68" s="1170"/>
      <c r="CR68" s="1170"/>
      <c r="CS68" s="1170"/>
      <c r="CT68" s="1198"/>
      <c r="CU68" s="1198"/>
    </row>
    <row r="69" spans="1:99" ht="12.75" customHeight="1">
      <c r="A69" s="1198" t="s">
        <v>239</v>
      </c>
      <c r="B69" s="1198"/>
      <c r="C69" s="1198"/>
      <c r="D69" s="1198"/>
      <c r="E69" s="1198"/>
      <c r="F69" s="1198"/>
      <c r="G69" s="1198"/>
      <c r="H69" s="1235"/>
      <c r="I69" s="1235"/>
      <c r="J69" s="1235">
        <f>J12/Q_IS!J34*360</f>
        <v>54.500032528787976</v>
      </c>
      <c r="K69" s="1235">
        <f>K12/Q_IS!K34*360</f>
        <v>46.234602463605825</v>
      </c>
      <c r="L69" s="1235">
        <f>L12/Q_IS!L34*360</f>
        <v>41.555507277862262</v>
      </c>
      <c r="M69" s="1235">
        <f>M12/Q_IS!M34*360</f>
        <v>39.48788031360138</v>
      </c>
      <c r="N69" s="1235">
        <f>N12/Q_IS!N34*360</f>
        <v>41.370394311570777</v>
      </c>
      <c r="O69" s="1559">
        <f>O12/Q_IS!O34*360</f>
        <v>41.178690666279572</v>
      </c>
      <c r="P69" s="1559">
        <f>P12/Q_IS!P34*360</f>
        <v>39.139146567717994</v>
      </c>
      <c r="Q69" s="1559">
        <f>Q12/Q_IS!Q34*360</f>
        <v>38.07326780927626</v>
      </c>
      <c r="R69" s="1560">
        <f>R12/Q_IS!R34*360</f>
        <v>38.792838874680307</v>
      </c>
      <c r="S69" s="1235">
        <f>S12/Q_IS!S34*360</f>
        <v>0</v>
      </c>
      <c r="T69" s="1507"/>
      <c r="U69" s="1507"/>
      <c r="V69" s="1507"/>
      <c r="W69" s="1507"/>
      <c r="X69" s="1282"/>
      <c r="Y69" s="1282"/>
      <c r="Z69" s="1282"/>
      <c r="AA69" s="1282"/>
      <c r="AB69" s="1248"/>
      <c r="AC69" s="1248"/>
      <c r="AD69" s="1248"/>
      <c r="AE69" s="1248"/>
      <c r="AF69" s="1248"/>
      <c r="AG69" s="1519"/>
      <c r="AH69" s="1198"/>
      <c r="AI69" s="119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235">
        <f>BE12/Q_IS!BE34*90</f>
        <v>56.526315789473678</v>
      </c>
      <c r="BF69" s="1235">
        <f>BF12/Q_IS!BF34*90</f>
        <v>51.158940397350996</v>
      </c>
      <c r="BG69" s="1235">
        <f>BG12/Q_IS!BG34*90</f>
        <v>51.256952169076754</v>
      </c>
      <c r="BH69" s="1235">
        <f>BH12/Q_IS!BH34*90</f>
        <v>47.672268907563023</v>
      </c>
      <c r="BI69" s="1235">
        <f>BI12/Q_IS!BI34*90</f>
        <v>47.21269296740995</v>
      </c>
      <c r="BJ69" s="1235">
        <f>BJ12/Q_IS!BJ34*90</f>
        <v>42.039643780522837</v>
      </c>
      <c r="BK69" s="1235">
        <f>BK12/Q_IS!BK34*90</f>
        <v>45.549099360836721</v>
      </c>
      <c r="BL69" s="1235">
        <f>BL12/Q_IS!BL34*90</f>
        <v>44.360684256306172</v>
      </c>
      <c r="BM69" s="1235">
        <f>BM12/Q_IS!BM34*90</f>
        <v>41.739889438463777</v>
      </c>
      <c r="BN69" s="1235">
        <f>BN12/Q_IS!BN34*90</f>
        <v>41.829515801681644</v>
      </c>
      <c r="BO69" s="1235">
        <f>BO12/Q_IS!BO34*90</f>
        <v>40.616714697406337</v>
      </c>
      <c r="BP69" s="1235">
        <f>BP12/Q_IS!BP34*90</f>
        <v>40.967465753424655</v>
      </c>
      <c r="BQ69" s="1560">
        <f>BQ12/Q_IS!BQ34*90</f>
        <v>39.439655172413794</v>
      </c>
      <c r="BR69" s="1559">
        <f>BR12/Q_IS!BR34*90</f>
        <v>39.89930955120829</v>
      </c>
      <c r="BS69" s="1235">
        <f>BS12/Q_IS!BS34*90</f>
        <v>38.286290322580648</v>
      </c>
      <c r="BT69" s="1235">
        <f>BT12/Q_IS!BT34*90</f>
        <v>44.341841124175509</v>
      </c>
      <c r="BU69" s="1235">
        <f>BU12/Q_IS!BU34*90</f>
        <v>41.284403669724774</v>
      </c>
      <c r="BV69" s="1561">
        <f>BV12/Q_IS!BV34*90</f>
        <v>39.437028438769588</v>
      </c>
      <c r="BW69" s="1235">
        <f>BW12/Q_IS!BW34*90</f>
        <v>38.905573202425643</v>
      </c>
      <c r="BX69" s="1235">
        <f>BX12/Q_IS!BX34*90</f>
        <v>41.566686080372747</v>
      </c>
      <c r="BY69" s="1560">
        <f>BY12/Q_IS!BY34*90</f>
        <v>41.292576419213972</v>
      </c>
      <c r="BZ69" s="1235">
        <f>BZ12/Q_IS!BZ34*90</f>
        <v>39.982347749338039</v>
      </c>
      <c r="CA69" s="1235">
        <f>CA12/Q_IS!CA34*90</f>
        <v>41.540508574807809</v>
      </c>
      <c r="CB69" s="1235">
        <f>CB12/Q_IS!CB34*90</f>
        <v>38.727434152116011</v>
      </c>
      <c r="CC69" s="1235">
        <f>CC12/Q_IS!CC34*90</f>
        <v>39.773755656108598</v>
      </c>
      <c r="CD69" s="1561">
        <f>CD12/Q_IS!CD34*90</f>
        <v>38.575480617711946</v>
      </c>
      <c r="CE69" s="1235">
        <f>CE12/Q_IS!CE34*90</f>
        <v>38.766990291262132</v>
      </c>
      <c r="CF69" s="1235">
        <f>CF12/Q_IS!CF34*90</f>
        <v>39.577603143418472</v>
      </c>
      <c r="CG69" s="1235">
        <f>CG12/Q_IS!CG34*90</f>
        <v>39.138276553106209</v>
      </c>
      <c r="CH69" s="1561">
        <f>CH12/Q_IS!CH34*90</f>
        <v>37.778152393796354</v>
      </c>
      <c r="CI69" s="1562">
        <f>CI12/Q_IS!CI34*90</f>
        <v>38.303754266211605</v>
      </c>
      <c r="CJ69" s="1562">
        <f>CJ12/Q_IS!CJ34*90</f>
        <v>38.606473594548554</v>
      </c>
      <c r="CK69" s="1562">
        <f>CK12/Q_IS!CK34*90</f>
        <v>39.241117626767853</v>
      </c>
      <c r="CL69" s="1671">
        <f>CL12/Q_IS!CL34*90</f>
        <v>37.568517217146876</v>
      </c>
      <c r="CM69" s="1170"/>
      <c r="CN69" s="1170"/>
      <c r="CO69" s="1170"/>
      <c r="CP69" s="1170"/>
      <c r="CQ69" s="1170"/>
      <c r="CR69" s="1170"/>
      <c r="CS69" s="1170"/>
      <c r="CT69" s="1198"/>
      <c r="CU69" s="1198"/>
    </row>
    <row r="70" spans="1:99" ht="12.75" customHeight="1">
      <c r="A70" s="1198" t="s">
        <v>240</v>
      </c>
      <c r="B70" s="1198"/>
      <c r="C70" s="1198"/>
      <c r="D70" s="1198"/>
      <c r="E70" s="1198"/>
      <c r="F70" s="1198"/>
      <c r="G70" s="1198"/>
      <c r="H70" s="1235"/>
      <c r="I70" s="1235"/>
      <c r="J70" s="1235">
        <f>J13/Q_IS!J44*360</f>
        <v>2.1758065949693361</v>
      </c>
      <c r="K70" s="1235">
        <f>K13/Q_IS!K44*360</f>
        <v>2.7746968700065797</v>
      </c>
      <c r="L70" s="1235">
        <f>L13/Q_IS!L44*360</f>
        <v>0</v>
      </c>
      <c r="M70" s="1235">
        <f>M13/Q_IS!M44*360</f>
        <v>0</v>
      </c>
      <c r="N70" s="1235">
        <f>N13/Q_IS!N44*360</f>
        <v>0</v>
      </c>
      <c r="O70" s="1559">
        <f>O13/Q_IS!O44*360</f>
        <v>0</v>
      </c>
      <c r="P70" s="1559">
        <f>P13/Q_IS!P44*360</f>
        <v>0</v>
      </c>
      <c r="Q70" s="1559">
        <f>Q13/Q_IS!Q44*360</f>
        <v>0</v>
      </c>
      <c r="R70" s="1560">
        <f ca="1">R13/Q_IS!R44*360</f>
        <v>0</v>
      </c>
      <c r="S70" s="1235">
        <f>S13/Q_IS!S44*360</f>
        <v>0</v>
      </c>
      <c r="T70" s="1507"/>
      <c r="U70" s="1507"/>
      <c r="V70" s="1507"/>
      <c r="W70" s="1507"/>
      <c r="X70" s="1248"/>
      <c r="Y70" s="1248"/>
      <c r="Z70" s="1282"/>
      <c r="AA70" s="1282"/>
      <c r="AB70" s="1248"/>
      <c r="AC70" s="1248"/>
      <c r="AD70" s="1248"/>
      <c r="AE70" s="1248"/>
      <c r="AF70" s="1248"/>
      <c r="AG70" s="1519"/>
      <c r="AH70" s="1198"/>
      <c r="AI70" s="1198"/>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235">
        <f>BE13/Q_IS!BE44*90</f>
        <v>2.4440894568690097</v>
      </c>
      <c r="BF70" s="1235">
        <f>BF13/Q_IS!BF44*90</f>
        <v>2.4508320726172466</v>
      </c>
      <c r="BG70" s="1235">
        <f>BG13/Q_IS!BG44*90</f>
        <v>2.5832376578645238</v>
      </c>
      <c r="BH70" s="1235">
        <f>BH13/Q_IS!BH44*90</f>
        <v>2.866894197952218</v>
      </c>
      <c r="BI70" s="1235">
        <f>BI13/Q_IS!BI44*90</f>
        <v>2.6885245901639347</v>
      </c>
      <c r="BJ70" s="1235">
        <f>BJ13/Q_IS!BJ44*90</f>
        <v>0</v>
      </c>
      <c r="BK70" s="1235">
        <f>BK13/Q_IS!BK44*90</f>
        <v>0</v>
      </c>
      <c r="BL70" s="1235">
        <f>BL13/Q_IS!BL44*90</f>
        <v>0</v>
      </c>
      <c r="BM70" s="1235">
        <f>BM13/Q_IS!BM44*90</f>
        <v>0</v>
      </c>
      <c r="BN70" s="1235">
        <f>BN13/Q_IS!BN44*90</f>
        <v>0</v>
      </c>
      <c r="BO70" s="1235">
        <f>BO13/Q_IS!BO44*90</f>
        <v>0</v>
      </c>
      <c r="BP70" s="1235">
        <f>BP13/Q_IS!BP44*90</f>
        <v>0</v>
      </c>
      <c r="BQ70" s="1560">
        <f>BQ13/Q_IS!BQ44*90</f>
        <v>0</v>
      </c>
      <c r="BR70" s="1559">
        <f>BR13/Q_IS!BR44*90</f>
        <v>0</v>
      </c>
      <c r="BS70" s="1235">
        <f>BS13/Q_IS!BS44*90</f>
        <v>0</v>
      </c>
      <c r="BT70" s="1235">
        <f>BT13/Q_IS!BT44*90</f>
        <v>0</v>
      </c>
      <c r="BU70" s="1235">
        <f>BU13/Q_IS!BU44*90</f>
        <v>0</v>
      </c>
      <c r="BV70" s="1561">
        <f>BV13/Q_IS!BV44*90</f>
        <v>0</v>
      </c>
      <c r="BW70" s="1235">
        <f>BW13/Q_IS!BW44*90</f>
        <v>0</v>
      </c>
      <c r="BX70" s="1235">
        <f>BX13/Q_IS!BX44*90</f>
        <v>0</v>
      </c>
      <c r="BY70" s="1560">
        <f>BY13/Q_IS!BY44*90</f>
        <v>0</v>
      </c>
      <c r="BZ70" s="1235">
        <f>BZ13/Q_IS!BZ44*90</f>
        <v>0</v>
      </c>
      <c r="CA70" s="1559">
        <f>CA13/Q_IS!CA44*90</f>
        <v>0</v>
      </c>
      <c r="CB70" s="1559">
        <f>CB13/Q_IS!CB44*90</f>
        <v>0</v>
      </c>
      <c r="CC70" s="1559">
        <f>CC13/Q_IS!CC44*90</f>
        <v>0</v>
      </c>
      <c r="CD70" s="1561">
        <f>CD13/Q_IS!CD44*90</f>
        <v>0</v>
      </c>
      <c r="CE70" s="1559">
        <f>CE13/Q_IS!CE44*90</f>
        <v>0</v>
      </c>
      <c r="CF70" s="1559">
        <f>CF13/Q_IS!CF44*90</f>
        <v>0</v>
      </c>
      <c r="CG70" s="1559">
        <f>CG13/Q_IS!CG44*90</f>
        <v>0</v>
      </c>
      <c r="CH70" s="1561">
        <f>CH13/Q_IS!CH44*90</f>
        <v>0</v>
      </c>
      <c r="CI70" s="1562">
        <f>CI13/Q_IS!CI44*90</f>
        <v>0</v>
      </c>
      <c r="CJ70" s="1562">
        <f>CJ13/Q_IS!CJ44*90</f>
        <v>0</v>
      </c>
      <c r="CK70" s="1562">
        <f ca="1">CK13/Q_IS!CK44*90</f>
        <v>0</v>
      </c>
      <c r="CL70" s="1671">
        <f>CL13/Q_IS!CL44*90</f>
        <v>0</v>
      </c>
      <c r="CM70" s="1170"/>
      <c r="CN70" s="1170"/>
      <c r="CO70" s="1170"/>
      <c r="CP70" s="1170"/>
      <c r="CQ70" s="1170"/>
      <c r="CR70" s="1170"/>
      <c r="CS70" s="1170"/>
      <c r="CT70" s="1198"/>
      <c r="CU70" s="1198"/>
    </row>
    <row r="71" spans="1:99" ht="12.75" customHeight="1">
      <c r="A71" s="1198" t="s">
        <v>241</v>
      </c>
      <c r="B71" s="1198"/>
      <c r="C71" s="1198"/>
      <c r="D71" s="1198"/>
      <c r="E71" s="1198"/>
      <c r="F71" s="1198"/>
      <c r="G71" s="1198"/>
      <c r="H71" s="1198"/>
      <c r="I71" s="1198"/>
      <c r="J71" s="1235">
        <f>J28/Q_IS!J44*360</f>
        <v>62.426450982134917</v>
      </c>
      <c r="K71" s="1235">
        <f>K28/Q_IS!K44*360</f>
        <v>71.126985618949149</v>
      </c>
      <c r="L71" s="1235">
        <f>L28/Q_IS!L44*360</f>
        <v>73.085356303837116</v>
      </c>
      <c r="M71" s="1235">
        <f>M28/Q_IS!M44*360</f>
        <v>64.037235657189115</v>
      </c>
      <c r="N71" s="1235">
        <f>N28/Q_IS!N44*360</f>
        <v>79.861548143486459</v>
      </c>
      <c r="O71" s="1559">
        <f>O28/Q_IS!O44*360</f>
        <v>111.92584514721919</v>
      </c>
      <c r="P71" s="1559">
        <f>P28/Q_IS!P44*360</f>
        <v>43.66935483870968</v>
      </c>
      <c r="Q71" s="1559">
        <f>Q28/Q_IS!Q44*360</f>
        <v>26.671732522796354</v>
      </c>
      <c r="R71" s="1560">
        <f>R28/Q_IS!R44*360</f>
        <v>27.586017820424946</v>
      </c>
      <c r="S71" s="1235">
        <f>S28/Q_IS!S44*360</f>
        <v>0</v>
      </c>
      <c r="T71" s="1507"/>
      <c r="U71" s="1507"/>
      <c r="V71" s="1507"/>
      <c r="W71" s="1507"/>
      <c r="X71" s="1248"/>
      <c r="Y71" s="1248"/>
      <c r="Z71" s="1282"/>
      <c r="AA71" s="1282"/>
      <c r="AB71" s="1248"/>
      <c r="AC71" s="1248"/>
      <c r="AD71" s="1248"/>
      <c r="AE71" s="1248"/>
      <c r="AF71" s="1248"/>
      <c r="AG71" s="1519"/>
      <c r="AH71" s="1198"/>
      <c r="AI71" s="1198"/>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235">
        <f>BE28/Q_IS!BE44*90</f>
        <v>70.123801916932905</v>
      </c>
      <c r="BF71" s="1235">
        <f>BF28/Q_IS!BF44*90</f>
        <v>65.185325264750375</v>
      </c>
      <c r="BG71" s="1235">
        <f>BG28/Q_IS!BG44*90</f>
        <v>67.887485648679672</v>
      </c>
      <c r="BH71" s="1235">
        <f>BH28/Q_IS!BH44*90</f>
        <v>69.180887372013657</v>
      </c>
      <c r="BI71" s="1235">
        <f>BI28/Q_IS!BI44*90</f>
        <v>68.918032786885249</v>
      </c>
      <c r="BJ71" s="1235">
        <f>BJ28/Q_IS!BJ44*90</f>
        <v>72.09024296182028</v>
      </c>
      <c r="BK71" s="1235">
        <f>BK28/Q_IS!BK44*90</f>
        <v>76.070597362296354</v>
      </c>
      <c r="BL71" s="1235">
        <f>BL28/Q_IS!BL44*90</f>
        <v>77.26778080062185</v>
      </c>
      <c r="BM71" s="1235">
        <f>BM28/Q_IS!BM44*90</f>
        <v>75.509708737864074</v>
      </c>
      <c r="BN71" s="1235">
        <f>BN28/Q_IS!BN44*90</f>
        <v>73.854545454545445</v>
      </c>
      <c r="BO71" s="1235">
        <f>BO28/Q_IS!BO44*90</f>
        <v>72.537313432835816</v>
      </c>
      <c r="BP71" s="1235">
        <f>BP28/Q_IS!BP44*90</f>
        <v>65.683453237410063</v>
      </c>
      <c r="BQ71" s="1560">
        <f>BQ28/Q_IS!BQ44*90</f>
        <v>65.191594561186648</v>
      </c>
      <c r="BR71" s="1559">
        <f>BR28/Q_IS!BR44*90</f>
        <v>69.385892116182575</v>
      </c>
      <c r="BS71" s="1235">
        <f>BS28/Q_IS!BS44*90</f>
        <v>68.328396106644092</v>
      </c>
      <c r="BT71" s="1235">
        <f>BT28/Q_IS!BT44*90</f>
        <v>67.624309392265189</v>
      </c>
      <c r="BU71" s="1235">
        <f>BU28/Q_IS!BU44*90</f>
        <v>79.049003322259139</v>
      </c>
      <c r="BV71" s="1561">
        <f>BV28/Q_IS!BV44*90</f>
        <v>95.77582417582417</v>
      </c>
      <c r="BW71" s="1235">
        <f>BW28/Q_IS!BW44*90</f>
        <v>93.694900605012961</v>
      </c>
      <c r="BX71" s="1235">
        <f>(BX28)/Q_IS!BX44*90</f>
        <v>101.43232588699081</v>
      </c>
      <c r="BY71" s="1560">
        <f>(BY28)/Q_IS!BY44*90</f>
        <v>111.65796344647519</v>
      </c>
      <c r="BZ71" s="1235">
        <f>(BZ28)/Q_IS!BZ44*90</f>
        <v>114.07440212577502</v>
      </c>
      <c r="CA71" s="1559">
        <f>(CA28)/Q_IS!CA44*90</f>
        <v>115.37533512064343</v>
      </c>
      <c r="CB71" s="1559">
        <f>(CB28)/Q_IS!CB44*90</f>
        <v>112.46080139372822</v>
      </c>
      <c r="CC71" s="1559">
        <f>(CC28)/Q_IS!CC44*90</f>
        <v>45.632022471910119</v>
      </c>
      <c r="CD71" s="1561">
        <f>(CD28)/Q_IS!CD44*90</f>
        <v>48.683431952662723</v>
      </c>
      <c r="CE71" s="1559">
        <f>(CE28)/Q_IS!CE44*90</f>
        <v>27.387387387387388</v>
      </c>
      <c r="CF71" s="1559">
        <f>(CF28)/Q_IS!CF44*90</f>
        <v>26.986231514533401</v>
      </c>
      <c r="CG71" s="1559">
        <f>(CG28)/Q_IS!CG44*90</f>
        <v>27.57988475641697</v>
      </c>
      <c r="CH71" s="1561">
        <f>(CH28)/Q_IS!CH44*90</f>
        <v>29.071661237785015</v>
      </c>
      <c r="CI71" s="1562">
        <f>(CI28)/Q_IS!CI44*90</f>
        <v>28.155603917301413</v>
      </c>
      <c r="CJ71" s="1562">
        <f>(CJ28)/Q_IS!CJ44*90</f>
        <v>28.958677685950413</v>
      </c>
      <c r="CK71" s="1562">
        <f>(CK28)/Q_IS!CK44*90</f>
        <v>27.95</v>
      </c>
      <c r="CL71" s="1671">
        <f>(CL28)/Q_IS!CL44*90</f>
        <v>29.720930232558139</v>
      </c>
      <c r="CM71" s="1170"/>
      <c r="CN71" s="1170"/>
      <c r="CO71" s="1170"/>
      <c r="CP71" s="1170"/>
      <c r="CQ71" s="1170"/>
      <c r="CR71" s="1170"/>
      <c r="CS71" s="1170"/>
      <c r="CT71" s="1198"/>
      <c r="CU71" s="1198"/>
    </row>
    <row r="72" spans="1:99" ht="12.75" customHeight="1">
      <c r="A72" s="1198" t="s">
        <v>242</v>
      </c>
      <c r="B72" s="1198"/>
      <c r="C72" s="1198"/>
      <c r="D72" s="1198"/>
      <c r="E72" s="1198"/>
      <c r="F72" s="1198"/>
      <c r="G72" s="1198"/>
      <c r="H72" s="1235"/>
      <c r="I72" s="1235"/>
      <c r="J72" s="1235">
        <f>J33/Q_IS!J44*360</f>
        <v>29.469380499511157</v>
      </c>
      <c r="K72" s="1235">
        <f>K33/Q_IS!K44*360</f>
        <v>25.682864930914558</v>
      </c>
      <c r="L72" s="1235">
        <f>L33/Q_IS!L44*360</f>
        <v>25.759592795614722</v>
      </c>
      <c r="M72" s="1235">
        <f>M33/Q_IS!M44*360</f>
        <v>28.157442072245271</v>
      </c>
      <c r="N72" s="1235">
        <f>N33/Q_IS!N44*360</f>
        <v>37.646318439269983</v>
      </c>
      <c r="O72" s="1559">
        <f>O33/Q_IS!O44*360</f>
        <v>39.572519083969468</v>
      </c>
      <c r="P72" s="1559">
        <f>P33/Q_IS!P44*360</f>
        <v>33.064516129032263</v>
      </c>
      <c r="Q72" s="1559">
        <f>Q33/Q_IS!Q44*360</f>
        <v>34.878419452887542</v>
      </c>
      <c r="R72" s="1560">
        <f>R33/Q_IS!R44*360</f>
        <v>50.977381768334475</v>
      </c>
      <c r="S72" s="1235">
        <f>S33/Q_IS!S44*360</f>
        <v>0</v>
      </c>
      <c r="T72" s="1507"/>
      <c r="U72" s="1507"/>
      <c r="V72" s="1507"/>
      <c r="W72" s="1507"/>
      <c r="X72" s="1248"/>
      <c r="Y72" s="1248"/>
      <c r="Z72" s="1282"/>
      <c r="AA72" s="1282"/>
      <c r="AB72" s="1248"/>
      <c r="AC72" s="1248"/>
      <c r="AD72" s="1248"/>
      <c r="AE72" s="1248"/>
      <c r="AF72" s="1248"/>
      <c r="AG72" s="1519"/>
      <c r="AH72" s="1198"/>
      <c r="AI72" s="1198"/>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235">
        <f>BE33/Q_IS!BE44*90</f>
        <v>33.103035143769965</v>
      </c>
      <c r="BF72" s="1235">
        <f>BF33/Q_IS!BF44*90</f>
        <v>28.25264750378215</v>
      </c>
      <c r="BG72" s="1235">
        <f>BG33/Q_IS!BG44*90</f>
        <v>27.795637198622273</v>
      </c>
      <c r="BH72" s="1235">
        <f>BH33/Q_IS!BH44*90</f>
        <v>27.372013651877133</v>
      </c>
      <c r="BI72" s="1235">
        <f>BI33/Q_IS!BI44*90</f>
        <v>24.885245901639344</v>
      </c>
      <c r="BJ72" s="1235">
        <f>BJ33/Q_IS!BJ44*90</f>
        <v>28.73891245661396</v>
      </c>
      <c r="BK72" s="1235">
        <f>BK33/Q_IS!BK44*90</f>
        <v>25.100853374709075</v>
      </c>
      <c r="BL72" s="1235">
        <f>BL33/Q_IS!BL44*90</f>
        <v>30.186552662261953</v>
      </c>
      <c r="BM72" s="1235">
        <f>BM33/Q_IS!BM44*90</f>
        <v>26.614077669902912</v>
      </c>
      <c r="BN72" s="1235">
        <f>BN33/Q_IS!BN44*90</f>
        <v>25.636363636363637</v>
      </c>
      <c r="BO72" s="1235">
        <f>BO33/Q_IS!BO44*90</f>
        <v>25.921742638160545</v>
      </c>
      <c r="BP72" s="1235">
        <f>BP33/Q_IS!BP44*90</f>
        <v>26.618705035971225</v>
      </c>
      <c r="BQ72" s="1560">
        <f>BQ33/Q_IS!BQ44*90</f>
        <v>28.665018541409147</v>
      </c>
      <c r="BR72" s="1559">
        <f>BR33/Q_IS!BR44*90</f>
        <v>29.128630705394194</v>
      </c>
      <c r="BS72" s="1235">
        <f>BS33/Q_IS!BS44*90</f>
        <v>28.489208633093522</v>
      </c>
      <c r="BT72" s="1235">
        <f>BT33/Q_IS!BT44*90</f>
        <v>31.861453463663409</v>
      </c>
      <c r="BU72" s="1235">
        <f>BU33/Q_IS!BU44*90</f>
        <v>37.263289036544847</v>
      </c>
      <c r="BV72" s="1561">
        <f>BV33/Q_IS!BV44*90</f>
        <v>35.406593406593409</v>
      </c>
      <c r="BW72" s="1235">
        <f>BW33/Q_IS!BW44*90</f>
        <v>35.704407951598967</v>
      </c>
      <c r="BX72" s="1235">
        <f>BX33/Q_IS!BX44*90</f>
        <v>37.174770039421809</v>
      </c>
      <c r="BY72" s="1560">
        <f>BY33/Q_IS!BY44*90</f>
        <v>39.477806788511749</v>
      </c>
      <c r="BZ72" s="1235">
        <f>BZ33/Q_IS!BZ44*90</f>
        <v>37.187776793622675</v>
      </c>
      <c r="CA72" s="1559">
        <f>CA33/Q_IS!CA44*90</f>
        <v>37.399463806970509</v>
      </c>
      <c r="CB72" s="1559">
        <f>CB33/Q_IS!CB44*90</f>
        <v>36.572299651567945</v>
      </c>
      <c r="CC72" s="1559">
        <f>CC33/Q_IS!CC44*90</f>
        <v>34.550561797752806</v>
      </c>
      <c r="CD72" s="1561">
        <f>CD33/Q_IS!CD44*90</f>
        <v>35.103550295857985</v>
      </c>
      <c r="CE72" s="1559">
        <f>CE33/Q_IS!CE44*90</f>
        <v>34.549549549549553</v>
      </c>
      <c r="CF72" s="1559">
        <f>CF33/Q_IS!CF44*90</f>
        <v>34.604793472718001</v>
      </c>
      <c r="CG72" s="1559">
        <f>CG33/Q_IS!CG44*90</f>
        <v>36.06600314300681</v>
      </c>
      <c r="CH72" s="1561">
        <f>CH33/Q_IS!CH44*90</f>
        <v>32.149837133550491</v>
      </c>
      <c r="CI72" s="1562">
        <f>CI33/Q_IS!CI44*90</f>
        <v>33.590859630032639</v>
      </c>
      <c r="CJ72" s="1562">
        <f>CJ33/Q_IS!CJ44*90</f>
        <v>37.636363636363633</v>
      </c>
      <c r="CK72" s="1562">
        <f>CK33/Q_IS!CK44*90</f>
        <v>51.65</v>
      </c>
      <c r="CL72" s="1671">
        <f>CL33/Q_IS!CL44*90</f>
        <v>47.511627906976749</v>
      </c>
      <c r="CM72" s="1170"/>
      <c r="CN72" s="1170"/>
      <c r="CO72" s="1170"/>
      <c r="CP72" s="1170"/>
      <c r="CQ72" s="1170"/>
      <c r="CR72" s="1170"/>
      <c r="CS72" s="1170"/>
      <c r="CT72" s="1198"/>
      <c r="CU72" s="1198"/>
    </row>
    <row r="73" spans="1:99" ht="12.75" customHeight="1">
      <c r="A73" s="1198" t="s">
        <v>243</v>
      </c>
      <c r="B73" s="1198"/>
      <c r="C73" s="1198"/>
      <c r="D73" s="1198"/>
      <c r="E73" s="1198"/>
      <c r="F73" s="1198"/>
      <c r="G73" s="1198"/>
      <c r="H73" s="1198"/>
      <c r="I73" s="1198"/>
      <c r="J73" s="1235">
        <f>J34/Q_IS!J44*360</f>
        <v>70.10576837614434</v>
      </c>
      <c r="K73" s="1235">
        <f>K34/Q_IS!K44*360</f>
        <v>76.676379358962308</v>
      </c>
      <c r="L73" s="1235">
        <f>L34/Q_IS!L44*360</f>
        <v>80.696945967110409</v>
      </c>
      <c r="M73" s="1235">
        <f>M34/Q_IS!M44*360</f>
        <v>84.399473843974505</v>
      </c>
      <c r="N73" s="1235">
        <f>N34/Q_IS!N44*360</f>
        <v>70.081812460667081</v>
      </c>
      <c r="O73" s="1559">
        <f>O34/Q_IS!O44*360</f>
        <v>78.477644492911665</v>
      </c>
      <c r="P73" s="1559">
        <f>P34/Q_IS!P44*360</f>
        <v>66.16935483870968</v>
      </c>
      <c r="Q73" s="1559">
        <f>Q34/Q_IS!Q44*360</f>
        <v>72.036474164133736</v>
      </c>
      <c r="R73" s="1560">
        <f>R34/Q_IS!R44*360</f>
        <v>58.675805346127483</v>
      </c>
      <c r="S73" s="1235">
        <f>S34/Q_IS!S44*360</f>
        <v>0</v>
      </c>
      <c r="T73" s="1507"/>
      <c r="U73" s="1507"/>
      <c r="V73" s="1507"/>
      <c r="W73" s="1507"/>
      <c r="X73" s="1248"/>
      <c r="Y73" s="1248"/>
      <c r="Z73" s="1282"/>
      <c r="AA73" s="1282"/>
      <c r="AB73" s="1248"/>
      <c r="AC73" s="1248"/>
      <c r="AD73" s="1248"/>
      <c r="AE73" s="1248"/>
      <c r="AF73" s="1248"/>
      <c r="AG73" s="1519"/>
      <c r="AH73" s="1198"/>
      <c r="AI73" s="1198"/>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235">
        <f>BE34/Q_IS!BE44*90</f>
        <v>78.75</v>
      </c>
      <c r="BF73" s="1235">
        <f>BF34/Q_IS!BF44*90</f>
        <v>73.082450832072624</v>
      </c>
      <c r="BG73" s="1235">
        <f>BG34/Q_IS!BG44*90</f>
        <v>71.779563719862225</v>
      </c>
      <c r="BH73" s="1235">
        <f>BH34/Q_IS!BH44*90</f>
        <v>86.484641638225256</v>
      </c>
      <c r="BI73" s="1235">
        <f>BI34/Q_IS!BI44*90</f>
        <v>74.295081967213122</v>
      </c>
      <c r="BJ73" s="1235">
        <f>BJ34/Q_IS!BJ44*90</f>
        <v>72.020825298881604</v>
      </c>
      <c r="BK73" s="1235">
        <f>BK34/Q_IS!BK44*90</f>
        <v>82.42435996896819</v>
      </c>
      <c r="BL73" s="1235">
        <f>BL34/Q_IS!BL44*90</f>
        <v>89.090555771472992</v>
      </c>
      <c r="BM73" s="1235">
        <f>BM34/Q_IS!BM44*90</f>
        <v>83.373786407766985</v>
      </c>
      <c r="BN73" s="1235">
        <f>BN34/Q_IS!BN44*90</f>
        <v>76.763636363636365</v>
      </c>
      <c r="BO73" s="1235">
        <f>BO34/Q_IS!BO44*90</f>
        <v>74.38886647841872</v>
      </c>
      <c r="BP73" s="1235">
        <f>BP34/Q_IS!BP44*90</f>
        <v>83.812949640287769</v>
      </c>
      <c r="BQ73" s="1560">
        <f>BQ34/Q_IS!BQ44*90</f>
        <v>85.920889987639072</v>
      </c>
      <c r="BR73" s="1559">
        <f>BR34/Q_IS!BR44*90</f>
        <v>72.485477178423238</v>
      </c>
      <c r="BS73" s="1235">
        <f>BS34/Q_IS!BS44*90</f>
        <v>78.269149386373257</v>
      </c>
      <c r="BT73" s="1235">
        <f>BT34/Q_IS!BT44*90</f>
        <v>76.651083722906918</v>
      </c>
      <c r="BU73" s="1235">
        <f>BU34/Q_IS!BU44*90</f>
        <v>69.368770764119603</v>
      </c>
      <c r="BV73" s="1561">
        <f>BV34/Q_IS!BV44*90</f>
        <v>56.887912087912085</v>
      </c>
      <c r="BW73" s="1235">
        <f>BW34/Q_IS!BW44*90</f>
        <v>59.040622299049261</v>
      </c>
      <c r="BX73" s="1235">
        <f>BX34/Q_IS!BX44*90</f>
        <v>78.13403416557162</v>
      </c>
      <c r="BY73" s="1560">
        <f>BY34/Q_IS!BY44*90</f>
        <v>78.289817232375981</v>
      </c>
      <c r="BZ73" s="1235">
        <f>BZ34/Q_IS!BZ44*90</f>
        <v>61.620903454384411</v>
      </c>
      <c r="CA73" s="1559">
        <f>CA34/Q_IS!CA44*90</f>
        <v>63.016085790884716</v>
      </c>
      <c r="CB73" s="1559">
        <f>CB34/Q_IS!CB44*90</f>
        <v>55.544425087108017</v>
      </c>
      <c r="CC73" s="1559">
        <f>CC34/Q_IS!CC44*90</f>
        <v>69.143258426966284</v>
      </c>
      <c r="CD73" s="1561">
        <f>CD34/Q_IS!CD44*90</f>
        <v>56.272189349112423</v>
      </c>
      <c r="CE73" s="1559">
        <f>CE34/Q_IS!CE44*90</f>
        <v>62.387387387387385</v>
      </c>
      <c r="CF73" s="1559">
        <f>CF34/Q_IS!CF44*90</f>
        <v>62.187659357470679</v>
      </c>
      <c r="CG73" s="1559">
        <f>CG34/Q_IS!CG44*90</f>
        <v>74.489261393399687</v>
      </c>
      <c r="CH73" s="1561">
        <f>CH34/Q_IS!CH44*90</f>
        <v>65.667752442996743</v>
      </c>
      <c r="CI73" s="1562">
        <f>CI34/Q_IS!CI44*90</f>
        <v>74.575625680087043</v>
      </c>
      <c r="CJ73" s="1562">
        <f>CJ34/Q_IS!CJ44*90</f>
        <v>86.876033057851245</v>
      </c>
      <c r="CK73" s="1562">
        <f>CK34/Q_IS!CK44*90</f>
        <v>59.45</v>
      </c>
      <c r="CL73" s="1671">
        <f>CL34/Q_IS!CL44*90</f>
        <v>56.302325581395344</v>
      </c>
      <c r="CM73" s="1170"/>
      <c r="CN73" s="1170"/>
      <c r="CO73" s="1170"/>
      <c r="CP73" s="1170"/>
      <c r="CQ73" s="1170"/>
      <c r="CR73" s="1170"/>
      <c r="CS73" s="1170"/>
      <c r="CT73" s="1198"/>
      <c r="CU73" s="1198"/>
    </row>
    <row r="74" spans="1:99" ht="12.75" customHeight="1">
      <c r="A74" s="1198" t="s">
        <v>244</v>
      </c>
      <c r="B74" s="1198"/>
      <c r="C74" s="1198"/>
      <c r="D74" s="1198"/>
      <c r="E74" s="1198"/>
      <c r="F74" s="1198"/>
      <c r="G74" s="1198"/>
      <c r="H74" s="1198"/>
      <c r="I74" s="1198"/>
      <c r="J74" s="1235">
        <f>J46/Q_IS!J44*360</f>
        <v>34.332948182383788</v>
      </c>
      <c r="K74" s="1235">
        <f>K46/Q_IS!K44*360</f>
        <v>62.159977441488863</v>
      </c>
      <c r="L74" s="1235">
        <f>L46/Q_IS!L44*360</f>
        <v>70.830070477682057</v>
      </c>
      <c r="M74" s="1235">
        <f>M46/Q_IS!M44*360</f>
        <v>55.732065162400076</v>
      </c>
      <c r="N74" s="1235">
        <f>N46/Q_IS!N44*360</f>
        <v>54.600377595972311</v>
      </c>
      <c r="O74" s="1559">
        <f>O46/Q_IS!O44*360</f>
        <v>54.333696837513635</v>
      </c>
      <c r="P74" s="1559">
        <f>P46/Q_IS!P44*360</f>
        <v>47.903225806451609</v>
      </c>
      <c r="Q74" s="1559">
        <f>Q46/Q_IS!Q44*360</f>
        <v>30.775075987841944</v>
      </c>
      <c r="R74" s="1560">
        <f>R46/Q_IS!R44*360</f>
        <v>35.383139136394789</v>
      </c>
      <c r="S74" s="1235">
        <f>S46/Q_IS!S44*360</f>
        <v>0</v>
      </c>
      <c r="T74" s="1507"/>
      <c r="U74" s="1507"/>
      <c r="V74" s="1507"/>
      <c r="W74" s="1507"/>
      <c r="X74" s="1248"/>
      <c r="Y74" s="1248"/>
      <c r="Z74" s="1282"/>
      <c r="AA74" s="1282"/>
      <c r="AB74" s="1248"/>
      <c r="AC74" s="1248"/>
      <c r="AD74" s="1248"/>
      <c r="AE74" s="1248"/>
      <c r="AF74" s="1248"/>
      <c r="AG74" s="1519"/>
      <c r="AH74" s="1198"/>
      <c r="AI74" s="1198"/>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235">
        <f>BE46/Q_IS!BB44*90</f>
        <v>33.09458533241947</v>
      </c>
      <c r="BF74" s="1235">
        <f>BF46/Q_IS!BC44*90</f>
        <v>31.546997389033944</v>
      </c>
      <c r="BG74" s="1235">
        <f>BG46/Q_IS!BD44*90</f>
        <v>36.097649186256781</v>
      </c>
      <c r="BH74" s="1235">
        <f>BH46/Q_IS!BE44*90</f>
        <v>44.6405750798722</v>
      </c>
      <c r="BI74" s="1235">
        <f>BI46/Q_IS!BF44*90</f>
        <v>62.530257186081698</v>
      </c>
      <c r="BJ74" s="1235">
        <f>BJ46/Q_IS!BG44*90</f>
        <v>61.825487944890938</v>
      </c>
      <c r="BK74" s="1235">
        <f>BK46/Q_IS!BH44*90</f>
        <v>68.839590443686006</v>
      </c>
      <c r="BL74" s="1235">
        <f>BL46/Q_IS!BI44*90</f>
        <v>69.672131147540995</v>
      </c>
      <c r="BM74" s="1235">
        <f>BM46/Q_IS!BJ44*90</f>
        <v>69.76475125337447</v>
      </c>
      <c r="BN74" s="1235">
        <f>BN46/Q_IS!BK44*90</f>
        <v>69.297905352986817</v>
      </c>
      <c r="BO74" s="1235">
        <f>BO46/Q_IS!BL44*90</f>
        <v>63.975903614457827</v>
      </c>
      <c r="BP74" s="1235">
        <f>BP46/Q_IS!BM44*90</f>
        <v>57.123786407766993</v>
      </c>
      <c r="BQ74" s="1560">
        <f>BQ46/Q_IS!BN44*90</f>
        <v>55.636363636363633</v>
      </c>
      <c r="BR74" s="1559">
        <f>BR46/Q_IS!BO44*90</f>
        <v>52.642194433239212</v>
      </c>
      <c r="BS74" s="1235">
        <f>BS46/Q_IS!BP44*90</f>
        <v>49.748201438848923</v>
      </c>
      <c r="BT74" s="1235">
        <f>BT46/Q_IS!BQ44*90</f>
        <v>50.655129789864034</v>
      </c>
      <c r="BU74" s="1235">
        <f>BU46/Q_IS!BR44*90</f>
        <v>54</v>
      </c>
      <c r="BV74" s="1561">
        <f>BV46/Q_IS!BS44*90</f>
        <v>58.349555649597967</v>
      </c>
      <c r="BW74" s="1235">
        <f>BW46/Q_IS!BT44*90</f>
        <v>58.63578410539737</v>
      </c>
      <c r="BX74" s="1235">
        <f>BX46/Q_IS!BU44*90</f>
        <v>56.43687707641196</v>
      </c>
      <c r="BY74" s="1560">
        <f>BY46/Q_IS!BV44*90</f>
        <v>54.751648351648349</v>
      </c>
      <c r="BZ74" s="1235">
        <f>BZ46/Q_IS!BW44*90</f>
        <v>53.362143474503021</v>
      </c>
      <c r="CA74" s="1559">
        <f>CA46/Q_IS!BX44*90</f>
        <v>54.441524310118261</v>
      </c>
      <c r="CB74" s="1559">
        <f>CB46/Q_IS!BY44*90</f>
        <v>46.958224543080938</v>
      </c>
      <c r="CC74" s="1559">
        <f>CC46/Q_IS!BZ44*90</f>
        <v>47.351638618246241</v>
      </c>
      <c r="CD74" s="1561">
        <f>CD46/Q_IS!CA44*90</f>
        <v>46.447721179624665</v>
      </c>
      <c r="CE74" s="1559">
        <f>CE46/Q_IS!CB44*90</f>
        <v>26.772648083623697</v>
      </c>
      <c r="CF74" s="1559">
        <f>CF46/Q_IS!CC44*90</f>
        <v>29.19943820224719</v>
      </c>
      <c r="CG74" s="1559">
        <f>CG46/Q_IS!CD44*90</f>
        <v>29.955621301775146</v>
      </c>
      <c r="CH74" s="1561">
        <f>CH46/Q_IS!CE44*90</f>
        <v>28.783783783783786</v>
      </c>
      <c r="CI74" s="1562">
        <f>CI46/Q_IS!CF44*90</f>
        <v>29.143294237633864</v>
      </c>
      <c r="CJ74" s="1562">
        <f>CJ46/Q_IS!CG44*90</f>
        <v>29.607124148768985</v>
      </c>
      <c r="CK74" s="1562">
        <f>CK46/Q_IS!CH44*90</f>
        <v>35.032573289902281</v>
      </c>
      <c r="CL74" s="1671">
        <f>CL46/Q_IS!CI44*90</f>
        <v>34.472252448313384</v>
      </c>
      <c r="CM74" s="1170"/>
      <c r="CN74" s="1170"/>
      <c r="CO74" s="1170"/>
      <c r="CP74" s="1170"/>
      <c r="CQ74" s="1170"/>
      <c r="CR74" s="1170"/>
      <c r="CS74" s="1170"/>
      <c r="CT74" s="1198"/>
      <c r="CU74" s="1198"/>
    </row>
    <row r="75" spans="1:99" ht="9" customHeight="1">
      <c r="A75" s="1435"/>
      <c r="B75" s="1198"/>
      <c r="C75" s="1198"/>
      <c r="D75" s="1198"/>
      <c r="E75" s="1198"/>
      <c r="F75" s="1198"/>
      <c r="G75" s="1198"/>
      <c r="H75" s="1198"/>
      <c r="I75" s="1198"/>
      <c r="J75" s="1198"/>
      <c r="K75" s="1198"/>
      <c r="L75" s="1198"/>
      <c r="M75" s="1198"/>
      <c r="N75" s="1198"/>
      <c r="O75" s="1170"/>
      <c r="P75" s="1170"/>
      <c r="Q75" s="1170"/>
      <c r="R75" s="1360"/>
      <c r="S75" s="1198"/>
      <c r="T75" s="1507"/>
      <c r="U75" s="1507"/>
      <c r="V75" s="1507"/>
      <c r="W75" s="1507"/>
      <c r="X75" s="1248"/>
      <c r="Y75" s="1248"/>
      <c r="Z75" s="1282"/>
      <c r="AA75" s="1282"/>
      <c r="AB75" s="1248"/>
      <c r="AC75" s="1248"/>
      <c r="AD75" s="1248"/>
      <c r="AE75" s="1248"/>
      <c r="AF75" s="1248"/>
      <c r="AG75" s="1519"/>
      <c r="AH75" s="1198"/>
      <c r="AI75" s="1198"/>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360"/>
      <c r="BR75" s="1170"/>
      <c r="BS75" s="1198"/>
      <c r="BT75" s="1198"/>
      <c r="BU75" s="1198"/>
      <c r="BV75" s="1359"/>
      <c r="BW75" s="1198"/>
      <c r="BX75" s="1198"/>
      <c r="BY75" s="1360"/>
      <c r="BZ75" s="1198"/>
      <c r="CA75" s="1170"/>
      <c r="CB75" s="1170"/>
      <c r="CC75" s="1170"/>
      <c r="CD75" s="1359"/>
      <c r="CE75" s="1170"/>
      <c r="CF75" s="1170"/>
      <c r="CG75" s="1170"/>
      <c r="CH75" s="1359"/>
      <c r="CI75" s="1198"/>
      <c r="CJ75" s="1198"/>
      <c r="CK75" s="1198"/>
      <c r="CL75" s="1359"/>
      <c r="CM75" s="1170"/>
      <c r="CN75" s="1170"/>
      <c r="CO75" s="1170"/>
      <c r="CP75" s="1170"/>
      <c r="CQ75" s="1170"/>
      <c r="CR75" s="1170"/>
      <c r="CS75" s="1170"/>
      <c r="CT75" s="1198"/>
      <c r="CU75" s="1198"/>
    </row>
    <row r="76" spans="1:99" ht="12.75" customHeight="1">
      <c r="A76" s="1198" t="s">
        <v>957</v>
      </c>
      <c r="B76" s="1198"/>
      <c r="C76" s="1198"/>
      <c r="D76" s="1198"/>
      <c r="E76" s="1198"/>
      <c r="F76" s="1198"/>
      <c r="G76" s="1198"/>
      <c r="H76" s="1248"/>
      <c r="I76" s="1248"/>
      <c r="J76" s="1248">
        <f t="shared" ref="J76:O76" si="56">(J17-J10-J11)-(J40-J32)</f>
        <v>-8</v>
      </c>
      <c r="K76" s="1248" t="e">
        <f t="shared" si="56"/>
        <v>#REF!</v>
      </c>
      <c r="L76" s="1248" t="e">
        <f t="shared" si="56"/>
        <v>#REF!</v>
      </c>
      <c r="M76" s="1248" t="e">
        <f t="shared" si="56"/>
        <v>#REF!</v>
      </c>
      <c r="N76" s="1248" t="e">
        <f t="shared" si="56"/>
        <v>#REF!</v>
      </c>
      <c r="O76" s="1282" t="e">
        <f t="shared" si="56"/>
        <v>#REF!</v>
      </c>
      <c r="P76" s="1282" t="e">
        <f>(P17-P10-P11)-(P40-P32)</f>
        <v>#REF!</v>
      </c>
      <c r="Q76" s="1282">
        <f>(Q17-Q10-Q11)-(Q40-Q32)</f>
        <v>-693</v>
      </c>
      <c r="R76" s="1250">
        <f ca="1">(R17-R10-R11)-(R40-R32)</f>
        <v>-915</v>
      </c>
      <c r="S76" s="1248">
        <f>(S17-S10-S11)-(S40-S32)</f>
        <v>0</v>
      </c>
      <c r="T76" s="1507"/>
      <c r="U76" s="1507"/>
      <c r="V76" s="1507"/>
      <c r="W76" s="1507"/>
      <c r="X76" s="1248"/>
      <c r="Y76" s="1248"/>
      <c r="Z76" s="1282"/>
      <c r="AA76" s="1282"/>
      <c r="AB76" s="1248"/>
      <c r="AC76" s="1248"/>
      <c r="AD76" s="1248"/>
      <c r="AE76" s="1248"/>
      <c r="AF76" s="1248"/>
      <c r="AG76" s="1519"/>
      <c r="AH76" s="1198"/>
      <c r="AI76" s="1198"/>
      <c r="AJ76" s="1198"/>
      <c r="AK76" s="1198"/>
      <c r="AL76" s="1198"/>
      <c r="AM76" s="1198"/>
      <c r="AN76" s="1198"/>
      <c r="AO76" s="1198"/>
      <c r="AP76" s="1198"/>
      <c r="AQ76" s="1198"/>
      <c r="AR76" s="1198"/>
      <c r="AS76" s="1198"/>
      <c r="AT76" s="1198"/>
      <c r="AU76" s="1198"/>
      <c r="AV76" s="1198"/>
      <c r="AW76" s="1198"/>
      <c r="AX76" s="1198"/>
      <c r="AY76" s="1198"/>
      <c r="AZ76" s="1198"/>
      <c r="BA76" s="1198"/>
      <c r="BB76" s="1248"/>
      <c r="BC76" s="1248"/>
      <c r="BD76" s="1248"/>
      <c r="BE76" s="1248"/>
      <c r="BF76" s="1248">
        <f t="shared" ref="BF76:BZ76" si="57">(BF17-BF10-BF11)-(BF40-BF32)</f>
        <v>-344</v>
      </c>
      <c r="BG76" s="1248">
        <f t="shared" si="57"/>
        <v>-217</v>
      </c>
      <c r="BH76" s="1248">
        <f t="shared" si="57"/>
        <v>-1860</v>
      </c>
      <c r="BI76" s="1248" t="e">
        <f t="shared" si="57"/>
        <v>#REF!</v>
      </c>
      <c r="BJ76" s="1248" t="e">
        <f t="shared" si="57"/>
        <v>#REF!</v>
      </c>
      <c r="BK76" s="1248" t="e">
        <f t="shared" si="57"/>
        <v>#REF!</v>
      </c>
      <c r="BL76" s="1248" t="e">
        <f t="shared" si="57"/>
        <v>#REF!</v>
      </c>
      <c r="BM76" s="1248" t="e">
        <f t="shared" si="57"/>
        <v>#REF!</v>
      </c>
      <c r="BN76" s="1248" t="e">
        <f t="shared" si="57"/>
        <v>#REF!</v>
      </c>
      <c r="BO76" s="1248" t="e">
        <f t="shared" si="57"/>
        <v>#REF!</v>
      </c>
      <c r="BP76" s="1248" t="e">
        <f t="shared" si="57"/>
        <v>#REF!</v>
      </c>
      <c r="BQ76" s="1250" t="e">
        <f t="shared" si="57"/>
        <v>#REF!</v>
      </c>
      <c r="BR76" s="1282" t="e">
        <f t="shared" si="57"/>
        <v>#REF!</v>
      </c>
      <c r="BS76" s="1248" t="e">
        <f t="shared" si="57"/>
        <v>#REF!</v>
      </c>
      <c r="BT76" s="1248" t="e">
        <f t="shared" si="57"/>
        <v>#REF!</v>
      </c>
      <c r="BU76" s="1248" t="e">
        <f t="shared" si="57"/>
        <v>#REF!</v>
      </c>
      <c r="BV76" s="1249" t="e">
        <f t="shared" si="57"/>
        <v>#REF!</v>
      </c>
      <c r="BW76" s="1248" t="e">
        <f t="shared" si="57"/>
        <v>#REF!</v>
      </c>
      <c r="BX76" s="1248" t="e">
        <f t="shared" si="57"/>
        <v>#REF!</v>
      </c>
      <c r="BY76" s="1250" t="e">
        <f t="shared" si="57"/>
        <v>#REF!</v>
      </c>
      <c r="BZ76" s="1248" t="e">
        <f t="shared" si="57"/>
        <v>#REF!</v>
      </c>
      <c r="CA76" s="1282" t="e">
        <f t="shared" ref="CA76:CI76" si="58">(CA17-CA10-CA11)-(CA40-CA32)</f>
        <v>#REF!</v>
      </c>
      <c r="CB76" s="1282" t="e">
        <f t="shared" si="58"/>
        <v>#REF!</v>
      </c>
      <c r="CC76" s="1282" t="e">
        <f t="shared" si="58"/>
        <v>#REF!</v>
      </c>
      <c r="CD76" s="1249">
        <f t="shared" si="58"/>
        <v>-298</v>
      </c>
      <c r="CE76" s="1282">
        <f t="shared" si="58"/>
        <v>-451</v>
      </c>
      <c r="CF76" s="1282">
        <f t="shared" si="58"/>
        <v>-383</v>
      </c>
      <c r="CG76" s="1282">
        <f>(CG17-CG10-CG11)-(CG40-CG32)</f>
        <v>-693</v>
      </c>
      <c r="CH76" s="1249">
        <f>(CH17-CH10-CH11)-(CH40-CH32)</f>
        <v>-391</v>
      </c>
      <c r="CI76" s="1248">
        <f t="shared" si="58"/>
        <v>-649</v>
      </c>
      <c r="CJ76" s="1248">
        <f>(CJ17-CJ10-CJ11)-(CJ40-CJ32)</f>
        <v>-939</v>
      </c>
      <c r="CK76" s="1248">
        <f ca="1">(CK17-CK10-CK11)-(CK40-CK32)</f>
        <v>-915</v>
      </c>
      <c r="CL76" s="1249">
        <f>(CL17-CL10-CL11)-(CL40-CL32)</f>
        <v>-830</v>
      </c>
      <c r="CM76" s="1170"/>
      <c r="CN76" s="1170"/>
      <c r="CO76" s="1170"/>
      <c r="CP76" s="1170"/>
      <c r="CQ76" s="1170"/>
      <c r="CR76" s="1170"/>
      <c r="CS76" s="1170"/>
      <c r="CT76" s="1198"/>
      <c r="CU76" s="1198"/>
    </row>
    <row r="77" spans="1:99" ht="12.75" customHeight="1">
      <c r="A77" s="1198" t="s">
        <v>245</v>
      </c>
      <c r="B77" s="1198"/>
      <c r="C77" s="1198"/>
      <c r="D77" s="1198"/>
      <c r="E77" s="1198"/>
      <c r="F77" s="1198"/>
      <c r="G77" s="1198"/>
      <c r="H77" s="1198"/>
      <c r="I77" s="1248"/>
      <c r="J77" s="1248">
        <f t="shared" ref="J77:O77" si="59">J76-I76</f>
        <v>-8</v>
      </c>
      <c r="K77" s="1248" t="e">
        <f t="shared" si="59"/>
        <v>#REF!</v>
      </c>
      <c r="L77" s="1248" t="e">
        <f t="shared" si="59"/>
        <v>#REF!</v>
      </c>
      <c r="M77" s="1248" t="e">
        <f t="shared" si="59"/>
        <v>#REF!</v>
      </c>
      <c r="N77" s="1248" t="e">
        <f t="shared" si="59"/>
        <v>#REF!</v>
      </c>
      <c r="O77" s="1282" t="e">
        <f t="shared" si="59"/>
        <v>#REF!</v>
      </c>
      <c r="P77" s="1282" t="e">
        <f>P76-O76</f>
        <v>#REF!</v>
      </c>
      <c r="Q77" s="1282"/>
      <c r="R77" s="1250">
        <f ca="1">R76-Q76</f>
        <v>-222</v>
      </c>
      <c r="S77" s="1248">
        <f ca="1">S76-R76</f>
        <v>915</v>
      </c>
      <c r="T77" s="1507"/>
      <c r="U77" s="1507"/>
      <c r="V77" s="1507"/>
      <c r="W77" s="1507"/>
      <c r="X77" s="1282"/>
      <c r="Y77" s="1282"/>
      <c r="Z77" s="1282"/>
      <c r="AA77" s="1282"/>
      <c r="AB77" s="1248"/>
      <c r="AC77" s="1248"/>
      <c r="AD77" s="1248"/>
      <c r="AE77" s="1248"/>
      <c r="AF77" s="1248"/>
      <c r="AG77" s="1519"/>
      <c r="AH77" s="1198"/>
      <c r="AI77" s="1198"/>
      <c r="AJ77" s="1198"/>
      <c r="AK77" s="1198"/>
      <c r="AL77" s="1198"/>
      <c r="AM77" s="1198"/>
      <c r="AN77" s="1198"/>
      <c r="AO77" s="1198"/>
      <c r="AP77" s="1198"/>
      <c r="AQ77" s="1198"/>
      <c r="AR77" s="1198"/>
      <c r="AS77" s="1198"/>
      <c r="AT77" s="1198"/>
      <c r="AU77" s="1198"/>
      <c r="AV77" s="1198"/>
      <c r="AW77" s="1198"/>
      <c r="AX77" s="1198"/>
      <c r="AY77" s="1198"/>
      <c r="AZ77" s="1198"/>
      <c r="BA77" s="1198"/>
      <c r="BB77" s="1248"/>
      <c r="BC77" s="1248"/>
      <c r="BD77" s="1248"/>
      <c r="BE77" s="1248"/>
      <c r="BF77" s="1248">
        <f t="shared" ref="BF77:CF77" si="60">BF76-BE76</f>
        <v>-344</v>
      </c>
      <c r="BG77" s="1248">
        <f t="shared" si="60"/>
        <v>127</v>
      </c>
      <c r="BH77" s="1248">
        <f t="shared" si="60"/>
        <v>-1643</v>
      </c>
      <c r="BI77" s="1248" t="e">
        <f t="shared" si="60"/>
        <v>#REF!</v>
      </c>
      <c r="BJ77" s="1248" t="e">
        <f t="shared" si="60"/>
        <v>#REF!</v>
      </c>
      <c r="BK77" s="1248" t="e">
        <f t="shared" si="60"/>
        <v>#REF!</v>
      </c>
      <c r="BL77" s="1248" t="e">
        <f t="shared" si="60"/>
        <v>#REF!</v>
      </c>
      <c r="BM77" s="1248" t="e">
        <f t="shared" si="60"/>
        <v>#REF!</v>
      </c>
      <c r="BN77" s="1248" t="e">
        <f t="shared" si="60"/>
        <v>#REF!</v>
      </c>
      <c r="BO77" s="1248" t="e">
        <f t="shared" si="60"/>
        <v>#REF!</v>
      </c>
      <c r="BP77" s="1248" t="e">
        <f t="shared" si="60"/>
        <v>#REF!</v>
      </c>
      <c r="BQ77" s="1250" t="e">
        <f t="shared" si="60"/>
        <v>#REF!</v>
      </c>
      <c r="BR77" s="1282" t="e">
        <f t="shared" si="60"/>
        <v>#REF!</v>
      </c>
      <c r="BS77" s="1248" t="e">
        <f t="shared" si="60"/>
        <v>#REF!</v>
      </c>
      <c r="BT77" s="1248" t="e">
        <f t="shared" si="60"/>
        <v>#REF!</v>
      </c>
      <c r="BU77" s="1248" t="e">
        <f t="shared" si="60"/>
        <v>#REF!</v>
      </c>
      <c r="BV77" s="1249" t="e">
        <f t="shared" si="60"/>
        <v>#REF!</v>
      </c>
      <c r="BW77" s="1248" t="e">
        <f t="shared" si="60"/>
        <v>#REF!</v>
      </c>
      <c r="BX77" s="1248" t="e">
        <f t="shared" si="60"/>
        <v>#REF!</v>
      </c>
      <c r="BY77" s="1250" t="e">
        <f t="shared" si="60"/>
        <v>#REF!</v>
      </c>
      <c r="BZ77" s="1248" t="e">
        <f t="shared" si="60"/>
        <v>#REF!</v>
      </c>
      <c r="CA77" s="1282" t="e">
        <f t="shared" si="60"/>
        <v>#REF!</v>
      </c>
      <c r="CB77" s="1282" t="e">
        <f t="shared" si="60"/>
        <v>#REF!</v>
      </c>
      <c r="CC77" s="1282" t="e">
        <f t="shared" si="60"/>
        <v>#REF!</v>
      </c>
      <c r="CD77" s="1249"/>
      <c r="CE77" s="1282">
        <f t="shared" si="60"/>
        <v>-153</v>
      </c>
      <c r="CF77" s="1282">
        <f t="shared" si="60"/>
        <v>68</v>
      </c>
      <c r="CG77" s="1282">
        <f t="shared" ref="CG77:CL77" si="61">CG76-CF76</f>
        <v>-310</v>
      </c>
      <c r="CH77" s="1249">
        <f t="shared" si="61"/>
        <v>302</v>
      </c>
      <c r="CI77" s="1248">
        <f t="shared" si="61"/>
        <v>-258</v>
      </c>
      <c r="CJ77" s="1248">
        <f t="shared" si="61"/>
        <v>-290</v>
      </c>
      <c r="CK77" s="1248">
        <f t="shared" ca="1" si="61"/>
        <v>24</v>
      </c>
      <c r="CL77" s="1249">
        <f t="shared" ca="1" si="61"/>
        <v>85</v>
      </c>
      <c r="CM77" s="1170"/>
      <c r="CN77" s="1170"/>
      <c r="CO77" s="1170"/>
      <c r="CP77" s="1170"/>
      <c r="CQ77" s="1170"/>
      <c r="CR77" s="1170"/>
      <c r="CS77" s="1170"/>
      <c r="CT77" s="1198"/>
      <c r="CU77" s="1198"/>
    </row>
    <row r="78" spans="1:99" ht="3.75" customHeight="1">
      <c r="A78" s="1198"/>
      <c r="B78" s="1198"/>
      <c r="C78" s="1198"/>
      <c r="D78" s="1198"/>
      <c r="E78" s="1198"/>
      <c r="F78" s="1198"/>
      <c r="G78" s="1198"/>
      <c r="H78" s="1198"/>
      <c r="I78" s="1198"/>
      <c r="J78" s="1198"/>
      <c r="K78" s="1198"/>
      <c r="L78" s="1198"/>
      <c r="M78" s="1198"/>
      <c r="N78" s="1198"/>
      <c r="O78" s="1170"/>
      <c r="P78" s="1170"/>
      <c r="Q78" s="1170"/>
      <c r="R78" s="1360"/>
      <c r="S78" s="1198"/>
      <c r="T78" s="1507"/>
      <c r="U78" s="1507"/>
      <c r="V78" s="1507"/>
      <c r="W78" s="1507"/>
      <c r="X78" s="1282"/>
      <c r="Y78" s="1282"/>
      <c r="Z78" s="1282"/>
      <c r="AA78" s="1282"/>
      <c r="AB78" s="1248"/>
      <c r="AC78" s="1248"/>
      <c r="AD78" s="1248"/>
      <c r="AE78" s="1248"/>
      <c r="AF78" s="1248"/>
      <c r="AG78" s="1519"/>
      <c r="AH78" s="1198"/>
      <c r="AI78" s="1198"/>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360"/>
      <c r="BR78" s="1170"/>
      <c r="BS78" s="1198"/>
      <c r="BT78" s="1198"/>
      <c r="BU78" s="1198"/>
      <c r="BV78" s="1359"/>
      <c r="BW78" s="1198"/>
      <c r="BX78" s="1198"/>
      <c r="BY78" s="1360"/>
      <c r="BZ78" s="1198"/>
      <c r="CA78" s="1170"/>
      <c r="CB78" s="1170"/>
      <c r="CC78" s="1170"/>
      <c r="CD78" s="1359"/>
      <c r="CE78" s="1170"/>
      <c r="CF78" s="1170"/>
      <c r="CG78" s="1170"/>
      <c r="CH78" s="1359"/>
      <c r="CI78" s="1198"/>
      <c r="CJ78" s="1198"/>
      <c r="CK78" s="1198"/>
      <c r="CL78" s="1359"/>
      <c r="CM78" s="1170"/>
      <c r="CN78" s="1170"/>
      <c r="CO78" s="1170"/>
      <c r="CP78" s="1170"/>
      <c r="CQ78" s="1170"/>
      <c r="CR78" s="1170"/>
      <c r="CS78" s="1170"/>
      <c r="CT78" s="1198"/>
      <c r="CU78" s="1198"/>
    </row>
    <row r="79" spans="1:99" ht="12.75" customHeight="1">
      <c r="A79" s="1213" t="s">
        <v>959</v>
      </c>
      <c r="B79" s="1198"/>
      <c r="C79" s="1198"/>
      <c r="D79" s="1198"/>
      <c r="E79" s="1198"/>
      <c r="F79" s="1198"/>
      <c r="G79" s="1198"/>
      <c r="H79" s="1198"/>
      <c r="I79" s="1198"/>
      <c r="J79" s="1198"/>
      <c r="K79" s="1198"/>
      <c r="L79" s="1198"/>
      <c r="M79" s="1198"/>
      <c r="N79" s="1248"/>
      <c r="O79" s="1170"/>
      <c r="P79" s="1170"/>
      <c r="Q79" s="1170"/>
      <c r="R79" s="1360"/>
      <c r="S79" s="1198"/>
      <c r="T79" s="1507"/>
      <c r="U79" s="1507"/>
      <c r="V79" s="1507"/>
      <c r="W79" s="1507"/>
      <c r="X79" s="1282"/>
      <c r="Y79" s="1282"/>
      <c r="Z79" s="1282"/>
      <c r="AA79" s="1282"/>
      <c r="AB79" s="1282"/>
      <c r="AC79" s="1282"/>
      <c r="AD79" s="1282"/>
      <c r="AE79" s="1282"/>
      <c r="AF79" s="1282"/>
      <c r="AG79" s="1517"/>
      <c r="AH79" s="1170"/>
      <c r="AI79" s="1170"/>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c r="BO79" s="1170"/>
      <c r="BP79" s="1170"/>
      <c r="BQ79" s="1360"/>
      <c r="BR79" s="1170"/>
      <c r="BS79" s="1170"/>
      <c r="BT79" s="1170"/>
      <c r="BU79" s="1360"/>
      <c r="BV79" s="1170"/>
      <c r="BW79" s="1170"/>
      <c r="BX79" s="1170"/>
      <c r="BY79" s="1360"/>
      <c r="BZ79" s="1170"/>
      <c r="CA79" s="1170"/>
      <c r="CB79" s="1170"/>
      <c r="CC79" s="1170"/>
      <c r="CD79" s="1359"/>
      <c r="CE79" s="1170"/>
      <c r="CF79" s="1170"/>
      <c r="CG79" s="1170"/>
      <c r="CH79" s="1359"/>
      <c r="CI79" s="1198"/>
      <c r="CJ79" s="1198"/>
      <c r="CK79" s="1198"/>
      <c r="CL79" s="1359"/>
      <c r="CM79" s="1170"/>
      <c r="CN79" s="1170"/>
      <c r="CO79" s="1170"/>
      <c r="CP79" s="1170"/>
      <c r="CQ79" s="1170"/>
      <c r="CR79" s="1170"/>
      <c r="CS79" s="1170"/>
      <c r="CT79" s="1198"/>
      <c r="CU79" s="1198"/>
    </row>
    <row r="80" spans="1:99" ht="12.75" customHeight="1">
      <c r="A80" s="1198" t="s">
        <v>960</v>
      </c>
      <c r="B80" s="1198"/>
      <c r="C80" s="1198"/>
      <c r="D80" s="1198"/>
      <c r="E80" s="1198"/>
      <c r="F80" s="1198"/>
      <c r="G80" s="1198"/>
      <c r="H80" s="1248"/>
      <c r="I80" s="1248"/>
      <c r="J80" s="1248">
        <f t="shared" ref="J80:O80" si="62">J32+J41</f>
        <v>22540</v>
      </c>
      <c r="K80" s="1248">
        <f t="shared" si="62"/>
        <v>17508</v>
      </c>
      <c r="L80" s="1248">
        <f t="shared" si="62"/>
        <v>17286</v>
      </c>
      <c r="M80" s="1248">
        <f t="shared" si="62"/>
        <v>15480</v>
      </c>
      <c r="N80" s="1248">
        <f t="shared" si="62"/>
        <v>14892</v>
      </c>
      <c r="O80" s="1282">
        <f t="shared" si="62"/>
        <v>14251</v>
      </c>
      <c r="P80" s="1282">
        <f>P32+P41</f>
        <v>13555</v>
      </c>
      <c r="Q80" s="1282">
        <f>Q32+Q41</f>
        <v>14200</v>
      </c>
      <c r="R80" s="1250">
        <f>R32+R41</f>
        <v>11947</v>
      </c>
      <c r="S80" s="1248">
        <f>S32+S41</f>
        <v>0</v>
      </c>
      <c r="T80" s="1507"/>
      <c r="U80" s="1507"/>
      <c r="V80" s="1507"/>
      <c r="W80" s="1507"/>
      <c r="X80" s="1282"/>
      <c r="Y80" s="1282"/>
      <c r="Z80" s="1282"/>
      <c r="AA80" s="1282"/>
      <c r="AB80" s="1282"/>
      <c r="AC80" s="1282"/>
      <c r="AD80" s="1282"/>
      <c r="AE80" s="1282"/>
      <c r="AF80" s="1282"/>
      <c r="AG80" s="1517"/>
      <c r="AH80" s="1170"/>
      <c r="AI80" s="1170"/>
      <c r="AJ80" s="1170"/>
      <c r="AK80" s="1170"/>
      <c r="AL80" s="1170"/>
      <c r="AM80" s="1170"/>
      <c r="AN80" s="1170"/>
      <c r="AO80" s="1170"/>
      <c r="AP80" s="1170"/>
      <c r="AQ80" s="1170"/>
      <c r="AR80" s="1170"/>
      <c r="AS80" s="1170"/>
      <c r="AT80" s="1170"/>
      <c r="AU80" s="1170"/>
      <c r="AV80" s="1170"/>
      <c r="AW80" s="1170"/>
      <c r="AX80" s="1170"/>
      <c r="AY80" s="1170"/>
      <c r="AZ80" s="1170"/>
      <c r="BA80" s="1170"/>
      <c r="BB80" s="1282"/>
      <c r="BC80" s="1282"/>
      <c r="BD80" s="1282"/>
      <c r="BE80" s="1282"/>
      <c r="BF80" s="1282">
        <f t="shared" ref="BF80:BZ80" si="63">BF32+BF41</f>
        <v>22285</v>
      </c>
      <c r="BG80" s="1282">
        <f t="shared" si="63"/>
        <v>22477</v>
      </c>
      <c r="BH80" s="1282">
        <f t="shared" si="63"/>
        <v>21273</v>
      </c>
      <c r="BI80" s="1282">
        <f t="shared" si="63"/>
        <v>17508</v>
      </c>
      <c r="BJ80" s="1282">
        <f t="shared" si="63"/>
        <v>17540</v>
      </c>
      <c r="BK80" s="1282">
        <f t="shared" si="63"/>
        <v>17243</v>
      </c>
      <c r="BL80" s="1282">
        <f t="shared" si="63"/>
        <v>17197</v>
      </c>
      <c r="BM80" s="1282">
        <f t="shared" si="63"/>
        <v>17286</v>
      </c>
      <c r="BN80" s="1282">
        <f t="shared" si="63"/>
        <v>17292</v>
      </c>
      <c r="BO80" s="1282">
        <f t="shared" si="63"/>
        <v>17548</v>
      </c>
      <c r="BP80" s="1282">
        <f t="shared" si="63"/>
        <v>17229</v>
      </c>
      <c r="BQ80" s="1250">
        <f t="shared" si="63"/>
        <v>15480</v>
      </c>
      <c r="BR80" s="1282">
        <f t="shared" si="63"/>
        <v>15438</v>
      </c>
      <c r="BS80" s="1282">
        <f t="shared" si="63"/>
        <v>15376</v>
      </c>
      <c r="BT80" s="1282">
        <f t="shared" si="63"/>
        <v>14913</v>
      </c>
      <c r="BU80" s="1250">
        <f t="shared" si="63"/>
        <v>14892</v>
      </c>
      <c r="BV80" s="1282">
        <f t="shared" si="63"/>
        <v>14887</v>
      </c>
      <c r="BW80" s="1282">
        <f t="shared" si="63"/>
        <v>14511</v>
      </c>
      <c r="BX80" s="1282">
        <f t="shared" si="63"/>
        <v>14506</v>
      </c>
      <c r="BY80" s="1250">
        <f>BY32+BY41</f>
        <v>14251</v>
      </c>
      <c r="BZ80" s="1282">
        <f t="shared" si="63"/>
        <v>14113</v>
      </c>
      <c r="CA80" s="1282">
        <f t="shared" ref="CA80:CI80" si="64">CA32+CA41</f>
        <v>14092</v>
      </c>
      <c r="CB80" s="1282">
        <f t="shared" si="64"/>
        <v>13939</v>
      </c>
      <c r="CC80" s="1282">
        <f t="shared" si="64"/>
        <v>13555</v>
      </c>
      <c r="CD80" s="1249">
        <f t="shared" si="64"/>
        <v>13342</v>
      </c>
      <c r="CE80" s="1282">
        <f t="shared" si="64"/>
        <v>14123</v>
      </c>
      <c r="CF80" s="1282">
        <f t="shared" si="64"/>
        <v>14135</v>
      </c>
      <c r="CG80" s="1282">
        <f>CG32+CG41</f>
        <v>14200</v>
      </c>
      <c r="CH80" s="1249">
        <f>CH32+CH41</f>
        <v>13546</v>
      </c>
      <c r="CI80" s="1248">
        <f t="shared" si="64"/>
        <v>13083</v>
      </c>
      <c r="CJ80" s="1248">
        <f>CJ32+CJ41</f>
        <v>12979</v>
      </c>
      <c r="CK80" s="1248">
        <f>CK32+CK41</f>
        <v>11947</v>
      </c>
      <c r="CL80" s="1249">
        <f>CL32+CL41</f>
        <v>11777</v>
      </c>
      <c r="CM80" s="1170"/>
      <c r="CN80" s="1170"/>
      <c r="CO80" s="1170"/>
      <c r="CP80" s="1170"/>
      <c r="CQ80" s="1170"/>
      <c r="CR80" s="1170"/>
      <c r="CS80" s="1170"/>
      <c r="CT80" s="1198"/>
      <c r="CU80" s="1198"/>
    </row>
    <row r="81" spans="1:99" ht="12.75" customHeight="1">
      <c r="A81" s="1198" t="s">
        <v>961</v>
      </c>
      <c r="B81" s="1198"/>
      <c r="C81" s="1198"/>
      <c r="D81" s="1198"/>
      <c r="E81" s="1198"/>
      <c r="F81" s="1198"/>
      <c r="G81" s="1198"/>
      <c r="H81" s="1198"/>
      <c r="I81" s="1248"/>
      <c r="J81" s="1248">
        <f t="shared" ref="J81:O81" si="65">AVERAGE(I80:J80)</f>
        <v>22540</v>
      </c>
      <c r="K81" s="1248">
        <f t="shared" si="65"/>
        <v>20024</v>
      </c>
      <c r="L81" s="1248">
        <f t="shared" si="65"/>
        <v>17397</v>
      </c>
      <c r="M81" s="1248">
        <f t="shared" si="65"/>
        <v>16383</v>
      </c>
      <c r="N81" s="1248">
        <f t="shared" si="65"/>
        <v>15186</v>
      </c>
      <c r="O81" s="1282">
        <f t="shared" si="65"/>
        <v>14571.5</v>
      </c>
      <c r="P81" s="1282">
        <f>AVERAGE(O80:P80)</f>
        <v>13903</v>
      </c>
      <c r="Q81" s="1282">
        <f>AVERAGE(P80:Q80)</f>
        <v>13877.5</v>
      </c>
      <c r="R81" s="1250">
        <f>AVERAGE(Q80:R80)</f>
        <v>13073.5</v>
      </c>
      <c r="S81" s="1248">
        <f>AVERAGE(R80:S80)</f>
        <v>5973.5</v>
      </c>
      <c r="T81" s="1507"/>
      <c r="U81" s="1507"/>
      <c r="V81" s="1507"/>
      <c r="W81" s="1507"/>
      <c r="X81" s="1282"/>
      <c r="Y81" s="1282"/>
      <c r="Z81" s="1282"/>
      <c r="AA81" s="1282"/>
      <c r="AB81" s="1282"/>
      <c r="AC81" s="1282"/>
      <c r="AD81" s="1282"/>
      <c r="AE81" s="1282"/>
      <c r="AF81" s="1282"/>
      <c r="AG81" s="1517"/>
      <c r="AH81" s="1170"/>
      <c r="AI81" s="1170"/>
      <c r="AJ81" s="1170"/>
      <c r="AK81" s="1170"/>
      <c r="AL81" s="1170"/>
      <c r="AM81" s="1170"/>
      <c r="AN81" s="1170"/>
      <c r="AO81" s="1170"/>
      <c r="AP81" s="1170"/>
      <c r="AQ81" s="1170"/>
      <c r="AR81" s="1170"/>
      <c r="AS81" s="1170"/>
      <c r="AT81" s="1170"/>
      <c r="AU81" s="1170"/>
      <c r="AV81" s="1170"/>
      <c r="AW81" s="1170"/>
      <c r="AX81" s="1170"/>
      <c r="AY81" s="1170"/>
      <c r="AZ81" s="1170"/>
      <c r="BA81" s="1170"/>
      <c r="BB81" s="1282"/>
      <c r="BC81" s="1282"/>
      <c r="BD81" s="1282"/>
      <c r="BE81" s="1282"/>
      <c r="BF81" s="1282">
        <f t="shared" ref="BF81:CF81" si="66">AVERAGE(BE80:BF80)</f>
        <v>22285</v>
      </c>
      <c r="BG81" s="1282">
        <f t="shared" si="66"/>
        <v>22381</v>
      </c>
      <c r="BH81" s="1282">
        <f t="shared" si="66"/>
        <v>21875</v>
      </c>
      <c r="BI81" s="1282">
        <f t="shared" si="66"/>
        <v>19390.5</v>
      </c>
      <c r="BJ81" s="1282">
        <f t="shared" si="66"/>
        <v>17524</v>
      </c>
      <c r="BK81" s="1282">
        <f t="shared" si="66"/>
        <v>17391.5</v>
      </c>
      <c r="BL81" s="1282">
        <f t="shared" si="66"/>
        <v>17220</v>
      </c>
      <c r="BM81" s="1282">
        <f t="shared" si="66"/>
        <v>17241.5</v>
      </c>
      <c r="BN81" s="1282">
        <f t="shared" si="66"/>
        <v>17289</v>
      </c>
      <c r="BO81" s="1282">
        <f t="shared" si="66"/>
        <v>17420</v>
      </c>
      <c r="BP81" s="1282">
        <f t="shared" si="66"/>
        <v>17388.5</v>
      </c>
      <c r="BQ81" s="1250">
        <f t="shared" si="66"/>
        <v>16354.5</v>
      </c>
      <c r="BR81" s="1282">
        <f t="shared" si="66"/>
        <v>15459</v>
      </c>
      <c r="BS81" s="1282">
        <f t="shared" si="66"/>
        <v>15407</v>
      </c>
      <c r="BT81" s="1282">
        <f t="shared" si="66"/>
        <v>15144.5</v>
      </c>
      <c r="BU81" s="1250">
        <f t="shared" si="66"/>
        <v>14902.5</v>
      </c>
      <c r="BV81" s="1282">
        <f t="shared" si="66"/>
        <v>14889.5</v>
      </c>
      <c r="BW81" s="1282">
        <f t="shared" si="66"/>
        <v>14699</v>
      </c>
      <c r="BX81" s="1282">
        <f t="shared" si="66"/>
        <v>14508.5</v>
      </c>
      <c r="BY81" s="1250">
        <f t="shared" si="66"/>
        <v>14378.5</v>
      </c>
      <c r="BZ81" s="1282">
        <f t="shared" si="66"/>
        <v>14182</v>
      </c>
      <c r="CA81" s="1282">
        <f t="shared" si="66"/>
        <v>14102.5</v>
      </c>
      <c r="CB81" s="1282">
        <f t="shared" si="66"/>
        <v>14015.5</v>
      </c>
      <c r="CC81" s="1282">
        <f t="shared" si="66"/>
        <v>13747</v>
      </c>
      <c r="CD81" s="1249">
        <f t="shared" si="66"/>
        <v>13448.5</v>
      </c>
      <c r="CE81" s="1282">
        <f t="shared" si="66"/>
        <v>13732.5</v>
      </c>
      <c r="CF81" s="1282">
        <f t="shared" si="66"/>
        <v>14129</v>
      </c>
      <c r="CG81" s="1282">
        <f t="shared" ref="CG81:CL81" si="67">AVERAGE(CF80:CG80)</f>
        <v>14167.5</v>
      </c>
      <c r="CH81" s="1249">
        <f t="shared" si="67"/>
        <v>13873</v>
      </c>
      <c r="CI81" s="1248">
        <f t="shared" si="67"/>
        <v>13314.5</v>
      </c>
      <c r="CJ81" s="1248">
        <f t="shared" si="67"/>
        <v>13031</v>
      </c>
      <c r="CK81" s="1248">
        <f t="shared" si="67"/>
        <v>12463</v>
      </c>
      <c r="CL81" s="1249">
        <f t="shared" si="67"/>
        <v>11862</v>
      </c>
      <c r="CM81" s="1170"/>
      <c r="CN81" s="1170"/>
      <c r="CO81" s="1170"/>
      <c r="CP81" s="1170"/>
      <c r="CQ81" s="1170"/>
      <c r="CR81" s="1170"/>
      <c r="CS81" s="1170"/>
      <c r="CT81" s="1198"/>
      <c r="CU81" s="1198"/>
    </row>
    <row r="82" spans="1:99" ht="12.75" customHeight="1">
      <c r="A82" s="1198" t="s">
        <v>970</v>
      </c>
      <c r="B82" s="1198"/>
      <c r="C82" s="1198"/>
      <c r="D82" s="1198"/>
      <c r="E82" s="1198"/>
      <c r="F82" s="1198"/>
      <c r="G82" s="1198"/>
      <c r="H82" s="1227"/>
      <c r="I82" s="1227"/>
      <c r="J82" s="1227">
        <f>Q_IS!J62/Q_BS!J81</f>
        <v>7.9370008873114462E-2</v>
      </c>
      <c r="K82" s="1227">
        <f>Q_IS!K62/Q_BS!K81</f>
        <v>8.7744706352377147E-2</v>
      </c>
      <c r="L82" s="1227">
        <f>Q_IS!L62/Q_BS!L81</f>
        <v>8.8003678795194579E-2</v>
      </c>
      <c r="M82" s="1227">
        <f>Q_IS!M62/Q_BS!M81</f>
        <v>9.052066166147836E-2</v>
      </c>
      <c r="N82" s="1227">
        <f>Q_IS!N62/Q_BS!N81</f>
        <v>7.6978796259712892E-2</v>
      </c>
      <c r="O82" s="1229">
        <f>Q_IS!O62/Q_BS!O81</f>
        <v>7.8166283498610295E-2</v>
      </c>
      <c r="P82" s="1229">
        <f>Q_IS!P62/Q_BS!P81</f>
        <v>7.6889879882039852E-2</v>
      </c>
      <c r="Q82" s="1229">
        <f>Q_IS!Q62/Q_BS!Q81</f>
        <v>7.8472347324806346E-2</v>
      </c>
      <c r="R82" s="1230">
        <f>Q_IS!R62/Q_BS!R81</f>
        <v>7.9473744597850615E-2</v>
      </c>
      <c r="S82" s="1227">
        <f>Q_IS!S62/Q_BS!S81</f>
        <v>3.8001171842303505E-2</v>
      </c>
      <c r="T82" s="1507"/>
      <c r="U82" s="1507"/>
      <c r="V82" s="1507"/>
      <c r="W82" s="1507"/>
      <c r="X82" s="1282"/>
      <c r="Y82" s="1282"/>
      <c r="Z82" s="1282"/>
      <c r="AA82" s="1282"/>
      <c r="AB82" s="1282"/>
      <c r="AC82" s="1282"/>
      <c r="AD82" s="1282"/>
      <c r="AE82" s="1282"/>
      <c r="AF82" s="1282"/>
      <c r="AG82" s="1517"/>
      <c r="AH82" s="1170"/>
      <c r="AI82" s="1170"/>
      <c r="AJ82" s="1170"/>
      <c r="AK82" s="1170"/>
      <c r="AL82" s="1170"/>
      <c r="AM82" s="1170"/>
      <c r="AN82" s="1170"/>
      <c r="AO82" s="1170"/>
      <c r="AP82" s="1170"/>
      <c r="AQ82" s="1170"/>
      <c r="AR82" s="1170"/>
      <c r="AS82" s="1170"/>
      <c r="AT82" s="1170"/>
      <c r="AU82" s="1170"/>
      <c r="AV82" s="1170"/>
      <c r="AW82" s="1170"/>
      <c r="AX82" s="1170"/>
      <c r="AY82" s="1170"/>
      <c r="AZ82" s="1170"/>
      <c r="BA82" s="1170"/>
      <c r="BB82" s="1229"/>
      <c r="BC82" s="1229"/>
      <c r="BD82" s="1229"/>
      <c r="BE82" s="1229"/>
      <c r="BF82" s="1229">
        <f>Q_IS!BF62/Q_BS!BF80*4</f>
        <v>7.8976890284945034E-2</v>
      </c>
      <c r="BG82" s="1229">
        <f>Q_IS!BG62/Q_BS!BG80*4</f>
        <v>7.9014103305601283E-2</v>
      </c>
      <c r="BH82" s="1229">
        <f>Q_IS!BH62/Q_BS!BH80*4</f>
        <v>8.2169886710854137E-2</v>
      </c>
      <c r="BI82" s="1229">
        <f>Q_IS!BI62/Q_BS!BI81*4</f>
        <v>8.99409504654341E-2</v>
      </c>
      <c r="BJ82" s="1229">
        <f>Q_IS!BJ62/Q_BS!BJ81*4</f>
        <v>9.0618580232823556E-2</v>
      </c>
      <c r="BK82" s="1229">
        <f>Q_IS!BK62/Q_BS!BK81*4</f>
        <v>9.0618980536468968E-2</v>
      </c>
      <c r="BL82" s="1229">
        <f>Q_IS!BL62/Q_BS!BL81*4</f>
        <v>8.6875725900116149E-2</v>
      </c>
      <c r="BM82" s="1229">
        <f>Q_IS!BM62/Q_BS!BM81*4</f>
        <v>8.4911405620160654E-2</v>
      </c>
      <c r="BN82" s="1229">
        <f>Q_IS!BN62/Q_BS!BN81*4</f>
        <v>8.8148533749783098E-2</v>
      </c>
      <c r="BO82" s="1229">
        <f>Q_IS!BO62/Q_BS!BO81*4</f>
        <v>8.7256027554535015E-2</v>
      </c>
      <c r="BP82" s="1229">
        <f>Q_IS!BP62/Q_BS!BP81*4</f>
        <v>8.8334243896828368E-2</v>
      </c>
      <c r="BQ82" s="1230">
        <f>Q_IS!BQ62/Q_BS!BQ81*4</f>
        <v>8.2668378733681866E-2</v>
      </c>
      <c r="BR82" s="1229">
        <f>Q_IS!BR62/Q_BS!BR81*4</f>
        <v>7.6589688854389035E-2</v>
      </c>
      <c r="BS82" s="1229">
        <f>Q_IS!BS62/Q_BS!BS81*4</f>
        <v>7.7367430388784325E-2</v>
      </c>
      <c r="BT82" s="1229">
        <f>Q_IS!BT62/Q_BS!BT81*4</f>
        <v>7.6859585988312593E-2</v>
      </c>
      <c r="BU82" s="1230">
        <f>Q_IS!BU62/Q_BS!BU81*4</f>
        <v>7.6228820667673211E-2</v>
      </c>
      <c r="BV82" s="1229">
        <f>Q_IS!BV62/Q_BS!BV81*4</f>
        <v>7.8444541455388025E-2</v>
      </c>
      <c r="BW82" s="1229">
        <f>Q_IS!BW62/Q_BS!BW81*4</f>
        <v>7.7556296346690257E-2</v>
      </c>
      <c r="BX82" s="1229">
        <f>Q_IS!BX62/Q_BS!BX81*4</f>
        <v>7.8023227763035469E-2</v>
      </c>
      <c r="BY82" s="1230">
        <f>Q_IS!BY62/Q_BS!BY81*4</f>
        <v>7.7615884828041867E-2</v>
      </c>
      <c r="BZ82" s="1229">
        <f>Q_IS!BZ62/Q_BS!BZ81*4</f>
        <v>7.6716965167113238E-2</v>
      </c>
      <c r="CA82" s="1227">
        <f>Q_IS!CA62/Q_BS!CA81*4</f>
        <v>7.6582166282574013E-2</v>
      </c>
      <c r="CB82" s="1227">
        <f>Q_IS!CB62/Q_BS!CB81*4</f>
        <v>7.5059755270950018E-2</v>
      </c>
      <c r="CC82" s="1227">
        <f>Q_IS!CC62/Q_BS!CC81*4</f>
        <v>7.681676002036808E-2</v>
      </c>
      <c r="CD82" s="1231">
        <f>Q_IS!CD62/Q_BS!CD81*4</f>
        <v>7.7332044465925565E-2</v>
      </c>
      <c r="CE82" s="1227">
        <f>Q_IS!CE62/Q_BS!CE81*4</f>
        <v>8.0393227744401968E-2</v>
      </c>
      <c r="CF82" s="1227">
        <f>Q_IS!CF62/Q_BS!CF81*4</f>
        <v>7.7570953358341008E-2</v>
      </c>
      <c r="CG82" s="1227">
        <f>Q_IS!CG62/Q_BS!CG81*4</f>
        <v>7.8771836950767601E-2</v>
      </c>
      <c r="CH82" s="1231">
        <f>Q_IS!CH62/Q_BS!CH81*4</f>
        <v>8.0444027967995393E-2</v>
      </c>
      <c r="CI82" s="1290">
        <f>Q_IS!CI62/Q_BS!CI81*4</f>
        <v>7.9612452589282359E-2</v>
      </c>
      <c r="CJ82" s="1290">
        <f>Q_IS!CJ62/Q_BS!CJ81*4</f>
        <v>7.8274882971375956E-2</v>
      </c>
      <c r="CK82" s="1290">
        <f>Q_IS!CK62/Q_BS!CK81*4</f>
        <v>7.7028002888550107E-2</v>
      </c>
      <c r="CL82" s="1289">
        <f>Q_IS!CL62/Q_BS!CL81*4</f>
        <v>7.654695666835272E-2</v>
      </c>
      <c r="CM82" s="1170"/>
      <c r="CN82" s="1170"/>
      <c r="CO82" s="1170"/>
      <c r="CP82" s="1170"/>
      <c r="CQ82" s="1170"/>
      <c r="CR82" s="1170"/>
      <c r="CS82" s="1170"/>
      <c r="CT82" s="1198"/>
      <c r="CU82" s="1198"/>
    </row>
    <row r="83" spans="1:99" ht="12.75" customHeight="1">
      <c r="A83" s="1198" t="s">
        <v>865</v>
      </c>
      <c r="B83" s="1198"/>
      <c r="C83" s="1198"/>
      <c r="D83" s="1198"/>
      <c r="E83" s="1198"/>
      <c r="F83" s="1198"/>
      <c r="G83" s="1198"/>
      <c r="H83" s="1198"/>
      <c r="I83" s="1198"/>
      <c r="J83" s="1248">
        <v>1779</v>
      </c>
      <c r="K83" s="1248">
        <v>1757</v>
      </c>
      <c r="L83" s="1248">
        <f>SUM(BJ83:BM83)</f>
        <v>1531</v>
      </c>
      <c r="M83" s="1248">
        <f>SUM(BN83:BQ83)</f>
        <v>1483</v>
      </c>
      <c r="N83" s="1248">
        <f>SUM(BR83:BU83)</f>
        <v>1169</v>
      </c>
      <c r="O83" s="1282">
        <f>SUM(BV83:BY83)</f>
        <v>1095</v>
      </c>
      <c r="P83" s="1308">
        <f>SUM(BZ83:CC83)</f>
        <v>1069</v>
      </c>
      <c r="Q83" s="1308">
        <f>SUM(CD83:CG83)</f>
        <v>1089</v>
      </c>
      <c r="R83" s="1309">
        <f>SUM(CH83:CK83)</f>
        <v>1039</v>
      </c>
      <c r="S83" s="1307">
        <f>SUM(CL83:CO83)</f>
        <v>227</v>
      </c>
      <c r="T83" s="1507"/>
      <c r="U83" s="1507"/>
      <c r="V83" s="1507"/>
      <c r="W83" s="1507"/>
      <c r="X83" s="1282"/>
      <c r="Y83" s="1282"/>
      <c r="Z83" s="1282"/>
      <c r="AA83" s="1282"/>
      <c r="AB83" s="1282"/>
      <c r="AC83" s="1282"/>
      <c r="AD83" s="1282"/>
      <c r="AE83" s="1282"/>
      <c r="AF83" s="1282"/>
      <c r="AG83" s="1517"/>
      <c r="AH83" s="1170"/>
      <c r="AI83" s="1170"/>
      <c r="AJ83" s="1170"/>
      <c r="AK83" s="1170"/>
      <c r="AL83" s="1170"/>
      <c r="AM83" s="1170"/>
      <c r="AN83" s="1170"/>
      <c r="AO83" s="1170"/>
      <c r="AP83" s="1170"/>
      <c r="AQ83" s="1170"/>
      <c r="AR83" s="1170"/>
      <c r="AS83" s="1170"/>
      <c r="AT83" s="1170"/>
      <c r="AU83" s="1170"/>
      <c r="AV83" s="1170"/>
      <c r="AW83" s="1170"/>
      <c r="AX83" s="1170"/>
      <c r="AY83" s="1170"/>
      <c r="AZ83" s="1170"/>
      <c r="BA83" s="1170"/>
      <c r="BB83" s="1282"/>
      <c r="BC83" s="1282"/>
      <c r="BD83" s="1282"/>
      <c r="BE83" s="1282"/>
      <c r="BF83" s="1282">
        <v>440</v>
      </c>
      <c r="BG83" s="1282">
        <v>444</v>
      </c>
      <c r="BH83" s="1282">
        <v>437</v>
      </c>
      <c r="BI83" s="1282">
        <v>436</v>
      </c>
      <c r="BJ83" s="1282">
        <v>397</v>
      </c>
      <c r="BK83" s="1282">
        <v>394</v>
      </c>
      <c r="BL83" s="1282">
        <v>374</v>
      </c>
      <c r="BM83" s="1282">
        <v>366</v>
      </c>
      <c r="BN83" s="1282">
        <v>381</v>
      </c>
      <c r="BO83" s="1282">
        <v>380</v>
      </c>
      <c r="BP83" s="1282">
        <v>384</v>
      </c>
      <c r="BQ83" s="1250">
        <v>338</v>
      </c>
      <c r="BR83" s="1282">
        <v>296</v>
      </c>
      <c r="BS83" s="1282">
        <v>298</v>
      </c>
      <c r="BT83" s="1282">
        <v>291</v>
      </c>
      <c r="BU83" s="1250">
        <v>284</v>
      </c>
      <c r="BV83" s="1282">
        <v>282</v>
      </c>
      <c r="BW83" s="1282">
        <v>274</v>
      </c>
      <c r="BX83" s="1282">
        <v>272</v>
      </c>
      <c r="BY83" s="1250">
        <v>267</v>
      </c>
      <c r="BZ83" s="1308">
        <f>Q_IS!BZ62</f>
        <v>272</v>
      </c>
      <c r="CA83" s="1308">
        <f>Q_IS!CA62</f>
        <v>270</v>
      </c>
      <c r="CB83" s="1308">
        <f>Q_IS!CB62</f>
        <v>263</v>
      </c>
      <c r="CC83" s="1308">
        <f>Q_IS!CC62</f>
        <v>264</v>
      </c>
      <c r="CD83" s="1426">
        <f>Q_IS!CD62</f>
        <v>260</v>
      </c>
      <c r="CE83" s="1308">
        <f>Q_IS!CE62</f>
        <v>276</v>
      </c>
      <c r="CF83" s="1308">
        <f>Q_IS!CF62</f>
        <v>274</v>
      </c>
      <c r="CG83" s="1308">
        <f>Q_IS!CG62</f>
        <v>279</v>
      </c>
      <c r="CH83" s="1426">
        <f>Q_IS!CH62</f>
        <v>279</v>
      </c>
      <c r="CI83" s="1308">
        <f>Q_IS!CI62</f>
        <v>265</v>
      </c>
      <c r="CJ83" s="1308">
        <f>Q_IS!CJ62</f>
        <v>255</v>
      </c>
      <c r="CK83" s="1308">
        <f>Q_IS!CK62</f>
        <v>240</v>
      </c>
      <c r="CL83" s="1426">
        <f>Q_IS!CL62</f>
        <v>227</v>
      </c>
      <c r="CM83" s="1170"/>
      <c r="CN83" s="1170"/>
      <c r="CO83" s="1170"/>
      <c r="CP83" s="1170"/>
      <c r="CQ83" s="1170"/>
      <c r="CR83" s="1170"/>
      <c r="CS83" s="1170"/>
      <c r="CT83" s="1198"/>
      <c r="CU83" s="1198"/>
    </row>
    <row r="84" spans="1:99" ht="12.75" customHeight="1">
      <c r="A84" s="1198" t="s">
        <v>246</v>
      </c>
      <c r="B84" s="1198"/>
      <c r="C84" s="1198"/>
      <c r="D84" s="1198"/>
      <c r="E84" s="1198"/>
      <c r="F84" s="1198"/>
      <c r="G84" s="1198"/>
      <c r="H84" s="1198"/>
      <c r="I84" s="1198"/>
      <c r="J84" s="1248"/>
      <c r="K84" s="1248"/>
      <c r="L84" s="1248"/>
      <c r="M84" s="1248"/>
      <c r="N84" s="1248"/>
      <c r="O84" s="1282"/>
      <c r="P84" s="1308"/>
      <c r="Q84" s="1308"/>
      <c r="R84" s="1309"/>
      <c r="S84" s="1307"/>
      <c r="T84" s="1507"/>
      <c r="U84" s="1507"/>
      <c r="V84" s="1507"/>
      <c r="W84" s="1507"/>
      <c r="X84" s="1282"/>
      <c r="Y84" s="1282"/>
      <c r="Z84" s="1282"/>
      <c r="AA84" s="1282"/>
      <c r="AB84" s="1282"/>
      <c r="AC84" s="1282"/>
      <c r="AD84" s="1282"/>
      <c r="AE84" s="1282"/>
      <c r="AF84" s="1282"/>
      <c r="AG84" s="1517"/>
      <c r="AH84" s="1170"/>
      <c r="AI84" s="1170"/>
      <c r="AJ84" s="1170"/>
      <c r="AK84" s="1170"/>
      <c r="AL84" s="1170"/>
      <c r="AM84" s="1170"/>
      <c r="AN84" s="1170"/>
      <c r="AO84" s="1170"/>
      <c r="AP84" s="1170"/>
      <c r="AQ84" s="1170"/>
      <c r="AR84" s="1170"/>
      <c r="AS84" s="1170"/>
      <c r="AT84" s="1170"/>
      <c r="AU84" s="1170"/>
      <c r="AV84" s="1170"/>
      <c r="AW84" s="1170"/>
      <c r="AX84" s="1170"/>
      <c r="AY84" s="1170"/>
      <c r="AZ84" s="1170"/>
      <c r="BA84" s="1170"/>
      <c r="BB84" s="1282"/>
      <c r="BC84" s="1282"/>
      <c r="BD84" s="1282"/>
      <c r="BE84" s="1282"/>
      <c r="BF84" s="1282"/>
      <c r="BG84" s="1282"/>
      <c r="BH84" s="1282"/>
      <c r="BI84" s="1282"/>
      <c r="BJ84" s="1282"/>
      <c r="BK84" s="1282"/>
      <c r="BL84" s="1282"/>
      <c r="BM84" s="1282"/>
      <c r="BN84" s="1282"/>
      <c r="BO84" s="1282"/>
      <c r="BP84" s="1282"/>
      <c r="BQ84" s="1250"/>
      <c r="BR84" s="1282"/>
      <c r="BS84" s="1282"/>
      <c r="BT84" s="1282"/>
      <c r="BU84" s="1250"/>
      <c r="BV84" s="1282"/>
      <c r="BW84" s="1282"/>
      <c r="BX84" s="1282"/>
      <c r="BY84" s="1250"/>
      <c r="BZ84" s="1308"/>
      <c r="CA84" s="1308"/>
      <c r="CB84" s="1308"/>
      <c r="CC84" s="1308"/>
      <c r="CD84" s="1426"/>
      <c r="CE84" s="1308"/>
      <c r="CF84" s="1308"/>
      <c r="CG84" s="1308"/>
      <c r="CH84" s="1426"/>
      <c r="CI84" s="1308"/>
      <c r="CJ84" s="1308"/>
      <c r="CK84" s="1308"/>
      <c r="CL84" s="1426"/>
      <c r="CM84" s="1170"/>
      <c r="CN84" s="1170"/>
      <c r="CO84" s="1170"/>
      <c r="CP84" s="1170"/>
      <c r="CQ84" s="1170"/>
      <c r="CR84" s="1170"/>
      <c r="CS84" s="1170"/>
      <c r="CT84" s="1198"/>
      <c r="CU84" s="1198"/>
    </row>
    <row r="85" spans="1:99" ht="12.75" customHeight="1">
      <c r="A85" s="1198" t="s">
        <v>246</v>
      </c>
      <c r="B85" s="1198"/>
      <c r="C85" s="1198"/>
      <c r="D85" s="1198"/>
      <c r="E85" s="1198"/>
      <c r="F85" s="1198"/>
      <c r="G85" s="1198"/>
      <c r="H85" s="1198"/>
      <c r="I85" s="1198"/>
      <c r="J85" s="1248"/>
      <c r="K85" s="1248"/>
      <c r="L85" s="1248"/>
      <c r="M85" s="1248"/>
      <c r="N85" s="1248"/>
      <c r="O85" s="1282"/>
      <c r="P85" s="1308"/>
      <c r="Q85" s="1308">
        <f>SUM(CD85:CG85)</f>
        <v>0</v>
      </c>
      <c r="R85" s="1309">
        <f>SUM(CE85:CH85)</f>
        <v>0</v>
      </c>
      <c r="S85" s="1307"/>
      <c r="T85" s="1507"/>
      <c r="U85" s="1507"/>
      <c r="V85" s="1507"/>
      <c r="W85" s="1507"/>
      <c r="X85" s="1282"/>
      <c r="Y85" s="1282"/>
      <c r="Z85" s="1282"/>
      <c r="AA85" s="1282"/>
      <c r="AB85" s="1282"/>
      <c r="AC85" s="1282"/>
      <c r="AD85" s="1282"/>
      <c r="AE85" s="1282"/>
      <c r="AF85" s="1282"/>
      <c r="AG85" s="1517"/>
      <c r="AH85" s="1170"/>
      <c r="AI85" s="1170"/>
      <c r="AJ85" s="1170"/>
      <c r="AK85" s="1170"/>
      <c r="AL85" s="1170"/>
      <c r="AM85" s="1170"/>
      <c r="AN85" s="1170"/>
      <c r="AO85" s="1170"/>
      <c r="AP85" s="1170"/>
      <c r="AQ85" s="1170"/>
      <c r="AR85" s="1170"/>
      <c r="AS85" s="1170"/>
      <c r="AT85" s="1170"/>
      <c r="AU85" s="1170"/>
      <c r="AV85" s="1170"/>
      <c r="AW85" s="1170"/>
      <c r="AX85" s="1170"/>
      <c r="AY85" s="1170"/>
      <c r="AZ85" s="1170"/>
      <c r="BA85" s="1170"/>
      <c r="BB85" s="1282"/>
      <c r="BC85" s="1282"/>
      <c r="BD85" s="1282"/>
      <c r="BE85" s="1282"/>
      <c r="BF85" s="1282"/>
      <c r="BG85" s="1282"/>
      <c r="BH85" s="1282"/>
      <c r="BI85" s="1282"/>
      <c r="BJ85" s="1282"/>
      <c r="BK85" s="1282"/>
      <c r="BL85" s="1282"/>
      <c r="BM85" s="1282"/>
      <c r="BN85" s="1282"/>
      <c r="BO85" s="1282"/>
      <c r="BP85" s="1282"/>
      <c r="BQ85" s="1250"/>
      <c r="BR85" s="1282"/>
      <c r="BS85" s="1282"/>
      <c r="BT85" s="1282"/>
      <c r="BU85" s="1250"/>
      <c r="BV85" s="1282"/>
      <c r="BW85" s="1282"/>
      <c r="BX85" s="1282"/>
      <c r="BY85" s="1250"/>
      <c r="BZ85" s="1308"/>
      <c r="CA85" s="1308"/>
      <c r="CB85" s="1308"/>
      <c r="CC85" s="1308"/>
      <c r="CD85" s="1378"/>
      <c r="CE85" s="1308"/>
      <c r="CF85" s="1308"/>
      <c r="CG85" s="1308"/>
      <c r="CH85" s="1378"/>
      <c r="CI85" s="1373"/>
      <c r="CJ85" s="1373"/>
      <c r="CK85" s="1373"/>
      <c r="CL85" s="1378"/>
      <c r="CM85" s="1170"/>
      <c r="CN85" s="1170"/>
      <c r="CO85" s="1170"/>
      <c r="CP85" s="1170"/>
      <c r="CQ85" s="1170"/>
      <c r="CR85" s="1170"/>
      <c r="CS85" s="1170"/>
      <c r="CT85" s="1198"/>
      <c r="CU85" s="1198"/>
    </row>
    <row r="86" spans="1:99" ht="12.75" customHeight="1">
      <c r="A86" s="1198" t="s">
        <v>962</v>
      </c>
      <c r="B86" s="1198"/>
      <c r="C86" s="1198"/>
      <c r="D86" s="1198"/>
      <c r="E86" s="1198"/>
      <c r="F86" s="1198"/>
      <c r="G86" s="1198"/>
      <c r="H86" s="1227"/>
      <c r="I86" s="1227"/>
      <c r="J86" s="1227">
        <f t="shared" ref="J86:S86" si="68">J80/(J80+J55)</f>
        <v>1.1435819381024861</v>
      </c>
      <c r="K86" s="1227">
        <f t="shared" si="68"/>
        <v>1.0616056269706524</v>
      </c>
      <c r="L86" s="1227">
        <f t="shared" si="68"/>
        <v>1.1780019081368407</v>
      </c>
      <c r="M86" s="1227">
        <f t="shared" si="68"/>
        <v>1.2623338497920573</v>
      </c>
      <c r="N86" s="1227">
        <f t="shared" si="68"/>
        <v>1.1074589127686474</v>
      </c>
      <c r="O86" s="1229">
        <f t="shared" si="68"/>
        <v>0.96199540974753617</v>
      </c>
      <c r="P86" s="1229">
        <f>P80/(P80+P55)</f>
        <v>1.113895965157367</v>
      </c>
      <c r="Q86" s="1229">
        <f>Q80/(Q80+Q55)</f>
        <v>1.0904622945784057</v>
      </c>
      <c r="R86" s="1230">
        <f>R80/(R80+R55)</f>
        <v>1.1608045083560046</v>
      </c>
      <c r="S86" s="1227" t="e">
        <f t="shared" si="68"/>
        <v>#DIV/0!</v>
      </c>
      <c r="T86" s="1507"/>
      <c r="U86" s="1507"/>
      <c r="V86" s="1507"/>
      <c r="W86" s="1507"/>
      <c r="X86" s="1282"/>
      <c r="Y86" s="1282"/>
      <c r="Z86" s="1282"/>
      <c r="AA86" s="1282"/>
      <c r="AB86" s="1282"/>
      <c r="AC86" s="1282"/>
      <c r="AD86" s="1282"/>
      <c r="AE86" s="1282"/>
      <c r="AF86" s="1282"/>
      <c r="AG86" s="1517"/>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229"/>
      <c r="BC86" s="1229"/>
      <c r="BD86" s="1229"/>
      <c r="BE86" s="1229"/>
      <c r="BF86" s="1229">
        <f t="shared" ref="BF86:BZ86" si="69">BF80/(BF80+BF55)</f>
        <v>1.1311034412749974</v>
      </c>
      <c r="BG86" s="1229">
        <f t="shared" si="69"/>
        <v>1.1290436005625879</v>
      </c>
      <c r="BH86" s="1229">
        <f t="shared" si="69"/>
        <v>1.0307185425650467</v>
      </c>
      <c r="BI86" s="1229">
        <f t="shared" si="69"/>
        <v>1.0616056269706524</v>
      </c>
      <c r="BJ86" s="1229">
        <f t="shared" si="69"/>
        <v>1.0768002946773896</v>
      </c>
      <c r="BK86" s="1229">
        <f t="shared" si="69"/>
        <v>1.1244945871918612</v>
      </c>
      <c r="BL86" s="1229">
        <f t="shared" si="69"/>
        <v>1.1682744565217391</v>
      </c>
      <c r="BM86" s="1229">
        <f t="shared" si="69"/>
        <v>1.1780019081368407</v>
      </c>
      <c r="BN86" s="1229">
        <f t="shared" si="69"/>
        <v>1.1740901683867464</v>
      </c>
      <c r="BO86" s="1229">
        <f t="shared" si="69"/>
        <v>1.178904937856903</v>
      </c>
      <c r="BP86" s="1229">
        <f t="shared" si="69"/>
        <v>1.187142561841108</v>
      </c>
      <c r="BQ86" s="1230">
        <f t="shared" si="69"/>
        <v>1.2623338497920573</v>
      </c>
      <c r="BR86" s="1229">
        <f t="shared" si="69"/>
        <v>1.2472127968977218</v>
      </c>
      <c r="BS86" s="1229">
        <f t="shared" si="69"/>
        <v>1.225179282868526</v>
      </c>
      <c r="BT86" s="1229">
        <f t="shared" si="69"/>
        <v>1.2088027883602173</v>
      </c>
      <c r="BU86" s="1230">
        <f t="shared" si="69"/>
        <v>1.1074589127686474</v>
      </c>
      <c r="BV86" s="1229">
        <f t="shared" si="69"/>
        <v>1.1148805511869992</v>
      </c>
      <c r="BW86" s="1229">
        <f t="shared" si="69"/>
        <v>1.1201080663836356</v>
      </c>
      <c r="BX86" s="1229">
        <f t="shared" si="69"/>
        <v>0.9803338514563763</v>
      </c>
      <c r="BY86" s="1230">
        <f t="shared" si="69"/>
        <v>0.96199540974753617</v>
      </c>
      <c r="BZ86" s="1229">
        <f t="shared" si="69"/>
        <v>0.95830786989882533</v>
      </c>
      <c r="CA86" s="1229">
        <f t="shared" ref="CA86:CI86" si="70">CA80/(CA80+CA55)</f>
        <v>0.96040346214134809</v>
      </c>
      <c r="CB86" s="1229">
        <f t="shared" si="70"/>
        <v>0.97102055033089518</v>
      </c>
      <c r="CC86" s="1229">
        <f t="shared" si="70"/>
        <v>1.113895965157367</v>
      </c>
      <c r="CD86" s="1231">
        <f t="shared" si="70"/>
        <v>1.0955821974051569</v>
      </c>
      <c r="CE86" s="1229">
        <f t="shared" si="70"/>
        <v>1.0804008567931456</v>
      </c>
      <c r="CF86" s="1229">
        <f t="shared" si="70"/>
        <v>1.0786782661782661</v>
      </c>
      <c r="CG86" s="1229">
        <f t="shared" si="70"/>
        <v>1.0904622945784057</v>
      </c>
      <c r="CH86" s="1231">
        <f t="shared" si="70"/>
        <v>1.0901335908578786</v>
      </c>
      <c r="CI86" s="1227">
        <f t="shared" si="70"/>
        <v>1.1047964870798852</v>
      </c>
      <c r="CJ86" s="1227">
        <f>CJ80/(CJ80+CJ55)</f>
        <v>1.1233339103340834</v>
      </c>
      <c r="CK86" s="1227">
        <f>CK80/(CK80+CK55)</f>
        <v>1.1608045083560046</v>
      </c>
      <c r="CL86" s="1231">
        <f>CL80/(CL80+CL55)</f>
        <v>1.1526866986395223</v>
      </c>
      <c r="CM86" s="1170"/>
      <c r="CN86" s="1170"/>
      <c r="CO86" s="1170"/>
      <c r="CP86" s="1170"/>
      <c r="CQ86" s="1170"/>
      <c r="CR86" s="1170"/>
      <c r="CS86" s="1170"/>
      <c r="CT86" s="1198"/>
      <c r="CU86" s="1198"/>
    </row>
    <row r="87" spans="1:99" ht="12.75" customHeight="1">
      <c r="A87" s="1198" t="s">
        <v>963</v>
      </c>
      <c r="B87" s="1198"/>
      <c r="C87" s="1198"/>
      <c r="D87" s="1198"/>
      <c r="E87" s="1198"/>
      <c r="F87" s="1198"/>
      <c r="G87" s="1198"/>
      <c r="H87" s="1563"/>
      <c r="I87" s="1563"/>
      <c r="J87" s="1563">
        <f>J80/Q_IS!J47</f>
        <v>5.4708737864077666</v>
      </c>
      <c r="K87" s="1563">
        <f>K80/Q_IS!K47</f>
        <v>4.7980268566730615</v>
      </c>
      <c r="L87" s="1563">
        <f>L80/Q_IS!L47</f>
        <v>4.8110214305594212</v>
      </c>
      <c r="M87" s="1563">
        <f>M80/Q_IS!M47</f>
        <v>3.8507462686567164</v>
      </c>
      <c r="N87" s="1563">
        <f>N80/Q_IS!N47</f>
        <v>3.3930280246069722</v>
      </c>
      <c r="O87" s="1564">
        <f>O80/Q_IS!O47</f>
        <v>3.0926649305555554</v>
      </c>
      <c r="P87" s="1564">
        <f>P80/Q_IS!P47</f>
        <v>2.9810864306135914</v>
      </c>
      <c r="Q87" s="1564">
        <f>Q80/Q_IS!Q47</f>
        <v>3.2163080407701021</v>
      </c>
      <c r="R87" s="1565">
        <f>R80/Q_IS!R47</f>
        <v>2.6937993235625703</v>
      </c>
      <c r="S87" s="1563">
        <f>S80/Q_IS!S47</f>
        <v>0</v>
      </c>
      <c r="T87" s="1507"/>
      <c r="U87" s="1507"/>
      <c r="V87" s="1507"/>
      <c r="W87" s="1507"/>
      <c r="X87" s="1282"/>
      <c r="Y87" s="1282"/>
      <c r="Z87" s="1282"/>
      <c r="AA87" s="1282"/>
      <c r="AB87" s="1282"/>
      <c r="AC87" s="1282"/>
      <c r="AD87" s="1282"/>
      <c r="AE87" s="1282"/>
      <c r="AF87" s="1282"/>
      <c r="AG87" s="1517"/>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564"/>
      <c r="BC87" s="1564"/>
      <c r="BD87" s="1564"/>
      <c r="BE87" s="1564"/>
      <c r="BF87" s="1564">
        <f>BF80/Q_IS!BF47/4</f>
        <v>5.6849489795918364</v>
      </c>
      <c r="BG87" s="1564">
        <f>BG80/Q_IS!BG47/4</f>
        <v>5.7164292980671414</v>
      </c>
      <c r="BH87" s="1564">
        <f>BH80/Q_IS!BH47/4</f>
        <v>5.70016077170418</v>
      </c>
      <c r="BI87" s="1564">
        <f>BI80/Q_IS!BI47/4</f>
        <v>5.8127490039840639</v>
      </c>
      <c r="BJ87" s="1564">
        <f>BJ80/Q_IS!BJ47/4</f>
        <v>4.9380630630630629</v>
      </c>
      <c r="BK87" s="1564">
        <f>BK80/Q_IS!BK47/4</f>
        <v>4.9892939814814818</v>
      </c>
      <c r="BL87" s="1564">
        <f>BL80/Q_IS!BL47/4</f>
        <v>4.9078196347031966</v>
      </c>
      <c r="BM87" s="1564">
        <f>BM80/Q_IS!BM47/4</f>
        <v>4.478238341968912</v>
      </c>
      <c r="BN87" s="1564">
        <f>BN80/Q_IS!BN47/4</f>
        <v>4.438398357289528</v>
      </c>
      <c r="BO87" s="1564">
        <f>BO80/Q_IS!BO47/4</f>
        <v>4.4268415741675078</v>
      </c>
      <c r="BP87" s="1564">
        <f>BP80/Q_IS!BP47/4</f>
        <v>4.2986526946107784</v>
      </c>
      <c r="BQ87" s="1565">
        <f>BQ80/Q_IS!BQ47/4</f>
        <v>3.675213675213675</v>
      </c>
      <c r="BR87" s="1564">
        <f>BR80/Q_IS!BR47/4</f>
        <v>3.6205440900562853</v>
      </c>
      <c r="BS87" s="1564">
        <f>BS80/Q_IS!BS47/4</f>
        <v>3.466185752930568</v>
      </c>
      <c r="BT87" s="1564">
        <f>BT80/Q_IS!BT47/4</f>
        <v>3.2876984126984126</v>
      </c>
      <c r="BU87" s="1565">
        <f>BU80/Q_IS!BU47/4</f>
        <v>3.4472222222222224</v>
      </c>
      <c r="BV87" s="1564">
        <f>BV80/Q_IS!BV47/4</f>
        <v>3.1782664389410762</v>
      </c>
      <c r="BW87" s="1564">
        <f>BW80/Q_IS!BW47/4</f>
        <v>3.1573107049608353</v>
      </c>
      <c r="BX87" s="1564">
        <f>BX80/Q_IS!BX47/4</f>
        <v>3.1507384882710685</v>
      </c>
      <c r="BY87" s="1565">
        <f>BY80/Q_IS!BY47/4</f>
        <v>3.1334652594547054</v>
      </c>
      <c r="BZ87" s="1564">
        <f>BZ80/Q_IS!BZ47/4</f>
        <v>3.0922436459246274</v>
      </c>
      <c r="CA87" s="1564">
        <f>CA80/Q_IS!CA47/4</f>
        <v>3.0795454545454546</v>
      </c>
      <c r="CB87" s="1564">
        <f>CB80/Q_IS!CB47/4</f>
        <v>3.2176823638042475</v>
      </c>
      <c r="CC87" s="1564">
        <f>CC80/Q_IS!CC47/4</f>
        <v>2.8742578456318912</v>
      </c>
      <c r="CD87" s="1566">
        <f>CD80/Q_IS!CD47/4</f>
        <v>2.9131004366812228</v>
      </c>
      <c r="CE87" s="1564">
        <f>CE80/Q_IS!CE47/4</f>
        <v>3.2332875457875456</v>
      </c>
      <c r="CF87" s="1564">
        <f>CF80/Q_IS!CF47/4</f>
        <v>3.233074107959744</v>
      </c>
      <c r="CG87" s="1564">
        <f>CG80/Q_IS!CG47/4</f>
        <v>3.2718894009216588</v>
      </c>
      <c r="CH87" s="1566">
        <f>CH80/Q_IS!CH47/4</f>
        <v>3.0129003558718863</v>
      </c>
      <c r="CI87" s="1563">
        <f>CI80/Q_IS!CI47/4</f>
        <v>2.9951923076923075</v>
      </c>
      <c r="CJ87" s="1563">
        <f>CJ80/Q_IS!CJ47/4</f>
        <v>2.8970982142857142</v>
      </c>
      <c r="CK87" s="1563">
        <f>CK80/Q_IS!CK47/4</f>
        <v>2.7176979071883531</v>
      </c>
      <c r="CL87" s="1566">
        <f>CL80/Q_IS!CL47/4</f>
        <v>2.6147868561278864</v>
      </c>
      <c r="CM87" s="1170"/>
      <c r="CN87" s="1170"/>
      <c r="CO87" s="1170"/>
      <c r="CP87" s="1170"/>
      <c r="CQ87" s="1170"/>
      <c r="CR87" s="1170"/>
      <c r="CS87" s="1170"/>
      <c r="CT87" s="1198"/>
      <c r="CU87" s="1198"/>
    </row>
    <row r="88" spans="1:99" ht="12.75" customHeight="1">
      <c r="A88" s="1198"/>
      <c r="B88" s="1198"/>
      <c r="C88" s="1198"/>
      <c r="D88" s="1198"/>
      <c r="E88" s="1198"/>
      <c r="F88" s="1198"/>
      <c r="G88" s="1198"/>
      <c r="H88" s="1198"/>
      <c r="I88" s="1198"/>
      <c r="J88" s="1198"/>
      <c r="K88" s="1198"/>
      <c r="L88" s="1198"/>
      <c r="M88" s="1198"/>
      <c r="N88" s="1248"/>
      <c r="O88" s="1170"/>
      <c r="P88" s="1170"/>
      <c r="Q88" s="1170"/>
      <c r="R88" s="1360"/>
      <c r="S88" s="1198"/>
      <c r="T88" s="1507"/>
      <c r="U88" s="1507"/>
      <c r="V88" s="1507"/>
      <c r="W88" s="1507"/>
      <c r="X88" s="1282"/>
      <c r="Y88" s="1282"/>
      <c r="Z88" s="1282"/>
      <c r="AA88" s="1282"/>
      <c r="AB88" s="1282"/>
      <c r="AC88" s="1282"/>
      <c r="AD88" s="1282"/>
      <c r="AE88" s="1282"/>
      <c r="AF88" s="1282"/>
      <c r="AG88" s="1517"/>
      <c r="AH88" s="1170"/>
      <c r="AI88" s="1170"/>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282"/>
      <c r="BN88" s="1282"/>
      <c r="BO88" s="1282"/>
      <c r="BP88" s="1282"/>
      <c r="BQ88" s="1250"/>
      <c r="BR88" s="1170"/>
      <c r="BS88" s="1170"/>
      <c r="BT88" s="1170"/>
      <c r="BU88" s="1360"/>
      <c r="BV88" s="1170"/>
      <c r="BW88" s="1170"/>
      <c r="BX88" s="1170"/>
      <c r="BY88" s="1360"/>
      <c r="BZ88" s="1170"/>
      <c r="CA88" s="1170"/>
      <c r="CB88" s="1170"/>
      <c r="CC88" s="1170"/>
      <c r="CD88" s="1359"/>
      <c r="CE88" s="1170"/>
      <c r="CF88" s="1170"/>
      <c r="CG88" s="1170"/>
      <c r="CH88" s="1359"/>
      <c r="CI88" s="1198"/>
      <c r="CJ88" s="1198"/>
      <c r="CK88" s="1198"/>
      <c r="CL88" s="1359"/>
      <c r="CM88" s="1170"/>
      <c r="CN88" s="1170"/>
      <c r="CO88" s="1170"/>
      <c r="CP88" s="1170"/>
      <c r="CQ88" s="1170"/>
      <c r="CR88" s="1170"/>
      <c r="CS88" s="1170"/>
      <c r="CT88" s="1198"/>
      <c r="CU88" s="1198"/>
    </row>
    <row r="89" spans="1:99" ht="12.75" customHeight="1">
      <c r="A89" s="1198" t="s">
        <v>965</v>
      </c>
      <c r="B89" s="1198"/>
      <c r="C89" s="1198"/>
      <c r="D89" s="1198"/>
      <c r="E89" s="1198"/>
      <c r="F89" s="1198"/>
      <c r="G89" s="1198"/>
      <c r="H89" s="1248"/>
      <c r="I89" s="1248"/>
      <c r="J89" s="1248">
        <f t="shared" ref="J89:S89" si="71">J80-J10-J11</f>
        <v>20270</v>
      </c>
      <c r="K89" s="1248">
        <f t="shared" si="71"/>
        <v>15752</v>
      </c>
      <c r="L89" s="1248">
        <f t="shared" si="71"/>
        <v>15516</v>
      </c>
      <c r="M89" s="1248">
        <f t="shared" si="71"/>
        <v>14533</v>
      </c>
      <c r="N89" s="1248">
        <f t="shared" si="71"/>
        <v>13403</v>
      </c>
      <c r="O89" s="1282">
        <f t="shared" si="71"/>
        <v>13270</v>
      </c>
      <c r="P89" s="1282">
        <f>P80-P10-P11</f>
        <v>12990</v>
      </c>
      <c r="Q89" s="1282">
        <f>Q80-Q10-Q11</f>
        <v>11794</v>
      </c>
      <c r="R89" s="1250">
        <f>R80-R10-R11</f>
        <v>11575</v>
      </c>
      <c r="S89" s="1248">
        <f t="shared" si="71"/>
        <v>0</v>
      </c>
      <c r="T89" s="1507"/>
      <c r="U89" s="1507"/>
      <c r="V89" s="1507"/>
      <c r="W89" s="1507"/>
      <c r="X89" s="1282"/>
      <c r="Y89" s="1282"/>
      <c r="Z89" s="1282"/>
      <c r="AA89" s="1282"/>
      <c r="AB89" s="1282"/>
      <c r="AC89" s="1282"/>
      <c r="AD89" s="1282"/>
      <c r="AE89" s="1282"/>
      <c r="AF89" s="1282"/>
      <c r="AG89" s="1517"/>
      <c r="AH89" s="1170"/>
      <c r="AI89" s="1170"/>
      <c r="AJ89" s="1170"/>
      <c r="AK89" s="1170"/>
      <c r="AL89" s="1170"/>
      <c r="AM89" s="1170"/>
      <c r="AN89" s="1170"/>
      <c r="AO89" s="1170"/>
      <c r="AP89" s="1170"/>
      <c r="AQ89" s="1170"/>
      <c r="AR89" s="1170"/>
      <c r="AS89" s="1170"/>
      <c r="AT89" s="1170"/>
      <c r="AU89" s="1170"/>
      <c r="AV89" s="1170"/>
      <c r="AW89" s="1170"/>
      <c r="AX89" s="1170"/>
      <c r="AY89" s="1170"/>
      <c r="AZ89" s="1170"/>
      <c r="BA89" s="1170"/>
      <c r="BB89" s="1282"/>
      <c r="BC89" s="1282"/>
      <c r="BD89" s="1282"/>
      <c r="BE89" s="1282"/>
      <c r="BF89" s="1282">
        <f t="shared" ref="BF89:BZ89" si="72">BF80-BF10-BF11</f>
        <v>19706</v>
      </c>
      <c r="BG89" s="1282">
        <f t="shared" si="72"/>
        <v>19704</v>
      </c>
      <c r="BH89" s="1282">
        <f t="shared" si="72"/>
        <v>15172</v>
      </c>
      <c r="BI89" s="1282">
        <f t="shared" si="72"/>
        <v>15752</v>
      </c>
      <c r="BJ89" s="1282">
        <f t="shared" si="72"/>
        <v>15660</v>
      </c>
      <c r="BK89" s="1282">
        <f t="shared" si="72"/>
        <v>15792</v>
      </c>
      <c r="BL89" s="1282">
        <f t="shared" si="72"/>
        <v>15388</v>
      </c>
      <c r="BM89" s="1282">
        <f t="shared" si="72"/>
        <v>15516</v>
      </c>
      <c r="BN89" s="1282">
        <f t="shared" si="72"/>
        <v>14920</v>
      </c>
      <c r="BO89" s="1282">
        <f t="shared" si="72"/>
        <v>14669</v>
      </c>
      <c r="BP89" s="1282">
        <f t="shared" si="72"/>
        <v>14338</v>
      </c>
      <c r="BQ89" s="1250">
        <f t="shared" si="72"/>
        <v>14533</v>
      </c>
      <c r="BR89" s="1282">
        <f t="shared" si="72"/>
        <v>14698</v>
      </c>
      <c r="BS89" s="1282">
        <f t="shared" si="72"/>
        <v>13982</v>
      </c>
      <c r="BT89" s="1282">
        <f t="shared" si="72"/>
        <v>13733</v>
      </c>
      <c r="BU89" s="1250">
        <f t="shared" si="72"/>
        <v>13403</v>
      </c>
      <c r="BV89" s="1282">
        <f t="shared" si="72"/>
        <v>13758</v>
      </c>
      <c r="BW89" s="1282">
        <f t="shared" si="72"/>
        <v>13402</v>
      </c>
      <c r="BX89" s="1282">
        <f t="shared" si="72"/>
        <v>13387</v>
      </c>
      <c r="BY89" s="1250">
        <f t="shared" si="72"/>
        <v>13270</v>
      </c>
      <c r="BZ89" s="1282">
        <f t="shared" si="72"/>
        <v>13479</v>
      </c>
      <c r="CA89" s="1282">
        <f t="shared" ref="CA89:CI89" si="73">CA80-CA10-CA11</f>
        <v>13337</v>
      </c>
      <c r="CB89" s="1282">
        <f t="shared" si="73"/>
        <v>13353</v>
      </c>
      <c r="CC89" s="1282">
        <f t="shared" si="73"/>
        <v>12990</v>
      </c>
      <c r="CD89" s="1249">
        <f t="shared" si="73"/>
        <v>12801</v>
      </c>
      <c r="CE89" s="1282">
        <f t="shared" si="73"/>
        <v>12327</v>
      </c>
      <c r="CF89" s="1282">
        <f t="shared" si="73"/>
        <v>12061</v>
      </c>
      <c r="CG89" s="1282">
        <f t="shared" si="73"/>
        <v>11794</v>
      </c>
      <c r="CH89" s="1249">
        <f t="shared" si="73"/>
        <v>11694</v>
      </c>
      <c r="CI89" s="1248">
        <f t="shared" si="73"/>
        <v>11304</v>
      </c>
      <c r="CJ89" s="1248">
        <f>CJ80-CJ10-CJ11</f>
        <v>11012</v>
      </c>
      <c r="CK89" s="1248">
        <f>CK80-CK10-CK11</f>
        <v>11575</v>
      </c>
      <c r="CL89" s="1249">
        <f>CL80-CL10-CL11</f>
        <v>11353</v>
      </c>
      <c r="CM89" s="1170"/>
      <c r="CN89" s="1170"/>
      <c r="CO89" s="1170"/>
      <c r="CP89" s="1170"/>
      <c r="CQ89" s="1170"/>
      <c r="CR89" s="1170"/>
      <c r="CS89" s="1170"/>
      <c r="CT89" s="1198"/>
      <c r="CU89" s="1198"/>
    </row>
    <row r="90" spans="1:99" ht="12.75" customHeight="1">
      <c r="A90" s="1198" t="s">
        <v>966</v>
      </c>
      <c r="B90" s="1198"/>
      <c r="C90" s="1198"/>
      <c r="D90" s="1198"/>
      <c r="E90" s="1198"/>
      <c r="F90" s="1198"/>
      <c r="G90" s="1198"/>
      <c r="H90" s="1227"/>
      <c r="I90" s="1227"/>
      <c r="J90" s="1227">
        <f t="shared" ref="J90:S90" si="74">J89/(J89+J55)</f>
        <v>1.162270642201835</v>
      </c>
      <c r="K90" s="1227">
        <f t="shared" si="74"/>
        <v>1.0689467969598263</v>
      </c>
      <c r="L90" s="1227">
        <f t="shared" si="74"/>
        <v>1.2024178549287043</v>
      </c>
      <c r="M90" s="1227">
        <f t="shared" si="74"/>
        <v>1.2842877341816896</v>
      </c>
      <c r="N90" s="1227">
        <f t="shared" si="74"/>
        <v>1.1208396052851648</v>
      </c>
      <c r="O90" s="1229">
        <f t="shared" si="74"/>
        <v>0.95930022410178561</v>
      </c>
      <c r="P90" s="1229">
        <f>P89/(P89+P55)</f>
        <v>1.1194415718717683</v>
      </c>
      <c r="Q90" s="1229">
        <f>Q89/(Q89+Q55)</f>
        <v>1.110964581763376</v>
      </c>
      <c r="R90" s="1230">
        <f>R89/(R89+R55)</f>
        <v>1.1668346774193548</v>
      </c>
      <c r="S90" s="1227" t="e">
        <f t="shared" si="74"/>
        <v>#DIV/0!</v>
      </c>
      <c r="T90" s="1507"/>
      <c r="U90" s="1507"/>
      <c r="V90" s="1507"/>
      <c r="W90" s="1507"/>
      <c r="X90" s="1282"/>
      <c r="Y90" s="1282"/>
      <c r="Z90" s="1282"/>
      <c r="AA90" s="1282"/>
      <c r="AB90" s="1282"/>
      <c r="AC90" s="1282"/>
      <c r="AD90" s="1282"/>
      <c r="AE90" s="1282"/>
      <c r="AF90" s="1282"/>
      <c r="AG90" s="1517"/>
      <c r="AH90" s="1170"/>
      <c r="AI90" s="1170"/>
      <c r="AJ90" s="1170"/>
      <c r="AK90" s="1170"/>
      <c r="AL90" s="1170"/>
      <c r="AM90" s="1170"/>
      <c r="AN90" s="1170"/>
      <c r="AO90" s="1170"/>
      <c r="AP90" s="1170"/>
      <c r="AQ90" s="1170"/>
      <c r="AR90" s="1170"/>
      <c r="AS90" s="1170"/>
      <c r="AT90" s="1170"/>
      <c r="AU90" s="1170"/>
      <c r="AV90" s="1170"/>
      <c r="AW90" s="1170"/>
      <c r="AX90" s="1170"/>
      <c r="AY90" s="1170"/>
      <c r="AZ90" s="1170"/>
      <c r="BA90" s="1170"/>
      <c r="BB90" s="1229"/>
      <c r="BC90" s="1229"/>
      <c r="BD90" s="1229"/>
      <c r="BE90" s="1229"/>
      <c r="BF90" s="1229">
        <f t="shared" ref="BF90:CG90" si="75">BF89/(BF89+BF55)</f>
        <v>1.1508497342755357</v>
      </c>
      <c r="BG90" s="1229">
        <f t="shared" si="75"/>
        <v>1.1499270498978698</v>
      </c>
      <c r="BH90" s="1229">
        <f t="shared" si="75"/>
        <v>1.0436098500481497</v>
      </c>
      <c r="BI90" s="1229">
        <f t="shared" si="75"/>
        <v>1.0689467969598263</v>
      </c>
      <c r="BJ90" s="1229">
        <f t="shared" si="75"/>
        <v>1.0868207370393503</v>
      </c>
      <c r="BK90" s="1229">
        <f t="shared" si="75"/>
        <v>1.1375063026723331</v>
      </c>
      <c r="BL90" s="1229">
        <f t="shared" si="75"/>
        <v>1.1918519092246922</v>
      </c>
      <c r="BM90" s="1229">
        <f t="shared" si="75"/>
        <v>1.2024178549287043</v>
      </c>
      <c r="BN90" s="1229">
        <f t="shared" si="75"/>
        <v>1.2075105212042732</v>
      </c>
      <c r="BO90" s="1229">
        <f t="shared" si="75"/>
        <v>1.2218057637847743</v>
      </c>
      <c r="BP90" s="1229">
        <f t="shared" si="75"/>
        <v>1.2336947169161934</v>
      </c>
      <c r="BQ90" s="1230">
        <f t="shared" si="75"/>
        <v>1.2842877341816896</v>
      </c>
      <c r="BR90" s="1229">
        <f t="shared" si="75"/>
        <v>1.2629317752191098</v>
      </c>
      <c r="BS90" s="1229">
        <f t="shared" si="75"/>
        <v>1.2533166009322338</v>
      </c>
      <c r="BT90" s="1229">
        <f t="shared" si="75"/>
        <v>1.2308864390069014</v>
      </c>
      <c r="BU90" s="1230">
        <f t="shared" si="75"/>
        <v>1.1208396052851648</v>
      </c>
      <c r="BV90" s="1229">
        <f t="shared" si="75"/>
        <v>1.1254908376963351</v>
      </c>
      <c r="BW90" s="1229">
        <f t="shared" si="75"/>
        <v>1.1313523552253926</v>
      </c>
      <c r="BX90" s="1229">
        <f t="shared" si="75"/>
        <v>0.97872495978944285</v>
      </c>
      <c r="BY90" s="1230">
        <f t="shared" si="75"/>
        <v>0.95930022410178561</v>
      </c>
      <c r="BZ90" s="1229">
        <f t="shared" si="75"/>
        <v>0.95643227134038178</v>
      </c>
      <c r="CA90" s="1229">
        <f t="shared" si="75"/>
        <v>0.95825549647937924</v>
      </c>
      <c r="CB90" s="1229">
        <f t="shared" si="75"/>
        <v>0.96978720313748279</v>
      </c>
      <c r="CC90" s="1229">
        <f t="shared" si="75"/>
        <v>1.1194415718717683</v>
      </c>
      <c r="CD90" s="1231">
        <f t="shared" si="75"/>
        <v>1.1000257798401649</v>
      </c>
      <c r="CE90" s="1229">
        <f t="shared" si="75"/>
        <v>1.0932068109258601</v>
      </c>
      <c r="CF90" s="1229">
        <f t="shared" si="75"/>
        <v>1.0934723481414323</v>
      </c>
      <c r="CG90" s="1229">
        <f t="shared" si="75"/>
        <v>1.110964581763376</v>
      </c>
      <c r="CH90" s="1231">
        <f>CH89/(CH89+CH55)</f>
        <v>1.1059201815774542</v>
      </c>
      <c r="CI90" s="1227">
        <f>CI89/(CI89+CI55)</f>
        <v>1.1233230646924377</v>
      </c>
      <c r="CJ90" s="1227">
        <f>CJ89/(CJ89+CJ55)</f>
        <v>1.1486387816835297</v>
      </c>
      <c r="CK90" s="1227">
        <f>CK89/(CK89+CK55)</f>
        <v>1.1668346774193548</v>
      </c>
      <c r="CL90" s="1231">
        <f>CL89/(CL89+CL55)</f>
        <v>1.1592974573675074</v>
      </c>
      <c r="CM90" s="1170"/>
      <c r="CN90" s="1170"/>
      <c r="CO90" s="1170"/>
      <c r="CP90" s="1170"/>
      <c r="CQ90" s="1170"/>
      <c r="CR90" s="1170"/>
      <c r="CS90" s="1170"/>
      <c r="CT90" s="1198"/>
      <c r="CU90" s="1198"/>
    </row>
    <row r="91" spans="1:99" ht="12.75" customHeight="1">
      <c r="A91" s="1198" t="s">
        <v>967</v>
      </c>
      <c r="B91" s="1198"/>
      <c r="C91" s="1198"/>
      <c r="D91" s="1198"/>
      <c r="E91" s="1198"/>
      <c r="F91" s="1198"/>
      <c r="G91" s="1198"/>
      <c r="H91" s="1563"/>
      <c r="I91" s="1563"/>
      <c r="J91" s="1563">
        <f>J89/Q_IS!J47</f>
        <v>4.9199029126213594</v>
      </c>
      <c r="K91" s="1563">
        <f>K89/Q_IS!K47</f>
        <v>4.3167991230474101</v>
      </c>
      <c r="L91" s="1563">
        <f>L89/Q_IS!L47</f>
        <v>4.3183968828277202</v>
      </c>
      <c r="M91" s="1563">
        <f>M89/Q_IS!M47</f>
        <v>3.615174129353234</v>
      </c>
      <c r="N91" s="1563">
        <f>N89/Q_IS!N47</f>
        <v>3.0537707906128957</v>
      </c>
      <c r="O91" s="1564">
        <f>O89/Q_IS!O47</f>
        <v>2.8797743055555554</v>
      </c>
      <c r="P91" s="1564">
        <f>P89/Q_IS!P47</f>
        <v>2.856828678249395</v>
      </c>
      <c r="Q91" s="1564">
        <f>Q89/Q_IS!Q47</f>
        <v>2.6713476783691958</v>
      </c>
      <c r="R91" s="1565">
        <f>R89/Q_IS!R47</f>
        <v>2.6099210822998873</v>
      </c>
      <c r="S91" s="1563">
        <f>S89/Q_IS!S47</f>
        <v>0</v>
      </c>
      <c r="T91" s="1507"/>
      <c r="U91" s="1507"/>
      <c r="V91" s="1507"/>
      <c r="W91" s="1507"/>
      <c r="X91" s="1282"/>
      <c r="Y91" s="1282"/>
      <c r="Z91" s="1282"/>
      <c r="AA91" s="1282"/>
      <c r="AB91" s="1282"/>
      <c r="AC91" s="1282"/>
      <c r="AD91" s="1282"/>
      <c r="AE91" s="1282"/>
      <c r="AF91" s="1282"/>
      <c r="AG91" s="1517"/>
      <c r="AH91" s="1170"/>
      <c r="AI91" s="1170"/>
      <c r="AJ91" s="1170"/>
      <c r="AK91" s="1170"/>
      <c r="AL91" s="1170"/>
      <c r="AM91" s="1170"/>
      <c r="AN91" s="1170"/>
      <c r="AO91" s="1170"/>
      <c r="AP91" s="1170"/>
      <c r="AQ91" s="1170"/>
      <c r="AR91" s="1170"/>
      <c r="AS91" s="1170"/>
      <c r="AT91" s="1170"/>
      <c r="AU91" s="1170"/>
      <c r="AV91" s="1170"/>
      <c r="AW91" s="1170"/>
      <c r="AX91" s="1170"/>
      <c r="AY91" s="1170"/>
      <c r="AZ91" s="1170"/>
      <c r="BA91" s="1170"/>
      <c r="BB91" s="1564"/>
      <c r="BC91" s="1564"/>
      <c r="BD91" s="1564"/>
      <c r="BE91" s="1564"/>
      <c r="BF91" s="1564">
        <f>BF89/Q_IS!BF47/4</f>
        <v>5.0270408163265303</v>
      </c>
      <c r="BG91" s="1564">
        <f>BG89/Q_IS!BG47/4</f>
        <v>5.0111902339776195</v>
      </c>
      <c r="BH91" s="1564">
        <f>BH89/Q_IS!BH47/4</f>
        <v>4.065380493033226</v>
      </c>
      <c r="BI91" s="1564">
        <f>BI89/Q_IS!BI47/4</f>
        <v>5.2297476759628152</v>
      </c>
      <c r="BJ91" s="1564">
        <f>BJ89/Q_IS!BJ47/4</f>
        <v>4.4087837837837842</v>
      </c>
      <c r="BK91" s="1564">
        <f>BK89/Q_IS!BK47/4</f>
        <v>4.5694444444444446</v>
      </c>
      <c r="BL91" s="1564">
        <f>BL89/Q_IS!BL47/4</f>
        <v>4.3915525114155249</v>
      </c>
      <c r="BM91" s="1564">
        <f>BM89/Q_IS!BM47/4</f>
        <v>4.0196891191709847</v>
      </c>
      <c r="BN91" s="1564">
        <f>BN89/Q_IS!BN47/4</f>
        <v>3.8295687885010268</v>
      </c>
      <c r="BO91" s="1564">
        <f>BO89/Q_IS!BO47/4</f>
        <v>3.7005549949545915</v>
      </c>
      <c r="BP91" s="1564">
        <f>BP89/Q_IS!BP47/4</f>
        <v>3.5773453093812377</v>
      </c>
      <c r="BQ91" s="1565">
        <f>BQ89/Q_IS!BQ47/4</f>
        <v>3.4503798670465335</v>
      </c>
      <c r="BR91" s="1564">
        <f>BR89/Q_IS!BR47/4</f>
        <v>3.4469981238273921</v>
      </c>
      <c r="BS91" s="1564">
        <f>BS89/Q_IS!BS47/4</f>
        <v>3.1519386834986474</v>
      </c>
      <c r="BT91" s="1564">
        <f>BT89/Q_IS!BT47/4</f>
        <v>3.0275573192239857</v>
      </c>
      <c r="BU91" s="1565">
        <f>BU89/Q_IS!BU47/4</f>
        <v>3.1025462962962962</v>
      </c>
      <c r="BV91" s="1564">
        <f>BV89/SUM(Q_IS!BS47:BV47)</f>
        <v>3.0614152202937248</v>
      </c>
      <c r="BW91" s="1564">
        <f>BW89/SUM(Q_IS!BT47:BW47)</f>
        <v>2.9558888398764886</v>
      </c>
      <c r="BX91" s="1564">
        <f>BX89/SUM(Q_IS!BU47:BX47)</f>
        <v>2.941551307404966</v>
      </c>
      <c r="BY91" s="1565">
        <f>BY89/SUM(Q_IS!BV47:BY47)</f>
        <v>2.8797743055555554</v>
      </c>
      <c r="BZ91" s="1564">
        <f>BZ89/SUM(Q_IS!BW47:BZ47)</f>
        <v>2.9442988204456095</v>
      </c>
      <c r="CA91" s="1563">
        <f>CA89/SUM(Q_IS!BX47:CA47)</f>
        <v>2.9164662147386835</v>
      </c>
      <c r="CB91" s="1563">
        <f>CB89/SUM(Q_IS!BY47:CB47)</f>
        <v>2.9640399556048833</v>
      </c>
      <c r="CC91" s="1563">
        <f>CC89/SUM(Q_IS!BZ47:CC47)</f>
        <v>2.856828678249395</v>
      </c>
      <c r="CD91" s="1566">
        <f>CD89/SUM(Q_IS!CA47:CD47)</f>
        <v>2.8127883981542516</v>
      </c>
      <c r="CE91" s="1563">
        <f>CE89/SUM(Q_IS!CB47:CE47)</f>
        <v>2.739942209379862</v>
      </c>
      <c r="CF91" s="1563">
        <f>CF89/SUM(Q_IS!CC47:CF47)</f>
        <v>2.6748724772676868</v>
      </c>
      <c r="CG91" s="1563">
        <f>CG89/SUM(Q_IS!CD47:CG47)</f>
        <v>2.6713476783691958</v>
      </c>
      <c r="CH91" s="1566">
        <f>CH89/SUM(Q_IS!CE47:CH47)</f>
        <v>2.6613563950842059</v>
      </c>
      <c r="CI91" s="1563">
        <f>CI89/SUM(Q_IS!CF47:CI47)</f>
        <v>2.5725989986345015</v>
      </c>
      <c r="CJ91" s="1563">
        <f>CJ89/SUM(Q_IS!CG47:CJ47)</f>
        <v>2.4908391766568649</v>
      </c>
      <c r="CK91" s="1563">
        <f>CK89/SUM(Q_IS!CH47:CK47)</f>
        <v>2.6099210822998873</v>
      </c>
      <c r="CL91" s="1566">
        <f>CL89/SUM(Q_IS!CI47:CL47)</f>
        <v>2.5587108406581023</v>
      </c>
      <c r="CM91" s="1170"/>
      <c r="CN91" s="1170"/>
      <c r="CO91" s="1170"/>
      <c r="CP91" s="1170"/>
      <c r="CQ91" s="1170"/>
      <c r="CR91" s="1170"/>
      <c r="CS91" s="1170"/>
      <c r="CT91" s="1198"/>
      <c r="CU91" s="1198"/>
    </row>
    <row r="92" spans="1:99" ht="6.75" customHeight="1">
      <c r="A92" s="1198"/>
      <c r="B92" s="1198"/>
      <c r="C92" s="1198"/>
      <c r="D92" s="1198"/>
      <c r="E92" s="1198"/>
      <c r="F92" s="1198"/>
      <c r="G92" s="1198"/>
      <c r="H92" s="1198"/>
      <c r="I92" s="1198"/>
      <c r="J92" s="1198"/>
      <c r="K92" s="1198"/>
      <c r="L92" s="1198"/>
      <c r="M92" s="1198"/>
      <c r="N92" s="1198"/>
      <c r="O92" s="1170"/>
      <c r="P92" s="1170"/>
      <c r="Q92" s="1170"/>
      <c r="R92" s="1360"/>
      <c r="S92" s="1198"/>
      <c r="T92" s="1507"/>
      <c r="U92" s="1507"/>
      <c r="V92" s="1507"/>
      <c r="W92" s="1507"/>
      <c r="X92" s="1282"/>
      <c r="Y92" s="1282"/>
      <c r="Z92" s="1282"/>
      <c r="AA92" s="1282"/>
      <c r="AB92" s="1282"/>
      <c r="AC92" s="1282"/>
      <c r="AD92" s="1282"/>
      <c r="AE92" s="1282"/>
      <c r="AF92" s="1282"/>
      <c r="AG92" s="1517"/>
      <c r="AH92" s="1170"/>
      <c r="AI92" s="1170"/>
      <c r="AJ92" s="1170"/>
      <c r="AK92" s="1170"/>
      <c r="AL92" s="1170"/>
      <c r="AM92" s="1170"/>
      <c r="AN92" s="1170"/>
      <c r="AO92" s="1170"/>
      <c r="AP92" s="1170"/>
      <c r="AQ92" s="1170"/>
      <c r="AR92" s="1170"/>
      <c r="AS92" s="1170"/>
      <c r="AT92" s="1170"/>
      <c r="AU92" s="1170"/>
      <c r="AV92" s="1170"/>
      <c r="AW92" s="1170"/>
      <c r="AX92" s="1170"/>
      <c r="AY92" s="1170"/>
      <c r="AZ92" s="1170"/>
      <c r="BA92" s="1170"/>
      <c r="BB92" s="1170"/>
      <c r="BC92" s="1170"/>
      <c r="BD92" s="1170"/>
      <c r="BE92" s="1170"/>
      <c r="BF92" s="1170"/>
      <c r="BG92" s="1170"/>
      <c r="BH92" s="1170"/>
      <c r="BI92" s="1170"/>
      <c r="BJ92" s="1170"/>
      <c r="BK92" s="1170"/>
      <c r="BL92" s="1170"/>
      <c r="BM92" s="1170"/>
      <c r="BN92" s="1170"/>
      <c r="BO92" s="1170"/>
      <c r="BP92" s="1170"/>
      <c r="BQ92" s="1360"/>
      <c r="BR92" s="1170"/>
      <c r="BS92" s="1170"/>
      <c r="BT92" s="1170"/>
      <c r="BU92" s="1360"/>
      <c r="BV92" s="1170"/>
      <c r="BW92" s="1170"/>
      <c r="BX92" s="1170"/>
      <c r="BY92" s="1360"/>
      <c r="BZ92" s="1170"/>
      <c r="CA92" s="1170"/>
      <c r="CB92" s="1170"/>
      <c r="CC92" s="1170"/>
      <c r="CD92" s="1359"/>
      <c r="CE92" s="1170"/>
      <c r="CF92" s="1170"/>
      <c r="CG92" s="1170"/>
      <c r="CH92" s="1359"/>
      <c r="CI92" s="1198"/>
      <c r="CJ92" s="1198"/>
      <c r="CK92" s="1198"/>
      <c r="CL92" s="1359"/>
      <c r="CM92" s="1170"/>
      <c r="CN92" s="1170"/>
      <c r="CO92" s="1170"/>
      <c r="CP92" s="1170"/>
      <c r="CQ92" s="1170"/>
      <c r="CR92" s="1170"/>
      <c r="CS92" s="1170"/>
      <c r="CT92" s="1198"/>
      <c r="CU92" s="1198"/>
    </row>
    <row r="93" spans="1:99" ht="12.75" customHeight="1">
      <c r="A93" s="1198" t="s">
        <v>968</v>
      </c>
      <c r="B93" s="1198"/>
      <c r="C93" s="1198"/>
      <c r="D93" s="1198"/>
      <c r="E93" s="1198"/>
      <c r="F93" s="1198"/>
      <c r="G93" s="1198"/>
      <c r="H93" s="1198"/>
      <c r="I93" s="1198"/>
      <c r="J93" s="1563">
        <f>Q_IS!J47/Q_IS!J62</f>
        <v>2.3029625489100054</v>
      </c>
      <c r="K93" s="1563">
        <f>Q_IS!K47/Q_IS!K62</f>
        <v>2.0768355150825268</v>
      </c>
      <c r="L93" s="1563">
        <f>Q_IS!L47/Q_IS!L62</f>
        <v>2.3468321358589157</v>
      </c>
      <c r="M93" s="1563">
        <f>Q_IS!M47/Q_IS!M62</f>
        <v>2.710721510451787</v>
      </c>
      <c r="N93" s="1563">
        <f>Q_IS!N47/Q_IS!N62</f>
        <v>3.7544910179640718</v>
      </c>
      <c r="O93" s="1564">
        <f>Q_IS!O47/Q_IS!O62</f>
        <v>4.0456540825285341</v>
      </c>
      <c r="P93" s="1564">
        <f>Q_IS!P47/Q_IS!P62</f>
        <v>4.2535079513564078</v>
      </c>
      <c r="Q93" s="1564">
        <f>Q_IS!Q47/Q_IS!Q62</f>
        <v>4.0541781450872358</v>
      </c>
      <c r="R93" s="1565">
        <f>Q_IS!R47/Q_IS!R62</f>
        <v>4.2685274302213667</v>
      </c>
      <c r="S93" s="1563">
        <f>Q_IS!S47/Q_IS!S62</f>
        <v>4.9603524229074889</v>
      </c>
      <c r="T93" s="1507"/>
      <c r="U93" s="1507"/>
      <c r="V93" s="1507"/>
      <c r="W93" s="1507"/>
      <c r="X93" s="1282"/>
      <c r="Y93" s="1282"/>
      <c r="Z93" s="1282"/>
      <c r="AA93" s="1282"/>
      <c r="AB93" s="1282"/>
      <c r="AC93" s="1282"/>
      <c r="AD93" s="1282"/>
      <c r="AE93" s="1282"/>
      <c r="AF93" s="1282"/>
      <c r="AG93" s="1517"/>
      <c r="AH93" s="1170"/>
      <c r="AI93" s="1170"/>
      <c r="AJ93" s="1170"/>
      <c r="AK93" s="1170"/>
      <c r="AL93" s="1170"/>
      <c r="AM93" s="1170"/>
      <c r="AN93" s="1170"/>
      <c r="AO93" s="1170"/>
      <c r="AP93" s="1170"/>
      <c r="AQ93" s="1170"/>
      <c r="AR93" s="1170"/>
      <c r="AS93" s="1170"/>
      <c r="AT93" s="1170"/>
      <c r="AU93" s="1170"/>
      <c r="AV93" s="1170"/>
      <c r="AW93" s="1170"/>
      <c r="AX93" s="1170"/>
      <c r="AY93" s="1170"/>
      <c r="AZ93" s="1170"/>
      <c r="BA93" s="1170"/>
      <c r="BB93" s="1564">
        <f>Q_IS!BB47/Q_IS!BB62</f>
        <v>2.5912408759124088</v>
      </c>
      <c r="BC93" s="1564">
        <f>Q_IS!BC47/Q_IS!BC62</f>
        <v>1.8822222222222222</v>
      </c>
      <c r="BD93" s="1564">
        <f>Q_IS!BD47/Q_IS!BD62</f>
        <v>2.2131868131868133</v>
      </c>
      <c r="BE93" s="1564">
        <f>Q_IS!BE47/Q_IS!BE62</f>
        <v>2.5939524838012957</v>
      </c>
      <c r="BF93" s="1564">
        <f>Q_IS!BF47/Q_IS!BF62</f>
        <v>2.2272727272727271</v>
      </c>
      <c r="BG93" s="1564">
        <f>Q_IS!BG47/Q_IS!BG62</f>
        <v>2.2139639639639639</v>
      </c>
      <c r="BH93" s="1564">
        <f>Q_IS!BH47/Q_IS!BH62</f>
        <v>2.1350114416475972</v>
      </c>
      <c r="BI93" s="1564">
        <f>Q_IS!BI47/Q_IS!BI62</f>
        <v>1.7270642201834863</v>
      </c>
      <c r="BJ93" s="1564">
        <f>Q_IS!BJ47/Q_IS!BJ62</f>
        <v>2.2367758186397984</v>
      </c>
      <c r="BK93" s="1564">
        <f>Q_IS!BK47/Q_IS!BK62</f>
        <v>2.1928934010152283</v>
      </c>
      <c r="BL93" s="1564">
        <f>Q_IS!BL47/Q_IS!BL62</f>
        <v>2.3422459893048129</v>
      </c>
      <c r="BM93" s="1564">
        <f>Q_IS!BM47/Q_IS!BM62</f>
        <v>2.6366120218579234</v>
      </c>
      <c r="BN93" s="1564">
        <f>Q_IS!BN47/Q_IS!BN62</f>
        <v>2.5564304461942258</v>
      </c>
      <c r="BO93" s="1564">
        <f>Q_IS!BO47/Q_IS!BO62</f>
        <v>2.607894736842105</v>
      </c>
      <c r="BP93" s="1564">
        <f>Q_IS!BP47/Q_IS!BP62</f>
        <v>2.609375</v>
      </c>
      <c r="BQ93" s="1565">
        <f>Q_IS!BQ47/Q_IS!BQ62</f>
        <v>3.1153846153846154</v>
      </c>
      <c r="BR93" s="1564">
        <f>Q_IS!BR47/Q_IS!BR62</f>
        <v>3.6013513513513513</v>
      </c>
      <c r="BS93" s="1564">
        <f>Q_IS!BS47/Q_IS!BS62</f>
        <v>3.7214765100671139</v>
      </c>
      <c r="BT93" s="1564">
        <f>Q_IS!BT47/Q_IS!BT62</f>
        <v>3.8969072164948453</v>
      </c>
      <c r="BU93" s="1565">
        <f>Q_IS!BU47/Q_IS!BU62</f>
        <v>3.8028169014084505</v>
      </c>
      <c r="BV93" s="1564">
        <f>Q_IS!BV47/Q_IS!BV62</f>
        <v>4.0102739726027394</v>
      </c>
      <c r="BW93" s="1564">
        <f>Q_IS!BW47/Q_IS!BW62</f>
        <v>4.0315789473684207</v>
      </c>
      <c r="BX93" s="1564">
        <f>Q_IS!BX47/Q_IS!BX62</f>
        <v>4.0671378091872787</v>
      </c>
      <c r="BY93" s="1565">
        <f>Q_IS!BY47/Q_IS!BY62</f>
        <v>4.075268817204301</v>
      </c>
      <c r="BZ93" s="1564">
        <f>Q_IS!BZ47/Q_IS!BZ62</f>
        <v>4.194852941176471</v>
      </c>
      <c r="CA93" s="1564">
        <f>Q_IS!CA47/Q_IS!CA62</f>
        <v>4.2370370370370374</v>
      </c>
      <c r="CB93" s="1564">
        <f>Q_IS!CB47/Q_IS!CB62</f>
        <v>4.1178707224334596</v>
      </c>
      <c r="CC93" s="1564">
        <f>Q_IS!CC47/Q_IS!CC62</f>
        <v>4.4659090909090908</v>
      </c>
      <c r="CD93" s="1566">
        <f>Q_IS!CD47/Q_IS!CD62</f>
        <v>4.4038461538461542</v>
      </c>
      <c r="CE93" s="1564">
        <f>Q_IS!CE47/Q_IS!CE62</f>
        <v>3.9565217391304346</v>
      </c>
      <c r="CF93" s="1564">
        <f>Q_IS!CF47/Q_IS!CF62</f>
        <v>3.9890510948905109</v>
      </c>
      <c r="CG93" s="1564">
        <f>Q_IS!CG47/Q_IS!CG62</f>
        <v>3.8888888888888888</v>
      </c>
      <c r="CH93" s="1566">
        <f>Q_IS!CH47/Q_IS!CH62</f>
        <v>4.0286738351254483</v>
      </c>
      <c r="CI93" s="1563">
        <f>Q_IS!CI47/Q_IS!CI62</f>
        <v>4.120754716981132</v>
      </c>
      <c r="CJ93" s="1563">
        <f>Q_IS!CJ47/Q_IS!CJ62</f>
        <v>4.3921568627450984</v>
      </c>
      <c r="CK93" s="1563">
        <f>Q_IS!CK47/Q_IS!CK62</f>
        <v>4.5791666666666666</v>
      </c>
      <c r="CL93" s="1566">
        <f>Q_IS!CL47/Q_IS!CL62</f>
        <v>4.9603524229074889</v>
      </c>
      <c r="CM93" s="1170"/>
      <c r="CN93" s="1170"/>
      <c r="CO93" s="1170"/>
      <c r="CP93" s="1170"/>
      <c r="CQ93" s="1170"/>
      <c r="CR93" s="1170"/>
      <c r="CS93" s="1170"/>
      <c r="CT93" s="1198"/>
      <c r="CU93" s="1198"/>
    </row>
    <row r="94" spans="1:99" ht="12.75" customHeight="1">
      <c r="A94" s="1198" t="s">
        <v>969</v>
      </c>
      <c r="B94" s="1198"/>
      <c r="C94" s="1198"/>
      <c r="D94" s="1198"/>
      <c r="E94" s="1198"/>
      <c r="F94" s="1198"/>
      <c r="G94" s="1198"/>
      <c r="H94" s="1198"/>
      <c r="I94" s="1198"/>
      <c r="J94" s="1563">
        <f>(Q_IS!J47+Q_CFS!J37)/Q_IS!J62</f>
        <v>0.75796534376746783</v>
      </c>
      <c r="K94" s="1563">
        <f>(Q_IS!K47+Q_CFS!K37)/Q_IS!K62</f>
        <v>0.88844621513944222</v>
      </c>
      <c r="L94" s="1563">
        <f>(Q_IS!L47+Q_CFS!L37)/Q_IS!L62</f>
        <v>1.2161985630306988</v>
      </c>
      <c r="M94" s="1563">
        <f>(Q_IS!M47+Q_CFS!M37)/Q_IS!M62</f>
        <v>1.6230613621038437</v>
      </c>
      <c r="N94" s="1563">
        <f>(Q_IS!N47+Q_CFS!N37)/Q_IS!N62</f>
        <v>2.3584260051325918</v>
      </c>
      <c r="O94" s="1564">
        <f>(Q_IS!O47+Q_CFS!O37)/Q_IS!O62</f>
        <v>2.5803336259877083</v>
      </c>
      <c r="P94" s="1564">
        <f>(Q_IS!P47+Q_CFS!P37)/Q_IS!P62</f>
        <v>2.5912067352666042</v>
      </c>
      <c r="Q94" s="1564">
        <f>(Q_IS!Q47+Q_CFS!Q37)/Q_IS!Q62</f>
        <v>2.7603305785123968</v>
      </c>
      <c r="R94" s="1565">
        <f>(Q_IS!R47+Q_CFS!R37)/Q_IS!R62</f>
        <v>2.8363811357074109</v>
      </c>
      <c r="S94" s="1563">
        <f>(Q_IS!S47+Q_CFS!S37)/Q_IS!S62</f>
        <v>3.1541850220264318</v>
      </c>
      <c r="T94" s="1507"/>
      <c r="U94" s="1507"/>
      <c r="V94" s="1507"/>
      <c r="W94" s="1507"/>
      <c r="X94" s="1282"/>
      <c r="Y94" s="1282"/>
      <c r="Z94" s="1282"/>
      <c r="AA94" s="1282"/>
      <c r="AB94" s="1282"/>
      <c r="AC94" s="1282"/>
      <c r="AD94" s="1282"/>
      <c r="AE94" s="1282"/>
      <c r="AF94" s="1282"/>
      <c r="AG94" s="1517"/>
      <c r="AH94" s="1170"/>
      <c r="AI94" s="1170"/>
      <c r="AJ94" s="1170"/>
      <c r="AK94" s="1170"/>
      <c r="AL94" s="1170"/>
      <c r="AM94" s="1170"/>
      <c r="AN94" s="1170"/>
      <c r="AO94" s="1170"/>
      <c r="AP94" s="1170"/>
      <c r="AQ94" s="1170"/>
      <c r="AR94" s="1170"/>
      <c r="AS94" s="1170"/>
      <c r="AT94" s="1170"/>
      <c r="AU94" s="1170"/>
      <c r="AV94" s="1170"/>
      <c r="AW94" s="1170"/>
      <c r="AX94" s="1170"/>
      <c r="AY94" s="1170"/>
      <c r="AZ94" s="1170"/>
      <c r="BA94" s="1170"/>
      <c r="BB94" s="1564">
        <f>(Q_IS!BB47+Q_CFS!BB37)/Q_IS!BB62</f>
        <v>-0.25790754257907544</v>
      </c>
      <c r="BC94" s="1564">
        <f>(Q_IS!BC47+Q_CFS!BC37)/Q_IS!BC62</f>
        <v>0.55111111111111111</v>
      </c>
      <c r="BD94" s="1564">
        <f>(Q_IS!BD47+Q_CFS!BD37)/Q_IS!BD62</f>
        <v>1.2615384615384615</v>
      </c>
      <c r="BE94" s="1564">
        <f>(Q_IS!BE47+Q_CFS!BE37)/Q_IS!BE62</f>
        <v>1.3822894168466522</v>
      </c>
      <c r="BF94" s="1564">
        <f>(Q_IS!BF47+Q_CFS!BF37)/Q_IS!BF62</f>
        <v>1.2522727272727272</v>
      </c>
      <c r="BG94" s="1564">
        <f>(Q_IS!BG47+Q_CFS!BG37)/Q_IS!BG62</f>
        <v>1.0765765765765767</v>
      </c>
      <c r="BH94" s="1564">
        <f>(Q_IS!BH47+Q_CFS!BH37)/Q_IS!BH62</f>
        <v>0.90160183066361554</v>
      </c>
      <c r="BI94" s="1564">
        <f>(Q_IS!BI47+Q_CFS!BI37)/Q_IS!BI62</f>
        <v>0.3165137614678899</v>
      </c>
      <c r="BJ94" s="1564">
        <f>(Q_IS!BJ47+Q_CFS!BJ37)/Q_IS!BJ62</f>
        <v>1.0906801007556675</v>
      </c>
      <c r="BK94" s="1564">
        <f>(Q_IS!BK47+Q_CFS!BK37)/Q_IS!BK62</f>
        <v>0.95939086294416243</v>
      </c>
      <c r="BL94" s="1564">
        <f>(Q_IS!BL47+Q_CFS!BL37)/Q_IS!BL62</f>
        <v>1.2245989304812834</v>
      </c>
      <c r="BM94" s="1564">
        <f>(Q_IS!BM47+Q_CFS!BM37)/Q_IS!BM62</f>
        <v>1.6202185792349726</v>
      </c>
      <c r="BN94" s="1564">
        <f>(Q_IS!BN47+Q_CFS!BN37)/Q_IS!BN62</f>
        <v>1.7349081364829397</v>
      </c>
      <c r="BO94" s="1564">
        <f>(Q_IS!BO47+Q_CFS!BO37)/Q_IS!BO62</f>
        <v>1.6815789473684211</v>
      </c>
      <c r="BP94" s="1564">
        <f>(Q_IS!BP47+Q_CFS!BP37)/Q_IS!BP62</f>
        <v>1.4505208333333333</v>
      </c>
      <c r="BQ94" s="1565">
        <f>(Q_IS!BQ47+Q_CFS!BQ37)/Q_IS!BQ62</f>
        <v>1.6272189349112427</v>
      </c>
      <c r="BR94" s="1564">
        <f>(Q_IS!BR47+Q_CFS!BR37)/Q_IS!BR62</f>
        <v>2.2837837837837838</v>
      </c>
      <c r="BS94" s="1564">
        <f>(Q_IS!BS47+Q_CFS!BS37)/Q_IS!BS62</f>
        <v>2.238255033557047</v>
      </c>
      <c r="BT94" s="1564">
        <f>(Q_IS!BT47+Q_CFS!BT37)/Q_IS!BT62</f>
        <v>2.5429553264604809</v>
      </c>
      <c r="BU94" s="1565">
        <f>(Q_IS!BU47+Q_CFS!BU37)/Q_IS!BU62</f>
        <v>2.3732394366197185</v>
      </c>
      <c r="BV94" s="1564">
        <f>(Q_IS!BV47+Q_CFS!BV37)/Q_IS!BV62</f>
        <v>2.9212328767123288</v>
      </c>
      <c r="BW94" s="1564">
        <f>(Q_IS!BW47+Q_CFS!BW37)/Q_IS!BW62</f>
        <v>2.5368421052631578</v>
      </c>
      <c r="BX94" s="1564">
        <f>(Q_IS!BX47+Q_CFS!BX37)/Q_IS!BX62</f>
        <v>2.5830388692579507</v>
      </c>
      <c r="BY94" s="1565">
        <f>(Q_IS!BY47+Q_CFS!BY37)/Q_IS!BY62</f>
        <v>2.2652329749103943</v>
      </c>
      <c r="BZ94" s="1564">
        <f>(Q_IS!BZ47+Q_CFS!BZ37)/Q_IS!BZ62</f>
        <v>2.6654411764705883</v>
      </c>
      <c r="CA94" s="1564">
        <f>(Q_IS!CA47+Q_CFS!CA37)/Q_IS!CA62</f>
        <v>2.2592592592592591</v>
      </c>
      <c r="CB94" s="1564">
        <f>(Q_IS!CB47+Q_CFS!CB37)/Q_IS!CB62</f>
        <v>2.3460076045627378</v>
      </c>
      <c r="CC94" s="1564">
        <f>(Q_IS!CC47+Q_CFS!CC37)/Q_IS!CC62</f>
        <v>3.0984848484848486</v>
      </c>
      <c r="CD94" s="1566">
        <f>(Q_IS!CD47+Q_CFS!CD37)/Q_IS!CD62</f>
        <v>3.1192307692307693</v>
      </c>
      <c r="CE94" s="1564">
        <f>(Q_IS!CE47+Q_CFS!CE37)/Q_IS!CE62</f>
        <v>2.6956521739130435</v>
      </c>
      <c r="CF94" s="1564">
        <f>(Q_IS!CF47+Q_CFS!CF37)/Q_IS!CF62</f>
        <v>2.7445255474452557</v>
      </c>
      <c r="CG94" s="1564">
        <f>(Q_IS!CG47+Q_CFS!CG37)/Q_IS!CG62</f>
        <v>2.5053763440860215</v>
      </c>
      <c r="CH94" s="1566">
        <f>(Q_IS!CH47+Q_CFS!CH37)/Q_IS!CH62</f>
        <v>2.6415770609318998</v>
      </c>
      <c r="CI94" s="1563">
        <f>(Q_IS!CI47+Q_CFS!CI37)/Q_IS!CI62</f>
        <v>2.8754716981132074</v>
      </c>
      <c r="CJ94" s="1563">
        <f>(Q_IS!CJ47+Q_CFS!CJ37)/Q_IS!CJ62</f>
        <v>2.9294117647058822</v>
      </c>
      <c r="CK94" s="1563">
        <f>(Q_IS!CK47+Q_CFS!CK37)/Q_IS!CK62</f>
        <v>2.9208333333333334</v>
      </c>
      <c r="CL94" s="1566">
        <f>(Q_IS!CL47+Q_CFS!CL37)/Q_IS!CL62</f>
        <v>3.1541850220264318</v>
      </c>
      <c r="CM94" s="1170"/>
      <c r="CN94" s="1170"/>
      <c r="CO94" s="1170"/>
      <c r="CP94" s="1170"/>
      <c r="CQ94" s="1170"/>
      <c r="CR94" s="1170"/>
      <c r="CS94" s="1170"/>
      <c r="CT94" s="1198"/>
      <c r="CU94" s="1198"/>
    </row>
    <row r="95" spans="1:99" ht="12.75" customHeight="1">
      <c r="A95" s="1198"/>
      <c r="B95" s="1198"/>
      <c r="C95" s="1198"/>
      <c r="D95" s="1198"/>
      <c r="E95" s="1198"/>
      <c r="F95" s="1198"/>
      <c r="G95" s="1198"/>
      <c r="H95" s="1198"/>
      <c r="I95" s="1198"/>
      <c r="J95" s="1198"/>
      <c r="K95" s="1198"/>
      <c r="L95" s="1198"/>
      <c r="M95" s="1198"/>
      <c r="N95" s="1198"/>
      <c r="O95" s="1170"/>
      <c r="P95" s="1170"/>
      <c r="Q95" s="1170"/>
      <c r="R95" s="1360"/>
      <c r="S95" s="1198"/>
      <c r="T95" s="1507"/>
      <c r="U95" s="1507"/>
      <c r="V95" s="1507"/>
      <c r="W95" s="1507"/>
      <c r="X95" s="1282"/>
      <c r="Y95" s="1282"/>
      <c r="Z95" s="1282"/>
      <c r="AA95" s="1282"/>
      <c r="AB95" s="1282"/>
      <c r="AC95" s="1282"/>
      <c r="AD95" s="1282"/>
      <c r="AE95" s="1282"/>
      <c r="AF95" s="1282"/>
      <c r="AG95" s="1517"/>
      <c r="AH95" s="1170"/>
      <c r="AI95" s="1170"/>
      <c r="AJ95" s="1170"/>
      <c r="AK95" s="1170"/>
      <c r="AL95" s="1170"/>
      <c r="AM95" s="1170"/>
      <c r="AN95" s="1170"/>
      <c r="AO95" s="1170"/>
      <c r="AP95" s="1170"/>
      <c r="AQ95" s="1170"/>
      <c r="AR95" s="1170"/>
      <c r="AS95" s="1170"/>
      <c r="AT95" s="1170"/>
      <c r="AU95" s="1170"/>
      <c r="AV95" s="1170"/>
      <c r="AW95" s="1170"/>
      <c r="AX95" s="1170"/>
      <c r="AY95" s="1170"/>
      <c r="AZ95" s="1170"/>
      <c r="BA95" s="1170"/>
      <c r="BB95" s="1170"/>
      <c r="BC95" s="1170"/>
      <c r="BD95" s="1170"/>
      <c r="BE95" s="1170"/>
      <c r="BF95" s="1170"/>
      <c r="BG95" s="1170"/>
      <c r="BH95" s="1170"/>
      <c r="BI95" s="1170"/>
      <c r="BJ95" s="1170"/>
      <c r="BK95" s="1170"/>
      <c r="BL95" s="1170"/>
      <c r="BM95" s="1170"/>
      <c r="BN95" s="1170"/>
      <c r="BO95" s="1170"/>
      <c r="BP95" s="1170"/>
      <c r="BQ95" s="1360"/>
      <c r="BR95" s="1170"/>
      <c r="BS95" s="1170"/>
      <c r="BT95" s="1170"/>
      <c r="BU95" s="1360"/>
      <c r="BV95" s="1170"/>
      <c r="BW95" s="1170"/>
      <c r="BX95" s="1170"/>
      <c r="BY95" s="1360"/>
      <c r="BZ95" s="1170"/>
      <c r="CA95" s="1170"/>
      <c r="CB95" s="1170"/>
      <c r="CC95" s="1170"/>
      <c r="CD95" s="1359"/>
      <c r="CE95" s="1170"/>
      <c r="CF95" s="1170"/>
      <c r="CG95" s="1170"/>
      <c r="CH95" s="1567"/>
      <c r="CI95" s="1199"/>
      <c r="CJ95" s="1199"/>
      <c r="CK95" s="1199"/>
      <c r="CL95" s="1567"/>
      <c r="CM95" s="1170"/>
      <c r="CN95" s="1170"/>
      <c r="CO95" s="1170"/>
      <c r="CP95" s="1170"/>
      <c r="CQ95" s="1170"/>
      <c r="CR95" s="1170"/>
      <c r="CS95" s="1170"/>
      <c r="CT95" s="1198"/>
      <c r="CU95" s="1198"/>
    </row>
    <row r="96" spans="1:99" ht="12.75" customHeight="1">
      <c r="A96" s="1198" t="s">
        <v>247</v>
      </c>
      <c r="B96" s="1198"/>
      <c r="C96" s="1198"/>
      <c r="D96" s="1198"/>
      <c r="E96" s="1198"/>
      <c r="F96" s="1198"/>
      <c r="G96" s="1198"/>
      <c r="H96" s="1198"/>
      <c r="I96" s="1198"/>
      <c r="J96" s="1198"/>
      <c r="K96" s="1198"/>
      <c r="L96" s="1198"/>
      <c r="M96" s="1198"/>
      <c r="N96" s="1198"/>
      <c r="O96" s="1282">
        <f>SUM(BV96:BY96)</f>
        <v>25</v>
      </c>
      <c r="P96" s="1282">
        <f>SUM(BZ96:CC96)</f>
        <v>23</v>
      </c>
      <c r="Q96" s="1282">
        <f>SUM(CD96:CG96)</f>
        <v>17</v>
      </c>
      <c r="R96" s="1250">
        <f>SUM(CH96:CK96)</f>
        <v>5</v>
      </c>
      <c r="S96" s="991">
        <f>SUM(CL96:CO96)</f>
        <v>5</v>
      </c>
      <c r="T96" s="1507"/>
      <c r="U96" s="1507"/>
      <c r="V96" s="1507"/>
      <c r="W96" s="1507"/>
      <c r="X96" s="1282"/>
      <c r="Y96" s="1282"/>
      <c r="Z96" s="1282"/>
      <c r="AA96" s="1282"/>
      <c r="AB96" s="1282"/>
      <c r="AC96" s="1282"/>
      <c r="AD96" s="1282"/>
      <c r="AE96" s="1282"/>
      <c r="AF96" s="1282"/>
      <c r="AG96" s="1517"/>
      <c r="AH96" s="1170"/>
      <c r="AI96" s="1170"/>
      <c r="AJ96" s="1170"/>
      <c r="AK96" s="1170"/>
      <c r="AL96" s="1170"/>
      <c r="AM96" s="1170"/>
      <c r="AN96" s="1170"/>
      <c r="AO96" s="1170"/>
      <c r="AP96" s="1170"/>
      <c r="AQ96" s="1170"/>
      <c r="AR96" s="1170"/>
      <c r="AS96" s="1170"/>
      <c r="AT96" s="1170"/>
      <c r="AU96" s="1170"/>
      <c r="AV96" s="1170"/>
      <c r="AW96" s="1170"/>
      <c r="AX96" s="1170"/>
      <c r="AY96" s="1170"/>
      <c r="AZ96" s="1170"/>
      <c r="BA96" s="1170"/>
      <c r="BB96" s="1170"/>
      <c r="BC96" s="1170"/>
      <c r="BD96" s="1170"/>
      <c r="BE96" s="1170"/>
      <c r="BF96" s="1170"/>
      <c r="BG96" s="1170"/>
      <c r="BH96" s="1170"/>
      <c r="BI96" s="1170"/>
      <c r="BJ96" s="1170"/>
      <c r="BK96" s="1170"/>
      <c r="BL96" s="1170"/>
      <c r="BM96" s="1170"/>
      <c r="BN96" s="1282">
        <f>-Q_IS!BN65</f>
        <v>-15</v>
      </c>
      <c r="BO96" s="1282">
        <f>-Q_IS!BO65</f>
        <v>30</v>
      </c>
      <c r="BP96" s="1282">
        <f>-Q_IS!BP65</f>
        <v>31</v>
      </c>
      <c r="BQ96" s="1250">
        <f>-Q_IS!BQ65</f>
        <v>32</v>
      </c>
      <c r="BR96" s="1282">
        <f>-Q_IS!BR65</f>
        <v>28</v>
      </c>
      <c r="BS96" s="1282">
        <f>-Q_IS!BS65</f>
        <v>17</v>
      </c>
      <c r="BT96" s="1282">
        <f>-Q_IS!BT65</f>
        <v>42</v>
      </c>
      <c r="BU96" s="1348">
        <f>-Q_IS!BU65-65</f>
        <v>-46</v>
      </c>
      <c r="BV96" s="1282">
        <f>-Q_IS!BV65</f>
        <v>5</v>
      </c>
      <c r="BW96" s="1282">
        <f>-Q_IS!BW65</f>
        <v>8</v>
      </c>
      <c r="BX96" s="1282">
        <f>-Q_IS!BX65</f>
        <v>9</v>
      </c>
      <c r="BY96" s="1250">
        <f>-Q_IS!BY65</f>
        <v>3</v>
      </c>
      <c r="BZ96" s="984">
        <f>-Q_IS!BZ65</f>
        <v>-3</v>
      </c>
      <c r="CA96" s="984">
        <f>-Q_IS!CA65</f>
        <v>4</v>
      </c>
      <c r="CB96" s="984">
        <f>-Q_IS!CB65</f>
        <v>27</v>
      </c>
      <c r="CC96" s="984">
        <f>-Q_IS!CC65</f>
        <v>-5</v>
      </c>
      <c r="CD96" s="986">
        <f>-Q_IS!CD65</f>
        <v>9</v>
      </c>
      <c r="CE96" s="984">
        <f>-Q_IS!CE65</f>
        <v>2</v>
      </c>
      <c r="CF96" s="984">
        <f>-Q_IS!CF65</f>
        <v>0</v>
      </c>
      <c r="CG96" s="984">
        <f>-Q_IS!CG65</f>
        <v>6</v>
      </c>
      <c r="CH96" s="986">
        <f>-Q_IS!CH65</f>
        <v>0</v>
      </c>
      <c r="CI96" s="984">
        <f>-Q_IS!CI65</f>
        <v>1</v>
      </c>
      <c r="CJ96" s="984">
        <f>-Q_IS!CJ65</f>
        <v>5</v>
      </c>
      <c r="CK96" s="984">
        <f>-Q_IS!CK65</f>
        <v>-1</v>
      </c>
      <c r="CL96" s="986">
        <f>-Q_IS!CL65</f>
        <v>5</v>
      </c>
      <c r="CM96" s="1170"/>
      <c r="CN96" s="1170"/>
      <c r="CO96" s="1170"/>
      <c r="CP96" s="1170"/>
      <c r="CQ96" s="1170"/>
      <c r="CR96" s="1170"/>
      <c r="CS96" s="1170"/>
      <c r="CT96" s="1198"/>
      <c r="CU96" s="1198"/>
    </row>
    <row r="97" spans="1:99" ht="12.75" customHeight="1">
      <c r="A97" s="1198" t="s">
        <v>248</v>
      </c>
      <c r="B97" s="1198"/>
      <c r="C97" s="1198"/>
      <c r="D97" s="1198"/>
      <c r="E97" s="1198"/>
      <c r="F97" s="1198"/>
      <c r="G97" s="1198"/>
      <c r="H97" s="1198"/>
      <c r="I97" s="1198"/>
      <c r="J97" s="1198"/>
      <c r="K97" s="1198"/>
      <c r="L97" s="1198"/>
      <c r="M97" s="1198"/>
      <c r="N97" s="1198"/>
      <c r="O97" s="1056">
        <f>O96/((O10+O11+N10+N11)/2)</f>
        <v>2.0242914979757085E-2</v>
      </c>
      <c r="P97" s="1056">
        <f>P96/((P10+P11+O10+O11)/2)</f>
        <v>2.9754204398447608E-2</v>
      </c>
      <c r="Q97" s="1056">
        <f>Q96/((Q10+Q11+P10+P11)/2)</f>
        <v>1.144395826321104E-2</v>
      </c>
      <c r="R97" s="1057">
        <f>R96/((R10+R11+Q10+Q11)/2)</f>
        <v>3.599712023038157E-3</v>
      </c>
      <c r="S97" s="1056">
        <f>S96/((S10+S11+R10+R11)/2)</f>
        <v>2.6881720430107527E-2</v>
      </c>
      <c r="T97" s="1507"/>
      <c r="U97" s="1507"/>
      <c r="V97" s="1507"/>
      <c r="W97" s="1507"/>
      <c r="X97" s="1282"/>
      <c r="Y97" s="1282"/>
      <c r="Z97" s="1282"/>
      <c r="AA97" s="1282"/>
      <c r="AB97" s="1282"/>
      <c r="AC97" s="1282"/>
      <c r="AD97" s="1282"/>
      <c r="AE97" s="1282"/>
      <c r="AF97" s="1282"/>
      <c r="AG97" s="1517"/>
      <c r="AH97" s="1170"/>
      <c r="AI97" s="1170"/>
      <c r="AJ97" s="1170"/>
      <c r="AK97" s="1170"/>
      <c r="AL97" s="1170"/>
      <c r="AM97" s="1170"/>
      <c r="AN97" s="1170"/>
      <c r="AO97" s="1170"/>
      <c r="AP97" s="1170"/>
      <c r="AQ97" s="1170"/>
      <c r="AR97" s="1170"/>
      <c r="AS97" s="1170"/>
      <c r="AT97" s="1170"/>
      <c r="AU97" s="1170"/>
      <c r="AV97" s="1170"/>
      <c r="AW97" s="1170"/>
      <c r="AX97" s="1170"/>
      <c r="AY97" s="1170"/>
      <c r="AZ97" s="1170"/>
      <c r="BA97" s="1170"/>
      <c r="BB97" s="1170"/>
      <c r="BC97" s="1170"/>
      <c r="BD97" s="1170"/>
      <c r="BE97" s="1170"/>
      <c r="BF97" s="1170"/>
      <c r="BG97" s="1170"/>
      <c r="BH97" s="1170"/>
      <c r="BI97" s="1170"/>
      <c r="BJ97" s="1170"/>
      <c r="BK97" s="1170"/>
      <c r="BL97" s="1170"/>
      <c r="BM97" s="1170"/>
      <c r="BN97" s="1056">
        <f>BN96/((BN10+BN11+BM10+BM11)/2)</f>
        <v>-7.2428778367938191E-3</v>
      </c>
      <c r="BO97" s="1056">
        <f>BO96/((BO10+BO11+BN10+BN11)/2)</f>
        <v>1.1426394972386213E-2</v>
      </c>
      <c r="BP97" s="1056">
        <f>BP96/((BP10+BP11+BO10+BO11)/2)</f>
        <v>1.074523396880416E-2</v>
      </c>
      <c r="BQ97" s="1057">
        <f>BQ96/((BQ10+BQ11+BP10+BP11)/2)</f>
        <v>1.6675351745700884E-2</v>
      </c>
      <c r="BR97" s="1056">
        <f t="shared" ref="BR97:CH97" si="76">BR96/((BR10+BR11+BQ10+BQ11)/2)*4</f>
        <v>0.13278008298755187</v>
      </c>
      <c r="BS97" s="1056">
        <f t="shared" si="76"/>
        <v>6.3730084348641053E-2</v>
      </c>
      <c r="BT97" s="1056">
        <f t="shared" si="76"/>
        <v>0.13053613053613053</v>
      </c>
      <c r="BU97" s="1057">
        <f t="shared" si="76"/>
        <v>-0.13787935556388162</v>
      </c>
      <c r="BV97" s="1056">
        <f t="shared" si="76"/>
        <v>1.5278838808250574E-2</v>
      </c>
      <c r="BW97" s="1056">
        <f t="shared" si="76"/>
        <v>2.8596961572832886E-2</v>
      </c>
      <c r="BX97" s="1056">
        <f t="shared" si="76"/>
        <v>3.231597845601436E-2</v>
      </c>
      <c r="BY97" s="1057">
        <f t="shared" si="76"/>
        <v>1.1428571428571429E-2</v>
      </c>
      <c r="BZ97" s="1056">
        <f t="shared" si="76"/>
        <v>-1.4860681114551083E-2</v>
      </c>
      <c r="CA97" s="1055">
        <f t="shared" si="76"/>
        <v>2.3038156947444204E-2</v>
      </c>
      <c r="CB97" s="1055">
        <f t="shared" si="76"/>
        <v>0.16107382550335569</v>
      </c>
      <c r="CC97" s="1055">
        <f t="shared" si="76"/>
        <v>-3.4752389226759342E-2</v>
      </c>
      <c r="CD97" s="1058">
        <f t="shared" si="76"/>
        <v>6.50994575045208E-2</v>
      </c>
      <c r="CE97" s="1055">
        <f t="shared" si="76"/>
        <v>6.8463842533162175E-3</v>
      </c>
      <c r="CF97" s="1055">
        <f t="shared" si="76"/>
        <v>0</v>
      </c>
      <c r="CG97" s="1055">
        <f t="shared" si="76"/>
        <v>1.0714285714285714E-2</v>
      </c>
      <c r="CH97" s="1058">
        <f t="shared" si="76"/>
        <v>0</v>
      </c>
      <c r="CI97" s="988">
        <f>CI96/((CI10+CI11+CH10+CH11)/2)*4</f>
        <v>2.203249793445332E-3</v>
      </c>
      <c r="CJ97" s="988">
        <f>CJ96/((CJ10+CJ11+CI10+CI11)/2)*4</f>
        <v>1.0678056593699947E-2</v>
      </c>
      <c r="CK97" s="988">
        <f>CK96/((CK10+CK11+CJ10+CJ11)/2)*4</f>
        <v>-3.4202650705429669E-3</v>
      </c>
      <c r="CL97" s="990">
        <f>CL96/((CL10+CL11+CK10+CK11)/2)*4</f>
        <v>5.0251256281407038E-2</v>
      </c>
      <c r="CM97" s="1170"/>
      <c r="CN97" s="1170"/>
      <c r="CO97" s="1170"/>
      <c r="CP97" s="1170"/>
      <c r="CQ97" s="1170"/>
      <c r="CR97" s="1170"/>
      <c r="CS97" s="1170"/>
      <c r="CT97" s="1198"/>
      <c r="CU97" s="1198"/>
    </row>
    <row r="98" spans="1:99" ht="4.5" customHeight="1">
      <c r="A98" s="1198"/>
      <c r="B98" s="1198"/>
      <c r="C98" s="1198"/>
      <c r="D98" s="1198"/>
      <c r="E98" s="1198"/>
      <c r="F98" s="1198"/>
      <c r="G98" s="1198"/>
      <c r="H98" s="1198"/>
      <c r="I98" s="1198"/>
      <c r="J98" s="1198"/>
      <c r="K98" s="1198"/>
      <c r="L98" s="1198"/>
      <c r="M98" s="1198"/>
      <c r="N98" s="1198"/>
      <c r="O98" s="1170"/>
      <c r="P98" s="1170"/>
      <c r="Q98" s="1170"/>
      <c r="R98" s="1360"/>
      <c r="S98" s="1198"/>
      <c r="T98" s="1507"/>
      <c r="U98" s="1507"/>
      <c r="V98" s="1507"/>
      <c r="W98" s="1507"/>
      <c r="X98" s="1282"/>
      <c r="Y98" s="1282"/>
      <c r="Z98" s="1282"/>
      <c r="AA98" s="1282"/>
      <c r="AB98" s="1282"/>
      <c r="AC98" s="1282"/>
      <c r="AD98" s="1282"/>
      <c r="AE98" s="1282"/>
      <c r="AF98" s="1282"/>
      <c r="AG98" s="1517"/>
      <c r="AH98" s="1170"/>
      <c r="AI98" s="1170"/>
      <c r="AJ98" s="1170"/>
      <c r="AK98" s="1170"/>
      <c r="AL98" s="1170"/>
      <c r="AM98" s="1170"/>
      <c r="AN98" s="1170"/>
      <c r="AO98" s="1170"/>
      <c r="AP98" s="1170"/>
      <c r="AQ98" s="1170"/>
      <c r="AR98" s="1170"/>
      <c r="AS98" s="1170"/>
      <c r="AT98" s="1170"/>
      <c r="AU98" s="1170"/>
      <c r="AV98" s="1170"/>
      <c r="AW98" s="1170"/>
      <c r="AX98" s="1170"/>
      <c r="AY98" s="1170"/>
      <c r="AZ98" s="1170"/>
      <c r="BA98" s="1170"/>
      <c r="BB98" s="1170"/>
      <c r="BC98" s="1170"/>
      <c r="BD98" s="1170"/>
      <c r="BE98" s="1170"/>
      <c r="BF98" s="1170"/>
      <c r="BG98" s="1170"/>
      <c r="BH98" s="1170"/>
      <c r="BI98" s="1170"/>
      <c r="BJ98" s="1170"/>
      <c r="BK98" s="1170"/>
      <c r="BL98" s="1170"/>
      <c r="BM98" s="1170"/>
      <c r="BN98" s="1170"/>
      <c r="BO98" s="1170"/>
      <c r="BP98" s="1170"/>
      <c r="BQ98" s="1360"/>
      <c r="BR98" s="1170"/>
      <c r="BS98" s="1170"/>
      <c r="BT98" s="1170"/>
      <c r="BU98" s="1360"/>
      <c r="BV98" s="1170"/>
      <c r="BW98" s="1170"/>
      <c r="BX98" s="1170"/>
      <c r="BY98" s="1360"/>
      <c r="BZ98" s="1170"/>
      <c r="CA98" s="1170"/>
      <c r="CB98" s="1170"/>
      <c r="CC98" s="1170"/>
      <c r="CD98" s="1359"/>
      <c r="CE98" s="1170"/>
      <c r="CF98" s="1170"/>
      <c r="CG98" s="1170"/>
      <c r="CH98" s="1359"/>
      <c r="CI98" s="1198"/>
      <c r="CJ98" s="1198"/>
      <c r="CK98" s="1198"/>
      <c r="CL98" s="1359"/>
      <c r="CM98" s="1170"/>
      <c r="CN98" s="1170"/>
      <c r="CO98" s="1170"/>
      <c r="CP98" s="1170"/>
      <c r="CQ98" s="1170"/>
      <c r="CR98" s="1170"/>
      <c r="CS98" s="1170"/>
      <c r="CT98" s="1198"/>
      <c r="CU98" s="1198"/>
    </row>
    <row r="99" spans="1:99" ht="12.75" customHeight="1">
      <c r="A99" s="1568" t="s">
        <v>972</v>
      </c>
      <c r="B99" s="1198"/>
      <c r="C99" s="1198"/>
      <c r="D99" s="1198"/>
      <c r="E99" s="1198"/>
      <c r="F99" s="1198"/>
      <c r="G99" s="1198"/>
      <c r="H99" s="1198"/>
      <c r="I99" s="1198"/>
      <c r="J99" s="1198"/>
      <c r="K99" s="1198"/>
      <c r="L99" s="1198"/>
      <c r="M99" s="1198"/>
      <c r="N99" s="1198"/>
      <c r="O99" s="1170"/>
      <c r="P99" s="1170"/>
      <c r="Q99" s="1170"/>
      <c r="R99" s="1360"/>
      <c r="S99" s="1198"/>
      <c r="T99" s="1507"/>
      <c r="U99" s="1507"/>
      <c r="V99" s="1507"/>
      <c r="W99" s="1507"/>
      <c r="X99" s="1282"/>
      <c r="Y99" s="1282"/>
      <c r="Z99" s="1282"/>
      <c r="AA99" s="1282"/>
      <c r="AB99" s="1282"/>
      <c r="AC99" s="1282"/>
      <c r="AD99" s="1282"/>
      <c r="AE99" s="1282"/>
      <c r="AF99" s="1282"/>
      <c r="AG99" s="1517"/>
      <c r="AH99" s="1170"/>
      <c r="AI99" s="1170"/>
      <c r="AJ99" s="1170"/>
      <c r="AK99" s="1170"/>
      <c r="AL99" s="1170"/>
      <c r="AM99" s="1170"/>
      <c r="AN99" s="1170"/>
      <c r="AO99" s="1170"/>
      <c r="AP99" s="1170"/>
      <c r="AQ99" s="1170"/>
      <c r="AR99" s="1170"/>
      <c r="AS99" s="1170"/>
      <c r="AT99" s="1170"/>
      <c r="AU99" s="1170"/>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360"/>
      <c r="BR99" s="1170"/>
      <c r="BS99" s="1170"/>
      <c r="BT99" s="1170"/>
      <c r="BU99" s="1360"/>
      <c r="BV99" s="1170"/>
      <c r="BW99" s="1170"/>
      <c r="BX99" s="1170"/>
      <c r="BY99" s="1360"/>
      <c r="BZ99" s="1170"/>
      <c r="CA99" s="1170"/>
      <c r="CB99" s="1170"/>
      <c r="CC99" s="1170"/>
      <c r="CD99" s="1359"/>
      <c r="CE99" s="1170"/>
      <c r="CF99" s="1170"/>
      <c r="CG99" s="1170"/>
      <c r="CH99" s="1359"/>
      <c r="CI99" s="1198"/>
      <c r="CJ99" s="1198"/>
      <c r="CK99" s="1198"/>
      <c r="CL99" s="1359"/>
      <c r="CM99" s="1170"/>
      <c r="CN99" s="1170"/>
      <c r="CO99" s="1170"/>
      <c r="CP99" s="1170"/>
      <c r="CQ99" s="1170"/>
      <c r="CR99" s="1170"/>
      <c r="CS99" s="1170"/>
      <c r="CT99" s="1198"/>
      <c r="CU99" s="1198"/>
    </row>
    <row r="100" spans="1:99" ht="6.75" customHeight="1">
      <c r="A100" s="1213"/>
      <c r="B100" s="1198"/>
      <c r="C100" s="1198"/>
      <c r="D100" s="1198"/>
      <c r="E100" s="1198"/>
      <c r="F100" s="1198"/>
      <c r="G100" s="1198"/>
      <c r="H100" s="1198"/>
      <c r="I100" s="1198"/>
      <c r="J100" s="1198"/>
      <c r="K100" s="1198"/>
      <c r="L100" s="1198"/>
      <c r="M100" s="1198"/>
      <c r="N100" s="1198"/>
      <c r="O100" s="1170"/>
      <c r="P100" s="1170"/>
      <c r="Q100" s="1170"/>
      <c r="R100" s="1360"/>
      <c r="S100" s="1198"/>
      <c r="T100" s="1507"/>
      <c r="U100" s="1507"/>
      <c r="V100" s="1507"/>
      <c r="W100" s="1507"/>
      <c r="X100" s="1282"/>
      <c r="Y100" s="1282"/>
      <c r="Z100" s="1282"/>
      <c r="AA100" s="1282"/>
      <c r="AB100" s="1282"/>
      <c r="AC100" s="1282"/>
      <c r="AD100" s="1282"/>
      <c r="AE100" s="1282"/>
      <c r="AF100" s="1282"/>
      <c r="AG100" s="1517"/>
      <c r="AH100" s="1170"/>
      <c r="AI100" s="1170"/>
      <c r="AJ100" s="1170"/>
      <c r="AK100" s="1170"/>
      <c r="AL100" s="1170"/>
      <c r="AM100" s="1170"/>
      <c r="AN100" s="1170"/>
      <c r="AO100" s="1170"/>
      <c r="AP100" s="1170"/>
      <c r="AQ100" s="1170"/>
      <c r="AR100" s="1170"/>
      <c r="AS100" s="1170"/>
      <c r="AT100" s="1170"/>
      <c r="AU100" s="1170"/>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360"/>
      <c r="BR100" s="1170"/>
      <c r="BS100" s="1170"/>
      <c r="BT100" s="1170"/>
      <c r="BU100" s="1360"/>
      <c r="BV100" s="1170"/>
      <c r="BW100" s="1170"/>
      <c r="BX100" s="1170"/>
      <c r="BY100" s="1360"/>
      <c r="BZ100" s="1170"/>
      <c r="CA100" s="1170"/>
      <c r="CB100" s="1170"/>
      <c r="CC100" s="1170"/>
      <c r="CD100" s="1359"/>
      <c r="CE100" s="1170"/>
      <c r="CF100" s="1170"/>
      <c r="CG100" s="1170"/>
      <c r="CH100" s="1359"/>
      <c r="CI100" s="1198"/>
      <c r="CJ100" s="1198"/>
      <c r="CK100" s="1198"/>
      <c r="CL100" s="1359"/>
      <c r="CM100" s="1170"/>
      <c r="CN100" s="1170"/>
      <c r="CO100" s="1170"/>
      <c r="CP100" s="1170"/>
      <c r="CQ100" s="1170"/>
      <c r="CR100" s="1170"/>
      <c r="CS100" s="1170"/>
      <c r="CT100" s="1198"/>
      <c r="CU100" s="1198"/>
    </row>
    <row r="101" spans="1:99" ht="12.75" customHeight="1">
      <c r="A101" s="1213" t="s">
        <v>973</v>
      </c>
      <c r="B101" s="1198"/>
      <c r="C101" s="1198"/>
      <c r="D101" s="1198"/>
      <c r="E101" s="1198"/>
      <c r="F101" s="1198"/>
      <c r="G101" s="1198"/>
      <c r="H101" s="1198"/>
      <c r="I101" s="1198"/>
      <c r="J101" s="1227">
        <f t="shared" ref="J101:S101" si="77">+((J102*(1-J103))/(J104+J105+J106))</f>
        <v>2.8786864244126489E-2</v>
      </c>
      <c r="K101" s="1227" t="e">
        <f t="shared" si="77"/>
        <v>#REF!</v>
      </c>
      <c r="L101" s="1227" t="e">
        <f t="shared" si="77"/>
        <v>#REF!</v>
      </c>
      <c r="M101" s="1227" t="e">
        <f t="shared" si="77"/>
        <v>#REF!</v>
      </c>
      <c r="N101" s="1227" t="e">
        <f t="shared" si="77"/>
        <v>#REF!</v>
      </c>
      <c r="O101" s="1229" t="e">
        <f t="shared" si="77"/>
        <v>#REF!</v>
      </c>
      <c r="P101" s="1229" t="e">
        <f>+((P102*(1-P103))/(P104+P105+P106))</f>
        <v>#REF!</v>
      </c>
      <c r="Q101" s="1229">
        <f>+((Q102*(1-Q103))/(Q104+Q105+Q106))</f>
        <v>0.11951410577738307</v>
      </c>
      <c r="R101" s="1230">
        <f ca="1">+((R102*(1-R103))/(R104+R105+R106))</f>
        <v>0.13020773263756674</v>
      </c>
      <c r="S101" s="1227" t="e">
        <f t="shared" si="77"/>
        <v>#DIV/0!</v>
      </c>
      <c r="T101" s="1507"/>
      <c r="U101" s="1507"/>
      <c r="V101" s="1507"/>
      <c r="W101" s="1507"/>
      <c r="X101" s="1282"/>
      <c r="Y101" s="1282"/>
      <c r="Z101" s="1282"/>
      <c r="AA101" s="1282"/>
      <c r="AB101" s="1282"/>
      <c r="AC101" s="1282"/>
      <c r="AD101" s="1282"/>
      <c r="AE101" s="1282"/>
      <c r="AF101" s="1282"/>
      <c r="AG101" s="1517"/>
      <c r="AH101" s="1170"/>
      <c r="AI101" s="1170"/>
      <c r="AJ101" s="1170"/>
      <c r="AK101" s="1170"/>
      <c r="AL101" s="1170"/>
      <c r="AM101" s="1170"/>
      <c r="AN101" s="1170"/>
      <c r="AO101" s="1170"/>
      <c r="AP101" s="1170"/>
      <c r="AQ101" s="1170"/>
      <c r="AR101" s="1170"/>
      <c r="AS101" s="1170"/>
      <c r="AT101" s="1170"/>
      <c r="AU101" s="1170"/>
      <c r="AV101" s="1170"/>
      <c r="AW101" s="1170"/>
      <c r="AX101" s="1170"/>
      <c r="AY101" s="1170"/>
      <c r="AZ101" s="1170"/>
      <c r="BA101" s="1170"/>
      <c r="BB101" s="1170"/>
      <c r="BC101" s="1170"/>
      <c r="BD101" s="1170"/>
      <c r="BE101" s="1170"/>
      <c r="BF101" s="1229">
        <f t="shared" ref="BF101:BZ101" si="78">+((4*BF102*(1-BF103))/(BF104+BF105+BF106))</f>
        <v>3.5073917461566191E-2</v>
      </c>
      <c r="BG101" s="1229">
        <f t="shared" si="78"/>
        <v>4.7016532198188389E-2</v>
      </c>
      <c r="BH101" s="1229">
        <f t="shared" si="78"/>
        <v>4.5694533396710597E-2</v>
      </c>
      <c r="BI101" s="1229" t="e">
        <f t="shared" si="78"/>
        <v>#REF!</v>
      </c>
      <c r="BJ101" s="1229" t="e">
        <f t="shared" si="78"/>
        <v>#REF!</v>
      </c>
      <c r="BK101" s="1229" t="e">
        <f t="shared" si="78"/>
        <v>#REF!</v>
      </c>
      <c r="BL101" s="1229" t="e">
        <f t="shared" si="78"/>
        <v>#REF!</v>
      </c>
      <c r="BM101" s="1229" t="e">
        <f t="shared" si="78"/>
        <v>#REF!</v>
      </c>
      <c r="BN101" s="1229" t="e">
        <f t="shared" si="78"/>
        <v>#REF!</v>
      </c>
      <c r="BO101" s="1229" t="e">
        <f t="shared" si="78"/>
        <v>#REF!</v>
      </c>
      <c r="BP101" s="1229" t="e">
        <f t="shared" si="78"/>
        <v>#REF!</v>
      </c>
      <c r="BQ101" s="1230" t="e">
        <f t="shared" si="78"/>
        <v>#REF!</v>
      </c>
      <c r="BR101" s="1229" t="e">
        <f t="shared" si="78"/>
        <v>#REF!</v>
      </c>
      <c r="BS101" s="1229" t="e">
        <f t="shared" si="78"/>
        <v>#REF!</v>
      </c>
      <c r="BT101" s="1229" t="e">
        <f t="shared" si="78"/>
        <v>#REF!</v>
      </c>
      <c r="BU101" s="1230" t="e">
        <f t="shared" si="78"/>
        <v>#REF!</v>
      </c>
      <c r="BV101" s="1229" t="e">
        <f t="shared" si="78"/>
        <v>#REF!</v>
      </c>
      <c r="BW101" s="1229" t="e">
        <f t="shared" si="78"/>
        <v>#REF!</v>
      </c>
      <c r="BX101" s="1229" t="e">
        <f t="shared" si="78"/>
        <v>#REF!</v>
      </c>
      <c r="BY101" s="1230" t="e">
        <f>+((4*BY102*(1-BY103))/(BY104+BY105+BY106))</f>
        <v>#REF!</v>
      </c>
      <c r="BZ101" s="1229" t="e">
        <f t="shared" si="78"/>
        <v>#REF!</v>
      </c>
      <c r="CA101" s="1229" t="e">
        <f t="shared" ref="CA101:CI101" si="79">+((4*CA102*(1-CA103))/(CA104+CA105+CA106))</f>
        <v>#REF!</v>
      </c>
      <c r="CB101" s="1229" t="e">
        <f t="shared" si="79"/>
        <v>#REF!</v>
      </c>
      <c r="CC101" s="1229" t="e">
        <f t="shared" si="79"/>
        <v>#REF!</v>
      </c>
      <c r="CD101" s="1231">
        <f t="shared" si="79"/>
        <v>0.12966965358199647</v>
      </c>
      <c r="CE101" s="1229">
        <f t="shared" si="79"/>
        <v>0.10463541666666666</v>
      </c>
      <c r="CF101" s="1229">
        <f t="shared" si="79"/>
        <v>0.11439282718667132</v>
      </c>
      <c r="CG101" s="1229">
        <f t="shared" si="79"/>
        <v>0.10992171676562792</v>
      </c>
      <c r="CH101" s="1231">
        <f t="shared" si="79"/>
        <v>0.12227918088737201</v>
      </c>
      <c r="CI101" s="1227">
        <f t="shared" si="79"/>
        <v>0.12725963058831796</v>
      </c>
      <c r="CJ101" s="1227">
        <f>+((4*CJ102*(1-CJ103))/(CJ104+CJ105+CJ106))</f>
        <v>0.12276512356621981</v>
      </c>
      <c r="CK101" s="1227">
        <f ca="1">+((4*CK102*(1-CK103))/(CK104+CK105+CK106))</f>
        <v>0.1372062413341926</v>
      </c>
      <c r="CL101" s="1231">
        <f>+((4*CL102*(1-CL103))/(CL104+CL105+CL106))</f>
        <v>0.13173101376865948</v>
      </c>
      <c r="CM101" s="1170"/>
      <c r="CN101" s="1170"/>
      <c r="CO101" s="1170"/>
      <c r="CP101" s="1170"/>
      <c r="CQ101" s="1170"/>
      <c r="CR101" s="1170"/>
      <c r="CS101" s="1170"/>
      <c r="CT101" s="1198"/>
      <c r="CU101" s="1198"/>
    </row>
    <row r="102" spans="1:99" ht="12.75" customHeight="1">
      <c r="A102" s="1198" t="s">
        <v>974</v>
      </c>
      <c r="B102" s="1198"/>
      <c r="C102" s="1198"/>
      <c r="D102" s="1198"/>
      <c r="E102" s="1198"/>
      <c r="F102" s="1198"/>
      <c r="G102" s="1198"/>
      <c r="H102" s="1198"/>
      <c r="I102" s="1198"/>
      <c r="J102" s="1226">
        <f>Q_IS!J47-Q_IS!J52</f>
        <v>852</v>
      </c>
      <c r="K102" s="1226">
        <f>Q_IS!K47-Q_IS!K52</f>
        <v>910</v>
      </c>
      <c r="L102" s="1226">
        <f>Q_IS!L47-Q_IS!L52</f>
        <v>966</v>
      </c>
      <c r="M102" s="1226">
        <f>Q_IS!M47-Q_IS!M52</f>
        <v>1408</v>
      </c>
      <c r="N102" s="1226">
        <f>Q_IS!N47-Q_IS!N52</f>
        <v>2008</v>
      </c>
      <c r="O102" s="1179">
        <f>Q_IS!O47-Q_IS!O52</f>
        <v>2377</v>
      </c>
      <c r="P102" s="1179">
        <f>Q_IS!P47-Q_IS!P52</f>
        <v>2427</v>
      </c>
      <c r="Q102" s="1179">
        <f>Q_IS!Q47-Q_IS!Q52</f>
        <v>2344</v>
      </c>
      <c r="R102" s="1263">
        <f>Q_IS!R47-Q_IS!R52</f>
        <v>2486</v>
      </c>
      <c r="S102" s="1226">
        <f>Q_IS!S47-Q_IS!S52</f>
        <v>651</v>
      </c>
      <c r="T102" s="1507"/>
      <c r="U102" s="1507"/>
      <c r="V102" s="1507"/>
      <c r="W102" s="1507"/>
      <c r="X102" s="1282"/>
      <c r="Y102" s="1282"/>
      <c r="Z102" s="1282"/>
      <c r="AA102" s="1282"/>
      <c r="AB102" s="1282"/>
      <c r="AC102" s="1282"/>
      <c r="AD102" s="1282"/>
      <c r="AE102" s="1282"/>
      <c r="AF102" s="1282"/>
      <c r="AG102" s="1517"/>
      <c r="AH102" s="1170"/>
      <c r="AI102" s="1170"/>
      <c r="AJ102" s="1170"/>
      <c r="AK102" s="1170"/>
      <c r="AL102" s="1170"/>
      <c r="AM102" s="1170"/>
      <c r="AN102" s="1170"/>
      <c r="AO102" s="1170"/>
      <c r="AP102" s="1170"/>
      <c r="AQ102" s="1170"/>
      <c r="AR102" s="1170"/>
      <c r="AS102" s="1170"/>
      <c r="AT102" s="1170"/>
      <c r="AU102" s="1170"/>
      <c r="AV102" s="1170"/>
      <c r="AW102" s="1170"/>
      <c r="AX102" s="1170"/>
      <c r="AY102" s="1170"/>
      <c r="AZ102" s="1170"/>
      <c r="BA102" s="1170"/>
      <c r="BB102" s="1170"/>
      <c r="BC102" s="1170"/>
      <c r="BD102" s="1170"/>
      <c r="BE102" s="1170"/>
      <c r="BF102" s="1179">
        <f>Q_IS!BF47-Q_IS!BF52</f>
        <v>305</v>
      </c>
      <c r="BG102" s="1179">
        <f>Q_IS!BG47-Q_IS!BG52</f>
        <v>306</v>
      </c>
      <c r="BH102" s="1179">
        <f>Q_IS!BH47-Q_IS!BH52</f>
        <v>256</v>
      </c>
      <c r="BI102" s="1179">
        <f>Q_IS!BI47-Q_IS!BI52</f>
        <v>43</v>
      </c>
      <c r="BJ102" s="1179">
        <f>Q_IS!BJ47-Q_IS!BJ52</f>
        <v>234</v>
      </c>
      <c r="BK102" s="1179">
        <f>Q_IS!BK47-Q_IS!BK52</f>
        <v>203</v>
      </c>
      <c r="BL102" s="1179">
        <f>Q_IS!BL47-Q_IS!BL52</f>
        <v>217</v>
      </c>
      <c r="BM102" s="1179">
        <f>Q_IS!BM47-Q_IS!BM52</f>
        <v>312</v>
      </c>
      <c r="BN102" s="1179">
        <f>Q_IS!BN47-Q_IS!BN52</f>
        <v>321</v>
      </c>
      <c r="BO102" s="1179">
        <f>Q_IS!BO47-Q_IS!BO52</f>
        <v>342</v>
      </c>
      <c r="BP102" s="1179">
        <f>Q_IS!BP47-Q_IS!BP52</f>
        <v>343</v>
      </c>
      <c r="BQ102" s="1263">
        <f>Q_IS!BQ47-Q_IS!BQ52</f>
        <v>402</v>
      </c>
      <c r="BR102" s="1179">
        <f>Q_IS!BR47-Q_IS!BR52</f>
        <v>478</v>
      </c>
      <c r="BS102" s="1179">
        <f>Q_IS!BS47-Q_IS!BS52</f>
        <v>517</v>
      </c>
      <c r="BT102" s="1179">
        <f>Q_IS!BT47-Q_IS!BT52</f>
        <v>540</v>
      </c>
      <c r="BU102" s="1263">
        <f>Q_IS!BU47-Q_IS!BU52</f>
        <v>473</v>
      </c>
      <c r="BV102" s="1179">
        <f>Q_IS!BV47-Q_IS!BV52</f>
        <v>616</v>
      </c>
      <c r="BW102" s="1179">
        <f>Q_IS!BW47-Q_IS!BW52</f>
        <v>591</v>
      </c>
      <c r="BX102" s="1179">
        <f>Q_IS!BX47-Q_IS!BX52</f>
        <v>589</v>
      </c>
      <c r="BY102" s="1263">
        <f>Q_IS!BY47-Q_IS!BY52</f>
        <v>581</v>
      </c>
      <c r="BZ102" s="1179">
        <f>Q_IS!BZ47-Q_IS!BZ52</f>
        <v>619</v>
      </c>
      <c r="CA102" s="1179">
        <f>Q_IS!CA47-Q_IS!CA52</f>
        <v>621</v>
      </c>
      <c r="CB102" s="1179">
        <f>Q_IS!CB47-Q_IS!CB52</f>
        <v>546</v>
      </c>
      <c r="CC102" s="1179">
        <f>Q_IS!CC47-Q_IS!CC52</f>
        <v>641</v>
      </c>
      <c r="CD102" s="1267">
        <f>Q_IS!CD47-Q_IS!CD52</f>
        <v>631</v>
      </c>
      <c r="CE102" s="1179">
        <f>Q_IS!CE47-Q_IS!CE52</f>
        <v>574</v>
      </c>
      <c r="CF102" s="1179">
        <f>Q_IS!CF47-Q_IS!CF52</f>
        <v>573</v>
      </c>
      <c r="CG102" s="1179">
        <f>Q_IS!CG47-Q_IS!CG52</f>
        <v>566</v>
      </c>
      <c r="CH102" s="1267">
        <f>Q_IS!CH47-Q_IS!CH52</f>
        <v>633</v>
      </c>
      <c r="CI102" s="1226">
        <f>Q_IS!CI47-Q_IS!CI52</f>
        <v>607</v>
      </c>
      <c r="CJ102" s="1226">
        <f>Q_IS!CJ47-Q_IS!CJ52</f>
        <v>630</v>
      </c>
      <c r="CK102" s="1226">
        <f>Q_IS!CK47-Q_IS!CK52</f>
        <v>616</v>
      </c>
      <c r="CL102" s="1267">
        <f>Q_IS!CL47-Q_IS!CL52</f>
        <v>651</v>
      </c>
      <c r="CM102" s="1170"/>
      <c r="CN102" s="1170"/>
      <c r="CO102" s="1170"/>
      <c r="CP102" s="1170"/>
      <c r="CQ102" s="1170"/>
      <c r="CR102" s="1170"/>
      <c r="CS102" s="1170"/>
      <c r="CT102" s="1198"/>
      <c r="CU102" s="1198"/>
    </row>
    <row r="103" spans="1:99" ht="12.75" customHeight="1">
      <c r="A103" s="1198" t="s">
        <v>975</v>
      </c>
      <c r="B103" s="1198"/>
      <c r="C103" s="1198"/>
      <c r="D103" s="1198"/>
      <c r="E103" s="1198"/>
      <c r="F103" s="1198"/>
      <c r="G103" s="1198"/>
      <c r="H103" s="1198"/>
      <c r="I103" s="1198"/>
      <c r="J103" s="1227">
        <f>Q_IS!J77</f>
        <v>0.30343897505057316</v>
      </c>
      <c r="K103" s="1227">
        <f>Q_IS!K77</f>
        <v>0.2561307901907357</v>
      </c>
      <c r="L103" s="1227">
        <f>Q_IS!L77</f>
        <v>3.5928143712574849E-2</v>
      </c>
      <c r="M103" s="1227">
        <f>Q_IS!M77</f>
        <v>2.6666666666666668E-2</v>
      </c>
      <c r="N103" s="1227">
        <f>Q_IS!N77</f>
        <v>8.5710431654676261E-2</v>
      </c>
      <c r="O103" s="1229">
        <f>Q_IS!O77</f>
        <v>9.033816425120772E-3</v>
      </c>
      <c r="P103" s="1229">
        <f>Q_IS!P77</f>
        <v>0.37840976460331299</v>
      </c>
      <c r="Q103" s="1229">
        <f>Q_IS!Q77</f>
        <v>0.36179263565891473</v>
      </c>
      <c r="R103" s="1230">
        <f>Q_IS!R77</f>
        <v>0.38038717735220651</v>
      </c>
      <c r="S103" s="1227">
        <f>Q_IS!S77</f>
        <v>0.40700808625336926</v>
      </c>
      <c r="T103" s="1507"/>
      <c r="U103" s="1507"/>
      <c r="V103" s="1507"/>
      <c r="W103" s="1507"/>
      <c r="X103" s="1282"/>
      <c r="Y103" s="1282"/>
      <c r="Z103" s="1282"/>
      <c r="AA103" s="1282"/>
      <c r="AB103" s="1282"/>
      <c r="AC103" s="1282"/>
      <c r="AD103" s="1282"/>
      <c r="AE103" s="1282"/>
      <c r="AF103" s="1282"/>
      <c r="AG103" s="1517"/>
      <c r="AH103" s="1170"/>
      <c r="AI103" s="1170"/>
      <c r="AJ103" s="1170"/>
      <c r="AK103" s="1170"/>
      <c r="AL103" s="1170"/>
      <c r="AM103" s="1170"/>
      <c r="AN103" s="1170"/>
      <c r="AO103" s="1170"/>
      <c r="AP103" s="1170"/>
      <c r="AQ103" s="1170"/>
      <c r="AR103" s="1170"/>
      <c r="AS103" s="1170"/>
      <c r="AT103" s="1170"/>
      <c r="AU103" s="1170"/>
      <c r="AV103" s="1170"/>
      <c r="AW103" s="1170"/>
      <c r="AX103" s="1170"/>
      <c r="AY103" s="1170"/>
      <c r="AZ103" s="1170"/>
      <c r="BA103" s="1170"/>
      <c r="BB103" s="1170"/>
      <c r="BC103" s="1170"/>
      <c r="BD103" s="1170"/>
      <c r="BE103" s="1170"/>
      <c r="BF103" s="1229">
        <f>Q_IS!BF77</f>
        <v>0.41530054644808745</v>
      </c>
      <c r="BG103" s="1229">
        <f>Q_IS!BG77</f>
        <v>0.22395833333333334</v>
      </c>
      <c r="BH103" s="1229">
        <f>Q_IS!BH77</f>
        <v>0.19503546099290781</v>
      </c>
      <c r="BI103" s="1229">
        <f>Q_IS!BI77</f>
        <v>0.24324324324324326</v>
      </c>
      <c r="BJ103" s="1229">
        <f>Q_IS!BJ77</f>
        <v>1.0067114093959731E-2</v>
      </c>
      <c r="BK103" s="1229">
        <f>Q_IS!BK77</f>
        <v>1.3651877133105802E-2</v>
      </c>
      <c r="BL103" s="1229">
        <f>Q_IS!BL77</f>
        <v>7.1174377224199285E-3</v>
      </c>
      <c r="BM103" s="1229">
        <f>Q_IS!BM77</f>
        <v>0.2076923076923077</v>
      </c>
      <c r="BN103" s="1229">
        <f>Q_IS!BN77</f>
        <v>2.5510204081632654E-2</v>
      </c>
      <c r="BO103" s="1229">
        <f>Q_IS!BO77</f>
        <v>2.4193548387096774E-2</v>
      </c>
      <c r="BP103" s="1229">
        <f>Q_IS!BP77</f>
        <v>8.4033613445378148E-3</v>
      </c>
      <c r="BQ103" s="1230">
        <f>Q_IS!BQ77</f>
        <v>0.27272727272727271</v>
      </c>
      <c r="BR103" s="1229">
        <f>Q_IS!BR77</f>
        <v>-1.8691588785046728E-2</v>
      </c>
      <c r="BS103" s="1229">
        <f>Q_IS!BS77</f>
        <v>0.13333333333333333</v>
      </c>
      <c r="BT103" s="1229">
        <f>Q_IS!BT77</f>
        <v>0.32682989690721648</v>
      </c>
      <c r="BU103" s="1230">
        <f>Q_IS!BU77</f>
        <v>-0.26458333333333334</v>
      </c>
      <c r="BV103" s="1229">
        <f>Q_IS!BV77</f>
        <v>7.3529411764705881E-3</v>
      </c>
      <c r="BW103" s="1229">
        <f>Q_IS!BW77</f>
        <v>2.8599221789883267E-2</v>
      </c>
      <c r="BX103" s="1229">
        <f>Q_IS!BX77</f>
        <v>0</v>
      </c>
      <c r="BY103" s="1230">
        <f>Q_IS!BY77</f>
        <v>0</v>
      </c>
      <c r="BZ103" s="1229">
        <f>Q_IS!BZ77</f>
        <v>0.38763793103448274</v>
      </c>
      <c r="CA103" s="1229">
        <f>Q_IS!CA77</f>
        <v>0.39333333333333331</v>
      </c>
      <c r="CB103" s="1229">
        <f>Q_IS!CB77</f>
        <v>0.33560483870967744</v>
      </c>
      <c r="CC103" s="1229">
        <f>Q_IS!CC77</f>
        <v>0.38961488673139161</v>
      </c>
      <c r="CD103" s="1231">
        <f>Q_IS!CD77</f>
        <v>0.31168224299065422</v>
      </c>
      <c r="CE103" s="1229">
        <f>Q_IS!CE77</f>
        <v>0.40500000000000003</v>
      </c>
      <c r="CF103" s="1229">
        <f>Q_IS!CF77</f>
        <v>0.35596638655462182</v>
      </c>
      <c r="CG103" s="1229">
        <f>Q_IS!CG77</f>
        <v>0.392274678111588</v>
      </c>
      <c r="CH103" s="1231">
        <f>Q_IS!CH77</f>
        <v>0.39155000000000001</v>
      </c>
      <c r="CI103" s="1227">
        <f>Q_IS!CI77</f>
        <v>0.36071428571428571</v>
      </c>
      <c r="CJ103" s="1227">
        <f>Q_IS!CJ77</f>
        <v>0.42446540880503142</v>
      </c>
      <c r="CK103" s="1227">
        <f>Q_IS!CK77</f>
        <v>0.3412541254125413</v>
      </c>
      <c r="CL103" s="1231">
        <f>Q_IS!CL77</f>
        <v>0.40700808625336926</v>
      </c>
      <c r="CM103" s="1170"/>
      <c r="CN103" s="1170"/>
      <c r="CO103" s="1170"/>
      <c r="CP103" s="1170"/>
      <c r="CQ103" s="1170"/>
      <c r="CR103" s="1170"/>
      <c r="CS103" s="1170"/>
      <c r="CT103" s="1198"/>
      <c r="CU103" s="1198"/>
    </row>
    <row r="104" spans="1:99" ht="12.75" customHeight="1">
      <c r="A104" s="1198" t="s">
        <v>976</v>
      </c>
      <c r="B104" s="1198"/>
      <c r="C104" s="1198"/>
      <c r="D104" s="1198"/>
      <c r="E104" s="1198"/>
      <c r="F104" s="1198"/>
      <c r="G104" s="1198"/>
      <c r="H104" s="1198"/>
      <c r="I104" s="1198"/>
      <c r="J104" s="1248">
        <f t="shared" ref="J104:S104" si="80">J20</f>
        <v>19012</v>
      </c>
      <c r="K104" s="1248">
        <f t="shared" si="80"/>
        <v>18149</v>
      </c>
      <c r="L104" s="1248">
        <f t="shared" si="80"/>
        <v>16853</v>
      </c>
      <c r="M104" s="1248">
        <f t="shared" si="80"/>
        <v>15568</v>
      </c>
      <c r="N104" s="1248">
        <f t="shared" si="80"/>
        <v>14579</v>
      </c>
      <c r="O104" s="1282">
        <f t="shared" si="80"/>
        <v>13671</v>
      </c>
      <c r="P104" s="1282">
        <f>P20</f>
        <v>13045</v>
      </c>
      <c r="Q104" s="1282">
        <f>Q20</f>
        <v>12299</v>
      </c>
      <c r="R104" s="1250">
        <f>R20</f>
        <v>11857</v>
      </c>
      <c r="S104" s="1248">
        <f t="shared" si="80"/>
        <v>0</v>
      </c>
      <c r="T104" s="1507"/>
      <c r="U104" s="1507"/>
      <c r="V104" s="1507"/>
      <c r="W104" s="1507"/>
      <c r="X104" s="1282"/>
      <c r="Y104" s="1282"/>
      <c r="Z104" s="1282"/>
      <c r="AA104" s="1282"/>
      <c r="AB104" s="1282"/>
      <c r="AC104" s="1282"/>
      <c r="AD104" s="1282"/>
      <c r="AE104" s="1282"/>
      <c r="AF104" s="1282"/>
      <c r="AG104" s="1517"/>
      <c r="AH104" s="1170"/>
      <c r="AI104" s="1170"/>
      <c r="AJ104" s="1170"/>
      <c r="AK104" s="1170"/>
      <c r="AL104" s="1170"/>
      <c r="AM104" s="1170"/>
      <c r="AN104" s="1170"/>
      <c r="AO104" s="1170"/>
      <c r="AP104" s="1170"/>
      <c r="AQ104" s="1170"/>
      <c r="AR104" s="1170"/>
      <c r="AS104" s="1170"/>
      <c r="AT104" s="1170"/>
      <c r="AU104" s="1170"/>
      <c r="AV104" s="1170"/>
      <c r="AW104" s="1170"/>
      <c r="AX104" s="1170"/>
      <c r="AY104" s="1170"/>
      <c r="AZ104" s="1170"/>
      <c r="BA104" s="1170"/>
      <c r="BB104" s="1170"/>
      <c r="BC104" s="1170"/>
      <c r="BD104" s="1170"/>
      <c r="BE104" s="1170"/>
      <c r="BF104" s="1282">
        <f t="shared" ref="BF104:BZ104" si="81">BF20</f>
        <v>19097</v>
      </c>
      <c r="BG104" s="1282">
        <f t="shared" si="81"/>
        <v>18835</v>
      </c>
      <c r="BH104" s="1282">
        <f t="shared" si="81"/>
        <v>18363</v>
      </c>
      <c r="BI104" s="1282">
        <f t="shared" si="81"/>
        <v>18149</v>
      </c>
      <c r="BJ104" s="1282">
        <f t="shared" si="81"/>
        <v>17806</v>
      </c>
      <c r="BK104" s="1282">
        <f t="shared" si="81"/>
        <v>17495</v>
      </c>
      <c r="BL104" s="1282">
        <f t="shared" si="81"/>
        <v>17255</v>
      </c>
      <c r="BM104" s="1282">
        <f t="shared" si="81"/>
        <v>16853</v>
      </c>
      <c r="BN104" s="1282">
        <f t="shared" si="81"/>
        <v>16458</v>
      </c>
      <c r="BO104" s="1282">
        <f t="shared" si="81"/>
        <v>16101</v>
      </c>
      <c r="BP104" s="1282">
        <f t="shared" si="81"/>
        <v>15812</v>
      </c>
      <c r="BQ104" s="1250">
        <f t="shared" si="81"/>
        <v>15568</v>
      </c>
      <c r="BR104" s="1282">
        <f t="shared" si="81"/>
        <v>15273</v>
      </c>
      <c r="BS104" s="1282">
        <f t="shared" si="81"/>
        <v>15016</v>
      </c>
      <c r="BT104" s="1282">
        <f t="shared" si="81"/>
        <v>14828</v>
      </c>
      <c r="BU104" s="1250">
        <f t="shared" si="81"/>
        <v>14579</v>
      </c>
      <c r="BV104" s="1282">
        <f t="shared" si="81"/>
        <v>14274</v>
      </c>
      <c r="BW104" s="1282">
        <f t="shared" si="81"/>
        <v>14076</v>
      </c>
      <c r="BX104" s="1282">
        <f t="shared" si="81"/>
        <v>13849</v>
      </c>
      <c r="BY104" s="1250">
        <f>BY20</f>
        <v>13671</v>
      </c>
      <c r="BZ104" s="1282">
        <f t="shared" si="81"/>
        <v>13499</v>
      </c>
      <c r="CA104" s="1282">
        <f t="shared" ref="CA104:CF104" si="82">CA20</f>
        <v>13450</v>
      </c>
      <c r="CB104" s="1282">
        <f t="shared" si="82"/>
        <v>13301</v>
      </c>
      <c r="CC104" s="1282">
        <f t="shared" si="82"/>
        <v>13045</v>
      </c>
      <c r="CD104" s="1249">
        <f t="shared" si="82"/>
        <v>12816</v>
      </c>
      <c r="CE104" s="1282">
        <f t="shared" si="82"/>
        <v>12622</v>
      </c>
      <c r="CF104" s="1282">
        <f t="shared" si="82"/>
        <v>12399</v>
      </c>
      <c r="CG104" s="1282">
        <f t="shared" ref="CG104:CL104" si="83">CG20</f>
        <v>12299</v>
      </c>
      <c r="CH104" s="1249">
        <f t="shared" si="83"/>
        <v>12078</v>
      </c>
      <c r="CI104" s="1248">
        <f t="shared" si="83"/>
        <v>11929</v>
      </c>
      <c r="CJ104" s="1248">
        <f t="shared" si="83"/>
        <v>11830</v>
      </c>
      <c r="CK104" s="1248">
        <f t="shared" si="83"/>
        <v>11857</v>
      </c>
      <c r="CL104" s="1249">
        <f t="shared" si="83"/>
        <v>11665</v>
      </c>
      <c r="CM104" s="1170"/>
      <c r="CN104" s="1170"/>
      <c r="CO104" s="1170"/>
      <c r="CP104" s="1170"/>
      <c r="CQ104" s="1170"/>
      <c r="CR104" s="1170"/>
      <c r="CS104" s="1170"/>
      <c r="CT104" s="1198"/>
      <c r="CU104" s="1198"/>
    </row>
    <row r="105" spans="1:99" ht="12.75" customHeight="1">
      <c r="A105" s="1198" t="s">
        <v>977</v>
      </c>
      <c r="B105" s="1198"/>
      <c r="C105" s="1198"/>
      <c r="D105" s="1198"/>
      <c r="E105" s="1198"/>
      <c r="F105" s="1198"/>
      <c r="G105" s="1198"/>
      <c r="H105" s="1198"/>
      <c r="I105" s="1198"/>
      <c r="J105" s="1248">
        <f t="shared" ref="J105:S105" si="84">J76</f>
        <v>-8</v>
      </c>
      <c r="K105" s="1248" t="e">
        <f t="shared" si="84"/>
        <v>#REF!</v>
      </c>
      <c r="L105" s="1248" t="e">
        <f t="shared" si="84"/>
        <v>#REF!</v>
      </c>
      <c r="M105" s="1248" t="e">
        <f t="shared" si="84"/>
        <v>#REF!</v>
      </c>
      <c r="N105" s="1248" t="e">
        <f t="shared" si="84"/>
        <v>#REF!</v>
      </c>
      <c r="O105" s="1282" t="e">
        <f t="shared" si="84"/>
        <v>#REF!</v>
      </c>
      <c r="P105" s="1282" t="e">
        <f>P76</f>
        <v>#REF!</v>
      </c>
      <c r="Q105" s="1282">
        <f>Q76</f>
        <v>-693</v>
      </c>
      <c r="R105" s="1250">
        <f ca="1">R76</f>
        <v>-915</v>
      </c>
      <c r="S105" s="1248">
        <f t="shared" si="84"/>
        <v>0</v>
      </c>
      <c r="T105" s="1507"/>
      <c r="U105" s="1507"/>
      <c r="V105" s="1507"/>
      <c r="W105" s="1507"/>
      <c r="X105" s="1282"/>
      <c r="Y105" s="1282"/>
      <c r="Z105" s="1282"/>
      <c r="AA105" s="1282"/>
      <c r="AB105" s="1282"/>
      <c r="AC105" s="1282"/>
      <c r="AD105" s="1282"/>
      <c r="AE105" s="1282"/>
      <c r="AF105" s="1282"/>
      <c r="AG105" s="1517"/>
      <c r="AH105" s="1170"/>
      <c r="AI105" s="1170"/>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282">
        <f t="shared" ref="BF105:BZ105" si="85">BF76</f>
        <v>-344</v>
      </c>
      <c r="BG105" s="1282">
        <f t="shared" si="85"/>
        <v>-217</v>
      </c>
      <c r="BH105" s="1282">
        <f t="shared" si="85"/>
        <v>-1860</v>
      </c>
      <c r="BI105" s="1282" t="e">
        <f t="shared" si="85"/>
        <v>#REF!</v>
      </c>
      <c r="BJ105" s="1282" t="e">
        <f t="shared" si="85"/>
        <v>#REF!</v>
      </c>
      <c r="BK105" s="1282" t="e">
        <f t="shared" si="85"/>
        <v>#REF!</v>
      </c>
      <c r="BL105" s="1282" t="e">
        <f t="shared" si="85"/>
        <v>#REF!</v>
      </c>
      <c r="BM105" s="1282" t="e">
        <f t="shared" si="85"/>
        <v>#REF!</v>
      </c>
      <c r="BN105" s="1282" t="e">
        <f t="shared" si="85"/>
        <v>#REF!</v>
      </c>
      <c r="BO105" s="1282" t="e">
        <f t="shared" si="85"/>
        <v>#REF!</v>
      </c>
      <c r="BP105" s="1282" t="e">
        <f t="shared" si="85"/>
        <v>#REF!</v>
      </c>
      <c r="BQ105" s="1250" t="e">
        <f t="shared" si="85"/>
        <v>#REF!</v>
      </c>
      <c r="BR105" s="1282" t="e">
        <f t="shared" si="85"/>
        <v>#REF!</v>
      </c>
      <c r="BS105" s="1282" t="e">
        <f t="shared" si="85"/>
        <v>#REF!</v>
      </c>
      <c r="BT105" s="1282" t="e">
        <f t="shared" si="85"/>
        <v>#REF!</v>
      </c>
      <c r="BU105" s="1250" t="e">
        <f t="shared" si="85"/>
        <v>#REF!</v>
      </c>
      <c r="BV105" s="1282" t="e">
        <f t="shared" si="85"/>
        <v>#REF!</v>
      </c>
      <c r="BW105" s="1282" t="e">
        <f t="shared" si="85"/>
        <v>#REF!</v>
      </c>
      <c r="BX105" s="1282" t="e">
        <f t="shared" si="85"/>
        <v>#REF!</v>
      </c>
      <c r="BY105" s="1250" t="e">
        <f>BY76</f>
        <v>#REF!</v>
      </c>
      <c r="BZ105" s="1282" t="e">
        <f t="shared" si="85"/>
        <v>#REF!</v>
      </c>
      <c r="CA105" s="1282" t="e">
        <f t="shared" ref="CA105:CF105" si="86">CA76</f>
        <v>#REF!</v>
      </c>
      <c r="CB105" s="1282" t="e">
        <f t="shared" si="86"/>
        <v>#REF!</v>
      </c>
      <c r="CC105" s="1282" t="e">
        <f t="shared" si="86"/>
        <v>#REF!</v>
      </c>
      <c r="CD105" s="1249">
        <f t="shared" si="86"/>
        <v>-298</v>
      </c>
      <c r="CE105" s="1282">
        <f t="shared" si="86"/>
        <v>-451</v>
      </c>
      <c r="CF105" s="1282">
        <f t="shared" si="86"/>
        <v>-383</v>
      </c>
      <c r="CG105" s="1282">
        <f t="shared" ref="CG105:CL105" si="87">CG76</f>
        <v>-693</v>
      </c>
      <c r="CH105" s="1249">
        <f t="shared" si="87"/>
        <v>-391</v>
      </c>
      <c r="CI105" s="1248">
        <f t="shared" si="87"/>
        <v>-649</v>
      </c>
      <c r="CJ105" s="1248">
        <f t="shared" si="87"/>
        <v>-939</v>
      </c>
      <c r="CK105" s="1248">
        <f t="shared" ca="1" si="87"/>
        <v>-915</v>
      </c>
      <c r="CL105" s="1249">
        <f t="shared" si="87"/>
        <v>-830</v>
      </c>
      <c r="CM105" s="1170"/>
      <c r="CN105" s="1170"/>
      <c r="CO105" s="1170"/>
      <c r="CP105" s="1170"/>
      <c r="CQ105" s="1170"/>
      <c r="CR105" s="1170"/>
      <c r="CS105" s="1170"/>
      <c r="CT105" s="1198"/>
      <c r="CU105" s="1198"/>
    </row>
    <row r="106" spans="1:99" ht="12.75" customHeight="1">
      <c r="A106" s="1198" t="s">
        <v>978</v>
      </c>
      <c r="B106" s="1198"/>
      <c r="C106" s="1198"/>
      <c r="D106" s="1198"/>
      <c r="E106" s="1198"/>
      <c r="F106" s="1198"/>
      <c r="G106" s="1198"/>
      <c r="H106" s="1198"/>
      <c r="I106" s="1198"/>
      <c r="J106" s="1248">
        <f t="shared" ref="J106:S106" si="88">J21+J25</f>
        <v>1612</v>
      </c>
      <c r="K106" s="1248">
        <f t="shared" si="88"/>
        <v>1549</v>
      </c>
      <c r="L106" s="1248">
        <f t="shared" si="88"/>
        <v>1179</v>
      </c>
      <c r="M106" s="1248">
        <f t="shared" si="88"/>
        <v>1007</v>
      </c>
      <c r="N106" s="1248">
        <f t="shared" si="88"/>
        <v>891</v>
      </c>
      <c r="O106" s="1282">
        <f t="shared" si="88"/>
        <v>853</v>
      </c>
      <c r="P106" s="1282">
        <f>P21+P25</f>
        <v>875</v>
      </c>
      <c r="Q106" s="1282">
        <f>Q21+Q25</f>
        <v>911</v>
      </c>
      <c r="R106" s="1250">
        <f>R21+R25</f>
        <v>888</v>
      </c>
      <c r="S106" s="1248">
        <f t="shared" si="88"/>
        <v>0</v>
      </c>
      <c r="T106" s="1507"/>
      <c r="U106" s="1507"/>
      <c r="V106" s="1507"/>
      <c r="W106" s="1507"/>
      <c r="X106" s="1282"/>
      <c r="Y106" s="1282"/>
      <c r="Z106" s="1282"/>
      <c r="AA106" s="1282"/>
      <c r="AB106" s="1282"/>
      <c r="AC106" s="1282"/>
      <c r="AD106" s="1282"/>
      <c r="AE106" s="1282"/>
      <c r="AF106" s="1282"/>
      <c r="AG106" s="1517"/>
      <c r="AH106" s="1170"/>
      <c r="AI106" s="1170"/>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282">
        <f t="shared" ref="BF106:BZ106" si="89">BF21+BF25</f>
        <v>1585</v>
      </c>
      <c r="BG106" s="1282">
        <f t="shared" si="89"/>
        <v>1585</v>
      </c>
      <c r="BH106" s="1282">
        <f t="shared" si="89"/>
        <v>1536</v>
      </c>
      <c r="BI106" s="1282">
        <f t="shared" si="89"/>
        <v>1549</v>
      </c>
      <c r="BJ106" s="1282">
        <f t="shared" si="89"/>
        <v>1532</v>
      </c>
      <c r="BK106" s="1282">
        <f t="shared" si="89"/>
        <v>1346</v>
      </c>
      <c r="BL106" s="1282">
        <f t="shared" si="89"/>
        <v>1216</v>
      </c>
      <c r="BM106" s="1282">
        <f t="shared" si="89"/>
        <v>1179</v>
      </c>
      <c r="BN106" s="1282">
        <f t="shared" si="89"/>
        <v>1112</v>
      </c>
      <c r="BO106" s="1282">
        <f t="shared" si="89"/>
        <v>1073</v>
      </c>
      <c r="BP106" s="1282">
        <f t="shared" si="89"/>
        <v>1035</v>
      </c>
      <c r="BQ106" s="1250">
        <f t="shared" si="89"/>
        <v>1007</v>
      </c>
      <c r="BR106" s="1282">
        <f t="shared" si="89"/>
        <v>971</v>
      </c>
      <c r="BS106" s="1282">
        <f t="shared" si="89"/>
        <v>929</v>
      </c>
      <c r="BT106" s="1282">
        <f t="shared" si="89"/>
        <v>943</v>
      </c>
      <c r="BU106" s="1250">
        <f t="shared" si="89"/>
        <v>891</v>
      </c>
      <c r="BV106" s="1282">
        <f t="shared" si="89"/>
        <v>812</v>
      </c>
      <c r="BW106" s="1282">
        <f t="shared" si="89"/>
        <v>817</v>
      </c>
      <c r="BX106" s="1282">
        <f t="shared" si="89"/>
        <v>824</v>
      </c>
      <c r="BY106" s="1250">
        <f t="shared" si="89"/>
        <v>853</v>
      </c>
      <c r="BZ106" s="1282">
        <f t="shared" si="89"/>
        <v>868</v>
      </c>
      <c r="CA106" s="1282">
        <f t="shared" ref="CA106:CF106" si="90">CA21+CA25</f>
        <v>862</v>
      </c>
      <c r="CB106" s="1282">
        <f t="shared" si="90"/>
        <v>864</v>
      </c>
      <c r="CC106" s="1282">
        <f t="shared" si="90"/>
        <v>875</v>
      </c>
      <c r="CD106" s="1249">
        <f t="shared" si="90"/>
        <v>880</v>
      </c>
      <c r="CE106" s="1282">
        <f t="shared" si="90"/>
        <v>885</v>
      </c>
      <c r="CF106" s="1282">
        <f t="shared" si="90"/>
        <v>888</v>
      </c>
      <c r="CG106" s="1282">
        <f t="shared" ref="CG106:CL106" si="91">CG21+CG25</f>
        <v>911</v>
      </c>
      <c r="CH106" s="1249">
        <f t="shared" si="91"/>
        <v>912</v>
      </c>
      <c r="CI106" s="1248">
        <f t="shared" si="91"/>
        <v>917</v>
      </c>
      <c r="CJ106" s="1248">
        <f t="shared" si="91"/>
        <v>923</v>
      </c>
      <c r="CK106" s="1248">
        <f t="shared" si="91"/>
        <v>888</v>
      </c>
      <c r="CL106" s="1249">
        <f t="shared" si="91"/>
        <v>887</v>
      </c>
      <c r="CM106" s="1170"/>
      <c r="CN106" s="1170"/>
      <c r="CO106" s="1170"/>
      <c r="CP106" s="1170"/>
      <c r="CQ106" s="1170"/>
      <c r="CR106" s="1170"/>
      <c r="CS106" s="1170"/>
      <c r="CT106" s="1198"/>
      <c r="CU106" s="1198"/>
    </row>
    <row r="107" spans="1:99" ht="6.75" customHeight="1">
      <c r="A107" s="1198"/>
      <c r="B107" s="1198"/>
      <c r="C107" s="1198"/>
      <c r="D107" s="1198"/>
      <c r="E107" s="1198"/>
      <c r="F107" s="1198"/>
      <c r="G107" s="1198"/>
      <c r="H107" s="1198"/>
      <c r="I107" s="1198"/>
      <c r="J107" s="1198"/>
      <c r="K107" s="1198"/>
      <c r="L107" s="1198"/>
      <c r="M107" s="1198"/>
      <c r="N107" s="1198"/>
      <c r="O107" s="1170"/>
      <c r="P107" s="1170"/>
      <c r="Q107" s="1170"/>
      <c r="R107" s="1360"/>
      <c r="S107" s="1198"/>
      <c r="T107" s="1507"/>
      <c r="U107" s="1507"/>
      <c r="V107" s="1507"/>
      <c r="W107" s="1507"/>
      <c r="X107" s="1282"/>
      <c r="Y107" s="1282"/>
      <c r="Z107" s="1282"/>
      <c r="AA107" s="1282"/>
      <c r="AB107" s="1282"/>
      <c r="AC107" s="1282"/>
      <c r="AD107" s="1282"/>
      <c r="AE107" s="1282"/>
      <c r="AF107" s="1282"/>
      <c r="AG107" s="1517"/>
      <c r="AH107" s="1170"/>
      <c r="AI107" s="1170"/>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360"/>
      <c r="BR107" s="1170"/>
      <c r="BS107" s="1170"/>
      <c r="BT107" s="1170"/>
      <c r="BU107" s="1360"/>
      <c r="BV107" s="1170"/>
      <c r="BW107" s="1170"/>
      <c r="BX107" s="1170"/>
      <c r="BY107" s="1360"/>
      <c r="BZ107" s="1170"/>
      <c r="CA107" s="1170"/>
      <c r="CB107" s="1170"/>
      <c r="CC107" s="1170"/>
      <c r="CD107" s="1359"/>
      <c r="CE107" s="1170"/>
      <c r="CF107" s="1170"/>
      <c r="CG107" s="1170"/>
      <c r="CH107" s="1359"/>
      <c r="CI107" s="1198"/>
      <c r="CJ107" s="1198"/>
      <c r="CK107" s="1198"/>
      <c r="CL107" s="1359"/>
      <c r="CM107" s="1170"/>
      <c r="CN107" s="1170"/>
      <c r="CO107" s="1170"/>
      <c r="CP107" s="1170"/>
      <c r="CQ107" s="1170"/>
      <c r="CR107" s="1170"/>
      <c r="CS107" s="1170"/>
      <c r="CT107" s="1198"/>
      <c r="CU107" s="1198"/>
    </row>
    <row r="108" spans="1:99" ht="12.75" customHeight="1">
      <c r="A108" s="1213" t="s">
        <v>979</v>
      </c>
      <c r="B108" s="1198"/>
      <c r="C108" s="1198"/>
      <c r="D108" s="1198"/>
      <c r="E108" s="1198"/>
      <c r="F108" s="1198"/>
      <c r="G108" s="1198"/>
      <c r="H108" s="1198"/>
      <c r="I108" s="1198"/>
      <c r="J108" s="1227">
        <f t="shared" ref="J108:S108" si="92">+((J109*(1-J110))/(J111+J112))</f>
        <v>3.1228688342291713E-2</v>
      </c>
      <c r="K108" s="1227" t="e">
        <f t="shared" si="92"/>
        <v>#REF!</v>
      </c>
      <c r="L108" s="1227" t="e">
        <f t="shared" si="92"/>
        <v>#REF!</v>
      </c>
      <c r="M108" s="1227" t="e">
        <f t="shared" si="92"/>
        <v>#REF!</v>
      </c>
      <c r="N108" s="1227" t="e">
        <f t="shared" si="92"/>
        <v>#REF!</v>
      </c>
      <c r="O108" s="1229" t="e">
        <f t="shared" si="92"/>
        <v>#REF!</v>
      </c>
      <c r="P108" s="1229" t="e">
        <f>+((P109*(1-P110))/(P111+P112))</f>
        <v>#REF!</v>
      </c>
      <c r="Q108" s="1229">
        <f>+((Q109*(1-Q110))/(Q111+Q112))</f>
        <v>0.12889523195032776</v>
      </c>
      <c r="R108" s="1230">
        <f ca="1">+((R109*(1-R110))/(R111+R112))</f>
        <v>0.14077476486039248</v>
      </c>
      <c r="S108" s="1227" t="e">
        <f t="shared" si="92"/>
        <v>#DIV/0!</v>
      </c>
      <c r="T108" s="1507"/>
      <c r="U108" s="1507"/>
      <c r="V108" s="1507"/>
      <c r="W108" s="1507"/>
      <c r="X108" s="1282"/>
      <c r="Y108" s="1282"/>
      <c r="Z108" s="1282"/>
      <c r="AA108" s="1282"/>
      <c r="AB108" s="1282"/>
      <c r="AC108" s="1282"/>
      <c r="AD108" s="1282"/>
      <c r="AE108" s="1282"/>
      <c r="AF108" s="1282"/>
      <c r="AG108" s="1517"/>
      <c r="AH108" s="1170"/>
      <c r="AI108" s="1170"/>
      <c r="AJ108" s="1170"/>
      <c r="AK108" s="1170"/>
      <c r="AL108" s="1170"/>
      <c r="AM108" s="1170"/>
      <c r="AN108" s="1170"/>
      <c r="AO108" s="1170"/>
      <c r="AP108" s="1170"/>
      <c r="AQ108" s="1170"/>
      <c r="AR108" s="1170"/>
      <c r="AS108" s="1170"/>
      <c r="AT108" s="1170"/>
      <c r="AU108" s="1170"/>
      <c r="AV108" s="1170"/>
      <c r="AW108" s="1170"/>
      <c r="AX108" s="1170"/>
      <c r="AY108" s="1170"/>
      <c r="AZ108" s="1170"/>
      <c r="BA108" s="1170"/>
      <c r="BB108" s="1170"/>
      <c r="BC108" s="1170"/>
      <c r="BD108" s="1170"/>
      <c r="BE108" s="1170"/>
      <c r="BF108" s="1229">
        <f t="shared" ref="BF108:BZ108" si="93">+((BF109*(1-BF110))/(BF111+BF112))</f>
        <v>9.5095895767788249E-3</v>
      </c>
      <c r="BG108" s="1229">
        <f t="shared" si="93"/>
        <v>1.2754793747985819E-2</v>
      </c>
      <c r="BH108" s="1229">
        <f t="shared" si="93"/>
        <v>1.2486876445847155E-2</v>
      </c>
      <c r="BI108" s="1229" t="e">
        <f t="shared" si="93"/>
        <v>#REF!</v>
      </c>
      <c r="BJ108" s="1229" t="e">
        <f t="shared" si="93"/>
        <v>#REF!</v>
      </c>
      <c r="BK108" s="1229" t="e">
        <f t="shared" si="93"/>
        <v>#REF!</v>
      </c>
      <c r="BL108" s="1229" t="e">
        <f t="shared" si="93"/>
        <v>#REF!</v>
      </c>
      <c r="BM108" s="1229" t="e">
        <f t="shared" si="93"/>
        <v>#REF!</v>
      </c>
      <c r="BN108" s="1229" t="e">
        <f t="shared" si="93"/>
        <v>#REF!</v>
      </c>
      <c r="BO108" s="1229" t="e">
        <f t="shared" si="93"/>
        <v>#REF!</v>
      </c>
      <c r="BP108" s="1229" t="e">
        <f t="shared" si="93"/>
        <v>#REF!</v>
      </c>
      <c r="BQ108" s="1230" t="e">
        <f t="shared" si="93"/>
        <v>#REF!</v>
      </c>
      <c r="BR108" s="1229" t="e">
        <f t="shared" si="93"/>
        <v>#REF!</v>
      </c>
      <c r="BS108" s="1229" t="e">
        <f t="shared" si="93"/>
        <v>#REF!</v>
      </c>
      <c r="BT108" s="1229" t="e">
        <f t="shared" si="93"/>
        <v>#REF!</v>
      </c>
      <c r="BU108" s="1230" t="e">
        <f t="shared" si="93"/>
        <v>#REF!</v>
      </c>
      <c r="BV108" s="1229" t="e">
        <f t="shared" si="93"/>
        <v>#REF!</v>
      </c>
      <c r="BW108" s="1229" t="e">
        <f t="shared" si="93"/>
        <v>#REF!</v>
      </c>
      <c r="BX108" s="1229" t="e">
        <f t="shared" si="93"/>
        <v>#REF!</v>
      </c>
      <c r="BY108" s="1230" t="e">
        <f>+((BY109*(1-BY110))/(BY111+BY112))</f>
        <v>#REF!</v>
      </c>
      <c r="BZ108" s="1229" t="e">
        <f t="shared" si="93"/>
        <v>#REF!</v>
      </c>
      <c r="CA108" s="1229" t="e">
        <f t="shared" ref="CA108:CF108" si="94">+((CA109*(1-CA110))/(CA111+CA112))</f>
        <v>#REF!</v>
      </c>
      <c r="CB108" s="1229" t="e">
        <f t="shared" si="94"/>
        <v>#REF!</v>
      </c>
      <c r="CC108" s="1229" t="e">
        <f t="shared" si="94"/>
        <v>#REF!</v>
      </c>
      <c r="CD108" s="1231">
        <f t="shared" si="94"/>
        <v>3.4696317676377791E-2</v>
      </c>
      <c r="CE108" s="1229">
        <f t="shared" si="94"/>
        <v>2.8060964587954974E-2</v>
      </c>
      <c r="CF108" s="1229">
        <f t="shared" si="94"/>
        <v>3.0711656167127302E-2</v>
      </c>
      <c r="CG108" s="1229">
        <f t="shared" ref="CG108:CL108" si="95">+((CG109*(1-CG110))/(CG111+CG112))</f>
        <v>2.9637474770708355E-2</v>
      </c>
      <c r="CH108" s="1231">
        <f t="shared" si="95"/>
        <v>3.295532215281937E-2</v>
      </c>
      <c r="CI108" s="1227">
        <f t="shared" si="95"/>
        <v>3.4401279128672739E-2</v>
      </c>
      <c r="CJ108" s="1227">
        <f t="shared" si="95"/>
        <v>3.3292332426116074E-2</v>
      </c>
      <c r="CK108" s="1227">
        <f t="shared" ca="1" si="95"/>
        <v>3.7085309700774498E-2</v>
      </c>
      <c r="CL108" s="1231">
        <f t="shared" si="95"/>
        <v>3.5628771190498995E-2</v>
      </c>
      <c r="CM108" s="1170"/>
      <c r="CN108" s="1170"/>
      <c r="CO108" s="1170"/>
      <c r="CP108" s="1170"/>
      <c r="CQ108" s="1170"/>
      <c r="CR108" s="1170"/>
      <c r="CS108" s="1170"/>
      <c r="CT108" s="1198"/>
      <c r="CU108" s="1198"/>
    </row>
    <row r="109" spans="1:99" ht="12.75" customHeight="1">
      <c r="A109" s="1198" t="s">
        <v>974</v>
      </c>
      <c r="B109" s="1198"/>
      <c r="C109" s="1198"/>
      <c r="D109" s="1198"/>
      <c r="E109" s="1198"/>
      <c r="F109" s="1198"/>
      <c r="G109" s="1198"/>
      <c r="H109" s="1198"/>
      <c r="I109" s="1198"/>
      <c r="J109" s="1226">
        <f t="shared" ref="J109:S109" si="96">J102</f>
        <v>852</v>
      </c>
      <c r="K109" s="1226">
        <f t="shared" si="96"/>
        <v>910</v>
      </c>
      <c r="L109" s="1226">
        <f t="shared" si="96"/>
        <v>966</v>
      </c>
      <c r="M109" s="1226">
        <f t="shared" si="96"/>
        <v>1408</v>
      </c>
      <c r="N109" s="1226">
        <f t="shared" si="96"/>
        <v>2008</v>
      </c>
      <c r="O109" s="1179">
        <f t="shared" si="96"/>
        <v>2377</v>
      </c>
      <c r="P109" s="1179">
        <f t="shared" ref="P109:Q112" si="97">P102</f>
        <v>2427</v>
      </c>
      <c r="Q109" s="1179">
        <f t="shared" si="97"/>
        <v>2344</v>
      </c>
      <c r="R109" s="1263">
        <f>R102</f>
        <v>2486</v>
      </c>
      <c r="S109" s="1226">
        <f t="shared" si="96"/>
        <v>651</v>
      </c>
      <c r="T109" s="1507"/>
      <c r="U109" s="1507"/>
      <c r="V109" s="1507"/>
      <c r="W109" s="1507"/>
      <c r="X109" s="1282"/>
      <c r="Y109" s="1282"/>
      <c r="Z109" s="1282"/>
      <c r="AA109" s="1282"/>
      <c r="AB109" s="1282"/>
      <c r="AC109" s="1282"/>
      <c r="AD109" s="1282"/>
      <c r="AE109" s="1282"/>
      <c r="AF109" s="1282"/>
      <c r="AG109" s="1517"/>
      <c r="AH109" s="1170"/>
      <c r="AI109" s="1170"/>
      <c r="AJ109" s="1170"/>
      <c r="AK109" s="1170"/>
      <c r="AL109" s="1170"/>
      <c r="AM109" s="1170"/>
      <c r="AN109" s="1170"/>
      <c r="AO109" s="1170"/>
      <c r="AP109" s="1170"/>
      <c r="AQ109" s="1170"/>
      <c r="AR109" s="1170"/>
      <c r="AS109" s="1170"/>
      <c r="AT109" s="1170"/>
      <c r="AU109" s="1170"/>
      <c r="AV109" s="1170"/>
      <c r="AW109" s="1170"/>
      <c r="AX109" s="1170"/>
      <c r="AY109" s="1170"/>
      <c r="AZ109" s="1170"/>
      <c r="BA109" s="1170"/>
      <c r="BB109" s="1170"/>
      <c r="BC109" s="1170"/>
      <c r="BD109" s="1170"/>
      <c r="BE109" s="1170"/>
      <c r="BF109" s="1179">
        <f t="shared" ref="BF109:BZ109" si="98">BF102</f>
        <v>305</v>
      </c>
      <c r="BG109" s="1179">
        <f t="shared" si="98"/>
        <v>306</v>
      </c>
      <c r="BH109" s="1179">
        <f t="shared" si="98"/>
        <v>256</v>
      </c>
      <c r="BI109" s="1179">
        <f t="shared" si="98"/>
        <v>43</v>
      </c>
      <c r="BJ109" s="1179">
        <f t="shared" si="98"/>
        <v>234</v>
      </c>
      <c r="BK109" s="1179">
        <f t="shared" si="98"/>
        <v>203</v>
      </c>
      <c r="BL109" s="1179">
        <f t="shared" si="98"/>
        <v>217</v>
      </c>
      <c r="BM109" s="1179">
        <f t="shared" si="98"/>
        <v>312</v>
      </c>
      <c r="BN109" s="1179">
        <f t="shared" si="98"/>
        <v>321</v>
      </c>
      <c r="BO109" s="1179">
        <f t="shared" si="98"/>
        <v>342</v>
      </c>
      <c r="BP109" s="1179">
        <f t="shared" si="98"/>
        <v>343</v>
      </c>
      <c r="BQ109" s="1263">
        <f t="shared" si="98"/>
        <v>402</v>
      </c>
      <c r="BR109" s="1179">
        <f t="shared" si="98"/>
        <v>478</v>
      </c>
      <c r="BS109" s="1179">
        <f t="shared" si="98"/>
        <v>517</v>
      </c>
      <c r="BT109" s="1179">
        <f t="shared" si="98"/>
        <v>540</v>
      </c>
      <c r="BU109" s="1263">
        <f t="shared" si="98"/>
        <v>473</v>
      </c>
      <c r="BV109" s="1179">
        <f t="shared" si="98"/>
        <v>616</v>
      </c>
      <c r="BW109" s="1179">
        <f t="shared" si="98"/>
        <v>591</v>
      </c>
      <c r="BX109" s="1179">
        <f t="shared" si="98"/>
        <v>589</v>
      </c>
      <c r="BY109" s="1263">
        <f>BY102</f>
        <v>581</v>
      </c>
      <c r="BZ109" s="1179">
        <f t="shared" si="98"/>
        <v>619</v>
      </c>
      <c r="CA109" s="1179">
        <f t="shared" ref="CA109:CB112" si="99">CA102</f>
        <v>621</v>
      </c>
      <c r="CB109" s="1179">
        <f t="shared" si="99"/>
        <v>546</v>
      </c>
      <c r="CC109" s="1179">
        <f t="shared" ref="CC109:CD112" si="100">CC102</f>
        <v>641</v>
      </c>
      <c r="CD109" s="1267">
        <f t="shared" si="100"/>
        <v>631</v>
      </c>
      <c r="CE109" s="1179">
        <f t="shared" ref="CE109:CF112" si="101">CE102</f>
        <v>574</v>
      </c>
      <c r="CF109" s="1179">
        <f t="shared" si="101"/>
        <v>573</v>
      </c>
      <c r="CG109" s="1179">
        <f>CG102</f>
        <v>566</v>
      </c>
      <c r="CH109" s="1267">
        <f t="shared" ref="CH109:CI112" si="102">CH102</f>
        <v>633</v>
      </c>
      <c r="CI109" s="1226">
        <f t="shared" si="102"/>
        <v>607</v>
      </c>
      <c r="CJ109" s="1226">
        <f t="shared" ref="CJ109:CK112" si="103">CJ102</f>
        <v>630</v>
      </c>
      <c r="CK109" s="1226">
        <f t="shared" si="103"/>
        <v>616</v>
      </c>
      <c r="CL109" s="1267">
        <f>CL102</f>
        <v>651</v>
      </c>
      <c r="CM109" s="1170"/>
      <c r="CN109" s="1170"/>
      <c r="CO109" s="1170"/>
      <c r="CP109" s="1170"/>
      <c r="CQ109" s="1170"/>
      <c r="CR109" s="1170"/>
      <c r="CS109" s="1170"/>
      <c r="CT109" s="1198"/>
      <c r="CU109" s="1198"/>
    </row>
    <row r="110" spans="1:99" ht="12.75" customHeight="1">
      <c r="A110" s="1198" t="s">
        <v>975</v>
      </c>
      <c r="B110" s="1198"/>
      <c r="C110" s="1198"/>
      <c r="D110" s="1198"/>
      <c r="E110" s="1198"/>
      <c r="F110" s="1198"/>
      <c r="G110" s="1198"/>
      <c r="H110" s="1198"/>
      <c r="I110" s="1198"/>
      <c r="J110" s="1227">
        <f t="shared" ref="J110:S110" si="104">J103</f>
        <v>0.30343897505057316</v>
      </c>
      <c r="K110" s="1227">
        <f t="shared" si="104"/>
        <v>0.2561307901907357</v>
      </c>
      <c r="L110" s="1227">
        <f t="shared" si="104"/>
        <v>3.5928143712574849E-2</v>
      </c>
      <c r="M110" s="1227">
        <f t="shared" si="104"/>
        <v>2.6666666666666668E-2</v>
      </c>
      <c r="N110" s="1227">
        <f t="shared" si="104"/>
        <v>8.5710431654676261E-2</v>
      </c>
      <c r="O110" s="1229">
        <f t="shared" si="104"/>
        <v>9.033816425120772E-3</v>
      </c>
      <c r="P110" s="1229">
        <f t="shared" si="97"/>
        <v>0.37840976460331299</v>
      </c>
      <c r="Q110" s="1229">
        <f t="shared" si="97"/>
        <v>0.36179263565891473</v>
      </c>
      <c r="R110" s="1230">
        <f>R103</f>
        <v>0.38038717735220651</v>
      </c>
      <c r="S110" s="1227">
        <f t="shared" si="104"/>
        <v>0.40700808625336926</v>
      </c>
      <c r="T110" s="1507"/>
      <c r="U110" s="1507"/>
      <c r="V110" s="1507"/>
      <c r="W110" s="1507"/>
      <c r="X110" s="1282"/>
      <c r="Y110" s="1282"/>
      <c r="Z110" s="1282"/>
      <c r="AA110" s="1282"/>
      <c r="AB110" s="1282"/>
      <c r="AC110" s="1282"/>
      <c r="AD110" s="1282"/>
      <c r="AE110" s="1282"/>
      <c r="AF110" s="1282"/>
      <c r="AG110" s="1517"/>
      <c r="AH110" s="1170"/>
      <c r="AI110" s="1170"/>
      <c r="AJ110" s="1170"/>
      <c r="AK110" s="1170"/>
      <c r="AL110" s="1170"/>
      <c r="AM110" s="1170"/>
      <c r="AN110" s="1170"/>
      <c r="AO110" s="1170"/>
      <c r="AP110" s="1170"/>
      <c r="AQ110" s="1170"/>
      <c r="AR110" s="1170"/>
      <c r="AS110" s="1170"/>
      <c r="AT110" s="1170"/>
      <c r="AU110" s="1170"/>
      <c r="AV110" s="1170"/>
      <c r="AW110" s="1170"/>
      <c r="AX110" s="1170"/>
      <c r="AY110" s="1170"/>
      <c r="AZ110" s="1170"/>
      <c r="BA110" s="1170"/>
      <c r="BB110" s="1170"/>
      <c r="BC110" s="1170"/>
      <c r="BD110" s="1170"/>
      <c r="BE110" s="1170"/>
      <c r="BF110" s="1229">
        <f t="shared" ref="BF110:BZ110" si="105">BF103</f>
        <v>0.41530054644808745</v>
      </c>
      <c r="BG110" s="1229">
        <f t="shared" si="105"/>
        <v>0.22395833333333334</v>
      </c>
      <c r="BH110" s="1229">
        <f t="shared" si="105"/>
        <v>0.19503546099290781</v>
      </c>
      <c r="BI110" s="1229">
        <f t="shared" si="105"/>
        <v>0.24324324324324326</v>
      </c>
      <c r="BJ110" s="1229">
        <f t="shared" si="105"/>
        <v>1.0067114093959731E-2</v>
      </c>
      <c r="BK110" s="1229">
        <f t="shared" si="105"/>
        <v>1.3651877133105802E-2</v>
      </c>
      <c r="BL110" s="1229">
        <f t="shared" si="105"/>
        <v>7.1174377224199285E-3</v>
      </c>
      <c r="BM110" s="1229">
        <f t="shared" si="105"/>
        <v>0.2076923076923077</v>
      </c>
      <c r="BN110" s="1229">
        <f t="shared" si="105"/>
        <v>2.5510204081632654E-2</v>
      </c>
      <c r="BO110" s="1229">
        <f t="shared" si="105"/>
        <v>2.4193548387096774E-2</v>
      </c>
      <c r="BP110" s="1229">
        <f t="shared" si="105"/>
        <v>8.4033613445378148E-3</v>
      </c>
      <c r="BQ110" s="1230">
        <f t="shared" si="105"/>
        <v>0.27272727272727271</v>
      </c>
      <c r="BR110" s="1229">
        <f t="shared" si="105"/>
        <v>-1.8691588785046728E-2</v>
      </c>
      <c r="BS110" s="1229">
        <f t="shared" si="105"/>
        <v>0.13333333333333333</v>
      </c>
      <c r="BT110" s="1229">
        <f t="shared" si="105"/>
        <v>0.32682989690721648</v>
      </c>
      <c r="BU110" s="1230">
        <f t="shared" si="105"/>
        <v>-0.26458333333333334</v>
      </c>
      <c r="BV110" s="1229">
        <f t="shared" si="105"/>
        <v>7.3529411764705881E-3</v>
      </c>
      <c r="BW110" s="1229">
        <f t="shared" si="105"/>
        <v>2.8599221789883267E-2</v>
      </c>
      <c r="BX110" s="1229">
        <f t="shared" si="105"/>
        <v>0</v>
      </c>
      <c r="BY110" s="1230">
        <f>BY103</f>
        <v>0</v>
      </c>
      <c r="BZ110" s="1229">
        <f t="shared" si="105"/>
        <v>0.38763793103448274</v>
      </c>
      <c r="CA110" s="1229">
        <f t="shared" si="99"/>
        <v>0.39333333333333331</v>
      </c>
      <c r="CB110" s="1229">
        <f t="shared" si="99"/>
        <v>0.33560483870967744</v>
      </c>
      <c r="CC110" s="1229">
        <f t="shared" si="100"/>
        <v>0.38961488673139161</v>
      </c>
      <c r="CD110" s="1231">
        <f t="shared" si="100"/>
        <v>0.31168224299065422</v>
      </c>
      <c r="CE110" s="1229">
        <f t="shared" si="101"/>
        <v>0.40500000000000003</v>
      </c>
      <c r="CF110" s="1229">
        <f t="shared" si="101"/>
        <v>0.35596638655462182</v>
      </c>
      <c r="CG110" s="1229">
        <f>CG103</f>
        <v>0.392274678111588</v>
      </c>
      <c r="CH110" s="1231">
        <f t="shared" si="102"/>
        <v>0.39155000000000001</v>
      </c>
      <c r="CI110" s="1227">
        <f t="shared" si="102"/>
        <v>0.36071428571428571</v>
      </c>
      <c r="CJ110" s="1227">
        <f t="shared" si="103"/>
        <v>0.42446540880503142</v>
      </c>
      <c r="CK110" s="1227">
        <f t="shared" si="103"/>
        <v>0.3412541254125413</v>
      </c>
      <c r="CL110" s="1231">
        <f>CL103</f>
        <v>0.40700808625336926</v>
      </c>
      <c r="CM110" s="1170"/>
      <c r="CN110" s="1170"/>
      <c r="CO110" s="1170"/>
      <c r="CP110" s="1170"/>
      <c r="CQ110" s="1170"/>
      <c r="CR110" s="1170"/>
      <c r="CS110" s="1170"/>
      <c r="CT110" s="1198"/>
      <c r="CU110" s="1198"/>
    </row>
    <row r="111" spans="1:99" ht="12.75" customHeight="1">
      <c r="A111" s="1198" t="s">
        <v>976</v>
      </c>
      <c r="B111" s="1198"/>
      <c r="C111" s="1198"/>
      <c r="D111" s="1198"/>
      <c r="E111" s="1198"/>
      <c r="F111" s="1198"/>
      <c r="G111" s="1198"/>
      <c r="H111" s="1198"/>
      <c r="I111" s="1198"/>
      <c r="J111" s="1248">
        <f t="shared" ref="J111:S111" si="106">J104</f>
        <v>19012</v>
      </c>
      <c r="K111" s="1248">
        <f t="shared" si="106"/>
        <v>18149</v>
      </c>
      <c r="L111" s="1248">
        <f t="shared" si="106"/>
        <v>16853</v>
      </c>
      <c r="M111" s="1248">
        <f t="shared" si="106"/>
        <v>15568</v>
      </c>
      <c r="N111" s="1248">
        <f t="shared" si="106"/>
        <v>14579</v>
      </c>
      <c r="O111" s="1282">
        <f t="shared" si="106"/>
        <v>13671</v>
      </c>
      <c r="P111" s="1282">
        <f t="shared" si="97"/>
        <v>13045</v>
      </c>
      <c r="Q111" s="1282">
        <f t="shared" si="97"/>
        <v>12299</v>
      </c>
      <c r="R111" s="1250">
        <f>R104</f>
        <v>11857</v>
      </c>
      <c r="S111" s="1248">
        <f t="shared" si="106"/>
        <v>0</v>
      </c>
      <c r="T111" s="1507"/>
      <c r="U111" s="1507"/>
      <c r="V111" s="1507"/>
      <c r="W111" s="1507"/>
      <c r="X111" s="1282"/>
      <c r="Y111" s="1282"/>
      <c r="Z111" s="1282"/>
      <c r="AA111" s="1282"/>
      <c r="AB111" s="1282"/>
      <c r="AC111" s="1282"/>
      <c r="AD111" s="1282"/>
      <c r="AE111" s="1282"/>
      <c r="AF111" s="1282"/>
      <c r="AG111" s="1517"/>
      <c r="AH111" s="1170"/>
      <c r="AI111" s="1170"/>
      <c r="AJ111" s="1170"/>
      <c r="AK111" s="1170"/>
      <c r="AL111" s="1170"/>
      <c r="AM111" s="1170"/>
      <c r="AN111" s="1170"/>
      <c r="AO111" s="1170"/>
      <c r="AP111" s="1170"/>
      <c r="AQ111" s="1170"/>
      <c r="AR111" s="1170"/>
      <c r="AS111" s="1170"/>
      <c r="AT111" s="1170"/>
      <c r="AU111" s="1170"/>
      <c r="AV111" s="1170"/>
      <c r="AW111" s="1170"/>
      <c r="AX111" s="1170"/>
      <c r="AY111" s="1170"/>
      <c r="AZ111" s="1170"/>
      <c r="BA111" s="1170"/>
      <c r="BB111" s="1170"/>
      <c r="BC111" s="1170"/>
      <c r="BD111" s="1170"/>
      <c r="BE111" s="1170"/>
      <c r="BF111" s="1282">
        <f t="shared" ref="BF111:BZ111" si="107">BF104</f>
        <v>19097</v>
      </c>
      <c r="BG111" s="1282">
        <f t="shared" si="107"/>
        <v>18835</v>
      </c>
      <c r="BH111" s="1282">
        <f t="shared" si="107"/>
        <v>18363</v>
      </c>
      <c r="BI111" s="1282">
        <f t="shared" si="107"/>
        <v>18149</v>
      </c>
      <c r="BJ111" s="1282">
        <f t="shared" si="107"/>
        <v>17806</v>
      </c>
      <c r="BK111" s="1282">
        <f t="shared" si="107"/>
        <v>17495</v>
      </c>
      <c r="BL111" s="1282">
        <f t="shared" si="107"/>
        <v>17255</v>
      </c>
      <c r="BM111" s="1282">
        <f t="shared" si="107"/>
        <v>16853</v>
      </c>
      <c r="BN111" s="1282">
        <f t="shared" si="107"/>
        <v>16458</v>
      </c>
      <c r="BO111" s="1282">
        <f t="shared" si="107"/>
        <v>16101</v>
      </c>
      <c r="BP111" s="1282">
        <f t="shared" si="107"/>
        <v>15812</v>
      </c>
      <c r="BQ111" s="1250">
        <f t="shared" si="107"/>
        <v>15568</v>
      </c>
      <c r="BR111" s="1282">
        <f t="shared" si="107"/>
        <v>15273</v>
      </c>
      <c r="BS111" s="1282">
        <f t="shared" si="107"/>
        <v>15016</v>
      </c>
      <c r="BT111" s="1282">
        <f t="shared" si="107"/>
        <v>14828</v>
      </c>
      <c r="BU111" s="1250">
        <f t="shared" si="107"/>
        <v>14579</v>
      </c>
      <c r="BV111" s="1282">
        <f t="shared" si="107"/>
        <v>14274</v>
      </c>
      <c r="BW111" s="1282">
        <f t="shared" si="107"/>
        <v>14076</v>
      </c>
      <c r="BX111" s="1282">
        <f t="shared" si="107"/>
        <v>13849</v>
      </c>
      <c r="BY111" s="1250">
        <f>BY104</f>
        <v>13671</v>
      </c>
      <c r="BZ111" s="1282">
        <f t="shared" si="107"/>
        <v>13499</v>
      </c>
      <c r="CA111" s="1282">
        <f t="shared" si="99"/>
        <v>13450</v>
      </c>
      <c r="CB111" s="1282">
        <f t="shared" si="99"/>
        <v>13301</v>
      </c>
      <c r="CC111" s="1282">
        <f t="shared" si="100"/>
        <v>13045</v>
      </c>
      <c r="CD111" s="1249">
        <f t="shared" si="100"/>
        <v>12816</v>
      </c>
      <c r="CE111" s="1282">
        <f t="shared" si="101"/>
        <v>12622</v>
      </c>
      <c r="CF111" s="1282">
        <f t="shared" si="101"/>
        <v>12399</v>
      </c>
      <c r="CG111" s="1282">
        <f>CG104</f>
        <v>12299</v>
      </c>
      <c r="CH111" s="1249">
        <f t="shared" si="102"/>
        <v>12078</v>
      </c>
      <c r="CI111" s="1248">
        <f t="shared" si="102"/>
        <v>11929</v>
      </c>
      <c r="CJ111" s="1248">
        <f t="shared" si="103"/>
        <v>11830</v>
      </c>
      <c r="CK111" s="1248">
        <f t="shared" si="103"/>
        <v>11857</v>
      </c>
      <c r="CL111" s="1249">
        <f>CL104</f>
        <v>11665</v>
      </c>
      <c r="CM111" s="1170"/>
      <c r="CN111" s="1170"/>
      <c r="CO111" s="1170"/>
      <c r="CP111" s="1170"/>
      <c r="CQ111" s="1170"/>
      <c r="CR111" s="1170"/>
      <c r="CS111" s="1170"/>
      <c r="CT111" s="1198"/>
      <c r="CU111" s="1198"/>
    </row>
    <row r="112" spans="1:99" ht="12.75" customHeight="1">
      <c r="A112" s="1198" t="s">
        <v>977</v>
      </c>
      <c r="B112" s="1198"/>
      <c r="C112" s="1198"/>
      <c r="D112" s="1198"/>
      <c r="E112" s="1198"/>
      <c r="F112" s="1198"/>
      <c r="G112" s="1198"/>
      <c r="H112" s="1198"/>
      <c r="I112" s="1198"/>
      <c r="J112" s="1248">
        <f t="shared" ref="J112:S112" si="108">J105</f>
        <v>-8</v>
      </c>
      <c r="K112" s="1248" t="e">
        <f t="shared" si="108"/>
        <v>#REF!</v>
      </c>
      <c r="L112" s="1248" t="e">
        <f t="shared" si="108"/>
        <v>#REF!</v>
      </c>
      <c r="M112" s="1248" t="e">
        <f t="shared" si="108"/>
        <v>#REF!</v>
      </c>
      <c r="N112" s="1248" t="e">
        <f t="shared" si="108"/>
        <v>#REF!</v>
      </c>
      <c r="O112" s="1282" t="e">
        <f t="shared" si="108"/>
        <v>#REF!</v>
      </c>
      <c r="P112" s="1282" t="e">
        <f t="shared" si="97"/>
        <v>#REF!</v>
      </c>
      <c r="Q112" s="1282">
        <f t="shared" si="97"/>
        <v>-693</v>
      </c>
      <c r="R112" s="1250">
        <f ca="1">R105</f>
        <v>-915</v>
      </c>
      <c r="S112" s="1248">
        <f t="shared" si="108"/>
        <v>0</v>
      </c>
      <c r="T112" s="1507"/>
      <c r="U112" s="1507"/>
      <c r="V112" s="1507"/>
      <c r="W112" s="1507"/>
      <c r="X112" s="1282"/>
      <c r="Y112" s="1282"/>
      <c r="Z112" s="1282"/>
      <c r="AA112" s="1282"/>
      <c r="AB112" s="1282"/>
      <c r="AC112" s="1282"/>
      <c r="AD112" s="1282"/>
      <c r="AE112" s="1282"/>
      <c r="AF112" s="1282"/>
      <c r="AG112" s="1517"/>
      <c r="AH112" s="1170"/>
      <c r="AI112" s="1170"/>
      <c r="AJ112" s="1170"/>
      <c r="AK112" s="1170"/>
      <c r="AL112" s="1170"/>
      <c r="AM112" s="1170"/>
      <c r="AN112" s="1170"/>
      <c r="AO112" s="1170"/>
      <c r="AP112" s="1170"/>
      <c r="AQ112" s="1170"/>
      <c r="AR112" s="1170"/>
      <c r="AS112" s="1170"/>
      <c r="AT112" s="1170"/>
      <c r="AU112" s="1170"/>
      <c r="AV112" s="1170"/>
      <c r="AW112" s="1170"/>
      <c r="AX112" s="1170"/>
      <c r="AY112" s="1170"/>
      <c r="AZ112" s="1170"/>
      <c r="BA112" s="1170"/>
      <c r="BB112" s="1170"/>
      <c r="BC112" s="1170"/>
      <c r="BD112" s="1170"/>
      <c r="BE112" s="1170"/>
      <c r="BF112" s="1282">
        <f t="shared" ref="BF112:BZ112" si="109">BF105</f>
        <v>-344</v>
      </c>
      <c r="BG112" s="1282">
        <f t="shared" si="109"/>
        <v>-217</v>
      </c>
      <c r="BH112" s="1282">
        <f t="shared" si="109"/>
        <v>-1860</v>
      </c>
      <c r="BI112" s="1282" t="e">
        <f t="shared" si="109"/>
        <v>#REF!</v>
      </c>
      <c r="BJ112" s="1282" t="e">
        <f t="shared" si="109"/>
        <v>#REF!</v>
      </c>
      <c r="BK112" s="1282" t="e">
        <f t="shared" si="109"/>
        <v>#REF!</v>
      </c>
      <c r="BL112" s="1282" t="e">
        <f t="shared" si="109"/>
        <v>#REF!</v>
      </c>
      <c r="BM112" s="1282" t="e">
        <f t="shared" si="109"/>
        <v>#REF!</v>
      </c>
      <c r="BN112" s="1282" t="e">
        <f t="shared" si="109"/>
        <v>#REF!</v>
      </c>
      <c r="BO112" s="1282" t="e">
        <f t="shared" si="109"/>
        <v>#REF!</v>
      </c>
      <c r="BP112" s="1282" t="e">
        <f t="shared" si="109"/>
        <v>#REF!</v>
      </c>
      <c r="BQ112" s="1250" t="e">
        <f t="shared" si="109"/>
        <v>#REF!</v>
      </c>
      <c r="BR112" s="1282" t="e">
        <f t="shared" si="109"/>
        <v>#REF!</v>
      </c>
      <c r="BS112" s="1282" t="e">
        <f t="shared" si="109"/>
        <v>#REF!</v>
      </c>
      <c r="BT112" s="1282" t="e">
        <f t="shared" si="109"/>
        <v>#REF!</v>
      </c>
      <c r="BU112" s="1250" t="e">
        <f t="shared" si="109"/>
        <v>#REF!</v>
      </c>
      <c r="BV112" s="1282" t="e">
        <f t="shared" si="109"/>
        <v>#REF!</v>
      </c>
      <c r="BW112" s="1282" t="e">
        <f t="shared" si="109"/>
        <v>#REF!</v>
      </c>
      <c r="BX112" s="1282" t="e">
        <f t="shared" si="109"/>
        <v>#REF!</v>
      </c>
      <c r="BY112" s="1250" t="e">
        <f>BY105</f>
        <v>#REF!</v>
      </c>
      <c r="BZ112" s="1282" t="e">
        <f t="shared" si="109"/>
        <v>#REF!</v>
      </c>
      <c r="CA112" s="1282" t="e">
        <f t="shared" si="99"/>
        <v>#REF!</v>
      </c>
      <c r="CB112" s="1282" t="e">
        <f t="shared" si="99"/>
        <v>#REF!</v>
      </c>
      <c r="CC112" s="1282" t="e">
        <f t="shared" si="100"/>
        <v>#REF!</v>
      </c>
      <c r="CD112" s="1249">
        <f t="shared" si="100"/>
        <v>-298</v>
      </c>
      <c r="CE112" s="1282">
        <f t="shared" si="101"/>
        <v>-451</v>
      </c>
      <c r="CF112" s="1282">
        <f t="shared" si="101"/>
        <v>-383</v>
      </c>
      <c r="CG112" s="1282">
        <f>CG105</f>
        <v>-693</v>
      </c>
      <c r="CH112" s="1249">
        <f t="shared" si="102"/>
        <v>-391</v>
      </c>
      <c r="CI112" s="1248">
        <f t="shared" si="102"/>
        <v>-649</v>
      </c>
      <c r="CJ112" s="1248">
        <f t="shared" si="103"/>
        <v>-939</v>
      </c>
      <c r="CK112" s="1248">
        <f t="shared" ca="1" si="103"/>
        <v>-915</v>
      </c>
      <c r="CL112" s="1249">
        <f>CL105</f>
        <v>-830</v>
      </c>
      <c r="CM112" s="1170"/>
      <c r="CN112" s="1170"/>
      <c r="CO112" s="1170"/>
      <c r="CP112" s="1170"/>
      <c r="CQ112" s="1170"/>
      <c r="CR112" s="1170"/>
      <c r="CS112" s="1170"/>
      <c r="CT112" s="1198"/>
      <c r="CU112" s="1198"/>
    </row>
    <row r="113" spans="1:99" ht="4.5" customHeight="1">
      <c r="A113" s="1198"/>
      <c r="B113" s="1198"/>
      <c r="C113" s="1198"/>
      <c r="D113" s="1198"/>
      <c r="E113" s="1198"/>
      <c r="F113" s="1198"/>
      <c r="G113" s="1198"/>
      <c r="H113" s="1198"/>
      <c r="I113" s="1198"/>
      <c r="J113" s="1198"/>
      <c r="K113" s="1198"/>
      <c r="L113" s="1198"/>
      <c r="M113" s="1198"/>
      <c r="N113" s="1198"/>
      <c r="O113" s="1170"/>
      <c r="P113" s="1170"/>
      <c r="Q113" s="1170"/>
      <c r="R113" s="1360"/>
      <c r="S113" s="1198"/>
      <c r="T113" s="1507"/>
      <c r="U113" s="1507"/>
      <c r="V113" s="1507"/>
      <c r="W113" s="1507"/>
      <c r="X113" s="1282"/>
      <c r="Y113" s="1282"/>
      <c r="Z113" s="1282"/>
      <c r="AA113" s="1282"/>
      <c r="AB113" s="1282"/>
      <c r="AC113" s="1282"/>
      <c r="AD113" s="1282"/>
      <c r="AE113" s="1282"/>
      <c r="AF113" s="1282"/>
      <c r="AG113" s="1517"/>
      <c r="AH113" s="1170"/>
      <c r="AI113" s="1170"/>
      <c r="AJ113" s="1170"/>
      <c r="AK113" s="1170"/>
      <c r="AL113" s="1170"/>
      <c r="AM113" s="1170"/>
      <c r="AN113" s="1170"/>
      <c r="AO113" s="1170"/>
      <c r="AP113" s="1170"/>
      <c r="AQ113" s="1170"/>
      <c r="AR113" s="1170"/>
      <c r="AS113" s="1170"/>
      <c r="AT113" s="1170"/>
      <c r="AU113" s="1170"/>
      <c r="AV113" s="1170"/>
      <c r="AW113" s="1170"/>
      <c r="AX113" s="1170"/>
      <c r="AY113" s="1170"/>
      <c r="AZ113" s="1170"/>
      <c r="BA113" s="1170"/>
      <c r="BB113" s="1170"/>
      <c r="BC113" s="1170"/>
      <c r="BD113" s="1170"/>
      <c r="BE113" s="1170"/>
      <c r="BF113" s="1170"/>
      <c r="BG113" s="1170"/>
      <c r="BH113" s="1170"/>
      <c r="BI113" s="1170"/>
      <c r="BJ113" s="1170"/>
      <c r="BK113" s="1170"/>
      <c r="BL113" s="1170"/>
      <c r="BM113" s="1170"/>
      <c r="BN113" s="1170"/>
      <c r="BO113" s="1170"/>
      <c r="BP113" s="1170"/>
      <c r="BQ113" s="1360"/>
      <c r="BR113" s="1170"/>
      <c r="BS113" s="1170"/>
      <c r="BT113" s="1170"/>
      <c r="BU113" s="1360"/>
      <c r="BV113" s="1170"/>
      <c r="BW113" s="1170"/>
      <c r="BX113" s="1170"/>
      <c r="BY113" s="1360"/>
      <c r="BZ113" s="1170"/>
      <c r="CA113" s="1170"/>
      <c r="CB113" s="1170"/>
      <c r="CC113" s="1198"/>
      <c r="CD113" s="1359"/>
      <c r="CE113" s="1198"/>
      <c r="CF113" s="1198"/>
      <c r="CG113" s="1198"/>
      <c r="CH113" s="1359"/>
      <c r="CI113" s="1198"/>
      <c r="CJ113" s="1198"/>
      <c r="CK113" s="1198"/>
      <c r="CL113" s="1359"/>
      <c r="CM113" s="1170"/>
      <c r="CN113" s="1170"/>
      <c r="CO113" s="1170"/>
      <c r="CP113" s="1170"/>
      <c r="CQ113" s="1170"/>
      <c r="CR113" s="1170"/>
      <c r="CS113" s="1170"/>
      <c r="CT113" s="1198"/>
      <c r="CU113" s="1198"/>
    </row>
    <row r="114" spans="1:99" ht="12.75" customHeight="1">
      <c r="A114" s="1213" t="s">
        <v>249</v>
      </c>
      <c r="B114" s="1198"/>
      <c r="C114" s="1198"/>
      <c r="D114" s="1198"/>
      <c r="E114" s="1198"/>
      <c r="F114" s="1198"/>
      <c r="G114" s="1198"/>
      <c r="H114" s="1198"/>
      <c r="I114" s="1198"/>
      <c r="J114" s="1227">
        <f>(J115)*(J116)*(J117)</f>
        <v>0.36501766784452294</v>
      </c>
      <c r="K114" s="1227">
        <f>(K115)*(K116)*(K117)</f>
        <v>0.80610236220472442</v>
      </c>
      <c r="L114" s="1198"/>
      <c r="M114" s="1198"/>
      <c r="N114" s="1198"/>
      <c r="O114" s="1170"/>
      <c r="P114" s="1170"/>
      <c r="Q114" s="1170"/>
      <c r="R114" s="1360"/>
      <c r="S114" s="1198"/>
      <c r="T114" s="1507"/>
      <c r="U114" s="1507"/>
      <c r="V114" s="1507"/>
      <c r="W114" s="1507"/>
      <c r="X114" s="1282"/>
      <c r="Y114" s="1282"/>
      <c r="Z114" s="1282"/>
      <c r="AA114" s="1282"/>
      <c r="AB114" s="1282"/>
      <c r="AC114" s="1282"/>
      <c r="AD114" s="1282"/>
      <c r="AE114" s="1282"/>
      <c r="AF114" s="1282"/>
      <c r="AG114" s="1517"/>
      <c r="AH114" s="1170"/>
      <c r="AI114" s="1170"/>
      <c r="AJ114" s="1170"/>
      <c r="AK114" s="1170"/>
      <c r="AL114" s="1170"/>
      <c r="AM114" s="1170"/>
      <c r="AN114" s="1170"/>
      <c r="AO114" s="1170"/>
      <c r="AP114" s="1170"/>
      <c r="AQ114" s="1170"/>
      <c r="AR114" s="1170"/>
      <c r="AS114" s="1170"/>
      <c r="AT114" s="1170"/>
      <c r="AU114" s="1170"/>
      <c r="AV114" s="1170"/>
      <c r="AW114" s="1170"/>
      <c r="AX114" s="1170"/>
      <c r="AY114" s="1170"/>
      <c r="AZ114" s="1170"/>
      <c r="BA114" s="1170"/>
      <c r="BB114" s="1170"/>
      <c r="BC114" s="1170"/>
      <c r="BD114" s="1170"/>
      <c r="BE114" s="1170"/>
      <c r="BF114" s="1170"/>
      <c r="BG114" s="1170"/>
      <c r="BH114" s="1170"/>
      <c r="BI114" s="1170"/>
      <c r="BJ114" s="1170"/>
      <c r="BK114" s="1170"/>
      <c r="BL114" s="1170"/>
      <c r="BM114" s="1170"/>
      <c r="BN114" s="1170"/>
      <c r="BO114" s="1170"/>
      <c r="BP114" s="1170"/>
      <c r="BQ114" s="1360"/>
      <c r="BR114" s="1170"/>
      <c r="BS114" s="1170"/>
      <c r="BT114" s="1170"/>
      <c r="BU114" s="1360"/>
      <c r="BV114" s="1170"/>
      <c r="BW114" s="1170"/>
      <c r="BX114" s="1170"/>
      <c r="BY114" s="1360"/>
      <c r="BZ114" s="1170"/>
      <c r="CA114" s="1170"/>
      <c r="CB114" s="1170"/>
      <c r="CC114" s="1198"/>
      <c r="CD114" s="1359"/>
      <c r="CE114" s="1198"/>
      <c r="CF114" s="1198"/>
      <c r="CG114" s="1198"/>
      <c r="CH114" s="1359"/>
      <c r="CI114" s="1198"/>
      <c r="CJ114" s="1198"/>
      <c r="CK114" s="1198"/>
      <c r="CL114" s="1359"/>
      <c r="CM114" s="1170"/>
      <c r="CN114" s="1170"/>
      <c r="CO114" s="1170"/>
      <c r="CP114" s="1170"/>
      <c r="CQ114" s="1170"/>
      <c r="CR114" s="1170"/>
      <c r="CS114" s="1170"/>
      <c r="CT114" s="1198"/>
      <c r="CU114" s="1198"/>
    </row>
    <row r="115" spans="1:99" ht="12.75" customHeight="1">
      <c r="A115" s="1225" t="s">
        <v>250</v>
      </c>
      <c r="B115" s="1198"/>
      <c r="C115" s="1198"/>
      <c r="D115" s="1198"/>
      <c r="E115" s="1198"/>
      <c r="F115" s="1198"/>
      <c r="G115" s="1198"/>
      <c r="H115" s="1198"/>
      <c r="I115" s="1198"/>
      <c r="J115" s="1227">
        <f>Q_IS!J83</f>
        <v>-6.7204475961225682E-2</v>
      </c>
      <c r="K115" s="1227">
        <f>Q_IS!K83</f>
        <v>-5.7320828667413212E-2</v>
      </c>
      <c r="L115" s="1198"/>
      <c r="M115" s="1198"/>
      <c r="N115" s="1198"/>
      <c r="O115" s="1170"/>
      <c r="P115" s="1170"/>
      <c r="Q115" s="1170"/>
      <c r="R115" s="1360"/>
      <c r="S115" s="1198"/>
      <c r="T115" s="1507"/>
      <c r="U115" s="1507"/>
      <c r="V115" s="1507"/>
      <c r="W115" s="1507"/>
      <c r="X115" s="1282"/>
      <c r="Y115" s="1282"/>
      <c r="Z115" s="1282"/>
      <c r="AA115" s="1282"/>
      <c r="AB115" s="1282"/>
      <c r="AC115" s="1282"/>
      <c r="AD115" s="1282"/>
      <c r="AE115" s="1282"/>
      <c r="AF115" s="1282"/>
      <c r="AG115" s="1517"/>
      <c r="AH115" s="1170"/>
      <c r="AI115" s="1170"/>
      <c r="AJ115" s="1170"/>
      <c r="AK115" s="1170"/>
      <c r="AL115" s="1170"/>
      <c r="AM115" s="1170"/>
      <c r="AN115" s="1170"/>
      <c r="AO115" s="1170"/>
      <c r="AP115" s="1170"/>
      <c r="AQ115" s="1170"/>
      <c r="AR115" s="1170"/>
      <c r="AS115" s="1170"/>
      <c r="AT115" s="1170"/>
      <c r="AU115" s="1170"/>
      <c r="AV115" s="1170"/>
      <c r="AW115" s="1170"/>
      <c r="AX115" s="1170"/>
      <c r="AY115" s="1170"/>
      <c r="AZ115" s="1170"/>
      <c r="BA115" s="1170"/>
      <c r="BB115" s="1170"/>
      <c r="BC115" s="1170"/>
      <c r="BD115" s="1170"/>
      <c r="BE115" s="1170"/>
      <c r="BF115" s="1170"/>
      <c r="BG115" s="1170"/>
      <c r="BH115" s="1170"/>
      <c r="BI115" s="1170"/>
      <c r="BJ115" s="1170"/>
      <c r="BK115" s="1170"/>
      <c r="BL115" s="1170"/>
      <c r="BM115" s="1170"/>
      <c r="BN115" s="1170"/>
      <c r="BO115" s="1170"/>
      <c r="BP115" s="1170"/>
      <c r="BQ115" s="1360"/>
      <c r="BR115" s="1170"/>
      <c r="BS115" s="1170"/>
      <c r="BT115" s="1170"/>
      <c r="BU115" s="1360"/>
      <c r="BV115" s="1170"/>
      <c r="BW115" s="1170"/>
      <c r="BX115" s="1170"/>
      <c r="BY115" s="1360"/>
      <c r="BZ115" s="1170"/>
      <c r="CA115" s="1170"/>
      <c r="CB115" s="1170"/>
      <c r="CC115" s="1198"/>
      <c r="CD115" s="1359"/>
      <c r="CE115" s="1198"/>
      <c r="CF115" s="1198"/>
      <c r="CG115" s="1198"/>
      <c r="CH115" s="1359"/>
      <c r="CI115" s="1198"/>
      <c r="CJ115" s="1198"/>
      <c r="CK115" s="1198"/>
      <c r="CL115" s="1359"/>
      <c r="CM115" s="1170"/>
      <c r="CN115" s="1170"/>
      <c r="CO115" s="1170"/>
      <c r="CP115" s="1170"/>
      <c r="CQ115" s="1170"/>
      <c r="CR115" s="1170"/>
      <c r="CS115" s="1170"/>
      <c r="CT115" s="1198"/>
      <c r="CU115" s="1198"/>
    </row>
    <row r="116" spans="1:99" ht="12.75" customHeight="1">
      <c r="A116" s="1225" t="s">
        <v>251</v>
      </c>
      <c r="B116" s="1198"/>
      <c r="C116" s="1198"/>
      <c r="D116" s="1198"/>
      <c r="E116" s="1198"/>
      <c r="F116" s="1198"/>
      <c r="G116" s="1198"/>
      <c r="H116" s="1198"/>
      <c r="I116" s="1198"/>
      <c r="J116" s="1227">
        <f>Q_IS!J34/Q_BS!J29</f>
        <v>0.52380303288464813</v>
      </c>
      <c r="K116" s="1227">
        <f>Q_IS!K34/Q_BS!K29</f>
        <v>0.54501068050045776</v>
      </c>
      <c r="L116" s="1198"/>
      <c r="M116" s="1198"/>
      <c r="N116" s="1198"/>
      <c r="O116" s="1170"/>
      <c r="P116" s="1170"/>
      <c r="Q116" s="1170"/>
      <c r="R116" s="1360"/>
      <c r="S116" s="1198"/>
      <c r="T116" s="1507"/>
      <c r="U116" s="1507"/>
      <c r="V116" s="1507"/>
      <c r="W116" s="1507"/>
      <c r="X116" s="1282"/>
      <c r="Y116" s="1282"/>
      <c r="Z116" s="1282"/>
      <c r="AA116" s="1282"/>
      <c r="AB116" s="1282"/>
      <c r="AC116" s="1282"/>
      <c r="AD116" s="1282"/>
      <c r="AE116" s="1282"/>
      <c r="AF116" s="1282"/>
      <c r="AG116" s="1517"/>
      <c r="AH116" s="1170"/>
      <c r="AI116" s="1170"/>
      <c r="AJ116" s="1170"/>
      <c r="AK116" s="1170"/>
      <c r="AL116" s="1170"/>
      <c r="AM116" s="1170"/>
      <c r="AN116" s="1170"/>
      <c r="AO116" s="1170"/>
      <c r="AP116" s="1170"/>
      <c r="AQ116" s="1170"/>
      <c r="AR116" s="1170"/>
      <c r="AS116" s="1170"/>
      <c r="AT116" s="1170"/>
      <c r="AU116" s="1170"/>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70"/>
      <c r="BO116" s="1170"/>
      <c r="BP116" s="1170"/>
      <c r="BQ116" s="1360"/>
      <c r="BR116" s="1170"/>
      <c r="BS116" s="1170"/>
      <c r="BT116" s="1170"/>
      <c r="BU116" s="1360"/>
      <c r="BV116" s="1170"/>
      <c r="BW116" s="1170"/>
      <c r="BX116" s="1170"/>
      <c r="BY116" s="1360"/>
      <c r="BZ116" s="1170"/>
      <c r="CA116" s="1170"/>
      <c r="CB116" s="1170"/>
      <c r="CC116" s="1198"/>
      <c r="CD116" s="1359"/>
      <c r="CE116" s="1198"/>
      <c r="CF116" s="1198"/>
      <c r="CG116" s="1198"/>
      <c r="CH116" s="1359"/>
      <c r="CI116" s="1198"/>
      <c r="CJ116" s="1198"/>
      <c r="CK116" s="1198"/>
      <c r="CL116" s="1359"/>
      <c r="CM116" s="1170"/>
      <c r="CN116" s="1170"/>
      <c r="CO116" s="1170"/>
      <c r="CP116" s="1170"/>
      <c r="CQ116" s="1170"/>
      <c r="CR116" s="1170"/>
      <c r="CS116" s="1170"/>
      <c r="CT116" s="1198"/>
      <c r="CU116" s="1198"/>
    </row>
    <row r="117" spans="1:99" ht="12.75" customHeight="1">
      <c r="A117" s="1225" t="s">
        <v>252</v>
      </c>
      <c r="B117" s="1198"/>
      <c r="C117" s="1198"/>
      <c r="D117" s="1198"/>
      <c r="E117" s="1198"/>
      <c r="F117" s="1198"/>
      <c r="G117" s="1198"/>
      <c r="H117" s="1198"/>
      <c r="I117" s="1198"/>
      <c r="J117" s="1227">
        <f>J29/J55</f>
        <v>-10.369257950530036</v>
      </c>
      <c r="K117" s="1227">
        <f>K29/K55</f>
        <v>-25.803149606299211</v>
      </c>
      <c r="L117" s="1198"/>
      <c r="M117" s="1198"/>
      <c r="N117" s="1198"/>
      <c r="O117" s="1170"/>
      <c r="P117" s="1170"/>
      <c r="Q117" s="1170"/>
      <c r="R117" s="1360"/>
      <c r="S117" s="1198"/>
      <c r="T117" s="1507"/>
      <c r="U117" s="1507"/>
      <c r="V117" s="1507"/>
      <c r="W117" s="1507"/>
      <c r="X117" s="1282"/>
      <c r="Y117" s="1282"/>
      <c r="Z117" s="1282"/>
      <c r="AA117" s="1282"/>
      <c r="AB117" s="1282"/>
      <c r="AC117" s="1282"/>
      <c r="AD117" s="1282"/>
      <c r="AE117" s="1282"/>
      <c r="AF117" s="1282"/>
      <c r="AG117" s="1517"/>
      <c r="AH117" s="1170"/>
      <c r="AI117" s="1170"/>
      <c r="AJ117" s="1170"/>
      <c r="AK117" s="1170"/>
      <c r="AL117" s="1170"/>
      <c r="AM117" s="1170"/>
      <c r="AN117" s="1170"/>
      <c r="AO117" s="1170"/>
      <c r="AP117" s="1170"/>
      <c r="AQ117" s="1170"/>
      <c r="AR117" s="1170"/>
      <c r="AS117" s="1170"/>
      <c r="AT117" s="1170"/>
      <c r="AU117" s="1170"/>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170"/>
      <c r="BO117" s="1170"/>
      <c r="BP117" s="1170"/>
      <c r="BQ117" s="1360"/>
      <c r="BR117" s="1170"/>
      <c r="BS117" s="1170"/>
      <c r="BT117" s="1170"/>
      <c r="BU117" s="1360"/>
      <c r="BV117" s="1170"/>
      <c r="BW117" s="1170"/>
      <c r="BX117" s="1170"/>
      <c r="BY117" s="1360"/>
      <c r="BZ117" s="1170"/>
      <c r="CA117" s="1170"/>
      <c r="CB117" s="1170"/>
      <c r="CC117" s="1198"/>
      <c r="CD117" s="1359"/>
      <c r="CE117" s="1198"/>
      <c r="CF117" s="1198"/>
      <c r="CG117" s="1198"/>
      <c r="CH117" s="1359"/>
      <c r="CI117" s="1198"/>
      <c r="CJ117" s="1198"/>
      <c r="CK117" s="1198"/>
      <c r="CL117" s="1359"/>
      <c r="CM117" s="1170"/>
      <c r="CN117" s="1170"/>
      <c r="CO117" s="1170"/>
      <c r="CP117" s="1170"/>
      <c r="CQ117" s="1170"/>
      <c r="CR117" s="1170"/>
      <c r="CS117" s="1170"/>
      <c r="CT117" s="1198"/>
      <c r="CU117" s="1198"/>
    </row>
    <row r="118" spans="1:99" ht="6" customHeight="1">
      <c r="A118" s="1225"/>
      <c r="B118" s="1198"/>
      <c r="C118" s="1198"/>
      <c r="D118" s="1198"/>
      <c r="E118" s="1198"/>
      <c r="F118" s="1198"/>
      <c r="G118" s="1198"/>
      <c r="H118" s="1198"/>
      <c r="I118" s="1198"/>
      <c r="J118" s="1198"/>
      <c r="K118" s="1198"/>
      <c r="L118" s="1198"/>
      <c r="M118" s="1198"/>
      <c r="N118" s="1198"/>
      <c r="O118" s="1170"/>
      <c r="P118" s="1170"/>
      <c r="Q118" s="1170"/>
      <c r="R118" s="1360"/>
      <c r="S118" s="1198"/>
      <c r="T118" s="1507"/>
      <c r="U118" s="1507"/>
      <c r="V118" s="1507"/>
      <c r="W118" s="1507"/>
      <c r="X118" s="1282"/>
      <c r="Y118" s="1282"/>
      <c r="Z118" s="1282"/>
      <c r="AA118" s="1282"/>
      <c r="AB118" s="1282"/>
      <c r="AC118" s="1282"/>
      <c r="AD118" s="1282"/>
      <c r="AE118" s="1282"/>
      <c r="AF118" s="1282"/>
      <c r="AG118" s="1517"/>
      <c r="AH118" s="1170"/>
      <c r="AI118" s="1170"/>
      <c r="AJ118" s="1170"/>
      <c r="AK118" s="1170"/>
      <c r="AL118" s="1170"/>
      <c r="AM118" s="1170"/>
      <c r="AN118" s="1170"/>
      <c r="AO118" s="1170"/>
      <c r="AP118" s="1170"/>
      <c r="AQ118" s="1170"/>
      <c r="AR118" s="1170"/>
      <c r="AS118" s="1170"/>
      <c r="AT118" s="1170"/>
      <c r="AU118" s="1170"/>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170"/>
      <c r="BO118" s="1170"/>
      <c r="BP118" s="1170"/>
      <c r="BQ118" s="1360"/>
      <c r="BR118" s="1170"/>
      <c r="BS118" s="1170"/>
      <c r="BT118" s="1170"/>
      <c r="BU118" s="1360"/>
      <c r="BV118" s="1170"/>
      <c r="BW118" s="1170"/>
      <c r="BX118" s="1170"/>
      <c r="BY118" s="1360"/>
      <c r="BZ118" s="1170"/>
      <c r="CA118" s="1170"/>
      <c r="CB118" s="1170"/>
      <c r="CC118" s="1198"/>
      <c r="CD118" s="1359"/>
      <c r="CE118" s="1198"/>
      <c r="CF118" s="1198"/>
      <c r="CG118" s="1198"/>
      <c r="CH118" s="1359"/>
      <c r="CI118" s="1198"/>
      <c r="CJ118" s="1198"/>
      <c r="CK118" s="1198"/>
      <c r="CL118" s="1359"/>
      <c r="CM118" s="1170"/>
      <c r="CN118" s="1170"/>
      <c r="CO118" s="1170"/>
      <c r="CP118" s="1170"/>
      <c r="CQ118" s="1170"/>
      <c r="CR118" s="1170"/>
      <c r="CS118" s="1170"/>
      <c r="CT118" s="1198"/>
      <c r="CU118" s="1198"/>
    </row>
    <row r="119" spans="1:99" ht="12.75" customHeight="1">
      <c r="A119" s="1205" t="s">
        <v>253</v>
      </c>
      <c r="B119" s="1206"/>
      <c r="C119" s="1206"/>
      <c r="D119" s="1206"/>
      <c r="E119" s="1206"/>
      <c r="F119" s="1206"/>
      <c r="G119" s="1206"/>
      <c r="H119" s="1206"/>
      <c r="I119" s="1206"/>
      <c r="J119" s="1206"/>
      <c r="K119" s="1206"/>
      <c r="L119" s="1206"/>
      <c r="M119" s="1206"/>
      <c r="N119" s="1206"/>
      <c r="O119" s="1207"/>
      <c r="P119" s="1207"/>
      <c r="Q119" s="1208"/>
      <c r="R119" s="1206"/>
      <c r="S119" s="1206"/>
      <c r="T119" s="1507"/>
      <c r="U119" s="1507"/>
      <c r="V119" s="1507"/>
      <c r="W119" s="1507"/>
      <c r="X119" s="1282"/>
      <c r="Y119" s="1282"/>
      <c r="Z119" s="1282"/>
      <c r="AA119" s="1282"/>
      <c r="AB119" s="1282"/>
      <c r="AC119" s="1282"/>
      <c r="AD119" s="1282"/>
      <c r="AE119" s="1282"/>
      <c r="AF119" s="1282"/>
      <c r="AG119" s="1517"/>
      <c r="AH119" s="1207"/>
      <c r="AI119" s="1207"/>
      <c r="AJ119" s="1207"/>
      <c r="AK119" s="1207"/>
      <c r="AL119" s="1207"/>
      <c r="AM119" s="1207"/>
      <c r="AN119" s="1207"/>
      <c r="AO119" s="1207"/>
      <c r="AP119" s="1207"/>
      <c r="AQ119" s="1207"/>
      <c r="AR119" s="1207"/>
      <c r="AS119" s="1207"/>
      <c r="AT119" s="1207"/>
      <c r="AU119" s="1207"/>
      <c r="AV119" s="1207"/>
      <c r="AW119" s="1207"/>
      <c r="AX119" s="1207"/>
      <c r="AY119" s="1207"/>
      <c r="AZ119" s="1207"/>
      <c r="BA119" s="1207"/>
      <c r="BB119" s="1207"/>
      <c r="BC119" s="1207"/>
      <c r="BD119" s="1207"/>
      <c r="BE119" s="1207"/>
      <c r="BF119" s="1207"/>
      <c r="BG119" s="1207"/>
      <c r="BH119" s="1207"/>
      <c r="BI119" s="1207"/>
      <c r="BJ119" s="1207"/>
      <c r="BK119" s="1207"/>
      <c r="BL119" s="1207"/>
      <c r="BM119" s="1207"/>
      <c r="BN119" s="1207"/>
      <c r="BO119" s="1207"/>
      <c r="BP119" s="1207"/>
      <c r="BQ119" s="1208"/>
      <c r="BR119" s="1207"/>
      <c r="BS119" s="1207"/>
      <c r="BT119" s="1207"/>
      <c r="BU119" s="1208"/>
      <c r="BV119" s="1207"/>
      <c r="BW119" s="1207"/>
      <c r="BX119" s="1207"/>
      <c r="BY119" s="1208"/>
      <c r="BZ119" s="1207"/>
      <c r="CA119" s="1207"/>
      <c r="CB119" s="1207"/>
      <c r="CC119" s="1206"/>
      <c r="CD119" s="1365"/>
      <c r="CE119" s="1206"/>
      <c r="CF119" s="1206"/>
      <c r="CG119" s="1206"/>
      <c r="CH119" s="1365"/>
      <c r="CI119" s="1206"/>
      <c r="CJ119" s="1206"/>
      <c r="CK119" s="1206"/>
      <c r="CL119" s="1365"/>
      <c r="CM119" s="1170"/>
      <c r="CN119" s="1170"/>
      <c r="CO119" s="1170"/>
      <c r="CP119" s="1170"/>
      <c r="CQ119" s="1170"/>
      <c r="CR119" s="1170"/>
      <c r="CS119" s="1170"/>
      <c r="CT119" s="1198"/>
      <c r="CU119" s="1198"/>
    </row>
    <row r="120" spans="1:99" ht="12.75" customHeight="1">
      <c r="A120" s="1198" t="s">
        <v>254</v>
      </c>
      <c r="B120" s="1198"/>
      <c r="C120" s="1198"/>
      <c r="D120" s="1198"/>
      <c r="E120" s="1198"/>
      <c r="F120" s="1198"/>
      <c r="G120" s="1226"/>
      <c r="H120" s="1226"/>
      <c r="I120" s="1226"/>
      <c r="J120" s="1226">
        <f>Q_IS!J62</f>
        <v>1789</v>
      </c>
      <c r="K120" s="1226">
        <f>Q_IS!K62</f>
        <v>1757</v>
      </c>
      <c r="L120" s="1226">
        <f>Q_IS!L62</f>
        <v>1531</v>
      </c>
      <c r="M120" s="1226">
        <f>Q_IS!M62</f>
        <v>1483</v>
      </c>
      <c r="N120" s="1226">
        <f>Q_IS!N62</f>
        <v>1169</v>
      </c>
      <c r="O120" s="1179">
        <f>Q_IS!O62</f>
        <v>1139</v>
      </c>
      <c r="P120" s="1263">
        <f>Q_IS!P62</f>
        <v>1069</v>
      </c>
      <c r="Q120" s="1226">
        <f>Q_IS!Q62</f>
        <v>1089</v>
      </c>
      <c r="R120" s="1226">
        <f>Q_IS!R62</f>
        <v>1039</v>
      </c>
      <c r="S120" s="1226">
        <f>Q_IS!S62</f>
        <v>227</v>
      </c>
      <c r="T120" s="1507"/>
      <c r="U120" s="1507"/>
      <c r="V120" s="1507"/>
      <c r="W120" s="1507"/>
      <c r="X120" s="1282"/>
      <c r="Y120" s="1282"/>
      <c r="Z120" s="1282"/>
      <c r="AA120" s="1282"/>
      <c r="AB120" s="1282"/>
      <c r="AC120" s="1282"/>
      <c r="AD120" s="1282"/>
      <c r="AE120" s="1282"/>
      <c r="AF120" s="1282"/>
      <c r="AG120" s="1517"/>
      <c r="AH120" s="1170"/>
      <c r="AI120" s="1170"/>
      <c r="AJ120" s="1170"/>
      <c r="AK120" s="1170"/>
      <c r="AL120" s="1170"/>
      <c r="AM120" s="1170"/>
      <c r="AN120" s="1170"/>
      <c r="AO120" s="1170"/>
      <c r="AP120" s="1170"/>
      <c r="AQ120" s="1170"/>
      <c r="AR120" s="1170"/>
      <c r="AS120" s="1170"/>
      <c r="AT120" s="1170"/>
      <c r="AU120" s="1170"/>
      <c r="AV120" s="1170"/>
      <c r="AW120" s="1170"/>
      <c r="AX120" s="1179"/>
      <c r="AY120" s="1179"/>
      <c r="AZ120" s="1179"/>
      <c r="BA120" s="1179"/>
      <c r="BB120" s="1179">
        <f>Q_IS!BB62</f>
        <v>411</v>
      </c>
      <c r="BC120" s="1179">
        <f>Q_IS!BC62</f>
        <v>450</v>
      </c>
      <c r="BD120" s="1179">
        <f>Q_IS!BD62</f>
        <v>455</v>
      </c>
      <c r="BE120" s="1179">
        <f>Q_IS!BE62</f>
        <v>463</v>
      </c>
      <c r="BF120" s="1179">
        <f>Q_IS!BF62</f>
        <v>440</v>
      </c>
      <c r="BG120" s="1179">
        <f>Q_IS!BG62</f>
        <v>444</v>
      </c>
      <c r="BH120" s="1179">
        <f>Q_IS!BH62</f>
        <v>437</v>
      </c>
      <c r="BI120" s="1179">
        <f>Q_IS!BI62</f>
        <v>436</v>
      </c>
      <c r="BJ120" s="1179">
        <f>Q_IS!BJ62</f>
        <v>397</v>
      </c>
      <c r="BK120" s="1179">
        <f>Q_IS!BK62</f>
        <v>394</v>
      </c>
      <c r="BL120" s="1179">
        <f>Q_IS!BL62</f>
        <v>374</v>
      </c>
      <c r="BM120" s="1179">
        <f>Q_IS!BM62</f>
        <v>366</v>
      </c>
      <c r="BN120" s="1179">
        <f>Q_IS!BN62</f>
        <v>381</v>
      </c>
      <c r="BO120" s="1179">
        <f>Q_IS!BO62</f>
        <v>380</v>
      </c>
      <c r="BP120" s="1179">
        <f>Q_IS!BP62</f>
        <v>384</v>
      </c>
      <c r="BQ120" s="1263">
        <f>Q_IS!BQ62</f>
        <v>338</v>
      </c>
      <c r="BR120" s="1179">
        <f>Q_IS!BR62</f>
        <v>296</v>
      </c>
      <c r="BS120" s="1179">
        <f>Q_IS!BS62</f>
        <v>298</v>
      </c>
      <c r="BT120" s="1179">
        <f>Q_IS!BT62</f>
        <v>291</v>
      </c>
      <c r="BU120" s="1263">
        <f>Q_IS!BU62</f>
        <v>284</v>
      </c>
      <c r="BV120" s="1179">
        <f>Q_IS!BV62</f>
        <v>292</v>
      </c>
      <c r="BW120" s="1179">
        <f>Q_IS!BW62</f>
        <v>285</v>
      </c>
      <c r="BX120" s="1179">
        <f>Q_IS!BX62</f>
        <v>283</v>
      </c>
      <c r="BY120" s="1263">
        <f>Q_IS!BY62</f>
        <v>279</v>
      </c>
      <c r="BZ120" s="1179">
        <f>Q_IS!BZ62</f>
        <v>272</v>
      </c>
      <c r="CA120" s="1179">
        <f>Q_IS!CA62</f>
        <v>270</v>
      </c>
      <c r="CB120" s="1179">
        <f>Q_IS!CB62</f>
        <v>263</v>
      </c>
      <c r="CC120" s="1179">
        <f>Q_IS!CC62</f>
        <v>264</v>
      </c>
      <c r="CD120" s="1267">
        <f>Q_IS!CD62</f>
        <v>260</v>
      </c>
      <c r="CE120" s="1226">
        <f>Q_IS!CE62</f>
        <v>276</v>
      </c>
      <c r="CF120" s="1226">
        <f>Q_IS!CF62</f>
        <v>274</v>
      </c>
      <c r="CG120" s="1226">
        <f>Q_IS!CG62</f>
        <v>279</v>
      </c>
      <c r="CH120" s="1267">
        <f>Q_IS!CH62</f>
        <v>279</v>
      </c>
      <c r="CI120" s="1226">
        <f>Q_IS!CI62</f>
        <v>265</v>
      </c>
      <c r="CJ120" s="1226">
        <f>Q_IS!CJ62</f>
        <v>255</v>
      </c>
      <c r="CK120" s="1226">
        <f>Q_IS!CK62</f>
        <v>240</v>
      </c>
      <c r="CL120" s="1267">
        <f>Q_IS!CL62</f>
        <v>227</v>
      </c>
      <c r="CM120" s="1170"/>
      <c r="CN120" s="1170"/>
      <c r="CO120" s="1170"/>
      <c r="CP120" s="1170"/>
      <c r="CQ120" s="1170"/>
      <c r="CR120" s="1170"/>
      <c r="CS120" s="1170"/>
      <c r="CT120" s="1198"/>
      <c r="CU120" s="1198"/>
    </row>
    <row r="121" spans="1:99" ht="12.75" customHeight="1">
      <c r="A121" s="1225" t="s">
        <v>34</v>
      </c>
      <c r="B121" s="1198"/>
      <c r="C121" s="1198"/>
      <c r="D121" s="1198"/>
      <c r="E121" s="1198"/>
      <c r="F121" s="1226"/>
      <c r="G121" s="1227"/>
      <c r="H121" s="1227"/>
      <c r="I121" s="1227"/>
      <c r="J121" s="1227"/>
      <c r="K121" s="1227">
        <f t="shared" ref="K121:S121" si="110">K120/J120-1</f>
        <v>-1.7887087758524323E-2</v>
      </c>
      <c r="L121" s="1227">
        <f t="shared" si="110"/>
        <v>-0.12862834376778598</v>
      </c>
      <c r="M121" s="1227">
        <f t="shared" si="110"/>
        <v>-3.1352057478772011E-2</v>
      </c>
      <c r="N121" s="1227">
        <f t="shared" si="110"/>
        <v>-0.21173297370195554</v>
      </c>
      <c r="O121" s="1229">
        <f t="shared" si="110"/>
        <v>-2.5662959794696349E-2</v>
      </c>
      <c r="P121" s="1230">
        <f>P120/O120-1</f>
        <v>-6.1457418788410934E-2</v>
      </c>
      <c r="Q121" s="1227">
        <f>Q120/P120-1</f>
        <v>1.8709073900841977E-2</v>
      </c>
      <c r="R121" s="1229">
        <f>R120/Q120-1</f>
        <v>-4.5913682277318624E-2</v>
      </c>
      <c r="S121" s="1227">
        <f t="shared" si="110"/>
        <v>-0.7815206929740135</v>
      </c>
      <c r="T121" s="1507"/>
      <c r="U121" s="1507"/>
      <c r="V121" s="1507"/>
      <c r="W121" s="1507"/>
      <c r="X121" s="1282"/>
      <c r="Y121" s="1282"/>
      <c r="Z121" s="1282"/>
      <c r="AA121" s="1282"/>
      <c r="AB121" s="1282"/>
      <c r="AC121" s="1282"/>
      <c r="AD121" s="1282"/>
      <c r="AE121" s="1282"/>
      <c r="AF121" s="1282"/>
      <c r="AG121" s="1517"/>
      <c r="AH121" s="1179"/>
      <c r="AI121" s="1179"/>
      <c r="AJ121" s="1179"/>
      <c r="AK121" s="1179"/>
      <c r="AL121" s="1179"/>
      <c r="AM121" s="1179"/>
      <c r="AN121" s="1179"/>
      <c r="AO121" s="1179"/>
      <c r="AP121" s="1229"/>
      <c r="AQ121" s="1229"/>
      <c r="AR121" s="1229"/>
      <c r="AS121" s="1229"/>
      <c r="AT121" s="1229"/>
      <c r="AU121" s="1229"/>
      <c r="AV121" s="1229"/>
      <c r="AW121" s="1229"/>
      <c r="AX121" s="1229"/>
      <c r="AY121" s="1229"/>
      <c r="AZ121" s="1229"/>
      <c r="BA121" s="1229"/>
      <c r="BB121" s="1229" t="e">
        <f t="shared" ref="BB121:CC121" si="111">BB120/AX120-1</f>
        <v>#DIV/0!</v>
      </c>
      <c r="BC121" s="1229" t="e">
        <f t="shared" si="111"/>
        <v>#DIV/0!</v>
      </c>
      <c r="BD121" s="1229" t="e">
        <f t="shared" si="111"/>
        <v>#DIV/0!</v>
      </c>
      <c r="BE121" s="1229" t="e">
        <f t="shared" si="111"/>
        <v>#DIV/0!</v>
      </c>
      <c r="BF121" s="1229">
        <f t="shared" si="111"/>
        <v>7.0559610705596132E-2</v>
      </c>
      <c r="BG121" s="1229">
        <f t="shared" si="111"/>
        <v>-1.3333333333333308E-2</v>
      </c>
      <c r="BH121" s="1229">
        <f t="shared" si="111"/>
        <v>-3.9560439560439531E-2</v>
      </c>
      <c r="BI121" s="1229">
        <f t="shared" si="111"/>
        <v>-5.8315334773218153E-2</v>
      </c>
      <c r="BJ121" s="1229">
        <f t="shared" si="111"/>
        <v>-9.7727272727272774E-2</v>
      </c>
      <c r="BK121" s="1229">
        <f t="shared" si="111"/>
        <v>-0.11261261261261257</v>
      </c>
      <c r="BL121" s="1229">
        <f t="shared" si="111"/>
        <v>-0.14416475972540044</v>
      </c>
      <c r="BM121" s="1229">
        <f t="shared" si="111"/>
        <v>-0.16055045871559637</v>
      </c>
      <c r="BN121" s="1229">
        <f t="shared" si="111"/>
        <v>-4.0302267002518932E-2</v>
      </c>
      <c r="BO121" s="1229">
        <f t="shared" si="111"/>
        <v>-3.5532994923857864E-2</v>
      </c>
      <c r="BP121" s="1229">
        <f t="shared" si="111"/>
        <v>2.673796791443861E-2</v>
      </c>
      <c r="BQ121" s="1230">
        <f t="shared" si="111"/>
        <v>-7.6502732240437132E-2</v>
      </c>
      <c r="BR121" s="1229">
        <f t="shared" si="111"/>
        <v>-0.2230971128608924</v>
      </c>
      <c r="BS121" s="1229">
        <f t="shared" si="111"/>
        <v>-0.21578947368421053</v>
      </c>
      <c r="BT121" s="1229">
        <f t="shared" si="111"/>
        <v>-0.2421875</v>
      </c>
      <c r="BU121" s="1230">
        <f t="shared" si="111"/>
        <v>-0.15976331360946749</v>
      </c>
      <c r="BV121" s="1229">
        <f t="shared" si="111"/>
        <v>-1.3513513513513487E-2</v>
      </c>
      <c r="BW121" s="1229">
        <f t="shared" si="111"/>
        <v>-4.3624161073825496E-2</v>
      </c>
      <c r="BX121" s="1229">
        <f t="shared" si="111"/>
        <v>-2.7491408934707917E-2</v>
      </c>
      <c r="BY121" s="1230">
        <f t="shared" si="111"/>
        <v>-1.7605633802816878E-2</v>
      </c>
      <c r="BZ121" s="1229">
        <f t="shared" si="111"/>
        <v>-6.8493150684931559E-2</v>
      </c>
      <c r="CA121" s="1229">
        <f t="shared" si="111"/>
        <v>-5.2631578947368474E-2</v>
      </c>
      <c r="CB121" s="1229">
        <f t="shared" si="111"/>
        <v>-7.0671378091872739E-2</v>
      </c>
      <c r="CC121" s="1229">
        <f t="shared" si="111"/>
        <v>-5.3763440860215006E-2</v>
      </c>
      <c r="CD121" s="1231">
        <f t="shared" ref="CD121:CK121" si="112">CD120/BZ120-1</f>
        <v>-4.4117647058823484E-2</v>
      </c>
      <c r="CE121" s="1227">
        <f t="shared" si="112"/>
        <v>2.2222222222222143E-2</v>
      </c>
      <c r="CF121" s="1227">
        <f t="shared" si="112"/>
        <v>4.1825095057034245E-2</v>
      </c>
      <c r="CG121" s="1227">
        <f t="shared" si="112"/>
        <v>5.6818181818181879E-2</v>
      </c>
      <c r="CH121" s="1231">
        <f t="shared" si="112"/>
        <v>7.3076923076923039E-2</v>
      </c>
      <c r="CI121" s="1227">
        <f t="shared" si="112"/>
        <v>-3.9855072463768071E-2</v>
      </c>
      <c r="CJ121" s="1227">
        <f t="shared" si="112"/>
        <v>-6.9343065693430628E-2</v>
      </c>
      <c r="CK121" s="1227">
        <f t="shared" si="112"/>
        <v>-0.13978494623655913</v>
      </c>
      <c r="CL121" s="1231">
        <f>CL120/CH120-1</f>
        <v>-0.18637992831541217</v>
      </c>
      <c r="CM121" s="1170"/>
      <c r="CN121" s="1170"/>
      <c r="CO121" s="1170"/>
      <c r="CP121" s="1170"/>
      <c r="CQ121" s="1170"/>
      <c r="CR121" s="1170"/>
      <c r="CS121" s="1170"/>
      <c r="CT121" s="1198"/>
      <c r="CU121" s="1198"/>
    </row>
    <row r="122" spans="1:99" ht="12.75" customHeight="1">
      <c r="A122" s="1225" t="s">
        <v>255</v>
      </c>
      <c r="B122" s="1198"/>
      <c r="C122" s="1198"/>
      <c r="D122" s="1198"/>
      <c r="E122" s="1198"/>
      <c r="F122" s="1226"/>
      <c r="G122" s="1227"/>
      <c r="H122" s="1227"/>
      <c r="I122" s="1227"/>
      <c r="J122" s="1227"/>
      <c r="K122" s="1227"/>
      <c r="L122" s="1227"/>
      <c r="M122" s="1227"/>
      <c r="N122" s="1227"/>
      <c r="O122" s="1229"/>
      <c r="P122" s="1230"/>
      <c r="Q122" s="1227"/>
      <c r="R122" s="1229"/>
      <c r="S122" s="1227"/>
      <c r="T122" s="1507"/>
      <c r="U122" s="1507"/>
      <c r="V122" s="1507"/>
      <c r="W122" s="1507"/>
      <c r="X122" s="1282"/>
      <c r="Y122" s="1282"/>
      <c r="Z122" s="1282"/>
      <c r="AA122" s="1282"/>
      <c r="AB122" s="1282"/>
      <c r="AC122" s="1282"/>
      <c r="AD122" s="1282"/>
      <c r="AE122" s="1282"/>
      <c r="AF122" s="1282"/>
      <c r="AG122" s="1517"/>
      <c r="AH122" s="1179"/>
      <c r="AI122" s="1179"/>
      <c r="AJ122" s="1179"/>
      <c r="AK122" s="1179"/>
      <c r="AL122" s="1179"/>
      <c r="AM122" s="1179"/>
      <c r="AN122" s="1179"/>
      <c r="AO122" s="117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30"/>
      <c r="BR122" s="1229"/>
      <c r="BS122" s="1229"/>
      <c r="BT122" s="1229"/>
      <c r="BU122" s="1230"/>
      <c r="BV122" s="1229"/>
      <c r="BW122" s="1229"/>
      <c r="BX122" s="1229"/>
      <c r="BY122" s="1230"/>
      <c r="BZ122" s="1229"/>
      <c r="CA122" s="1229"/>
      <c r="CB122" s="1229"/>
      <c r="CC122" s="1229"/>
      <c r="CD122" s="1231"/>
      <c r="CE122" s="1227"/>
      <c r="CF122" s="1227"/>
      <c r="CG122" s="1227"/>
      <c r="CH122" s="1231"/>
      <c r="CI122" s="1227"/>
      <c r="CJ122" s="1227"/>
      <c r="CK122" s="1227"/>
      <c r="CL122" s="1231"/>
      <c r="CM122" s="1170"/>
      <c r="CN122" s="1170"/>
      <c r="CO122" s="1170"/>
      <c r="CP122" s="1170"/>
      <c r="CQ122" s="1170"/>
      <c r="CR122" s="1170"/>
      <c r="CS122" s="1170"/>
      <c r="CT122" s="1198"/>
      <c r="CU122" s="1198"/>
    </row>
    <row r="123" spans="1:99" ht="12.75" customHeight="1">
      <c r="A123" s="1225"/>
      <c r="B123" s="1198"/>
      <c r="C123" s="1198"/>
      <c r="D123" s="1198"/>
      <c r="E123" s="1198"/>
      <c r="F123" s="1226"/>
      <c r="G123" s="1227"/>
      <c r="H123" s="1227"/>
      <c r="I123" s="1227"/>
      <c r="J123" s="1227"/>
      <c r="K123" s="1227"/>
      <c r="L123" s="1227"/>
      <c r="M123" s="1227"/>
      <c r="N123" s="1227"/>
      <c r="O123" s="1229"/>
      <c r="P123" s="1230"/>
      <c r="Q123" s="1227"/>
      <c r="R123" s="1229"/>
      <c r="S123" s="1227"/>
      <c r="T123" s="1507"/>
      <c r="U123" s="1507"/>
      <c r="V123" s="1507"/>
      <c r="W123" s="1507"/>
      <c r="X123" s="1282"/>
      <c r="Y123" s="1282"/>
      <c r="Z123" s="1282"/>
      <c r="AA123" s="1282"/>
      <c r="AB123" s="1282"/>
      <c r="AC123" s="1282"/>
      <c r="AD123" s="1282"/>
      <c r="AE123" s="1282"/>
      <c r="AF123" s="1282"/>
      <c r="AG123" s="1517"/>
      <c r="AH123" s="1179"/>
      <c r="AI123" s="1179"/>
      <c r="AJ123" s="1179"/>
      <c r="AK123" s="1179"/>
      <c r="AL123" s="1179"/>
      <c r="AM123" s="1179"/>
      <c r="AN123" s="1179"/>
      <c r="AO123" s="117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30"/>
      <c r="BR123" s="1229"/>
      <c r="BS123" s="1229"/>
      <c r="BT123" s="1229"/>
      <c r="BU123" s="1230"/>
      <c r="BV123" s="1229"/>
      <c r="BW123" s="1229"/>
      <c r="BX123" s="1229"/>
      <c r="BY123" s="1230"/>
      <c r="BZ123" s="1229"/>
      <c r="CA123" s="1229"/>
      <c r="CB123" s="1229"/>
      <c r="CC123" s="1229"/>
      <c r="CD123" s="1231"/>
      <c r="CE123" s="1227"/>
      <c r="CF123" s="1227"/>
      <c r="CG123" s="1227"/>
      <c r="CH123" s="1231"/>
      <c r="CI123" s="1227"/>
      <c r="CJ123" s="1227"/>
      <c r="CK123" s="1227"/>
      <c r="CL123" s="1231"/>
      <c r="CM123" s="1170"/>
      <c r="CN123" s="1170"/>
      <c r="CO123" s="1170"/>
      <c r="CP123" s="1170"/>
      <c r="CQ123" s="1170"/>
      <c r="CR123" s="1170"/>
      <c r="CS123" s="1170"/>
      <c r="CT123" s="1198"/>
      <c r="CU123" s="1198"/>
    </row>
    <row r="124" spans="1:99" ht="12.75" customHeight="1">
      <c r="A124" s="1569" t="s">
        <v>591</v>
      </c>
      <c r="B124" s="1569" t="s">
        <v>625</v>
      </c>
      <c r="C124" s="1569" t="s">
        <v>626</v>
      </c>
      <c r="D124" s="1569"/>
      <c r="E124" s="1569"/>
      <c r="F124" s="1570"/>
      <c r="G124" s="1571"/>
      <c r="H124" s="1571"/>
      <c r="I124" s="1571"/>
      <c r="J124" s="1571"/>
      <c r="K124" s="1571"/>
      <c r="L124" s="1571"/>
      <c r="M124" s="1571"/>
      <c r="N124" s="1571"/>
      <c r="O124" s="1572"/>
      <c r="P124" s="1573"/>
      <c r="Q124" s="1571"/>
      <c r="R124" s="1572"/>
      <c r="S124" s="1571"/>
      <c r="T124" s="1507"/>
      <c r="U124" s="1507"/>
      <c r="V124" s="1507"/>
      <c r="W124" s="1507"/>
      <c r="X124" s="1282"/>
      <c r="Y124" s="1282"/>
      <c r="Z124" s="1282"/>
      <c r="AA124" s="1282"/>
      <c r="AB124" s="1282"/>
      <c r="AC124" s="1282"/>
      <c r="AD124" s="1282"/>
      <c r="AE124" s="1282"/>
      <c r="AF124" s="1282"/>
      <c r="AG124" s="1517"/>
      <c r="AH124" s="1179"/>
      <c r="AI124" s="1179"/>
      <c r="AJ124" s="1179"/>
      <c r="AK124" s="1179"/>
      <c r="AL124" s="1179"/>
      <c r="AM124" s="1179"/>
      <c r="AN124" s="1179"/>
      <c r="AO124" s="117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30"/>
      <c r="BR124" s="1229"/>
      <c r="BS124" s="1229"/>
      <c r="BT124" s="1229"/>
      <c r="BU124" s="1230"/>
      <c r="BV124" s="1229"/>
      <c r="BW124" s="1229"/>
      <c r="BX124" s="1229"/>
      <c r="BY124" s="1230"/>
      <c r="BZ124" s="1572"/>
      <c r="CA124" s="1572"/>
      <c r="CB124" s="1572"/>
      <c r="CC124" s="1572"/>
      <c r="CD124" s="1574"/>
      <c r="CE124" s="1571"/>
      <c r="CF124" s="1571"/>
      <c r="CG124" s="1571"/>
      <c r="CH124" s="1574"/>
      <c r="CI124" s="1571"/>
      <c r="CJ124" s="1571"/>
      <c r="CK124" s="1571"/>
      <c r="CL124" s="1574"/>
      <c r="CM124" s="1170"/>
      <c r="CN124" s="1170"/>
      <c r="CO124" s="1170"/>
      <c r="CP124" s="1170"/>
      <c r="CQ124" s="1170"/>
      <c r="CR124" s="1170"/>
      <c r="CS124" s="1170"/>
      <c r="CT124" s="1198"/>
      <c r="CU124" s="1198"/>
    </row>
    <row r="125" spans="1:99" ht="12.75" customHeight="1">
      <c r="A125" s="1575" t="str">
        <f>A172</f>
        <v>Senior Floating Rate Notes (L+350)</v>
      </c>
      <c r="B125" s="1576">
        <v>5.6487500000000003E-2</v>
      </c>
      <c r="C125" s="1198"/>
      <c r="D125" s="1198"/>
      <c r="E125" s="1198"/>
      <c r="F125" s="1226"/>
      <c r="G125" s="1227"/>
      <c r="H125" s="1227"/>
      <c r="I125" s="1227"/>
      <c r="J125" s="1227"/>
      <c r="K125" s="1227"/>
      <c r="L125" s="1227"/>
      <c r="M125" s="1227"/>
      <c r="N125" s="1227"/>
      <c r="O125" s="1229"/>
      <c r="P125" s="1230"/>
      <c r="Q125" s="1305">
        <f t="shared" ref="Q125:Q130" si="113">SUM(CD125:CG125)</f>
        <v>0.14437891180555557</v>
      </c>
      <c r="R125" s="1303">
        <f t="shared" ref="R125:R130" si="114">SUM(CH125:CK125)</f>
        <v>0</v>
      </c>
      <c r="S125" s="1303">
        <f>$B125*AVERAGE(S173,S175)</f>
        <v>0</v>
      </c>
      <c r="T125" s="1507"/>
      <c r="U125" s="1507"/>
      <c r="V125" s="1507"/>
      <c r="W125" s="1507"/>
      <c r="X125" s="1282"/>
      <c r="Y125" s="1282"/>
      <c r="Z125" s="1282"/>
      <c r="AA125" s="1282"/>
      <c r="AB125" s="1282"/>
      <c r="AC125" s="1282"/>
      <c r="AD125" s="1282"/>
      <c r="AE125" s="1282"/>
      <c r="AF125" s="1282"/>
      <c r="AG125" s="1517"/>
      <c r="AH125" s="1179"/>
      <c r="AI125" s="1179"/>
      <c r="AJ125" s="1179"/>
      <c r="AK125" s="1179"/>
      <c r="AL125" s="1179"/>
      <c r="AM125" s="1179"/>
      <c r="AN125" s="1179"/>
      <c r="AO125" s="117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30"/>
      <c r="BR125" s="1229"/>
      <c r="BS125" s="1229"/>
      <c r="BT125" s="1229"/>
      <c r="BU125" s="1230"/>
      <c r="BV125" s="1229"/>
      <c r="BW125" s="1229"/>
      <c r="BX125" s="1229"/>
      <c r="BY125" s="1230"/>
      <c r="BZ125" s="1229"/>
      <c r="CA125" s="1229"/>
      <c r="CB125" s="1229"/>
      <c r="CC125" s="1229"/>
      <c r="CD125" s="1305">
        <f t="shared" ref="CD125:CK125" si="115">$B125*AVERAGE(CD173,CD175)*2/90</f>
        <v>0.14437891180555557</v>
      </c>
      <c r="CE125" s="1302">
        <f t="shared" si="115"/>
        <v>0</v>
      </c>
      <c r="CF125" s="1302">
        <f t="shared" si="115"/>
        <v>0</v>
      </c>
      <c r="CG125" s="1302">
        <f t="shared" si="115"/>
        <v>0</v>
      </c>
      <c r="CH125" s="1305">
        <f t="shared" si="115"/>
        <v>0</v>
      </c>
      <c r="CI125" s="1302">
        <f t="shared" si="115"/>
        <v>0</v>
      </c>
      <c r="CJ125" s="1302">
        <f t="shared" si="115"/>
        <v>0</v>
      </c>
      <c r="CK125" s="1302">
        <f t="shared" si="115"/>
        <v>0</v>
      </c>
      <c r="CL125" s="1305">
        <f>$B125*AVERAGE(CL173,CL175)*2/90</f>
        <v>0</v>
      </c>
      <c r="CM125" s="1170"/>
      <c r="CN125" s="1170"/>
      <c r="CO125" s="1170"/>
      <c r="CP125" s="1170"/>
      <c r="CQ125" s="1170"/>
      <c r="CR125" s="1170"/>
      <c r="CS125" s="1170"/>
      <c r="CT125" s="1198"/>
      <c r="CU125" s="1198"/>
    </row>
    <row r="126" spans="1:99" ht="12.75" customHeight="1">
      <c r="A126" s="1575" t="str">
        <f>A177</f>
        <v>Senior Notes (7.25%)</v>
      </c>
      <c r="B126" s="1576">
        <v>7.2499999999999995E-2</v>
      </c>
      <c r="C126" s="1576">
        <v>0.09</v>
      </c>
      <c r="D126" s="1198"/>
      <c r="E126" s="1198"/>
      <c r="F126" s="1226"/>
      <c r="G126" s="1227"/>
      <c r="H126" s="1227"/>
      <c r="I126" s="1227"/>
      <c r="J126" s="1227"/>
      <c r="K126" s="1227"/>
      <c r="L126" s="1227"/>
      <c r="M126" s="1227"/>
      <c r="N126" s="1227"/>
      <c r="O126" s="1229"/>
      <c r="P126" s="1230"/>
      <c r="Q126" s="1305">
        <f t="shared" si="113"/>
        <v>37.958219178082189</v>
      </c>
      <c r="R126" s="1303">
        <f t="shared" si="114"/>
        <v>37.958219178082189</v>
      </c>
      <c r="S126" s="1577">
        <f>$C126*AVERAGE(S178,S180)</f>
        <v>47.25</v>
      </c>
      <c r="T126" s="1507"/>
      <c r="U126" s="1507"/>
      <c r="V126" s="1507"/>
      <c r="W126" s="1507"/>
      <c r="X126" s="1282"/>
      <c r="Y126" s="1282"/>
      <c r="Z126" s="1282"/>
      <c r="AA126" s="1282"/>
      <c r="AB126" s="1282"/>
      <c r="AC126" s="1282"/>
      <c r="AD126" s="1282"/>
      <c r="AE126" s="1282"/>
      <c r="AF126" s="1282"/>
      <c r="AG126" s="1517"/>
      <c r="AH126" s="1179"/>
      <c r="AI126" s="1179"/>
      <c r="AJ126" s="1179"/>
      <c r="AK126" s="1179"/>
      <c r="AL126" s="1179"/>
      <c r="AM126" s="1179"/>
      <c r="AN126" s="1179"/>
      <c r="AO126" s="117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30"/>
      <c r="BR126" s="1229"/>
      <c r="BS126" s="1229"/>
      <c r="BT126" s="1229"/>
      <c r="BU126" s="1230"/>
      <c r="BV126" s="1229"/>
      <c r="BW126" s="1229"/>
      <c r="BX126" s="1229"/>
      <c r="BY126" s="1230"/>
      <c r="BZ126" s="1229"/>
      <c r="CA126" s="1229"/>
      <c r="CB126" s="1229"/>
      <c r="CC126" s="1229"/>
      <c r="CD126" s="1305">
        <f t="shared" ref="CD126:CK126" si="116">$B126*AVERAGE(CD178,CD180)*91/365</f>
        <v>9.4895547945205472</v>
      </c>
      <c r="CE126" s="1302">
        <f t="shared" si="116"/>
        <v>9.4895547945205472</v>
      </c>
      <c r="CF126" s="1302">
        <f t="shared" si="116"/>
        <v>9.4895547945205472</v>
      </c>
      <c r="CG126" s="1302">
        <f t="shared" si="116"/>
        <v>9.4895547945205472</v>
      </c>
      <c r="CH126" s="1305">
        <f t="shared" si="116"/>
        <v>9.4895547945205472</v>
      </c>
      <c r="CI126" s="1302">
        <f t="shared" si="116"/>
        <v>9.4895547945205472</v>
      </c>
      <c r="CJ126" s="1302">
        <f t="shared" si="116"/>
        <v>9.4895547945205472</v>
      </c>
      <c r="CK126" s="1302">
        <f t="shared" si="116"/>
        <v>9.4895547945205472</v>
      </c>
      <c r="CL126" s="1305">
        <f>$B126*AVERAGE(CL178,CL180)*91/365</f>
        <v>9.4895547945205472</v>
      </c>
      <c r="CM126" s="1170"/>
      <c r="CN126" s="1170"/>
      <c r="CO126" s="1170"/>
      <c r="CP126" s="1170"/>
      <c r="CQ126" s="1170"/>
      <c r="CR126" s="1170"/>
      <c r="CS126" s="1170"/>
      <c r="CT126" s="1198"/>
      <c r="CU126" s="1198"/>
    </row>
    <row r="127" spans="1:99" ht="12.75" customHeight="1">
      <c r="A127" s="1575" t="str">
        <f>A182</f>
        <v>Senior Notes (7.50%)</v>
      </c>
      <c r="B127" s="1576">
        <v>7.4999999999999997E-2</v>
      </c>
      <c r="C127" s="1576">
        <v>0.09</v>
      </c>
      <c r="D127" s="1198"/>
      <c r="E127" s="1198"/>
      <c r="F127" s="1226"/>
      <c r="G127" s="1227"/>
      <c r="H127" s="1227"/>
      <c r="I127" s="1227"/>
      <c r="J127" s="1227"/>
      <c r="K127" s="1227"/>
      <c r="L127" s="1227"/>
      <c r="M127" s="1227"/>
      <c r="N127" s="1227"/>
      <c r="O127" s="1229"/>
      <c r="P127" s="1230"/>
      <c r="Q127" s="1305">
        <f t="shared" si="113"/>
        <v>97.232876712328761</v>
      </c>
      <c r="R127" s="1303">
        <f t="shared" si="114"/>
        <v>97.232876712328761</v>
      </c>
      <c r="S127" s="1303">
        <f>$B127*AVERAGE(S183,S185)</f>
        <v>97.5</v>
      </c>
      <c r="T127" s="1507"/>
      <c r="U127" s="1507"/>
      <c r="V127" s="1507"/>
      <c r="W127" s="1507"/>
      <c r="X127" s="1282"/>
      <c r="Y127" s="1282"/>
      <c r="Z127" s="1282"/>
      <c r="AA127" s="1282"/>
      <c r="AB127" s="1282"/>
      <c r="AC127" s="1282"/>
      <c r="AD127" s="1282"/>
      <c r="AE127" s="1282"/>
      <c r="AF127" s="1282"/>
      <c r="AG127" s="1517"/>
      <c r="AH127" s="1179"/>
      <c r="AI127" s="1179"/>
      <c r="AJ127" s="1179"/>
      <c r="AK127" s="1179"/>
      <c r="AL127" s="1179"/>
      <c r="AM127" s="1179"/>
      <c r="AN127" s="1179"/>
      <c r="AO127" s="117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30"/>
      <c r="BR127" s="1229"/>
      <c r="BS127" s="1229"/>
      <c r="BT127" s="1229"/>
      <c r="BU127" s="1230"/>
      <c r="BV127" s="1229"/>
      <c r="BW127" s="1229"/>
      <c r="BX127" s="1229"/>
      <c r="BY127" s="1230"/>
      <c r="BZ127" s="1229"/>
      <c r="CA127" s="1229"/>
      <c r="CB127" s="1229"/>
      <c r="CC127" s="1229"/>
      <c r="CD127" s="1305">
        <f t="shared" ref="CD127:CK127" si="117">$B127*AVERAGE(CD183,CD185)*91/365</f>
        <v>24.30821917808219</v>
      </c>
      <c r="CE127" s="1302">
        <f t="shared" si="117"/>
        <v>24.30821917808219</v>
      </c>
      <c r="CF127" s="1302">
        <f t="shared" si="117"/>
        <v>24.30821917808219</v>
      </c>
      <c r="CG127" s="1302">
        <f t="shared" si="117"/>
        <v>24.30821917808219</v>
      </c>
      <c r="CH127" s="1305">
        <f t="shared" si="117"/>
        <v>24.30821917808219</v>
      </c>
      <c r="CI127" s="1302">
        <f t="shared" si="117"/>
        <v>24.30821917808219</v>
      </c>
      <c r="CJ127" s="1302">
        <f t="shared" si="117"/>
        <v>24.30821917808219</v>
      </c>
      <c r="CK127" s="1302">
        <f t="shared" si="117"/>
        <v>24.30821917808219</v>
      </c>
      <c r="CL127" s="1305">
        <f>$B127*AVERAGE(CL183,CL185)*91/365</f>
        <v>24.30821917808219</v>
      </c>
      <c r="CM127" s="1170"/>
      <c r="CN127" s="1170"/>
      <c r="CO127" s="1170"/>
      <c r="CP127" s="1170"/>
      <c r="CQ127" s="1170"/>
      <c r="CR127" s="1170"/>
      <c r="CS127" s="1170"/>
      <c r="CT127" s="1198"/>
      <c r="CU127" s="1198"/>
    </row>
    <row r="128" spans="1:99" ht="12.75" customHeight="1">
      <c r="A128" s="1575" t="str">
        <f>A187</f>
        <v>Convertible Senior Notes (3.50%)</v>
      </c>
      <c r="B128" s="1576">
        <v>3.5000000000000003E-2</v>
      </c>
      <c r="C128" s="1576">
        <v>0.1</v>
      </c>
      <c r="D128" s="1198"/>
      <c r="E128" s="1198"/>
      <c r="F128" s="1226"/>
      <c r="G128" s="1227"/>
      <c r="H128" s="1227"/>
      <c r="I128" s="1227"/>
      <c r="J128" s="1227"/>
      <c r="K128" s="1227"/>
      <c r="L128" s="1227"/>
      <c r="M128" s="1227"/>
      <c r="N128" s="1227"/>
      <c r="O128" s="1229"/>
      <c r="P128" s="1229"/>
      <c r="Q128" s="1578">
        <f t="shared" si="113"/>
        <v>44.153698630136994</v>
      </c>
      <c r="R128" s="1577">
        <f t="shared" si="114"/>
        <v>85.153561643835616</v>
      </c>
      <c r="S128" s="1303">
        <f>$C128*AVERAGE(S188,S190)</f>
        <v>126.5</v>
      </c>
      <c r="T128" s="1507"/>
      <c r="U128" s="1507"/>
      <c r="V128" s="1507"/>
      <c r="W128" s="1507"/>
      <c r="X128" s="1282"/>
      <c r="Y128" s="1282"/>
      <c r="Z128" s="1282"/>
      <c r="AA128" s="1282"/>
      <c r="AB128" s="1282"/>
      <c r="AC128" s="1282"/>
      <c r="AD128" s="1282"/>
      <c r="AE128" s="1282"/>
      <c r="AF128" s="1282"/>
      <c r="AG128" s="1517"/>
      <c r="AH128" s="1179"/>
      <c r="AI128" s="1179"/>
      <c r="AJ128" s="1179"/>
      <c r="AK128" s="1179"/>
      <c r="AL128" s="1179"/>
      <c r="AM128" s="1179"/>
      <c r="AN128" s="1179"/>
      <c r="AO128" s="117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30"/>
      <c r="BR128" s="1229"/>
      <c r="BS128" s="1229"/>
      <c r="BT128" s="1229"/>
      <c r="BU128" s="1230"/>
      <c r="BV128" s="1229"/>
      <c r="BW128" s="1229"/>
      <c r="BX128" s="1229"/>
      <c r="BY128" s="1230"/>
      <c r="BZ128" s="1229"/>
      <c r="CA128" s="1229"/>
      <c r="CB128" s="1229"/>
      <c r="CC128" s="1229"/>
      <c r="CD128" s="1305">
        <f t="shared" ref="CD128:CI128" si="118">$B128*AVERAGE(CD188,CD190)*91/365</f>
        <v>11.038424657534248</v>
      </c>
      <c r="CE128" s="1302">
        <f t="shared" si="118"/>
        <v>11.038424657534248</v>
      </c>
      <c r="CF128" s="1302">
        <f t="shared" si="118"/>
        <v>11.038424657534248</v>
      </c>
      <c r="CG128" s="1302">
        <f t="shared" si="118"/>
        <v>11.038424657534248</v>
      </c>
      <c r="CH128" s="1305">
        <f t="shared" si="118"/>
        <v>11.038424657534248</v>
      </c>
      <c r="CI128" s="1302">
        <f t="shared" si="118"/>
        <v>11.038424657534248</v>
      </c>
      <c r="CJ128" s="1302">
        <f>$C128*AVERAGE(CJ188,CJ190)*91/365</f>
        <v>31.538356164383561</v>
      </c>
      <c r="CK128" s="1302">
        <f>$C128*AVERAGE(CK188,CK190)*91/365</f>
        <v>31.538356164383561</v>
      </c>
      <c r="CL128" s="1305">
        <f>$C128*AVERAGE(CL188,CL190)*91/365</f>
        <v>31.538356164383561</v>
      </c>
      <c r="CM128" s="1170"/>
      <c r="CN128" s="1170"/>
      <c r="CO128" s="1170"/>
      <c r="CP128" s="1170"/>
      <c r="CQ128" s="1170"/>
      <c r="CR128" s="1170"/>
      <c r="CS128" s="1170"/>
      <c r="CT128" s="1198"/>
      <c r="CU128" s="1198"/>
    </row>
    <row r="129" spans="1:99" ht="12.75" customHeight="1">
      <c r="A129" s="1575" t="str">
        <f>A192</f>
        <v>Notes (8.00%)</v>
      </c>
      <c r="B129" s="1576">
        <v>0.08</v>
      </c>
      <c r="C129" s="1198"/>
      <c r="D129" s="1198"/>
      <c r="E129" s="1198"/>
      <c r="F129" s="1226"/>
      <c r="G129" s="1227"/>
      <c r="H129" s="1227"/>
      <c r="I129" s="1227"/>
      <c r="J129" s="1227"/>
      <c r="K129" s="1227"/>
      <c r="L129" s="1227"/>
      <c r="M129" s="1227"/>
      <c r="N129" s="1227"/>
      <c r="O129" s="1229"/>
      <c r="P129" s="1230"/>
      <c r="Q129" s="1305">
        <f t="shared" si="113"/>
        <v>0</v>
      </c>
      <c r="R129" s="1303">
        <f t="shared" si="114"/>
        <v>43.397260273972606</v>
      </c>
      <c r="S129" s="1303">
        <f>$B129*AVERAGE(S193,S195)</f>
        <v>44</v>
      </c>
      <c r="T129" s="1507"/>
      <c r="U129" s="1507"/>
      <c r="V129" s="1507"/>
      <c r="W129" s="1507"/>
      <c r="X129" s="1282"/>
      <c r="Y129" s="1282"/>
      <c r="Z129" s="1282"/>
      <c r="AA129" s="1282"/>
      <c r="AB129" s="1282"/>
      <c r="AC129" s="1282"/>
      <c r="AD129" s="1282"/>
      <c r="AE129" s="1282"/>
      <c r="AF129" s="1282"/>
      <c r="AG129" s="1517"/>
      <c r="AH129" s="1179"/>
      <c r="AI129" s="1179"/>
      <c r="AJ129" s="1179"/>
      <c r="AK129" s="1179"/>
      <c r="AL129" s="1179"/>
      <c r="AM129" s="1179"/>
      <c r="AN129" s="1179"/>
      <c r="AO129" s="117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30"/>
      <c r="BR129" s="1229"/>
      <c r="BS129" s="1229"/>
      <c r="BT129" s="1229"/>
      <c r="BU129" s="1230"/>
      <c r="BV129" s="1229"/>
      <c r="BW129" s="1229"/>
      <c r="BX129" s="1229"/>
      <c r="BY129" s="1230"/>
      <c r="BZ129" s="1229"/>
      <c r="CA129" s="1229"/>
      <c r="CB129" s="1229"/>
      <c r="CC129" s="1229"/>
      <c r="CD129" s="1305"/>
      <c r="CE129" s="1302"/>
      <c r="CF129" s="1302"/>
      <c r="CG129" s="1302"/>
      <c r="CH129" s="1305"/>
      <c r="CI129" s="1302">
        <f>$B129*AVERAGE(CI193,CI195)*180/365</f>
        <v>21.698630136986303</v>
      </c>
      <c r="CJ129" s="1302"/>
      <c r="CK129" s="1302">
        <f>$B129*AVERAGE(CK193,CK195)*180/365</f>
        <v>21.698630136986303</v>
      </c>
      <c r="CL129" s="1305">
        <f>$B129*AVERAGE(CL193,CL195)*180/365</f>
        <v>21.698630136986303</v>
      </c>
      <c r="CM129" s="1170"/>
      <c r="CN129" s="1170"/>
      <c r="CO129" s="1170"/>
      <c r="CP129" s="1170"/>
      <c r="CQ129" s="1170"/>
      <c r="CR129" s="1170"/>
      <c r="CS129" s="1170"/>
      <c r="CT129" s="1198"/>
      <c r="CU129" s="1198"/>
    </row>
    <row r="130" spans="1:99" ht="12.75" customHeight="1">
      <c r="A130" s="1469" t="str">
        <f>A196</f>
        <v>TOTAL</v>
      </c>
      <c r="B130" s="1198"/>
      <c r="C130" s="1198"/>
      <c r="D130" s="1198"/>
      <c r="E130" s="1198"/>
      <c r="F130" s="1226"/>
      <c r="G130" s="1227"/>
      <c r="H130" s="1227"/>
      <c r="I130" s="1227"/>
      <c r="J130" s="1227"/>
      <c r="K130" s="1227"/>
      <c r="L130" s="1227"/>
      <c r="M130" s="1227"/>
      <c r="N130" s="1227"/>
      <c r="O130" s="1229"/>
      <c r="P130" s="1230"/>
      <c r="Q130" s="1579">
        <f t="shared" si="113"/>
        <v>179.48917343235354</v>
      </c>
      <c r="R130" s="1579">
        <f t="shared" si="114"/>
        <v>263.74191780821917</v>
      </c>
      <c r="S130" s="1579">
        <f>SUM(S125:S129)</f>
        <v>315.25</v>
      </c>
      <c r="T130" s="1507"/>
      <c r="U130" s="1507"/>
      <c r="V130" s="1507"/>
      <c r="W130" s="1507"/>
      <c r="X130" s="1282"/>
      <c r="Y130" s="1282"/>
      <c r="Z130" s="1282"/>
      <c r="AA130" s="1282"/>
      <c r="AB130" s="1282"/>
      <c r="AC130" s="1282"/>
      <c r="AD130" s="1282"/>
      <c r="AE130" s="1282"/>
      <c r="AF130" s="1282"/>
      <c r="AG130" s="1517"/>
      <c r="AH130" s="1179"/>
      <c r="AI130" s="1179"/>
      <c r="AJ130" s="1179"/>
      <c r="AK130" s="1179"/>
      <c r="AL130" s="1179"/>
      <c r="AM130" s="1179"/>
      <c r="AN130" s="1179"/>
      <c r="AO130" s="117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30"/>
      <c r="BR130" s="1229"/>
      <c r="BS130" s="1229"/>
      <c r="BT130" s="1229"/>
      <c r="BU130" s="1230"/>
      <c r="BV130" s="1229"/>
      <c r="BW130" s="1229"/>
      <c r="BX130" s="1229"/>
      <c r="BY130" s="1230"/>
      <c r="BZ130" s="1229"/>
      <c r="CA130" s="1229"/>
      <c r="CB130" s="1229"/>
      <c r="CC130" s="1229"/>
      <c r="CD130" s="1311">
        <f>SUM(CD125:CD129)</f>
        <v>44.980577541942544</v>
      </c>
      <c r="CE130" s="1295">
        <f t="shared" ref="CE130:CK130" si="119">SUM(CE125:CE129)</f>
        <v>44.836198630136991</v>
      </c>
      <c r="CF130" s="1295">
        <f t="shared" si="119"/>
        <v>44.836198630136991</v>
      </c>
      <c r="CG130" s="1295">
        <f t="shared" si="119"/>
        <v>44.836198630136991</v>
      </c>
      <c r="CH130" s="1311">
        <f t="shared" si="119"/>
        <v>44.836198630136991</v>
      </c>
      <c r="CI130" s="1295">
        <f t="shared" si="119"/>
        <v>66.534828767123287</v>
      </c>
      <c r="CJ130" s="1295">
        <f t="shared" si="119"/>
        <v>65.336130136986299</v>
      </c>
      <c r="CK130" s="1295">
        <f t="shared" si="119"/>
        <v>87.034760273972609</v>
      </c>
      <c r="CL130" s="1311">
        <f>SUM(CL125:CL129)</f>
        <v>87.034760273972609</v>
      </c>
      <c r="CM130" s="1170"/>
      <c r="CN130" s="1170"/>
      <c r="CO130" s="1170"/>
      <c r="CP130" s="1170"/>
      <c r="CQ130" s="1170"/>
      <c r="CR130" s="1170"/>
      <c r="CS130" s="1170"/>
      <c r="CT130" s="1198"/>
      <c r="CU130" s="1198"/>
    </row>
    <row r="131" spans="1:99" ht="12.75" customHeight="1">
      <c r="A131" s="1569" t="str">
        <f>A201</f>
        <v>Qwest Capital Funding, Inc. (QCF)</v>
      </c>
      <c r="B131" s="1569" t="s">
        <v>625</v>
      </c>
      <c r="C131" s="1569" t="s">
        <v>626</v>
      </c>
      <c r="D131" s="1569"/>
      <c r="E131" s="1569"/>
      <c r="F131" s="1570"/>
      <c r="G131" s="1571"/>
      <c r="H131" s="1571"/>
      <c r="I131" s="1571"/>
      <c r="J131" s="1571"/>
      <c r="K131" s="1571"/>
      <c r="L131" s="1571"/>
      <c r="M131" s="1571"/>
      <c r="N131" s="1571"/>
      <c r="O131" s="1572"/>
      <c r="P131" s="1573"/>
      <c r="Q131" s="1574"/>
      <c r="R131" s="1580"/>
      <c r="S131" s="1580"/>
      <c r="T131" s="1507"/>
      <c r="U131" s="1507"/>
      <c r="V131" s="1507"/>
      <c r="W131" s="1507"/>
      <c r="X131" s="1282"/>
      <c r="Y131" s="1282"/>
      <c r="Z131" s="1282"/>
      <c r="AA131" s="1282"/>
      <c r="AB131" s="1282"/>
      <c r="AC131" s="1282"/>
      <c r="AD131" s="1282"/>
      <c r="AE131" s="1282"/>
      <c r="AF131" s="1282"/>
      <c r="AG131" s="1517"/>
      <c r="AH131" s="1179"/>
      <c r="AI131" s="1179"/>
      <c r="AJ131" s="1179"/>
      <c r="AK131" s="1179"/>
      <c r="AL131" s="1179"/>
      <c r="AM131" s="1179"/>
      <c r="AN131" s="1179"/>
      <c r="AO131" s="117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30"/>
      <c r="BR131" s="1229"/>
      <c r="BS131" s="1229"/>
      <c r="BT131" s="1229"/>
      <c r="BU131" s="1230"/>
      <c r="BV131" s="1229"/>
      <c r="BW131" s="1229"/>
      <c r="BX131" s="1229"/>
      <c r="BY131" s="1230"/>
      <c r="BZ131" s="1572"/>
      <c r="CA131" s="1572"/>
      <c r="CB131" s="1572"/>
      <c r="CC131" s="1572"/>
      <c r="CD131" s="1581"/>
      <c r="CE131" s="1582"/>
      <c r="CF131" s="1582"/>
      <c r="CG131" s="1582"/>
      <c r="CH131" s="1581"/>
      <c r="CI131" s="1582"/>
      <c r="CJ131" s="1582"/>
      <c r="CK131" s="1582"/>
      <c r="CL131" s="1581"/>
      <c r="CM131" s="1170"/>
      <c r="CN131" s="1170"/>
      <c r="CO131" s="1170"/>
      <c r="CP131" s="1170"/>
      <c r="CQ131" s="1170"/>
      <c r="CR131" s="1170"/>
      <c r="CS131" s="1170"/>
      <c r="CT131" s="1198"/>
      <c r="CU131" s="1198"/>
    </row>
    <row r="132" spans="1:99" ht="12.75" customHeight="1">
      <c r="A132" s="1575" t="str">
        <f>A202</f>
        <v>Notes (7.00%)</v>
      </c>
      <c r="B132" s="1576">
        <v>7.0000000000000007E-2</v>
      </c>
      <c r="C132" s="1198"/>
      <c r="D132" s="1198"/>
      <c r="E132" s="1198"/>
      <c r="F132" s="1226"/>
      <c r="G132" s="1227"/>
      <c r="H132" s="1227"/>
      <c r="I132" s="1227"/>
      <c r="J132" s="1227"/>
      <c r="K132" s="1227"/>
      <c r="L132" s="1227"/>
      <c r="M132" s="1227"/>
      <c r="N132" s="1227"/>
      <c r="O132" s="1229"/>
      <c r="P132" s="1230"/>
      <c r="Q132" s="1305">
        <f>SUM(CD132:CG132)</f>
        <v>24.510014794520551</v>
      </c>
      <c r="R132" s="1303">
        <f t="shared" ref="R132:R138" si="120">SUM(CH132:CK132)</f>
        <v>0</v>
      </c>
      <c r="S132" s="1303">
        <f>$B132*AVERAGE(S203,S205)</f>
        <v>0</v>
      </c>
      <c r="T132" s="1507"/>
      <c r="U132" s="1507"/>
      <c r="V132" s="1507"/>
      <c r="W132" s="1507"/>
      <c r="X132" s="1282"/>
      <c r="Y132" s="1282"/>
      <c r="Z132" s="1282"/>
      <c r="AA132" s="1282"/>
      <c r="AB132" s="1282"/>
      <c r="AC132" s="1282"/>
      <c r="AD132" s="1282"/>
      <c r="AE132" s="1282"/>
      <c r="AF132" s="1282"/>
      <c r="AG132" s="1517"/>
      <c r="AH132" s="1179"/>
      <c r="AI132" s="1179"/>
      <c r="AJ132" s="1179"/>
      <c r="AK132" s="1179"/>
      <c r="AL132" s="1179"/>
      <c r="AM132" s="1179"/>
      <c r="AN132" s="1179"/>
      <c r="AO132" s="117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30"/>
      <c r="BR132" s="1229"/>
      <c r="BS132" s="1229"/>
      <c r="BT132" s="1229"/>
      <c r="BU132" s="1230"/>
      <c r="BV132" s="1229"/>
      <c r="BW132" s="1229"/>
      <c r="BX132" s="1229"/>
      <c r="BY132" s="1230"/>
      <c r="BZ132" s="1229"/>
      <c r="CA132" s="1229"/>
      <c r="CB132" s="1229"/>
      <c r="CC132" s="1229"/>
      <c r="CD132" s="1305">
        <f t="shared" ref="CD132:CK132" si="121">$B132*AVERAGE(CD203,CD205)*91/365</f>
        <v>9.8040059178082206</v>
      </c>
      <c r="CE132" s="1302">
        <f t="shared" si="121"/>
        <v>9.8040059178082206</v>
      </c>
      <c r="CF132" s="1302">
        <f t="shared" si="121"/>
        <v>4.9020029589041103</v>
      </c>
      <c r="CG132" s="1302">
        <f t="shared" si="121"/>
        <v>0</v>
      </c>
      <c r="CH132" s="1305">
        <f t="shared" si="121"/>
        <v>0</v>
      </c>
      <c r="CI132" s="1302">
        <f t="shared" si="121"/>
        <v>0</v>
      </c>
      <c r="CJ132" s="1302">
        <f t="shared" si="121"/>
        <v>0</v>
      </c>
      <c r="CK132" s="1302">
        <f t="shared" si="121"/>
        <v>0</v>
      </c>
      <c r="CL132" s="1305">
        <f>$B132*AVERAGE(CL203,CL205)*91/365</f>
        <v>0</v>
      </c>
      <c r="CM132" s="1170"/>
      <c r="CN132" s="1170"/>
      <c r="CO132" s="1170"/>
      <c r="CP132" s="1170"/>
      <c r="CQ132" s="1170"/>
      <c r="CR132" s="1170"/>
      <c r="CS132" s="1170"/>
      <c r="CT132" s="1198"/>
      <c r="CU132" s="1198"/>
    </row>
    <row r="133" spans="1:99" ht="12.75" customHeight="1">
      <c r="A133" s="1575" t="str">
        <f>A207</f>
        <v>Notes (7.90%)</v>
      </c>
      <c r="B133" s="1576">
        <v>7.9000000000000001E-2</v>
      </c>
      <c r="C133" s="1576">
        <v>0.09</v>
      </c>
      <c r="D133" s="1198"/>
      <c r="E133" s="1198"/>
      <c r="F133" s="1226"/>
      <c r="G133" s="1227"/>
      <c r="H133" s="1227"/>
      <c r="I133" s="1227"/>
      <c r="J133" s="1227"/>
      <c r="K133" s="1227"/>
      <c r="L133" s="1227"/>
      <c r="M133" s="1227"/>
      <c r="N133" s="1227"/>
      <c r="O133" s="1229"/>
      <c r="P133" s="1230"/>
      <c r="Q133" s="1305">
        <f t="shared" ref="Q133:Q138" si="122">SUM(CD133:CG133)</f>
        <v>31.743709008219174</v>
      </c>
      <c r="R133" s="1303">
        <f t="shared" si="120"/>
        <v>19.839818130136983</v>
      </c>
      <c r="S133" s="1303">
        <f>$B133*AVERAGE(S208,S210)</f>
        <v>0</v>
      </c>
      <c r="T133" s="1507"/>
      <c r="U133" s="1507"/>
      <c r="V133" s="1507"/>
      <c r="W133" s="1507"/>
      <c r="X133" s="1282"/>
      <c r="Y133" s="1282"/>
      <c r="Z133" s="1282"/>
      <c r="AA133" s="1282"/>
      <c r="AB133" s="1282"/>
      <c r="AC133" s="1282"/>
      <c r="AD133" s="1282"/>
      <c r="AE133" s="1282"/>
      <c r="AF133" s="1282"/>
      <c r="AG133" s="1517"/>
      <c r="AH133" s="1179"/>
      <c r="AI133" s="1179"/>
      <c r="AJ133" s="1179"/>
      <c r="AK133" s="1179"/>
      <c r="AL133" s="1179"/>
      <c r="AM133" s="1179"/>
      <c r="AN133" s="1179"/>
      <c r="AO133" s="117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30"/>
      <c r="BR133" s="1229"/>
      <c r="BS133" s="1229"/>
      <c r="BT133" s="1229"/>
      <c r="BU133" s="1230"/>
      <c r="BV133" s="1229"/>
      <c r="BW133" s="1229"/>
      <c r="BX133" s="1229"/>
      <c r="BY133" s="1230"/>
      <c r="BZ133" s="1229"/>
      <c r="CA133" s="1229"/>
      <c r="CB133" s="1229"/>
      <c r="CC133" s="1229"/>
      <c r="CD133" s="1305">
        <f t="shared" ref="CD133:CK133" si="123">$B133*AVERAGE(CD208,CD210)*91/365</f>
        <v>7.9359272520547934</v>
      </c>
      <c r="CE133" s="1302">
        <f t="shared" si="123"/>
        <v>7.9359272520547934</v>
      </c>
      <c r="CF133" s="1302">
        <f t="shared" si="123"/>
        <v>7.9359272520547934</v>
      </c>
      <c r="CG133" s="1302">
        <f t="shared" si="123"/>
        <v>7.9359272520547934</v>
      </c>
      <c r="CH133" s="1305">
        <f t="shared" si="123"/>
        <v>7.9359272520547934</v>
      </c>
      <c r="CI133" s="1302">
        <f t="shared" si="123"/>
        <v>7.9359272520547934</v>
      </c>
      <c r="CJ133" s="1302">
        <f t="shared" si="123"/>
        <v>3.9679636260273967</v>
      </c>
      <c r="CK133" s="1302">
        <f t="shared" si="123"/>
        <v>0</v>
      </c>
      <c r="CL133" s="1305">
        <f>$B133*AVERAGE(CL208,CL210)*91/365</f>
        <v>0</v>
      </c>
      <c r="CM133" s="1170"/>
      <c r="CN133" s="1170"/>
      <c r="CO133" s="1170"/>
      <c r="CP133" s="1170"/>
      <c r="CQ133" s="1170"/>
      <c r="CR133" s="1170"/>
      <c r="CS133" s="1170"/>
      <c r="CT133" s="1198"/>
      <c r="CU133" s="1198"/>
    </row>
    <row r="134" spans="1:99" ht="12.75" customHeight="1">
      <c r="A134" s="1575" t="str">
        <f>A212</f>
        <v>Notes (7.25%)</v>
      </c>
      <c r="B134" s="1576">
        <v>7.2499999999999995E-2</v>
      </c>
      <c r="C134" s="1576">
        <v>0.09</v>
      </c>
      <c r="D134" s="1198"/>
      <c r="E134" s="1198"/>
      <c r="F134" s="1226"/>
      <c r="G134" s="1227"/>
      <c r="H134" s="1227"/>
      <c r="I134" s="1227"/>
      <c r="J134" s="1227"/>
      <c r="K134" s="1227"/>
      <c r="L134" s="1227"/>
      <c r="M134" s="1227"/>
      <c r="N134" s="1227"/>
      <c r="O134" s="1229"/>
      <c r="P134" s="1230"/>
      <c r="Q134" s="1305">
        <f t="shared" si="122"/>
        <v>57.91195123287671</v>
      </c>
      <c r="R134" s="1303">
        <f t="shared" si="120"/>
        <v>57.91195123287671</v>
      </c>
      <c r="S134" s="1577">
        <f>$C134*AVERAGE(S213,S215)</f>
        <v>72.088200000000001</v>
      </c>
      <c r="T134" s="1507"/>
      <c r="U134" s="1507"/>
      <c r="V134" s="1507"/>
      <c r="W134" s="1507"/>
      <c r="X134" s="1282"/>
      <c r="Y134" s="1282"/>
      <c r="Z134" s="1282"/>
      <c r="AA134" s="1282"/>
      <c r="AB134" s="1282"/>
      <c r="AC134" s="1282"/>
      <c r="AD134" s="1282"/>
      <c r="AE134" s="1282"/>
      <c r="AF134" s="1282"/>
      <c r="AG134" s="1517"/>
      <c r="AH134" s="1179"/>
      <c r="AI134" s="1179"/>
      <c r="AJ134" s="1179"/>
      <c r="AK134" s="1179"/>
      <c r="AL134" s="1179"/>
      <c r="AM134" s="1179"/>
      <c r="AN134" s="1179"/>
      <c r="AO134" s="117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30"/>
      <c r="BR134" s="1229"/>
      <c r="BS134" s="1229"/>
      <c r="BT134" s="1229"/>
      <c r="BU134" s="1230"/>
      <c r="BV134" s="1229"/>
      <c r="BW134" s="1229"/>
      <c r="BX134" s="1229"/>
      <c r="BY134" s="1230"/>
      <c r="BZ134" s="1229"/>
      <c r="CA134" s="1229"/>
      <c r="CB134" s="1229"/>
      <c r="CC134" s="1229"/>
      <c r="CD134" s="1305">
        <f t="shared" ref="CD134:CK134" si="124">$B134*AVERAGE(CD213,CD215)*91/365</f>
        <v>14.477987808219178</v>
      </c>
      <c r="CE134" s="1302">
        <f t="shared" si="124"/>
        <v>14.477987808219178</v>
      </c>
      <c r="CF134" s="1302">
        <f t="shared" si="124"/>
        <v>14.477987808219178</v>
      </c>
      <c r="CG134" s="1302">
        <f t="shared" si="124"/>
        <v>14.477987808219178</v>
      </c>
      <c r="CH134" s="1305">
        <f t="shared" si="124"/>
        <v>14.477987808219178</v>
      </c>
      <c r="CI134" s="1302">
        <f t="shared" si="124"/>
        <v>14.477987808219178</v>
      </c>
      <c r="CJ134" s="1302">
        <f t="shared" si="124"/>
        <v>14.477987808219178</v>
      </c>
      <c r="CK134" s="1302">
        <f t="shared" si="124"/>
        <v>14.477987808219178</v>
      </c>
      <c r="CL134" s="1305">
        <f>$B134*AVERAGE(CL213,CL215)*91/365</f>
        <v>14.477987808219178</v>
      </c>
      <c r="CM134" s="1170"/>
      <c r="CN134" s="1170"/>
      <c r="CO134" s="1170"/>
      <c r="CP134" s="1170"/>
      <c r="CQ134" s="1170"/>
      <c r="CR134" s="1170"/>
      <c r="CS134" s="1170"/>
      <c r="CT134" s="1198"/>
      <c r="CU134" s="1198"/>
    </row>
    <row r="135" spans="1:99" ht="12.75" customHeight="1">
      <c r="A135" s="1575" t="str">
        <f>A217</f>
        <v>Notes (6.50%)</v>
      </c>
      <c r="B135" s="1576">
        <v>6.5000000000000002E-2</v>
      </c>
      <c r="C135" s="1198"/>
      <c r="D135" s="1198"/>
      <c r="E135" s="1198"/>
      <c r="F135" s="1226"/>
      <c r="G135" s="1227"/>
      <c r="H135" s="1227"/>
      <c r="I135" s="1227"/>
      <c r="J135" s="1227"/>
      <c r="K135" s="1227"/>
      <c r="L135" s="1227"/>
      <c r="M135" s="1227"/>
      <c r="N135" s="1227"/>
      <c r="O135" s="1229"/>
      <c r="P135" s="1230"/>
      <c r="Q135" s="1305">
        <f t="shared" si="122"/>
        <v>11.305655506849316</v>
      </c>
      <c r="R135" s="1303">
        <f t="shared" si="120"/>
        <v>11.305655506849316</v>
      </c>
      <c r="S135" s="1303">
        <f>$B135*AVERAGE(S218,S220)</f>
        <v>11.336715</v>
      </c>
      <c r="T135" s="1507"/>
      <c r="U135" s="1507"/>
      <c r="V135" s="1507"/>
      <c r="W135" s="1507"/>
      <c r="X135" s="1282"/>
      <c r="Y135" s="1282"/>
      <c r="Z135" s="1282"/>
      <c r="AA135" s="1282"/>
      <c r="AB135" s="1282"/>
      <c r="AC135" s="1282"/>
      <c r="AD135" s="1282"/>
      <c r="AE135" s="1282"/>
      <c r="AF135" s="1282"/>
      <c r="AG135" s="1517"/>
      <c r="AH135" s="1179"/>
      <c r="AI135" s="1179"/>
      <c r="AJ135" s="1179"/>
      <c r="AK135" s="1179"/>
      <c r="AL135" s="1179"/>
      <c r="AM135" s="1179"/>
      <c r="AN135" s="1179"/>
      <c r="AO135" s="117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30"/>
      <c r="BR135" s="1229"/>
      <c r="BS135" s="1229"/>
      <c r="BT135" s="1229"/>
      <c r="BU135" s="1230"/>
      <c r="BV135" s="1229"/>
      <c r="BW135" s="1229"/>
      <c r="BX135" s="1229"/>
      <c r="BY135" s="1230"/>
      <c r="BZ135" s="1229"/>
      <c r="CA135" s="1229"/>
      <c r="CB135" s="1229"/>
      <c r="CC135" s="1229"/>
      <c r="CD135" s="1305">
        <f t="shared" ref="CD135:CK135" si="125">$B135*AVERAGE(CD218,CD220)*91/365</f>
        <v>2.826413876712329</v>
      </c>
      <c r="CE135" s="1302">
        <f t="shared" si="125"/>
        <v>2.826413876712329</v>
      </c>
      <c r="CF135" s="1302">
        <f t="shared" si="125"/>
        <v>2.826413876712329</v>
      </c>
      <c r="CG135" s="1302">
        <f t="shared" si="125"/>
        <v>2.826413876712329</v>
      </c>
      <c r="CH135" s="1305">
        <f t="shared" si="125"/>
        <v>2.826413876712329</v>
      </c>
      <c r="CI135" s="1302">
        <f t="shared" si="125"/>
        <v>2.826413876712329</v>
      </c>
      <c r="CJ135" s="1302">
        <f t="shared" si="125"/>
        <v>2.826413876712329</v>
      </c>
      <c r="CK135" s="1302">
        <f t="shared" si="125"/>
        <v>2.826413876712329</v>
      </c>
      <c r="CL135" s="1305">
        <f>$B135*AVERAGE(CL218,CL220)*91/365</f>
        <v>2.826413876712329</v>
      </c>
      <c r="CM135" s="1170"/>
      <c r="CN135" s="1170"/>
      <c r="CO135" s="1170"/>
      <c r="CP135" s="1170"/>
      <c r="CQ135" s="1170"/>
      <c r="CR135" s="1170"/>
      <c r="CS135" s="1170"/>
      <c r="CT135" s="1198"/>
      <c r="CU135" s="1198"/>
    </row>
    <row r="136" spans="1:99" ht="12.75" customHeight="1">
      <c r="A136" s="1575" t="str">
        <f>A222</f>
        <v>Notes (7.625%)</v>
      </c>
      <c r="B136" s="1576">
        <v>7.6249999999999998E-2</v>
      </c>
      <c r="C136" s="1198"/>
      <c r="D136" s="1198"/>
      <c r="E136" s="1198"/>
      <c r="F136" s="1226"/>
      <c r="G136" s="1227"/>
      <c r="H136" s="1227"/>
      <c r="I136" s="1227"/>
      <c r="J136" s="1227"/>
      <c r="K136" s="1227"/>
      <c r="L136" s="1227"/>
      <c r="M136" s="1227"/>
      <c r="N136" s="1227"/>
      <c r="O136" s="1229"/>
      <c r="P136" s="1230"/>
      <c r="Q136" s="1305">
        <f t="shared" si="122"/>
        <v>7.3880768356164381</v>
      </c>
      <c r="R136" s="1303">
        <f t="shared" si="120"/>
        <v>7.3880768356164381</v>
      </c>
      <c r="S136" s="1303">
        <f>$B136*AVERAGE(S223,S225)</f>
        <v>7.40837375</v>
      </c>
      <c r="T136" s="1507"/>
      <c r="U136" s="1507"/>
      <c r="V136" s="1507"/>
      <c r="W136" s="1507"/>
      <c r="X136" s="1282"/>
      <c r="Y136" s="1282"/>
      <c r="Z136" s="1282"/>
      <c r="AA136" s="1282"/>
      <c r="AB136" s="1282"/>
      <c r="AC136" s="1282"/>
      <c r="AD136" s="1282"/>
      <c r="AE136" s="1282"/>
      <c r="AF136" s="1282"/>
      <c r="AG136" s="1517"/>
      <c r="AH136" s="1179"/>
      <c r="AI136" s="1179"/>
      <c r="AJ136" s="1179"/>
      <c r="AK136" s="1179"/>
      <c r="AL136" s="1179"/>
      <c r="AM136" s="1179"/>
      <c r="AN136" s="1179"/>
      <c r="AO136" s="117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30"/>
      <c r="BR136" s="1229"/>
      <c r="BS136" s="1229"/>
      <c r="BT136" s="1229"/>
      <c r="BU136" s="1230"/>
      <c r="BV136" s="1229"/>
      <c r="BW136" s="1229"/>
      <c r="BX136" s="1229"/>
      <c r="BY136" s="1230"/>
      <c r="BZ136" s="1229"/>
      <c r="CA136" s="1229"/>
      <c r="CB136" s="1229"/>
      <c r="CC136" s="1229"/>
      <c r="CD136" s="1305">
        <f t="shared" ref="CD136:CK136" si="126">$B136*AVERAGE(CD223,CD225)*91/365</f>
        <v>1.8470192089041095</v>
      </c>
      <c r="CE136" s="1302">
        <f t="shared" si="126"/>
        <v>1.8470192089041095</v>
      </c>
      <c r="CF136" s="1302">
        <f t="shared" si="126"/>
        <v>1.8470192089041095</v>
      </c>
      <c r="CG136" s="1302">
        <f t="shared" si="126"/>
        <v>1.8470192089041095</v>
      </c>
      <c r="CH136" s="1305">
        <f t="shared" si="126"/>
        <v>1.8470192089041095</v>
      </c>
      <c r="CI136" s="1302">
        <f t="shared" si="126"/>
        <v>1.8470192089041095</v>
      </c>
      <c r="CJ136" s="1302">
        <f t="shared" si="126"/>
        <v>1.8470192089041095</v>
      </c>
      <c r="CK136" s="1302">
        <f t="shared" si="126"/>
        <v>1.8470192089041095</v>
      </c>
      <c r="CL136" s="1305">
        <f>$B136*AVERAGE(CL223,CL225)*91/365</f>
        <v>1.8470192089041095</v>
      </c>
      <c r="CM136" s="1170"/>
      <c r="CN136" s="1170"/>
      <c r="CO136" s="1170"/>
      <c r="CP136" s="1170"/>
      <c r="CQ136" s="1170"/>
      <c r="CR136" s="1170"/>
      <c r="CS136" s="1170"/>
      <c r="CT136" s="1198"/>
      <c r="CU136" s="1198"/>
    </row>
    <row r="137" spans="1:99" ht="12.75" customHeight="1">
      <c r="A137" s="1575" t="str">
        <f>A227</f>
        <v>Notes (6.875%)</v>
      </c>
      <c r="B137" s="1576">
        <v>6.8750000000000006E-2</v>
      </c>
      <c r="C137" s="1198"/>
      <c r="D137" s="1198"/>
      <c r="E137" s="1198"/>
      <c r="F137" s="1226"/>
      <c r="G137" s="1227"/>
      <c r="H137" s="1227"/>
      <c r="I137" s="1227"/>
      <c r="J137" s="1227"/>
      <c r="K137" s="1227"/>
      <c r="L137" s="1227"/>
      <c r="M137" s="1227"/>
      <c r="N137" s="1227"/>
      <c r="O137" s="1229"/>
      <c r="P137" s="1230"/>
      <c r="Q137" s="1305">
        <f t="shared" si="122"/>
        <v>24.111416095890412</v>
      </c>
      <c r="R137" s="1303">
        <f t="shared" si="120"/>
        <v>24.111416095890412</v>
      </c>
      <c r="S137" s="1303">
        <f>$B137*AVERAGE(S228,S230)</f>
        <v>24.177656250000002</v>
      </c>
      <c r="T137" s="1507"/>
      <c r="U137" s="1507"/>
      <c r="V137" s="1507"/>
      <c r="W137" s="1507"/>
      <c r="X137" s="1282"/>
      <c r="Y137" s="1282"/>
      <c r="Z137" s="1282"/>
      <c r="AA137" s="1282"/>
      <c r="AB137" s="1282"/>
      <c r="AC137" s="1282"/>
      <c r="AD137" s="1282"/>
      <c r="AE137" s="1282"/>
      <c r="AF137" s="1282"/>
      <c r="AG137" s="1517"/>
      <c r="AH137" s="1179"/>
      <c r="AI137" s="1179"/>
      <c r="AJ137" s="1179"/>
      <c r="AK137" s="1179"/>
      <c r="AL137" s="1179"/>
      <c r="AM137" s="1179"/>
      <c r="AN137" s="1179"/>
      <c r="AO137" s="117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30"/>
      <c r="BR137" s="1229"/>
      <c r="BS137" s="1229"/>
      <c r="BT137" s="1229"/>
      <c r="BU137" s="1230"/>
      <c r="BV137" s="1229"/>
      <c r="BW137" s="1229"/>
      <c r="BX137" s="1229"/>
      <c r="BY137" s="1230"/>
      <c r="BZ137" s="1229"/>
      <c r="CA137" s="1229"/>
      <c r="CB137" s="1229"/>
      <c r="CC137" s="1229"/>
      <c r="CD137" s="1305">
        <f t="shared" ref="CD137:CK137" si="127">$B137*AVERAGE(CD228,CD230)*91/365</f>
        <v>6.0278540239726031</v>
      </c>
      <c r="CE137" s="1302">
        <f t="shared" si="127"/>
        <v>6.0278540239726031</v>
      </c>
      <c r="CF137" s="1302">
        <f t="shared" si="127"/>
        <v>6.0278540239726031</v>
      </c>
      <c r="CG137" s="1302">
        <f t="shared" si="127"/>
        <v>6.0278540239726031</v>
      </c>
      <c r="CH137" s="1305">
        <f t="shared" si="127"/>
        <v>6.0278540239726031</v>
      </c>
      <c r="CI137" s="1302">
        <f t="shared" si="127"/>
        <v>6.0278540239726031</v>
      </c>
      <c r="CJ137" s="1302">
        <f t="shared" si="127"/>
        <v>6.0278540239726031</v>
      </c>
      <c r="CK137" s="1302">
        <f t="shared" si="127"/>
        <v>6.0278540239726031</v>
      </c>
      <c r="CL137" s="1305">
        <f>$B137*AVERAGE(CL228,CL230)*91/365</f>
        <v>6.0278540239726031</v>
      </c>
      <c r="CM137" s="1170"/>
      <c r="CN137" s="1170"/>
      <c r="CO137" s="1170"/>
      <c r="CP137" s="1170"/>
      <c r="CQ137" s="1170"/>
      <c r="CR137" s="1170"/>
      <c r="CS137" s="1170"/>
      <c r="CT137" s="1198"/>
      <c r="CU137" s="1198"/>
    </row>
    <row r="138" spans="1:99" ht="12.75" customHeight="1">
      <c r="A138" s="1575" t="str">
        <f>A232</f>
        <v>Notes (7.75%)</v>
      </c>
      <c r="B138" s="1576">
        <v>7.7499999999999999E-2</v>
      </c>
      <c r="C138" s="1198"/>
      <c r="D138" s="1198"/>
      <c r="E138" s="1198"/>
      <c r="F138" s="1226"/>
      <c r="G138" s="1227"/>
      <c r="H138" s="1227"/>
      <c r="I138" s="1227"/>
      <c r="J138" s="1227"/>
      <c r="K138" s="1227"/>
      <c r="L138" s="1227"/>
      <c r="M138" s="1227"/>
      <c r="N138" s="1227"/>
      <c r="O138" s="1229"/>
      <c r="P138" s="1230"/>
      <c r="Q138" s="1305">
        <f t="shared" si="122"/>
        <v>27.67717879452055</v>
      </c>
      <c r="R138" s="1303">
        <f t="shared" si="120"/>
        <v>27.67717879452055</v>
      </c>
      <c r="S138" s="1303">
        <f>$B138*AVERAGE(S233,S235)</f>
        <v>27.753215000000001</v>
      </c>
      <c r="T138" s="1507"/>
      <c r="U138" s="1507"/>
      <c r="V138" s="1507"/>
      <c r="W138" s="1507"/>
      <c r="X138" s="1282"/>
      <c r="Y138" s="1282"/>
      <c r="Z138" s="1282"/>
      <c r="AA138" s="1282"/>
      <c r="AB138" s="1282"/>
      <c r="AC138" s="1282"/>
      <c r="AD138" s="1282"/>
      <c r="AE138" s="1282"/>
      <c r="AF138" s="1282"/>
      <c r="AG138" s="1517"/>
      <c r="AH138" s="1179"/>
      <c r="AI138" s="1179"/>
      <c r="AJ138" s="1179"/>
      <c r="AK138" s="1179"/>
      <c r="AL138" s="1179"/>
      <c r="AM138" s="1179"/>
      <c r="AN138" s="1179"/>
      <c r="AO138" s="117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30"/>
      <c r="BR138" s="1229"/>
      <c r="BS138" s="1229"/>
      <c r="BT138" s="1229"/>
      <c r="BU138" s="1230"/>
      <c r="BV138" s="1229"/>
      <c r="BW138" s="1229"/>
      <c r="BX138" s="1229"/>
      <c r="BY138" s="1230"/>
      <c r="BZ138" s="1229"/>
      <c r="CA138" s="1229"/>
      <c r="CB138" s="1229"/>
      <c r="CC138" s="1229"/>
      <c r="CD138" s="1305">
        <f t="shared" ref="CD138:CK138" si="128">$B138*AVERAGE(CD233,CD235)*91/365</f>
        <v>6.9192946986301376</v>
      </c>
      <c r="CE138" s="1302">
        <f t="shared" si="128"/>
        <v>6.9192946986301376</v>
      </c>
      <c r="CF138" s="1302">
        <f t="shared" si="128"/>
        <v>6.9192946986301376</v>
      </c>
      <c r="CG138" s="1302">
        <f t="shared" si="128"/>
        <v>6.9192946986301376</v>
      </c>
      <c r="CH138" s="1305">
        <f t="shared" si="128"/>
        <v>6.9192946986301376</v>
      </c>
      <c r="CI138" s="1302">
        <f t="shared" si="128"/>
        <v>6.9192946986301376</v>
      </c>
      <c r="CJ138" s="1302">
        <f t="shared" si="128"/>
        <v>6.9192946986301376</v>
      </c>
      <c r="CK138" s="1302">
        <f t="shared" si="128"/>
        <v>6.9192946986301376</v>
      </c>
      <c r="CL138" s="1305">
        <f>$B138*AVERAGE(CL233,CL235)*91/365</f>
        <v>6.9192946986301376</v>
      </c>
      <c r="CM138" s="1170"/>
      <c r="CN138" s="1170"/>
      <c r="CO138" s="1170"/>
      <c r="CP138" s="1170"/>
      <c r="CQ138" s="1170"/>
      <c r="CR138" s="1170"/>
      <c r="CS138" s="1170"/>
      <c r="CT138" s="1198"/>
      <c r="CU138" s="1198"/>
    </row>
    <row r="139" spans="1:99" ht="12.75" customHeight="1">
      <c r="A139" s="1469" t="str">
        <f>A236</f>
        <v>TOTAL</v>
      </c>
      <c r="B139" s="1198"/>
      <c r="C139" s="1198"/>
      <c r="D139" s="1198"/>
      <c r="E139" s="1198"/>
      <c r="F139" s="1226"/>
      <c r="G139" s="1227"/>
      <c r="H139" s="1227"/>
      <c r="I139" s="1227"/>
      <c r="J139" s="1227"/>
      <c r="K139" s="1227"/>
      <c r="L139" s="1227"/>
      <c r="M139" s="1227"/>
      <c r="N139" s="1227"/>
      <c r="O139" s="1229"/>
      <c r="P139" s="1230"/>
      <c r="Q139" s="1579">
        <f>SUM(CD139:CG139)</f>
        <v>184.64800226849314</v>
      </c>
      <c r="R139" s="1579">
        <f>SUM(CH139:CK139)</f>
        <v>148.23409659589041</v>
      </c>
      <c r="S139" s="1579">
        <f>SUM(S132:S138)</f>
        <v>142.76416</v>
      </c>
      <c r="T139" s="1507"/>
      <c r="U139" s="1507"/>
      <c r="V139" s="1507"/>
      <c r="W139" s="1507"/>
      <c r="X139" s="1282"/>
      <c r="Y139" s="1282"/>
      <c r="Z139" s="1282"/>
      <c r="AA139" s="1282"/>
      <c r="AB139" s="1282"/>
      <c r="AC139" s="1282"/>
      <c r="AD139" s="1282"/>
      <c r="AE139" s="1282"/>
      <c r="AF139" s="1282"/>
      <c r="AG139" s="1517"/>
      <c r="AH139" s="1179"/>
      <c r="AI139" s="1179"/>
      <c r="AJ139" s="1179"/>
      <c r="AK139" s="1179"/>
      <c r="AL139" s="1179"/>
      <c r="AM139" s="1179"/>
      <c r="AN139" s="1179"/>
      <c r="AO139" s="117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30"/>
      <c r="BR139" s="1229"/>
      <c r="BS139" s="1229"/>
      <c r="BT139" s="1229"/>
      <c r="BU139" s="1230"/>
      <c r="BV139" s="1229"/>
      <c r="BW139" s="1229"/>
      <c r="BX139" s="1229"/>
      <c r="BY139" s="1230"/>
      <c r="BZ139" s="1229"/>
      <c r="CA139" s="1229"/>
      <c r="CB139" s="1229"/>
      <c r="CC139" s="1229"/>
      <c r="CD139" s="1311">
        <f t="shared" ref="CD139:CK139" si="129">SUM(CD132:CD138)</f>
        <v>49.838502786301369</v>
      </c>
      <c r="CE139" s="1295">
        <f t="shared" si="129"/>
        <v>49.838502786301369</v>
      </c>
      <c r="CF139" s="1295">
        <f t="shared" si="129"/>
        <v>44.936499827397263</v>
      </c>
      <c r="CG139" s="1295">
        <f t="shared" si="129"/>
        <v>40.03449686849315</v>
      </c>
      <c r="CH139" s="1311">
        <f t="shared" si="129"/>
        <v>40.03449686849315</v>
      </c>
      <c r="CI139" s="1295">
        <f t="shared" si="129"/>
        <v>40.03449686849315</v>
      </c>
      <c r="CJ139" s="1295">
        <f t="shared" si="129"/>
        <v>36.066533242465752</v>
      </c>
      <c r="CK139" s="1295">
        <f t="shared" si="129"/>
        <v>32.098569616438354</v>
      </c>
      <c r="CL139" s="1311">
        <f>SUM(CL132:CL138)</f>
        <v>32.098569616438354</v>
      </c>
      <c r="CM139" s="1170"/>
      <c r="CN139" s="1170"/>
      <c r="CO139" s="1170"/>
      <c r="CP139" s="1170"/>
      <c r="CQ139" s="1170"/>
      <c r="CR139" s="1170"/>
      <c r="CS139" s="1170"/>
      <c r="CT139" s="1198"/>
      <c r="CU139" s="1198"/>
    </row>
    <row r="140" spans="1:99" ht="12.75" customHeight="1">
      <c r="A140" s="1569" t="str">
        <f>A241</f>
        <v>Qwest Corporation (QC)</v>
      </c>
      <c r="B140" s="1569" t="s">
        <v>625</v>
      </c>
      <c r="C140" s="1569" t="s">
        <v>626</v>
      </c>
      <c r="D140" s="1569"/>
      <c r="E140" s="1569"/>
      <c r="F140" s="1570"/>
      <c r="G140" s="1571"/>
      <c r="H140" s="1571"/>
      <c r="I140" s="1571"/>
      <c r="J140" s="1571"/>
      <c r="K140" s="1571"/>
      <c r="L140" s="1571"/>
      <c r="M140" s="1571"/>
      <c r="N140" s="1571"/>
      <c r="O140" s="1572"/>
      <c r="P140" s="1573"/>
      <c r="Q140" s="1574"/>
      <c r="R140" s="1580"/>
      <c r="S140" s="1580"/>
      <c r="T140" s="1507"/>
      <c r="U140" s="1507"/>
      <c r="V140" s="1507"/>
      <c r="W140" s="1507"/>
      <c r="X140" s="1282"/>
      <c r="Y140" s="1282"/>
      <c r="Z140" s="1282"/>
      <c r="AA140" s="1282"/>
      <c r="AB140" s="1282"/>
      <c r="AC140" s="1282"/>
      <c r="AD140" s="1282"/>
      <c r="AE140" s="1282"/>
      <c r="AF140" s="1282"/>
      <c r="AG140" s="1517"/>
      <c r="AH140" s="1179"/>
      <c r="AI140" s="1179"/>
      <c r="AJ140" s="1179"/>
      <c r="AK140" s="1179"/>
      <c r="AL140" s="1179"/>
      <c r="AM140" s="1179"/>
      <c r="AN140" s="1179"/>
      <c r="AO140" s="117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30"/>
      <c r="BR140" s="1229"/>
      <c r="BS140" s="1229"/>
      <c r="BT140" s="1229"/>
      <c r="BU140" s="1230"/>
      <c r="BV140" s="1229"/>
      <c r="BW140" s="1229"/>
      <c r="BX140" s="1229"/>
      <c r="BY140" s="1230"/>
      <c r="BZ140" s="1572"/>
      <c r="CA140" s="1572"/>
      <c r="CB140" s="1572"/>
      <c r="CC140" s="1572"/>
      <c r="CD140" s="1581"/>
      <c r="CE140" s="1582"/>
      <c r="CF140" s="1582"/>
      <c r="CG140" s="1582"/>
      <c r="CH140" s="1581"/>
      <c r="CI140" s="1582"/>
      <c r="CJ140" s="1582"/>
      <c r="CK140" s="1582"/>
      <c r="CL140" s="1581"/>
      <c r="CM140" s="1170"/>
      <c r="CN140" s="1170"/>
      <c r="CO140" s="1170"/>
      <c r="CP140" s="1170"/>
      <c r="CQ140" s="1170"/>
      <c r="CR140" s="1170"/>
      <c r="CS140" s="1170"/>
      <c r="CT140" s="1198"/>
      <c r="CU140" s="1198"/>
    </row>
    <row r="141" spans="1:99" ht="12.75" customHeight="1">
      <c r="A141" s="1575" t="str">
        <f>A242</f>
        <v>Term Loan (6.95%)</v>
      </c>
      <c r="B141" s="1576">
        <v>6.9500000000000006E-2</v>
      </c>
      <c r="C141" s="1198"/>
      <c r="D141" s="1198"/>
      <c r="E141" s="1198"/>
      <c r="F141" s="1226"/>
      <c r="G141" s="1227"/>
      <c r="H141" s="1227"/>
      <c r="I141" s="1227"/>
      <c r="J141" s="1227"/>
      <c r="K141" s="1227"/>
      <c r="L141" s="1227"/>
      <c r="M141" s="1227"/>
      <c r="N141" s="1227"/>
      <c r="O141" s="1229"/>
      <c r="P141" s="1230"/>
      <c r="Q141" s="1305">
        <f t="shared" ref="Q141:Q156" si="130">SUM(CD141:CG141)</f>
        <v>34.654794520547945</v>
      </c>
      <c r="R141" s="1303">
        <f t="shared" ref="R141:R156" si="131">SUM(CH141:CK141)</f>
        <v>34.654794520547945</v>
      </c>
      <c r="S141" s="1303">
        <f>$B141*AVERAGE(S243,S245)</f>
        <v>34.75</v>
      </c>
      <c r="T141" s="1507"/>
      <c r="U141" s="1507"/>
      <c r="V141" s="1507"/>
      <c r="W141" s="1507"/>
      <c r="X141" s="1282"/>
      <c r="Y141" s="1282"/>
      <c r="Z141" s="1282"/>
      <c r="AA141" s="1282"/>
      <c r="AB141" s="1282"/>
      <c r="AC141" s="1282"/>
      <c r="AD141" s="1282"/>
      <c r="AE141" s="1282"/>
      <c r="AF141" s="1282"/>
      <c r="AG141" s="1517"/>
      <c r="AH141" s="1179"/>
      <c r="AI141" s="1179"/>
      <c r="AJ141" s="1179"/>
      <c r="AK141" s="1179"/>
      <c r="AL141" s="1179"/>
      <c r="AM141" s="1179"/>
      <c r="AN141" s="1179"/>
      <c r="AO141" s="117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30"/>
      <c r="BR141" s="1229"/>
      <c r="BS141" s="1229"/>
      <c r="BT141" s="1229"/>
      <c r="BU141" s="1230"/>
      <c r="BV141" s="1229"/>
      <c r="BW141" s="1229"/>
      <c r="BX141" s="1229"/>
      <c r="BY141" s="1230"/>
      <c r="BZ141" s="1229"/>
      <c r="CA141" s="1229"/>
      <c r="CB141" s="1229"/>
      <c r="CC141" s="1229"/>
      <c r="CD141" s="1305">
        <f t="shared" ref="CD141:CK141" si="132">$B141*AVERAGE(CD243,CD245)*91/365</f>
        <v>8.6636986301369863</v>
      </c>
      <c r="CE141" s="1302">
        <f t="shared" si="132"/>
        <v>8.6636986301369863</v>
      </c>
      <c r="CF141" s="1302">
        <f t="shared" si="132"/>
        <v>8.6636986301369863</v>
      </c>
      <c r="CG141" s="1302">
        <f t="shared" si="132"/>
        <v>8.6636986301369863</v>
      </c>
      <c r="CH141" s="1305">
        <f t="shared" si="132"/>
        <v>8.6636986301369863</v>
      </c>
      <c r="CI141" s="1302">
        <f t="shared" si="132"/>
        <v>8.6636986301369863</v>
      </c>
      <c r="CJ141" s="1302">
        <f t="shared" si="132"/>
        <v>8.6636986301369863</v>
      </c>
      <c r="CK141" s="1302">
        <f t="shared" si="132"/>
        <v>8.6636986301369863</v>
      </c>
      <c r="CL141" s="1305">
        <f>$B141*AVERAGE(CL243,CL245)*91/365</f>
        <v>8.6636986301369863</v>
      </c>
      <c r="CM141" s="1170"/>
      <c r="CN141" s="1170"/>
      <c r="CO141" s="1170"/>
      <c r="CP141" s="1170"/>
      <c r="CQ141" s="1170"/>
      <c r="CR141" s="1170"/>
      <c r="CS141" s="1170"/>
      <c r="CT141" s="1198"/>
      <c r="CU141" s="1198"/>
    </row>
    <row r="142" spans="1:99" ht="12.75" customHeight="1">
      <c r="A142" s="1575" t="str">
        <f>A247</f>
        <v>Notes (7.875%)</v>
      </c>
      <c r="B142" s="1576">
        <v>7.8750000000000001E-2</v>
      </c>
      <c r="C142" s="1576">
        <v>0.09</v>
      </c>
      <c r="D142" s="1198"/>
      <c r="E142" s="1198"/>
      <c r="F142" s="1226"/>
      <c r="G142" s="1227"/>
      <c r="H142" s="1227"/>
      <c r="I142" s="1227"/>
      <c r="J142" s="1227"/>
      <c r="K142" s="1227"/>
      <c r="L142" s="1227"/>
      <c r="M142" s="1227"/>
      <c r="N142" s="1227"/>
      <c r="O142" s="1229"/>
      <c r="P142" s="1230"/>
      <c r="Q142" s="1305">
        <f t="shared" si="130"/>
        <v>64.790753424657538</v>
      </c>
      <c r="R142" s="1303">
        <f t="shared" si="131"/>
        <v>64.790753424657538</v>
      </c>
      <c r="S142" s="1577">
        <f>$C142*AVERAGE(S248,S250)</f>
        <v>74.25</v>
      </c>
      <c r="T142" s="1507"/>
      <c r="U142" s="1507"/>
      <c r="V142" s="1507"/>
      <c r="W142" s="1507"/>
      <c r="X142" s="1282"/>
      <c r="Y142" s="1282"/>
      <c r="Z142" s="1282"/>
      <c r="AA142" s="1282"/>
      <c r="AB142" s="1282"/>
      <c r="AC142" s="1282"/>
      <c r="AD142" s="1282"/>
      <c r="AE142" s="1282"/>
      <c r="AF142" s="1282"/>
      <c r="AG142" s="1517"/>
      <c r="AH142" s="1179"/>
      <c r="AI142" s="1179"/>
      <c r="AJ142" s="1179"/>
      <c r="AK142" s="1179"/>
      <c r="AL142" s="1179"/>
      <c r="AM142" s="1179"/>
      <c r="AN142" s="1179"/>
      <c r="AO142" s="117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30"/>
      <c r="BR142" s="1229"/>
      <c r="BS142" s="1229"/>
      <c r="BT142" s="1229"/>
      <c r="BU142" s="1230"/>
      <c r="BV142" s="1229"/>
      <c r="BW142" s="1229"/>
      <c r="BX142" s="1229"/>
      <c r="BY142" s="1230"/>
      <c r="BZ142" s="1229"/>
      <c r="CA142" s="1229"/>
      <c r="CB142" s="1229"/>
      <c r="CC142" s="1229"/>
      <c r="CD142" s="1305">
        <f t="shared" ref="CD142:CK142" si="133">$B142*AVERAGE(CD248,CD250)*91/365</f>
        <v>16.197688356164385</v>
      </c>
      <c r="CE142" s="1302">
        <f t="shared" si="133"/>
        <v>16.197688356164385</v>
      </c>
      <c r="CF142" s="1302">
        <f t="shared" si="133"/>
        <v>16.197688356164385</v>
      </c>
      <c r="CG142" s="1302">
        <f t="shared" si="133"/>
        <v>16.197688356164385</v>
      </c>
      <c r="CH142" s="1305">
        <f t="shared" si="133"/>
        <v>16.197688356164385</v>
      </c>
      <c r="CI142" s="1302">
        <f t="shared" si="133"/>
        <v>16.197688356164385</v>
      </c>
      <c r="CJ142" s="1302">
        <f t="shared" si="133"/>
        <v>16.197688356164385</v>
      </c>
      <c r="CK142" s="1302">
        <f t="shared" si="133"/>
        <v>16.197688356164385</v>
      </c>
      <c r="CL142" s="1305">
        <f>$B142*AVERAGE(CL248,CL250)*91/365</f>
        <v>16.197688356164385</v>
      </c>
      <c r="CM142" s="1170"/>
      <c r="CN142" s="1170"/>
      <c r="CO142" s="1170"/>
      <c r="CP142" s="1170"/>
      <c r="CQ142" s="1170"/>
      <c r="CR142" s="1170"/>
      <c r="CS142" s="1170"/>
      <c r="CT142" s="1198"/>
      <c r="CU142" s="1198"/>
    </row>
    <row r="143" spans="1:99" ht="12.75" customHeight="1">
      <c r="A143" s="1575" t="str">
        <f>A252</f>
        <v>Notes (8.875%)</v>
      </c>
      <c r="B143" s="1576">
        <v>8.8749999999999996E-2</v>
      </c>
      <c r="C143" s="1576">
        <v>0.09</v>
      </c>
      <c r="D143" s="1198"/>
      <c r="E143" s="1198"/>
      <c r="F143" s="1226"/>
      <c r="G143" s="1227"/>
      <c r="H143" s="1227"/>
      <c r="I143" s="1227"/>
      <c r="J143" s="1227"/>
      <c r="K143" s="1227"/>
      <c r="L143" s="1227"/>
      <c r="M143" s="1227"/>
      <c r="N143" s="1227"/>
      <c r="O143" s="1229"/>
      <c r="P143" s="1230"/>
      <c r="Q143" s="1305">
        <f t="shared" si="130"/>
        <v>132.76027397260273</v>
      </c>
      <c r="R143" s="1303">
        <f t="shared" si="131"/>
        <v>132.76027397260273</v>
      </c>
      <c r="S143" s="1303">
        <f>$B143*AVERAGE(S253,S255)</f>
        <v>133.125</v>
      </c>
      <c r="T143" s="1507"/>
      <c r="U143" s="1507"/>
      <c r="V143" s="1507"/>
      <c r="W143" s="1507"/>
      <c r="X143" s="1282"/>
      <c r="Y143" s="1282"/>
      <c r="Z143" s="1282"/>
      <c r="AA143" s="1282"/>
      <c r="AB143" s="1282"/>
      <c r="AC143" s="1282"/>
      <c r="AD143" s="1282"/>
      <c r="AE143" s="1282"/>
      <c r="AF143" s="1282"/>
      <c r="AG143" s="1517"/>
      <c r="AH143" s="1179"/>
      <c r="AI143" s="1179"/>
      <c r="AJ143" s="1179"/>
      <c r="AK143" s="1179"/>
      <c r="AL143" s="1179"/>
      <c r="AM143" s="1179"/>
      <c r="AN143" s="1179"/>
      <c r="AO143" s="117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30"/>
      <c r="BR143" s="1229"/>
      <c r="BS143" s="1229"/>
      <c r="BT143" s="1229"/>
      <c r="BU143" s="1230"/>
      <c r="BV143" s="1229"/>
      <c r="BW143" s="1229"/>
      <c r="BX143" s="1229"/>
      <c r="BY143" s="1230"/>
      <c r="BZ143" s="1229"/>
      <c r="CA143" s="1229"/>
      <c r="CB143" s="1229"/>
      <c r="CC143" s="1229"/>
      <c r="CD143" s="1305">
        <f t="shared" ref="CD143:CK143" si="134">$B143*AVERAGE(CD253,CD255)*91/365</f>
        <v>33.190068493150683</v>
      </c>
      <c r="CE143" s="1302">
        <f t="shared" si="134"/>
        <v>33.190068493150683</v>
      </c>
      <c r="CF143" s="1302">
        <f t="shared" si="134"/>
        <v>33.190068493150683</v>
      </c>
      <c r="CG143" s="1302">
        <f t="shared" si="134"/>
        <v>33.190068493150683</v>
      </c>
      <c r="CH143" s="1305">
        <f t="shared" si="134"/>
        <v>33.190068493150683</v>
      </c>
      <c r="CI143" s="1302">
        <f t="shared" si="134"/>
        <v>33.190068493150683</v>
      </c>
      <c r="CJ143" s="1302">
        <f t="shared" si="134"/>
        <v>33.190068493150683</v>
      </c>
      <c r="CK143" s="1302">
        <f t="shared" si="134"/>
        <v>33.190068493150683</v>
      </c>
      <c r="CL143" s="1305">
        <f>$B143*AVERAGE(CL253,CL255)*91/365</f>
        <v>33.190068493150683</v>
      </c>
      <c r="CM143" s="1170"/>
      <c r="CN143" s="1170"/>
      <c r="CO143" s="1170"/>
      <c r="CP143" s="1170"/>
      <c r="CQ143" s="1170"/>
      <c r="CR143" s="1170"/>
      <c r="CS143" s="1170"/>
      <c r="CT143" s="1198"/>
      <c r="CU143" s="1198"/>
    </row>
    <row r="144" spans="1:99" ht="12.75" customHeight="1">
      <c r="A144" s="1575" t="str">
        <f>A257</f>
        <v>Floating Rate Notes (L+325)</v>
      </c>
      <c r="B144" s="1576">
        <v>0.06</v>
      </c>
      <c r="C144" s="1576">
        <v>0.09</v>
      </c>
      <c r="D144" s="1198"/>
      <c r="E144" s="1198"/>
      <c r="F144" s="1226"/>
      <c r="G144" s="1227"/>
      <c r="H144" s="1227"/>
      <c r="I144" s="1227"/>
      <c r="J144" s="1227"/>
      <c r="K144" s="1227"/>
      <c r="L144" s="1227"/>
      <c r="M144" s="1227"/>
      <c r="N144" s="1227"/>
      <c r="O144" s="1229"/>
      <c r="P144" s="1230"/>
      <c r="Q144" s="1305">
        <f t="shared" si="130"/>
        <v>44.876712328767127</v>
      </c>
      <c r="R144" s="1303">
        <f t="shared" si="131"/>
        <v>44.876712328767127</v>
      </c>
      <c r="S144" s="1303">
        <f>$B144*AVERAGE(S258,S260)</f>
        <v>45</v>
      </c>
      <c r="T144" s="1507"/>
      <c r="U144" s="1507"/>
      <c r="V144" s="1507"/>
      <c r="W144" s="1507"/>
      <c r="X144" s="1282"/>
      <c r="Y144" s="1282"/>
      <c r="Z144" s="1282"/>
      <c r="AA144" s="1282"/>
      <c r="AB144" s="1282"/>
      <c r="AC144" s="1282"/>
      <c r="AD144" s="1282"/>
      <c r="AE144" s="1282"/>
      <c r="AF144" s="1282"/>
      <c r="AG144" s="1517"/>
      <c r="AH144" s="1179"/>
      <c r="AI144" s="1179"/>
      <c r="AJ144" s="1179"/>
      <c r="AK144" s="1179"/>
      <c r="AL144" s="1179"/>
      <c r="AM144" s="1179"/>
      <c r="AN144" s="1179"/>
      <c r="AO144" s="117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30"/>
      <c r="BR144" s="1229"/>
      <c r="BS144" s="1229"/>
      <c r="BT144" s="1229"/>
      <c r="BU144" s="1230"/>
      <c r="BV144" s="1229"/>
      <c r="BW144" s="1229"/>
      <c r="BX144" s="1229"/>
      <c r="BY144" s="1230"/>
      <c r="BZ144" s="1229"/>
      <c r="CA144" s="1229"/>
      <c r="CB144" s="1229"/>
      <c r="CC144" s="1229"/>
      <c r="CD144" s="1305">
        <f t="shared" ref="CD144:CK144" si="135">$B144*AVERAGE(CD258,CD260)*91/365</f>
        <v>11.219178082191782</v>
      </c>
      <c r="CE144" s="1302">
        <f t="shared" si="135"/>
        <v>11.219178082191782</v>
      </c>
      <c r="CF144" s="1302">
        <f t="shared" si="135"/>
        <v>11.219178082191782</v>
      </c>
      <c r="CG144" s="1302">
        <f t="shared" si="135"/>
        <v>11.219178082191782</v>
      </c>
      <c r="CH144" s="1305">
        <f t="shared" si="135"/>
        <v>11.219178082191782</v>
      </c>
      <c r="CI144" s="1303">
        <f t="shared" si="135"/>
        <v>11.219178082191782</v>
      </c>
      <c r="CJ144" s="1303">
        <f t="shared" si="135"/>
        <v>11.219178082191782</v>
      </c>
      <c r="CK144" s="1303">
        <f t="shared" si="135"/>
        <v>11.219178082191782</v>
      </c>
      <c r="CL144" s="1305">
        <f>$B144*AVERAGE(CL258,CL260)*91/365</f>
        <v>11.219178082191782</v>
      </c>
      <c r="CM144" s="1170"/>
      <c r="CN144" s="1170"/>
      <c r="CO144" s="1170"/>
      <c r="CP144" s="1170"/>
      <c r="CQ144" s="1170"/>
      <c r="CR144" s="1170"/>
      <c r="CS144" s="1170"/>
      <c r="CT144" s="1198"/>
      <c r="CU144" s="1198"/>
    </row>
    <row r="145" spans="1:99" ht="12.75" customHeight="1">
      <c r="A145" s="1575" t="str">
        <f>A262</f>
        <v>Notes (7.50%)</v>
      </c>
      <c r="B145" s="1576">
        <v>7.4999999999999997E-2</v>
      </c>
      <c r="C145" s="1198"/>
      <c r="D145" s="1198"/>
      <c r="E145" s="1198"/>
      <c r="F145" s="1226"/>
      <c r="G145" s="1227"/>
      <c r="H145" s="1227"/>
      <c r="I145" s="1227"/>
      <c r="J145" s="1227"/>
      <c r="K145" s="1227"/>
      <c r="L145" s="1227"/>
      <c r="M145" s="1227"/>
      <c r="N145" s="1227"/>
      <c r="O145" s="1229"/>
      <c r="P145" s="1230"/>
      <c r="Q145" s="1305">
        <f t="shared" si="130"/>
        <v>44.876712328767127</v>
      </c>
      <c r="R145" s="1303">
        <f t="shared" si="131"/>
        <v>44.876712328767127</v>
      </c>
      <c r="S145" s="1303">
        <f>$B145*AVERAGE(S263,S265)</f>
        <v>45</v>
      </c>
      <c r="T145" s="1507"/>
      <c r="U145" s="1507"/>
      <c r="V145" s="1507"/>
      <c r="W145" s="1507"/>
      <c r="X145" s="1282"/>
      <c r="Y145" s="1282"/>
      <c r="Z145" s="1282"/>
      <c r="AA145" s="1282"/>
      <c r="AB145" s="1282"/>
      <c r="AC145" s="1282"/>
      <c r="AD145" s="1282"/>
      <c r="AE145" s="1282"/>
      <c r="AF145" s="1282"/>
      <c r="AG145" s="1517"/>
      <c r="AH145" s="1179"/>
      <c r="AI145" s="1179"/>
      <c r="AJ145" s="1179"/>
      <c r="AK145" s="1179"/>
      <c r="AL145" s="1179"/>
      <c r="AM145" s="1179"/>
      <c r="AN145" s="1179"/>
      <c r="AO145" s="117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30"/>
      <c r="BR145" s="1229"/>
      <c r="BS145" s="1229"/>
      <c r="BT145" s="1229"/>
      <c r="BU145" s="1230"/>
      <c r="BV145" s="1229"/>
      <c r="BW145" s="1229"/>
      <c r="BX145" s="1229"/>
      <c r="BY145" s="1230"/>
      <c r="BZ145" s="1229"/>
      <c r="CA145" s="1229"/>
      <c r="CB145" s="1229"/>
      <c r="CC145" s="1229"/>
      <c r="CD145" s="1305">
        <f t="shared" ref="CD145:CK145" si="136">$B145*AVERAGE(CD263,CD265)*91/365</f>
        <v>11.219178082191782</v>
      </c>
      <c r="CE145" s="1303">
        <f t="shared" si="136"/>
        <v>11.219178082191782</v>
      </c>
      <c r="CF145" s="1303">
        <f t="shared" si="136"/>
        <v>11.219178082191782</v>
      </c>
      <c r="CG145" s="1302">
        <f t="shared" si="136"/>
        <v>11.219178082191782</v>
      </c>
      <c r="CH145" s="1305">
        <f t="shared" si="136"/>
        <v>11.219178082191782</v>
      </c>
      <c r="CI145" s="1303">
        <f t="shared" si="136"/>
        <v>11.219178082191782</v>
      </c>
      <c r="CJ145" s="1303">
        <f t="shared" si="136"/>
        <v>11.219178082191782</v>
      </c>
      <c r="CK145" s="1303">
        <f t="shared" si="136"/>
        <v>11.219178082191782</v>
      </c>
      <c r="CL145" s="1305">
        <f>$B145*AVERAGE(CL263,CL265)*91/365</f>
        <v>11.219178082191782</v>
      </c>
      <c r="CM145" s="1170"/>
      <c r="CN145" s="1170"/>
      <c r="CO145" s="1170"/>
      <c r="CP145" s="1170"/>
      <c r="CQ145" s="1170"/>
      <c r="CR145" s="1170"/>
      <c r="CS145" s="1170"/>
      <c r="CT145" s="1198"/>
      <c r="CU145" s="1198"/>
    </row>
    <row r="146" spans="1:99" ht="12.75" customHeight="1">
      <c r="A146" s="1575" t="str">
        <f>A267</f>
        <v>Notes (7.625%)</v>
      </c>
      <c r="B146" s="1576">
        <v>7.6249999999999998E-2</v>
      </c>
      <c r="C146" s="1198"/>
      <c r="D146" s="1198"/>
      <c r="E146" s="1198"/>
      <c r="F146" s="1226"/>
      <c r="G146" s="1227"/>
      <c r="H146" s="1227"/>
      <c r="I146" s="1227"/>
      <c r="J146" s="1227"/>
      <c r="K146" s="1227"/>
      <c r="L146" s="1227"/>
      <c r="M146" s="1227"/>
      <c r="N146" s="1227"/>
      <c r="O146" s="1229"/>
      <c r="P146" s="1230"/>
      <c r="Q146" s="1305">
        <f t="shared" si="130"/>
        <v>30.416438356164385</v>
      </c>
      <c r="R146" s="1303">
        <f t="shared" si="131"/>
        <v>30.416438356164385</v>
      </c>
      <c r="S146" s="1303">
        <f>$B146*AVERAGE(S268,S270)</f>
        <v>30.5</v>
      </c>
      <c r="T146" s="1507"/>
      <c r="U146" s="1507"/>
      <c r="V146" s="1507"/>
      <c r="W146" s="1507"/>
      <c r="X146" s="1282"/>
      <c r="Y146" s="1282"/>
      <c r="Z146" s="1282"/>
      <c r="AA146" s="1282"/>
      <c r="AB146" s="1282"/>
      <c r="AC146" s="1282"/>
      <c r="AD146" s="1282"/>
      <c r="AE146" s="1282"/>
      <c r="AF146" s="1282"/>
      <c r="AG146" s="1517"/>
      <c r="AH146" s="1179"/>
      <c r="AI146" s="1179"/>
      <c r="AJ146" s="1179"/>
      <c r="AK146" s="1179"/>
      <c r="AL146" s="1179"/>
      <c r="AM146" s="1179"/>
      <c r="AN146" s="1179"/>
      <c r="AO146" s="117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30"/>
      <c r="BR146" s="1229"/>
      <c r="BS146" s="1229"/>
      <c r="BT146" s="1229"/>
      <c r="BU146" s="1230"/>
      <c r="BV146" s="1229"/>
      <c r="BW146" s="1229"/>
      <c r="BX146" s="1229"/>
      <c r="BY146" s="1230"/>
      <c r="BZ146" s="1229"/>
      <c r="CA146" s="1229"/>
      <c r="CB146" s="1229"/>
      <c r="CC146" s="1229"/>
      <c r="CD146" s="1305">
        <f t="shared" ref="CD146:CK146" si="137">$B146*AVERAGE(CD268,CD270)*91/365</f>
        <v>7.6041095890410961</v>
      </c>
      <c r="CE146" s="1303">
        <f t="shared" si="137"/>
        <v>7.6041095890410961</v>
      </c>
      <c r="CF146" s="1303">
        <f t="shared" si="137"/>
        <v>7.6041095890410961</v>
      </c>
      <c r="CG146" s="1303">
        <f t="shared" si="137"/>
        <v>7.6041095890410961</v>
      </c>
      <c r="CH146" s="1305">
        <f t="shared" si="137"/>
        <v>7.6041095890410961</v>
      </c>
      <c r="CI146" s="1303">
        <f t="shared" si="137"/>
        <v>7.6041095890410961</v>
      </c>
      <c r="CJ146" s="1303">
        <f t="shared" si="137"/>
        <v>7.6041095890410961</v>
      </c>
      <c r="CK146" s="1303">
        <f t="shared" si="137"/>
        <v>7.6041095890410961</v>
      </c>
      <c r="CL146" s="1305">
        <f>$B146*AVERAGE(CL268,CL270)*91/365</f>
        <v>7.6041095890410961</v>
      </c>
      <c r="CM146" s="1170"/>
      <c r="CN146" s="1170"/>
      <c r="CO146" s="1170"/>
      <c r="CP146" s="1170"/>
      <c r="CQ146" s="1170"/>
      <c r="CR146" s="1170"/>
      <c r="CS146" s="1170"/>
      <c r="CT146" s="1198"/>
      <c r="CU146" s="1198"/>
    </row>
    <row r="147" spans="1:99" ht="12.75" customHeight="1">
      <c r="A147" s="1575" t="str">
        <f>A272</f>
        <v>Notes (6.50%)</v>
      </c>
      <c r="B147" s="1576">
        <v>6.5000000000000002E-2</v>
      </c>
      <c r="C147" s="1198"/>
      <c r="D147" s="1198"/>
      <c r="E147" s="1198"/>
      <c r="F147" s="1226"/>
      <c r="G147" s="1227"/>
      <c r="H147" s="1227"/>
      <c r="I147" s="1227"/>
      <c r="J147" s="1227"/>
      <c r="K147" s="1227"/>
      <c r="L147" s="1227"/>
      <c r="M147" s="1227"/>
      <c r="N147" s="1227"/>
      <c r="O147" s="1229"/>
      <c r="P147" s="1230"/>
      <c r="Q147" s="1305">
        <f t="shared" si="130"/>
        <v>32.410958904109592</v>
      </c>
      <c r="R147" s="1303">
        <f t="shared" si="131"/>
        <v>32.410958904109592</v>
      </c>
      <c r="S147" s="1303">
        <f>$B147*AVERAGE(S273,S275)</f>
        <v>32.5</v>
      </c>
      <c r="T147" s="1507"/>
      <c r="U147" s="1507"/>
      <c r="V147" s="1507"/>
      <c r="W147" s="1507"/>
      <c r="X147" s="1282"/>
      <c r="Y147" s="1282"/>
      <c r="Z147" s="1282"/>
      <c r="AA147" s="1282"/>
      <c r="AB147" s="1282"/>
      <c r="AC147" s="1282"/>
      <c r="AD147" s="1282"/>
      <c r="AE147" s="1282"/>
      <c r="AF147" s="1282"/>
      <c r="AG147" s="1517"/>
      <c r="AH147" s="1179"/>
      <c r="AI147" s="1179"/>
      <c r="AJ147" s="1179"/>
      <c r="AK147" s="1179"/>
      <c r="AL147" s="1179"/>
      <c r="AM147" s="1179"/>
      <c r="AN147" s="1179"/>
      <c r="AO147" s="117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30"/>
      <c r="BR147" s="1229"/>
      <c r="BS147" s="1229"/>
      <c r="BT147" s="1229"/>
      <c r="BU147" s="1230"/>
      <c r="BV147" s="1229"/>
      <c r="BW147" s="1229"/>
      <c r="BX147" s="1229"/>
      <c r="BY147" s="1230"/>
      <c r="BZ147" s="1229"/>
      <c r="CA147" s="1229"/>
      <c r="CB147" s="1229"/>
      <c r="CC147" s="1229"/>
      <c r="CD147" s="1305">
        <f t="shared" ref="CD147:CK147" si="138">$B147*AVERAGE(CD273,CD275)*91/365</f>
        <v>8.1027397260273979</v>
      </c>
      <c r="CE147" s="1302">
        <f t="shared" si="138"/>
        <v>8.1027397260273979</v>
      </c>
      <c r="CF147" s="1302">
        <f t="shared" si="138"/>
        <v>8.1027397260273979</v>
      </c>
      <c r="CG147" s="1302">
        <f t="shared" si="138"/>
        <v>8.1027397260273979</v>
      </c>
      <c r="CH147" s="1305">
        <f t="shared" si="138"/>
        <v>8.1027397260273979</v>
      </c>
      <c r="CI147" s="1303">
        <f t="shared" si="138"/>
        <v>8.1027397260273979</v>
      </c>
      <c r="CJ147" s="1303">
        <f t="shared" si="138"/>
        <v>8.1027397260273979</v>
      </c>
      <c r="CK147" s="1303">
        <f t="shared" si="138"/>
        <v>8.1027397260273979</v>
      </c>
      <c r="CL147" s="1305">
        <f>$B147*AVERAGE(CL273,CL275)*91/365</f>
        <v>8.1027397260273979</v>
      </c>
      <c r="CM147" s="1170"/>
      <c r="CN147" s="1170"/>
      <c r="CO147" s="1170"/>
      <c r="CP147" s="1170"/>
      <c r="CQ147" s="1170"/>
      <c r="CR147" s="1170"/>
      <c r="CS147" s="1170"/>
      <c r="CT147" s="1198"/>
      <c r="CU147" s="1198"/>
    </row>
    <row r="148" spans="1:99" ht="12.75" customHeight="1">
      <c r="A148" s="1575" t="str">
        <f>+A277</f>
        <v>Notes (8.375%)</v>
      </c>
      <c r="B148" s="1576">
        <v>8.3750000000000005E-2</v>
      </c>
      <c r="C148" s="1198"/>
      <c r="D148" s="1198"/>
      <c r="E148" s="1198"/>
      <c r="F148" s="1226"/>
      <c r="G148" s="1227"/>
      <c r="H148" s="1227"/>
      <c r="I148" s="1227"/>
      <c r="J148" s="1227"/>
      <c r="K148" s="1227"/>
      <c r="L148" s="1227"/>
      <c r="M148" s="1227"/>
      <c r="N148" s="1227"/>
      <c r="O148" s="1229"/>
      <c r="P148" s="1230"/>
      <c r="Q148" s="1305">
        <f t="shared" ca="1" si="130"/>
        <v>33.49541095890411</v>
      </c>
      <c r="R148" s="1303">
        <f t="shared" ca="1" si="131"/>
        <v>66.990821917808219</v>
      </c>
      <c r="S148" s="1303">
        <f ca="1">$B148*AVERAGE(S278,S280)</f>
        <v>67.921250000000001</v>
      </c>
      <c r="T148" s="1507"/>
      <c r="U148" s="1507"/>
      <c r="V148" s="1507"/>
      <c r="W148" s="1507"/>
      <c r="X148" s="1282"/>
      <c r="Y148" s="1282"/>
      <c r="Z148" s="1282"/>
      <c r="AA148" s="1282"/>
      <c r="AB148" s="1282"/>
      <c r="AC148" s="1282"/>
      <c r="AD148" s="1282"/>
      <c r="AE148" s="1282"/>
      <c r="AF148" s="1282"/>
      <c r="AG148" s="1517"/>
      <c r="AH148" s="1179"/>
      <c r="AI148" s="1179"/>
      <c r="AJ148" s="1179"/>
      <c r="AK148" s="1179"/>
      <c r="AL148" s="1179"/>
      <c r="AM148" s="1179"/>
      <c r="AN148" s="1179"/>
      <c r="AO148" s="117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30"/>
      <c r="BR148" s="1229"/>
      <c r="BS148" s="1229"/>
      <c r="BT148" s="1229"/>
      <c r="BU148" s="1230"/>
      <c r="BV148" s="1229"/>
      <c r="BW148" s="1229"/>
      <c r="BX148" s="1229"/>
      <c r="BY148" s="1230"/>
      <c r="BZ148" s="1229"/>
      <c r="CA148" s="1229"/>
      <c r="CB148" s="1229"/>
      <c r="CC148" s="1229"/>
      <c r="CD148" s="1305"/>
      <c r="CE148" s="1302"/>
      <c r="CF148" s="1302"/>
      <c r="CG148" s="1302">
        <f ca="1">$B148*AVERAGE(CG278,CG280)*180/365</f>
        <v>33.49541095890411</v>
      </c>
      <c r="CH148" s="1305"/>
      <c r="CI148" s="1302">
        <f ca="1">$B148*AVERAGE(CI278,CI280)*180/365</f>
        <v>33.49541095890411</v>
      </c>
      <c r="CJ148" s="1302"/>
      <c r="CK148" s="1302">
        <f ca="1">$B148*AVERAGE(CK278,CK280)*180/365</f>
        <v>33.49541095890411</v>
      </c>
      <c r="CL148" s="1305">
        <f ca="1">$B148*AVERAGE(CL278,CL280)*180/365</f>
        <v>33.49541095890411</v>
      </c>
      <c r="CM148" s="1170"/>
      <c r="CN148" s="1170"/>
      <c r="CO148" s="1170"/>
      <c r="CP148" s="1170"/>
      <c r="CQ148" s="1170"/>
      <c r="CR148" s="1170"/>
      <c r="CS148" s="1170"/>
      <c r="CT148" s="1198"/>
      <c r="CU148" s="1198"/>
    </row>
    <row r="149" spans="1:99" ht="12.75" customHeight="1">
      <c r="A149" s="1575" t="str">
        <f>A282</f>
        <v>Debentures (7.50%)</v>
      </c>
      <c r="B149" s="1576">
        <v>7.4999999999999997E-2</v>
      </c>
      <c r="C149" s="1198"/>
      <c r="D149" s="1198"/>
      <c r="E149" s="1198"/>
      <c r="F149" s="1226"/>
      <c r="G149" s="1227"/>
      <c r="H149" s="1227"/>
      <c r="I149" s="1227"/>
      <c r="J149" s="1227"/>
      <c r="K149" s="1227"/>
      <c r="L149" s="1227"/>
      <c r="M149" s="1227"/>
      <c r="N149" s="1227"/>
      <c r="O149" s="1229"/>
      <c r="P149" s="1230"/>
      <c r="Q149" s="1305">
        <f t="shared" si="130"/>
        <v>36.200547945205479</v>
      </c>
      <c r="R149" s="1303">
        <f t="shared" si="131"/>
        <v>36.200547945205479</v>
      </c>
      <c r="S149" s="1303">
        <f>$B149*AVERAGE(S283,S285)</f>
        <v>36.299999999999997</v>
      </c>
      <c r="T149" s="1507"/>
      <c r="U149" s="1507"/>
      <c r="V149" s="1507"/>
      <c r="W149" s="1507"/>
      <c r="X149" s="1282"/>
      <c r="Y149" s="1282"/>
      <c r="Z149" s="1282"/>
      <c r="AA149" s="1282"/>
      <c r="AB149" s="1282"/>
      <c r="AC149" s="1282"/>
      <c r="AD149" s="1282"/>
      <c r="AE149" s="1282"/>
      <c r="AF149" s="1282"/>
      <c r="AG149" s="1517"/>
      <c r="AH149" s="1179"/>
      <c r="AI149" s="1179"/>
      <c r="AJ149" s="1179"/>
      <c r="AK149" s="1179"/>
      <c r="AL149" s="1179"/>
      <c r="AM149" s="1179"/>
      <c r="AN149" s="1179"/>
      <c r="AO149" s="117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30"/>
      <c r="BR149" s="1229"/>
      <c r="BS149" s="1229"/>
      <c r="BT149" s="1229"/>
      <c r="BU149" s="1230"/>
      <c r="BV149" s="1229"/>
      <c r="BW149" s="1229"/>
      <c r="BX149" s="1229"/>
      <c r="BY149" s="1230"/>
      <c r="BZ149" s="1229"/>
      <c r="CA149" s="1229"/>
      <c r="CB149" s="1229"/>
      <c r="CC149" s="1229"/>
      <c r="CD149" s="1305">
        <f t="shared" ref="CD149:CK149" si="139">$B149*AVERAGE(CD283,CD285)*91/365</f>
        <v>9.0501369863013696</v>
      </c>
      <c r="CE149" s="1302">
        <f t="shared" si="139"/>
        <v>9.0501369863013696</v>
      </c>
      <c r="CF149" s="1302">
        <f t="shared" si="139"/>
        <v>9.0501369863013696</v>
      </c>
      <c r="CG149" s="1302">
        <f t="shared" si="139"/>
        <v>9.0501369863013696</v>
      </c>
      <c r="CH149" s="1305">
        <f t="shared" si="139"/>
        <v>9.0501369863013696</v>
      </c>
      <c r="CI149" s="1302">
        <f t="shared" si="139"/>
        <v>9.0501369863013696</v>
      </c>
      <c r="CJ149" s="1302">
        <f t="shared" si="139"/>
        <v>9.0501369863013696</v>
      </c>
      <c r="CK149" s="1302">
        <f t="shared" si="139"/>
        <v>9.0501369863013696</v>
      </c>
      <c r="CL149" s="1305">
        <f>$B149*AVERAGE(CL283,CL285)*91/365</f>
        <v>9.0501369863013696</v>
      </c>
      <c r="CM149" s="1170"/>
      <c r="CN149" s="1170"/>
      <c r="CO149" s="1170"/>
      <c r="CP149" s="1170"/>
      <c r="CQ149" s="1170"/>
      <c r="CR149" s="1170"/>
      <c r="CS149" s="1170"/>
      <c r="CT149" s="1198"/>
      <c r="CU149" s="1198"/>
    </row>
    <row r="150" spans="1:99" ht="12.75" customHeight="1">
      <c r="A150" s="1575" t="str">
        <f>A287</f>
        <v>Debentures (7.25%)</v>
      </c>
      <c r="B150" s="1576">
        <v>7.2499999999999995E-2</v>
      </c>
      <c r="C150" s="1198"/>
      <c r="D150" s="1198"/>
      <c r="E150" s="1198"/>
      <c r="F150" s="1226"/>
      <c r="G150" s="1227"/>
      <c r="H150" s="1227"/>
      <c r="I150" s="1227"/>
      <c r="J150" s="1227"/>
      <c r="K150" s="1227"/>
      <c r="L150" s="1227"/>
      <c r="M150" s="1227"/>
      <c r="N150" s="1227"/>
      <c r="O150" s="1229"/>
      <c r="P150" s="1230"/>
      <c r="Q150" s="1305">
        <f t="shared" si="130"/>
        <v>18.075342465753426</v>
      </c>
      <c r="R150" s="1303">
        <f t="shared" si="131"/>
        <v>18.075342465753426</v>
      </c>
      <c r="S150" s="1303">
        <f>$B150*AVERAGE(S288,S290)</f>
        <v>18.125</v>
      </c>
      <c r="T150" s="1507"/>
      <c r="U150" s="1507"/>
      <c r="V150" s="1507"/>
      <c r="W150" s="1507"/>
      <c r="X150" s="1282"/>
      <c r="Y150" s="1282"/>
      <c r="Z150" s="1282"/>
      <c r="AA150" s="1282"/>
      <c r="AB150" s="1282"/>
      <c r="AC150" s="1282"/>
      <c r="AD150" s="1282"/>
      <c r="AE150" s="1282"/>
      <c r="AF150" s="1282"/>
      <c r="AG150" s="1517"/>
      <c r="AH150" s="1179"/>
      <c r="AI150" s="1179"/>
      <c r="AJ150" s="1179"/>
      <c r="AK150" s="1179"/>
      <c r="AL150" s="1179"/>
      <c r="AM150" s="1179"/>
      <c r="AN150" s="1179"/>
      <c r="AO150" s="117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30"/>
      <c r="BR150" s="1229"/>
      <c r="BS150" s="1229"/>
      <c r="BT150" s="1229"/>
      <c r="BU150" s="1230"/>
      <c r="BV150" s="1229"/>
      <c r="BW150" s="1229"/>
      <c r="BX150" s="1229"/>
      <c r="BY150" s="1230"/>
      <c r="BZ150" s="1229"/>
      <c r="CA150" s="1229"/>
      <c r="CB150" s="1229"/>
      <c r="CC150" s="1229"/>
      <c r="CD150" s="1305">
        <f t="shared" ref="CD150:CK150" si="140">$B150*AVERAGE(CD288,CD290)*91/365</f>
        <v>4.5188356164383565</v>
      </c>
      <c r="CE150" s="1302">
        <f t="shared" si="140"/>
        <v>4.5188356164383565</v>
      </c>
      <c r="CF150" s="1302">
        <f t="shared" si="140"/>
        <v>4.5188356164383565</v>
      </c>
      <c r="CG150" s="1302">
        <f t="shared" si="140"/>
        <v>4.5188356164383565</v>
      </c>
      <c r="CH150" s="1305">
        <f t="shared" si="140"/>
        <v>4.5188356164383565</v>
      </c>
      <c r="CI150" s="1302">
        <f t="shared" si="140"/>
        <v>4.5188356164383565</v>
      </c>
      <c r="CJ150" s="1302">
        <f t="shared" si="140"/>
        <v>4.5188356164383565</v>
      </c>
      <c r="CK150" s="1302">
        <f t="shared" si="140"/>
        <v>4.5188356164383565</v>
      </c>
      <c r="CL150" s="1305">
        <f>$B150*AVERAGE(CL288,CL290)*91/365</f>
        <v>4.5188356164383565</v>
      </c>
      <c r="CM150" s="1170"/>
      <c r="CN150" s="1170"/>
      <c r="CO150" s="1170"/>
      <c r="CP150" s="1170"/>
      <c r="CQ150" s="1170"/>
      <c r="CR150" s="1170"/>
      <c r="CS150" s="1170"/>
      <c r="CT150" s="1198"/>
      <c r="CU150" s="1198"/>
    </row>
    <row r="151" spans="1:99" ht="12.75" customHeight="1">
      <c r="A151" s="1575" t="str">
        <f>A292</f>
        <v>Debentures (7.20%)</v>
      </c>
      <c r="B151" s="1576">
        <v>7.1999999999999995E-2</v>
      </c>
      <c r="C151" s="1198"/>
      <c r="D151" s="1198"/>
      <c r="E151" s="1198"/>
      <c r="F151" s="1226"/>
      <c r="G151" s="1227"/>
      <c r="H151" s="1227"/>
      <c r="I151" s="1227"/>
      <c r="J151" s="1227"/>
      <c r="K151" s="1227"/>
      <c r="L151" s="1227"/>
      <c r="M151" s="1227"/>
      <c r="N151" s="1227"/>
      <c r="O151" s="1229"/>
      <c r="P151" s="1230"/>
      <c r="Q151" s="1305">
        <f t="shared" si="130"/>
        <v>17.950684931506849</v>
      </c>
      <c r="R151" s="1303">
        <f t="shared" si="131"/>
        <v>17.950684931506849</v>
      </c>
      <c r="S151" s="1303">
        <f>$B151*AVERAGE(S293,S295)</f>
        <v>18</v>
      </c>
      <c r="T151" s="1507"/>
      <c r="U151" s="1507"/>
      <c r="V151" s="1507"/>
      <c r="W151" s="1507"/>
      <c r="X151" s="1282"/>
      <c r="Y151" s="1282"/>
      <c r="Z151" s="1282"/>
      <c r="AA151" s="1282"/>
      <c r="AB151" s="1282"/>
      <c r="AC151" s="1282"/>
      <c r="AD151" s="1282"/>
      <c r="AE151" s="1282"/>
      <c r="AF151" s="1282"/>
      <c r="AG151" s="1517"/>
      <c r="AH151" s="1179"/>
      <c r="AI151" s="1179"/>
      <c r="AJ151" s="1179"/>
      <c r="AK151" s="1179"/>
      <c r="AL151" s="1179"/>
      <c r="AM151" s="1179"/>
      <c r="AN151" s="1179"/>
      <c r="AO151" s="117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30"/>
      <c r="BR151" s="1229"/>
      <c r="BS151" s="1229"/>
      <c r="BT151" s="1229"/>
      <c r="BU151" s="1230"/>
      <c r="BV151" s="1229"/>
      <c r="BW151" s="1229"/>
      <c r="BX151" s="1229"/>
      <c r="BY151" s="1230"/>
      <c r="BZ151" s="1229"/>
      <c r="CA151" s="1229"/>
      <c r="CB151" s="1229"/>
      <c r="CC151" s="1229"/>
      <c r="CD151" s="1305">
        <f t="shared" ref="CD151:CK151" si="141">$B151*AVERAGE(CD293,CD295)*91/365</f>
        <v>4.4876712328767123</v>
      </c>
      <c r="CE151" s="1302">
        <f t="shared" si="141"/>
        <v>4.4876712328767123</v>
      </c>
      <c r="CF151" s="1302">
        <f t="shared" si="141"/>
        <v>4.4876712328767123</v>
      </c>
      <c r="CG151" s="1302">
        <f t="shared" si="141"/>
        <v>4.4876712328767123</v>
      </c>
      <c r="CH151" s="1305">
        <f t="shared" si="141"/>
        <v>4.4876712328767123</v>
      </c>
      <c r="CI151" s="1302">
        <f t="shared" si="141"/>
        <v>4.4876712328767123</v>
      </c>
      <c r="CJ151" s="1302">
        <f t="shared" si="141"/>
        <v>4.4876712328767123</v>
      </c>
      <c r="CK151" s="1302">
        <f t="shared" si="141"/>
        <v>4.4876712328767123</v>
      </c>
      <c r="CL151" s="1305">
        <f>$B151*AVERAGE(CL293,CL295)*91/365</f>
        <v>4.4876712328767123</v>
      </c>
      <c r="CM151" s="1170"/>
      <c r="CN151" s="1170"/>
      <c r="CO151" s="1170"/>
      <c r="CP151" s="1170"/>
      <c r="CQ151" s="1170"/>
      <c r="CR151" s="1170"/>
      <c r="CS151" s="1170"/>
      <c r="CT151" s="1198"/>
      <c r="CU151" s="1198"/>
    </row>
    <row r="152" spans="1:99" ht="12.75" customHeight="1">
      <c r="A152" s="1575" t="str">
        <f>A297</f>
        <v>Debentures (7.375%)</v>
      </c>
      <c r="B152" s="1576">
        <v>7.3749999999999996E-2</v>
      </c>
      <c r="C152" s="1198"/>
      <c r="D152" s="1198"/>
      <c r="E152" s="1198"/>
      <c r="F152" s="1226"/>
      <c r="G152" s="1227"/>
      <c r="H152" s="1227"/>
      <c r="I152" s="1227"/>
      <c r="J152" s="1227"/>
      <c r="K152" s="1227"/>
      <c r="L152" s="1227"/>
      <c r="M152" s="1227"/>
      <c r="N152" s="1227"/>
      <c r="O152" s="1229"/>
      <c r="P152" s="1230"/>
      <c r="Q152" s="1305">
        <f t="shared" si="130"/>
        <v>4.0561691780821914</v>
      </c>
      <c r="R152" s="1303">
        <f t="shared" si="131"/>
        <v>4.0561691780821914</v>
      </c>
      <c r="S152" s="1303">
        <f>$B152*AVERAGE(S298,S300)</f>
        <v>4.0673124999999999</v>
      </c>
      <c r="T152" s="1507"/>
      <c r="U152" s="1507"/>
      <c r="V152" s="1507"/>
      <c r="W152" s="1507"/>
      <c r="X152" s="1282"/>
      <c r="Y152" s="1282"/>
      <c r="Z152" s="1282"/>
      <c r="AA152" s="1282"/>
      <c r="AB152" s="1282"/>
      <c r="AC152" s="1282"/>
      <c r="AD152" s="1282"/>
      <c r="AE152" s="1282"/>
      <c r="AF152" s="1282"/>
      <c r="AG152" s="1517"/>
      <c r="AH152" s="1179"/>
      <c r="AI152" s="1179"/>
      <c r="AJ152" s="1179"/>
      <c r="AK152" s="1179"/>
      <c r="AL152" s="1179"/>
      <c r="AM152" s="1179"/>
      <c r="AN152" s="1179"/>
      <c r="AO152" s="117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30"/>
      <c r="BR152" s="1229"/>
      <c r="BS152" s="1229"/>
      <c r="BT152" s="1229"/>
      <c r="BU152" s="1230"/>
      <c r="BV152" s="1229"/>
      <c r="BW152" s="1229"/>
      <c r="BX152" s="1229"/>
      <c r="BY152" s="1230"/>
      <c r="BZ152" s="1229"/>
      <c r="CA152" s="1229"/>
      <c r="CB152" s="1229"/>
      <c r="CC152" s="1229"/>
      <c r="CD152" s="1305">
        <f t="shared" ref="CD152:CK152" si="142">$B152*AVERAGE(CD298,CD300)*91/365</f>
        <v>1.0140422945205478</v>
      </c>
      <c r="CE152" s="1302">
        <f t="shared" si="142"/>
        <v>1.0140422945205478</v>
      </c>
      <c r="CF152" s="1302">
        <f t="shared" si="142"/>
        <v>1.0140422945205478</v>
      </c>
      <c r="CG152" s="1302">
        <f t="shared" si="142"/>
        <v>1.0140422945205478</v>
      </c>
      <c r="CH152" s="1305">
        <f t="shared" si="142"/>
        <v>1.0140422945205478</v>
      </c>
      <c r="CI152" s="1302">
        <f t="shared" si="142"/>
        <v>1.0140422945205478</v>
      </c>
      <c r="CJ152" s="1302">
        <f t="shared" si="142"/>
        <v>1.0140422945205478</v>
      </c>
      <c r="CK152" s="1302">
        <f t="shared" si="142"/>
        <v>1.0140422945205478</v>
      </c>
      <c r="CL152" s="1305">
        <f>$B152*AVERAGE(CL298,CL300)*91/365</f>
        <v>1.0140422945205478</v>
      </c>
      <c r="CM152" s="1170"/>
      <c r="CN152" s="1170"/>
      <c r="CO152" s="1170"/>
      <c r="CP152" s="1170"/>
      <c r="CQ152" s="1170"/>
      <c r="CR152" s="1170"/>
      <c r="CS152" s="1170"/>
      <c r="CT152" s="1198"/>
      <c r="CU152" s="1198"/>
    </row>
    <row r="153" spans="1:99" ht="12.75" customHeight="1">
      <c r="A153" s="1575" t="str">
        <f>A302</f>
        <v>Debentures (7.75%)</v>
      </c>
      <c r="B153" s="1576">
        <v>7.7499999999999999E-2</v>
      </c>
      <c r="C153" s="1198"/>
      <c r="D153" s="1198"/>
      <c r="E153" s="1198"/>
      <c r="F153" s="1226"/>
      <c r="G153" s="1227"/>
      <c r="H153" s="1227"/>
      <c r="I153" s="1227"/>
      <c r="J153" s="1227"/>
      <c r="K153" s="1227"/>
      <c r="L153" s="1227"/>
      <c r="M153" s="1227"/>
      <c r="N153" s="1227"/>
      <c r="O153" s="1229"/>
      <c r="P153" s="1230"/>
      <c r="Q153" s="1305">
        <f t="shared" si="130"/>
        <v>3.3143272054794521</v>
      </c>
      <c r="R153" s="1303">
        <f t="shared" si="131"/>
        <v>3.3143272054794521</v>
      </c>
      <c r="S153" s="1303">
        <f>$B153*AVERAGE(S303,S305)</f>
        <v>3.3234325</v>
      </c>
      <c r="T153" s="1507"/>
      <c r="U153" s="1507"/>
      <c r="V153" s="1507"/>
      <c r="W153" s="1507"/>
      <c r="X153" s="1282"/>
      <c r="Y153" s="1282"/>
      <c r="Z153" s="1282"/>
      <c r="AA153" s="1282"/>
      <c r="AB153" s="1282"/>
      <c r="AC153" s="1282"/>
      <c r="AD153" s="1282"/>
      <c r="AE153" s="1282"/>
      <c r="AF153" s="1282"/>
      <c r="AG153" s="1517"/>
      <c r="AH153" s="1179"/>
      <c r="AI153" s="1179"/>
      <c r="AJ153" s="1179"/>
      <c r="AK153" s="1179"/>
      <c r="AL153" s="1179"/>
      <c r="AM153" s="1179"/>
      <c r="AN153" s="1179"/>
      <c r="AO153" s="117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30"/>
      <c r="BR153" s="1229"/>
      <c r="BS153" s="1229"/>
      <c r="BT153" s="1229"/>
      <c r="BU153" s="1230"/>
      <c r="BV153" s="1229"/>
      <c r="BW153" s="1229"/>
      <c r="BX153" s="1229"/>
      <c r="BY153" s="1230"/>
      <c r="BZ153" s="1229"/>
      <c r="CA153" s="1229"/>
      <c r="CB153" s="1229"/>
      <c r="CC153" s="1229"/>
      <c r="CD153" s="1305">
        <f t="shared" ref="CD153:CK153" si="143">$B153*AVERAGE(CD303,CD305)*91/365</f>
        <v>0.82858180136986304</v>
      </c>
      <c r="CE153" s="1302">
        <f t="shared" si="143"/>
        <v>0.82858180136986304</v>
      </c>
      <c r="CF153" s="1302">
        <f t="shared" si="143"/>
        <v>0.82858180136986304</v>
      </c>
      <c r="CG153" s="1302">
        <f t="shared" si="143"/>
        <v>0.82858180136986304</v>
      </c>
      <c r="CH153" s="1305">
        <f t="shared" si="143"/>
        <v>0.82858180136986304</v>
      </c>
      <c r="CI153" s="1302">
        <f t="shared" si="143"/>
        <v>0.82858180136986304</v>
      </c>
      <c r="CJ153" s="1302">
        <f t="shared" si="143"/>
        <v>0.82858180136986304</v>
      </c>
      <c r="CK153" s="1302">
        <f t="shared" si="143"/>
        <v>0.82858180136986304</v>
      </c>
      <c r="CL153" s="1305">
        <f>$B153*AVERAGE(CL303,CL305)*91/365</f>
        <v>0.82858180136986304</v>
      </c>
      <c r="CM153" s="1170"/>
      <c r="CN153" s="1170"/>
      <c r="CO153" s="1170"/>
      <c r="CP153" s="1170"/>
      <c r="CQ153" s="1170"/>
      <c r="CR153" s="1170"/>
      <c r="CS153" s="1170"/>
      <c r="CT153" s="1198"/>
      <c r="CU153" s="1198"/>
    </row>
    <row r="154" spans="1:99" ht="12.75" customHeight="1">
      <c r="A154" s="1575" t="str">
        <f>A307</f>
        <v>Debentures (6.875%)</v>
      </c>
      <c r="B154" s="1576">
        <v>6.8750000000000006E-2</v>
      </c>
      <c r="C154" s="1198"/>
      <c r="D154" s="1198"/>
      <c r="E154" s="1198"/>
      <c r="F154" s="1226"/>
      <c r="G154" s="1227"/>
      <c r="H154" s="1227"/>
      <c r="I154" s="1227"/>
      <c r="J154" s="1227"/>
      <c r="K154" s="1227"/>
      <c r="L154" s="1227"/>
      <c r="M154" s="1227"/>
      <c r="N154" s="1227"/>
      <c r="O154" s="1229"/>
      <c r="P154" s="1230"/>
      <c r="Q154" s="1305">
        <f t="shared" si="130"/>
        <v>68.561643835616437</v>
      </c>
      <c r="R154" s="1303">
        <f t="shared" si="131"/>
        <v>68.561643835616437</v>
      </c>
      <c r="S154" s="1303">
        <f>$B154*AVERAGE(S308,S310)</f>
        <v>68.75</v>
      </c>
      <c r="T154" s="1507"/>
      <c r="U154" s="1507"/>
      <c r="V154" s="1507"/>
      <c r="W154" s="1507"/>
      <c r="X154" s="1282"/>
      <c r="Y154" s="1282"/>
      <c r="Z154" s="1282"/>
      <c r="AA154" s="1282"/>
      <c r="AB154" s="1282"/>
      <c r="AC154" s="1282"/>
      <c r="AD154" s="1282"/>
      <c r="AE154" s="1282"/>
      <c r="AF154" s="1282"/>
      <c r="AG154" s="1517"/>
      <c r="AH154" s="1179"/>
      <c r="AI154" s="1179"/>
      <c r="AJ154" s="1179"/>
      <c r="AK154" s="1179"/>
      <c r="AL154" s="1179"/>
      <c r="AM154" s="1179"/>
      <c r="AN154" s="1179"/>
      <c r="AO154" s="117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30"/>
      <c r="BR154" s="1229"/>
      <c r="BS154" s="1229"/>
      <c r="BT154" s="1229"/>
      <c r="BU154" s="1230"/>
      <c r="BV154" s="1229"/>
      <c r="BW154" s="1229"/>
      <c r="BX154" s="1229"/>
      <c r="BY154" s="1230"/>
      <c r="BZ154" s="1229"/>
      <c r="CA154" s="1229"/>
      <c r="CB154" s="1229"/>
      <c r="CC154" s="1229"/>
      <c r="CD154" s="1305">
        <f t="shared" ref="CD154:CK154" si="144">$B154*AVERAGE(CD308,CD310)*91/365</f>
        <v>17.140410958904109</v>
      </c>
      <c r="CE154" s="1302">
        <f t="shared" si="144"/>
        <v>17.140410958904109</v>
      </c>
      <c r="CF154" s="1302">
        <f t="shared" si="144"/>
        <v>17.140410958904109</v>
      </c>
      <c r="CG154" s="1302">
        <f t="shared" si="144"/>
        <v>17.140410958904109</v>
      </c>
      <c r="CH154" s="1305">
        <f t="shared" si="144"/>
        <v>17.140410958904109</v>
      </c>
      <c r="CI154" s="1302">
        <f t="shared" si="144"/>
        <v>17.140410958904109</v>
      </c>
      <c r="CJ154" s="1302">
        <f t="shared" si="144"/>
        <v>17.140410958904109</v>
      </c>
      <c r="CK154" s="1302">
        <f t="shared" si="144"/>
        <v>17.140410958904109</v>
      </c>
      <c r="CL154" s="1305">
        <f>$B154*AVERAGE(CL308,CL310)*91/365</f>
        <v>17.140410958904109</v>
      </c>
      <c r="CM154" s="1170"/>
      <c r="CN154" s="1170"/>
      <c r="CO154" s="1170"/>
      <c r="CP154" s="1170"/>
      <c r="CQ154" s="1170"/>
      <c r="CR154" s="1170"/>
      <c r="CS154" s="1170"/>
      <c r="CT154" s="1198"/>
      <c r="CU154" s="1198"/>
    </row>
    <row r="155" spans="1:99" ht="12.75" customHeight="1">
      <c r="A155" s="1575" t="str">
        <f>A312</f>
        <v>Debentures (7.25%)</v>
      </c>
      <c r="B155" s="1576">
        <v>7.2499999999999995E-2</v>
      </c>
      <c r="C155" s="1198"/>
      <c r="D155" s="1198"/>
      <c r="E155" s="1198"/>
      <c r="F155" s="1226"/>
      <c r="G155" s="1227"/>
      <c r="H155" s="1227"/>
      <c r="I155" s="1227"/>
      <c r="J155" s="1227"/>
      <c r="K155" s="1227"/>
      <c r="L155" s="1227"/>
      <c r="M155" s="1227"/>
      <c r="N155" s="1227"/>
      <c r="O155" s="1229"/>
      <c r="P155" s="1230"/>
      <c r="Q155" s="1305">
        <f t="shared" si="130"/>
        <v>18.075342465753426</v>
      </c>
      <c r="R155" s="1303">
        <f t="shared" si="131"/>
        <v>18.075342465753426</v>
      </c>
      <c r="S155" s="1303">
        <f>$B155*AVERAGE(S313,S315)</f>
        <v>18.125</v>
      </c>
      <c r="T155" s="1507"/>
      <c r="U155" s="1507"/>
      <c r="V155" s="1507"/>
      <c r="W155" s="1507"/>
      <c r="X155" s="1282"/>
      <c r="Y155" s="1282"/>
      <c r="Z155" s="1282"/>
      <c r="AA155" s="1282"/>
      <c r="AB155" s="1282"/>
      <c r="AC155" s="1282"/>
      <c r="AD155" s="1282"/>
      <c r="AE155" s="1282"/>
      <c r="AF155" s="1282"/>
      <c r="AG155" s="1517"/>
      <c r="AH155" s="1179"/>
      <c r="AI155" s="1179"/>
      <c r="AJ155" s="1179"/>
      <c r="AK155" s="1179"/>
      <c r="AL155" s="1179"/>
      <c r="AM155" s="1179"/>
      <c r="AN155" s="1179"/>
      <c r="AO155" s="117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30"/>
      <c r="BR155" s="1229"/>
      <c r="BS155" s="1229"/>
      <c r="BT155" s="1229"/>
      <c r="BU155" s="1230"/>
      <c r="BV155" s="1229"/>
      <c r="BW155" s="1229"/>
      <c r="BX155" s="1229"/>
      <c r="BY155" s="1230"/>
      <c r="BZ155" s="1229"/>
      <c r="CA155" s="1229"/>
      <c r="CB155" s="1229"/>
      <c r="CC155" s="1229"/>
      <c r="CD155" s="1305">
        <f t="shared" ref="CD155:CK155" si="145">$B155*AVERAGE(CD313,CD315)*91/365</f>
        <v>4.5188356164383565</v>
      </c>
      <c r="CE155" s="1302">
        <f t="shared" si="145"/>
        <v>4.5188356164383565</v>
      </c>
      <c r="CF155" s="1302">
        <f t="shared" si="145"/>
        <v>4.5188356164383565</v>
      </c>
      <c r="CG155" s="1302">
        <f t="shared" si="145"/>
        <v>4.5188356164383565</v>
      </c>
      <c r="CH155" s="1305">
        <f t="shared" si="145"/>
        <v>4.5188356164383565</v>
      </c>
      <c r="CI155" s="1302">
        <f t="shared" si="145"/>
        <v>4.5188356164383565</v>
      </c>
      <c r="CJ155" s="1302">
        <f t="shared" si="145"/>
        <v>4.5188356164383565</v>
      </c>
      <c r="CK155" s="1302">
        <f t="shared" si="145"/>
        <v>4.5188356164383565</v>
      </c>
      <c r="CL155" s="1305">
        <f>$B155*AVERAGE(CL313,CL315)*91/365</f>
        <v>4.5188356164383565</v>
      </c>
      <c r="CM155" s="1170"/>
      <c r="CN155" s="1170"/>
      <c r="CO155" s="1170"/>
      <c r="CP155" s="1170"/>
      <c r="CQ155" s="1170"/>
      <c r="CR155" s="1170"/>
      <c r="CS155" s="1170"/>
      <c r="CT155" s="1198"/>
      <c r="CU155" s="1198"/>
    </row>
    <row r="156" spans="1:99" ht="12.75" customHeight="1">
      <c r="A156" s="1575" t="str">
        <f>A317</f>
        <v>Debentures (7.125%)</v>
      </c>
      <c r="B156" s="1576">
        <v>7.1249999999999994E-2</v>
      </c>
      <c r="C156" s="1198"/>
      <c r="D156" s="1198"/>
      <c r="E156" s="1198"/>
      <c r="F156" s="1226"/>
      <c r="G156" s="1227"/>
      <c r="H156" s="1227"/>
      <c r="I156" s="1227"/>
      <c r="J156" s="1227"/>
      <c r="K156" s="1227"/>
      <c r="L156" s="1227"/>
      <c r="M156" s="1227"/>
      <c r="N156" s="1227"/>
      <c r="O156" s="1229"/>
      <c r="P156" s="1230"/>
      <c r="Q156" s="1305">
        <f t="shared" si="130"/>
        <v>17.763698630136986</v>
      </c>
      <c r="R156" s="1303">
        <f t="shared" si="131"/>
        <v>17.763698630136986</v>
      </c>
      <c r="S156" s="1303">
        <f>$B156*AVERAGE(S318,S320)</f>
        <v>17.8125</v>
      </c>
      <c r="T156" s="1507"/>
      <c r="U156" s="1507"/>
      <c r="V156" s="1507"/>
      <c r="W156" s="1507"/>
      <c r="X156" s="1282"/>
      <c r="Y156" s="1282"/>
      <c r="Z156" s="1282"/>
      <c r="AA156" s="1282"/>
      <c r="AB156" s="1282"/>
      <c r="AC156" s="1282"/>
      <c r="AD156" s="1282"/>
      <c r="AE156" s="1282"/>
      <c r="AF156" s="1282"/>
      <c r="AG156" s="1517"/>
      <c r="AH156" s="1179"/>
      <c r="AI156" s="1179"/>
      <c r="AJ156" s="1179"/>
      <c r="AK156" s="1179"/>
      <c r="AL156" s="1179"/>
      <c r="AM156" s="1179"/>
      <c r="AN156" s="1179"/>
      <c r="AO156" s="117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30"/>
      <c r="BR156" s="1229"/>
      <c r="BS156" s="1229"/>
      <c r="BT156" s="1229"/>
      <c r="BU156" s="1230"/>
      <c r="BV156" s="1229"/>
      <c r="BW156" s="1229"/>
      <c r="BX156" s="1229"/>
      <c r="BY156" s="1230"/>
      <c r="BZ156" s="1229"/>
      <c r="CA156" s="1229"/>
      <c r="CB156" s="1229"/>
      <c r="CC156" s="1229"/>
      <c r="CD156" s="1305">
        <f t="shared" ref="CD156:CK156" si="146">$B156*AVERAGE(CD318,CD320)*91/365</f>
        <v>4.4409246575342465</v>
      </c>
      <c r="CE156" s="1302">
        <f t="shared" si="146"/>
        <v>4.4409246575342465</v>
      </c>
      <c r="CF156" s="1302">
        <f t="shared" si="146"/>
        <v>4.4409246575342465</v>
      </c>
      <c r="CG156" s="1302">
        <f t="shared" si="146"/>
        <v>4.4409246575342465</v>
      </c>
      <c r="CH156" s="1305">
        <f t="shared" si="146"/>
        <v>4.4409246575342465</v>
      </c>
      <c r="CI156" s="1302">
        <f t="shared" si="146"/>
        <v>4.4409246575342465</v>
      </c>
      <c r="CJ156" s="1302">
        <f t="shared" si="146"/>
        <v>4.4409246575342465</v>
      </c>
      <c r="CK156" s="1302">
        <f t="shared" si="146"/>
        <v>4.4409246575342465</v>
      </c>
      <c r="CL156" s="1305">
        <f>$B156*AVERAGE(CL318,CL320)*91/365</f>
        <v>4.4409246575342465</v>
      </c>
      <c r="CM156" s="1170"/>
      <c r="CN156" s="1170"/>
      <c r="CO156" s="1170"/>
      <c r="CP156" s="1170"/>
      <c r="CQ156" s="1170"/>
      <c r="CR156" s="1170"/>
      <c r="CS156" s="1170"/>
      <c r="CT156" s="1198"/>
      <c r="CU156" s="1198"/>
    </row>
    <row r="157" spans="1:99" ht="12.75" customHeight="1">
      <c r="A157" s="1469" t="str">
        <f>A322</f>
        <v>TOTAL</v>
      </c>
      <c r="B157" s="1198"/>
      <c r="C157" s="1198"/>
      <c r="D157" s="1198"/>
      <c r="E157" s="1198"/>
      <c r="F157" s="1226"/>
      <c r="G157" s="1227"/>
      <c r="H157" s="1227"/>
      <c r="I157" s="1227"/>
      <c r="J157" s="1227"/>
      <c r="K157" s="1227"/>
      <c r="L157" s="1227"/>
      <c r="M157" s="1227"/>
      <c r="N157" s="1227"/>
      <c r="O157" s="1229"/>
      <c r="P157" s="1230"/>
      <c r="Q157" s="1579">
        <f ca="1">SUM(CD157:CG157)</f>
        <v>602.2798114520549</v>
      </c>
      <c r="R157" s="1579">
        <f ca="1">SUM(CH157:CK157)</f>
        <v>635.77522241095903</v>
      </c>
      <c r="S157" s="1579">
        <f ca="1">SUM(S141:S156)</f>
        <v>647.54949499999998</v>
      </c>
      <c r="T157" s="1507"/>
      <c r="U157" s="1507"/>
      <c r="V157" s="1507"/>
      <c r="W157" s="1507"/>
      <c r="X157" s="1282"/>
      <c r="Y157" s="1282"/>
      <c r="Z157" s="1282"/>
      <c r="AA157" s="1282"/>
      <c r="AB157" s="1282"/>
      <c r="AC157" s="1282"/>
      <c r="AD157" s="1282"/>
      <c r="AE157" s="1282"/>
      <c r="AF157" s="1282"/>
      <c r="AG157" s="1517"/>
      <c r="AH157" s="1179"/>
      <c r="AI157" s="1179"/>
      <c r="AJ157" s="1179"/>
      <c r="AK157" s="1179"/>
      <c r="AL157" s="1179"/>
      <c r="AM157" s="1179"/>
      <c r="AN157" s="1179"/>
      <c r="AO157" s="117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30"/>
      <c r="BR157" s="1229"/>
      <c r="BS157" s="1229"/>
      <c r="BT157" s="1229"/>
      <c r="BU157" s="1230"/>
      <c r="BV157" s="1229"/>
      <c r="BW157" s="1229"/>
      <c r="BX157" s="1229"/>
      <c r="BY157" s="1230"/>
      <c r="BZ157" s="1229"/>
      <c r="CA157" s="1229"/>
      <c r="CB157" s="1229"/>
      <c r="CC157" s="1229"/>
      <c r="CD157" s="1311">
        <f t="shared" ref="CD157:CK157" si="147">SUM(CD141:CD156)</f>
        <v>142.19610012328769</v>
      </c>
      <c r="CE157" s="1295">
        <f t="shared" si="147"/>
        <v>142.19610012328769</v>
      </c>
      <c r="CF157" s="1295">
        <f t="shared" si="147"/>
        <v>142.19610012328769</v>
      </c>
      <c r="CG157" s="1295">
        <f t="shared" ca="1" si="147"/>
        <v>175.69151108219182</v>
      </c>
      <c r="CH157" s="1311">
        <f t="shared" si="147"/>
        <v>142.19610012328769</v>
      </c>
      <c r="CI157" s="1295">
        <f t="shared" ca="1" si="147"/>
        <v>175.69151108219182</v>
      </c>
      <c r="CJ157" s="1295">
        <f t="shared" si="147"/>
        <v>142.19610012328769</v>
      </c>
      <c r="CK157" s="1295">
        <f t="shared" ca="1" si="147"/>
        <v>175.69151108219182</v>
      </c>
      <c r="CL157" s="1311">
        <f ca="1">SUM(CL141:CL156)</f>
        <v>175.69151108219182</v>
      </c>
      <c r="CM157" s="1170"/>
      <c r="CN157" s="1170"/>
      <c r="CO157" s="1170"/>
      <c r="CP157" s="1170"/>
      <c r="CQ157" s="1170"/>
      <c r="CR157" s="1170"/>
      <c r="CS157" s="1170"/>
      <c r="CT157" s="1198"/>
      <c r="CU157" s="1198"/>
    </row>
    <row r="158" spans="1:99" ht="12.75" customHeight="1">
      <c r="A158" s="1225"/>
      <c r="B158" s="1198"/>
      <c r="C158" s="1198"/>
      <c r="D158" s="1198"/>
      <c r="E158" s="1198"/>
      <c r="F158" s="1226"/>
      <c r="G158" s="1227"/>
      <c r="H158" s="1227"/>
      <c r="I158" s="1227"/>
      <c r="J158" s="1227"/>
      <c r="K158" s="1227"/>
      <c r="L158" s="1227"/>
      <c r="M158" s="1227"/>
      <c r="N158" s="1227"/>
      <c r="O158" s="1229"/>
      <c r="P158" s="1230"/>
      <c r="Q158" s="1305"/>
      <c r="R158" s="1302"/>
      <c r="S158" s="1302"/>
      <c r="T158" s="1507"/>
      <c r="U158" s="1507"/>
      <c r="V158" s="1507"/>
      <c r="W158" s="1507"/>
      <c r="X158" s="1282"/>
      <c r="Y158" s="1282"/>
      <c r="Z158" s="1282"/>
      <c r="AA158" s="1282"/>
      <c r="AB158" s="1282"/>
      <c r="AC158" s="1282"/>
      <c r="AD158" s="1282"/>
      <c r="AE158" s="1282"/>
      <c r="AF158" s="1282"/>
      <c r="AG158" s="1517"/>
      <c r="AH158" s="1179"/>
      <c r="AI158" s="1179"/>
      <c r="AJ158" s="1179"/>
      <c r="AK158" s="1179"/>
      <c r="AL158" s="1179"/>
      <c r="AM158" s="1179"/>
      <c r="AN158" s="1179"/>
      <c r="AO158" s="117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30"/>
      <c r="BR158" s="1229"/>
      <c r="BS158" s="1229"/>
      <c r="BT158" s="1229"/>
      <c r="BU158" s="1230"/>
      <c r="BV158" s="1229"/>
      <c r="BW158" s="1229"/>
      <c r="BX158" s="1229"/>
      <c r="BY158" s="1230"/>
      <c r="BZ158" s="1229"/>
      <c r="CA158" s="1229"/>
      <c r="CB158" s="1229"/>
      <c r="CC158" s="1229"/>
      <c r="CD158" s="1428"/>
      <c r="CE158" s="1427"/>
      <c r="CF158" s="1427"/>
      <c r="CG158" s="1427"/>
      <c r="CH158" s="1428"/>
      <c r="CI158" s="1427"/>
      <c r="CJ158" s="1427"/>
      <c r="CK158" s="1427"/>
      <c r="CL158" s="1428"/>
      <c r="CM158" s="1170"/>
      <c r="CN158" s="1170"/>
      <c r="CO158" s="1170"/>
      <c r="CP158" s="1170"/>
      <c r="CQ158" s="1170"/>
      <c r="CR158" s="1170"/>
      <c r="CS158" s="1170"/>
      <c r="CT158" s="1198"/>
      <c r="CU158" s="1198"/>
    </row>
    <row r="159" spans="1:99" ht="12.75" customHeight="1">
      <c r="A159" s="1198" t="s">
        <v>256</v>
      </c>
      <c r="B159" s="1198"/>
      <c r="C159" s="1198"/>
      <c r="D159" s="1198"/>
      <c r="E159" s="1198"/>
      <c r="F159" s="1198"/>
      <c r="G159" s="1226"/>
      <c r="H159" s="1226"/>
      <c r="I159" s="1226"/>
      <c r="J159" s="1226"/>
      <c r="K159" s="1226"/>
      <c r="L159" s="1226"/>
      <c r="M159" s="1226"/>
      <c r="N159" s="1226"/>
      <c r="O159" s="1179"/>
      <c r="P159" s="1263"/>
      <c r="Q159" s="1311">
        <f ca="1">SUM(CD159:CG159)</f>
        <v>966.41698715290158</v>
      </c>
      <c r="R159" s="1579">
        <f ca="1">SUM(CE159:CH159)</f>
        <v>956.46860232328777</v>
      </c>
      <c r="S159" s="1579">
        <f ca="1">SUM(S157,S139,S130)</f>
        <v>1105.5636549999999</v>
      </c>
      <c r="T159" s="1507"/>
      <c r="U159" s="1507"/>
      <c r="V159" s="1507"/>
      <c r="W159" s="1507"/>
      <c r="X159" s="1282"/>
      <c r="Y159" s="1282"/>
      <c r="Z159" s="1282"/>
      <c r="AA159" s="1282"/>
      <c r="AB159" s="1282"/>
      <c r="AC159" s="1282"/>
      <c r="AD159" s="1282"/>
      <c r="AE159" s="1282"/>
      <c r="AF159" s="1282"/>
      <c r="AG159" s="1517"/>
      <c r="AH159" s="1170"/>
      <c r="AI159" s="1170"/>
      <c r="AJ159" s="1170"/>
      <c r="AK159" s="1170"/>
      <c r="AL159" s="1170"/>
      <c r="AM159" s="1170"/>
      <c r="AN159" s="1170"/>
      <c r="AO159" s="1170"/>
      <c r="AP159" s="1170"/>
      <c r="AQ159" s="1170"/>
      <c r="AR159" s="1170"/>
      <c r="AS159" s="1170"/>
      <c r="AT159" s="1170"/>
      <c r="AU159" s="1170"/>
      <c r="AV159" s="1170"/>
      <c r="AW159" s="1170"/>
      <c r="AX159" s="1179"/>
      <c r="AY159" s="1179"/>
      <c r="AZ159" s="1179"/>
      <c r="BA159" s="1179"/>
      <c r="BB159" s="1179"/>
      <c r="BC159" s="1179"/>
      <c r="BD159" s="1179"/>
      <c r="BE159" s="1179"/>
      <c r="BF159" s="1179"/>
      <c r="BG159" s="1179"/>
      <c r="BH159" s="1179"/>
      <c r="BI159" s="1179"/>
      <c r="BJ159" s="1179"/>
      <c r="BK159" s="1179"/>
      <c r="BL159" s="1179"/>
      <c r="BM159" s="1179"/>
      <c r="BN159" s="1179"/>
      <c r="BO159" s="1179"/>
      <c r="BP159" s="1179"/>
      <c r="BQ159" s="1263"/>
      <c r="BR159" s="1179"/>
      <c r="BS159" s="1179"/>
      <c r="BT159" s="1179"/>
      <c r="BU159" s="1263"/>
      <c r="BV159" s="1179"/>
      <c r="BW159" s="1179"/>
      <c r="BX159" s="1179"/>
      <c r="BY159" s="1263"/>
      <c r="BZ159" s="1179"/>
      <c r="CA159" s="1179"/>
      <c r="CB159" s="1179"/>
      <c r="CC159" s="1179"/>
      <c r="CD159" s="1305">
        <f t="shared" ref="CD159:CK159" si="148">SUM(CD157,CD139,CD130)</f>
        <v>237.01518045153162</v>
      </c>
      <c r="CE159" s="1302">
        <f t="shared" si="148"/>
        <v>236.87080153972607</v>
      </c>
      <c r="CF159" s="1302">
        <f t="shared" si="148"/>
        <v>231.96879858082195</v>
      </c>
      <c r="CG159" s="1302">
        <f t="shared" ca="1" si="148"/>
        <v>260.56220658082196</v>
      </c>
      <c r="CH159" s="1305">
        <f t="shared" si="148"/>
        <v>227.06679562191783</v>
      </c>
      <c r="CI159" s="1302">
        <f t="shared" ca="1" si="148"/>
        <v>282.26083671780827</v>
      </c>
      <c r="CJ159" s="1302">
        <f t="shared" si="148"/>
        <v>243.59876350273976</v>
      </c>
      <c r="CK159" s="1302">
        <f t="shared" ca="1" si="148"/>
        <v>294.82484097260277</v>
      </c>
      <c r="CL159" s="1305">
        <f ca="1">SUM(CL157,CL139,CL130)</f>
        <v>294.82484097260277</v>
      </c>
      <c r="CM159" s="1170"/>
      <c r="CN159" s="1170"/>
      <c r="CO159" s="1170"/>
      <c r="CP159" s="1170"/>
      <c r="CQ159" s="1170"/>
      <c r="CR159" s="1170"/>
      <c r="CS159" s="1170"/>
      <c r="CT159" s="1198"/>
      <c r="CU159" s="1198"/>
    </row>
    <row r="160" spans="1:99" ht="12.75" customHeight="1">
      <c r="A160" s="1225" t="s">
        <v>34</v>
      </c>
      <c r="B160" s="1198"/>
      <c r="C160" s="1198"/>
      <c r="D160" s="1198"/>
      <c r="E160" s="1198"/>
      <c r="F160" s="1226"/>
      <c r="G160" s="1227"/>
      <c r="H160" s="1227"/>
      <c r="I160" s="1227"/>
      <c r="J160" s="1227"/>
      <c r="K160" s="1227"/>
      <c r="L160" s="1227"/>
      <c r="M160" s="1227"/>
      <c r="N160" s="1227"/>
      <c r="O160" s="1229"/>
      <c r="P160" s="1230"/>
      <c r="Q160" s="1439"/>
      <c r="R160" s="1435"/>
      <c r="S160" s="1435"/>
      <c r="T160" s="1507"/>
      <c r="U160" s="1507"/>
      <c r="V160" s="1507"/>
      <c r="W160" s="1507"/>
      <c r="X160" s="1282"/>
      <c r="Y160" s="1282"/>
      <c r="Z160" s="1282"/>
      <c r="AA160" s="1282"/>
      <c r="AB160" s="1282"/>
      <c r="AC160" s="1282"/>
      <c r="AD160" s="1282"/>
      <c r="AE160" s="1282"/>
      <c r="AF160" s="1282"/>
      <c r="AG160" s="1517"/>
      <c r="AH160" s="1179"/>
      <c r="AI160" s="1179"/>
      <c r="AJ160" s="1179"/>
      <c r="AK160" s="1179"/>
      <c r="AL160" s="1179"/>
      <c r="AM160" s="1179"/>
      <c r="AN160" s="1179"/>
      <c r="AO160" s="117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30"/>
      <c r="BR160" s="1229"/>
      <c r="BS160" s="1229"/>
      <c r="BT160" s="1229"/>
      <c r="BU160" s="1230"/>
      <c r="BV160" s="1229"/>
      <c r="BW160" s="1229"/>
      <c r="BX160" s="1229"/>
      <c r="BY160" s="1230"/>
      <c r="BZ160" s="1229"/>
      <c r="CA160" s="1229"/>
      <c r="CB160" s="1229"/>
      <c r="CC160" s="1229"/>
      <c r="CD160" s="1428"/>
      <c r="CE160" s="1427"/>
      <c r="CF160" s="1427"/>
      <c r="CG160" s="1427"/>
      <c r="CH160" s="1428"/>
      <c r="CI160" s="1427"/>
      <c r="CJ160" s="1427"/>
      <c r="CK160" s="1427"/>
      <c r="CL160" s="1428"/>
      <c r="CM160" s="1170"/>
      <c r="CN160" s="1170"/>
      <c r="CO160" s="1170"/>
      <c r="CP160" s="1170"/>
      <c r="CQ160" s="1170"/>
      <c r="CR160" s="1170"/>
      <c r="CS160" s="1170"/>
      <c r="CT160" s="1198"/>
      <c r="CU160" s="1198"/>
    </row>
    <row r="161" spans="1:99" ht="12.75" customHeight="1">
      <c r="A161" s="1583" t="s">
        <v>258</v>
      </c>
      <c r="B161" s="1198"/>
      <c r="C161" s="1198"/>
      <c r="D161" s="1198"/>
      <c r="E161" s="1198"/>
      <c r="F161" s="1226"/>
      <c r="G161" s="1227"/>
      <c r="H161" s="1227"/>
      <c r="I161" s="1227"/>
      <c r="J161" s="1227"/>
      <c r="K161" s="1227"/>
      <c r="L161" s="1227"/>
      <c r="M161" s="1227"/>
      <c r="N161" s="1227"/>
      <c r="O161" s="1229"/>
      <c r="P161" s="1230"/>
      <c r="Q161" s="1231">
        <f ca="1">Q159/(AVERAGE(Q325,Q323)+AVERAGE(Q237,Q239)+AVERAGE(Q197,Q199))</f>
        <v>6.8986970989675558E-2</v>
      </c>
      <c r="R161" s="1227">
        <f ca="1">R159/(AVERAGE(R325,R323)+AVERAGE(R237,R239)+AVERAGE(R197,R199))</f>
        <v>6.7874002720462859E-2</v>
      </c>
      <c r="S161" s="1227">
        <f ca="1">S159/(AVERAGE(S325,S323)+AVERAGE(S237,S239)+AVERAGE(S197,S199))</f>
        <v>8.1955076452159589E-2</v>
      </c>
      <c r="T161" s="1507"/>
      <c r="U161" s="1507"/>
      <c r="V161" s="1507"/>
      <c r="W161" s="1507"/>
      <c r="X161" s="1282"/>
      <c r="Y161" s="1282"/>
      <c r="Z161" s="1282"/>
      <c r="AA161" s="1282"/>
      <c r="AB161" s="1282"/>
      <c r="AC161" s="1282"/>
      <c r="AD161" s="1282"/>
      <c r="AE161" s="1282"/>
      <c r="AF161" s="1282"/>
      <c r="AG161" s="1517"/>
      <c r="AH161" s="1179"/>
      <c r="AI161" s="1179"/>
      <c r="AJ161" s="1179"/>
      <c r="AK161" s="1179"/>
      <c r="AL161" s="1179"/>
      <c r="AM161" s="1179"/>
      <c r="AN161" s="1179"/>
      <c r="AO161" s="117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30"/>
      <c r="BR161" s="1229"/>
      <c r="BS161" s="1229"/>
      <c r="BT161" s="1229"/>
      <c r="BU161" s="1230"/>
      <c r="BV161" s="1229"/>
      <c r="BW161" s="1229"/>
      <c r="BX161" s="1229"/>
      <c r="BY161" s="1230"/>
      <c r="BZ161" s="1229"/>
      <c r="CA161" s="1229"/>
      <c r="CB161" s="1229"/>
      <c r="CC161" s="1229"/>
      <c r="CD161" s="1231">
        <f t="shared" ref="CD161:CK161" si="149">CD159/(AVERAGE(CD325,CD323)+AVERAGE(CD237,CD239)+AVERAGE(CD197,CD199))*4</f>
        <v>6.9663874728136427E-2</v>
      </c>
      <c r="CE161" s="1227">
        <f t="shared" ca="1" si="149"/>
        <v>6.816644174284027E-2</v>
      </c>
      <c r="CF161" s="1227">
        <f t="shared" ca="1" si="149"/>
        <v>6.4890139038360189E-2</v>
      </c>
      <c r="CG161" s="1227">
        <f t="shared" ca="1" si="149"/>
        <v>7.4349228712701332E-2</v>
      </c>
      <c r="CH161" s="1231">
        <f t="shared" ca="1" si="149"/>
        <v>6.4791595612764333E-2</v>
      </c>
      <c r="CI161" s="1227">
        <f t="shared" ca="1" si="149"/>
        <v>8.0540749869883035E-2</v>
      </c>
      <c r="CJ161" s="1227">
        <f t="shared" ca="1" si="149"/>
        <v>7.0522353634049961E-2</v>
      </c>
      <c r="CK161" s="1227">
        <f t="shared" ca="1" si="149"/>
        <v>8.6615338663763308E-2</v>
      </c>
      <c r="CL161" s="1231">
        <f ca="1">CL159/(AVERAGE(CL325,CL323)+AVERAGE(CL237,CL239)+AVERAGE(CL197,CL199))*4</f>
        <v>8.6615338663763308E-2</v>
      </c>
      <c r="CM161" s="1170"/>
      <c r="CN161" s="1170"/>
      <c r="CO161" s="1170"/>
      <c r="CP161" s="1170"/>
      <c r="CQ161" s="1170"/>
      <c r="CR161" s="1170"/>
      <c r="CS161" s="1170"/>
      <c r="CT161" s="1198"/>
      <c r="CU161" s="1198"/>
    </row>
    <row r="162" spans="1:99" ht="12.75" customHeight="1">
      <c r="A162" s="1198"/>
      <c r="B162" s="1198"/>
      <c r="C162" s="1198"/>
      <c r="D162" s="1198"/>
      <c r="E162" s="1198"/>
      <c r="F162" s="1198"/>
      <c r="G162" s="1198"/>
      <c r="H162" s="1198"/>
      <c r="I162" s="1198"/>
      <c r="J162" s="1198"/>
      <c r="K162" s="1198"/>
      <c r="L162" s="1198"/>
      <c r="M162" s="1198"/>
      <c r="N162" s="1198"/>
      <c r="O162" s="1170"/>
      <c r="P162" s="1360"/>
      <c r="Q162" s="1198"/>
      <c r="R162" s="1198"/>
      <c r="S162" s="1198"/>
      <c r="T162" s="1507"/>
      <c r="U162" s="1507"/>
      <c r="V162" s="1507"/>
      <c r="W162" s="1507"/>
      <c r="X162" s="1282"/>
      <c r="Y162" s="1282"/>
      <c r="Z162" s="1282"/>
      <c r="AA162" s="1282"/>
      <c r="AB162" s="1282"/>
      <c r="AC162" s="1282"/>
      <c r="AD162" s="1282"/>
      <c r="AE162" s="1282"/>
      <c r="AF162" s="1282"/>
      <c r="AG162" s="1517"/>
      <c r="AH162" s="1170"/>
      <c r="AI162" s="1170"/>
      <c r="AJ162" s="1170"/>
      <c r="AK162" s="1170"/>
      <c r="AL162" s="1170"/>
      <c r="AM162" s="1170"/>
      <c r="AN162" s="1170"/>
      <c r="AO162" s="1170"/>
      <c r="AP162" s="1170"/>
      <c r="AQ162" s="1170"/>
      <c r="AR162" s="1170"/>
      <c r="AS162" s="1170"/>
      <c r="AT162" s="1170"/>
      <c r="AU162" s="1170"/>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70"/>
      <c r="BP162" s="1170"/>
      <c r="BQ162" s="1360"/>
      <c r="BR162" s="1170"/>
      <c r="BS162" s="1170"/>
      <c r="BT162" s="1170"/>
      <c r="BU162" s="1360"/>
      <c r="BV162" s="1170"/>
      <c r="BW162" s="1170"/>
      <c r="BX162" s="1170"/>
      <c r="BY162" s="1360"/>
      <c r="BZ162" s="1170"/>
      <c r="CA162" s="1170"/>
      <c r="CB162" s="1170"/>
      <c r="CC162" s="1170"/>
      <c r="CD162" s="1359"/>
      <c r="CE162" s="1198"/>
      <c r="CF162" s="1198"/>
      <c r="CG162" s="1198"/>
      <c r="CH162" s="1359"/>
      <c r="CI162" s="1198"/>
      <c r="CJ162" s="1198"/>
      <c r="CK162" s="1198"/>
      <c r="CL162" s="1359"/>
      <c r="CM162" s="1170"/>
      <c r="CN162" s="1170"/>
      <c r="CO162" s="1170"/>
      <c r="CP162" s="1170"/>
      <c r="CQ162" s="1170"/>
      <c r="CR162" s="1170"/>
      <c r="CS162" s="1170"/>
      <c r="CT162" s="1198"/>
      <c r="CU162" s="1198"/>
    </row>
    <row r="163" spans="1:99" ht="12.75" customHeight="1">
      <c r="A163" s="1198" t="s">
        <v>259</v>
      </c>
      <c r="B163" s="1198"/>
      <c r="C163" s="1198"/>
      <c r="D163" s="1198"/>
      <c r="E163" s="1198"/>
      <c r="F163" s="1198"/>
      <c r="G163" s="1226"/>
      <c r="H163" s="1226"/>
      <c r="I163" s="1226"/>
      <c r="J163" s="1347">
        <f>I163+10</f>
        <v>10</v>
      </c>
      <c r="K163" s="1347">
        <f t="shared" ref="K163:S163" si="150">J163-20</f>
        <v>-10</v>
      </c>
      <c r="L163" s="1347">
        <f t="shared" si="150"/>
        <v>-30</v>
      </c>
      <c r="M163" s="1347">
        <f t="shared" si="150"/>
        <v>-50</v>
      </c>
      <c r="N163" s="1347">
        <f t="shared" si="150"/>
        <v>-70</v>
      </c>
      <c r="O163" s="1584">
        <f>N163-20</f>
        <v>-90</v>
      </c>
      <c r="P163" s="1585">
        <f>O163-20</f>
        <v>-110</v>
      </c>
      <c r="Q163" s="1347">
        <f>P163-20</f>
        <v>-130</v>
      </c>
      <c r="R163" s="1347">
        <f t="shared" si="150"/>
        <v>-150</v>
      </c>
      <c r="S163" s="1347">
        <f t="shared" si="150"/>
        <v>-170</v>
      </c>
      <c r="T163" s="1507"/>
      <c r="U163" s="1507"/>
      <c r="V163" s="1507"/>
      <c r="W163" s="1507"/>
      <c r="X163" s="1282"/>
      <c r="Y163" s="1282"/>
      <c r="Z163" s="1282"/>
      <c r="AA163" s="1282"/>
      <c r="AB163" s="1282"/>
      <c r="AC163" s="1282"/>
      <c r="AD163" s="1282"/>
      <c r="AE163" s="1282"/>
      <c r="AF163" s="1282"/>
      <c r="AG163" s="1517"/>
      <c r="AH163" s="1170"/>
      <c r="AI163" s="1170"/>
      <c r="AJ163" s="1170"/>
      <c r="AK163" s="1170"/>
      <c r="AL163" s="1170"/>
      <c r="AM163" s="1170"/>
      <c r="AN163" s="1170"/>
      <c r="AO163" s="1170"/>
      <c r="AP163" s="1170"/>
      <c r="AQ163" s="1170"/>
      <c r="AR163" s="1170"/>
      <c r="AS163" s="1170"/>
      <c r="AT163" s="1170"/>
      <c r="AU163" s="1170"/>
      <c r="AV163" s="1170"/>
      <c r="AW163" s="1170"/>
      <c r="AX163" s="1584"/>
      <c r="AY163" s="1179"/>
      <c r="AZ163" s="1179"/>
      <c r="BA163" s="1179"/>
      <c r="BB163" s="1584">
        <f>J163/4</f>
        <v>2.5</v>
      </c>
      <c r="BC163" s="1179">
        <f t="shared" ref="BC163:BX163" si="151">BB163</f>
        <v>2.5</v>
      </c>
      <c r="BD163" s="1179">
        <f t="shared" si="151"/>
        <v>2.5</v>
      </c>
      <c r="BE163" s="1179">
        <f t="shared" si="151"/>
        <v>2.5</v>
      </c>
      <c r="BF163" s="1179">
        <f t="shared" si="151"/>
        <v>2.5</v>
      </c>
      <c r="BG163" s="1179">
        <f t="shared" si="151"/>
        <v>2.5</v>
      </c>
      <c r="BH163" s="1179">
        <f t="shared" si="151"/>
        <v>2.5</v>
      </c>
      <c r="BI163" s="1179">
        <f t="shared" si="151"/>
        <v>2.5</v>
      </c>
      <c r="BJ163" s="1179">
        <f t="shared" si="151"/>
        <v>2.5</v>
      </c>
      <c r="BK163" s="1179">
        <f t="shared" si="151"/>
        <v>2.5</v>
      </c>
      <c r="BL163" s="1179">
        <f t="shared" si="151"/>
        <v>2.5</v>
      </c>
      <c r="BM163" s="1179">
        <f t="shared" si="151"/>
        <v>2.5</v>
      </c>
      <c r="BN163" s="1179">
        <f t="shared" si="151"/>
        <v>2.5</v>
      </c>
      <c r="BO163" s="1179">
        <f t="shared" si="151"/>
        <v>2.5</v>
      </c>
      <c r="BP163" s="1179">
        <f t="shared" si="151"/>
        <v>2.5</v>
      </c>
      <c r="BQ163" s="1263">
        <f t="shared" si="151"/>
        <v>2.5</v>
      </c>
      <c r="BR163" s="1179">
        <f t="shared" si="151"/>
        <v>2.5</v>
      </c>
      <c r="BS163" s="1179">
        <f t="shared" si="151"/>
        <v>2.5</v>
      </c>
      <c r="BT163" s="1179">
        <f t="shared" si="151"/>
        <v>2.5</v>
      </c>
      <c r="BU163" s="1263">
        <f t="shared" si="151"/>
        <v>2.5</v>
      </c>
      <c r="BV163" s="1179">
        <f t="shared" si="151"/>
        <v>2.5</v>
      </c>
      <c r="BW163" s="1179">
        <f t="shared" si="151"/>
        <v>2.5</v>
      </c>
      <c r="BX163" s="1179">
        <f t="shared" si="151"/>
        <v>2.5</v>
      </c>
      <c r="BY163" s="1263">
        <f t="shared" ref="BY163:CG163" si="152">BX163</f>
        <v>2.5</v>
      </c>
      <c r="BZ163" s="1179">
        <f t="shared" si="152"/>
        <v>2.5</v>
      </c>
      <c r="CA163" s="1179">
        <f t="shared" si="152"/>
        <v>2.5</v>
      </c>
      <c r="CB163" s="1179">
        <f>CA163</f>
        <v>2.5</v>
      </c>
      <c r="CC163" s="1179">
        <f>CB163</f>
        <v>2.5</v>
      </c>
      <c r="CD163" s="1267">
        <f t="shared" si="152"/>
        <v>2.5</v>
      </c>
      <c r="CE163" s="1226">
        <f t="shared" si="152"/>
        <v>2.5</v>
      </c>
      <c r="CF163" s="1226">
        <f t="shared" si="152"/>
        <v>2.5</v>
      </c>
      <c r="CG163" s="1226">
        <f t="shared" si="152"/>
        <v>2.5</v>
      </c>
      <c r="CH163" s="1267">
        <f>CG163</f>
        <v>2.5</v>
      </c>
      <c r="CI163" s="1226">
        <f>CH163</f>
        <v>2.5</v>
      </c>
      <c r="CJ163" s="1226">
        <f>CI163</f>
        <v>2.5</v>
      </c>
      <c r="CK163" s="1226">
        <f>CJ163</f>
        <v>2.5</v>
      </c>
      <c r="CL163" s="1267">
        <f>CK163</f>
        <v>2.5</v>
      </c>
      <c r="CM163" s="1170"/>
      <c r="CN163" s="1170"/>
      <c r="CO163" s="1170"/>
      <c r="CP163" s="1170"/>
      <c r="CQ163" s="1170"/>
      <c r="CR163" s="1170"/>
      <c r="CS163" s="1170"/>
      <c r="CT163" s="1198"/>
      <c r="CU163" s="1198"/>
    </row>
    <row r="164" spans="1:99" ht="12.75" customHeight="1">
      <c r="A164" s="1198"/>
      <c r="B164" s="1198"/>
      <c r="C164" s="1198"/>
      <c r="D164" s="1198"/>
      <c r="E164" s="1198"/>
      <c r="F164" s="1198"/>
      <c r="G164" s="1198"/>
      <c r="H164" s="1198"/>
      <c r="I164" s="1198"/>
      <c r="J164" s="1198"/>
      <c r="K164" s="1198"/>
      <c r="L164" s="1198"/>
      <c r="M164" s="1198"/>
      <c r="N164" s="1198"/>
      <c r="O164" s="1170"/>
      <c r="P164" s="1360"/>
      <c r="Q164" s="1198"/>
      <c r="R164" s="1198"/>
      <c r="S164" s="1198"/>
      <c r="T164" s="1507"/>
      <c r="U164" s="1507"/>
      <c r="V164" s="1507"/>
      <c r="W164" s="1507"/>
      <c r="X164" s="1282"/>
      <c r="Y164" s="1282"/>
      <c r="Z164" s="1282"/>
      <c r="AA164" s="1282"/>
      <c r="AB164" s="1282"/>
      <c r="AC164" s="1282"/>
      <c r="AD164" s="1282"/>
      <c r="AE164" s="1282"/>
      <c r="AF164" s="1282"/>
      <c r="AG164" s="1517"/>
      <c r="AH164" s="1170"/>
      <c r="AI164" s="1170"/>
      <c r="AJ164" s="1170"/>
      <c r="AK164" s="1170"/>
      <c r="AL164" s="1170"/>
      <c r="AM164" s="1170"/>
      <c r="AN164" s="1170"/>
      <c r="AO164" s="1170"/>
      <c r="AP164" s="1170"/>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70"/>
      <c r="BP164" s="1170"/>
      <c r="BQ164" s="1360"/>
      <c r="BR164" s="1170"/>
      <c r="BS164" s="1170"/>
      <c r="BT164" s="1170"/>
      <c r="BU164" s="1360"/>
      <c r="BV164" s="1170"/>
      <c r="BW164" s="1170"/>
      <c r="BX164" s="1170"/>
      <c r="BY164" s="1360"/>
      <c r="BZ164" s="1170"/>
      <c r="CA164" s="1170"/>
      <c r="CB164" s="1170"/>
      <c r="CC164" s="1170"/>
      <c r="CD164" s="1359"/>
      <c r="CE164" s="1198"/>
      <c r="CF164" s="1198"/>
      <c r="CG164" s="1198"/>
      <c r="CH164" s="1359"/>
      <c r="CI164" s="1198"/>
      <c r="CJ164" s="1198"/>
      <c r="CK164" s="1198"/>
      <c r="CL164" s="1359"/>
      <c r="CM164" s="1170"/>
      <c r="CN164" s="1170"/>
      <c r="CO164" s="1170"/>
      <c r="CP164" s="1170"/>
      <c r="CQ164" s="1170"/>
      <c r="CR164" s="1170"/>
      <c r="CS164" s="1170"/>
      <c r="CT164" s="1198"/>
      <c r="CU164" s="1198"/>
    </row>
    <row r="165" spans="1:99" ht="12.75" customHeight="1">
      <c r="A165" s="1198" t="s">
        <v>260</v>
      </c>
      <c r="B165" s="1198"/>
      <c r="C165" s="1198"/>
      <c r="D165" s="1198"/>
      <c r="E165" s="1198"/>
      <c r="F165" s="1198"/>
      <c r="G165" s="1226"/>
      <c r="H165" s="1226"/>
      <c r="I165" s="1226"/>
      <c r="J165" s="1226">
        <f t="shared" ref="J165:R165" si="153">J163+J120</f>
        <v>1799</v>
      </c>
      <c r="K165" s="1226">
        <f t="shared" si="153"/>
        <v>1747</v>
      </c>
      <c r="L165" s="1226">
        <f t="shared" si="153"/>
        <v>1501</v>
      </c>
      <c r="M165" s="1226">
        <f t="shared" si="153"/>
        <v>1433</v>
      </c>
      <c r="N165" s="1226">
        <f t="shared" si="153"/>
        <v>1099</v>
      </c>
      <c r="O165" s="1179">
        <f t="shared" si="153"/>
        <v>1049</v>
      </c>
      <c r="P165" s="1263">
        <f t="shared" si="153"/>
        <v>959</v>
      </c>
      <c r="Q165" s="1226">
        <f t="shared" si="153"/>
        <v>959</v>
      </c>
      <c r="R165" s="1226">
        <f t="shared" si="153"/>
        <v>889</v>
      </c>
      <c r="S165" s="1226">
        <f ca="1">+S159+S163</f>
        <v>935.56365499999993</v>
      </c>
      <c r="T165" s="1507"/>
      <c r="U165" s="1507"/>
      <c r="V165" s="1507"/>
      <c r="W165" s="1507"/>
      <c r="X165" s="1282"/>
      <c r="Y165" s="1282"/>
      <c r="Z165" s="1282"/>
      <c r="AA165" s="1282"/>
      <c r="AB165" s="1282"/>
      <c r="AC165" s="1282"/>
      <c r="AD165" s="1282"/>
      <c r="AE165" s="1282"/>
      <c r="AF165" s="1282"/>
      <c r="AG165" s="1517"/>
      <c r="AH165" s="1170"/>
      <c r="AI165" s="1170"/>
      <c r="AJ165" s="1170"/>
      <c r="AK165" s="1170"/>
      <c r="AL165" s="1170"/>
      <c r="AM165" s="1170"/>
      <c r="AN165" s="1170"/>
      <c r="AO165" s="1170"/>
      <c r="AP165" s="1170"/>
      <c r="AQ165" s="1170"/>
      <c r="AR165" s="1170"/>
      <c r="AS165" s="1170"/>
      <c r="AT165" s="1170"/>
      <c r="AU165" s="1170"/>
      <c r="AV165" s="1170"/>
      <c r="AW165" s="1170"/>
      <c r="AX165" s="1179"/>
      <c r="AY165" s="1179"/>
      <c r="AZ165" s="1179"/>
      <c r="BA165" s="1179"/>
      <c r="BB165" s="1179">
        <f t="shared" ref="BB165:CF165" si="154">BB163+BB120</f>
        <v>413.5</v>
      </c>
      <c r="BC165" s="1179">
        <f t="shared" si="154"/>
        <v>452.5</v>
      </c>
      <c r="BD165" s="1179">
        <f t="shared" si="154"/>
        <v>457.5</v>
      </c>
      <c r="BE165" s="1179">
        <f t="shared" si="154"/>
        <v>465.5</v>
      </c>
      <c r="BF165" s="1179">
        <f t="shared" si="154"/>
        <v>442.5</v>
      </c>
      <c r="BG165" s="1179">
        <f t="shared" si="154"/>
        <v>446.5</v>
      </c>
      <c r="BH165" s="1179">
        <f t="shared" si="154"/>
        <v>439.5</v>
      </c>
      <c r="BI165" s="1179">
        <f t="shared" si="154"/>
        <v>438.5</v>
      </c>
      <c r="BJ165" s="1179">
        <f t="shared" si="154"/>
        <v>399.5</v>
      </c>
      <c r="BK165" s="1179">
        <f t="shared" si="154"/>
        <v>396.5</v>
      </c>
      <c r="BL165" s="1179">
        <f t="shared" si="154"/>
        <v>376.5</v>
      </c>
      <c r="BM165" s="1179">
        <f t="shared" si="154"/>
        <v>368.5</v>
      </c>
      <c r="BN165" s="1179">
        <f t="shared" si="154"/>
        <v>383.5</v>
      </c>
      <c r="BO165" s="1179">
        <f t="shared" si="154"/>
        <v>382.5</v>
      </c>
      <c r="BP165" s="1179">
        <f t="shared" si="154"/>
        <v>386.5</v>
      </c>
      <c r="BQ165" s="1263">
        <f t="shared" si="154"/>
        <v>340.5</v>
      </c>
      <c r="BR165" s="1179">
        <f t="shared" si="154"/>
        <v>298.5</v>
      </c>
      <c r="BS165" s="1179">
        <f t="shared" si="154"/>
        <v>300.5</v>
      </c>
      <c r="BT165" s="1179">
        <f t="shared" si="154"/>
        <v>293.5</v>
      </c>
      <c r="BU165" s="1263">
        <f t="shared" si="154"/>
        <v>286.5</v>
      </c>
      <c r="BV165" s="1179">
        <f t="shared" si="154"/>
        <v>294.5</v>
      </c>
      <c r="BW165" s="1179">
        <f t="shared" si="154"/>
        <v>287.5</v>
      </c>
      <c r="BX165" s="1179">
        <f t="shared" si="154"/>
        <v>285.5</v>
      </c>
      <c r="BY165" s="1263">
        <f t="shared" si="154"/>
        <v>281.5</v>
      </c>
      <c r="BZ165" s="1179">
        <f t="shared" si="154"/>
        <v>274.5</v>
      </c>
      <c r="CA165" s="1179">
        <f t="shared" si="154"/>
        <v>272.5</v>
      </c>
      <c r="CB165" s="1179">
        <f t="shared" si="154"/>
        <v>265.5</v>
      </c>
      <c r="CC165" s="1179">
        <f t="shared" si="154"/>
        <v>266.5</v>
      </c>
      <c r="CD165" s="1267">
        <f t="shared" si="154"/>
        <v>262.5</v>
      </c>
      <c r="CE165" s="1226">
        <f t="shared" si="154"/>
        <v>278.5</v>
      </c>
      <c r="CF165" s="1226">
        <f t="shared" si="154"/>
        <v>276.5</v>
      </c>
      <c r="CG165" s="1226">
        <f t="shared" ref="CG165:CL165" ca="1" si="155">+CG159+CG163</f>
        <v>263.06220658082196</v>
      </c>
      <c r="CH165" s="1267">
        <f t="shared" si="155"/>
        <v>229.56679562191783</v>
      </c>
      <c r="CI165" s="1226">
        <f t="shared" ca="1" si="155"/>
        <v>284.76083671780827</v>
      </c>
      <c r="CJ165" s="1226">
        <f t="shared" si="155"/>
        <v>246.09876350273976</v>
      </c>
      <c r="CK165" s="1226">
        <f t="shared" ca="1" si="155"/>
        <v>297.32484097260277</v>
      </c>
      <c r="CL165" s="1267">
        <f t="shared" ca="1" si="155"/>
        <v>297.32484097260277</v>
      </c>
      <c r="CM165" s="1170"/>
      <c r="CN165" s="1170"/>
      <c r="CO165" s="1170"/>
      <c r="CP165" s="1170"/>
      <c r="CQ165" s="1170"/>
      <c r="CR165" s="1170"/>
      <c r="CS165" s="1170"/>
      <c r="CT165" s="1198"/>
      <c r="CU165" s="1198"/>
    </row>
    <row r="166" spans="1:99" ht="12.75" customHeight="1">
      <c r="A166" s="1225" t="s">
        <v>34</v>
      </c>
      <c r="B166" s="1198"/>
      <c r="C166" s="1198"/>
      <c r="D166" s="1198"/>
      <c r="E166" s="1198"/>
      <c r="F166" s="1226"/>
      <c r="G166" s="1227"/>
      <c r="H166" s="1227"/>
      <c r="I166" s="1227"/>
      <c r="J166" s="1227"/>
      <c r="K166" s="1227">
        <f t="shared" ref="K166:S166" si="156">K165/J165-1</f>
        <v>-2.8904947192884944E-2</v>
      </c>
      <c r="L166" s="1229">
        <f t="shared" si="156"/>
        <v>-0.14081282198053802</v>
      </c>
      <c r="M166" s="1229">
        <f t="shared" si="156"/>
        <v>-4.530313124583607E-2</v>
      </c>
      <c r="N166" s="1229">
        <f t="shared" si="156"/>
        <v>-0.23307745987438944</v>
      </c>
      <c r="O166" s="1229">
        <f t="shared" si="156"/>
        <v>-4.5495905368516887E-2</v>
      </c>
      <c r="P166" s="1230">
        <f>P165/O165-1</f>
        <v>-8.5795996186844636E-2</v>
      </c>
      <c r="Q166" s="1229">
        <f>Q165/P165-1</f>
        <v>0</v>
      </c>
      <c r="R166" s="1229">
        <f t="shared" si="156"/>
        <v>-7.2992700729927029E-2</v>
      </c>
      <c r="S166" s="1229">
        <f t="shared" ca="1" si="156"/>
        <v>5.2377564679414901E-2</v>
      </c>
      <c r="T166" s="1507"/>
      <c r="U166" s="1507"/>
      <c r="V166" s="1507"/>
      <c r="W166" s="1507"/>
      <c r="X166" s="1282"/>
      <c r="Y166" s="1282"/>
      <c r="Z166" s="1282"/>
      <c r="AA166" s="1282"/>
      <c r="AB166" s="1282"/>
      <c r="AC166" s="1282"/>
      <c r="AD166" s="1282"/>
      <c r="AE166" s="1282"/>
      <c r="AF166" s="1282"/>
      <c r="AG166" s="1517"/>
      <c r="AH166" s="1179"/>
      <c r="AI166" s="1179"/>
      <c r="AJ166" s="1179"/>
      <c r="AK166" s="1179"/>
      <c r="AL166" s="1179"/>
      <c r="AM166" s="1179"/>
      <c r="AN166" s="1179"/>
      <c r="AO166" s="1179"/>
      <c r="AP166" s="1229"/>
      <c r="AQ166" s="1229"/>
      <c r="AR166" s="1229"/>
      <c r="AS166" s="1229"/>
      <c r="AT166" s="1229"/>
      <c r="AU166" s="1229"/>
      <c r="AV166" s="1229"/>
      <c r="AW166" s="1229"/>
      <c r="AX166" s="1229"/>
      <c r="AY166" s="1229"/>
      <c r="AZ166" s="1229"/>
      <c r="BA166" s="1229"/>
      <c r="BB166" s="1229" t="e">
        <f t="shared" ref="BB166:CC166" si="157">BB165/AX165-1</f>
        <v>#DIV/0!</v>
      </c>
      <c r="BC166" s="1229" t="e">
        <f t="shared" si="157"/>
        <v>#DIV/0!</v>
      </c>
      <c r="BD166" s="1229" t="e">
        <f t="shared" si="157"/>
        <v>#DIV/0!</v>
      </c>
      <c r="BE166" s="1229" t="e">
        <f t="shared" si="157"/>
        <v>#DIV/0!</v>
      </c>
      <c r="BF166" s="1229">
        <f t="shared" si="157"/>
        <v>7.0133010882708513E-2</v>
      </c>
      <c r="BG166" s="1229">
        <f t="shared" si="157"/>
        <v>-1.3259668508287303E-2</v>
      </c>
      <c r="BH166" s="1229">
        <f t="shared" si="157"/>
        <v>-3.9344262295081922E-2</v>
      </c>
      <c r="BI166" s="1229">
        <f t="shared" si="157"/>
        <v>-5.8002148227712103E-2</v>
      </c>
      <c r="BJ166" s="1229">
        <f t="shared" si="157"/>
        <v>-9.7175141242937801E-2</v>
      </c>
      <c r="BK166" s="1229">
        <f t="shared" si="157"/>
        <v>-0.11198208286674127</v>
      </c>
      <c r="BL166" s="1229">
        <f t="shared" si="157"/>
        <v>-0.14334470989761094</v>
      </c>
      <c r="BM166" s="1229">
        <f t="shared" si="157"/>
        <v>-0.15963511972633981</v>
      </c>
      <c r="BN166" s="1229">
        <f t="shared" si="157"/>
        <v>-4.0050062578222745E-2</v>
      </c>
      <c r="BO166" s="1229">
        <f t="shared" si="157"/>
        <v>-3.5308953341740223E-2</v>
      </c>
      <c r="BP166" s="1229">
        <f t="shared" si="157"/>
        <v>2.6560424966799445E-2</v>
      </c>
      <c r="BQ166" s="1230">
        <f t="shared" si="157"/>
        <v>-7.5983717774762538E-2</v>
      </c>
      <c r="BR166" s="1229">
        <f t="shared" si="157"/>
        <v>-0.22164276401564542</v>
      </c>
      <c r="BS166" s="1229">
        <f t="shared" si="157"/>
        <v>-0.21437908496732028</v>
      </c>
      <c r="BT166" s="1229">
        <f t="shared" si="157"/>
        <v>-0.24062095730918498</v>
      </c>
      <c r="BU166" s="1230">
        <f t="shared" si="157"/>
        <v>-0.15859030837004406</v>
      </c>
      <c r="BV166" s="1229">
        <f t="shared" si="157"/>
        <v>-1.340033500837523E-2</v>
      </c>
      <c r="BW166" s="1229">
        <f t="shared" si="157"/>
        <v>-4.3261231281197965E-2</v>
      </c>
      <c r="BX166" s="1229">
        <f t="shared" si="157"/>
        <v>-2.7257240204429323E-2</v>
      </c>
      <c r="BY166" s="1230">
        <f t="shared" si="157"/>
        <v>-1.7452006980802848E-2</v>
      </c>
      <c r="BZ166" s="1229">
        <f t="shared" si="157"/>
        <v>-6.7911714770797937E-2</v>
      </c>
      <c r="CA166" s="1229">
        <f t="shared" si="157"/>
        <v>-5.2173913043478293E-2</v>
      </c>
      <c r="CB166" s="1229">
        <f t="shared" si="157"/>
        <v>-7.005253940455336E-2</v>
      </c>
      <c r="CC166" s="1229">
        <f t="shared" si="157"/>
        <v>-5.3285968028419228E-2</v>
      </c>
      <c r="CD166" s="1231">
        <f t="shared" ref="CD166:CK166" si="158">CD165/BZ165-1</f>
        <v>-4.3715846994535568E-2</v>
      </c>
      <c r="CE166" s="1227">
        <f t="shared" si="158"/>
        <v>2.2018348623853212E-2</v>
      </c>
      <c r="CF166" s="1227">
        <f t="shared" si="158"/>
        <v>4.1431261770244809E-2</v>
      </c>
      <c r="CG166" s="1227">
        <f t="shared" ca="1" si="158"/>
        <v>-1.2899787689223396E-2</v>
      </c>
      <c r="CH166" s="1231">
        <f t="shared" si="158"/>
        <v>-0.12545982620221774</v>
      </c>
      <c r="CI166" s="1227">
        <f t="shared" ca="1" si="158"/>
        <v>2.2480562721035158E-2</v>
      </c>
      <c r="CJ166" s="1227">
        <f t="shared" si="158"/>
        <v>-0.10995022241323782</v>
      </c>
      <c r="CK166" s="1227">
        <f t="shared" ca="1" si="158"/>
        <v>0.13024536985800017</v>
      </c>
      <c r="CL166" s="1231">
        <f ca="1">CL165/CH165-1</f>
        <v>0.29515612293634219</v>
      </c>
      <c r="CM166" s="1170"/>
      <c r="CN166" s="1170"/>
      <c r="CO166" s="1170"/>
      <c r="CP166" s="1170"/>
      <c r="CQ166" s="1170"/>
      <c r="CR166" s="1170"/>
      <c r="CS166" s="1170"/>
      <c r="CT166" s="1198"/>
      <c r="CU166" s="1198"/>
    </row>
    <row r="167" spans="1:99" ht="12.75" customHeight="1">
      <c r="A167" s="1242" t="s">
        <v>255</v>
      </c>
      <c r="B167" s="1243"/>
      <c r="C167" s="1243"/>
      <c r="D167" s="1243"/>
      <c r="E167" s="1243"/>
      <c r="F167" s="1244"/>
      <c r="G167" s="1258"/>
      <c r="H167" s="1258"/>
      <c r="I167" s="1258"/>
      <c r="J167" s="1258"/>
      <c r="K167" s="1258"/>
      <c r="L167" s="1258"/>
      <c r="M167" s="1258"/>
      <c r="N167" s="1258"/>
      <c r="O167" s="1258"/>
      <c r="P167" s="1259"/>
      <c r="Q167" s="1258"/>
      <c r="R167" s="1258"/>
      <c r="S167" s="1258"/>
      <c r="T167" s="1507"/>
      <c r="U167" s="1507"/>
      <c r="V167" s="1507"/>
      <c r="W167" s="1507"/>
      <c r="X167" s="1245"/>
      <c r="Y167" s="1245"/>
      <c r="Z167" s="1245"/>
      <c r="AA167" s="1245"/>
      <c r="AB167" s="1245"/>
      <c r="AC167" s="1245"/>
      <c r="AD167" s="1245"/>
      <c r="AE167" s="1245"/>
      <c r="AF167" s="1245"/>
      <c r="AG167" s="1586"/>
      <c r="AH167" s="1244"/>
      <c r="AI167" s="1244"/>
      <c r="AJ167" s="1244"/>
      <c r="AK167" s="1244"/>
      <c r="AL167" s="1244"/>
      <c r="AM167" s="1244"/>
      <c r="AN167" s="1244"/>
      <c r="AO167" s="1244"/>
      <c r="AP167" s="1258"/>
      <c r="AQ167" s="1258"/>
      <c r="AR167" s="1258"/>
      <c r="AS167" s="1258"/>
      <c r="AT167" s="1258"/>
      <c r="AU167" s="1258"/>
      <c r="AV167" s="1258"/>
      <c r="AW167" s="1258"/>
      <c r="AX167" s="1258"/>
      <c r="AY167" s="1258"/>
      <c r="AZ167" s="1258"/>
      <c r="BA167" s="1258"/>
      <c r="BB167" s="1258"/>
      <c r="BC167" s="1258"/>
      <c r="BD167" s="1258"/>
      <c r="BE167" s="1258"/>
      <c r="BF167" s="1258"/>
      <c r="BG167" s="1258"/>
      <c r="BH167" s="1258"/>
      <c r="BI167" s="1258"/>
      <c r="BJ167" s="1258"/>
      <c r="BK167" s="1258"/>
      <c r="BL167" s="1258"/>
      <c r="BM167" s="1258"/>
      <c r="BN167" s="1258"/>
      <c r="BO167" s="1258"/>
      <c r="BP167" s="1258"/>
      <c r="BQ167" s="1259"/>
      <c r="BR167" s="1258"/>
      <c r="BS167" s="1258"/>
      <c r="BT167" s="1258"/>
      <c r="BU167" s="1259"/>
      <c r="BV167" s="1258"/>
      <c r="BW167" s="1258"/>
      <c r="BX167" s="1258"/>
      <c r="BY167" s="1259"/>
      <c r="BZ167" s="1258"/>
      <c r="CA167" s="1258"/>
      <c r="CB167" s="1258"/>
      <c r="CC167" s="1258"/>
      <c r="CD167" s="1260"/>
      <c r="CE167" s="1258"/>
      <c r="CF167" s="1258"/>
      <c r="CG167" s="1258"/>
      <c r="CH167" s="1260"/>
      <c r="CI167" s="1258"/>
      <c r="CJ167" s="1258"/>
      <c r="CK167" s="1258"/>
      <c r="CL167" s="1260"/>
      <c r="CM167" s="1170"/>
      <c r="CN167" s="1170"/>
      <c r="CO167" s="1170"/>
      <c r="CP167" s="1170"/>
      <c r="CQ167" s="1170"/>
      <c r="CR167" s="1170"/>
      <c r="CS167" s="1170"/>
      <c r="CT167" s="1198"/>
      <c r="CU167" s="1198"/>
    </row>
    <row r="168" spans="1:99" ht="12.75" customHeight="1">
      <c r="A168" s="1198"/>
      <c r="B168" s="1198"/>
      <c r="C168" s="1198"/>
      <c r="D168" s="1198"/>
      <c r="E168" s="1198"/>
      <c r="F168" s="1198"/>
      <c r="G168" s="1198"/>
      <c r="H168" s="1198"/>
      <c r="I168" s="1198"/>
      <c r="J168" s="1198"/>
      <c r="K168" s="1198"/>
      <c r="L168" s="1198"/>
      <c r="M168" s="1198"/>
      <c r="N168" s="1198"/>
      <c r="O168" s="1198"/>
      <c r="P168" s="1198"/>
      <c r="Q168" s="1198"/>
      <c r="R168" s="1198"/>
      <c r="S168" s="1198"/>
      <c r="T168" s="1507"/>
      <c r="U168" s="1507"/>
      <c r="V168" s="1507"/>
      <c r="W168" s="1507"/>
      <c r="X168" s="1170"/>
      <c r="Y168" s="1170"/>
      <c r="Z168" s="1170"/>
      <c r="AA168" s="1170"/>
      <c r="AB168" s="1170"/>
      <c r="AC168" s="1170"/>
      <c r="AD168" s="1170"/>
      <c r="AE168" s="1170"/>
      <c r="AF168" s="1170"/>
      <c r="AG168" s="1170"/>
      <c r="AH168" s="1170"/>
      <c r="AI168" s="1170"/>
      <c r="AJ168" s="1170"/>
      <c r="AK168" s="1170"/>
      <c r="AL168" s="1170"/>
      <c r="AM168" s="1170"/>
      <c r="AN168" s="1170"/>
      <c r="AO168" s="1170"/>
      <c r="AP168" s="1170"/>
      <c r="AQ168" s="1170"/>
      <c r="AR168" s="1170"/>
      <c r="AS168" s="1170"/>
      <c r="AT168" s="1170"/>
      <c r="AU168" s="1170"/>
      <c r="AV168" s="1170"/>
      <c r="AW168" s="1170"/>
      <c r="AX168" s="1170"/>
      <c r="AY168" s="1170"/>
      <c r="AZ168" s="1170"/>
      <c r="BA168" s="1170"/>
      <c r="BB168" s="1170"/>
      <c r="BC168" s="1170"/>
      <c r="BD168" s="1170"/>
      <c r="BE168" s="1170"/>
      <c r="BF168" s="1170"/>
      <c r="BG168" s="1170"/>
      <c r="BH168" s="1170"/>
      <c r="BI168" s="1170"/>
      <c r="BJ168" s="1170"/>
      <c r="BK168" s="1170"/>
      <c r="BL168" s="1170"/>
      <c r="BM168" s="1170"/>
      <c r="BN168" s="1170"/>
      <c r="BO168" s="1170"/>
      <c r="BP168" s="1170"/>
      <c r="BQ168" s="1360"/>
      <c r="BR168" s="1170"/>
      <c r="BS168" s="1170"/>
      <c r="BT168" s="1170"/>
      <c r="BU168" s="1360"/>
      <c r="BV168" s="1170"/>
      <c r="BW168" s="1170"/>
      <c r="BX168" s="1170"/>
      <c r="BY168" s="1360"/>
      <c r="BZ168" s="1170"/>
      <c r="CA168" s="1198"/>
      <c r="CB168" s="1198"/>
      <c r="CC168" s="1198"/>
      <c r="CD168" s="1359"/>
      <c r="CE168" s="1198"/>
      <c r="CF168" s="1198"/>
      <c r="CG168" s="1198"/>
      <c r="CH168" s="1587"/>
      <c r="CI168" s="1177"/>
      <c r="CJ168" s="1198"/>
      <c r="CK168" s="1198"/>
      <c r="CL168" s="1359"/>
      <c r="CM168" s="1170"/>
      <c r="CN168" s="1170"/>
      <c r="CO168" s="1170"/>
      <c r="CP168" s="1170"/>
      <c r="CQ168" s="1170"/>
      <c r="CR168" s="1170"/>
      <c r="CS168" s="1170"/>
      <c r="CT168" s="1198"/>
      <c r="CU168" s="1198"/>
    </row>
    <row r="169" spans="1:99" ht="12.75" customHeight="1">
      <c r="A169" s="1205" t="s">
        <v>261</v>
      </c>
      <c r="B169" s="1206"/>
      <c r="C169" s="1206"/>
      <c r="D169" s="1206"/>
      <c r="E169" s="1206"/>
      <c r="F169" s="1206"/>
      <c r="G169" s="1206"/>
      <c r="H169" s="1206"/>
      <c r="I169" s="1206"/>
      <c r="J169" s="1206"/>
      <c r="K169" s="1206"/>
      <c r="L169" s="1206"/>
      <c r="M169" s="1206"/>
      <c r="N169" s="1206"/>
      <c r="O169" s="1207"/>
      <c r="P169" s="1207"/>
      <c r="Q169" s="1365"/>
      <c r="R169" s="1206"/>
      <c r="S169" s="1206"/>
      <c r="T169" s="1507"/>
      <c r="U169" s="1507"/>
      <c r="V169" s="1507"/>
      <c r="W169" s="1507"/>
      <c r="X169" s="1282"/>
      <c r="Y169" s="1282"/>
      <c r="Z169" s="1282"/>
      <c r="AA169" s="1282"/>
      <c r="AB169" s="1282"/>
      <c r="AC169" s="1282"/>
      <c r="AD169" s="1282"/>
      <c r="AE169" s="1282"/>
      <c r="AF169" s="1282"/>
      <c r="AG169" s="1517"/>
      <c r="AH169" s="1207"/>
      <c r="AI169" s="1207"/>
      <c r="AJ169" s="1207"/>
      <c r="AK169" s="1207"/>
      <c r="AL169" s="1207"/>
      <c r="AM169" s="1207"/>
      <c r="AN169" s="1207"/>
      <c r="AO169" s="1207"/>
      <c r="AP169" s="1207"/>
      <c r="AQ169" s="1207"/>
      <c r="AR169" s="1207"/>
      <c r="AS169" s="1207"/>
      <c r="AT169" s="1207"/>
      <c r="AU169" s="1207"/>
      <c r="AV169" s="1207"/>
      <c r="AW169" s="1207"/>
      <c r="AX169" s="1207"/>
      <c r="AY169" s="1207"/>
      <c r="AZ169" s="1207"/>
      <c r="BA169" s="1207"/>
      <c r="BB169" s="1207"/>
      <c r="BC169" s="1207"/>
      <c r="BD169" s="1207"/>
      <c r="BE169" s="1207"/>
      <c r="BF169" s="1207"/>
      <c r="BG169" s="1207"/>
      <c r="BH169" s="1207"/>
      <c r="BI169" s="1207"/>
      <c r="BJ169" s="1207"/>
      <c r="BK169" s="1207"/>
      <c r="BL169" s="1207"/>
      <c r="BM169" s="1207"/>
      <c r="BN169" s="1207"/>
      <c r="BO169" s="1207"/>
      <c r="BP169" s="1207"/>
      <c r="BQ169" s="1208"/>
      <c r="BR169" s="1207"/>
      <c r="BS169" s="1207"/>
      <c r="BT169" s="1207"/>
      <c r="BU169" s="1208"/>
      <c r="BV169" s="1207"/>
      <c r="BW169" s="1207"/>
      <c r="BX169" s="1207"/>
      <c r="BY169" s="1208"/>
      <c r="BZ169" s="1207"/>
      <c r="CA169" s="1207"/>
      <c r="CB169" s="1207"/>
      <c r="CC169" s="1206"/>
      <c r="CD169" s="1365"/>
      <c r="CE169" s="1206"/>
      <c r="CF169" s="1206"/>
      <c r="CG169" s="1206"/>
      <c r="CH169" s="1365"/>
      <c r="CI169" s="1206"/>
      <c r="CJ169" s="1206"/>
      <c r="CK169" s="1206"/>
      <c r="CL169" s="1365"/>
      <c r="CM169" s="1170"/>
      <c r="CN169" s="1170"/>
      <c r="CO169" s="1170"/>
      <c r="CP169" s="1170"/>
      <c r="CQ169" s="1170"/>
      <c r="CR169" s="1170"/>
      <c r="CS169" s="1170"/>
      <c r="CT169" s="1198"/>
      <c r="CU169" s="1198"/>
    </row>
    <row r="170" spans="1:99" ht="12.75" customHeight="1">
      <c r="A170" s="1198"/>
      <c r="B170" s="1198"/>
      <c r="C170" s="1198"/>
      <c r="D170" s="1198"/>
      <c r="E170" s="1198"/>
      <c r="F170" s="1198"/>
      <c r="G170" s="1198"/>
      <c r="H170" s="1198"/>
      <c r="I170" s="1198"/>
      <c r="J170" s="1198"/>
      <c r="K170" s="1198"/>
      <c r="L170" s="1198"/>
      <c r="M170" s="1198"/>
      <c r="N170" s="1198"/>
      <c r="O170" s="1198"/>
      <c r="P170" s="1198"/>
      <c r="Q170" s="1359"/>
      <c r="R170" s="1198"/>
      <c r="S170" s="1198"/>
      <c r="T170" s="1507"/>
      <c r="U170" s="1507"/>
      <c r="V170" s="1507"/>
      <c r="W170" s="1507"/>
      <c r="X170" s="1170"/>
      <c r="Y170" s="1170"/>
      <c r="Z170" s="1170"/>
      <c r="AA170" s="1170"/>
      <c r="AB170" s="1170"/>
      <c r="AC170" s="1170"/>
      <c r="AD170" s="1170"/>
      <c r="AE170" s="1170"/>
      <c r="AF170" s="1170"/>
      <c r="AG170" s="1170"/>
      <c r="AH170" s="1170"/>
      <c r="AI170" s="1170"/>
      <c r="AJ170" s="1170"/>
      <c r="AK170" s="1170"/>
      <c r="AL170" s="1170"/>
      <c r="AM170" s="1170"/>
      <c r="AN170" s="1170"/>
      <c r="AO170" s="1170"/>
      <c r="AP170" s="1170"/>
      <c r="AQ170" s="1170"/>
      <c r="AR170" s="1170"/>
      <c r="AS170" s="1170"/>
      <c r="AT170" s="1170"/>
      <c r="AU170" s="1170"/>
      <c r="AV170" s="1170"/>
      <c r="AW170" s="1170"/>
      <c r="AX170" s="1170"/>
      <c r="AY170" s="1170"/>
      <c r="AZ170" s="1170"/>
      <c r="BA170" s="1170"/>
      <c r="BB170" s="1170"/>
      <c r="BC170" s="1170"/>
      <c r="BD170" s="1170"/>
      <c r="BE170" s="1170"/>
      <c r="BF170" s="1170"/>
      <c r="BG170" s="1170"/>
      <c r="BH170" s="1170"/>
      <c r="BI170" s="1170"/>
      <c r="BJ170" s="1170"/>
      <c r="BK170" s="1170"/>
      <c r="BL170" s="1170"/>
      <c r="BM170" s="1170"/>
      <c r="BN170" s="1170"/>
      <c r="BO170" s="1170"/>
      <c r="BP170" s="1170"/>
      <c r="BQ170" s="1360"/>
      <c r="BR170" s="1170"/>
      <c r="BS170" s="1170"/>
      <c r="BT170" s="1170"/>
      <c r="BU170" s="1360"/>
      <c r="BV170" s="1170"/>
      <c r="BW170" s="1170"/>
      <c r="BX170" s="1170"/>
      <c r="BY170" s="1360"/>
      <c r="BZ170" s="1170"/>
      <c r="CA170" s="1198"/>
      <c r="CB170" s="1198"/>
      <c r="CC170" s="1198"/>
      <c r="CD170" s="1359"/>
      <c r="CE170" s="1198"/>
      <c r="CF170" s="1198"/>
      <c r="CG170" s="1198"/>
      <c r="CH170" s="1588"/>
      <c r="CI170" s="1177"/>
      <c r="CJ170" s="1198"/>
      <c r="CK170" s="1198"/>
      <c r="CL170" s="1359"/>
      <c r="CM170" s="1170"/>
      <c r="CN170" s="1170"/>
      <c r="CO170" s="1170"/>
      <c r="CP170" s="1170"/>
      <c r="CQ170" s="1170"/>
      <c r="CR170" s="1170"/>
      <c r="CS170" s="1170"/>
      <c r="CT170" s="1198"/>
      <c r="CU170" s="1198"/>
    </row>
    <row r="171" spans="1:99" ht="12.75" customHeight="1">
      <c r="A171" s="1569" t="s">
        <v>591</v>
      </c>
      <c r="B171" s="1569"/>
      <c r="C171" s="1569"/>
      <c r="D171" s="1569"/>
      <c r="E171" s="1569"/>
      <c r="F171" s="1569"/>
      <c r="G171" s="1569"/>
      <c r="H171" s="1569"/>
      <c r="I171" s="1569"/>
      <c r="J171" s="1569"/>
      <c r="K171" s="1569"/>
      <c r="L171" s="1569"/>
      <c r="M171" s="1569"/>
      <c r="N171" s="1569"/>
      <c r="O171" s="1569"/>
      <c r="P171" s="1569"/>
      <c r="Q171" s="1589"/>
      <c r="R171" s="1569"/>
      <c r="S171" s="1569"/>
      <c r="T171" s="1507"/>
      <c r="U171" s="1507"/>
      <c r="V171" s="1507"/>
      <c r="W171" s="1507"/>
      <c r="X171" s="1170"/>
      <c r="Y171" s="1170"/>
      <c r="Z171" s="1170"/>
      <c r="AA171" s="1170"/>
      <c r="AB171" s="1170"/>
      <c r="AC171" s="1170"/>
      <c r="AD171" s="1170"/>
      <c r="AE171" s="1170"/>
      <c r="AF171" s="1170"/>
      <c r="AG171" s="1170"/>
      <c r="AH171" s="1170"/>
      <c r="AI171" s="1170"/>
      <c r="AJ171" s="1170"/>
      <c r="AK171" s="1170"/>
      <c r="AL171" s="1170"/>
      <c r="AM171" s="1170"/>
      <c r="AN171" s="1170"/>
      <c r="AO171" s="1170"/>
      <c r="AP171" s="1170"/>
      <c r="AQ171" s="1170"/>
      <c r="AR171" s="1170"/>
      <c r="AS171" s="1170"/>
      <c r="AT171" s="1170"/>
      <c r="AU171" s="1170"/>
      <c r="AV171" s="1170"/>
      <c r="AW171" s="1170"/>
      <c r="AX171" s="1170"/>
      <c r="AY171" s="1170"/>
      <c r="AZ171" s="1170"/>
      <c r="BA171" s="1170"/>
      <c r="BB171" s="1170"/>
      <c r="BC171" s="1170"/>
      <c r="BD171" s="1170"/>
      <c r="BE171" s="1170"/>
      <c r="BF171" s="1170"/>
      <c r="BG171" s="1170"/>
      <c r="BH171" s="1170"/>
      <c r="BI171" s="1170"/>
      <c r="BJ171" s="1170"/>
      <c r="BK171" s="1170"/>
      <c r="BL171" s="1170"/>
      <c r="BM171" s="1170"/>
      <c r="BN171" s="1170"/>
      <c r="BO171" s="1170"/>
      <c r="BP171" s="1170"/>
      <c r="BQ171" s="1360"/>
      <c r="BR171" s="1170"/>
      <c r="BS171" s="1170"/>
      <c r="BT171" s="1170"/>
      <c r="BU171" s="1360"/>
      <c r="BV171" s="1170"/>
      <c r="BW171" s="1170"/>
      <c r="BX171" s="1170"/>
      <c r="BY171" s="1360"/>
      <c r="BZ171" s="1590"/>
      <c r="CA171" s="1569"/>
      <c r="CB171" s="1569"/>
      <c r="CC171" s="1569"/>
      <c r="CD171" s="1589"/>
      <c r="CE171" s="1569"/>
      <c r="CF171" s="1569"/>
      <c r="CG171" s="1569"/>
      <c r="CH171" s="1589"/>
      <c r="CI171" s="1569"/>
      <c r="CJ171" s="1569"/>
      <c r="CK171" s="1569"/>
      <c r="CL171" s="1589"/>
      <c r="CM171" s="1170"/>
      <c r="CN171" s="1170"/>
      <c r="CO171" s="1170"/>
      <c r="CP171" s="1170"/>
      <c r="CQ171" s="1170"/>
      <c r="CR171" s="1170"/>
      <c r="CS171" s="1170"/>
      <c r="CT171" s="1198"/>
      <c r="CU171" s="1198"/>
    </row>
    <row r="172" spans="1:99" ht="12.75" customHeight="1">
      <c r="A172" s="1575" t="s">
        <v>592</v>
      </c>
      <c r="B172" s="1591"/>
      <c r="C172" s="1591"/>
      <c r="D172" s="1591"/>
      <c r="E172" s="1591"/>
      <c r="F172" s="1591"/>
      <c r="G172" s="1591"/>
      <c r="H172" s="1591"/>
      <c r="I172" s="1591"/>
      <c r="J172" s="1591"/>
      <c r="K172" s="1591"/>
      <c r="L172" s="1591"/>
      <c r="M172" s="1591"/>
      <c r="N172" s="1591"/>
      <c r="O172" s="1591"/>
      <c r="P172" s="1591"/>
      <c r="Q172" s="1592"/>
      <c r="R172" s="1591"/>
      <c r="S172" s="1591"/>
      <c r="T172" s="1507"/>
      <c r="U172" s="1507"/>
      <c r="V172" s="1507"/>
      <c r="W172" s="1507"/>
      <c r="X172" s="1170"/>
      <c r="Y172" s="1170"/>
      <c r="Z172" s="1170"/>
      <c r="AA172" s="1170"/>
      <c r="AB172" s="1170"/>
      <c r="AC172" s="1170"/>
      <c r="AD172" s="1170"/>
      <c r="AE172" s="1170"/>
      <c r="AF172" s="1170"/>
      <c r="AG172" s="1170"/>
      <c r="AH172" s="1170"/>
      <c r="AI172" s="1170"/>
      <c r="AJ172" s="1170"/>
      <c r="AK172" s="1170"/>
      <c r="AL172" s="1170"/>
      <c r="AM172" s="1170"/>
      <c r="AN172" s="1170"/>
      <c r="AO172" s="1170"/>
      <c r="AP172" s="1170"/>
      <c r="AQ172" s="1170"/>
      <c r="AR172" s="1170"/>
      <c r="AS172" s="1170"/>
      <c r="AT172" s="1170"/>
      <c r="AU172" s="1170"/>
      <c r="AV172" s="1170"/>
      <c r="AW172" s="1170"/>
      <c r="AX172" s="1170"/>
      <c r="AY172" s="1170"/>
      <c r="AZ172" s="1170"/>
      <c r="BA172" s="1170"/>
      <c r="BB172" s="1170"/>
      <c r="BC172" s="1170"/>
      <c r="BD172" s="1170"/>
      <c r="BE172" s="1170"/>
      <c r="BF172" s="1170"/>
      <c r="BG172" s="1170"/>
      <c r="BH172" s="1170"/>
      <c r="BI172" s="1170"/>
      <c r="BJ172" s="1170"/>
      <c r="BK172" s="1170"/>
      <c r="BL172" s="1170"/>
      <c r="BM172" s="1170"/>
      <c r="BN172" s="1170"/>
      <c r="BO172" s="1170"/>
      <c r="BP172" s="1170"/>
      <c r="BQ172" s="1360"/>
      <c r="BR172" s="1170"/>
      <c r="BS172" s="1170"/>
      <c r="BT172" s="1170"/>
      <c r="BU172" s="1360"/>
      <c r="BV172" s="1170"/>
      <c r="BW172" s="1170"/>
      <c r="BX172" s="1170"/>
      <c r="BY172" s="1360"/>
      <c r="BZ172" s="1593"/>
      <c r="CA172" s="1591"/>
      <c r="CB172" s="1591"/>
      <c r="CC172" s="1591"/>
      <c r="CD172" s="1594"/>
      <c r="CE172" s="1591"/>
      <c r="CF172" s="1591"/>
      <c r="CG172" s="1591"/>
      <c r="CH172" s="1594"/>
      <c r="CI172" s="1591"/>
      <c r="CJ172" s="1591"/>
      <c r="CK172" s="1591"/>
      <c r="CL172" s="1594"/>
      <c r="CM172" s="1170"/>
      <c r="CN172" s="1170"/>
      <c r="CO172" s="1170"/>
      <c r="CP172" s="1170"/>
      <c r="CQ172" s="1170"/>
      <c r="CR172" s="1170"/>
      <c r="CS172" s="1170"/>
      <c r="CT172" s="1198"/>
      <c r="CU172" s="1198"/>
    </row>
    <row r="173" spans="1:99" ht="12.75" customHeight="1">
      <c r="A173" s="1595" t="s">
        <v>475</v>
      </c>
      <c r="B173" s="1198"/>
      <c r="C173" s="1198"/>
      <c r="D173" s="1198"/>
      <c r="E173" s="1198"/>
      <c r="F173" s="1198"/>
      <c r="G173" s="1198"/>
      <c r="H173" s="1198"/>
      <c r="I173" s="1198"/>
      <c r="J173" s="1198"/>
      <c r="K173" s="1198"/>
      <c r="L173" s="1198"/>
      <c r="M173" s="1198"/>
      <c r="N173" s="1198"/>
      <c r="O173" s="1198"/>
      <c r="P173" s="1198"/>
      <c r="Q173" s="1267">
        <f>P175</f>
        <v>230.035</v>
      </c>
      <c r="R173" s="1226">
        <f>Q175</f>
        <v>0</v>
      </c>
      <c r="S173" s="1226">
        <f>R175</f>
        <v>0</v>
      </c>
      <c r="T173" s="1507"/>
      <c r="U173" s="1507"/>
      <c r="V173" s="1507"/>
      <c r="W173" s="1507"/>
      <c r="X173" s="1170"/>
      <c r="Y173" s="1170"/>
      <c r="Z173" s="1170"/>
      <c r="AA173" s="1170"/>
      <c r="AB173" s="1170"/>
      <c r="AC173" s="1170"/>
      <c r="AD173" s="1170"/>
      <c r="AE173" s="1170"/>
      <c r="AF173" s="1170"/>
      <c r="AG173" s="1170"/>
      <c r="AH173" s="1170"/>
      <c r="AI173" s="1170"/>
      <c r="AJ173" s="1170"/>
      <c r="AK173" s="1170"/>
      <c r="AL173" s="1170"/>
      <c r="AM173" s="1170"/>
      <c r="AN173" s="1170"/>
      <c r="AO173" s="1170"/>
      <c r="AP173" s="1170"/>
      <c r="AQ173" s="1170"/>
      <c r="AR173" s="1170"/>
      <c r="AS173" s="1170"/>
      <c r="AT173" s="1170"/>
      <c r="AU173" s="1170"/>
      <c r="AV173" s="1170"/>
      <c r="AW173" s="1170"/>
      <c r="AX173" s="1170"/>
      <c r="AY173" s="1170"/>
      <c r="AZ173" s="1170"/>
      <c r="BA173" s="1170"/>
      <c r="BB173" s="1170"/>
      <c r="BC173" s="1170"/>
      <c r="BD173" s="1170"/>
      <c r="BE173" s="1170"/>
      <c r="BF173" s="1170"/>
      <c r="BG173" s="1170"/>
      <c r="BH173" s="1170"/>
      <c r="BI173" s="1170"/>
      <c r="BJ173" s="1170"/>
      <c r="BK173" s="1170"/>
      <c r="BL173" s="1170"/>
      <c r="BM173" s="1170"/>
      <c r="BN173" s="1170"/>
      <c r="BO173" s="1170"/>
      <c r="BP173" s="1170"/>
      <c r="BQ173" s="1360"/>
      <c r="BR173" s="1170"/>
      <c r="BS173" s="1170"/>
      <c r="BT173" s="1170"/>
      <c r="BU173" s="1360"/>
      <c r="BV173" s="1170"/>
      <c r="BW173" s="1170"/>
      <c r="BX173" s="1170"/>
      <c r="BY173" s="1360"/>
      <c r="BZ173" s="1170"/>
      <c r="CA173" s="1198"/>
      <c r="CB173" s="1198"/>
      <c r="CC173" s="1198"/>
      <c r="CD173" s="1267">
        <f t="shared" ref="CD173:CK173" si="159">CC175</f>
        <v>230.035</v>
      </c>
      <c r="CE173" s="1226">
        <f t="shared" si="159"/>
        <v>0</v>
      </c>
      <c r="CF173" s="1226">
        <f t="shared" si="159"/>
        <v>0</v>
      </c>
      <c r="CG173" s="1226">
        <f t="shared" si="159"/>
        <v>0</v>
      </c>
      <c r="CH173" s="1267">
        <f t="shared" si="159"/>
        <v>0</v>
      </c>
      <c r="CI173" s="1226">
        <f t="shared" si="159"/>
        <v>0</v>
      </c>
      <c r="CJ173" s="1226">
        <f t="shared" si="159"/>
        <v>0</v>
      </c>
      <c r="CK173" s="1226">
        <f t="shared" si="159"/>
        <v>0</v>
      </c>
      <c r="CL173" s="1267">
        <f>CK175</f>
        <v>0</v>
      </c>
      <c r="CM173" s="1170"/>
      <c r="CN173" s="1170"/>
      <c r="CO173" s="1170"/>
      <c r="CP173" s="1170"/>
      <c r="CQ173" s="1170"/>
      <c r="CR173" s="1170"/>
      <c r="CS173" s="1170"/>
      <c r="CT173" s="1198"/>
      <c r="CU173" s="1198"/>
    </row>
    <row r="174" spans="1:99" ht="12.75" customHeight="1">
      <c r="A174" s="1595" t="s">
        <v>593</v>
      </c>
      <c r="B174" s="1198"/>
      <c r="C174" s="1198"/>
      <c r="D174" s="1198"/>
      <c r="E174" s="1198"/>
      <c r="F174" s="1198"/>
      <c r="G174" s="1198"/>
      <c r="H174" s="1198"/>
      <c r="I174" s="1198"/>
      <c r="J174" s="1198"/>
      <c r="K174" s="1198"/>
      <c r="L174" s="1198"/>
      <c r="M174" s="1198"/>
      <c r="N174" s="1198"/>
      <c r="O174" s="1198"/>
      <c r="P174" s="1198"/>
      <c r="Q174" s="1596">
        <f>+SUM(CD174:CG174)</f>
        <v>-230.035</v>
      </c>
      <c r="R174" s="1453">
        <f>+SUM(CH174:CK174)</f>
        <v>0</v>
      </c>
      <c r="S174" s="1198"/>
      <c r="T174" s="1507"/>
      <c r="U174" s="1507"/>
      <c r="V174" s="1507"/>
      <c r="W174" s="1507"/>
      <c r="X174" s="1170"/>
      <c r="Y174" s="1170"/>
      <c r="Z174" s="1170"/>
      <c r="AA174" s="1170"/>
      <c r="AB174" s="1170"/>
      <c r="AC174" s="1170"/>
      <c r="AD174" s="1170"/>
      <c r="AE174" s="1170"/>
      <c r="AF174" s="1170"/>
      <c r="AG174" s="1170"/>
      <c r="AH174" s="1170"/>
      <c r="AI174" s="1170"/>
      <c r="AJ174" s="1170"/>
      <c r="AK174" s="1170"/>
      <c r="AL174" s="1170"/>
      <c r="AM174" s="1170"/>
      <c r="AN174" s="1170"/>
      <c r="AO174" s="1170"/>
      <c r="AP174" s="1170"/>
      <c r="AQ174" s="1170"/>
      <c r="AR174" s="1170"/>
      <c r="AS174" s="1170"/>
      <c r="AT174" s="1170"/>
      <c r="AU174" s="1170"/>
      <c r="AV174" s="1170"/>
      <c r="AW174" s="1170"/>
      <c r="AX174" s="1170"/>
      <c r="AY174" s="1170"/>
      <c r="AZ174" s="1170"/>
      <c r="BA174" s="1170"/>
      <c r="BB174" s="1170"/>
      <c r="BC174" s="1170"/>
      <c r="BD174" s="1170"/>
      <c r="BE174" s="1170"/>
      <c r="BF174" s="1170"/>
      <c r="BG174" s="1170"/>
      <c r="BH174" s="1170"/>
      <c r="BI174" s="1170"/>
      <c r="BJ174" s="1170"/>
      <c r="BK174" s="1170"/>
      <c r="BL174" s="1170"/>
      <c r="BM174" s="1170"/>
      <c r="BN174" s="1170"/>
      <c r="BO174" s="1170"/>
      <c r="BP174" s="1170"/>
      <c r="BQ174" s="1360"/>
      <c r="BR174" s="1170"/>
      <c r="BS174" s="1170"/>
      <c r="BT174" s="1170"/>
      <c r="BU174" s="1360"/>
      <c r="BV174" s="1170"/>
      <c r="BW174" s="1170"/>
      <c r="BX174" s="1170"/>
      <c r="BY174" s="1360"/>
      <c r="BZ174" s="1170"/>
      <c r="CA174" s="1198"/>
      <c r="CB174" s="1198"/>
      <c r="CC174" s="1198"/>
      <c r="CD174" s="1597">
        <v>-230.035</v>
      </c>
      <c r="CE174" s="1198"/>
      <c r="CF174" s="1198"/>
      <c r="CG174" s="1198"/>
      <c r="CH174" s="1359"/>
      <c r="CI174" s="1198"/>
      <c r="CJ174" s="1198"/>
      <c r="CK174" s="1198"/>
      <c r="CL174" s="1359"/>
      <c r="CM174" s="1170"/>
      <c r="CN174" s="1170"/>
      <c r="CO174" s="1170"/>
      <c r="CP174" s="1170"/>
      <c r="CQ174" s="1170"/>
      <c r="CR174" s="1170"/>
      <c r="CS174" s="1170"/>
      <c r="CT174" s="1198"/>
      <c r="CU174" s="1198"/>
    </row>
    <row r="175" spans="1:99" ht="12.75" customHeight="1">
      <c r="A175" s="1595" t="s">
        <v>476</v>
      </c>
      <c r="B175" s="1198"/>
      <c r="C175" s="1198"/>
      <c r="D175" s="1198"/>
      <c r="E175" s="1198"/>
      <c r="F175" s="1198"/>
      <c r="G175" s="1198"/>
      <c r="H175" s="1198"/>
      <c r="I175" s="1198"/>
      <c r="J175" s="1198"/>
      <c r="K175" s="1198"/>
      <c r="L175" s="1198"/>
      <c r="M175" s="1198"/>
      <c r="N175" s="1198"/>
      <c r="O175" s="1198"/>
      <c r="P175" s="1226">
        <v>230.035</v>
      </c>
      <c r="Q175" s="1218">
        <f>+CG175</f>
        <v>0</v>
      </c>
      <c r="R175" s="1226">
        <f>+CK175</f>
        <v>0</v>
      </c>
      <c r="S175" s="1226">
        <f>S174+S173</f>
        <v>0</v>
      </c>
      <c r="T175" s="1507"/>
      <c r="U175" s="1507"/>
      <c r="V175" s="1507"/>
      <c r="W175" s="1507"/>
      <c r="X175" s="1170"/>
      <c r="Y175" s="1170"/>
      <c r="Z175" s="1170"/>
      <c r="AA175" s="1170"/>
      <c r="AB175" s="1170"/>
      <c r="AC175" s="1170"/>
      <c r="AD175" s="1170"/>
      <c r="AE175" s="1170"/>
      <c r="AF175" s="1170"/>
      <c r="AG175" s="1170"/>
      <c r="AH175" s="1170"/>
      <c r="AI175" s="1170"/>
      <c r="AJ175" s="1170"/>
      <c r="AK175" s="1170"/>
      <c r="AL175" s="1170"/>
      <c r="AM175" s="1170"/>
      <c r="AN175" s="1170"/>
      <c r="AO175" s="1170"/>
      <c r="AP175" s="1170"/>
      <c r="AQ175" s="1170"/>
      <c r="AR175" s="1170"/>
      <c r="AS175" s="1170"/>
      <c r="AT175" s="1170"/>
      <c r="AU175" s="1170"/>
      <c r="AV175" s="1170"/>
      <c r="AW175" s="1170"/>
      <c r="AX175" s="1170"/>
      <c r="AY175" s="1170"/>
      <c r="AZ175" s="1170"/>
      <c r="BA175" s="1170"/>
      <c r="BB175" s="1170"/>
      <c r="BC175" s="1170"/>
      <c r="BD175" s="1170"/>
      <c r="BE175" s="1170"/>
      <c r="BF175" s="1170"/>
      <c r="BG175" s="1170"/>
      <c r="BH175" s="1170"/>
      <c r="BI175" s="1170"/>
      <c r="BJ175" s="1170"/>
      <c r="BK175" s="1170"/>
      <c r="BL175" s="1170"/>
      <c r="BM175" s="1170"/>
      <c r="BN175" s="1170"/>
      <c r="BO175" s="1170"/>
      <c r="BP175" s="1170"/>
      <c r="BQ175" s="1360"/>
      <c r="BR175" s="1170"/>
      <c r="BS175" s="1170"/>
      <c r="BT175" s="1170"/>
      <c r="BU175" s="1360"/>
      <c r="BV175" s="1170"/>
      <c r="BW175" s="1170"/>
      <c r="BX175" s="1170"/>
      <c r="BY175" s="1360"/>
      <c r="BZ175" s="1170"/>
      <c r="CA175" s="1198"/>
      <c r="CB175" s="1198"/>
      <c r="CC175" s="1226">
        <f>P175</f>
        <v>230.035</v>
      </c>
      <c r="CD175" s="1267">
        <f t="shared" ref="CD175:CK175" si="160">CD174+CD173</f>
        <v>0</v>
      </c>
      <c r="CE175" s="1226">
        <f t="shared" si="160"/>
        <v>0</v>
      </c>
      <c r="CF175" s="1226">
        <f t="shared" si="160"/>
        <v>0</v>
      </c>
      <c r="CG175" s="1226">
        <f t="shared" si="160"/>
        <v>0</v>
      </c>
      <c r="CH175" s="1267">
        <f t="shared" si="160"/>
        <v>0</v>
      </c>
      <c r="CI175" s="1226">
        <f t="shared" si="160"/>
        <v>0</v>
      </c>
      <c r="CJ175" s="1226">
        <f t="shared" si="160"/>
        <v>0</v>
      </c>
      <c r="CK175" s="1226">
        <f t="shared" si="160"/>
        <v>0</v>
      </c>
      <c r="CL175" s="1267">
        <f>CL174+CL173</f>
        <v>0</v>
      </c>
      <c r="CM175" s="1170"/>
      <c r="CN175" s="1170"/>
      <c r="CO175" s="1170"/>
      <c r="CP175" s="1170"/>
      <c r="CQ175" s="1170"/>
      <c r="CR175" s="1170"/>
      <c r="CS175" s="1170"/>
      <c r="CT175" s="1198"/>
      <c r="CU175" s="1198"/>
    </row>
    <row r="176" spans="1:99" ht="12.75" customHeight="1">
      <c r="A176" s="1198"/>
      <c r="B176" s="1198"/>
      <c r="C176" s="1198"/>
      <c r="D176" s="1198"/>
      <c r="E176" s="1198"/>
      <c r="F176" s="1198"/>
      <c r="G176" s="1198"/>
      <c r="H176" s="1198"/>
      <c r="I176" s="1198"/>
      <c r="J176" s="1198"/>
      <c r="K176" s="1198"/>
      <c r="L176" s="1198"/>
      <c r="M176" s="1198"/>
      <c r="N176" s="1198"/>
      <c r="O176" s="1198"/>
      <c r="P176" s="1198"/>
      <c r="Q176" s="1359"/>
      <c r="R176" s="1198"/>
      <c r="S176" s="1198"/>
      <c r="T176" s="1507"/>
      <c r="U176" s="1507"/>
      <c r="V176" s="1507"/>
      <c r="W176" s="1507"/>
      <c r="X176" s="1170"/>
      <c r="Y176" s="1170"/>
      <c r="Z176" s="1170"/>
      <c r="AA176" s="1170"/>
      <c r="AB176" s="1170"/>
      <c r="AC176" s="1170"/>
      <c r="AD176" s="1170"/>
      <c r="AE176" s="1170"/>
      <c r="AF176" s="1170"/>
      <c r="AG176" s="1170"/>
      <c r="AH176" s="1170"/>
      <c r="AI176" s="1170"/>
      <c r="AJ176" s="1170"/>
      <c r="AK176" s="1170"/>
      <c r="AL176" s="1170"/>
      <c r="AM176" s="1170"/>
      <c r="AN176" s="1170"/>
      <c r="AO176" s="1170"/>
      <c r="AP176" s="1170"/>
      <c r="AQ176" s="1170"/>
      <c r="AR176" s="1170"/>
      <c r="AS176" s="1170"/>
      <c r="AT176" s="1170"/>
      <c r="AU176" s="1170"/>
      <c r="AV176" s="1170"/>
      <c r="AW176" s="1170"/>
      <c r="AX176" s="1170"/>
      <c r="AY176" s="1170"/>
      <c r="AZ176" s="1170"/>
      <c r="BA176" s="1170"/>
      <c r="BB176" s="1170"/>
      <c r="BC176" s="1170"/>
      <c r="BD176" s="1170"/>
      <c r="BE176" s="1170"/>
      <c r="BF176" s="1170"/>
      <c r="BG176" s="1170"/>
      <c r="BH176" s="1170"/>
      <c r="BI176" s="1170"/>
      <c r="BJ176" s="1170"/>
      <c r="BK176" s="1170"/>
      <c r="BL176" s="1170"/>
      <c r="BM176" s="1170"/>
      <c r="BN176" s="1170"/>
      <c r="BO176" s="1170"/>
      <c r="BP176" s="1170"/>
      <c r="BQ176" s="1360"/>
      <c r="BR176" s="1170"/>
      <c r="BS176" s="1170"/>
      <c r="BT176" s="1170"/>
      <c r="BU176" s="1360"/>
      <c r="BV176" s="1170"/>
      <c r="BW176" s="1170"/>
      <c r="BX176" s="1170"/>
      <c r="BY176" s="1360"/>
      <c r="BZ176" s="1170"/>
      <c r="CA176" s="1170"/>
      <c r="CB176" s="1198"/>
      <c r="CC176" s="1198"/>
      <c r="CD176" s="1359"/>
      <c r="CE176" s="1198"/>
      <c r="CF176" s="1198"/>
      <c r="CG176" s="1198"/>
      <c r="CH176" s="1359"/>
      <c r="CI176" s="1198"/>
      <c r="CJ176" s="1198"/>
      <c r="CK176" s="1198"/>
      <c r="CL176" s="1359"/>
      <c r="CM176" s="1170"/>
      <c r="CN176" s="1170"/>
      <c r="CO176" s="1170"/>
      <c r="CP176" s="1170"/>
      <c r="CQ176" s="1170"/>
      <c r="CR176" s="1170"/>
      <c r="CS176" s="1170"/>
      <c r="CT176" s="1198"/>
      <c r="CU176" s="1198"/>
    </row>
    <row r="177" spans="1:99" ht="12.75" customHeight="1">
      <c r="A177" s="1575" t="s">
        <v>594</v>
      </c>
      <c r="B177" s="1591"/>
      <c r="C177" s="1591"/>
      <c r="D177" s="1591"/>
      <c r="E177" s="1591"/>
      <c r="F177" s="1591"/>
      <c r="G177" s="1591"/>
      <c r="H177" s="1591"/>
      <c r="I177" s="1591"/>
      <c r="J177" s="1591"/>
      <c r="K177" s="1591"/>
      <c r="L177" s="1591"/>
      <c r="M177" s="1591"/>
      <c r="N177" s="1591"/>
      <c r="O177" s="1591"/>
      <c r="P177" s="1591"/>
      <c r="Q177" s="1594"/>
      <c r="R177" s="1591"/>
      <c r="S177" s="1591"/>
      <c r="T177" s="1507"/>
      <c r="U177" s="1507"/>
      <c r="V177" s="1507"/>
      <c r="W177" s="1507"/>
      <c r="X177" s="1170"/>
      <c r="Y177" s="1170"/>
      <c r="Z177" s="1170"/>
      <c r="AA177" s="1170"/>
      <c r="AB177" s="1170"/>
      <c r="AC177" s="1170"/>
      <c r="AD177" s="1170"/>
      <c r="AE177" s="1170"/>
      <c r="AF177" s="1170"/>
      <c r="AG177" s="1170"/>
      <c r="AH177" s="1170"/>
      <c r="AI177" s="1170"/>
      <c r="AJ177" s="1170"/>
      <c r="AK177" s="1170"/>
      <c r="AL177" s="1170"/>
      <c r="AM177" s="1170"/>
      <c r="AN177" s="1170"/>
      <c r="AO177" s="1170"/>
      <c r="AP177" s="1170"/>
      <c r="AQ177" s="1170"/>
      <c r="AR177" s="1170"/>
      <c r="AS177" s="1170"/>
      <c r="AT177" s="1170"/>
      <c r="AU177" s="1170"/>
      <c r="AV177" s="1170"/>
      <c r="AW177" s="1170"/>
      <c r="AX177" s="1170"/>
      <c r="AY177" s="1170"/>
      <c r="AZ177" s="1170"/>
      <c r="BA177" s="1170"/>
      <c r="BB177" s="1170"/>
      <c r="BC177" s="1170"/>
      <c r="BD177" s="1170"/>
      <c r="BE177" s="1170"/>
      <c r="BF177" s="1170"/>
      <c r="BG177" s="1170"/>
      <c r="BH177" s="1170"/>
      <c r="BI177" s="1170"/>
      <c r="BJ177" s="1170"/>
      <c r="BK177" s="1170"/>
      <c r="BL177" s="1170"/>
      <c r="BM177" s="1170"/>
      <c r="BN177" s="1170"/>
      <c r="BO177" s="1170"/>
      <c r="BP177" s="1170"/>
      <c r="BQ177" s="1360"/>
      <c r="BR177" s="1170"/>
      <c r="BS177" s="1170"/>
      <c r="BT177" s="1170"/>
      <c r="BU177" s="1360"/>
      <c r="BV177" s="1170"/>
      <c r="BW177" s="1170"/>
      <c r="BX177" s="1170"/>
      <c r="BY177" s="1360"/>
      <c r="BZ177" s="1593"/>
      <c r="CA177" s="1591"/>
      <c r="CB177" s="1591"/>
      <c r="CC177" s="1591"/>
      <c r="CD177" s="1594"/>
      <c r="CE177" s="1591"/>
      <c r="CF177" s="1591"/>
      <c r="CG177" s="1591"/>
      <c r="CH177" s="1594"/>
      <c r="CI177" s="1591"/>
      <c r="CJ177" s="1591"/>
      <c r="CK177" s="1591"/>
      <c r="CL177" s="1594"/>
      <c r="CM177" s="1170"/>
      <c r="CN177" s="1170"/>
      <c r="CO177" s="1170"/>
      <c r="CP177" s="1170"/>
      <c r="CQ177" s="1170"/>
      <c r="CR177" s="1170"/>
      <c r="CS177" s="1170"/>
      <c r="CT177" s="1198"/>
      <c r="CU177" s="1198"/>
    </row>
    <row r="178" spans="1:99" ht="12.75" customHeight="1">
      <c r="A178" s="1595" t="s">
        <v>475</v>
      </c>
      <c r="B178" s="1198"/>
      <c r="C178" s="1198"/>
      <c r="D178" s="1198"/>
      <c r="E178" s="1198"/>
      <c r="F178" s="1198"/>
      <c r="G178" s="1198"/>
      <c r="H178" s="1198"/>
      <c r="I178" s="1198"/>
      <c r="J178" s="1198"/>
      <c r="K178" s="1198"/>
      <c r="L178" s="1198"/>
      <c r="M178" s="1198"/>
      <c r="N178" s="1198"/>
      <c r="O178" s="1198"/>
      <c r="P178" s="1198"/>
      <c r="Q178" s="1359">
        <f>P180</f>
        <v>525</v>
      </c>
      <c r="R178" s="1198">
        <f>Q180</f>
        <v>525</v>
      </c>
      <c r="S178" s="1198">
        <f>R180</f>
        <v>525</v>
      </c>
      <c r="T178" s="1507"/>
      <c r="U178" s="1507"/>
      <c r="V178" s="1507"/>
      <c r="W178" s="1507"/>
      <c r="X178" s="1170"/>
      <c r="Y178" s="1170"/>
      <c r="Z178" s="1170"/>
      <c r="AA178" s="1170"/>
      <c r="AB178" s="1170"/>
      <c r="AC178" s="1170"/>
      <c r="AD178" s="1170"/>
      <c r="AE178" s="1170"/>
      <c r="AF178" s="1170"/>
      <c r="AG178" s="1170"/>
      <c r="AH178" s="1170"/>
      <c r="AI178" s="1170"/>
      <c r="AJ178" s="1170"/>
      <c r="AK178" s="1170"/>
      <c r="AL178" s="1170"/>
      <c r="AM178" s="1170"/>
      <c r="AN178" s="1170"/>
      <c r="AO178" s="1170"/>
      <c r="AP178" s="1170"/>
      <c r="AQ178" s="1170"/>
      <c r="AR178" s="1170"/>
      <c r="AS178" s="1170"/>
      <c r="AT178" s="1170"/>
      <c r="AU178" s="1170"/>
      <c r="AV178" s="1170"/>
      <c r="AW178" s="1170"/>
      <c r="AX178" s="1170"/>
      <c r="AY178" s="1170"/>
      <c r="AZ178" s="1170"/>
      <c r="BA178" s="1170"/>
      <c r="BB178" s="1170"/>
      <c r="BC178" s="1170"/>
      <c r="BD178" s="1170"/>
      <c r="BE178" s="1170"/>
      <c r="BF178" s="1170"/>
      <c r="BG178" s="1170"/>
      <c r="BH178" s="1170"/>
      <c r="BI178" s="1170"/>
      <c r="BJ178" s="1170"/>
      <c r="BK178" s="1170"/>
      <c r="BL178" s="1170"/>
      <c r="BM178" s="1170"/>
      <c r="BN178" s="1170"/>
      <c r="BO178" s="1170"/>
      <c r="BP178" s="1170"/>
      <c r="BQ178" s="1360"/>
      <c r="BR178" s="1170"/>
      <c r="BS178" s="1170"/>
      <c r="BT178" s="1170"/>
      <c r="BU178" s="1360"/>
      <c r="BV178" s="1170"/>
      <c r="BW178" s="1170"/>
      <c r="BX178" s="1170"/>
      <c r="BY178" s="1360"/>
      <c r="BZ178" s="1170"/>
      <c r="CA178" s="1198"/>
      <c r="CB178" s="1198"/>
      <c r="CC178" s="1198"/>
      <c r="CD178" s="1267">
        <f t="shared" ref="CD178:CK178" si="161">CC180</f>
        <v>525</v>
      </c>
      <c r="CE178" s="1226">
        <f t="shared" si="161"/>
        <v>525</v>
      </c>
      <c r="CF178" s="1226">
        <f t="shared" si="161"/>
        <v>525</v>
      </c>
      <c r="CG178" s="1226">
        <f t="shared" si="161"/>
        <v>525</v>
      </c>
      <c r="CH178" s="1267">
        <f t="shared" si="161"/>
        <v>525</v>
      </c>
      <c r="CI178" s="1226">
        <f t="shared" si="161"/>
        <v>525</v>
      </c>
      <c r="CJ178" s="1226">
        <f t="shared" si="161"/>
        <v>525</v>
      </c>
      <c r="CK178" s="1226">
        <f t="shared" si="161"/>
        <v>525</v>
      </c>
      <c r="CL178" s="1267">
        <f>CK180</f>
        <v>525</v>
      </c>
      <c r="CM178" s="1170"/>
      <c r="CN178" s="1170"/>
      <c r="CO178" s="1170"/>
      <c r="CP178" s="1170"/>
      <c r="CQ178" s="1170"/>
      <c r="CR178" s="1170"/>
      <c r="CS178" s="1170"/>
      <c r="CT178" s="1198"/>
      <c r="CU178" s="1198"/>
    </row>
    <row r="179" spans="1:99" ht="12.75" customHeight="1">
      <c r="A179" s="1595" t="s">
        <v>593</v>
      </c>
      <c r="B179" s="1198"/>
      <c r="C179" s="1198"/>
      <c r="D179" s="1198"/>
      <c r="E179" s="1198"/>
      <c r="F179" s="1198"/>
      <c r="G179" s="1198"/>
      <c r="H179" s="1198"/>
      <c r="I179" s="1198"/>
      <c r="J179" s="1198"/>
      <c r="K179" s="1198"/>
      <c r="L179" s="1198"/>
      <c r="M179" s="1198"/>
      <c r="N179" s="1198"/>
      <c r="O179" s="1198"/>
      <c r="P179" s="1198"/>
      <c r="Q179" s="1596">
        <f>+SUM(CD179:CG179)</f>
        <v>0</v>
      </c>
      <c r="R179" s="1453">
        <f>+SUM(CH179:CK179)</f>
        <v>0</v>
      </c>
      <c r="S179" s="1598">
        <f>S180-S178</f>
        <v>0</v>
      </c>
      <c r="T179" s="1507"/>
      <c r="U179" s="1507"/>
      <c r="V179" s="1507"/>
      <c r="W179" s="1507"/>
      <c r="X179" s="1170"/>
      <c r="Y179" s="1170"/>
      <c r="Z179" s="1170"/>
      <c r="AA179" s="1170"/>
      <c r="AB179" s="1170"/>
      <c r="AC179" s="1170"/>
      <c r="AD179" s="1170"/>
      <c r="AE179" s="1170"/>
      <c r="AF179" s="1170"/>
      <c r="AG179" s="1170"/>
      <c r="AH179" s="1170"/>
      <c r="AI179" s="1170"/>
      <c r="AJ179" s="1170"/>
      <c r="AK179" s="1170"/>
      <c r="AL179" s="1170"/>
      <c r="AM179" s="1170"/>
      <c r="AN179" s="1170"/>
      <c r="AO179" s="1170"/>
      <c r="AP179" s="1170"/>
      <c r="AQ179" s="1170"/>
      <c r="AR179" s="1170"/>
      <c r="AS179" s="1170"/>
      <c r="AT179" s="1170"/>
      <c r="AU179" s="1170"/>
      <c r="AV179" s="1170"/>
      <c r="AW179" s="1170"/>
      <c r="AX179" s="1170"/>
      <c r="AY179" s="1170"/>
      <c r="AZ179" s="1170"/>
      <c r="BA179" s="1170"/>
      <c r="BB179" s="1170"/>
      <c r="BC179" s="1170"/>
      <c r="BD179" s="1170"/>
      <c r="BE179" s="1170"/>
      <c r="BF179" s="1170"/>
      <c r="BG179" s="1170"/>
      <c r="BH179" s="1170"/>
      <c r="BI179" s="1170"/>
      <c r="BJ179" s="1170"/>
      <c r="BK179" s="1170"/>
      <c r="BL179" s="1170"/>
      <c r="BM179" s="1170"/>
      <c r="BN179" s="1170"/>
      <c r="BO179" s="1170"/>
      <c r="BP179" s="1170"/>
      <c r="BQ179" s="1360"/>
      <c r="BR179" s="1170"/>
      <c r="BS179" s="1170"/>
      <c r="BT179" s="1170"/>
      <c r="BU179" s="1360"/>
      <c r="BV179" s="1170"/>
      <c r="BW179" s="1170"/>
      <c r="BX179" s="1170"/>
      <c r="BY179" s="1360"/>
      <c r="BZ179" s="1170"/>
      <c r="CA179" s="1198"/>
      <c r="CB179" s="1198"/>
      <c r="CC179" s="1198"/>
      <c r="CD179" s="1359"/>
      <c r="CE179" s="1198"/>
      <c r="CF179" s="1198"/>
      <c r="CG179" s="1198"/>
      <c r="CH179" s="1359"/>
      <c r="CI179" s="1198"/>
      <c r="CJ179" s="1198"/>
      <c r="CK179" s="1198"/>
      <c r="CL179" s="1359"/>
      <c r="CM179" s="1170"/>
      <c r="CN179" s="1170"/>
      <c r="CO179" s="1170"/>
      <c r="CP179" s="1170"/>
      <c r="CQ179" s="1170"/>
      <c r="CR179" s="1170"/>
      <c r="CS179" s="1170"/>
      <c r="CT179" s="1198"/>
      <c r="CU179" s="1198"/>
    </row>
    <row r="180" spans="1:99" ht="12.75" customHeight="1">
      <c r="A180" s="1595" t="s">
        <v>476</v>
      </c>
      <c r="B180" s="1198"/>
      <c r="C180" s="1198"/>
      <c r="D180" s="1198"/>
      <c r="E180" s="1198"/>
      <c r="F180" s="1198"/>
      <c r="G180" s="1198"/>
      <c r="H180" s="1198"/>
      <c r="I180" s="1198"/>
      <c r="J180" s="1198"/>
      <c r="K180" s="1198"/>
      <c r="L180" s="1198"/>
      <c r="M180" s="1198"/>
      <c r="N180" s="1198"/>
      <c r="O180" s="1198"/>
      <c r="P180" s="1198">
        <v>525</v>
      </c>
      <c r="Q180" s="1218">
        <f>+CG180</f>
        <v>525</v>
      </c>
      <c r="R180" s="1226">
        <f>+CK180</f>
        <v>525</v>
      </c>
      <c r="S180" s="1550">
        <v>525</v>
      </c>
      <c r="T180" s="1507"/>
      <c r="U180" s="1507"/>
      <c r="V180" s="1507"/>
      <c r="W180" s="1507"/>
      <c r="X180" s="1170"/>
      <c r="Y180" s="1170"/>
      <c r="Z180" s="1170"/>
      <c r="AA180" s="1170"/>
      <c r="AB180" s="1170"/>
      <c r="AC180" s="1170"/>
      <c r="AD180" s="1170"/>
      <c r="AE180" s="1170"/>
      <c r="AF180" s="1170"/>
      <c r="AG180" s="1170"/>
      <c r="AH180" s="1170"/>
      <c r="AI180" s="1170"/>
      <c r="AJ180" s="1170"/>
      <c r="AK180" s="1170"/>
      <c r="AL180" s="1170"/>
      <c r="AM180" s="1170"/>
      <c r="AN180" s="1170"/>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70"/>
      <c r="BH180" s="1170"/>
      <c r="BI180" s="1170"/>
      <c r="BJ180" s="1170"/>
      <c r="BK180" s="1170"/>
      <c r="BL180" s="1170"/>
      <c r="BM180" s="1170"/>
      <c r="BN180" s="1170"/>
      <c r="BO180" s="1170"/>
      <c r="BP180" s="1170"/>
      <c r="BQ180" s="1360"/>
      <c r="BR180" s="1170"/>
      <c r="BS180" s="1170"/>
      <c r="BT180" s="1170"/>
      <c r="BU180" s="1360"/>
      <c r="BV180" s="1170"/>
      <c r="BW180" s="1170"/>
      <c r="BX180" s="1170"/>
      <c r="BY180" s="1360"/>
      <c r="BZ180" s="1170"/>
      <c r="CA180" s="1198"/>
      <c r="CB180" s="1198"/>
      <c r="CC180" s="1226">
        <f>P180</f>
        <v>525</v>
      </c>
      <c r="CD180" s="1267">
        <f t="shared" ref="CD180:CK180" si="162">SUM(CD178:CD179)</f>
        <v>525</v>
      </c>
      <c r="CE180" s="1226">
        <f t="shared" si="162"/>
        <v>525</v>
      </c>
      <c r="CF180" s="1226">
        <f t="shared" si="162"/>
        <v>525</v>
      </c>
      <c r="CG180" s="1226">
        <f t="shared" si="162"/>
        <v>525</v>
      </c>
      <c r="CH180" s="1267">
        <f t="shared" si="162"/>
        <v>525</v>
      </c>
      <c r="CI180" s="1226">
        <f t="shared" si="162"/>
        <v>525</v>
      </c>
      <c r="CJ180" s="1226">
        <f t="shared" si="162"/>
        <v>525</v>
      </c>
      <c r="CK180" s="1226">
        <f t="shared" si="162"/>
        <v>525</v>
      </c>
      <c r="CL180" s="1267">
        <f>SUM(CL178:CL179)</f>
        <v>525</v>
      </c>
      <c r="CM180" s="1170"/>
      <c r="CN180" s="1170"/>
      <c r="CO180" s="1170"/>
      <c r="CP180" s="1170"/>
      <c r="CQ180" s="1170"/>
      <c r="CR180" s="1170"/>
      <c r="CS180" s="1170"/>
      <c r="CT180" s="1198"/>
      <c r="CU180" s="1198"/>
    </row>
    <row r="181" spans="1:99" ht="12.75" customHeight="1">
      <c r="A181" s="1198"/>
      <c r="B181" s="1198"/>
      <c r="C181" s="1198"/>
      <c r="D181" s="1198"/>
      <c r="E181" s="1198"/>
      <c r="F181" s="1198"/>
      <c r="G181" s="1198"/>
      <c r="H181" s="1198"/>
      <c r="I181" s="1198"/>
      <c r="J181" s="1198"/>
      <c r="K181" s="1198"/>
      <c r="L181" s="1198"/>
      <c r="M181" s="1198"/>
      <c r="N181" s="1198"/>
      <c r="O181" s="1198"/>
      <c r="P181" s="1198"/>
      <c r="Q181" s="1359"/>
      <c r="R181" s="1198"/>
      <c r="S181" s="1198"/>
      <c r="T181" s="1507"/>
      <c r="U181" s="1507"/>
      <c r="V181" s="1507"/>
      <c r="W181" s="1507"/>
      <c r="X181" s="1170"/>
      <c r="Y181" s="1170"/>
      <c r="Z181" s="1170"/>
      <c r="AA181" s="1170"/>
      <c r="AB181" s="1170"/>
      <c r="AC181" s="1170"/>
      <c r="AD181" s="1170"/>
      <c r="AE181" s="1170"/>
      <c r="AF181" s="1170"/>
      <c r="AG181" s="1170"/>
      <c r="AH181" s="1170"/>
      <c r="AI181" s="1170"/>
      <c r="AJ181" s="1170"/>
      <c r="AK181" s="1170"/>
      <c r="AL181" s="1170"/>
      <c r="AM181" s="1170"/>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170"/>
      <c r="BK181" s="1170"/>
      <c r="BL181" s="1170"/>
      <c r="BM181" s="1170"/>
      <c r="BN181" s="1170"/>
      <c r="BO181" s="1170"/>
      <c r="BP181" s="1170"/>
      <c r="BQ181" s="1360"/>
      <c r="BR181" s="1170"/>
      <c r="BS181" s="1170"/>
      <c r="BT181" s="1170"/>
      <c r="BU181" s="1360"/>
      <c r="BV181" s="1170"/>
      <c r="BW181" s="1170"/>
      <c r="BX181" s="1170"/>
      <c r="BY181" s="1360"/>
      <c r="BZ181" s="1170"/>
      <c r="CA181" s="1198"/>
      <c r="CB181" s="1198"/>
      <c r="CC181" s="1198"/>
      <c r="CD181" s="1359"/>
      <c r="CE181" s="1198"/>
      <c r="CF181" s="1198"/>
      <c r="CG181" s="1198"/>
      <c r="CH181" s="1359"/>
      <c r="CI181" s="1198"/>
      <c r="CJ181" s="1198"/>
      <c r="CK181" s="1198"/>
      <c r="CL181" s="1359"/>
      <c r="CM181" s="1170"/>
      <c r="CN181" s="1170"/>
      <c r="CO181" s="1170"/>
      <c r="CP181" s="1170"/>
      <c r="CQ181" s="1170"/>
      <c r="CR181" s="1170"/>
      <c r="CS181" s="1170"/>
      <c r="CT181" s="1198"/>
      <c r="CU181" s="1198"/>
    </row>
    <row r="182" spans="1:99" ht="12.75" customHeight="1">
      <c r="A182" s="1575" t="s">
        <v>595</v>
      </c>
      <c r="B182" s="1591"/>
      <c r="C182" s="1591"/>
      <c r="D182" s="1591"/>
      <c r="E182" s="1591"/>
      <c r="F182" s="1591"/>
      <c r="G182" s="1591"/>
      <c r="H182" s="1591"/>
      <c r="I182" s="1591"/>
      <c r="J182" s="1591"/>
      <c r="K182" s="1591"/>
      <c r="L182" s="1591"/>
      <c r="M182" s="1591"/>
      <c r="N182" s="1591"/>
      <c r="O182" s="1591"/>
      <c r="P182" s="1591"/>
      <c r="Q182" s="1594"/>
      <c r="R182" s="1591"/>
      <c r="S182" s="1591"/>
      <c r="T182" s="1507"/>
      <c r="U182" s="1507"/>
      <c r="V182" s="1507"/>
      <c r="W182" s="1507"/>
      <c r="X182" s="1170"/>
      <c r="Y182" s="1170"/>
      <c r="Z182" s="1170"/>
      <c r="AA182" s="1170"/>
      <c r="AB182" s="1170"/>
      <c r="AC182" s="1170"/>
      <c r="AD182" s="1170"/>
      <c r="AE182" s="1170"/>
      <c r="AF182" s="1170"/>
      <c r="AG182" s="1170"/>
      <c r="AH182" s="1170"/>
      <c r="AI182" s="1170"/>
      <c r="AJ182" s="1170"/>
      <c r="AK182" s="1170"/>
      <c r="AL182" s="1170"/>
      <c r="AM182" s="1170"/>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170"/>
      <c r="BG182" s="1170"/>
      <c r="BH182" s="1170"/>
      <c r="BI182" s="1170"/>
      <c r="BJ182" s="1170"/>
      <c r="BK182" s="1170"/>
      <c r="BL182" s="1170"/>
      <c r="BM182" s="1170"/>
      <c r="BN182" s="1170"/>
      <c r="BO182" s="1170"/>
      <c r="BP182" s="1170"/>
      <c r="BQ182" s="1360"/>
      <c r="BR182" s="1170"/>
      <c r="BS182" s="1170"/>
      <c r="BT182" s="1170"/>
      <c r="BU182" s="1360"/>
      <c r="BV182" s="1170"/>
      <c r="BW182" s="1170"/>
      <c r="BX182" s="1170"/>
      <c r="BY182" s="1360"/>
      <c r="BZ182" s="1593"/>
      <c r="CA182" s="1591"/>
      <c r="CB182" s="1591"/>
      <c r="CC182" s="1591"/>
      <c r="CD182" s="1594"/>
      <c r="CE182" s="1591"/>
      <c r="CF182" s="1591"/>
      <c r="CG182" s="1591"/>
      <c r="CH182" s="1594"/>
      <c r="CI182" s="1591"/>
      <c r="CJ182" s="1591"/>
      <c r="CK182" s="1591"/>
      <c r="CL182" s="1594"/>
      <c r="CM182" s="1170"/>
      <c r="CN182" s="1170"/>
      <c r="CO182" s="1170"/>
      <c r="CP182" s="1170"/>
      <c r="CQ182" s="1170"/>
      <c r="CR182" s="1170"/>
      <c r="CS182" s="1170"/>
      <c r="CT182" s="1198"/>
      <c r="CU182" s="1198"/>
    </row>
    <row r="183" spans="1:99" ht="12.75" customHeight="1">
      <c r="A183" s="1595" t="s">
        <v>475</v>
      </c>
      <c r="B183" s="1198"/>
      <c r="C183" s="1198"/>
      <c r="D183" s="1198"/>
      <c r="E183" s="1198"/>
      <c r="F183" s="1198"/>
      <c r="G183" s="1198"/>
      <c r="H183" s="1198"/>
      <c r="I183" s="1198"/>
      <c r="J183" s="1198"/>
      <c r="K183" s="1198"/>
      <c r="L183" s="1198"/>
      <c r="M183" s="1198"/>
      <c r="N183" s="1198"/>
      <c r="O183" s="1198"/>
      <c r="P183" s="1198"/>
      <c r="Q183" s="1359">
        <f>P185</f>
        <v>1300</v>
      </c>
      <c r="R183" s="1198">
        <f>Q185</f>
        <v>1300</v>
      </c>
      <c r="S183" s="1198">
        <f>R185</f>
        <v>1300</v>
      </c>
      <c r="T183" s="1507"/>
      <c r="U183" s="1507"/>
      <c r="V183" s="1507"/>
      <c r="W183" s="1507"/>
      <c r="X183" s="1170"/>
      <c r="Y183" s="1170"/>
      <c r="Z183" s="1170"/>
      <c r="AA183" s="1170"/>
      <c r="AB183" s="1170"/>
      <c r="AC183" s="1170"/>
      <c r="AD183" s="1170"/>
      <c r="AE183" s="1170"/>
      <c r="AF183" s="1170"/>
      <c r="AG183" s="1170"/>
      <c r="AH183" s="1170"/>
      <c r="AI183" s="1170"/>
      <c r="AJ183" s="1170"/>
      <c r="AK183" s="1170"/>
      <c r="AL183" s="1170"/>
      <c r="AM183" s="1170"/>
      <c r="AN183" s="1170"/>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c r="BP183" s="1170"/>
      <c r="BQ183" s="1360"/>
      <c r="BR183" s="1170"/>
      <c r="BS183" s="1170"/>
      <c r="BT183" s="1170"/>
      <c r="BU183" s="1360"/>
      <c r="BV183" s="1170"/>
      <c r="BW183" s="1170"/>
      <c r="BX183" s="1170"/>
      <c r="BY183" s="1360"/>
      <c r="BZ183" s="1170"/>
      <c r="CA183" s="1198"/>
      <c r="CB183" s="1198"/>
      <c r="CC183" s="1198"/>
      <c r="CD183" s="1267">
        <f t="shared" ref="CD183:CK183" si="163">CC185</f>
        <v>1300</v>
      </c>
      <c r="CE183" s="1226">
        <f t="shared" si="163"/>
        <v>1300</v>
      </c>
      <c r="CF183" s="1226">
        <f t="shared" si="163"/>
        <v>1300</v>
      </c>
      <c r="CG183" s="1226">
        <f t="shared" si="163"/>
        <v>1300</v>
      </c>
      <c r="CH183" s="1267">
        <f t="shared" si="163"/>
        <v>1300</v>
      </c>
      <c r="CI183" s="1226">
        <f t="shared" si="163"/>
        <v>1300</v>
      </c>
      <c r="CJ183" s="1226">
        <f t="shared" si="163"/>
        <v>1300</v>
      </c>
      <c r="CK183" s="1226">
        <f t="shared" si="163"/>
        <v>1300</v>
      </c>
      <c r="CL183" s="1267">
        <f>CK185</f>
        <v>1300</v>
      </c>
      <c r="CM183" s="1170"/>
      <c r="CN183" s="1170"/>
      <c r="CO183" s="1170"/>
      <c r="CP183" s="1170"/>
      <c r="CQ183" s="1170"/>
      <c r="CR183" s="1170"/>
      <c r="CS183" s="1170"/>
      <c r="CT183" s="1198"/>
      <c r="CU183" s="1198"/>
    </row>
    <row r="184" spans="1:99" ht="12.75" customHeight="1">
      <c r="A184" s="1595" t="s">
        <v>593</v>
      </c>
      <c r="B184" s="1198"/>
      <c r="C184" s="1198"/>
      <c r="D184" s="1198"/>
      <c r="E184" s="1198"/>
      <c r="F184" s="1198"/>
      <c r="G184" s="1198"/>
      <c r="H184" s="1198"/>
      <c r="I184" s="1198"/>
      <c r="J184" s="1198"/>
      <c r="K184" s="1198"/>
      <c r="L184" s="1198"/>
      <c r="M184" s="1198"/>
      <c r="N184" s="1198"/>
      <c r="O184" s="1198"/>
      <c r="P184" s="1198"/>
      <c r="Q184" s="1596">
        <f>+SUM(CD184:CG184)</f>
        <v>0</v>
      </c>
      <c r="R184" s="1453">
        <f>+SUM(CH184:CK184)</f>
        <v>0</v>
      </c>
      <c r="S184" s="946"/>
      <c r="T184" s="1507"/>
      <c r="U184" s="1507"/>
      <c r="V184" s="1507"/>
      <c r="W184" s="1507"/>
      <c r="X184" s="1170"/>
      <c r="Y184" s="1170"/>
      <c r="Z184" s="1170"/>
      <c r="AA184" s="1170"/>
      <c r="AB184" s="1170"/>
      <c r="AC184" s="1170"/>
      <c r="AD184" s="1170"/>
      <c r="AE184" s="1170"/>
      <c r="AF184" s="1170"/>
      <c r="AG184" s="1170"/>
      <c r="AH184" s="1170"/>
      <c r="AI184" s="1170"/>
      <c r="AJ184" s="1170"/>
      <c r="AK184" s="1170"/>
      <c r="AL184" s="1170"/>
      <c r="AM184" s="1170"/>
      <c r="AN184" s="1170"/>
      <c r="AO184" s="1170"/>
      <c r="AP184" s="1170"/>
      <c r="AQ184" s="1170"/>
      <c r="AR184" s="1170"/>
      <c r="AS184" s="1170"/>
      <c r="AT184" s="1170"/>
      <c r="AU184" s="1170"/>
      <c r="AV184" s="1170"/>
      <c r="AW184" s="1170"/>
      <c r="AX184" s="1170"/>
      <c r="AY184" s="1170"/>
      <c r="AZ184" s="1170"/>
      <c r="BA184" s="1170"/>
      <c r="BB184" s="1170"/>
      <c r="BC184" s="1170"/>
      <c r="BD184" s="1170"/>
      <c r="BE184" s="1170"/>
      <c r="BF184" s="1170"/>
      <c r="BG184" s="1170"/>
      <c r="BH184" s="1170"/>
      <c r="BI184" s="1170"/>
      <c r="BJ184" s="1170"/>
      <c r="BK184" s="1170"/>
      <c r="BL184" s="1170"/>
      <c r="BM184" s="1170"/>
      <c r="BN184" s="1170"/>
      <c r="BO184" s="1170"/>
      <c r="BP184" s="1170"/>
      <c r="BQ184" s="1360"/>
      <c r="BR184" s="1170"/>
      <c r="BS184" s="1170"/>
      <c r="BT184" s="1170"/>
      <c r="BU184" s="1360"/>
      <c r="BV184" s="1170"/>
      <c r="BW184" s="1170"/>
      <c r="BX184" s="1170"/>
      <c r="BY184" s="1360"/>
      <c r="BZ184" s="1170"/>
      <c r="CA184" s="1198"/>
      <c r="CB184" s="1198"/>
      <c r="CC184" s="1198"/>
      <c r="CD184" s="1359"/>
      <c r="CE184" s="1198"/>
      <c r="CF184" s="1198"/>
      <c r="CG184" s="1198"/>
      <c r="CH184" s="1359"/>
      <c r="CI184" s="1198"/>
      <c r="CJ184" s="1198"/>
      <c r="CK184" s="1198"/>
      <c r="CL184" s="1359"/>
      <c r="CM184" s="1170"/>
      <c r="CN184" s="1170"/>
      <c r="CO184" s="1170"/>
      <c r="CP184" s="1170"/>
      <c r="CQ184" s="1170"/>
      <c r="CR184" s="1170"/>
      <c r="CS184" s="1170"/>
      <c r="CT184" s="1198"/>
      <c r="CU184" s="1198"/>
    </row>
    <row r="185" spans="1:99" ht="12.75" customHeight="1">
      <c r="A185" s="1595" t="s">
        <v>476</v>
      </c>
      <c r="B185" s="1198"/>
      <c r="C185" s="1198"/>
      <c r="D185" s="1198"/>
      <c r="E185" s="1198"/>
      <c r="F185" s="1198"/>
      <c r="G185" s="1198"/>
      <c r="H185" s="1198"/>
      <c r="I185" s="1198"/>
      <c r="J185" s="1198"/>
      <c r="K185" s="1198"/>
      <c r="L185" s="1198"/>
      <c r="M185" s="1198"/>
      <c r="N185" s="1198"/>
      <c r="O185" s="1198"/>
      <c r="P185" s="1198">
        <v>1300</v>
      </c>
      <c r="Q185" s="1218">
        <f>+CG185</f>
        <v>1300</v>
      </c>
      <c r="R185" s="1226">
        <f>+CK185</f>
        <v>1300</v>
      </c>
      <c r="S185" s="1198">
        <f>S184+S183</f>
        <v>1300</v>
      </c>
      <c r="T185" s="1507"/>
      <c r="U185" s="1507"/>
      <c r="V185" s="1507"/>
      <c r="W185" s="1507"/>
      <c r="X185" s="1170"/>
      <c r="Y185" s="1170"/>
      <c r="Z185" s="1170"/>
      <c r="AA185" s="1170"/>
      <c r="AB185" s="1170"/>
      <c r="AC185" s="1170"/>
      <c r="AD185" s="1170"/>
      <c r="AE185" s="1170"/>
      <c r="AF185" s="1170"/>
      <c r="AG185" s="1170"/>
      <c r="AH185" s="1170"/>
      <c r="AI185" s="1170"/>
      <c r="AJ185" s="1170"/>
      <c r="AK185" s="1170"/>
      <c r="AL185" s="1170"/>
      <c r="AM185" s="1170"/>
      <c r="AN185" s="1170"/>
      <c r="AO185" s="1170"/>
      <c r="AP185" s="1170"/>
      <c r="AQ185" s="1170"/>
      <c r="AR185" s="1170"/>
      <c r="AS185" s="1170"/>
      <c r="AT185" s="1170"/>
      <c r="AU185" s="1170"/>
      <c r="AV185" s="1170"/>
      <c r="AW185" s="1170"/>
      <c r="AX185" s="1170"/>
      <c r="AY185" s="1170"/>
      <c r="AZ185" s="1170"/>
      <c r="BA185" s="1170"/>
      <c r="BB185" s="1170"/>
      <c r="BC185" s="1170"/>
      <c r="BD185" s="1170"/>
      <c r="BE185" s="1170"/>
      <c r="BF185" s="1170"/>
      <c r="BG185" s="1170"/>
      <c r="BH185" s="1170"/>
      <c r="BI185" s="1170"/>
      <c r="BJ185" s="1170"/>
      <c r="BK185" s="1170"/>
      <c r="BL185" s="1170"/>
      <c r="BM185" s="1170"/>
      <c r="BN185" s="1170"/>
      <c r="BO185" s="1170"/>
      <c r="BP185" s="1170"/>
      <c r="BQ185" s="1360"/>
      <c r="BR185" s="1170"/>
      <c r="BS185" s="1170"/>
      <c r="BT185" s="1170"/>
      <c r="BU185" s="1360"/>
      <c r="BV185" s="1170"/>
      <c r="BW185" s="1170"/>
      <c r="BX185" s="1170"/>
      <c r="BY185" s="1360"/>
      <c r="BZ185" s="1170"/>
      <c r="CA185" s="1198"/>
      <c r="CB185" s="1198"/>
      <c r="CC185" s="1226">
        <f>P185</f>
        <v>1300</v>
      </c>
      <c r="CD185" s="1267">
        <f t="shared" ref="CD185:CK185" si="164">SUM(CD183:CD184)</f>
        <v>1300</v>
      </c>
      <c r="CE185" s="1226">
        <f t="shared" si="164"/>
        <v>1300</v>
      </c>
      <c r="CF185" s="1226">
        <f t="shared" si="164"/>
        <v>1300</v>
      </c>
      <c r="CG185" s="1226">
        <f t="shared" si="164"/>
        <v>1300</v>
      </c>
      <c r="CH185" s="1267">
        <f t="shared" si="164"/>
        <v>1300</v>
      </c>
      <c r="CI185" s="1226">
        <f t="shared" si="164"/>
        <v>1300</v>
      </c>
      <c r="CJ185" s="1226">
        <f t="shared" si="164"/>
        <v>1300</v>
      </c>
      <c r="CK185" s="1226">
        <f t="shared" si="164"/>
        <v>1300</v>
      </c>
      <c r="CL185" s="1267">
        <f>SUM(CL183:CL184)</f>
        <v>1300</v>
      </c>
      <c r="CM185" s="1170"/>
      <c r="CN185" s="1170"/>
      <c r="CO185" s="1170"/>
      <c r="CP185" s="1170"/>
      <c r="CQ185" s="1170"/>
      <c r="CR185" s="1170"/>
      <c r="CS185" s="1170"/>
      <c r="CT185" s="1198"/>
      <c r="CU185" s="1198"/>
    </row>
    <row r="186" spans="1:99" ht="12.75" customHeight="1">
      <c r="A186" s="1198"/>
      <c r="B186" s="1198"/>
      <c r="C186" s="1198"/>
      <c r="D186" s="1198"/>
      <c r="E186" s="1198"/>
      <c r="F186" s="1198"/>
      <c r="G186" s="1198"/>
      <c r="H186" s="1198"/>
      <c r="I186" s="1198"/>
      <c r="J186" s="1198"/>
      <c r="K186" s="1198"/>
      <c r="L186" s="1198"/>
      <c r="M186" s="1198"/>
      <c r="N186" s="1198"/>
      <c r="O186" s="1198"/>
      <c r="P186" s="1198"/>
      <c r="Q186" s="1359"/>
      <c r="R186" s="1198"/>
      <c r="S186" s="1198"/>
      <c r="T186" s="1507"/>
      <c r="U186" s="1507"/>
      <c r="V186" s="1507"/>
      <c r="W186" s="1507"/>
      <c r="X186" s="1170"/>
      <c r="Y186" s="1170"/>
      <c r="Z186" s="1170"/>
      <c r="AA186" s="1170"/>
      <c r="AB186" s="1170"/>
      <c r="AC186" s="1170"/>
      <c r="AD186" s="1170"/>
      <c r="AE186" s="1170"/>
      <c r="AF186" s="1170"/>
      <c r="AG186" s="1170"/>
      <c r="AH186" s="1170"/>
      <c r="AI186" s="1170"/>
      <c r="AJ186" s="1170"/>
      <c r="AK186" s="1170"/>
      <c r="AL186" s="1170"/>
      <c r="AM186" s="1170"/>
      <c r="AN186" s="1170"/>
      <c r="AO186" s="1170"/>
      <c r="AP186" s="1170"/>
      <c r="AQ186" s="1170"/>
      <c r="AR186" s="1170"/>
      <c r="AS186" s="1170"/>
      <c r="AT186" s="1170"/>
      <c r="AU186" s="1170"/>
      <c r="AV186" s="1170"/>
      <c r="AW186" s="1170"/>
      <c r="AX186" s="1170"/>
      <c r="AY186" s="1170"/>
      <c r="AZ186" s="1170"/>
      <c r="BA186" s="1170"/>
      <c r="BB186" s="1170"/>
      <c r="BC186" s="1170"/>
      <c r="BD186" s="1170"/>
      <c r="BE186" s="1170"/>
      <c r="BF186" s="1170"/>
      <c r="BG186" s="1170"/>
      <c r="BH186" s="1170"/>
      <c r="BI186" s="1170"/>
      <c r="BJ186" s="1170"/>
      <c r="BK186" s="1170"/>
      <c r="BL186" s="1170"/>
      <c r="BM186" s="1170"/>
      <c r="BN186" s="1170"/>
      <c r="BO186" s="1170"/>
      <c r="BP186" s="1170"/>
      <c r="BQ186" s="1360"/>
      <c r="BR186" s="1170"/>
      <c r="BS186" s="1170"/>
      <c r="BT186" s="1170"/>
      <c r="BU186" s="1360"/>
      <c r="BV186" s="1170"/>
      <c r="BW186" s="1170"/>
      <c r="BX186" s="1170"/>
      <c r="BY186" s="1360"/>
      <c r="BZ186" s="1170"/>
      <c r="CA186" s="1198"/>
      <c r="CB186" s="1198"/>
      <c r="CC186" s="1198"/>
      <c r="CD186" s="1359"/>
      <c r="CE186" s="1198"/>
      <c r="CF186" s="1198"/>
      <c r="CG186" s="1198"/>
      <c r="CH186" s="1359"/>
      <c r="CI186" s="1198"/>
      <c r="CJ186" s="1198"/>
      <c r="CK186" s="1198"/>
      <c r="CL186" s="1359"/>
      <c r="CM186" s="1170"/>
      <c r="CN186" s="1170"/>
      <c r="CO186" s="1170"/>
      <c r="CP186" s="1170"/>
      <c r="CQ186" s="1170"/>
      <c r="CR186" s="1170"/>
      <c r="CS186" s="1170"/>
      <c r="CT186" s="1198"/>
      <c r="CU186" s="1198"/>
    </row>
    <row r="187" spans="1:99" ht="12.75" customHeight="1">
      <c r="A187" s="1575" t="s">
        <v>596</v>
      </c>
      <c r="B187" s="1591"/>
      <c r="C187" s="1591"/>
      <c r="D187" s="1591"/>
      <c r="E187" s="1591"/>
      <c r="F187" s="1591"/>
      <c r="G187" s="1591"/>
      <c r="H187" s="1591"/>
      <c r="I187" s="1591"/>
      <c r="J187" s="1591"/>
      <c r="K187" s="1591"/>
      <c r="L187" s="1591"/>
      <c r="M187" s="1591"/>
      <c r="N187" s="1591"/>
      <c r="O187" s="1591"/>
      <c r="P187" s="1591"/>
      <c r="Q187" s="1594"/>
      <c r="R187" s="1591"/>
      <c r="S187" s="1591"/>
      <c r="T187" s="1507"/>
      <c r="U187" s="1507"/>
      <c r="V187" s="1507"/>
      <c r="W187" s="1507"/>
      <c r="X187" s="1170"/>
      <c r="Y187" s="1170"/>
      <c r="Z187" s="1170"/>
      <c r="AA187" s="1170"/>
      <c r="AB187" s="1170"/>
      <c r="AC187" s="1170"/>
      <c r="AD187" s="1170"/>
      <c r="AE187" s="1170"/>
      <c r="AF187" s="1170"/>
      <c r="AG187" s="1170"/>
      <c r="AH187" s="1170"/>
      <c r="AI187" s="1170"/>
      <c r="AJ187" s="1170"/>
      <c r="AK187" s="1170"/>
      <c r="AL187" s="1170"/>
      <c r="AM187" s="1170"/>
      <c r="AN187" s="1170"/>
      <c r="AO187" s="1170"/>
      <c r="AP187" s="1170"/>
      <c r="AQ187" s="1170"/>
      <c r="AR187" s="1170"/>
      <c r="AS187" s="1170"/>
      <c r="AT187" s="1170"/>
      <c r="AU187" s="1170"/>
      <c r="AV187" s="1170"/>
      <c r="AW187" s="1170"/>
      <c r="AX187" s="1170"/>
      <c r="AY187" s="1170"/>
      <c r="AZ187" s="1170"/>
      <c r="BA187" s="1170"/>
      <c r="BB187" s="1170"/>
      <c r="BC187" s="1170"/>
      <c r="BD187" s="1170"/>
      <c r="BE187" s="1170"/>
      <c r="BF187" s="1170"/>
      <c r="BG187" s="1170"/>
      <c r="BH187" s="1170"/>
      <c r="BI187" s="1170"/>
      <c r="BJ187" s="1170"/>
      <c r="BK187" s="1170"/>
      <c r="BL187" s="1170"/>
      <c r="BM187" s="1170"/>
      <c r="BN187" s="1170"/>
      <c r="BO187" s="1170"/>
      <c r="BP187" s="1170"/>
      <c r="BQ187" s="1360"/>
      <c r="BR187" s="1170"/>
      <c r="BS187" s="1170"/>
      <c r="BT187" s="1170"/>
      <c r="BU187" s="1360"/>
      <c r="BV187" s="1170"/>
      <c r="BW187" s="1170"/>
      <c r="BX187" s="1170"/>
      <c r="BY187" s="1360"/>
      <c r="BZ187" s="1593"/>
      <c r="CA187" s="1591"/>
      <c r="CB187" s="1591"/>
      <c r="CC187" s="1591"/>
      <c r="CD187" s="1594"/>
      <c r="CE187" s="1591"/>
      <c r="CF187" s="1591"/>
      <c r="CG187" s="1591"/>
      <c r="CH187" s="1594"/>
      <c r="CI187" s="1591"/>
      <c r="CJ187" s="1591"/>
      <c r="CK187" s="1591"/>
      <c r="CL187" s="1594"/>
      <c r="CM187" s="1170"/>
      <c r="CN187" s="1170"/>
      <c r="CO187" s="1170"/>
      <c r="CP187" s="1170"/>
      <c r="CQ187" s="1170"/>
      <c r="CR187" s="1170"/>
      <c r="CS187" s="1170"/>
      <c r="CT187" s="1198"/>
      <c r="CU187" s="1198"/>
    </row>
    <row r="188" spans="1:99" ht="12.75" customHeight="1">
      <c r="A188" s="1595" t="s">
        <v>475</v>
      </c>
      <c r="B188" s="1198"/>
      <c r="C188" s="1198"/>
      <c r="D188" s="1198"/>
      <c r="E188" s="1198"/>
      <c r="F188" s="1198"/>
      <c r="G188" s="1198"/>
      <c r="H188" s="1198"/>
      <c r="I188" s="1198"/>
      <c r="J188" s="1198"/>
      <c r="K188" s="1198"/>
      <c r="L188" s="1198"/>
      <c r="M188" s="1198"/>
      <c r="N188" s="1198"/>
      <c r="O188" s="1198"/>
      <c r="P188" s="1198"/>
      <c r="Q188" s="1359">
        <f>P190</f>
        <v>1265</v>
      </c>
      <c r="R188" s="1198">
        <f>Q190</f>
        <v>1265</v>
      </c>
      <c r="S188" s="1198">
        <f>R190</f>
        <v>1265</v>
      </c>
      <c r="T188" s="1507"/>
      <c r="U188" s="1507"/>
      <c r="V188" s="1507"/>
      <c r="W188" s="1507"/>
      <c r="X188" s="1170"/>
      <c r="Y188" s="1170"/>
      <c r="Z188" s="1170"/>
      <c r="AA188" s="1170"/>
      <c r="AB188" s="1170"/>
      <c r="AC188" s="1170"/>
      <c r="AD188" s="1170"/>
      <c r="AE188" s="1170"/>
      <c r="AF188" s="1170"/>
      <c r="AG188" s="1170"/>
      <c r="AH188" s="1170"/>
      <c r="AI188" s="1170"/>
      <c r="AJ188" s="1170"/>
      <c r="AK188" s="1170"/>
      <c r="AL188" s="1170"/>
      <c r="AM188" s="1170"/>
      <c r="AN188" s="1170"/>
      <c r="AO188" s="1170"/>
      <c r="AP188" s="1170"/>
      <c r="AQ188" s="1170"/>
      <c r="AR188" s="1170"/>
      <c r="AS188" s="1170"/>
      <c r="AT188" s="1170"/>
      <c r="AU188" s="1170"/>
      <c r="AV188" s="1170"/>
      <c r="AW188" s="1170"/>
      <c r="AX188" s="1170"/>
      <c r="AY188" s="1170"/>
      <c r="AZ188" s="1170"/>
      <c r="BA188" s="1170"/>
      <c r="BB188" s="1170"/>
      <c r="BC188" s="1170"/>
      <c r="BD188" s="1170"/>
      <c r="BE188" s="1170"/>
      <c r="BF188" s="1170"/>
      <c r="BG188" s="1170"/>
      <c r="BH188" s="1170"/>
      <c r="BI188" s="1170"/>
      <c r="BJ188" s="1170"/>
      <c r="BK188" s="1170"/>
      <c r="BL188" s="1170"/>
      <c r="BM188" s="1170"/>
      <c r="BN188" s="1170"/>
      <c r="BO188" s="1170"/>
      <c r="BP188" s="1170"/>
      <c r="BQ188" s="1360"/>
      <c r="BR188" s="1170"/>
      <c r="BS188" s="1170"/>
      <c r="BT188" s="1170"/>
      <c r="BU188" s="1360"/>
      <c r="BV188" s="1170"/>
      <c r="BW188" s="1170"/>
      <c r="BX188" s="1170"/>
      <c r="BY188" s="1360"/>
      <c r="BZ188" s="1170"/>
      <c r="CA188" s="1198"/>
      <c r="CB188" s="1198"/>
      <c r="CC188" s="1198"/>
      <c r="CD188" s="1267">
        <f t="shared" ref="CD188:CK188" si="165">CC190</f>
        <v>1265</v>
      </c>
      <c r="CE188" s="1226">
        <f t="shared" si="165"/>
        <v>1265</v>
      </c>
      <c r="CF188" s="1226">
        <f t="shared" si="165"/>
        <v>1265</v>
      </c>
      <c r="CG188" s="1226">
        <f t="shared" si="165"/>
        <v>1265</v>
      </c>
      <c r="CH188" s="1267">
        <f t="shared" si="165"/>
        <v>1265</v>
      </c>
      <c r="CI188" s="1226">
        <f t="shared" si="165"/>
        <v>1265</v>
      </c>
      <c r="CJ188" s="1226">
        <f t="shared" si="165"/>
        <v>1265</v>
      </c>
      <c r="CK188" s="1226">
        <f t="shared" si="165"/>
        <v>1265</v>
      </c>
      <c r="CL188" s="1267">
        <f>CK190</f>
        <v>1265</v>
      </c>
      <c r="CM188" s="1170"/>
      <c r="CN188" s="1170"/>
      <c r="CO188" s="1170"/>
      <c r="CP188" s="1170"/>
      <c r="CQ188" s="1170"/>
      <c r="CR188" s="1170"/>
      <c r="CS188" s="1170"/>
      <c r="CT188" s="1198"/>
      <c r="CU188" s="1198"/>
    </row>
    <row r="189" spans="1:99" ht="12.75" customHeight="1">
      <c r="A189" s="1595" t="s">
        <v>593</v>
      </c>
      <c r="B189" s="1198"/>
      <c r="C189" s="1198"/>
      <c r="D189" s="1198"/>
      <c r="E189" s="1198"/>
      <c r="F189" s="1198"/>
      <c r="G189" s="1198"/>
      <c r="H189" s="1198"/>
      <c r="I189" s="1198"/>
      <c r="J189" s="1198"/>
      <c r="K189" s="1198"/>
      <c r="L189" s="1198"/>
      <c r="M189" s="1198"/>
      <c r="N189" s="1198"/>
      <c r="O189" s="1198"/>
      <c r="P189" s="1198"/>
      <c r="Q189" s="1596">
        <f>+SUM(CD189:CG189)</f>
        <v>0</v>
      </c>
      <c r="R189" s="1453">
        <f>+SUM(CH189:CK189)</f>
        <v>0</v>
      </c>
      <c r="S189" s="946"/>
      <c r="T189" s="1507"/>
      <c r="U189" s="1507"/>
      <c r="V189" s="1507"/>
      <c r="W189" s="1507"/>
      <c r="X189" s="1170"/>
      <c r="Y189" s="1170"/>
      <c r="Z189" s="1170"/>
      <c r="AA189" s="1170"/>
      <c r="AB189" s="1170"/>
      <c r="AC189" s="1170"/>
      <c r="AD189" s="1170"/>
      <c r="AE189" s="1170"/>
      <c r="AF189" s="1170"/>
      <c r="AG189" s="1170"/>
      <c r="AH189" s="1170"/>
      <c r="AI189" s="1170"/>
      <c r="AJ189" s="1170"/>
      <c r="AK189" s="1170"/>
      <c r="AL189" s="1170"/>
      <c r="AM189" s="1170"/>
      <c r="AN189" s="1170"/>
      <c r="AO189" s="1170"/>
      <c r="AP189" s="1170"/>
      <c r="AQ189" s="1170"/>
      <c r="AR189" s="1170"/>
      <c r="AS189" s="1170"/>
      <c r="AT189" s="1170"/>
      <c r="AU189" s="1170"/>
      <c r="AV189" s="1170"/>
      <c r="AW189" s="1170"/>
      <c r="AX189" s="1170"/>
      <c r="AY189" s="1170"/>
      <c r="AZ189" s="1170"/>
      <c r="BA189" s="1170"/>
      <c r="BB189" s="1170"/>
      <c r="BC189" s="1170"/>
      <c r="BD189" s="1170"/>
      <c r="BE189" s="1170"/>
      <c r="BF189" s="1170"/>
      <c r="BG189" s="1170"/>
      <c r="BH189" s="1170"/>
      <c r="BI189" s="1170"/>
      <c r="BJ189" s="1170"/>
      <c r="BK189" s="1170"/>
      <c r="BL189" s="1170"/>
      <c r="BM189" s="1170"/>
      <c r="BN189" s="1170"/>
      <c r="BO189" s="1170"/>
      <c r="BP189" s="1170"/>
      <c r="BQ189" s="1360"/>
      <c r="BR189" s="1170"/>
      <c r="BS189" s="1170"/>
      <c r="BT189" s="1170"/>
      <c r="BU189" s="1360"/>
      <c r="BV189" s="1170"/>
      <c r="BW189" s="1170"/>
      <c r="BX189" s="1170"/>
      <c r="BY189" s="1360"/>
      <c r="BZ189" s="1170"/>
      <c r="CA189" s="1198"/>
      <c r="CB189" s="1198"/>
      <c r="CC189" s="1198"/>
      <c r="CD189" s="1359"/>
      <c r="CE189" s="1198"/>
      <c r="CF189" s="1198"/>
      <c r="CG189" s="1198"/>
      <c r="CH189" s="1359"/>
      <c r="CI189" s="1198"/>
      <c r="CJ189" s="1598">
        <f>CJ190-CJ188</f>
        <v>0</v>
      </c>
      <c r="CK189" s="1198"/>
      <c r="CL189" s="1359"/>
      <c r="CM189" s="1170"/>
      <c r="CN189" s="1170"/>
      <c r="CO189" s="1170"/>
      <c r="CP189" s="1170"/>
      <c r="CQ189" s="1170"/>
      <c r="CR189" s="1170"/>
      <c r="CS189" s="1170"/>
      <c r="CT189" s="1198"/>
      <c r="CU189" s="1198"/>
    </row>
    <row r="190" spans="1:99" ht="12.75" customHeight="1">
      <c r="A190" s="1595" t="s">
        <v>476</v>
      </c>
      <c r="B190" s="1198"/>
      <c r="C190" s="1198"/>
      <c r="D190" s="1198"/>
      <c r="E190" s="1198"/>
      <c r="F190" s="1198"/>
      <c r="G190" s="1198"/>
      <c r="H190" s="1198"/>
      <c r="I190" s="1198"/>
      <c r="J190" s="1198"/>
      <c r="K190" s="1198"/>
      <c r="L190" s="1198"/>
      <c r="M190" s="1198"/>
      <c r="N190" s="1198"/>
      <c r="O190" s="1198"/>
      <c r="P190" s="1198">
        <v>1265</v>
      </c>
      <c r="Q190" s="1218">
        <f>+CG190</f>
        <v>1265</v>
      </c>
      <c r="R190" s="1226">
        <f>+CK190</f>
        <v>1265</v>
      </c>
      <c r="S190" s="1198">
        <f>S189+S188</f>
        <v>1265</v>
      </c>
      <c r="T190" s="1507"/>
      <c r="U190" s="1507"/>
      <c r="V190" s="1507"/>
      <c r="W190" s="1507"/>
      <c r="X190" s="1170"/>
      <c r="Y190" s="1170"/>
      <c r="Z190" s="1170"/>
      <c r="AA190" s="1170"/>
      <c r="AB190" s="1170"/>
      <c r="AC190" s="1170"/>
      <c r="AD190" s="1170"/>
      <c r="AE190" s="1170"/>
      <c r="AF190" s="1170"/>
      <c r="AG190" s="1170"/>
      <c r="AH190" s="1170"/>
      <c r="AI190" s="1170"/>
      <c r="AJ190" s="1170"/>
      <c r="AK190" s="1170"/>
      <c r="AL190" s="1170"/>
      <c r="AM190" s="1170"/>
      <c r="AN190" s="1170"/>
      <c r="AO190" s="1170"/>
      <c r="AP190" s="1170"/>
      <c r="AQ190" s="1170"/>
      <c r="AR190" s="1170"/>
      <c r="AS190" s="1170"/>
      <c r="AT190" s="1170"/>
      <c r="AU190" s="1170"/>
      <c r="AV190" s="1170"/>
      <c r="AW190" s="1170"/>
      <c r="AX190" s="1170"/>
      <c r="AY190" s="1170"/>
      <c r="AZ190" s="1170"/>
      <c r="BA190" s="1170"/>
      <c r="BB190" s="1170"/>
      <c r="BC190" s="1170"/>
      <c r="BD190" s="1170"/>
      <c r="BE190" s="1170"/>
      <c r="BF190" s="1170"/>
      <c r="BG190" s="1170"/>
      <c r="BH190" s="1170"/>
      <c r="BI190" s="1170"/>
      <c r="BJ190" s="1170"/>
      <c r="BK190" s="1170"/>
      <c r="BL190" s="1170"/>
      <c r="BM190" s="1170"/>
      <c r="BN190" s="1170"/>
      <c r="BO190" s="1170"/>
      <c r="BP190" s="1170"/>
      <c r="BQ190" s="1360"/>
      <c r="BR190" s="1170"/>
      <c r="BS190" s="1170"/>
      <c r="BT190" s="1170"/>
      <c r="BU190" s="1360"/>
      <c r="BV190" s="1170"/>
      <c r="BW190" s="1170"/>
      <c r="BX190" s="1170"/>
      <c r="BY190" s="1360"/>
      <c r="BZ190" s="1170"/>
      <c r="CA190" s="1198"/>
      <c r="CB190" s="1198"/>
      <c r="CC190" s="1226">
        <f>P190</f>
        <v>1265</v>
      </c>
      <c r="CD190" s="1267">
        <f t="shared" ref="CD190:CK190" si="166">SUM(CD188:CD189)</f>
        <v>1265</v>
      </c>
      <c r="CE190" s="1226">
        <f t="shared" si="166"/>
        <v>1265</v>
      </c>
      <c r="CF190" s="1226">
        <f t="shared" si="166"/>
        <v>1265</v>
      </c>
      <c r="CG190" s="1226">
        <f t="shared" si="166"/>
        <v>1265</v>
      </c>
      <c r="CH190" s="1267">
        <f t="shared" si="166"/>
        <v>1265</v>
      </c>
      <c r="CI190" s="1226">
        <f t="shared" si="166"/>
        <v>1265</v>
      </c>
      <c r="CJ190" s="1550">
        <v>1265</v>
      </c>
      <c r="CK190" s="1226">
        <f t="shared" si="166"/>
        <v>1265</v>
      </c>
      <c r="CL190" s="1267">
        <f>SUM(CL188:CL189)</f>
        <v>1265</v>
      </c>
      <c r="CM190" s="1170"/>
      <c r="CN190" s="1170"/>
      <c r="CO190" s="1170"/>
      <c r="CP190" s="1170"/>
      <c r="CQ190" s="1170"/>
      <c r="CR190" s="1170"/>
      <c r="CS190" s="1170"/>
      <c r="CT190" s="1198"/>
      <c r="CU190" s="1198"/>
    </row>
    <row r="191" spans="1:99" ht="12.75" customHeight="1">
      <c r="A191" s="1595"/>
      <c r="B191" s="1198"/>
      <c r="C191" s="1198"/>
      <c r="D191" s="1198"/>
      <c r="E191" s="1198"/>
      <c r="F191" s="1198"/>
      <c r="G191" s="1198"/>
      <c r="H191" s="1198"/>
      <c r="I191" s="1198"/>
      <c r="J191" s="1198"/>
      <c r="K191" s="1198"/>
      <c r="L191" s="1198"/>
      <c r="M191" s="1198"/>
      <c r="N191" s="1198"/>
      <c r="O191" s="1198"/>
      <c r="P191" s="1198"/>
      <c r="Q191" s="1218"/>
      <c r="R191" s="1226"/>
      <c r="S191" s="1198"/>
      <c r="T191" s="1507"/>
      <c r="U191" s="1507"/>
      <c r="V191" s="1507"/>
      <c r="W191" s="1507"/>
      <c r="X191" s="1170"/>
      <c r="Y191" s="1170"/>
      <c r="Z191" s="1170"/>
      <c r="AA191" s="1170"/>
      <c r="AB191" s="1170"/>
      <c r="AC191" s="1170"/>
      <c r="AD191" s="1170"/>
      <c r="AE191" s="1170"/>
      <c r="AF191" s="1170"/>
      <c r="AG191" s="1170"/>
      <c r="AH191" s="1170"/>
      <c r="AI191" s="1170"/>
      <c r="AJ191" s="1170"/>
      <c r="AK191" s="1170"/>
      <c r="AL191" s="1170"/>
      <c r="AM191" s="1170"/>
      <c r="AN191" s="1170"/>
      <c r="AO191" s="1170"/>
      <c r="AP191" s="1170"/>
      <c r="AQ191" s="1170"/>
      <c r="AR191" s="1170"/>
      <c r="AS191" s="1170"/>
      <c r="AT191" s="1170"/>
      <c r="AU191" s="1170"/>
      <c r="AV191" s="1170"/>
      <c r="AW191" s="1170"/>
      <c r="AX191" s="1170"/>
      <c r="AY191" s="1170"/>
      <c r="AZ191" s="1170"/>
      <c r="BA191" s="1170"/>
      <c r="BB191" s="1170"/>
      <c r="BC191" s="1170"/>
      <c r="BD191" s="1170"/>
      <c r="BE191" s="1170"/>
      <c r="BF191" s="1170"/>
      <c r="BG191" s="1170"/>
      <c r="BH191" s="1170"/>
      <c r="BI191" s="1170"/>
      <c r="BJ191" s="1170"/>
      <c r="BK191" s="1170"/>
      <c r="BL191" s="1170"/>
      <c r="BM191" s="1170"/>
      <c r="BN191" s="1170"/>
      <c r="BO191" s="1170"/>
      <c r="BP191" s="1170"/>
      <c r="BQ191" s="1360"/>
      <c r="BR191" s="1170"/>
      <c r="BS191" s="1170"/>
      <c r="BT191" s="1170"/>
      <c r="BU191" s="1360"/>
      <c r="BV191" s="1170"/>
      <c r="BW191" s="1170"/>
      <c r="BX191" s="1170"/>
      <c r="BY191" s="1360"/>
      <c r="BZ191" s="1170"/>
      <c r="CA191" s="1198"/>
      <c r="CB191" s="1198"/>
      <c r="CC191" s="1226"/>
      <c r="CD191" s="1267"/>
      <c r="CE191" s="1226"/>
      <c r="CF191" s="1226"/>
      <c r="CG191" s="1226"/>
      <c r="CH191" s="1267"/>
      <c r="CI191" s="1226"/>
      <c r="CJ191" s="1226"/>
      <c r="CK191" s="1550"/>
      <c r="CL191" s="1599"/>
      <c r="CM191" s="1170"/>
      <c r="CN191" s="1170"/>
      <c r="CO191" s="1170"/>
      <c r="CP191" s="1170"/>
      <c r="CQ191" s="1170"/>
      <c r="CR191" s="1170"/>
      <c r="CS191" s="1170"/>
      <c r="CT191" s="1198"/>
      <c r="CU191" s="1198"/>
    </row>
    <row r="192" spans="1:99" ht="12.75" customHeight="1">
      <c r="A192" s="1575" t="s">
        <v>597</v>
      </c>
      <c r="B192" s="1591"/>
      <c r="C192" s="1591"/>
      <c r="D192" s="1591"/>
      <c r="E192" s="1591"/>
      <c r="F192" s="1591"/>
      <c r="G192" s="1591"/>
      <c r="H192" s="1591"/>
      <c r="I192" s="1591"/>
      <c r="J192" s="1591"/>
      <c r="K192" s="1591"/>
      <c r="L192" s="1591"/>
      <c r="M192" s="1591"/>
      <c r="N192" s="1591"/>
      <c r="O192" s="1591"/>
      <c r="P192" s="1591"/>
      <c r="Q192" s="1594"/>
      <c r="R192" s="1591"/>
      <c r="S192" s="1591"/>
      <c r="T192" s="1507"/>
      <c r="U192" s="1507"/>
      <c r="V192" s="1507"/>
      <c r="W192" s="1507"/>
      <c r="X192" s="1170"/>
      <c r="Y192" s="1170"/>
      <c r="Z192" s="1170"/>
      <c r="AA192" s="1170"/>
      <c r="AB192" s="1170"/>
      <c r="AC192" s="1170"/>
      <c r="AD192" s="1170"/>
      <c r="AE192" s="1170"/>
      <c r="AF192" s="1170"/>
      <c r="AG192" s="1170"/>
      <c r="AH192" s="1170"/>
      <c r="AI192" s="1170"/>
      <c r="AJ192" s="1170"/>
      <c r="AK192" s="1170"/>
      <c r="AL192" s="1170"/>
      <c r="AM192" s="1170"/>
      <c r="AN192" s="1170"/>
      <c r="AO192" s="1170"/>
      <c r="AP192" s="1170"/>
      <c r="AQ192" s="1170"/>
      <c r="AR192" s="1170"/>
      <c r="AS192" s="1170"/>
      <c r="AT192" s="1170"/>
      <c r="AU192" s="1170"/>
      <c r="AV192" s="1170"/>
      <c r="AW192" s="1170"/>
      <c r="AX192" s="1170"/>
      <c r="AY192" s="1170"/>
      <c r="AZ192" s="1170"/>
      <c r="BA192" s="1170"/>
      <c r="BB192" s="1170"/>
      <c r="BC192" s="1170"/>
      <c r="BD192" s="1170"/>
      <c r="BE192" s="1170"/>
      <c r="BF192" s="1170"/>
      <c r="BG192" s="1170"/>
      <c r="BH192" s="1170"/>
      <c r="BI192" s="1170"/>
      <c r="BJ192" s="1170"/>
      <c r="BK192" s="1170"/>
      <c r="BL192" s="1170"/>
      <c r="BM192" s="1170"/>
      <c r="BN192" s="1170"/>
      <c r="BO192" s="1170"/>
      <c r="BP192" s="1170"/>
      <c r="BQ192" s="1360"/>
      <c r="BR192" s="1170"/>
      <c r="BS192" s="1170"/>
      <c r="BT192" s="1170"/>
      <c r="BU192" s="1360"/>
      <c r="BV192" s="1170"/>
      <c r="BW192" s="1170"/>
      <c r="BX192" s="1170"/>
      <c r="BY192" s="1360"/>
      <c r="BZ192" s="1593"/>
      <c r="CA192" s="1591"/>
      <c r="CB192" s="1591"/>
      <c r="CC192" s="1591"/>
      <c r="CD192" s="1594"/>
      <c r="CE192" s="1591"/>
      <c r="CF192" s="1591"/>
      <c r="CG192" s="1591"/>
      <c r="CH192" s="1594"/>
      <c r="CI192" s="1591"/>
      <c r="CJ192" s="1591"/>
      <c r="CK192" s="1591"/>
      <c r="CL192" s="1594"/>
      <c r="CM192" s="1170"/>
      <c r="CN192" s="1170"/>
      <c r="CO192" s="1170"/>
      <c r="CP192" s="1170"/>
      <c r="CQ192" s="1170"/>
      <c r="CR192" s="1170"/>
      <c r="CS192" s="1170"/>
      <c r="CT192" s="1198"/>
      <c r="CU192" s="1198"/>
    </row>
    <row r="193" spans="1:99" ht="12.75" customHeight="1">
      <c r="A193" s="1595" t="s">
        <v>475</v>
      </c>
      <c r="B193" s="1198"/>
      <c r="C193" s="1198"/>
      <c r="D193" s="1198"/>
      <c r="E193" s="1198"/>
      <c r="F193" s="1198"/>
      <c r="G193" s="1198"/>
      <c r="H193" s="1198"/>
      <c r="I193" s="1198"/>
      <c r="J193" s="1198"/>
      <c r="K193" s="1198"/>
      <c r="L193" s="1198"/>
      <c r="M193" s="1198"/>
      <c r="N193" s="1198"/>
      <c r="O193" s="1198"/>
      <c r="P193" s="1307"/>
      <c r="Q193" s="1426">
        <f>P195</f>
        <v>0</v>
      </c>
      <c r="R193" s="1307">
        <f>Q195</f>
        <v>550</v>
      </c>
      <c r="S193" s="1307">
        <f>R195</f>
        <v>550</v>
      </c>
      <c r="T193" s="1507"/>
      <c r="U193" s="1507"/>
      <c r="V193" s="1507"/>
      <c r="W193" s="1507"/>
      <c r="X193" s="1170"/>
      <c r="Y193" s="1170"/>
      <c r="Z193" s="1170"/>
      <c r="AA193" s="1170"/>
      <c r="AB193" s="1170"/>
      <c r="AC193" s="1170"/>
      <c r="AD193" s="1170"/>
      <c r="AE193" s="1170"/>
      <c r="AF193" s="1170"/>
      <c r="AG193" s="1170"/>
      <c r="AH193" s="1170"/>
      <c r="AI193" s="1170"/>
      <c r="AJ193" s="1170"/>
      <c r="AK193" s="1170"/>
      <c r="AL193" s="1170"/>
      <c r="AM193" s="1170"/>
      <c r="AN193" s="1170"/>
      <c r="AO193" s="1170"/>
      <c r="AP193" s="1170"/>
      <c r="AQ193" s="1170"/>
      <c r="AR193" s="1170"/>
      <c r="AS193" s="1170"/>
      <c r="AT193" s="1170"/>
      <c r="AU193" s="1170"/>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360"/>
      <c r="BR193" s="1170"/>
      <c r="BS193" s="1170"/>
      <c r="BT193" s="1170"/>
      <c r="BU193" s="1360"/>
      <c r="BV193" s="1170"/>
      <c r="BW193" s="1170"/>
      <c r="BX193" s="1170"/>
      <c r="BY193" s="1360"/>
      <c r="BZ193" s="1170"/>
      <c r="CA193" s="1198"/>
      <c r="CB193" s="1198"/>
      <c r="CC193" s="1226"/>
      <c r="CD193" s="1267"/>
      <c r="CE193" s="1226"/>
      <c r="CF193" s="1226">
        <f t="shared" ref="CF193:CK193" si="167">CE195</f>
        <v>0</v>
      </c>
      <c r="CG193" s="1226">
        <f t="shared" si="167"/>
        <v>550</v>
      </c>
      <c r="CH193" s="1267">
        <f t="shared" si="167"/>
        <v>550</v>
      </c>
      <c r="CI193" s="1226">
        <f t="shared" si="167"/>
        <v>550</v>
      </c>
      <c r="CJ193" s="1226">
        <f t="shared" si="167"/>
        <v>550</v>
      </c>
      <c r="CK193" s="1226">
        <f t="shared" si="167"/>
        <v>550</v>
      </c>
      <c r="CL193" s="1267">
        <f>CK195</f>
        <v>550</v>
      </c>
      <c r="CM193" s="1170"/>
      <c r="CN193" s="1170"/>
      <c r="CO193" s="1170"/>
      <c r="CP193" s="1170"/>
      <c r="CQ193" s="1170"/>
      <c r="CR193" s="1170"/>
      <c r="CS193" s="1170"/>
      <c r="CT193" s="1198"/>
      <c r="CU193" s="1198"/>
    </row>
    <row r="194" spans="1:99" ht="12.75" customHeight="1">
      <c r="A194" s="1595" t="s">
        <v>593</v>
      </c>
      <c r="B194" s="1198"/>
      <c r="C194" s="1198"/>
      <c r="D194" s="1198"/>
      <c r="E194" s="1198"/>
      <c r="F194" s="1198"/>
      <c r="G194" s="1198"/>
      <c r="H194" s="1198"/>
      <c r="I194" s="1198"/>
      <c r="J194" s="1198"/>
      <c r="K194" s="1198"/>
      <c r="L194" s="1198"/>
      <c r="M194" s="1198"/>
      <c r="N194" s="1198"/>
      <c r="O194" s="1198"/>
      <c r="P194" s="1307"/>
      <c r="Q194" s="1596">
        <f>+SUM(CD194:CG194)</f>
        <v>550</v>
      </c>
      <c r="R194" s="1453">
        <f>+SUM(CH194:CK194)</f>
        <v>0</v>
      </c>
      <c r="S194" s="1307"/>
      <c r="T194" s="1507"/>
      <c r="U194" s="1507"/>
      <c r="V194" s="1507"/>
      <c r="W194" s="1507"/>
      <c r="X194" s="1170"/>
      <c r="Y194" s="1170"/>
      <c r="Z194" s="1170"/>
      <c r="AA194" s="1170"/>
      <c r="AB194" s="1170"/>
      <c r="AC194" s="1170"/>
      <c r="AD194" s="1170"/>
      <c r="AE194" s="1170"/>
      <c r="AF194" s="1170"/>
      <c r="AG194" s="1170"/>
      <c r="AH194" s="1170"/>
      <c r="AI194" s="1170"/>
      <c r="AJ194" s="1170"/>
      <c r="AK194" s="1170"/>
      <c r="AL194" s="1170"/>
      <c r="AM194" s="1170"/>
      <c r="AN194" s="1170"/>
      <c r="AO194" s="1170"/>
      <c r="AP194" s="1170"/>
      <c r="AQ194" s="1170"/>
      <c r="AR194" s="1170"/>
      <c r="AS194" s="1170"/>
      <c r="AT194" s="1170"/>
      <c r="AU194" s="1170"/>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360"/>
      <c r="BR194" s="1170"/>
      <c r="BS194" s="1170"/>
      <c r="BT194" s="1170"/>
      <c r="BU194" s="1360"/>
      <c r="BV194" s="1170"/>
      <c r="BW194" s="1170"/>
      <c r="BX194" s="1170"/>
      <c r="BY194" s="1360"/>
      <c r="BZ194" s="1170"/>
      <c r="CA194" s="1198"/>
      <c r="CB194" s="1198"/>
      <c r="CC194" s="1226"/>
      <c r="CD194" s="1267"/>
      <c r="CE194" s="1226"/>
      <c r="CF194" s="1347">
        <v>550</v>
      </c>
      <c r="CG194" s="1226"/>
      <c r="CH194" s="1267"/>
      <c r="CI194" s="1226"/>
      <c r="CJ194" s="1226"/>
      <c r="CK194" s="1226"/>
      <c r="CL194" s="1267"/>
      <c r="CM194" s="1170"/>
      <c r="CN194" s="1170"/>
      <c r="CO194" s="1170"/>
      <c r="CP194" s="1170"/>
      <c r="CQ194" s="1170"/>
      <c r="CR194" s="1170"/>
      <c r="CS194" s="1170"/>
      <c r="CT194" s="1198"/>
      <c r="CU194" s="1198"/>
    </row>
    <row r="195" spans="1:99" ht="12.75" customHeight="1">
      <c r="A195" s="1595" t="s">
        <v>476</v>
      </c>
      <c r="B195" s="1198"/>
      <c r="C195" s="1198"/>
      <c r="D195" s="1198"/>
      <c r="E195" s="1198"/>
      <c r="F195" s="1198"/>
      <c r="G195" s="1198"/>
      <c r="H195" s="1198"/>
      <c r="I195" s="1198"/>
      <c r="J195" s="1198"/>
      <c r="K195" s="1198"/>
      <c r="L195" s="1198"/>
      <c r="M195" s="1198"/>
      <c r="N195" s="1198"/>
      <c r="O195" s="1198"/>
      <c r="P195" s="1307"/>
      <c r="Q195" s="1218">
        <f>+CG195</f>
        <v>550</v>
      </c>
      <c r="R195" s="1226">
        <f>+CK195</f>
        <v>550</v>
      </c>
      <c r="S195" s="1307">
        <f>S194+S193</f>
        <v>550</v>
      </c>
      <c r="T195" s="1507"/>
      <c r="U195" s="1507"/>
      <c r="V195" s="1507"/>
      <c r="W195" s="1507"/>
      <c r="X195" s="1170"/>
      <c r="Y195" s="1170"/>
      <c r="Z195" s="1170"/>
      <c r="AA195" s="1170"/>
      <c r="AB195" s="1170"/>
      <c r="AC195" s="1170"/>
      <c r="AD195" s="1170"/>
      <c r="AE195" s="1170"/>
      <c r="AF195" s="1170"/>
      <c r="AG195" s="1170"/>
      <c r="AH195" s="1170"/>
      <c r="AI195" s="1170"/>
      <c r="AJ195" s="1170"/>
      <c r="AK195" s="1170"/>
      <c r="AL195" s="1170"/>
      <c r="AM195" s="1170"/>
      <c r="AN195" s="1170"/>
      <c r="AO195" s="1170"/>
      <c r="AP195" s="1170"/>
      <c r="AQ195" s="1170"/>
      <c r="AR195" s="1170"/>
      <c r="AS195" s="1170"/>
      <c r="AT195" s="1170"/>
      <c r="AU195" s="1170"/>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360"/>
      <c r="BR195" s="1170"/>
      <c r="BS195" s="1170"/>
      <c r="BT195" s="1170"/>
      <c r="BU195" s="1360"/>
      <c r="BV195" s="1170"/>
      <c r="BW195" s="1170"/>
      <c r="BX195" s="1170"/>
      <c r="BY195" s="1360"/>
      <c r="BZ195" s="1170"/>
      <c r="CA195" s="1198"/>
      <c r="CB195" s="1198"/>
      <c r="CC195" s="1226"/>
      <c r="CD195" s="1267"/>
      <c r="CE195" s="1226"/>
      <c r="CF195" s="1226">
        <f t="shared" ref="CF195:CK195" si="168">SUM(CF193:CF194)</f>
        <v>550</v>
      </c>
      <c r="CG195" s="1226">
        <f t="shared" si="168"/>
        <v>550</v>
      </c>
      <c r="CH195" s="1267">
        <f t="shared" si="168"/>
        <v>550</v>
      </c>
      <c r="CI195" s="1226">
        <f t="shared" si="168"/>
        <v>550</v>
      </c>
      <c r="CJ195" s="1226">
        <f t="shared" si="168"/>
        <v>550</v>
      </c>
      <c r="CK195" s="1226">
        <f t="shared" si="168"/>
        <v>550</v>
      </c>
      <c r="CL195" s="1267">
        <f>SUM(CL193:CL194)</f>
        <v>550</v>
      </c>
      <c r="CM195" s="1170"/>
      <c r="CN195" s="1170"/>
      <c r="CO195" s="1170"/>
      <c r="CP195" s="1170"/>
      <c r="CQ195" s="1170"/>
      <c r="CR195" s="1170"/>
      <c r="CS195" s="1170"/>
      <c r="CT195" s="1198"/>
      <c r="CU195" s="1198"/>
    </row>
    <row r="196" spans="1:99" ht="12.75" customHeight="1">
      <c r="A196" s="1469" t="s">
        <v>598</v>
      </c>
      <c r="B196" s="1591"/>
      <c r="C196" s="1591"/>
      <c r="D196" s="1591"/>
      <c r="E196" s="1591"/>
      <c r="F196" s="1591"/>
      <c r="G196" s="1591"/>
      <c r="H196" s="1591"/>
      <c r="I196" s="1591"/>
      <c r="J196" s="1591"/>
      <c r="K196" s="1591"/>
      <c r="L196" s="1591"/>
      <c r="M196" s="1591"/>
      <c r="N196" s="1591"/>
      <c r="O196" s="1591"/>
      <c r="P196" s="1600"/>
      <c r="Q196" s="1594"/>
      <c r="R196" s="1591"/>
      <c r="S196" s="1591"/>
      <c r="T196" s="1507"/>
      <c r="U196" s="1507"/>
      <c r="V196" s="1507"/>
      <c r="W196" s="1507"/>
      <c r="X196" s="1170"/>
      <c r="Y196" s="1170"/>
      <c r="Z196" s="1170"/>
      <c r="AA196" s="1170"/>
      <c r="AB196" s="1198"/>
      <c r="AC196" s="1198"/>
      <c r="AD196" s="1198"/>
      <c r="AE196" s="1198"/>
      <c r="AF196" s="1198"/>
      <c r="AG196" s="1198"/>
      <c r="AH196" s="1198"/>
      <c r="AI196" s="119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360"/>
      <c r="BR196" s="1198"/>
      <c r="BS196" s="1198"/>
      <c r="BT196" s="1198"/>
      <c r="BU196" s="1360"/>
      <c r="BV196" s="1198"/>
      <c r="BW196" s="1198"/>
      <c r="BX196" s="1198"/>
      <c r="BY196" s="1360"/>
      <c r="BZ196" s="1600"/>
      <c r="CA196" s="1591"/>
      <c r="CB196" s="1591"/>
      <c r="CC196" s="1591"/>
      <c r="CD196" s="1594"/>
      <c r="CE196" s="1591"/>
      <c r="CF196" s="1591"/>
      <c r="CG196" s="1591"/>
      <c r="CH196" s="1594"/>
      <c r="CI196" s="1591"/>
      <c r="CJ196" s="1591"/>
      <c r="CK196" s="1591"/>
      <c r="CL196" s="1594"/>
      <c r="CM196" s="1170"/>
      <c r="CN196" s="1170"/>
      <c r="CO196" s="1170"/>
      <c r="CP196" s="1170"/>
      <c r="CQ196" s="1170"/>
      <c r="CR196" s="1170"/>
      <c r="CS196" s="1170"/>
      <c r="CT196" s="1198"/>
      <c r="CU196" s="1198"/>
    </row>
    <row r="197" spans="1:99" ht="12.75" customHeight="1">
      <c r="A197" s="1595" t="s">
        <v>475</v>
      </c>
      <c r="B197" s="1198"/>
      <c r="C197" s="1198"/>
      <c r="D197" s="1198"/>
      <c r="E197" s="1198"/>
      <c r="F197" s="1198"/>
      <c r="G197" s="1198"/>
      <c r="H197" s="1198"/>
      <c r="I197" s="1198"/>
      <c r="J197" s="1198"/>
      <c r="K197" s="1198"/>
      <c r="L197" s="1198"/>
      <c r="M197" s="1198"/>
      <c r="N197" s="1198"/>
      <c r="O197" s="1198"/>
      <c r="P197" s="1307">
        <f>P188+P183+P178+P173</f>
        <v>0</v>
      </c>
      <c r="Q197" s="1426">
        <f t="shared" ref="Q197:S199" si="169">Q188+Q183+Q178+Q173+Q193</f>
        <v>3320.0349999999999</v>
      </c>
      <c r="R197" s="1308">
        <f t="shared" si="169"/>
        <v>3640</v>
      </c>
      <c r="S197" s="1308">
        <f t="shared" si="169"/>
        <v>3640</v>
      </c>
      <c r="T197" s="1507"/>
      <c r="U197" s="1507"/>
      <c r="V197" s="1507"/>
      <c r="W197" s="1507"/>
      <c r="X197" s="1170"/>
      <c r="Y197" s="1170"/>
      <c r="Z197" s="1170"/>
      <c r="AA197" s="1170"/>
      <c r="AB197" s="1198"/>
      <c r="AC197" s="1198"/>
      <c r="AD197" s="1198"/>
      <c r="AE197" s="1198"/>
      <c r="AF197" s="1198"/>
      <c r="AG197" s="1198"/>
      <c r="AH197" s="1198"/>
      <c r="AI197" s="119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360"/>
      <c r="BR197" s="1198"/>
      <c r="BS197" s="1198"/>
      <c r="BT197" s="1198"/>
      <c r="BU197" s="1360"/>
      <c r="BV197" s="1198"/>
      <c r="BW197" s="1198"/>
      <c r="BX197" s="1198"/>
      <c r="BY197" s="1360"/>
      <c r="BZ197" s="1307"/>
      <c r="CA197" s="1307"/>
      <c r="CB197" s="1307"/>
      <c r="CC197" s="1307">
        <f t="shared" ref="CC197:CG199" si="170">CC188+CC183+CC178+CC173</f>
        <v>0</v>
      </c>
      <c r="CD197" s="1426">
        <f>CD188+CD183+CD178+CD173+CD193</f>
        <v>3320.0349999999999</v>
      </c>
      <c r="CE197" s="1307">
        <f t="shared" si="170"/>
        <v>3090</v>
      </c>
      <c r="CF197" s="1307">
        <f t="shared" si="170"/>
        <v>3090</v>
      </c>
      <c r="CG197" s="1307">
        <f t="shared" si="170"/>
        <v>3090</v>
      </c>
      <c r="CH197" s="1426">
        <f t="shared" ref="CH197:CK198" si="171">CH188+CH183+CH178+CH173</f>
        <v>3090</v>
      </c>
      <c r="CI197" s="1307">
        <f t="shared" si="171"/>
        <v>3090</v>
      </c>
      <c r="CJ197" s="1307">
        <f t="shared" si="171"/>
        <v>3090</v>
      </c>
      <c r="CK197" s="1307">
        <f t="shared" si="171"/>
        <v>3090</v>
      </c>
      <c r="CL197" s="1426">
        <f>CL188+CL183+CL178+CL173</f>
        <v>3090</v>
      </c>
      <c r="CM197" s="1170"/>
      <c r="CN197" s="1170"/>
      <c r="CO197" s="1170"/>
      <c r="CP197" s="1170"/>
      <c r="CQ197" s="1170"/>
      <c r="CR197" s="1170"/>
      <c r="CS197" s="1170"/>
      <c r="CT197" s="1198"/>
      <c r="CU197" s="1198"/>
    </row>
    <row r="198" spans="1:99" ht="12.75" customHeight="1">
      <c r="A198" s="1595" t="s">
        <v>593</v>
      </c>
      <c r="B198" s="1198"/>
      <c r="C198" s="1198"/>
      <c r="D198" s="1198"/>
      <c r="E198" s="1198"/>
      <c r="F198" s="1198"/>
      <c r="G198" s="1198"/>
      <c r="H198" s="1198"/>
      <c r="I198" s="1198"/>
      <c r="J198" s="1198"/>
      <c r="K198" s="1198"/>
      <c r="L198" s="1198"/>
      <c r="M198" s="1198"/>
      <c r="N198" s="1198"/>
      <c r="O198" s="1198"/>
      <c r="P198" s="1307">
        <f>P189+P184+P179+P174</f>
        <v>0</v>
      </c>
      <c r="Q198" s="1597">
        <f t="shared" si="169"/>
        <v>319.96500000000003</v>
      </c>
      <c r="R198" s="1601">
        <f t="shared" si="169"/>
        <v>0</v>
      </c>
      <c r="S198" s="1601">
        <f t="shared" si="169"/>
        <v>0</v>
      </c>
      <c r="T198" s="1507"/>
      <c r="U198" s="1507"/>
      <c r="V198" s="1507"/>
      <c r="W198" s="1507"/>
      <c r="X198" s="1170"/>
      <c r="Y198" s="1170"/>
      <c r="Z198" s="1170"/>
      <c r="AA198" s="1170"/>
      <c r="AB198" s="1198"/>
      <c r="AC198" s="1198"/>
      <c r="AD198" s="1198"/>
      <c r="AE198" s="1198"/>
      <c r="AF198" s="1198"/>
      <c r="AG198" s="1198"/>
      <c r="AH198" s="1198"/>
      <c r="AI198" s="119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360"/>
      <c r="BR198" s="1198"/>
      <c r="BS198" s="1198"/>
      <c r="BT198" s="1198"/>
      <c r="BU198" s="1360"/>
      <c r="BV198" s="1198"/>
      <c r="BW198" s="1198"/>
      <c r="BX198" s="1198"/>
      <c r="BY198" s="1360"/>
      <c r="BZ198" s="1307"/>
      <c r="CA198" s="1307"/>
      <c r="CB198" s="1307"/>
      <c r="CC198" s="1307">
        <f t="shared" si="170"/>
        <v>0</v>
      </c>
      <c r="CD198" s="1597">
        <f>CD189+CD184+CD179+CD174+CD194</f>
        <v>-230.035</v>
      </c>
      <c r="CE198" s="1307">
        <f t="shared" si="170"/>
        <v>0</v>
      </c>
      <c r="CF198" s="1307">
        <f t="shared" si="170"/>
        <v>0</v>
      </c>
      <c r="CG198" s="1307">
        <f t="shared" si="170"/>
        <v>0</v>
      </c>
      <c r="CH198" s="1426">
        <f t="shared" si="171"/>
        <v>0</v>
      </c>
      <c r="CI198" s="1307">
        <f t="shared" si="171"/>
        <v>0</v>
      </c>
      <c r="CJ198" s="1307">
        <f t="shared" si="171"/>
        <v>0</v>
      </c>
      <c r="CK198" s="1307">
        <f t="shared" si="171"/>
        <v>0</v>
      </c>
      <c r="CL198" s="1426">
        <f>CL189+CL184+CL179+CL174</f>
        <v>0</v>
      </c>
      <c r="CM198" s="1170"/>
      <c r="CN198" s="1170"/>
      <c r="CO198" s="1170"/>
      <c r="CP198" s="1170"/>
      <c r="CQ198" s="1170"/>
      <c r="CR198" s="1170"/>
      <c r="CS198" s="1170"/>
      <c r="CT198" s="1198"/>
      <c r="CU198" s="1198"/>
    </row>
    <row r="199" spans="1:99" ht="12.75" customHeight="1">
      <c r="A199" s="1595" t="s">
        <v>476</v>
      </c>
      <c r="B199" s="1198"/>
      <c r="C199" s="1198"/>
      <c r="D199" s="1198"/>
      <c r="E199" s="1198"/>
      <c r="F199" s="1198"/>
      <c r="G199" s="1198"/>
      <c r="H199" s="1198"/>
      <c r="I199" s="1198"/>
      <c r="J199" s="1198"/>
      <c r="K199" s="1198"/>
      <c r="L199" s="1198"/>
      <c r="M199" s="1198"/>
      <c r="N199" s="1198"/>
      <c r="O199" s="1198"/>
      <c r="P199" s="1307">
        <f>P190+P185+P180+P175</f>
        <v>3320.0349999999999</v>
      </c>
      <c r="Q199" s="1426">
        <f t="shared" si="169"/>
        <v>3640</v>
      </c>
      <c r="R199" s="1308">
        <f t="shared" si="169"/>
        <v>3640</v>
      </c>
      <c r="S199" s="1308">
        <f t="shared" si="169"/>
        <v>3640</v>
      </c>
      <c r="T199" s="1507"/>
      <c r="U199" s="1507"/>
      <c r="V199" s="1507"/>
      <c r="W199" s="1507"/>
      <c r="X199" s="1170"/>
      <c r="Y199" s="1170"/>
      <c r="Z199" s="1170"/>
      <c r="AA199" s="1170"/>
      <c r="AB199" s="1198"/>
      <c r="AC199" s="1198"/>
      <c r="AD199" s="1198"/>
      <c r="AE199" s="1198"/>
      <c r="AF199" s="1198"/>
      <c r="AG199" s="1198"/>
      <c r="AH199" s="1198"/>
      <c r="AI199" s="119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360"/>
      <c r="BR199" s="1198"/>
      <c r="BS199" s="1198"/>
      <c r="BT199" s="1198"/>
      <c r="BU199" s="1360"/>
      <c r="BV199" s="1198"/>
      <c r="BW199" s="1198"/>
      <c r="BX199" s="1198"/>
      <c r="BY199" s="1360"/>
      <c r="BZ199" s="1307"/>
      <c r="CA199" s="1307"/>
      <c r="CB199" s="1307"/>
      <c r="CC199" s="1307">
        <f t="shared" si="170"/>
        <v>3320.0349999999999</v>
      </c>
      <c r="CD199" s="1426">
        <f>CD190+CD185+CD180+CD175+CD195</f>
        <v>3090</v>
      </c>
      <c r="CE199" s="1308">
        <f t="shared" ref="CE199:CK199" si="172">CE190+CE185+CE180+CE175+CE195</f>
        <v>3090</v>
      </c>
      <c r="CF199" s="1308">
        <f t="shared" si="172"/>
        <v>3640</v>
      </c>
      <c r="CG199" s="1308">
        <f t="shared" si="172"/>
        <v>3640</v>
      </c>
      <c r="CH199" s="1426">
        <f t="shared" si="172"/>
        <v>3640</v>
      </c>
      <c r="CI199" s="1308">
        <f t="shared" si="172"/>
        <v>3640</v>
      </c>
      <c r="CJ199" s="1308">
        <f t="shared" si="172"/>
        <v>3640</v>
      </c>
      <c r="CK199" s="1308">
        <f t="shared" si="172"/>
        <v>3640</v>
      </c>
      <c r="CL199" s="1426">
        <f>CL190+CL185+CL180+CL175+CL195</f>
        <v>3640</v>
      </c>
      <c r="CM199" s="1170"/>
      <c r="CN199" s="1170"/>
      <c r="CO199" s="1170"/>
      <c r="CP199" s="1170"/>
      <c r="CQ199" s="1170"/>
      <c r="CR199" s="1170"/>
      <c r="CS199" s="1170"/>
      <c r="CT199" s="1198"/>
      <c r="CU199" s="1198"/>
    </row>
    <row r="200" spans="1:99" ht="12.75" customHeight="1">
      <c r="A200" s="1198"/>
      <c r="B200" s="1198"/>
      <c r="C200" s="1198"/>
      <c r="D200" s="1198"/>
      <c r="E200" s="1198"/>
      <c r="F200" s="1198"/>
      <c r="G200" s="1198"/>
      <c r="H200" s="1198"/>
      <c r="I200" s="1198"/>
      <c r="J200" s="1198"/>
      <c r="K200" s="1198"/>
      <c r="L200" s="1198"/>
      <c r="M200" s="1198"/>
      <c r="N200" s="1198"/>
      <c r="O200" s="1198"/>
      <c r="P200" s="1198"/>
      <c r="Q200" s="1359"/>
      <c r="R200" s="1198"/>
      <c r="S200" s="1198"/>
      <c r="T200" s="1507"/>
      <c r="U200" s="1507"/>
      <c r="V200" s="1507"/>
      <c r="W200" s="1507"/>
      <c r="X200" s="1170"/>
      <c r="Y200" s="1170"/>
      <c r="Z200" s="1170"/>
      <c r="AA200" s="1170"/>
      <c r="AB200" s="1198"/>
      <c r="AC200" s="1198"/>
      <c r="AD200" s="1198"/>
      <c r="AE200" s="1198"/>
      <c r="AF200" s="1198"/>
      <c r="AG200" s="1198"/>
      <c r="AH200" s="1198"/>
      <c r="AI200" s="1198"/>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360"/>
      <c r="BR200" s="1198"/>
      <c r="BS200" s="1198"/>
      <c r="BT200" s="1198"/>
      <c r="BU200" s="1360"/>
      <c r="BV200" s="1198"/>
      <c r="BW200" s="1198"/>
      <c r="BX200" s="1198"/>
      <c r="BY200" s="1360"/>
      <c r="BZ200" s="1198"/>
      <c r="CA200" s="1198"/>
      <c r="CB200" s="1198"/>
      <c r="CC200" s="1198"/>
      <c r="CD200" s="1359"/>
      <c r="CE200" s="1198"/>
      <c r="CF200" s="1198"/>
      <c r="CG200" s="1198"/>
      <c r="CH200" s="1359"/>
      <c r="CI200" s="1198"/>
      <c r="CJ200" s="1198"/>
      <c r="CK200" s="1198"/>
      <c r="CL200" s="1359"/>
      <c r="CM200" s="1170"/>
      <c r="CN200" s="1170"/>
      <c r="CO200" s="1170"/>
      <c r="CP200" s="1170"/>
      <c r="CQ200" s="1170"/>
      <c r="CR200" s="1170"/>
      <c r="CS200" s="1170"/>
      <c r="CT200" s="1198"/>
      <c r="CU200" s="1198"/>
    </row>
    <row r="201" spans="1:99" ht="12.75" customHeight="1">
      <c r="A201" s="1569" t="s">
        <v>599</v>
      </c>
      <c r="B201" s="1569"/>
      <c r="C201" s="1569"/>
      <c r="D201" s="1569"/>
      <c r="E201" s="1569"/>
      <c r="F201" s="1569"/>
      <c r="G201" s="1569"/>
      <c r="H201" s="1569"/>
      <c r="I201" s="1569"/>
      <c r="J201" s="1569"/>
      <c r="K201" s="1569"/>
      <c r="L201" s="1569"/>
      <c r="M201" s="1569"/>
      <c r="N201" s="1569"/>
      <c r="O201" s="1569"/>
      <c r="P201" s="1569"/>
      <c r="Q201" s="1589"/>
      <c r="R201" s="1569"/>
      <c r="S201" s="1569"/>
      <c r="T201" s="1507"/>
      <c r="U201" s="1507"/>
      <c r="V201" s="1507"/>
      <c r="W201" s="1507"/>
      <c r="X201" s="1170"/>
      <c r="Y201" s="1170"/>
      <c r="Z201" s="1170"/>
      <c r="AA201" s="1170"/>
      <c r="AB201" s="1170"/>
      <c r="AC201" s="1170"/>
      <c r="AD201" s="1170"/>
      <c r="AE201" s="1170"/>
      <c r="AF201" s="1170"/>
      <c r="AG201" s="1170"/>
      <c r="AH201" s="1170"/>
      <c r="AI201" s="1170"/>
      <c r="AJ201" s="1170"/>
      <c r="AK201" s="1170"/>
      <c r="AL201" s="1170"/>
      <c r="AM201" s="1170"/>
      <c r="AN201" s="1170"/>
      <c r="AO201" s="1170"/>
      <c r="AP201" s="1170"/>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360"/>
      <c r="BR201" s="1170"/>
      <c r="BS201" s="1170"/>
      <c r="BT201" s="1170"/>
      <c r="BU201" s="1360"/>
      <c r="BV201" s="1170"/>
      <c r="BW201" s="1170"/>
      <c r="BX201" s="1170"/>
      <c r="BY201" s="1360"/>
      <c r="BZ201" s="1590"/>
      <c r="CA201" s="1569"/>
      <c r="CB201" s="1569"/>
      <c r="CC201" s="1569"/>
      <c r="CD201" s="1589"/>
      <c r="CE201" s="1569"/>
      <c r="CF201" s="1569"/>
      <c r="CG201" s="1569"/>
      <c r="CH201" s="1589"/>
      <c r="CI201" s="1569"/>
      <c r="CJ201" s="1569"/>
      <c r="CK201" s="1569"/>
      <c r="CL201" s="1589"/>
      <c r="CM201" s="1170"/>
      <c r="CN201" s="1170"/>
      <c r="CO201" s="1170"/>
      <c r="CP201" s="1170"/>
      <c r="CQ201" s="1170"/>
      <c r="CR201" s="1170"/>
      <c r="CS201" s="1170"/>
      <c r="CT201" s="1198"/>
      <c r="CU201" s="1198"/>
    </row>
    <row r="202" spans="1:99" ht="12.75" customHeight="1">
      <c r="A202" s="1575" t="s">
        <v>600</v>
      </c>
      <c r="B202" s="1591"/>
      <c r="C202" s="1591"/>
      <c r="D202" s="1591"/>
      <c r="E202" s="1591"/>
      <c r="F202" s="1591"/>
      <c r="G202" s="1591"/>
      <c r="H202" s="1591"/>
      <c r="I202" s="1591"/>
      <c r="J202" s="1591"/>
      <c r="K202" s="1591"/>
      <c r="L202" s="1591"/>
      <c r="M202" s="1591"/>
      <c r="N202" s="1591"/>
      <c r="O202" s="1591"/>
      <c r="P202" s="1591"/>
      <c r="Q202" s="1594"/>
      <c r="R202" s="1591"/>
      <c r="S202" s="1591"/>
      <c r="T202" s="1507"/>
      <c r="U202" s="1507"/>
      <c r="V202" s="1507"/>
      <c r="W202" s="1507"/>
      <c r="X202" s="1170"/>
      <c r="Y202" s="1170"/>
      <c r="Z202" s="1170"/>
      <c r="AA202" s="1170"/>
      <c r="AB202" s="1170"/>
      <c r="AC202" s="1170"/>
      <c r="AD202" s="1170"/>
      <c r="AE202" s="1170"/>
      <c r="AF202" s="1170"/>
      <c r="AG202" s="1170"/>
      <c r="AH202" s="1170"/>
      <c r="AI202" s="1170"/>
      <c r="AJ202" s="1170"/>
      <c r="AK202" s="1170"/>
      <c r="AL202" s="1170"/>
      <c r="AM202" s="1170"/>
      <c r="AN202" s="1170"/>
      <c r="AO202" s="1170"/>
      <c r="AP202" s="1170"/>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360"/>
      <c r="BR202" s="1170"/>
      <c r="BS202" s="1170"/>
      <c r="BT202" s="1170"/>
      <c r="BU202" s="1360"/>
      <c r="BV202" s="1170"/>
      <c r="BW202" s="1170"/>
      <c r="BX202" s="1170"/>
      <c r="BY202" s="1360"/>
      <c r="BZ202" s="1593"/>
      <c r="CA202" s="1591"/>
      <c r="CB202" s="1591"/>
      <c r="CC202" s="1591"/>
      <c r="CD202" s="1594"/>
      <c r="CE202" s="1591"/>
      <c r="CF202" s="1591"/>
      <c r="CG202" s="1591"/>
      <c r="CH202" s="1594"/>
      <c r="CI202" s="1591"/>
      <c r="CJ202" s="1591"/>
      <c r="CK202" s="1591"/>
      <c r="CL202" s="1594"/>
      <c r="CM202" s="1170"/>
      <c r="CN202" s="1170"/>
      <c r="CO202" s="1170"/>
      <c r="CP202" s="1170"/>
      <c r="CQ202" s="1170"/>
      <c r="CR202" s="1170"/>
      <c r="CS202" s="1170"/>
      <c r="CT202" s="1198"/>
      <c r="CU202" s="1198"/>
    </row>
    <row r="203" spans="1:99" ht="12.75" customHeight="1">
      <c r="A203" s="1595" t="s">
        <v>475</v>
      </c>
      <c r="B203" s="1198"/>
      <c r="C203" s="1198"/>
      <c r="D203" s="1198"/>
      <c r="E203" s="1198"/>
      <c r="F203" s="1198"/>
      <c r="G203" s="1198"/>
      <c r="H203" s="1198"/>
      <c r="I203" s="1198"/>
      <c r="J203" s="1198"/>
      <c r="K203" s="1198"/>
      <c r="L203" s="1198"/>
      <c r="M203" s="1198"/>
      <c r="N203" s="1198"/>
      <c r="O203" s="1198"/>
      <c r="P203" s="1198"/>
      <c r="Q203" s="1426">
        <f>P205</f>
        <v>561.76800000000003</v>
      </c>
      <c r="R203" s="1307">
        <f>Q205</f>
        <v>0</v>
      </c>
      <c r="S203" s="1307">
        <f>R205</f>
        <v>0</v>
      </c>
      <c r="T203" s="1507"/>
      <c r="U203" s="1507"/>
      <c r="V203" s="1507"/>
      <c r="W203" s="1507"/>
      <c r="X203" s="1170"/>
      <c r="Y203" s="1170"/>
      <c r="Z203" s="1170"/>
      <c r="AA203" s="1170"/>
      <c r="AB203" s="1170"/>
      <c r="AC203" s="1170"/>
      <c r="AD203" s="1170"/>
      <c r="AE203" s="1170"/>
      <c r="AF203" s="1170"/>
      <c r="AG203" s="1170"/>
      <c r="AH203" s="1170"/>
      <c r="AI203" s="1170"/>
      <c r="AJ203" s="1170"/>
      <c r="AK203" s="1170"/>
      <c r="AL203" s="1170"/>
      <c r="AM203" s="1170"/>
      <c r="AN203" s="1170"/>
      <c r="AO203" s="1170"/>
      <c r="AP203" s="1170"/>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360"/>
      <c r="BR203" s="1170"/>
      <c r="BS203" s="1170"/>
      <c r="BT203" s="1170"/>
      <c r="BU203" s="1360"/>
      <c r="BV203" s="1170"/>
      <c r="BW203" s="1170"/>
      <c r="BX203" s="1170"/>
      <c r="BY203" s="1360"/>
      <c r="BZ203" s="1170"/>
      <c r="CA203" s="1198"/>
      <c r="CB203" s="1198"/>
      <c r="CC203" s="1198"/>
      <c r="CD203" s="1267">
        <f t="shared" ref="CD203:CK203" si="173">CC205</f>
        <v>561.76800000000003</v>
      </c>
      <c r="CE203" s="1226">
        <f t="shared" si="173"/>
        <v>561.76800000000003</v>
      </c>
      <c r="CF203" s="1226">
        <f t="shared" si="173"/>
        <v>561.76800000000003</v>
      </c>
      <c r="CG203" s="1226">
        <f t="shared" si="173"/>
        <v>0</v>
      </c>
      <c r="CH203" s="1267">
        <f t="shared" si="173"/>
        <v>0</v>
      </c>
      <c r="CI203" s="1226">
        <f t="shared" si="173"/>
        <v>0</v>
      </c>
      <c r="CJ203" s="1226">
        <f t="shared" si="173"/>
        <v>0</v>
      </c>
      <c r="CK203" s="1226">
        <f t="shared" si="173"/>
        <v>0</v>
      </c>
      <c r="CL203" s="1267">
        <f>CK205</f>
        <v>0</v>
      </c>
      <c r="CM203" s="1170"/>
      <c r="CN203" s="1170"/>
      <c r="CO203" s="1170"/>
      <c r="CP203" s="1170"/>
      <c r="CQ203" s="1170"/>
      <c r="CR203" s="1170"/>
      <c r="CS203" s="1170"/>
      <c r="CT203" s="1198"/>
      <c r="CU203" s="1198"/>
    </row>
    <row r="204" spans="1:99" ht="12.75" customHeight="1">
      <c r="A204" s="1595" t="s">
        <v>593</v>
      </c>
      <c r="B204" s="1198"/>
      <c r="C204" s="1198"/>
      <c r="D204" s="1198"/>
      <c r="E204" s="1198"/>
      <c r="F204" s="1198"/>
      <c r="G204" s="1198"/>
      <c r="H204" s="1198"/>
      <c r="I204" s="1198"/>
      <c r="J204" s="1198"/>
      <c r="K204" s="1198"/>
      <c r="L204" s="1198"/>
      <c r="M204" s="1198"/>
      <c r="N204" s="1198"/>
      <c r="O204" s="1198"/>
      <c r="P204" s="1198"/>
      <c r="Q204" s="1596">
        <f>+SUM(CD204:CG204)</f>
        <v>-561.76800000000003</v>
      </c>
      <c r="R204" s="1453">
        <f>+SUM(CH204:CK204)</f>
        <v>0</v>
      </c>
      <c r="S204" s="1427"/>
      <c r="T204" s="1507"/>
      <c r="U204" s="1507"/>
      <c r="V204" s="1507"/>
      <c r="W204" s="1507"/>
      <c r="X204" s="1170"/>
      <c r="Y204" s="1170"/>
      <c r="Z204" s="1170"/>
      <c r="AA204" s="1170"/>
      <c r="AB204" s="1170"/>
      <c r="AC204" s="1170"/>
      <c r="AD204" s="1170"/>
      <c r="AE204" s="1170"/>
      <c r="AF204" s="1170"/>
      <c r="AG204" s="1170"/>
      <c r="AH204" s="1170"/>
      <c r="AI204" s="1170"/>
      <c r="AJ204" s="1170"/>
      <c r="AK204" s="1170"/>
      <c r="AL204" s="1170"/>
      <c r="AM204" s="1170"/>
      <c r="AN204" s="1170"/>
      <c r="AO204" s="1170"/>
      <c r="AP204" s="1170"/>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360"/>
      <c r="BR204" s="1170"/>
      <c r="BS204" s="1170"/>
      <c r="BT204" s="1170"/>
      <c r="BU204" s="1360"/>
      <c r="BV204" s="1170"/>
      <c r="BW204" s="1170"/>
      <c r="BX204" s="1170"/>
      <c r="BY204" s="1360"/>
      <c r="BZ204" s="1170"/>
      <c r="CA204" s="1198"/>
      <c r="CB204" s="1198"/>
      <c r="CC204" s="1198"/>
      <c r="CD204" s="1359"/>
      <c r="CE204" s="1198"/>
      <c r="CF204" s="1598">
        <v>-561.76800000000003</v>
      </c>
      <c r="CG204" s="1198"/>
      <c r="CH204" s="1359"/>
      <c r="CI204" s="1198"/>
      <c r="CJ204" s="1198"/>
      <c r="CK204" s="1198"/>
      <c r="CL204" s="1359"/>
      <c r="CM204" s="1170"/>
      <c r="CN204" s="1170"/>
      <c r="CO204" s="1170"/>
      <c r="CP204" s="1170"/>
      <c r="CQ204" s="1170"/>
      <c r="CR204" s="1170"/>
      <c r="CS204" s="1170"/>
      <c r="CT204" s="1198"/>
      <c r="CU204" s="1198"/>
    </row>
    <row r="205" spans="1:99" ht="12.75" customHeight="1">
      <c r="A205" s="1595" t="s">
        <v>476</v>
      </c>
      <c r="B205" s="1198"/>
      <c r="C205" s="1198"/>
      <c r="D205" s="1198"/>
      <c r="E205" s="1198"/>
      <c r="F205" s="1198"/>
      <c r="G205" s="1198"/>
      <c r="H205" s="1198"/>
      <c r="I205" s="1198"/>
      <c r="J205" s="1198"/>
      <c r="K205" s="1198"/>
      <c r="L205" s="1198"/>
      <c r="M205" s="1198"/>
      <c r="N205" s="1198"/>
      <c r="O205" s="1198"/>
      <c r="P205" s="1307">
        <v>561.76800000000003</v>
      </c>
      <c r="Q205" s="1218">
        <f>+CG205</f>
        <v>0</v>
      </c>
      <c r="R205" s="1226">
        <f>+CK205</f>
        <v>0</v>
      </c>
      <c r="S205" s="1307">
        <f>S204+S203</f>
        <v>0</v>
      </c>
      <c r="T205" s="1507"/>
      <c r="U205" s="1507"/>
      <c r="V205" s="1507"/>
      <c r="W205" s="1507"/>
      <c r="X205" s="1170"/>
      <c r="Y205" s="1170"/>
      <c r="Z205" s="1170"/>
      <c r="AA205" s="1170"/>
      <c r="AB205" s="1170"/>
      <c r="AC205" s="1170"/>
      <c r="AD205" s="1170"/>
      <c r="AE205" s="1170"/>
      <c r="AF205" s="1170"/>
      <c r="AG205" s="1170"/>
      <c r="AH205" s="1170"/>
      <c r="AI205" s="1170"/>
      <c r="AJ205" s="1170"/>
      <c r="AK205" s="1170"/>
      <c r="AL205" s="1170"/>
      <c r="AM205" s="1170"/>
      <c r="AN205" s="1170"/>
      <c r="AO205" s="1170"/>
      <c r="AP205" s="1170"/>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360"/>
      <c r="BR205" s="1170"/>
      <c r="BS205" s="1170"/>
      <c r="BT205" s="1170"/>
      <c r="BU205" s="1360"/>
      <c r="BV205" s="1170"/>
      <c r="BW205" s="1170"/>
      <c r="BX205" s="1170"/>
      <c r="BY205" s="1360"/>
      <c r="BZ205" s="1170"/>
      <c r="CA205" s="1198"/>
      <c r="CB205" s="1198"/>
      <c r="CC205" s="1226">
        <f>P205</f>
        <v>561.76800000000003</v>
      </c>
      <c r="CD205" s="1267">
        <f t="shared" ref="CD205:CK205" si="174">SUM(CD203:CD204)</f>
        <v>561.76800000000003</v>
      </c>
      <c r="CE205" s="1226">
        <f t="shared" si="174"/>
        <v>561.76800000000003</v>
      </c>
      <c r="CF205" s="1226">
        <f t="shared" si="174"/>
        <v>0</v>
      </c>
      <c r="CG205" s="1226">
        <f t="shared" si="174"/>
        <v>0</v>
      </c>
      <c r="CH205" s="1267">
        <f t="shared" si="174"/>
        <v>0</v>
      </c>
      <c r="CI205" s="1226">
        <f t="shared" si="174"/>
        <v>0</v>
      </c>
      <c r="CJ205" s="1226">
        <f t="shared" si="174"/>
        <v>0</v>
      </c>
      <c r="CK205" s="1226">
        <f t="shared" si="174"/>
        <v>0</v>
      </c>
      <c r="CL205" s="1267">
        <f>SUM(CL203:CL204)</f>
        <v>0</v>
      </c>
      <c r="CM205" s="1170"/>
      <c r="CN205" s="1170"/>
      <c r="CO205" s="1170"/>
      <c r="CP205" s="1170"/>
      <c r="CQ205" s="1170"/>
      <c r="CR205" s="1170"/>
      <c r="CS205" s="1170"/>
      <c r="CT205" s="1198"/>
      <c r="CU205" s="1198"/>
    </row>
    <row r="206" spans="1:99" ht="12.75" customHeight="1">
      <c r="A206" s="1198"/>
      <c r="B206" s="1198"/>
      <c r="C206" s="1198"/>
      <c r="D206" s="1198"/>
      <c r="E206" s="1198"/>
      <c r="F206" s="1198"/>
      <c r="G206" s="1198"/>
      <c r="H206" s="1198"/>
      <c r="I206" s="1198"/>
      <c r="J206" s="1198"/>
      <c r="K206" s="1198"/>
      <c r="L206" s="1198"/>
      <c r="M206" s="1198"/>
      <c r="N206" s="1198"/>
      <c r="O206" s="1198"/>
      <c r="P206" s="1198"/>
      <c r="Q206" s="1359"/>
      <c r="R206" s="1198"/>
      <c r="S206" s="1198"/>
      <c r="T206" s="1507"/>
      <c r="U206" s="1507"/>
      <c r="V206" s="1507"/>
      <c r="W206" s="1507"/>
      <c r="X206" s="1170"/>
      <c r="Y206" s="1170"/>
      <c r="Z206" s="1170"/>
      <c r="AA206" s="1170"/>
      <c r="AB206" s="1198"/>
      <c r="AC206" s="1198"/>
      <c r="AD206" s="1198"/>
      <c r="AE206" s="1198"/>
      <c r="AF206" s="1198"/>
      <c r="AG206" s="1198"/>
      <c r="AH206" s="1198"/>
      <c r="AI206" s="1198"/>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360"/>
      <c r="BR206" s="1198"/>
      <c r="BS206" s="1198"/>
      <c r="BT206" s="1198"/>
      <c r="BU206" s="1360"/>
      <c r="BV206" s="1198"/>
      <c r="BW206" s="1198"/>
      <c r="BX206" s="1198"/>
      <c r="BY206" s="1360"/>
      <c r="BZ206" s="1198"/>
      <c r="CA206" s="1198"/>
      <c r="CB206" s="1198"/>
      <c r="CC206" s="1198"/>
      <c r="CD206" s="1359"/>
      <c r="CE206" s="1198"/>
      <c r="CF206" s="1198"/>
      <c r="CG206" s="1198"/>
      <c r="CH206" s="1359"/>
      <c r="CI206" s="1198"/>
      <c r="CJ206" s="1198"/>
      <c r="CK206" s="1198"/>
      <c r="CL206" s="1359"/>
      <c r="CM206" s="1170"/>
      <c r="CN206" s="1170"/>
      <c r="CO206" s="1170"/>
      <c r="CP206" s="1170"/>
      <c r="CQ206" s="1170"/>
      <c r="CR206" s="1170"/>
      <c r="CS206" s="1170"/>
      <c r="CT206" s="1198"/>
      <c r="CU206" s="1198"/>
    </row>
    <row r="207" spans="1:99" ht="12.75" customHeight="1">
      <c r="A207" s="1575" t="s">
        <v>601</v>
      </c>
      <c r="B207" s="1591"/>
      <c r="C207" s="1591"/>
      <c r="D207" s="1591"/>
      <c r="E207" s="1591"/>
      <c r="F207" s="1591"/>
      <c r="G207" s="1591"/>
      <c r="H207" s="1591"/>
      <c r="I207" s="1591"/>
      <c r="J207" s="1591"/>
      <c r="K207" s="1591"/>
      <c r="L207" s="1591"/>
      <c r="M207" s="1591"/>
      <c r="N207" s="1591"/>
      <c r="O207" s="1591"/>
      <c r="P207" s="1591"/>
      <c r="Q207" s="1594"/>
      <c r="R207" s="1591"/>
      <c r="S207" s="1591"/>
      <c r="T207" s="1507"/>
      <c r="U207" s="1507"/>
      <c r="V207" s="1507"/>
      <c r="W207" s="1507"/>
      <c r="X207" s="1170"/>
      <c r="Y207" s="1170"/>
      <c r="Z207" s="1170"/>
      <c r="AA207" s="1170"/>
      <c r="AB207" s="1170"/>
      <c r="AC207" s="1170"/>
      <c r="AD207" s="1170"/>
      <c r="AE207" s="1170"/>
      <c r="AF207" s="1170"/>
      <c r="AG207" s="1170"/>
      <c r="AH207" s="1170"/>
      <c r="AI207" s="1170"/>
      <c r="AJ207" s="1170"/>
      <c r="AK207" s="1170"/>
      <c r="AL207" s="1170"/>
      <c r="AM207" s="1170"/>
      <c r="AN207" s="1170"/>
      <c r="AO207" s="1170"/>
      <c r="AP207" s="1170"/>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360"/>
      <c r="BR207" s="1170"/>
      <c r="BS207" s="1170"/>
      <c r="BT207" s="1170"/>
      <c r="BU207" s="1360"/>
      <c r="BV207" s="1170"/>
      <c r="BW207" s="1170"/>
      <c r="BX207" s="1170"/>
      <c r="BY207" s="1360"/>
      <c r="BZ207" s="1593"/>
      <c r="CA207" s="1591"/>
      <c r="CB207" s="1591"/>
      <c r="CC207" s="1591"/>
      <c r="CD207" s="1594"/>
      <c r="CE207" s="1591"/>
      <c r="CF207" s="1591"/>
      <c r="CG207" s="1591"/>
      <c r="CH207" s="1594"/>
      <c r="CI207" s="1591"/>
      <c r="CJ207" s="1591"/>
      <c r="CK207" s="1591"/>
      <c r="CL207" s="1594"/>
      <c r="CM207" s="1170"/>
      <c r="CN207" s="1170"/>
      <c r="CO207" s="1170"/>
      <c r="CP207" s="1170"/>
      <c r="CQ207" s="1170"/>
      <c r="CR207" s="1170"/>
      <c r="CS207" s="1170"/>
      <c r="CT207" s="1198"/>
      <c r="CU207" s="1198"/>
    </row>
    <row r="208" spans="1:99" ht="12.75" customHeight="1">
      <c r="A208" s="1595" t="s">
        <v>475</v>
      </c>
      <c r="B208" s="1198"/>
      <c r="C208" s="1198"/>
      <c r="D208" s="1198"/>
      <c r="E208" s="1198"/>
      <c r="F208" s="1198"/>
      <c r="G208" s="1198"/>
      <c r="H208" s="1198"/>
      <c r="I208" s="1198"/>
      <c r="J208" s="1198"/>
      <c r="K208" s="1198"/>
      <c r="L208" s="1198"/>
      <c r="M208" s="1198"/>
      <c r="N208" s="1198"/>
      <c r="O208" s="1198"/>
      <c r="P208" s="1198"/>
      <c r="Q208" s="1426">
        <f>P210</f>
        <v>402.923</v>
      </c>
      <c r="R208" s="1307">
        <f>Q210</f>
        <v>402.923</v>
      </c>
      <c r="S208" s="1307">
        <f>R210</f>
        <v>0</v>
      </c>
      <c r="T208" s="1507"/>
      <c r="U208" s="1507"/>
      <c r="V208" s="1507"/>
      <c r="W208" s="1507"/>
      <c r="X208" s="1170"/>
      <c r="Y208" s="1170"/>
      <c r="Z208" s="1170"/>
      <c r="AA208" s="1170"/>
      <c r="AB208" s="1170"/>
      <c r="AC208" s="1170"/>
      <c r="AD208" s="1170"/>
      <c r="AE208" s="1170"/>
      <c r="AF208" s="1170"/>
      <c r="AG208" s="1170"/>
      <c r="AH208" s="1170"/>
      <c r="AI208" s="1170"/>
      <c r="AJ208" s="1170"/>
      <c r="AK208" s="1170"/>
      <c r="AL208" s="1170"/>
      <c r="AM208" s="1170"/>
      <c r="AN208" s="1170"/>
      <c r="AO208" s="1170"/>
      <c r="AP208" s="1170"/>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360"/>
      <c r="BR208" s="1170"/>
      <c r="BS208" s="1170"/>
      <c r="BT208" s="1170"/>
      <c r="BU208" s="1360"/>
      <c r="BV208" s="1170"/>
      <c r="BW208" s="1170"/>
      <c r="BX208" s="1170"/>
      <c r="BY208" s="1360"/>
      <c r="BZ208" s="1170"/>
      <c r="CA208" s="1198"/>
      <c r="CB208" s="1198"/>
      <c r="CC208" s="1198"/>
      <c r="CD208" s="1267">
        <f t="shared" ref="CD208:CK208" si="175">CC210</f>
        <v>402.923</v>
      </c>
      <c r="CE208" s="1226">
        <f t="shared" si="175"/>
        <v>402.923</v>
      </c>
      <c r="CF208" s="1226">
        <f t="shared" si="175"/>
        <v>402.923</v>
      </c>
      <c r="CG208" s="1226">
        <f t="shared" si="175"/>
        <v>402.923</v>
      </c>
      <c r="CH208" s="1267">
        <f t="shared" si="175"/>
        <v>402.923</v>
      </c>
      <c r="CI208" s="1226">
        <f t="shared" si="175"/>
        <v>402.923</v>
      </c>
      <c r="CJ208" s="1226">
        <f t="shared" si="175"/>
        <v>402.923</v>
      </c>
      <c r="CK208" s="1226">
        <f t="shared" si="175"/>
        <v>0</v>
      </c>
      <c r="CL208" s="1267">
        <f>CK210</f>
        <v>0</v>
      </c>
      <c r="CM208" s="1170"/>
      <c r="CN208" s="1170"/>
      <c r="CO208" s="1170"/>
      <c r="CP208" s="1170"/>
      <c r="CQ208" s="1170"/>
      <c r="CR208" s="1170"/>
      <c r="CS208" s="1170"/>
      <c r="CT208" s="1198"/>
      <c r="CU208" s="1198"/>
    </row>
    <row r="209" spans="1:99" ht="12.75" customHeight="1">
      <c r="A209" s="1595" t="s">
        <v>593</v>
      </c>
      <c r="B209" s="1198"/>
      <c r="C209" s="1198"/>
      <c r="D209" s="1198"/>
      <c r="E209" s="1198"/>
      <c r="F209" s="1198"/>
      <c r="G209" s="1198"/>
      <c r="H209" s="1198"/>
      <c r="I209" s="1198"/>
      <c r="J209" s="1198"/>
      <c r="K209" s="1198"/>
      <c r="L209" s="1198"/>
      <c r="M209" s="1198"/>
      <c r="N209" s="1198"/>
      <c r="O209" s="1198"/>
      <c r="P209" s="1198"/>
      <c r="Q209" s="1596">
        <f>+SUM(CD209:CG209)</f>
        <v>0</v>
      </c>
      <c r="R209" s="1453">
        <f>+SUM(CH209:CK209)</f>
        <v>-402.923</v>
      </c>
      <c r="S209" s="1427"/>
      <c r="T209" s="1507"/>
      <c r="U209" s="1507"/>
      <c r="V209" s="1507"/>
      <c r="W209" s="1507"/>
      <c r="X209" s="1170"/>
      <c r="Y209" s="1170"/>
      <c r="Z209" s="1170"/>
      <c r="AA209" s="1170"/>
      <c r="AB209" s="1170"/>
      <c r="AC209" s="1170"/>
      <c r="AD209" s="1170"/>
      <c r="AE209" s="1170"/>
      <c r="AF209" s="1170"/>
      <c r="AG209" s="1170"/>
      <c r="AH209" s="1170"/>
      <c r="AI209" s="1170"/>
      <c r="AJ209" s="1170"/>
      <c r="AK209" s="1170"/>
      <c r="AL209" s="1170"/>
      <c r="AM209" s="1170"/>
      <c r="AN209" s="1170"/>
      <c r="AO209" s="1170"/>
      <c r="AP209" s="1170"/>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360"/>
      <c r="BR209" s="1170"/>
      <c r="BS209" s="1170"/>
      <c r="BT209" s="1170"/>
      <c r="BU209" s="1360"/>
      <c r="BV209" s="1170"/>
      <c r="BW209" s="1170"/>
      <c r="BX209" s="1170"/>
      <c r="BY209" s="1360"/>
      <c r="BZ209" s="1170"/>
      <c r="CA209" s="1198"/>
      <c r="CB209" s="1198"/>
      <c r="CC209" s="1198"/>
      <c r="CD209" s="1359"/>
      <c r="CE209" s="1198"/>
      <c r="CF209" s="1602"/>
      <c r="CG209" s="1198"/>
      <c r="CH209" s="1359"/>
      <c r="CI209" s="1198"/>
      <c r="CJ209" s="1598">
        <v>-402.923</v>
      </c>
      <c r="CK209" s="1198"/>
      <c r="CL209" s="1359"/>
      <c r="CM209" s="1170"/>
      <c r="CN209" s="1170"/>
      <c r="CO209" s="1170"/>
      <c r="CP209" s="1170"/>
      <c r="CQ209" s="1170"/>
      <c r="CR209" s="1170"/>
      <c r="CS209" s="1170"/>
      <c r="CT209" s="1198"/>
      <c r="CU209" s="1198"/>
    </row>
    <row r="210" spans="1:99" ht="12.75" customHeight="1">
      <c r="A210" s="1595" t="s">
        <v>476</v>
      </c>
      <c r="B210" s="1198"/>
      <c r="C210" s="1198"/>
      <c r="D210" s="1198"/>
      <c r="E210" s="1198"/>
      <c r="F210" s="1198"/>
      <c r="G210" s="1198"/>
      <c r="H210" s="1198"/>
      <c r="I210" s="1198"/>
      <c r="J210" s="1198"/>
      <c r="K210" s="1198"/>
      <c r="L210" s="1198"/>
      <c r="M210" s="1198"/>
      <c r="N210" s="1198"/>
      <c r="O210" s="1198"/>
      <c r="P210" s="1307">
        <v>402.923</v>
      </c>
      <c r="Q210" s="1218">
        <f>+CG210</f>
        <v>402.923</v>
      </c>
      <c r="R210" s="1226">
        <f>+CK210</f>
        <v>0</v>
      </c>
      <c r="S210" s="1307">
        <f>S209+S208</f>
        <v>0</v>
      </c>
      <c r="T210" s="1507"/>
      <c r="U210" s="1507"/>
      <c r="V210" s="1507"/>
      <c r="W210" s="1507"/>
      <c r="X210" s="1170"/>
      <c r="Y210" s="1170"/>
      <c r="Z210" s="1170"/>
      <c r="AA210" s="1170"/>
      <c r="AB210" s="1170"/>
      <c r="AC210" s="1170"/>
      <c r="AD210" s="1170"/>
      <c r="AE210" s="1170"/>
      <c r="AF210" s="1170"/>
      <c r="AG210" s="1170"/>
      <c r="AH210" s="1170"/>
      <c r="AI210" s="1170"/>
      <c r="AJ210" s="1170"/>
      <c r="AK210" s="1170"/>
      <c r="AL210" s="1170"/>
      <c r="AM210" s="1170"/>
      <c r="AN210" s="1170"/>
      <c r="AO210" s="1170"/>
      <c r="AP210" s="1170"/>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360"/>
      <c r="BR210" s="1170"/>
      <c r="BS210" s="1170"/>
      <c r="BT210" s="1170"/>
      <c r="BU210" s="1360"/>
      <c r="BV210" s="1170"/>
      <c r="BW210" s="1170"/>
      <c r="BX210" s="1170"/>
      <c r="BY210" s="1360"/>
      <c r="BZ210" s="1170"/>
      <c r="CA210" s="1198"/>
      <c r="CB210" s="1198"/>
      <c r="CC210" s="1226">
        <f>P210</f>
        <v>402.923</v>
      </c>
      <c r="CD210" s="1267">
        <f t="shared" ref="CD210:CK210" si="176">SUM(CD208:CD209)</f>
        <v>402.923</v>
      </c>
      <c r="CE210" s="1226">
        <f t="shared" si="176"/>
        <v>402.923</v>
      </c>
      <c r="CF210" s="1226">
        <f t="shared" si="176"/>
        <v>402.923</v>
      </c>
      <c r="CG210" s="1226">
        <f t="shared" si="176"/>
        <v>402.923</v>
      </c>
      <c r="CH210" s="1267">
        <f t="shared" si="176"/>
        <v>402.923</v>
      </c>
      <c r="CI210" s="1226">
        <f t="shared" si="176"/>
        <v>402.923</v>
      </c>
      <c r="CJ210" s="1226">
        <f t="shared" si="176"/>
        <v>0</v>
      </c>
      <c r="CK210" s="1226">
        <f t="shared" si="176"/>
        <v>0</v>
      </c>
      <c r="CL210" s="1267">
        <f>SUM(CL208:CL209)</f>
        <v>0</v>
      </c>
      <c r="CM210" s="1170"/>
      <c r="CN210" s="1170"/>
      <c r="CO210" s="1170"/>
      <c r="CP210" s="1170"/>
      <c r="CQ210" s="1170"/>
      <c r="CR210" s="1170"/>
      <c r="CS210" s="1170"/>
      <c r="CT210" s="1198"/>
      <c r="CU210" s="1198"/>
    </row>
    <row r="211" spans="1:99" ht="12.75" customHeight="1">
      <c r="A211" s="1198"/>
      <c r="B211" s="1198"/>
      <c r="C211" s="1198"/>
      <c r="D211" s="1198"/>
      <c r="E211" s="1198"/>
      <c r="F211" s="1198"/>
      <c r="G211" s="1198"/>
      <c r="H211" s="1198"/>
      <c r="I211" s="1198"/>
      <c r="J211" s="1198"/>
      <c r="K211" s="1198"/>
      <c r="L211" s="1198"/>
      <c r="M211" s="1198"/>
      <c r="N211" s="1198"/>
      <c r="O211" s="1198"/>
      <c r="P211" s="1198"/>
      <c r="Q211" s="1359"/>
      <c r="R211" s="1198"/>
      <c r="S211" s="1198"/>
      <c r="T211" s="1507"/>
      <c r="U211" s="1507"/>
      <c r="V211" s="1507"/>
      <c r="W211" s="1507"/>
      <c r="X211" s="1170"/>
      <c r="Y211" s="1170"/>
      <c r="Z211" s="1170"/>
      <c r="AA211" s="1170"/>
      <c r="AB211" s="1198"/>
      <c r="AC211" s="1198"/>
      <c r="AD211" s="1198"/>
      <c r="AE211" s="1198"/>
      <c r="AF211" s="1198"/>
      <c r="AG211" s="1198"/>
      <c r="AH211" s="1198"/>
      <c r="AI211" s="1198"/>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360"/>
      <c r="BR211" s="1198"/>
      <c r="BS211" s="1198"/>
      <c r="BT211" s="1198"/>
      <c r="BU211" s="1360"/>
      <c r="BV211" s="1198"/>
      <c r="BW211" s="1198"/>
      <c r="BX211" s="1198"/>
      <c r="BY211" s="1360"/>
      <c r="BZ211" s="1198"/>
      <c r="CA211" s="1198"/>
      <c r="CB211" s="1198"/>
      <c r="CC211" s="1198"/>
      <c r="CD211" s="1359"/>
      <c r="CE211" s="1198"/>
      <c r="CF211" s="1198"/>
      <c r="CG211" s="1198"/>
      <c r="CH211" s="1359"/>
      <c r="CI211" s="1198"/>
      <c r="CJ211" s="1198"/>
      <c r="CK211" s="1198"/>
      <c r="CL211" s="1359"/>
      <c r="CM211" s="1170"/>
      <c r="CN211" s="1170"/>
      <c r="CO211" s="1170"/>
      <c r="CP211" s="1170"/>
      <c r="CQ211" s="1170"/>
      <c r="CR211" s="1170"/>
      <c r="CS211" s="1170"/>
      <c r="CT211" s="1198"/>
      <c r="CU211" s="1198"/>
    </row>
    <row r="212" spans="1:99" ht="12.75" customHeight="1">
      <c r="A212" s="1575" t="s">
        <v>602</v>
      </c>
      <c r="B212" s="1591"/>
      <c r="C212" s="1591"/>
      <c r="D212" s="1591"/>
      <c r="E212" s="1591"/>
      <c r="F212" s="1591"/>
      <c r="G212" s="1591"/>
      <c r="H212" s="1591"/>
      <c r="I212" s="1591"/>
      <c r="J212" s="1591"/>
      <c r="K212" s="1591"/>
      <c r="L212" s="1591"/>
      <c r="M212" s="1591"/>
      <c r="N212" s="1591"/>
      <c r="O212" s="1591"/>
      <c r="P212" s="1591"/>
      <c r="Q212" s="1594"/>
      <c r="R212" s="1591"/>
      <c r="S212" s="1591"/>
      <c r="T212" s="1507"/>
      <c r="U212" s="1507"/>
      <c r="V212" s="1507"/>
      <c r="W212" s="1507"/>
      <c r="X212" s="1170"/>
      <c r="Y212" s="1170"/>
      <c r="Z212" s="1170"/>
      <c r="AA212" s="1170"/>
      <c r="AB212" s="1170"/>
      <c r="AC212" s="1170"/>
      <c r="AD212" s="1170"/>
      <c r="AE212" s="1170"/>
      <c r="AF212" s="1170"/>
      <c r="AG212" s="1170"/>
      <c r="AH212" s="1170"/>
      <c r="AI212" s="1170"/>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360"/>
      <c r="BR212" s="1170"/>
      <c r="BS212" s="1170"/>
      <c r="BT212" s="1170"/>
      <c r="BU212" s="1360"/>
      <c r="BV212" s="1170"/>
      <c r="BW212" s="1170"/>
      <c r="BX212" s="1170"/>
      <c r="BY212" s="1360"/>
      <c r="BZ212" s="1593"/>
      <c r="CA212" s="1591"/>
      <c r="CB212" s="1591"/>
      <c r="CC212" s="1591"/>
      <c r="CD212" s="1594"/>
      <c r="CE212" s="1591"/>
      <c r="CF212" s="1591"/>
      <c r="CG212" s="1591"/>
      <c r="CH212" s="1594"/>
      <c r="CI212" s="1591"/>
      <c r="CJ212" s="1591"/>
      <c r="CK212" s="1591"/>
      <c r="CL212" s="1594"/>
      <c r="CM212" s="1170"/>
      <c r="CN212" s="1170"/>
      <c r="CO212" s="1170"/>
      <c r="CP212" s="1170"/>
      <c r="CQ212" s="1170"/>
      <c r="CR212" s="1170"/>
      <c r="CS212" s="1170"/>
      <c r="CT212" s="1198"/>
      <c r="CU212" s="1198"/>
    </row>
    <row r="213" spans="1:99" ht="12.75" customHeight="1">
      <c r="A213" s="1595" t="s">
        <v>475</v>
      </c>
      <c r="B213" s="1198"/>
      <c r="C213" s="1198"/>
      <c r="D213" s="1198"/>
      <c r="E213" s="1198"/>
      <c r="F213" s="1198"/>
      <c r="G213" s="1198"/>
      <c r="H213" s="1198"/>
      <c r="I213" s="1198"/>
      <c r="J213" s="1198"/>
      <c r="K213" s="1198"/>
      <c r="L213" s="1198"/>
      <c r="M213" s="1198"/>
      <c r="N213" s="1198"/>
      <c r="O213" s="1198"/>
      <c r="P213" s="1198"/>
      <c r="Q213" s="1426">
        <f>P215</f>
        <v>800.98</v>
      </c>
      <c r="R213" s="1307">
        <f>Q215</f>
        <v>800.98</v>
      </c>
      <c r="S213" s="1307">
        <f>R215</f>
        <v>800.98</v>
      </c>
      <c r="T213" s="1507"/>
      <c r="U213" s="1507"/>
      <c r="V213" s="1507"/>
      <c r="W213" s="1507"/>
      <c r="X213" s="1170"/>
      <c r="Y213" s="1170"/>
      <c r="Z213" s="1170"/>
      <c r="AA213" s="1170"/>
      <c r="AB213" s="1170"/>
      <c r="AC213" s="1170"/>
      <c r="AD213" s="1170"/>
      <c r="AE213" s="1170"/>
      <c r="AF213" s="1170"/>
      <c r="AG213" s="1170"/>
      <c r="AH213" s="1170"/>
      <c r="AI213" s="1170"/>
      <c r="AJ213" s="1170"/>
      <c r="AK213" s="1170"/>
      <c r="AL213" s="1170"/>
      <c r="AM213" s="1170"/>
      <c r="AN213" s="1170"/>
      <c r="AO213" s="1170"/>
      <c r="AP213" s="1170"/>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360"/>
      <c r="BR213" s="1170"/>
      <c r="BS213" s="1170"/>
      <c r="BT213" s="1170"/>
      <c r="BU213" s="1360"/>
      <c r="BV213" s="1170"/>
      <c r="BW213" s="1170"/>
      <c r="BX213" s="1170"/>
      <c r="BY213" s="1360"/>
      <c r="BZ213" s="1170"/>
      <c r="CA213" s="1198"/>
      <c r="CB213" s="1198"/>
      <c r="CC213" s="1198"/>
      <c r="CD213" s="1267">
        <f t="shared" ref="CD213:CK213" si="177">CC215</f>
        <v>800.98</v>
      </c>
      <c r="CE213" s="1226">
        <f t="shared" si="177"/>
        <v>800.98</v>
      </c>
      <c r="CF213" s="1226">
        <f t="shared" si="177"/>
        <v>800.98</v>
      </c>
      <c r="CG213" s="1226">
        <f t="shared" si="177"/>
        <v>800.98</v>
      </c>
      <c r="CH213" s="1267">
        <f t="shared" si="177"/>
        <v>800.98</v>
      </c>
      <c r="CI213" s="1226">
        <f t="shared" si="177"/>
        <v>800.98</v>
      </c>
      <c r="CJ213" s="1226">
        <f t="shared" si="177"/>
        <v>800.98</v>
      </c>
      <c r="CK213" s="1226">
        <f t="shared" si="177"/>
        <v>800.98</v>
      </c>
      <c r="CL213" s="1267">
        <f>CK215</f>
        <v>800.98</v>
      </c>
      <c r="CM213" s="1170"/>
      <c r="CN213" s="1170"/>
      <c r="CO213" s="1170"/>
      <c r="CP213" s="1170"/>
      <c r="CQ213" s="1170"/>
      <c r="CR213" s="1170"/>
      <c r="CS213" s="1170"/>
      <c r="CT213" s="1198"/>
      <c r="CU213" s="1198"/>
    </row>
    <row r="214" spans="1:99" ht="12.75" customHeight="1">
      <c r="A214" s="1595" t="s">
        <v>593</v>
      </c>
      <c r="B214" s="1198"/>
      <c r="C214" s="1198"/>
      <c r="D214" s="1198"/>
      <c r="E214" s="1198"/>
      <c r="F214" s="1198"/>
      <c r="G214" s="1198"/>
      <c r="H214" s="1198"/>
      <c r="I214" s="1198"/>
      <c r="J214" s="1198"/>
      <c r="K214" s="1198"/>
      <c r="L214" s="1198"/>
      <c r="M214" s="1198"/>
      <c r="N214" s="1198"/>
      <c r="O214" s="1198"/>
      <c r="P214" s="1198"/>
      <c r="Q214" s="1596">
        <f>+SUM(CD214:CG214)</f>
        <v>0</v>
      </c>
      <c r="R214" s="1453">
        <f>+SUM(CH214:CK214)</f>
        <v>0</v>
      </c>
      <c r="S214" s="1598">
        <f>S215-S213</f>
        <v>-800.98</v>
      </c>
      <c r="T214" s="1507"/>
      <c r="U214" s="1507"/>
      <c r="V214" s="1507"/>
      <c r="W214" s="1507"/>
      <c r="X214" s="1170"/>
      <c r="Y214" s="1170"/>
      <c r="Z214" s="1170"/>
      <c r="AA214" s="1170"/>
      <c r="AB214" s="1170"/>
      <c r="AC214" s="1170"/>
      <c r="AD214" s="1170"/>
      <c r="AE214" s="1170"/>
      <c r="AF214" s="1170"/>
      <c r="AG214" s="1170"/>
      <c r="AH214" s="1170"/>
      <c r="AI214" s="1170"/>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360"/>
      <c r="BR214" s="1170"/>
      <c r="BS214" s="1170"/>
      <c r="BT214" s="1170"/>
      <c r="BU214" s="1360"/>
      <c r="BV214" s="1170"/>
      <c r="BW214" s="1170"/>
      <c r="BX214" s="1170"/>
      <c r="BY214" s="1360"/>
      <c r="BZ214" s="1170"/>
      <c r="CA214" s="1198"/>
      <c r="CB214" s="1198"/>
      <c r="CC214" s="1198"/>
      <c r="CD214" s="1359"/>
      <c r="CE214" s="1198"/>
      <c r="CF214" s="1602"/>
      <c r="CG214" s="1198"/>
      <c r="CH214" s="1359"/>
      <c r="CI214" s="1198"/>
      <c r="CJ214" s="1198"/>
      <c r="CK214" s="1198"/>
      <c r="CL214" s="1359"/>
      <c r="CM214" s="1170"/>
      <c r="CN214" s="1170"/>
      <c r="CO214" s="1170"/>
      <c r="CP214" s="1170"/>
      <c r="CQ214" s="1170"/>
      <c r="CR214" s="1170"/>
      <c r="CS214" s="1170"/>
      <c r="CT214" s="1198"/>
      <c r="CU214" s="1198"/>
    </row>
    <row r="215" spans="1:99" ht="12.75" customHeight="1">
      <c r="A215" s="1595" t="s">
        <v>476</v>
      </c>
      <c r="B215" s="1198"/>
      <c r="C215" s="1198"/>
      <c r="D215" s="1198"/>
      <c r="E215" s="1198"/>
      <c r="F215" s="1198"/>
      <c r="G215" s="1198"/>
      <c r="H215" s="1198"/>
      <c r="I215" s="1198"/>
      <c r="J215" s="1198"/>
      <c r="K215" s="1198"/>
      <c r="L215" s="1198"/>
      <c r="M215" s="1198"/>
      <c r="N215" s="1198"/>
      <c r="O215" s="1198"/>
      <c r="P215" s="1307">
        <v>800.98</v>
      </c>
      <c r="Q215" s="1218">
        <f>+CG215</f>
        <v>800.98</v>
      </c>
      <c r="R215" s="1226">
        <f>+CK215</f>
        <v>800.98</v>
      </c>
      <c r="S215" s="1603"/>
      <c r="T215" s="1507"/>
      <c r="U215" s="1507"/>
      <c r="V215" s="1507"/>
      <c r="W215" s="1507"/>
      <c r="X215" s="1170"/>
      <c r="Y215" s="1170"/>
      <c r="Z215" s="1170"/>
      <c r="AA215" s="1170"/>
      <c r="AB215" s="1170"/>
      <c r="AC215" s="1170"/>
      <c r="AD215" s="1170"/>
      <c r="AE215" s="1170"/>
      <c r="AF215" s="1170"/>
      <c r="AG215" s="1170"/>
      <c r="AH215" s="1170"/>
      <c r="AI215" s="1170"/>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360"/>
      <c r="BR215" s="1170"/>
      <c r="BS215" s="1170"/>
      <c r="BT215" s="1170"/>
      <c r="BU215" s="1360"/>
      <c r="BV215" s="1170"/>
      <c r="BW215" s="1170"/>
      <c r="BX215" s="1170"/>
      <c r="BY215" s="1360"/>
      <c r="BZ215" s="1170"/>
      <c r="CA215" s="1198"/>
      <c r="CB215" s="1198"/>
      <c r="CC215" s="1226">
        <f>P215</f>
        <v>800.98</v>
      </c>
      <c r="CD215" s="1267">
        <f t="shared" ref="CD215:CK215" si="178">SUM(CD213:CD214)</f>
        <v>800.98</v>
      </c>
      <c r="CE215" s="1226">
        <f t="shared" si="178"/>
        <v>800.98</v>
      </c>
      <c r="CF215" s="1226">
        <f t="shared" si="178"/>
        <v>800.98</v>
      </c>
      <c r="CG215" s="1226">
        <f t="shared" si="178"/>
        <v>800.98</v>
      </c>
      <c r="CH215" s="1267">
        <f t="shared" si="178"/>
        <v>800.98</v>
      </c>
      <c r="CI215" s="1226">
        <f t="shared" si="178"/>
        <v>800.98</v>
      </c>
      <c r="CJ215" s="1226">
        <f t="shared" si="178"/>
        <v>800.98</v>
      </c>
      <c r="CK215" s="1226">
        <f t="shared" si="178"/>
        <v>800.98</v>
      </c>
      <c r="CL215" s="1267">
        <f>SUM(CL213:CL214)</f>
        <v>800.98</v>
      </c>
      <c r="CM215" s="1170"/>
      <c r="CN215" s="1170"/>
      <c r="CO215" s="1170"/>
      <c r="CP215" s="1170"/>
      <c r="CQ215" s="1170"/>
      <c r="CR215" s="1170"/>
      <c r="CS215" s="1170"/>
      <c r="CT215" s="1198"/>
      <c r="CU215" s="1198"/>
    </row>
    <row r="216" spans="1:99" ht="12.75" customHeight="1">
      <c r="A216" s="1198"/>
      <c r="B216" s="1198"/>
      <c r="C216" s="1198"/>
      <c r="D216" s="1198"/>
      <c r="E216" s="1198"/>
      <c r="F216" s="1198"/>
      <c r="G216" s="1198"/>
      <c r="H216" s="1198"/>
      <c r="I216" s="1198"/>
      <c r="J216" s="1198"/>
      <c r="K216" s="1198"/>
      <c r="L216" s="1198"/>
      <c r="M216" s="1198"/>
      <c r="N216" s="1198"/>
      <c r="O216" s="1198"/>
      <c r="P216" s="1198"/>
      <c r="Q216" s="1359"/>
      <c r="R216" s="1198"/>
      <c r="S216" s="1198"/>
      <c r="T216" s="1507"/>
      <c r="U216" s="1507"/>
      <c r="V216" s="1507"/>
      <c r="W216" s="1507"/>
      <c r="X216" s="1170"/>
      <c r="Y216" s="1170"/>
      <c r="Z216" s="1170"/>
      <c r="AA216" s="1170"/>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360"/>
      <c r="BR216" s="1198"/>
      <c r="BS216" s="1198"/>
      <c r="BT216" s="1198"/>
      <c r="BU216" s="1360"/>
      <c r="BV216" s="1198"/>
      <c r="BW216" s="1198"/>
      <c r="BX216" s="1198"/>
      <c r="BY216" s="1360"/>
      <c r="BZ216" s="1198"/>
      <c r="CA216" s="1198"/>
      <c r="CB216" s="1198"/>
      <c r="CC216" s="1198"/>
      <c r="CD216" s="1359"/>
      <c r="CE216" s="1198"/>
      <c r="CF216" s="1198"/>
      <c r="CG216" s="1198"/>
      <c r="CH216" s="1359"/>
      <c r="CI216" s="1198"/>
      <c r="CJ216" s="1198"/>
      <c r="CK216" s="1198"/>
      <c r="CL216" s="1359"/>
      <c r="CM216" s="1170"/>
      <c r="CN216" s="1170"/>
      <c r="CO216" s="1170"/>
      <c r="CP216" s="1170"/>
      <c r="CQ216" s="1170"/>
      <c r="CR216" s="1170"/>
      <c r="CS216" s="1170"/>
      <c r="CT216" s="1198"/>
      <c r="CU216" s="1198"/>
    </row>
    <row r="217" spans="1:99" ht="12.75" customHeight="1">
      <c r="A217" s="1575" t="s">
        <v>603</v>
      </c>
      <c r="B217" s="1591"/>
      <c r="C217" s="1591"/>
      <c r="D217" s="1591"/>
      <c r="E217" s="1591"/>
      <c r="F217" s="1591"/>
      <c r="G217" s="1591"/>
      <c r="H217" s="1591"/>
      <c r="I217" s="1591"/>
      <c r="J217" s="1591"/>
      <c r="K217" s="1591"/>
      <c r="L217" s="1591"/>
      <c r="M217" s="1591"/>
      <c r="N217" s="1591"/>
      <c r="O217" s="1591"/>
      <c r="P217" s="1591"/>
      <c r="Q217" s="1594"/>
      <c r="R217" s="1591"/>
      <c r="S217" s="1591"/>
      <c r="T217" s="1507"/>
      <c r="U217" s="1507"/>
      <c r="V217" s="1507"/>
      <c r="W217" s="1507"/>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360"/>
      <c r="BR217" s="1170"/>
      <c r="BS217" s="1170"/>
      <c r="BT217" s="1170"/>
      <c r="BU217" s="1360"/>
      <c r="BV217" s="1170"/>
      <c r="BW217" s="1170"/>
      <c r="BX217" s="1170"/>
      <c r="BY217" s="1360"/>
      <c r="BZ217" s="1593"/>
      <c r="CA217" s="1591"/>
      <c r="CB217" s="1591"/>
      <c r="CC217" s="1591"/>
      <c r="CD217" s="1594"/>
      <c r="CE217" s="1591"/>
      <c r="CF217" s="1591"/>
      <c r="CG217" s="1591"/>
      <c r="CH217" s="1594"/>
      <c r="CI217" s="1591"/>
      <c r="CJ217" s="1591"/>
      <c r="CK217" s="1591"/>
      <c r="CL217" s="1594"/>
      <c r="CM217" s="1170"/>
      <c r="CN217" s="1170"/>
      <c r="CO217" s="1170"/>
      <c r="CP217" s="1170"/>
      <c r="CQ217" s="1170"/>
      <c r="CR217" s="1170"/>
      <c r="CS217" s="1170"/>
      <c r="CT217" s="1198"/>
      <c r="CU217" s="1198"/>
    </row>
    <row r="218" spans="1:99" ht="12.75" customHeight="1">
      <c r="A218" s="1595" t="s">
        <v>475</v>
      </c>
      <c r="B218" s="1198"/>
      <c r="C218" s="1198"/>
      <c r="D218" s="1198"/>
      <c r="E218" s="1198"/>
      <c r="F218" s="1198"/>
      <c r="G218" s="1198"/>
      <c r="H218" s="1198"/>
      <c r="I218" s="1198"/>
      <c r="J218" s="1198"/>
      <c r="K218" s="1198"/>
      <c r="L218" s="1198"/>
      <c r="M218" s="1198"/>
      <c r="N218" s="1198"/>
      <c r="O218" s="1198"/>
      <c r="P218" s="1198"/>
      <c r="Q218" s="1426">
        <f>P220</f>
        <v>174.411</v>
      </c>
      <c r="R218" s="1307">
        <f>Q220</f>
        <v>174.411</v>
      </c>
      <c r="S218" s="1307">
        <f>R220</f>
        <v>174.411</v>
      </c>
      <c r="T218" s="1507"/>
      <c r="U218" s="1507"/>
      <c r="V218" s="1507"/>
      <c r="W218" s="1507"/>
      <c r="X218" s="1170"/>
      <c r="Y218" s="1170"/>
      <c r="Z218" s="1170"/>
      <c r="AA218" s="1170"/>
      <c r="AB218" s="1170"/>
      <c r="AC218" s="1170"/>
      <c r="AD218" s="1170"/>
      <c r="AE218" s="1170"/>
      <c r="AF218" s="1170"/>
      <c r="AG218" s="1170"/>
      <c r="AH218" s="1170"/>
      <c r="AI218" s="1170"/>
      <c r="AJ218" s="1170"/>
      <c r="AK218" s="1170"/>
      <c r="AL218" s="1170"/>
      <c r="AM218" s="1170"/>
      <c r="AN218" s="1170"/>
      <c r="AO218" s="1170"/>
      <c r="AP218" s="1170"/>
      <c r="AQ218" s="1170"/>
      <c r="AR218" s="1170"/>
      <c r="AS218" s="1170"/>
      <c r="AT218" s="1170"/>
      <c r="AU218" s="1170"/>
      <c r="AV218" s="1170"/>
      <c r="AW218" s="1170"/>
      <c r="AX218" s="1170"/>
      <c r="AY218" s="1170"/>
      <c r="AZ218" s="1170"/>
      <c r="BA218" s="1170"/>
      <c r="BB218" s="1170"/>
      <c r="BC218" s="1170"/>
      <c r="BD218" s="1170"/>
      <c r="BE218" s="1170"/>
      <c r="BF218" s="1170"/>
      <c r="BG218" s="1170"/>
      <c r="BH218" s="1170"/>
      <c r="BI218" s="1170"/>
      <c r="BJ218" s="1170"/>
      <c r="BK218" s="1170"/>
      <c r="BL218" s="1170"/>
      <c r="BM218" s="1170"/>
      <c r="BN218" s="1170"/>
      <c r="BO218" s="1170"/>
      <c r="BP218" s="1170"/>
      <c r="BQ218" s="1360"/>
      <c r="BR218" s="1170"/>
      <c r="BS218" s="1170"/>
      <c r="BT218" s="1170"/>
      <c r="BU218" s="1360"/>
      <c r="BV218" s="1170"/>
      <c r="BW218" s="1170"/>
      <c r="BX218" s="1170"/>
      <c r="BY218" s="1360"/>
      <c r="BZ218" s="1170"/>
      <c r="CA218" s="1198"/>
      <c r="CB218" s="1198"/>
      <c r="CC218" s="1198"/>
      <c r="CD218" s="1267">
        <f t="shared" ref="CD218:CK218" si="179">CC220</f>
        <v>174.411</v>
      </c>
      <c r="CE218" s="1226">
        <f t="shared" si="179"/>
        <v>174.411</v>
      </c>
      <c r="CF218" s="1226">
        <f t="shared" si="179"/>
        <v>174.411</v>
      </c>
      <c r="CG218" s="1226">
        <f t="shared" si="179"/>
        <v>174.411</v>
      </c>
      <c r="CH218" s="1267">
        <f t="shared" si="179"/>
        <v>174.411</v>
      </c>
      <c r="CI218" s="1226">
        <f t="shared" si="179"/>
        <v>174.411</v>
      </c>
      <c r="CJ218" s="1226">
        <f t="shared" si="179"/>
        <v>174.411</v>
      </c>
      <c r="CK218" s="1226">
        <f t="shared" si="179"/>
        <v>174.411</v>
      </c>
      <c r="CL218" s="1267">
        <f>CK220</f>
        <v>174.411</v>
      </c>
      <c r="CM218" s="1170"/>
      <c r="CN218" s="1170"/>
      <c r="CO218" s="1170"/>
      <c r="CP218" s="1170"/>
      <c r="CQ218" s="1170"/>
      <c r="CR218" s="1170"/>
      <c r="CS218" s="1170"/>
      <c r="CT218" s="1198"/>
      <c r="CU218" s="1198"/>
    </row>
    <row r="219" spans="1:99" ht="12.75" customHeight="1">
      <c r="A219" s="1595" t="s">
        <v>593</v>
      </c>
      <c r="B219" s="1198"/>
      <c r="C219" s="1198"/>
      <c r="D219" s="1198"/>
      <c r="E219" s="1198"/>
      <c r="F219" s="1198"/>
      <c r="G219" s="1198"/>
      <c r="H219" s="1198"/>
      <c r="I219" s="1198"/>
      <c r="J219" s="1198"/>
      <c r="K219" s="1198"/>
      <c r="L219" s="1198"/>
      <c r="M219" s="1198"/>
      <c r="N219" s="1198"/>
      <c r="O219" s="1198"/>
      <c r="P219" s="1198"/>
      <c r="Q219" s="1596">
        <f>+SUM(CD219:CG219)</f>
        <v>0</v>
      </c>
      <c r="R219" s="1453">
        <f>+SUM(CH219:CK219)</f>
        <v>0</v>
      </c>
      <c r="S219" s="1602"/>
      <c r="T219" s="1507"/>
      <c r="U219" s="1507"/>
      <c r="V219" s="1507"/>
      <c r="W219" s="1507"/>
      <c r="X219" s="1170"/>
      <c r="Y219" s="1170"/>
      <c r="Z219" s="1170"/>
      <c r="AA219" s="1170"/>
      <c r="AB219" s="1170"/>
      <c r="AC219" s="1170"/>
      <c r="AD219" s="1170"/>
      <c r="AE219" s="1170"/>
      <c r="AF219" s="1170"/>
      <c r="AG219" s="1170"/>
      <c r="AH219" s="1170"/>
      <c r="AI219" s="1170"/>
      <c r="AJ219" s="1170"/>
      <c r="AK219" s="1170"/>
      <c r="AL219" s="1170"/>
      <c r="AM219" s="1170"/>
      <c r="AN219" s="1170"/>
      <c r="AO219" s="1170"/>
      <c r="AP219" s="1170"/>
      <c r="AQ219" s="1170"/>
      <c r="AR219" s="1170"/>
      <c r="AS219" s="1170"/>
      <c r="AT219" s="1170"/>
      <c r="AU219" s="1170"/>
      <c r="AV219" s="1170"/>
      <c r="AW219" s="1170"/>
      <c r="AX219" s="1170"/>
      <c r="AY219" s="1170"/>
      <c r="AZ219" s="1170"/>
      <c r="BA219" s="1170"/>
      <c r="BB219" s="1170"/>
      <c r="BC219" s="1170"/>
      <c r="BD219" s="1170"/>
      <c r="BE219" s="1170"/>
      <c r="BF219" s="1170"/>
      <c r="BG219" s="1170"/>
      <c r="BH219" s="1170"/>
      <c r="BI219" s="1170"/>
      <c r="BJ219" s="1170"/>
      <c r="BK219" s="1170"/>
      <c r="BL219" s="1170"/>
      <c r="BM219" s="1170"/>
      <c r="BN219" s="1170"/>
      <c r="BO219" s="1170"/>
      <c r="BP219" s="1170"/>
      <c r="BQ219" s="1360"/>
      <c r="BR219" s="1170"/>
      <c r="BS219" s="1170"/>
      <c r="BT219" s="1170"/>
      <c r="BU219" s="1360"/>
      <c r="BV219" s="1170"/>
      <c r="BW219" s="1170"/>
      <c r="BX219" s="1170"/>
      <c r="BY219" s="1360"/>
      <c r="BZ219" s="1170"/>
      <c r="CA219" s="1198"/>
      <c r="CB219" s="1198"/>
      <c r="CC219" s="1198"/>
      <c r="CD219" s="1359"/>
      <c r="CE219" s="1198"/>
      <c r="CF219" s="1602"/>
      <c r="CG219" s="1198"/>
      <c r="CH219" s="1359"/>
      <c r="CI219" s="1198"/>
      <c r="CJ219" s="1198"/>
      <c r="CK219" s="1198"/>
      <c r="CL219" s="1359"/>
      <c r="CM219" s="1170"/>
      <c r="CN219" s="1170"/>
      <c r="CO219" s="1170"/>
      <c r="CP219" s="1170"/>
      <c r="CQ219" s="1170"/>
      <c r="CR219" s="1170"/>
      <c r="CS219" s="1170"/>
      <c r="CT219" s="1198"/>
      <c r="CU219" s="1198"/>
    </row>
    <row r="220" spans="1:99" ht="12.75" customHeight="1">
      <c r="A220" s="1595" t="s">
        <v>476</v>
      </c>
      <c r="B220" s="1198"/>
      <c r="C220" s="1198"/>
      <c r="D220" s="1198"/>
      <c r="E220" s="1198"/>
      <c r="F220" s="1198"/>
      <c r="G220" s="1198"/>
      <c r="H220" s="1198"/>
      <c r="I220" s="1198"/>
      <c r="J220" s="1198"/>
      <c r="K220" s="1198"/>
      <c r="L220" s="1198"/>
      <c r="M220" s="1198"/>
      <c r="N220" s="1198"/>
      <c r="O220" s="1198"/>
      <c r="P220" s="1307">
        <v>174.411</v>
      </c>
      <c r="Q220" s="1218">
        <f>+CG220</f>
        <v>174.411</v>
      </c>
      <c r="R220" s="1226">
        <f>+CK220</f>
        <v>174.411</v>
      </c>
      <c r="S220" s="1307">
        <f>S219+S218</f>
        <v>174.411</v>
      </c>
      <c r="T220" s="1507"/>
      <c r="U220" s="1507"/>
      <c r="V220" s="1507"/>
      <c r="W220" s="1507"/>
      <c r="X220" s="1170"/>
      <c r="Y220" s="1170"/>
      <c r="Z220" s="1170"/>
      <c r="AA220" s="1170"/>
      <c r="AB220" s="1170"/>
      <c r="AC220" s="1170"/>
      <c r="AD220" s="1170"/>
      <c r="AE220" s="1170"/>
      <c r="AF220" s="1170"/>
      <c r="AG220" s="1170"/>
      <c r="AH220" s="1170"/>
      <c r="AI220" s="1170"/>
      <c r="AJ220" s="1170"/>
      <c r="AK220" s="1170"/>
      <c r="AL220" s="1170"/>
      <c r="AM220" s="1170"/>
      <c r="AN220" s="1170"/>
      <c r="AO220" s="1170"/>
      <c r="AP220" s="1170"/>
      <c r="AQ220" s="1170"/>
      <c r="AR220" s="1170"/>
      <c r="AS220" s="1170"/>
      <c r="AT220" s="1170"/>
      <c r="AU220" s="1170"/>
      <c r="AV220" s="1170"/>
      <c r="AW220" s="1170"/>
      <c r="AX220" s="1170"/>
      <c r="AY220" s="1170"/>
      <c r="AZ220" s="1170"/>
      <c r="BA220" s="1170"/>
      <c r="BB220" s="1170"/>
      <c r="BC220" s="1170"/>
      <c r="BD220" s="1170"/>
      <c r="BE220" s="1170"/>
      <c r="BF220" s="1170"/>
      <c r="BG220" s="1170"/>
      <c r="BH220" s="1170"/>
      <c r="BI220" s="1170"/>
      <c r="BJ220" s="1170"/>
      <c r="BK220" s="1170"/>
      <c r="BL220" s="1170"/>
      <c r="BM220" s="1170"/>
      <c r="BN220" s="1170"/>
      <c r="BO220" s="1170"/>
      <c r="BP220" s="1170"/>
      <c r="BQ220" s="1360"/>
      <c r="BR220" s="1170"/>
      <c r="BS220" s="1170"/>
      <c r="BT220" s="1170"/>
      <c r="BU220" s="1360"/>
      <c r="BV220" s="1170"/>
      <c r="BW220" s="1170"/>
      <c r="BX220" s="1170"/>
      <c r="BY220" s="1360"/>
      <c r="BZ220" s="1170"/>
      <c r="CA220" s="1198"/>
      <c r="CB220" s="1198"/>
      <c r="CC220" s="1226">
        <f>P220</f>
        <v>174.411</v>
      </c>
      <c r="CD220" s="1267">
        <f t="shared" ref="CD220:CK220" si="180">SUM(CD218:CD219)</f>
        <v>174.411</v>
      </c>
      <c r="CE220" s="1226">
        <f t="shared" si="180"/>
        <v>174.411</v>
      </c>
      <c r="CF220" s="1226">
        <f t="shared" si="180"/>
        <v>174.411</v>
      </c>
      <c r="CG220" s="1226">
        <f t="shared" si="180"/>
        <v>174.411</v>
      </c>
      <c r="CH220" s="1267">
        <f t="shared" si="180"/>
        <v>174.411</v>
      </c>
      <c r="CI220" s="1226">
        <f t="shared" si="180"/>
        <v>174.411</v>
      </c>
      <c r="CJ220" s="1226">
        <f t="shared" si="180"/>
        <v>174.411</v>
      </c>
      <c r="CK220" s="1226">
        <f t="shared" si="180"/>
        <v>174.411</v>
      </c>
      <c r="CL220" s="1267">
        <f>SUM(CL218:CL219)</f>
        <v>174.411</v>
      </c>
      <c r="CM220" s="1170"/>
      <c r="CN220" s="1170"/>
      <c r="CO220" s="1170"/>
      <c r="CP220" s="1170"/>
      <c r="CQ220" s="1170"/>
      <c r="CR220" s="1170"/>
      <c r="CS220" s="1170"/>
      <c r="CT220" s="1198"/>
      <c r="CU220" s="1198"/>
    </row>
    <row r="221" spans="1:99" ht="12.75" customHeight="1">
      <c r="A221" s="1198"/>
      <c r="B221" s="1198"/>
      <c r="C221" s="1198"/>
      <c r="D221" s="1198"/>
      <c r="E221" s="1198"/>
      <c r="F221" s="1198"/>
      <c r="G221" s="1198"/>
      <c r="H221" s="1198"/>
      <c r="I221" s="1198"/>
      <c r="J221" s="1198"/>
      <c r="K221" s="1198"/>
      <c r="L221" s="1198"/>
      <c r="M221" s="1198"/>
      <c r="N221" s="1198"/>
      <c r="O221" s="1198"/>
      <c r="P221" s="1198"/>
      <c r="Q221" s="1359"/>
      <c r="R221" s="1198"/>
      <c r="S221" s="1198"/>
      <c r="T221" s="1507"/>
      <c r="U221" s="1507"/>
      <c r="V221" s="1507"/>
      <c r="W221" s="1507"/>
      <c r="X221" s="1170"/>
      <c r="Y221" s="1170"/>
      <c r="Z221" s="1170"/>
      <c r="AA221" s="1170"/>
      <c r="AB221" s="1198"/>
      <c r="AC221" s="1198"/>
      <c r="AD221" s="1198"/>
      <c r="AE221" s="1198"/>
      <c r="AF221" s="1198"/>
      <c r="AG221" s="1198"/>
      <c r="AH221" s="1198"/>
      <c r="AI221" s="1198"/>
      <c r="AJ221" s="1198"/>
      <c r="AK221" s="1198"/>
      <c r="AL221" s="1198"/>
      <c r="AM221" s="1198"/>
      <c r="AN221" s="1198"/>
      <c r="AO221" s="1198"/>
      <c r="AP221" s="1198"/>
      <c r="AQ221" s="1198"/>
      <c r="AR221" s="1198"/>
      <c r="AS221" s="1198"/>
      <c r="AT221" s="1198"/>
      <c r="AU221" s="1198"/>
      <c r="AV221" s="1198"/>
      <c r="AW221" s="1198"/>
      <c r="AX221" s="1198"/>
      <c r="AY221" s="1198"/>
      <c r="AZ221" s="1198"/>
      <c r="BA221" s="1198"/>
      <c r="BB221" s="1198"/>
      <c r="BC221" s="1198"/>
      <c r="BD221" s="1198"/>
      <c r="BE221" s="1198"/>
      <c r="BF221" s="1198"/>
      <c r="BG221" s="1198"/>
      <c r="BH221" s="1198"/>
      <c r="BI221" s="1198"/>
      <c r="BJ221" s="1198"/>
      <c r="BK221" s="1198"/>
      <c r="BL221" s="1198"/>
      <c r="BM221" s="1198"/>
      <c r="BN221" s="1198"/>
      <c r="BO221" s="1198"/>
      <c r="BP221" s="1198"/>
      <c r="BQ221" s="1360"/>
      <c r="BR221" s="1198"/>
      <c r="BS221" s="1198"/>
      <c r="BT221" s="1198"/>
      <c r="BU221" s="1360"/>
      <c r="BV221" s="1198"/>
      <c r="BW221" s="1198"/>
      <c r="BX221" s="1198"/>
      <c r="BY221" s="1360"/>
      <c r="BZ221" s="1198"/>
      <c r="CA221" s="1198"/>
      <c r="CB221" s="1198"/>
      <c r="CC221" s="1198"/>
      <c r="CD221" s="1359"/>
      <c r="CE221" s="1198"/>
      <c r="CF221" s="1198"/>
      <c r="CG221" s="1198"/>
      <c r="CH221" s="1359"/>
      <c r="CI221" s="1198"/>
      <c r="CJ221" s="1198"/>
      <c r="CK221" s="1198"/>
      <c r="CL221" s="1359"/>
      <c r="CM221" s="1170"/>
      <c r="CN221" s="1170"/>
      <c r="CO221" s="1170"/>
      <c r="CP221" s="1170"/>
      <c r="CQ221" s="1170"/>
      <c r="CR221" s="1170"/>
      <c r="CS221" s="1170"/>
      <c r="CT221" s="1198"/>
      <c r="CU221" s="1198"/>
    </row>
    <row r="222" spans="1:99" ht="12.75" customHeight="1">
      <c r="A222" s="1575" t="s">
        <v>604</v>
      </c>
      <c r="B222" s="1591"/>
      <c r="C222" s="1591"/>
      <c r="D222" s="1591"/>
      <c r="E222" s="1591"/>
      <c r="F222" s="1591"/>
      <c r="G222" s="1591"/>
      <c r="H222" s="1591"/>
      <c r="I222" s="1591"/>
      <c r="J222" s="1591"/>
      <c r="K222" s="1591"/>
      <c r="L222" s="1591"/>
      <c r="M222" s="1591"/>
      <c r="N222" s="1591"/>
      <c r="O222" s="1591"/>
      <c r="P222" s="1591"/>
      <c r="Q222" s="1594"/>
      <c r="R222" s="1591"/>
      <c r="S222" s="1591"/>
      <c r="T222" s="1507"/>
      <c r="U222" s="1507"/>
      <c r="V222" s="1507"/>
      <c r="W222" s="1507"/>
      <c r="X222" s="1170"/>
      <c r="Y222" s="1170"/>
      <c r="Z222" s="1170"/>
      <c r="AA222" s="1170"/>
      <c r="AB222" s="1170"/>
      <c r="AC222" s="1170"/>
      <c r="AD222" s="1170"/>
      <c r="AE222" s="1170"/>
      <c r="AF222" s="1170"/>
      <c r="AG222" s="1170"/>
      <c r="AH222" s="1170"/>
      <c r="AI222" s="1170"/>
      <c r="AJ222" s="1170"/>
      <c r="AK222" s="1170"/>
      <c r="AL222" s="1170"/>
      <c r="AM222" s="1170"/>
      <c r="AN222" s="1170"/>
      <c r="AO222" s="1170"/>
      <c r="AP222" s="1170"/>
      <c r="AQ222" s="1170"/>
      <c r="AR222" s="1170"/>
      <c r="AS222" s="1170"/>
      <c r="AT222" s="1170"/>
      <c r="AU222" s="1170"/>
      <c r="AV222" s="1170"/>
      <c r="AW222" s="1170"/>
      <c r="AX222" s="1170"/>
      <c r="AY222" s="1170"/>
      <c r="AZ222" s="1170"/>
      <c r="BA222" s="1170"/>
      <c r="BB222" s="1170"/>
      <c r="BC222" s="1170"/>
      <c r="BD222" s="1170"/>
      <c r="BE222" s="1170"/>
      <c r="BF222" s="1170"/>
      <c r="BG222" s="1170"/>
      <c r="BH222" s="1170"/>
      <c r="BI222" s="1170"/>
      <c r="BJ222" s="1170"/>
      <c r="BK222" s="1170"/>
      <c r="BL222" s="1170"/>
      <c r="BM222" s="1170"/>
      <c r="BN222" s="1170"/>
      <c r="BO222" s="1170"/>
      <c r="BP222" s="1170"/>
      <c r="BQ222" s="1360"/>
      <c r="BR222" s="1170"/>
      <c r="BS222" s="1170"/>
      <c r="BT222" s="1170"/>
      <c r="BU222" s="1360"/>
      <c r="BV222" s="1170"/>
      <c r="BW222" s="1170"/>
      <c r="BX222" s="1170"/>
      <c r="BY222" s="1360"/>
      <c r="BZ222" s="1593"/>
      <c r="CA222" s="1591"/>
      <c r="CB222" s="1591"/>
      <c r="CC222" s="1591"/>
      <c r="CD222" s="1594"/>
      <c r="CE222" s="1591"/>
      <c r="CF222" s="1591"/>
      <c r="CG222" s="1591"/>
      <c r="CH222" s="1594"/>
      <c r="CI222" s="1591"/>
      <c r="CJ222" s="1591"/>
      <c r="CK222" s="1591"/>
      <c r="CL222" s="1594"/>
      <c r="CM222" s="1170"/>
      <c r="CN222" s="1170"/>
      <c r="CO222" s="1170"/>
      <c r="CP222" s="1170"/>
      <c r="CQ222" s="1170"/>
      <c r="CR222" s="1170"/>
      <c r="CS222" s="1170"/>
      <c r="CT222" s="1198"/>
      <c r="CU222" s="1198"/>
    </row>
    <row r="223" spans="1:99" ht="12.75" customHeight="1">
      <c r="A223" s="1595" t="s">
        <v>475</v>
      </c>
      <c r="B223" s="1198"/>
      <c r="C223" s="1198"/>
      <c r="D223" s="1198"/>
      <c r="E223" s="1198"/>
      <c r="F223" s="1198"/>
      <c r="G223" s="1198"/>
      <c r="H223" s="1198"/>
      <c r="I223" s="1198"/>
      <c r="J223" s="1198"/>
      <c r="K223" s="1198"/>
      <c r="L223" s="1198"/>
      <c r="M223" s="1198"/>
      <c r="N223" s="1198"/>
      <c r="O223" s="1198"/>
      <c r="P223" s="1198"/>
      <c r="Q223" s="1426">
        <f>P225</f>
        <v>97.159000000000006</v>
      </c>
      <c r="R223" s="1307">
        <f>Q225</f>
        <v>97.159000000000006</v>
      </c>
      <c r="S223" s="1307">
        <f>R225</f>
        <v>97.159000000000006</v>
      </c>
      <c r="T223" s="1507"/>
      <c r="U223" s="1507"/>
      <c r="V223" s="1507"/>
      <c r="W223" s="1507"/>
      <c r="X223" s="1170"/>
      <c r="Y223" s="1170"/>
      <c r="Z223" s="1170"/>
      <c r="AA223" s="1170"/>
      <c r="AB223" s="1170"/>
      <c r="AC223" s="1170"/>
      <c r="AD223" s="1170"/>
      <c r="AE223" s="1170"/>
      <c r="AF223" s="1170"/>
      <c r="AG223" s="1170"/>
      <c r="AH223" s="1170"/>
      <c r="AI223" s="1170"/>
      <c r="AJ223" s="1170"/>
      <c r="AK223" s="1170"/>
      <c r="AL223" s="1170"/>
      <c r="AM223" s="1170"/>
      <c r="AN223" s="1170"/>
      <c r="AO223" s="1170"/>
      <c r="AP223" s="1170"/>
      <c r="AQ223" s="1170"/>
      <c r="AR223" s="1170"/>
      <c r="AS223" s="1170"/>
      <c r="AT223" s="1170"/>
      <c r="AU223" s="1170"/>
      <c r="AV223" s="1170"/>
      <c r="AW223" s="1170"/>
      <c r="AX223" s="1170"/>
      <c r="AY223" s="1170"/>
      <c r="AZ223" s="1170"/>
      <c r="BA223" s="1170"/>
      <c r="BB223" s="1170"/>
      <c r="BC223" s="1170"/>
      <c r="BD223" s="1170"/>
      <c r="BE223" s="1170"/>
      <c r="BF223" s="1170"/>
      <c r="BG223" s="1170"/>
      <c r="BH223" s="1170"/>
      <c r="BI223" s="1170"/>
      <c r="BJ223" s="1170"/>
      <c r="BK223" s="1170"/>
      <c r="BL223" s="1170"/>
      <c r="BM223" s="1170"/>
      <c r="BN223" s="1170"/>
      <c r="BO223" s="1170"/>
      <c r="BP223" s="1170"/>
      <c r="BQ223" s="1360"/>
      <c r="BR223" s="1170"/>
      <c r="BS223" s="1170"/>
      <c r="BT223" s="1170"/>
      <c r="BU223" s="1360"/>
      <c r="BV223" s="1170"/>
      <c r="BW223" s="1170"/>
      <c r="BX223" s="1170"/>
      <c r="BY223" s="1360"/>
      <c r="BZ223" s="1170"/>
      <c r="CA223" s="1198"/>
      <c r="CB223" s="1198"/>
      <c r="CC223" s="1198"/>
      <c r="CD223" s="1267">
        <f t="shared" ref="CD223:CK223" si="181">CC225</f>
        <v>97.159000000000006</v>
      </c>
      <c r="CE223" s="1226">
        <f t="shared" si="181"/>
        <v>97.159000000000006</v>
      </c>
      <c r="CF223" s="1226">
        <f t="shared" si="181"/>
        <v>97.159000000000006</v>
      </c>
      <c r="CG223" s="1226">
        <f t="shared" si="181"/>
        <v>97.159000000000006</v>
      </c>
      <c r="CH223" s="1267">
        <f t="shared" si="181"/>
        <v>97.159000000000006</v>
      </c>
      <c r="CI223" s="1226">
        <f t="shared" si="181"/>
        <v>97.159000000000006</v>
      </c>
      <c r="CJ223" s="1226">
        <f t="shared" si="181"/>
        <v>97.159000000000006</v>
      </c>
      <c r="CK223" s="1226">
        <f t="shared" si="181"/>
        <v>97.159000000000006</v>
      </c>
      <c r="CL223" s="1267">
        <f>CK225</f>
        <v>97.159000000000006</v>
      </c>
      <c r="CM223" s="1170"/>
      <c r="CN223" s="1170"/>
      <c r="CO223" s="1170"/>
      <c r="CP223" s="1170"/>
      <c r="CQ223" s="1170"/>
      <c r="CR223" s="1170"/>
      <c r="CS223" s="1170"/>
      <c r="CT223" s="1198"/>
      <c r="CU223" s="1198"/>
    </row>
    <row r="224" spans="1:99" ht="12.75" customHeight="1">
      <c r="A224" s="1595" t="s">
        <v>593</v>
      </c>
      <c r="B224" s="1198"/>
      <c r="C224" s="1198"/>
      <c r="D224" s="1198"/>
      <c r="E224" s="1198"/>
      <c r="F224" s="1198"/>
      <c r="G224" s="1198"/>
      <c r="H224" s="1198"/>
      <c r="I224" s="1198"/>
      <c r="J224" s="1198"/>
      <c r="K224" s="1198"/>
      <c r="L224" s="1198"/>
      <c r="M224" s="1198"/>
      <c r="N224" s="1198"/>
      <c r="O224" s="1198"/>
      <c r="P224" s="1198"/>
      <c r="Q224" s="1596">
        <f>+SUM(CD224:CG224)</f>
        <v>0</v>
      </c>
      <c r="R224" s="1453">
        <f>+SUM(CH224:CK224)</f>
        <v>0</v>
      </c>
      <c r="S224" s="1602"/>
      <c r="T224" s="1507"/>
      <c r="U224" s="1507"/>
      <c r="V224" s="1507"/>
      <c r="W224" s="1507"/>
      <c r="X224" s="1170"/>
      <c r="Y224" s="1170"/>
      <c r="Z224" s="1170"/>
      <c r="AA224" s="1170"/>
      <c r="AB224" s="1170"/>
      <c r="AC224" s="1170"/>
      <c r="AD224" s="1170"/>
      <c r="AE224" s="1170"/>
      <c r="AF224" s="1170"/>
      <c r="AG224" s="1170"/>
      <c r="AH224" s="1170"/>
      <c r="AI224" s="1170"/>
      <c r="AJ224" s="1170"/>
      <c r="AK224" s="1170"/>
      <c r="AL224" s="1170"/>
      <c r="AM224" s="1170"/>
      <c r="AN224" s="1170"/>
      <c r="AO224" s="1170"/>
      <c r="AP224" s="1170"/>
      <c r="AQ224" s="1170"/>
      <c r="AR224" s="1170"/>
      <c r="AS224" s="1170"/>
      <c r="AT224" s="1170"/>
      <c r="AU224" s="1170"/>
      <c r="AV224" s="1170"/>
      <c r="AW224" s="1170"/>
      <c r="AX224" s="1170"/>
      <c r="AY224" s="1170"/>
      <c r="AZ224" s="1170"/>
      <c r="BA224" s="1170"/>
      <c r="BB224" s="1170"/>
      <c r="BC224" s="1170"/>
      <c r="BD224" s="1170"/>
      <c r="BE224" s="1170"/>
      <c r="BF224" s="1170"/>
      <c r="BG224" s="1170"/>
      <c r="BH224" s="1170"/>
      <c r="BI224" s="1170"/>
      <c r="BJ224" s="1170"/>
      <c r="BK224" s="1170"/>
      <c r="BL224" s="1170"/>
      <c r="BM224" s="1170"/>
      <c r="BN224" s="1170"/>
      <c r="BO224" s="1170"/>
      <c r="BP224" s="1170"/>
      <c r="BQ224" s="1360"/>
      <c r="BR224" s="1170"/>
      <c r="BS224" s="1170"/>
      <c r="BT224" s="1170"/>
      <c r="BU224" s="1360"/>
      <c r="BV224" s="1170"/>
      <c r="BW224" s="1170"/>
      <c r="BX224" s="1170"/>
      <c r="BY224" s="1360"/>
      <c r="BZ224" s="1170"/>
      <c r="CA224" s="1198"/>
      <c r="CB224" s="1198"/>
      <c r="CC224" s="1198"/>
      <c r="CD224" s="1359"/>
      <c r="CE224" s="1198"/>
      <c r="CF224" s="1602"/>
      <c r="CG224" s="1198"/>
      <c r="CH224" s="1359"/>
      <c r="CI224" s="1198"/>
      <c r="CJ224" s="1198"/>
      <c r="CK224" s="1198"/>
      <c r="CL224" s="1359"/>
      <c r="CM224" s="1170"/>
      <c r="CN224" s="1170"/>
      <c r="CO224" s="1170"/>
      <c r="CP224" s="1170"/>
      <c r="CQ224" s="1170"/>
      <c r="CR224" s="1170"/>
      <c r="CS224" s="1170"/>
      <c r="CT224" s="1198"/>
      <c r="CU224" s="1198"/>
    </row>
    <row r="225" spans="1:99" ht="12.75" customHeight="1">
      <c r="A225" s="1595" t="s">
        <v>476</v>
      </c>
      <c r="B225" s="1198"/>
      <c r="C225" s="1198"/>
      <c r="D225" s="1198"/>
      <c r="E225" s="1198"/>
      <c r="F225" s="1198"/>
      <c r="G225" s="1198"/>
      <c r="H225" s="1198"/>
      <c r="I225" s="1198"/>
      <c r="J225" s="1198"/>
      <c r="K225" s="1198"/>
      <c r="L225" s="1198"/>
      <c r="M225" s="1198"/>
      <c r="N225" s="1198"/>
      <c r="O225" s="1198"/>
      <c r="P225" s="1307">
        <v>97.159000000000006</v>
      </c>
      <c r="Q225" s="1218">
        <f>+CG225</f>
        <v>97.159000000000006</v>
      </c>
      <c r="R225" s="1226">
        <f>+CK225</f>
        <v>97.159000000000006</v>
      </c>
      <c r="S225" s="1307">
        <f>S224+S223</f>
        <v>97.159000000000006</v>
      </c>
      <c r="T225" s="1507"/>
      <c r="U225" s="1507"/>
      <c r="V225" s="1507"/>
      <c r="W225" s="1507"/>
      <c r="X225" s="1170"/>
      <c r="Y225" s="1170"/>
      <c r="Z225" s="1170"/>
      <c r="AA225" s="1170"/>
      <c r="AB225" s="1170"/>
      <c r="AC225" s="1170"/>
      <c r="AD225" s="1170"/>
      <c r="AE225" s="1170"/>
      <c r="AF225" s="1170"/>
      <c r="AG225" s="1170"/>
      <c r="AH225" s="1170"/>
      <c r="AI225" s="1170"/>
      <c r="AJ225" s="1170"/>
      <c r="AK225" s="1170"/>
      <c r="AL225" s="1170"/>
      <c r="AM225" s="1170"/>
      <c r="AN225" s="1170"/>
      <c r="AO225" s="1170"/>
      <c r="AP225" s="1170"/>
      <c r="AQ225" s="1170"/>
      <c r="AR225" s="1170"/>
      <c r="AS225" s="1170"/>
      <c r="AT225" s="1170"/>
      <c r="AU225" s="1170"/>
      <c r="AV225" s="1170"/>
      <c r="AW225" s="1170"/>
      <c r="AX225" s="1170"/>
      <c r="AY225" s="1170"/>
      <c r="AZ225" s="1170"/>
      <c r="BA225" s="1170"/>
      <c r="BB225" s="1170"/>
      <c r="BC225" s="1170"/>
      <c r="BD225" s="1170"/>
      <c r="BE225" s="1170"/>
      <c r="BF225" s="1170"/>
      <c r="BG225" s="1170"/>
      <c r="BH225" s="1170"/>
      <c r="BI225" s="1170"/>
      <c r="BJ225" s="1170"/>
      <c r="BK225" s="1170"/>
      <c r="BL225" s="1170"/>
      <c r="BM225" s="1170"/>
      <c r="BN225" s="1170"/>
      <c r="BO225" s="1170"/>
      <c r="BP225" s="1170"/>
      <c r="BQ225" s="1360"/>
      <c r="BR225" s="1170"/>
      <c r="BS225" s="1170"/>
      <c r="BT225" s="1170"/>
      <c r="BU225" s="1360"/>
      <c r="BV225" s="1170"/>
      <c r="BW225" s="1170"/>
      <c r="BX225" s="1170"/>
      <c r="BY225" s="1360"/>
      <c r="BZ225" s="1170"/>
      <c r="CA225" s="1198"/>
      <c r="CB225" s="1198"/>
      <c r="CC225" s="1226">
        <f>P225</f>
        <v>97.159000000000006</v>
      </c>
      <c r="CD225" s="1267">
        <f t="shared" ref="CD225:CK225" si="182">SUM(CD223:CD224)</f>
        <v>97.159000000000006</v>
      </c>
      <c r="CE225" s="1226">
        <f t="shared" si="182"/>
        <v>97.159000000000006</v>
      </c>
      <c r="CF225" s="1226">
        <f t="shared" si="182"/>
        <v>97.159000000000006</v>
      </c>
      <c r="CG225" s="1226">
        <f t="shared" si="182"/>
        <v>97.159000000000006</v>
      </c>
      <c r="CH225" s="1267">
        <f t="shared" si="182"/>
        <v>97.159000000000006</v>
      </c>
      <c r="CI225" s="1226">
        <f t="shared" si="182"/>
        <v>97.159000000000006</v>
      </c>
      <c r="CJ225" s="1226">
        <f t="shared" si="182"/>
        <v>97.159000000000006</v>
      </c>
      <c r="CK225" s="1226">
        <f t="shared" si="182"/>
        <v>97.159000000000006</v>
      </c>
      <c r="CL225" s="1267">
        <f>SUM(CL223:CL224)</f>
        <v>97.159000000000006</v>
      </c>
      <c r="CM225" s="1170"/>
      <c r="CN225" s="1170"/>
      <c r="CO225" s="1170"/>
      <c r="CP225" s="1170"/>
      <c r="CQ225" s="1170"/>
      <c r="CR225" s="1170"/>
      <c r="CS225" s="1170"/>
      <c r="CT225" s="1198"/>
      <c r="CU225" s="1198"/>
    </row>
    <row r="226" spans="1:99" ht="12.75" customHeight="1">
      <c r="A226" s="1198"/>
      <c r="B226" s="1198"/>
      <c r="C226" s="1198"/>
      <c r="D226" s="1198"/>
      <c r="E226" s="1198"/>
      <c r="F226" s="1198"/>
      <c r="G226" s="1198"/>
      <c r="H226" s="1198"/>
      <c r="I226" s="1198"/>
      <c r="J226" s="1198"/>
      <c r="K226" s="1198"/>
      <c r="L226" s="1198"/>
      <c r="M226" s="1198"/>
      <c r="N226" s="1198"/>
      <c r="O226" s="1198"/>
      <c r="P226" s="1198"/>
      <c r="Q226" s="1359"/>
      <c r="R226" s="1198"/>
      <c r="S226" s="1198"/>
      <c r="T226" s="1507"/>
      <c r="U226" s="1507"/>
      <c r="V226" s="1507"/>
      <c r="W226" s="1507"/>
      <c r="X226" s="1170"/>
      <c r="Y226" s="1170"/>
      <c r="Z226" s="1170"/>
      <c r="AA226" s="1170"/>
      <c r="AB226" s="1198"/>
      <c r="AC226" s="1198"/>
      <c r="AD226" s="1198"/>
      <c r="AE226" s="1198"/>
      <c r="AF226" s="1198"/>
      <c r="AG226" s="1198"/>
      <c r="AH226" s="1198"/>
      <c r="AI226" s="1198"/>
      <c r="AJ226" s="1198"/>
      <c r="AK226" s="1198"/>
      <c r="AL226" s="1198"/>
      <c r="AM226" s="1198"/>
      <c r="AN226" s="1198"/>
      <c r="AO226" s="1198"/>
      <c r="AP226" s="1198"/>
      <c r="AQ226" s="1198"/>
      <c r="AR226" s="1198"/>
      <c r="AS226" s="1198"/>
      <c r="AT226" s="1198"/>
      <c r="AU226" s="1198"/>
      <c r="AV226" s="1198"/>
      <c r="AW226" s="1198"/>
      <c r="AX226" s="1198"/>
      <c r="AY226" s="1198"/>
      <c r="AZ226" s="1198"/>
      <c r="BA226" s="1198"/>
      <c r="BB226" s="1198"/>
      <c r="BC226" s="1198"/>
      <c r="BD226" s="1198"/>
      <c r="BE226" s="1198"/>
      <c r="BF226" s="1198"/>
      <c r="BG226" s="1198"/>
      <c r="BH226" s="1198"/>
      <c r="BI226" s="1198"/>
      <c r="BJ226" s="1198"/>
      <c r="BK226" s="1198"/>
      <c r="BL226" s="1198"/>
      <c r="BM226" s="1198"/>
      <c r="BN226" s="1198"/>
      <c r="BO226" s="1198"/>
      <c r="BP226" s="1198"/>
      <c r="BQ226" s="1360"/>
      <c r="BR226" s="1198"/>
      <c r="BS226" s="1198"/>
      <c r="BT226" s="1198"/>
      <c r="BU226" s="1360"/>
      <c r="BV226" s="1198"/>
      <c r="BW226" s="1198"/>
      <c r="BX226" s="1198"/>
      <c r="BY226" s="1360"/>
      <c r="BZ226" s="1198"/>
      <c r="CA226" s="1198"/>
      <c r="CB226" s="1198"/>
      <c r="CC226" s="1198"/>
      <c r="CD226" s="1359"/>
      <c r="CE226" s="1198"/>
      <c r="CF226" s="1198"/>
      <c r="CG226" s="1198"/>
      <c r="CH226" s="1359"/>
      <c r="CI226" s="1198"/>
      <c r="CJ226" s="1198"/>
      <c r="CK226" s="1198"/>
      <c r="CL226" s="1359"/>
      <c r="CM226" s="1170"/>
      <c r="CN226" s="1170"/>
      <c r="CO226" s="1170"/>
      <c r="CP226" s="1170"/>
      <c r="CQ226" s="1170"/>
      <c r="CR226" s="1170"/>
      <c r="CS226" s="1170"/>
      <c r="CT226" s="1198"/>
      <c r="CU226" s="1198"/>
    </row>
    <row r="227" spans="1:99" ht="12.75" customHeight="1">
      <c r="A227" s="1575" t="s">
        <v>605</v>
      </c>
      <c r="B227" s="1591"/>
      <c r="C227" s="1591"/>
      <c r="D227" s="1591"/>
      <c r="E227" s="1591"/>
      <c r="F227" s="1591"/>
      <c r="G227" s="1591"/>
      <c r="H227" s="1591"/>
      <c r="I227" s="1591"/>
      <c r="J227" s="1591"/>
      <c r="K227" s="1591"/>
      <c r="L227" s="1591"/>
      <c r="M227" s="1591"/>
      <c r="N227" s="1591"/>
      <c r="O227" s="1591"/>
      <c r="P227" s="1591"/>
      <c r="Q227" s="1594"/>
      <c r="R227" s="1591"/>
      <c r="S227" s="1591"/>
      <c r="T227" s="1507"/>
      <c r="U227" s="1507"/>
      <c r="V227" s="1507"/>
      <c r="W227" s="1507"/>
      <c r="X227" s="1170"/>
      <c r="Y227" s="1170"/>
      <c r="Z227" s="1170"/>
      <c r="AA227" s="1170"/>
      <c r="AB227" s="1170"/>
      <c r="AC227" s="1170"/>
      <c r="AD227" s="1170"/>
      <c r="AE227" s="1170"/>
      <c r="AF227" s="1170"/>
      <c r="AG227" s="1170"/>
      <c r="AH227" s="1170"/>
      <c r="AI227" s="1170"/>
      <c r="AJ227" s="1170"/>
      <c r="AK227" s="1170"/>
      <c r="AL227" s="1170"/>
      <c r="AM227" s="1170"/>
      <c r="AN227" s="1170"/>
      <c r="AO227" s="1170"/>
      <c r="AP227" s="1170"/>
      <c r="AQ227" s="1170"/>
      <c r="AR227" s="1170"/>
      <c r="AS227" s="1170"/>
      <c r="AT227" s="1170"/>
      <c r="AU227" s="1170"/>
      <c r="AV227" s="1170"/>
      <c r="AW227" s="1170"/>
      <c r="AX227" s="1170"/>
      <c r="AY227" s="1170"/>
      <c r="AZ227" s="1170"/>
      <c r="BA227" s="1170"/>
      <c r="BB227" s="1170"/>
      <c r="BC227" s="1170"/>
      <c r="BD227" s="1170"/>
      <c r="BE227" s="1170"/>
      <c r="BF227" s="1170"/>
      <c r="BG227" s="1170"/>
      <c r="BH227" s="1170"/>
      <c r="BI227" s="1170"/>
      <c r="BJ227" s="1170"/>
      <c r="BK227" s="1170"/>
      <c r="BL227" s="1170"/>
      <c r="BM227" s="1170"/>
      <c r="BN227" s="1170"/>
      <c r="BO227" s="1170"/>
      <c r="BP227" s="1170"/>
      <c r="BQ227" s="1360"/>
      <c r="BR227" s="1170"/>
      <c r="BS227" s="1170"/>
      <c r="BT227" s="1170"/>
      <c r="BU227" s="1360"/>
      <c r="BV227" s="1170"/>
      <c r="BW227" s="1170"/>
      <c r="BX227" s="1170"/>
      <c r="BY227" s="1360"/>
      <c r="BZ227" s="1593"/>
      <c r="CA227" s="1591"/>
      <c r="CB227" s="1591"/>
      <c r="CC227" s="1591"/>
      <c r="CD227" s="1594"/>
      <c r="CE227" s="1591"/>
      <c r="CF227" s="1591"/>
      <c r="CG227" s="1591"/>
      <c r="CH227" s="1594"/>
      <c r="CI227" s="1591"/>
      <c r="CJ227" s="1591"/>
      <c r="CK227" s="1591"/>
      <c r="CL227" s="1594"/>
      <c r="CM227" s="1170"/>
      <c r="CN227" s="1170"/>
      <c r="CO227" s="1170"/>
      <c r="CP227" s="1170"/>
      <c r="CQ227" s="1170"/>
      <c r="CR227" s="1170"/>
      <c r="CS227" s="1170"/>
      <c r="CT227" s="1198"/>
      <c r="CU227" s="1198"/>
    </row>
    <row r="228" spans="1:99" ht="12.75" customHeight="1">
      <c r="A228" s="1595" t="s">
        <v>475</v>
      </c>
      <c r="B228" s="1198"/>
      <c r="C228" s="1198"/>
      <c r="D228" s="1198"/>
      <c r="E228" s="1198"/>
      <c r="F228" s="1198"/>
      <c r="G228" s="1198"/>
      <c r="H228" s="1198"/>
      <c r="I228" s="1198"/>
      <c r="J228" s="1198"/>
      <c r="K228" s="1198"/>
      <c r="L228" s="1198"/>
      <c r="M228" s="1198"/>
      <c r="N228" s="1198"/>
      <c r="O228" s="1198"/>
      <c r="P228" s="1198"/>
      <c r="Q228" s="1426">
        <f>P230</f>
        <v>351.67500000000001</v>
      </c>
      <c r="R228" s="1307">
        <f>Q230</f>
        <v>351.67500000000001</v>
      </c>
      <c r="S228" s="1307">
        <f>R230</f>
        <v>351.67500000000001</v>
      </c>
      <c r="T228" s="1507"/>
      <c r="U228" s="1507"/>
      <c r="V228" s="1507"/>
      <c r="W228" s="1507"/>
      <c r="X228" s="1170"/>
      <c r="Y228" s="1170"/>
      <c r="Z228" s="1170"/>
      <c r="AA228" s="1170"/>
      <c r="AB228" s="1170"/>
      <c r="AC228" s="1170"/>
      <c r="AD228" s="1170"/>
      <c r="AE228" s="1170"/>
      <c r="AF228" s="1170"/>
      <c r="AG228" s="1170"/>
      <c r="AH228" s="1170"/>
      <c r="AI228" s="1170"/>
      <c r="AJ228" s="1170"/>
      <c r="AK228" s="1170"/>
      <c r="AL228" s="1170"/>
      <c r="AM228" s="1170"/>
      <c r="AN228" s="1170"/>
      <c r="AO228" s="1170"/>
      <c r="AP228" s="1170"/>
      <c r="AQ228" s="1170"/>
      <c r="AR228" s="1170"/>
      <c r="AS228" s="1170"/>
      <c r="AT228" s="1170"/>
      <c r="AU228" s="1170"/>
      <c r="AV228" s="1170"/>
      <c r="AW228" s="1170"/>
      <c r="AX228" s="1170"/>
      <c r="AY228" s="1170"/>
      <c r="AZ228" s="1170"/>
      <c r="BA228" s="1170"/>
      <c r="BB228" s="1170"/>
      <c r="BC228" s="1170"/>
      <c r="BD228" s="1170"/>
      <c r="BE228" s="1170"/>
      <c r="BF228" s="1170"/>
      <c r="BG228" s="1170"/>
      <c r="BH228" s="1170"/>
      <c r="BI228" s="1170"/>
      <c r="BJ228" s="1170"/>
      <c r="BK228" s="1170"/>
      <c r="BL228" s="1170"/>
      <c r="BM228" s="1170"/>
      <c r="BN228" s="1170"/>
      <c r="BO228" s="1170"/>
      <c r="BP228" s="1170"/>
      <c r="BQ228" s="1360"/>
      <c r="BR228" s="1170"/>
      <c r="BS228" s="1170"/>
      <c r="BT228" s="1170"/>
      <c r="BU228" s="1360"/>
      <c r="BV228" s="1170"/>
      <c r="BW228" s="1170"/>
      <c r="BX228" s="1170"/>
      <c r="BY228" s="1360"/>
      <c r="BZ228" s="1170"/>
      <c r="CA228" s="1198"/>
      <c r="CB228" s="1198"/>
      <c r="CC228" s="1198"/>
      <c r="CD228" s="1267">
        <f t="shared" ref="CD228:CK228" si="183">CC230</f>
        <v>351.67500000000001</v>
      </c>
      <c r="CE228" s="1226">
        <f t="shared" si="183"/>
        <v>351.67500000000001</v>
      </c>
      <c r="CF228" s="1226">
        <f t="shared" si="183"/>
        <v>351.67500000000001</v>
      </c>
      <c r="CG228" s="1226">
        <f t="shared" si="183"/>
        <v>351.67500000000001</v>
      </c>
      <c r="CH228" s="1267">
        <f t="shared" si="183"/>
        <v>351.67500000000001</v>
      </c>
      <c r="CI228" s="1226">
        <f t="shared" si="183"/>
        <v>351.67500000000001</v>
      </c>
      <c r="CJ228" s="1226">
        <f t="shared" si="183"/>
        <v>351.67500000000001</v>
      </c>
      <c r="CK228" s="1226">
        <f t="shared" si="183"/>
        <v>351.67500000000001</v>
      </c>
      <c r="CL228" s="1267">
        <f>CK230</f>
        <v>351.67500000000001</v>
      </c>
      <c r="CM228" s="1170"/>
      <c r="CN228" s="1170"/>
      <c r="CO228" s="1170"/>
      <c r="CP228" s="1170"/>
      <c r="CQ228" s="1170"/>
      <c r="CR228" s="1170"/>
      <c r="CS228" s="1170"/>
      <c r="CT228" s="1198"/>
      <c r="CU228" s="1198"/>
    </row>
    <row r="229" spans="1:99" ht="12.75" customHeight="1">
      <c r="A229" s="1595" t="s">
        <v>593</v>
      </c>
      <c r="B229" s="1198"/>
      <c r="C229" s="1198"/>
      <c r="D229" s="1198"/>
      <c r="E229" s="1198"/>
      <c r="F229" s="1198"/>
      <c r="G229" s="1198"/>
      <c r="H229" s="1198"/>
      <c r="I229" s="1198"/>
      <c r="J229" s="1198"/>
      <c r="K229" s="1198"/>
      <c r="L229" s="1198"/>
      <c r="M229" s="1198"/>
      <c r="N229" s="1198"/>
      <c r="O229" s="1198"/>
      <c r="P229" s="1198"/>
      <c r="Q229" s="1596">
        <f>+SUM(CD229:CG229)</f>
        <v>0</v>
      </c>
      <c r="R229" s="1453">
        <f>+SUM(CH229:CK229)</f>
        <v>0</v>
      </c>
      <c r="S229" s="1602"/>
      <c r="T229" s="1507"/>
      <c r="U229" s="1507"/>
      <c r="V229" s="1507"/>
      <c r="W229" s="1507"/>
      <c r="X229" s="1170"/>
      <c r="Y229" s="1170"/>
      <c r="Z229" s="1170"/>
      <c r="AA229" s="1170"/>
      <c r="AB229" s="1170"/>
      <c r="AC229" s="1170"/>
      <c r="AD229" s="1170"/>
      <c r="AE229" s="1170"/>
      <c r="AF229" s="1170"/>
      <c r="AG229" s="1170"/>
      <c r="AH229" s="1170"/>
      <c r="AI229" s="1170"/>
      <c r="AJ229" s="1170"/>
      <c r="AK229" s="1170"/>
      <c r="AL229" s="1170"/>
      <c r="AM229" s="1170"/>
      <c r="AN229" s="1170"/>
      <c r="AO229" s="1170"/>
      <c r="AP229" s="1170"/>
      <c r="AQ229" s="1170"/>
      <c r="AR229" s="1170"/>
      <c r="AS229" s="1170"/>
      <c r="AT229" s="1170"/>
      <c r="AU229" s="1170"/>
      <c r="AV229" s="1170"/>
      <c r="AW229" s="1170"/>
      <c r="AX229" s="1170"/>
      <c r="AY229" s="1170"/>
      <c r="AZ229" s="1170"/>
      <c r="BA229" s="1170"/>
      <c r="BB229" s="1170"/>
      <c r="BC229" s="1170"/>
      <c r="BD229" s="1170"/>
      <c r="BE229" s="1170"/>
      <c r="BF229" s="1170"/>
      <c r="BG229" s="1170"/>
      <c r="BH229" s="1170"/>
      <c r="BI229" s="1170"/>
      <c r="BJ229" s="1170"/>
      <c r="BK229" s="1170"/>
      <c r="BL229" s="1170"/>
      <c r="BM229" s="1170"/>
      <c r="BN229" s="1170"/>
      <c r="BO229" s="1170"/>
      <c r="BP229" s="1170"/>
      <c r="BQ229" s="1360"/>
      <c r="BR229" s="1170"/>
      <c r="BS229" s="1170"/>
      <c r="BT229" s="1170"/>
      <c r="BU229" s="1360"/>
      <c r="BV229" s="1170"/>
      <c r="BW229" s="1170"/>
      <c r="BX229" s="1170"/>
      <c r="BY229" s="1360"/>
      <c r="BZ229" s="1170"/>
      <c r="CA229" s="1198"/>
      <c r="CB229" s="1198"/>
      <c r="CC229" s="1198"/>
      <c r="CD229" s="1359"/>
      <c r="CE229" s="1198"/>
      <c r="CF229" s="1602"/>
      <c r="CG229" s="1198"/>
      <c r="CH229" s="1359"/>
      <c r="CI229" s="1198"/>
      <c r="CJ229" s="1198"/>
      <c r="CK229" s="1198"/>
      <c r="CL229" s="1359"/>
      <c r="CM229" s="1170"/>
      <c r="CN229" s="1170"/>
      <c r="CO229" s="1170"/>
      <c r="CP229" s="1170"/>
      <c r="CQ229" s="1170"/>
      <c r="CR229" s="1170"/>
      <c r="CS229" s="1170"/>
      <c r="CT229" s="1198"/>
      <c r="CU229" s="1198"/>
    </row>
    <row r="230" spans="1:99" ht="12.75" customHeight="1">
      <c r="A230" s="1595" t="s">
        <v>476</v>
      </c>
      <c r="B230" s="1198"/>
      <c r="C230" s="1198"/>
      <c r="D230" s="1198"/>
      <c r="E230" s="1198"/>
      <c r="F230" s="1198"/>
      <c r="G230" s="1198"/>
      <c r="H230" s="1198"/>
      <c r="I230" s="1198"/>
      <c r="J230" s="1198"/>
      <c r="K230" s="1198"/>
      <c r="L230" s="1198"/>
      <c r="M230" s="1198"/>
      <c r="N230" s="1198"/>
      <c r="O230" s="1198"/>
      <c r="P230" s="1307">
        <v>351.67500000000001</v>
      </c>
      <c r="Q230" s="1218">
        <f>+CG230</f>
        <v>351.67500000000001</v>
      </c>
      <c r="R230" s="1226">
        <f>+CK230</f>
        <v>351.67500000000001</v>
      </c>
      <c r="S230" s="1307">
        <f>S229+S228</f>
        <v>351.67500000000001</v>
      </c>
      <c r="T230" s="1507"/>
      <c r="U230" s="1507"/>
      <c r="V230" s="1507"/>
      <c r="W230" s="1507"/>
      <c r="X230" s="1170"/>
      <c r="Y230" s="1170"/>
      <c r="Z230" s="1170"/>
      <c r="AA230" s="1170"/>
      <c r="AB230" s="1170"/>
      <c r="AC230" s="1170"/>
      <c r="AD230" s="1170"/>
      <c r="AE230" s="1170"/>
      <c r="AF230" s="1170"/>
      <c r="AG230" s="1170"/>
      <c r="AH230" s="1170"/>
      <c r="AI230" s="1170"/>
      <c r="AJ230" s="1170"/>
      <c r="AK230" s="1170"/>
      <c r="AL230" s="1170"/>
      <c r="AM230" s="1170"/>
      <c r="AN230" s="1170"/>
      <c r="AO230" s="1170"/>
      <c r="AP230" s="1170"/>
      <c r="AQ230" s="1170"/>
      <c r="AR230" s="1170"/>
      <c r="AS230" s="1170"/>
      <c r="AT230" s="1170"/>
      <c r="AU230" s="1170"/>
      <c r="AV230" s="1170"/>
      <c r="AW230" s="1170"/>
      <c r="AX230" s="1170"/>
      <c r="AY230" s="1170"/>
      <c r="AZ230" s="1170"/>
      <c r="BA230" s="1170"/>
      <c r="BB230" s="1170"/>
      <c r="BC230" s="1170"/>
      <c r="BD230" s="1170"/>
      <c r="BE230" s="1170"/>
      <c r="BF230" s="1170"/>
      <c r="BG230" s="1170"/>
      <c r="BH230" s="1170"/>
      <c r="BI230" s="1170"/>
      <c r="BJ230" s="1170"/>
      <c r="BK230" s="1170"/>
      <c r="BL230" s="1170"/>
      <c r="BM230" s="1170"/>
      <c r="BN230" s="1170"/>
      <c r="BO230" s="1170"/>
      <c r="BP230" s="1170"/>
      <c r="BQ230" s="1360"/>
      <c r="BR230" s="1170"/>
      <c r="BS230" s="1170"/>
      <c r="BT230" s="1170"/>
      <c r="BU230" s="1360"/>
      <c r="BV230" s="1170"/>
      <c r="BW230" s="1170"/>
      <c r="BX230" s="1170"/>
      <c r="BY230" s="1360"/>
      <c r="BZ230" s="1170"/>
      <c r="CA230" s="1198"/>
      <c r="CB230" s="1198"/>
      <c r="CC230" s="1226">
        <f>P230</f>
        <v>351.67500000000001</v>
      </c>
      <c r="CD230" s="1267">
        <f t="shared" ref="CD230:CK230" si="184">SUM(CD228:CD229)</f>
        <v>351.67500000000001</v>
      </c>
      <c r="CE230" s="1226">
        <f t="shared" si="184"/>
        <v>351.67500000000001</v>
      </c>
      <c r="CF230" s="1226">
        <f t="shared" si="184"/>
        <v>351.67500000000001</v>
      </c>
      <c r="CG230" s="1226">
        <f t="shared" si="184"/>
        <v>351.67500000000001</v>
      </c>
      <c r="CH230" s="1267">
        <f t="shared" si="184"/>
        <v>351.67500000000001</v>
      </c>
      <c r="CI230" s="1226">
        <f t="shared" si="184"/>
        <v>351.67500000000001</v>
      </c>
      <c r="CJ230" s="1226">
        <f t="shared" si="184"/>
        <v>351.67500000000001</v>
      </c>
      <c r="CK230" s="1226">
        <f t="shared" si="184"/>
        <v>351.67500000000001</v>
      </c>
      <c r="CL230" s="1267">
        <f>SUM(CL228:CL229)</f>
        <v>351.67500000000001</v>
      </c>
      <c r="CM230" s="1170"/>
      <c r="CN230" s="1170"/>
      <c r="CO230" s="1170"/>
      <c r="CP230" s="1170"/>
      <c r="CQ230" s="1170"/>
      <c r="CR230" s="1170"/>
      <c r="CS230" s="1170"/>
      <c r="CT230" s="1198"/>
      <c r="CU230" s="1198"/>
    </row>
    <row r="231" spans="1:99" ht="12.75" customHeight="1">
      <c r="A231" s="1198"/>
      <c r="B231" s="1198"/>
      <c r="C231" s="1198"/>
      <c r="D231" s="1198"/>
      <c r="E231" s="1198"/>
      <c r="F231" s="1198"/>
      <c r="G231" s="1198"/>
      <c r="H231" s="1198"/>
      <c r="I231" s="1198"/>
      <c r="J231" s="1198"/>
      <c r="K231" s="1198"/>
      <c r="L231" s="1198"/>
      <c r="M231" s="1198"/>
      <c r="N231" s="1198"/>
      <c r="O231" s="1198"/>
      <c r="P231" s="1198"/>
      <c r="Q231" s="1359"/>
      <c r="R231" s="1198"/>
      <c r="S231" s="1198"/>
      <c r="T231" s="1507"/>
      <c r="U231" s="1507"/>
      <c r="V231" s="1507"/>
      <c r="W231" s="1507"/>
      <c r="X231" s="1170"/>
      <c r="Y231" s="1170"/>
      <c r="Z231" s="1170"/>
      <c r="AA231" s="1170"/>
      <c r="AB231" s="1198"/>
      <c r="AC231" s="1198"/>
      <c r="AD231" s="1198"/>
      <c r="AE231" s="1198"/>
      <c r="AF231" s="1198"/>
      <c r="AG231" s="1198"/>
      <c r="AH231" s="1198"/>
      <c r="AI231" s="1198"/>
      <c r="AJ231" s="1198"/>
      <c r="AK231" s="1198"/>
      <c r="AL231" s="1198"/>
      <c r="AM231" s="1198"/>
      <c r="AN231" s="1198"/>
      <c r="AO231" s="1198"/>
      <c r="AP231" s="1198"/>
      <c r="AQ231" s="1198"/>
      <c r="AR231" s="1198"/>
      <c r="AS231" s="1198"/>
      <c r="AT231" s="1198"/>
      <c r="AU231" s="1198"/>
      <c r="AV231" s="1198"/>
      <c r="AW231" s="1198"/>
      <c r="AX231" s="1198"/>
      <c r="AY231" s="1198"/>
      <c r="AZ231" s="1198"/>
      <c r="BA231" s="1198"/>
      <c r="BB231" s="1198"/>
      <c r="BC231" s="1198"/>
      <c r="BD231" s="1198"/>
      <c r="BE231" s="1198"/>
      <c r="BF231" s="1198"/>
      <c r="BG231" s="1198"/>
      <c r="BH231" s="1198"/>
      <c r="BI231" s="1198"/>
      <c r="BJ231" s="1198"/>
      <c r="BK231" s="1198"/>
      <c r="BL231" s="1198"/>
      <c r="BM231" s="1198"/>
      <c r="BN231" s="1198"/>
      <c r="BO231" s="1198"/>
      <c r="BP231" s="1198"/>
      <c r="BQ231" s="1360"/>
      <c r="BR231" s="1198"/>
      <c r="BS231" s="1198"/>
      <c r="BT231" s="1198"/>
      <c r="BU231" s="1360"/>
      <c r="BV231" s="1198"/>
      <c r="BW231" s="1198"/>
      <c r="BX231" s="1198"/>
      <c r="BY231" s="1360"/>
      <c r="BZ231" s="1198"/>
      <c r="CA231" s="1198"/>
      <c r="CB231" s="1198"/>
      <c r="CC231" s="1198"/>
      <c r="CD231" s="1359"/>
      <c r="CE231" s="1198"/>
      <c r="CF231" s="1198"/>
      <c r="CG231" s="1198"/>
      <c r="CH231" s="1359"/>
      <c r="CI231" s="1198"/>
      <c r="CJ231" s="1198"/>
      <c r="CK231" s="1198"/>
      <c r="CL231" s="1359"/>
      <c r="CM231" s="1170"/>
      <c r="CN231" s="1170"/>
      <c r="CO231" s="1170"/>
      <c r="CP231" s="1170"/>
      <c r="CQ231" s="1170"/>
      <c r="CR231" s="1170"/>
      <c r="CS231" s="1170"/>
      <c r="CT231" s="1198"/>
      <c r="CU231" s="1198"/>
    </row>
    <row r="232" spans="1:99" ht="12.75" customHeight="1">
      <c r="A232" s="1575" t="s">
        <v>606</v>
      </c>
      <c r="B232" s="1591"/>
      <c r="C232" s="1591"/>
      <c r="D232" s="1591"/>
      <c r="E232" s="1591"/>
      <c r="F232" s="1591"/>
      <c r="G232" s="1591"/>
      <c r="H232" s="1591"/>
      <c r="I232" s="1591"/>
      <c r="J232" s="1591"/>
      <c r="K232" s="1591"/>
      <c r="L232" s="1591"/>
      <c r="M232" s="1591"/>
      <c r="N232" s="1591"/>
      <c r="O232" s="1591"/>
      <c r="P232" s="1591"/>
      <c r="Q232" s="1594"/>
      <c r="R232" s="1591"/>
      <c r="S232" s="1591"/>
      <c r="T232" s="1507"/>
      <c r="U232" s="1507"/>
      <c r="V232" s="1507"/>
      <c r="W232" s="1507"/>
      <c r="X232" s="1170"/>
      <c r="Y232" s="1170"/>
      <c r="Z232" s="1170"/>
      <c r="AA232" s="1170"/>
      <c r="AB232" s="1170"/>
      <c r="AC232" s="1170"/>
      <c r="AD232" s="1170"/>
      <c r="AE232" s="1170"/>
      <c r="AF232" s="1170"/>
      <c r="AG232" s="1170"/>
      <c r="AH232" s="1170"/>
      <c r="AI232" s="1170"/>
      <c r="AJ232" s="1170"/>
      <c r="AK232" s="1170"/>
      <c r="AL232" s="1170"/>
      <c r="AM232" s="1170"/>
      <c r="AN232" s="1170"/>
      <c r="AO232" s="1170"/>
      <c r="AP232" s="1170"/>
      <c r="AQ232" s="1170"/>
      <c r="AR232" s="1170"/>
      <c r="AS232" s="1170"/>
      <c r="AT232" s="1170"/>
      <c r="AU232" s="1170"/>
      <c r="AV232" s="1170"/>
      <c r="AW232" s="1170"/>
      <c r="AX232" s="1170"/>
      <c r="AY232" s="1170"/>
      <c r="AZ232" s="1170"/>
      <c r="BA232" s="1170"/>
      <c r="BB232" s="1170"/>
      <c r="BC232" s="1170"/>
      <c r="BD232" s="1170"/>
      <c r="BE232" s="1170"/>
      <c r="BF232" s="1170"/>
      <c r="BG232" s="1170"/>
      <c r="BH232" s="1170"/>
      <c r="BI232" s="1170"/>
      <c r="BJ232" s="1170"/>
      <c r="BK232" s="1170"/>
      <c r="BL232" s="1170"/>
      <c r="BM232" s="1170"/>
      <c r="BN232" s="1170"/>
      <c r="BO232" s="1170"/>
      <c r="BP232" s="1170"/>
      <c r="BQ232" s="1360"/>
      <c r="BR232" s="1170"/>
      <c r="BS232" s="1170"/>
      <c r="BT232" s="1170"/>
      <c r="BU232" s="1360"/>
      <c r="BV232" s="1170"/>
      <c r="BW232" s="1170"/>
      <c r="BX232" s="1170"/>
      <c r="BY232" s="1360"/>
      <c r="BZ232" s="1593"/>
      <c r="CA232" s="1591"/>
      <c r="CB232" s="1591"/>
      <c r="CC232" s="1591"/>
      <c r="CD232" s="1594"/>
      <c r="CE232" s="1591"/>
      <c r="CF232" s="1591"/>
      <c r="CG232" s="1591"/>
      <c r="CH232" s="1594"/>
      <c r="CI232" s="1591"/>
      <c r="CJ232" s="1591"/>
      <c r="CK232" s="1591"/>
      <c r="CL232" s="1594"/>
      <c r="CM232" s="1170"/>
      <c r="CN232" s="1170"/>
      <c r="CO232" s="1170"/>
      <c r="CP232" s="1170"/>
      <c r="CQ232" s="1170"/>
      <c r="CR232" s="1170"/>
      <c r="CS232" s="1170"/>
      <c r="CT232" s="1198"/>
      <c r="CU232" s="1198"/>
    </row>
    <row r="233" spans="1:99" ht="12.75" customHeight="1">
      <c r="A233" s="1595" t="s">
        <v>475</v>
      </c>
      <c r="B233" s="1198"/>
      <c r="C233" s="1198"/>
      <c r="D233" s="1198"/>
      <c r="E233" s="1198"/>
      <c r="F233" s="1198"/>
      <c r="G233" s="1198"/>
      <c r="H233" s="1198"/>
      <c r="I233" s="1198"/>
      <c r="J233" s="1198"/>
      <c r="K233" s="1198"/>
      <c r="L233" s="1198"/>
      <c r="M233" s="1198"/>
      <c r="N233" s="1198"/>
      <c r="O233" s="1198"/>
      <c r="P233" s="1198"/>
      <c r="Q233" s="1426">
        <f>P235</f>
        <v>358.10599999999999</v>
      </c>
      <c r="R233" s="1307">
        <f>Q235</f>
        <v>358.10599999999999</v>
      </c>
      <c r="S233" s="1307">
        <f>R235</f>
        <v>358.10599999999999</v>
      </c>
      <c r="T233" s="1507"/>
      <c r="U233" s="1507"/>
      <c r="V233" s="1507"/>
      <c r="W233" s="1507"/>
      <c r="X233" s="1170"/>
      <c r="Y233" s="1170"/>
      <c r="Z233" s="1170"/>
      <c r="AA233" s="1170"/>
      <c r="AB233" s="1170"/>
      <c r="AC233" s="1170"/>
      <c r="AD233" s="1170"/>
      <c r="AE233" s="1170"/>
      <c r="AF233" s="1170"/>
      <c r="AG233" s="1170"/>
      <c r="AH233" s="1170"/>
      <c r="AI233" s="1170"/>
      <c r="AJ233" s="1170"/>
      <c r="AK233" s="1170"/>
      <c r="AL233" s="1170"/>
      <c r="AM233" s="1170"/>
      <c r="AN233" s="1170"/>
      <c r="AO233" s="1170"/>
      <c r="AP233" s="1170"/>
      <c r="AQ233" s="1170"/>
      <c r="AR233" s="1170"/>
      <c r="AS233" s="1170"/>
      <c r="AT233" s="1170"/>
      <c r="AU233" s="1170"/>
      <c r="AV233" s="1170"/>
      <c r="AW233" s="1170"/>
      <c r="AX233" s="1170"/>
      <c r="AY233" s="1170"/>
      <c r="AZ233" s="1170"/>
      <c r="BA233" s="1170"/>
      <c r="BB233" s="1170"/>
      <c r="BC233" s="1170"/>
      <c r="BD233" s="1170"/>
      <c r="BE233" s="1170"/>
      <c r="BF233" s="1170"/>
      <c r="BG233" s="1170"/>
      <c r="BH233" s="1170"/>
      <c r="BI233" s="1170"/>
      <c r="BJ233" s="1170"/>
      <c r="BK233" s="1170"/>
      <c r="BL233" s="1170"/>
      <c r="BM233" s="1170"/>
      <c r="BN233" s="1170"/>
      <c r="BO233" s="1170"/>
      <c r="BP233" s="1170"/>
      <c r="BQ233" s="1360"/>
      <c r="BR233" s="1170"/>
      <c r="BS233" s="1170"/>
      <c r="BT233" s="1170"/>
      <c r="BU233" s="1360"/>
      <c r="BV233" s="1170"/>
      <c r="BW233" s="1170"/>
      <c r="BX233" s="1170"/>
      <c r="BY233" s="1360"/>
      <c r="BZ233" s="1170"/>
      <c r="CA233" s="1198"/>
      <c r="CB233" s="1198"/>
      <c r="CC233" s="1198"/>
      <c r="CD233" s="1267">
        <f t="shared" ref="CD233:CK233" si="185">CC235</f>
        <v>358.10599999999999</v>
      </c>
      <c r="CE233" s="1226">
        <f t="shared" si="185"/>
        <v>358.10599999999999</v>
      </c>
      <c r="CF233" s="1226">
        <f t="shared" si="185"/>
        <v>358.10599999999999</v>
      </c>
      <c r="CG233" s="1226">
        <f t="shared" si="185"/>
        <v>358.10599999999999</v>
      </c>
      <c r="CH233" s="1267">
        <f t="shared" si="185"/>
        <v>358.10599999999999</v>
      </c>
      <c r="CI233" s="1226">
        <f t="shared" si="185"/>
        <v>358.10599999999999</v>
      </c>
      <c r="CJ233" s="1226">
        <f t="shared" si="185"/>
        <v>358.10599999999999</v>
      </c>
      <c r="CK233" s="1226">
        <f t="shared" si="185"/>
        <v>358.10599999999999</v>
      </c>
      <c r="CL233" s="1267">
        <f>CK235</f>
        <v>358.10599999999999</v>
      </c>
      <c r="CM233" s="1170"/>
      <c r="CN233" s="1170"/>
      <c r="CO233" s="1170"/>
      <c r="CP233" s="1170"/>
      <c r="CQ233" s="1170"/>
      <c r="CR233" s="1170"/>
      <c r="CS233" s="1170"/>
      <c r="CT233" s="1198"/>
      <c r="CU233" s="1198"/>
    </row>
    <row r="234" spans="1:99" ht="12.75" customHeight="1">
      <c r="A234" s="1595" t="s">
        <v>593</v>
      </c>
      <c r="B234" s="1198"/>
      <c r="C234" s="1198"/>
      <c r="D234" s="1198"/>
      <c r="E234" s="1198"/>
      <c r="F234" s="1198"/>
      <c r="G234" s="1198"/>
      <c r="H234" s="1198"/>
      <c r="I234" s="1198"/>
      <c r="J234" s="1198"/>
      <c r="K234" s="1198"/>
      <c r="L234" s="1198"/>
      <c r="M234" s="1198"/>
      <c r="N234" s="1198"/>
      <c r="O234" s="1198"/>
      <c r="P234" s="1198"/>
      <c r="Q234" s="1596">
        <f>+SUM(CD234:CG234)</f>
        <v>0</v>
      </c>
      <c r="R234" s="1453">
        <f>+SUM(CH234:CK234)</f>
        <v>0</v>
      </c>
      <c r="S234" s="1602"/>
      <c r="T234" s="1507"/>
      <c r="U234" s="1507"/>
      <c r="V234" s="1507"/>
      <c r="W234" s="1507"/>
      <c r="X234" s="1170"/>
      <c r="Y234" s="1170"/>
      <c r="Z234" s="1170"/>
      <c r="AA234" s="1170"/>
      <c r="AB234" s="1170"/>
      <c r="AC234" s="1170"/>
      <c r="AD234" s="1170"/>
      <c r="AE234" s="1170"/>
      <c r="AF234" s="1170"/>
      <c r="AG234" s="1170"/>
      <c r="AH234" s="1170"/>
      <c r="AI234" s="1170"/>
      <c r="AJ234" s="1170"/>
      <c r="AK234" s="1170"/>
      <c r="AL234" s="1170"/>
      <c r="AM234" s="1170"/>
      <c r="AN234" s="1170"/>
      <c r="AO234" s="1170"/>
      <c r="AP234" s="1170"/>
      <c r="AQ234" s="1170"/>
      <c r="AR234" s="1170"/>
      <c r="AS234" s="1170"/>
      <c r="AT234" s="1170"/>
      <c r="AU234" s="1170"/>
      <c r="AV234" s="1170"/>
      <c r="AW234" s="1170"/>
      <c r="AX234" s="1170"/>
      <c r="AY234" s="1170"/>
      <c r="AZ234" s="1170"/>
      <c r="BA234" s="1170"/>
      <c r="BB234" s="1170"/>
      <c r="BC234" s="1170"/>
      <c r="BD234" s="1170"/>
      <c r="BE234" s="1170"/>
      <c r="BF234" s="1170"/>
      <c r="BG234" s="1170"/>
      <c r="BH234" s="1170"/>
      <c r="BI234" s="1170"/>
      <c r="BJ234" s="1170"/>
      <c r="BK234" s="1170"/>
      <c r="BL234" s="1170"/>
      <c r="BM234" s="1170"/>
      <c r="BN234" s="1170"/>
      <c r="BO234" s="1170"/>
      <c r="BP234" s="1170"/>
      <c r="BQ234" s="1360"/>
      <c r="BR234" s="1170"/>
      <c r="BS234" s="1170"/>
      <c r="BT234" s="1170"/>
      <c r="BU234" s="1360"/>
      <c r="BV234" s="1170"/>
      <c r="BW234" s="1170"/>
      <c r="BX234" s="1170"/>
      <c r="BY234" s="1360"/>
      <c r="BZ234" s="1170"/>
      <c r="CA234" s="1198"/>
      <c r="CB234" s="1198"/>
      <c r="CC234" s="1198"/>
      <c r="CD234" s="1359"/>
      <c r="CE234" s="1198"/>
      <c r="CF234" s="1602"/>
      <c r="CG234" s="1198"/>
      <c r="CH234" s="1359"/>
      <c r="CI234" s="1198"/>
      <c r="CJ234" s="1198"/>
      <c r="CK234" s="1198"/>
      <c r="CL234" s="1359"/>
      <c r="CM234" s="1170"/>
      <c r="CN234" s="1170"/>
      <c r="CO234" s="1170"/>
      <c r="CP234" s="1170"/>
      <c r="CQ234" s="1170"/>
      <c r="CR234" s="1170"/>
      <c r="CS234" s="1170"/>
      <c r="CT234" s="1198"/>
      <c r="CU234" s="1198"/>
    </row>
    <row r="235" spans="1:99" ht="12.75" customHeight="1">
      <c r="A235" s="1595" t="s">
        <v>476</v>
      </c>
      <c r="B235" s="1198"/>
      <c r="C235" s="1198"/>
      <c r="D235" s="1198"/>
      <c r="E235" s="1198"/>
      <c r="F235" s="1198"/>
      <c r="G235" s="1198"/>
      <c r="H235" s="1198"/>
      <c r="I235" s="1198"/>
      <c r="J235" s="1198"/>
      <c r="K235" s="1198"/>
      <c r="L235" s="1198"/>
      <c r="M235" s="1198"/>
      <c r="N235" s="1198"/>
      <c r="O235" s="1198"/>
      <c r="P235" s="1307">
        <v>358.10599999999999</v>
      </c>
      <c r="Q235" s="1218">
        <f>+CG235</f>
        <v>358.10599999999999</v>
      </c>
      <c r="R235" s="1226">
        <f>+CK235</f>
        <v>358.10599999999999</v>
      </c>
      <c r="S235" s="1307">
        <f>S234+S233</f>
        <v>358.10599999999999</v>
      </c>
      <c r="T235" s="1507"/>
      <c r="U235" s="1507"/>
      <c r="V235" s="1507"/>
      <c r="W235" s="1507"/>
      <c r="X235" s="1170"/>
      <c r="Y235" s="1170"/>
      <c r="Z235" s="1170"/>
      <c r="AA235" s="1170"/>
      <c r="AB235" s="1170"/>
      <c r="AC235" s="1170"/>
      <c r="AD235" s="1170"/>
      <c r="AE235" s="1170"/>
      <c r="AF235" s="1170"/>
      <c r="AG235" s="1170"/>
      <c r="AH235" s="1170"/>
      <c r="AI235" s="1170"/>
      <c r="AJ235" s="1170"/>
      <c r="AK235" s="1170"/>
      <c r="AL235" s="1170"/>
      <c r="AM235" s="1170"/>
      <c r="AN235" s="1170"/>
      <c r="AO235" s="1170"/>
      <c r="AP235" s="1170"/>
      <c r="AQ235" s="1170"/>
      <c r="AR235" s="1170"/>
      <c r="AS235" s="1170"/>
      <c r="AT235" s="1170"/>
      <c r="AU235" s="1170"/>
      <c r="AV235" s="1170"/>
      <c r="AW235" s="1170"/>
      <c r="AX235" s="1170"/>
      <c r="AY235" s="1170"/>
      <c r="AZ235" s="1170"/>
      <c r="BA235" s="1170"/>
      <c r="BB235" s="1170"/>
      <c r="BC235" s="1170"/>
      <c r="BD235" s="1170"/>
      <c r="BE235" s="1170"/>
      <c r="BF235" s="1170"/>
      <c r="BG235" s="1170"/>
      <c r="BH235" s="1170"/>
      <c r="BI235" s="1170"/>
      <c r="BJ235" s="1170"/>
      <c r="BK235" s="1170"/>
      <c r="BL235" s="1170"/>
      <c r="BM235" s="1170"/>
      <c r="BN235" s="1170"/>
      <c r="BO235" s="1170"/>
      <c r="BP235" s="1170"/>
      <c r="BQ235" s="1360"/>
      <c r="BR235" s="1170"/>
      <c r="BS235" s="1170"/>
      <c r="BT235" s="1170"/>
      <c r="BU235" s="1360"/>
      <c r="BV235" s="1170"/>
      <c r="BW235" s="1170"/>
      <c r="BX235" s="1170"/>
      <c r="BY235" s="1360"/>
      <c r="BZ235" s="1170"/>
      <c r="CA235" s="1198"/>
      <c r="CB235" s="1198"/>
      <c r="CC235" s="1226">
        <f>P235</f>
        <v>358.10599999999999</v>
      </c>
      <c r="CD235" s="1267">
        <f t="shared" ref="CD235:CK235" si="186">SUM(CD233:CD234)</f>
        <v>358.10599999999999</v>
      </c>
      <c r="CE235" s="1226">
        <f t="shared" si="186"/>
        <v>358.10599999999999</v>
      </c>
      <c r="CF235" s="1226">
        <f t="shared" si="186"/>
        <v>358.10599999999999</v>
      </c>
      <c r="CG235" s="1226">
        <f t="shared" si="186"/>
        <v>358.10599999999999</v>
      </c>
      <c r="CH235" s="1267">
        <f t="shared" si="186"/>
        <v>358.10599999999999</v>
      </c>
      <c r="CI235" s="1226">
        <f t="shared" si="186"/>
        <v>358.10599999999999</v>
      </c>
      <c r="CJ235" s="1226">
        <f t="shared" si="186"/>
        <v>358.10599999999999</v>
      </c>
      <c r="CK235" s="1226">
        <f t="shared" si="186"/>
        <v>358.10599999999999</v>
      </c>
      <c r="CL235" s="1267">
        <f>SUM(CL233:CL234)</f>
        <v>358.10599999999999</v>
      </c>
      <c r="CM235" s="1170"/>
      <c r="CN235" s="1170"/>
      <c r="CO235" s="1170"/>
      <c r="CP235" s="1170"/>
      <c r="CQ235" s="1170"/>
      <c r="CR235" s="1170"/>
      <c r="CS235" s="1170"/>
      <c r="CT235" s="1198"/>
      <c r="CU235" s="1198"/>
    </row>
    <row r="236" spans="1:99" ht="12.75" customHeight="1">
      <c r="A236" s="1469" t="s">
        <v>598</v>
      </c>
      <c r="B236" s="1591"/>
      <c r="C236" s="1591"/>
      <c r="D236" s="1591"/>
      <c r="E236" s="1591"/>
      <c r="F236" s="1591"/>
      <c r="G236" s="1591"/>
      <c r="H236" s="1591"/>
      <c r="I236" s="1591"/>
      <c r="J236" s="1591"/>
      <c r="K236" s="1591"/>
      <c r="L236" s="1591"/>
      <c r="M236" s="1591"/>
      <c r="N236" s="1591"/>
      <c r="O236" s="1591"/>
      <c r="P236" s="1600"/>
      <c r="Q236" s="1594"/>
      <c r="R236" s="1591"/>
      <c r="S236" s="1591"/>
      <c r="T236" s="1507"/>
      <c r="U236" s="1507"/>
      <c r="V236" s="1507"/>
      <c r="W236" s="1507"/>
      <c r="X236" s="1170"/>
      <c r="Y236" s="1170"/>
      <c r="Z236" s="1170"/>
      <c r="AA236" s="1170"/>
      <c r="AB236" s="1198"/>
      <c r="AC236" s="1198"/>
      <c r="AD236" s="1198"/>
      <c r="AE236" s="1198"/>
      <c r="AF236" s="1198"/>
      <c r="AG236" s="1198"/>
      <c r="AH236" s="1198"/>
      <c r="AI236" s="1198"/>
      <c r="AJ236" s="1198"/>
      <c r="AK236" s="1198"/>
      <c r="AL236" s="1198"/>
      <c r="AM236" s="1198"/>
      <c r="AN236" s="1198"/>
      <c r="AO236" s="1198"/>
      <c r="AP236" s="1198"/>
      <c r="AQ236" s="1198"/>
      <c r="AR236" s="1198"/>
      <c r="AS236" s="1198"/>
      <c r="AT236" s="1198"/>
      <c r="AU236" s="1198"/>
      <c r="AV236" s="1198"/>
      <c r="AW236" s="1198"/>
      <c r="AX236" s="1198"/>
      <c r="AY236" s="1198"/>
      <c r="AZ236" s="1198"/>
      <c r="BA236" s="1198"/>
      <c r="BB236" s="1198"/>
      <c r="BC236" s="1198"/>
      <c r="BD236" s="1198"/>
      <c r="BE236" s="1198"/>
      <c r="BF236" s="1198"/>
      <c r="BG236" s="1198"/>
      <c r="BH236" s="1198"/>
      <c r="BI236" s="1198"/>
      <c r="BJ236" s="1198"/>
      <c r="BK236" s="1198"/>
      <c r="BL236" s="1198"/>
      <c r="BM236" s="1198"/>
      <c r="BN236" s="1198"/>
      <c r="BO236" s="1198"/>
      <c r="BP236" s="1198"/>
      <c r="BQ236" s="1360"/>
      <c r="BR236" s="1198"/>
      <c r="BS236" s="1198"/>
      <c r="BT236" s="1198"/>
      <c r="BU236" s="1360"/>
      <c r="BV236" s="1198"/>
      <c r="BW236" s="1198"/>
      <c r="BX236" s="1198"/>
      <c r="BY236" s="1360"/>
      <c r="BZ236" s="1600"/>
      <c r="CA236" s="1591"/>
      <c r="CB236" s="1591"/>
      <c r="CC236" s="1591"/>
      <c r="CD236" s="1594"/>
      <c r="CE236" s="1593"/>
      <c r="CF236" s="1593"/>
      <c r="CG236" s="1591"/>
      <c r="CH236" s="1594"/>
      <c r="CI236" s="1593"/>
      <c r="CJ236" s="1593"/>
      <c r="CK236" s="1591"/>
      <c r="CL236" s="1594"/>
      <c r="CM236" s="1170"/>
      <c r="CN236" s="1170"/>
      <c r="CO236" s="1170"/>
      <c r="CP236" s="1170"/>
      <c r="CQ236" s="1170"/>
      <c r="CR236" s="1170"/>
      <c r="CS236" s="1170"/>
      <c r="CT236" s="1198"/>
      <c r="CU236" s="1198"/>
    </row>
    <row r="237" spans="1:99" ht="12.75" customHeight="1">
      <c r="A237" s="1595" t="s">
        <v>475</v>
      </c>
      <c r="B237" s="1198"/>
      <c r="C237" s="1198"/>
      <c r="D237" s="1198"/>
      <c r="E237" s="1198"/>
      <c r="F237" s="1198"/>
      <c r="G237" s="1198"/>
      <c r="H237" s="1198"/>
      <c r="I237" s="1198"/>
      <c r="J237" s="1198"/>
      <c r="K237" s="1198"/>
      <c r="L237" s="1198"/>
      <c r="M237" s="1198"/>
      <c r="N237" s="1198"/>
      <c r="O237" s="1198"/>
      <c r="P237" s="1307">
        <f t="shared" ref="P237:S239" si="187">P233+P228+P223+P218+P213+P208+P203</f>
        <v>0</v>
      </c>
      <c r="Q237" s="1426">
        <f t="shared" si="187"/>
        <v>2747.0219999999999</v>
      </c>
      <c r="R237" s="1307">
        <f t="shared" si="187"/>
        <v>2185.2539999999999</v>
      </c>
      <c r="S237" s="1307">
        <f t="shared" si="187"/>
        <v>1782.3309999999999</v>
      </c>
      <c r="T237" s="1507"/>
      <c r="U237" s="1507"/>
      <c r="V237" s="1507"/>
      <c r="W237" s="1507"/>
      <c r="X237" s="1170"/>
      <c r="Y237" s="1170"/>
      <c r="Z237" s="1170"/>
      <c r="AA237" s="1170"/>
      <c r="AB237" s="1198"/>
      <c r="AC237" s="1198"/>
      <c r="AD237" s="1198"/>
      <c r="AE237" s="1198"/>
      <c r="AF237" s="1198"/>
      <c r="AG237" s="1198"/>
      <c r="AH237" s="1198"/>
      <c r="AI237" s="1198"/>
      <c r="AJ237" s="1198"/>
      <c r="AK237" s="1198"/>
      <c r="AL237" s="1198"/>
      <c r="AM237" s="1198"/>
      <c r="AN237" s="1198"/>
      <c r="AO237" s="1198"/>
      <c r="AP237" s="1198"/>
      <c r="AQ237" s="1198"/>
      <c r="AR237" s="1198"/>
      <c r="AS237" s="1198"/>
      <c r="AT237" s="1198"/>
      <c r="AU237" s="1198"/>
      <c r="AV237" s="1198"/>
      <c r="AW237" s="1198"/>
      <c r="AX237" s="1198"/>
      <c r="AY237" s="1198"/>
      <c r="AZ237" s="1198"/>
      <c r="BA237" s="1198"/>
      <c r="BB237" s="1198"/>
      <c r="BC237" s="1198"/>
      <c r="BD237" s="1198"/>
      <c r="BE237" s="1198"/>
      <c r="BF237" s="1198"/>
      <c r="BG237" s="1198"/>
      <c r="BH237" s="1198"/>
      <c r="BI237" s="1198"/>
      <c r="BJ237" s="1198"/>
      <c r="BK237" s="1198"/>
      <c r="BL237" s="1198"/>
      <c r="BM237" s="1198"/>
      <c r="BN237" s="1198"/>
      <c r="BO237" s="1198"/>
      <c r="BP237" s="1198"/>
      <c r="BQ237" s="1360"/>
      <c r="BR237" s="1198"/>
      <c r="BS237" s="1198"/>
      <c r="BT237" s="1198"/>
      <c r="BU237" s="1360"/>
      <c r="BV237" s="1198"/>
      <c r="BW237" s="1198"/>
      <c r="BX237" s="1198"/>
      <c r="BY237" s="1360"/>
      <c r="BZ237" s="1307"/>
      <c r="CA237" s="1307"/>
      <c r="CB237" s="1307"/>
      <c r="CC237" s="1307">
        <f t="shared" ref="CC237:CD239" si="188">CC233+CC228+CC223+CC218+CC213+CC208+CC203</f>
        <v>0</v>
      </c>
      <c r="CD237" s="1426">
        <f t="shared" si="188"/>
        <v>2747.0219999999999</v>
      </c>
      <c r="CE237" s="1307">
        <f t="shared" ref="CE237:CK237" si="189">CE233+CE228+CE223+CE218+CE213+CE208+CE203</f>
        <v>2747.0219999999999</v>
      </c>
      <c r="CF237" s="1307">
        <f t="shared" si="189"/>
        <v>2747.0219999999999</v>
      </c>
      <c r="CG237" s="1307">
        <f t="shared" si="189"/>
        <v>2185.2539999999999</v>
      </c>
      <c r="CH237" s="1426">
        <f t="shared" si="189"/>
        <v>2185.2539999999999</v>
      </c>
      <c r="CI237" s="1307">
        <f t="shared" si="189"/>
        <v>2185.2539999999999</v>
      </c>
      <c r="CJ237" s="1307">
        <f t="shared" si="189"/>
        <v>2185.2539999999999</v>
      </c>
      <c r="CK237" s="1307">
        <f t="shared" si="189"/>
        <v>1782.3309999999999</v>
      </c>
      <c r="CL237" s="1426">
        <f>CL233+CL228+CL223+CL218+CL213+CL208+CL203</f>
        <v>1782.3309999999999</v>
      </c>
      <c r="CM237" s="1170"/>
      <c r="CN237" s="1170"/>
      <c r="CO237" s="1170"/>
      <c r="CP237" s="1170"/>
      <c r="CQ237" s="1170"/>
      <c r="CR237" s="1170"/>
      <c r="CS237" s="1170"/>
      <c r="CT237" s="1198"/>
      <c r="CU237" s="1198"/>
    </row>
    <row r="238" spans="1:99" ht="12.75" customHeight="1">
      <c r="A238" s="1595" t="s">
        <v>593</v>
      </c>
      <c r="B238" s="1198"/>
      <c r="C238" s="1198"/>
      <c r="D238" s="1198"/>
      <c r="E238" s="1198"/>
      <c r="F238" s="1198"/>
      <c r="G238" s="1198"/>
      <c r="H238" s="1198"/>
      <c r="I238" s="1198"/>
      <c r="J238" s="1198"/>
      <c r="K238" s="1198"/>
      <c r="L238" s="1198"/>
      <c r="M238" s="1198"/>
      <c r="N238" s="1198"/>
      <c r="O238" s="1198"/>
      <c r="P238" s="1307">
        <f t="shared" si="187"/>
        <v>0</v>
      </c>
      <c r="Q238" s="1597">
        <f t="shared" si="187"/>
        <v>-561.76800000000003</v>
      </c>
      <c r="R238" s="1601">
        <f t="shared" si="187"/>
        <v>-402.923</v>
      </c>
      <c r="S238" s="1601">
        <f t="shared" si="187"/>
        <v>-800.98</v>
      </c>
      <c r="T238" s="1507"/>
      <c r="U238" s="1507"/>
      <c r="V238" s="1507"/>
      <c r="W238" s="1507"/>
      <c r="X238" s="1170"/>
      <c r="Y238" s="1170"/>
      <c r="Z238" s="1170"/>
      <c r="AA238" s="1170"/>
      <c r="AB238" s="1198"/>
      <c r="AC238" s="1198"/>
      <c r="AD238" s="1198"/>
      <c r="AE238" s="1198"/>
      <c r="AF238" s="1198"/>
      <c r="AG238" s="1198"/>
      <c r="AH238" s="1198"/>
      <c r="AI238" s="1198"/>
      <c r="AJ238" s="1198"/>
      <c r="AK238" s="1198"/>
      <c r="AL238" s="1198"/>
      <c r="AM238" s="1198"/>
      <c r="AN238" s="1198"/>
      <c r="AO238" s="1198"/>
      <c r="AP238" s="1198"/>
      <c r="AQ238" s="1198"/>
      <c r="AR238" s="1198"/>
      <c r="AS238" s="1198"/>
      <c r="AT238" s="1198"/>
      <c r="AU238" s="1198"/>
      <c r="AV238" s="1198"/>
      <c r="AW238" s="1198"/>
      <c r="AX238" s="1198"/>
      <c r="AY238" s="1198"/>
      <c r="AZ238" s="1198"/>
      <c r="BA238" s="1198"/>
      <c r="BB238" s="1198"/>
      <c r="BC238" s="1198"/>
      <c r="BD238" s="1198"/>
      <c r="BE238" s="1198"/>
      <c r="BF238" s="1198"/>
      <c r="BG238" s="1198"/>
      <c r="BH238" s="1198"/>
      <c r="BI238" s="1198"/>
      <c r="BJ238" s="1198"/>
      <c r="BK238" s="1198"/>
      <c r="BL238" s="1198"/>
      <c r="BM238" s="1198"/>
      <c r="BN238" s="1198"/>
      <c r="BO238" s="1198"/>
      <c r="BP238" s="1198"/>
      <c r="BQ238" s="1360"/>
      <c r="BR238" s="1198"/>
      <c r="BS238" s="1198"/>
      <c r="BT238" s="1198"/>
      <c r="BU238" s="1360"/>
      <c r="BV238" s="1198"/>
      <c r="BW238" s="1198"/>
      <c r="BX238" s="1198"/>
      <c r="BY238" s="1360"/>
      <c r="BZ238" s="1307"/>
      <c r="CA238" s="1307"/>
      <c r="CB238" s="1307"/>
      <c r="CC238" s="1307">
        <f t="shared" si="188"/>
        <v>0</v>
      </c>
      <c r="CD238" s="1597">
        <f t="shared" si="188"/>
        <v>0</v>
      </c>
      <c r="CE238" s="1307">
        <f t="shared" ref="CE238:CK238" si="190">CE234+CE229+CE224+CE219+CE214+CE209+CE204</f>
        <v>0</v>
      </c>
      <c r="CF238" s="1307">
        <f t="shared" si="190"/>
        <v>-561.76800000000003</v>
      </c>
      <c r="CG238" s="1307">
        <f t="shared" si="190"/>
        <v>0</v>
      </c>
      <c r="CH238" s="1426">
        <f t="shared" si="190"/>
        <v>0</v>
      </c>
      <c r="CI238" s="1307">
        <f t="shared" si="190"/>
        <v>0</v>
      </c>
      <c r="CJ238" s="1307">
        <f>CJ234+CJ229+CJ224+CJ219+CJ214+CJ209+CJ204</f>
        <v>-402.923</v>
      </c>
      <c r="CK238" s="1307">
        <f t="shared" si="190"/>
        <v>0</v>
      </c>
      <c r="CL238" s="1426">
        <f>CL234+CL229+CL224+CL219+CL214+CL209+CL204</f>
        <v>0</v>
      </c>
      <c r="CM238" s="1170"/>
      <c r="CN238" s="1170"/>
      <c r="CO238" s="1170"/>
      <c r="CP238" s="1170"/>
      <c r="CQ238" s="1170"/>
      <c r="CR238" s="1170"/>
      <c r="CS238" s="1170"/>
      <c r="CT238" s="1198"/>
      <c r="CU238" s="1198"/>
    </row>
    <row r="239" spans="1:99" ht="12.75" customHeight="1">
      <c r="A239" s="1595" t="s">
        <v>476</v>
      </c>
      <c r="B239" s="1198"/>
      <c r="C239" s="1198"/>
      <c r="D239" s="1198"/>
      <c r="E239" s="1198"/>
      <c r="F239" s="1198"/>
      <c r="G239" s="1198"/>
      <c r="H239" s="1198"/>
      <c r="I239" s="1198"/>
      <c r="J239" s="1198"/>
      <c r="K239" s="1198"/>
      <c r="L239" s="1198"/>
      <c r="M239" s="1198"/>
      <c r="N239" s="1198"/>
      <c r="O239" s="1198"/>
      <c r="P239" s="1307">
        <f t="shared" si="187"/>
        <v>2747.0219999999999</v>
      </c>
      <c r="Q239" s="1426">
        <f t="shared" si="187"/>
        <v>2185.2539999999999</v>
      </c>
      <c r="R239" s="1308">
        <f t="shared" si="187"/>
        <v>1782.3309999999999</v>
      </c>
      <c r="S239" s="1308">
        <f t="shared" si="187"/>
        <v>981.35099999999989</v>
      </c>
      <c r="T239" s="1507"/>
      <c r="U239" s="1507"/>
      <c r="V239" s="1507"/>
      <c r="W239" s="1507"/>
      <c r="X239" s="1170"/>
      <c r="Y239" s="1170"/>
      <c r="Z239" s="1170"/>
      <c r="AA239" s="1170"/>
      <c r="AB239" s="1198"/>
      <c r="AC239" s="1198"/>
      <c r="AD239" s="1198"/>
      <c r="AE239" s="1198"/>
      <c r="AF239" s="1198"/>
      <c r="AG239" s="1198"/>
      <c r="AH239" s="1198"/>
      <c r="AI239" s="1198"/>
      <c r="AJ239" s="1198"/>
      <c r="AK239" s="1198"/>
      <c r="AL239" s="1198"/>
      <c r="AM239" s="1198"/>
      <c r="AN239" s="1198"/>
      <c r="AO239" s="1198"/>
      <c r="AP239" s="1198"/>
      <c r="AQ239" s="1198"/>
      <c r="AR239" s="1198"/>
      <c r="AS239" s="1198"/>
      <c r="AT239" s="1198"/>
      <c r="AU239" s="1198"/>
      <c r="AV239" s="1198"/>
      <c r="AW239" s="1198"/>
      <c r="AX239" s="1198"/>
      <c r="AY239" s="1198"/>
      <c r="AZ239" s="1198"/>
      <c r="BA239" s="1198"/>
      <c r="BB239" s="1198"/>
      <c r="BC239" s="1198"/>
      <c r="BD239" s="1198"/>
      <c r="BE239" s="1198"/>
      <c r="BF239" s="1198"/>
      <c r="BG239" s="1198"/>
      <c r="BH239" s="1198"/>
      <c r="BI239" s="1198"/>
      <c r="BJ239" s="1198"/>
      <c r="BK239" s="1198"/>
      <c r="BL239" s="1198"/>
      <c r="BM239" s="1198"/>
      <c r="BN239" s="1198"/>
      <c r="BO239" s="1198"/>
      <c r="BP239" s="1198"/>
      <c r="BQ239" s="1360"/>
      <c r="BR239" s="1198"/>
      <c r="BS239" s="1198"/>
      <c r="BT239" s="1198"/>
      <c r="BU239" s="1360"/>
      <c r="BV239" s="1198"/>
      <c r="BW239" s="1198"/>
      <c r="BX239" s="1198"/>
      <c r="BY239" s="1360"/>
      <c r="BZ239" s="1307"/>
      <c r="CA239" s="1307"/>
      <c r="CB239" s="1307"/>
      <c r="CC239" s="1307">
        <f t="shared" si="188"/>
        <v>2747.0219999999999</v>
      </c>
      <c r="CD239" s="1426">
        <f t="shared" si="188"/>
        <v>2747.0219999999999</v>
      </c>
      <c r="CE239" s="1308">
        <f t="shared" ref="CE239:CK239" si="191">CE235+CE230+CE225+CE220+CE215+CE210+CE205</f>
        <v>2747.0219999999999</v>
      </c>
      <c r="CF239" s="1308">
        <f t="shared" si="191"/>
        <v>2185.2539999999999</v>
      </c>
      <c r="CG239" s="1308">
        <f t="shared" si="191"/>
        <v>2185.2539999999999</v>
      </c>
      <c r="CH239" s="1426">
        <f t="shared" si="191"/>
        <v>2185.2539999999999</v>
      </c>
      <c r="CI239" s="1308">
        <f t="shared" si="191"/>
        <v>2185.2539999999999</v>
      </c>
      <c r="CJ239" s="1308">
        <f t="shared" si="191"/>
        <v>1782.3309999999999</v>
      </c>
      <c r="CK239" s="1308">
        <f t="shared" si="191"/>
        <v>1782.3309999999999</v>
      </c>
      <c r="CL239" s="1426">
        <f>CL235+CL230+CL225+CL220+CL215+CL210+CL205</f>
        <v>1782.3309999999999</v>
      </c>
      <c r="CM239" s="1170"/>
      <c r="CN239" s="1170"/>
      <c r="CO239" s="1170"/>
      <c r="CP239" s="1170"/>
      <c r="CQ239" s="1170"/>
      <c r="CR239" s="1170"/>
      <c r="CS239" s="1170"/>
      <c r="CT239" s="1198"/>
      <c r="CU239" s="1198"/>
    </row>
    <row r="240" spans="1:99" ht="12.75" customHeight="1">
      <c r="A240" s="1198"/>
      <c r="B240" s="1198"/>
      <c r="C240" s="1198"/>
      <c r="D240" s="1198"/>
      <c r="E240" s="1198"/>
      <c r="F240" s="1198"/>
      <c r="G240" s="1198"/>
      <c r="H240" s="1198"/>
      <c r="I240" s="1198"/>
      <c r="J240" s="1198"/>
      <c r="K240" s="1198"/>
      <c r="L240" s="1198"/>
      <c r="M240" s="1198"/>
      <c r="N240" s="1198"/>
      <c r="O240" s="1198"/>
      <c r="P240" s="1198"/>
      <c r="Q240" s="1359"/>
      <c r="R240" s="1198"/>
      <c r="S240" s="1198"/>
      <c r="T240" s="1507"/>
      <c r="U240" s="1507"/>
      <c r="V240" s="1507"/>
      <c r="W240" s="1507"/>
      <c r="X240" s="1170"/>
      <c r="Y240" s="1170"/>
      <c r="Z240" s="1170"/>
      <c r="AA240" s="1170"/>
      <c r="AB240" s="1198"/>
      <c r="AC240" s="1198"/>
      <c r="AD240" s="1198"/>
      <c r="AE240" s="1198"/>
      <c r="AF240" s="1198"/>
      <c r="AG240" s="1198"/>
      <c r="AH240" s="1198"/>
      <c r="AI240" s="1198"/>
      <c r="AJ240" s="1198"/>
      <c r="AK240" s="1198"/>
      <c r="AL240" s="1198"/>
      <c r="AM240" s="1198"/>
      <c r="AN240" s="1198"/>
      <c r="AO240" s="1198"/>
      <c r="AP240" s="1198"/>
      <c r="AQ240" s="1198"/>
      <c r="AR240" s="1198"/>
      <c r="AS240" s="1198"/>
      <c r="AT240" s="1198"/>
      <c r="AU240" s="1198"/>
      <c r="AV240" s="1198"/>
      <c r="AW240" s="1198"/>
      <c r="AX240" s="1198"/>
      <c r="AY240" s="1198"/>
      <c r="AZ240" s="1198"/>
      <c r="BA240" s="1198"/>
      <c r="BB240" s="1198"/>
      <c r="BC240" s="1198"/>
      <c r="BD240" s="1198"/>
      <c r="BE240" s="1198"/>
      <c r="BF240" s="1198"/>
      <c r="BG240" s="1198"/>
      <c r="BH240" s="1198"/>
      <c r="BI240" s="1198"/>
      <c r="BJ240" s="1198"/>
      <c r="BK240" s="1198"/>
      <c r="BL240" s="1198"/>
      <c r="BM240" s="1198"/>
      <c r="BN240" s="1198"/>
      <c r="BO240" s="1198"/>
      <c r="BP240" s="1198"/>
      <c r="BQ240" s="1360"/>
      <c r="BR240" s="1198"/>
      <c r="BS240" s="1198"/>
      <c r="BT240" s="1198"/>
      <c r="BU240" s="1360"/>
      <c r="BV240" s="1198"/>
      <c r="BW240" s="1198"/>
      <c r="BX240" s="1198"/>
      <c r="BY240" s="1360"/>
      <c r="BZ240" s="1198"/>
      <c r="CA240" s="1198"/>
      <c r="CB240" s="1198"/>
      <c r="CC240" s="1198"/>
      <c r="CD240" s="1359"/>
      <c r="CE240" s="1198"/>
      <c r="CF240" s="1198"/>
      <c r="CG240" s="1198"/>
      <c r="CH240" s="1359"/>
      <c r="CI240" s="1198"/>
      <c r="CJ240" s="1198"/>
      <c r="CK240" s="1198"/>
      <c r="CL240" s="1359"/>
      <c r="CM240" s="1170"/>
      <c r="CN240" s="1170"/>
      <c r="CO240" s="1170"/>
      <c r="CP240" s="1170"/>
      <c r="CQ240" s="1170"/>
      <c r="CR240" s="1170"/>
      <c r="CS240" s="1170"/>
      <c r="CT240" s="1198"/>
      <c r="CU240" s="1198"/>
    </row>
    <row r="241" spans="1:99" ht="12.75" customHeight="1">
      <c r="A241" s="1569" t="s">
        <v>607</v>
      </c>
      <c r="B241" s="1569"/>
      <c r="C241" s="1569"/>
      <c r="D241" s="1569"/>
      <c r="E241" s="1569"/>
      <c r="F241" s="1569"/>
      <c r="G241" s="1569"/>
      <c r="H241" s="1569"/>
      <c r="I241" s="1569"/>
      <c r="J241" s="1569"/>
      <c r="K241" s="1569"/>
      <c r="L241" s="1569"/>
      <c r="M241" s="1569"/>
      <c r="N241" s="1569"/>
      <c r="O241" s="1569"/>
      <c r="P241" s="1569"/>
      <c r="Q241" s="1589"/>
      <c r="R241" s="1569"/>
      <c r="S241" s="1569"/>
      <c r="T241" s="1507"/>
      <c r="U241" s="1507"/>
      <c r="V241" s="1507"/>
      <c r="W241" s="1507"/>
      <c r="X241" s="1170"/>
      <c r="Y241" s="1170"/>
      <c r="Z241" s="1170"/>
      <c r="AA241" s="1170"/>
      <c r="AB241" s="1170"/>
      <c r="AC241" s="1170"/>
      <c r="AD241" s="1170"/>
      <c r="AE241" s="1170"/>
      <c r="AF241" s="1170"/>
      <c r="AG241" s="1170"/>
      <c r="AH241" s="1170"/>
      <c r="AI241" s="1170"/>
      <c r="AJ241" s="1170"/>
      <c r="AK241" s="1170"/>
      <c r="AL241" s="1170"/>
      <c r="AM241" s="1170"/>
      <c r="AN241" s="1170"/>
      <c r="AO241" s="1170"/>
      <c r="AP241" s="1170"/>
      <c r="AQ241" s="1170"/>
      <c r="AR241" s="1170"/>
      <c r="AS241" s="1170"/>
      <c r="AT241" s="1170"/>
      <c r="AU241" s="1170"/>
      <c r="AV241" s="1170"/>
      <c r="AW241" s="1170"/>
      <c r="AX241" s="1170"/>
      <c r="AY241" s="1170"/>
      <c r="AZ241" s="1170"/>
      <c r="BA241" s="1170"/>
      <c r="BB241" s="1170"/>
      <c r="BC241" s="1170"/>
      <c r="BD241" s="1170"/>
      <c r="BE241" s="1170"/>
      <c r="BF241" s="1170"/>
      <c r="BG241" s="1170"/>
      <c r="BH241" s="1170"/>
      <c r="BI241" s="1170"/>
      <c r="BJ241" s="1170"/>
      <c r="BK241" s="1170"/>
      <c r="BL241" s="1170"/>
      <c r="BM241" s="1170"/>
      <c r="BN241" s="1170"/>
      <c r="BO241" s="1170"/>
      <c r="BP241" s="1170"/>
      <c r="BQ241" s="1360"/>
      <c r="BR241" s="1170"/>
      <c r="BS241" s="1170"/>
      <c r="BT241" s="1170"/>
      <c r="BU241" s="1360"/>
      <c r="BV241" s="1170"/>
      <c r="BW241" s="1170"/>
      <c r="BX241" s="1170"/>
      <c r="BY241" s="1360"/>
      <c r="BZ241" s="1590"/>
      <c r="CA241" s="1569"/>
      <c r="CB241" s="1569"/>
      <c r="CC241" s="1569"/>
      <c r="CD241" s="1589"/>
      <c r="CE241" s="1569"/>
      <c r="CF241" s="1569"/>
      <c r="CG241" s="1569"/>
      <c r="CH241" s="1589"/>
      <c r="CI241" s="1569"/>
      <c r="CJ241" s="1569"/>
      <c r="CK241" s="1569"/>
      <c r="CL241" s="1589"/>
      <c r="CM241" s="1170"/>
      <c r="CN241" s="1170"/>
      <c r="CO241" s="1170"/>
      <c r="CP241" s="1170"/>
      <c r="CQ241" s="1170"/>
      <c r="CR241" s="1170"/>
      <c r="CS241" s="1170"/>
      <c r="CT241" s="1198"/>
      <c r="CU241" s="1198"/>
    </row>
    <row r="242" spans="1:99" ht="12.75" customHeight="1">
      <c r="A242" s="1575" t="s">
        <v>608</v>
      </c>
      <c r="B242" s="1591"/>
      <c r="C242" s="1591"/>
      <c r="D242" s="1591"/>
      <c r="E242" s="1591"/>
      <c r="F242" s="1591"/>
      <c r="G242" s="1591"/>
      <c r="H242" s="1591"/>
      <c r="I242" s="1591"/>
      <c r="J242" s="1591"/>
      <c r="K242" s="1591"/>
      <c r="L242" s="1591"/>
      <c r="M242" s="1591"/>
      <c r="N242" s="1591"/>
      <c r="O242" s="1591"/>
      <c r="P242" s="1591"/>
      <c r="Q242" s="1594"/>
      <c r="R242" s="1591"/>
      <c r="S242" s="1591"/>
      <c r="T242" s="1507"/>
      <c r="U242" s="1507"/>
      <c r="V242" s="1507"/>
      <c r="W242" s="1507"/>
      <c r="X242" s="1170"/>
      <c r="Y242" s="1170"/>
      <c r="Z242" s="1170"/>
      <c r="AA242" s="1170"/>
      <c r="AB242" s="1170"/>
      <c r="AC242" s="1170"/>
      <c r="AD242" s="1170"/>
      <c r="AE242" s="1170"/>
      <c r="AF242" s="1170"/>
      <c r="AG242" s="1170"/>
      <c r="AH242" s="1170"/>
      <c r="AI242" s="1170"/>
      <c r="AJ242" s="1170"/>
      <c r="AK242" s="1170"/>
      <c r="AL242" s="1170"/>
      <c r="AM242" s="1170"/>
      <c r="AN242" s="1170"/>
      <c r="AO242" s="1170"/>
      <c r="AP242" s="1170"/>
      <c r="AQ242" s="1170"/>
      <c r="AR242" s="1170"/>
      <c r="AS242" s="1170"/>
      <c r="AT242" s="1170"/>
      <c r="AU242" s="1170"/>
      <c r="AV242" s="1170"/>
      <c r="AW242" s="1170"/>
      <c r="AX242" s="1170"/>
      <c r="AY242" s="1170"/>
      <c r="AZ242" s="1170"/>
      <c r="BA242" s="1170"/>
      <c r="BB242" s="1170"/>
      <c r="BC242" s="1170"/>
      <c r="BD242" s="1170"/>
      <c r="BE242" s="1170"/>
      <c r="BF242" s="1170"/>
      <c r="BG242" s="1170"/>
      <c r="BH242" s="1170"/>
      <c r="BI242" s="1170"/>
      <c r="BJ242" s="1170"/>
      <c r="BK242" s="1170"/>
      <c r="BL242" s="1170"/>
      <c r="BM242" s="1170"/>
      <c r="BN242" s="1170"/>
      <c r="BO242" s="1170"/>
      <c r="BP242" s="1170"/>
      <c r="BQ242" s="1360"/>
      <c r="BR242" s="1170"/>
      <c r="BS242" s="1170"/>
      <c r="BT242" s="1170"/>
      <c r="BU242" s="1360"/>
      <c r="BV242" s="1170"/>
      <c r="BW242" s="1170"/>
      <c r="BX242" s="1170"/>
      <c r="BY242" s="1360"/>
      <c r="BZ242" s="1593"/>
      <c r="CA242" s="1591"/>
      <c r="CB242" s="1591"/>
      <c r="CC242" s="1591"/>
      <c r="CD242" s="1594"/>
      <c r="CE242" s="1591"/>
      <c r="CF242" s="1591"/>
      <c r="CG242" s="1591"/>
      <c r="CH242" s="1594"/>
      <c r="CI242" s="1591"/>
      <c r="CJ242" s="1591"/>
      <c r="CK242" s="1591"/>
      <c r="CL242" s="1594"/>
      <c r="CM242" s="1170"/>
      <c r="CN242" s="1170"/>
      <c r="CO242" s="1170"/>
      <c r="CP242" s="1170"/>
      <c r="CQ242" s="1170"/>
      <c r="CR242" s="1170"/>
      <c r="CS242" s="1170"/>
      <c r="CT242" s="1198"/>
      <c r="CU242" s="1198"/>
    </row>
    <row r="243" spans="1:99" ht="12.75" customHeight="1">
      <c r="A243" s="1595" t="s">
        <v>475</v>
      </c>
      <c r="B243" s="1198"/>
      <c r="C243" s="1198"/>
      <c r="D243" s="1198"/>
      <c r="E243" s="1198"/>
      <c r="F243" s="1198"/>
      <c r="G243" s="1198"/>
      <c r="H243" s="1198"/>
      <c r="I243" s="1198"/>
      <c r="J243" s="1198"/>
      <c r="K243" s="1198"/>
      <c r="L243" s="1198"/>
      <c r="M243" s="1198"/>
      <c r="N243" s="1198"/>
      <c r="O243" s="1198"/>
      <c r="P243" s="1198"/>
      <c r="Q243" s="1426">
        <f>P245</f>
        <v>500</v>
      </c>
      <c r="R243" s="1307">
        <f>Q245</f>
        <v>500</v>
      </c>
      <c r="S243" s="1307">
        <f>R245</f>
        <v>500</v>
      </c>
      <c r="T243" s="1507"/>
      <c r="U243" s="1507"/>
      <c r="V243" s="1507"/>
      <c r="W243" s="1507"/>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70"/>
      <c r="BA243" s="1170"/>
      <c r="BB243" s="1170"/>
      <c r="BC243" s="1170"/>
      <c r="BD243" s="1170"/>
      <c r="BE243" s="1170"/>
      <c r="BF243" s="1170"/>
      <c r="BG243" s="1170"/>
      <c r="BH243" s="1170"/>
      <c r="BI243" s="1170"/>
      <c r="BJ243" s="1170"/>
      <c r="BK243" s="1170"/>
      <c r="BL243" s="1170"/>
      <c r="BM243" s="1170"/>
      <c r="BN243" s="1170"/>
      <c r="BO243" s="1170"/>
      <c r="BP243" s="1170"/>
      <c r="BQ243" s="1360"/>
      <c r="BR243" s="1170"/>
      <c r="BS243" s="1170"/>
      <c r="BT243" s="1170"/>
      <c r="BU243" s="1360"/>
      <c r="BV243" s="1170"/>
      <c r="BW243" s="1170"/>
      <c r="BX243" s="1170"/>
      <c r="BY243" s="1360"/>
      <c r="BZ243" s="1170"/>
      <c r="CA243" s="1198"/>
      <c r="CB243" s="1198"/>
      <c r="CC243" s="1198"/>
      <c r="CD243" s="1267">
        <f t="shared" ref="CD243:CK243" si="192">CC245</f>
        <v>500</v>
      </c>
      <c r="CE243" s="1226">
        <f t="shared" si="192"/>
        <v>500</v>
      </c>
      <c r="CF243" s="1226">
        <f t="shared" si="192"/>
        <v>500</v>
      </c>
      <c r="CG243" s="1226">
        <f t="shared" si="192"/>
        <v>500</v>
      </c>
      <c r="CH243" s="1267">
        <f t="shared" si="192"/>
        <v>500</v>
      </c>
      <c r="CI243" s="1226">
        <f t="shared" si="192"/>
        <v>500</v>
      </c>
      <c r="CJ243" s="1226">
        <f t="shared" si="192"/>
        <v>500</v>
      </c>
      <c r="CK243" s="1226">
        <f t="shared" si="192"/>
        <v>500</v>
      </c>
      <c r="CL243" s="1267">
        <f>CK245</f>
        <v>500</v>
      </c>
      <c r="CM243" s="1170"/>
      <c r="CN243" s="1170"/>
      <c r="CO243" s="1170"/>
      <c r="CP243" s="1170"/>
      <c r="CQ243" s="1170"/>
      <c r="CR243" s="1170"/>
      <c r="CS243" s="1170"/>
      <c r="CT243" s="1198"/>
      <c r="CU243" s="1198"/>
    </row>
    <row r="244" spans="1:99" ht="12.75" customHeight="1">
      <c r="A244" s="1595" t="s">
        <v>593</v>
      </c>
      <c r="B244" s="1198"/>
      <c r="C244" s="1198"/>
      <c r="D244" s="1198"/>
      <c r="E244" s="1198"/>
      <c r="F244" s="1198"/>
      <c r="G244" s="1198"/>
      <c r="H244" s="1198"/>
      <c r="I244" s="1198"/>
      <c r="J244" s="1198"/>
      <c r="K244" s="1198"/>
      <c r="L244" s="1198"/>
      <c r="M244" s="1198"/>
      <c r="N244" s="1198"/>
      <c r="O244" s="1198"/>
      <c r="P244" s="1198"/>
      <c r="Q244" s="1596">
        <f>+SUM(CD244:CG244)</f>
        <v>0</v>
      </c>
      <c r="R244" s="1453">
        <f>+SUM(CH244:CK244)</f>
        <v>0</v>
      </c>
      <c r="S244" s="1427"/>
      <c r="T244" s="1507"/>
      <c r="U244" s="1507"/>
      <c r="V244" s="1507"/>
      <c r="W244" s="1507"/>
      <c r="X244" s="1170"/>
      <c r="Y244" s="1170"/>
      <c r="Z244" s="1170"/>
      <c r="AA244" s="1170"/>
      <c r="AB244" s="1170"/>
      <c r="AC244" s="1170"/>
      <c r="AD244" s="1170"/>
      <c r="AE244" s="1170"/>
      <c r="AF244" s="1170"/>
      <c r="AG244" s="1170"/>
      <c r="AH244" s="1170"/>
      <c r="AI244" s="1170"/>
      <c r="AJ244" s="1170"/>
      <c r="AK244" s="1170"/>
      <c r="AL244" s="1170"/>
      <c r="AM244" s="1170"/>
      <c r="AN244" s="1170"/>
      <c r="AO244" s="1170"/>
      <c r="AP244" s="1170"/>
      <c r="AQ244" s="1170"/>
      <c r="AR244" s="1170"/>
      <c r="AS244" s="1170"/>
      <c r="AT244" s="1170"/>
      <c r="AU244" s="1170"/>
      <c r="AV244" s="1170"/>
      <c r="AW244" s="1170"/>
      <c r="AX244" s="1170"/>
      <c r="AY244" s="1170"/>
      <c r="AZ244" s="1170"/>
      <c r="BA244" s="1170"/>
      <c r="BB244" s="1170"/>
      <c r="BC244" s="1170"/>
      <c r="BD244" s="1170"/>
      <c r="BE244" s="1170"/>
      <c r="BF244" s="1170"/>
      <c r="BG244" s="1170"/>
      <c r="BH244" s="1170"/>
      <c r="BI244" s="1170"/>
      <c r="BJ244" s="1170"/>
      <c r="BK244" s="1170"/>
      <c r="BL244" s="1170"/>
      <c r="BM244" s="1170"/>
      <c r="BN244" s="1170"/>
      <c r="BO244" s="1170"/>
      <c r="BP244" s="1170"/>
      <c r="BQ244" s="1360"/>
      <c r="BR244" s="1170"/>
      <c r="BS244" s="1170"/>
      <c r="BT244" s="1170"/>
      <c r="BU244" s="1360"/>
      <c r="BV244" s="1170"/>
      <c r="BW244" s="1170"/>
      <c r="BX244" s="1170"/>
      <c r="BY244" s="1360"/>
      <c r="BZ244" s="1170"/>
      <c r="CA244" s="1198"/>
      <c r="CB244" s="1198"/>
      <c r="CC244" s="1198"/>
      <c r="CD244" s="1359"/>
      <c r="CE244" s="1198"/>
      <c r="CF244" s="1602"/>
      <c r="CG244" s="1198"/>
      <c r="CH244" s="1359"/>
      <c r="CI244" s="1598">
        <f>+CI243-CI245</f>
        <v>0</v>
      </c>
      <c r="CJ244" s="1198"/>
      <c r="CK244" s="1198"/>
      <c r="CL244" s="1359"/>
      <c r="CM244" s="1170"/>
      <c r="CN244" s="1170"/>
      <c r="CO244" s="1170"/>
      <c r="CP244" s="1170"/>
      <c r="CQ244" s="1170"/>
      <c r="CR244" s="1170"/>
      <c r="CS244" s="1170"/>
      <c r="CT244" s="1198"/>
      <c r="CU244" s="1198"/>
    </row>
    <row r="245" spans="1:99" ht="12.75" customHeight="1">
      <c r="A245" s="1595" t="s">
        <v>476</v>
      </c>
      <c r="B245" s="1198"/>
      <c r="C245" s="1198"/>
      <c r="D245" s="1198"/>
      <c r="E245" s="1198"/>
      <c r="F245" s="1198"/>
      <c r="G245" s="1198"/>
      <c r="H245" s="1198"/>
      <c r="I245" s="1198"/>
      <c r="J245" s="1198"/>
      <c r="K245" s="1198"/>
      <c r="L245" s="1198"/>
      <c r="M245" s="1198"/>
      <c r="N245" s="1198"/>
      <c r="O245" s="1198"/>
      <c r="P245" s="1307">
        <v>500</v>
      </c>
      <c r="Q245" s="1218">
        <f>+CG245</f>
        <v>500</v>
      </c>
      <c r="R245" s="1226">
        <f>+CK245</f>
        <v>500</v>
      </c>
      <c r="S245" s="1307">
        <f>S244+S243</f>
        <v>500</v>
      </c>
      <c r="T245" s="1507"/>
      <c r="U245" s="1507"/>
      <c r="V245" s="1507"/>
      <c r="W245" s="1507"/>
      <c r="X245" s="1170"/>
      <c r="Y245" s="1170"/>
      <c r="Z245" s="1170"/>
      <c r="AA245" s="1170"/>
      <c r="AB245" s="1170"/>
      <c r="AC245" s="1170"/>
      <c r="AD245" s="1170"/>
      <c r="AE245" s="1170"/>
      <c r="AF245" s="1170"/>
      <c r="AG245" s="1170"/>
      <c r="AH245" s="1170"/>
      <c r="AI245" s="1170"/>
      <c r="AJ245" s="1170"/>
      <c r="AK245" s="1170"/>
      <c r="AL245" s="1170"/>
      <c r="AM245" s="1170"/>
      <c r="AN245" s="1170"/>
      <c r="AO245" s="1170"/>
      <c r="AP245" s="1170"/>
      <c r="AQ245" s="1170"/>
      <c r="AR245" s="1170"/>
      <c r="AS245" s="1170"/>
      <c r="AT245" s="1170"/>
      <c r="AU245" s="1170"/>
      <c r="AV245" s="1170"/>
      <c r="AW245" s="1170"/>
      <c r="AX245" s="1170"/>
      <c r="AY245" s="1170"/>
      <c r="AZ245" s="1170"/>
      <c r="BA245" s="1170"/>
      <c r="BB245" s="1170"/>
      <c r="BC245" s="1170"/>
      <c r="BD245" s="1170"/>
      <c r="BE245" s="1170"/>
      <c r="BF245" s="1170"/>
      <c r="BG245" s="1170"/>
      <c r="BH245" s="1170"/>
      <c r="BI245" s="1170"/>
      <c r="BJ245" s="1170"/>
      <c r="BK245" s="1170"/>
      <c r="BL245" s="1170"/>
      <c r="BM245" s="1170"/>
      <c r="BN245" s="1170"/>
      <c r="BO245" s="1170"/>
      <c r="BP245" s="1170"/>
      <c r="BQ245" s="1360"/>
      <c r="BR245" s="1170"/>
      <c r="BS245" s="1170"/>
      <c r="BT245" s="1170"/>
      <c r="BU245" s="1360"/>
      <c r="BV245" s="1170"/>
      <c r="BW245" s="1170"/>
      <c r="BX245" s="1170"/>
      <c r="BY245" s="1360"/>
      <c r="BZ245" s="1170"/>
      <c r="CA245" s="1198"/>
      <c r="CB245" s="1198"/>
      <c r="CC245" s="1226">
        <f>P245</f>
        <v>500</v>
      </c>
      <c r="CD245" s="1267">
        <f t="shared" ref="CD245:CK245" si="193">SUM(CD243:CD244)</f>
        <v>500</v>
      </c>
      <c r="CE245" s="1226">
        <f t="shared" si="193"/>
        <v>500</v>
      </c>
      <c r="CF245" s="1226">
        <f t="shared" si="193"/>
        <v>500</v>
      </c>
      <c r="CG245" s="1226">
        <f t="shared" si="193"/>
        <v>500</v>
      </c>
      <c r="CH245" s="1267">
        <f t="shared" si="193"/>
        <v>500</v>
      </c>
      <c r="CI245" s="1603">
        <v>500</v>
      </c>
      <c r="CJ245" s="1226">
        <f t="shared" si="193"/>
        <v>500</v>
      </c>
      <c r="CK245" s="1226">
        <f t="shared" si="193"/>
        <v>500</v>
      </c>
      <c r="CL245" s="1267">
        <f>SUM(CL243:CL244)</f>
        <v>500</v>
      </c>
      <c r="CM245" s="1170"/>
      <c r="CN245" s="1170"/>
      <c r="CO245" s="1170"/>
      <c r="CP245" s="1170"/>
      <c r="CQ245" s="1170"/>
      <c r="CR245" s="1170"/>
      <c r="CS245" s="1170"/>
      <c r="CT245" s="1198"/>
      <c r="CU245" s="1198"/>
    </row>
    <row r="246" spans="1:99" ht="12.75" customHeight="1">
      <c r="A246" s="1198"/>
      <c r="B246" s="1198"/>
      <c r="C246" s="1198"/>
      <c r="D246" s="1198"/>
      <c r="E246" s="1198"/>
      <c r="F246" s="1198"/>
      <c r="G246" s="1198"/>
      <c r="H246" s="1198"/>
      <c r="I246" s="1198"/>
      <c r="J246" s="1198"/>
      <c r="K246" s="1198"/>
      <c r="L246" s="1198"/>
      <c r="M246" s="1198"/>
      <c r="N246" s="1198"/>
      <c r="O246" s="1198"/>
      <c r="P246" s="1198"/>
      <c r="Q246" s="1359"/>
      <c r="R246" s="1198"/>
      <c r="S246" s="1198"/>
      <c r="T246" s="1507"/>
      <c r="U246" s="1507"/>
      <c r="V246" s="1507"/>
      <c r="W246" s="1507"/>
      <c r="X246" s="1170"/>
      <c r="Y246" s="1170"/>
      <c r="Z246" s="1170"/>
      <c r="AA246" s="1170"/>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360"/>
      <c r="BR246" s="1198"/>
      <c r="BS246" s="1198"/>
      <c r="BT246" s="1198"/>
      <c r="BU246" s="1360"/>
      <c r="BV246" s="1198"/>
      <c r="BW246" s="1198"/>
      <c r="BX246" s="1198"/>
      <c r="BY246" s="1360"/>
      <c r="BZ246" s="1198"/>
      <c r="CA246" s="1198"/>
      <c r="CB246" s="1198"/>
      <c r="CC246" s="1198"/>
      <c r="CD246" s="1359"/>
      <c r="CE246" s="1198"/>
      <c r="CF246" s="1198"/>
      <c r="CG246" s="1198"/>
      <c r="CH246" s="1359"/>
      <c r="CI246" s="1198"/>
      <c r="CJ246" s="1198"/>
      <c r="CK246" s="1198"/>
      <c r="CL246" s="1359"/>
      <c r="CM246" s="1170"/>
      <c r="CN246" s="1170"/>
      <c r="CO246" s="1170"/>
      <c r="CP246" s="1170"/>
      <c r="CQ246" s="1170"/>
      <c r="CR246" s="1170"/>
      <c r="CS246" s="1170"/>
      <c r="CT246" s="1198"/>
      <c r="CU246" s="1198"/>
    </row>
    <row r="247" spans="1:99" ht="12.75" customHeight="1">
      <c r="A247" s="1575" t="s">
        <v>609</v>
      </c>
      <c r="B247" s="1591"/>
      <c r="C247" s="1591"/>
      <c r="D247" s="1591"/>
      <c r="E247" s="1591"/>
      <c r="F247" s="1591"/>
      <c r="G247" s="1591"/>
      <c r="H247" s="1591"/>
      <c r="I247" s="1591"/>
      <c r="J247" s="1591"/>
      <c r="K247" s="1591"/>
      <c r="L247" s="1591"/>
      <c r="M247" s="1591"/>
      <c r="N247" s="1591"/>
      <c r="O247" s="1591"/>
      <c r="P247" s="1591"/>
      <c r="Q247" s="1594"/>
      <c r="R247" s="1591"/>
      <c r="S247" s="1591"/>
      <c r="T247" s="1507"/>
      <c r="U247" s="1507"/>
      <c r="V247" s="1507"/>
      <c r="W247" s="1507"/>
      <c r="X247" s="1170"/>
      <c r="Y247" s="1170"/>
      <c r="Z247" s="1170"/>
      <c r="AA247" s="1170"/>
      <c r="AB247" s="1170"/>
      <c r="AC247" s="1170"/>
      <c r="AD247" s="1170"/>
      <c r="AE247" s="1170"/>
      <c r="AF247" s="1170"/>
      <c r="AG247" s="1170"/>
      <c r="AH247" s="1170"/>
      <c r="AI247" s="1170"/>
      <c r="AJ247" s="1170"/>
      <c r="AK247" s="1170"/>
      <c r="AL247" s="1170"/>
      <c r="AM247" s="1170"/>
      <c r="AN247" s="1170"/>
      <c r="AO247" s="1170"/>
      <c r="AP247" s="1170"/>
      <c r="AQ247" s="1170"/>
      <c r="AR247" s="1170"/>
      <c r="AS247" s="1170"/>
      <c r="AT247" s="1170"/>
      <c r="AU247" s="1170"/>
      <c r="AV247" s="1170"/>
      <c r="AW247" s="1170"/>
      <c r="AX247" s="1170"/>
      <c r="AY247" s="1170"/>
      <c r="AZ247" s="1170"/>
      <c r="BA247" s="1170"/>
      <c r="BB247" s="1170"/>
      <c r="BC247" s="1170"/>
      <c r="BD247" s="1170"/>
      <c r="BE247" s="1170"/>
      <c r="BF247" s="1170"/>
      <c r="BG247" s="1170"/>
      <c r="BH247" s="1170"/>
      <c r="BI247" s="1170"/>
      <c r="BJ247" s="1170"/>
      <c r="BK247" s="1170"/>
      <c r="BL247" s="1170"/>
      <c r="BM247" s="1170"/>
      <c r="BN247" s="1170"/>
      <c r="BO247" s="1170"/>
      <c r="BP247" s="1170"/>
      <c r="BQ247" s="1360"/>
      <c r="BR247" s="1170"/>
      <c r="BS247" s="1170"/>
      <c r="BT247" s="1170"/>
      <c r="BU247" s="1360"/>
      <c r="BV247" s="1170"/>
      <c r="BW247" s="1170"/>
      <c r="BX247" s="1170"/>
      <c r="BY247" s="1360"/>
      <c r="BZ247" s="1593"/>
      <c r="CA247" s="1591"/>
      <c r="CB247" s="1591"/>
      <c r="CC247" s="1591"/>
      <c r="CD247" s="1594"/>
      <c r="CE247" s="1591"/>
      <c r="CF247" s="1591"/>
      <c r="CG247" s="1591"/>
      <c r="CH247" s="1594"/>
      <c r="CI247" s="1591"/>
      <c r="CJ247" s="1591"/>
      <c r="CK247" s="1591"/>
      <c r="CL247" s="1594"/>
      <c r="CM247" s="1170"/>
      <c r="CN247" s="1170"/>
      <c r="CO247" s="1170"/>
      <c r="CP247" s="1170"/>
      <c r="CQ247" s="1170"/>
      <c r="CR247" s="1170"/>
      <c r="CS247" s="1170"/>
      <c r="CT247" s="1198"/>
      <c r="CU247" s="1198"/>
    </row>
    <row r="248" spans="1:99" ht="12.75" customHeight="1">
      <c r="A248" s="1595" t="s">
        <v>475</v>
      </c>
      <c r="B248" s="1198"/>
      <c r="C248" s="1198"/>
      <c r="D248" s="1198"/>
      <c r="E248" s="1198"/>
      <c r="F248" s="1198"/>
      <c r="G248" s="1198"/>
      <c r="H248" s="1198"/>
      <c r="I248" s="1198"/>
      <c r="J248" s="1198"/>
      <c r="K248" s="1198"/>
      <c r="L248" s="1198"/>
      <c r="M248" s="1198"/>
      <c r="N248" s="1198"/>
      <c r="O248" s="1198"/>
      <c r="P248" s="1198"/>
      <c r="Q248" s="1426">
        <f>P250</f>
        <v>825</v>
      </c>
      <c r="R248" s="1307">
        <f>Q250</f>
        <v>825</v>
      </c>
      <c r="S248" s="1307">
        <f>R250</f>
        <v>825</v>
      </c>
      <c r="T248" s="1507"/>
      <c r="U248" s="1507"/>
      <c r="V248" s="1507"/>
      <c r="W248" s="1507"/>
      <c r="X248" s="1170"/>
      <c r="Y248" s="1170"/>
      <c r="Z248" s="1170"/>
      <c r="AA248" s="1170"/>
      <c r="AB248" s="1170"/>
      <c r="AC248" s="1170"/>
      <c r="AD248" s="1170"/>
      <c r="AE248" s="1170"/>
      <c r="AF248" s="1170"/>
      <c r="AG248" s="1170"/>
      <c r="AH248" s="1170"/>
      <c r="AI248" s="1170"/>
      <c r="AJ248" s="1170"/>
      <c r="AK248" s="1170"/>
      <c r="AL248" s="1170"/>
      <c r="AM248" s="1170"/>
      <c r="AN248" s="1170"/>
      <c r="AO248" s="1170"/>
      <c r="AP248" s="1170"/>
      <c r="AQ248" s="1170"/>
      <c r="AR248" s="1170"/>
      <c r="AS248" s="1170"/>
      <c r="AT248" s="1170"/>
      <c r="AU248" s="1170"/>
      <c r="AV248" s="1170"/>
      <c r="AW248" s="1170"/>
      <c r="AX248" s="1170"/>
      <c r="AY248" s="1170"/>
      <c r="AZ248" s="1170"/>
      <c r="BA248" s="1170"/>
      <c r="BB248" s="1170"/>
      <c r="BC248" s="1170"/>
      <c r="BD248" s="1170"/>
      <c r="BE248" s="1170"/>
      <c r="BF248" s="1170"/>
      <c r="BG248" s="1170"/>
      <c r="BH248" s="1170"/>
      <c r="BI248" s="1170"/>
      <c r="BJ248" s="1170"/>
      <c r="BK248" s="1170"/>
      <c r="BL248" s="1170"/>
      <c r="BM248" s="1170"/>
      <c r="BN248" s="1170"/>
      <c r="BO248" s="1170"/>
      <c r="BP248" s="1170"/>
      <c r="BQ248" s="1360"/>
      <c r="BR248" s="1170"/>
      <c r="BS248" s="1170"/>
      <c r="BT248" s="1170"/>
      <c r="BU248" s="1360"/>
      <c r="BV248" s="1170"/>
      <c r="BW248" s="1170"/>
      <c r="BX248" s="1170"/>
      <c r="BY248" s="1360"/>
      <c r="BZ248" s="1170"/>
      <c r="CA248" s="1198"/>
      <c r="CB248" s="1198"/>
      <c r="CC248" s="1198"/>
      <c r="CD248" s="1267">
        <f t="shared" ref="CD248:CK248" si="194">CC250</f>
        <v>825</v>
      </c>
      <c r="CE248" s="1226">
        <f t="shared" si="194"/>
        <v>825</v>
      </c>
      <c r="CF248" s="1226">
        <f t="shared" si="194"/>
        <v>825</v>
      </c>
      <c r="CG248" s="1226">
        <f t="shared" si="194"/>
        <v>825</v>
      </c>
      <c r="CH248" s="1267">
        <f t="shared" si="194"/>
        <v>825</v>
      </c>
      <c r="CI248" s="1226">
        <f t="shared" si="194"/>
        <v>825</v>
      </c>
      <c r="CJ248" s="1226">
        <f t="shared" si="194"/>
        <v>825</v>
      </c>
      <c r="CK248" s="1226">
        <f t="shared" si="194"/>
        <v>825</v>
      </c>
      <c r="CL248" s="1267">
        <f>CK250</f>
        <v>825</v>
      </c>
      <c r="CM248" s="1170"/>
      <c r="CN248" s="1170"/>
      <c r="CO248" s="1170"/>
      <c r="CP248" s="1170"/>
      <c r="CQ248" s="1170"/>
      <c r="CR248" s="1170"/>
      <c r="CS248" s="1170"/>
      <c r="CT248" s="1198"/>
      <c r="CU248" s="1198"/>
    </row>
    <row r="249" spans="1:99" ht="12.75" customHeight="1">
      <c r="A249" s="1595" t="s">
        <v>593</v>
      </c>
      <c r="B249" s="1198"/>
      <c r="C249" s="1198"/>
      <c r="D249" s="1198"/>
      <c r="E249" s="1198"/>
      <c r="F249" s="1198"/>
      <c r="G249" s="1198"/>
      <c r="H249" s="1198"/>
      <c r="I249" s="1198"/>
      <c r="J249" s="1198"/>
      <c r="K249" s="1198"/>
      <c r="L249" s="1198"/>
      <c r="M249" s="1198"/>
      <c r="N249" s="1198"/>
      <c r="O249" s="1198"/>
      <c r="P249" s="1198"/>
      <c r="Q249" s="1596">
        <f>+SUM(CD249:CG249)</f>
        <v>0</v>
      </c>
      <c r="R249" s="1453">
        <f>+SUM(CH249:CK249)</f>
        <v>0</v>
      </c>
      <c r="S249" s="1598">
        <f>S250-S248</f>
        <v>0</v>
      </c>
      <c r="T249" s="1507"/>
      <c r="U249" s="1507"/>
      <c r="V249" s="1507"/>
      <c r="W249" s="1507"/>
      <c r="X249" s="1170"/>
      <c r="Y249" s="1170"/>
      <c r="Z249" s="1170"/>
      <c r="AA249" s="1170"/>
      <c r="AB249" s="1170"/>
      <c r="AC249" s="1170"/>
      <c r="AD249" s="1170"/>
      <c r="AE249" s="1170"/>
      <c r="AF249" s="1170"/>
      <c r="AG249" s="1170"/>
      <c r="AH249" s="1170"/>
      <c r="AI249" s="1170"/>
      <c r="AJ249" s="1170"/>
      <c r="AK249" s="1170"/>
      <c r="AL249" s="1170"/>
      <c r="AM249" s="1170"/>
      <c r="AN249" s="1170"/>
      <c r="AO249" s="1170"/>
      <c r="AP249" s="1170"/>
      <c r="AQ249" s="1170"/>
      <c r="AR249" s="1170"/>
      <c r="AS249" s="1170"/>
      <c r="AT249" s="1170"/>
      <c r="AU249" s="1170"/>
      <c r="AV249" s="1170"/>
      <c r="AW249" s="1170"/>
      <c r="AX249" s="1170"/>
      <c r="AY249" s="1170"/>
      <c r="AZ249" s="1170"/>
      <c r="BA249" s="1170"/>
      <c r="BB249" s="1170"/>
      <c r="BC249" s="1170"/>
      <c r="BD249" s="1170"/>
      <c r="BE249" s="1170"/>
      <c r="BF249" s="1170"/>
      <c r="BG249" s="1170"/>
      <c r="BH249" s="1170"/>
      <c r="BI249" s="1170"/>
      <c r="BJ249" s="1170"/>
      <c r="BK249" s="1170"/>
      <c r="BL249" s="1170"/>
      <c r="BM249" s="1170"/>
      <c r="BN249" s="1170"/>
      <c r="BO249" s="1170"/>
      <c r="BP249" s="1170"/>
      <c r="BQ249" s="1360"/>
      <c r="BR249" s="1170"/>
      <c r="BS249" s="1170"/>
      <c r="BT249" s="1170"/>
      <c r="BU249" s="1360"/>
      <c r="BV249" s="1170"/>
      <c r="BW249" s="1170"/>
      <c r="BX249" s="1170"/>
      <c r="BY249" s="1360"/>
      <c r="BZ249" s="1170"/>
      <c r="CA249" s="1198"/>
      <c r="CB249" s="1198"/>
      <c r="CC249" s="1198"/>
      <c r="CD249" s="1359"/>
      <c r="CE249" s="1198"/>
      <c r="CF249" s="1602"/>
      <c r="CG249" s="1198"/>
      <c r="CH249" s="1359"/>
      <c r="CI249" s="1198"/>
      <c r="CJ249" s="1198"/>
      <c r="CK249" s="1198"/>
      <c r="CL249" s="1359"/>
      <c r="CM249" s="1170"/>
      <c r="CN249" s="1170"/>
      <c r="CO249" s="1170"/>
      <c r="CP249" s="1170"/>
      <c r="CQ249" s="1170"/>
      <c r="CR249" s="1170"/>
      <c r="CS249" s="1170"/>
      <c r="CT249" s="1198"/>
      <c r="CU249" s="1198"/>
    </row>
    <row r="250" spans="1:99" ht="12.75" customHeight="1">
      <c r="A250" s="1595" t="s">
        <v>476</v>
      </c>
      <c r="B250" s="1198"/>
      <c r="C250" s="1198"/>
      <c r="D250" s="1198"/>
      <c r="E250" s="1198"/>
      <c r="F250" s="1198"/>
      <c r="G250" s="1198"/>
      <c r="H250" s="1198"/>
      <c r="I250" s="1198"/>
      <c r="J250" s="1198"/>
      <c r="K250" s="1198"/>
      <c r="L250" s="1198"/>
      <c r="M250" s="1198"/>
      <c r="N250" s="1198"/>
      <c r="O250" s="1198"/>
      <c r="P250" s="1307">
        <v>825</v>
      </c>
      <c r="Q250" s="1218">
        <f>+CG250</f>
        <v>825</v>
      </c>
      <c r="R250" s="1226">
        <f>+CK250</f>
        <v>825</v>
      </c>
      <c r="S250" s="1603">
        <v>825</v>
      </c>
      <c r="T250" s="1507"/>
      <c r="U250" s="1507"/>
      <c r="V250" s="1507"/>
      <c r="W250" s="1507"/>
      <c r="X250" s="1170"/>
      <c r="Y250" s="1170"/>
      <c r="Z250" s="1170"/>
      <c r="AA250" s="1170"/>
      <c r="AB250" s="1170"/>
      <c r="AC250" s="1170"/>
      <c r="AD250" s="1170"/>
      <c r="AE250" s="1170"/>
      <c r="AF250" s="1170"/>
      <c r="AG250" s="1170"/>
      <c r="AH250" s="1170"/>
      <c r="AI250" s="1170"/>
      <c r="AJ250" s="1170"/>
      <c r="AK250" s="1170"/>
      <c r="AL250" s="1170"/>
      <c r="AM250" s="1170"/>
      <c r="AN250" s="1170"/>
      <c r="AO250" s="1170"/>
      <c r="AP250" s="1170"/>
      <c r="AQ250" s="1170"/>
      <c r="AR250" s="1170"/>
      <c r="AS250" s="1170"/>
      <c r="AT250" s="1170"/>
      <c r="AU250" s="1170"/>
      <c r="AV250" s="1170"/>
      <c r="AW250" s="1170"/>
      <c r="AX250" s="1170"/>
      <c r="AY250" s="1170"/>
      <c r="AZ250" s="1170"/>
      <c r="BA250" s="1170"/>
      <c r="BB250" s="1170"/>
      <c r="BC250" s="1170"/>
      <c r="BD250" s="1170"/>
      <c r="BE250" s="1170"/>
      <c r="BF250" s="1170"/>
      <c r="BG250" s="1170"/>
      <c r="BH250" s="1170"/>
      <c r="BI250" s="1170"/>
      <c r="BJ250" s="1170"/>
      <c r="BK250" s="1170"/>
      <c r="BL250" s="1170"/>
      <c r="BM250" s="1170"/>
      <c r="BN250" s="1170"/>
      <c r="BO250" s="1170"/>
      <c r="BP250" s="1170"/>
      <c r="BQ250" s="1360"/>
      <c r="BR250" s="1170"/>
      <c r="BS250" s="1170"/>
      <c r="BT250" s="1170"/>
      <c r="BU250" s="1360"/>
      <c r="BV250" s="1170"/>
      <c r="BW250" s="1170"/>
      <c r="BX250" s="1170"/>
      <c r="BY250" s="1360"/>
      <c r="BZ250" s="1170"/>
      <c r="CA250" s="1198"/>
      <c r="CB250" s="1198"/>
      <c r="CC250" s="1226">
        <f>P250</f>
        <v>825</v>
      </c>
      <c r="CD250" s="1267">
        <f t="shared" ref="CD250:CK250" si="195">SUM(CD248:CD249)</f>
        <v>825</v>
      </c>
      <c r="CE250" s="1226">
        <f t="shared" si="195"/>
        <v>825</v>
      </c>
      <c r="CF250" s="1226">
        <f t="shared" si="195"/>
        <v>825</v>
      </c>
      <c r="CG250" s="1226">
        <f t="shared" si="195"/>
        <v>825</v>
      </c>
      <c r="CH250" s="1267">
        <f t="shared" si="195"/>
        <v>825</v>
      </c>
      <c r="CI250" s="1226">
        <f t="shared" si="195"/>
        <v>825</v>
      </c>
      <c r="CJ250" s="1226">
        <f t="shared" si="195"/>
        <v>825</v>
      </c>
      <c r="CK250" s="1226">
        <f t="shared" si="195"/>
        <v>825</v>
      </c>
      <c r="CL250" s="1267">
        <f>SUM(CL248:CL249)</f>
        <v>825</v>
      </c>
      <c r="CM250" s="1170"/>
      <c r="CN250" s="1170"/>
      <c r="CO250" s="1170"/>
      <c r="CP250" s="1170"/>
      <c r="CQ250" s="1170"/>
      <c r="CR250" s="1170"/>
      <c r="CS250" s="1170"/>
      <c r="CT250" s="1198"/>
      <c r="CU250" s="1198"/>
    </row>
    <row r="251" spans="1:99" ht="12.75" customHeight="1">
      <c r="A251" s="1198"/>
      <c r="B251" s="1198"/>
      <c r="C251" s="1198"/>
      <c r="D251" s="1198"/>
      <c r="E251" s="1198"/>
      <c r="F251" s="1198"/>
      <c r="G251" s="1198"/>
      <c r="H251" s="1198"/>
      <c r="I251" s="1198"/>
      <c r="J251" s="1198"/>
      <c r="K251" s="1198"/>
      <c r="L251" s="1198"/>
      <c r="M251" s="1198"/>
      <c r="N251" s="1198"/>
      <c r="O251" s="1198"/>
      <c r="P251" s="1198"/>
      <c r="Q251" s="1359"/>
      <c r="R251" s="1198"/>
      <c r="S251" s="1198"/>
      <c r="T251" s="1507"/>
      <c r="U251" s="1507"/>
      <c r="V251" s="1507"/>
      <c r="W251" s="1507"/>
      <c r="X251" s="1170"/>
      <c r="Y251" s="1170"/>
      <c r="Z251" s="1170"/>
      <c r="AA251" s="1170"/>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360"/>
      <c r="BR251" s="1198"/>
      <c r="BS251" s="1198"/>
      <c r="BT251" s="1198"/>
      <c r="BU251" s="1360"/>
      <c r="BV251" s="1198"/>
      <c r="BW251" s="1198"/>
      <c r="BX251" s="1198"/>
      <c r="BY251" s="1360"/>
      <c r="BZ251" s="1198"/>
      <c r="CA251" s="1198"/>
      <c r="CB251" s="1198"/>
      <c r="CC251" s="1198"/>
      <c r="CD251" s="1359"/>
      <c r="CE251" s="1198"/>
      <c r="CF251" s="1198"/>
      <c r="CG251" s="1198"/>
      <c r="CH251" s="1359"/>
      <c r="CI251" s="1198"/>
      <c r="CJ251" s="1198"/>
      <c r="CK251" s="1198"/>
      <c r="CL251" s="1359"/>
      <c r="CM251" s="1170"/>
      <c r="CN251" s="1170"/>
      <c r="CO251" s="1170"/>
      <c r="CP251" s="1170"/>
      <c r="CQ251" s="1170"/>
      <c r="CR251" s="1170"/>
      <c r="CS251" s="1170"/>
      <c r="CT251" s="1198"/>
      <c r="CU251" s="1198"/>
    </row>
    <row r="252" spans="1:99" ht="12.75" customHeight="1">
      <c r="A252" s="1575" t="s">
        <v>610</v>
      </c>
      <c r="B252" s="1591"/>
      <c r="C252" s="1591"/>
      <c r="D252" s="1591"/>
      <c r="E252" s="1591"/>
      <c r="F252" s="1591"/>
      <c r="G252" s="1591"/>
      <c r="H252" s="1591"/>
      <c r="I252" s="1591"/>
      <c r="J252" s="1591"/>
      <c r="K252" s="1591"/>
      <c r="L252" s="1591"/>
      <c r="M252" s="1591"/>
      <c r="N252" s="1591"/>
      <c r="O252" s="1591"/>
      <c r="P252" s="1591"/>
      <c r="Q252" s="1594"/>
      <c r="R252" s="1591"/>
      <c r="S252" s="1591"/>
      <c r="T252" s="1507"/>
      <c r="U252" s="1507"/>
      <c r="V252" s="1507"/>
      <c r="W252" s="1507"/>
      <c r="X252" s="1170"/>
      <c r="Y252" s="1170"/>
      <c r="Z252" s="1170"/>
      <c r="AA252" s="1170"/>
      <c r="AB252" s="1170"/>
      <c r="AC252" s="1170"/>
      <c r="AD252" s="1170"/>
      <c r="AE252" s="1170"/>
      <c r="AF252" s="1170"/>
      <c r="AG252" s="1170"/>
      <c r="AH252" s="1170"/>
      <c r="AI252" s="1170"/>
      <c r="AJ252" s="1170"/>
      <c r="AK252" s="1170"/>
      <c r="AL252" s="1170"/>
      <c r="AM252" s="1170"/>
      <c r="AN252" s="1170"/>
      <c r="AO252" s="1170"/>
      <c r="AP252" s="1170"/>
      <c r="AQ252" s="1170"/>
      <c r="AR252" s="1170"/>
      <c r="AS252" s="1170"/>
      <c r="AT252" s="1170"/>
      <c r="AU252" s="1170"/>
      <c r="AV252" s="1170"/>
      <c r="AW252" s="1170"/>
      <c r="AX252" s="1170"/>
      <c r="AY252" s="1170"/>
      <c r="AZ252" s="1170"/>
      <c r="BA252" s="1170"/>
      <c r="BB252" s="1170"/>
      <c r="BC252" s="1170"/>
      <c r="BD252" s="1170"/>
      <c r="BE252" s="1170"/>
      <c r="BF252" s="1170"/>
      <c r="BG252" s="1170"/>
      <c r="BH252" s="1170"/>
      <c r="BI252" s="1170"/>
      <c r="BJ252" s="1170"/>
      <c r="BK252" s="1170"/>
      <c r="BL252" s="1170"/>
      <c r="BM252" s="1170"/>
      <c r="BN252" s="1170"/>
      <c r="BO252" s="1170"/>
      <c r="BP252" s="1170"/>
      <c r="BQ252" s="1360"/>
      <c r="BR252" s="1170"/>
      <c r="BS252" s="1170"/>
      <c r="BT252" s="1170"/>
      <c r="BU252" s="1360"/>
      <c r="BV252" s="1170"/>
      <c r="BW252" s="1170"/>
      <c r="BX252" s="1170"/>
      <c r="BY252" s="1360"/>
      <c r="BZ252" s="1593"/>
      <c r="CA252" s="1591"/>
      <c r="CB252" s="1591"/>
      <c r="CC252" s="1591"/>
      <c r="CD252" s="1594"/>
      <c r="CE252" s="1591"/>
      <c r="CF252" s="1591"/>
      <c r="CG252" s="1591"/>
      <c r="CH252" s="1594"/>
      <c r="CI252" s="1591"/>
      <c r="CJ252" s="1591"/>
      <c r="CK252" s="1591"/>
      <c r="CL252" s="1594"/>
      <c r="CM252" s="1170"/>
      <c r="CN252" s="1170"/>
      <c r="CO252" s="1170"/>
      <c r="CP252" s="1170"/>
      <c r="CQ252" s="1170"/>
      <c r="CR252" s="1170"/>
      <c r="CS252" s="1170"/>
      <c r="CT252" s="1198"/>
      <c r="CU252" s="1198"/>
    </row>
    <row r="253" spans="1:99" ht="12.75" customHeight="1">
      <c r="A253" s="1595" t="s">
        <v>475</v>
      </c>
      <c r="B253" s="1198"/>
      <c r="C253" s="1198"/>
      <c r="D253" s="1198"/>
      <c r="E253" s="1198"/>
      <c r="F253" s="1198"/>
      <c r="G253" s="1198"/>
      <c r="H253" s="1198"/>
      <c r="I253" s="1198"/>
      <c r="J253" s="1198"/>
      <c r="K253" s="1198"/>
      <c r="L253" s="1198"/>
      <c r="M253" s="1198"/>
      <c r="N253" s="1198"/>
      <c r="O253" s="1198"/>
      <c r="P253" s="1198"/>
      <c r="Q253" s="1426">
        <f>P255</f>
        <v>1500</v>
      </c>
      <c r="R253" s="1307">
        <f>Q255</f>
        <v>1500</v>
      </c>
      <c r="S253" s="1307">
        <f>R255</f>
        <v>1500</v>
      </c>
      <c r="T253" s="1507"/>
      <c r="U253" s="1507"/>
      <c r="V253" s="1507"/>
      <c r="W253" s="1507"/>
      <c r="X253" s="1170"/>
      <c r="Y253" s="1170"/>
      <c r="Z253" s="1170"/>
      <c r="AA253" s="1170"/>
      <c r="AB253" s="1170"/>
      <c r="AC253" s="1170"/>
      <c r="AD253" s="1170"/>
      <c r="AE253" s="1170"/>
      <c r="AF253" s="1170"/>
      <c r="AG253" s="1170"/>
      <c r="AH253" s="1170"/>
      <c r="AI253" s="1170"/>
      <c r="AJ253" s="1170"/>
      <c r="AK253" s="1170"/>
      <c r="AL253" s="1170"/>
      <c r="AM253" s="1170"/>
      <c r="AN253" s="1170"/>
      <c r="AO253" s="1170"/>
      <c r="AP253" s="1170"/>
      <c r="AQ253" s="1170"/>
      <c r="AR253" s="1170"/>
      <c r="AS253" s="1170"/>
      <c r="AT253" s="1170"/>
      <c r="AU253" s="1170"/>
      <c r="AV253" s="1170"/>
      <c r="AW253" s="1170"/>
      <c r="AX253" s="1170"/>
      <c r="AY253" s="1170"/>
      <c r="AZ253" s="1170"/>
      <c r="BA253" s="1170"/>
      <c r="BB253" s="1170"/>
      <c r="BC253" s="1170"/>
      <c r="BD253" s="1170"/>
      <c r="BE253" s="1170"/>
      <c r="BF253" s="1170"/>
      <c r="BG253" s="1170"/>
      <c r="BH253" s="1170"/>
      <c r="BI253" s="1170"/>
      <c r="BJ253" s="1170"/>
      <c r="BK253" s="1170"/>
      <c r="BL253" s="1170"/>
      <c r="BM253" s="1170"/>
      <c r="BN253" s="1170"/>
      <c r="BO253" s="1170"/>
      <c r="BP253" s="1170"/>
      <c r="BQ253" s="1360"/>
      <c r="BR253" s="1170"/>
      <c r="BS253" s="1170"/>
      <c r="BT253" s="1170"/>
      <c r="BU253" s="1360"/>
      <c r="BV253" s="1170"/>
      <c r="BW253" s="1170"/>
      <c r="BX253" s="1170"/>
      <c r="BY253" s="1360"/>
      <c r="BZ253" s="1170"/>
      <c r="CA253" s="1198"/>
      <c r="CB253" s="1198"/>
      <c r="CC253" s="1198"/>
      <c r="CD253" s="1267">
        <f t="shared" ref="CD253:CK253" si="196">CC255</f>
        <v>1500</v>
      </c>
      <c r="CE253" s="1226">
        <f t="shared" si="196"/>
        <v>1500</v>
      </c>
      <c r="CF253" s="1226">
        <f t="shared" si="196"/>
        <v>1500</v>
      </c>
      <c r="CG253" s="1226">
        <f t="shared" si="196"/>
        <v>1500</v>
      </c>
      <c r="CH253" s="1267">
        <f t="shared" si="196"/>
        <v>1500</v>
      </c>
      <c r="CI253" s="1226">
        <f t="shared" si="196"/>
        <v>1500</v>
      </c>
      <c r="CJ253" s="1226">
        <f t="shared" si="196"/>
        <v>1500</v>
      </c>
      <c r="CK253" s="1226">
        <f t="shared" si="196"/>
        <v>1500</v>
      </c>
      <c r="CL253" s="1267">
        <f>CK255</f>
        <v>1500</v>
      </c>
      <c r="CM253" s="1170"/>
      <c r="CN253" s="1170"/>
      <c r="CO253" s="1170"/>
      <c r="CP253" s="1170"/>
      <c r="CQ253" s="1170"/>
      <c r="CR253" s="1170"/>
      <c r="CS253" s="1170"/>
      <c r="CT253" s="1198"/>
      <c r="CU253" s="1198"/>
    </row>
    <row r="254" spans="1:99" ht="12.75" customHeight="1">
      <c r="A254" s="1595" t="s">
        <v>593</v>
      </c>
      <c r="B254" s="1198"/>
      <c r="C254" s="1198"/>
      <c r="D254" s="1198"/>
      <c r="E254" s="1198"/>
      <c r="F254" s="1198"/>
      <c r="G254" s="1198"/>
      <c r="H254" s="1198"/>
      <c r="I254" s="1198"/>
      <c r="J254" s="1198"/>
      <c r="K254" s="1198"/>
      <c r="L254" s="1198"/>
      <c r="M254" s="1198"/>
      <c r="N254" s="1198"/>
      <c r="O254" s="1198"/>
      <c r="P254" s="1198"/>
      <c r="Q254" s="1596">
        <f>+SUM(CD254:CG254)</f>
        <v>0</v>
      </c>
      <c r="R254" s="1453">
        <f>+SUM(CH254:CK254)</f>
        <v>0</v>
      </c>
      <c r="S254" s="1602"/>
      <c r="T254" s="1507"/>
      <c r="U254" s="1507"/>
      <c r="V254" s="1507"/>
      <c r="W254" s="1507"/>
      <c r="X254" s="1170"/>
      <c r="Y254" s="1170"/>
      <c r="Z254" s="1170"/>
      <c r="AA254" s="1170"/>
      <c r="AB254" s="1170"/>
      <c r="AC254" s="1170"/>
      <c r="AD254" s="1170"/>
      <c r="AE254" s="1170"/>
      <c r="AF254" s="1170"/>
      <c r="AG254" s="1170"/>
      <c r="AH254" s="1170"/>
      <c r="AI254" s="1170"/>
      <c r="AJ254" s="1170"/>
      <c r="AK254" s="1170"/>
      <c r="AL254" s="1170"/>
      <c r="AM254" s="1170"/>
      <c r="AN254" s="1170"/>
      <c r="AO254" s="1170"/>
      <c r="AP254" s="1170"/>
      <c r="AQ254" s="1170"/>
      <c r="AR254" s="1170"/>
      <c r="AS254" s="1170"/>
      <c r="AT254" s="1170"/>
      <c r="AU254" s="1170"/>
      <c r="AV254" s="1170"/>
      <c r="AW254" s="1170"/>
      <c r="AX254" s="1170"/>
      <c r="AY254" s="1170"/>
      <c r="AZ254" s="1170"/>
      <c r="BA254" s="1170"/>
      <c r="BB254" s="1170"/>
      <c r="BC254" s="1170"/>
      <c r="BD254" s="1170"/>
      <c r="BE254" s="1170"/>
      <c r="BF254" s="1170"/>
      <c r="BG254" s="1170"/>
      <c r="BH254" s="1170"/>
      <c r="BI254" s="1170"/>
      <c r="BJ254" s="1170"/>
      <c r="BK254" s="1170"/>
      <c r="BL254" s="1170"/>
      <c r="BM254" s="1170"/>
      <c r="BN254" s="1170"/>
      <c r="BO254" s="1170"/>
      <c r="BP254" s="1170"/>
      <c r="BQ254" s="1360"/>
      <c r="BR254" s="1170"/>
      <c r="BS254" s="1170"/>
      <c r="BT254" s="1170"/>
      <c r="BU254" s="1360"/>
      <c r="BV254" s="1170"/>
      <c r="BW254" s="1170"/>
      <c r="BX254" s="1170"/>
      <c r="BY254" s="1360"/>
      <c r="BZ254" s="1170"/>
      <c r="CA254" s="1198"/>
      <c r="CB254" s="1198"/>
      <c r="CC254" s="1198"/>
      <c r="CD254" s="1359"/>
      <c r="CE254" s="1198"/>
      <c r="CF254" s="1602"/>
      <c r="CG254" s="1198"/>
      <c r="CH254" s="1359"/>
      <c r="CI254" s="1198"/>
      <c r="CJ254" s="1198"/>
      <c r="CK254" s="1198"/>
      <c r="CL254" s="1359"/>
      <c r="CM254" s="1170"/>
      <c r="CN254" s="1170"/>
      <c r="CO254" s="1170"/>
      <c r="CP254" s="1170"/>
      <c r="CQ254" s="1170"/>
      <c r="CR254" s="1170"/>
      <c r="CS254" s="1170"/>
      <c r="CT254" s="1198"/>
      <c r="CU254" s="1198"/>
    </row>
    <row r="255" spans="1:99" ht="12.75" customHeight="1">
      <c r="A255" s="1595" t="s">
        <v>476</v>
      </c>
      <c r="B255" s="1198"/>
      <c r="C255" s="1198"/>
      <c r="D255" s="1198"/>
      <c r="E255" s="1198"/>
      <c r="F255" s="1198"/>
      <c r="G255" s="1198"/>
      <c r="H255" s="1198"/>
      <c r="I255" s="1198"/>
      <c r="J255" s="1198"/>
      <c r="K255" s="1198"/>
      <c r="L255" s="1198"/>
      <c r="M255" s="1198"/>
      <c r="N255" s="1198"/>
      <c r="O255" s="1198"/>
      <c r="P255" s="1307">
        <v>1500</v>
      </c>
      <c r="Q255" s="1218">
        <f>+CG255</f>
        <v>1500</v>
      </c>
      <c r="R255" s="1226">
        <f>+CK255</f>
        <v>1500</v>
      </c>
      <c r="S255" s="1307">
        <f>S254+S253</f>
        <v>1500</v>
      </c>
      <c r="T255" s="1507"/>
      <c r="U255" s="1507"/>
      <c r="V255" s="1507"/>
      <c r="W255" s="1507"/>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170"/>
      <c r="BC255" s="1170"/>
      <c r="BD255" s="1170"/>
      <c r="BE255" s="1170"/>
      <c r="BF255" s="1170"/>
      <c r="BG255" s="1170"/>
      <c r="BH255" s="1170"/>
      <c r="BI255" s="1170"/>
      <c r="BJ255" s="1170"/>
      <c r="BK255" s="1170"/>
      <c r="BL255" s="1170"/>
      <c r="BM255" s="1170"/>
      <c r="BN255" s="1170"/>
      <c r="BO255" s="1170"/>
      <c r="BP255" s="1170"/>
      <c r="BQ255" s="1360"/>
      <c r="BR255" s="1170"/>
      <c r="BS255" s="1170"/>
      <c r="BT255" s="1170"/>
      <c r="BU255" s="1360"/>
      <c r="BV255" s="1170"/>
      <c r="BW255" s="1170"/>
      <c r="BX255" s="1170"/>
      <c r="BY255" s="1360"/>
      <c r="BZ255" s="1170"/>
      <c r="CA255" s="1198"/>
      <c r="CB255" s="1198"/>
      <c r="CC255" s="1226">
        <f>P255</f>
        <v>1500</v>
      </c>
      <c r="CD255" s="1267">
        <f t="shared" ref="CD255:CK255" si="197">SUM(CD253:CD254)</f>
        <v>1500</v>
      </c>
      <c r="CE255" s="1226">
        <f t="shared" si="197"/>
        <v>1500</v>
      </c>
      <c r="CF255" s="1226">
        <f t="shared" si="197"/>
        <v>1500</v>
      </c>
      <c r="CG255" s="1226">
        <f t="shared" si="197"/>
        <v>1500</v>
      </c>
      <c r="CH255" s="1267">
        <f t="shared" si="197"/>
        <v>1500</v>
      </c>
      <c r="CI255" s="1226">
        <f t="shared" si="197"/>
        <v>1500</v>
      </c>
      <c r="CJ255" s="1226">
        <f t="shared" si="197"/>
        <v>1500</v>
      </c>
      <c r="CK255" s="1226">
        <f t="shared" si="197"/>
        <v>1500</v>
      </c>
      <c r="CL255" s="1267">
        <f>SUM(CL253:CL254)</f>
        <v>1500</v>
      </c>
      <c r="CM255" s="1170"/>
      <c r="CN255" s="1170"/>
      <c r="CO255" s="1170"/>
      <c r="CP255" s="1170"/>
      <c r="CQ255" s="1170"/>
      <c r="CR255" s="1170"/>
      <c r="CS255" s="1170"/>
      <c r="CT255" s="1198"/>
      <c r="CU255" s="1198"/>
    </row>
    <row r="256" spans="1:99" ht="12.75" customHeight="1">
      <c r="A256" s="1198"/>
      <c r="B256" s="1198"/>
      <c r="C256" s="1198"/>
      <c r="D256" s="1198"/>
      <c r="E256" s="1198"/>
      <c r="F256" s="1198"/>
      <c r="G256" s="1198"/>
      <c r="H256" s="1198"/>
      <c r="I256" s="1198"/>
      <c r="J256" s="1198"/>
      <c r="K256" s="1198"/>
      <c r="L256" s="1198"/>
      <c r="M256" s="1198"/>
      <c r="N256" s="1198"/>
      <c r="O256" s="1198"/>
      <c r="P256" s="1198"/>
      <c r="Q256" s="1359"/>
      <c r="R256" s="1198"/>
      <c r="S256" s="1198"/>
      <c r="T256" s="1507"/>
      <c r="U256" s="1507"/>
      <c r="V256" s="1507"/>
      <c r="W256" s="1507"/>
      <c r="X256" s="1170"/>
      <c r="Y256" s="1170"/>
      <c r="Z256" s="1170"/>
      <c r="AA256" s="1170"/>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360"/>
      <c r="BR256" s="1198"/>
      <c r="BS256" s="1198"/>
      <c r="BT256" s="1198"/>
      <c r="BU256" s="1360"/>
      <c r="BV256" s="1198"/>
      <c r="BW256" s="1198"/>
      <c r="BX256" s="1198"/>
      <c r="BY256" s="1360"/>
      <c r="BZ256" s="1198"/>
      <c r="CA256" s="1198"/>
      <c r="CB256" s="1198"/>
      <c r="CC256" s="1198"/>
      <c r="CD256" s="1359"/>
      <c r="CE256" s="1198"/>
      <c r="CF256" s="1198"/>
      <c r="CG256" s="1198"/>
      <c r="CH256" s="1359"/>
      <c r="CI256" s="1198"/>
      <c r="CJ256" s="1198"/>
      <c r="CK256" s="1198"/>
      <c r="CL256" s="1359"/>
      <c r="CM256" s="1170"/>
      <c r="CN256" s="1170"/>
      <c r="CO256" s="1170"/>
      <c r="CP256" s="1170"/>
      <c r="CQ256" s="1170"/>
      <c r="CR256" s="1170"/>
      <c r="CS256" s="1170"/>
      <c r="CT256" s="1198"/>
      <c r="CU256" s="1198"/>
    </row>
    <row r="257" spans="1:99" ht="12.75" customHeight="1">
      <c r="A257" s="1575" t="s">
        <v>611</v>
      </c>
      <c r="B257" s="1591"/>
      <c r="C257" s="1591"/>
      <c r="D257" s="1591"/>
      <c r="E257" s="1591"/>
      <c r="F257" s="1591"/>
      <c r="G257" s="1591"/>
      <c r="H257" s="1591"/>
      <c r="I257" s="1591"/>
      <c r="J257" s="1591"/>
      <c r="K257" s="1591"/>
      <c r="L257" s="1591"/>
      <c r="M257" s="1591"/>
      <c r="N257" s="1591"/>
      <c r="O257" s="1591"/>
      <c r="P257" s="1591"/>
      <c r="Q257" s="1594"/>
      <c r="R257" s="1591"/>
      <c r="S257" s="1591"/>
      <c r="T257" s="1507"/>
      <c r="U257" s="1507"/>
      <c r="V257" s="1507"/>
      <c r="W257" s="1507"/>
      <c r="X257" s="1170"/>
      <c r="Y257" s="1170"/>
      <c r="Z257" s="1170"/>
      <c r="AA257" s="1170"/>
      <c r="AB257" s="1170"/>
      <c r="AC257" s="1170"/>
      <c r="AD257" s="1170"/>
      <c r="AE257" s="1170"/>
      <c r="AF257" s="1170"/>
      <c r="AG257" s="1170"/>
      <c r="AH257" s="1170"/>
      <c r="AI257" s="1170"/>
      <c r="AJ257" s="1170"/>
      <c r="AK257" s="1170"/>
      <c r="AL257" s="1170"/>
      <c r="AM257" s="1170"/>
      <c r="AN257" s="1170"/>
      <c r="AO257" s="1170"/>
      <c r="AP257" s="1170"/>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c r="BM257" s="1170"/>
      <c r="BN257" s="1170"/>
      <c r="BO257" s="1170"/>
      <c r="BP257" s="1170"/>
      <c r="BQ257" s="1360"/>
      <c r="BR257" s="1170"/>
      <c r="BS257" s="1170"/>
      <c r="BT257" s="1170"/>
      <c r="BU257" s="1360"/>
      <c r="BV257" s="1170"/>
      <c r="BW257" s="1170"/>
      <c r="BX257" s="1170"/>
      <c r="BY257" s="1360"/>
      <c r="BZ257" s="1593"/>
      <c r="CA257" s="1591"/>
      <c r="CB257" s="1591"/>
      <c r="CC257" s="1591"/>
      <c r="CD257" s="1594"/>
      <c r="CE257" s="1591"/>
      <c r="CF257" s="1591"/>
      <c r="CG257" s="1591"/>
      <c r="CH257" s="1594"/>
      <c r="CI257" s="1591"/>
      <c r="CJ257" s="1591"/>
      <c r="CK257" s="1591"/>
      <c r="CL257" s="1594"/>
      <c r="CM257" s="1170"/>
      <c r="CN257" s="1170"/>
      <c r="CO257" s="1170"/>
      <c r="CP257" s="1170"/>
      <c r="CQ257" s="1170"/>
      <c r="CR257" s="1170"/>
      <c r="CS257" s="1170"/>
      <c r="CT257" s="1198"/>
      <c r="CU257" s="1198"/>
    </row>
    <row r="258" spans="1:99" ht="12.75" customHeight="1">
      <c r="A258" s="1595" t="s">
        <v>475</v>
      </c>
      <c r="B258" s="1198"/>
      <c r="C258" s="1198"/>
      <c r="D258" s="1198"/>
      <c r="E258" s="1198"/>
      <c r="F258" s="1198"/>
      <c r="G258" s="1198"/>
      <c r="H258" s="1198"/>
      <c r="I258" s="1198"/>
      <c r="J258" s="1198"/>
      <c r="K258" s="1198"/>
      <c r="L258" s="1198"/>
      <c r="M258" s="1198"/>
      <c r="N258" s="1198"/>
      <c r="O258" s="1198"/>
      <c r="P258" s="1198"/>
      <c r="Q258" s="1426">
        <f>P260</f>
        <v>750</v>
      </c>
      <c r="R258" s="1307">
        <f>Q260</f>
        <v>750</v>
      </c>
      <c r="S258" s="1307">
        <f>R260</f>
        <v>750</v>
      </c>
      <c r="T258" s="1507"/>
      <c r="U258" s="1507"/>
      <c r="V258" s="1507"/>
      <c r="W258" s="1507"/>
      <c r="X258" s="1170"/>
      <c r="Y258" s="1170"/>
      <c r="Z258" s="1170"/>
      <c r="AA258" s="1170"/>
      <c r="AB258" s="1170"/>
      <c r="AC258" s="1170"/>
      <c r="AD258" s="1170"/>
      <c r="AE258" s="1170"/>
      <c r="AF258" s="1170"/>
      <c r="AG258" s="1170"/>
      <c r="AH258" s="1170"/>
      <c r="AI258" s="1170"/>
      <c r="AJ258" s="1170"/>
      <c r="AK258" s="1170"/>
      <c r="AL258" s="1170"/>
      <c r="AM258" s="1170"/>
      <c r="AN258" s="1170"/>
      <c r="AO258" s="1170"/>
      <c r="AP258" s="1170"/>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c r="BM258" s="1170"/>
      <c r="BN258" s="1170"/>
      <c r="BO258" s="1170"/>
      <c r="BP258" s="1170"/>
      <c r="BQ258" s="1360"/>
      <c r="BR258" s="1170"/>
      <c r="BS258" s="1170"/>
      <c r="BT258" s="1170"/>
      <c r="BU258" s="1360"/>
      <c r="BV258" s="1170"/>
      <c r="BW258" s="1170"/>
      <c r="BX258" s="1170"/>
      <c r="BY258" s="1360"/>
      <c r="BZ258" s="1170"/>
      <c r="CA258" s="1198"/>
      <c r="CB258" s="1198"/>
      <c r="CC258" s="1198"/>
      <c r="CD258" s="1267">
        <f t="shared" ref="CD258:CK258" si="198">CC260</f>
        <v>750</v>
      </c>
      <c r="CE258" s="1226">
        <f t="shared" si="198"/>
        <v>750</v>
      </c>
      <c r="CF258" s="1226">
        <f t="shared" si="198"/>
        <v>750</v>
      </c>
      <c r="CG258" s="1226">
        <f t="shared" si="198"/>
        <v>750</v>
      </c>
      <c r="CH258" s="1267">
        <f t="shared" si="198"/>
        <v>750</v>
      </c>
      <c r="CI258" s="1226">
        <f t="shared" si="198"/>
        <v>750</v>
      </c>
      <c r="CJ258" s="1226">
        <f t="shared" si="198"/>
        <v>750</v>
      </c>
      <c r="CK258" s="1226">
        <f t="shared" si="198"/>
        <v>750</v>
      </c>
      <c r="CL258" s="1267">
        <f>CK260</f>
        <v>750</v>
      </c>
      <c r="CM258" s="1170"/>
      <c r="CN258" s="1170"/>
      <c r="CO258" s="1170"/>
      <c r="CP258" s="1170"/>
      <c r="CQ258" s="1170"/>
      <c r="CR258" s="1170"/>
      <c r="CS258" s="1170"/>
      <c r="CT258" s="1198"/>
      <c r="CU258" s="1198"/>
    </row>
    <row r="259" spans="1:99" ht="12.75" customHeight="1">
      <c r="A259" s="1595" t="s">
        <v>593</v>
      </c>
      <c r="B259" s="1198"/>
      <c r="C259" s="1198"/>
      <c r="D259" s="1198"/>
      <c r="E259" s="1198"/>
      <c r="F259" s="1198"/>
      <c r="G259" s="1198"/>
      <c r="H259" s="1198"/>
      <c r="I259" s="1198"/>
      <c r="J259" s="1198"/>
      <c r="K259" s="1198"/>
      <c r="L259" s="1198"/>
      <c r="M259" s="1198"/>
      <c r="N259" s="1198"/>
      <c r="O259" s="1198"/>
      <c r="P259" s="1198"/>
      <c r="Q259" s="1596">
        <f>+SUM(CD259:CG259)</f>
        <v>0</v>
      </c>
      <c r="R259" s="1453">
        <f>+SUM(CH259:CK259)</f>
        <v>0</v>
      </c>
      <c r="S259" s="1602"/>
      <c r="T259" s="1507"/>
      <c r="U259" s="1507"/>
      <c r="V259" s="1507"/>
      <c r="W259" s="1507"/>
      <c r="X259" s="1170"/>
      <c r="Y259" s="1170"/>
      <c r="Z259" s="1170"/>
      <c r="AA259" s="1170"/>
      <c r="AB259" s="1170"/>
      <c r="AC259" s="1170"/>
      <c r="AD259" s="1170"/>
      <c r="AE259" s="1170"/>
      <c r="AF259" s="1170"/>
      <c r="AG259" s="1170"/>
      <c r="AH259" s="1170"/>
      <c r="AI259" s="1170"/>
      <c r="AJ259" s="1170"/>
      <c r="AK259" s="1170"/>
      <c r="AL259" s="1170"/>
      <c r="AM259" s="1170"/>
      <c r="AN259" s="1170"/>
      <c r="AO259" s="1170"/>
      <c r="AP259" s="1170"/>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c r="BM259" s="1170"/>
      <c r="BN259" s="1170"/>
      <c r="BO259" s="1170"/>
      <c r="BP259" s="1170"/>
      <c r="BQ259" s="1360"/>
      <c r="BR259" s="1170"/>
      <c r="BS259" s="1170"/>
      <c r="BT259" s="1170"/>
      <c r="BU259" s="1360"/>
      <c r="BV259" s="1170"/>
      <c r="BW259" s="1170"/>
      <c r="BX259" s="1170"/>
      <c r="BY259" s="1360"/>
      <c r="BZ259" s="1170"/>
      <c r="CA259" s="1198"/>
      <c r="CB259" s="1198"/>
      <c r="CC259" s="1198"/>
      <c r="CD259" s="1359"/>
      <c r="CE259" s="1198"/>
      <c r="CF259" s="1602"/>
      <c r="CG259" s="1198"/>
      <c r="CH259" s="1359"/>
      <c r="CI259" s="1198"/>
      <c r="CJ259" s="1198"/>
      <c r="CK259" s="1198"/>
      <c r="CL259" s="1359"/>
      <c r="CM259" s="1170"/>
      <c r="CN259" s="1170"/>
      <c r="CO259" s="1170"/>
      <c r="CP259" s="1170"/>
      <c r="CQ259" s="1170"/>
      <c r="CR259" s="1170"/>
      <c r="CS259" s="1170"/>
      <c r="CT259" s="1198"/>
      <c r="CU259" s="1198"/>
    </row>
    <row r="260" spans="1:99" ht="12.75" customHeight="1">
      <c r="A260" s="1595" t="s">
        <v>476</v>
      </c>
      <c r="B260" s="1198"/>
      <c r="C260" s="1198"/>
      <c r="D260" s="1198"/>
      <c r="E260" s="1198"/>
      <c r="F260" s="1198"/>
      <c r="G260" s="1198"/>
      <c r="H260" s="1198"/>
      <c r="I260" s="1198"/>
      <c r="J260" s="1198"/>
      <c r="K260" s="1198"/>
      <c r="L260" s="1198"/>
      <c r="M260" s="1198"/>
      <c r="N260" s="1198"/>
      <c r="O260" s="1198"/>
      <c r="P260" s="1307">
        <v>750</v>
      </c>
      <c r="Q260" s="1218">
        <f>+CG260</f>
        <v>750</v>
      </c>
      <c r="R260" s="1226">
        <f>+CK260</f>
        <v>750</v>
      </c>
      <c r="S260" s="1307">
        <f>S259+S258</f>
        <v>750</v>
      </c>
      <c r="T260" s="1507"/>
      <c r="U260" s="1507"/>
      <c r="V260" s="1507"/>
      <c r="W260" s="1507"/>
      <c r="X260" s="1170"/>
      <c r="Y260" s="1170"/>
      <c r="Z260" s="1170"/>
      <c r="AA260" s="1170"/>
      <c r="AB260" s="1170"/>
      <c r="AC260" s="1170"/>
      <c r="AD260" s="1170"/>
      <c r="AE260" s="1170"/>
      <c r="AF260" s="1170"/>
      <c r="AG260" s="1170"/>
      <c r="AH260" s="1170"/>
      <c r="AI260" s="1170"/>
      <c r="AJ260" s="1170"/>
      <c r="AK260" s="1170"/>
      <c r="AL260" s="1170"/>
      <c r="AM260" s="1170"/>
      <c r="AN260" s="1170"/>
      <c r="AO260" s="1170"/>
      <c r="AP260" s="1170"/>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70"/>
      <c r="BM260" s="1170"/>
      <c r="BN260" s="1170"/>
      <c r="BO260" s="1170"/>
      <c r="BP260" s="1170"/>
      <c r="BQ260" s="1360"/>
      <c r="BR260" s="1170"/>
      <c r="BS260" s="1170"/>
      <c r="BT260" s="1170"/>
      <c r="BU260" s="1360"/>
      <c r="BV260" s="1170"/>
      <c r="BW260" s="1170"/>
      <c r="BX260" s="1170"/>
      <c r="BY260" s="1360"/>
      <c r="BZ260" s="1170"/>
      <c r="CA260" s="1198"/>
      <c r="CB260" s="1198"/>
      <c r="CC260" s="1226">
        <f>P260</f>
        <v>750</v>
      </c>
      <c r="CD260" s="1267">
        <f t="shared" ref="CD260:CK260" si="199">SUM(CD258:CD259)</f>
        <v>750</v>
      </c>
      <c r="CE260" s="1226">
        <f t="shared" si="199"/>
        <v>750</v>
      </c>
      <c r="CF260" s="1226">
        <f t="shared" si="199"/>
        <v>750</v>
      </c>
      <c r="CG260" s="1226">
        <f t="shared" si="199"/>
        <v>750</v>
      </c>
      <c r="CH260" s="1267">
        <f t="shared" si="199"/>
        <v>750</v>
      </c>
      <c r="CI260" s="1226">
        <f t="shared" si="199"/>
        <v>750</v>
      </c>
      <c r="CJ260" s="1226">
        <f t="shared" si="199"/>
        <v>750</v>
      </c>
      <c r="CK260" s="1226">
        <f t="shared" si="199"/>
        <v>750</v>
      </c>
      <c r="CL260" s="1267">
        <f>SUM(CL258:CL259)</f>
        <v>750</v>
      </c>
      <c r="CM260" s="1170"/>
      <c r="CN260" s="1170"/>
      <c r="CO260" s="1170"/>
      <c r="CP260" s="1170"/>
      <c r="CQ260" s="1170"/>
      <c r="CR260" s="1170"/>
      <c r="CS260" s="1170"/>
      <c r="CT260" s="1198"/>
      <c r="CU260" s="1198"/>
    </row>
    <row r="261" spans="1:99" ht="12.75" customHeight="1">
      <c r="A261" s="1198"/>
      <c r="B261" s="1198"/>
      <c r="C261" s="1198"/>
      <c r="D261" s="1198"/>
      <c r="E261" s="1198"/>
      <c r="F261" s="1198"/>
      <c r="G261" s="1198"/>
      <c r="H261" s="1198"/>
      <c r="I261" s="1198"/>
      <c r="J261" s="1198"/>
      <c r="K261" s="1198"/>
      <c r="L261" s="1198"/>
      <c r="M261" s="1198"/>
      <c r="N261" s="1198"/>
      <c r="O261" s="1198"/>
      <c r="P261" s="1198"/>
      <c r="Q261" s="1359"/>
      <c r="R261" s="1198"/>
      <c r="S261" s="1198"/>
      <c r="T261" s="1507"/>
      <c r="U261" s="1507"/>
      <c r="V261" s="1507"/>
      <c r="W261" s="1507"/>
      <c r="X261" s="1170"/>
      <c r="Y261" s="1170"/>
      <c r="Z261" s="1170"/>
      <c r="AA261" s="1170"/>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360"/>
      <c r="BR261" s="1198"/>
      <c r="BS261" s="1198"/>
      <c r="BT261" s="1198"/>
      <c r="BU261" s="1360"/>
      <c r="BV261" s="1198"/>
      <c r="BW261" s="1198"/>
      <c r="BX261" s="1198"/>
      <c r="BY261" s="1360"/>
      <c r="BZ261" s="1198"/>
      <c r="CA261" s="1198"/>
      <c r="CB261" s="1198"/>
      <c r="CC261" s="1198"/>
      <c r="CD261" s="1359"/>
      <c r="CE261" s="1198"/>
      <c r="CF261" s="1198"/>
      <c r="CG261" s="1198"/>
      <c r="CH261" s="1359"/>
      <c r="CI261" s="1198"/>
      <c r="CJ261" s="1198"/>
      <c r="CK261" s="1198"/>
      <c r="CL261" s="1359"/>
      <c r="CM261" s="1170"/>
      <c r="CN261" s="1170"/>
      <c r="CO261" s="1170"/>
      <c r="CP261" s="1170"/>
      <c r="CQ261" s="1170"/>
      <c r="CR261" s="1170"/>
      <c r="CS261" s="1170"/>
      <c r="CT261" s="1198"/>
      <c r="CU261" s="1198"/>
    </row>
    <row r="262" spans="1:99" ht="12.75" customHeight="1">
      <c r="A262" s="1575" t="s">
        <v>612</v>
      </c>
      <c r="B262" s="1591"/>
      <c r="C262" s="1591"/>
      <c r="D262" s="1591"/>
      <c r="E262" s="1591"/>
      <c r="F262" s="1591"/>
      <c r="G262" s="1591"/>
      <c r="H262" s="1591"/>
      <c r="I262" s="1591"/>
      <c r="J262" s="1591"/>
      <c r="K262" s="1591"/>
      <c r="L262" s="1591"/>
      <c r="M262" s="1591"/>
      <c r="N262" s="1591"/>
      <c r="O262" s="1591"/>
      <c r="P262" s="1591"/>
      <c r="Q262" s="1594"/>
      <c r="R262" s="1591"/>
      <c r="S262" s="1591"/>
      <c r="T262" s="1507"/>
      <c r="U262" s="1507"/>
      <c r="V262" s="1507"/>
      <c r="W262" s="1507"/>
      <c r="X262" s="1170"/>
      <c r="Y262" s="1170"/>
      <c r="Z262" s="1170"/>
      <c r="AA262" s="1170"/>
      <c r="AB262" s="1170"/>
      <c r="AC262" s="1170"/>
      <c r="AD262" s="1170"/>
      <c r="AE262" s="1170"/>
      <c r="AF262" s="1170"/>
      <c r="AG262" s="1170"/>
      <c r="AH262" s="1170"/>
      <c r="AI262" s="1170"/>
      <c r="AJ262" s="1170"/>
      <c r="AK262" s="1170"/>
      <c r="AL262" s="1170"/>
      <c r="AM262" s="1170"/>
      <c r="AN262" s="1170"/>
      <c r="AO262" s="1170"/>
      <c r="AP262" s="1170"/>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360"/>
      <c r="BR262" s="1170"/>
      <c r="BS262" s="1170"/>
      <c r="BT262" s="1170"/>
      <c r="BU262" s="1360"/>
      <c r="BV262" s="1170"/>
      <c r="BW262" s="1170"/>
      <c r="BX262" s="1170"/>
      <c r="BY262" s="1360"/>
      <c r="BZ262" s="1593"/>
      <c r="CA262" s="1591"/>
      <c r="CB262" s="1591"/>
      <c r="CC262" s="1591"/>
      <c r="CD262" s="1594"/>
      <c r="CE262" s="1591"/>
      <c r="CF262" s="1591"/>
      <c r="CG262" s="1591"/>
      <c r="CH262" s="1594"/>
      <c r="CI262" s="1591"/>
      <c r="CJ262" s="1591"/>
      <c r="CK262" s="1591"/>
      <c r="CL262" s="1594"/>
      <c r="CM262" s="1170"/>
      <c r="CN262" s="1170"/>
      <c r="CO262" s="1170"/>
      <c r="CP262" s="1170"/>
      <c r="CQ262" s="1170"/>
      <c r="CR262" s="1170"/>
      <c r="CS262" s="1170"/>
      <c r="CT262" s="1198"/>
      <c r="CU262" s="1198"/>
    </row>
    <row r="263" spans="1:99" ht="12.75" customHeight="1">
      <c r="A263" s="1595" t="s">
        <v>475</v>
      </c>
      <c r="B263" s="1198"/>
      <c r="C263" s="1198"/>
      <c r="D263" s="1198"/>
      <c r="E263" s="1198"/>
      <c r="F263" s="1198"/>
      <c r="G263" s="1198"/>
      <c r="H263" s="1198"/>
      <c r="I263" s="1198"/>
      <c r="J263" s="1198"/>
      <c r="K263" s="1198"/>
      <c r="L263" s="1198"/>
      <c r="M263" s="1198"/>
      <c r="N263" s="1198"/>
      <c r="O263" s="1198"/>
      <c r="P263" s="1198"/>
      <c r="Q263" s="1426">
        <f>P265</f>
        <v>600</v>
      </c>
      <c r="R263" s="1307">
        <f>Q265</f>
        <v>600</v>
      </c>
      <c r="S263" s="1307">
        <f>R265</f>
        <v>600</v>
      </c>
      <c r="T263" s="1507"/>
      <c r="U263" s="1507"/>
      <c r="V263" s="1507"/>
      <c r="W263" s="1507"/>
      <c r="X263" s="1170"/>
      <c r="Y263" s="1170"/>
      <c r="Z263" s="1170"/>
      <c r="AA263" s="1170"/>
      <c r="AB263" s="1170"/>
      <c r="AC263" s="1170"/>
      <c r="AD263" s="1170"/>
      <c r="AE263" s="1170"/>
      <c r="AF263" s="1170"/>
      <c r="AG263" s="1170"/>
      <c r="AH263" s="1170"/>
      <c r="AI263" s="1170"/>
      <c r="AJ263" s="1170"/>
      <c r="AK263" s="1170"/>
      <c r="AL263" s="1170"/>
      <c r="AM263" s="1170"/>
      <c r="AN263" s="1170"/>
      <c r="AO263" s="1170"/>
      <c r="AP263" s="1170"/>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70"/>
      <c r="BJ263" s="1170"/>
      <c r="BK263" s="1170"/>
      <c r="BL263" s="1170"/>
      <c r="BM263" s="1170"/>
      <c r="BN263" s="1170"/>
      <c r="BO263" s="1170"/>
      <c r="BP263" s="1170"/>
      <c r="BQ263" s="1360"/>
      <c r="BR263" s="1170"/>
      <c r="BS263" s="1170"/>
      <c r="BT263" s="1170"/>
      <c r="BU263" s="1360"/>
      <c r="BV263" s="1170"/>
      <c r="BW263" s="1170"/>
      <c r="BX263" s="1170"/>
      <c r="BY263" s="1360"/>
      <c r="BZ263" s="1170"/>
      <c r="CA263" s="1198"/>
      <c r="CB263" s="1198"/>
      <c r="CC263" s="1198"/>
      <c r="CD263" s="1267">
        <f t="shared" ref="CD263:CK263" si="200">CC265</f>
        <v>600</v>
      </c>
      <c r="CE263" s="1226">
        <f t="shared" si="200"/>
        <v>600</v>
      </c>
      <c r="CF263" s="1226">
        <f t="shared" si="200"/>
        <v>600</v>
      </c>
      <c r="CG263" s="1226">
        <f t="shared" si="200"/>
        <v>600</v>
      </c>
      <c r="CH263" s="1267">
        <f t="shared" si="200"/>
        <v>600</v>
      </c>
      <c r="CI263" s="1226">
        <f t="shared" si="200"/>
        <v>600</v>
      </c>
      <c r="CJ263" s="1226">
        <f t="shared" si="200"/>
        <v>600</v>
      </c>
      <c r="CK263" s="1226">
        <f t="shared" si="200"/>
        <v>600</v>
      </c>
      <c r="CL263" s="1267">
        <f>CK265</f>
        <v>600</v>
      </c>
      <c r="CM263" s="1170"/>
      <c r="CN263" s="1170"/>
      <c r="CO263" s="1170"/>
      <c r="CP263" s="1170"/>
      <c r="CQ263" s="1170"/>
      <c r="CR263" s="1170"/>
      <c r="CS263" s="1170"/>
      <c r="CT263" s="1198"/>
      <c r="CU263" s="1198"/>
    </row>
    <row r="264" spans="1:99" ht="12.75" customHeight="1">
      <c r="A264" s="1595" t="s">
        <v>593</v>
      </c>
      <c r="B264" s="1198"/>
      <c r="C264" s="1198"/>
      <c r="D264" s="1198"/>
      <c r="E264" s="1198"/>
      <c r="F264" s="1198"/>
      <c r="G264" s="1198"/>
      <c r="H264" s="1198"/>
      <c r="I264" s="1198"/>
      <c r="J264" s="1198"/>
      <c r="K264" s="1198"/>
      <c r="L264" s="1198"/>
      <c r="M264" s="1198"/>
      <c r="N264" s="1198"/>
      <c r="O264" s="1198"/>
      <c r="P264" s="1198"/>
      <c r="Q264" s="1596">
        <f>+SUM(CD264:CG264)</f>
        <v>0</v>
      </c>
      <c r="R264" s="1453">
        <f>+SUM(CH264:CK264)</f>
        <v>0</v>
      </c>
      <c r="S264" s="1602"/>
      <c r="T264" s="1507"/>
      <c r="U264" s="1507"/>
      <c r="V264" s="1507"/>
      <c r="W264" s="1507"/>
      <c r="X264" s="1170"/>
      <c r="Y264" s="1170"/>
      <c r="Z264" s="1170"/>
      <c r="AA264" s="1170"/>
      <c r="AB264" s="1170"/>
      <c r="AC264" s="1170"/>
      <c r="AD264" s="1170"/>
      <c r="AE264" s="1170"/>
      <c r="AF264" s="1170"/>
      <c r="AG264" s="1170"/>
      <c r="AH264" s="1170"/>
      <c r="AI264" s="1170"/>
      <c r="AJ264" s="1170"/>
      <c r="AK264" s="1170"/>
      <c r="AL264" s="1170"/>
      <c r="AM264" s="1170"/>
      <c r="AN264" s="1170"/>
      <c r="AO264" s="1170"/>
      <c r="AP264" s="1170"/>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70"/>
      <c r="BJ264" s="1170"/>
      <c r="BK264" s="1170"/>
      <c r="BL264" s="1170"/>
      <c r="BM264" s="1170"/>
      <c r="BN264" s="1170"/>
      <c r="BO264" s="1170"/>
      <c r="BP264" s="1170"/>
      <c r="BQ264" s="1360"/>
      <c r="BR264" s="1170"/>
      <c r="BS264" s="1170"/>
      <c r="BT264" s="1170"/>
      <c r="BU264" s="1360"/>
      <c r="BV264" s="1170"/>
      <c r="BW264" s="1170"/>
      <c r="BX264" s="1170"/>
      <c r="BY264" s="1360"/>
      <c r="BZ264" s="1170"/>
      <c r="CA264" s="1198"/>
      <c r="CB264" s="1198"/>
      <c r="CC264" s="1198"/>
      <c r="CD264" s="1359"/>
      <c r="CE264" s="1198"/>
      <c r="CF264" s="1602"/>
      <c r="CG264" s="1198"/>
      <c r="CH264" s="1359"/>
      <c r="CI264" s="1198"/>
      <c r="CJ264" s="1198"/>
      <c r="CK264" s="1198"/>
      <c r="CL264" s="1359"/>
      <c r="CM264" s="1170"/>
      <c r="CN264" s="1170"/>
      <c r="CO264" s="1170"/>
      <c r="CP264" s="1170"/>
      <c r="CQ264" s="1170"/>
      <c r="CR264" s="1170"/>
      <c r="CS264" s="1170"/>
      <c r="CT264" s="1198"/>
      <c r="CU264" s="1198"/>
    </row>
    <row r="265" spans="1:99" ht="12.75" customHeight="1">
      <c r="A265" s="1595" t="s">
        <v>476</v>
      </c>
      <c r="B265" s="1198"/>
      <c r="C265" s="1198"/>
      <c r="D265" s="1198"/>
      <c r="E265" s="1198"/>
      <c r="F265" s="1198"/>
      <c r="G265" s="1198"/>
      <c r="H265" s="1198"/>
      <c r="I265" s="1198"/>
      <c r="J265" s="1198"/>
      <c r="K265" s="1198"/>
      <c r="L265" s="1198"/>
      <c r="M265" s="1198"/>
      <c r="N265" s="1198"/>
      <c r="O265" s="1198"/>
      <c r="P265" s="1307">
        <v>600</v>
      </c>
      <c r="Q265" s="1218">
        <f>+CG265</f>
        <v>600</v>
      </c>
      <c r="R265" s="1226">
        <f>+CK265</f>
        <v>600</v>
      </c>
      <c r="S265" s="1307">
        <f>S264+S263</f>
        <v>600</v>
      </c>
      <c r="T265" s="1507"/>
      <c r="U265" s="1507"/>
      <c r="V265" s="1507"/>
      <c r="W265" s="1507"/>
      <c r="X265" s="1170"/>
      <c r="Y265" s="1170"/>
      <c r="Z265" s="1170"/>
      <c r="AA265" s="1170"/>
      <c r="AB265" s="1170"/>
      <c r="AC265" s="1170"/>
      <c r="AD265" s="1170"/>
      <c r="AE265" s="1170"/>
      <c r="AF265" s="1170"/>
      <c r="AG265" s="1170"/>
      <c r="AH265" s="1170"/>
      <c r="AI265" s="1170"/>
      <c r="AJ265" s="1170"/>
      <c r="AK265" s="1170"/>
      <c r="AL265" s="1170"/>
      <c r="AM265" s="1170"/>
      <c r="AN265" s="1170"/>
      <c r="AO265" s="1170"/>
      <c r="AP265" s="1170"/>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70"/>
      <c r="BJ265" s="1170"/>
      <c r="BK265" s="1170"/>
      <c r="BL265" s="1170"/>
      <c r="BM265" s="1170"/>
      <c r="BN265" s="1170"/>
      <c r="BO265" s="1170"/>
      <c r="BP265" s="1170"/>
      <c r="BQ265" s="1360"/>
      <c r="BR265" s="1170"/>
      <c r="BS265" s="1170"/>
      <c r="BT265" s="1170"/>
      <c r="BU265" s="1360"/>
      <c r="BV265" s="1170"/>
      <c r="BW265" s="1170"/>
      <c r="BX265" s="1170"/>
      <c r="BY265" s="1360"/>
      <c r="BZ265" s="1170"/>
      <c r="CA265" s="1198"/>
      <c r="CB265" s="1198"/>
      <c r="CC265" s="1226">
        <f>P265</f>
        <v>600</v>
      </c>
      <c r="CD265" s="1267">
        <f t="shared" ref="CD265:CK265" si="201">SUM(CD263:CD264)</f>
        <v>600</v>
      </c>
      <c r="CE265" s="1226">
        <f t="shared" si="201"/>
        <v>600</v>
      </c>
      <c r="CF265" s="1226">
        <f t="shared" si="201"/>
        <v>600</v>
      </c>
      <c r="CG265" s="1226">
        <f t="shared" si="201"/>
        <v>600</v>
      </c>
      <c r="CH265" s="1267">
        <f t="shared" si="201"/>
        <v>600</v>
      </c>
      <c r="CI265" s="1226">
        <f t="shared" si="201"/>
        <v>600</v>
      </c>
      <c r="CJ265" s="1226">
        <f t="shared" si="201"/>
        <v>600</v>
      </c>
      <c r="CK265" s="1226">
        <f t="shared" si="201"/>
        <v>600</v>
      </c>
      <c r="CL265" s="1267">
        <f>SUM(CL263:CL264)</f>
        <v>600</v>
      </c>
      <c r="CM265" s="1170"/>
      <c r="CN265" s="1170"/>
      <c r="CO265" s="1170"/>
      <c r="CP265" s="1170"/>
      <c r="CQ265" s="1170"/>
      <c r="CR265" s="1170"/>
      <c r="CS265" s="1170"/>
      <c r="CT265" s="1198"/>
      <c r="CU265" s="1198"/>
    </row>
    <row r="266" spans="1:99" ht="12.75" customHeight="1">
      <c r="A266" s="1198"/>
      <c r="B266" s="1198"/>
      <c r="C266" s="1198"/>
      <c r="D266" s="1198"/>
      <c r="E266" s="1198"/>
      <c r="F266" s="1198"/>
      <c r="G266" s="1198"/>
      <c r="H266" s="1198"/>
      <c r="I266" s="1198"/>
      <c r="J266" s="1198"/>
      <c r="K266" s="1198"/>
      <c r="L266" s="1198"/>
      <c r="M266" s="1198"/>
      <c r="N266" s="1198"/>
      <c r="O266" s="1198"/>
      <c r="P266" s="1198"/>
      <c r="Q266" s="1359"/>
      <c r="R266" s="1198"/>
      <c r="S266" s="1198"/>
      <c r="T266" s="1507"/>
      <c r="U266" s="1507"/>
      <c r="V266" s="1507"/>
      <c r="W266" s="1507"/>
      <c r="X266" s="1170"/>
      <c r="Y266" s="1170"/>
      <c r="Z266" s="1170"/>
      <c r="AA266" s="1170"/>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360"/>
      <c r="BR266" s="1198"/>
      <c r="BS266" s="1198"/>
      <c r="BT266" s="1198"/>
      <c r="BU266" s="1360"/>
      <c r="BV266" s="1198"/>
      <c r="BW266" s="1198"/>
      <c r="BX266" s="1198"/>
      <c r="BY266" s="1360"/>
      <c r="BZ266" s="1198"/>
      <c r="CA266" s="1198"/>
      <c r="CB266" s="1198"/>
      <c r="CC266" s="1198"/>
      <c r="CD266" s="1359"/>
      <c r="CE266" s="1198"/>
      <c r="CF266" s="1198"/>
      <c r="CG266" s="1198"/>
      <c r="CH266" s="1359"/>
      <c r="CI266" s="1198"/>
      <c r="CJ266" s="1198"/>
      <c r="CK266" s="1198"/>
      <c r="CL266" s="1359"/>
      <c r="CM266" s="1170"/>
      <c r="CN266" s="1170"/>
      <c r="CO266" s="1170"/>
      <c r="CP266" s="1170"/>
      <c r="CQ266" s="1170"/>
      <c r="CR266" s="1170"/>
      <c r="CS266" s="1170"/>
      <c r="CT266" s="1198"/>
      <c r="CU266" s="1198"/>
    </row>
    <row r="267" spans="1:99" ht="12.75" customHeight="1">
      <c r="A267" s="1575" t="s">
        <v>604</v>
      </c>
      <c r="B267" s="1591"/>
      <c r="C267" s="1591"/>
      <c r="D267" s="1591"/>
      <c r="E267" s="1591"/>
      <c r="F267" s="1591"/>
      <c r="G267" s="1591"/>
      <c r="H267" s="1591"/>
      <c r="I267" s="1591"/>
      <c r="J267" s="1591"/>
      <c r="K267" s="1591"/>
      <c r="L267" s="1591"/>
      <c r="M267" s="1591"/>
      <c r="N267" s="1591"/>
      <c r="O267" s="1591"/>
      <c r="P267" s="1591"/>
      <c r="Q267" s="1594"/>
      <c r="R267" s="1591"/>
      <c r="S267" s="1591"/>
      <c r="T267" s="1507"/>
      <c r="U267" s="1507"/>
      <c r="V267" s="1507"/>
      <c r="W267" s="1507"/>
      <c r="X267" s="1170"/>
      <c r="Y267" s="1170"/>
      <c r="Z267" s="1170"/>
      <c r="AA267" s="1170"/>
      <c r="AB267" s="1170"/>
      <c r="AC267" s="1170"/>
      <c r="AD267" s="1170"/>
      <c r="AE267" s="1170"/>
      <c r="AF267" s="1170"/>
      <c r="AG267" s="1170"/>
      <c r="AH267" s="1170"/>
      <c r="AI267" s="1170"/>
      <c r="AJ267" s="1170"/>
      <c r="AK267" s="1170"/>
      <c r="AL267" s="1170"/>
      <c r="AM267" s="1170"/>
      <c r="AN267" s="1170"/>
      <c r="AO267" s="1170"/>
      <c r="AP267" s="1170"/>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360"/>
      <c r="BR267" s="1170"/>
      <c r="BS267" s="1170"/>
      <c r="BT267" s="1170"/>
      <c r="BU267" s="1360"/>
      <c r="BV267" s="1170"/>
      <c r="BW267" s="1170"/>
      <c r="BX267" s="1170"/>
      <c r="BY267" s="1360"/>
      <c r="BZ267" s="1593"/>
      <c r="CA267" s="1591"/>
      <c r="CB267" s="1591"/>
      <c r="CC267" s="1591"/>
      <c r="CD267" s="1594"/>
      <c r="CE267" s="1591"/>
      <c r="CF267" s="1591"/>
      <c r="CG267" s="1591"/>
      <c r="CH267" s="1594"/>
      <c r="CI267" s="1591"/>
      <c r="CJ267" s="1591"/>
      <c r="CK267" s="1591"/>
      <c r="CL267" s="1594"/>
      <c r="CM267" s="1170"/>
      <c r="CN267" s="1170"/>
      <c r="CO267" s="1170"/>
      <c r="CP267" s="1170"/>
      <c r="CQ267" s="1170"/>
      <c r="CR267" s="1170"/>
      <c r="CS267" s="1170"/>
      <c r="CT267" s="1198"/>
      <c r="CU267" s="1198"/>
    </row>
    <row r="268" spans="1:99" ht="12.75" customHeight="1">
      <c r="A268" s="1595" t="s">
        <v>475</v>
      </c>
      <c r="B268" s="1198"/>
      <c r="C268" s="1198"/>
      <c r="D268" s="1198"/>
      <c r="E268" s="1198"/>
      <c r="F268" s="1198"/>
      <c r="G268" s="1198"/>
      <c r="H268" s="1198"/>
      <c r="I268" s="1198"/>
      <c r="J268" s="1198"/>
      <c r="K268" s="1198"/>
      <c r="L268" s="1198"/>
      <c r="M268" s="1198"/>
      <c r="N268" s="1198"/>
      <c r="O268" s="1198"/>
      <c r="P268" s="1198"/>
      <c r="Q268" s="1426">
        <f>P270</f>
        <v>400</v>
      </c>
      <c r="R268" s="1307">
        <f>Q270</f>
        <v>400</v>
      </c>
      <c r="S268" s="1307">
        <f>R270</f>
        <v>400</v>
      </c>
      <c r="T268" s="1507"/>
      <c r="U268" s="1507"/>
      <c r="V268" s="1507"/>
      <c r="W268" s="1507"/>
      <c r="X268" s="1170"/>
      <c r="Y268" s="1170"/>
      <c r="Z268" s="1170"/>
      <c r="AA268" s="1170"/>
      <c r="AB268" s="1170"/>
      <c r="AC268" s="1170"/>
      <c r="AD268" s="1170"/>
      <c r="AE268" s="1170"/>
      <c r="AF268" s="1170"/>
      <c r="AG268" s="1170"/>
      <c r="AH268" s="1170"/>
      <c r="AI268" s="1170"/>
      <c r="AJ268" s="1170"/>
      <c r="AK268" s="1170"/>
      <c r="AL268" s="1170"/>
      <c r="AM268" s="1170"/>
      <c r="AN268" s="1170"/>
      <c r="AO268" s="1170"/>
      <c r="AP268" s="1170"/>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360"/>
      <c r="BR268" s="1170"/>
      <c r="BS268" s="1170"/>
      <c r="BT268" s="1170"/>
      <c r="BU268" s="1360"/>
      <c r="BV268" s="1170"/>
      <c r="BW268" s="1170"/>
      <c r="BX268" s="1170"/>
      <c r="BY268" s="1360"/>
      <c r="BZ268" s="1170"/>
      <c r="CA268" s="1198"/>
      <c r="CB268" s="1198"/>
      <c r="CC268" s="1198"/>
      <c r="CD268" s="1267">
        <f t="shared" ref="CD268:CK268" si="202">CC270</f>
        <v>400</v>
      </c>
      <c r="CE268" s="1226">
        <f t="shared" si="202"/>
        <v>400</v>
      </c>
      <c r="CF268" s="1226">
        <f t="shared" si="202"/>
        <v>400</v>
      </c>
      <c r="CG268" s="1226">
        <f t="shared" si="202"/>
        <v>400</v>
      </c>
      <c r="CH268" s="1267">
        <f t="shared" si="202"/>
        <v>400</v>
      </c>
      <c r="CI268" s="1226">
        <f t="shared" si="202"/>
        <v>400</v>
      </c>
      <c r="CJ268" s="1226">
        <f t="shared" si="202"/>
        <v>400</v>
      </c>
      <c r="CK268" s="1226">
        <f t="shared" si="202"/>
        <v>400</v>
      </c>
      <c r="CL268" s="1267">
        <f>CK270</f>
        <v>400</v>
      </c>
      <c r="CM268" s="1170"/>
      <c r="CN268" s="1170"/>
      <c r="CO268" s="1170"/>
      <c r="CP268" s="1170"/>
      <c r="CQ268" s="1170"/>
      <c r="CR268" s="1170"/>
      <c r="CS268" s="1170"/>
      <c r="CT268" s="1198"/>
      <c r="CU268" s="1198"/>
    </row>
    <row r="269" spans="1:99" ht="12.75" customHeight="1">
      <c r="A269" s="1595" t="s">
        <v>593</v>
      </c>
      <c r="B269" s="1198"/>
      <c r="C269" s="1198"/>
      <c r="D269" s="1198"/>
      <c r="E269" s="1198"/>
      <c r="F269" s="1198"/>
      <c r="G269" s="1198"/>
      <c r="H269" s="1198"/>
      <c r="I269" s="1198"/>
      <c r="J269" s="1198"/>
      <c r="K269" s="1198"/>
      <c r="L269" s="1198"/>
      <c r="M269" s="1198"/>
      <c r="N269" s="1198"/>
      <c r="O269" s="1198"/>
      <c r="P269" s="1198"/>
      <c r="Q269" s="1218">
        <f>+CG269</f>
        <v>0</v>
      </c>
      <c r="R269" s="1226">
        <f>+CK269</f>
        <v>0</v>
      </c>
      <c r="S269" s="1602"/>
      <c r="T269" s="1507"/>
      <c r="U269" s="1507"/>
      <c r="V269" s="1507"/>
      <c r="W269" s="1507"/>
      <c r="X269" s="1170"/>
      <c r="Y269" s="1170"/>
      <c r="Z269" s="1170"/>
      <c r="AA269" s="1170"/>
      <c r="AB269" s="1170"/>
      <c r="AC269" s="1170"/>
      <c r="AD269" s="1170"/>
      <c r="AE269" s="1170"/>
      <c r="AF269" s="1170"/>
      <c r="AG269" s="1170"/>
      <c r="AH269" s="1170"/>
      <c r="AI269" s="1170"/>
      <c r="AJ269" s="1170"/>
      <c r="AK269" s="1170"/>
      <c r="AL269" s="1170"/>
      <c r="AM269" s="1170"/>
      <c r="AN269" s="1170"/>
      <c r="AO269" s="1170"/>
      <c r="AP269" s="1170"/>
      <c r="AQ269" s="1170"/>
      <c r="AR269" s="1170"/>
      <c r="AS269" s="1170"/>
      <c r="AT269" s="1170"/>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360"/>
      <c r="BR269" s="1170"/>
      <c r="BS269" s="1170"/>
      <c r="BT269" s="1170"/>
      <c r="BU269" s="1360"/>
      <c r="BV269" s="1170"/>
      <c r="BW269" s="1170"/>
      <c r="BX269" s="1170"/>
      <c r="BY269" s="1360"/>
      <c r="BZ269" s="1170"/>
      <c r="CA269" s="1198"/>
      <c r="CB269" s="1198"/>
      <c r="CC269" s="1198"/>
      <c r="CD269" s="1359"/>
      <c r="CE269" s="1198"/>
      <c r="CF269" s="1602"/>
      <c r="CG269" s="1198"/>
      <c r="CH269" s="1359"/>
      <c r="CI269" s="1198"/>
      <c r="CJ269" s="1198"/>
      <c r="CK269" s="1198"/>
      <c r="CL269" s="1359"/>
      <c r="CM269" s="1170"/>
      <c r="CN269" s="1170"/>
      <c r="CO269" s="1170"/>
      <c r="CP269" s="1170"/>
      <c r="CQ269" s="1170"/>
      <c r="CR269" s="1170"/>
      <c r="CS269" s="1170"/>
      <c r="CT269" s="1198"/>
      <c r="CU269" s="1198"/>
    </row>
    <row r="270" spans="1:99" ht="12.75" customHeight="1">
      <c r="A270" s="1595" t="s">
        <v>476</v>
      </c>
      <c r="B270" s="1198"/>
      <c r="C270" s="1198"/>
      <c r="D270" s="1198"/>
      <c r="E270" s="1198"/>
      <c r="F270" s="1198"/>
      <c r="G270" s="1198"/>
      <c r="H270" s="1198"/>
      <c r="I270" s="1198"/>
      <c r="J270" s="1198"/>
      <c r="K270" s="1198"/>
      <c r="L270" s="1198"/>
      <c r="M270" s="1198"/>
      <c r="N270" s="1198"/>
      <c r="O270" s="1198"/>
      <c r="P270" s="1307">
        <v>400</v>
      </c>
      <c r="Q270" s="1218">
        <f>+CG270</f>
        <v>400</v>
      </c>
      <c r="R270" s="1226">
        <f>+CK270</f>
        <v>400</v>
      </c>
      <c r="S270" s="1307">
        <f>S269+S268</f>
        <v>400</v>
      </c>
      <c r="T270" s="1507"/>
      <c r="U270" s="1507"/>
      <c r="V270" s="1507"/>
      <c r="W270" s="1507"/>
      <c r="X270" s="1170"/>
      <c r="Y270" s="1170"/>
      <c r="Z270" s="1170"/>
      <c r="AA270" s="1170"/>
      <c r="AB270" s="1170"/>
      <c r="AC270" s="1170"/>
      <c r="AD270" s="1170"/>
      <c r="AE270" s="1170"/>
      <c r="AF270" s="1170"/>
      <c r="AG270" s="1170"/>
      <c r="AH270" s="1170"/>
      <c r="AI270" s="1170"/>
      <c r="AJ270" s="1170"/>
      <c r="AK270" s="1170"/>
      <c r="AL270" s="1170"/>
      <c r="AM270" s="1170"/>
      <c r="AN270" s="1170"/>
      <c r="AO270" s="1170"/>
      <c r="AP270" s="1170"/>
      <c r="AQ270" s="1170"/>
      <c r="AR270" s="1170"/>
      <c r="AS270" s="1170"/>
      <c r="AT270" s="1170"/>
      <c r="AU270" s="1170"/>
      <c r="AV270" s="1170"/>
      <c r="AW270" s="1170"/>
      <c r="AX270" s="1170"/>
      <c r="AY270" s="1170"/>
      <c r="AZ270" s="1170"/>
      <c r="BA270" s="1170"/>
      <c r="BB270" s="1170"/>
      <c r="BC270" s="1170"/>
      <c r="BD270" s="1170"/>
      <c r="BE270" s="1170"/>
      <c r="BF270" s="1170"/>
      <c r="BG270" s="1170"/>
      <c r="BH270" s="1170"/>
      <c r="BI270" s="1170"/>
      <c r="BJ270" s="1170"/>
      <c r="BK270" s="1170"/>
      <c r="BL270" s="1170"/>
      <c r="BM270" s="1170"/>
      <c r="BN270" s="1170"/>
      <c r="BO270" s="1170"/>
      <c r="BP270" s="1170"/>
      <c r="BQ270" s="1360"/>
      <c r="BR270" s="1170"/>
      <c r="BS270" s="1170"/>
      <c r="BT270" s="1170"/>
      <c r="BU270" s="1360"/>
      <c r="BV270" s="1170"/>
      <c r="BW270" s="1170"/>
      <c r="BX270" s="1170"/>
      <c r="BY270" s="1360"/>
      <c r="BZ270" s="1170"/>
      <c r="CA270" s="1198"/>
      <c r="CB270" s="1198"/>
      <c r="CC270" s="1226">
        <f>P270</f>
        <v>400</v>
      </c>
      <c r="CD270" s="1267">
        <f t="shared" ref="CD270:CK270" si="203">SUM(CD268:CD269)</f>
        <v>400</v>
      </c>
      <c r="CE270" s="1226">
        <f t="shared" si="203"/>
        <v>400</v>
      </c>
      <c r="CF270" s="1226">
        <f t="shared" si="203"/>
        <v>400</v>
      </c>
      <c r="CG270" s="1226">
        <f t="shared" si="203"/>
        <v>400</v>
      </c>
      <c r="CH270" s="1267">
        <f t="shared" si="203"/>
        <v>400</v>
      </c>
      <c r="CI270" s="1226">
        <f t="shared" si="203"/>
        <v>400</v>
      </c>
      <c r="CJ270" s="1226">
        <f t="shared" si="203"/>
        <v>400</v>
      </c>
      <c r="CK270" s="1226">
        <f t="shared" si="203"/>
        <v>400</v>
      </c>
      <c r="CL270" s="1267">
        <f>SUM(CL268:CL269)</f>
        <v>400</v>
      </c>
      <c r="CM270" s="1170"/>
      <c r="CN270" s="1170"/>
      <c r="CO270" s="1170"/>
      <c r="CP270" s="1170"/>
      <c r="CQ270" s="1170"/>
      <c r="CR270" s="1170"/>
      <c r="CS270" s="1170"/>
      <c r="CT270" s="1198"/>
      <c r="CU270" s="1198"/>
    </row>
    <row r="271" spans="1:99" ht="12.75" customHeight="1">
      <c r="A271" s="1198"/>
      <c r="B271" s="1198"/>
      <c r="C271" s="1198"/>
      <c r="D271" s="1198"/>
      <c r="E271" s="1198"/>
      <c r="F271" s="1198"/>
      <c r="G271" s="1198"/>
      <c r="H271" s="1198"/>
      <c r="I271" s="1198"/>
      <c r="J271" s="1198"/>
      <c r="K271" s="1198"/>
      <c r="L271" s="1198"/>
      <c r="M271" s="1198"/>
      <c r="N271" s="1198"/>
      <c r="O271" s="1198"/>
      <c r="P271" s="1198"/>
      <c r="Q271" s="1359"/>
      <c r="R271" s="1198"/>
      <c r="S271" s="1198"/>
      <c r="T271" s="1507"/>
      <c r="U271" s="1507"/>
      <c r="V271" s="1507"/>
      <c r="W271" s="1507"/>
      <c r="X271" s="1170"/>
      <c r="Y271" s="1170"/>
      <c r="Z271" s="1170"/>
      <c r="AA271" s="1170"/>
      <c r="AB271" s="1198"/>
      <c r="AC271" s="1198"/>
      <c r="AD271" s="1198"/>
      <c r="AE271" s="1198"/>
      <c r="AF271" s="1198"/>
      <c r="AG271" s="1198"/>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360"/>
      <c r="BR271" s="1198"/>
      <c r="BS271" s="1198"/>
      <c r="BT271" s="1198"/>
      <c r="BU271" s="1360"/>
      <c r="BV271" s="1198"/>
      <c r="BW271" s="1198"/>
      <c r="BX271" s="1198"/>
      <c r="BY271" s="1360"/>
      <c r="BZ271" s="1198"/>
      <c r="CA271" s="1198"/>
      <c r="CB271" s="1198"/>
      <c r="CC271" s="1198"/>
      <c r="CD271" s="1359"/>
      <c r="CE271" s="1198"/>
      <c r="CF271" s="1198"/>
      <c r="CG271" s="1198"/>
      <c r="CH271" s="1359"/>
      <c r="CI271" s="1198"/>
      <c r="CJ271" s="1198"/>
      <c r="CK271" s="1198"/>
      <c r="CL271" s="1359"/>
      <c r="CM271" s="1170"/>
      <c r="CN271" s="1170"/>
      <c r="CO271" s="1170"/>
      <c r="CP271" s="1170"/>
      <c r="CQ271" s="1170"/>
      <c r="CR271" s="1170"/>
      <c r="CS271" s="1170"/>
      <c r="CT271" s="1198"/>
      <c r="CU271" s="1198"/>
    </row>
    <row r="272" spans="1:99" ht="12.75" customHeight="1">
      <c r="A272" s="1575" t="s">
        <v>603</v>
      </c>
      <c r="B272" s="1591"/>
      <c r="C272" s="1591"/>
      <c r="D272" s="1591"/>
      <c r="E272" s="1591"/>
      <c r="F272" s="1591"/>
      <c r="G272" s="1591"/>
      <c r="H272" s="1591"/>
      <c r="I272" s="1591"/>
      <c r="J272" s="1591"/>
      <c r="K272" s="1591"/>
      <c r="L272" s="1591"/>
      <c r="M272" s="1591"/>
      <c r="N272" s="1591"/>
      <c r="O272" s="1591"/>
      <c r="P272" s="1591"/>
      <c r="Q272" s="1594"/>
      <c r="R272" s="1591"/>
      <c r="S272" s="1591"/>
      <c r="T272" s="1507"/>
      <c r="U272" s="1507"/>
      <c r="V272" s="1507"/>
      <c r="W272" s="1507"/>
      <c r="X272" s="1170"/>
      <c r="Y272" s="1170"/>
      <c r="Z272" s="1170"/>
      <c r="AA272" s="1170"/>
      <c r="AB272" s="1170"/>
      <c r="AC272" s="1170"/>
      <c r="AD272" s="1170"/>
      <c r="AE272" s="1170"/>
      <c r="AF272" s="1170"/>
      <c r="AG272" s="1170"/>
      <c r="AH272" s="1170"/>
      <c r="AI272" s="1170"/>
      <c r="AJ272" s="1170"/>
      <c r="AK272" s="1170"/>
      <c r="AL272" s="1170"/>
      <c r="AM272" s="1170"/>
      <c r="AN272" s="1170"/>
      <c r="AO272" s="1170"/>
      <c r="AP272" s="1170"/>
      <c r="AQ272" s="1170"/>
      <c r="AR272" s="1170"/>
      <c r="AS272" s="1170"/>
      <c r="AT272" s="1170"/>
      <c r="AU272" s="1170"/>
      <c r="AV272" s="1170"/>
      <c r="AW272" s="1170"/>
      <c r="AX272" s="1170"/>
      <c r="AY272" s="1170"/>
      <c r="AZ272" s="1170"/>
      <c r="BA272" s="1170"/>
      <c r="BB272" s="1170"/>
      <c r="BC272" s="1170"/>
      <c r="BD272" s="1170"/>
      <c r="BE272" s="1170"/>
      <c r="BF272" s="1170"/>
      <c r="BG272" s="1170"/>
      <c r="BH272" s="1170"/>
      <c r="BI272" s="1170"/>
      <c r="BJ272" s="1170"/>
      <c r="BK272" s="1170"/>
      <c r="BL272" s="1170"/>
      <c r="BM272" s="1170"/>
      <c r="BN272" s="1170"/>
      <c r="BO272" s="1170"/>
      <c r="BP272" s="1170"/>
      <c r="BQ272" s="1360"/>
      <c r="BR272" s="1170"/>
      <c r="BS272" s="1170"/>
      <c r="BT272" s="1170"/>
      <c r="BU272" s="1360"/>
      <c r="BV272" s="1170"/>
      <c r="BW272" s="1170"/>
      <c r="BX272" s="1170"/>
      <c r="BY272" s="1360"/>
      <c r="BZ272" s="1593"/>
      <c r="CA272" s="1591"/>
      <c r="CB272" s="1591"/>
      <c r="CC272" s="1591"/>
      <c r="CD272" s="1594"/>
      <c r="CE272" s="1591"/>
      <c r="CF272" s="1591"/>
      <c r="CG272" s="1591"/>
      <c r="CH272" s="1594"/>
      <c r="CI272" s="1591"/>
      <c r="CJ272" s="1591"/>
      <c r="CK272" s="1591"/>
      <c r="CL272" s="1594"/>
      <c r="CM272" s="1170"/>
      <c r="CN272" s="1170"/>
      <c r="CO272" s="1170"/>
      <c r="CP272" s="1170"/>
      <c r="CQ272" s="1170"/>
      <c r="CR272" s="1170"/>
      <c r="CS272" s="1170"/>
      <c r="CT272" s="1198"/>
      <c r="CU272" s="1198"/>
    </row>
    <row r="273" spans="1:99" ht="12.75" customHeight="1">
      <c r="A273" s="1595" t="s">
        <v>475</v>
      </c>
      <c r="B273" s="1198"/>
      <c r="C273" s="1198"/>
      <c r="D273" s="1198"/>
      <c r="E273" s="1198"/>
      <c r="F273" s="1198"/>
      <c r="G273" s="1198"/>
      <c r="H273" s="1198"/>
      <c r="I273" s="1198"/>
      <c r="J273" s="1198"/>
      <c r="K273" s="1198"/>
      <c r="L273" s="1198"/>
      <c r="M273" s="1198"/>
      <c r="N273" s="1198"/>
      <c r="O273" s="1198"/>
      <c r="P273" s="1198"/>
      <c r="Q273" s="1426">
        <f>P275</f>
        <v>500</v>
      </c>
      <c r="R273" s="1307">
        <f>Q275</f>
        <v>500</v>
      </c>
      <c r="S273" s="1307">
        <f>R275</f>
        <v>500</v>
      </c>
      <c r="T273" s="1507"/>
      <c r="U273" s="1507"/>
      <c r="V273" s="1507"/>
      <c r="W273" s="1507"/>
      <c r="X273" s="1170"/>
      <c r="Y273" s="1170"/>
      <c r="Z273" s="1170"/>
      <c r="AA273" s="1170"/>
      <c r="AB273" s="1170"/>
      <c r="AC273" s="1170"/>
      <c r="AD273" s="1170"/>
      <c r="AE273" s="1170"/>
      <c r="AF273" s="1170"/>
      <c r="AG273" s="1170"/>
      <c r="AH273" s="1170"/>
      <c r="AI273" s="1170"/>
      <c r="AJ273" s="1170"/>
      <c r="AK273" s="1170"/>
      <c r="AL273" s="1170"/>
      <c r="AM273" s="1170"/>
      <c r="AN273" s="1170"/>
      <c r="AO273" s="1170"/>
      <c r="AP273" s="1170"/>
      <c r="AQ273" s="1170"/>
      <c r="AR273" s="1170"/>
      <c r="AS273" s="1170"/>
      <c r="AT273" s="1170"/>
      <c r="AU273" s="1170"/>
      <c r="AV273" s="1170"/>
      <c r="AW273" s="1170"/>
      <c r="AX273" s="1170"/>
      <c r="AY273" s="1170"/>
      <c r="AZ273" s="1170"/>
      <c r="BA273" s="1170"/>
      <c r="BB273" s="1170"/>
      <c r="BC273" s="1170"/>
      <c r="BD273" s="1170"/>
      <c r="BE273" s="1170"/>
      <c r="BF273" s="1170"/>
      <c r="BG273" s="1170"/>
      <c r="BH273" s="1170"/>
      <c r="BI273" s="1170"/>
      <c r="BJ273" s="1170"/>
      <c r="BK273" s="1170"/>
      <c r="BL273" s="1170"/>
      <c r="BM273" s="1170"/>
      <c r="BN273" s="1170"/>
      <c r="BO273" s="1170"/>
      <c r="BP273" s="1170"/>
      <c r="BQ273" s="1360"/>
      <c r="BR273" s="1170"/>
      <c r="BS273" s="1170"/>
      <c r="BT273" s="1170"/>
      <c r="BU273" s="1360"/>
      <c r="BV273" s="1170"/>
      <c r="BW273" s="1170"/>
      <c r="BX273" s="1170"/>
      <c r="BY273" s="1360"/>
      <c r="BZ273" s="1170"/>
      <c r="CA273" s="1198"/>
      <c r="CB273" s="1198"/>
      <c r="CC273" s="1198"/>
      <c r="CD273" s="1267">
        <f t="shared" ref="CD273:CK273" si="204">CC275</f>
        <v>500</v>
      </c>
      <c r="CE273" s="1226">
        <f t="shared" si="204"/>
        <v>500</v>
      </c>
      <c r="CF273" s="1226">
        <f t="shared" si="204"/>
        <v>500</v>
      </c>
      <c r="CG273" s="1226">
        <f t="shared" si="204"/>
        <v>500</v>
      </c>
      <c r="CH273" s="1267">
        <f t="shared" si="204"/>
        <v>500</v>
      </c>
      <c r="CI273" s="1226">
        <f t="shared" si="204"/>
        <v>500</v>
      </c>
      <c r="CJ273" s="1226">
        <f t="shared" si="204"/>
        <v>500</v>
      </c>
      <c r="CK273" s="1226">
        <f t="shared" si="204"/>
        <v>500</v>
      </c>
      <c r="CL273" s="1267">
        <f>CK275</f>
        <v>500</v>
      </c>
      <c r="CM273" s="1170"/>
      <c r="CN273" s="1170"/>
      <c r="CO273" s="1170"/>
      <c r="CP273" s="1170"/>
      <c r="CQ273" s="1170"/>
      <c r="CR273" s="1170"/>
      <c r="CS273" s="1170"/>
      <c r="CT273" s="1198"/>
      <c r="CU273" s="1198"/>
    </row>
    <row r="274" spans="1:99" ht="12.75" customHeight="1">
      <c r="A274" s="1595" t="s">
        <v>593</v>
      </c>
      <c r="B274" s="1198"/>
      <c r="C274" s="1198"/>
      <c r="D274" s="1198"/>
      <c r="E274" s="1198"/>
      <c r="F274" s="1198"/>
      <c r="G274" s="1198"/>
      <c r="H274" s="1198"/>
      <c r="I274" s="1198"/>
      <c r="J274" s="1198"/>
      <c r="K274" s="1198"/>
      <c r="L274" s="1198"/>
      <c r="M274" s="1198"/>
      <c r="N274" s="1198"/>
      <c r="O274" s="1198"/>
      <c r="P274" s="1198"/>
      <c r="Q274" s="1596">
        <f>+SUM(CD274:CG274)</f>
        <v>0</v>
      </c>
      <c r="R274" s="1453">
        <f>+SUM(CH274:CK274)</f>
        <v>0</v>
      </c>
      <c r="S274" s="1602"/>
      <c r="T274" s="1507"/>
      <c r="U274" s="1507"/>
      <c r="V274" s="1507"/>
      <c r="W274" s="1507"/>
      <c r="X274" s="1170"/>
      <c r="Y274" s="1170"/>
      <c r="Z274" s="1170"/>
      <c r="AA274" s="1170"/>
      <c r="AB274" s="1170"/>
      <c r="AC274" s="1170"/>
      <c r="AD274" s="1170"/>
      <c r="AE274" s="1170"/>
      <c r="AF274" s="1170"/>
      <c r="AG274" s="1170"/>
      <c r="AH274" s="1170"/>
      <c r="AI274" s="1170"/>
      <c r="AJ274" s="1170"/>
      <c r="AK274" s="1170"/>
      <c r="AL274" s="1170"/>
      <c r="AM274" s="1170"/>
      <c r="AN274" s="1170"/>
      <c r="AO274" s="1170"/>
      <c r="AP274" s="1170"/>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70"/>
      <c r="BK274" s="1170"/>
      <c r="BL274" s="1170"/>
      <c r="BM274" s="1170"/>
      <c r="BN274" s="1170"/>
      <c r="BO274" s="1170"/>
      <c r="BP274" s="1170"/>
      <c r="BQ274" s="1360"/>
      <c r="BR274" s="1170"/>
      <c r="BS274" s="1170"/>
      <c r="BT274" s="1170"/>
      <c r="BU274" s="1360"/>
      <c r="BV274" s="1170"/>
      <c r="BW274" s="1170"/>
      <c r="BX274" s="1170"/>
      <c r="BY274" s="1360"/>
      <c r="BZ274" s="1170"/>
      <c r="CA274" s="1198"/>
      <c r="CB274" s="1198"/>
      <c r="CC274" s="1198"/>
      <c r="CD274" s="1359"/>
      <c r="CE274" s="1198"/>
      <c r="CF274" s="1602"/>
      <c r="CG274" s="1198"/>
      <c r="CH274" s="1359"/>
      <c r="CI274" s="1198"/>
      <c r="CJ274" s="1198"/>
      <c r="CK274" s="1198"/>
      <c r="CL274" s="1359"/>
      <c r="CM274" s="1170"/>
      <c r="CN274" s="1170"/>
      <c r="CO274" s="1170"/>
      <c r="CP274" s="1170"/>
      <c r="CQ274" s="1170"/>
      <c r="CR274" s="1170"/>
      <c r="CS274" s="1170"/>
      <c r="CT274" s="1198"/>
      <c r="CU274" s="1198"/>
    </row>
    <row r="275" spans="1:99" ht="12.75" customHeight="1">
      <c r="A275" s="1595" t="s">
        <v>476</v>
      </c>
      <c r="B275" s="1198"/>
      <c r="C275" s="1198"/>
      <c r="D275" s="1198"/>
      <c r="E275" s="1198"/>
      <c r="F275" s="1198"/>
      <c r="G275" s="1198"/>
      <c r="H275" s="1198"/>
      <c r="I275" s="1198"/>
      <c r="J275" s="1198"/>
      <c r="K275" s="1198"/>
      <c r="L275" s="1198"/>
      <c r="M275" s="1198"/>
      <c r="N275" s="1198"/>
      <c r="O275" s="1198"/>
      <c r="P275" s="1307">
        <v>500</v>
      </c>
      <c r="Q275" s="1218">
        <f>+CG275</f>
        <v>500</v>
      </c>
      <c r="R275" s="1226">
        <f>+CK275</f>
        <v>500</v>
      </c>
      <c r="S275" s="1307">
        <f>S274+S273</f>
        <v>500</v>
      </c>
      <c r="T275" s="1507"/>
      <c r="U275" s="1507"/>
      <c r="V275" s="1507"/>
      <c r="W275" s="1507"/>
      <c r="X275" s="1170"/>
      <c r="Y275" s="1170"/>
      <c r="Z275" s="1170"/>
      <c r="AA275" s="1170"/>
      <c r="AB275" s="1170"/>
      <c r="AC275" s="1170"/>
      <c r="AD275" s="1170"/>
      <c r="AE275" s="1170"/>
      <c r="AF275" s="1170"/>
      <c r="AG275" s="1170"/>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70"/>
      <c r="BK275" s="1170"/>
      <c r="BL275" s="1170"/>
      <c r="BM275" s="1170"/>
      <c r="BN275" s="1170"/>
      <c r="BO275" s="1170"/>
      <c r="BP275" s="1170"/>
      <c r="BQ275" s="1360"/>
      <c r="BR275" s="1170"/>
      <c r="BS275" s="1170"/>
      <c r="BT275" s="1170"/>
      <c r="BU275" s="1360"/>
      <c r="BV275" s="1170"/>
      <c r="BW275" s="1170"/>
      <c r="BX275" s="1170"/>
      <c r="BY275" s="1360"/>
      <c r="BZ275" s="1170"/>
      <c r="CA275" s="1198"/>
      <c r="CB275" s="1198"/>
      <c r="CC275" s="1226">
        <f>P275</f>
        <v>500</v>
      </c>
      <c r="CD275" s="1267">
        <f t="shared" ref="CD275:CK275" si="205">SUM(CD273:CD274)</f>
        <v>500</v>
      </c>
      <c r="CE275" s="1226">
        <f t="shared" si="205"/>
        <v>500</v>
      </c>
      <c r="CF275" s="1226">
        <f t="shared" si="205"/>
        <v>500</v>
      </c>
      <c r="CG275" s="1226">
        <f t="shared" si="205"/>
        <v>500</v>
      </c>
      <c r="CH275" s="1267">
        <f t="shared" si="205"/>
        <v>500</v>
      </c>
      <c r="CI275" s="1226">
        <f t="shared" si="205"/>
        <v>500</v>
      </c>
      <c r="CJ275" s="1226">
        <f t="shared" si="205"/>
        <v>500</v>
      </c>
      <c r="CK275" s="1226">
        <f t="shared" si="205"/>
        <v>500</v>
      </c>
      <c r="CL275" s="1267">
        <f>SUM(CL273:CL274)</f>
        <v>500</v>
      </c>
      <c r="CM275" s="1170"/>
      <c r="CN275" s="1170"/>
      <c r="CO275" s="1170"/>
      <c r="CP275" s="1170"/>
      <c r="CQ275" s="1170"/>
      <c r="CR275" s="1170"/>
      <c r="CS275" s="1170"/>
      <c r="CT275" s="1198"/>
      <c r="CU275" s="1198"/>
    </row>
    <row r="276" spans="1:99" ht="12.75" customHeight="1">
      <c r="A276" s="1595"/>
      <c r="B276" s="1198"/>
      <c r="C276" s="1198"/>
      <c r="D276" s="1198"/>
      <c r="E276" s="1198"/>
      <c r="F276" s="1198"/>
      <c r="G276" s="1198"/>
      <c r="H276" s="1198"/>
      <c r="I276" s="1198"/>
      <c r="J276" s="1198"/>
      <c r="K276" s="1198"/>
      <c r="L276" s="1198"/>
      <c r="M276" s="1198"/>
      <c r="N276" s="1198"/>
      <c r="O276" s="1198"/>
      <c r="P276" s="1307"/>
      <c r="Q276" s="1426"/>
      <c r="R276" s="1307"/>
      <c r="S276" s="1307"/>
      <c r="T276" s="1507"/>
      <c r="U276" s="1507"/>
      <c r="V276" s="1507"/>
      <c r="W276" s="1507"/>
      <c r="X276" s="1170"/>
      <c r="Y276" s="1170"/>
      <c r="Z276" s="1170"/>
      <c r="AA276" s="1170"/>
      <c r="AB276" s="1170"/>
      <c r="AC276" s="1170"/>
      <c r="AD276" s="1170"/>
      <c r="AE276" s="1170"/>
      <c r="AF276" s="1170"/>
      <c r="AG276" s="1170"/>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70"/>
      <c r="BK276" s="1170"/>
      <c r="BL276" s="1170"/>
      <c r="BM276" s="1170"/>
      <c r="BN276" s="1170"/>
      <c r="BO276" s="1170"/>
      <c r="BP276" s="1170"/>
      <c r="BQ276" s="1360"/>
      <c r="BR276" s="1170"/>
      <c r="BS276" s="1170"/>
      <c r="BT276" s="1170"/>
      <c r="BU276" s="1360"/>
      <c r="BV276" s="1170"/>
      <c r="BW276" s="1170"/>
      <c r="BX276" s="1170"/>
      <c r="BY276" s="1360"/>
      <c r="BZ276" s="1170"/>
      <c r="CA276" s="1198"/>
      <c r="CB276" s="1198"/>
      <c r="CC276" s="1226"/>
      <c r="CD276" s="1267"/>
      <c r="CE276" s="1226"/>
      <c r="CF276" s="1226"/>
      <c r="CG276" s="1226"/>
      <c r="CH276" s="1267"/>
      <c r="CI276" s="1226"/>
      <c r="CJ276" s="1226"/>
      <c r="CK276" s="1226"/>
      <c r="CL276" s="1267"/>
      <c r="CM276" s="1170"/>
      <c r="CN276" s="1170"/>
      <c r="CO276" s="1170"/>
      <c r="CP276" s="1170"/>
      <c r="CQ276" s="1170"/>
      <c r="CR276" s="1170"/>
      <c r="CS276" s="1170"/>
      <c r="CT276" s="1198"/>
      <c r="CU276" s="1198"/>
    </row>
    <row r="277" spans="1:99" ht="12.75" customHeight="1">
      <c r="A277" s="1575" t="s">
        <v>613</v>
      </c>
      <c r="B277" s="1591"/>
      <c r="C277" s="1591"/>
      <c r="D277" s="1591"/>
      <c r="E277" s="1591"/>
      <c r="F277" s="1591"/>
      <c r="G277" s="1591"/>
      <c r="H277" s="1591"/>
      <c r="I277" s="1591"/>
      <c r="J277" s="1591"/>
      <c r="K277" s="1591"/>
      <c r="L277" s="1591"/>
      <c r="M277" s="1591"/>
      <c r="N277" s="1591"/>
      <c r="O277" s="1591"/>
      <c r="P277" s="1591"/>
      <c r="Q277" s="1594"/>
      <c r="R277" s="1591"/>
      <c r="S277" s="1591"/>
      <c r="T277" s="1507"/>
      <c r="U277" s="1507"/>
      <c r="V277" s="1507"/>
      <c r="W277" s="1507"/>
      <c r="X277" s="1170"/>
      <c r="Y277" s="1170"/>
      <c r="Z277" s="1170"/>
      <c r="AA277" s="1170"/>
      <c r="AB277" s="1170"/>
      <c r="AC277" s="1170"/>
      <c r="AD277" s="1170"/>
      <c r="AE277" s="1170"/>
      <c r="AF277" s="1170"/>
      <c r="AG277" s="1170"/>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70"/>
      <c r="BK277" s="1170"/>
      <c r="BL277" s="1170"/>
      <c r="BM277" s="1170"/>
      <c r="BN277" s="1170"/>
      <c r="BO277" s="1170"/>
      <c r="BP277" s="1170"/>
      <c r="BQ277" s="1360"/>
      <c r="BR277" s="1170"/>
      <c r="BS277" s="1170"/>
      <c r="BT277" s="1170"/>
      <c r="BU277" s="1360"/>
      <c r="BV277" s="1170"/>
      <c r="BW277" s="1170"/>
      <c r="BX277" s="1170"/>
      <c r="BY277" s="1360"/>
      <c r="BZ277" s="1593"/>
      <c r="CA277" s="1591"/>
      <c r="CB277" s="1591"/>
      <c r="CC277" s="1591"/>
      <c r="CD277" s="1594"/>
      <c r="CE277" s="1591"/>
      <c r="CF277" s="1591"/>
      <c r="CG277" s="1591"/>
      <c r="CH277" s="1594"/>
      <c r="CI277" s="1591"/>
      <c r="CJ277" s="1591"/>
      <c r="CK277" s="1591"/>
      <c r="CL277" s="1594"/>
      <c r="CM277" s="1170"/>
      <c r="CN277" s="1170"/>
      <c r="CO277" s="1170"/>
      <c r="CP277" s="1170"/>
      <c r="CQ277" s="1170"/>
      <c r="CR277" s="1170"/>
      <c r="CS277" s="1170"/>
      <c r="CT277" s="1198"/>
      <c r="CU277" s="1198"/>
    </row>
    <row r="278" spans="1:99" ht="12.75" customHeight="1">
      <c r="A278" s="1595" t="s">
        <v>475</v>
      </c>
      <c r="B278" s="1198"/>
      <c r="C278" s="1198"/>
      <c r="D278" s="1198"/>
      <c r="E278" s="1198"/>
      <c r="F278" s="1198"/>
      <c r="G278" s="1198"/>
      <c r="H278" s="1198"/>
      <c r="I278" s="1198"/>
      <c r="J278" s="1198"/>
      <c r="K278" s="1198"/>
      <c r="L278" s="1198"/>
      <c r="M278" s="1198"/>
      <c r="N278" s="1198"/>
      <c r="O278" s="1198"/>
      <c r="P278" s="1198"/>
      <c r="Q278" s="1426">
        <f>P280</f>
        <v>0</v>
      </c>
      <c r="R278" s="1307">
        <f ca="1">Q280</f>
        <v>811</v>
      </c>
      <c r="S278" s="1307">
        <f ca="1">R280</f>
        <v>811</v>
      </c>
      <c r="T278" s="1507"/>
      <c r="U278" s="1507"/>
      <c r="V278" s="1507"/>
      <c r="W278" s="1507"/>
      <c r="X278" s="1170"/>
      <c r="Y278" s="1170"/>
      <c r="Z278" s="1170"/>
      <c r="AA278" s="1170"/>
      <c r="AB278" s="1170"/>
      <c r="AC278" s="1170"/>
      <c r="AD278" s="1170"/>
      <c r="AE278" s="1170"/>
      <c r="AF278" s="1170"/>
      <c r="AG278" s="1170"/>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70"/>
      <c r="BK278" s="1170"/>
      <c r="BL278" s="1170"/>
      <c r="BM278" s="1170"/>
      <c r="BN278" s="1170"/>
      <c r="BO278" s="1170"/>
      <c r="BP278" s="1170"/>
      <c r="BQ278" s="1360"/>
      <c r="BR278" s="1170"/>
      <c r="BS278" s="1170"/>
      <c r="BT278" s="1170"/>
      <c r="BU278" s="1360"/>
      <c r="BV278" s="1170"/>
      <c r="BW278" s="1170"/>
      <c r="BX278" s="1170"/>
      <c r="BY278" s="1360"/>
      <c r="BZ278" s="1170"/>
      <c r="CA278" s="1198"/>
      <c r="CB278" s="1198"/>
      <c r="CC278" s="1198"/>
      <c r="CD278" s="1267">
        <f t="shared" ref="CD278:CK278" si="206">CC280</f>
        <v>0</v>
      </c>
      <c r="CE278" s="1226">
        <f t="shared" si="206"/>
        <v>0</v>
      </c>
      <c r="CF278" s="1226">
        <f t="shared" ca="1" si="206"/>
        <v>811</v>
      </c>
      <c r="CG278" s="1226">
        <f t="shared" ca="1" si="206"/>
        <v>811</v>
      </c>
      <c r="CH278" s="1267">
        <f t="shared" ca="1" si="206"/>
        <v>811</v>
      </c>
      <c r="CI278" s="1226">
        <f t="shared" ca="1" si="206"/>
        <v>811</v>
      </c>
      <c r="CJ278" s="1226">
        <f t="shared" ca="1" si="206"/>
        <v>811</v>
      </c>
      <c r="CK278" s="1226">
        <f t="shared" ca="1" si="206"/>
        <v>811</v>
      </c>
      <c r="CL278" s="1267">
        <f ca="1">CK280</f>
        <v>811</v>
      </c>
      <c r="CM278" s="1170"/>
      <c r="CN278" s="1170"/>
      <c r="CO278" s="1170"/>
      <c r="CP278" s="1170"/>
      <c r="CQ278" s="1170"/>
      <c r="CR278" s="1170"/>
      <c r="CS278" s="1170"/>
      <c r="CT278" s="1198"/>
      <c r="CU278" s="1198"/>
    </row>
    <row r="279" spans="1:99" ht="12.75" customHeight="1">
      <c r="A279" s="1595" t="s">
        <v>593</v>
      </c>
      <c r="B279" s="1198"/>
      <c r="C279" s="1198"/>
      <c r="D279" s="1198"/>
      <c r="E279" s="1198"/>
      <c r="F279" s="1198"/>
      <c r="G279" s="1198"/>
      <c r="H279" s="1198"/>
      <c r="I279" s="1198"/>
      <c r="J279" s="1198"/>
      <c r="K279" s="1198"/>
      <c r="L279" s="1198"/>
      <c r="M279" s="1198"/>
      <c r="N279" s="1198"/>
      <c r="O279" s="1198"/>
      <c r="P279" s="1198"/>
      <c r="Q279" s="1596">
        <f ca="1">+SUM(CD279:CG279)</f>
        <v>811</v>
      </c>
      <c r="R279" s="1453">
        <f>+SUM(CH279:CK279)</f>
        <v>0</v>
      </c>
      <c r="S279" s="1602"/>
      <c r="T279" s="1507"/>
      <c r="U279" s="1507"/>
      <c r="V279" s="1507"/>
      <c r="W279" s="1507"/>
      <c r="X279" s="1170"/>
      <c r="Y279" s="1170"/>
      <c r="Z279" s="1170"/>
      <c r="AA279" s="1170"/>
      <c r="AB279" s="1170"/>
      <c r="AC279" s="1170"/>
      <c r="AD279" s="1170"/>
      <c r="AE279" s="1170"/>
      <c r="AF279" s="1170"/>
      <c r="AG279" s="1170"/>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70"/>
      <c r="BK279" s="1170"/>
      <c r="BL279" s="1170"/>
      <c r="BM279" s="1170"/>
      <c r="BN279" s="1170"/>
      <c r="BO279" s="1170"/>
      <c r="BP279" s="1170"/>
      <c r="BQ279" s="1360"/>
      <c r="BR279" s="1170"/>
      <c r="BS279" s="1170"/>
      <c r="BT279" s="1170"/>
      <c r="BU279" s="1360"/>
      <c r="BV279" s="1170"/>
      <c r="BW279" s="1170"/>
      <c r="BX279" s="1170"/>
      <c r="BY279" s="1360"/>
      <c r="BZ279" s="1170"/>
      <c r="CA279" s="1198"/>
      <c r="CB279" s="1198"/>
      <c r="CC279" s="1198"/>
      <c r="CD279" s="1359"/>
      <c r="CE279" s="1226">
        <f ca="1">+Q279</f>
        <v>811</v>
      </c>
      <c r="CF279" s="1602"/>
      <c r="CG279" s="1198"/>
      <c r="CH279" s="1359"/>
      <c r="CI279" s="1198"/>
      <c r="CJ279" s="1198"/>
      <c r="CK279" s="1198"/>
      <c r="CL279" s="1359"/>
      <c r="CM279" s="1170"/>
      <c r="CN279" s="1170"/>
      <c r="CO279" s="1170"/>
      <c r="CP279" s="1170"/>
      <c r="CQ279" s="1170"/>
      <c r="CR279" s="1170"/>
      <c r="CS279" s="1170"/>
      <c r="CT279" s="1198"/>
      <c r="CU279" s="1198"/>
    </row>
    <row r="280" spans="1:99" ht="12.75" customHeight="1">
      <c r="A280" s="1595" t="s">
        <v>476</v>
      </c>
      <c r="B280" s="1198"/>
      <c r="C280" s="1198"/>
      <c r="D280" s="1198"/>
      <c r="E280" s="1198"/>
      <c r="F280" s="1198"/>
      <c r="G280" s="1198"/>
      <c r="H280" s="1198"/>
      <c r="I280" s="1198"/>
      <c r="J280" s="1198"/>
      <c r="K280" s="1198"/>
      <c r="L280" s="1198"/>
      <c r="M280" s="1198"/>
      <c r="N280" s="1198"/>
      <c r="O280" s="1198"/>
      <c r="P280" s="1198"/>
      <c r="Q280" s="1218">
        <f ca="1">+CG280</f>
        <v>811</v>
      </c>
      <c r="R280" s="1226">
        <f ca="1">+CK280</f>
        <v>811</v>
      </c>
      <c r="S280" s="1307">
        <f ca="1">S279+S278</f>
        <v>811</v>
      </c>
      <c r="T280" s="1507"/>
      <c r="U280" s="1507"/>
      <c r="V280" s="1507"/>
      <c r="W280" s="1507"/>
      <c r="X280" s="1170"/>
      <c r="Y280" s="1170"/>
      <c r="Z280" s="1170"/>
      <c r="AA280" s="1170"/>
      <c r="AB280" s="1170"/>
      <c r="AC280" s="1170"/>
      <c r="AD280" s="1170"/>
      <c r="AE280" s="1170"/>
      <c r="AF280" s="1170"/>
      <c r="AG280" s="1170"/>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70"/>
      <c r="BK280" s="1170"/>
      <c r="BL280" s="1170"/>
      <c r="BM280" s="1170"/>
      <c r="BN280" s="1170"/>
      <c r="BO280" s="1170"/>
      <c r="BP280" s="1170"/>
      <c r="BQ280" s="1360"/>
      <c r="BR280" s="1170"/>
      <c r="BS280" s="1170"/>
      <c r="BT280" s="1170"/>
      <c r="BU280" s="1360"/>
      <c r="BV280" s="1170"/>
      <c r="BW280" s="1170"/>
      <c r="BX280" s="1170"/>
      <c r="BY280" s="1360"/>
      <c r="BZ280" s="1170"/>
      <c r="CA280" s="1198"/>
      <c r="CB280" s="1198"/>
      <c r="CC280" s="1226"/>
      <c r="CD280" s="1267">
        <f>+P280</f>
        <v>0</v>
      </c>
      <c r="CE280" s="1226">
        <f t="shared" ref="CE280:CK280" ca="1" si="207">SUM(CE278:CE279)</f>
        <v>811</v>
      </c>
      <c r="CF280" s="1226">
        <f t="shared" ca="1" si="207"/>
        <v>811</v>
      </c>
      <c r="CG280" s="1226">
        <f t="shared" ca="1" si="207"/>
        <v>811</v>
      </c>
      <c r="CH280" s="1267">
        <f t="shared" ca="1" si="207"/>
        <v>811</v>
      </c>
      <c r="CI280" s="1226">
        <f t="shared" ca="1" si="207"/>
        <v>811</v>
      </c>
      <c r="CJ280" s="1226">
        <f t="shared" ca="1" si="207"/>
        <v>811</v>
      </c>
      <c r="CK280" s="1226">
        <f t="shared" ca="1" si="207"/>
        <v>811</v>
      </c>
      <c r="CL280" s="1267">
        <f ca="1">SUM(CL278:CL279)</f>
        <v>811</v>
      </c>
      <c r="CM280" s="1170"/>
      <c r="CN280" s="1170"/>
      <c r="CO280" s="1170"/>
      <c r="CP280" s="1170"/>
      <c r="CQ280" s="1170"/>
      <c r="CR280" s="1170"/>
      <c r="CS280" s="1170"/>
      <c r="CT280" s="1198"/>
      <c r="CU280" s="1198"/>
    </row>
    <row r="281" spans="1:99" ht="12.75" customHeight="1">
      <c r="A281" s="1595"/>
      <c r="B281" s="1198"/>
      <c r="C281" s="1198"/>
      <c r="D281" s="1198"/>
      <c r="E281" s="1198"/>
      <c r="F281" s="1198"/>
      <c r="G281" s="1198"/>
      <c r="H281" s="1198"/>
      <c r="I281" s="1198"/>
      <c r="J281" s="1198"/>
      <c r="K281" s="1198"/>
      <c r="L281" s="1198"/>
      <c r="M281" s="1198"/>
      <c r="N281" s="1198"/>
      <c r="O281" s="1198"/>
      <c r="P281" s="1307"/>
      <c r="Q281" s="1426"/>
      <c r="R281" s="1307"/>
      <c r="S281" s="1307"/>
      <c r="T281" s="1507"/>
      <c r="U281" s="1507"/>
      <c r="V281" s="1507"/>
      <c r="W281" s="1507"/>
      <c r="X281" s="1170"/>
      <c r="Y281" s="1170"/>
      <c r="Z281" s="1170"/>
      <c r="AA281" s="1170"/>
      <c r="AB281" s="1170"/>
      <c r="AC281" s="1170"/>
      <c r="AD281" s="1170"/>
      <c r="AE281" s="1170"/>
      <c r="AF281" s="1170"/>
      <c r="AG281" s="1170"/>
      <c r="AH281" s="1170"/>
      <c r="AI281" s="1170"/>
      <c r="AJ281" s="1170"/>
      <c r="AK281" s="1170"/>
      <c r="AL281" s="1170"/>
      <c r="AM281" s="1170"/>
      <c r="AN281" s="1170"/>
      <c r="AO281" s="1170"/>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170"/>
      <c r="BK281" s="1170"/>
      <c r="BL281" s="1170"/>
      <c r="BM281" s="1170"/>
      <c r="BN281" s="1170"/>
      <c r="BO281" s="1170"/>
      <c r="BP281" s="1170"/>
      <c r="BQ281" s="1360"/>
      <c r="BR281" s="1170"/>
      <c r="BS281" s="1170"/>
      <c r="BT281" s="1170"/>
      <c r="BU281" s="1360"/>
      <c r="BV281" s="1170"/>
      <c r="BW281" s="1170"/>
      <c r="BX281" s="1170"/>
      <c r="BY281" s="1360"/>
      <c r="BZ281" s="1170"/>
      <c r="CA281" s="1198"/>
      <c r="CB281" s="1198"/>
      <c r="CC281" s="1226"/>
      <c r="CD281" s="1267"/>
      <c r="CE281" s="1226"/>
      <c r="CF281" s="1226"/>
      <c r="CG281" s="1226"/>
      <c r="CH281" s="1267"/>
      <c r="CI281" s="1226"/>
      <c r="CJ281" s="1226"/>
      <c r="CK281" s="1226"/>
      <c r="CL281" s="1267"/>
      <c r="CM281" s="1170"/>
      <c r="CN281" s="1170"/>
      <c r="CO281" s="1170"/>
      <c r="CP281" s="1170"/>
      <c r="CQ281" s="1170"/>
      <c r="CR281" s="1170"/>
      <c r="CS281" s="1170"/>
      <c r="CT281" s="1198"/>
      <c r="CU281" s="1198"/>
    </row>
    <row r="282" spans="1:99" ht="12.75" customHeight="1">
      <c r="A282" s="1575" t="s">
        <v>614</v>
      </c>
      <c r="B282" s="1591"/>
      <c r="C282" s="1591"/>
      <c r="D282" s="1591"/>
      <c r="E282" s="1591"/>
      <c r="F282" s="1591"/>
      <c r="G282" s="1591"/>
      <c r="H282" s="1591"/>
      <c r="I282" s="1591"/>
      <c r="J282" s="1591"/>
      <c r="K282" s="1591"/>
      <c r="L282" s="1591"/>
      <c r="M282" s="1591"/>
      <c r="N282" s="1591"/>
      <c r="O282" s="1591"/>
      <c r="P282" s="1591"/>
      <c r="Q282" s="1594"/>
      <c r="R282" s="1591"/>
      <c r="S282" s="1591"/>
      <c r="T282" s="1507"/>
      <c r="U282" s="1507"/>
      <c r="V282" s="1507"/>
      <c r="W282" s="1507"/>
      <c r="X282" s="1170"/>
      <c r="Y282" s="1170"/>
      <c r="Z282" s="1170"/>
      <c r="AA282" s="1170"/>
      <c r="AB282" s="1170"/>
      <c r="AC282" s="1170"/>
      <c r="AD282" s="1170"/>
      <c r="AE282" s="1170"/>
      <c r="AF282" s="1170"/>
      <c r="AG282" s="1170"/>
      <c r="AH282" s="1170"/>
      <c r="AI282" s="1170"/>
      <c r="AJ282" s="1170"/>
      <c r="AK282" s="1170"/>
      <c r="AL282" s="1170"/>
      <c r="AM282" s="1170"/>
      <c r="AN282" s="1170"/>
      <c r="AO282" s="1170"/>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170"/>
      <c r="BK282" s="1170"/>
      <c r="BL282" s="1170"/>
      <c r="BM282" s="1170"/>
      <c r="BN282" s="1170"/>
      <c r="BO282" s="1170"/>
      <c r="BP282" s="1170"/>
      <c r="BQ282" s="1360"/>
      <c r="BR282" s="1170"/>
      <c r="BS282" s="1170"/>
      <c r="BT282" s="1170"/>
      <c r="BU282" s="1360"/>
      <c r="BV282" s="1170"/>
      <c r="BW282" s="1170"/>
      <c r="BX282" s="1170"/>
      <c r="BY282" s="1360"/>
      <c r="BZ282" s="1593"/>
      <c r="CA282" s="1591"/>
      <c r="CB282" s="1591"/>
      <c r="CC282" s="1591"/>
      <c r="CD282" s="1594"/>
      <c r="CE282" s="1591"/>
      <c r="CF282" s="1591"/>
      <c r="CG282" s="1591"/>
      <c r="CH282" s="1594"/>
      <c r="CI282" s="1591"/>
      <c r="CJ282" s="1591"/>
      <c r="CK282" s="1591"/>
      <c r="CL282" s="1594"/>
      <c r="CM282" s="1170"/>
      <c r="CN282" s="1170"/>
      <c r="CO282" s="1170"/>
      <c r="CP282" s="1170"/>
      <c r="CQ282" s="1170"/>
      <c r="CR282" s="1170"/>
      <c r="CS282" s="1170"/>
      <c r="CT282" s="1198"/>
      <c r="CU282" s="1198"/>
    </row>
    <row r="283" spans="1:99" ht="12.75" customHeight="1">
      <c r="A283" s="1595" t="s">
        <v>475</v>
      </c>
      <c r="B283" s="1198"/>
      <c r="C283" s="1198"/>
      <c r="D283" s="1198"/>
      <c r="E283" s="1198"/>
      <c r="F283" s="1198"/>
      <c r="G283" s="1198"/>
      <c r="H283" s="1198"/>
      <c r="I283" s="1198"/>
      <c r="J283" s="1198"/>
      <c r="K283" s="1198"/>
      <c r="L283" s="1198"/>
      <c r="M283" s="1198"/>
      <c r="N283" s="1198"/>
      <c r="O283" s="1198"/>
      <c r="P283" s="1198"/>
      <c r="Q283" s="1426">
        <f>P285</f>
        <v>484</v>
      </c>
      <c r="R283" s="1307">
        <f>Q285</f>
        <v>484</v>
      </c>
      <c r="S283" s="1307">
        <f>R285</f>
        <v>484</v>
      </c>
      <c r="T283" s="1507"/>
      <c r="U283" s="1507"/>
      <c r="V283" s="1507"/>
      <c r="W283" s="1507"/>
      <c r="X283" s="1170"/>
      <c r="Y283" s="1170"/>
      <c r="Z283" s="1170"/>
      <c r="AA283" s="1170"/>
      <c r="AB283" s="1170"/>
      <c r="AC283" s="1170"/>
      <c r="AD283" s="1170"/>
      <c r="AE283" s="1170"/>
      <c r="AF283" s="1170"/>
      <c r="AG283" s="1170"/>
      <c r="AH283" s="1170"/>
      <c r="AI283" s="1170"/>
      <c r="AJ283" s="1170"/>
      <c r="AK283" s="1170"/>
      <c r="AL283" s="1170"/>
      <c r="AM283" s="1170"/>
      <c r="AN283" s="1170"/>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70"/>
      <c r="BK283" s="1170"/>
      <c r="BL283" s="1170"/>
      <c r="BM283" s="1170"/>
      <c r="BN283" s="1170"/>
      <c r="BO283" s="1170"/>
      <c r="BP283" s="1170"/>
      <c r="BQ283" s="1360"/>
      <c r="BR283" s="1170"/>
      <c r="BS283" s="1170"/>
      <c r="BT283" s="1170"/>
      <c r="BU283" s="1360"/>
      <c r="BV283" s="1170"/>
      <c r="BW283" s="1170"/>
      <c r="BX283" s="1170"/>
      <c r="BY283" s="1360"/>
      <c r="BZ283" s="1170"/>
      <c r="CA283" s="1198"/>
      <c r="CB283" s="1198"/>
      <c r="CC283" s="1198"/>
      <c r="CD283" s="1267">
        <f t="shared" ref="CD283:CK283" si="208">CC285</f>
        <v>484</v>
      </c>
      <c r="CE283" s="1226">
        <f t="shared" si="208"/>
        <v>484</v>
      </c>
      <c r="CF283" s="1226">
        <f t="shared" si="208"/>
        <v>484</v>
      </c>
      <c r="CG283" s="1226">
        <f t="shared" si="208"/>
        <v>484</v>
      </c>
      <c r="CH283" s="1267">
        <f t="shared" si="208"/>
        <v>484</v>
      </c>
      <c r="CI283" s="1226">
        <f t="shared" si="208"/>
        <v>484</v>
      </c>
      <c r="CJ283" s="1226">
        <f t="shared" si="208"/>
        <v>484</v>
      </c>
      <c r="CK283" s="1226">
        <f t="shared" si="208"/>
        <v>484</v>
      </c>
      <c r="CL283" s="1267">
        <f>CK285</f>
        <v>484</v>
      </c>
      <c r="CM283" s="1170"/>
      <c r="CN283" s="1170"/>
      <c r="CO283" s="1170"/>
      <c r="CP283" s="1170"/>
      <c r="CQ283" s="1170"/>
      <c r="CR283" s="1170"/>
      <c r="CS283" s="1170"/>
      <c r="CT283" s="1198"/>
      <c r="CU283" s="1198"/>
    </row>
    <row r="284" spans="1:99" ht="12.75" customHeight="1">
      <c r="A284" s="1595" t="s">
        <v>593</v>
      </c>
      <c r="B284" s="1198"/>
      <c r="C284" s="1198"/>
      <c r="D284" s="1198"/>
      <c r="E284" s="1198"/>
      <c r="F284" s="1198"/>
      <c r="G284" s="1198"/>
      <c r="H284" s="1198"/>
      <c r="I284" s="1198"/>
      <c r="J284" s="1198"/>
      <c r="K284" s="1198"/>
      <c r="L284" s="1198"/>
      <c r="M284" s="1198"/>
      <c r="N284" s="1198"/>
      <c r="O284" s="1198"/>
      <c r="P284" s="1198"/>
      <c r="Q284" s="1596">
        <f>+SUM(CD284:CG284)</f>
        <v>0</v>
      </c>
      <c r="R284" s="1453">
        <f>+SUM(CH284:CK284)</f>
        <v>0</v>
      </c>
      <c r="S284" s="1602"/>
      <c r="T284" s="1507"/>
      <c r="U284" s="1507"/>
      <c r="V284" s="1507"/>
      <c r="W284" s="1507"/>
      <c r="X284" s="1170"/>
      <c r="Y284" s="1170"/>
      <c r="Z284" s="1170"/>
      <c r="AA284" s="1170"/>
      <c r="AB284" s="1170"/>
      <c r="AC284" s="1170"/>
      <c r="AD284" s="1170"/>
      <c r="AE284" s="1170"/>
      <c r="AF284" s="1170"/>
      <c r="AG284" s="1170"/>
      <c r="AH284" s="1170"/>
      <c r="AI284" s="1170"/>
      <c r="AJ284" s="1170"/>
      <c r="AK284" s="1170"/>
      <c r="AL284" s="1170"/>
      <c r="AM284" s="1170"/>
      <c r="AN284" s="1170"/>
      <c r="AO284" s="1170"/>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70"/>
      <c r="BK284" s="1170"/>
      <c r="BL284" s="1170"/>
      <c r="BM284" s="1170"/>
      <c r="BN284" s="1170"/>
      <c r="BO284" s="1170"/>
      <c r="BP284" s="1170"/>
      <c r="BQ284" s="1360"/>
      <c r="BR284" s="1170"/>
      <c r="BS284" s="1170"/>
      <c r="BT284" s="1170"/>
      <c r="BU284" s="1360"/>
      <c r="BV284" s="1170"/>
      <c r="BW284" s="1170"/>
      <c r="BX284" s="1170"/>
      <c r="BY284" s="1360"/>
      <c r="BZ284" s="1170"/>
      <c r="CA284" s="1198"/>
      <c r="CB284" s="1198"/>
      <c r="CC284" s="1198"/>
      <c r="CD284" s="1359"/>
      <c r="CE284" s="1198"/>
      <c r="CF284" s="1602"/>
      <c r="CG284" s="1198"/>
      <c r="CH284" s="1359"/>
      <c r="CI284" s="1198"/>
      <c r="CJ284" s="1198"/>
      <c r="CK284" s="1198"/>
      <c r="CL284" s="1359"/>
      <c r="CM284" s="1170"/>
      <c r="CN284" s="1170"/>
      <c r="CO284" s="1170"/>
      <c r="CP284" s="1170"/>
      <c r="CQ284" s="1170"/>
      <c r="CR284" s="1170"/>
      <c r="CS284" s="1170"/>
      <c r="CT284" s="1198"/>
      <c r="CU284" s="1198"/>
    </row>
    <row r="285" spans="1:99" ht="12.75" customHeight="1">
      <c r="A285" s="1595" t="s">
        <v>476</v>
      </c>
      <c r="B285" s="1198"/>
      <c r="C285" s="1198"/>
      <c r="D285" s="1198"/>
      <c r="E285" s="1198"/>
      <c r="F285" s="1198"/>
      <c r="G285" s="1198"/>
      <c r="H285" s="1198"/>
      <c r="I285" s="1198"/>
      <c r="J285" s="1198"/>
      <c r="K285" s="1198"/>
      <c r="L285" s="1198"/>
      <c r="M285" s="1198"/>
      <c r="N285" s="1198"/>
      <c r="O285" s="1198"/>
      <c r="P285" s="1307">
        <v>484</v>
      </c>
      <c r="Q285" s="1218">
        <f>+CG285</f>
        <v>484</v>
      </c>
      <c r="R285" s="1226">
        <f>+CK285</f>
        <v>484</v>
      </c>
      <c r="S285" s="1307">
        <f>S284+S283</f>
        <v>484</v>
      </c>
      <c r="T285" s="1507"/>
      <c r="U285" s="1507"/>
      <c r="V285" s="1507"/>
      <c r="W285" s="1507"/>
      <c r="X285" s="1170"/>
      <c r="Y285" s="1170"/>
      <c r="Z285" s="1170"/>
      <c r="AA285" s="1170"/>
      <c r="AB285" s="1170"/>
      <c r="AC285" s="1170"/>
      <c r="AD285" s="1170"/>
      <c r="AE285" s="1170"/>
      <c r="AF285" s="1170"/>
      <c r="AG285" s="1170"/>
      <c r="AH285" s="1170"/>
      <c r="AI285" s="1170"/>
      <c r="AJ285" s="1170"/>
      <c r="AK285" s="1170"/>
      <c r="AL285" s="1170"/>
      <c r="AM285" s="1170"/>
      <c r="AN285" s="1170"/>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360"/>
      <c r="BR285" s="1170"/>
      <c r="BS285" s="1170"/>
      <c r="BT285" s="1170"/>
      <c r="BU285" s="1360"/>
      <c r="BV285" s="1170"/>
      <c r="BW285" s="1170"/>
      <c r="BX285" s="1170"/>
      <c r="BY285" s="1360"/>
      <c r="BZ285" s="1170"/>
      <c r="CA285" s="1198"/>
      <c r="CB285" s="1198"/>
      <c r="CC285" s="1226">
        <f>P285</f>
        <v>484</v>
      </c>
      <c r="CD285" s="1267">
        <f t="shared" ref="CD285:CK285" si="209">SUM(CD283:CD284)</f>
        <v>484</v>
      </c>
      <c r="CE285" s="1226">
        <f t="shared" si="209"/>
        <v>484</v>
      </c>
      <c r="CF285" s="1226">
        <f t="shared" si="209"/>
        <v>484</v>
      </c>
      <c r="CG285" s="1226">
        <f t="shared" si="209"/>
        <v>484</v>
      </c>
      <c r="CH285" s="1267">
        <f t="shared" si="209"/>
        <v>484</v>
      </c>
      <c r="CI285" s="1226">
        <f t="shared" si="209"/>
        <v>484</v>
      </c>
      <c r="CJ285" s="1226">
        <f t="shared" si="209"/>
        <v>484</v>
      </c>
      <c r="CK285" s="1226">
        <f t="shared" si="209"/>
        <v>484</v>
      </c>
      <c r="CL285" s="1267">
        <f>SUM(CL283:CL284)</f>
        <v>484</v>
      </c>
      <c r="CM285" s="1170"/>
      <c r="CN285" s="1170"/>
      <c r="CO285" s="1170"/>
      <c r="CP285" s="1170"/>
      <c r="CQ285" s="1170"/>
      <c r="CR285" s="1170"/>
      <c r="CS285" s="1170"/>
      <c r="CT285" s="1198"/>
      <c r="CU285" s="1198"/>
    </row>
    <row r="286" spans="1:99" ht="12.75" customHeight="1">
      <c r="A286" s="1595"/>
      <c r="B286" s="1198"/>
      <c r="C286" s="1198"/>
      <c r="D286" s="1198"/>
      <c r="E286" s="1198"/>
      <c r="F286" s="1198"/>
      <c r="G286" s="1198"/>
      <c r="H286" s="1198"/>
      <c r="I286" s="1198"/>
      <c r="J286" s="1198"/>
      <c r="K286" s="1198"/>
      <c r="L286" s="1198"/>
      <c r="M286" s="1198"/>
      <c r="N286" s="1198"/>
      <c r="O286" s="1198"/>
      <c r="P286" s="1307"/>
      <c r="Q286" s="1426"/>
      <c r="R286" s="1307"/>
      <c r="S286" s="1307"/>
      <c r="T286" s="1507"/>
      <c r="U286" s="1507"/>
      <c r="V286" s="1507"/>
      <c r="W286" s="1507"/>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360"/>
      <c r="BR286" s="1170"/>
      <c r="BS286" s="1170"/>
      <c r="BT286" s="1170"/>
      <c r="BU286" s="1360"/>
      <c r="BV286" s="1170"/>
      <c r="BW286" s="1170"/>
      <c r="BX286" s="1170"/>
      <c r="BY286" s="1360"/>
      <c r="BZ286" s="1170"/>
      <c r="CA286" s="1198"/>
      <c r="CB286" s="1198"/>
      <c r="CC286" s="1226"/>
      <c r="CD286" s="1267"/>
      <c r="CE286" s="1226"/>
      <c r="CF286" s="1226"/>
      <c r="CG286" s="1226"/>
      <c r="CH286" s="1267"/>
      <c r="CI286" s="1226"/>
      <c r="CJ286" s="1226"/>
      <c r="CK286" s="1226"/>
      <c r="CL286" s="1267"/>
      <c r="CM286" s="1170"/>
      <c r="CN286" s="1170"/>
      <c r="CO286" s="1170"/>
      <c r="CP286" s="1170"/>
      <c r="CQ286" s="1170"/>
      <c r="CR286" s="1170"/>
      <c r="CS286" s="1170"/>
      <c r="CT286" s="1198"/>
      <c r="CU286" s="1198"/>
    </row>
    <row r="287" spans="1:99" ht="12.75" customHeight="1">
      <c r="A287" s="1575" t="s">
        <v>615</v>
      </c>
      <c r="B287" s="1591"/>
      <c r="C287" s="1591"/>
      <c r="D287" s="1591"/>
      <c r="E287" s="1591"/>
      <c r="F287" s="1591"/>
      <c r="G287" s="1591"/>
      <c r="H287" s="1591"/>
      <c r="I287" s="1591"/>
      <c r="J287" s="1591"/>
      <c r="K287" s="1591"/>
      <c r="L287" s="1591"/>
      <c r="M287" s="1591"/>
      <c r="N287" s="1591"/>
      <c r="O287" s="1591"/>
      <c r="P287" s="1591"/>
      <c r="Q287" s="1594"/>
      <c r="R287" s="1591"/>
      <c r="S287" s="1591"/>
      <c r="T287" s="1507"/>
      <c r="U287" s="1507"/>
      <c r="V287" s="1507"/>
      <c r="W287" s="1507"/>
      <c r="X287" s="1170"/>
      <c r="Y287" s="1170"/>
      <c r="Z287" s="1170"/>
      <c r="AA287" s="1170"/>
      <c r="AB287" s="1170"/>
      <c r="AC287" s="1170"/>
      <c r="AD287" s="1170"/>
      <c r="AE287" s="1170"/>
      <c r="AF287" s="1170"/>
      <c r="AG287" s="1170"/>
      <c r="AH287" s="1170"/>
      <c r="AI287" s="1170"/>
      <c r="AJ287" s="1170"/>
      <c r="AK287" s="1170"/>
      <c r="AL287" s="1170"/>
      <c r="AM287" s="1170"/>
      <c r="AN287" s="1170"/>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360"/>
      <c r="BR287" s="1170"/>
      <c r="BS287" s="1170"/>
      <c r="BT287" s="1170"/>
      <c r="BU287" s="1360"/>
      <c r="BV287" s="1170"/>
      <c r="BW287" s="1170"/>
      <c r="BX287" s="1170"/>
      <c r="BY287" s="1360"/>
      <c r="BZ287" s="1593"/>
      <c r="CA287" s="1591"/>
      <c r="CB287" s="1591"/>
      <c r="CC287" s="1591"/>
      <c r="CD287" s="1594"/>
      <c r="CE287" s="1591"/>
      <c r="CF287" s="1591"/>
      <c r="CG287" s="1591"/>
      <c r="CH287" s="1594"/>
      <c r="CI287" s="1591"/>
      <c r="CJ287" s="1591"/>
      <c r="CK287" s="1591"/>
      <c r="CL287" s="1594"/>
      <c r="CM287" s="1170"/>
      <c r="CN287" s="1170"/>
      <c r="CO287" s="1170"/>
      <c r="CP287" s="1170"/>
      <c r="CQ287" s="1170"/>
      <c r="CR287" s="1170"/>
      <c r="CS287" s="1170"/>
      <c r="CT287" s="1198"/>
      <c r="CU287" s="1198"/>
    </row>
    <row r="288" spans="1:99" ht="12.75" customHeight="1">
      <c r="A288" s="1595" t="s">
        <v>475</v>
      </c>
      <c r="B288" s="1198"/>
      <c r="C288" s="1198"/>
      <c r="D288" s="1198"/>
      <c r="E288" s="1198"/>
      <c r="F288" s="1198"/>
      <c r="G288" s="1198"/>
      <c r="H288" s="1198"/>
      <c r="I288" s="1198"/>
      <c r="J288" s="1198"/>
      <c r="K288" s="1198"/>
      <c r="L288" s="1198"/>
      <c r="M288" s="1198"/>
      <c r="N288" s="1198"/>
      <c r="O288" s="1198"/>
      <c r="P288" s="1198"/>
      <c r="Q288" s="1426">
        <f>P290</f>
        <v>250</v>
      </c>
      <c r="R288" s="1307">
        <f>Q290</f>
        <v>250</v>
      </c>
      <c r="S288" s="1307">
        <f>R290</f>
        <v>250</v>
      </c>
      <c r="T288" s="1507"/>
      <c r="U288" s="1507"/>
      <c r="V288" s="1507"/>
      <c r="W288" s="1507"/>
      <c r="X288" s="1170"/>
      <c r="Y288" s="1170"/>
      <c r="Z288" s="1170"/>
      <c r="AA288" s="1170"/>
      <c r="AB288" s="1170"/>
      <c r="AC288" s="1170"/>
      <c r="AD288" s="1170"/>
      <c r="AE288" s="1170"/>
      <c r="AF288" s="1170"/>
      <c r="AG288" s="1170"/>
      <c r="AH288" s="1170"/>
      <c r="AI288" s="1170"/>
      <c r="AJ288" s="1170"/>
      <c r="AK288" s="1170"/>
      <c r="AL288" s="1170"/>
      <c r="AM288" s="1170"/>
      <c r="AN288" s="1170"/>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360"/>
      <c r="BR288" s="1170"/>
      <c r="BS288" s="1170"/>
      <c r="BT288" s="1170"/>
      <c r="BU288" s="1360"/>
      <c r="BV288" s="1170"/>
      <c r="BW288" s="1170"/>
      <c r="BX288" s="1170"/>
      <c r="BY288" s="1360"/>
      <c r="BZ288" s="1170"/>
      <c r="CA288" s="1198"/>
      <c r="CB288" s="1198"/>
      <c r="CC288" s="1198"/>
      <c r="CD288" s="1267">
        <f t="shared" ref="CD288:CK288" si="210">CC290</f>
        <v>250</v>
      </c>
      <c r="CE288" s="1226">
        <f t="shared" si="210"/>
        <v>250</v>
      </c>
      <c r="CF288" s="1226">
        <f t="shared" si="210"/>
        <v>250</v>
      </c>
      <c r="CG288" s="1226">
        <f t="shared" si="210"/>
        <v>250</v>
      </c>
      <c r="CH288" s="1267">
        <f t="shared" si="210"/>
        <v>250</v>
      </c>
      <c r="CI288" s="1226">
        <f t="shared" si="210"/>
        <v>250</v>
      </c>
      <c r="CJ288" s="1226">
        <f t="shared" si="210"/>
        <v>250</v>
      </c>
      <c r="CK288" s="1226">
        <f t="shared" si="210"/>
        <v>250</v>
      </c>
      <c r="CL288" s="1267">
        <f>CK290</f>
        <v>250</v>
      </c>
      <c r="CM288" s="1170"/>
      <c r="CN288" s="1170"/>
      <c r="CO288" s="1170"/>
      <c r="CP288" s="1170"/>
      <c r="CQ288" s="1170"/>
      <c r="CR288" s="1170"/>
      <c r="CS288" s="1170"/>
      <c r="CT288" s="1198"/>
      <c r="CU288" s="1198"/>
    </row>
    <row r="289" spans="1:99" ht="12.75" customHeight="1">
      <c r="A289" s="1595" t="s">
        <v>593</v>
      </c>
      <c r="B289" s="1198"/>
      <c r="C289" s="1198"/>
      <c r="D289" s="1198"/>
      <c r="E289" s="1198"/>
      <c r="F289" s="1198"/>
      <c r="G289" s="1198"/>
      <c r="H289" s="1198"/>
      <c r="I289" s="1198"/>
      <c r="J289" s="1198"/>
      <c r="K289" s="1198"/>
      <c r="L289" s="1198"/>
      <c r="M289" s="1198"/>
      <c r="N289" s="1198"/>
      <c r="O289" s="1198"/>
      <c r="P289" s="1198"/>
      <c r="Q289" s="1596">
        <f>+SUM(CD289:CG289)</f>
        <v>0</v>
      </c>
      <c r="R289" s="1453">
        <f>+SUM(CH289:CK289)</f>
        <v>0</v>
      </c>
      <c r="S289" s="1602"/>
      <c r="T289" s="1507"/>
      <c r="U289" s="1507"/>
      <c r="V289" s="1507"/>
      <c r="W289" s="1507"/>
      <c r="X289" s="1170"/>
      <c r="Y289" s="1170"/>
      <c r="Z289" s="1170"/>
      <c r="AA289" s="1170"/>
      <c r="AB289" s="1170"/>
      <c r="AC289" s="1170"/>
      <c r="AD289" s="1170"/>
      <c r="AE289" s="1170"/>
      <c r="AF289" s="1170"/>
      <c r="AG289" s="1170"/>
      <c r="AH289" s="1170"/>
      <c r="AI289" s="1170"/>
      <c r="AJ289" s="1170"/>
      <c r="AK289" s="1170"/>
      <c r="AL289" s="1170"/>
      <c r="AM289" s="1170"/>
      <c r="AN289" s="1170"/>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360"/>
      <c r="BR289" s="1170"/>
      <c r="BS289" s="1170"/>
      <c r="BT289" s="1170"/>
      <c r="BU289" s="1360"/>
      <c r="BV289" s="1170"/>
      <c r="BW289" s="1170"/>
      <c r="BX289" s="1170"/>
      <c r="BY289" s="1360"/>
      <c r="BZ289" s="1170"/>
      <c r="CA289" s="1198"/>
      <c r="CB289" s="1198"/>
      <c r="CC289" s="1198"/>
      <c r="CD289" s="1359"/>
      <c r="CE289" s="1198"/>
      <c r="CF289" s="1602"/>
      <c r="CG289" s="1198"/>
      <c r="CH289" s="1359"/>
      <c r="CI289" s="1198"/>
      <c r="CJ289" s="1198"/>
      <c r="CK289" s="1198"/>
      <c r="CL289" s="1359"/>
      <c r="CM289" s="1170"/>
      <c r="CN289" s="1170"/>
      <c r="CO289" s="1170"/>
      <c r="CP289" s="1170"/>
      <c r="CQ289" s="1170"/>
      <c r="CR289" s="1170"/>
      <c r="CS289" s="1170"/>
      <c r="CT289" s="1198"/>
      <c r="CU289" s="1198"/>
    </row>
    <row r="290" spans="1:99" ht="12.75" customHeight="1">
      <c r="A290" s="1595" t="s">
        <v>476</v>
      </c>
      <c r="B290" s="1198"/>
      <c r="C290" s="1198"/>
      <c r="D290" s="1198"/>
      <c r="E290" s="1198"/>
      <c r="F290" s="1198"/>
      <c r="G290" s="1198"/>
      <c r="H290" s="1198"/>
      <c r="I290" s="1198"/>
      <c r="J290" s="1198"/>
      <c r="K290" s="1198"/>
      <c r="L290" s="1198"/>
      <c r="M290" s="1198"/>
      <c r="N290" s="1198"/>
      <c r="O290" s="1198"/>
      <c r="P290" s="1307">
        <v>250</v>
      </c>
      <c r="Q290" s="1218">
        <f>+CG290</f>
        <v>250</v>
      </c>
      <c r="R290" s="1226">
        <f>+CK290</f>
        <v>250</v>
      </c>
      <c r="S290" s="1307">
        <f>S289+S288</f>
        <v>250</v>
      </c>
      <c r="T290" s="1507"/>
      <c r="U290" s="1507"/>
      <c r="V290" s="1507"/>
      <c r="W290" s="1507"/>
      <c r="X290" s="1170"/>
      <c r="Y290" s="1170"/>
      <c r="Z290" s="1170"/>
      <c r="AA290" s="1170"/>
      <c r="AB290" s="1170"/>
      <c r="AC290" s="1170"/>
      <c r="AD290" s="1170"/>
      <c r="AE290" s="1170"/>
      <c r="AF290" s="1170"/>
      <c r="AG290" s="1170"/>
      <c r="AH290" s="1170"/>
      <c r="AI290" s="1170"/>
      <c r="AJ290" s="1170"/>
      <c r="AK290" s="1170"/>
      <c r="AL290" s="1170"/>
      <c r="AM290" s="1170"/>
      <c r="AN290" s="1170"/>
      <c r="AO290" s="1170"/>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360"/>
      <c r="BR290" s="1170"/>
      <c r="BS290" s="1170"/>
      <c r="BT290" s="1170"/>
      <c r="BU290" s="1360"/>
      <c r="BV290" s="1170"/>
      <c r="BW290" s="1170"/>
      <c r="BX290" s="1170"/>
      <c r="BY290" s="1360"/>
      <c r="BZ290" s="1170"/>
      <c r="CA290" s="1198"/>
      <c r="CB290" s="1198"/>
      <c r="CC290" s="1226">
        <f>P290</f>
        <v>250</v>
      </c>
      <c r="CD290" s="1267">
        <f t="shared" ref="CD290:CK290" si="211">SUM(CD288:CD289)</f>
        <v>250</v>
      </c>
      <c r="CE290" s="1226">
        <f t="shared" si="211"/>
        <v>250</v>
      </c>
      <c r="CF290" s="1226">
        <f t="shared" si="211"/>
        <v>250</v>
      </c>
      <c r="CG290" s="1226">
        <f t="shared" si="211"/>
        <v>250</v>
      </c>
      <c r="CH290" s="1267">
        <f t="shared" si="211"/>
        <v>250</v>
      </c>
      <c r="CI290" s="1226">
        <f t="shared" si="211"/>
        <v>250</v>
      </c>
      <c r="CJ290" s="1226">
        <f t="shared" si="211"/>
        <v>250</v>
      </c>
      <c r="CK290" s="1226">
        <f t="shared" si="211"/>
        <v>250</v>
      </c>
      <c r="CL290" s="1267">
        <f>SUM(CL288:CL289)</f>
        <v>250</v>
      </c>
      <c r="CM290" s="1170"/>
      <c r="CN290" s="1170"/>
      <c r="CO290" s="1170"/>
      <c r="CP290" s="1170"/>
      <c r="CQ290" s="1170"/>
      <c r="CR290" s="1170"/>
      <c r="CS290" s="1170"/>
      <c r="CT290" s="1198"/>
      <c r="CU290" s="1198"/>
    </row>
    <row r="291" spans="1:99" ht="12.75" customHeight="1">
      <c r="A291" s="1198"/>
      <c r="B291" s="1198"/>
      <c r="C291" s="1198"/>
      <c r="D291" s="1198"/>
      <c r="E291" s="1198"/>
      <c r="F291" s="1198"/>
      <c r="G291" s="1198"/>
      <c r="H291" s="1198"/>
      <c r="I291" s="1198"/>
      <c r="J291" s="1198"/>
      <c r="K291" s="1198"/>
      <c r="L291" s="1198"/>
      <c r="M291" s="1198"/>
      <c r="N291" s="1198"/>
      <c r="O291" s="1198"/>
      <c r="P291" s="1198"/>
      <c r="Q291" s="1359"/>
      <c r="R291" s="1198"/>
      <c r="S291" s="1198"/>
      <c r="T291" s="1507"/>
      <c r="U291" s="1507"/>
      <c r="V291" s="1507"/>
      <c r="W291" s="1507"/>
      <c r="X291" s="1170"/>
      <c r="Y291" s="1170"/>
      <c r="Z291" s="1170"/>
      <c r="AA291" s="1170"/>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360"/>
      <c r="BR291" s="1198"/>
      <c r="BS291" s="1198"/>
      <c r="BT291" s="1198"/>
      <c r="BU291" s="1360"/>
      <c r="BV291" s="1198"/>
      <c r="BW291" s="1198"/>
      <c r="BX291" s="1198"/>
      <c r="BY291" s="1360"/>
      <c r="BZ291" s="1198"/>
      <c r="CA291" s="1198"/>
      <c r="CB291" s="1198"/>
      <c r="CC291" s="1198"/>
      <c r="CD291" s="1359"/>
      <c r="CE291" s="1198"/>
      <c r="CF291" s="1198"/>
      <c r="CG291" s="1198"/>
      <c r="CH291" s="1359"/>
      <c r="CI291" s="1198"/>
      <c r="CJ291" s="1198"/>
      <c r="CK291" s="1198"/>
      <c r="CL291" s="1359"/>
      <c r="CM291" s="1170"/>
      <c r="CN291" s="1170"/>
      <c r="CO291" s="1170"/>
      <c r="CP291" s="1170"/>
      <c r="CQ291" s="1170"/>
      <c r="CR291" s="1170"/>
      <c r="CS291" s="1170"/>
      <c r="CT291" s="1198"/>
      <c r="CU291" s="1198"/>
    </row>
    <row r="292" spans="1:99" ht="12.75" customHeight="1">
      <c r="A292" s="1575" t="s">
        <v>616</v>
      </c>
      <c r="B292" s="1591"/>
      <c r="C292" s="1591"/>
      <c r="D292" s="1591"/>
      <c r="E292" s="1591"/>
      <c r="F292" s="1591"/>
      <c r="G292" s="1591"/>
      <c r="H292" s="1591"/>
      <c r="I292" s="1591"/>
      <c r="J292" s="1591"/>
      <c r="K292" s="1591"/>
      <c r="L292" s="1591"/>
      <c r="M292" s="1591"/>
      <c r="N292" s="1591"/>
      <c r="O292" s="1591"/>
      <c r="P292" s="1591"/>
      <c r="Q292" s="1594"/>
      <c r="R292" s="1591"/>
      <c r="S292" s="1591"/>
      <c r="T292" s="1507"/>
      <c r="U292" s="1507"/>
      <c r="V292" s="1507"/>
      <c r="W292" s="1507"/>
      <c r="X292" s="1170"/>
      <c r="Y292" s="1170"/>
      <c r="Z292" s="1170"/>
      <c r="AA292" s="1170"/>
      <c r="AB292" s="1170"/>
      <c r="AC292" s="1170"/>
      <c r="AD292" s="1170"/>
      <c r="AE292" s="1170"/>
      <c r="AF292" s="1170"/>
      <c r="AG292" s="1170"/>
      <c r="AH292" s="1170"/>
      <c r="AI292" s="1170"/>
      <c r="AJ292" s="1170"/>
      <c r="AK292" s="1170"/>
      <c r="AL292" s="1170"/>
      <c r="AM292" s="1170"/>
      <c r="AN292" s="1170"/>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360"/>
      <c r="BR292" s="1170"/>
      <c r="BS292" s="1170"/>
      <c r="BT292" s="1170"/>
      <c r="BU292" s="1360"/>
      <c r="BV292" s="1170"/>
      <c r="BW292" s="1170"/>
      <c r="BX292" s="1170"/>
      <c r="BY292" s="1360"/>
      <c r="BZ292" s="1593"/>
      <c r="CA292" s="1591"/>
      <c r="CB292" s="1591"/>
      <c r="CC292" s="1591"/>
      <c r="CD292" s="1594"/>
      <c r="CE292" s="1591"/>
      <c r="CF292" s="1591"/>
      <c r="CG292" s="1591"/>
      <c r="CH292" s="1594"/>
      <c r="CI292" s="1591"/>
      <c r="CJ292" s="1591"/>
      <c r="CK292" s="1591"/>
      <c r="CL292" s="1594"/>
      <c r="CM292" s="1170"/>
      <c r="CN292" s="1170"/>
      <c r="CO292" s="1170"/>
      <c r="CP292" s="1170"/>
      <c r="CQ292" s="1170"/>
      <c r="CR292" s="1170"/>
      <c r="CS292" s="1170"/>
      <c r="CT292" s="1198"/>
      <c r="CU292" s="1198"/>
    </row>
    <row r="293" spans="1:99" ht="12.75" customHeight="1">
      <c r="A293" s="1595" t="s">
        <v>475</v>
      </c>
      <c r="B293" s="1198"/>
      <c r="C293" s="1198"/>
      <c r="D293" s="1198"/>
      <c r="E293" s="1198"/>
      <c r="F293" s="1198"/>
      <c r="G293" s="1198"/>
      <c r="H293" s="1198"/>
      <c r="I293" s="1198"/>
      <c r="J293" s="1198"/>
      <c r="K293" s="1198"/>
      <c r="L293" s="1198"/>
      <c r="M293" s="1198"/>
      <c r="N293" s="1198"/>
      <c r="O293" s="1198"/>
      <c r="P293" s="1198"/>
      <c r="Q293" s="1426">
        <f>P295</f>
        <v>250</v>
      </c>
      <c r="R293" s="1307">
        <f>Q295</f>
        <v>250</v>
      </c>
      <c r="S293" s="1307">
        <f>R295</f>
        <v>250</v>
      </c>
      <c r="T293" s="1507"/>
      <c r="U293" s="1507"/>
      <c r="V293" s="1507"/>
      <c r="W293" s="1507"/>
      <c r="X293" s="1170"/>
      <c r="Y293" s="1170"/>
      <c r="Z293" s="1170"/>
      <c r="AA293" s="1170"/>
      <c r="AB293" s="1170"/>
      <c r="AC293" s="1170"/>
      <c r="AD293" s="1170"/>
      <c r="AE293" s="1170"/>
      <c r="AF293" s="1170"/>
      <c r="AG293" s="1170"/>
      <c r="AH293" s="1170"/>
      <c r="AI293" s="1170"/>
      <c r="AJ293" s="1170"/>
      <c r="AK293" s="1170"/>
      <c r="AL293" s="1170"/>
      <c r="AM293" s="1170"/>
      <c r="AN293" s="1170"/>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360"/>
      <c r="BR293" s="1170"/>
      <c r="BS293" s="1170"/>
      <c r="BT293" s="1170"/>
      <c r="BU293" s="1360"/>
      <c r="BV293" s="1170"/>
      <c r="BW293" s="1170"/>
      <c r="BX293" s="1170"/>
      <c r="BY293" s="1360"/>
      <c r="BZ293" s="1170"/>
      <c r="CA293" s="1198"/>
      <c r="CB293" s="1198"/>
      <c r="CC293" s="1198"/>
      <c r="CD293" s="1267">
        <f t="shared" ref="CD293:CK293" si="212">CC295</f>
        <v>250</v>
      </c>
      <c r="CE293" s="1226">
        <f t="shared" si="212"/>
        <v>250</v>
      </c>
      <c r="CF293" s="1226">
        <f t="shared" si="212"/>
        <v>250</v>
      </c>
      <c r="CG293" s="1226">
        <f t="shared" si="212"/>
        <v>250</v>
      </c>
      <c r="CH293" s="1267">
        <f t="shared" si="212"/>
        <v>250</v>
      </c>
      <c r="CI293" s="1226">
        <f t="shared" si="212"/>
        <v>250</v>
      </c>
      <c r="CJ293" s="1226">
        <f t="shared" si="212"/>
        <v>250</v>
      </c>
      <c r="CK293" s="1226">
        <f t="shared" si="212"/>
        <v>250</v>
      </c>
      <c r="CL293" s="1267">
        <f>CK295</f>
        <v>250</v>
      </c>
      <c r="CM293" s="1170"/>
      <c r="CN293" s="1170"/>
      <c r="CO293" s="1170"/>
      <c r="CP293" s="1170"/>
      <c r="CQ293" s="1170"/>
      <c r="CR293" s="1170"/>
      <c r="CS293" s="1170"/>
      <c r="CT293" s="1198"/>
      <c r="CU293" s="1198"/>
    </row>
    <row r="294" spans="1:99" ht="12.75" customHeight="1">
      <c r="A294" s="1595" t="s">
        <v>593</v>
      </c>
      <c r="B294" s="1198"/>
      <c r="C294" s="1198"/>
      <c r="D294" s="1198"/>
      <c r="E294" s="1198"/>
      <c r="F294" s="1198"/>
      <c r="G294" s="1198"/>
      <c r="H294" s="1198"/>
      <c r="I294" s="1198"/>
      <c r="J294" s="1198"/>
      <c r="K294" s="1198"/>
      <c r="L294" s="1198"/>
      <c r="M294" s="1198"/>
      <c r="N294" s="1198"/>
      <c r="O294" s="1198"/>
      <c r="P294" s="1198"/>
      <c r="Q294" s="1596">
        <f>+SUM(CD294:CG294)</f>
        <v>0</v>
      </c>
      <c r="R294" s="1453">
        <f>+SUM(CH294:CK294)</f>
        <v>0</v>
      </c>
      <c r="S294" s="1602"/>
      <c r="T294" s="1507"/>
      <c r="U294" s="1507"/>
      <c r="V294" s="1507"/>
      <c r="W294" s="1507"/>
      <c r="X294" s="1170"/>
      <c r="Y294" s="1170"/>
      <c r="Z294" s="1170"/>
      <c r="AA294" s="1170"/>
      <c r="AB294" s="1170"/>
      <c r="AC294" s="1170"/>
      <c r="AD294" s="1170"/>
      <c r="AE294" s="1170"/>
      <c r="AF294" s="1170"/>
      <c r="AG294" s="1170"/>
      <c r="AH294" s="1170"/>
      <c r="AI294" s="1170"/>
      <c r="AJ294" s="1170"/>
      <c r="AK294" s="1170"/>
      <c r="AL294" s="1170"/>
      <c r="AM294" s="1170"/>
      <c r="AN294" s="1170"/>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360"/>
      <c r="BR294" s="1170"/>
      <c r="BS294" s="1170"/>
      <c r="BT294" s="1170"/>
      <c r="BU294" s="1360"/>
      <c r="BV294" s="1170"/>
      <c r="BW294" s="1170"/>
      <c r="BX294" s="1170"/>
      <c r="BY294" s="1360"/>
      <c r="BZ294" s="1170"/>
      <c r="CA294" s="1198"/>
      <c r="CB294" s="1198"/>
      <c r="CC294" s="1198"/>
      <c r="CD294" s="1359"/>
      <c r="CE294" s="1198"/>
      <c r="CF294" s="1602"/>
      <c r="CG294" s="1198"/>
      <c r="CH294" s="1359"/>
      <c r="CI294" s="1198"/>
      <c r="CJ294" s="1198"/>
      <c r="CK294" s="1198"/>
      <c r="CL294" s="1359"/>
      <c r="CM294" s="1170"/>
      <c r="CN294" s="1170"/>
      <c r="CO294" s="1170"/>
      <c r="CP294" s="1170"/>
      <c r="CQ294" s="1170"/>
      <c r="CR294" s="1170"/>
      <c r="CS294" s="1170"/>
      <c r="CT294" s="1198"/>
      <c r="CU294" s="1198"/>
    </row>
    <row r="295" spans="1:99" ht="12.75" customHeight="1">
      <c r="A295" s="1595" t="s">
        <v>476</v>
      </c>
      <c r="B295" s="1198"/>
      <c r="C295" s="1198"/>
      <c r="D295" s="1198"/>
      <c r="E295" s="1198"/>
      <c r="F295" s="1198"/>
      <c r="G295" s="1198"/>
      <c r="H295" s="1198"/>
      <c r="I295" s="1198"/>
      <c r="J295" s="1198"/>
      <c r="K295" s="1198"/>
      <c r="L295" s="1198"/>
      <c r="M295" s="1198"/>
      <c r="N295" s="1198"/>
      <c r="O295" s="1198"/>
      <c r="P295" s="1307">
        <v>250</v>
      </c>
      <c r="Q295" s="1218">
        <f>+CG295</f>
        <v>250</v>
      </c>
      <c r="R295" s="1226">
        <f>+CK295</f>
        <v>250</v>
      </c>
      <c r="S295" s="1307">
        <f>S294+S293</f>
        <v>250</v>
      </c>
      <c r="T295" s="1507"/>
      <c r="U295" s="1507"/>
      <c r="V295" s="1507"/>
      <c r="W295" s="1507"/>
      <c r="X295" s="1170"/>
      <c r="Y295" s="1170"/>
      <c r="Z295" s="1170"/>
      <c r="AA295" s="1170"/>
      <c r="AB295" s="1170"/>
      <c r="AC295" s="1170"/>
      <c r="AD295" s="1170"/>
      <c r="AE295" s="1170"/>
      <c r="AF295" s="1170"/>
      <c r="AG295" s="1170"/>
      <c r="AH295" s="1170"/>
      <c r="AI295" s="1170"/>
      <c r="AJ295" s="1170"/>
      <c r="AK295" s="1170"/>
      <c r="AL295" s="1170"/>
      <c r="AM295" s="1170"/>
      <c r="AN295" s="1170"/>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360"/>
      <c r="BR295" s="1170"/>
      <c r="BS295" s="1170"/>
      <c r="BT295" s="1170"/>
      <c r="BU295" s="1360"/>
      <c r="BV295" s="1170"/>
      <c r="BW295" s="1170"/>
      <c r="BX295" s="1170"/>
      <c r="BY295" s="1360"/>
      <c r="BZ295" s="1170"/>
      <c r="CA295" s="1198"/>
      <c r="CB295" s="1198"/>
      <c r="CC295" s="1226">
        <f>P295</f>
        <v>250</v>
      </c>
      <c r="CD295" s="1267">
        <f t="shared" ref="CD295:CK295" si="213">SUM(CD293:CD294)</f>
        <v>250</v>
      </c>
      <c r="CE295" s="1226">
        <f t="shared" si="213"/>
        <v>250</v>
      </c>
      <c r="CF295" s="1226">
        <f t="shared" si="213"/>
        <v>250</v>
      </c>
      <c r="CG295" s="1226">
        <f t="shared" si="213"/>
        <v>250</v>
      </c>
      <c r="CH295" s="1267">
        <f t="shared" si="213"/>
        <v>250</v>
      </c>
      <c r="CI295" s="1226">
        <f t="shared" si="213"/>
        <v>250</v>
      </c>
      <c r="CJ295" s="1226">
        <f t="shared" si="213"/>
        <v>250</v>
      </c>
      <c r="CK295" s="1226">
        <f t="shared" si="213"/>
        <v>250</v>
      </c>
      <c r="CL295" s="1267">
        <f>SUM(CL293:CL294)</f>
        <v>250</v>
      </c>
      <c r="CM295" s="1170"/>
      <c r="CN295" s="1170"/>
      <c r="CO295" s="1170"/>
      <c r="CP295" s="1170"/>
      <c r="CQ295" s="1170"/>
      <c r="CR295" s="1170"/>
      <c r="CS295" s="1170"/>
      <c r="CT295" s="1198"/>
      <c r="CU295" s="1198"/>
    </row>
    <row r="296" spans="1:99" ht="12.75" customHeight="1">
      <c r="A296" s="1198"/>
      <c r="B296" s="1198"/>
      <c r="C296" s="1198"/>
      <c r="D296" s="1198"/>
      <c r="E296" s="1198"/>
      <c r="F296" s="1198"/>
      <c r="G296" s="1198"/>
      <c r="H296" s="1198"/>
      <c r="I296" s="1198"/>
      <c r="J296" s="1198"/>
      <c r="K296" s="1198"/>
      <c r="L296" s="1198"/>
      <c r="M296" s="1198"/>
      <c r="N296" s="1198"/>
      <c r="O296" s="1198"/>
      <c r="P296" s="1198"/>
      <c r="Q296" s="1359"/>
      <c r="R296" s="1198"/>
      <c r="S296" s="1198"/>
      <c r="T296" s="1507"/>
      <c r="U296" s="1507"/>
      <c r="V296" s="1507"/>
      <c r="W296" s="1507"/>
      <c r="X296" s="1170"/>
      <c r="Y296" s="1170"/>
      <c r="Z296" s="1170"/>
      <c r="AA296" s="1170"/>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360"/>
      <c r="BR296" s="1198"/>
      <c r="BS296" s="1198"/>
      <c r="BT296" s="1198"/>
      <c r="BU296" s="1360"/>
      <c r="BV296" s="1198"/>
      <c r="BW296" s="1198"/>
      <c r="BX296" s="1198"/>
      <c r="BY296" s="1360"/>
      <c r="BZ296" s="1198"/>
      <c r="CA296" s="1198"/>
      <c r="CB296" s="1198"/>
      <c r="CC296" s="1198"/>
      <c r="CD296" s="1359"/>
      <c r="CE296" s="1198"/>
      <c r="CF296" s="1198"/>
      <c r="CG296" s="1198"/>
      <c r="CH296" s="1359"/>
      <c r="CI296" s="1198"/>
      <c r="CJ296" s="1198"/>
      <c r="CK296" s="1198"/>
      <c r="CL296" s="1359"/>
      <c r="CM296" s="1170"/>
      <c r="CN296" s="1170"/>
      <c r="CO296" s="1170"/>
      <c r="CP296" s="1170"/>
      <c r="CQ296" s="1170"/>
      <c r="CR296" s="1170"/>
      <c r="CS296" s="1170"/>
      <c r="CT296" s="1198"/>
      <c r="CU296" s="1198"/>
    </row>
    <row r="297" spans="1:99" ht="12.75" customHeight="1">
      <c r="A297" s="1575" t="s">
        <v>617</v>
      </c>
      <c r="B297" s="1591"/>
      <c r="C297" s="1591"/>
      <c r="D297" s="1591"/>
      <c r="E297" s="1591"/>
      <c r="F297" s="1591"/>
      <c r="G297" s="1591"/>
      <c r="H297" s="1591"/>
      <c r="I297" s="1591"/>
      <c r="J297" s="1591"/>
      <c r="K297" s="1591"/>
      <c r="L297" s="1591"/>
      <c r="M297" s="1591"/>
      <c r="N297" s="1591"/>
      <c r="O297" s="1591"/>
      <c r="P297" s="1591"/>
      <c r="Q297" s="1594"/>
      <c r="R297" s="1591"/>
      <c r="S297" s="1591"/>
      <c r="T297" s="1507"/>
      <c r="U297" s="1507"/>
      <c r="V297" s="1507"/>
      <c r="W297" s="1507"/>
      <c r="X297" s="1170"/>
      <c r="Y297" s="1170"/>
      <c r="Z297" s="1170"/>
      <c r="AA297" s="1170"/>
      <c r="AB297" s="1170"/>
      <c r="AC297" s="1170"/>
      <c r="AD297" s="1170"/>
      <c r="AE297" s="1170"/>
      <c r="AF297" s="1170"/>
      <c r="AG297" s="1170"/>
      <c r="AH297" s="1170"/>
      <c r="AI297" s="1170"/>
      <c r="AJ297" s="1170"/>
      <c r="AK297" s="1170"/>
      <c r="AL297" s="1170"/>
      <c r="AM297" s="1170"/>
      <c r="AN297" s="1170"/>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360"/>
      <c r="BR297" s="1170"/>
      <c r="BS297" s="1170"/>
      <c r="BT297" s="1170"/>
      <c r="BU297" s="1360"/>
      <c r="BV297" s="1170"/>
      <c r="BW297" s="1170"/>
      <c r="BX297" s="1170"/>
      <c r="BY297" s="1360"/>
      <c r="BZ297" s="1593"/>
      <c r="CA297" s="1591"/>
      <c r="CB297" s="1591"/>
      <c r="CC297" s="1591"/>
      <c r="CD297" s="1594"/>
      <c r="CE297" s="1591"/>
      <c r="CF297" s="1591"/>
      <c r="CG297" s="1591"/>
      <c r="CH297" s="1594"/>
      <c r="CI297" s="1591"/>
      <c r="CJ297" s="1591"/>
      <c r="CK297" s="1591"/>
      <c r="CL297" s="1594"/>
      <c r="CM297" s="1170"/>
      <c r="CN297" s="1170"/>
      <c r="CO297" s="1170"/>
      <c r="CP297" s="1170"/>
      <c r="CQ297" s="1170"/>
      <c r="CR297" s="1170"/>
      <c r="CS297" s="1170"/>
      <c r="CT297" s="1198"/>
      <c r="CU297" s="1198"/>
    </row>
    <row r="298" spans="1:99" ht="12.75" customHeight="1">
      <c r="A298" s="1595" t="s">
        <v>475</v>
      </c>
      <c r="B298" s="1198"/>
      <c r="C298" s="1198"/>
      <c r="D298" s="1198"/>
      <c r="E298" s="1198"/>
      <c r="F298" s="1198"/>
      <c r="G298" s="1198"/>
      <c r="H298" s="1198"/>
      <c r="I298" s="1198"/>
      <c r="J298" s="1198"/>
      <c r="K298" s="1198"/>
      <c r="L298" s="1198"/>
      <c r="M298" s="1198"/>
      <c r="N298" s="1198"/>
      <c r="O298" s="1198"/>
      <c r="P298" s="1198"/>
      <c r="Q298" s="1426">
        <f>P300</f>
        <v>55.15</v>
      </c>
      <c r="R298" s="1307">
        <f>Q300</f>
        <v>55.15</v>
      </c>
      <c r="S298" s="1307">
        <f>R300</f>
        <v>55.15</v>
      </c>
      <c r="T298" s="1507"/>
      <c r="U298" s="1507"/>
      <c r="V298" s="1507"/>
      <c r="W298" s="1507"/>
      <c r="X298" s="1170"/>
      <c r="Y298" s="1170"/>
      <c r="Z298" s="1170"/>
      <c r="AA298" s="1170"/>
      <c r="AB298" s="1170"/>
      <c r="AC298" s="1170"/>
      <c r="AD298" s="1170"/>
      <c r="AE298" s="1170"/>
      <c r="AF298" s="1170"/>
      <c r="AG298" s="1170"/>
      <c r="AH298" s="1170"/>
      <c r="AI298" s="1170"/>
      <c r="AJ298" s="1170"/>
      <c r="AK298" s="1170"/>
      <c r="AL298" s="1170"/>
      <c r="AM298" s="1170"/>
      <c r="AN298" s="1170"/>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360"/>
      <c r="BR298" s="1170"/>
      <c r="BS298" s="1170"/>
      <c r="BT298" s="1170"/>
      <c r="BU298" s="1360"/>
      <c r="BV298" s="1170"/>
      <c r="BW298" s="1170"/>
      <c r="BX298" s="1170"/>
      <c r="BY298" s="1360"/>
      <c r="BZ298" s="1170"/>
      <c r="CA298" s="1198"/>
      <c r="CB298" s="1198"/>
      <c r="CC298" s="1198"/>
      <c r="CD298" s="1267">
        <f t="shared" ref="CD298:CK298" si="214">CC300</f>
        <v>55.15</v>
      </c>
      <c r="CE298" s="1226">
        <f t="shared" si="214"/>
        <v>55.15</v>
      </c>
      <c r="CF298" s="1226">
        <f t="shared" si="214"/>
        <v>55.15</v>
      </c>
      <c r="CG298" s="1226">
        <f t="shared" si="214"/>
        <v>55.15</v>
      </c>
      <c r="CH298" s="1267">
        <f t="shared" si="214"/>
        <v>55.15</v>
      </c>
      <c r="CI298" s="1226">
        <f t="shared" si="214"/>
        <v>55.15</v>
      </c>
      <c r="CJ298" s="1226">
        <f t="shared" si="214"/>
        <v>55.15</v>
      </c>
      <c r="CK298" s="1226">
        <f t="shared" si="214"/>
        <v>55.15</v>
      </c>
      <c r="CL298" s="1267">
        <f>CK300</f>
        <v>55.15</v>
      </c>
      <c r="CM298" s="1170"/>
      <c r="CN298" s="1170"/>
      <c r="CO298" s="1170"/>
      <c r="CP298" s="1170"/>
      <c r="CQ298" s="1170"/>
      <c r="CR298" s="1170"/>
      <c r="CS298" s="1170"/>
      <c r="CT298" s="1198"/>
      <c r="CU298" s="1198"/>
    </row>
    <row r="299" spans="1:99" ht="12.75" customHeight="1">
      <c r="A299" s="1595" t="s">
        <v>593</v>
      </c>
      <c r="B299" s="1198"/>
      <c r="C299" s="1198"/>
      <c r="D299" s="1198"/>
      <c r="E299" s="1198"/>
      <c r="F299" s="1198"/>
      <c r="G299" s="1198"/>
      <c r="H299" s="1198"/>
      <c r="I299" s="1198"/>
      <c r="J299" s="1198"/>
      <c r="K299" s="1198"/>
      <c r="L299" s="1198"/>
      <c r="M299" s="1198"/>
      <c r="N299" s="1198"/>
      <c r="O299" s="1198"/>
      <c r="P299" s="1198"/>
      <c r="Q299" s="1596">
        <f>+SUM(CD299:CG299)</f>
        <v>0</v>
      </c>
      <c r="R299" s="1453">
        <f>+SUM(CH299:CK299)</f>
        <v>0</v>
      </c>
      <c r="S299" s="1602"/>
      <c r="T299" s="1507"/>
      <c r="U299" s="1507"/>
      <c r="V299" s="1507"/>
      <c r="W299" s="1507"/>
      <c r="X299" s="1170"/>
      <c r="Y299" s="1170"/>
      <c r="Z299" s="1170"/>
      <c r="AA299" s="1170"/>
      <c r="AB299" s="1170"/>
      <c r="AC299" s="1170"/>
      <c r="AD299" s="1170"/>
      <c r="AE299" s="1170"/>
      <c r="AF299" s="1170"/>
      <c r="AG299" s="1170"/>
      <c r="AH299" s="1170"/>
      <c r="AI299" s="1170"/>
      <c r="AJ299" s="1170"/>
      <c r="AK299" s="1170"/>
      <c r="AL299" s="1170"/>
      <c r="AM299" s="1170"/>
      <c r="AN299" s="1170"/>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360"/>
      <c r="BR299" s="1170"/>
      <c r="BS299" s="1170"/>
      <c r="BT299" s="1170"/>
      <c r="BU299" s="1360"/>
      <c r="BV299" s="1170"/>
      <c r="BW299" s="1170"/>
      <c r="BX299" s="1170"/>
      <c r="BY299" s="1360"/>
      <c r="BZ299" s="1170"/>
      <c r="CA299" s="1198"/>
      <c r="CB299" s="1198"/>
      <c r="CC299" s="1198"/>
      <c r="CD299" s="1359"/>
      <c r="CE299" s="1198"/>
      <c r="CF299" s="1602"/>
      <c r="CG299" s="1198"/>
      <c r="CH299" s="1359"/>
      <c r="CI299" s="1198"/>
      <c r="CJ299" s="1198"/>
      <c r="CK299" s="1198"/>
      <c r="CL299" s="1359"/>
      <c r="CM299" s="1170"/>
      <c r="CN299" s="1170"/>
      <c r="CO299" s="1170"/>
      <c r="CP299" s="1170"/>
      <c r="CQ299" s="1170"/>
      <c r="CR299" s="1170"/>
      <c r="CS299" s="1170"/>
      <c r="CT299" s="1198"/>
      <c r="CU299" s="1198"/>
    </row>
    <row r="300" spans="1:99" ht="12.75" customHeight="1">
      <c r="A300" s="1595" t="s">
        <v>476</v>
      </c>
      <c r="B300" s="1198"/>
      <c r="C300" s="1198"/>
      <c r="D300" s="1198"/>
      <c r="E300" s="1198"/>
      <c r="F300" s="1198"/>
      <c r="G300" s="1198"/>
      <c r="H300" s="1198"/>
      <c r="I300" s="1198"/>
      <c r="J300" s="1198"/>
      <c r="K300" s="1198"/>
      <c r="L300" s="1198"/>
      <c r="M300" s="1198"/>
      <c r="N300" s="1198"/>
      <c r="O300" s="1198"/>
      <c r="P300" s="1307">
        <v>55.15</v>
      </c>
      <c r="Q300" s="1218">
        <f>+CG300</f>
        <v>55.15</v>
      </c>
      <c r="R300" s="1226">
        <f>+CK300</f>
        <v>55.15</v>
      </c>
      <c r="S300" s="1307">
        <f>S299+S298</f>
        <v>55.15</v>
      </c>
      <c r="T300" s="1507"/>
      <c r="U300" s="1507"/>
      <c r="V300" s="1507"/>
      <c r="W300" s="1507"/>
      <c r="X300" s="1170"/>
      <c r="Y300" s="1170"/>
      <c r="Z300" s="1170"/>
      <c r="AA300" s="1170"/>
      <c r="AB300" s="1170"/>
      <c r="AC300" s="1170"/>
      <c r="AD300" s="1170"/>
      <c r="AE300" s="1170"/>
      <c r="AF300" s="1170"/>
      <c r="AG300" s="1170"/>
      <c r="AH300" s="1170"/>
      <c r="AI300" s="1170"/>
      <c r="AJ300" s="1170"/>
      <c r="AK300" s="1170"/>
      <c r="AL300" s="1170"/>
      <c r="AM300" s="1170"/>
      <c r="AN300" s="1170"/>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360"/>
      <c r="BR300" s="1170"/>
      <c r="BS300" s="1170"/>
      <c r="BT300" s="1170"/>
      <c r="BU300" s="1360"/>
      <c r="BV300" s="1170"/>
      <c r="BW300" s="1170"/>
      <c r="BX300" s="1170"/>
      <c r="BY300" s="1360"/>
      <c r="BZ300" s="1170"/>
      <c r="CA300" s="1198"/>
      <c r="CB300" s="1198"/>
      <c r="CC300" s="1226">
        <f>P300</f>
        <v>55.15</v>
      </c>
      <c r="CD300" s="1267">
        <f t="shared" ref="CD300:CK300" si="215">SUM(CD298:CD299)</f>
        <v>55.15</v>
      </c>
      <c r="CE300" s="1226">
        <f t="shared" si="215"/>
        <v>55.15</v>
      </c>
      <c r="CF300" s="1226">
        <f t="shared" si="215"/>
        <v>55.15</v>
      </c>
      <c r="CG300" s="1226">
        <f t="shared" si="215"/>
        <v>55.15</v>
      </c>
      <c r="CH300" s="1267">
        <f t="shared" si="215"/>
        <v>55.15</v>
      </c>
      <c r="CI300" s="1226">
        <f t="shared" si="215"/>
        <v>55.15</v>
      </c>
      <c r="CJ300" s="1226">
        <f t="shared" si="215"/>
        <v>55.15</v>
      </c>
      <c r="CK300" s="1226">
        <f t="shared" si="215"/>
        <v>55.15</v>
      </c>
      <c r="CL300" s="1267">
        <f>SUM(CL298:CL299)</f>
        <v>55.15</v>
      </c>
      <c r="CM300" s="1170"/>
      <c r="CN300" s="1170"/>
      <c r="CO300" s="1170"/>
      <c r="CP300" s="1170"/>
      <c r="CQ300" s="1170"/>
      <c r="CR300" s="1170"/>
      <c r="CS300" s="1170"/>
      <c r="CT300" s="1198"/>
      <c r="CU300" s="1198"/>
    </row>
    <row r="301" spans="1:99" ht="12.75" customHeight="1">
      <c r="A301" s="1198"/>
      <c r="B301" s="1198"/>
      <c r="C301" s="1198"/>
      <c r="D301" s="1198"/>
      <c r="E301" s="1198"/>
      <c r="F301" s="1198"/>
      <c r="G301" s="1198"/>
      <c r="H301" s="1198"/>
      <c r="I301" s="1198"/>
      <c r="J301" s="1198"/>
      <c r="K301" s="1198"/>
      <c r="L301" s="1198"/>
      <c r="M301" s="1198"/>
      <c r="N301" s="1198"/>
      <c r="O301" s="1198"/>
      <c r="P301" s="1198"/>
      <c r="Q301" s="1359"/>
      <c r="R301" s="1198"/>
      <c r="S301" s="1198"/>
      <c r="T301" s="1507"/>
      <c r="U301" s="1507"/>
      <c r="V301" s="1507"/>
      <c r="W301" s="1507"/>
      <c r="X301" s="1170"/>
      <c r="Y301" s="1170"/>
      <c r="Z301" s="1170"/>
      <c r="AA301" s="1170"/>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360"/>
      <c r="BR301" s="1198"/>
      <c r="BS301" s="1198"/>
      <c r="BT301" s="1198"/>
      <c r="BU301" s="1360"/>
      <c r="BV301" s="1198"/>
      <c r="BW301" s="1198"/>
      <c r="BX301" s="1198"/>
      <c r="BY301" s="1360"/>
      <c r="BZ301" s="1198"/>
      <c r="CA301" s="1198"/>
      <c r="CB301" s="1198"/>
      <c r="CC301" s="1198"/>
      <c r="CD301" s="1359"/>
      <c r="CE301" s="1198"/>
      <c r="CF301" s="1198"/>
      <c r="CG301" s="1198"/>
      <c r="CH301" s="1359"/>
      <c r="CI301" s="1198"/>
      <c r="CJ301" s="1198"/>
      <c r="CK301" s="1198"/>
      <c r="CL301" s="1359"/>
      <c r="CM301" s="1170"/>
      <c r="CN301" s="1170"/>
      <c r="CO301" s="1170"/>
      <c r="CP301" s="1170"/>
      <c r="CQ301" s="1170"/>
      <c r="CR301" s="1170"/>
      <c r="CS301" s="1170"/>
      <c r="CT301" s="1198"/>
      <c r="CU301" s="1198"/>
    </row>
    <row r="302" spans="1:99" ht="12.75" customHeight="1">
      <c r="A302" s="1575" t="s">
        <v>622</v>
      </c>
      <c r="B302" s="1591"/>
      <c r="C302" s="1591"/>
      <c r="D302" s="1591"/>
      <c r="E302" s="1591"/>
      <c r="F302" s="1591"/>
      <c r="G302" s="1591"/>
      <c r="H302" s="1591"/>
      <c r="I302" s="1591"/>
      <c r="J302" s="1591"/>
      <c r="K302" s="1591"/>
      <c r="L302" s="1591"/>
      <c r="M302" s="1591"/>
      <c r="N302" s="1591"/>
      <c r="O302" s="1591"/>
      <c r="P302" s="1591"/>
      <c r="Q302" s="1594"/>
      <c r="R302" s="1591"/>
      <c r="S302" s="1591"/>
      <c r="T302" s="1507"/>
      <c r="U302" s="1507"/>
      <c r="V302" s="1507"/>
      <c r="W302" s="1507"/>
      <c r="X302" s="1170"/>
      <c r="Y302" s="1170"/>
      <c r="Z302" s="1170"/>
      <c r="AA302" s="1170"/>
      <c r="AB302" s="1170"/>
      <c r="AC302" s="1170"/>
      <c r="AD302" s="1170"/>
      <c r="AE302" s="1170"/>
      <c r="AF302" s="1170"/>
      <c r="AG302" s="1170"/>
      <c r="AH302" s="1170"/>
      <c r="AI302" s="1170"/>
      <c r="AJ302" s="1170"/>
      <c r="AK302" s="1170"/>
      <c r="AL302" s="1170"/>
      <c r="AM302" s="1170"/>
      <c r="AN302" s="1170"/>
      <c r="AO302" s="1170"/>
      <c r="AP302" s="1170"/>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360"/>
      <c r="BR302" s="1170"/>
      <c r="BS302" s="1170"/>
      <c r="BT302" s="1170"/>
      <c r="BU302" s="1360"/>
      <c r="BV302" s="1170"/>
      <c r="BW302" s="1170"/>
      <c r="BX302" s="1170"/>
      <c r="BY302" s="1360"/>
      <c r="BZ302" s="1593"/>
      <c r="CA302" s="1591"/>
      <c r="CB302" s="1591"/>
      <c r="CC302" s="1591"/>
      <c r="CD302" s="1594"/>
      <c r="CE302" s="1591"/>
      <c r="CF302" s="1591"/>
      <c r="CG302" s="1591"/>
      <c r="CH302" s="1594"/>
      <c r="CI302" s="1591"/>
      <c r="CJ302" s="1591"/>
      <c r="CK302" s="1591"/>
      <c r="CL302" s="1594"/>
      <c r="CM302" s="1170"/>
      <c r="CN302" s="1170"/>
      <c r="CO302" s="1170"/>
      <c r="CP302" s="1170"/>
      <c r="CQ302" s="1170"/>
      <c r="CR302" s="1170"/>
      <c r="CS302" s="1170"/>
      <c r="CT302" s="1198"/>
      <c r="CU302" s="1198"/>
    </row>
    <row r="303" spans="1:99" ht="12.75" customHeight="1">
      <c r="A303" s="1595" t="s">
        <v>475</v>
      </c>
      <c r="B303" s="1198"/>
      <c r="C303" s="1198"/>
      <c r="D303" s="1198"/>
      <c r="E303" s="1198"/>
      <c r="F303" s="1198"/>
      <c r="G303" s="1198"/>
      <c r="H303" s="1198"/>
      <c r="I303" s="1198"/>
      <c r="J303" s="1198"/>
      <c r="K303" s="1198"/>
      <c r="L303" s="1198"/>
      <c r="M303" s="1198"/>
      <c r="N303" s="1198"/>
      <c r="O303" s="1198"/>
      <c r="P303" s="1198"/>
      <c r="Q303" s="1426">
        <f>P305</f>
        <v>42.883000000000003</v>
      </c>
      <c r="R303" s="1307">
        <f>Q305</f>
        <v>42.883000000000003</v>
      </c>
      <c r="S303" s="1307">
        <f>R305</f>
        <v>42.883000000000003</v>
      </c>
      <c r="T303" s="1507"/>
      <c r="U303" s="1507"/>
      <c r="V303" s="1507"/>
      <c r="W303" s="1507"/>
      <c r="X303" s="1170"/>
      <c r="Y303" s="1170"/>
      <c r="Z303" s="1170"/>
      <c r="AA303" s="1170"/>
      <c r="AB303" s="1170"/>
      <c r="AC303" s="1170"/>
      <c r="AD303" s="1170"/>
      <c r="AE303" s="1170"/>
      <c r="AF303" s="1170"/>
      <c r="AG303" s="1170"/>
      <c r="AH303" s="1170"/>
      <c r="AI303" s="1170"/>
      <c r="AJ303" s="1170"/>
      <c r="AK303" s="1170"/>
      <c r="AL303" s="1170"/>
      <c r="AM303" s="1170"/>
      <c r="AN303" s="1170"/>
      <c r="AO303" s="1170"/>
      <c r="AP303" s="1170"/>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360"/>
      <c r="BR303" s="1170"/>
      <c r="BS303" s="1170"/>
      <c r="BT303" s="1170"/>
      <c r="BU303" s="1360"/>
      <c r="BV303" s="1170"/>
      <c r="BW303" s="1170"/>
      <c r="BX303" s="1170"/>
      <c r="BY303" s="1360"/>
      <c r="BZ303" s="1170"/>
      <c r="CA303" s="1198"/>
      <c r="CB303" s="1198"/>
      <c r="CC303" s="1198"/>
      <c r="CD303" s="1267">
        <f t="shared" ref="CD303:CK303" si="216">CC305</f>
        <v>42.883000000000003</v>
      </c>
      <c r="CE303" s="1226">
        <f t="shared" si="216"/>
        <v>42.883000000000003</v>
      </c>
      <c r="CF303" s="1226">
        <f t="shared" si="216"/>
        <v>42.883000000000003</v>
      </c>
      <c r="CG303" s="1226">
        <f t="shared" si="216"/>
        <v>42.883000000000003</v>
      </c>
      <c r="CH303" s="1267">
        <f t="shared" si="216"/>
        <v>42.883000000000003</v>
      </c>
      <c r="CI303" s="1226">
        <f t="shared" si="216"/>
        <v>42.883000000000003</v>
      </c>
      <c r="CJ303" s="1226">
        <f t="shared" si="216"/>
        <v>42.883000000000003</v>
      </c>
      <c r="CK303" s="1226">
        <f t="shared" si="216"/>
        <v>42.883000000000003</v>
      </c>
      <c r="CL303" s="1267">
        <f>CK305</f>
        <v>42.883000000000003</v>
      </c>
      <c r="CM303" s="1170"/>
      <c r="CN303" s="1170"/>
      <c r="CO303" s="1170"/>
      <c r="CP303" s="1170"/>
      <c r="CQ303" s="1170"/>
      <c r="CR303" s="1170"/>
      <c r="CS303" s="1170"/>
      <c r="CT303" s="1198"/>
      <c r="CU303" s="1198"/>
    </row>
    <row r="304" spans="1:99" ht="12.75" customHeight="1">
      <c r="A304" s="1595" t="s">
        <v>593</v>
      </c>
      <c r="B304" s="1198"/>
      <c r="C304" s="1198"/>
      <c r="D304" s="1198"/>
      <c r="E304" s="1198"/>
      <c r="F304" s="1198"/>
      <c r="G304" s="1198"/>
      <c r="H304" s="1198"/>
      <c r="I304" s="1198"/>
      <c r="J304" s="1198"/>
      <c r="K304" s="1198"/>
      <c r="L304" s="1198"/>
      <c r="M304" s="1198"/>
      <c r="N304" s="1198"/>
      <c r="O304" s="1198"/>
      <c r="P304" s="1198"/>
      <c r="Q304" s="1596">
        <f>+SUM(CD304:CG304)</f>
        <v>0</v>
      </c>
      <c r="R304" s="1453">
        <f>+SUM(CH304:CK304)</f>
        <v>0</v>
      </c>
      <c r="S304" s="1602"/>
      <c r="T304" s="1507"/>
      <c r="U304" s="1507"/>
      <c r="V304" s="1507"/>
      <c r="W304" s="1507"/>
      <c r="X304" s="1170"/>
      <c r="Y304" s="1170"/>
      <c r="Z304" s="1170"/>
      <c r="AA304" s="1170"/>
      <c r="AB304" s="1170"/>
      <c r="AC304" s="1170"/>
      <c r="AD304" s="1170"/>
      <c r="AE304" s="1170"/>
      <c r="AF304" s="1170"/>
      <c r="AG304" s="1170"/>
      <c r="AH304" s="1170"/>
      <c r="AI304" s="1170"/>
      <c r="AJ304" s="1170"/>
      <c r="AK304" s="1170"/>
      <c r="AL304" s="1170"/>
      <c r="AM304" s="1170"/>
      <c r="AN304" s="1170"/>
      <c r="AO304" s="1170"/>
      <c r="AP304" s="1170"/>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360"/>
      <c r="BR304" s="1170"/>
      <c r="BS304" s="1170"/>
      <c r="BT304" s="1170"/>
      <c r="BU304" s="1360"/>
      <c r="BV304" s="1170"/>
      <c r="BW304" s="1170"/>
      <c r="BX304" s="1170"/>
      <c r="BY304" s="1360"/>
      <c r="BZ304" s="1170"/>
      <c r="CA304" s="1198"/>
      <c r="CB304" s="1198"/>
      <c r="CC304" s="1198"/>
      <c r="CD304" s="1359"/>
      <c r="CE304" s="1198"/>
      <c r="CF304" s="1602"/>
      <c r="CG304" s="1198"/>
      <c r="CH304" s="1359"/>
      <c r="CI304" s="1198"/>
      <c r="CJ304" s="1198"/>
      <c r="CK304" s="1198"/>
      <c r="CL304" s="1359"/>
      <c r="CM304" s="1170"/>
      <c r="CN304" s="1170"/>
      <c r="CO304" s="1170"/>
      <c r="CP304" s="1170"/>
      <c r="CQ304" s="1170"/>
      <c r="CR304" s="1170"/>
      <c r="CS304" s="1170"/>
      <c r="CT304" s="1198"/>
      <c r="CU304" s="1198"/>
    </row>
    <row r="305" spans="1:99" ht="12.75" customHeight="1">
      <c r="A305" s="1595" t="s">
        <v>476</v>
      </c>
      <c r="B305" s="1198"/>
      <c r="C305" s="1198"/>
      <c r="D305" s="1198"/>
      <c r="E305" s="1198"/>
      <c r="F305" s="1198"/>
      <c r="G305" s="1198"/>
      <c r="H305" s="1198"/>
      <c r="I305" s="1198"/>
      <c r="J305" s="1198"/>
      <c r="K305" s="1198"/>
      <c r="L305" s="1198"/>
      <c r="M305" s="1198"/>
      <c r="N305" s="1198"/>
      <c r="O305" s="1198"/>
      <c r="P305" s="1307">
        <v>42.883000000000003</v>
      </c>
      <c r="Q305" s="1218">
        <f>+CG305</f>
        <v>42.883000000000003</v>
      </c>
      <c r="R305" s="1226">
        <f>+CK305</f>
        <v>42.883000000000003</v>
      </c>
      <c r="S305" s="1307">
        <f>S304+S303</f>
        <v>42.883000000000003</v>
      </c>
      <c r="T305" s="1507"/>
      <c r="U305" s="1507"/>
      <c r="V305" s="1507"/>
      <c r="W305" s="1507"/>
      <c r="X305" s="1170"/>
      <c r="Y305" s="1170"/>
      <c r="Z305" s="1170"/>
      <c r="AA305" s="1170"/>
      <c r="AB305" s="1170"/>
      <c r="AC305" s="1170"/>
      <c r="AD305" s="1170"/>
      <c r="AE305" s="1170"/>
      <c r="AF305" s="1170"/>
      <c r="AG305" s="1170"/>
      <c r="AH305" s="1170"/>
      <c r="AI305" s="1170"/>
      <c r="AJ305" s="1170"/>
      <c r="AK305" s="1170"/>
      <c r="AL305" s="1170"/>
      <c r="AM305" s="1170"/>
      <c r="AN305" s="1170"/>
      <c r="AO305" s="1170"/>
      <c r="AP305" s="1170"/>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360"/>
      <c r="BR305" s="1170"/>
      <c r="BS305" s="1170"/>
      <c r="BT305" s="1170"/>
      <c r="BU305" s="1360"/>
      <c r="BV305" s="1170"/>
      <c r="BW305" s="1170"/>
      <c r="BX305" s="1170"/>
      <c r="BY305" s="1360"/>
      <c r="BZ305" s="1170"/>
      <c r="CA305" s="1198"/>
      <c r="CB305" s="1198"/>
      <c r="CC305" s="1226">
        <f>P305</f>
        <v>42.883000000000003</v>
      </c>
      <c r="CD305" s="1267">
        <f t="shared" ref="CD305:CK305" si="217">SUM(CD303:CD304)</f>
        <v>42.883000000000003</v>
      </c>
      <c r="CE305" s="1226">
        <f t="shared" si="217"/>
        <v>42.883000000000003</v>
      </c>
      <c r="CF305" s="1226">
        <f t="shared" si="217"/>
        <v>42.883000000000003</v>
      </c>
      <c r="CG305" s="1226">
        <f t="shared" si="217"/>
        <v>42.883000000000003</v>
      </c>
      <c r="CH305" s="1267">
        <f t="shared" si="217"/>
        <v>42.883000000000003</v>
      </c>
      <c r="CI305" s="1226">
        <f t="shared" si="217"/>
        <v>42.883000000000003</v>
      </c>
      <c r="CJ305" s="1226">
        <f t="shared" si="217"/>
        <v>42.883000000000003</v>
      </c>
      <c r="CK305" s="1226">
        <f t="shared" si="217"/>
        <v>42.883000000000003</v>
      </c>
      <c r="CL305" s="1267">
        <f>SUM(CL303:CL304)</f>
        <v>42.883000000000003</v>
      </c>
      <c r="CM305" s="1170"/>
      <c r="CN305" s="1170"/>
      <c r="CO305" s="1170"/>
      <c r="CP305" s="1170"/>
      <c r="CQ305" s="1170"/>
      <c r="CR305" s="1170"/>
      <c r="CS305" s="1170"/>
      <c r="CT305" s="1198"/>
      <c r="CU305" s="1198"/>
    </row>
    <row r="306" spans="1:99" ht="12.75" customHeight="1">
      <c r="A306" s="1198"/>
      <c r="B306" s="1198"/>
      <c r="C306" s="1198"/>
      <c r="D306" s="1198"/>
      <c r="E306" s="1198"/>
      <c r="F306" s="1198"/>
      <c r="G306" s="1198"/>
      <c r="H306" s="1198"/>
      <c r="I306" s="1198"/>
      <c r="J306" s="1198"/>
      <c r="K306" s="1198"/>
      <c r="L306" s="1198"/>
      <c r="M306" s="1198"/>
      <c r="N306" s="1198"/>
      <c r="O306" s="1198"/>
      <c r="P306" s="1198"/>
      <c r="Q306" s="1359"/>
      <c r="R306" s="1198"/>
      <c r="S306" s="1198"/>
      <c r="T306" s="1507"/>
      <c r="U306" s="1507"/>
      <c r="V306" s="1507"/>
      <c r="W306" s="1507"/>
      <c r="X306" s="1170"/>
      <c r="Y306" s="1170"/>
      <c r="Z306" s="1170"/>
      <c r="AA306" s="1170"/>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360"/>
      <c r="BR306" s="1198"/>
      <c r="BS306" s="1198"/>
      <c r="BT306" s="1198"/>
      <c r="BU306" s="1360"/>
      <c r="BV306" s="1198"/>
      <c r="BW306" s="1198"/>
      <c r="BX306" s="1198"/>
      <c r="BY306" s="1360"/>
      <c r="BZ306" s="1198"/>
      <c r="CA306" s="1198"/>
      <c r="CB306" s="1198"/>
      <c r="CC306" s="1198"/>
      <c r="CD306" s="1359"/>
      <c r="CE306" s="1198"/>
      <c r="CF306" s="1198"/>
      <c r="CG306" s="1198"/>
      <c r="CH306" s="1359"/>
      <c r="CI306" s="1198"/>
      <c r="CJ306" s="1198"/>
      <c r="CK306" s="1198"/>
      <c r="CL306" s="1359"/>
      <c r="CM306" s="1170"/>
      <c r="CN306" s="1170"/>
      <c r="CO306" s="1170"/>
      <c r="CP306" s="1170"/>
      <c r="CQ306" s="1170"/>
      <c r="CR306" s="1170"/>
      <c r="CS306" s="1170"/>
      <c r="CT306" s="1198"/>
      <c r="CU306" s="1198"/>
    </row>
    <row r="307" spans="1:99" ht="12.75" customHeight="1">
      <c r="A307" s="1575" t="s">
        <v>623</v>
      </c>
      <c r="B307" s="1591"/>
      <c r="C307" s="1591"/>
      <c r="D307" s="1591"/>
      <c r="E307" s="1591"/>
      <c r="F307" s="1591"/>
      <c r="G307" s="1591"/>
      <c r="H307" s="1591"/>
      <c r="I307" s="1591"/>
      <c r="J307" s="1591"/>
      <c r="K307" s="1591"/>
      <c r="L307" s="1591"/>
      <c r="M307" s="1591"/>
      <c r="N307" s="1591"/>
      <c r="O307" s="1591"/>
      <c r="P307" s="1591"/>
      <c r="Q307" s="1594"/>
      <c r="R307" s="1591"/>
      <c r="S307" s="1591"/>
      <c r="T307" s="1507"/>
      <c r="U307" s="1507"/>
      <c r="V307" s="1507"/>
      <c r="W307" s="1507"/>
      <c r="X307" s="1170"/>
      <c r="Y307" s="1170"/>
      <c r="Z307" s="1170"/>
      <c r="AA307" s="1170"/>
      <c r="AB307" s="1170"/>
      <c r="AC307" s="1170"/>
      <c r="AD307" s="1170"/>
      <c r="AE307" s="1170"/>
      <c r="AF307" s="1170"/>
      <c r="AG307" s="1170"/>
      <c r="AH307" s="1170"/>
      <c r="AI307" s="1170"/>
      <c r="AJ307" s="1170"/>
      <c r="AK307" s="1170"/>
      <c r="AL307" s="1170"/>
      <c r="AM307" s="1170"/>
      <c r="AN307" s="1170"/>
      <c r="AO307" s="1170"/>
      <c r="AP307" s="1170"/>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360"/>
      <c r="BR307" s="1170"/>
      <c r="BS307" s="1170"/>
      <c r="BT307" s="1170"/>
      <c r="BU307" s="1360"/>
      <c r="BV307" s="1170"/>
      <c r="BW307" s="1170"/>
      <c r="BX307" s="1170"/>
      <c r="BY307" s="1360"/>
      <c r="BZ307" s="1593"/>
      <c r="CA307" s="1591"/>
      <c r="CB307" s="1591"/>
      <c r="CC307" s="1591"/>
      <c r="CD307" s="1594"/>
      <c r="CE307" s="1591"/>
      <c r="CF307" s="1591"/>
      <c r="CG307" s="1591"/>
      <c r="CH307" s="1594"/>
      <c r="CI307" s="1591"/>
      <c r="CJ307" s="1591"/>
      <c r="CK307" s="1591"/>
      <c r="CL307" s="1594"/>
      <c r="CM307" s="1170"/>
      <c r="CN307" s="1170"/>
      <c r="CO307" s="1170"/>
      <c r="CP307" s="1170"/>
      <c r="CQ307" s="1170"/>
      <c r="CR307" s="1170"/>
      <c r="CS307" s="1170"/>
      <c r="CT307" s="1198"/>
      <c r="CU307" s="1198"/>
    </row>
    <row r="308" spans="1:99" ht="12.75" customHeight="1">
      <c r="A308" s="1595" t="s">
        <v>475</v>
      </c>
      <c r="B308" s="1198"/>
      <c r="C308" s="1198"/>
      <c r="D308" s="1198"/>
      <c r="E308" s="1198"/>
      <c r="F308" s="1198"/>
      <c r="G308" s="1198"/>
      <c r="H308" s="1198"/>
      <c r="I308" s="1198"/>
      <c r="J308" s="1198"/>
      <c r="K308" s="1198"/>
      <c r="L308" s="1198"/>
      <c r="M308" s="1198"/>
      <c r="N308" s="1198"/>
      <c r="O308" s="1198"/>
      <c r="P308" s="1198"/>
      <c r="Q308" s="1426">
        <f>P310</f>
        <v>1000</v>
      </c>
      <c r="R308" s="1307">
        <f>Q310</f>
        <v>1000</v>
      </c>
      <c r="S308" s="1307">
        <f>R310</f>
        <v>1000</v>
      </c>
      <c r="T308" s="1507"/>
      <c r="U308" s="1507"/>
      <c r="V308" s="1507"/>
      <c r="W308" s="1507"/>
      <c r="X308" s="1170"/>
      <c r="Y308" s="1170"/>
      <c r="Z308" s="1170"/>
      <c r="AA308" s="1170"/>
      <c r="AB308" s="1170"/>
      <c r="AC308" s="1170"/>
      <c r="AD308" s="1170"/>
      <c r="AE308" s="1170"/>
      <c r="AF308" s="1170"/>
      <c r="AG308" s="1170"/>
      <c r="AH308" s="1170"/>
      <c r="AI308" s="1170"/>
      <c r="AJ308" s="1170"/>
      <c r="AK308" s="1170"/>
      <c r="AL308" s="1170"/>
      <c r="AM308" s="1170"/>
      <c r="AN308" s="1170"/>
      <c r="AO308" s="1170"/>
      <c r="AP308" s="1170"/>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360"/>
      <c r="BR308" s="1170"/>
      <c r="BS308" s="1170"/>
      <c r="BT308" s="1170"/>
      <c r="BU308" s="1360"/>
      <c r="BV308" s="1170"/>
      <c r="BW308" s="1170"/>
      <c r="BX308" s="1170"/>
      <c r="BY308" s="1360"/>
      <c r="BZ308" s="1170"/>
      <c r="CA308" s="1198"/>
      <c r="CB308" s="1198"/>
      <c r="CC308" s="1198"/>
      <c r="CD308" s="1267">
        <f t="shared" ref="CD308:CK308" si="218">CC310</f>
        <v>1000</v>
      </c>
      <c r="CE308" s="1226">
        <f t="shared" si="218"/>
        <v>1000</v>
      </c>
      <c r="CF308" s="1226">
        <f t="shared" si="218"/>
        <v>1000</v>
      </c>
      <c r="CG308" s="1226">
        <f t="shared" si="218"/>
        <v>1000</v>
      </c>
      <c r="CH308" s="1267">
        <f t="shared" si="218"/>
        <v>1000</v>
      </c>
      <c r="CI308" s="1226">
        <f t="shared" si="218"/>
        <v>1000</v>
      </c>
      <c r="CJ308" s="1226">
        <f t="shared" si="218"/>
        <v>1000</v>
      </c>
      <c r="CK308" s="1226">
        <f t="shared" si="218"/>
        <v>1000</v>
      </c>
      <c r="CL308" s="1267">
        <f>CK310</f>
        <v>1000</v>
      </c>
      <c r="CM308" s="1170"/>
      <c r="CN308" s="1170"/>
      <c r="CO308" s="1170"/>
      <c r="CP308" s="1170"/>
      <c r="CQ308" s="1170"/>
      <c r="CR308" s="1170"/>
      <c r="CS308" s="1170"/>
      <c r="CT308" s="1198"/>
      <c r="CU308" s="1198"/>
    </row>
    <row r="309" spans="1:99" ht="12.75" customHeight="1">
      <c r="A309" s="1595" t="s">
        <v>593</v>
      </c>
      <c r="B309" s="1198"/>
      <c r="C309" s="1198"/>
      <c r="D309" s="1198"/>
      <c r="E309" s="1198"/>
      <c r="F309" s="1198"/>
      <c r="G309" s="1198"/>
      <c r="H309" s="1198"/>
      <c r="I309" s="1198"/>
      <c r="J309" s="1198"/>
      <c r="K309" s="1198"/>
      <c r="L309" s="1198"/>
      <c r="M309" s="1198"/>
      <c r="N309" s="1198"/>
      <c r="O309" s="1198"/>
      <c r="P309" s="1198"/>
      <c r="Q309" s="1596">
        <f>+SUM(CD309:CG309)</f>
        <v>0</v>
      </c>
      <c r="R309" s="1453">
        <f>+SUM(CH309:CK309)</f>
        <v>0</v>
      </c>
      <c r="S309" s="1602"/>
      <c r="T309" s="1507"/>
      <c r="U309" s="1507"/>
      <c r="V309" s="1507"/>
      <c r="W309" s="1507"/>
      <c r="X309" s="1170"/>
      <c r="Y309" s="1170"/>
      <c r="Z309" s="1170"/>
      <c r="AA309" s="1170"/>
      <c r="AB309" s="1170"/>
      <c r="AC309" s="1170"/>
      <c r="AD309" s="1170"/>
      <c r="AE309" s="1170"/>
      <c r="AF309" s="1170"/>
      <c r="AG309" s="1170"/>
      <c r="AH309" s="1170"/>
      <c r="AI309" s="1170"/>
      <c r="AJ309" s="1170"/>
      <c r="AK309" s="1170"/>
      <c r="AL309" s="1170"/>
      <c r="AM309" s="1170"/>
      <c r="AN309" s="1170"/>
      <c r="AO309" s="1170"/>
      <c r="AP309" s="1170"/>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360"/>
      <c r="BR309" s="1170"/>
      <c r="BS309" s="1170"/>
      <c r="BT309" s="1170"/>
      <c r="BU309" s="1360"/>
      <c r="BV309" s="1170"/>
      <c r="BW309" s="1170"/>
      <c r="BX309" s="1170"/>
      <c r="BY309" s="1360"/>
      <c r="BZ309" s="1170"/>
      <c r="CA309" s="1198"/>
      <c r="CB309" s="1198"/>
      <c r="CC309" s="1198"/>
      <c r="CD309" s="1359"/>
      <c r="CE309" s="1198"/>
      <c r="CF309" s="1602"/>
      <c r="CG309" s="1198"/>
      <c r="CH309" s="1359"/>
      <c r="CI309" s="1198"/>
      <c r="CJ309" s="1198"/>
      <c r="CK309" s="1198"/>
      <c r="CL309" s="1359"/>
      <c r="CM309" s="1170"/>
      <c r="CN309" s="1170"/>
      <c r="CO309" s="1170"/>
      <c r="CP309" s="1170"/>
      <c r="CQ309" s="1170"/>
      <c r="CR309" s="1170"/>
      <c r="CS309" s="1170"/>
      <c r="CT309" s="1198"/>
      <c r="CU309" s="1198"/>
    </row>
    <row r="310" spans="1:99" ht="12.75" customHeight="1">
      <c r="A310" s="1595" t="s">
        <v>476</v>
      </c>
      <c r="B310" s="1198"/>
      <c r="C310" s="1198"/>
      <c r="D310" s="1198"/>
      <c r="E310" s="1198"/>
      <c r="F310" s="1198"/>
      <c r="G310" s="1198"/>
      <c r="H310" s="1198"/>
      <c r="I310" s="1198"/>
      <c r="J310" s="1198"/>
      <c r="K310" s="1198"/>
      <c r="L310" s="1198"/>
      <c r="M310" s="1198"/>
      <c r="N310" s="1198"/>
      <c r="O310" s="1198"/>
      <c r="P310" s="1307">
        <v>1000</v>
      </c>
      <c r="Q310" s="1218">
        <f>+CG310</f>
        <v>1000</v>
      </c>
      <c r="R310" s="1226">
        <f>+CK310</f>
        <v>1000</v>
      </c>
      <c r="S310" s="1307">
        <f>S309+S308</f>
        <v>1000</v>
      </c>
      <c r="T310" s="1507"/>
      <c r="U310" s="1507"/>
      <c r="V310" s="1507"/>
      <c r="W310" s="1507"/>
      <c r="X310" s="1170"/>
      <c r="Y310" s="1170"/>
      <c r="Z310" s="1170"/>
      <c r="AA310" s="1170"/>
      <c r="AB310" s="1170"/>
      <c r="AC310" s="1170"/>
      <c r="AD310" s="1170"/>
      <c r="AE310" s="1170"/>
      <c r="AF310" s="1170"/>
      <c r="AG310" s="1170"/>
      <c r="AH310" s="1170"/>
      <c r="AI310" s="1170"/>
      <c r="AJ310" s="1170"/>
      <c r="AK310" s="1170"/>
      <c r="AL310" s="1170"/>
      <c r="AM310" s="1170"/>
      <c r="AN310" s="1170"/>
      <c r="AO310" s="1170"/>
      <c r="AP310" s="1170"/>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360"/>
      <c r="BR310" s="1170"/>
      <c r="BS310" s="1170"/>
      <c r="BT310" s="1170"/>
      <c r="BU310" s="1360"/>
      <c r="BV310" s="1170"/>
      <c r="BW310" s="1170"/>
      <c r="BX310" s="1170"/>
      <c r="BY310" s="1360"/>
      <c r="BZ310" s="1170"/>
      <c r="CA310" s="1198"/>
      <c r="CB310" s="1198"/>
      <c r="CC310" s="1226">
        <f>P310</f>
        <v>1000</v>
      </c>
      <c r="CD310" s="1267">
        <f t="shared" ref="CD310:CK310" si="219">SUM(CD308:CD309)</f>
        <v>1000</v>
      </c>
      <c r="CE310" s="1226">
        <f t="shared" si="219"/>
        <v>1000</v>
      </c>
      <c r="CF310" s="1226">
        <f t="shared" si="219"/>
        <v>1000</v>
      </c>
      <c r="CG310" s="1226">
        <f t="shared" si="219"/>
        <v>1000</v>
      </c>
      <c r="CH310" s="1267">
        <f t="shared" si="219"/>
        <v>1000</v>
      </c>
      <c r="CI310" s="1226">
        <f t="shared" si="219"/>
        <v>1000</v>
      </c>
      <c r="CJ310" s="1226">
        <f t="shared" si="219"/>
        <v>1000</v>
      </c>
      <c r="CK310" s="1226">
        <f t="shared" si="219"/>
        <v>1000</v>
      </c>
      <c r="CL310" s="1267">
        <f>SUM(CL308:CL309)</f>
        <v>1000</v>
      </c>
      <c r="CM310" s="1170"/>
      <c r="CN310" s="1170"/>
      <c r="CO310" s="1170"/>
      <c r="CP310" s="1170"/>
      <c r="CQ310" s="1170"/>
      <c r="CR310" s="1170"/>
      <c r="CS310" s="1170"/>
      <c r="CT310" s="1198"/>
      <c r="CU310" s="1198"/>
    </row>
    <row r="311" spans="1:99" ht="12.75" customHeight="1">
      <c r="A311" s="1198"/>
      <c r="B311" s="1198"/>
      <c r="C311" s="1198"/>
      <c r="D311" s="1198"/>
      <c r="E311" s="1198"/>
      <c r="F311" s="1198"/>
      <c r="G311" s="1198"/>
      <c r="H311" s="1198"/>
      <c r="I311" s="1198"/>
      <c r="J311" s="1198"/>
      <c r="K311" s="1198"/>
      <c r="L311" s="1198"/>
      <c r="M311" s="1198"/>
      <c r="N311" s="1198"/>
      <c r="O311" s="1198"/>
      <c r="P311" s="1198"/>
      <c r="Q311" s="1359"/>
      <c r="R311" s="1198"/>
      <c r="S311" s="1198"/>
      <c r="T311" s="1507"/>
      <c r="U311" s="1507"/>
      <c r="V311" s="1507"/>
      <c r="W311" s="1507"/>
      <c r="X311" s="1170"/>
      <c r="Y311" s="1170"/>
      <c r="Z311" s="1170"/>
      <c r="AA311" s="1170"/>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360"/>
      <c r="BR311" s="1198"/>
      <c r="BS311" s="1198"/>
      <c r="BT311" s="1198"/>
      <c r="BU311" s="1360"/>
      <c r="BV311" s="1198"/>
      <c r="BW311" s="1198"/>
      <c r="BX311" s="1198"/>
      <c r="BY311" s="1360"/>
      <c r="BZ311" s="1198"/>
      <c r="CA311" s="1198"/>
      <c r="CB311" s="1198"/>
      <c r="CC311" s="1198"/>
      <c r="CD311" s="1359"/>
      <c r="CE311" s="1198"/>
      <c r="CF311" s="1198"/>
      <c r="CG311" s="1198"/>
      <c r="CH311" s="1359"/>
      <c r="CI311" s="1198"/>
      <c r="CJ311" s="1198"/>
      <c r="CK311" s="1198"/>
      <c r="CL311" s="1359"/>
      <c r="CM311" s="1170"/>
      <c r="CN311" s="1170"/>
      <c r="CO311" s="1170"/>
      <c r="CP311" s="1170"/>
      <c r="CQ311" s="1170"/>
      <c r="CR311" s="1170"/>
      <c r="CS311" s="1170"/>
      <c r="CT311" s="1198"/>
      <c r="CU311" s="1198"/>
    </row>
    <row r="312" spans="1:99" ht="12.75" customHeight="1">
      <c r="A312" s="1575" t="s">
        <v>615</v>
      </c>
      <c r="B312" s="1591"/>
      <c r="C312" s="1591"/>
      <c r="D312" s="1591"/>
      <c r="E312" s="1591"/>
      <c r="F312" s="1591"/>
      <c r="G312" s="1591"/>
      <c r="H312" s="1591"/>
      <c r="I312" s="1591"/>
      <c r="J312" s="1591"/>
      <c r="K312" s="1591"/>
      <c r="L312" s="1591"/>
      <c r="M312" s="1591"/>
      <c r="N312" s="1591"/>
      <c r="O312" s="1591"/>
      <c r="P312" s="1591"/>
      <c r="Q312" s="1594"/>
      <c r="R312" s="1591"/>
      <c r="S312" s="1591"/>
      <c r="T312" s="1507"/>
      <c r="U312" s="1507"/>
      <c r="V312" s="1507"/>
      <c r="W312" s="1507"/>
      <c r="X312" s="1170"/>
      <c r="Y312" s="1170"/>
      <c r="Z312" s="1170"/>
      <c r="AA312" s="1170"/>
      <c r="AB312" s="1170"/>
      <c r="AC312" s="1170"/>
      <c r="AD312" s="1170"/>
      <c r="AE312" s="1170"/>
      <c r="AF312" s="1170"/>
      <c r="AG312" s="1170"/>
      <c r="AH312" s="1170"/>
      <c r="AI312" s="1170"/>
      <c r="AJ312" s="1170"/>
      <c r="AK312" s="1170"/>
      <c r="AL312" s="1170"/>
      <c r="AM312" s="1170"/>
      <c r="AN312" s="1170"/>
      <c r="AO312" s="1170"/>
      <c r="AP312" s="1170"/>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360"/>
      <c r="BR312" s="1170"/>
      <c r="BS312" s="1170"/>
      <c r="BT312" s="1170"/>
      <c r="BU312" s="1360"/>
      <c r="BV312" s="1170"/>
      <c r="BW312" s="1170"/>
      <c r="BX312" s="1170"/>
      <c r="BY312" s="1360"/>
      <c r="BZ312" s="1593"/>
      <c r="CA312" s="1591"/>
      <c r="CB312" s="1591"/>
      <c r="CC312" s="1591"/>
      <c r="CD312" s="1594"/>
      <c r="CE312" s="1591"/>
      <c r="CF312" s="1591"/>
      <c r="CG312" s="1591"/>
      <c r="CH312" s="1594"/>
      <c r="CI312" s="1591"/>
      <c r="CJ312" s="1591"/>
      <c r="CK312" s="1591"/>
      <c r="CL312" s="1594"/>
      <c r="CM312" s="1170"/>
      <c r="CN312" s="1170"/>
      <c r="CO312" s="1170"/>
      <c r="CP312" s="1170"/>
      <c r="CQ312" s="1170"/>
      <c r="CR312" s="1170"/>
      <c r="CS312" s="1170"/>
      <c r="CT312" s="1198"/>
      <c r="CU312" s="1198"/>
    </row>
    <row r="313" spans="1:99" ht="12.75" customHeight="1">
      <c r="A313" s="1595" t="s">
        <v>475</v>
      </c>
      <c r="B313" s="1198"/>
      <c r="C313" s="1198"/>
      <c r="D313" s="1198"/>
      <c r="E313" s="1198"/>
      <c r="F313" s="1198"/>
      <c r="G313" s="1198"/>
      <c r="H313" s="1198"/>
      <c r="I313" s="1198"/>
      <c r="J313" s="1198"/>
      <c r="K313" s="1198"/>
      <c r="L313" s="1198"/>
      <c r="M313" s="1198"/>
      <c r="N313" s="1198"/>
      <c r="O313" s="1198"/>
      <c r="P313" s="1198"/>
      <c r="Q313" s="1426">
        <f>P315</f>
        <v>250</v>
      </c>
      <c r="R313" s="1307">
        <f>Q315</f>
        <v>250</v>
      </c>
      <c r="S313" s="1307">
        <f>R315</f>
        <v>250</v>
      </c>
      <c r="T313" s="1507"/>
      <c r="U313" s="1507"/>
      <c r="V313" s="1507"/>
      <c r="W313" s="1507"/>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360"/>
      <c r="BR313" s="1170"/>
      <c r="BS313" s="1170"/>
      <c r="BT313" s="1170"/>
      <c r="BU313" s="1360"/>
      <c r="BV313" s="1170"/>
      <c r="BW313" s="1170"/>
      <c r="BX313" s="1170"/>
      <c r="BY313" s="1360"/>
      <c r="BZ313" s="1170"/>
      <c r="CA313" s="1198"/>
      <c r="CB313" s="1198"/>
      <c r="CC313" s="1198"/>
      <c r="CD313" s="1267">
        <f t="shared" ref="CD313:CK313" si="220">CC315</f>
        <v>250</v>
      </c>
      <c r="CE313" s="1226">
        <f t="shared" si="220"/>
        <v>250</v>
      </c>
      <c r="CF313" s="1226">
        <f t="shared" si="220"/>
        <v>250</v>
      </c>
      <c r="CG313" s="1226">
        <f t="shared" si="220"/>
        <v>250</v>
      </c>
      <c r="CH313" s="1267">
        <f t="shared" si="220"/>
        <v>250</v>
      </c>
      <c r="CI313" s="1226">
        <f t="shared" si="220"/>
        <v>250</v>
      </c>
      <c r="CJ313" s="1226">
        <f t="shared" si="220"/>
        <v>250</v>
      </c>
      <c r="CK313" s="1226">
        <f t="shared" si="220"/>
        <v>250</v>
      </c>
      <c r="CL313" s="1267">
        <f>CK315</f>
        <v>250</v>
      </c>
      <c r="CM313" s="1170"/>
      <c r="CN313" s="1170"/>
      <c r="CO313" s="1170"/>
      <c r="CP313" s="1170"/>
      <c r="CQ313" s="1170"/>
      <c r="CR313" s="1170"/>
      <c r="CS313" s="1170"/>
      <c r="CT313" s="1198"/>
      <c r="CU313" s="1198"/>
    </row>
    <row r="314" spans="1:99" ht="12.75" customHeight="1">
      <c r="A314" s="1595" t="s">
        <v>593</v>
      </c>
      <c r="B314" s="1198"/>
      <c r="C314" s="1198"/>
      <c r="D314" s="1198"/>
      <c r="E314" s="1198"/>
      <c r="F314" s="1198"/>
      <c r="G314" s="1198"/>
      <c r="H314" s="1198"/>
      <c r="I314" s="1198"/>
      <c r="J314" s="1198"/>
      <c r="K314" s="1198"/>
      <c r="L314" s="1198"/>
      <c r="M314" s="1198"/>
      <c r="N314" s="1198"/>
      <c r="O314" s="1198"/>
      <c r="P314" s="1198"/>
      <c r="Q314" s="1596">
        <f>+SUM(CD314:CG314)</f>
        <v>0</v>
      </c>
      <c r="R314" s="1453">
        <f>+SUM(CH314:CK314)</f>
        <v>0</v>
      </c>
      <c r="S314" s="1602"/>
      <c r="T314" s="1507"/>
      <c r="U314" s="1507"/>
      <c r="V314" s="1507"/>
      <c r="W314" s="1507"/>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360"/>
      <c r="BR314" s="1170"/>
      <c r="BS314" s="1170"/>
      <c r="BT314" s="1170"/>
      <c r="BU314" s="1360"/>
      <c r="BV314" s="1170"/>
      <c r="BW314" s="1170"/>
      <c r="BX314" s="1170"/>
      <c r="BY314" s="1360"/>
      <c r="BZ314" s="1170"/>
      <c r="CA314" s="1198"/>
      <c r="CB314" s="1198"/>
      <c r="CC314" s="1198"/>
      <c r="CD314" s="1359"/>
      <c r="CE314" s="1198"/>
      <c r="CF314" s="1602"/>
      <c r="CG314" s="1198"/>
      <c r="CH314" s="1359"/>
      <c r="CI314" s="1198"/>
      <c r="CJ314" s="1198"/>
      <c r="CK314" s="1198"/>
      <c r="CL314" s="1359"/>
      <c r="CM314" s="1170"/>
      <c r="CN314" s="1170"/>
      <c r="CO314" s="1170"/>
      <c r="CP314" s="1170"/>
      <c r="CQ314" s="1170"/>
      <c r="CR314" s="1170"/>
      <c r="CS314" s="1170"/>
      <c r="CT314" s="1198"/>
      <c r="CU314" s="1198"/>
    </row>
    <row r="315" spans="1:99" ht="12.75" customHeight="1">
      <c r="A315" s="1595" t="s">
        <v>476</v>
      </c>
      <c r="B315" s="1198"/>
      <c r="C315" s="1198"/>
      <c r="D315" s="1198"/>
      <c r="E315" s="1198"/>
      <c r="F315" s="1198"/>
      <c r="G315" s="1198"/>
      <c r="H315" s="1198"/>
      <c r="I315" s="1198"/>
      <c r="J315" s="1198"/>
      <c r="K315" s="1198"/>
      <c r="L315" s="1198"/>
      <c r="M315" s="1198"/>
      <c r="N315" s="1198"/>
      <c r="O315" s="1198"/>
      <c r="P315" s="1307">
        <v>250</v>
      </c>
      <c r="Q315" s="1218">
        <f>+CG315</f>
        <v>250</v>
      </c>
      <c r="R315" s="1226">
        <f>+CK315</f>
        <v>250</v>
      </c>
      <c r="S315" s="1307">
        <f>S314+S313</f>
        <v>250</v>
      </c>
      <c r="T315" s="1507"/>
      <c r="U315" s="1507"/>
      <c r="V315" s="1507"/>
      <c r="W315" s="1507"/>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360"/>
      <c r="BR315" s="1170"/>
      <c r="BS315" s="1170"/>
      <c r="BT315" s="1170"/>
      <c r="BU315" s="1360"/>
      <c r="BV315" s="1170"/>
      <c r="BW315" s="1170"/>
      <c r="BX315" s="1170"/>
      <c r="BY315" s="1360"/>
      <c r="BZ315" s="1170"/>
      <c r="CA315" s="1198"/>
      <c r="CB315" s="1198"/>
      <c r="CC315" s="1226">
        <f>P315</f>
        <v>250</v>
      </c>
      <c r="CD315" s="1267">
        <f t="shared" ref="CD315:CK315" si="221">SUM(CD313:CD314)</f>
        <v>250</v>
      </c>
      <c r="CE315" s="1226">
        <f t="shared" si="221"/>
        <v>250</v>
      </c>
      <c r="CF315" s="1226">
        <f t="shared" si="221"/>
        <v>250</v>
      </c>
      <c r="CG315" s="1226">
        <f t="shared" si="221"/>
        <v>250</v>
      </c>
      <c r="CH315" s="1267">
        <f t="shared" si="221"/>
        <v>250</v>
      </c>
      <c r="CI315" s="1226">
        <f t="shared" si="221"/>
        <v>250</v>
      </c>
      <c r="CJ315" s="1226">
        <f t="shared" si="221"/>
        <v>250</v>
      </c>
      <c r="CK315" s="1226">
        <f t="shared" si="221"/>
        <v>250</v>
      </c>
      <c r="CL315" s="1267">
        <f>SUM(CL313:CL314)</f>
        <v>250</v>
      </c>
      <c r="CM315" s="1170"/>
      <c r="CN315" s="1170"/>
      <c r="CO315" s="1170"/>
      <c r="CP315" s="1170"/>
      <c r="CQ315" s="1170"/>
      <c r="CR315" s="1170"/>
      <c r="CS315" s="1170"/>
      <c r="CT315" s="1198"/>
      <c r="CU315" s="1198"/>
    </row>
    <row r="316" spans="1:99" ht="12.75" customHeight="1">
      <c r="A316" s="1595"/>
      <c r="B316" s="1198"/>
      <c r="C316" s="1198"/>
      <c r="D316" s="1198"/>
      <c r="E316" s="1198"/>
      <c r="F316" s="1198"/>
      <c r="G316" s="1198"/>
      <c r="H316" s="1198"/>
      <c r="I316" s="1198"/>
      <c r="J316" s="1198"/>
      <c r="K316" s="1198"/>
      <c r="L316" s="1198"/>
      <c r="M316" s="1198"/>
      <c r="N316" s="1198"/>
      <c r="O316" s="1198"/>
      <c r="P316" s="1307"/>
      <c r="Q316" s="1426"/>
      <c r="R316" s="1307"/>
      <c r="S316" s="1307"/>
      <c r="T316" s="1507"/>
      <c r="U316" s="1507"/>
      <c r="V316" s="1507"/>
      <c r="W316" s="1507"/>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360"/>
      <c r="BR316" s="1170"/>
      <c r="BS316" s="1170"/>
      <c r="BT316" s="1170"/>
      <c r="BU316" s="1360"/>
      <c r="BV316" s="1170"/>
      <c r="BW316" s="1170"/>
      <c r="BX316" s="1170"/>
      <c r="BY316" s="1360"/>
      <c r="BZ316" s="1170"/>
      <c r="CA316" s="1198"/>
      <c r="CB316" s="1198"/>
      <c r="CC316" s="1226"/>
      <c r="CD316" s="1267"/>
      <c r="CE316" s="1226"/>
      <c r="CF316" s="1226"/>
      <c r="CG316" s="1226"/>
      <c r="CH316" s="1267"/>
      <c r="CI316" s="1226"/>
      <c r="CJ316" s="1226"/>
      <c r="CK316" s="1226"/>
      <c r="CL316" s="1267"/>
      <c r="CM316" s="1170"/>
      <c r="CN316" s="1170"/>
      <c r="CO316" s="1170"/>
      <c r="CP316" s="1170"/>
      <c r="CQ316" s="1170"/>
      <c r="CR316" s="1170"/>
      <c r="CS316" s="1170"/>
      <c r="CT316" s="1198"/>
      <c r="CU316" s="1198"/>
    </row>
    <row r="317" spans="1:99" ht="12.75" customHeight="1">
      <c r="A317" s="1575" t="s">
        <v>624</v>
      </c>
      <c r="B317" s="1591"/>
      <c r="C317" s="1591"/>
      <c r="D317" s="1591"/>
      <c r="E317" s="1591"/>
      <c r="F317" s="1591"/>
      <c r="G317" s="1591"/>
      <c r="H317" s="1591"/>
      <c r="I317" s="1591"/>
      <c r="J317" s="1591"/>
      <c r="K317" s="1591"/>
      <c r="L317" s="1591"/>
      <c r="M317" s="1591"/>
      <c r="N317" s="1591"/>
      <c r="O317" s="1591"/>
      <c r="P317" s="1591"/>
      <c r="Q317" s="1594"/>
      <c r="R317" s="1591"/>
      <c r="S317" s="1591"/>
      <c r="T317" s="1507"/>
      <c r="U317" s="1507"/>
      <c r="V317" s="1507"/>
      <c r="W317" s="1507"/>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360"/>
      <c r="BR317" s="1170"/>
      <c r="BS317" s="1170"/>
      <c r="BT317" s="1170"/>
      <c r="BU317" s="1360"/>
      <c r="BV317" s="1170"/>
      <c r="BW317" s="1170"/>
      <c r="BX317" s="1170"/>
      <c r="BY317" s="1360"/>
      <c r="BZ317" s="1593"/>
      <c r="CA317" s="1591"/>
      <c r="CB317" s="1591"/>
      <c r="CC317" s="1591"/>
      <c r="CD317" s="1594"/>
      <c r="CE317" s="1591"/>
      <c r="CF317" s="1591"/>
      <c r="CG317" s="1591"/>
      <c r="CH317" s="1594"/>
      <c r="CI317" s="1591"/>
      <c r="CJ317" s="1591"/>
      <c r="CK317" s="1591"/>
      <c r="CL317" s="1594"/>
      <c r="CM317" s="1170"/>
      <c r="CN317" s="1170"/>
      <c r="CO317" s="1170"/>
      <c r="CP317" s="1170"/>
      <c r="CQ317" s="1170"/>
      <c r="CR317" s="1170"/>
      <c r="CS317" s="1170"/>
      <c r="CT317" s="1198"/>
      <c r="CU317" s="1198"/>
    </row>
    <row r="318" spans="1:99" ht="12.75" customHeight="1">
      <c r="A318" s="1595" t="s">
        <v>475</v>
      </c>
      <c r="B318" s="1198"/>
      <c r="C318" s="1198"/>
      <c r="D318" s="1198"/>
      <c r="E318" s="1198"/>
      <c r="F318" s="1198"/>
      <c r="G318" s="1198"/>
      <c r="H318" s="1198"/>
      <c r="I318" s="1198"/>
      <c r="J318" s="1198"/>
      <c r="K318" s="1198"/>
      <c r="L318" s="1198"/>
      <c r="M318" s="1198"/>
      <c r="N318" s="1198"/>
      <c r="O318" s="1198"/>
      <c r="P318" s="1198"/>
      <c r="Q318" s="1426">
        <f>P320</f>
        <v>250</v>
      </c>
      <c r="R318" s="1307">
        <f>Q320</f>
        <v>250</v>
      </c>
      <c r="S318" s="1307">
        <f>R320</f>
        <v>250</v>
      </c>
      <c r="T318" s="1507"/>
      <c r="U318" s="1507"/>
      <c r="V318" s="1507"/>
      <c r="W318" s="1507"/>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360"/>
      <c r="BR318" s="1170"/>
      <c r="BS318" s="1170"/>
      <c r="BT318" s="1170"/>
      <c r="BU318" s="1360"/>
      <c r="BV318" s="1170"/>
      <c r="BW318" s="1170"/>
      <c r="BX318" s="1170"/>
      <c r="BY318" s="1360"/>
      <c r="BZ318" s="1170"/>
      <c r="CA318" s="1198"/>
      <c r="CB318" s="1198"/>
      <c r="CC318" s="1198"/>
      <c r="CD318" s="1267">
        <f t="shared" ref="CD318:CK318" si="222">CC320</f>
        <v>250</v>
      </c>
      <c r="CE318" s="1226">
        <f t="shared" si="222"/>
        <v>250</v>
      </c>
      <c r="CF318" s="1226">
        <f t="shared" si="222"/>
        <v>250</v>
      </c>
      <c r="CG318" s="1226">
        <f t="shared" si="222"/>
        <v>250</v>
      </c>
      <c r="CH318" s="1267">
        <f t="shared" si="222"/>
        <v>250</v>
      </c>
      <c r="CI318" s="1226">
        <f t="shared" si="222"/>
        <v>250</v>
      </c>
      <c r="CJ318" s="1226">
        <f t="shared" si="222"/>
        <v>250</v>
      </c>
      <c r="CK318" s="1226">
        <f t="shared" si="222"/>
        <v>250</v>
      </c>
      <c r="CL318" s="1267">
        <f>CK320</f>
        <v>250</v>
      </c>
      <c r="CM318" s="1170"/>
      <c r="CN318" s="1170"/>
      <c r="CO318" s="1170"/>
      <c r="CP318" s="1170"/>
      <c r="CQ318" s="1170"/>
      <c r="CR318" s="1170"/>
      <c r="CS318" s="1170"/>
      <c r="CT318" s="1198"/>
      <c r="CU318" s="1198"/>
    </row>
    <row r="319" spans="1:99" ht="12.75" customHeight="1">
      <c r="A319" s="1595" t="s">
        <v>593</v>
      </c>
      <c r="B319" s="1198"/>
      <c r="C319" s="1198"/>
      <c r="D319" s="1198"/>
      <c r="E319" s="1198"/>
      <c r="F319" s="1198"/>
      <c r="G319" s="1198"/>
      <c r="H319" s="1198"/>
      <c r="I319" s="1198"/>
      <c r="J319" s="1198"/>
      <c r="K319" s="1198"/>
      <c r="L319" s="1198"/>
      <c r="M319" s="1198"/>
      <c r="N319" s="1198"/>
      <c r="O319" s="1198"/>
      <c r="P319" s="1198"/>
      <c r="Q319" s="1596">
        <f>+SUM(CD319:CG319)</f>
        <v>0</v>
      </c>
      <c r="R319" s="1453">
        <f>+SUM(CH319:CK319)</f>
        <v>0</v>
      </c>
      <c r="S319" s="1602"/>
      <c r="T319" s="1507"/>
      <c r="U319" s="1507"/>
      <c r="V319" s="1507"/>
      <c r="W319" s="1507"/>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360"/>
      <c r="BR319" s="1170"/>
      <c r="BS319" s="1170"/>
      <c r="BT319" s="1170"/>
      <c r="BU319" s="1360"/>
      <c r="BV319" s="1170"/>
      <c r="BW319" s="1170"/>
      <c r="BX319" s="1170"/>
      <c r="BY319" s="1360"/>
      <c r="BZ319" s="1170"/>
      <c r="CA319" s="1198"/>
      <c r="CB319" s="1198"/>
      <c r="CC319" s="1198"/>
      <c r="CD319" s="1359"/>
      <c r="CE319" s="1198"/>
      <c r="CF319" s="1602"/>
      <c r="CG319" s="1198"/>
      <c r="CH319" s="1359"/>
      <c r="CI319" s="1198"/>
      <c r="CJ319" s="1198"/>
      <c r="CK319" s="1198"/>
      <c r="CL319" s="1359"/>
      <c r="CM319" s="1170"/>
      <c r="CN319" s="1170"/>
      <c r="CO319" s="1170"/>
      <c r="CP319" s="1170"/>
      <c r="CQ319" s="1170"/>
      <c r="CR319" s="1170"/>
      <c r="CS319" s="1170"/>
      <c r="CT319" s="1198"/>
      <c r="CU319" s="1198"/>
    </row>
    <row r="320" spans="1:99" ht="12.75" customHeight="1">
      <c r="A320" s="1595" t="s">
        <v>476</v>
      </c>
      <c r="B320" s="1198"/>
      <c r="C320" s="1198"/>
      <c r="D320" s="1198"/>
      <c r="E320" s="1198"/>
      <c r="F320" s="1198"/>
      <c r="G320" s="1198"/>
      <c r="H320" s="1198"/>
      <c r="I320" s="1198"/>
      <c r="J320" s="1198"/>
      <c r="K320" s="1198"/>
      <c r="L320" s="1198"/>
      <c r="M320" s="1198"/>
      <c r="N320" s="1198"/>
      <c r="O320" s="1198"/>
      <c r="P320" s="1307">
        <v>250</v>
      </c>
      <c r="Q320" s="1218">
        <f>+CG320</f>
        <v>250</v>
      </c>
      <c r="R320" s="1226">
        <f>+CK320</f>
        <v>250</v>
      </c>
      <c r="S320" s="1307">
        <f>S319+S318</f>
        <v>250</v>
      </c>
      <c r="T320" s="1507"/>
      <c r="U320" s="1507"/>
      <c r="V320" s="1507"/>
      <c r="W320" s="1507"/>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360"/>
      <c r="BR320" s="1170"/>
      <c r="BS320" s="1170"/>
      <c r="BT320" s="1170"/>
      <c r="BU320" s="1360"/>
      <c r="BV320" s="1170"/>
      <c r="BW320" s="1170"/>
      <c r="BX320" s="1170"/>
      <c r="BY320" s="1360"/>
      <c r="BZ320" s="1170"/>
      <c r="CA320" s="1198"/>
      <c r="CB320" s="1198"/>
      <c r="CC320" s="1226">
        <f>P320</f>
        <v>250</v>
      </c>
      <c r="CD320" s="1267">
        <f t="shared" ref="CD320:CK320" si="223">SUM(CD318:CD319)</f>
        <v>250</v>
      </c>
      <c r="CE320" s="1226">
        <f t="shared" si="223"/>
        <v>250</v>
      </c>
      <c r="CF320" s="1226">
        <f t="shared" si="223"/>
        <v>250</v>
      </c>
      <c r="CG320" s="1226">
        <f t="shared" si="223"/>
        <v>250</v>
      </c>
      <c r="CH320" s="1267">
        <f t="shared" si="223"/>
        <v>250</v>
      </c>
      <c r="CI320" s="1226">
        <f t="shared" si="223"/>
        <v>250</v>
      </c>
      <c r="CJ320" s="1226">
        <f t="shared" si="223"/>
        <v>250</v>
      </c>
      <c r="CK320" s="1226">
        <f t="shared" si="223"/>
        <v>250</v>
      </c>
      <c r="CL320" s="1267">
        <f>SUM(CL318:CL319)</f>
        <v>250</v>
      </c>
      <c r="CM320" s="1170"/>
      <c r="CN320" s="1170"/>
      <c r="CO320" s="1170"/>
      <c r="CP320" s="1170"/>
      <c r="CQ320" s="1170"/>
      <c r="CR320" s="1170"/>
      <c r="CS320" s="1170"/>
      <c r="CT320" s="1198"/>
      <c r="CU320" s="1198"/>
    </row>
    <row r="321" spans="1:99" ht="12.75" customHeight="1">
      <c r="A321" s="1595"/>
      <c r="B321" s="1198"/>
      <c r="C321" s="1198"/>
      <c r="D321" s="1198"/>
      <c r="E321" s="1198"/>
      <c r="F321" s="1198"/>
      <c r="G321" s="1198"/>
      <c r="H321" s="1198"/>
      <c r="I321" s="1198"/>
      <c r="J321" s="1198"/>
      <c r="K321" s="1198"/>
      <c r="L321" s="1198"/>
      <c r="M321" s="1198"/>
      <c r="N321" s="1198"/>
      <c r="O321" s="1198"/>
      <c r="P321" s="1307"/>
      <c r="Q321" s="1426"/>
      <c r="R321" s="1307"/>
      <c r="S321" s="1307"/>
      <c r="T321" s="1507"/>
      <c r="U321" s="1507"/>
      <c r="V321" s="1507"/>
      <c r="W321" s="1507"/>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360"/>
      <c r="BR321" s="1170"/>
      <c r="BS321" s="1170"/>
      <c r="BT321" s="1170"/>
      <c r="BU321" s="1360"/>
      <c r="BV321" s="1170"/>
      <c r="BW321" s="1170"/>
      <c r="BX321" s="1170"/>
      <c r="BY321" s="1360"/>
      <c r="BZ321" s="1170"/>
      <c r="CA321" s="1198"/>
      <c r="CB321" s="1198"/>
      <c r="CC321" s="1226"/>
      <c r="CD321" s="1267"/>
      <c r="CE321" s="1226"/>
      <c r="CF321" s="1226"/>
      <c r="CG321" s="1226"/>
      <c r="CH321" s="1267"/>
      <c r="CI321" s="1226"/>
      <c r="CJ321" s="1226"/>
      <c r="CK321" s="1226"/>
      <c r="CL321" s="1267"/>
      <c r="CM321" s="1170"/>
      <c r="CN321" s="1170"/>
      <c r="CO321" s="1170"/>
      <c r="CP321" s="1170"/>
      <c r="CQ321" s="1170"/>
      <c r="CR321" s="1170"/>
      <c r="CS321" s="1170"/>
      <c r="CT321" s="1198"/>
      <c r="CU321" s="1198"/>
    </row>
    <row r="322" spans="1:99" ht="12.75" customHeight="1">
      <c r="A322" s="1469" t="s">
        <v>598</v>
      </c>
      <c r="B322" s="1591"/>
      <c r="C322" s="1591"/>
      <c r="D322" s="1591"/>
      <c r="E322" s="1591"/>
      <c r="F322" s="1591"/>
      <c r="G322" s="1591"/>
      <c r="H322" s="1591"/>
      <c r="I322" s="1591"/>
      <c r="J322" s="1591"/>
      <c r="K322" s="1591"/>
      <c r="L322" s="1591"/>
      <c r="M322" s="1591"/>
      <c r="N322" s="1591"/>
      <c r="O322" s="1591"/>
      <c r="P322" s="1600"/>
      <c r="Q322" s="1594"/>
      <c r="R322" s="1591"/>
      <c r="S322" s="1591"/>
      <c r="T322" s="1507"/>
      <c r="U322" s="1507"/>
      <c r="V322" s="1507"/>
      <c r="W322" s="1507"/>
      <c r="X322" s="1170"/>
      <c r="Y322" s="1170"/>
      <c r="Z322" s="1170"/>
      <c r="AA322" s="1170"/>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360"/>
      <c r="BR322" s="1198"/>
      <c r="BS322" s="1198"/>
      <c r="BT322" s="1198"/>
      <c r="BU322" s="1360"/>
      <c r="BV322" s="1198"/>
      <c r="BW322" s="1198"/>
      <c r="BX322" s="1198"/>
      <c r="BY322" s="1360"/>
      <c r="BZ322" s="1600"/>
      <c r="CA322" s="1591"/>
      <c r="CB322" s="1591"/>
      <c r="CC322" s="1591"/>
      <c r="CD322" s="1594"/>
      <c r="CE322" s="1591"/>
      <c r="CF322" s="1591"/>
      <c r="CG322" s="1591"/>
      <c r="CH322" s="1594"/>
      <c r="CI322" s="1591"/>
      <c r="CJ322" s="1591"/>
      <c r="CK322" s="1591"/>
      <c r="CL322" s="1594"/>
      <c r="CM322" s="1170"/>
      <c r="CN322" s="1170"/>
      <c r="CO322" s="1170"/>
      <c r="CP322" s="1170"/>
      <c r="CQ322" s="1170"/>
      <c r="CR322" s="1170"/>
      <c r="CS322" s="1170"/>
      <c r="CT322" s="1198"/>
      <c r="CU322" s="1198"/>
    </row>
    <row r="323" spans="1:99" ht="12.75" customHeight="1">
      <c r="A323" s="1595" t="s">
        <v>475</v>
      </c>
      <c r="B323" s="1198"/>
      <c r="C323" s="1198"/>
      <c r="D323" s="1198"/>
      <c r="E323" s="1198"/>
      <c r="F323" s="1198"/>
      <c r="G323" s="1198"/>
      <c r="H323" s="1198"/>
      <c r="I323" s="1198"/>
      <c r="J323" s="1198"/>
      <c r="K323" s="1198"/>
      <c r="L323" s="1198"/>
      <c r="M323" s="1198"/>
      <c r="N323" s="1198"/>
      <c r="O323" s="1198"/>
      <c r="P323" s="1307">
        <f>P318+P313+P308+P303+P298+P293+P288+P283+P273+P268+P263+P258+P253+P248+P243</f>
        <v>0</v>
      </c>
      <c r="Q323" s="1426">
        <f>Q318+Q313+Q308+Q303+Q298+Q293+Q288+Q283+Q273+Q268+Q263+Q258+Q253+Q248+Q243+Q278</f>
        <v>7657.0330000000004</v>
      </c>
      <c r="R323" s="1307">
        <f ca="1">R318+R313+R308+R303+R298+R293+R288+R283+R273+R268+R263+R258+R253+R248+R243+R278</f>
        <v>8468.0329999999994</v>
      </c>
      <c r="S323" s="1307">
        <f ca="1">S318+S313+S308+S303+S298+S293+S288+S283+S273+S268+S263+S258+S253+S248+S243+S278</f>
        <v>8468.0329999999994</v>
      </c>
      <c r="T323" s="1507"/>
      <c r="U323" s="1507"/>
      <c r="V323" s="1507"/>
      <c r="W323" s="1507"/>
      <c r="X323" s="1170"/>
      <c r="Y323" s="1170"/>
      <c r="Z323" s="1170"/>
      <c r="AA323" s="1170"/>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360"/>
      <c r="BR323" s="1198"/>
      <c r="BS323" s="1198"/>
      <c r="BT323" s="1198"/>
      <c r="BU323" s="1360"/>
      <c r="BV323" s="1198"/>
      <c r="BW323" s="1198"/>
      <c r="BX323" s="1198"/>
      <c r="BY323" s="1360"/>
      <c r="BZ323" s="1307"/>
      <c r="CA323" s="1307"/>
      <c r="CB323" s="1307"/>
      <c r="CC323" s="1307">
        <f t="shared" ref="CC323:CG325" si="224">CC318+CC313+CC308+CC303+CC298+CC293+CC288+CC283+CC273+CC268+CC263+CC258+CC253+CC248+CC243+CC278</f>
        <v>0</v>
      </c>
      <c r="CD323" s="1426">
        <f t="shared" si="224"/>
        <v>7657.0330000000004</v>
      </c>
      <c r="CE323" s="1307">
        <f t="shared" si="224"/>
        <v>7657.0330000000004</v>
      </c>
      <c r="CF323" s="1307">
        <f t="shared" ca="1" si="224"/>
        <v>8468.0329999999994</v>
      </c>
      <c r="CG323" s="1307">
        <f t="shared" ca="1" si="224"/>
        <v>8468.0329999999994</v>
      </c>
      <c r="CH323" s="1426">
        <f t="shared" ref="CH323:CK325" ca="1" si="225">CH318+CH313+CH308+CH303+CH298+CH293+CH288+CH283+CH273+CH268+CH263+CH258+CH253+CH248+CH243+CH278</f>
        <v>8468.0329999999994</v>
      </c>
      <c r="CI323" s="1307">
        <f t="shared" ca="1" si="225"/>
        <v>8468.0329999999994</v>
      </c>
      <c r="CJ323" s="1307">
        <f t="shared" ca="1" si="225"/>
        <v>8468.0329999999994</v>
      </c>
      <c r="CK323" s="1307">
        <f t="shared" ca="1" si="225"/>
        <v>8468.0329999999994</v>
      </c>
      <c r="CL323" s="1426">
        <f ca="1">CL318+CL313+CL308+CL303+CL298+CL293+CL288+CL283+CL273+CL268+CL263+CL258+CL253+CL248+CL243+CL278</f>
        <v>8468.0329999999994</v>
      </c>
      <c r="CM323" s="1170"/>
      <c r="CN323" s="1170"/>
      <c r="CO323" s="1170"/>
      <c r="CP323" s="1170"/>
      <c r="CQ323" s="1170"/>
      <c r="CR323" s="1170"/>
      <c r="CS323" s="1170"/>
      <c r="CT323" s="1198"/>
      <c r="CU323" s="1198"/>
    </row>
    <row r="324" spans="1:99" ht="12.75" customHeight="1">
      <c r="A324" s="1595" t="s">
        <v>593</v>
      </c>
      <c r="B324" s="1198"/>
      <c r="C324" s="1198"/>
      <c r="D324" s="1198"/>
      <c r="E324" s="1198"/>
      <c r="F324" s="1198"/>
      <c r="G324" s="1198"/>
      <c r="H324" s="1198"/>
      <c r="I324" s="1198"/>
      <c r="J324" s="1198"/>
      <c r="K324" s="1198"/>
      <c r="L324" s="1198"/>
      <c r="M324" s="1198"/>
      <c r="N324" s="1198"/>
      <c r="O324" s="1198"/>
      <c r="P324" s="1307">
        <f>P319+P314+P309+P304+P299+P294+P289+P284+P274+P269+P264+P259+P254+P249+P244</f>
        <v>0</v>
      </c>
      <c r="Q324" s="1426">
        <f t="shared" ref="Q324:S325" ca="1" si="226">Q319+Q314+Q309+Q304+Q299+Q294+Q289+Q284+Q274+Q269+Q264+Q259+Q254+Q249+Q244+Q279</f>
        <v>811</v>
      </c>
      <c r="R324" s="1598">
        <f t="shared" si="226"/>
        <v>0</v>
      </c>
      <c r="S324" s="1598">
        <f t="shared" si="226"/>
        <v>0</v>
      </c>
      <c r="T324" s="1507"/>
      <c r="U324" s="1507"/>
      <c r="V324" s="1507"/>
      <c r="W324" s="1507"/>
      <c r="X324" s="1170"/>
      <c r="Y324" s="1170"/>
      <c r="Z324" s="1170"/>
      <c r="AA324" s="1170"/>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360"/>
      <c r="BR324" s="1198"/>
      <c r="BS324" s="1198"/>
      <c r="BT324" s="1198"/>
      <c r="BU324" s="1360"/>
      <c r="BV324" s="1198"/>
      <c r="BW324" s="1198"/>
      <c r="BX324" s="1198"/>
      <c r="BY324" s="1360"/>
      <c r="BZ324" s="1307"/>
      <c r="CA324" s="1307"/>
      <c r="CB324" s="1307"/>
      <c r="CC324" s="1307">
        <f t="shared" si="224"/>
        <v>0</v>
      </c>
      <c r="CD324" s="1426">
        <f t="shared" si="224"/>
        <v>0</v>
      </c>
      <c r="CE324" s="1307">
        <f t="shared" ca="1" si="224"/>
        <v>811</v>
      </c>
      <c r="CF324" s="1307">
        <f t="shared" si="224"/>
        <v>0</v>
      </c>
      <c r="CG324" s="1307">
        <f t="shared" si="224"/>
        <v>0</v>
      </c>
      <c r="CH324" s="1426">
        <f t="shared" si="225"/>
        <v>0</v>
      </c>
      <c r="CI324" s="1307">
        <f t="shared" si="225"/>
        <v>0</v>
      </c>
      <c r="CJ324" s="1307">
        <f t="shared" si="225"/>
        <v>0</v>
      </c>
      <c r="CK324" s="1307">
        <f t="shared" si="225"/>
        <v>0</v>
      </c>
      <c r="CL324" s="1426">
        <f>CL319+CL314+CL309+CL304+CL299+CL294+CL289+CL284+CL274+CL269+CL264+CL259+CL254+CL249+CL244+CL279</f>
        <v>0</v>
      </c>
      <c r="CM324" s="1170"/>
      <c r="CN324" s="1170"/>
      <c r="CO324" s="1170"/>
      <c r="CP324" s="1170"/>
      <c r="CQ324" s="1170"/>
      <c r="CR324" s="1170"/>
      <c r="CS324" s="1170"/>
      <c r="CT324" s="1198"/>
      <c r="CU324" s="1198"/>
    </row>
    <row r="325" spans="1:99" ht="12.75" customHeight="1">
      <c r="A325" s="1595" t="s">
        <v>476</v>
      </c>
      <c r="B325" s="1198"/>
      <c r="C325" s="1198"/>
      <c r="D325" s="1198"/>
      <c r="E325" s="1198"/>
      <c r="F325" s="1198"/>
      <c r="G325" s="1198"/>
      <c r="H325" s="1198"/>
      <c r="I325" s="1198"/>
      <c r="J325" s="1198"/>
      <c r="K325" s="1198"/>
      <c r="L325" s="1198"/>
      <c r="M325" s="1198"/>
      <c r="N325" s="1198"/>
      <c r="O325" s="1198"/>
      <c r="P325" s="1307">
        <f>P320+P315+P310+P305+P300+P295+P290+P285+P275+P270+P265+P260+P255+P250+P245</f>
        <v>7657.0330000000004</v>
      </c>
      <c r="Q325" s="1426">
        <f t="shared" ca="1" si="226"/>
        <v>8468.0329999999994</v>
      </c>
      <c r="R325" s="1307">
        <f t="shared" ca="1" si="226"/>
        <v>8468.0329999999994</v>
      </c>
      <c r="S325" s="1307">
        <f t="shared" ca="1" si="226"/>
        <v>8468.0329999999994</v>
      </c>
      <c r="T325" s="1507"/>
      <c r="U325" s="1507"/>
      <c r="V325" s="1507"/>
      <c r="W325" s="1507"/>
      <c r="X325" s="1170"/>
      <c r="Y325" s="1170"/>
      <c r="Z325" s="1170"/>
      <c r="AA325" s="1170"/>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360"/>
      <c r="BR325" s="1198"/>
      <c r="BS325" s="1198"/>
      <c r="BT325" s="1198"/>
      <c r="BU325" s="1360"/>
      <c r="BV325" s="1198"/>
      <c r="BW325" s="1198"/>
      <c r="BX325" s="1198"/>
      <c r="BY325" s="1360"/>
      <c r="BZ325" s="1307"/>
      <c r="CA325" s="1307"/>
      <c r="CB325" s="1307"/>
      <c r="CC325" s="1307">
        <f t="shared" si="224"/>
        <v>7657.0330000000004</v>
      </c>
      <c r="CD325" s="1426">
        <f t="shared" si="224"/>
        <v>7657.0330000000004</v>
      </c>
      <c r="CE325" s="1307">
        <f t="shared" ca="1" si="224"/>
        <v>8468.0329999999994</v>
      </c>
      <c r="CF325" s="1307">
        <f t="shared" ca="1" si="224"/>
        <v>8468.0329999999994</v>
      </c>
      <c r="CG325" s="1307">
        <f t="shared" ca="1" si="224"/>
        <v>8468.0329999999994</v>
      </c>
      <c r="CH325" s="1426">
        <f t="shared" ca="1" si="225"/>
        <v>8468.0329999999994</v>
      </c>
      <c r="CI325" s="1307">
        <f t="shared" ca="1" si="225"/>
        <v>8468.0329999999994</v>
      </c>
      <c r="CJ325" s="1307">
        <f t="shared" ca="1" si="225"/>
        <v>8468.0329999999994</v>
      </c>
      <c r="CK325" s="1307">
        <f t="shared" ca="1" si="225"/>
        <v>8468.0329999999994</v>
      </c>
      <c r="CL325" s="1426">
        <f ca="1">CL320+CL315+CL310+CL305+CL300+CL295+CL290+CL285+CL275+CL270+CL265+CL260+CL255+CL250+CL245+CL280</f>
        <v>8468.0329999999994</v>
      </c>
      <c r="CM325" s="1170"/>
      <c r="CN325" s="1170"/>
      <c r="CO325" s="1170"/>
      <c r="CP325" s="1170"/>
      <c r="CQ325" s="1170"/>
      <c r="CR325" s="1170"/>
      <c r="CS325" s="1170"/>
      <c r="CT325" s="1198"/>
      <c r="CU325" s="1198"/>
    </row>
    <row r="326" spans="1:99" ht="12.75" customHeight="1"/>
    <row r="327" spans="1:99" ht="12.75" customHeight="1"/>
  </sheetData>
  <phoneticPr fontId="83" type="noConversion"/>
  <pageMargins left="0.25" right="0.25" top="0.25" bottom="0.25" header="0.5" footer="0.5"/>
  <pageSetup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22" r:id="rId4" name="Drop Down 14">
              <controlPr defaultSize="0" autoLine="0" autoPict="0">
                <anchor moveWithCells="1">
                  <from>
                    <xdr:col>0</xdr:col>
                    <xdr:colOff>57150</xdr:colOff>
                    <xdr:row>3</xdr:row>
                    <xdr:rowOff>9525</xdr:rowOff>
                  </from>
                  <to>
                    <xdr:col>0</xdr:col>
                    <xdr:colOff>1943100</xdr:colOff>
                    <xdr:row>3</xdr:row>
                    <xdr:rowOff>219075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enableFormatConditionsCalculation="0">
    <tabColor indexed="56"/>
  </sheetPr>
  <dimension ref="A1:CT144"/>
  <sheetViews>
    <sheetView showGridLines="0" zoomScale="85" zoomScaleNormal="85" zoomScaleSheetLayoutView="85" workbookViewId="0">
      <pane xSplit="9" ySplit="8" topLeftCell="Q9" activePane="bottomRight" state="frozen"/>
      <selection activeCell="CH5" sqref="CH5"/>
      <selection pane="topRight" activeCell="CH5" sqref="CH5"/>
      <selection pane="bottomLeft" activeCell="CH5" sqref="CH5"/>
      <selection pane="bottomRight" activeCell="CL40" sqref="CL40"/>
    </sheetView>
  </sheetViews>
  <sheetFormatPr defaultColWidth="8" defaultRowHeight="12.75" outlineLevelRow="1" outlineLevelCol="1"/>
  <cols>
    <col min="1" max="1" width="42.85546875" customWidth="1"/>
    <col min="2" max="6" width="1.42578125" hidden="1" customWidth="1" outlineLevel="1"/>
    <col min="7" max="8" width="7.5703125" hidden="1" customWidth="1" outlineLevel="1"/>
    <col min="9" max="9" width="8.7109375" hidden="1" customWidth="1" outlineLevel="1"/>
    <col min="10" max="10" width="8.7109375" hidden="1" customWidth="1" outlineLevel="1" collapsed="1"/>
    <col min="11" max="11" width="8.7109375" hidden="1" customWidth="1" outlineLevel="1"/>
    <col min="12" max="15" width="8" hidden="1" customWidth="1" outlineLevel="1"/>
    <col min="16" max="16" width="8.5703125" hidden="1" customWidth="1" outlineLevel="1"/>
    <col min="17" max="17" width="8.5703125" bestFit="1" customWidth="1" collapsed="1"/>
    <col min="18" max="18" width="8.5703125" bestFit="1" customWidth="1"/>
    <col min="19" max="20" width="8.5703125" hidden="1" customWidth="1"/>
    <col min="21" max="21" width="8.85546875" hidden="1" customWidth="1"/>
    <col min="22" max="22" width="8.5703125" hidden="1" customWidth="1"/>
    <col min="23" max="23" width="7.42578125" hidden="1" customWidth="1"/>
    <col min="24" max="24" width="3.28515625" hidden="1" customWidth="1"/>
    <col min="25" max="25" width="4.28515625" customWidth="1"/>
    <col min="26" max="36" width="1.5703125" hidden="1" customWidth="1" outlineLevel="1"/>
    <col min="37" max="37" width="1.28515625" hidden="1" customWidth="1" outlineLevel="1"/>
    <col min="38" max="41" width="1.5703125" hidden="1" customWidth="1" outlineLevel="1"/>
    <col min="42" max="42" width="1.28515625" hidden="1" customWidth="1" outlineLevel="1"/>
    <col min="43" max="43" width="7.5703125" hidden="1" customWidth="1" outlineLevel="1"/>
    <col min="44" max="49" width="8" hidden="1" customWidth="1" outlineLevel="1"/>
    <col min="50" max="53" width="7.5703125" hidden="1" customWidth="1" outlineLevel="1"/>
    <col min="54" max="54" width="8.7109375" hidden="1" customWidth="1" outlineLevel="1" collapsed="1"/>
    <col min="55" max="57" width="8.7109375" hidden="1" customWidth="1" outlineLevel="1"/>
    <col min="58" max="58" width="8.7109375" hidden="1" customWidth="1" outlineLevel="1" collapsed="1"/>
    <col min="59" max="61" width="8.7109375" hidden="1" customWidth="1" outlineLevel="1"/>
    <col min="62" max="62" width="8.7109375" hidden="1" customWidth="1" outlineLevel="1" collapsed="1"/>
    <col min="63" max="68" width="8.7109375" hidden="1" customWidth="1" outlineLevel="1"/>
    <col min="69" max="69" width="8.140625" hidden="1" customWidth="1" outlineLevel="1"/>
    <col min="70" max="79" width="8.7109375" hidden="1" customWidth="1" outlineLevel="1"/>
    <col min="80" max="80" width="8.140625" hidden="1" customWidth="1" outlineLevel="1"/>
    <col min="81" max="81" width="5.140625" hidden="1" customWidth="1" outlineLevel="1"/>
    <col min="82" max="82" width="8.140625" customWidth="1" collapsed="1"/>
    <col min="83" max="89" width="8.140625" customWidth="1"/>
    <col min="90" max="103" width="8" customWidth="1"/>
    <col min="104" max="104" width="51.7109375" customWidth="1"/>
  </cols>
  <sheetData>
    <row r="1" spans="1:98">
      <c r="A1" s="942" t="s">
        <v>590</v>
      </c>
      <c r="B1" s="1520"/>
      <c r="C1" s="1520"/>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c r="CL1" s="1198"/>
      <c r="CM1" s="1198"/>
      <c r="CN1" s="1198"/>
      <c r="CO1" s="1198"/>
      <c r="CP1" s="1198"/>
      <c r="CQ1" s="1198"/>
      <c r="CR1" s="1198"/>
      <c r="CS1" s="1198"/>
      <c r="CT1" s="1198"/>
    </row>
    <row r="2" spans="1:98" ht="11.25" customHeight="1">
      <c r="A2" s="942" t="s">
        <v>986</v>
      </c>
      <c r="B2" s="1606"/>
      <c r="C2" s="1606"/>
      <c r="D2" s="1198"/>
      <c r="E2" s="1198"/>
      <c r="F2" s="1198"/>
      <c r="G2" s="1198"/>
      <c r="H2" s="1198"/>
      <c r="I2" s="1198"/>
      <c r="J2" s="1198"/>
      <c r="K2" s="1198"/>
      <c r="L2" s="1198"/>
      <c r="M2" s="1198"/>
      <c r="N2" s="1198"/>
      <c r="O2" s="1198"/>
      <c r="P2" s="1198"/>
      <c r="Q2" s="1198"/>
      <c r="R2" s="1198"/>
      <c r="S2" s="1198"/>
      <c r="T2" s="1198"/>
      <c r="U2" s="1248"/>
      <c r="V2" s="1248"/>
      <c r="W2" s="1248"/>
      <c r="X2" s="1248"/>
      <c r="Y2" s="1248"/>
      <c r="Z2" s="1248"/>
      <c r="AA2" s="1248"/>
      <c r="AB2" s="1248"/>
      <c r="AC2" s="1248"/>
      <c r="AD2" s="1248"/>
      <c r="AE2" s="1248"/>
      <c r="AF2" s="1248"/>
      <c r="AG2" s="1248"/>
      <c r="AH2" s="1248"/>
      <c r="AI2" s="1248"/>
      <c r="AJ2" s="1248"/>
      <c r="AK2" s="1248"/>
      <c r="AL2" s="1248"/>
      <c r="AM2" s="1248"/>
      <c r="AN2" s="1248"/>
      <c r="AO2" s="1248"/>
      <c r="AP2" s="1248"/>
      <c r="AQ2" s="1248"/>
      <c r="AR2" s="1248"/>
      <c r="AS2" s="1248"/>
      <c r="AT2" s="1248"/>
      <c r="AU2" s="1248"/>
      <c r="AV2" s="1248"/>
      <c r="AW2" s="1248"/>
      <c r="AX2" s="1248"/>
      <c r="AY2" s="1248"/>
      <c r="AZ2" s="1248"/>
      <c r="BA2" s="1248"/>
      <c r="BB2" s="1248"/>
      <c r="BC2" s="1248"/>
      <c r="BD2" s="1248"/>
      <c r="BE2" s="1248"/>
      <c r="BF2" s="1248"/>
      <c r="BG2" s="1248"/>
      <c r="BH2" s="1248"/>
      <c r="BI2" s="1248"/>
      <c r="BJ2" s="1248"/>
      <c r="BK2" s="1248"/>
      <c r="BL2" s="1248"/>
      <c r="BM2" s="1248"/>
      <c r="BN2" s="1248"/>
      <c r="BO2" s="1248"/>
      <c r="BP2" s="1248"/>
      <c r="BQ2" s="1248"/>
      <c r="BR2" s="1248"/>
      <c r="BS2" s="1248"/>
      <c r="BT2" s="1248"/>
      <c r="BU2" s="1248"/>
      <c r="BV2" s="1248"/>
      <c r="BW2" s="1248"/>
      <c r="BX2" s="1248"/>
      <c r="BY2" s="1248"/>
      <c r="BZ2" s="1248"/>
      <c r="CA2" s="1248"/>
      <c r="CB2" s="1248"/>
      <c r="CC2" s="1248"/>
      <c r="CD2" s="1248"/>
      <c r="CE2" s="1248"/>
      <c r="CF2" s="1248"/>
      <c r="CG2" s="1248"/>
      <c r="CH2" s="1248"/>
      <c r="CI2" s="1248"/>
      <c r="CJ2" s="1248"/>
      <c r="CK2" s="1248"/>
      <c r="CL2" s="1248"/>
      <c r="CM2" s="1248"/>
      <c r="CN2" s="1248"/>
      <c r="CO2" s="1248"/>
      <c r="CP2" s="1198"/>
      <c r="CQ2" s="1198"/>
      <c r="CR2" s="1198"/>
      <c r="CS2" s="1198"/>
      <c r="CT2" s="1198"/>
    </row>
    <row r="3" spans="1:98" ht="11.25" customHeight="1">
      <c r="A3" s="950" t="s">
        <v>32</v>
      </c>
      <c r="B3" s="1606"/>
      <c r="C3" s="1606"/>
      <c r="D3" s="1198"/>
      <c r="E3" s="1198"/>
      <c r="F3" s="1198"/>
      <c r="G3" s="1198"/>
      <c r="H3" s="1198"/>
      <c r="I3" s="1198"/>
      <c r="J3" s="1198"/>
      <c r="K3" s="1198"/>
      <c r="L3" s="1198"/>
      <c r="M3" s="1198"/>
      <c r="N3" s="1198"/>
      <c r="O3" s="1198"/>
      <c r="P3" s="1198"/>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c r="CL3" s="1198"/>
      <c r="CM3" s="1198"/>
      <c r="CN3" s="1198"/>
      <c r="CO3" s="1198"/>
      <c r="CP3" s="1198"/>
      <c r="CQ3" s="1198"/>
      <c r="CR3" s="1198"/>
      <c r="CS3" s="1198"/>
      <c r="CT3" s="1198"/>
    </row>
    <row r="4" spans="1:98" ht="21.75" customHeight="1">
      <c r="A4" s="942"/>
      <c r="B4" s="1606"/>
      <c r="C4" s="1606"/>
      <c r="D4" s="1198"/>
      <c r="E4" s="1198"/>
      <c r="F4" s="1198"/>
      <c r="G4" s="1198"/>
      <c r="H4" s="1198"/>
      <c r="I4" s="1198"/>
      <c r="J4" s="1198"/>
      <c r="K4" s="1198"/>
      <c r="L4" s="1198"/>
      <c r="M4" s="1198"/>
      <c r="N4" s="1198"/>
      <c r="O4" s="1198"/>
      <c r="P4" s="1198"/>
      <c r="Q4" s="1170"/>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c r="CL4" s="1198"/>
      <c r="CM4" s="1198"/>
      <c r="CN4" s="1198"/>
      <c r="CO4" s="1198"/>
      <c r="CP4" s="1198"/>
      <c r="CQ4" s="1198"/>
      <c r="CR4" s="1198"/>
      <c r="CS4" s="1198"/>
      <c r="CT4" s="1198"/>
    </row>
    <row r="5" spans="1:98" ht="11.25" customHeight="1">
      <c r="A5" s="1183"/>
      <c r="B5" s="1183"/>
      <c r="C5" s="1183"/>
      <c r="D5" s="1607"/>
      <c r="E5" s="1607"/>
      <c r="F5" s="1607"/>
      <c r="G5" s="1608"/>
      <c r="H5" s="1608"/>
      <c r="I5" s="1608">
        <f>Q_IS!I5</f>
        <v>2001</v>
      </c>
      <c r="J5" s="1608">
        <f>Q_IS!J5</f>
        <v>2002</v>
      </c>
      <c r="K5" s="1608">
        <f>Q_IS!K5</f>
        <v>2003</v>
      </c>
      <c r="L5" s="1608">
        <f>Q_IS!L5</f>
        <v>2004</v>
      </c>
      <c r="M5" s="1608">
        <f>Q_IS!M5</f>
        <v>2005</v>
      </c>
      <c r="N5" s="1608">
        <f>Q_IS!N5</f>
        <v>2006</v>
      </c>
      <c r="O5" s="1608">
        <f>Q_IS!O5</f>
        <v>2007</v>
      </c>
      <c r="P5" s="1608">
        <f>Q_IS!P5</f>
        <v>2008</v>
      </c>
      <c r="Q5" s="1608">
        <f>Q_IS!Q5</f>
        <v>2009</v>
      </c>
      <c r="R5" s="1608">
        <f>Q_IS!R5</f>
        <v>2010</v>
      </c>
      <c r="S5" s="1516">
        <f>Q_IS!S5</f>
        <v>2011</v>
      </c>
      <c r="T5" s="1198"/>
      <c r="U5" s="1198"/>
      <c r="V5" s="1198"/>
      <c r="W5" s="1198"/>
      <c r="X5" s="1198"/>
      <c r="Y5" s="1198"/>
      <c r="Z5" s="1608"/>
      <c r="AA5" s="1608"/>
      <c r="AB5" s="1608"/>
      <c r="AC5" s="1608"/>
      <c r="AD5" s="1608"/>
      <c r="AE5" s="1608"/>
      <c r="AF5" s="1608"/>
      <c r="AG5" s="1608"/>
      <c r="AH5" s="1608"/>
      <c r="AI5" s="1608"/>
      <c r="AJ5" s="1608"/>
      <c r="AK5" s="1608"/>
      <c r="AL5" s="1608"/>
      <c r="AM5" s="1608"/>
      <c r="AN5" s="1608"/>
      <c r="AO5" s="1608"/>
      <c r="AP5" s="1608"/>
      <c r="AQ5" s="1608"/>
      <c r="AR5" s="1608"/>
      <c r="AS5" s="1608"/>
      <c r="AT5" s="1608"/>
      <c r="AU5" s="1608"/>
      <c r="AV5" s="1608"/>
      <c r="AW5" s="1608"/>
      <c r="AX5" s="1608"/>
      <c r="AY5" s="1608"/>
      <c r="AZ5" s="1608"/>
      <c r="BA5" s="1608"/>
      <c r="BB5" s="1608" t="str">
        <f>Q_IS!BB5</f>
        <v>1Q02</v>
      </c>
      <c r="BC5" s="1608" t="str">
        <f>Q_IS!BC5</f>
        <v>2Q02</v>
      </c>
      <c r="BD5" s="1608" t="str">
        <f>Q_IS!BD5</f>
        <v>3Q02</v>
      </c>
      <c r="BE5" s="1608" t="str">
        <f>Q_IS!BE5</f>
        <v>4Q02</v>
      </c>
      <c r="BF5" s="1608" t="str">
        <f>Q_IS!BF5</f>
        <v>1Q03</v>
      </c>
      <c r="BG5" s="1608" t="str">
        <f>Q_IS!BG5</f>
        <v>2Q03</v>
      </c>
      <c r="BH5" s="1608" t="str">
        <f>Q_IS!BH5</f>
        <v>3Q03</v>
      </c>
      <c r="BI5" s="1608" t="str">
        <f>Q_IS!BI5</f>
        <v>4Q03</v>
      </c>
      <c r="BJ5" s="1608" t="str">
        <f>Q_IS!BJ5</f>
        <v>1Q04</v>
      </c>
      <c r="BK5" s="1608" t="str">
        <f>Q_IS!BK5</f>
        <v>2Q04</v>
      </c>
      <c r="BL5" s="1608" t="str">
        <f>Q_IS!BL5</f>
        <v>3Q04</v>
      </c>
      <c r="BM5" s="1515" t="str">
        <f>Q_IS!BM5</f>
        <v>4Q04</v>
      </c>
      <c r="BN5" s="1608" t="str">
        <f>Q_IS!BN5</f>
        <v>1Q05</v>
      </c>
      <c r="BO5" s="1608" t="str">
        <f>Q_IS!BO5</f>
        <v>2Q05</v>
      </c>
      <c r="BP5" s="1608" t="str">
        <f>Q_IS!BP5</f>
        <v>3Q05</v>
      </c>
      <c r="BQ5" s="1515" t="str">
        <f>Q_IS!BQ5</f>
        <v>4Q05</v>
      </c>
      <c r="BR5" s="1608" t="str">
        <f>Q_IS!BR5</f>
        <v>1Q06</v>
      </c>
      <c r="BS5" s="1608" t="str">
        <f>Q_IS!BS5</f>
        <v>2Q06</v>
      </c>
      <c r="BT5" s="1608" t="str">
        <f>Q_IS!BT5</f>
        <v>3Q06</v>
      </c>
      <c r="BU5" s="1608" t="str">
        <f>Q_IS!BU5</f>
        <v>4Q06</v>
      </c>
      <c r="BV5" s="959" t="str">
        <f>Q_IS!BV5</f>
        <v>1Q07</v>
      </c>
      <c r="BW5" s="1608" t="str">
        <f>Q_IS!BW5</f>
        <v>2Q07</v>
      </c>
      <c r="BX5" s="1608" t="str">
        <f>Q_IS!BX5</f>
        <v>3Q07</v>
      </c>
      <c r="BY5" s="1515" t="str">
        <f>Q_IS!BY5</f>
        <v>4Q07</v>
      </c>
      <c r="BZ5" s="1608" t="str">
        <f>Q_IS!BZ5</f>
        <v>1Q08</v>
      </c>
      <c r="CA5" s="1608" t="str">
        <f>Q_IS!CA5</f>
        <v>2Q08</v>
      </c>
      <c r="CB5" s="1608" t="str">
        <f>Q_IS!CB5</f>
        <v>3Q08</v>
      </c>
      <c r="CC5" s="1608" t="str">
        <f>Q_IS!CC5</f>
        <v>4Q08</v>
      </c>
      <c r="CD5" s="959" t="str">
        <f>Q_IS!CD5</f>
        <v>1Q09</v>
      </c>
      <c r="CE5" s="1608" t="str">
        <f>Q_IS!CE5</f>
        <v>2Q09</v>
      </c>
      <c r="CF5" s="1608" t="str">
        <f>Q_IS!CF5</f>
        <v>3Q09</v>
      </c>
      <c r="CG5" s="1608" t="str">
        <f>Q_IS!CG5</f>
        <v>4Q09</v>
      </c>
      <c r="CH5" s="959" t="str">
        <f>Q_IS!CH5</f>
        <v>1Q10</v>
      </c>
      <c r="CI5" s="1608" t="str">
        <f>Q_IS!CI5</f>
        <v>2Q10</v>
      </c>
      <c r="CJ5" s="1608" t="str">
        <f>Q_IS!CJ5</f>
        <v>3Q10</v>
      </c>
      <c r="CK5" s="1608" t="str">
        <f>Q_IS!CK5</f>
        <v>4Q10</v>
      </c>
      <c r="CL5" s="959" t="str">
        <f>Q_IS!CL5</f>
        <v>1Q11</v>
      </c>
      <c r="CM5" s="1198"/>
      <c r="CN5" s="1198"/>
      <c r="CO5" s="1198"/>
      <c r="CP5" s="1198"/>
      <c r="CQ5" s="1198"/>
      <c r="CR5" s="1198"/>
      <c r="CS5" s="1198"/>
      <c r="CT5" s="1198"/>
    </row>
    <row r="6" spans="1:98" ht="11.25" hidden="1" customHeight="1" outlineLevel="1">
      <c r="A6" s="1609" t="s">
        <v>33</v>
      </c>
      <c r="B6" s="1610"/>
      <c r="C6" s="1610"/>
      <c r="D6" s="1178"/>
      <c r="E6" s="1178"/>
      <c r="F6" s="1178"/>
      <c r="G6" s="1413"/>
      <c r="H6" s="1413"/>
      <c r="I6" s="1413">
        <f>Q_IS!I6</f>
        <v>0</v>
      </c>
      <c r="J6" s="1413">
        <f>Q_IS!J6</f>
        <v>-0.61</v>
      </c>
      <c r="K6" s="1413">
        <f>Q_IS!K6</f>
        <v>-0.47</v>
      </c>
      <c r="L6" s="1413">
        <f>Q_IS!L6</f>
        <v>-0.54</v>
      </c>
      <c r="M6" s="1413">
        <f>Q_IS!M6</f>
        <v>-0.24</v>
      </c>
      <c r="N6" s="1413">
        <f>Q_IS!N6</f>
        <v>0.27</v>
      </c>
      <c r="O6" s="1413">
        <f>Q_IS!O6</f>
        <v>0.53</v>
      </c>
      <c r="P6" s="1413">
        <f>Q_IS!P6</f>
        <v>0.40816275123599982</v>
      </c>
      <c r="Q6" s="1413">
        <f ca="1">Q_IS!Q6</f>
        <v>0.38468923639072683</v>
      </c>
      <c r="R6" s="1414">
        <f ca="1">Q_IS!R6</f>
        <v>0.43299616319624257</v>
      </c>
      <c r="S6" s="1413">
        <f ca="1">Q_IS!S6</f>
        <v>0.12801266161598529</v>
      </c>
      <c r="T6" s="1198"/>
      <c r="U6" s="1198"/>
      <c r="V6" s="1198"/>
      <c r="W6" s="1198"/>
      <c r="X6" s="1198"/>
      <c r="Y6" s="1198"/>
      <c r="Z6" s="1178"/>
      <c r="AA6" s="1178"/>
      <c r="AB6" s="1178"/>
      <c r="AC6" s="1178"/>
      <c r="AD6" s="1178"/>
      <c r="AE6" s="1178"/>
      <c r="AF6" s="1178"/>
      <c r="AG6" s="1178"/>
      <c r="AH6" s="1178"/>
      <c r="AI6" s="1178"/>
      <c r="AJ6" s="1178"/>
      <c r="AK6" s="1178"/>
      <c r="AL6" s="1178"/>
      <c r="AM6" s="1178"/>
      <c r="AN6" s="1178"/>
      <c r="AO6" s="1178"/>
      <c r="AP6" s="1178"/>
      <c r="AQ6" s="1178"/>
      <c r="AR6" s="1178"/>
      <c r="AS6" s="1178"/>
      <c r="AT6" s="1178"/>
      <c r="AU6" s="1178"/>
      <c r="AV6" s="1178"/>
      <c r="AW6" s="1178"/>
      <c r="AX6" s="1611"/>
      <c r="AY6" s="1611"/>
      <c r="AZ6" s="1611"/>
      <c r="BA6" s="1611"/>
      <c r="BB6" s="1413">
        <f>Q_IS!BB6</f>
        <v>-0.32</v>
      </c>
      <c r="BC6" s="1413">
        <f>Q_IS!BC6</f>
        <v>-0.34</v>
      </c>
      <c r="BD6" s="1413">
        <f>Q_IS!BD6</f>
        <v>-7.0000000000000007E-2</v>
      </c>
      <c r="BE6" s="1413">
        <f>Q_IS!BE6</f>
        <v>0.02</v>
      </c>
      <c r="BF6" s="1413">
        <f>Q_IS!BF6</f>
        <v>-0.06</v>
      </c>
      <c r="BG6" s="1413">
        <f>Q_IS!BG6</f>
        <v>-0.09</v>
      </c>
      <c r="BH6" s="1413">
        <f>Q_IS!BH6</f>
        <v>-0.13</v>
      </c>
      <c r="BI6" s="1413">
        <f>Q_IS!BI6</f>
        <v>-0.19</v>
      </c>
      <c r="BJ6" s="1413">
        <f>Q_IS!BJ6</f>
        <v>-0.17</v>
      </c>
      <c r="BK6" s="1413">
        <f>Q_IS!BK6</f>
        <v>-0.16</v>
      </c>
      <c r="BL6" s="1413">
        <f>Q_IS!BL6</f>
        <v>-0.15</v>
      </c>
      <c r="BM6" s="1414">
        <f>Q_IS!BM6</f>
        <v>-0.06</v>
      </c>
      <c r="BN6" s="1413">
        <f>Q_IS!BN6</f>
        <v>-0.1</v>
      </c>
      <c r="BO6" s="1413">
        <f>Q_IS!BO6</f>
        <v>-7.0000000000000007E-2</v>
      </c>
      <c r="BP6" s="1413">
        <f>Q_IS!BP6</f>
        <v>-0.06</v>
      </c>
      <c r="BQ6" s="1414">
        <f>Q_IS!BQ6</f>
        <v>0</v>
      </c>
      <c r="BR6" s="1413">
        <f>Q_IS!BR6</f>
        <v>0.06</v>
      </c>
      <c r="BS6" s="1413">
        <f>Q_IS!BS6</f>
        <v>0.06</v>
      </c>
      <c r="BT6" s="1413">
        <f>Q_IS!BT6</f>
        <v>7.0000000000000007E-2</v>
      </c>
      <c r="BU6" s="1413">
        <f>Q_IS!BU6</f>
        <v>0.08</v>
      </c>
      <c r="BV6" s="1612">
        <f>Q_IS!BV6</f>
        <v>0.14000000000000001</v>
      </c>
      <c r="BW6" s="1413">
        <f>Q_IS!BW6</f>
        <v>0.13</v>
      </c>
      <c r="BX6" s="1413">
        <f>Q_IS!BX6</f>
        <v>0.13</v>
      </c>
      <c r="BY6" s="1414">
        <f>Q_IS!BY6</f>
        <v>0.13</v>
      </c>
      <c r="BZ6" s="1413">
        <f>Q_IS!BZ6</f>
        <v>0.10037786187269136</v>
      </c>
      <c r="CA6" s="1413">
        <f>Q_IS!CA6</f>
        <v>0.10430032533678403</v>
      </c>
      <c r="CB6" s="1413">
        <f>Q_IS!CB6</f>
        <v>9.6146159434454953E-2</v>
      </c>
      <c r="CC6" s="1413">
        <f>Q_IS!CC6</f>
        <v>0.11109906842633852</v>
      </c>
      <c r="CD6" s="1612">
        <f>Q_IS!CD6</f>
        <v>0.12945110855144826</v>
      </c>
      <c r="CE6" s="1413">
        <f>Q_IS!CE6</f>
        <v>8.2889764739344202E-2</v>
      </c>
      <c r="CF6" s="1413">
        <f>Q_IS!CF6</f>
        <v>8.9142088814086876E-2</v>
      </c>
      <c r="CG6" s="1413">
        <f>Q_IS!CG6</f>
        <v>8.2299216936899872E-2</v>
      </c>
      <c r="CH6" s="1612">
        <f>Q_IS!CH6</f>
        <v>0.10494105743055815</v>
      </c>
      <c r="CI6" s="1413">
        <f>Q_IS!CI6</f>
        <v>0.1016185738315709</v>
      </c>
      <c r="CJ6" s="1413">
        <f>Q_IS!CJ6</f>
        <v>0.10598991873835976</v>
      </c>
      <c r="CK6" s="1413">
        <f>Q_IS!CK6</f>
        <v>0.11504541584940808</v>
      </c>
      <c r="CL6" s="1612">
        <f>Q_IS!CL6</f>
        <v>0.1238927786841348</v>
      </c>
      <c r="CM6" s="1198"/>
      <c r="CN6" s="1198"/>
      <c r="CO6" s="1198"/>
      <c r="CP6" s="1198"/>
      <c r="CQ6" s="1198"/>
      <c r="CR6" s="1198"/>
      <c r="CS6" s="1198"/>
      <c r="CT6" s="1198"/>
    </row>
    <row r="7" spans="1:98" ht="11.25" hidden="1" customHeight="1" outlineLevel="1">
      <c r="A7" s="967" t="s">
        <v>34</v>
      </c>
      <c r="B7" s="968"/>
      <c r="C7" s="968"/>
      <c r="D7" s="969"/>
      <c r="E7" s="969"/>
      <c r="F7" s="970"/>
      <c r="G7" s="970"/>
      <c r="H7" s="970"/>
      <c r="I7" s="970"/>
      <c r="J7" s="970"/>
      <c r="K7" s="970"/>
      <c r="L7" s="970"/>
      <c r="M7" s="1613">
        <f>Q_IS!M7</f>
        <v>-0.55555555555555558</v>
      </c>
      <c r="N7" s="1613">
        <f>Q_IS!N7</f>
        <v>-2.125</v>
      </c>
      <c r="O7" s="1613">
        <f>Q_IS!O7</f>
        <v>0.96296296296296302</v>
      </c>
      <c r="P7" s="970">
        <f>Q_IS!P7</f>
        <v>-0.22988160144150982</v>
      </c>
      <c r="Q7" s="970">
        <f ca="1">Q_IS!Q7</f>
        <v>-5.7510183803373582E-2</v>
      </c>
      <c r="R7" s="1614">
        <f ca="1">Q_IS!R7</f>
        <v>0.125573897670614</v>
      </c>
      <c r="S7" s="970">
        <f ca="1">Q_IS!S7</f>
        <v>-0.70435612946074211</v>
      </c>
      <c r="T7" s="1198"/>
      <c r="U7" s="1198"/>
      <c r="V7" s="1198"/>
      <c r="W7" s="1198"/>
      <c r="X7" s="1198"/>
      <c r="Y7" s="1198"/>
      <c r="Z7" s="968"/>
      <c r="AA7" s="968"/>
      <c r="AB7" s="968"/>
      <c r="AC7" s="968"/>
      <c r="AD7" s="968"/>
      <c r="AE7" s="968"/>
      <c r="AF7" s="968"/>
      <c r="AG7" s="968"/>
      <c r="AH7" s="969"/>
      <c r="AI7" s="969"/>
      <c r="AJ7" s="969"/>
      <c r="AK7" s="969"/>
      <c r="AL7" s="973"/>
      <c r="AM7" s="973"/>
      <c r="AN7" s="973"/>
      <c r="AO7" s="973"/>
      <c r="AP7" s="970"/>
      <c r="AQ7" s="970"/>
      <c r="AR7" s="970"/>
      <c r="AS7" s="970"/>
      <c r="AT7" s="970"/>
      <c r="AU7" s="970"/>
      <c r="AV7" s="970"/>
      <c r="AW7" s="970"/>
      <c r="AX7" s="970"/>
      <c r="AY7" s="970"/>
      <c r="AZ7" s="970"/>
      <c r="BA7" s="970"/>
      <c r="BB7" s="970"/>
      <c r="BC7" s="970"/>
      <c r="BD7" s="970"/>
      <c r="BE7" s="970"/>
      <c r="BF7" s="970">
        <f>BF6/BB6-1</f>
        <v>-0.8125</v>
      </c>
      <c r="BG7" s="970">
        <f>BG6/BC6-1</f>
        <v>-0.73529411764705888</v>
      </c>
      <c r="BH7" s="970">
        <f>BH6/BD6-1</f>
        <v>0.85714285714285698</v>
      </c>
      <c r="BI7" s="970">
        <f>BI6/BE6-1</f>
        <v>-10.5</v>
      </c>
      <c r="BJ7" s="970"/>
      <c r="BK7" s="970"/>
      <c r="BL7" s="970"/>
      <c r="BM7" s="1614"/>
      <c r="BN7" s="1413">
        <f>Q_IS!BN7</f>
        <v>-0.41176470588235292</v>
      </c>
      <c r="BO7" s="1615">
        <f>Q_IS!BO7</f>
        <v>-0.5625</v>
      </c>
      <c r="BP7" s="1615">
        <f>Q_IS!BP7</f>
        <v>-0.6</v>
      </c>
      <c r="BQ7" s="1616">
        <f>Q_IS!BQ7</f>
        <v>-1</v>
      </c>
      <c r="BR7" s="1615">
        <f>Q_IS!BR7</f>
        <v>-1.6</v>
      </c>
      <c r="BS7" s="1615">
        <f>Q_IS!BS7</f>
        <v>-1.857142857142857</v>
      </c>
      <c r="BT7" s="1615">
        <f>Q_IS!BT7</f>
        <v>-2.166666666666667</v>
      </c>
      <c r="BU7" s="1615" t="str">
        <f>Q_IS!BU7</f>
        <v>NM</v>
      </c>
      <c r="BV7" s="1617">
        <f>Q_IS!BV7</f>
        <v>1.3333333333333335</v>
      </c>
      <c r="BW7" s="1615">
        <f>Q_IS!BW7</f>
        <v>1.166666666666667</v>
      </c>
      <c r="BX7" s="1615">
        <f>Q_IS!BX7</f>
        <v>0.85714285714285698</v>
      </c>
      <c r="BY7" s="1616">
        <f>Q_IS!BY7</f>
        <v>0.625</v>
      </c>
      <c r="BZ7" s="1615">
        <f>Q_IS!BZ7</f>
        <v>-0.2830152723379189</v>
      </c>
      <c r="CA7" s="1615">
        <f>Q_IS!CA7</f>
        <v>-0.19768980510166134</v>
      </c>
      <c r="CB7" s="1615">
        <f>Q_IS!CB7</f>
        <v>-0.26041415819650038</v>
      </c>
      <c r="CC7" s="1615">
        <f>Q_IS!CC7</f>
        <v>-0.14539178133585762</v>
      </c>
      <c r="CD7" s="1617">
        <f>Q_IS!CD7</f>
        <v>0.28963803508417341</v>
      </c>
      <c r="CE7" s="1615">
        <f>Q_IS!CE7</f>
        <v>-0.20527798478389669</v>
      </c>
      <c r="CF7" s="1615">
        <f>Q_IS!CF7</f>
        <v>-7.2848158070660252E-2</v>
      </c>
      <c r="CG7" s="1615">
        <f>Q_IS!CG7</f>
        <v>-0.25922675948028917</v>
      </c>
      <c r="CH7" s="1617">
        <f>Q_IS!CH7</f>
        <v>-0.18933828682624976</v>
      </c>
      <c r="CI7" s="1615">
        <f>Q_IS!CI7</f>
        <v>0.22594839243568199</v>
      </c>
      <c r="CJ7" s="1615">
        <f>Q_IS!CJ7</f>
        <v>0.18899972110155971</v>
      </c>
      <c r="CK7" s="1615">
        <f>Q_IS!CK7</f>
        <v>0.39789198647680024</v>
      </c>
      <c r="CL7" s="1617">
        <f>Q_IS!CL7</f>
        <v>0.1805939611969074</v>
      </c>
      <c r="CM7" s="1198"/>
      <c r="CN7" s="1198"/>
      <c r="CO7" s="1198"/>
      <c r="CP7" s="1198"/>
      <c r="CQ7" s="1198"/>
      <c r="CR7" s="1198"/>
      <c r="CS7" s="1198"/>
      <c r="CT7" s="1198"/>
    </row>
    <row r="8" spans="1:98" ht="11.25" customHeight="1" collapsed="1">
      <c r="A8" s="1205"/>
      <c r="B8" s="1618"/>
      <c r="C8" s="1618"/>
      <c r="D8" s="1619"/>
      <c r="E8" s="1619"/>
      <c r="F8" s="1619"/>
      <c r="G8" s="1619"/>
      <c r="H8" s="1206"/>
      <c r="I8" s="1206"/>
      <c r="J8" s="1206"/>
      <c r="K8" s="1206"/>
      <c r="L8" s="1206"/>
      <c r="M8" s="1206"/>
      <c r="N8" s="1206"/>
      <c r="O8" s="1207"/>
      <c r="P8" s="1207"/>
      <c r="Q8" s="1207"/>
      <c r="R8" s="1208"/>
      <c r="S8" s="1206"/>
      <c r="T8" s="1198"/>
      <c r="U8" s="1198"/>
      <c r="V8" s="1198"/>
      <c r="W8" s="1198"/>
      <c r="X8" s="1198"/>
      <c r="Y8" s="1198"/>
      <c r="Z8" s="1206"/>
      <c r="AA8" s="1206"/>
      <c r="AB8" s="1206"/>
      <c r="AC8" s="1206"/>
      <c r="AD8" s="1206"/>
      <c r="AE8" s="1206"/>
      <c r="AF8" s="1206"/>
      <c r="AG8" s="1206"/>
      <c r="AH8" s="1206"/>
      <c r="AI8" s="1206"/>
      <c r="AJ8" s="1206"/>
      <c r="AK8" s="1206"/>
      <c r="AL8" s="1206"/>
      <c r="AM8" s="1206"/>
      <c r="AN8" s="1206"/>
      <c r="AO8" s="1206"/>
      <c r="AP8" s="1206"/>
      <c r="AQ8" s="1206"/>
      <c r="AR8" s="1619"/>
      <c r="AS8" s="1619"/>
      <c r="AT8" s="1619"/>
      <c r="AU8" s="1206"/>
      <c r="AV8" s="1206"/>
      <c r="AW8" s="1206"/>
      <c r="AX8" s="1206"/>
      <c r="AY8" s="1206"/>
      <c r="AZ8" s="1206"/>
      <c r="BA8" s="1206"/>
      <c r="BB8" s="1206"/>
      <c r="BC8" s="1206"/>
      <c r="BD8" s="1206"/>
      <c r="BE8" s="1206"/>
      <c r="BF8" s="1206"/>
      <c r="BG8" s="1206"/>
      <c r="BH8" s="1206"/>
      <c r="BI8" s="1206"/>
      <c r="BJ8" s="1206"/>
      <c r="BK8" s="1206"/>
      <c r="BL8" s="1206"/>
      <c r="BM8" s="1206"/>
      <c r="BN8" s="1365"/>
      <c r="BO8" s="1206"/>
      <c r="BP8" s="1206"/>
      <c r="BQ8" s="1208"/>
      <c r="BR8" s="1206"/>
      <c r="BS8" s="1206"/>
      <c r="BT8" s="1206"/>
      <c r="BU8" s="1207"/>
      <c r="BV8" s="1365"/>
      <c r="BW8" s="1206"/>
      <c r="BX8" s="1206"/>
      <c r="BY8" s="1208"/>
      <c r="BZ8" s="1206"/>
      <c r="CA8" s="1206"/>
      <c r="CB8" s="1206"/>
      <c r="CC8" s="1206"/>
      <c r="CD8" s="1365"/>
      <c r="CE8" s="1206"/>
      <c r="CF8" s="1206"/>
      <c r="CG8" s="1206"/>
      <c r="CH8" s="1365"/>
      <c r="CI8" s="1206"/>
      <c r="CJ8" s="1206"/>
      <c r="CK8" s="1206"/>
      <c r="CL8" s="1365"/>
      <c r="CM8" s="1198"/>
      <c r="CN8" s="1198"/>
      <c r="CO8" s="1198"/>
      <c r="CP8" s="1198"/>
      <c r="CQ8" s="1198"/>
      <c r="CR8" s="1198"/>
      <c r="CS8" s="1198"/>
      <c r="CT8" s="1198"/>
    </row>
    <row r="9" spans="1:98" ht="11.25" customHeight="1">
      <c r="A9" s="1520" t="s">
        <v>262</v>
      </c>
      <c r="B9" s="1620"/>
      <c r="C9" s="1620"/>
      <c r="D9" s="1621"/>
      <c r="E9" s="1621"/>
      <c r="F9" s="1621"/>
      <c r="G9" s="1621"/>
      <c r="H9" s="1198"/>
      <c r="I9" s="1198"/>
      <c r="J9" s="1198"/>
      <c r="K9" s="1198"/>
      <c r="L9" s="1198"/>
      <c r="M9" s="1340"/>
      <c r="N9" s="1198"/>
      <c r="O9" s="1170"/>
      <c r="P9" s="1604"/>
      <c r="Q9" s="1604"/>
      <c r="R9" s="1779"/>
      <c r="S9" s="1622"/>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621"/>
      <c r="AS9" s="1621"/>
      <c r="AT9" s="1621"/>
      <c r="AU9" s="1198"/>
      <c r="AV9" s="1198"/>
      <c r="AW9" s="1198"/>
      <c r="AX9" s="1198"/>
      <c r="AY9" s="1198"/>
      <c r="AZ9" s="1198"/>
      <c r="BA9" s="1198"/>
      <c r="BB9" s="1198"/>
      <c r="BC9" s="1198"/>
      <c r="BD9" s="1198"/>
      <c r="BE9" s="1198"/>
      <c r="BF9" s="1198"/>
      <c r="BG9" s="1198"/>
      <c r="BH9" s="1198"/>
      <c r="BI9" s="1198"/>
      <c r="BJ9" s="1198"/>
      <c r="BK9" s="1198"/>
      <c r="BL9" s="1198"/>
      <c r="BM9" s="1198"/>
      <c r="BN9" s="1359"/>
      <c r="BO9" s="1198"/>
      <c r="BP9" s="1198"/>
      <c r="BQ9" s="1360"/>
      <c r="BR9" s="1198"/>
      <c r="BS9" s="1198"/>
      <c r="BT9" s="1198"/>
      <c r="BU9" s="1170"/>
      <c r="BV9" s="1359"/>
      <c r="BW9" s="1198"/>
      <c r="BX9" s="1198"/>
      <c r="BY9" s="1341"/>
      <c r="BZ9" s="1439"/>
      <c r="CA9" s="1198"/>
      <c r="CB9" s="1198"/>
      <c r="CC9" s="1198"/>
      <c r="CD9" s="1359"/>
      <c r="CE9" s="1198"/>
      <c r="CF9" s="1198"/>
      <c r="CG9" s="1198"/>
      <c r="CH9" s="1359"/>
      <c r="CI9" s="1198"/>
      <c r="CJ9" s="1198"/>
      <c r="CK9" s="1198"/>
      <c r="CL9" s="1359"/>
      <c r="CM9" s="1198"/>
      <c r="CN9" s="1198"/>
      <c r="CO9" s="1198"/>
      <c r="CP9" s="1198"/>
      <c r="CQ9" s="1198"/>
      <c r="CR9" s="1198"/>
      <c r="CS9" s="1198"/>
      <c r="CT9" s="1198"/>
    </row>
    <row r="10" spans="1:98" ht="11.25" customHeight="1">
      <c r="A10" s="1213" t="s">
        <v>1041</v>
      </c>
      <c r="B10" s="1623"/>
      <c r="C10" s="1623"/>
      <c r="D10" s="1624"/>
      <c r="E10" s="1624"/>
      <c r="F10" s="1624"/>
      <c r="G10" s="1624"/>
      <c r="H10" s="1330"/>
      <c r="I10" s="1326">
        <v>-5603</v>
      </c>
      <c r="J10" s="1326">
        <v>-38468</v>
      </c>
      <c r="K10" s="1326">
        <f t="shared" ref="K10:K23" si="0">SUM(BF10:BI10)</f>
        <v>1512</v>
      </c>
      <c r="L10" s="1326">
        <f t="shared" ref="L10:L23" si="1">SUM(BJ10:BM10)</f>
        <v>-1794</v>
      </c>
      <c r="M10" s="1326">
        <f t="shared" ref="M10:M23" si="2">SUM(BN10:BQ10)</f>
        <v>-779</v>
      </c>
      <c r="N10" s="1326">
        <f t="shared" ref="N10:N23" si="3">SUM(BR10:BU10)</f>
        <v>593</v>
      </c>
      <c r="O10" s="1327">
        <f t="shared" ref="O10:O23" si="4">SUM(BV10:BY10)</f>
        <v>2917</v>
      </c>
      <c r="P10" s="1327">
        <f>SUM(BZ10:CC10)</f>
        <v>681</v>
      </c>
      <c r="Q10" s="1327">
        <f>SUM(CD10:CG10)</f>
        <v>662</v>
      </c>
      <c r="R10" s="1328">
        <f>SUM(CH10:CK10)</f>
        <v>-55</v>
      </c>
      <c r="S10" s="1326">
        <f>SUM(CL10:CO10)</f>
        <v>211</v>
      </c>
      <c r="T10" s="1198"/>
      <c r="U10" s="1198"/>
      <c r="V10" s="1198"/>
      <c r="W10" s="1198"/>
      <c r="X10" s="1198"/>
      <c r="Y10" s="1198"/>
      <c r="Z10" s="1213"/>
      <c r="AA10" s="1213"/>
      <c r="AB10" s="1213"/>
      <c r="AC10" s="1213"/>
      <c r="AD10" s="1213"/>
      <c r="AE10" s="1213"/>
      <c r="AF10" s="1213"/>
      <c r="AG10" s="1213"/>
      <c r="AH10" s="1213"/>
      <c r="AI10" s="1213"/>
      <c r="AJ10" s="1213"/>
      <c r="AK10" s="1213"/>
      <c r="AL10" s="1213"/>
      <c r="AM10" s="1213"/>
      <c r="AN10" s="1213"/>
      <c r="AO10" s="1213"/>
      <c r="AP10" s="1213"/>
      <c r="AQ10" s="1213"/>
      <c r="AR10" s="1624"/>
      <c r="AS10" s="1624"/>
      <c r="AT10" s="1624"/>
      <c r="AU10" s="1213"/>
      <c r="AV10" s="1213"/>
      <c r="AW10" s="1213"/>
      <c r="AX10" s="1330"/>
      <c r="AY10" s="1330"/>
      <c r="AZ10" s="1330"/>
      <c r="BA10" s="1330"/>
      <c r="BB10" s="1330">
        <v>-23650</v>
      </c>
      <c r="BC10" s="1330">
        <v>-17430</v>
      </c>
      <c r="BD10" s="1330">
        <v>-123</v>
      </c>
      <c r="BE10" s="1330">
        <v>2735</v>
      </c>
      <c r="BF10" s="1330">
        <v>152</v>
      </c>
      <c r="BG10" s="1330">
        <v>-64</v>
      </c>
      <c r="BH10" s="1330">
        <v>1831</v>
      </c>
      <c r="BI10" s="1330">
        <v>-407</v>
      </c>
      <c r="BJ10" s="1330">
        <v>-310</v>
      </c>
      <c r="BK10" s="1330">
        <v>-776</v>
      </c>
      <c r="BL10" s="1330">
        <v>-569</v>
      </c>
      <c r="BM10" s="1330">
        <v>-139</v>
      </c>
      <c r="BN10" s="1329">
        <v>57</v>
      </c>
      <c r="BO10" s="1330">
        <v>-164</v>
      </c>
      <c r="BP10" s="1330">
        <v>-144</v>
      </c>
      <c r="BQ10" s="1637">
        <v>-528</v>
      </c>
      <c r="BR10" s="1330">
        <v>88</v>
      </c>
      <c r="BS10" s="1330">
        <v>117</v>
      </c>
      <c r="BT10" s="1330">
        <v>194</v>
      </c>
      <c r="BU10" s="1636">
        <v>194</v>
      </c>
      <c r="BV10" s="1329">
        <v>240</v>
      </c>
      <c r="BW10" s="1330">
        <v>246</v>
      </c>
      <c r="BX10" s="1330">
        <v>2065</v>
      </c>
      <c r="BY10" s="1636">
        <v>366</v>
      </c>
      <c r="BZ10" s="1329">
        <v>150</v>
      </c>
      <c r="CA10" s="1636">
        <v>195</v>
      </c>
      <c r="CB10" s="1636">
        <v>151</v>
      </c>
      <c r="CC10" s="1636">
        <v>185</v>
      </c>
      <c r="CD10" s="1329">
        <v>206</v>
      </c>
      <c r="CE10" s="1636">
        <v>212</v>
      </c>
      <c r="CF10" s="1636">
        <v>136</v>
      </c>
      <c r="CG10" s="1637">
        <v>108</v>
      </c>
      <c r="CH10" s="1329">
        <v>38</v>
      </c>
      <c r="CI10" s="1636">
        <v>158</v>
      </c>
      <c r="CJ10" s="1636">
        <v>-90</v>
      </c>
      <c r="CK10" s="1636">
        <f>+-55-CJ10-CI10-CH10</f>
        <v>-161</v>
      </c>
      <c r="CL10" s="1329">
        <v>211</v>
      </c>
      <c r="CM10" s="1198"/>
      <c r="CN10" s="1198"/>
      <c r="CO10" s="1198"/>
      <c r="CP10" s="1198"/>
      <c r="CQ10" s="1198"/>
      <c r="CR10" s="1198"/>
      <c r="CS10" s="1198"/>
      <c r="CT10" s="1625"/>
    </row>
    <row r="11" spans="1:98" ht="11.25" customHeight="1">
      <c r="A11" s="1225" t="s">
        <v>263</v>
      </c>
      <c r="B11" s="1623"/>
      <c r="C11" s="1623"/>
      <c r="D11" s="1624"/>
      <c r="E11" s="1624"/>
      <c r="F11" s="1624"/>
      <c r="G11" s="1624"/>
      <c r="H11" s="1330"/>
      <c r="I11" s="1340">
        <v>-511</v>
      </c>
      <c r="J11" s="1340">
        <v>-1957</v>
      </c>
      <c r="K11" s="1340">
        <f t="shared" si="0"/>
        <v>-2619</v>
      </c>
      <c r="L11" s="1340">
        <f t="shared" si="1"/>
        <v>0</v>
      </c>
      <c r="M11" s="1340">
        <f t="shared" si="2"/>
        <v>0</v>
      </c>
      <c r="N11" s="1340">
        <f t="shared" si="3"/>
        <v>0</v>
      </c>
      <c r="O11" s="1341">
        <f t="shared" si="4"/>
        <v>0</v>
      </c>
      <c r="P11" s="1341"/>
      <c r="Q11" s="1341"/>
      <c r="R11" s="1342"/>
      <c r="S11" s="1340"/>
      <c r="T11" s="1198"/>
      <c r="U11" s="1198"/>
      <c r="V11" s="1198"/>
      <c r="W11" s="1198"/>
      <c r="X11" s="1198"/>
      <c r="Y11" s="1198"/>
      <c r="Z11" s="1213"/>
      <c r="AA11" s="1213"/>
      <c r="AB11" s="1213"/>
      <c r="AC11" s="1213"/>
      <c r="AD11" s="1213"/>
      <c r="AE11" s="1213"/>
      <c r="AF11" s="1213"/>
      <c r="AG11" s="1213"/>
      <c r="AH11" s="1213"/>
      <c r="AI11" s="1213"/>
      <c r="AJ11" s="1213"/>
      <c r="AK11" s="1213"/>
      <c r="AL11" s="1213"/>
      <c r="AM11" s="1213"/>
      <c r="AN11" s="1213"/>
      <c r="AO11" s="1213"/>
      <c r="AP11" s="1213"/>
      <c r="AQ11" s="1213"/>
      <c r="AR11" s="1624"/>
      <c r="AS11" s="1624"/>
      <c r="AT11" s="1624"/>
      <c r="AU11" s="1213"/>
      <c r="AV11" s="1213"/>
      <c r="AW11" s="1213"/>
      <c r="AX11" s="1330"/>
      <c r="AY11" s="1330"/>
      <c r="AZ11" s="1330"/>
      <c r="BA11" s="1330"/>
      <c r="BB11" s="1755">
        <v>-125</v>
      </c>
      <c r="BC11" s="1755">
        <v>-28</v>
      </c>
      <c r="BD11" s="1755">
        <v>-115</v>
      </c>
      <c r="BE11" s="1755">
        <v>-1689</v>
      </c>
      <c r="BF11" s="1755">
        <v>-66</v>
      </c>
      <c r="BG11" s="1755">
        <v>-61</v>
      </c>
      <c r="BH11" s="1755">
        <v>-2517</v>
      </c>
      <c r="BI11" s="1755">
        <v>25</v>
      </c>
      <c r="BJ11" s="1755">
        <v>0</v>
      </c>
      <c r="BK11" s="1755">
        <v>0</v>
      </c>
      <c r="BL11" s="1755">
        <v>0</v>
      </c>
      <c r="BM11" s="1755">
        <v>0</v>
      </c>
      <c r="BN11" s="1756">
        <v>0</v>
      </c>
      <c r="BO11" s="1755">
        <v>0</v>
      </c>
      <c r="BP11" s="1755">
        <v>0</v>
      </c>
      <c r="BQ11" s="1757">
        <v>0</v>
      </c>
      <c r="BR11" s="1755">
        <v>0</v>
      </c>
      <c r="BS11" s="1755">
        <v>0</v>
      </c>
      <c r="BT11" s="1755">
        <v>0</v>
      </c>
      <c r="BU11" s="1758">
        <v>0</v>
      </c>
      <c r="BV11" s="1756">
        <v>0</v>
      </c>
      <c r="BW11" s="1755">
        <v>0</v>
      </c>
      <c r="BX11" s="1755">
        <v>0</v>
      </c>
      <c r="BY11" s="1758">
        <v>0</v>
      </c>
      <c r="BZ11" s="1756">
        <v>0</v>
      </c>
      <c r="CA11" s="1758">
        <v>0</v>
      </c>
      <c r="CB11" s="1758">
        <v>0</v>
      </c>
      <c r="CC11" s="1758">
        <v>0</v>
      </c>
      <c r="CD11" s="1756">
        <v>0</v>
      </c>
      <c r="CE11" s="1758">
        <v>0</v>
      </c>
      <c r="CF11" s="1758">
        <v>0</v>
      </c>
      <c r="CG11" s="1758">
        <v>0</v>
      </c>
      <c r="CH11" s="1756">
        <v>0</v>
      </c>
      <c r="CI11" s="1758">
        <v>0</v>
      </c>
      <c r="CJ11" s="1758">
        <v>0</v>
      </c>
      <c r="CK11" s="1758"/>
      <c r="CL11" s="1756">
        <v>0</v>
      </c>
      <c r="CM11" s="1198"/>
      <c r="CN11" s="1198"/>
      <c r="CO11" s="1198"/>
      <c r="CP11" s="1198"/>
      <c r="CQ11" s="1198"/>
      <c r="CR11" s="1198"/>
      <c r="CS11" s="1198"/>
      <c r="CT11" s="1198"/>
    </row>
    <row r="12" spans="1:98" ht="11.25" customHeight="1">
      <c r="A12" s="1225" t="s">
        <v>705</v>
      </c>
      <c r="B12" s="1623"/>
      <c r="C12" s="1623"/>
      <c r="D12" s="1624"/>
      <c r="E12" s="1624"/>
      <c r="F12" s="1624"/>
      <c r="G12" s="1624"/>
      <c r="H12" s="1330"/>
      <c r="I12" s="1340">
        <v>5364</v>
      </c>
      <c r="J12" s="1340">
        <v>3268</v>
      </c>
      <c r="K12" s="1340">
        <f t="shared" si="0"/>
        <v>2739</v>
      </c>
      <c r="L12" s="1340">
        <f t="shared" si="1"/>
        <v>2626</v>
      </c>
      <c r="M12" s="1340">
        <f t="shared" si="2"/>
        <v>2612</v>
      </c>
      <c r="N12" s="1340">
        <f t="shared" si="3"/>
        <v>2381</v>
      </c>
      <c r="O12" s="1341">
        <f t="shared" si="4"/>
        <v>2231</v>
      </c>
      <c r="P12" s="1341">
        <f t="shared" ref="P12:P33" si="5">SUM(BZ12:CC12)</f>
        <v>2120</v>
      </c>
      <c r="Q12" s="1341">
        <f>SUM(CD12:CG12)</f>
        <v>2071</v>
      </c>
      <c r="R12" s="1342">
        <f>SUM(CH12:CK12)</f>
        <v>1949</v>
      </c>
      <c r="S12" s="1340">
        <f>SUM(CL12:CO12)</f>
        <v>475</v>
      </c>
      <c r="T12" s="1198"/>
      <c r="U12" s="1198"/>
      <c r="V12" s="1198"/>
      <c r="W12" s="1198"/>
      <c r="X12" s="1198"/>
      <c r="Y12" s="1198"/>
      <c r="Z12" s="1213"/>
      <c r="AA12" s="1213"/>
      <c r="AB12" s="1213"/>
      <c r="AC12" s="1213"/>
      <c r="AD12" s="1213"/>
      <c r="AE12" s="1213"/>
      <c r="AF12" s="1213"/>
      <c r="AG12" s="1213"/>
      <c r="AH12" s="1213"/>
      <c r="AI12" s="1213"/>
      <c r="AJ12" s="1213"/>
      <c r="AK12" s="1213"/>
      <c r="AL12" s="1213"/>
      <c r="AM12" s="1213"/>
      <c r="AN12" s="1213"/>
      <c r="AO12" s="1213"/>
      <c r="AP12" s="1213"/>
      <c r="AQ12" s="1213"/>
      <c r="AR12" s="1624"/>
      <c r="AS12" s="1624"/>
      <c r="AT12" s="1624"/>
      <c r="AU12" s="1213"/>
      <c r="AV12" s="1213"/>
      <c r="AW12" s="1213"/>
      <c r="AX12" s="1330"/>
      <c r="AY12" s="1330"/>
      <c r="AZ12" s="1330"/>
      <c r="BA12" s="1330"/>
      <c r="BB12" s="1755">
        <v>941</v>
      </c>
      <c r="BC12" s="1755">
        <v>940</v>
      </c>
      <c r="BD12" s="1755">
        <v>692</v>
      </c>
      <c r="BE12" s="1755">
        <v>797</v>
      </c>
      <c r="BF12" s="1755">
        <v>675</v>
      </c>
      <c r="BG12" s="1755">
        <v>677</v>
      </c>
      <c r="BH12" s="1755">
        <v>677</v>
      </c>
      <c r="BI12" s="1755">
        <v>710</v>
      </c>
      <c r="BJ12" s="1755">
        <v>654</v>
      </c>
      <c r="BK12" s="1755">
        <v>661</v>
      </c>
      <c r="BL12" s="1755">
        <v>659</v>
      </c>
      <c r="BM12" s="1755">
        <v>652</v>
      </c>
      <c r="BN12" s="1756">
        <v>653</v>
      </c>
      <c r="BO12" s="1755">
        <v>649</v>
      </c>
      <c r="BP12" s="1755">
        <v>659</v>
      </c>
      <c r="BQ12" s="1757">
        <v>651</v>
      </c>
      <c r="BR12" s="1755">
        <v>588</v>
      </c>
      <c r="BS12" s="1755">
        <v>592</v>
      </c>
      <c r="BT12" s="1755">
        <v>594</v>
      </c>
      <c r="BU12" s="1758">
        <v>607</v>
      </c>
      <c r="BV12" s="1756">
        <v>555</v>
      </c>
      <c r="BW12" s="1755">
        <v>558</v>
      </c>
      <c r="BX12" s="1755">
        <v>562</v>
      </c>
      <c r="BY12" s="1758">
        <v>556</v>
      </c>
      <c r="BZ12" s="1756">
        <v>522</v>
      </c>
      <c r="CA12" s="1758">
        <v>523</v>
      </c>
      <c r="CB12" s="1758">
        <v>537</v>
      </c>
      <c r="CC12" s="1758">
        <v>538</v>
      </c>
      <c r="CD12" s="1756">
        <v>514</v>
      </c>
      <c r="CE12" s="1758">
        <v>518</v>
      </c>
      <c r="CF12" s="1758">
        <v>520</v>
      </c>
      <c r="CG12" s="1758">
        <v>519</v>
      </c>
      <c r="CH12" s="1756">
        <v>483</v>
      </c>
      <c r="CI12" s="1759">
        <v>485</v>
      </c>
      <c r="CJ12" s="1759">
        <v>490</v>
      </c>
      <c r="CK12" s="1347">
        <f>1949-SUM(CH12:CJ12)</f>
        <v>491</v>
      </c>
      <c r="CL12" s="1756">
        <v>475</v>
      </c>
      <c r="CM12" s="1198"/>
      <c r="CN12" s="1198"/>
      <c r="CO12" s="1198"/>
      <c r="CP12" s="1198"/>
      <c r="CQ12" s="1198"/>
      <c r="CR12" s="1198"/>
      <c r="CS12" s="1198"/>
      <c r="CT12" s="1198"/>
    </row>
    <row r="13" spans="1:98" ht="11.25" customHeight="1">
      <c r="A13" s="1225" t="s">
        <v>647</v>
      </c>
      <c r="B13" s="1623"/>
      <c r="C13" s="1623"/>
      <c r="D13" s="1624"/>
      <c r="E13" s="1624"/>
      <c r="F13" s="1624"/>
      <c r="G13" s="1624"/>
      <c r="H13" s="1330"/>
      <c r="I13" s="1340"/>
      <c r="J13" s="1340">
        <f>+Q_IS!J55</f>
        <v>579</v>
      </c>
      <c r="K13" s="1340">
        <f t="shared" si="0"/>
        <v>428</v>
      </c>
      <c r="L13" s="1340">
        <f t="shared" si="1"/>
        <v>497</v>
      </c>
      <c r="M13" s="1340">
        <f t="shared" si="2"/>
        <v>453</v>
      </c>
      <c r="N13" s="1340">
        <f t="shared" si="3"/>
        <v>389</v>
      </c>
      <c r="O13" s="1341">
        <f t="shared" si="4"/>
        <v>228</v>
      </c>
      <c r="P13" s="1341">
        <f t="shared" si="5"/>
        <v>234</v>
      </c>
      <c r="Q13" s="1341">
        <f>SUM(CD13:CG13)</f>
        <v>240</v>
      </c>
      <c r="R13" s="1342">
        <f>SUM(CH13:CK13)</f>
        <v>251</v>
      </c>
      <c r="S13" s="1340">
        <f t="shared" ref="S13:S33" si="6">SUM(CL13:CO13)</f>
        <v>58</v>
      </c>
      <c r="T13" s="1198"/>
      <c r="U13" s="1198"/>
      <c r="V13" s="1198"/>
      <c r="W13" s="1198"/>
      <c r="X13" s="1198"/>
      <c r="Y13" s="1198"/>
      <c r="Z13" s="1213"/>
      <c r="AA13" s="1213"/>
      <c r="AB13" s="1213"/>
      <c r="AC13" s="1213"/>
      <c r="AD13" s="1213"/>
      <c r="AE13" s="1213"/>
      <c r="AF13" s="1213"/>
      <c r="AG13" s="1213"/>
      <c r="AH13" s="1213"/>
      <c r="AI13" s="1213"/>
      <c r="AJ13" s="1213"/>
      <c r="AK13" s="1213"/>
      <c r="AL13" s="1213"/>
      <c r="AM13" s="1213"/>
      <c r="AN13" s="1213"/>
      <c r="AO13" s="1213"/>
      <c r="AP13" s="1213"/>
      <c r="AQ13" s="1213"/>
      <c r="AR13" s="1624"/>
      <c r="AS13" s="1624"/>
      <c r="AT13" s="1624"/>
      <c r="AU13" s="1213"/>
      <c r="AV13" s="1213"/>
      <c r="AW13" s="1213"/>
      <c r="AX13" s="1330"/>
      <c r="AY13" s="1330"/>
      <c r="AZ13" s="1330"/>
      <c r="BA13" s="1330"/>
      <c r="BB13" s="1755">
        <v>173</v>
      </c>
      <c r="BC13" s="1755">
        <v>192</v>
      </c>
      <c r="BD13" s="1755">
        <v>104</v>
      </c>
      <c r="BE13" s="1755">
        <v>8</v>
      </c>
      <c r="BF13" s="1755">
        <v>109</v>
      </c>
      <c r="BG13" s="1755">
        <v>112</v>
      </c>
      <c r="BH13" s="1755">
        <v>119</v>
      </c>
      <c r="BI13" s="1755">
        <v>88</v>
      </c>
      <c r="BJ13" s="1755">
        <v>123</v>
      </c>
      <c r="BK13" s="1755">
        <v>124</v>
      </c>
      <c r="BL13" s="1755">
        <v>120</v>
      </c>
      <c r="BM13" s="1755">
        <v>130</v>
      </c>
      <c r="BN13" s="1756">
        <v>121</v>
      </c>
      <c r="BO13" s="1755">
        <v>116</v>
      </c>
      <c r="BP13" s="1755">
        <v>109</v>
      </c>
      <c r="BQ13" s="1757">
        <v>107</v>
      </c>
      <c r="BR13" s="1755">
        <v>103</v>
      </c>
      <c r="BS13" s="1755">
        <v>101</v>
      </c>
      <c r="BT13" s="1755">
        <v>97</v>
      </c>
      <c r="BU13" s="1758">
        <v>88</v>
      </c>
      <c r="BV13" s="1756">
        <v>57</v>
      </c>
      <c r="BW13" s="1755">
        <v>57</v>
      </c>
      <c r="BX13" s="1755">
        <v>57</v>
      </c>
      <c r="BY13" s="1758">
        <v>57</v>
      </c>
      <c r="BZ13" s="1756">
        <v>54</v>
      </c>
      <c r="CA13" s="1758">
        <v>55</v>
      </c>
      <c r="CB13" s="1758">
        <v>62</v>
      </c>
      <c r="CC13" s="1758">
        <v>63</v>
      </c>
      <c r="CD13" s="1756">
        <v>59</v>
      </c>
      <c r="CE13" s="1758">
        <v>60</v>
      </c>
      <c r="CF13" s="1758">
        <v>61</v>
      </c>
      <c r="CG13" s="1758">
        <v>60</v>
      </c>
      <c r="CH13" s="1756">
        <v>62</v>
      </c>
      <c r="CI13" s="1758">
        <v>63</v>
      </c>
      <c r="CJ13" s="1758">
        <v>62</v>
      </c>
      <c r="CK13" s="1347">
        <f>251-SUM(CH13:CJ13)</f>
        <v>64</v>
      </c>
      <c r="CL13" s="1756">
        <v>58</v>
      </c>
      <c r="CM13" s="1198"/>
      <c r="CN13" s="1198"/>
      <c r="CO13" s="1198"/>
      <c r="CP13" s="1198"/>
      <c r="CQ13" s="1198"/>
      <c r="CR13" s="1198"/>
      <c r="CS13" s="1198"/>
      <c r="CT13" s="1198"/>
    </row>
    <row r="14" spans="1:98" ht="11.25" customHeight="1">
      <c r="A14" s="1225" t="s">
        <v>264</v>
      </c>
      <c r="B14" s="1225"/>
      <c r="C14" s="1225"/>
      <c r="D14" s="1225"/>
      <c r="E14" s="1225"/>
      <c r="F14" s="1225"/>
      <c r="G14" s="1225"/>
      <c r="H14" s="1627"/>
      <c r="I14" s="1340">
        <v>3448</v>
      </c>
      <c r="J14" s="1340">
        <v>1278</v>
      </c>
      <c r="K14" s="1340">
        <f t="shared" si="0"/>
        <v>13</v>
      </c>
      <c r="L14" s="1340">
        <f t="shared" si="1"/>
        <v>0</v>
      </c>
      <c r="M14" s="1340">
        <f t="shared" si="2"/>
        <v>0</v>
      </c>
      <c r="N14" s="1340">
        <f t="shared" si="3"/>
        <v>0</v>
      </c>
      <c r="O14" s="1341">
        <f t="shared" si="4"/>
        <v>0</v>
      </c>
      <c r="P14" s="1341">
        <f t="shared" si="5"/>
        <v>0</v>
      </c>
      <c r="Q14" s="1341"/>
      <c r="R14" s="1342">
        <f t="shared" ref="R14:R33" si="7">SUM(CH14:CK14)</f>
        <v>0</v>
      </c>
      <c r="S14" s="1340">
        <f t="shared" si="6"/>
        <v>0</v>
      </c>
      <c r="T14" s="1198"/>
      <c r="U14" s="1198"/>
      <c r="V14" s="1198"/>
      <c r="W14" s="1198"/>
      <c r="X14" s="1198"/>
      <c r="Y14" s="1198"/>
      <c r="Z14" s="1198"/>
      <c r="AA14" s="1198"/>
      <c r="AB14" s="1198"/>
      <c r="AC14" s="1198"/>
      <c r="AD14" s="1198"/>
      <c r="AE14" s="1198"/>
      <c r="AF14" s="1198"/>
      <c r="AG14" s="1198"/>
      <c r="AH14" s="1198"/>
      <c r="AI14" s="1198"/>
      <c r="AJ14" s="1198"/>
      <c r="AK14" s="1198"/>
      <c r="AL14" s="1198"/>
      <c r="AM14" s="1198"/>
      <c r="AN14" s="1198"/>
      <c r="AO14" s="1198"/>
      <c r="AP14" s="1198"/>
      <c r="AQ14" s="1198"/>
      <c r="AR14" s="1621"/>
      <c r="AS14" s="1621"/>
      <c r="AT14" s="1621"/>
      <c r="AU14" s="1198"/>
      <c r="AV14" s="1198"/>
      <c r="AW14" s="1198"/>
      <c r="AX14" s="1627"/>
      <c r="AY14" s="1627"/>
      <c r="AZ14" s="1627"/>
      <c r="BA14" s="1627"/>
      <c r="BB14" s="1755">
        <v>683</v>
      </c>
      <c r="BC14" s="1755">
        <v>582</v>
      </c>
      <c r="BD14" s="1755">
        <v>3</v>
      </c>
      <c r="BE14" s="1755">
        <v>10</v>
      </c>
      <c r="BF14" s="1755">
        <v>6</v>
      </c>
      <c r="BG14" s="1755">
        <v>3</v>
      </c>
      <c r="BH14" s="1755">
        <v>4</v>
      </c>
      <c r="BI14" s="1755">
        <v>0</v>
      </c>
      <c r="BJ14" s="1755">
        <v>0</v>
      </c>
      <c r="BK14" s="1755">
        <v>0</v>
      </c>
      <c r="BL14" s="1755">
        <v>0</v>
      </c>
      <c r="BM14" s="1755">
        <v>0</v>
      </c>
      <c r="BN14" s="1756">
        <v>0</v>
      </c>
      <c r="BO14" s="1755">
        <v>0</v>
      </c>
      <c r="BP14" s="1755">
        <v>0</v>
      </c>
      <c r="BQ14" s="1757">
        <v>0</v>
      </c>
      <c r="BR14" s="1755">
        <v>0</v>
      </c>
      <c r="BS14" s="1755">
        <v>0</v>
      </c>
      <c r="BT14" s="1755">
        <v>0</v>
      </c>
      <c r="BU14" s="1758">
        <v>0</v>
      </c>
      <c r="BV14" s="1756">
        <v>0</v>
      </c>
      <c r="BW14" s="1755">
        <v>0</v>
      </c>
      <c r="BX14" s="1755">
        <v>0</v>
      </c>
      <c r="BY14" s="1758">
        <v>0</v>
      </c>
      <c r="BZ14" s="1756">
        <v>0</v>
      </c>
      <c r="CA14" s="1758">
        <v>0</v>
      </c>
      <c r="CB14" s="1758">
        <v>0</v>
      </c>
      <c r="CC14" s="1758">
        <v>0</v>
      </c>
      <c r="CD14" s="1756">
        <v>0</v>
      </c>
      <c r="CE14" s="1758">
        <v>0</v>
      </c>
      <c r="CF14" s="1758">
        <v>0</v>
      </c>
      <c r="CG14" s="1758">
        <v>0</v>
      </c>
      <c r="CH14" s="1756">
        <v>0</v>
      </c>
      <c r="CI14" s="1758">
        <v>0</v>
      </c>
      <c r="CJ14" s="1758">
        <v>0</v>
      </c>
      <c r="CK14" s="1758"/>
      <c r="CL14" s="1756"/>
      <c r="CM14" s="1198"/>
      <c r="CN14" s="1198"/>
      <c r="CO14" s="1198"/>
      <c r="CP14" s="1198"/>
      <c r="CQ14" s="1198"/>
      <c r="CR14" s="1198"/>
      <c r="CS14" s="1198"/>
      <c r="CT14" s="1198"/>
    </row>
    <row r="15" spans="1:98" ht="11.25" customHeight="1">
      <c r="A15" s="1225" t="s">
        <v>636</v>
      </c>
      <c r="B15" s="1620"/>
      <c r="C15" s="1620"/>
      <c r="D15" s="1621"/>
      <c r="E15" s="1621"/>
      <c r="F15" s="1621"/>
      <c r="G15" s="1621"/>
      <c r="H15" s="1627"/>
      <c r="I15" s="1340">
        <v>615</v>
      </c>
      <c r="J15" s="1340">
        <v>511</v>
      </c>
      <c r="K15" s="1340">
        <f t="shared" si="0"/>
        <v>304</v>
      </c>
      <c r="L15" s="1340">
        <f t="shared" si="1"/>
        <v>194</v>
      </c>
      <c r="M15" s="1340">
        <f t="shared" si="2"/>
        <v>173</v>
      </c>
      <c r="N15" s="1340">
        <f t="shared" si="3"/>
        <v>155</v>
      </c>
      <c r="O15" s="1341">
        <f t="shared" si="4"/>
        <v>173</v>
      </c>
      <c r="P15" s="1341">
        <f t="shared" si="5"/>
        <v>231</v>
      </c>
      <c r="Q15" s="1341">
        <f>SUM(CD15:CG15)</f>
        <v>130</v>
      </c>
      <c r="R15" s="1342">
        <f>SUM(CH15:CK15)</f>
        <v>86</v>
      </c>
      <c r="S15" s="1340">
        <f t="shared" si="6"/>
        <v>0</v>
      </c>
      <c r="T15" s="1198"/>
      <c r="U15" s="1198"/>
      <c r="V15" s="1198"/>
      <c r="W15" s="1198"/>
      <c r="X15" s="1198"/>
      <c r="Y15" s="1198"/>
      <c r="Z15" s="1198"/>
      <c r="AA15" s="1198"/>
      <c r="AB15" s="1198"/>
      <c r="AC15" s="1198"/>
      <c r="AD15" s="1198"/>
      <c r="AE15" s="1198"/>
      <c r="AF15" s="1198"/>
      <c r="AG15" s="1198"/>
      <c r="AH15" s="1198"/>
      <c r="AI15" s="1198"/>
      <c r="AJ15" s="1198"/>
      <c r="AK15" s="1198"/>
      <c r="AL15" s="1198"/>
      <c r="AM15" s="1198"/>
      <c r="AN15" s="1198"/>
      <c r="AO15" s="1198"/>
      <c r="AP15" s="1198"/>
      <c r="AQ15" s="1198"/>
      <c r="AR15" s="1621"/>
      <c r="AS15" s="1621"/>
      <c r="AT15" s="1621"/>
      <c r="AU15" s="1198"/>
      <c r="AV15" s="1198"/>
      <c r="AW15" s="1198"/>
      <c r="AX15" s="1627"/>
      <c r="AY15" s="1627"/>
      <c r="AZ15" s="1627"/>
      <c r="BA15" s="1627"/>
      <c r="BB15" s="1755">
        <v>107</v>
      </c>
      <c r="BC15" s="1755">
        <v>233</v>
      </c>
      <c r="BD15" s="1755">
        <v>175</v>
      </c>
      <c r="BE15" s="1755">
        <v>-4</v>
      </c>
      <c r="BF15" s="1755">
        <v>100</v>
      </c>
      <c r="BG15" s="1755">
        <v>72</v>
      </c>
      <c r="BH15" s="1755">
        <v>69</v>
      </c>
      <c r="BI15" s="1755">
        <v>63</v>
      </c>
      <c r="BJ15" s="1755">
        <v>93</v>
      </c>
      <c r="BK15" s="1755">
        <v>13</v>
      </c>
      <c r="BL15" s="1755">
        <v>39</v>
      </c>
      <c r="BM15" s="1755">
        <v>49</v>
      </c>
      <c r="BN15" s="1756">
        <v>57</v>
      </c>
      <c r="BO15" s="1755">
        <v>53</v>
      </c>
      <c r="BP15" s="1755">
        <v>27</v>
      </c>
      <c r="BQ15" s="1757">
        <v>36</v>
      </c>
      <c r="BR15" s="1755">
        <v>44</v>
      </c>
      <c r="BS15" s="1755">
        <v>27</v>
      </c>
      <c r="BT15" s="1755">
        <v>37</v>
      </c>
      <c r="BU15" s="1758">
        <v>47</v>
      </c>
      <c r="BV15" s="1756">
        <v>43</v>
      </c>
      <c r="BW15" s="1755">
        <v>37</v>
      </c>
      <c r="BX15" s="1755">
        <v>44</v>
      </c>
      <c r="BY15" s="1758">
        <v>49</v>
      </c>
      <c r="BZ15" s="1756">
        <v>43</v>
      </c>
      <c r="CA15" s="1758">
        <v>26</v>
      </c>
      <c r="CB15" s="1758">
        <v>54</v>
      </c>
      <c r="CC15" s="1758">
        <v>108</v>
      </c>
      <c r="CD15" s="1756">
        <v>49</v>
      </c>
      <c r="CE15" s="1758">
        <v>35</v>
      </c>
      <c r="CF15" s="1758">
        <v>27</v>
      </c>
      <c r="CG15" s="1758">
        <v>19</v>
      </c>
      <c r="CH15" s="1756">
        <v>22</v>
      </c>
      <c r="CI15" s="1758">
        <v>14</v>
      </c>
      <c r="CJ15" s="1758">
        <v>23</v>
      </c>
      <c r="CK15" s="1758">
        <f>86-CJ15-CI15-CH15</f>
        <v>27</v>
      </c>
      <c r="CL15" s="1756"/>
      <c r="CM15" s="1198"/>
      <c r="CN15" s="1198"/>
      <c r="CO15" s="1198"/>
      <c r="CP15" s="1198"/>
      <c r="CQ15" s="1198"/>
      <c r="CR15" s="1198"/>
      <c r="CS15" s="1198"/>
      <c r="CT15" s="1198"/>
    </row>
    <row r="16" spans="1:98" ht="11.25" customHeight="1" outlineLevel="1">
      <c r="A16" s="1225" t="s">
        <v>265</v>
      </c>
      <c r="B16" s="1225"/>
      <c r="C16" s="1225"/>
      <c r="D16" s="1225"/>
      <c r="E16" s="1621"/>
      <c r="F16" s="1621"/>
      <c r="G16" s="1621"/>
      <c r="H16" s="1627"/>
      <c r="I16" s="1340">
        <v>-24</v>
      </c>
      <c r="J16" s="1340">
        <v>22800</v>
      </c>
      <c r="K16" s="1340">
        <f t="shared" si="0"/>
        <v>-206</v>
      </c>
      <c r="L16" s="1340">
        <f t="shared" si="1"/>
        <v>0</v>
      </c>
      <c r="M16" s="1340">
        <f t="shared" si="2"/>
        <v>22</v>
      </c>
      <c r="N16" s="1340">
        <f t="shared" si="3"/>
        <v>0</v>
      </c>
      <c r="O16" s="1341">
        <f t="shared" si="4"/>
        <v>0</v>
      </c>
      <c r="P16" s="1341">
        <f t="shared" si="5"/>
        <v>0</v>
      </c>
      <c r="Q16" s="1341"/>
      <c r="R16" s="1342">
        <f>SUM(CH16:CK16)</f>
        <v>0</v>
      </c>
      <c r="S16" s="1340">
        <f t="shared" si="6"/>
        <v>0</v>
      </c>
      <c r="T16" s="1198"/>
      <c r="U16" s="1198"/>
      <c r="V16" s="1198"/>
      <c r="W16" s="1198"/>
      <c r="X16" s="1198"/>
      <c r="Y16" s="1198"/>
      <c r="Z16" s="1198"/>
      <c r="AA16" s="1198"/>
      <c r="AB16" s="1198"/>
      <c r="AC16" s="1198"/>
      <c r="AD16" s="1198"/>
      <c r="AE16" s="1198"/>
      <c r="AF16" s="1198"/>
      <c r="AG16" s="1198"/>
      <c r="AH16" s="1198"/>
      <c r="AI16" s="1198"/>
      <c r="AJ16" s="1198"/>
      <c r="AK16" s="1198"/>
      <c r="AL16" s="1198"/>
      <c r="AM16" s="1198"/>
      <c r="AN16" s="1198"/>
      <c r="AO16" s="1198"/>
      <c r="AP16" s="1198"/>
      <c r="AQ16" s="1198"/>
      <c r="AR16" s="1621"/>
      <c r="AS16" s="1621"/>
      <c r="AT16" s="1621"/>
      <c r="AU16" s="1198"/>
      <c r="AV16" s="1198"/>
      <c r="AW16" s="1198"/>
      <c r="AX16" s="1627"/>
      <c r="AY16" s="1627"/>
      <c r="AZ16" s="1627"/>
      <c r="BA16" s="1627"/>
      <c r="BB16" s="1755">
        <v>22800</v>
      </c>
      <c r="BC16" s="1755">
        <v>0</v>
      </c>
      <c r="BD16" s="1755">
        <v>0</v>
      </c>
      <c r="BE16" s="1755">
        <v>0</v>
      </c>
      <c r="BF16" s="1755">
        <v>-206</v>
      </c>
      <c r="BG16" s="1755">
        <v>0</v>
      </c>
      <c r="BH16" s="1755">
        <v>0</v>
      </c>
      <c r="BI16" s="1755">
        <v>0</v>
      </c>
      <c r="BJ16" s="1755">
        <v>0</v>
      </c>
      <c r="BK16" s="1755">
        <v>0</v>
      </c>
      <c r="BL16" s="1755">
        <v>0</v>
      </c>
      <c r="BM16" s="1755">
        <v>0</v>
      </c>
      <c r="BN16" s="1756">
        <v>0</v>
      </c>
      <c r="BO16" s="1755">
        <v>0</v>
      </c>
      <c r="BP16" s="1755">
        <v>0</v>
      </c>
      <c r="BQ16" s="1757">
        <v>22</v>
      </c>
      <c r="BR16" s="1755">
        <v>0</v>
      </c>
      <c r="BS16" s="1755">
        <v>0</v>
      </c>
      <c r="BT16" s="1755">
        <v>0</v>
      </c>
      <c r="BU16" s="1758">
        <v>0</v>
      </c>
      <c r="BV16" s="1756">
        <v>0</v>
      </c>
      <c r="BW16" s="1755">
        <v>0</v>
      </c>
      <c r="BX16" s="1755">
        <v>0</v>
      </c>
      <c r="BY16" s="1758">
        <v>0</v>
      </c>
      <c r="BZ16" s="1756">
        <v>0</v>
      </c>
      <c r="CA16" s="1758">
        <v>0</v>
      </c>
      <c r="CB16" s="1758">
        <v>0</v>
      </c>
      <c r="CC16" s="1758">
        <v>0</v>
      </c>
      <c r="CD16" s="1756">
        <v>0</v>
      </c>
      <c r="CE16" s="1758">
        <v>0</v>
      </c>
      <c r="CF16" s="1758">
        <v>0</v>
      </c>
      <c r="CG16" s="1757">
        <v>0</v>
      </c>
      <c r="CH16" s="1756">
        <v>0</v>
      </c>
      <c r="CI16" s="1758">
        <v>0</v>
      </c>
      <c r="CJ16" s="1758">
        <v>0</v>
      </c>
      <c r="CK16" s="1758"/>
      <c r="CL16" s="1756"/>
      <c r="CM16" s="1198"/>
      <c r="CN16" s="1198"/>
      <c r="CO16" s="1198"/>
      <c r="CP16" s="1198"/>
      <c r="CQ16" s="1198"/>
      <c r="CR16" s="1198"/>
      <c r="CS16" s="1198"/>
      <c r="CT16" s="1198"/>
    </row>
    <row r="17" spans="1:98" ht="11.25" customHeight="1" outlineLevel="1">
      <c r="A17" s="1225" t="s">
        <v>266</v>
      </c>
      <c r="B17" s="1620"/>
      <c r="C17" s="1620"/>
      <c r="D17" s="1621"/>
      <c r="E17" s="1621"/>
      <c r="F17" s="1621"/>
      <c r="G17" s="1621"/>
      <c r="H17" s="1627"/>
      <c r="I17" s="1340">
        <v>0</v>
      </c>
      <c r="J17" s="1340">
        <v>8483</v>
      </c>
      <c r="K17" s="1340">
        <f t="shared" si="0"/>
        <v>0</v>
      </c>
      <c r="L17" s="1340">
        <f t="shared" si="1"/>
        <v>0</v>
      </c>
      <c r="M17" s="1340">
        <f t="shared" si="2"/>
        <v>0</v>
      </c>
      <c r="N17" s="1340">
        <f t="shared" si="3"/>
        <v>0</v>
      </c>
      <c r="O17" s="1341">
        <f t="shared" si="4"/>
        <v>0</v>
      </c>
      <c r="P17" s="1341">
        <f t="shared" si="5"/>
        <v>0</v>
      </c>
      <c r="Q17" s="1341"/>
      <c r="R17" s="1342">
        <f t="shared" si="7"/>
        <v>0</v>
      </c>
      <c r="S17" s="1340">
        <f t="shared" si="6"/>
        <v>0</v>
      </c>
      <c r="T17" s="1198"/>
      <c r="U17" s="1198"/>
      <c r="V17" s="1198"/>
      <c r="W17" s="1198"/>
      <c r="X17" s="1198"/>
      <c r="Y17" s="1198"/>
      <c r="Z17" s="1198"/>
      <c r="AA17" s="1198"/>
      <c r="AB17" s="1198"/>
      <c r="AC17" s="1198"/>
      <c r="AD17" s="1198"/>
      <c r="AE17" s="1198"/>
      <c r="AF17" s="1198"/>
      <c r="AG17" s="1198"/>
      <c r="AH17" s="1198"/>
      <c r="AI17" s="1198"/>
      <c r="AJ17" s="1198"/>
      <c r="AK17" s="1198"/>
      <c r="AL17" s="1198"/>
      <c r="AM17" s="1198"/>
      <c r="AN17" s="1198"/>
      <c r="AO17" s="1198"/>
      <c r="AP17" s="1198"/>
      <c r="AQ17" s="1198"/>
      <c r="AR17" s="1621"/>
      <c r="AS17" s="1621"/>
      <c r="AT17" s="1621"/>
      <c r="AU17" s="1198"/>
      <c r="AV17" s="1198"/>
      <c r="AW17" s="1198"/>
      <c r="AX17" s="1627"/>
      <c r="AY17" s="1627"/>
      <c r="AZ17" s="1627"/>
      <c r="BA17" s="1627"/>
      <c r="BB17" s="1755">
        <v>0</v>
      </c>
      <c r="BC17" s="1755">
        <v>8483</v>
      </c>
      <c r="BD17" s="1755">
        <v>0</v>
      </c>
      <c r="BE17" s="1755">
        <v>0</v>
      </c>
      <c r="BF17" s="1755">
        <v>0</v>
      </c>
      <c r="BG17" s="1755">
        <v>0</v>
      </c>
      <c r="BH17" s="1755">
        <v>0</v>
      </c>
      <c r="BI17" s="1755">
        <v>0</v>
      </c>
      <c r="BJ17" s="1755">
        <v>0</v>
      </c>
      <c r="BK17" s="1755">
        <v>0</v>
      </c>
      <c r="BL17" s="1755">
        <v>0</v>
      </c>
      <c r="BM17" s="1755">
        <v>0</v>
      </c>
      <c r="BN17" s="1756">
        <v>0</v>
      </c>
      <c r="BO17" s="1755">
        <v>0</v>
      </c>
      <c r="BP17" s="1755">
        <v>0</v>
      </c>
      <c r="BQ17" s="1757">
        <v>0</v>
      </c>
      <c r="BR17" s="1755">
        <v>0</v>
      </c>
      <c r="BS17" s="1755">
        <v>0</v>
      </c>
      <c r="BT17" s="1755">
        <v>0</v>
      </c>
      <c r="BU17" s="1758">
        <v>0</v>
      </c>
      <c r="BV17" s="1756">
        <v>0</v>
      </c>
      <c r="BW17" s="1755">
        <v>0</v>
      </c>
      <c r="BX17" s="1755">
        <v>0</v>
      </c>
      <c r="BY17" s="1758">
        <v>0</v>
      </c>
      <c r="BZ17" s="1756">
        <v>0</v>
      </c>
      <c r="CA17" s="1758">
        <v>0</v>
      </c>
      <c r="CB17" s="1758">
        <v>0</v>
      </c>
      <c r="CC17" s="1758">
        <v>0</v>
      </c>
      <c r="CD17" s="1756">
        <v>0</v>
      </c>
      <c r="CE17" s="1758">
        <v>0</v>
      </c>
      <c r="CF17" s="1758">
        <v>0</v>
      </c>
      <c r="CG17" s="1757">
        <v>0</v>
      </c>
      <c r="CH17" s="1756">
        <v>0</v>
      </c>
      <c r="CI17" s="1758">
        <v>0</v>
      </c>
      <c r="CJ17" s="1758">
        <v>0</v>
      </c>
      <c r="CK17" s="1758"/>
      <c r="CL17" s="1756"/>
      <c r="CM17" s="1198"/>
      <c r="CN17" s="1198"/>
      <c r="CO17" s="1198"/>
      <c r="CP17" s="1198"/>
      <c r="CQ17" s="1198"/>
      <c r="CR17" s="1198"/>
      <c r="CS17" s="1198"/>
      <c r="CT17" s="1198"/>
    </row>
    <row r="18" spans="1:98" ht="11.25" customHeight="1" outlineLevel="1">
      <c r="A18" s="1225" t="s">
        <v>267</v>
      </c>
      <c r="B18" s="1620"/>
      <c r="C18" s="1620"/>
      <c r="D18" s="1621"/>
      <c r="E18" s="1621"/>
      <c r="F18" s="1621"/>
      <c r="G18" s="1621"/>
      <c r="H18" s="1627"/>
      <c r="I18" s="1340">
        <v>251</v>
      </c>
      <c r="J18" s="1340">
        <v>10525</v>
      </c>
      <c r="K18" s="1340">
        <f t="shared" si="0"/>
        <v>230</v>
      </c>
      <c r="L18" s="1340">
        <f t="shared" si="1"/>
        <v>113</v>
      </c>
      <c r="M18" s="1340">
        <f t="shared" si="2"/>
        <v>0</v>
      </c>
      <c r="N18" s="1340">
        <f t="shared" si="3"/>
        <v>0</v>
      </c>
      <c r="O18" s="1341">
        <f t="shared" si="4"/>
        <v>0</v>
      </c>
      <c r="P18" s="1341">
        <f t="shared" si="5"/>
        <v>0</v>
      </c>
      <c r="Q18" s="1341"/>
      <c r="R18" s="1342">
        <f t="shared" si="7"/>
        <v>0</v>
      </c>
      <c r="S18" s="1340">
        <f t="shared" si="6"/>
        <v>0</v>
      </c>
      <c r="T18" s="1198"/>
      <c r="U18" s="1198"/>
      <c r="V18" s="1198"/>
      <c r="W18" s="1198"/>
      <c r="X18" s="1198"/>
      <c r="Y18" s="1198"/>
      <c r="Z18" s="1198"/>
      <c r="AA18" s="1198"/>
      <c r="AB18" s="1198"/>
      <c r="AC18" s="1198"/>
      <c r="AD18" s="1198"/>
      <c r="AE18" s="1198"/>
      <c r="AF18" s="1198"/>
      <c r="AG18" s="1198"/>
      <c r="AH18" s="1198"/>
      <c r="AI18" s="1198"/>
      <c r="AJ18" s="1198"/>
      <c r="AK18" s="1198"/>
      <c r="AL18" s="1198"/>
      <c r="AM18" s="1198"/>
      <c r="AN18" s="1198"/>
      <c r="AO18" s="1198"/>
      <c r="AP18" s="1198"/>
      <c r="AQ18" s="1198"/>
      <c r="AR18" s="1621"/>
      <c r="AS18" s="1621"/>
      <c r="AT18" s="1621"/>
      <c r="AU18" s="1198"/>
      <c r="AV18" s="1198"/>
      <c r="AW18" s="1198"/>
      <c r="AX18" s="1627"/>
      <c r="AY18" s="1627"/>
      <c r="AZ18" s="1627"/>
      <c r="BA18" s="1627"/>
      <c r="BB18" s="1755">
        <v>0</v>
      </c>
      <c r="BC18" s="1755">
        <v>10499</v>
      </c>
      <c r="BD18" s="1755">
        <v>0</v>
      </c>
      <c r="BE18" s="1755">
        <v>26</v>
      </c>
      <c r="BF18" s="1755">
        <v>0</v>
      </c>
      <c r="BG18" s="1755">
        <v>0</v>
      </c>
      <c r="BH18" s="1755">
        <v>230</v>
      </c>
      <c r="BI18" s="1755">
        <v>0</v>
      </c>
      <c r="BJ18" s="1755">
        <v>0</v>
      </c>
      <c r="BK18" s="1755">
        <v>43</v>
      </c>
      <c r="BL18" s="1755">
        <v>34</v>
      </c>
      <c r="BM18" s="1755">
        <v>36</v>
      </c>
      <c r="BN18" s="1756">
        <v>0</v>
      </c>
      <c r="BO18" s="1755">
        <v>0</v>
      </c>
      <c r="BP18" s="1755">
        <v>0</v>
      </c>
      <c r="BQ18" s="1757">
        <v>0</v>
      </c>
      <c r="BR18" s="1755">
        <v>0</v>
      </c>
      <c r="BS18" s="1755">
        <v>0</v>
      </c>
      <c r="BT18" s="1755">
        <v>0</v>
      </c>
      <c r="BU18" s="1758">
        <v>0</v>
      </c>
      <c r="BV18" s="1756">
        <v>0</v>
      </c>
      <c r="BW18" s="1755">
        <v>0</v>
      </c>
      <c r="BX18" s="1755">
        <v>0</v>
      </c>
      <c r="BY18" s="1758">
        <v>0</v>
      </c>
      <c r="BZ18" s="1756">
        <v>0</v>
      </c>
      <c r="CA18" s="1758">
        <v>0</v>
      </c>
      <c r="CB18" s="1758">
        <v>0</v>
      </c>
      <c r="CC18" s="1758">
        <v>0</v>
      </c>
      <c r="CD18" s="1756">
        <v>0</v>
      </c>
      <c r="CE18" s="1758">
        <v>0</v>
      </c>
      <c r="CF18" s="1758">
        <v>0</v>
      </c>
      <c r="CG18" s="1757">
        <v>0</v>
      </c>
      <c r="CH18" s="1756">
        <v>0</v>
      </c>
      <c r="CI18" s="1758">
        <v>0</v>
      </c>
      <c r="CJ18" s="1758">
        <v>0</v>
      </c>
      <c r="CK18" s="1758"/>
      <c r="CL18" s="1756"/>
      <c r="CM18" s="1198"/>
      <c r="CN18" s="1198"/>
      <c r="CO18" s="1198"/>
      <c r="CP18" s="1198"/>
      <c r="CQ18" s="1198"/>
      <c r="CR18" s="1198"/>
      <c r="CS18" s="1198"/>
      <c r="CT18" s="1198"/>
    </row>
    <row r="19" spans="1:98" ht="11.25" customHeight="1" outlineLevel="1">
      <c r="A19" s="1225" t="s">
        <v>268</v>
      </c>
      <c r="B19" s="1620"/>
      <c r="C19" s="1620"/>
      <c r="D19" s="1621"/>
      <c r="E19" s="1621"/>
      <c r="F19" s="1621"/>
      <c r="G19" s="1621"/>
      <c r="H19" s="1627"/>
      <c r="I19" s="1340">
        <v>165</v>
      </c>
      <c r="J19" s="1340" t="e">
        <v>#REF!</v>
      </c>
      <c r="K19" s="1340">
        <f t="shared" si="0"/>
        <v>0</v>
      </c>
      <c r="L19" s="1340">
        <f t="shared" si="1"/>
        <v>0</v>
      </c>
      <c r="M19" s="1340">
        <f t="shared" si="2"/>
        <v>0</v>
      </c>
      <c r="N19" s="1340">
        <f t="shared" si="3"/>
        <v>0</v>
      </c>
      <c r="O19" s="1341">
        <f t="shared" si="4"/>
        <v>0</v>
      </c>
      <c r="P19" s="1341">
        <f t="shared" si="5"/>
        <v>0</v>
      </c>
      <c r="Q19" s="1341"/>
      <c r="R19" s="1342">
        <f t="shared" si="7"/>
        <v>0</v>
      </c>
      <c r="S19" s="1340">
        <f t="shared" si="6"/>
        <v>0</v>
      </c>
      <c r="T19" s="1198"/>
      <c r="U19" s="1198"/>
      <c r="V19" s="1198"/>
      <c r="W19" s="1198"/>
      <c r="X19" s="1198"/>
      <c r="Y19" s="1198"/>
      <c r="Z19" s="1198"/>
      <c r="AA19" s="1198"/>
      <c r="AB19" s="1198"/>
      <c r="AC19" s="1198"/>
      <c r="AD19" s="1198"/>
      <c r="AE19" s="1198"/>
      <c r="AF19" s="1198"/>
      <c r="AG19" s="1198"/>
      <c r="AH19" s="1198"/>
      <c r="AI19" s="1198"/>
      <c r="AJ19" s="1198"/>
      <c r="AK19" s="1198"/>
      <c r="AL19" s="1198"/>
      <c r="AM19" s="1198"/>
      <c r="AN19" s="1198"/>
      <c r="AO19" s="1198"/>
      <c r="AP19" s="1198"/>
      <c r="AQ19" s="1198"/>
      <c r="AR19" s="1621"/>
      <c r="AS19" s="1621"/>
      <c r="AT19" s="1621"/>
      <c r="AU19" s="1198"/>
      <c r="AV19" s="1198"/>
      <c r="AW19" s="1198"/>
      <c r="AX19" s="1627"/>
      <c r="AY19" s="1627"/>
      <c r="AZ19" s="1627"/>
      <c r="BA19" s="1627"/>
      <c r="BB19" s="1755">
        <v>0</v>
      </c>
      <c r="BC19" s="1755">
        <v>0</v>
      </c>
      <c r="BD19" s="1755">
        <v>0</v>
      </c>
      <c r="BE19" s="1755">
        <v>0</v>
      </c>
      <c r="BF19" s="1755">
        <v>0</v>
      </c>
      <c r="BG19" s="1755">
        <v>0</v>
      </c>
      <c r="BH19" s="1755">
        <v>0</v>
      </c>
      <c r="BI19" s="1755">
        <v>0</v>
      </c>
      <c r="BJ19" s="1755">
        <v>0</v>
      </c>
      <c r="BK19" s="1755">
        <v>0</v>
      </c>
      <c r="BL19" s="1755">
        <v>0</v>
      </c>
      <c r="BM19" s="1755">
        <v>0</v>
      </c>
      <c r="BN19" s="1756">
        <v>0</v>
      </c>
      <c r="BO19" s="1755">
        <v>0</v>
      </c>
      <c r="BP19" s="1755">
        <v>0</v>
      </c>
      <c r="BQ19" s="1757">
        <v>0</v>
      </c>
      <c r="BR19" s="1755">
        <v>0</v>
      </c>
      <c r="BS19" s="1755">
        <v>0</v>
      </c>
      <c r="BT19" s="1755">
        <v>0</v>
      </c>
      <c r="BU19" s="1758">
        <v>0</v>
      </c>
      <c r="BV19" s="1756">
        <v>0</v>
      </c>
      <c r="BW19" s="1755">
        <v>0</v>
      </c>
      <c r="BX19" s="1755">
        <v>0</v>
      </c>
      <c r="BY19" s="1758">
        <v>0</v>
      </c>
      <c r="BZ19" s="1756">
        <v>0</v>
      </c>
      <c r="CA19" s="1758">
        <v>0</v>
      </c>
      <c r="CB19" s="1758">
        <v>0</v>
      </c>
      <c r="CC19" s="1758">
        <v>0</v>
      </c>
      <c r="CD19" s="1756">
        <v>0</v>
      </c>
      <c r="CE19" s="1758">
        <v>0</v>
      </c>
      <c r="CF19" s="1758">
        <v>0</v>
      </c>
      <c r="CG19" s="1757">
        <v>0</v>
      </c>
      <c r="CH19" s="1756">
        <v>0</v>
      </c>
      <c r="CI19" s="1758">
        <v>0</v>
      </c>
      <c r="CJ19" s="1758">
        <v>0</v>
      </c>
      <c r="CK19" s="1758"/>
      <c r="CL19" s="1756"/>
      <c r="CM19" s="1198"/>
      <c r="CN19" s="1198"/>
      <c r="CO19" s="1198"/>
      <c r="CP19" s="1198"/>
      <c r="CQ19" s="1198"/>
      <c r="CR19" s="1198"/>
      <c r="CS19" s="1198"/>
      <c r="CT19" s="1198"/>
    </row>
    <row r="20" spans="1:98" ht="11.25" customHeight="1">
      <c r="A20" s="1225" t="s">
        <v>1051</v>
      </c>
      <c r="B20" s="1620"/>
      <c r="C20" s="1620"/>
      <c r="D20" s="1621"/>
      <c r="E20" s="1621"/>
      <c r="F20" s="1621"/>
      <c r="G20" s="1621"/>
      <c r="H20" s="1627"/>
      <c r="I20" s="1340">
        <v>-733</v>
      </c>
      <c r="J20" s="1340">
        <v>-2252</v>
      </c>
      <c r="K20" s="1340">
        <f t="shared" si="0"/>
        <v>-532</v>
      </c>
      <c r="L20" s="1340">
        <f t="shared" si="1"/>
        <v>7</v>
      </c>
      <c r="M20" s="1340">
        <f t="shared" si="2"/>
        <v>-5</v>
      </c>
      <c r="N20" s="1340">
        <f t="shared" si="3"/>
        <v>-5</v>
      </c>
      <c r="O20" s="1341">
        <f t="shared" si="4"/>
        <v>-2283</v>
      </c>
      <c r="P20" s="1341">
        <f t="shared" si="5"/>
        <v>355</v>
      </c>
      <c r="Q20" s="1341">
        <f>SUM(CD20:CG20)</f>
        <v>229</v>
      </c>
      <c r="R20" s="1342">
        <f>SUM(CH20:CK20)</f>
        <v>508</v>
      </c>
      <c r="S20" s="1340">
        <f t="shared" si="6"/>
        <v>145</v>
      </c>
      <c r="T20" s="1198"/>
      <c r="U20" s="1198"/>
      <c r="V20" s="1198"/>
      <c r="W20" s="1198"/>
      <c r="X20" s="1198"/>
      <c r="Y20" s="1198"/>
      <c r="Z20" s="1198"/>
      <c r="AA20" s="1198"/>
      <c r="AB20" s="1198"/>
      <c r="AC20" s="1198"/>
      <c r="AD20" s="1198"/>
      <c r="AE20" s="1198"/>
      <c r="AF20" s="1198"/>
      <c r="AG20" s="1198"/>
      <c r="AH20" s="1198"/>
      <c r="AI20" s="1198"/>
      <c r="AJ20" s="1198"/>
      <c r="AK20" s="1198"/>
      <c r="AL20" s="1198"/>
      <c r="AM20" s="1198"/>
      <c r="AN20" s="1198"/>
      <c r="AO20" s="1198"/>
      <c r="AP20" s="1198"/>
      <c r="AQ20" s="1198"/>
      <c r="AR20" s="1621"/>
      <c r="AS20" s="1621"/>
      <c r="AT20" s="1621"/>
      <c r="AU20" s="1198"/>
      <c r="AV20" s="1198"/>
      <c r="AW20" s="1198"/>
      <c r="AX20" s="1627"/>
      <c r="AY20" s="1627"/>
      <c r="AZ20" s="1627"/>
      <c r="BA20" s="1627"/>
      <c r="BB20" s="1755">
        <v>-101</v>
      </c>
      <c r="BC20" s="1755">
        <v>-2656</v>
      </c>
      <c r="BD20" s="1755">
        <v>-164</v>
      </c>
      <c r="BE20" s="1755">
        <v>669</v>
      </c>
      <c r="BF20" s="1755">
        <v>-65</v>
      </c>
      <c r="BG20" s="1755">
        <v>-74</v>
      </c>
      <c r="BH20" s="1755">
        <v>-247</v>
      </c>
      <c r="BI20" s="1755">
        <v>-146</v>
      </c>
      <c r="BJ20" s="1755">
        <v>1</v>
      </c>
      <c r="BK20" s="1755">
        <v>2</v>
      </c>
      <c r="BL20" s="1755">
        <v>2</v>
      </c>
      <c r="BM20" s="1755">
        <v>2</v>
      </c>
      <c r="BN20" s="1756">
        <v>0</v>
      </c>
      <c r="BO20" s="1755">
        <v>2</v>
      </c>
      <c r="BP20" s="1755">
        <v>-6</v>
      </c>
      <c r="BQ20" s="1757">
        <v>-1</v>
      </c>
      <c r="BR20" s="1755">
        <v>0</v>
      </c>
      <c r="BS20" s="1755">
        <v>0</v>
      </c>
      <c r="BT20" s="1755">
        <v>-3</v>
      </c>
      <c r="BU20" s="1758">
        <v>-2</v>
      </c>
      <c r="BV20" s="1756">
        <v>0</v>
      </c>
      <c r="BW20" s="1755">
        <v>0</v>
      </c>
      <c r="BX20" s="1755">
        <v>-2177</v>
      </c>
      <c r="BY20" s="1758">
        <v>-106</v>
      </c>
      <c r="BZ20" s="1756">
        <v>98</v>
      </c>
      <c r="CA20" s="1758">
        <v>120</v>
      </c>
      <c r="CB20" s="1758">
        <v>98</v>
      </c>
      <c r="CC20" s="1758">
        <v>39</v>
      </c>
      <c r="CD20" s="1756">
        <v>98</v>
      </c>
      <c r="CE20" s="1758">
        <v>-6</v>
      </c>
      <c r="CF20" s="1758">
        <v>64</v>
      </c>
      <c r="CG20" s="1758">
        <v>73</v>
      </c>
      <c r="CH20" s="1756">
        <v>205</v>
      </c>
      <c r="CI20" s="1758">
        <v>98</v>
      </c>
      <c r="CJ20" s="1758">
        <v>119</v>
      </c>
      <c r="CK20" s="1758">
        <f>508-CJ20-CI20-CH20</f>
        <v>86</v>
      </c>
      <c r="CL20" s="1756">
        <v>145</v>
      </c>
      <c r="CM20" s="1198"/>
      <c r="CN20" s="1198"/>
      <c r="CO20" s="1198"/>
      <c r="CP20" s="1198"/>
      <c r="CQ20" s="1198"/>
      <c r="CR20" s="1198"/>
      <c r="CS20" s="1198"/>
      <c r="CT20" s="1340"/>
    </row>
    <row r="21" spans="1:98" ht="11.25" customHeight="1" outlineLevel="1">
      <c r="A21" s="1225" t="s">
        <v>269</v>
      </c>
      <c r="B21" s="1620"/>
      <c r="C21" s="1620"/>
      <c r="D21" s="1621"/>
      <c r="E21" s="1621"/>
      <c r="F21" s="1621"/>
      <c r="G21" s="1621"/>
      <c r="H21" s="1627"/>
      <c r="I21" s="1340">
        <v>-51</v>
      </c>
      <c r="J21" s="1340" t="e">
        <v>#REF!</v>
      </c>
      <c r="K21" s="1340">
        <f t="shared" si="0"/>
        <v>0</v>
      </c>
      <c r="L21" s="1340">
        <f t="shared" si="1"/>
        <v>0</v>
      </c>
      <c r="M21" s="1340">
        <f t="shared" si="2"/>
        <v>-263</v>
      </c>
      <c r="N21" s="1340">
        <f t="shared" si="3"/>
        <v>-68</v>
      </c>
      <c r="O21" s="1341">
        <f t="shared" si="4"/>
        <v>-7</v>
      </c>
      <c r="P21" s="1341">
        <f t="shared" si="5"/>
        <v>0</v>
      </c>
      <c r="Q21" s="1341"/>
      <c r="R21" s="1342">
        <f t="shared" si="7"/>
        <v>0</v>
      </c>
      <c r="S21" s="1340">
        <f t="shared" si="6"/>
        <v>0</v>
      </c>
      <c r="T21" s="1198"/>
      <c r="U21" s="1198"/>
      <c r="V21" s="1198"/>
      <c r="W21" s="1198"/>
      <c r="X21" s="1198"/>
      <c r="Y21" s="1198"/>
      <c r="Z21" s="1198"/>
      <c r="AA21" s="1198"/>
      <c r="AB21" s="1198"/>
      <c r="AC21" s="1198"/>
      <c r="AD21" s="1198"/>
      <c r="AE21" s="1198"/>
      <c r="AF21" s="1198"/>
      <c r="AG21" s="1198"/>
      <c r="AH21" s="1198"/>
      <c r="AI21" s="1198"/>
      <c r="AJ21" s="1198"/>
      <c r="AK21" s="1198"/>
      <c r="AL21" s="1198"/>
      <c r="AM21" s="1198"/>
      <c r="AN21" s="1198"/>
      <c r="AO21" s="1198"/>
      <c r="AP21" s="1198"/>
      <c r="AQ21" s="1198"/>
      <c r="AR21" s="1621"/>
      <c r="AS21" s="1621"/>
      <c r="AT21" s="1621"/>
      <c r="AU21" s="1198"/>
      <c r="AV21" s="1198"/>
      <c r="AW21" s="1198"/>
      <c r="AX21" s="1627"/>
      <c r="AY21" s="1627"/>
      <c r="AZ21" s="1627"/>
      <c r="BA21" s="1627"/>
      <c r="BB21" s="1755">
        <v>0</v>
      </c>
      <c r="BC21" s="1755">
        <v>0</v>
      </c>
      <c r="BD21" s="1755">
        <v>0</v>
      </c>
      <c r="BE21" s="1755">
        <v>0</v>
      </c>
      <c r="BF21" s="1755">
        <v>0</v>
      </c>
      <c r="BG21" s="1755">
        <v>0</v>
      </c>
      <c r="BH21" s="1755">
        <v>0</v>
      </c>
      <c r="BI21" s="1755">
        <v>0</v>
      </c>
      <c r="BJ21" s="1755">
        <v>0</v>
      </c>
      <c r="BK21" s="1755">
        <v>0</v>
      </c>
      <c r="BL21" s="1755">
        <v>0</v>
      </c>
      <c r="BM21" s="1755">
        <v>0</v>
      </c>
      <c r="BN21" s="1756">
        <v>-257</v>
      </c>
      <c r="BO21" s="1755">
        <v>0</v>
      </c>
      <c r="BP21" s="1755">
        <v>0</v>
      </c>
      <c r="BQ21" s="1757">
        <v>-6</v>
      </c>
      <c r="BR21" s="1755">
        <v>0</v>
      </c>
      <c r="BS21" s="1755">
        <v>-3</v>
      </c>
      <c r="BT21" s="1755">
        <v>0</v>
      </c>
      <c r="BU21" s="1758">
        <v>-65</v>
      </c>
      <c r="BV21" s="1756">
        <v>0</v>
      </c>
      <c r="BW21" s="1755">
        <v>0</v>
      </c>
      <c r="BX21" s="1755">
        <v>-1</v>
      </c>
      <c r="BY21" s="1758">
        <v>-6</v>
      </c>
      <c r="BZ21" s="1756">
        <v>0</v>
      </c>
      <c r="CA21" s="1758">
        <v>0</v>
      </c>
      <c r="CB21" s="1758">
        <v>0</v>
      </c>
      <c r="CC21" s="1758">
        <v>0</v>
      </c>
      <c r="CD21" s="1756">
        <v>0</v>
      </c>
      <c r="CE21" s="1758">
        <v>0</v>
      </c>
      <c r="CF21" s="1758">
        <v>0</v>
      </c>
      <c r="CG21" s="1758">
        <v>0</v>
      </c>
      <c r="CH21" s="1756">
        <v>0</v>
      </c>
      <c r="CI21" s="1758">
        <v>0</v>
      </c>
      <c r="CJ21" s="1758">
        <v>0</v>
      </c>
      <c r="CK21" s="1758"/>
      <c r="CL21" s="1756"/>
      <c r="CM21" s="1198"/>
      <c r="CN21" s="1198"/>
      <c r="CO21" s="1198"/>
      <c r="CP21" s="1198"/>
      <c r="CQ21" s="1198"/>
      <c r="CR21" s="1198"/>
      <c r="CS21" s="1198"/>
      <c r="CT21" s="1198"/>
    </row>
    <row r="22" spans="1:98" ht="11.25" customHeight="1" outlineLevel="1">
      <c r="A22" s="1225" t="s">
        <v>270</v>
      </c>
      <c r="B22" s="1620"/>
      <c r="C22" s="1620"/>
      <c r="D22" s="1621"/>
      <c r="E22" s="1621"/>
      <c r="F22" s="1621"/>
      <c r="G22" s="1621"/>
      <c r="H22" s="1627"/>
      <c r="I22" s="1340">
        <v>106</v>
      </c>
      <c r="J22" s="1340">
        <v>-1836</v>
      </c>
      <c r="K22" s="1340">
        <f t="shared" si="0"/>
        <v>-38</v>
      </c>
      <c r="L22" s="1340">
        <f t="shared" si="1"/>
        <v>1</v>
      </c>
      <c r="M22" s="1340">
        <f t="shared" si="2"/>
        <v>462</v>
      </c>
      <c r="N22" s="1340">
        <f t="shared" si="3"/>
        <v>5</v>
      </c>
      <c r="O22" s="1341">
        <f t="shared" si="4"/>
        <v>26</v>
      </c>
      <c r="P22" s="1341">
        <f t="shared" si="5"/>
        <v>0</v>
      </c>
      <c r="Q22" s="1341"/>
      <c r="R22" s="1342">
        <f t="shared" si="7"/>
        <v>520</v>
      </c>
      <c r="S22" s="1340">
        <f t="shared" si="6"/>
        <v>0</v>
      </c>
      <c r="T22" s="1198"/>
      <c r="U22" s="1198"/>
      <c r="V22" s="1198"/>
      <c r="W22" s="1198"/>
      <c r="X22" s="1198"/>
      <c r="Y22" s="1198"/>
      <c r="Z22" s="1198"/>
      <c r="AA22" s="1198"/>
      <c r="AB22" s="1198"/>
      <c r="AC22" s="1198"/>
      <c r="AD22" s="1198"/>
      <c r="AE22" s="1198"/>
      <c r="AF22" s="1198"/>
      <c r="AG22" s="1198"/>
      <c r="AH22" s="1198"/>
      <c r="AI22" s="1198"/>
      <c r="AJ22" s="1198"/>
      <c r="AK22" s="1198"/>
      <c r="AL22" s="1198"/>
      <c r="AM22" s="1198"/>
      <c r="AN22" s="1198"/>
      <c r="AO22" s="1198"/>
      <c r="AP22" s="1198"/>
      <c r="AQ22" s="1198"/>
      <c r="AR22" s="1621"/>
      <c r="AS22" s="1621"/>
      <c r="AT22" s="1621"/>
      <c r="AU22" s="1198"/>
      <c r="AV22" s="1198"/>
      <c r="AW22" s="1198"/>
      <c r="AX22" s="1627"/>
      <c r="AY22" s="1627"/>
      <c r="AZ22" s="1627"/>
      <c r="BA22" s="1627"/>
      <c r="BB22" s="1755">
        <v>-9</v>
      </c>
      <c r="BC22" s="1755">
        <v>0</v>
      </c>
      <c r="BD22" s="1755">
        <v>0</v>
      </c>
      <c r="BE22" s="1755">
        <v>-1827</v>
      </c>
      <c r="BF22" s="1755">
        <v>-21</v>
      </c>
      <c r="BG22" s="1755">
        <v>-8</v>
      </c>
      <c r="BH22" s="1755">
        <v>-15</v>
      </c>
      <c r="BI22" s="1755">
        <v>6</v>
      </c>
      <c r="BJ22" s="1755">
        <v>13</v>
      </c>
      <c r="BK22" s="1755">
        <v>-19</v>
      </c>
      <c r="BL22" s="1755">
        <v>7</v>
      </c>
      <c r="BM22" s="1755">
        <v>0</v>
      </c>
      <c r="BN22" s="1756">
        <v>0</v>
      </c>
      <c r="BO22" s="1755">
        <v>43</v>
      </c>
      <c r="BP22" s="1755">
        <v>-11</v>
      </c>
      <c r="BQ22" s="1757">
        <v>430</v>
      </c>
      <c r="BR22" s="1755">
        <v>0</v>
      </c>
      <c r="BS22" s="1755">
        <v>-5</v>
      </c>
      <c r="BT22" s="1755">
        <v>9</v>
      </c>
      <c r="BU22" s="1758">
        <v>1</v>
      </c>
      <c r="BV22" s="1756">
        <v>0</v>
      </c>
      <c r="BW22" s="1755">
        <v>22</v>
      </c>
      <c r="BX22" s="1755">
        <v>0</v>
      </c>
      <c r="BY22" s="1758">
        <v>4</v>
      </c>
      <c r="BZ22" s="1756">
        <v>0</v>
      </c>
      <c r="CA22" s="1758">
        <v>0</v>
      </c>
      <c r="CB22" s="1758">
        <v>0</v>
      </c>
      <c r="CC22" s="1758">
        <v>0</v>
      </c>
      <c r="CD22" s="1756">
        <v>0</v>
      </c>
      <c r="CE22" s="1758">
        <v>0</v>
      </c>
      <c r="CF22" s="1758">
        <v>0</v>
      </c>
      <c r="CG22" s="1758">
        <v>0</v>
      </c>
      <c r="CH22" s="1756">
        <v>42</v>
      </c>
      <c r="CI22" s="1758">
        <v>-21</v>
      </c>
      <c r="CJ22" s="1758">
        <v>232</v>
      </c>
      <c r="CK22" s="1758">
        <f>475+45-CJ22-CI22-CH22</f>
        <v>267</v>
      </c>
      <c r="CL22" s="1756"/>
      <c r="CM22" s="1198"/>
      <c r="CN22" s="1198"/>
      <c r="CO22" s="1198"/>
      <c r="CP22" s="1198"/>
      <c r="CQ22" s="1198"/>
      <c r="CR22" s="1198"/>
      <c r="CS22" s="1198"/>
      <c r="CT22" s="1198"/>
    </row>
    <row r="23" spans="1:98" ht="11.25" customHeight="1">
      <c r="A23" s="1225" t="s">
        <v>637</v>
      </c>
      <c r="B23" s="1620"/>
      <c r="C23" s="1620"/>
      <c r="D23" s="1621"/>
      <c r="E23" s="1621"/>
      <c r="F23" s="1621"/>
      <c r="G23" s="1621"/>
      <c r="H23" s="1627"/>
      <c r="I23" s="1340">
        <v>254</v>
      </c>
      <c r="J23" s="1340">
        <v>290</v>
      </c>
      <c r="K23" s="1340">
        <f t="shared" si="0"/>
        <v>199</v>
      </c>
      <c r="L23" s="1340">
        <f t="shared" si="1"/>
        <v>91</v>
      </c>
      <c r="M23" s="1340">
        <f t="shared" si="2"/>
        <v>37</v>
      </c>
      <c r="N23" s="1340">
        <f t="shared" si="3"/>
        <v>57</v>
      </c>
      <c r="O23" s="1341">
        <f t="shared" si="4"/>
        <v>68</v>
      </c>
      <c r="P23" s="1341">
        <f t="shared" si="5"/>
        <v>125</v>
      </c>
      <c r="Q23" s="1341">
        <f>SUM(CD23:CG23)</f>
        <v>136</v>
      </c>
      <c r="R23" s="1342">
        <f t="shared" si="7"/>
        <v>187</v>
      </c>
      <c r="S23" s="1340">
        <f t="shared" si="6"/>
        <v>4</v>
      </c>
      <c r="T23" s="1198"/>
      <c r="U23" s="1198"/>
      <c r="V23" s="1198"/>
      <c r="W23" s="1198"/>
      <c r="X23" s="1198"/>
      <c r="Y23" s="1198"/>
      <c r="Z23" s="1198"/>
      <c r="AA23" s="1198"/>
      <c r="AB23" s="1198"/>
      <c r="AC23" s="1198"/>
      <c r="AD23" s="1198"/>
      <c r="AE23" s="1198"/>
      <c r="AF23" s="1198"/>
      <c r="AG23" s="1198"/>
      <c r="AH23" s="1198"/>
      <c r="AI23" s="1198"/>
      <c r="AJ23" s="1198"/>
      <c r="AK23" s="1198"/>
      <c r="AL23" s="1198"/>
      <c r="AM23" s="1198"/>
      <c r="AN23" s="1198"/>
      <c r="AO23" s="1198"/>
      <c r="AP23" s="1198"/>
      <c r="AQ23" s="1198"/>
      <c r="AR23" s="1621"/>
      <c r="AS23" s="1621"/>
      <c r="AT23" s="1621"/>
      <c r="AU23" s="1198"/>
      <c r="AV23" s="1198"/>
      <c r="AW23" s="1198"/>
      <c r="AX23" s="1627"/>
      <c r="AY23" s="1627"/>
      <c r="AZ23" s="1627"/>
      <c r="BA23" s="1627"/>
      <c r="BB23" s="1755">
        <v>226</v>
      </c>
      <c r="BC23" s="1755">
        <v>0</v>
      </c>
      <c r="BD23" s="1755">
        <v>-78</v>
      </c>
      <c r="BE23" s="1755">
        <v>142</v>
      </c>
      <c r="BF23" s="1755">
        <v>47</v>
      </c>
      <c r="BG23" s="1755">
        <v>51</v>
      </c>
      <c r="BH23" s="1755">
        <v>57</v>
      </c>
      <c r="BI23" s="1755">
        <v>44</v>
      </c>
      <c r="BJ23" s="1755">
        <v>63</v>
      </c>
      <c r="BK23" s="1755">
        <v>18</v>
      </c>
      <c r="BL23" s="1755">
        <v>3</v>
      </c>
      <c r="BM23" s="1755">
        <v>7</v>
      </c>
      <c r="BN23" s="1756">
        <v>1</v>
      </c>
      <c r="BO23" s="1755">
        <v>8</v>
      </c>
      <c r="BP23" s="1755">
        <v>8</v>
      </c>
      <c r="BQ23" s="1757">
        <v>20</v>
      </c>
      <c r="BR23" s="1755">
        <v>15</v>
      </c>
      <c r="BS23" s="1755">
        <v>17</v>
      </c>
      <c r="BT23" s="1755">
        <v>6</v>
      </c>
      <c r="BU23" s="1758">
        <v>19</v>
      </c>
      <c r="BV23" s="1756">
        <v>14</v>
      </c>
      <c r="BW23" s="1755">
        <v>4</v>
      </c>
      <c r="BX23" s="1755">
        <v>25</v>
      </c>
      <c r="BY23" s="1758">
        <v>25</v>
      </c>
      <c r="BZ23" s="1756">
        <v>20</v>
      </c>
      <c r="CA23" s="1758">
        <v>29</v>
      </c>
      <c r="CB23" s="1758">
        <v>32</v>
      </c>
      <c r="CC23" s="1758">
        <v>44</v>
      </c>
      <c r="CD23" s="1756">
        <v>29</v>
      </c>
      <c r="CE23" s="1758">
        <v>36</v>
      </c>
      <c r="CF23" s="1758">
        <v>30</v>
      </c>
      <c r="CG23" s="1758">
        <v>41</v>
      </c>
      <c r="CH23" s="1756">
        <v>35</v>
      </c>
      <c r="CI23" s="1758">
        <v>40</v>
      </c>
      <c r="CJ23" s="1758">
        <v>42</v>
      </c>
      <c r="CK23" s="1758">
        <f>94+93-CJ23-CI23-CH23</f>
        <v>70</v>
      </c>
      <c r="CL23" s="1756">
        <v>4</v>
      </c>
      <c r="CM23" s="1198"/>
      <c r="CN23" s="1198"/>
      <c r="CO23" s="1198"/>
      <c r="CP23" s="1198"/>
      <c r="CQ23" s="1198"/>
      <c r="CR23" s="1198"/>
      <c r="CS23" s="1198"/>
      <c r="CT23" s="1198"/>
    </row>
    <row r="24" spans="1:98" ht="11.25" customHeight="1">
      <c r="A24" s="1520" t="s">
        <v>706</v>
      </c>
      <c r="B24" s="1620"/>
      <c r="C24" s="1620"/>
      <c r="D24" s="1621"/>
      <c r="E24" s="1621"/>
      <c r="F24" s="1621"/>
      <c r="G24" s="1621"/>
      <c r="H24" s="1627"/>
      <c r="I24" s="1340"/>
      <c r="J24" s="1340"/>
      <c r="K24" s="1340"/>
      <c r="L24" s="1340"/>
      <c r="M24" s="1340"/>
      <c r="N24" s="1340"/>
      <c r="O24" s="1341"/>
      <c r="P24" s="1341"/>
      <c r="Q24" s="1341"/>
      <c r="R24" s="1342"/>
      <c r="S24" s="1340">
        <f t="shared" si="6"/>
        <v>0</v>
      </c>
      <c r="T24" s="1198"/>
      <c r="U24" s="1198"/>
      <c r="V24" s="1198"/>
      <c r="W24" s="1198"/>
      <c r="X24" s="1198"/>
      <c r="Y24" s="1198"/>
      <c r="Z24" s="1198"/>
      <c r="AA24" s="1198"/>
      <c r="AB24" s="1198"/>
      <c r="AC24" s="1198"/>
      <c r="AD24" s="1198"/>
      <c r="AE24" s="1198"/>
      <c r="AF24" s="1198"/>
      <c r="AG24" s="1198"/>
      <c r="AH24" s="1198"/>
      <c r="AI24" s="1198"/>
      <c r="AJ24" s="1198"/>
      <c r="AK24" s="1198"/>
      <c r="AL24" s="1198"/>
      <c r="AM24" s="1198"/>
      <c r="AN24" s="1198"/>
      <c r="AO24" s="1198"/>
      <c r="AP24" s="1198"/>
      <c r="AQ24" s="1198"/>
      <c r="AR24" s="1621"/>
      <c r="AS24" s="1621"/>
      <c r="AT24" s="1621"/>
      <c r="AU24" s="1198"/>
      <c r="AV24" s="1198"/>
      <c r="AW24" s="1198"/>
      <c r="AX24" s="1627"/>
      <c r="AY24" s="1627"/>
      <c r="AZ24" s="1627"/>
      <c r="BA24" s="1627"/>
      <c r="BB24" s="1755"/>
      <c r="BC24" s="1755"/>
      <c r="BD24" s="1755"/>
      <c r="BE24" s="1755"/>
      <c r="BF24" s="1755"/>
      <c r="BG24" s="1755"/>
      <c r="BH24" s="1755"/>
      <c r="BI24" s="1755"/>
      <c r="BJ24" s="1755"/>
      <c r="BK24" s="1755"/>
      <c r="BL24" s="1755"/>
      <c r="BM24" s="1755"/>
      <c r="BN24" s="1756"/>
      <c r="BO24" s="1755"/>
      <c r="BP24" s="1755"/>
      <c r="BQ24" s="1757"/>
      <c r="BR24" s="1755"/>
      <c r="BS24" s="1755"/>
      <c r="BT24" s="1755"/>
      <c r="BU24" s="1758"/>
      <c r="BV24" s="1756"/>
      <c r="BW24" s="1755"/>
      <c r="BX24" s="1755"/>
      <c r="BY24" s="1758"/>
      <c r="BZ24" s="1756"/>
      <c r="CA24" s="1758"/>
      <c r="CB24" s="1758"/>
      <c r="CC24" s="1758"/>
      <c r="CD24" s="1756"/>
      <c r="CE24" s="1758"/>
      <c r="CF24" s="1758"/>
      <c r="CG24" s="1758"/>
      <c r="CH24" s="1756"/>
      <c r="CI24" s="1758"/>
      <c r="CJ24" s="1758"/>
      <c r="CK24" s="1758"/>
      <c r="CL24" s="1756"/>
      <c r="CM24" s="1198"/>
      <c r="CN24" s="1198"/>
      <c r="CO24" s="1198"/>
      <c r="CP24" s="1198"/>
      <c r="CQ24" s="1198"/>
      <c r="CR24" s="1198"/>
      <c r="CS24" s="1198"/>
      <c r="CT24" s="1198"/>
    </row>
    <row r="25" spans="1:98" ht="11.25" customHeight="1">
      <c r="A25" s="1225" t="s">
        <v>707</v>
      </c>
      <c r="B25" s="1620"/>
      <c r="C25" s="1620"/>
      <c r="D25" s="1621"/>
      <c r="E25" s="1621"/>
      <c r="F25" s="1621"/>
      <c r="G25" s="1621"/>
      <c r="H25" s="1627"/>
      <c r="I25" s="1340">
        <v>-438</v>
      </c>
      <c r="J25" s="1340">
        <v>75</v>
      </c>
      <c r="K25" s="1340">
        <f t="shared" ref="K25:K32" si="8">SUM(BF25:BI25)</f>
        <v>205</v>
      </c>
      <c r="L25" s="1340">
        <f t="shared" ref="L25:L34" si="9">SUM(BJ25:BM25)</f>
        <v>170</v>
      </c>
      <c r="M25" s="1340">
        <f t="shared" ref="M25:M33" si="10">SUM(BN25:BQ25)</f>
        <v>-104</v>
      </c>
      <c r="N25" s="1340">
        <f t="shared" ref="N25:N33" si="11">SUM(BR25:BU25)</f>
        <v>-223</v>
      </c>
      <c r="O25" s="1341">
        <f t="shared" ref="O25:O33" si="12">SUM(BV25:BY25)</f>
        <v>-142</v>
      </c>
      <c r="P25" s="1341">
        <f t="shared" si="5"/>
        <v>-65</v>
      </c>
      <c r="Q25" s="1341">
        <f t="shared" ref="Q25:Q33" si="13">SUM(CD25:CG25)</f>
        <v>35</v>
      </c>
      <c r="R25" s="1342">
        <f t="shared" si="7"/>
        <v>-35</v>
      </c>
      <c r="S25" s="1340">
        <f t="shared" si="6"/>
        <v>80</v>
      </c>
      <c r="T25" s="1198"/>
      <c r="U25" s="1198"/>
      <c r="V25" s="1198"/>
      <c r="W25" s="1198"/>
      <c r="X25" s="1198"/>
      <c r="Y25" s="1198"/>
      <c r="Z25" s="1198"/>
      <c r="AA25" s="1198"/>
      <c r="AB25" s="1198"/>
      <c r="AC25" s="1198"/>
      <c r="AD25" s="1198"/>
      <c r="AE25" s="1198"/>
      <c r="AF25" s="1198"/>
      <c r="AG25" s="1198"/>
      <c r="AH25" s="1198"/>
      <c r="AI25" s="1198"/>
      <c r="AJ25" s="1198"/>
      <c r="AK25" s="1198"/>
      <c r="AL25" s="1198"/>
      <c r="AM25" s="1198"/>
      <c r="AN25" s="1198"/>
      <c r="AO25" s="1198"/>
      <c r="AP25" s="1198"/>
      <c r="AQ25" s="1198"/>
      <c r="AR25" s="1621"/>
      <c r="AS25" s="1621"/>
      <c r="AT25" s="1621"/>
      <c r="AU25" s="1198"/>
      <c r="AV25" s="1198"/>
      <c r="AW25" s="1198"/>
      <c r="AX25" s="1627"/>
      <c r="AY25" s="1627"/>
      <c r="AZ25" s="1627"/>
      <c r="BA25" s="1627"/>
      <c r="BB25" s="1755">
        <v>-9</v>
      </c>
      <c r="BC25" s="1755">
        <v>55</v>
      </c>
      <c r="BD25" s="1755">
        <v>-104</v>
      </c>
      <c r="BE25" s="1755">
        <v>133</v>
      </c>
      <c r="BF25" s="1755">
        <v>167</v>
      </c>
      <c r="BG25" s="1755">
        <v>-60</v>
      </c>
      <c r="BH25" s="1755">
        <v>88</v>
      </c>
      <c r="BI25" s="1755">
        <v>10</v>
      </c>
      <c r="BJ25" s="1755">
        <v>147</v>
      </c>
      <c r="BK25" s="1755">
        <v>41</v>
      </c>
      <c r="BL25" s="1755">
        <v>61</v>
      </c>
      <c r="BM25" s="1755">
        <v>-79</v>
      </c>
      <c r="BN25" s="1756">
        <v>-66</v>
      </c>
      <c r="BO25" s="1755">
        <v>-16</v>
      </c>
      <c r="BP25" s="1755">
        <v>-56</v>
      </c>
      <c r="BQ25" s="1757">
        <v>34</v>
      </c>
      <c r="BR25" s="1755">
        <v>-60</v>
      </c>
      <c r="BS25" s="1755">
        <v>37</v>
      </c>
      <c r="BT25" s="1755">
        <v>-271</v>
      </c>
      <c r="BU25" s="1758">
        <v>71</v>
      </c>
      <c r="BV25" s="1756">
        <v>47</v>
      </c>
      <c r="BW25" s="1755">
        <v>-24</v>
      </c>
      <c r="BX25" s="1755">
        <v>-133</v>
      </c>
      <c r="BY25" s="1758">
        <v>-32</v>
      </c>
      <c r="BZ25" s="1756">
        <v>23</v>
      </c>
      <c r="CA25" s="1758">
        <v>-77</v>
      </c>
      <c r="CB25" s="1758">
        <v>49</v>
      </c>
      <c r="CC25" s="1758">
        <v>-60</v>
      </c>
      <c r="CD25" s="1756">
        <v>58</v>
      </c>
      <c r="CE25" s="1758">
        <v>-1</v>
      </c>
      <c r="CF25" s="1758">
        <v>-40</v>
      </c>
      <c r="CG25" s="1758">
        <v>18</v>
      </c>
      <c r="CH25" s="1756">
        <v>26</v>
      </c>
      <c r="CI25" s="1758">
        <v>-17</v>
      </c>
      <c r="CJ25" s="1758">
        <v>-22</v>
      </c>
      <c r="CK25" s="1758">
        <f>-35-CJ25-CI25-CH25</f>
        <v>-22</v>
      </c>
      <c r="CL25" s="1756">
        <v>80</v>
      </c>
      <c r="CM25" s="1198"/>
      <c r="CN25" s="1198"/>
      <c r="CO25" s="1198"/>
      <c r="CP25" s="1198"/>
      <c r="CQ25" s="1198"/>
      <c r="CR25" s="1198"/>
      <c r="CS25" s="1198"/>
      <c r="CT25" s="1198"/>
    </row>
    <row r="26" spans="1:98" ht="11.25" customHeight="1">
      <c r="A26" s="1225" t="s">
        <v>898</v>
      </c>
      <c r="B26" s="1620"/>
      <c r="C26" s="1620"/>
      <c r="D26" s="1621"/>
      <c r="E26" s="1621"/>
      <c r="F26" s="1621"/>
      <c r="G26" s="1621"/>
      <c r="H26" s="1627"/>
      <c r="I26" s="1340">
        <v>-62</v>
      </c>
      <c r="J26" s="1340">
        <v>117</v>
      </c>
      <c r="K26" s="1340">
        <f t="shared" si="8"/>
        <v>-13</v>
      </c>
      <c r="L26" s="1340">
        <f t="shared" si="9"/>
        <v>0</v>
      </c>
      <c r="M26" s="1340">
        <f t="shared" si="10"/>
        <v>0</v>
      </c>
      <c r="N26" s="1340">
        <f t="shared" si="11"/>
        <v>0</v>
      </c>
      <c r="O26" s="1341">
        <f t="shared" si="12"/>
        <v>0</v>
      </c>
      <c r="P26" s="1341">
        <f t="shared" si="5"/>
        <v>0</v>
      </c>
      <c r="Q26" s="1341">
        <f t="shared" si="13"/>
        <v>0</v>
      </c>
      <c r="R26" s="1342">
        <f ca="1">SUM(CH26:CK26)</f>
        <v>0</v>
      </c>
      <c r="S26" s="1340">
        <f t="shared" si="6"/>
        <v>0</v>
      </c>
      <c r="T26" s="1198"/>
      <c r="U26" s="1198"/>
      <c r="V26" s="1198"/>
      <c r="W26" s="1198"/>
      <c r="X26" s="1198"/>
      <c r="Y26" s="1198"/>
      <c r="Z26" s="1198"/>
      <c r="AA26" s="1198"/>
      <c r="AB26" s="1198"/>
      <c r="AC26" s="1198"/>
      <c r="AD26" s="1198"/>
      <c r="AE26" s="1198"/>
      <c r="AF26" s="1198"/>
      <c r="AG26" s="1198"/>
      <c r="AH26" s="1198"/>
      <c r="AI26" s="1198"/>
      <c r="AJ26" s="1198"/>
      <c r="AK26" s="1198"/>
      <c r="AL26" s="1198"/>
      <c r="AM26" s="1198"/>
      <c r="AN26" s="1198"/>
      <c r="AO26" s="1198"/>
      <c r="AP26" s="1198"/>
      <c r="AQ26" s="1198"/>
      <c r="AR26" s="1621"/>
      <c r="AS26" s="1621"/>
      <c r="AT26" s="1621"/>
      <c r="AU26" s="1198"/>
      <c r="AV26" s="1198"/>
      <c r="AW26" s="1198"/>
      <c r="AX26" s="1627"/>
      <c r="AY26" s="1627"/>
      <c r="AZ26" s="1627"/>
      <c r="BA26" s="1627"/>
      <c r="BB26" s="1755">
        <v>18</v>
      </c>
      <c r="BC26" s="1755">
        <v>47</v>
      </c>
      <c r="BD26" s="1755">
        <v>12</v>
      </c>
      <c r="BE26" s="1755">
        <v>40</v>
      </c>
      <c r="BF26" s="1755">
        <v>-24</v>
      </c>
      <c r="BG26" s="1755">
        <v>2</v>
      </c>
      <c r="BH26" s="1755">
        <v>-10</v>
      </c>
      <c r="BI26" s="1755">
        <v>19</v>
      </c>
      <c r="BJ26" s="1755">
        <v>0</v>
      </c>
      <c r="BK26" s="1755">
        <v>0</v>
      </c>
      <c r="BL26" s="1755">
        <v>0</v>
      </c>
      <c r="BM26" s="1755">
        <v>0</v>
      </c>
      <c r="BN26" s="1756">
        <v>0</v>
      </c>
      <c r="BO26" s="1755">
        <v>0</v>
      </c>
      <c r="BP26" s="1755">
        <v>0</v>
      </c>
      <c r="BQ26" s="1757">
        <v>0</v>
      </c>
      <c r="BR26" s="1755">
        <v>0</v>
      </c>
      <c r="BS26" s="1755">
        <v>0</v>
      </c>
      <c r="BT26" s="1755">
        <v>0</v>
      </c>
      <c r="BU26" s="1758">
        <v>0</v>
      </c>
      <c r="BV26" s="1756">
        <v>0</v>
      </c>
      <c r="BW26" s="1755">
        <v>0</v>
      </c>
      <c r="BX26" s="1755">
        <v>0</v>
      </c>
      <c r="BY26" s="1758">
        <v>0</v>
      </c>
      <c r="BZ26" s="1756">
        <v>0</v>
      </c>
      <c r="CA26" s="1758">
        <v>0</v>
      </c>
      <c r="CB26" s="1758">
        <v>0</v>
      </c>
      <c r="CC26" s="1758">
        <v>0</v>
      </c>
      <c r="CD26" s="1756">
        <v>0</v>
      </c>
      <c r="CE26" s="1758">
        <v>0</v>
      </c>
      <c r="CF26" s="1758">
        <v>0</v>
      </c>
      <c r="CG26" s="1758">
        <v>0</v>
      </c>
      <c r="CH26" s="1756">
        <v>0</v>
      </c>
      <c r="CI26" s="1758">
        <v>0</v>
      </c>
      <c r="CJ26" s="1758">
        <v>0</v>
      </c>
      <c r="CK26" s="1758">
        <f ca="1">Q_BS!CJ13-Q_BS!CK13</f>
        <v>0</v>
      </c>
      <c r="CL26" s="1756"/>
      <c r="CM26" s="1198"/>
      <c r="CN26" s="1198"/>
      <c r="CO26" s="1198"/>
      <c r="CP26" s="1198"/>
      <c r="CQ26" s="1198"/>
      <c r="CR26" s="1198"/>
      <c r="CS26" s="1198"/>
      <c r="CT26" s="1198"/>
    </row>
    <row r="27" spans="1:98" ht="11.25" customHeight="1">
      <c r="A27" s="1225" t="s">
        <v>638</v>
      </c>
      <c r="B27" s="1620"/>
      <c r="C27" s="1620"/>
      <c r="D27" s="1621"/>
      <c r="E27" s="1621"/>
      <c r="F27" s="1621"/>
      <c r="G27" s="1621"/>
      <c r="H27" s="1627"/>
      <c r="I27" s="1340">
        <v>-136</v>
      </c>
      <c r="J27" s="1340">
        <v>85</v>
      </c>
      <c r="K27" s="1340">
        <f t="shared" si="8"/>
        <v>78</v>
      </c>
      <c r="L27" s="1340">
        <f t="shared" si="9"/>
        <v>-20</v>
      </c>
      <c r="M27" s="1340">
        <f t="shared" si="10"/>
        <v>-8</v>
      </c>
      <c r="N27" s="1340">
        <f t="shared" si="11"/>
        <v>168</v>
      </c>
      <c r="O27" s="1341">
        <f t="shared" si="12"/>
        <v>11</v>
      </c>
      <c r="P27" s="1341">
        <f t="shared" si="5"/>
        <v>42</v>
      </c>
      <c r="Q27" s="1341">
        <f t="shared" si="13"/>
        <v>-5</v>
      </c>
      <c r="R27" s="1342">
        <f t="shared" si="7"/>
        <v>58</v>
      </c>
      <c r="S27" s="1340">
        <f t="shared" si="6"/>
        <v>0</v>
      </c>
      <c r="T27" s="1198"/>
      <c r="U27" s="1198"/>
      <c r="V27" s="1198"/>
      <c r="W27" s="1198"/>
      <c r="X27" s="1198"/>
      <c r="Y27" s="1198"/>
      <c r="Z27" s="1198"/>
      <c r="AA27" s="1198"/>
      <c r="AB27" s="1198"/>
      <c r="AC27" s="1198"/>
      <c r="AD27" s="1198"/>
      <c r="AE27" s="1198"/>
      <c r="AF27" s="1198"/>
      <c r="AG27" s="1198"/>
      <c r="AH27" s="1198"/>
      <c r="AI27" s="1198"/>
      <c r="AJ27" s="1198"/>
      <c r="AK27" s="1198"/>
      <c r="AL27" s="1198"/>
      <c r="AM27" s="1198"/>
      <c r="AN27" s="1198"/>
      <c r="AO27" s="1198"/>
      <c r="AP27" s="1198"/>
      <c r="AQ27" s="1198"/>
      <c r="AR27" s="1621"/>
      <c r="AS27" s="1621"/>
      <c r="AT27" s="1621"/>
      <c r="AU27" s="1198"/>
      <c r="AV27" s="1198"/>
      <c r="AW27" s="1198"/>
      <c r="AX27" s="1627"/>
      <c r="AY27" s="1627"/>
      <c r="AZ27" s="1627"/>
      <c r="BA27" s="1627"/>
      <c r="BB27" s="1755">
        <v>54</v>
      </c>
      <c r="BC27" s="1755">
        <v>15</v>
      </c>
      <c r="BD27" s="1755">
        <v>5</v>
      </c>
      <c r="BE27" s="1755">
        <v>11</v>
      </c>
      <c r="BF27" s="1755">
        <v>61</v>
      </c>
      <c r="BG27" s="1755">
        <v>-9</v>
      </c>
      <c r="BH27" s="1755">
        <v>28</v>
      </c>
      <c r="BI27" s="1755">
        <v>-2</v>
      </c>
      <c r="BJ27" s="1755">
        <v>24</v>
      </c>
      <c r="BK27" s="1755">
        <v>-9</v>
      </c>
      <c r="BL27" s="1755">
        <v>42</v>
      </c>
      <c r="BM27" s="1755">
        <v>-77</v>
      </c>
      <c r="BN27" s="1756">
        <v>11</v>
      </c>
      <c r="BO27" s="1755">
        <v>87</v>
      </c>
      <c r="BP27" s="1755">
        <v>-97</v>
      </c>
      <c r="BQ27" s="1757">
        <v>-9</v>
      </c>
      <c r="BR27" s="1755">
        <v>-37</v>
      </c>
      <c r="BS27" s="1755">
        <v>65</v>
      </c>
      <c r="BT27" s="1755">
        <v>22</v>
      </c>
      <c r="BU27" s="1758">
        <v>118</v>
      </c>
      <c r="BV27" s="1756">
        <v>-50</v>
      </c>
      <c r="BW27" s="1755">
        <v>72</v>
      </c>
      <c r="BX27" s="1755">
        <v>-48</v>
      </c>
      <c r="BY27" s="1758">
        <v>37</v>
      </c>
      <c r="BZ27" s="1756">
        <v>-5</v>
      </c>
      <c r="CA27" s="1758">
        <v>44</v>
      </c>
      <c r="CB27" s="1758">
        <v>-4</v>
      </c>
      <c r="CC27" s="1758">
        <v>7</v>
      </c>
      <c r="CD27" s="1756">
        <v>-28</v>
      </c>
      <c r="CE27" s="1758">
        <v>37</v>
      </c>
      <c r="CF27" s="1758">
        <v>-13</v>
      </c>
      <c r="CG27" s="1758">
        <v>-1</v>
      </c>
      <c r="CH27" s="1756">
        <v>22</v>
      </c>
      <c r="CI27" s="1758">
        <v>53</v>
      </c>
      <c r="CJ27" s="1758">
        <v>3</v>
      </c>
      <c r="CK27" s="1758">
        <f>58-CJ27-CI27-CH27</f>
        <v>-20</v>
      </c>
      <c r="CL27" s="1756"/>
      <c r="CM27" s="1198"/>
      <c r="CN27" s="1198"/>
      <c r="CO27" s="1198"/>
      <c r="CP27" s="1198"/>
      <c r="CQ27" s="1198"/>
      <c r="CR27" s="1198"/>
      <c r="CS27" s="1198"/>
      <c r="CT27" s="1198"/>
    </row>
    <row r="28" spans="1:98" ht="11.25" customHeight="1">
      <c r="A28" s="1225" t="s">
        <v>708</v>
      </c>
      <c r="B28" s="1620"/>
      <c r="C28" s="1620"/>
      <c r="D28" s="1621"/>
      <c r="E28" s="1621"/>
      <c r="F28" s="1621"/>
      <c r="G28" s="1621"/>
      <c r="H28" s="1627"/>
      <c r="I28" s="1340">
        <v>-514</v>
      </c>
      <c r="J28" s="1340">
        <v>-905</v>
      </c>
      <c r="K28" s="1340">
        <f t="shared" si="8"/>
        <v>-186</v>
      </c>
      <c r="L28" s="1340">
        <f t="shared" si="9"/>
        <v>-80</v>
      </c>
      <c r="M28" s="1340">
        <f t="shared" si="10"/>
        <v>73</v>
      </c>
      <c r="N28" s="1340">
        <f t="shared" si="11"/>
        <v>-372</v>
      </c>
      <c r="O28" s="1341">
        <f t="shared" si="12"/>
        <v>23</v>
      </c>
      <c r="P28" s="1341">
        <f t="shared" si="5"/>
        <v>-530</v>
      </c>
      <c r="Q28" s="1341">
        <f t="shared" si="13"/>
        <v>-157</v>
      </c>
      <c r="R28" s="1342">
        <f t="shared" si="7"/>
        <v>-23</v>
      </c>
      <c r="S28" s="1340">
        <f t="shared" si="6"/>
        <v>-71</v>
      </c>
      <c r="T28" s="1198"/>
      <c r="U28" s="1198"/>
      <c r="V28" s="1198"/>
      <c r="W28" s="1198"/>
      <c r="X28" s="1198"/>
      <c r="Y28" s="1198"/>
      <c r="Z28" s="1198"/>
      <c r="AA28" s="1198"/>
      <c r="AB28" s="1198"/>
      <c r="AC28" s="1198"/>
      <c r="AD28" s="1198"/>
      <c r="AE28" s="1198"/>
      <c r="AF28" s="1198"/>
      <c r="AG28" s="1198"/>
      <c r="AH28" s="1198"/>
      <c r="AI28" s="1198"/>
      <c r="AJ28" s="1198"/>
      <c r="AK28" s="1198"/>
      <c r="AL28" s="1198"/>
      <c r="AM28" s="1198"/>
      <c r="AN28" s="1198"/>
      <c r="AO28" s="1198"/>
      <c r="AP28" s="1198"/>
      <c r="AQ28" s="1198"/>
      <c r="AR28" s="1621"/>
      <c r="AS28" s="1621"/>
      <c r="AT28" s="1621"/>
      <c r="AU28" s="1198"/>
      <c r="AV28" s="1198"/>
      <c r="AW28" s="1198"/>
      <c r="AX28" s="1627"/>
      <c r="AY28" s="1627"/>
      <c r="AZ28" s="1627"/>
      <c r="BA28" s="1627"/>
      <c r="BB28" s="1755">
        <v>-242</v>
      </c>
      <c r="BC28" s="1755">
        <v>72</v>
      </c>
      <c r="BD28" s="1755">
        <v>-317</v>
      </c>
      <c r="BE28" s="1755">
        <v>-418</v>
      </c>
      <c r="BF28" s="1755">
        <v>65</v>
      </c>
      <c r="BG28" s="1755">
        <v>-84</v>
      </c>
      <c r="BH28" s="1755">
        <v>357</v>
      </c>
      <c r="BI28" s="1755">
        <v>-524</v>
      </c>
      <c r="BJ28" s="1755">
        <v>-122</v>
      </c>
      <c r="BK28" s="1755">
        <v>123</v>
      </c>
      <c r="BL28" s="1755">
        <v>316</v>
      </c>
      <c r="BM28" s="1755">
        <v>-397</v>
      </c>
      <c r="BN28" s="1756">
        <v>-178</v>
      </c>
      <c r="BO28" s="1755">
        <v>-80</v>
      </c>
      <c r="BP28" s="1755">
        <v>315</v>
      </c>
      <c r="BQ28" s="1757">
        <v>16</v>
      </c>
      <c r="BR28" s="1755">
        <v>-368</v>
      </c>
      <c r="BS28" s="1755">
        <v>84</v>
      </c>
      <c r="BT28" s="1755">
        <v>48</v>
      </c>
      <c r="BU28" s="1758">
        <v>-136</v>
      </c>
      <c r="BV28" s="1756">
        <v>-584</v>
      </c>
      <c r="BW28" s="1755">
        <v>137</v>
      </c>
      <c r="BX28" s="1755">
        <v>468</v>
      </c>
      <c r="BY28" s="1758">
        <v>2</v>
      </c>
      <c r="BZ28" s="1756">
        <v>-433</v>
      </c>
      <c r="CA28" s="1758">
        <v>58</v>
      </c>
      <c r="CB28" s="1758">
        <v>-171</v>
      </c>
      <c r="CC28" s="1758">
        <v>16</v>
      </c>
      <c r="CD28" s="1756">
        <v>-263</v>
      </c>
      <c r="CE28" s="1758">
        <v>90</v>
      </c>
      <c r="CF28" s="1758">
        <v>-36</v>
      </c>
      <c r="CG28" s="1758">
        <v>52</v>
      </c>
      <c r="CH28" s="1756">
        <v>-146</v>
      </c>
      <c r="CI28" s="1758">
        <v>55</v>
      </c>
      <c r="CJ28" s="1758">
        <v>56</v>
      </c>
      <c r="CK28" s="1758">
        <f>+-23-CJ28-CI28-CH28</f>
        <v>12</v>
      </c>
      <c r="CL28" s="1756">
        <v>-71</v>
      </c>
      <c r="CM28" s="1198"/>
      <c r="CN28" s="1198"/>
      <c r="CO28" s="1198"/>
      <c r="CP28" s="1198"/>
      <c r="CQ28" s="1198"/>
      <c r="CR28" s="1198"/>
      <c r="CS28" s="1198"/>
      <c r="CT28" s="1198"/>
    </row>
    <row r="29" spans="1:98" ht="11.25" customHeight="1">
      <c r="A29" s="1225" t="s">
        <v>640</v>
      </c>
      <c r="B29" s="1620"/>
      <c r="C29" s="1620"/>
      <c r="D29" s="1621"/>
      <c r="E29" s="1621"/>
      <c r="F29" s="1621"/>
      <c r="G29" s="1621"/>
      <c r="H29" s="1627"/>
      <c r="I29" s="1340">
        <v>98</v>
      </c>
      <c r="J29" s="1340">
        <v>5</v>
      </c>
      <c r="K29" s="1340">
        <f t="shared" si="8"/>
        <v>-314</v>
      </c>
      <c r="L29" s="1340">
        <f t="shared" si="9"/>
        <v>-255</v>
      </c>
      <c r="M29" s="1340">
        <f t="shared" si="10"/>
        <v>-73</v>
      </c>
      <c r="N29" s="1340">
        <f t="shared" si="11"/>
        <v>-33</v>
      </c>
      <c r="O29" s="1341">
        <f t="shared" si="12"/>
        <v>12</v>
      </c>
      <c r="P29" s="1341">
        <f t="shared" si="5"/>
        <v>-48</v>
      </c>
      <c r="Q29" s="1341">
        <f t="shared" si="13"/>
        <v>-58</v>
      </c>
      <c r="R29" s="1342">
        <f t="shared" si="7"/>
        <v>-32</v>
      </c>
      <c r="S29" s="1340">
        <f t="shared" si="6"/>
        <v>-86</v>
      </c>
      <c r="T29" s="1198"/>
      <c r="U29" s="1198"/>
      <c r="V29" s="1198"/>
      <c r="W29" s="1198"/>
      <c r="X29" s="1198"/>
      <c r="Y29" s="1198"/>
      <c r="Z29" s="1198"/>
      <c r="AA29" s="1198"/>
      <c r="AB29" s="1198"/>
      <c r="AC29" s="1198"/>
      <c r="AD29" s="1198"/>
      <c r="AE29" s="1198"/>
      <c r="AF29" s="1198"/>
      <c r="AG29" s="1198"/>
      <c r="AH29" s="1198"/>
      <c r="AI29" s="1198"/>
      <c r="AJ29" s="1198"/>
      <c r="AK29" s="1198"/>
      <c r="AL29" s="1198"/>
      <c r="AM29" s="1198"/>
      <c r="AN29" s="1198"/>
      <c r="AO29" s="1198"/>
      <c r="AP29" s="1198"/>
      <c r="AQ29" s="1198"/>
      <c r="AR29" s="1621"/>
      <c r="AS29" s="1621"/>
      <c r="AT29" s="1621"/>
      <c r="AU29" s="1198"/>
      <c r="AV29" s="1198"/>
      <c r="AW29" s="1198"/>
      <c r="AX29" s="1627"/>
      <c r="AY29" s="1627"/>
      <c r="AZ29" s="1627"/>
      <c r="BA29" s="1627"/>
      <c r="BB29" s="1755">
        <v>35</v>
      </c>
      <c r="BC29" s="1755">
        <v>-26</v>
      </c>
      <c r="BD29" s="1755">
        <v>98</v>
      </c>
      <c r="BE29" s="1755">
        <v>-102</v>
      </c>
      <c r="BF29" s="1755">
        <v>-62</v>
      </c>
      <c r="BG29" s="1755">
        <v>-139</v>
      </c>
      <c r="BH29" s="1755">
        <v>-93</v>
      </c>
      <c r="BI29" s="1755">
        <v>-20</v>
      </c>
      <c r="BJ29" s="1755">
        <v>-60</v>
      </c>
      <c r="BK29" s="1755">
        <v>-133</v>
      </c>
      <c r="BL29" s="1755">
        <v>-26</v>
      </c>
      <c r="BM29" s="1755">
        <v>-36</v>
      </c>
      <c r="BN29" s="1756">
        <v>-32</v>
      </c>
      <c r="BO29" s="1755">
        <v>-22</v>
      </c>
      <c r="BP29" s="1755">
        <v>-7</v>
      </c>
      <c r="BQ29" s="1757">
        <v>-12</v>
      </c>
      <c r="BR29" s="1755">
        <v>-19</v>
      </c>
      <c r="BS29" s="1755">
        <v>-19</v>
      </c>
      <c r="BT29" s="1755">
        <v>13</v>
      </c>
      <c r="BU29" s="1758">
        <v>-8</v>
      </c>
      <c r="BV29" s="1756">
        <v>-8</v>
      </c>
      <c r="BW29" s="1755">
        <v>0</v>
      </c>
      <c r="BX29" s="1755">
        <v>35</v>
      </c>
      <c r="BY29" s="1758">
        <v>-15</v>
      </c>
      <c r="BZ29" s="1756">
        <v>-9</v>
      </c>
      <c r="CA29" s="1758">
        <v>-8</v>
      </c>
      <c r="CB29" s="1758">
        <v>-7</v>
      </c>
      <c r="CC29" s="1758">
        <v>-24</v>
      </c>
      <c r="CD29" s="1756">
        <v>-19</v>
      </c>
      <c r="CE29" s="1758">
        <v>-19</v>
      </c>
      <c r="CF29" s="1758">
        <v>-13</v>
      </c>
      <c r="CG29" s="1758">
        <v>-7</v>
      </c>
      <c r="CH29" s="1756">
        <v>-25</v>
      </c>
      <c r="CI29" s="1758">
        <v>-11</v>
      </c>
      <c r="CJ29" s="1758">
        <v>3</v>
      </c>
      <c r="CK29" s="1758">
        <f>-32-CJ29-CI29-CH29</f>
        <v>1</v>
      </c>
      <c r="CL29" s="1756">
        <f>31-117</f>
        <v>-86</v>
      </c>
      <c r="CM29" s="1198"/>
      <c r="CN29" s="1198"/>
      <c r="CO29" s="1198"/>
      <c r="CP29" s="1198"/>
      <c r="CQ29" s="1198"/>
      <c r="CR29" s="1198"/>
      <c r="CS29" s="1198"/>
      <c r="CT29" s="1198"/>
    </row>
    <row r="30" spans="1:98" ht="11.25" customHeight="1">
      <c r="A30" s="1225" t="s">
        <v>271</v>
      </c>
      <c r="B30" s="1620"/>
      <c r="C30" s="1620"/>
      <c r="D30" s="1621"/>
      <c r="E30" s="1621"/>
      <c r="F30" s="1621"/>
      <c r="G30" s="1621"/>
      <c r="H30" s="1627"/>
      <c r="I30" s="1340">
        <v>363</v>
      </c>
      <c r="J30" s="1340">
        <v>-259</v>
      </c>
      <c r="K30" s="1340">
        <f t="shared" si="8"/>
        <v>0</v>
      </c>
      <c r="L30" s="1340">
        <f t="shared" si="9"/>
        <v>0</v>
      </c>
      <c r="M30" s="1340">
        <f t="shared" si="10"/>
        <v>0</v>
      </c>
      <c r="N30" s="1340">
        <f t="shared" si="11"/>
        <v>0</v>
      </c>
      <c r="O30" s="1341">
        <f t="shared" si="12"/>
        <v>0</v>
      </c>
      <c r="P30" s="1341">
        <f t="shared" si="5"/>
        <v>0</v>
      </c>
      <c r="Q30" s="1341">
        <f t="shared" si="13"/>
        <v>0</v>
      </c>
      <c r="R30" s="1342">
        <f t="shared" si="7"/>
        <v>0</v>
      </c>
      <c r="S30" s="1340">
        <f t="shared" si="6"/>
        <v>0</v>
      </c>
      <c r="T30" s="1198"/>
      <c r="U30" s="1198"/>
      <c r="V30" s="1198"/>
      <c r="W30" s="1198"/>
      <c r="X30" s="1198"/>
      <c r="Y30" s="1198"/>
      <c r="Z30" s="1198"/>
      <c r="AA30" s="1198"/>
      <c r="AB30" s="1198"/>
      <c r="AC30" s="1198"/>
      <c r="AD30" s="1198"/>
      <c r="AE30" s="1198"/>
      <c r="AF30" s="1198"/>
      <c r="AG30" s="1198"/>
      <c r="AH30" s="1198"/>
      <c r="AI30" s="1198"/>
      <c r="AJ30" s="1198"/>
      <c r="AK30" s="1198"/>
      <c r="AL30" s="1198"/>
      <c r="AM30" s="1198"/>
      <c r="AN30" s="1198"/>
      <c r="AO30" s="1198"/>
      <c r="AP30" s="1198"/>
      <c r="AQ30" s="1198"/>
      <c r="AR30" s="1621"/>
      <c r="AS30" s="1621"/>
      <c r="AT30" s="1621"/>
      <c r="AU30" s="1198"/>
      <c r="AV30" s="1198"/>
      <c r="AW30" s="1198"/>
      <c r="AX30" s="1627"/>
      <c r="AY30" s="1627"/>
      <c r="AZ30" s="1627"/>
      <c r="BA30" s="1627"/>
      <c r="BB30" s="1755">
        <v>-125</v>
      </c>
      <c r="BC30" s="1755">
        <v>-97</v>
      </c>
      <c r="BD30" s="1755">
        <v>26</v>
      </c>
      <c r="BE30" s="1755">
        <v>-63</v>
      </c>
      <c r="BF30" s="1755">
        <v>-41</v>
      </c>
      <c r="BG30" s="1755">
        <v>-11</v>
      </c>
      <c r="BH30" s="1755">
        <v>14</v>
      </c>
      <c r="BI30" s="1755">
        <v>38</v>
      </c>
      <c r="BJ30" s="1755">
        <v>0</v>
      </c>
      <c r="BK30" s="1755">
        <v>0</v>
      </c>
      <c r="BL30" s="1755">
        <v>0</v>
      </c>
      <c r="BM30" s="1755">
        <v>0</v>
      </c>
      <c r="BN30" s="1756">
        <v>0</v>
      </c>
      <c r="BO30" s="1755">
        <v>0</v>
      </c>
      <c r="BP30" s="1755">
        <v>0</v>
      </c>
      <c r="BQ30" s="1757">
        <v>0</v>
      </c>
      <c r="BR30" s="1755">
        <v>0</v>
      </c>
      <c r="BS30" s="1755">
        <v>0</v>
      </c>
      <c r="BT30" s="1755">
        <v>0</v>
      </c>
      <c r="BU30" s="1758">
        <v>0</v>
      </c>
      <c r="BV30" s="1756">
        <v>0</v>
      </c>
      <c r="BW30" s="1755">
        <v>0</v>
      </c>
      <c r="BX30" s="1755">
        <v>0</v>
      </c>
      <c r="BY30" s="1758">
        <v>0</v>
      </c>
      <c r="BZ30" s="1756">
        <v>0</v>
      </c>
      <c r="CA30" s="1758">
        <v>0</v>
      </c>
      <c r="CB30" s="1758">
        <v>0</v>
      </c>
      <c r="CC30" s="1758">
        <v>0</v>
      </c>
      <c r="CD30" s="1756">
        <v>0</v>
      </c>
      <c r="CE30" s="1758">
        <v>0</v>
      </c>
      <c r="CF30" s="1758">
        <v>0</v>
      </c>
      <c r="CG30" s="1758">
        <v>0</v>
      </c>
      <c r="CH30" s="1756">
        <v>0</v>
      </c>
      <c r="CI30" s="1758">
        <v>0</v>
      </c>
      <c r="CJ30" s="1758">
        <v>0</v>
      </c>
      <c r="CK30" s="1758"/>
      <c r="CL30" s="1756">
        <v>0</v>
      </c>
      <c r="CM30" s="1198"/>
      <c r="CN30" s="1198"/>
      <c r="CO30" s="1198"/>
      <c r="CP30" s="1198"/>
      <c r="CQ30" s="1198"/>
      <c r="CR30" s="1198"/>
      <c r="CS30" s="1198"/>
      <c r="CT30" s="1198"/>
    </row>
    <row r="31" spans="1:98" ht="11.25" customHeight="1">
      <c r="A31" s="1225" t="s">
        <v>272</v>
      </c>
      <c r="B31" s="1620"/>
      <c r="C31" s="1620"/>
      <c r="D31" s="1621"/>
      <c r="E31" s="1621"/>
      <c r="F31" s="1621"/>
      <c r="G31" s="1621"/>
      <c r="H31" s="1627"/>
      <c r="I31" s="1340">
        <v>-343</v>
      </c>
      <c r="J31" s="1340">
        <v>-89</v>
      </c>
      <c r="K31" s="1340">
        <f t="shared" si="8"/>
        <v>0</v>
      </c>
      <c r="L31" s="1340">
        <f t="shared" si="9"/>
        <v>0</v>
      </c>
      <c r="M31" s="1340">
        <f t="shared" si="10"/>
        <v>0</v>
      </c>
      <c r="N31" s="1340">
        <f t="shared" si="11"/>
        <v>0</v>
      </c>
      <c r="O31" s="1341">
        <f t="shared" si="12"/>
        <v>0</v>
      </c>
      <c r="P31" s="1341">
        <f t="shared" si="5"/>
        <v>0</v>
      </c>
      <c r="Q31" s="1341">
        <f t="shared" si="13"/>
        <v>0</v>
      </c>
      <c r="R31" s="1342">
        <f t="shared" si="7"/>
        <v>0</v>
      </c>
      <c r="S31" s="1340">
        <f t="shared" si="6"/>
        <v>0</v>
      </c>
      <c r="T31" s="1198"/>
      <c r="U31" s="1198"/>
      <c r="V31" s="1198"/>
      <c r="W31" s="1198"/>
      <c r="X31" s="1198"/>
      <c r="Y31" s="1198"/>
      <c r="Z31" s="1198"/>
      <c r="AA31" s="1198"/>
      <c r="AB31" s="1198"/>
      <c r="AC31" s="1198"/>
      <c r="AD31" s="1198"/>
      <c r="AE31" s="1198"/>
      <c r="AF31" s="1198"/>
      <c r="AG31" s="1198"/>
      <c r="AH31" s="1198"/>
      <c r="AI31" s="1198"/>
      <c r="AJ31" s="1198"/>
      <c r="AK31" s="1198"/>
      <c r="AL31" s="1198"/>
      <c r="AM31" s="1198"/>
      <c r="AN31" s="1198"/>
      <c r="AO31" s="1198"/>
      <c r="AP31" s="1198"/>
      <c r="AQ31" s="1198"/>
      <c r="AR31" s="1621"/>
      <c r="AS31" s="1621"/>
      <c r="AT31" s="1621"/>
      <c r="AU31" s="1198"/>
      <c r="AV31" s="1198"/>
      <c r="AW31" s="1198"/>
      <c r="AX31" s="1627"/>
      <c r="AY31" s="1627"/>
      <c r="AZ31" s="1627"/>
      <c r="BA31" s="1627"/>
      <c r="BB31" s="1755">
        <v>-49</v>
      </c>
      <c r="BC31" s="1755">
        <v>-11</v>
      </c>
      <c r="BD31" s="1755">
        <v>-10</v>
      </c>
      <c r="BE31" s="1755">
        <v>-19</v>
      </c>
      <c r="BF31" s="1755">
        <v>0</v>
      </c>
      <c r="BG31" s="1755">
        <v>0</v>
      </c>
      <c r="BH31" s="1755">
        <v>0</v>
      </c>
      <c r="BI31" s="1755">
        <v>0</v>
      </c>
      <c r="BJ31" s="1755">
        <v>0</v>
      </c>
      <c r="BK31" s="1755">
        <v>0</v>
      </c>
      <c r="BL31" s="1755">
        <v>0</v>
      </c>
      <c r="BM31" s="1755">
        <v>0</v>
      </c>
      <c r="BN31" s="1756">
        <v>0</v>
      </c>
      <c r="BO31" s="1755">
        <v>0</v>
      </c>
      <c r="BP31" s="1755">
        <v>0</v>
      </c>
      <c r="BQ31" s="1757">
        <v>0</v>
      </c>
      <c r="BR31" s="1755">
        <v>0</v>
      </c>
      <c r="BS31" s="1755">
        <v>0</v>
      </c>
      <c r="BT31" s="1755">
        <v>0</v>
      </c>
      <c r="BU31" s="1758">
        <v>0</v>
      </c>
      <c r="BV31" s="1756">
        <v>0</v>
      </c>
      <c r="BW31" s="1755">
        <v>0</v>
      </c>
      <c r="BX31" s="1755">
        <v>0</v>
      </c>
      <c r="BY31" s="1758">
        <v>0</v>
      </c>
      <c r="BZ31" s="1756">
        <v>0</v>
      </c>
      <c r="CA31" s="1758">
        <v>0</v>
      </c>
      <c r="CB31" s="1758">
        <v>0</v>
      </c>
      <c r="CC31" s="1758">
        <v>0</v>
      </c>
      <c r="CD31" s="1756">
        <v>0</v>
      </c>
      <c r="CE31" s="1758">
        <v>0</v>
      </c>
      <c r="CF31" s="1758">
        <v>0</v>
      </c>
      <c r="CG31" s="1758">
        <v>0</v>
      </c>
      <c r="CH31" s="1756">
        <v>0</v>
      </c>
      <c r="CI31" s="1758">
        <v>0</v>
      </c>
      <c r="CJ31" s="1758">
        <v>0</v>
      </c>
      <c r="CK31" s="1758"/>
      <c r="CL31" s="1756">
        <v>0</v>
      </c>
      <c r="CM31" s="1198"/>
      <c r="CN31" s="1198"/>
      <c r="CO31" s="1198"/>
      <c r="CP31" s="1198"/>
      <c r="CQ31" s="1198"/>
      <c r="CR31" s="1198"/>
      <c r="CS31" s="1198"/>
      <c r="CT31" s="1198"/>
    </row>
    <row r="32" spans="1:98" ht="11.25" customHeight="1">
      <c r="A32" s="1225" t="s">
        <v>639</v>
      </c>
      <c r="B32" s="1620"/>
      <c r="C32" s="1620"/>
      <c r="D32" s="1621"/>
      <c r="E32" s="1621"/>
      <c r="F32" s="1621"/>
      <c r="G32" s="1621"/>
      <c r="H32" s="1627"/>
      <c r="I32" s="1340">
        <v>641</v>
      </c>
      <c r="J32" s="1340">
        <v>84</v>
      </c>
      <c r="K32" s="1340">
        <f t="shared" si="8"/>
        <v>375</v>
      </c>
      <c r="L32" s="1340">
        <f t="shared" si="9"/>
        <v>306</v>
      </c>
      <c r="M32" s="1340">
        <f t="shared" si="10"/>
        <v>-287</v>
      </c>
      <c r="N32" s="1340">
        <f t="shared" si="11"/>
        <v>-258</v>
      </c>
      <c r="O32" s="1341">
        <f t="shared" si="12"/>
        <v>-231</v>
      </c>
      <c r="P32" s="1341">
        <f t="shared" si="5"/>
        <v>-259</v>
      </c>
      <c r="Q32" s="1341">
        <f t="shared" si="13"/>
        <v>24</v>
      </c>
      <c r="R32" s="1342">
        <f t="shared" si="7"/>
        <v>-47</v>
      </c>
      <c r="S32" s="1340">
        <f t="shared" si="6"/>
        <v>-39</v>
      </c>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621"/>
      <c r="AS32" s="1621"/>
      <c r="AT32" s="1621"/>
      <c r="AU32" s="1198"/>
      <c r="AV32" s="1198"/>
      <c r="AW32" s="1198"/>
      <c r="AX32" s="1627"/>
      <c r="AY32" s="1627"/>
      <c r="AZ32" s="1627"/>
      <c r="BA32" s="1627"/>
      <c r="BB32" s="1755">
        <v>-156</v>
      </c>
      <c r="BC32" s="1755">
        <v>-65</v>
      </c>
      <c r="BD32" s="1755">
        <v>84</v>
      </c>
      <c r="BE32" s="1755">
        <v>221</v>
      </c>
      <c r="BF32" s="1755">
        <v>-60</v>
      </c>
      <c r="BG32" s="1755">
        <v>31</v>
      </c>
      <c r="BH32" s="1755">
        <v>11</v>
      </c>
      <c r="BI32" s="1755">
        <v>393</v>
      </c>
      <c r="BJ32" s="1755">
        <v>-66</v>
      </c>
      <c r="BK32" s="1755">
        <v>196</v>
      </c>
      <c r="BL32" s="1755">
        <v>77</v>
      </c>
      <c r="BM32" s="1755">
        <v>99</v>
      </c>
      <c r="BN32" s="1756">
        <v>-24</v>
      </c>
      <c r="BO32" s="1755">
        <v>-104</v>
      </c>
      <c r="BP32" s="1755">
        <v>-124</v>
      </c>
      <c r="BQ32" s="1757">
        <v>-35</v>
      </c>
      <c r="BR32" s="1755">
        <v>-214</v>
      </c>
      <c r="BS32" s="1755">
        <v>24</v>
      </c>
      <c r="BT32" s="1755">
        <v>6</v>
      </c>
      <c r="BU32" s="1758">
        <v>-74</v>
      </c>
      <c r="BV32" s="1756">
        <v>-46</v>
      </c>
      <c r="BW32" s="1755">
        <v>-4</v>
      </c>
      <c r="BX32" s="1755">
        <v>-144</v>
      </c>
      <c r="BY32" s="1758">
        <v>-37</v>
      </c>
      <c r="BZ32" s="1756">
        <v>-82</v>
      </c>
      <c r="CA32" s="1758">
        <v>-49</v>
      </c>
      <c r="CB32" s="1758">
        <v>-120</v>
      </c>
      <c r="CC32" s="1758">
        <v>-8</v>
      </c>
      <c r="CD32" s="1756">
        <v>-46</v>
      </c>
      <c r="CE32" s="1758">
        <v>43</v>
      </c>
      <c r="CF32" s="1758">
        <v>33</v>
      </c>
      <c r="CG32" s="1758">
        <v>-6</v>
      </c>
      <c r="CH32" s="1756">
        <v>-42</v>
      </c>
      <c r="CI32" s="1758">
        <v>2</v>
      </c>
      <c r="CJ32" s="1758">
        <v>5</v>
      </c>
      <c r="CK32" s="1758">
        <f>-47-CJ32-CI32-CH32</f>
        <v>-12</v>
      </c>
      <c r="CL32" s="1756">
        <f>-58+19</f>
        <v>-39</v>
      </c>
      <c r="CM32" s="1198"/>
      <c r="CN32" s="1198"/>
      <c r="CO32" s="1198"/>
      <c r="CP32" s="1198"/>
      <c r="CQ32" s="1198"/>
      <c r="CR32" s="1198"/>
      <c r="CS32" s="1198"/>
      <c r="CT32" s="1198"/>
    </row>
    <row r="33" spans="1:98" ht="11.25" customHeight="1">
      <c r="A33" s="1225" t="s">
        <v>641</v>
      </c>
      <c r="B33" s="1225"/>
      <c r="C33" s="1225"/>
      <c r="D33" s="1225"/>
      <c r="E33" s="1225"/>
      <c r="F33" s="1225"/>
      <c r="G33" s="1225"/>
      <c r="H33" s="1627"/>
      <c r="I33" s="1340"/>
      <c r="J33" s="1340"/>
      <c r="K33" s="1340"/>
      <c r="L33" s="1340">
        <f t="shared" si="9"/>
        <v>0</v>
      </c>
      <c r="M33" s="1340">
        <f t="shared" si="10"/>
        <v>0</v>
      </c>
      <c r="N33" s="1344">
        <f t="shared" si="11"/>
        <v>0</v>
      </c>
      <c r="O33" s="1341">
        <f t="shared" si="12"/>
        <v>0</v>
      </c>
      <c r="P33" s="1341">
        <f t="shared" si="5"/>
        <v>0</v>
      </c>
      <c r="Q33" s="1341">
        <f t="shared" si="13"/>
        <v>0</v>
      </c>
      <c r="R33" s="1342">
        <f t="shared" si="7"/>
        <v>0</v>
      </c>
      <c r="S33" s="1340">
        <f t="shared" si="6"/>
        <v>0</v>
      </c>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621"/>
      <c r="AS33" s="1621"/>
      <c r="AT33" s="1621"/>
      <c r="AU33" s="1198"/>
      <c r="AV33" s="1198"/>
      <c r="AW33" s="1198"/>
      <c r="AX33" s="1627"/>
      <c r="AY33" s="1627"/>
      <c r="AZ33" s="1627"/>
      <c r="BA33" s="1627"/>
      <c r="BB33" s="1755"/>
      <c r="BC33" s="1755"/>
      <c r="BD33" s="1755"/>
      <c r="BE33" s="1755"/>
      <c r="BF33" s="1755"/>
      <c r="BG33" s="1755"/>
      <c r="BH33" s="1755"/>
      <c r="BI33" s="1755"/>
      <c r="BJ33" s="1755"/>
      <c r="BK33" s="1755"/>
      <c r="BL33" s="1755"/>
      <c r="BM33" s="1755"/>
      <c r="BN33" s="1756"/>
      <c r="BO33" s="1755"/>
      <c r="BP33" s="1755"/>
      <c r="BQ33" s="1757"/>
      <c r="BR33" s="1755"/>
      <c r="BS33" s="1755"/>
      <c r="BT33" s="1755"/>
      <c r="BU33" s="1758"/>
      <c r="BV33" s="1756"/>
      <c r="BW33" s="1755"/>
      <c r="BX33" s="1755"/>
      <c r="BY33" s="1758"/>
      <c r="BZ33" s="1760"/>
      <c r="CA33" s="1759"/>
      <c r="CB33" s="1759"/>
      <c r="CC33" s="1759"/>
      <c r="CD33" s="1760"/>
      <c r="CE33" s="1759"/>
      <c r="CF33" s="1759"/>
      <c r="CG33" s="1759"/>
      <c r="CH33" s="1760"/>
      <c r="CI33" s="1761"/>
      <c r="CJ33" s="1761"/>
      <c r="CK33" s="1761"/>
      <c r="CL33" s="1343"/>
      <c r="CM33" s="1198"/>
      <c r="CN33" s="1198"/>
      <c r="CO33" s="1198"/>
      <c r="CP33" s="1198"/>
      <c r="CQ33" s="1198"/>
      <c r="CR33" s="1198"/>
      <c r="CS33" s="1198"/>
      <c r="CT33" s="1198"/>
    </row>
    <row r="34" spans="1:98" ht="12" customHeight="1">
      <c r="A34" s="1213" t="s">
        <v>273</v>
      </c>
      <c r="B34" s="1623"/>
      <c r="C34" s="1623"/>
      <c r="D34" s="1624"/>
      <c r="E34" s="1624"/>
      <c r="F34" s="1624"/>
      <c r="G34" s="1624"/>
      <c r="H34" s="1330"/>
      <c r="I34" s="1326">
        <v>2890</v>
      </c>
      <c r="J34" s="1326">
        <v>2334</v>
      </c>
      <c r="K34" s="1326">
        <f>SUM(BF34:BI34)</f>
        <v>2175</v>
      </c>
      <c r="L34" s="1326">
        <f t="shared" si="9"/>
        <v>1856</v>
      </c>
      <c r="M34" s="1326">
        <f t="shared" ref="M34:S34" si="14">SUM(M10:M33)</f>
        <v>2313</v>
      </c>
      <c r="N34" s="1326">
        <f t="shared" si="14"/>
        <v>2789</v>
      </c>
      <c r="O34" s="1327">
        <f t="shared" si="14"/>
        <v>3026</v>
      </c>
      <c r="P34" s="1327">
        <f t="shared" si="14"/>
        <v>2886</v>
      </c>
      <c r="Q34" s="1327">
        <f t="shared" si="14"/>
        <v>3307</v>
      </c>
      <c r="R34" s="1328">
        <f ca="1">SUM(R10:R33)</f>
        <v>3367</v>
      </c>
      <c r="S34" s="1326">
        <f t="shared" si="14"/>
        <v>777</v>
      </c>
      <c r="T34" s="1198"/>
      <c r="U34" s="1198"/>
      <c r="V34" s="1198"/>
      <c r="W34" s="1198"/>
      <c r="X34" s="1198"/>
      <c r="Y34" s="1198"/>
      <c r="Z34" s="1213"/>
      <c r="AA34" s="1213"/>
      <c r="AB34" s="1213"/>
      <c r="AC34" s="1213"/>
      <c r="AD34" s="1213"/>
      <c r="AE34" s="1213"/>
      <c r="AF34" s="1213"/>
      <c r="AG34" s="1213"/>
      <c r="AH34" s="1213"/>
      <c r="AI34" s="1213"/>
      <c r="AJ34" s="1213"/>
      <c r="AK34" s="1213"/>
      <c r="AL34" s="1213"/>
      <c r="AM34" s="1213"/>
      <c r="AN34" s="1213"/>
      <c r="AO34" s="1213"/>
      <c r="AP34" s="1213"/>
      <c r="AQ34" s="1213"/>
      <c r="AR34" s="1624"/>
      <c r="AS34" s="1624"/>
      <c r="AT34" s="1624"/>
      <c r="AU34" s="1213"/>
      <c r="AV34" s="1213"/>
      <c r="AW34" s="1213"/>
      <c r="AX34" s="1330"/>
      <c r="AY34" s="1330"/>
      <c r="AZ34" s="1330"/>
      <c r="BA34" s="1330"/>
      <c r="BB34" s="1330">
        <v>571</v>
      </c>
      <c r="BC34" s="1330">
        <v>805</v>
      </c>
      <c r="BD34" s="1330">
        <v>288</v>
      </c>
      <c r="BE34" s="1330">
        <v>670</v>
      </c>
      <c r="BF34" s="1330">
        <v>837</v>
      </c>
      <c r="BG34" s="1330">
        <v>438</v>
      </c>
      <c r="BH34" s="1330">
        <v>603</v>
      </c>
      <c r="BI34" s="1330">
        <v>297</v>
      </c>
      <c r="BJ34" s="1330">
        <v>560</v>
      </c>
      <c r="BK34" s="1330">
        <v>284</v>
      </c>
      <c r="BL34" s="1330">
        <v>765</v>
      </c>
      <c r="BM34" s="1330">
        <v>247</v>
      </c>
      <c r="BN34" s="1329">
        <v>343</v>
      </c>
      <c r="BO34" s="1330">
        <v>572</v>
      </c>
      <c r="BP34" s="1330">
        <v>673</v>
      </c>
      <c r="BQ34" s="1637">
        <v>725</v>
      </c>
      <c r="BR34" s="1330">
        <v>140</v>
      </c>
      <c r="BS34" s="1330">
        <v>1037</v>
      </c>
      <c r="BT34" s="1330">
        <v>752</v>
      </c>
      <c r="BU34" s="1636">
        <v>860</v>
      </c>
      <c r="BV34" s="1329">
        <v>268</v>
      </c>
      <c r="BW34" s="1330">
        <v>1105</v>
      </c>
      <c r="BX34" s="1330">
        <v>753</v>
      </c>
      <c r="BY34" s="1636">
        <v>900</v>
      </c>
      <c r="BZ34" s="1329">
        <v>381</v>
      </c>
      <c r="CA34" s="1636">
        <v>916</v>
      </c>
      <c r="CB34" s="1636">
        <v>681</v>
      </c>
      <c r="CC34" s="1636">
        <v>908</v>
      </c>
      <c r="CD34" s="1329">
        <v>657</v>
      </c>
      <c r="CE34" s="1636">
        <v>1005</v>
      </c>
      <c r="CF34" s="1636">
        <v>769</v>
      </c>
      <c r="CG34" s="1636">
        <v>876</v>
      </c>
      <c r="CH34" s="1331">
        <f>SUM(CH10:CH33)</f>
        <v>722</v>
      </c>
      <c r="CI34" s="1327">
        <f>SUM(CI10:CI33)</f>
        <v>919</v>
      </c>
      <c r="CJ34" s="1327">
        <f>SUM(CJ10:CJ33)</f>
        <v>923</v>
      </c>
      <c r="CK34" s="1326">
        <f ca="1">SUM(CK10:CK33)</f>
        <v>803</v>
      </c>
      <c r="CL34" s="1331">
        <f>SUM(CL10:CL33)</f>
        <v>777</v>
      </c>
      <c r="CM34" s="1198"/>
      <c r="CN34" s="1198"/>
      <c r="CO34" s="1198"/>
      <c r="CP34" s="1198"/>
      <c r="CQ34" s="1198"/>
      <c r="CR34" s="1198"/>
      <c r="CS34" s="1198"/>
      <c r="CT34" s="1326">
        <f>SUM(CT10:CT33)</f>
        <v>0</v>
      </c>
    </row>
    <row r="35" spans="1:98" ht="6" customHeight="1">
      <c r="A35" s="1427"/>
      <c r="B35" s="1427"/>
      <c r="C35" s="1427"/>
      <c r="D35" s="1427"/>
      <c r="E35" s="1427"/>
      <c r="F35" s="1427"/>
      <c r="G35" s="1427"/>
      <c r="H35" s="1427"/>
      <c r="I35" s="1427"/>
      <c r="J35" s="1427"/>
      <c r="K35" s="1427"/>
      <c r="L35" s="1427"/>
      <c r="M35" s="1427"/>
      <c r="N35" s="1427"/>
      <c r="O35" s="1449"/>
      <c r="P35" s="1449"/>
      <c r="Q35" s="1449"/>
      <c r="R35" s="1628"/>
      <c r="S35" s="1427"/>
      <c r="T35" s="1198"/>
      <c r="U35" s="1198"/>
      <c r="V35" s="1198"/>
      <c r="W35" s="1198"/>
      <c r="X35" s="1198"/>
      <c r="Y35" s="1198"/>
      <c r="Z35" s="1427"/>
      <c r="AA35" s="1427"/>
      <c r="AB35" s="1427"/>
      <c r="AC35" s="1427"/>
      <c r="AD35" s="1427"/>
      <c r="AE35" s="1427"/>
      <c r="AF35" s="1427"/>
      <c r="AG35" s="1427"/>
      <c r="AH35" s="1427"/>
      <c r="AI35" s="1427"/>
      <c r="AJ35" s="1427"/>
      <c r="AK35" s="1427"/>
      <c r="AL35" s="1427"/>
      <c r="AM35" s="1427"/>
      <c r="AN35" s="1427"/>
      <c r="AO35" s="1427"/>
      <c r="AP35" s="1427"/>
      <c r="AQ35" s="1427"/>
      <c r="AR35" s="1427"/>
      <c r="AS35" s="1427"/>
      <c r="AT35" s="1427"/>
      <c r="AU35" s="1427"/>
      <c r="AV35" s="1427"/>
      <c r="AW35" s="1427"/>
      <c r="AX35" s="1427"/>
      <c r="AY35" s="1427"/>
      <c r="AZ35" s="1427"/>
      <c r="BA35" s="1427"/>
      <c r="BB35" s="1762"/>
      <c r="BC35" s="1762"/>
      <c r="BD35" s="1762"/>
      <c r="BE35" s="1762"/>
      <c r="BF35" s="1762"/>
      <c r="BG35" s="1762"/>
      <c r="BH35" s="1762"/>
      <c r="BI35" s="1762"/>
      <c r="BJ35" s="1762"/>
      <c r="BK35" s="1762"/>
      <c r="BL35" s="1762"/>
      <c r="BM35" s="1762"/>
      <c r="BN35" s="1763"/>
      <c r="BO35" s="1762"/>
      <c r="BP35" s="1762"/>
      <c r="BQ35" s="1764"/>
      <c r="BR35" s="1762"/>
      <c r="BS35" s="1762"/>
      <c r="BT35" s="1762"/>
      <c r="BU35" s="1765"/>
      <c r="BV35" s="1763"/>
      <c r="BW35" s="1762"/>
      <c r="BX35" s="1762"/>
      <c r="BY35" s="1765"/>
      <c r="BZ35" s="1763"/>
      <c r="CA35" s="1765"/>
      <c r="CB35" s="1765"/>
      <c r="CC35" s="1765"/>
      <c r="CD35" s="1763"/>
      <c r="CE35" s="1765"/>
      <c r="CF35" s="1765"/>
      <c r="CG35" s="1765"/>
      <c r="CH35" s="1763"/>
      <c r="CI35" s="1762"/>
      <c r="CJ35" s="1762"/>
      <c r="CK35" s="1427"/>
      <c r="CL35" s="1428"/>
      <c r="CM35" s="1198"/>
      <c r="CN35" s="1198"/>
      <c r="CO35" s="1198"/>
      <c r="CP35" s="1198"/>
      <c r="CQ35" s="1198"/>
      <c r="CR35" s="1198"/>
      <c r="CS35" s="1198"/>
      <c r="CT35" s="1198"/>
    </row>
    <row r="36" spans="1:98" ht="11.25" customHeight="1">
      <c r="A36" s="1213" t="s">
        <v>1128</v>
      </c>
      <c r="B36" s="1620"/>
      <c r="C36" s="1620"/>
      <c r="D36" s="1621"/>
      <c r="E36" s="1621"/>
      <c r="F36" s="1621"/>
      <c r="G36" s="1621"/>
      <c r="H36" s="1627"/>
      <c r="I36" s="1627"/>
      <c r="J36" s="1627"/>
      <c r="K36" s="1627"/>
      <c r="L36" s="1627"/>
      <c r="M36" s="1627"/>
      <c r="N36" s="1627"/>
      <c r="O36" s="1629"/>
      <c r="P36" s="1629"/>
      <c r="Q36" s="1629"/>
      <c r="R36" s="1630"/>
      <c r="S36" s="1627"/>
      <c r="T36" s="1198"/>
      <c r="U36" s="1198"/>
      <c r="V36" s="1198"/>
      <c r="W36" s="1198"/>
      <c r="X36" s="1198"/>
      <c r="Y36" s="1360"/>
      <c r="Z36" s="1198"/>
      <c r="AA36" s="1198"/>
      <c r="AB36" s="1198"/>
      <c r="AC36" s="1198"/>
      <c r="AD36" s="1198"/>
      <c r="AE36" s="1198"/>
      <c r="AF36" s="1198"/>
      <c r="AG36" s="1198"/>
      <c r="AH36" s="1198"/>
      <c r="AI36" s="1198"/>
      <c r="AJ36" s="1198"/>
      <c r="AK36" s="1198"/>
      <c r="AL36" s="1198"/>
      <c r="AM36" s="1198"/>
      <c r="AN36" s="1198"/>
      <c r="AO36" s="1198"/>
      <c r="AP36" s="1198"/>
      <c r="AQ36" s="1198"/>
      <c r="AR36" s="1621"/>
      <c r="AS36" s="1621"/>
      <c r="AT36" s="1621"/>
      <c r="AU36" s="1198"/>
      <c r="AV36" s="1198"/>
      <c r="AW36" s="1198"/>
      <c r="AX36" s="1627"/>
      <c r="AY36" s="1627"/>
      <c r="AZ36" s="1627"/>
      <c r="BA36" s="1627"/>
      <c r="BB36" s="1627"/>
      <c r="BC36" s="1627"/>
      <c r="BD36" s="1627"/>
      <c r="BE36" s="1627"/>
      <c r="BF36" s="1627"/>
      <c r="BG36" s="1627"/>
      <c r="BH36" s="1627"/>
      <c r="BI36" s="1627"/>
      <c r="BJ36" s="1627"/>
      <c r="BK36" s="1627"/>
      <c r="BL36" s="1627"/>
      <c r="BM36" s="1627"/>
      <c r="BN36" s="1631"/>
      <c r="BO36" s="1627"/>
      <c r="BP36" s="1627"/>
      <c r="BQ36" s="1630"/>
      <c r="BR36" s="1627"/>
      <c r="BS36" s="1627"/>
      <c r="BT36" s="1627"/>
      <c r="BU36" s="1629"/>
      <c r="BV36" s="1632"/>
      <c r="BW36" s="1632"/>
      <c r="BX36" s="1632"/>
      <c r="BY36" s="1633"/>
      <c r="BZ36" s="1632"/>
      <c r="CA36" s="1632"/>
      <c r="CB36" s="1632"/>
      <c r="CC36" s="1633"/>
      <c r="CD36" s="1632"/>
      <c r="CE36" s="1632"/>
      <c r="CF36" s="1632"/>
      <c r="CG36" s="1633"/>
      <c r="CH36" s="1632"/>
      <c r="CI36" s="1632"/>
      <c r="CJ36" s="1632"/>
      <c r="CK36" s="1632"/>
      <c r="CL36" s="1634"/>
      <c r="CM36" s="1198"/>
      <c r="CN36" s="1198"/>
      <c r="CO36" s="1198"/>
      <c r="CP36" s="1198"/>
      <c r="CQ36" s="1198"/>
      <c r="CR36" s="1198"/>
      <c r="CS36" s="1198"/>
      <c r="CT36" s="1198"/>
    </row>
    <row r="37" spans="1:98" ht="11.25" customHeight="1">
      <c r="A37" s="1225" t="s">
        <v>709</v>
      </c>
      <c r="B37" s="1623"/>
      <c r="C37" s="1623"/>
      <c r="D37" s="1624"/>
      <c r="E37" s="1624"/>
      <c r="F37" s="1624"/>
      <c r="G37" s="1624"/>
      <c r="H37" s="1340"/>
      <c r="I37" s="1340">
        <v>-8042</v>
      </c>
      <c r="J37" s="1340">
        <v>-2764</v>
      </c>
      <c r="K37" s="1340">
        <f t="shared" ref="K37:K42" si="15">SUM(BF37:BI37)</f>
        <v>-2088</v>
      </c>
      <c r="L37" s="1340">
        <f t="shared" ref="L37:L42" si="16">SUM(BJ37:BM37)</f>
        <v>-1731</v>
      </c>
      <c r="M37" s="1340">
        <f t="shared" ref="M37:M42" si="17">SUM(BN37:BQ37)</f>
        <v>-1613</v>
      </c>
      <c r="N37" s="1340">
        <f t="shared" ref="N37:N44" si="18">SUM(BR37:BU37)</f>
        <v>-1632</v>
      </c>
      <c r="O37" s="1341">
        <f t="shared" ref="O37:O44" si="19">SUM(BV37:BY37)</f>
        <v>-1669</v>
      </c>
      <c r="P37" s="1341">
        <f t="shared" ref="P37:P44" si="20">SUM(BZ37:CC37)</f>
        <v>-1777</v>
      </c>
      <c r="Q37" s="1341">
        <f t="shared" ref="Q37:Q44" si="21">SUM(CD37:CG37)</f>
        <v>-1409</v>
      </c>
      <c r="R37" s="1342">
        <f>SUM(CH37:CK37)</f>
        <v>-1488</v>
      </c>
      <c r="S37" s="1340">
        <f>SUM(CL37:CO37)</f>
        <v>-410</v>
      </c>
      <c r="T37" s="1198"/>
      <c r="U37" s="1198"/>
      <c r="V37" s="1198"/>
      <c r="W37" s="1198"/>
      <c r="X37" s="1198"/>
      <c r="Y37" s="1198"/>
      <c r="Z37" s="1213"/>
      <c r="AA37" s="1213"/>
      <c r="AB37" s="1213"/>
      <c r="AC37" s="1213"/>
      <c r="AD37" s="1213"/>
      <c r="AE37" s="1213"/>
      <c r="AF37" s="1213"/>
      <c r="AG37" s="1213"/>
      <c r="AH37" s="1213"/>
      <c r="AI37" s="1213"/>
      <c r="AJ37" s="1213"/>
      <c r="AK37" s="1213"/>
      <c r="AL37" s="1213"/>
      <c r="AM37" s="1213"/>
      <c r="AN37" s="1213"/>
      <c r="AO37" s="1213"/>
      <c r="AP37" s="1213"/>
      <c r="AQ37" s="1213"/>
      <c r="AR37" s="1624"/>
      <c r="AS37" s="1624"/>
      <c r="AT37" s="1624"/>
      <c r="AU37" s="1213"/>
      <c r="AV37" s="1213"/>
      <c r="AW37" s="1213"/>
      <c r="AX37" s="1330"/>
      <c r="AY37" s="1330"/>
      <c r="AZ37" s="1330"/>
      <c r="BA37" s="1330"/>
      <c r="BB37" s="1627">
        <v>-1171</v>
      </c>
      <c r="BC37" s="1627">
        <v>-599</v>
      </c>
      <c r="BD37" s="1627">
        <v>-433</v>
      </c>
      <c r="BE37" s="1627">
        <v>-561</v>
      </c>
      <c r="BF37" s="1627">
        <v>-429</v>
      </c>
      <c r="BG37" s="1627">
        <v>-505</v>
      </c>
      <c r="BH37" s="1627">
        <v>-539</v>
      </c>
      <c r="BI37" s="1627">
        <v>-615</v>
      </c>
      <c r="BJ37" s="1627">
        <v>-455</v>
      </c>
      <c r="BK37" s="1627">
        <v>-486</v>
      </c>
      <c r="BL37" s="1627">
        <v>-418</v>
      </c>
      <c r="BM37" s="1627">
        <v>-372</v>
      </c>
      <c r="BN37" s="1631">
        <v>-313</v>
      </c>
      <c r="BO37" s="1627">
        <v>-352</v>
      </c>
      <c r="BP37" s="1627">
        <v>-445</v>
      </c>
      <c r="BQ37" s="1630">
        <v>-503</v>
      </c>
      <c r="BR37" s="1627">
        <v>-390</v>
      </c>
      <c r="BS37" s="1627">
        <v>-442</v>
      </c>
      <c r="BT37" s="1627">
        <v>-394</v>
      </c>
      <c r="BU37" s="1629">
        <v>-406</v>
      </c>
      <c r="BV37" s="1631">
        <v>-318</v>
      </c>
      <c r="BW37" s="1627">
        <v>-426</v>
      </c>
      <c r="BX37" s="1627">
        <v>-420</v>
      </c>
      <c r="BY37" s="1629">
        <v>-505</v>
      </c>
      <c r="BZ37" s="1631">
        <v>-416</v>
      </c>
      <c r="CA37" s="1629">
        <v>-534</v>
      </c>
      <c r="CB37" s="1629">
        <v>-466</v>
      </c>
      <c r="CC37" s="1629">
        <v>-361</v>
      </c>
      <c r="CD37" s="1631">
        <v>-334</v>
      </c>
      <c r="CE37" s="1629">
        <v>-348</v>
      </c>
      <c r="CF37" s="1629">
        <v>-341</v>
      </c>
      <c r="CG37" s="1629">
        <v>-386</v>
      </c>
      <c r="CH37" s="1631">
        <v>-387</v>
      </c>
      <c r="CI37" s="1629">
        <v>-330</v>
      </c>
      <c r="CJ37" s="1629">
        <v>-373</v>
      </c>
      <c r="CK37" s="1629">
        <f>+-1488-CJ37-CI37-CH37</f>
        <v>-398</v>
      </c>
      <c r="CL37" s="1756">
        <v>-410</v>
      </c>
      <c r="CM37" s="1198"/>
      <c r="CN37" s="1198"/>
      <c r="CO37" s="1198"/>
      <c r="CP37" s="1198"/>
      <c r="CQ37" s="1198"/>
      <c r="CR37" s="1198"/>
      <c r="CS37" s="1198"/>
      <c r="CT37" s="1198"/>
    </row>
    <row r="38" spans="1:98" ht="11.25" customHeight="1">
      <c r="A38" s="1225" t="s">
        <v>274</v>
      </c>
      <c r="B38" s="1620"/>
      <c r="C38" s="1620"/>
      <c r="D38" s="1621"/>
      <c r="E38" s="1621"/>
      <c r="F38" s="1621"/>
      <c r="G38" s="1621"/>
      <c r="H38" s="1627"/>
      <c r="I38" s="1340">
        <v>0</v>
      </c>
      <c r="J38" s="1340">
        <v>0</v>
      </c>
      <c r="K38" s="1340">
        <f t="shared" si="15"/>
        <v>0</v>
      </c>
      <c r="L38" s="1340">
        <f t="shared" si="16"/>
        <v>0</v>
      </c>
      <c r="M38" s="1340">
        <f t="shared" si="17"/>
        <v>0</v>
      </c>
      <c r="N38" s="1340">
        <f t="shared" si="18"/>
        <v>0</v>
      </c>
      <c r="O38" s="1341">
        <f t="shared" si="19"/>
        <v>0</v>
      </c>
      <c r="P38" s="1341">
        <f t="shared" si="20"/>
        <v>0</v>
      </c>
      <c r="Q38" s="1341">
        <f t="shared" si="21"/>
        <v>0</v>
      </c>
      <c r="R38" s="1342">
        <f>SUM(CH38:CK38)</f>
        <v>0</v>
      </c>
      <c r="S38" s="1340">
        <f t="shared" ref="S38:S44" si="22">SUM(CL38:CO38)</f>
        <v>0</v>
      </c>
      <c r="T38" s="1198"/>
      <c r="U38" s="1198"/>
      <c r="V38" s="1198"/>
      <c r="W38" s="1198"/>
      <c r="X38" s="1198"/>
      <c r="Y38" s="1198"/>
      <c r="Z38" s="1198"/>
      <c r="AA38" s="1198"/>
      <c r="AB38" s="1198"/>
      <c r="AC38" s="1198"/>
      <c r="AD38" s="1198"/>
      <c r="AE38" s="1198"/>
      <c r="AF38" s="1198"/>
      <c r="AG38" s="1198"/>
      <c r="AH38" s="1198"/>
      <c r="AI38" s="1198"/>
      <c r="AJ38" s="1198"/>
      <c r="AK38" s="1198"/>
      <c r="AL38" s="1198"/>
      <c r="AM38" s="1198"/>
      <c r="AN38" s="1198"/>
      <c r="AO38" s="1198"/>
      <c r="AP38" s="1198"/>
      <c r="AQ38" s="1198"/>
      <c r="AR38" s="1621"/>
      <c r="AS38" s="1621"/>
      <c r="AT38" s="1621"/>
      <c r="AU38" s="1198"/>
      <c r="AV38" s="1198"/>
      <c r="AW38" s="1198"/>
      <c r="AX38" s="1627"/>
      <c r="AY38" s="1627"/>
      <c r="AZ38" s="1627"/>
      <c r="BA38" s="1627"/>
      <c r="BB38" s="1627">
        <v>0</v>
      </c>
      <c r="BC38" s="1627">
        <v>-750</v>
      </c>
      <c r="BD38" s="1627">
        <v>750</v>
      </c>
      <c r="BE38" s="1627">
        <v>0</v>
      </c>
      <c r="BF38" s="1627">
        <v>0</v>
      </c>
      <c r="BG38" s="1627">
        <v>0</v>
      </c>
      <c r="BH38" s="1627">
        <v>0</v>
      </c>
      <c r="BI38" s="1627">
        <v>0</v>
      </c>
      <c r="BJ38" s="1627">
        <v>0</v>
      </c>
      <c r="BK38" s="1627">
        <v>0</v>
      </c>
      <c r="BL38" s="1627">
        <v>0</v>
      </c>
      <c r="BM38" s="1627">
        <v>0</v>
      </c>
      <c r="BN38" s="1631">
        <v>0</v>
      </c>
      <c r="BO38" s="1627">
        <v>0</v>
      </c>
      <c r="BP38" s="1627">
        <v>0</v>
      </c>
      <c r="BQ38" s="1630">
        <v>0</v>
      </c>
      <c r="BR38" s="1627">
        <v>0</v>
      </c>
      <c r="BS38" s="1627">
        <v>0</v>
      </c>
      <c r="BT38" s="1627">
        <v>0</v>
      </c>
      <c r="BU38" s="1629">
        <v>0</v>
      </c>
      <c r="BV38" s="1631">
        <v>0</v>
      </c>
      <c r="BW38" s="1627">
        <v>0</v>
      </c>
      <c r="BX38" s="1627">
        <v>0</v>
      </c>
      <c r="BY38" s="1629">
        <v>0</v>
      </c>
      <c r="BZ38" s="1631">
        <v>0</v>
      </c>
      <c r="CA38" s="1629">
        <v>0</v>
      </c>
      <c r="CB38" s="1629">
        <v>0</v>
      </c>
      <c r="CC38" s="1629">
        <v>0</v>
      </c>
      <c r="CD38" s="1631">
        <v>0</v>
      </c>
      <c r="CE38" s="1629">
        <v>0</v>
      </c>
      <c r="CF38" s="1629">
        <v>0</v>
      </c>
      <c r="CG38" s="1629">
        <v>0</v>
      </c>
      <c r="CH38" s="1631">
        <v>0</v>
      </c>
      <c r="CI38" s="1629">
        <v>0</v>
      </c>
      <c r="CJ38" s="1629">
        <v>0</v>
      </c>
      <c r="CK38" s="1629"/>
      <c r="CL38" s="1756"/>
      <c r="CM38" s="1198"/>
      <c r="CN38" s="1198"/>
      <c r="CO38" s="1198"/>
      <c r="CP38" s="1198"/>
      <c r="CQ38" s="1198"/>
      <c r="CR38" s="1198"/>
      <c r="CS38" s="1198"/>
      <c r="CT38" s="1198"/>
    </row>
    <row r="39" spans="1:98" ht="11.25" customHeight="1">
      <c r="A39" s="1225" t="s">
        <v>642</v>
      </c>
      <c r="B39" s="1620"/>
      <c r="C39" s="1620"/>
      <c r="D39" s="1621"/>
      <c r="E39" s="1621"/>
      <c r="F39" s="1621"/>
      <c r="G39" s="1621"/>
      <c r="H39" s="1627"/>
      <c r="I39" s="1340">
        <v>98</v>
      </c>
      <c r="J39" s="1340">
        <v>12</v>
      </c>
      <c r="K39" s="1340">
        <f t="shared" si="15"/>
        <v>0</v>
      </c>
      <c r="L39" s="1340">
        <f t="shared" si="16"/>
        <v>226</v>
      </c>
      <c r="M39" s="1340">
        <f t="shared" si="17"/>
        <v>1793</v>
      </c>
      <c r="N39" s="1340">
        <f t="shared" si="18"/>
        <v>70</v>
      </c>
      <c r="O39" s="1341">
        <f t="shared" si="19"/>
        <v>203</v>
      </c>
      <c r="P39" s="1341">
        <f t="shared" si="20"/>
        <v>65</v>
      </c>
      <c r="Q39" s="1341">
        <f t="shared" si="21"/>
        <v>18</v>
      </c>
      <c r="R39" s="1342">
        <f t="shared" ref="R39:R44" si="23">SUM(CH39:CK39)</f>
        <v>943</v>
      </c>
      <c r="S39" s="1340">
        <f t="shared" si="22"/>
        <v>0</v>
      </c>
      <c r="T39" s="1198"/>
      <c r="U39" s="1198"/>
      <c r="V39" s="1198"/>
      <c r="W39" s="1198"/>
      <c r="X39" s="1198"/>
      <c r="Y39" s="1198"/>
      <c r="Z39" s="1198"/>
      <c r="AA39" s="1198"/>
      <c r="AB39" s="1198"/>
      <c r="AC39" s="1198"/>
      <c r="AD39" s="1198"/>
      <c r="AE39" s="1198"/>
      <c r="AF39" s="1198"/>
      <c r="AG39" s="1198"/>
      <c r="AH39" s="1198"/>
      <c r="AI39" s="1198"/>
      <c r="AJ39" s="1198"/>
      <c r="AK39" s="1198"/>
      <c r="AL39" s="1198"/>
      <c r="AM39" s="1198"/>
      <c r="AN39" s="1198"/>
      <c r="AO39" s="1198"/>
      <c r="AP39" s="1198"/>
      <c r="AQ39" s="1198"/>
      <c r="AR39" s="1621"/>
      <c r="AS39" s="1621"/>
      <c r="AT39" s="1621"/>
      <c r="AU39" s="1198"/>
      <c r="AV39" s="1198"/>
      <c r="AW39" s="1198"/>
      <c r="AX39" s="1627"/>
      <c r="AY39" s="1627"/>
      <c r="AZ39" s="1627"/>
      <c r="BA39" s="1627"/>
      <c r="BB39" s="1627">
        <v>11</v>
      </c>
      <c r="BC39" s="1627">
        <v>0</v>
      </c>
      <c r="BD39" s="1627">
        <v>0</v>
      </c>
      <c r="BE39" s="1627">
        <v>1</v>
      </c>
      <c r="BF39" s="1627">
        <v>0</v>
      </c>
      <c r="BG39" s="1627">
        <v>0</v>
      </c>
      <c r="BH39" s="1627">
        <v>0</v>
      </c>
      <c r="BI39" s="1627">
        <v>0</v>
      </c>
      <c r="BJ39" s="1627">
        <v>20</v>
      </c>
      <c r="BK39" s="1627">
        <v>86</v>
      </c>
      <c r="BL39" s="1627">
        <v>106</v>
      </c>
      <c r="BM39" s="1627">
        <v>14</v>
      </c>
      <c r="BN39" s="1631">
        <v>630</v>
      </c>
      <c r="BO39" s="1627">
        <v>456</v>
      </c>
      <c r="BP39" s="1627">
        <v>144</v>
      </c>
      <c r="BQ39" s="1630">
        <v>563</v>
      </c>
      <c r="BR39" s="1627">
        <v>7</v>
      </c>
      <c r="BS39" s="1627">
        <v>40</v>
      </c>
      <c r="BT39" s="1627">
        <v>9</v>
      </c>
      <c r="BU39" s="1629">
        <v>14</v>
      </c>
      <c r="BV39" s="1631">
        <v>6</v>
      </c>
      <c r="BW39" s="1627">
        <v>25</v>
      </c>
      <c r="BX39" s="1627">
        <v>161</v>
      </c>
      <c r="BY39" s="1629">
        <v>11</v>
      </c>
      <c r="BZ39" s="1631">
        <v>31</v>
      </c>
      <c r="CA39" s="1629">
        <v>11</v>
      </c>
      <c r="CB39" s="1629">
        <v>14</v>
      </c>
      <c r="CC39" s="1629">
        <v>9</v>
      </c>
      <c r="CD39" s="1631">
        <v>6</v>
      </c>
      <c r="CE39" s="1629">
        <v>-1</v>
      </c>
      <c r="CF39" s="1629">
        <v>8</v>
      </c>
      <c r="CG39" s="1629">
        <v>5</v>
      </c>
      <c r="CH39" s="1631">
        <v>0</v>
      </c>
      <c r="CI39" s="1629">
        <v>159</v>
      </c>
      <c r="CJ39" s="1629">
        <v>784</v>
      </c>
      <c r="CK39" s="1629">
        <f>943-CJ39-CI39-CH39</f>
        <v>0</v>
      </c>
      <c r="CL39" s="1756"/>
      <c r="CM39" s="1198"/>
      <c r="CN39" s="1198"/>
      <c r="CO39" s="1198"/>
      <c r="CP39" s="1198"/>
      <c r="CQ39" s="1198"/>
      <c r="CR39" s="1198"/>
      <c r="CS39" s="1198"/>
      <c r="CT39" s="1198"/>
    </row>
    <row r="40" spans="1:98" ht="11.25" customHeight="1">
      <c r="A40" s="1225" t="s">
        <v>710</v>
      </c>
      <c r="B40" s="1620"/>
      <c r="C40" s="1620"/>
      <c r="D40" s="1621"/>
      <c r="E40" s="1621"/>
      <c r="F40" s="1621"/>
      <c r="G40" s="1621"/>
      <c r="H40" s="1627"/>
      <c r="I40" s="1340">
        <v>-82</v>
      </c>
      <c r="J40" s="1340">
        <v>-5</v>
      </c>
      <c r="K40" s="1340">
        <f t="shared" si="15"/>
        <v>-198</v>
      </c>
      <c r="L40" s="1340">
        <f t="shared" si="16"/>
        <v>-831</v>
      </c>
      <c r="M40" s="1340">
        <f t="shared" si="17"/>
        <v>-1086</v>
      </c>
      <c r="N40" s="1340">
        <f t="shared" si="18"/>
        <v>-217</v>
      </c>
      <c r="O40" s="1341">
        <f t="shared" si="19"/>
        <v>-64</v>
      </c>
      <c r="P40" s="1341">
        <f t="shared" si="20"/>
        <v>0</v>
      </c>
      <c r="Q40" s="1341">
        <f t="shared" si="21"/>
        <v>0</v>
      </c>
      <c r="R40" s="1342">
        <f t="shared" si="23"/>
        <v>-944</v>
      </c>
      <c r="S40" s="1340">
        <f t="shared" si="22"/>
        <v>0</v>
      </c>
      <c r="T40" s="1198"/>
      <c r="U40" s="1198"/>
      <c r="V40" s="1198"/>
      <c r="W40" s="1198"/>
      <c r="X40" s="1198"/>
      <c r="Y40" s="1198"/>
      <c r="Z40" s="1198"/>
      <c r="AA40" s="1198"/>
      <c r="AB40" s="1198"/>
      <c r="AC40" s="1198"/>
      <c r="AD40" s="1198"/>
      <c r="AE40" s="1198"/>
      <c r="AF40" s="1198"/>
      <c r="AG40" s="1198"/>
      <c r="AH40" s="1198"/>
      <c r="AI40" s="1198"/>
      <c r="AJ40" s="1198"/>
      <c r="AK40" s="1198"/>
      <c r="AL40" s="1198"/>
      <c r="AM40" s="1198"/>
      <c r="AN40" s="1198"/>
      <c r="AO40" s="1198"/>
      <c r="AP40" s="1198"/>
      <c r="AQ40" s="1198"/>
      <c r="AR40" s="1621"/>
      <c r="AS40" s="1621"/>
      <c r="AT40" s="1621"/>
      <c r="AU40" s="1198"/>
      <c r="AV40" s="1198"/>
      <c r="AW40" s="1198"/>
      <c r="AX40" s="1627"/>
      <c r="AY40" s="1627"/>
      <c r="AZ40" s="1627"/>
      <c r="BA40" s="1627"/>
      <c r="BB40" s="1627">
        <v>-3</v>
      </c>
      <c r="BC40" s="1627">
        <v>3</v>
      </c>
      <c r="BD40" s="1627">
        <v>-4</v>
      </c>
      <c r="BE40" s="1627">
        <v>-1</v>
      </c>
      <c r="BF40" s="1627">
        <v>0</v>
      </c>
      <c r="BG40" s="1627">
        <v>0</v>
      </c>
      <c r="BH40" s="1627">
        <v>0</v>
      </c>
      <c r="BI40" s="1627">
        <v>-198</v>
      </c>
      <c r="BJ40" s="1627">
        <v>-18</v>
      </c>
      <c r="BK40" s="1627">
        <v>-154</v>
      </c>
      <c r="BL40" s="1627">
        <v>-40</v>
      </c>
      <c r="BM40" s="1627">
        <v>-619</v>
      </c>
      <c r="BN40" s="1631">
        <v>-822</v>
      </c>
      <c r="BO40" s="1627">
        <v>-90</v>
      </c>
      <c r="BP40" s="1627">
        <v>-90</v>
      </c>
      <c r="BQ40" s="1630">
        <v>-84</v>
      </c>
      <c r="BR40" s="1627">
        <v>-36</v>
      </c>
      <c r="BS40" s="1627">
        <v>78</v>
      </c>
      <c r="BT40" s="1627">
        <v>-215</v>
      </c>
      <c r="BU40" s="1629">
        <v>-44</v>
      </c>
      <c r="BV40" s="1631">
        <v>0</v>
      </c>
      <c r="BW40" s="1627">
        <v>-24</v>
      </c>
      <c r="BX40" s="1627">
        <v>-40</v>
      </c>
      <c r="BY40" s="1629">
        <v>0</v>
      </c>
      <c r="BZ40" s="1631">
        <v>0</v>
      </c>
      <c r="CA40" s="1629">
        <v>0</v>
      </c>
      <c r="CB40" s="1629">
        <v>0</v>
      </c>
      <c r="CC40" s="1629">
        <v>0</v>
      </c>
      <c r="CD40" s="1631">
        <v>0</v>
      </c>
      <c r="CE40" s="1629">
        <v>0</v>
      </c>
      <c r="CF40" s="1629">
        <v>0</v>
      </c>
      <c r="CG40" s="1629">
        <v>0</v>
      </c>
      <c r="CH40" s="1631">
        <v>-657</v>
      </c>
      <c r="CI40" s="1629">
        <v>-164</v>
      </c>
      <c r="CJ40" s="1629">
        <v>-123</v>
      </c>
      <c r="CK40" s="1629">
        <f>-944-CJ40-CI40-CH40</f>
        <v>0</v>
      </c>
      <c r="CL40" s="1756">
        <v>0</v>
      </c>
      <c r="CM40" s="1198"/>
      <c r="CN40" s="1198"/>
      <c r="CO40" s="1198"/>
      <c r="CP40" s="1198"/>
      <c r="CQ40" s="1198"/>
      <c r="CR40" s="1198"/>
      <c r="CS40" s="1198"/>
      <c r="CT40" s="1198"/>
    </row>
    <row r="41" spans="1:98" ht="11.25" hidden="1" customHeight="1" outlineLevel="1">
      <c r="A41" s="1225" t="s">
        <v>275</v>
      </c>
      <c r="B41" s="1620"/>
      <c r="C41" s="1620"/>
      <c r="D41" s="1621"/>
      <c r="E41" s="1621"/>
      <c r="F41" s="1621"/>
      <c r="G41" s="1621"/>
      <c r="H41" s="1627"/>
      <c r="I41" s="1340">
        <v>-97</v>
      </c>
      <c r="J41" s="1340" t="e">
        <v>#REF!</v>
      </c>
      <c r="K41" s="1340">
        <f t="shared" si="15"/>
        <v>0</v>
      </c>
      <c r="L41" s="1340">
        <f t="shared" si="16"/>
        <v>0</v>
      </c>
      <c r="M41" s="1340">
        <f t="shared" si="17"/>
        <v>0</v>
      </c>
      <c r="N41" s="1340">
        <f t="shared" si="18"/>
        <v>0</v>
      </c>
      <c r="O41" s="1341">
        <f t="shared" si="19"/>
        <v>0</v>
      </c>
      <c r="P41" s="1341">
        <f t="shared" si="20"/>
        <v>0</v>
      </c>
      <c r="Q41" s="1341">
        <f t="shared" si="21"/>
        <v>0</v>
      </c>
      <c r="R41" s="1342">
        <f t="shared" si="23"/>
        <v>0</v>
      </c>
      <c r="S41" s="1340">
        <f t="shared" si="22"/>
        <v>0</v>
      </c>
      <c r="T41" s="1198"/>
      <c r="U41" s="1198"/>
      <c r="V41" s="1198"/>
      <c r="W41" s="1198"/>
      <c r="X41" s="1198"/>
      <c r="Y41" s="1198"/>
      <c r="Z41" s="1198"/>
      <c r="AA41" s="1198"/>
      <c r="AB41" s="1198"/>
      <c r="AC41" s="1198"/>
      <c r="AD41" s="1198"/>
      <c r="AE41" s="1198"/>
      <c r="AF41" s="1198"/>
      <c r="AG41" s="1198"/>
      <c r="AH41" s="1198"/>
      <c r="AI41" s="1198"/>
      <c r="AJ41" s="1198"/>
      <c r="AK41" s="1198"/>
      <c r="AL41" s="1198"/>
      <c r="AM41" s="1198"/>
      <c r="AN41" s="1198"/>
      <c r="AO41" s="1198"/>
      <c r="AP41" s="1198"/>
      <c r="AQ41" s="1198"/>
      <c r="AR41" s="1621"/>
      <c r="AS41" s="1621"/>
      <c r="AT41" s="1621"/>
      <c r="AU41" s="1198"/>
      <c r="AV41" s="1198"/>
      <c r="AW41" s="1198"/>
      <c r="AX41" s="1627"/>
      <c r="AY41" s="1627"/>
      <c r="AZ41" s="1627"/>
      <c r="BA41" s="1627"/>
      <c r="BB41" s="1627">
        <v>0</v>
      </c>
      <c r="BC41" s="1627">
        <v>0</v>
      </c>
      <c r="BD41" s="1627">
        <v>0</v>
      </c>
      <c r="BE41" s="1627">
        <v>0</v>
      </c>
      <c r="BF41" s="1627">
        <v>0</v>
      </c>
      <c r="BG41" s="1627">
        <v>0</v>
      </c>
      <c r="BH41" s="1627">
        <v>0</v>
      </c>
      <c r="BI41" s="1627">
        <v>0</v>
      </c>
      <c r="BJ41" s="1627">
        <v>0</v>
      </c>
      <c r="BK41" s="1627">
        <v>0</v>
      </c>
      <c r="BL41" s="1627">
        <v>0</v>
      </c>
      <c r="BM41" s="1627">
        <v>0</v>
      </c>
      <c r="BN41" s="1631">
        <v>0</v>
      </c>
      <c r="BO41" s="1627">
        <v>0</v>
      </c>
      <c r="BP41" s="1627">
        <v>0</v>
      </c>
      <c r="BQ41" s="1630">
        <v>0</v>
      </c>
      <c r="BR41" s="1627">
        <v>0</v>
      </c>
      <c r="BS41" s="1627">
        <v>0</v>
      </c>
      <c r="BT41" s="1627">
        <v>0</v>
      </c>
      <c r="BU41" s="1629">
        <v>0</v>
      </c>
      <c r="BV41" s="1631">
        <v>0</v>
      </c>
      <c r="BW41" s="1627">
        <v>0</v>
      </c>
      <c r="BX41" s="1627">
        <v>0</v>
      </c>
      <c r="BY41" s="1629">
        <v>0</v>
      </c>
      <c r="BZ41" s="1631">
        <v>0</v>
      </c>
      <c r="CA41" s="1629">
        <v>0</v>
      </c>
      <c r="CB41" s="1629">
        <v>0</v>
      </c>
      <c r="CC41" s="1629">
        <v>0</v>
      </c>
      <c r="CD41" s="1631">
        <v>0</v>
      </c>
      <c r="CE41" s="1629">
        <v>0</v>
      </c>
      <c r="CF41" s="1629">
        <v>0</v>
      </c>
      <c r="CG41" s="1629">
        <v>0</v>
      </c>
      <c r="CH41" s="1631">
        <v>0</v>
      </c>
      <c r="CI41" s="1629">
        <v>0</v>
      </c>
      <c r="CJ41" s="1629">
        <v>0</v>
      </c>
      <c r="CK41" s="1629"/>
      <c r="CL41" s="1756"/>
      <c r="CM41" s="1198"/>
      <c r="CN41" s="1198"/>
      <c r="CO41" s="1198"/>
      <c r="CP41" s="1198"/>
      <c r="CQ41" s="1198"/>
      <c r="CR41" s="1198"/>
      <c r="CS41" s="1198"/>
      <c r="CT41" s="1198"/>
    </row>
    <row r="42" spans="1:98" ht="11.25" hidden="1" customHeight="1" outlineLevel="1">
      <c r="A42" s="1225" t="s">
        <v>289</v>
      </c>
      <c r="B42" s="1620"/>
      <c r="C42" s="1620"/>
      <c r="D42" s="1621"/>
      <c r="E42" s="1621"/>
      <c r="F42" s="1621"/>
      <c r="G42" s="1621"/>
      <c r="H42" s="1627"/>
      <c r="I42" s="1340">
        <v>210</v>
      </c>
      <c r="J42" s="1340">
        <v>103</v>
      </c>
      <c r="K42" s="1340">
        <f t="shared" si="15"/>
        <v>7</v>
      </c>
      <c r="L42" s="1340">
        <f t="shared" si="16"/>
        <v>48</v>
      </c>
      <c r="M42" s="1340">
        <f t="shared" si="17"/>
        <v>420</v>
      </c>
      <c r="N42" s="1340">
        <f t="shared" si="18"/>
        <v>173</v>
      </c>
      <c r="O42" s="1341">
        <f t="shared" si="19"/>
        <v>16</v>
      </c>
      <c r="P42" s="1341">
        <f t="shared" si="20"/>
        <v>0</v>
      </c>
      <c r="Q42" s="1341">
        <f t="shared" si="21"/>
        <v>0</v>
      </c>
      <c r="R42" s="1342">
        <f t="shared" si="23"/>
        <v>0</v>
      </c>
      <c r="S42" s="1340">
        <f t="shared" si="22"/>
        <v>0</v>
      </c>
      <c r="T42" s="1198"/>
      <c r="U42" s="1198"/>
      <c r="V42" s="1198"/>
      <c r="W42" s="1198"/>
      <c r="X42" s="1198"/>
      <c r="Y42" s="1198"/>
      <c r="Z42" s="1198"/>
      <c r="AA42" s="1198"/>
      <c r="AB42" s="1198"/>
      <c r="AC42" s="1198"/>
      <c r="AD42" s="1198"/>
      <c r="AE42" s="1198"/>
      <c r="AF42" s="1198"/>
      <c r="AG42" s="1198"/>
      <c r="AH42" s="1198"/>
      <c r="AI42" s="1198"/>
      <c r="AJ42" s="1198"/>
      <c r="AK42" s="1198"/>
      <c r="AL42" s="1198"/>
      <c r="AM42" s="1198"/>
      <c r="AN42" s="1198"/>
      <c r="AO42" s="1198"/>
      <c r="AP42" s="1198"/>
      <c r="AQ42" s="1198"/>
      <c r="AR42" s="1621"/>
      <c r="AS42" s="1621"/>
      <c r="AT42" s="1621"/>
      <c r="AU42" s="1198"/>
      <c r="AV42" s="1198"/>
      <c r="AW42" s="1198"/>
      <c r="AX42" s="1627"/>
      <c r="AY42" s="1627"/>
      <c r="AZ42" s="1627"/>
      <c r="BA42" s="1627"/>
      <c r="BB42" s="1627">
        <v>0</v>
      </c>
      <c r="BC42" s="1627">
        <v>62</v>
      </c>
      <c r="BD42" s="1627">
        <v>13</v>
      </c>
      <c r="BE42" s="1627">
        <v>28</v>
      </c>
      <c r="BF42" s="1627">
        <v>0</v>
      </c>
      <c r="BG42" s="1627">
        <v>0</v>
      </c>
      <c r="BH42" s="1627">
        <v>7</v>
      </c>
      <c r="BI42" s="1627">
        <v>0</v>
      </c>
      <c r="BJ42" s="1627">
        <v>0</v>
      </c>
      <c r="BK42" s="1627">
        <v>0</v>
      </c>
      <c r="BL42" s="1627">
        <v>15</v>
      </c>
      <c r="BM42" s="1627">
        <v>33</v>
      </c>
      <c r="BN42" s="1631">
        <v>418</v>
      </c>
      <c r="BO42" s="1627">
        <v>0</v>
      </c>
      <c r="BP42" s="1627">
        <v>0</v>
      </c>
      <c r="BQ42" s="1630">
        <v>2</v>
      </c>
      <c r="BR42" s="1627">
        <v>26</v>
      </c>
      <c r="BS42" s="1627">
        <v>0</v>
      </c>
      <c r="BT42" s="1627">
        <v>37</v>
      </c>
      <c r="BU42" s="1629">
        <v>110</v>
      </c>
      <c r="BV42" s="1631">
        <v>0</v>
      </c>
      <c r="BW42" s="1627">
        <v>0</v>
      </c>
      <c r="BX42" s="1627">
        <v>0</v>
      </c>
      <c r="BY42" s="1629">
        <v>16</v>
      </c>
      <c r="BZ42" s="1631">
        <v>0</v>
      </c>
      <c r="CA42" s="1629">
        <v>0</v>
      </c>
      <c r="CB42" s="1629">
        <v>0</v>
      </c>
      <c r="CC42" s="1629">
        <v>0</v>
      </c>
      <c r="CD42" s="1631">
        <v>0</v>
      </c>
      <c r="CE42" s="1629">
        <v>0</v>
      </c>
      <c r="CF42" s="1629">
        <v>0</v>
      </c>
      <c r="CG42" s="1629">
        <v>0</v>
      </c>
      <c r="CH42" s="1631">
        <v>0</v>
      </c>
      <c r="CI42" s="1629">
        <v>0</v>
      </c>
      <c r="CJ42" s="1629">
        <v>0</v>
      </c>
      <c r="CK42" s="1629"/>
      <c r="CL42" s="1756"/>
      <c r="CM42" s="1198"/>
      <c r="CN42" s="1198"/>
      <c r="CO42" s="1198"/>
      <c r="CP42" s="1198"/>
      <c r="CQ42" s="1198"/>
      <c r="CR42" s="1198"/>
      <c r="CS42" s="1198"/>
      <c r="CT42" s="1198"/>
    </row>
    <row r="43" spans="1:98" ht="11.25" customHeight="1" collapsed="1">
      <c r="A43" s="1225" t="s">
        <v>643</v>
      </c>
      <c r="B43" s="1620"/>
      <c r="C43" s="1620"/>
      <c r="D43" s="1621"/>
      <c r="E43" s="1621"/>
      <c r="F43" s="1621"/>
      <c r="G43" s="1621"/>
      <c r="H43" s="1627"/>
      <c r="I43" s="1340"/>
      <c r="J43" s="1340"/>
      <c r="K43" s="1340"/>
      <c r="L43" s="1340"/>
      <c r="M43" s="1340"/>
      <c r="N43" s="1344">
        <f t="shared" si="18"/>
        <v>0</v>
      </c>
      <c r="O43" s="1635">
        <f t="shared" si="19"/>
        <v>0</v>
      </c>
      <c r="P43" s="1341">
        <f t="shared" si="20"/>
        <v>0</v>
      </c>
      <c r="Q43" s="1341">
        <f t="shared" si="21"/>
        <v>0</v>
      </c>
      <c r="R43" s="1342">
        <f>SUM(CH43:CK43)</f>
        <v>0</v>
      </c>
      <c r="S43" s="1340">
        <f t="shared" si="22"/>
        <v>0</v>
      </c>
      <c r="T43" s="1198"/>
      <c r="U43" s="1198"/>
      <c r="V43" s="1198"/>
      <c r="W43" s="1198"/>
      <c r="X43" s="1198"/>
      <c r="Y43" s="1198"/>
      <c r="Z43" s="1198"/>
      <c r="AA43" s="1198"/>
      <c r="AB43" s="1198"/>
      <c r="AC43" s="1198"/>
      <c r="AD43" s="1198"/>
      <c r="AE43" s="1198"/>
      <c r="AF43" s="1198"/>
      <c r="AG43" s="1198"/>
      <c r="AH43" s="1198"/>
      <c r="AI43" s="1198"/>
      <c r="AJ43" s="1198"/>
      <c r="AK43" s="1198"/>
      <c r="AL43" s="1198"/>
      <c r="AM43" s="1198"/>
      <c r="AN43" s="1198"/>
      <c r="AO43" s="1198"/>
      <c r="AP43" s="1198"/>
      <c r="AQ43" s="1198"/>
      <c r="AR43" s="1621"/>
      <c r="AS43" s="1621"/>
      <c r="AT43" s="1621"/>
      <c r="AU43" s="1198"/>
      <c r="AV43" s="1198"/>
      <c r="AW43" s="1198"/>
      <c r="AX43" s="1627"/>
      <c r="AY43" s="1627"/>
      <c r="AZ43" s="1627"/>
      <c r="BA43" s="1627"/>
      <c r="BB43" s="1627"/>
      <c r="BC43" s="1627"/>
      <c r="BD43" s="1627"/>
      <c r="BE43" s="1627"/>
      <c r="BF43" s="1627"/>
      <c r="BG43" s="1627"/>
      <c r="BH43" s="1627"/>
      <c r="BI43" s="1627"/>
      <c r="BJ43" s="1627"/>
      <c r="BK43" s="1627"/>
      <c r="BL43" s="1627"/>
      <c r="BM43" s="1627"/>
      <c r="BN43" s="1631"/>
      <c r="BO43" s="1627"/>
      <c r="BP43" s="1627"/>
      <c r="BQ43" s="1630"/>
      <c r="BR43" s="1627"/>
      <c r="BS43" s="1627"/>
      <c r="BT43" s="1627"/>
      <c r="BU43" s="1629"/>
      <c r="BV43" s="1631"/>
      <c r="BW43" s="1627"/>
      <c r="BX43" s="1627"/>
      <c r="BY43" s="1629"/>
      <c r="BZ43" s="1631"/>
      <c r="CA43" s="1629"/>
      <c r="CB43" s="1629"/>
      <c r="CC43" s="1629"/>
      <c r="CD43" s="1631"/>
      <c r="CE43" s="1629"/>
      <c r="CF43" s="1629"/>
      <c r="CG43" s="1629"/>
      <c r="CH43" s="1631"/>
      <c r="CI43" s="1627"/>
      <c r="CJ43" s="1627"/>
      <c r="CK43" s="1627"/>
      <c r="CL43" s="1756"/>
      <c r="CM43" s="1198"/>
      <c r="CN43" s="1198"/>
      <c r="CO43" s="1198"/>
      <c r="CP43" s="1198"/>
      <c r="CQ43" s="1198"/>
      <c r="CR43" s="1198"/>
      <c r="CS43" s="1198"/>
      <c r="CT43" s="1198"/>
    </row>
    <row r="44" spans="1:98" ht="11.25" customHeight="1">
      <c r="A44" s="1225" t="s">
        <v>792</v>
      </c>
      <c r="B44" s="1620"/>
      <c r="C44" s="1620"/>
      <c r="D44" s="1621"/>
      <c r="E44" s="1621"/>
      <c r="F44" s="1621"/>
      <c r="G44" s="1621"/>
      <c r="H44" s="1627"/>
      <c r="I44" s="1340">
        <v>-146</v>
      </c>
      <c r="J44" s="1340">
        <v>-84</v>
      </c>
      <c r="K44" s="1340">
        <f>SUM(BF44:BI44)</f>
        <v>-61</v>
      </c>
      <c r="L44" s="1340">
        <f>SUM(BJ44:BM44)</f>
        <v>-7</v>
      </c>
      <c r="M44" s="1340">
        <f>SUM(BN44:BQ44)</f>
        <v>27</v>
      </c>
      <c r="N44" s="1340">
        <f t="shared" si="18"/>
        <v>-94</v>
      </c>
      <c r="O44" s="1341">
        <f t="shared" si="19"/>
        <v>-87</v>
      </c>
      <c r="P44" s="1341">
        <f t="shared" si="20"/>
        <v>19</v>
      </c>
      <c r="Q44" s="1341">
        <f t="shared" si="21"/>
        <v>-15</v>
      </c>
      <c r="R44" s="1342">
        <f t="shared" si="23"/>
        <v>1</v>
      </c>
      <c r="S44" s="1340">
        <f t="shared" si="22"/>
        <v>2</v>
      </c>
      <c r="T44" s="1198"/>
      <c r="U44" s="1198"/>
      <c r="V44" s="1198"/>
      <c r="W44" s="1198"/>
      <c r="X44" s="1198"/>
      <c r="Y44" s="1198"/>
      <c r="Z44" s="1198"/>
      <c r="AA44" s="1198"/>
      <c r="AB44" s="1198"/>
      <c r="AC44" s="1198"/>
      <c r="AD44" s="1198"/>
      <c r="AE44" s="1198"/>
      <c r="AF44" s="1198"/>
      <c r="AG44" s="1198"/>
      <c r="AH44" s="1198"/>
      <c r="AI44" s="1198"/>
      <c r="AJ44" s="1198"/>
      <c r="AK44" s="1198"/>
      <c r="AL44" s="1198"/>
      <c r="AM44" s="1198"/>
      <c r="AN44" s="1198"/>
      <c r="AO44" s="1198"/>
      <c r="AP44" s="1198"/>
      <c r="AQ44" s="1198"/>
      <c r="AR44" s="1621"/>
      <c r="AS44" s="1621"/>
      <c r="AT44" s="1621"/>
      <c r="AU44" s="1198"/>
      <c r="AV44" s="1198"/>
      <c r="AW44" s="1198"/>
      <c r="AX44" s="1627"/>
      <c r="AY44" s="1627"/>
      <c r="AZ44" s="1627"/>
      <c r="BA44" s="1627"/>
      <c r="BB44" s="1627">
        <v>-33</v>
      </c>
      <c r="BC44" s="1627">
        <v>-31</v>
      </c>
      <c r="BD44" s="1627">
        <v>-14</v>
      </c>
      <c r="BE44" s="1627">
        <v>-6</v>
      </c>
      <c r="BF44" s="1627">
        <v>-7</v>
      </c>
      <c r="BG44" s="1627">
        <v>-15</v>
      </c>
      <c r="BH44" s="1627">
        <v>16</v>
      </c>
      <c r="BI44" s="1627">
        <v>-55</v>
      </c>
      <c r="BJ44" s="1627">
        <v>-4</v>
      </c>
      <c r="BK44" s="1627">
        <v>14</v>
      </c>
      <c r="BL44" s="1627">
        <v>-5</v>
      </c>
      <c r="BM44" s="1627">
        <v>-12</v>
      </c>
      <c r="BN44" s="1631">
        <v>1</v>
      </c>
      <c r="BO44" s="1627">
        <v>16</v>
      </c>
      <c r="BP44" s="1627">
        <v>5</v>
      </c>
      <c r="BQ44" s="1630">
        <v>5</v>
      </c>
      <c r="BR44" s="1627">
        <v>1</v>
      </c>
      <c r="BS44" s="1627">
        <v>-173</v>
      </c>
      <c r="BT44" s="1627">
        <v>71</v>
      </c>
      <c r="BU44" s="1629">
        <v>7</v>
      </c>
      <c r="BV44" s="1631">
        <v>4</v>
      </c>
      <c r="BW44" s="1627">
        <v>5</v>
      </c>
      <c r="BX44" s="1627">
        <v>4</v>
      </c>
      <c r="BY44" s="1629">
        <v>-100</v>
      </c>
      <c r="BZ44" s="1631">
        <v>5</v>
      </c>
      <c r="CA44" s="1629">
        <v>2</v>
      </c>
      <c r="CB44" s="1629">
        <v>10</v>
      </c>
      <c r="CC44" s="1629">
        <v>2</v>
      </c>
      <c r="CD44" s="1631">
        <v>-8</v>
      </c>
      <c r="CE44" s="1629">
        <v>1</v>
      </c>
      <c r="CF44" s="1629">
        <v>1</v>
      </c>
      <c r="CG44" s="1629">
        <v>-9</v>
      </c>
      <c r="CH44" s="1631">
        <v>1</v>
      </c>
      <c r="CI44" s="1766">
        <v>-1</v>
      </c>
      <c r="CJ44" s="1766">
        <v>1</v>
      </c>
      <c r="CK44" s="1766">
        <f>1-CJ44-CI44-CH44</f>
        <v>0</v>
      </c>
      <c r="CL44" s="1756">
        <v>2</v>
      </c>
      <c r="CM44" s="1198"/>
      <c r="CN44" s="1198"/>
      <c r="CO44" s="1198"/>
      <c r="CP44" s="1198"/>
      <c r="CQ44" s="1198"/>
      <c r="CR44" s="1198"/>
      <c r="CS44" s="1198"/>
      <c r="CT44" s="1198"/>
    </row>
    <row r="45" spans="1:98" ht="11.25" customHeight="1">
      <c r="A45" s="1213" t="s">
        <v>711</v>
      </c>
      <c r="B45" s="1623"/>
      <c r="C45" s="1623"/>
      <c r="D45" s="1624"/>
      <c r="E45" s="1624"/>
      <c r="F45" s="1624"/>
      <c r="G45" s="1624"/>
      <c r="H45" s="1330"/>
      <c r="I45" s="1326">
        <v>-8059</v>
      </c>
      <c r="J45" s="1326">
        <v>-2738</v>
      </c>
      <c r="K45" s="1326">
        <f>SUM(BF45:BI45)</f>
        <v>-2340</v>
      </c>
      <c r="L45" s="1326">
        <f>SUM(BJ45:BM45)</f>
        <v>-2295</v>
      </c>
      <c r="M45" s="1326">
        <f t="shared" ref="M45:R45" si="24">SUM(M37:M44)</f>
        <v>-459</v>
      </c>
      <c r="N45" s="1326">
        <f t="shared" si="24"/>
        <v>-1700</v>
      </c>
      <c r="O45" s="1327">
        <f t="shared" si="24"/>
        <v>-1601</v>
      </c>
      <c r="P45" s="1327">
        <f>SUM(P37:P44)</f>
        <v>-1693</v>
      </c>
      <c r="Q45" s="1327">
        <f>SUM(Q37:Q44)</f>
        <v>-1406</v>
      </c>
      <c r="R45" s="1328">
        <f t="shared" si="24"/>
        <v>-1488</v>
      </c>
      <c r="S45" s="1326">
        <f>SUM(S37:S44)</f>
        <v>-408</v>
      </c>
      <c r="T45" s="1198"/>
      <c r="U45" s="1198"/>
      <c r="V45" s="1198"/>
      <c r="W45" s="1198"/>
      <c r="X45" s="1198"/>
      <c r="Y45" s="1198"/>
      <c r="Z45" s="1213"/>
      <c r="AA45" s="1213"/>
      <c r="AB45" s="1213"/>
      <c r="AC45" s="1213"/>
      <c r="AD45" s="1213"/>
      <c r="AE45" s="1213"/>
      <c r="AF45" s="1213"/>
      <c r="AG45" s="1213"/>
      <c r="AH45" s="1213"/>
      <c r="AI45" s="1213"/>
      <c r="AJ45" s="1213"/>
      <c r="AK45" s="1213"/>
      <c r="AL45" s="1213"/>
      <c r="AM45" s="1213"/>
      <c r="AN45" s="1213"/>
      <c r="AO45" s="1213"/>
      <c r="AP45" s="1213"/>
      <c r="AQ45" s="1213"/>
      <c r="AR45" s="1624"/>
      <c r="AS45" s="1624"/>
      <c r="AT45" s="1624"/>
      <c r="AU45" s="1213"/>
      <c r="AV45" s="1213"/>
      <c r="AW45" s="1213"/>
      <c r="AX45" s="1330"/>
      <c r="AY45" s="1330"/>
      <c r="AZ45" s="1330"/>
      <c r="BA45" s="1330"/>
      <c r="BB45" s="1330">
        <v>-1196</v>
      </c>
      <c r="BC45" s="1330">
        <v>-1315</v>
      </c>
      <c r="BD45" s="1330">
        <v>312</v>
      </c>
      <c r="BE45" s="1330">
        <v>-539</v>
      </c>
      <c r="BF45" s="1330">
        <v>-436</v>
      </c>
      <c r="BG45" s="1330">
        <v>-520</v>
      </c>
      <c r="BH45" s="1330">
        <v>-516</v>
      </c>
      <c r="BI45" s="1330">
        <v>-868</v>
      </c>
      <c r="BJ45" s="1330">
        <v>-457</v>
      </c>
      <c r="BK45" s="1330">
        <v>-540</v>
      </c>
      <c r="BL45" s="1330">
        <v>-342</v>
      </c>
      <c r="BM45" s="1330">
        <v>-956</v>
      </c>
      <c r="BN45" s="1329">
        <v>-86</v>
      </c>
      <c r="BO45" s="1330">
        <v>30</v>
      </c>
      <c r="BP45" s="1330">
        <v>-386</v>
      </c>
      <c r="BQ45" s="1637">
        <v>-17</v>
      </c>
      <c r="BR45" s="1330">
        <v>-392</v>
      </c>
      <c r="BS45" s="1330">
        <v>-497</v>
      </c>
      <c r="BT45" s="1330">
        <v>-492</v>
      </c>
      <c r="BU45" s="1636">
        <v>-319</v>
      </c>
      <c r="BV45" s="1329">
        <v>-308</v>
      </c>
      <c r="BW45" s="1330">
        <v>-420</v>
      </c>
      <c r="BX45" s="1330">
        <v>-295</v>
      </c>
      <c r="BY45" s="1636">
        <v>-578</v>
      </c>
      <c r="BZ45" s="1329">
        <v>-380</v>
      </c>
      <c r="CA45" s="1636">
        <v>-521</v>
      </c>
      <c r="CB45" s="1636">
        <v>-442</v>
      </c>
      <c r="CC45" s="1636">
        <v>-350</v>
      </c>
      <c r="CD45" s="1329">
        <v>-336</v>
      </c>
      <c r="CE45" s="1636">
        <v>-348</v>
      </c>
      <c r="CF45" s="1636">
        <v>-332</v>
      </c>
      <c r="CG45" s="1636">
        <v>-390</v>
      </c>
      <c r="CH45" s="1331">
        <f>SUM(CH37:CH44)</f>
        <v>-1043</v>
      </c>
      <c r="CI45" s="1326">
        <f>SUM(CI37:CI44)</f>
        <v>-336</v>
      </c>
      <c r="CJ45" s="1326">
        <f>SUM(CJ37:CJ44)</f>
        <v>289</v>
      </c>
      <c r="CK45" s="1326">
        <f>SUM(CK37:CK44)</f>
        <v>-398</v>
      </c>
      <c r="CL45" s="1331">
        <f>SUM(CL37:CL44)</f>
        <v>-408</v>
      </c>
      <c r="CM45" s="1198"/>
      <c r="CN45" s="1198"/>
      <c r="CO45" s="1198"/>
      <c r="CP45" s="1198"/>
      <c r="CQ45" s="1198"/>
      <c r="CR45" s="1198"/>
      <c r="CS45" s="1198"/>
      <c r="CT45" s="1198"/>
    </row>
    <row r="46" spans="1:98" ht="5.25" customHeight="1">
      <c r="A46" s="1225"/>
      <c r="B46" s="1620"/>
      <c r="C46" s="1620"/>
      <c r="D46" s="1621"/>
      <c r="E46" s="1621"/>
      <c r="F46" s="1621"/>
      <c r="G46" s="1621"/>
      <c r="H46" s="1627"/>
      <c r="I46" s="1627"/>
      <c r="J46" s="1627"/>
      <c r="K46" s="1627"/>
      <c r="L46" s="1627"/>
      <c r="M46" s="1627"/>
      <c r="N46" s="1627"/>
      <c r="O46" s="1629"/>
      <c r="P46" s="1629"/>
      <c r="Q46" s="1629"/>
      <c r="R46" s="1630"/>
      <c r="S46" s="1627"/>
      <c r="T46" s="1198"/>
      <c r="U46" s="1198"/>
      <c r="V46" s="1198"/>
      <c r="W46" s="1198"/>
      <c r="X46" s="1198"/>
      <c r="Y46" s="1198"/>
      <c r="Z46" s="1198"/>
      <c r="AA46" s="1198"/>
      <c r="AB46" s="1198"/>
      <c r="AC46" s="1198"/>
      <c r="AD46" s="1198"/>
      <c r="AE46" s="1198"/>
      <c r="AF46" s="1198"/>
      <c r="AG46" s="1198"/>
      <c r="AH46" s="1198"/>
      <c r="AI46" s="1198"/>
      <c r="AJ46" s="1198"/>
      <c r="AK46" s="1198"/>
      <c r="AL46" s="1198"/>
      <c r="AM46" s="1198"/>
      <c r="AN46" s="1198"/>
      <c r="AO46" s="1198"/>
      <c r="AP46" s="1198"/>
      <c r="AQ46" s="1198"/>
      <c r="AR46" s="1621"/>
      <c r="AS46" s="1621"/>
      <c r="AT46" s="1621"/>
      <c r="AU46" s="1198"/>
      <c r="AV46" s="1198"/>
      <c r="AW46" s="1198"/>
      <c r="AX46" s="1627"/>
      <c r="AY46" s="1627"/>
      <c r="AZ46" s="1627"/>
      <c r="BA46" s="1627"/>
      <c r="BB46" s="1755"/>
      <c r="BC46" s="1755"/>
      <c r="BD46" s="1755"/>
      <c r="BE46" s="1755"/>
      <c r="BF46" s="1755"/>
      <c r="BG46" s="1755"/>
      <c r="BH46" s="1755"/>
      <c r="BI46" s="1755"/>
      <c r="BJ46" s="1755"/>
      <c r="BK46" s="1755"/>
      <c r="BL46" s="1755"/>
      <c r="BM46" s="1755"/>
      <c r="BN46" s="1756"/>
      <c r="BO46" s="1755"/>
      <c r="BP46" s="1755"/>
      <c r="BQ46" s="1757"/>
      <c r="BR46" s="1755"/>
      <c r="BS46" s="1755"/>
      <c r="BT46" s="1755"/>
      <c r="BU46" s="1758"/>
      <c r="BV46" s="1756"/>
      <c r="BW46" s="1755"/>
      <c r="BX46" s="1755"/>
      <c r="BY46" s="1758"/>
      <c r="BZ46" s="1756"/>
      <c r="CA46" s="1758"/>
      <c r="CB46" s="1758"/>
      <c r="CC46" s="1758"/>
      <c r="CD46" s="1756"/>
      <c r="CE46" s="1758"/>
      <c r="CF46" s="1758"/>
      <c r="CG46" s="1758"/>
      <c r="CH46" s="1756"/>
      <c r="CI46" s="1755"/>
      <c r="CJ46" s="1755"/>
      <c r="CK46" s="1627"/>
      <c r="CL46" s="1631"/>
      <c r="CM46" s="1198"/>
      <c r="CN46" s="1198"/>
      <c r="CO46" s="1198"/>
      <c r="CP46" s="1198"/>
      <c r="CQ46" s="1198"/>
      <c r="CR46" s="1198"/>
      <c r="CS46" s="1198"/>
      <c r="CT46" s="1198"/>
    </row>
    <row r="47" spans="1:98" ht="11.25" customHeight="1">
      <c r="A47" s="1520" t="s">
        <v>1132</v>
      </c>
      <c r="B47" s="1623"/>
      <c r="C47" s="1623"/>
      <c r="D47" s="1624"/>
      <c r="E47" s="1624"/>
      <c r="F47" s="1624"/>
      <c r="G47" s="1624"/>
      <c r="H47" s="1330"/>
      <c r="I47" s="1330"/>
      <c r="J47" s="1330"/>
      <c r="K47" s="1330"/>
      <c r="L47" s="1330"/>
      <c r="M47" s="1330"/>
      <c r="N47" s="1330"/>
      <c r="O47" s="1636"/>
      <c r="P47" s="1636"/>
      <c r="Q47" s="1636"/>
      <c r="R47" s="1637"/>
      <c r="S47" s="1330"/>
      <c r="T47" s="1198"/>
      <c r="U47" s="1198"/>
      <c r="V47" s="1198"/>
      <c r="W47" s="1198"/>
      <c r="X47" s="1198"/>
      <c r="Y47" s="1198"/>
      <c r="Z47" s="1213"/>
      <c r="AA47" s="1213"/>
      <c r="AB47" s="1213"/>
      <c r="AC47" s="1213"/>
      <c r="AD47" s="1213"/>
      <c r="AE47" s="1213"/>
      <c r="AF47" s="1213"/>
      <c r="AG47" s="1213"/>
      <c r="AH47" s="1213"/>
      <c r="AI47" s="1213"/>
      <c r="AJ47" s="1213"/>
      <c r="AK47" s="1213"/>
      <c r="AL47" s="1213"/>
      <c r="AM47" s="1213"/>
      <c r="AN47" s="1213"/>
      <c r="AO47" s="1213"/>
      <c r="AP47" s="1213"/>
      <c r="AQ47" s="1213"/>
      <c r="AR47" s="1624"/>
      <c r="AS47" s="1624"/>
      <c r="AT47" s="1624"/>
      <c r="AU47" s="1213"/>
      <c r="AV47" s="1213"/>
      <c r="AW47" s="1213"/>
      <c r="AX47" s="1330"/>
      <c r="AY47" s="1330"/>
      <c r="AZ47" s="1330"/>
      <c r="BA47" s="1330"/>
      <c r="BB47" s="1330"/>
      <c r="BC47" s="1330"/>
      <c r="BD47" s="1330"/>
      <c r="BE47" s="1330"/>
      <c r="BF47" s="1330"/>
      <c r="BG47" s="1330"/>
      <c r="BH47" s="1330"/>
      <c r="BI47" s="1330"/>
      <c r="BJ47" s="1330"/>
      <c r="BK47" s="1330"/>
      <c r="BL47" s="1330"/>
      <c r="BM47" s="1330"/>
      <c r="BN47" s="1329"/>
      <c r="BO47" s="1330"/>
      <c r="BP47" s="1330"/>
      <c r="BQ47" s="1637"/>
      <c r="BR47" s="1330"/>
      <c r="BS47" s="1330"/>
      <c r="BT47" s="1330"/>
      <c r="BU47" s="1636"/>
      <c r="BV47" s="1329"/>
      <c r="BW47" s="1330"/>
      <c r="BX47" s="1330"/>
      <c r="BY47" s="1636"/>
      <c r="BZ47" s="1329"/>
      <c r="CA47" s="1636"/>
      <c r="CB47" s="1636"/>
      <c r="CC47" s="1636"/>
      <c r="CD47" s="1329"/>
      <c r="CE47" s="1636"/>
      <c r="CF47" s="1636"/>
      <c r="CG47" s="1636"/>
      <c r="CH47" s="1329"/>
      <c r="CI47" s="1330"/>
      <c r="CJ47" s="1330"/>
      <c r="CK47" s="1330"/>
      <c r="CL47" s="1329"/>
      <c r="CM47" s="1198"/>
      <c r="CN47" s="1198"/>
      <c r="CO47" s="1198"/>
      <c r="CP47" s="1198"/>
      <c r="CQ47" s="1198"/>
      <c r="CR47" s="1198"/>
      <c r="CS47" s="1198"/>
      <c r="CT47" s="1198"/>
    </row>
    <row r="48" spans="1:98" ht="11.25" customHeight="1">
      <c r="A48" s="1225" t="s">
        <v>712</v>
      </c>
      <c r="B48" s="1623"/>
      <c r="C48" s="1623"/>
      <c r="D48" s="1624"/>
      <c r="E48" s="1624"/>
      <c r="F48" s="1624"/>
      <c r="G48" s="1624"/>
      <c r="H48" s="1330"/>
      <c r="I48" s="1340">
        <v>6911</v>
      </c>
      <c r="J48" s="1340">
        <v>1476</v>
      </c>
      <c r="K48" s="1340">
        <f t="shared" ref="K48:K54" si="25">SUM(BF48:BI48)</f>
        <v>1729</v>
      </c>
      <c r="L48" s="1340">
        <f t="shared" ref="L48:L56" si="26">SUM(BJ48:BM48)</f>
        <v>2601</v>
      </c>
      <c r="M48" s="1340">
        <f t="shared" ref="M48:M55" si="27">SUM(BN48:BQ48)</f>
        <v>3152</v>
      </c>
      <c r="N48" s="1340">
        <f t="shared" ref="N48:N55" si="28">SUM(BR48:BU48)</f>
        <v>600</v>
      </c>
      <c r="O48" s="1341">
        <f t="shared" ref="O48:O55" si="29">SUM(BV48:BY48)</f>
        <v>500</v>
      </c>
      <c r="P48" s="1341">
        <f t="shared" ref="P48:P55" si="30">SUM(BZ48:CC48)</f>
        <v>0</v>
      </c>
      <c r="Q48" s="1341">
        <f t="shared" ref="Q48:Q55" si="31">SUM(CD48:CG48)</f>
        <v>1270</v>
      </c>
      <c r="R48" s="1342">
        <f t="shared" ref="R48:R53" si="32">SUM(CH48:CK48)</f>
        <v>775</v>
      </c>
      <c r="S48" s="1340">
        <f>SUM(CL48:CO48)</f>
        <v>0</v>
      </c>
      <c r="T48" s="1198"/>
      <c r="U48" s="1198"/>
      <c r="V48" s="1198"/>
      <c r="W48" s="1198"/>
      <c r="X48" s="1198"/>
      <c r="Y48" s="1198"/>
      <c r="Z48" s="1213"/>
      <c r="AA48" s="1213"/>
      <c r="AB48" s="1213"/>
      <c r="AC48" s="1213"/>
      <c r="AD48" s="1213"/>
      <c r="AE48" s="1213"/>
      <c r="AF48" s="1213"/>
      <c r="AG48" s="1213"/>
      <c r="AH48" s="1213"/>
      <c r="AI48" s="1213"/>
      <c r="AJ48" s="1213"/>
      <c r="AK48" s="1213"/>
      <c r="AL48" s="1213"/>
      <c r="AM48" s="1213"/>
      <c r="AN48" s="1213"/>
      <c r="AO48" s="1213"/>
      <c r="AP48" s="1213"/>
      <c r="AQ48" s="1213"/>
      <c r="AR48" s="1624"/>
      <c r="AS48" s="1624"/>
      <c r="AT48" s="1624"/>
      <c r="AU48" s="1213"/>
      <c r="AV48" s="1213"/>
      <c r="AW48" s="1213"/>
      <c r="AX48" s="1330"/>
      <c r="AY48" s="1330"/>
      <c r="AZ48" s="1330"/>
      <c r="BA48" s="1330"/>
      <c r="BB48" s="1755">
        <v>1476</v>
      </c>
      <c r="BC48" s="1755">
        <v>0</v>
      </c>
      <c r="BD48" s="1755">
        <v>0</v>
      </c>
      <c r="BE48" s="1755">
        <v>0</v>
      </c>
      <c r="BF48" s="1755">
        <v>0</v>
      </c>
      <c r="BG48" s="1755">
        <v>1729</v>
      </c>
      <c r="BH48" s="1755">
        <v>0</v>
      </c>
      <c r="BI48" s="1755">
        <v>0</v>
      </c>
      <c r="BJ48" s="1755">
        <v>1765</v>
      </c>
      <c r="BK48" s="1755">
        <v>1</v>
      </c>
      <c r="BL48" s="1755">
        <v>568</v>
      </c>
      <c r="BM48" s="1755">
        <v>267</v>
      </c>
      <c r="BN48" s="1756">
        <v>0</v>
      </c>
      <c r="BO48" s="1755">
        <v>1885</v>
      </c>
      <c r="BP48" s="1755">
        <v>2</v>
      </c>
      <c r="BQ48" s="1757">
        <v>1265</v>
      </c>
      <c r="BR48" s="1755">
        <v>0</v>
      </c>
      <c r="BS48" s="1755">
        <v>0</v>
      </c>
      <c r="BT48" s="1755">
        <v>600</v>
      </c>
      <c r="BU48" s="1758">
        <v>0</v>
      </c>
      <c r="BV48" s="1756">
        <v>0</v>
      </c>
      <c r="BW48" s="1755">
        <v>500</v>
      </c>
      <c r="BX48" s="1755">
        <v>0</v>
      </c>
      <c r="BY48" s="1758">
        <v>0</v>
      </c>
      <c r="BZ48" s="1756">
        <v>0</v>
      </c>
      <c r="CA48" s="1758">
        <v>0</v>
      </c>
      <c r="CB48" s="1758">
        <v>0</v>
      </c>
      <c r="CC48" s="1758">
        <v>0</v>
      </c>
      <c r="CD48" s="1756">
        <v>0</v>
      </c>
      <c r="CE48" s="1758">
        <v>738</v>
      </c>
      <c r="CF48" s="1758">
        <v>532</v>
      </c>
      <c r="CG48" s="1758">
        <v>0</v>
      </c>
      <c r="CH48" s="1756">
        <v>775</v>
      </c>
      <c r="CI48" s="1758">
        <v>0</v>
      </c>
      <c r="CJ48" s="1758">
        <v>0</v>
      </c>
      <c r="CK48" s="1758">
        <v>0</v>
      </c>
      <c r="CL48" s="1346"/>
      <c r="CM48" s="1198"/>
      <c r="CN48" s="1198"/>
      <c r="CO48" s="1198"/>
      <c r="CP48" s="1198"/>
      <c r="CQ48" s="1198"/>
      <c r="CR48" s="1198"/>
      <c r="CS48" s="1198"/>
      <c r="CT48" s="1198"/>
    </row>
    <row r="49" spans="1:98" ht="11.25" customHeight="1">
      <c r="A49" s="1225" t="s">
        <v>713</v>
      </c>
      <c r="B49" s="1620"/>
      <c r="C49" s="1620"/>
      <c r="D49" s="1621"/>
      <c r="E49" s="1621"/>
      <c r="F49" s="1621"/>
      <c r="G49" s="1621"/>
      <c r="H49" s="1627"/>
      <c r="I49" s="1340">
        <v>-2659</v>
      </c>
      <c r="J49" s="1340">
        <v>-2890</v>
      </c>
      <c r="K49" s="1340">
        <f t="shared" si="25"/>
        <v>-5792</v>
      </c>
      <c r="L49" s="1340">
        <f t="shared" si="26"/>
        <v>-2714</v>
      </c>
      <c r="M49" s="1340">
        <f t="shared" si="27"/>
        <v>-4716</v>
      </c>
      <c r="N49" s="1340">
        <f t="shared" si="28"/>
        <v>-1180</v>
      </c>
      <c r="O49" s="1341">
        <f t="shared" si="29"/>
        <v>-1176</v>
      </c>
      <c r="P49" s="1341">
        <f t="shared" si="30"/>
        <v>-631</v>
      </c>
      <c r="Q49" s="1341">
        <f t="shared" si="31"/>
        <v>-827</v>
      </c>
      <c r="R49" s="1342">
        <f t="shared" si="32"/>
        <v>-3379</v>
      </c>
      <c r="S49" s="1340">
        <f t="shared" ref="S49:S55" si="33">SUM(CL49:CO49)</f>
        <v>-203</v>
      </c>
      <c r="T49" s="1198"/>
      <c r="U49" s="1198"/>
      <c r="V49" s="1198"/>
      <c r="W49" s="1198"/>
      <c r="X49" s="1198"/>
      <c r="Y49" s="1198"/>
      <c r="Z49" s="1198"/>
      <c r="AA49" s="1198"/>
      <c r="AB49" s="1198"/>
      <c r="AC49" s="1198"/>
      <c r="AD49" s="1198"/>
      <c r="AE49" s="1198"/>
      <c r="AF49" s="1198"/>
      <c r="AG49" s="1198"/>
      <c r="AH49" s="1198"/>
      <c r="AI49" s="1198"/>
      <c r="AJ49" s="1198"/>
      <c r="AK49" s="1198"/>
      <c r="AL49" s="1198"/>
      <c r="AM49" s="1198"/>
      <c r="AN49" s="1198"/>
      <c r="AO49" s="1198"/>
      <c r="AP49" s="1198"/>
      <c r="AQ49" s="1198"/>
      <c r="AR49" s="1621"/>
      <c r="AS49" s="1621"/>
      <c r="AT49" s="1621"/>
      <c r="AU49" s="1198"/>
      <c r="AV49" s="1198"/>
      <c r="AW49" s="1198"/>
      <c r="AX49" s="1627"/>
      <c r="AY49" s="1627"/>
      <c r="AZ49" s="1627"/>
      <c r="BA49" s="1627"/>
      <c r="BB49" s="1755">
        <v>-49</v>
      </c>
      <c r="BC49" s="1755">
        <v>-187</v>
      </c>
      <c r="BD49" s="1755">
        <v>-881</v>
      </c>
      <c r="BE49" s="1755">
        <v>-1773</v>
      </c>
      <c r="BF49" s="1755">
        <v>-172</v>
      </c>
      <c r="BG49" s="1755">
        <v>-1503</v>
      </c>
      <c r="BH49" s="1755">
        <v>-355</v>
      </c>
      <c r="BI49" s="1755">
        <v>-3762</v>
      </c>
      <c r="BJ49" s="1755">
        <v>-1686</v>
      </c>
      <c r="BK49" s="1755">
        <v>-176</v>
      </c>
      <c r="BL49" s="1755">
        <v>-620</v>
      </c>
      <c r="BM49" s="1755">
        <v>-232</v>
      </c>
      <c r="BN49" s="1756">
        <v>-5</v>
      </c>
      <c r="BO49" s="1755">
        <v>-1545</v>
      </c>
      <c r="BP49" s="1755">
        <v>-228</v>
      </c>
      <c r="BQ49" s="1757">
        <v>-2938</v>
      </c>
      <c r="BR49" s="1755">
        <v>-41</v>
      </c>
      <c r="BS49" s="1755">
        <v>-6</v>
      </c>
      <c r="BT49" s="1755">
        <v>-1098</v>
      </c>
      <c r="BU49" s="1758">
        <v>-35</v>
      </c>
      <c r="BV49" s="1756">
        <v>-9</v>
      </c>
      <c r="BW49" s="1755">
        <v>-891</v>
      </c>
      <c r="BX49" s="1755">
        <v>-11</v>
      </c>
      <c r="BY49" s="1758">
        <v>-265</v>
      </c>
      <c r="BZ49" s="1756">
        <v>-9</v>
      </c>
      <c r="CA49" s="1758">
        <v>-14</v>
      </c>
      <c r="CB49" s="1758">
        <v>-182</v>
      </c>
      <c r="CC49" s="1758">
        <v>-426</v>
      </c>
      <c r="CD49" s="1756">
        <v>-239</v>
      </c>
      <c r="CE49" s="1758">
        <v>-9</v>
      </c>
      <c r="CF49" s="1758">
        <v>-571</v>
      </c>
      <c r="CG49" s="1758">
        <v>-8</v>
      </c>
      <c r="CH49" s="1756">
        <v>-1495</v>
      </c>
      <c r="CI49" s="1758">
        <v>-510</v>
      </c>
      <c r="CJ49" s="1758">
        <v>-232</v>
      </c>
      <c r="CK49" s="1758">
        <f>-3379-CJ49-CI49-CH49</f>
        <v>-1142</v>
      </c>
      <c r="CL49" s="1756">
        <v>-203</v>
      </c>
      <c r="CM49" s="1198"/>
      <c r="CN49" s="1198"/>
      <c r="CO49" s="1198"/>
      <c r="CP49" s="1198"/>
      <c r="CQ49" s="1198"/>
      <c r="CR49" s="1198"/>
      <c r="CS49" s="1198"/>
      <c r="CT49" s="1198"/>
    </row>
    <row r="50" spans="1:98" ht="11.25" customHeight="1">
      <c r="A50" s="1225" t="s">
        <v>714</v>
      </c>
      <c r="B50" s="1620"/>
      <c r="C50" s="1620"/>
      <c r="D50" s="1621"/>
      <c r="E50" s="1621"/>
      <c r="F50" s="1621"/>
      <c r="G50" s="1621"/>
      <c r="H50" s="1627"/>
      <c r="I50" s="1340">
        <v>1247</v>
      </c>
      <c r="J50" s="1340">
        <v>809</v>
      </c>
      <c r="K50" s="1340">
        <f t="shared" si="25"/>
        <v>-750</v>
      </c>
      <c r="L50" s="1340">
        <f t="shared" si="26"/>
        <v>0</v>
      </c>
      <c r="M50" s="1340">
        <f t="shared" si="27"/>
        <v>0</v>
      </c>
      <c r="N50" s="1340">
        <f t="shared" si="28"/>
        <v>0</v>
      </c>
      <c r="O50" s="1341">
        <f t="shared" si="29"/>
        <v>0</v>
      </c>
      <c r="P50" s="1341">
        <f t="shared" si="30"/>
        <v>0</v>
      </c>
      <c r="Q50" s="1341">
        <f t="shared" si="31"/>
        <v>0</v>
      </c>
      <c r="R50" s="1342">
        <f t="shared" si="32"/>
        <v>0</v>
      </c>
      <c r="S50" s="1340">
        <f t="shared" si="33"/>
        <v>0</v>
      </c>
      <c r="T50" s="1198"/>
      <c r="U50" s="1198"/>
      <c r="V50" s="1198"/>
      <c r="W50" s="1198"/>
      <c r="X50" s="1198"/>
      <c r="Y50" s="1198"/>
      <c r="Z50" s="1198"/>
      <c r="AA50" s="1198"/>
      <c r="AB50" s="1198"/>
      <c r="AC50" s="1198"/>
      <c r="AD50" s="1198"/>
      <c r="AE50" s="1198"/>
      <c r="AF50" s="1198"/>
      <c r="AG50" s="1198"/>
      <c r="AH50" s="1198"/>
      <c r="AI50" s="1198"/>
      <c r="AJ50" s="1198"/>
      <c r="AK50" s="1198"/>
      <c r="AL50" s="1198"/>
      <c r="AM50" s="1198"/>
      <c r="AN50" s="1198"/>
      <c r="AO50" s="1198"/>
      <c r="AP50" s="1198"/>
      <c r="AQ50" s="1198"/>
      <c r="AR50" s="1621"/>
      <c r="AS50" s="1621"/>
      <c r="AT50" s="1621"/>
      <c r="AU50" s="1198"/>
      <c r="AV50" s="1198"/>
      <c r="AW50" s="1198"/>
      <c r="AX50" s="1627"/>
      <c r="AY50" s="1627"/>
      <c r="AZ50" s="1627"/>
      <c r="BA50" s="1627"/>
      <c r="BB50" s="1755">
        <v>234</v>
      </c>
      <c r="BC50" s="1755">
        <v>-137</v>
      </c>
      <c r="BD50" s="1755">
        <v>712</v>
      </c>
      <c r="BE50" s="1755">
        <v>0</v>
      </c>
      <c r="BF50" s="1755">
        <v>0</v>
      </c>
      <c r="BG50" s="1755">
        <v>0</v>
      </c>
      <c r="BH50" s="1755">
        <v>-750</v>
      </c>
      <c r="BI50" s="1755">
        <v>0</v>
      </c>
      <c r="BJ50" s="1755">
        <v>0</v>
      </c>
      <c r="BK50" s="1755">
        <v>0</v>
      </c>
      <c r="BL50" s="1755">
        <v>0</v>
      </c>
      <c r="BM50" s="1755">
        <v>0</v>
      </c>
      <c r="BN50" s="1756">
        <v>0</v>
      </c>
      <c r="BO50" s="1755">
        <v>0</v>
      </c>
      <c r="BP50" s="1755">
        <v>0</v>
      </c>
      <c r="BQ50" s="1757">
        <v>0</v>
      </c>
      <c r="BR50" s="1755">
        <v>0</v>
      </c>
      <c r="BS50" s="1755">
        <v>0</v>
      </c>
      <c r="BT50" s="1755">
        <v>0</v>
      </c>
      <c r="BU50" s="1758">
        <v>0</v>
      </c>
      <c r="BV50" s="1756">
        <v>0</v>
      </c>
      <c r="BW50" s="1755">
        <v>0</v>
      </c>
      <c r="BX50" s="1755">
        <v>0</v>
      </c>
      <c r="BY50" s="1758">
        <v>0</v>
      </c>
      <c r="BZ50" s="1756">
        <v>0</v>
      </c>
      <c r="CA50" s="1758">
        <v>0</v>
      </c>
      <c r="CB50" s="1758">
        <v>0</v>
      </c>
      <c r="CC50" s="1758">
        <v>0</v>
      </c>
      <c r="CD50" s="1756">
        <v>0</v>
      </c>
      <c r="CE50" s="1758">
        <v>0</v>
      </c>
      <c r="CF50" s="1758">
        <v>0</v>
      </c>
      <c r="CG50" s="1758">
        <v>0</v>
      </c>
      <c r="CH50" s="1756">
        <v>0</v>
      </c>
      <c r="CI50" s="1758">
        <v>0</v>
      </c>
      <c r="CJ50" s="1758">
        <v>0</v>
      </c>
      <c r="CK50" s="1758"/>
      <c r="CL50" s="1756"/>
      <c r="CM50" s="1198"/>
      <c r="CN50" s="1198"/>
      <c r="CO50" s="1198"/>
      <c r="CP50" s="1198"/>
      <c r="CQ50" s="1198"/>
      <c r="CR50" s="1198"/>
      <c r="CS50" s="1198"/>
      <c r="CT50" s="1198"/>
    </row>
    <row r="51" spans="1:98" ht="10.5" customHeight="1">
      <c r="A51" s="1225" t="s">
        <v>715</v>
      </c>
      <c r="B51" s="1225"/>
      <c r="C51" s="1225"/>
      <c r="D51" s="1225"/>
      <c r="E51" s="1225"/>
      <c r="F51" s="1621"/>
      <c r="G51" s="1621"/>
      <c r="H51" s="1627"/>
      <c r="I51" s="1340">
        <v>286</v>
      </c>
      <c r="J51" s="1340">
        <v>14</v>
      </c>
      <c r="K51" s="1340">
        <f t="shared" si="25"/>
        <v>0</v>
      </c>
      <c r="L51" s="1340">
        <f t="shared" si="26"/>
        <v>0</v>
      </c>
      <c r="M51" s="1340">
        <f t="shared" si="27"/>
        <v>39</v>
      </c>
      <c r="N51" s="1340">
        <f t="shared" si="28"/>
        <v>205</v>
      </c>
      <c r="O51" s="1341">
        <f t="shared" si="29"/>
        <v>113</v>
      </c>
      <c r="P51" s="1341">
        <f t="shared" si="30"/>
        <v>42</v>
      </c>
      <c r="Q51" s="1341">
        <f t="shared" si="31"/>
        <v>57</v>
      </c>
      <c r="R51" s="1342">
        <f t="shared" si="32"/>
        <v>67</v>
      </c>
      <c r="S51" s="1340">
        <f t="shared" si="33"/>
        <v>14</v>
      </c>
      <c r="T51" s="1198"/>
      <c r="U51" s="1198"/>
      <c r="V51" s="1198"/>
      <c r="W51" s="1198"/>
      <c r="X51" s="1198"/>
      <c r="Y51" s="1198"/>
      <c r="Z51" s="1198"/>
      <c r="AA51" s="1198"/>
      <c r="AB51" s="1198"/>
      <c r="AC51" s="1198"/>
      <c r="AD51" s="1198"/>
      <c r="AE51" s="1198"/>
      <c r="AF51" s="1198"/>
      <c r="AG51" s="1198"/>
      <c r="AH51" s="1198"/>
      <c r="AI51" s="1198"/>
      <c r="AJ51" s="1198"/>
      <c r="AK51" s="1198"/>
      <c r="AL51" s="1198"/>
      <c r="AM51" s="1198"/>
      <c r="AN51" s="1198"/>
      <c r="AO51" s="1198"/>
      <c r="AP51" s="1198"/>
      <c r="AQ51" s="1198"/>
      <c r="AR51" s="1621"/>
      <c r="AS51" s="1621"/>
      <c r="AT51" s="1621"/>
      <c r="AU51" s="1198"/>
      <c r="AV51" s="1198"/>
      <c r="AW51" s="1198"/>
      <c r="AX51" s="1627"/>
      <c r="AY51" s="1627"/>
      <c r="AZ51" s="1627"/>
      <c r="BA51" s="1627"/>
      <c r="BB51" s="1755">
        <v>7</v>
      </c>
      <c r="BC51" s="1755">
        <v>7</v>
      </c>
      <c r="BD51" s="1755">
        <v>0</v>
      </c>
      <c r="BE51" s="1755">
        <v>0</v>
      </c>
      <c r="BF51" s="1755">
        <v>0</v>
      </c>
      <c r="BG51" s="1755">
        <v>0</v>
      </c>
      <c r="BH51" s="1755">
        <v>0</v>
      </c>
      <c r="BI51" s="1755">
        <v>0</v>
      </c>
      <c r="BJ51" s="1755">
        <v>0</v>
      </c>
      <c r="BK51" s="1755">
        <v>0</v>
      </c>
      <c r="BL51" s="1755">
        <v>0</v>
      </c>
      <c r="BM51" s="1755">
        <v>0</v>
      </c>
      <c r="BN51" s="1756">
        <v>3</v>
      </c>
      <c r="BO51" s="1755">
        <v>4</v>
      </c>
      <c r="BP51" s="1755">
        <v>3</v>
      </c>
      <c r="BQ51" s="1757">
        <v>29</v>
      </c>
      <c r="BR51" s="1755">
        <v>57</v>
      </c>
      <c r="BS51" s="1755">
        <v>45</v>
      </c>
      <c r="BT51" s="1755">
        <v>48</v>
      </c>
      <c r="BU51" s="1758">
        <v>55</v>
      </c>
      <c r="BV51" s="1756">
        <v>34</v>
      </c>
      <c r="BW51" s="1755">
        <v>32</v>
      </c>
      <c r="BX51" s="1755">
        <v>30</v>
      </c>
      <c r="BY51" s="1758">
        <v>17</v>
      </c>
      <c r="BZ51" s="1756">
        <v>5</v>
      </c>
      <c r="CA51" s="1758">
        <v>12</v>
      </c>
      <c r="CB51" s="1758">
        <v>14</v>
      </c>
      <c r="CC51" s="1758">
        <v>11</v>
      </c>
      <c r="CD51" s="1756">
        <v>16</v>
      </c>
      <c r="CE51" s="1758">
        <v>18</v>
      </c>
      <c r="CF51" s="1758">
        <v>11</v>
      </c>
      <c r="CG51" s="1758">
        <v>12</v>
      </c>
      <c r="CH51" s="1756">
        <v>11</v>
      </c>
      <c r="CI51" s="1758">
        <v>6</v>
      </c>
      <c r="CJ51" s="1758">
        <v>24</v>
      </c>
      <c r="CK51" s="1758">
        <f>67-CJ51-CI51-CH51</f>
        <v>26</v>
      </c>
      <c r="CL51" s="1756">
        <v>14</v>
      </c>
      <c r="CM51" s="1198"/>
      <c r="CN51" s="1198"/>
      <c r="CO51" s="1198"/>
      <c r="CP51" s="1198"/>
      <c r="CQ51" s="1198"/>
      <c r="CR51" s="1198"/>
      <c r="CS51" s="1198"/>
      <c r="CT51" s="1198"/>
    </row>
    <row r="52" spans="1:98" ht="11.25" customHeight="1">
      <c r="A52" s="1225" t="s">
        <v>716</v>
      </c>
      <c r="B52" s="1620"/>
      <c r="C52" s="1620"/>
      <c r="D52" s="1621"/>
      <c r="E52" s="1621"/>
      <c r="F52" s="1621"/>
      <c r="G52" s="1621"/>
      <c r="H52" s="1627"/>
      <c r="I52" s="1340">
        <v>-1000</v>
      </c>
      <c r="J52" s="1340">
        <v>-12</v>
      </c>
      <c r="K52" s="1340">
        <f t="shared" si="25"/>
        <v>0</v>
      </c>
      <c r="L52" s="1340">
        <f t="shared" si="26"/>
        <v>0</v>
      </c>
      <c r="M52" s="1340">
        <f t="shared" si="27"/>
        <v>0</v>
      </c>
      <c r="N52" s="1340">
        <f t="shared" si="28"/>
        <v>-209</v>
      </c>
      <c r="O52" s="1341">
        <f t="shared" si="29"/>
        <v>-1170</v>
      </c>
      <c r="P52" s="1341">
        <f t="shared" si="30"/>
        <v>-420</v>
      </c>
      <c r="Q52" s="1341">
        <f t="shared" si="31"/>
        <v>0</v>
      </c>
      <c r="R52" s="1342">
        <f t="shared" si="32"/>
        <v>0</v>
      </c>
      <c r="S52" s="1340">
        <f t="shared" si="33"/>
        <v>0</v>
      </c>
      <c r="T52" s="1198"/>
      <c r="U52" s="1198"/>
      <c r="V52" s="1198"/>
      <c r="W52" s="1198"/>
      <c r="X52" s="1198"/>
      <c r="Y52" s="1198"/>
      <c r="Z52" s="1198"/>
      <c r="AA52" s="1198"/>
      <c r="AB52" s="1198"/>
      <c r="AC52" s="1198"/>
      <c r="AD52" s="1198"/>
      <c r="AE52" s="1198"/>
      <c r="AF52" s="1198"/>
      <c r="AG52" s="1198"/>
      <c r="AH52" s="1198"/>
      <c r="AI52" s="1198"/>
      <c r="AJ52" s="1198"/>
      <c r="AK52" s="1198"/>
      <c r="AL52" s="1198"/>
      <c r="AM52" s="1198"/>
      <c r="AN52" s="1198"/>
      <c r="AO52" s="1198"/>
      <c r="AP52" s="1198"/>
      <c r="AQ52" s="1198"/>
      <c r="AR52" s="1621"/>
      <c r="AS52" s="1621"/>
      <c r="AT52" s="1621"/>
      <c r="AU52" s="1198"/>
      <c r="AV52" s="1198"/>
      <c r="AW52" s="1198"/>
      <c r="AX52" s="1627"/>
      <c r="AY52" s="1627"/>
      <c r="AZ52" s="1627"/>
      <c r="BA52" s="1627"/>
      <c r="BB52" s="1755">
        <v>-11</v>
      </c>
      <c r="BC52" s="1755">
        <v>0</v>
      </c>
      <c r="BD52" s="1755">
        <v>0</v>
      </c>
      <c r="BE52" s="1755">
        <v>-1</v>
      </c>
      <c r="BF52" s="1755">
        <v>0</v>
      </c>
      <c r="BG52" s="1755">
        <v>0</v>
      </c>
      <c r="BH52" s="1755">
        <v>0</v>
      </c>
      <c r="BI52" s="1755">
        <v>0</v>
      </c>
      <c r="BJ52" s="1755">
        <v>0</v>
      </c>
      <c r="BK52" s="1755">
        <v>0</v>
      </c>
      <c r="BL52" s="1755">
        <v>0</v>
      </c>
      <c r="BM52" s="1755">
        <v>0</v>
      </c>
      <c r="BN52" s="1756">
        <v>0</v>
      </c>
      <c r="BO52" s="1755">
        <v>0</v>
      </c>
      <c r="BP52" s="1755">
        <v>0</v>
      </c>
      <c r="BQ52" s="1757">
        <v>0</v>
      </c>
      <c r="BR52" s="1755">
        <v>0</v>
      </c>
      <c r="BS52" s="1755">
        <v>0</v>
      </c>
      <c r="BT52" s="1755">
        <v>0</v>
      </c>
      <c r="BU52" s="1758">
        <v>-209</v>
      </c>
      <c r="BV52" s="1756">
        <v>-393</v>
      </c>
      <c r="BW52" s="1755">
        <v>-288</v>
      </c>
      <c r="BX52" s="1755">
        <v>-244</v>
      </c>
      <c r="BY52" s="1758">
        <v>-245</v>
      </c>
      <c r="BZ52" s="1756">
        <v>-169</v>
      </c>
      <c r="CA52" s="1758">
        <v>-89</v>
      </c>
      <c r="CB52" s="1758">
        <v>-162</v>
      </c>
      <c r="CC52" s="1758">
        <v>0</v>
      </c>
      <c r="CD52" s="1756">
        <v>0</v>
      </c>
      <c r="CE52" s="1758">
        <v>0</v>
      </c>
      <c r="CF52" s="1758">
        <v>0</v>
      </c>
      <c r="CG52" s="1758">
        <v>0</v>
      </c>
      <c r="CH52" s="1756">
        <v>0</v>
      </c>
      <c r="CI52" s="1758">
        <v>0</v>
      </c>
      <c r="CJ52" s="1758">
        <v>0</v>
      </c>
      <c r="CK52" s="1758"/>
      <c r="CL52" s="1756"/>
      <c r="CM52" s="1198"/>
      <c r="CN52" s="1198"/>
      <c r="CO52" s="1198"/>
      <c r="CP52" s="1198"/>
      <c r="CQ52" s="1198"/>
      <c r="CR52" s="1198"/>
      <c r="CS52" s="1198"/>
      <c r="CT52" s="1198"/>
    </row>
    <row r="53" spans="1:98" ht="11.25" customHeight="1">
      <c r="A53" s="1225" t="s">
        <v>1142</v>
      </c>
      <c r="B53" s="1620"/>
      <c r="C53" s="1620"/>
      <c r="D53" s="1621"/>
      <c r="E53" s="1621"/>
      <c r="F53" s="1621"/>
      <c r="G53" s="1621"/>
      <c r="H53" s="1627"/>
      <c r="I53" s="1340">
        <v>-83</v>
      </c>
      <c r="J53" s="1340" t="e">
        <v>#REF!</v>
      </c>
      <c r="K53" s="1340">
        <f t="shared" si="25"/>
        <v>0</v>
      </c>
      <c r="L53" s="1340">
        <f t="shared" si="26"/>
        <v>0</v>
      </c>
      <c r="M53" s="1340">
        <f t="shared" si="27"/>
        <v>0</v>
      </c>
      <c r="N53" s="1340">
        <f t="shared" si="28"/>
        <v>0</v>
      </c>
      <c r="O53" s="1341">
        <f t="shared" si="29"/>
        <v>0</v>
      </c>
      <c r="P53" s="1341">
        <f t="shared" si="30"/>
        <v>-568</v>
      </c>
      <c r="Q53" s="1341">
        <f t="shared" si="31"/>
        <v>-551</v>
      </c>
      <c r="R53" s="1342">
        <f t="shared" si="32"/>
        <v>-555</v>
      </c>
      <c r="S53" s="1340">
        <f t="shared" si="33"/>
        <v>-141</v>
      </c>
      <c r="T53" s="1198"/>
      <c r="U53" s="1198"/>
      <c r="V53" s="1198"/>
      <c r="W53" s="1198"/>
      <c r="X53" s="1198"/>
      <c r="Y53" s="1198"/>
      <c r="Z53" s="1198"/>
      <c r="AA53" s="1198"/>
      <c r="AB53" s="1198"/>
      <c r="AC53" s="1198"/>
      <c r="AD53" s="1198"/>
      <c r="AE53" s="1198"/>
      <c r="AF53" s="1198"/>
      <c r="AG53" s="1198"/>
      <c r="AH53" s="1198"/>
      <c r="AI53" s="1198"/>
      <c r="AJ53" s="1198"/>
      <c r="AK53" s="1198"/>
      <c r="AL53" s="1198"/>
      <c r="AM53" s="1198"/>
      <c r="AN53" s="1198"/>
      <c r="AO53" s="1198"/>
      <c r="AP53" s="1198"/>
      <c r="AQ53" s="1198"/>
      <c r="AR53" s="1621"/>
      <c r="AS53" s="1621"/>
      <c r="AT53" s="1621"/>
      <c r="AU53" s="1198"/>
      <c r="AV53" s="1198"/>
      <c r="AW53" s="1198"/>
      <c r="AX53" s="1627"/>
      <c r="AY53" s="1627"/>
      <c r="AZ53" s="1627"/>
      <c r="BA53" s="1627"/>
      <c r="BB53" s="1755">
        <v>0</v>
      </c>
      <c r="BC53" s="1755">
        <v>0</v>
      </c>
      <c r="BD53" s="1755">
        <v>0</v>
      </c>
      <c r="BE53" s="1755">
        <v>0</v>
      </c>
      <c r="BF53" s="1755">
        <v>0</v>
      </c>
      <c r="BG53" s="1755">
        <v>0</v>
      </c>
      <c r="BH53" s="1755">
        <v>0</v>
      </c>
      <c r="BI53" s="1755">
        <v>0</v>
      </c>
      <c r="BJ53" s="1755">
        <v>0</v>
      </c>
      <c r="BK53" s="1755">
        <v>0</v>
      </c>
      <c r="BL53" s="1755">
        <v>0</v>
      </c>
      <c r="BM53" s="1755">
        <v>0</v>
      </c>
      <c r="BN53" s="1756">
        <v>0</v>
      </c>
      <c r="BO53" s="1755">
        <v>0</v>
      </c>
      <c r="BP53" s="1755">
        <v>0</v>
      </c>
      <c r="BQ53" s="1757">
        <v>0</v>
      </c>
      <c r="BR53" s="1755">
        <v>0</v>
      </c>
      <c r="BS53" s="1755">
        <v>0</v>
      </c>
      <c r="BT53" s="1755">
        <v>0</v>
      </c>
      <c r="BU53" s="1758">
        <v>0</v>
      </c>
      <c r="BV53" s="1756">
        <v>0</v>
      </c>
      <c r="BW53" s="1755">
        <v>0</v>
      </c>
      <c r="BX53" s="1755">
        <v>0</v>
      </c>
      <c r="BY53" s="1758">
        <v>0</v>
      </c>
      <c r="BZ53" s="1756">
        <v>-142</v>
      </c>
      <c r="CA53" s="1758">
        <v>-140</v>
      </c>
      <c r="CB53" s="1758">
        <v>-150</v>
      </c>
      <c r="CC53" s="1758">
        <v>-136</v>
      </c>
      <c r="CD53" s="1756">
        <v>-137</v>
      </c>
      <c r="CE53" s="1758">
        <v>-137</v>
      </c>
      <c r="CF53" s="1758">
        <v>-138</v>
      </c>
      <c r="CG53" s="1758">
        <v>-139</v>
      </c>
      <c r="CH53" s="1756">
        <v>-138</v>
      </c>
      <c r="CI53" s="1758">
        <v>-139</v>
      </c>
      <c r="CJ53" s="1758">
        <v>-139</v>
      </c>
      <c r="CK53" s="1758">
        <f>-555-CJ53-CI53-CH53</f>
        <v>-139</v>
      </c>
      <c r="CL53" s="1756">
        <v>-141</v>
      </c>
      <c r="CM53" s="1198"/>
      <c r="CN53" s="1198"/>
      <c r="CO53" s="1198"/>
      <c r="CP53" s="1198"/>
      <c r="CQ53" s="1198"/>
      <c r="CR53" s="1198"/>
      <c r="CS53" s="1198"/>
      <c r="CT53" s="1198"/>
    </row>
    <row r="54" spans="1:98" ht="11.25" customHeight="1">
      <c r="A54" s="1225" t="s">
        <v>644</v>
      </c>
      <c r="B54" s="1620"/>
      <c r="C54" s="1620"/>
      <c r="D54" s="1621"/>
      <c r="E54" s="1621"/>
      <c r="F54" s="1621"/>
      <c r="G54" s="1621"/>
      <c r="H54" s="1627"/>
      <c r="I54" s="1340">
        <v>-42</v>
      </c>
      <c r="J54" s="1340">
        <v>-186</v>
      </c>
      <c r="K54" s="1340">
        <f t="shared" si="25"/>
        <v>-43</v>
      </c>
      <c r="L54" s="1340">
        <f t="shared" si="26"/>
        <v>-55</v>
      </c>
      <c r="M54" s="1340">
        <f t="shared" si="27"/>
        <v>-67</v>
      </c>
      <c r="N54" s="1340">
        <f t="shared" si="28"/>
        <v>0</v>
      </c>
      <c r="O54" s="1341">
        <f t="shared" si="29"/>
        <v>0</v>
      </c>
      <c r="P54" s="1341">
        <f t="shared" si="30"/>
        <v>0</v>
      </c>
      <c r="Q54" s="1341">
        <f t="shared" si="31"/>
        <v>0</v>
      </c>
      <c r="R54" s="1342"/>
      <c r="S54" s="1340">
        <f t="shared" si="33"/>
        <v>0</v>
      </c>
      <c r="T54" s="1198"/>
      <c r="U54" s="1198"/>
      <c r="V54" s="1198"/>
      <c r="W54" s="1198"/>
      <c r="X54" s="1198"/>
      <c r="Y54" s="1198"/>
      <c r="Z54" s="1198"/>
      <c r="AA54" s="1198"/>
      <c r="AB54" s="1198"/>
      <c r="AC54" s="1198"/>
      <c r="AD54" s="1198"/>
      <c r="AE54" s="1198"/>
      <c r="AF54" s="1198"/>
      <c r="AG54" s="1198"/>
      <c r="AH54" s="1198"/>
      <c r="AI54" s="1198"/>
      <c r="AJ54" s="1198"/>
      <c r="AK54" s="1198"/>
      <c r="AL54" s="1198"/>
      <c r="AM54" s="1198"/>
      <c r="AN54" s="1198"/>
      <c r="AO54" s="1198"/>
      <c r="AP54" s="1198"/>
      <c r="AQ54" s="1198"/>
      <c r="AR54" s="1621"/>
      <c r="AS54" s="1621"/>
      <c r="AT54" s="1621"/>
      <c r="AU54" s="1198"/>
      <c r="AV54" s="1198"/>
      <c r="AW54" s="1198"/>
      <c r="AX54" s="1627"/>
      <c r="AY54" s="1627"/>
      <c r="AZ54" s="1627"/>
      <c r="BA54" s="1627"/>
      <c r="BB54" s="1755">
        <v>-54</v>
      </c>
      <c r="BC54" s="1755">
        <v>0</v>
      </c>
      <c r="BD54" s="1755">
        <v>-98</v>
      </c>
      <c r="BE54" s="1755">
        <v>-34</v>
      </c>
      <c r="BF54" s="1755">
        <v>-6</v>
      </c>
      <c r="BG54" s="1755">
        <v>-36</v>
      </c>
      <c r="BH54" s="1755">
        <v>-1</v>
      </c>
      <c r="BI54" s="1755">
        <v>0</v>
      </c>
      <c r="BJ54" s="1755">
        <v>-40</v>
      </c>
      <c r="BK54" s="1755">
        <v>-1</v>
      </c>
      <c r="BL54" s="1755">
        <v>-9</v>
      </c>
      <c r="BM54" s="1755">
        <v>-5</v>
      </c>
      <c r="BN54" s="1756">
        <v>0</v>
      </c>
      <c r="BO54" s="1755">
        <v>-31</v>
      </c>
      <c r="BP54" s="1755">
        <v>0</v>
      </c>
      <c r="BQ54" s="1757">
        <v>-36</v>
      </c>
      <c r="BR54" s="1755">
        <v>0</v>
      </c>
      <c r="BS54" s="1755">
        <v>0</v>
      </c>
      <c r="BT54" s="1755">
        <v>0</v>
      </c>
      <c r="BU54" s="1758">
        <v>0</v>
      </c>
      <c r="BV54" s="1756">
        <v>0</v>
      </c>
      <c r="BW54" s="1755">
        <v>0</v>
      </c>
      <c r="BX54" s="1755">
        <v>0</v>
      </c>
      <c r="BY54" s="1758">
        <v>0</v>
      </c>
      <c r="BZ54" s="1756">
        <v>0</v>
      </c>
      <c r="CA54" s="1758">
        <v>0</v>
      </c>
      <c r="CB54" s="1758">
        <v>0</v>
      </c>
      <c r="CC54" s="1758">
        <v>0</v>
      </c>
      <c r="CD54" s="1756">
        <v>0</v>
      </c>
      <c r="CE54" s="1758">
        <v>0</v>
      </c>
      <c r="CF54" s="1758">
        <v>0</v>
      </c>
      <c r="CG54" s="1758">
        <v>0</v>
      </c>
      <c r="CH54" s="1756">
        <v>0</v>
      </c>
      <c r="CI54" s="1758">
        <v>0</v>
      </c>
      <c r="CJ54" s="1758">
        <v>0</v>
      </c>
      <c r="CK54" s="1758"/>
      <c r="CL54" s="1756"/>
      <c r="CM54" s="1198"/>
      <c r="CN54" s="1198"/>
      <c r="CO54" s="1198"/>
      <c r="CP54" s="1198"/>
      <c r="CQ54" s="1198"/>
      <c r="CR54" s="1198"/>
      <c r="CS54" s="1198"/>
      <c r="CT54" s="1198"/>
    </row>
    <row r="55" spans="1:98" ht="11.25" customHeight="1">
      <c r="A55" s="1225" t="s">
        <v>792</v>
      </c>
      <c r="B55" s="1620"/>
      <c r="C55" s="1620"/>
      <c r="D55" s="1621"/>
      <c r="E55" s="1621"/>
      <c r="F55" s="1621"/>
      <c r="G55" s="1621"/>
      <c r="H55" s="1627"/>
      <c r="I55" s="1340"/>
      <c r="J55" s="1340"/>
      <c r="K55" s="1340"/>
      <c r="L55" s="1340">
        <f t="shared" si="26"/>
        <v>10</v>
      </c>
      <c r="M55" s="1340">
        <f t="shared" si="27"/>
        <v>-567</v>
      </c>
      <c r="N55" s="1340">
        <f t="shared" si="28"/>
        <v>-110</v>
      </c>
      <c r="O55" s="1341">
        <f t="shared" si="29"/>
        <v>-31</v>
      </c>
      <c r="P55" s="1341">
        <f t="shared" si="30"/>
        <v>39</v>
      </c>
      <c r="Q55" s="1341">
        <f t="shared" si="31"/>
        <v>-9</v>
      </c>
      <c r="R55" s="1342">
        <f>SUM(CH55:CK55)</f>
        <v>-821</v>
      </c>
      <c r="S55" s="1340">
        <f t="shared" si="33"/>
        <v>13</v>
      </c>
      <c r="T55" s="1198"/>
      <c r="U55" s="1198"/>
      <c r="V55" s="1198"/>
      <c r="W55" s="1198"/>
      <c r="X55" s="1198"/>
      <c r="Y55" s="1198"/>
      <c r="Z55" s="1198"/>
      <c r="AA55" s="1198"/>
      <c r="AB55" s="1198"/>
      <c r="AC55" s="1198"/>
      <c r="AD55" s="1198"/>
      <c r="AE55" s="1198"/>
      <c r="AF55" s="1198"/>
      <c r="AG55" s="1198"/>
      <c r="AH55" s="1198"/>
      <c r="AI55" s="1198"/>
      <c r="AJ55" s="1198"/>
      <c r="AK55" s="1198"/>
      <c r="AL55" s="1198"/>
      <c r="AM55" s="1198"/>
      <c r="AN55" s="1198"/>
      <c r="AO55" s="1198"/>
      <c r="AP55" s="1198"/>
      <c r="AQ55" s="1198"/>
      <c r="AR55" s="1621"/>
      <c r="AS55" s="1621"/>
      <c r="AT55" s="1621"/>
      <c r="AU55" s="1198"/>
      <c r="AV55" s="1198"/>
      <c r="AW55" s="1198"/>
      <c r="AX55" s="1627"/>
      <c r="AY55" s="1627"/>
      <c r="AZ55" s="1627"/>
      <c r="BA55" s="1627"/>
      <c r="BB55" s="1755"/>
      <c r="BC55" s="1755"/>
      <c r="BD55" s="1755"/>
      <c r="BE55" s="1755"/>
      <c r="BF55" s="1755"/>
      <c r="BG55" s="1755"/>
      <c r="BH55" s="1755"/>
      <c r="BI55" s="1755"/>
      <c r="BJ55" s="1755">
        <v>-18</v>
      </c>
      <c r="BK55" s="1755">
        <v>3</v>
      </c>
      <c r="BL55" s="1755">
        <v>-4</v>
      </c>
      <c r="BM55" s="1755">
        <v>29</v>
      </c>
      <c r="BN55" s="1756">
        <v>0</v>
      </c>
      <c r="BO55" s="1755">
        <v>-74</v>
      </c>
      <c r="BP55" s="1755">
        <v>0</v>
      </c>
      <c r="BQ55" s="1757">
        <v>-493</v>
      </c>
      <c r="BR55" s="1755">
        <v>0</v>
      </c>
      <c r="BS55" s="1755">
        <v>0</v>
      </c>
      <c r="BT55" s="1755">
        <v>-37</v>
      </c>
      <c r="BU55" s="1758">
        <v>-73</v>
      </c>
      <c r="BV55" s="1756">
        <v>54</v>
      </c>
      <c r="BW55" s="1755">
        <v>-56</v>
      </c>
      <c r="BX55" s="1755">
        <v>17</v>
      </c>
      <c r="BY55" s="1758">
        <v>-46</v>
      </c>
      <c r="BZ55" s="1756">
        <v>39</v>
      </c>
      <c r="CA55" s="1758">
        <v>-36</v>
      </c>
      <c r="CB55" s="1767">
        <v>64</v>
      </c>
      <c r="CC55" s="1758">
        <v>-28</v>
      </c>
      <c r="CD55" s="1756">
        <v>15</v>
      </c>
      <c r="CE55" s="1758">
        <v>-12</v>
      </c>
      <c r="CF55" s="1758">
        <v>7</v>
      </c>
      <c r="CG55" s="1758">
        <v>-19</v>
      </c>
      <c r="CH55" s="1756">
        <v>-42</v>
      </c>
      <c r="CI55" s="1758">
        <v>-18</v>
      </c>
      <c r="CJ55" s="1758">
        <v>-16</v>
      </c>
      <c r="CK55" s="1758">
        <f>+-640-136-41-4-CJ55-CI55-CH55</f>
        <v>-745</v>
      </c>
      <c r="CL55" s="1756">
        <v>13</v>
      </c>
      <c r="CM55" s="1198"/>
      <c r="CN55" s="1198"/>
      <c r="CO55" s="1198"/>
      <c r="CP55" s="1198"/>
      <c r="CQ55" s="1198"/>
      <c r="CR55" s="1198"/>
      <c r="CS55" s="1198"/>
      <c r="CT55" s="1198"/>
    </row>
    <row r="56" spans="1:98" ht="11.25" customHeight="1">
      <c r="A56" s="1213" t="s">
        <v>717</v>
      </c>
      <c r="B56" s="1638"/>
      <c r="C56" s="1638"/>
      <c r="D56" s="1639"/>
      <c r="E56" s="1639"/>
      <c r="F56" s="1639"/>
      <c r="G56" s="1639"/>
      <c r="H56" s="1640"/>
      <c r="I56" s="1326">
        <v>4660</v>
      </c>
      <c r="J56" s="1326">
        <v>-789</v>
      </c>
      <c r="K56" s="1326">
        <f>SUM(BF56:BI56)</f>
        <v>-4856</v>
      </c>
      <c r="L56" s="1326">
        <f t="shared" si="26"/>
        <v>-158</v>
      </c>
      <c r="M56" s="1326">
        <f t="shared" ref="M56:S56" si="34">SUM(M48:M55)</f>
        <v>-2159</v>
      </c>
      <c r="N56" s="1326">
        <f t="shared" si="34"/>
        <v>-694</v>
      </c>
      <c r="O56" s="1327">
        <f t="shared" si="34"/>
        <v>-1764</v>
      </c>
      <c r="P56" s="1327">
        <f>SUM(P48:P55)</f>
        <v>-1538</v>
      </c>
      <c r="Q56" s="1327">
        <f>SUM(Q48:Q55)</f>
        <v>-60</v>
      </c>
      <c r="R56" s="1328">
        <f t="shared" si="34"/>
        <v>-3913</v>
      </c>
      <c r="S56" s="1326">
        <f t="shared" si="34"/>
        <v>-317</v>
      </c>
      <c r="T56" s="1198"/>
      <c r="U56" s="1198"/>
      <c r="V56" s="1198"/>
      <c r="W56" s="1198"/>
      <c r="X56" s="1198"/>
      <c r="Y56" s="1198"/>
      <c r="Z56" s="1550"/>
      <c r="AA56" s="1550"/>
      <c r="AB56" s="1550"/>
      <c r="AC56" s="1550"/>
      <c r="AD56" s="1550"/>
      <c r="AE56" s="1550"/>
      <c r="AF56" s="1550"/>
      <c r="AG56" s="1550"/>
      <c r="AH56" s="1550"/>
      <c r="AI56" s="1550"/>
      <c r="AJ56" s="1550"/>
      <c r="AK56" s="1550"/>
      <c r="AL56" s="1550"/>
      <c r="AM56" s="1550"/>
      <c r="AN56" s="1550"/>
      <c r="AO56" s="1550"/>
      <c r="AP56" s="1550"/>
      <c r="AQ56" s="1550"/>
      <c r="AR56" s="1639"/>
      <c r="AS56" s="1639"/>
      <c r="AT56" s="1639"/>
      <c r="AU56" s="1550"/>
      <c r="AV56" s="1550"/>
      <c r="AW56" s="1550"/>
      <c r="AX56" s="1640"/>
      <c r="AY56" s="1640"/>
      <c r="AZ56" s="1640"/>
      <c r="BA56" s="1640"/>
      <c r="BB56" s="1330">
        <v>1603</v>
      </c>
      <c r="BC56" s="1330">
        <v>-317</v>
      </c>
      <c r="BD56" s="1330">
        <v>-267</v>
      </c>
      <c r="BE56" s="1330">
        <v>-1808</v>
      </c>
      <c r="BF56" s="1330">
        <v>-178</v>
      </c>
      <c r="BG56" s="1330">
        <v>190</v>
      </c>
      <c r="BH56" s="1330">
        <v>-1106</v>
      </c>
      <c r="BI56" s="1330">
        <v>-3762</v>
      </c>
      <c r="BJ56" s="1330">
        <v>21</v>
      </c>
      <c r="BK56" s="1330">
        <v>-173</v>
      </c>
      <c r="BL56" s="1330">
        <v>-65</v>
      </c>
      <c r="BM56" s="1330">
        <v>59</v>
      </c>
      <c r="BN56" s="1329">
        <v>-2</v>
      </c>
      <c r="BO56" s="1330">
        <v>239</v>
      </c>
      <c r="BP56" s="1330">
        <v>-223</v>
      </c>
      <c r="BQ56" s="1637">
        <v>-2173</v>
      </c>
      <c r="BR56" s="1330">
        <v>16</v>
      </c>
      <c r="BS56" s="1330">
        <v>39</v>
      </c>
      <c r="BT56" s="1330">
        <v>-487</v>
      </c>
      <c r="BU56" s="1636">
        <v>-262</v>
      </c>
      <c r="BV56" s="1329">
        <v>-314</v>
      </c>
      <c r="BW56" s="1330">
        <v>-703</v>
      </c>
      <c r="BX56" s="1330">
        <v>-208</v>
      </c>
      <c r="BY56" s="1636">
        <v>-539</v>
      </c>
      <c r="BZ56" s="1329">
        <v>-276</v>
      </c>
      <c r="CA56" s="1636">
        <v>-267</v>
      </c>
      <c r="CB56" s="1636">
        <v>-416</v>
      </c>
      <c r="CC56" s="1636">
        <v>-579</v>
      </c>
      <c r="CD56" s="1329">
        <v>-345</v>
      </c>
      <c r="CE56" s="1636">
        <v>598</v>
      </c>
      <c r="CF56" s="1636">
        <v>-159</v>
      </c>
      <c r="CG56" s="1636">
        <v>-154</v>
      </c>
      <c r="CH56" s="1331">
        <f>SUM(CH48:CH55)</f>
        <v>-889</v>
      </c>
      <c r="CI56" s="1326">
        <f>SUM(CI48:CI55)</f>
        <v>-661</v>
      </c>
      <c r="CJ56" s="1326">
        <f>SUM(CJ48:CJ55)</f>
        <v>-363</v>
      </c>
      <c r="CK56" s="1326">
        <f>SUM(CK48:CK55)</f>
        <v>-2000</v>
      </c>
      <c r="CL56" s="1331">
        <f>SUM(CL48:CL55)</f>
        <v>-317</v>
      </c>
      <c r="CM56" s="1198"/>
      <c r="CN56" s="1198"/>
      <c r="CO56" s="1198"/>
      <c r="CP56" s="1198"/>
      <c r="CQ56" s="1198"/>
      <c r="CR56" s="1198"/>
      <c r="CS56" s="1198"/>
      <c r="CT56" s="1198"/>
    </row>
    <row r="57" spans="1:98" ht="6.75" customHeight="1">
      <c r="A57" s="1198"/>
      <c r="B57" s="1620"/>
      <c r="C57" s="1620"/>
      <c r="D57" s="1621"/>
      <c r="E57" s="1621"/>
      <c r="F57" s="1621"/>
      <c r="G57" s="1621"/>
      <c r="H57" s="1627"/>
      <c r="I57" s="1627"/>
      <c r="J57" s="1627"/>
      <c r="K57" s="1627"/>
      <c r="L57" s="1627"/>
      <c r="M57" s="1627"/>
      <c r="N57" s="1627"/>
      <c r="O57" s="1629"/>
      <c r="P57" s="1629"/>
      <c r="Q57" s="1629"/>
      <c r="R57" s="1630"/>
      <c r="S57" s="1627"/>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621"/>
      <c r="AS57" s="1621"/>
      <c r="AT57" s="1621"/>
      <c r="AU57" s="1198"/>
      <c r="AV57" s="1198"/>
      <c r="AW57" s="1198"/>
      <c r="AX57" s="1627"/>
      <c r="AY57" s="1627"/>
      <c r="AZ57" s="1627"/>
      <c r="BA57" s="1627"/>
      <c r="BB57" s="1627"/>
      <c r="BC57" s="1627"/>
      <c r="BD57" s="1627"/>
      <c r="BE57" s="1627"/>
      <c r="BF57" s="1627"/>
      <c r="BG57" s="1627"/>
      <c r="BH57" s="1627"/>
      <c r="BI57" s="1627"/>
      <c r="BJ57" s="1627"/>
      <c r="BK57" s="1627"/>
      <c r="BL57" s="1627"/>
      <c r="BM57" s="1627"/>
      <c r="BN57" s="1631"/>
      <c r="BO57" s="1627"/>
      <c r="BP57" s="1627"/>
      <c r="BQ57" s="1630"/>
      <c r="BR57" s="1627"/>
      <c r="BS57" s="1627"/>
      <c r="BT57" s="1627"/>
      <c r="BU57" s="1629"/>
      <c r="BV57" s="1631"/>
      <c r="BW57" s="1627"/>
      <c r="BX57" s="1627"/>
      <c r="BY57" s="1630"/>
      <c r="BZ57" s="136"/>
      <c r="CA57" s="20"/>
      <c r="CB57" s="20"/>
      <c r="CC57" s="20"/>
      <c r="CD57" s="136"/>
      <c r="CE57" s="20"/>
      <c r="CF57" s="20"/>
      <c r="CG57" s="20"/>
      <c r="CH57" s="1631"/>
      <c r="CI57" s="1627"/>
      <c r="CJ57" s="1627"/>
      <c r="CK57" s="1627"/>
      <c r="CL57" s="1631"/>
      <c r="CM57" s="1198"/>
      <c r="CN57" s="1198"/>
      <c r="CO57" s="1198"/>
      <c r="CP57" s="1198"/>
      <c r="CQ57" s="1198"/>
      <c r="CR57" s="1198"/>
      <c r="CS57" s="1198"/>
      <c r="CT57" s="1198"/>
    </row>
    <row r="58" spans="1:98" ht="11.25" customHeight="1">
      <c r="A58" s="1213" t="s">
        <v>290</v>
      </c>
      <c r="B58" s="1623"/>
      <c r="C58" s="1623"/>
      <c r="D58" s="1624"/>
      <c r="E58" s="1624"/>
      <c r="F58" s="1624"/>
      <c r="G58" s="1624"/>
      <c r="H58" s="1330"/>
      <c r="I58" s="1326">
        <v>488</v>
      </c>
      <c r="J58" s="1326">
        <v>3260</v>
      </c>
      <c r="K58" s="1326">
        <f>SUM(BF58:BI58)</f>
        <v>4524</v>
      </c>
      <c r="L58" s="1326" t="e">
        <f>SUM(BJ58:BM58)</f>
        <v>#REF!</v>
      </c>
      <c r="M58" s="1326">
        <f>SUM(BN58:BQ58)</f>
        <v>0</v>
      </c>
      <c r="N58" s="1326">
        <f>SUM(BR58:BU58)</f>
        <v>0</v>
      </c>
      <c r="O58" s="1327">
        <f>SUM(BV58:BY58)</f>
        <v>0</v>
      </c>
      <c r="P58" s="1327"/>
      <c r="Q58" s="1327"/>
      <c r="R58" s="1328"/>
      <c r="S58" s="1326"/>
      <c r="T58" s="1198"/>
      <c r="U58" s="1198"/>
      <c r="V58" s="1198"/>
      <c r="W58" s="1198"/>
      <c r="X58" s="1198"/>
      <c r="Y58" s="1198"/>
      <c r="Z58" s="1213"/>
      <c r="AA58" s="1213"/>
      <c r="AB58" s="1213"/>
      <c r="AC58" s="1213"/>
      <c r="AD58" s="1213"/>
      <c r="AE58" s="1213"/>
      <c r="AF58" s="1213"/>
      <c r="AG58" s="1213"/>
      <c r="AH58" s="1213"/>
      <c r="AI58" s="1213"/>
      <c r="AJ58" s="1213"/>
      <c r="AK58" s="1213"/>
      <c r="AL58" s="1213"/>
      <c r="AM58" s="1213"/>
      <c r="AN58" s="1213"/>
      <c r="AO58" s="1213"/>
      <c r="AP58" s="1213"/>
      <c r="AQ58" s="1213"/>
      <c r="AR58" s="1624"/>
      <c r="AS58" s="1624"/>
      <c r="AT58" s="1624"/>
      <c r="AU58" s="1213"/>
      <c r="AV58" s="1213"/>
      <c r="AW58" s="1213"/>
      <c r="AX58" s="1330"/>
      <c r="AY58" s="1330"/>
      <c r="AZ58" s="1330"/>
      <c r="BA58" s="1330"/>
      <c r="BB58" s="1326">
        <v>159</v>
      </c>
      <c r="BC58" s="1326">
        <v>188</v>
      </c>
      <c r="BD58" s="1326">
        <v>85</v>
      </c>
      <c r="BE58" s="1326">
        <v>2828</v>
      </c>
      <c r="BF58" s="1326">
        <v>92</v>
      </c>
      <c r="BG58" s="1326">
        <v>85</v>
      </c>
      <c r="BH58" s="1326">
        <v>4347</v>
      </c>
      <c r="BI58" s="1326">
        <v>0</v>
      </c>
      <c r="BJ58" s="1326">
        <v>0</v>
      </c>
      <c r="BK58" s="1326" t="e">
        <v>#REF!</v>
      </c>
      <c r="BL58" s="1326" t="e">
        <v>#REF!</v>
      </c>
      <c r="BM58" s="1326" t="e">
        <v>#REF!</v>
      </c>
      <c r="BN58" s="1331">
        <v>0</v>
      </c>
      <c r="BO58" s="1326"/>
      <c r="BP58" s="1326"/>
      <c r="BQ58" s="1328"/>
      <c r="BR58" s="1326"/>
      <c r="BS58" s="1326"/>
      <c r="BT58" s="1326"/>
      <c r="BU58" s="1327"/>
      <c r="BV58" s="1331"/>
      <c r="BW58" s="1326"/>
      <c r="BX58" s="1326"/>
      <c r="BY58" s="1641"/>
      <c r="BZ58" s="1331"/>
      <c r="CA58" s="1326"/>
      <c r="CB58" s="1326"/>
      <c r="CC58" s="1326"/>
      <c r="CD58" s="1331"/>
      <c r="CE58" s="1326"/>
      <c r="CF58" s="1326"/>
      <c r="CG58" s="1326"/>
      <c r="CH58" s="1331"/>
      <c r="CI58" s="1326"/>
      <c r="CJ58" s="1326"/>
      <c r="CK58" s="1326"/>
      <c r="CL58" s="1331"/>
      <c r="CM58" s="1198"/>
      <c r="CN58" s="1198"/>
      <c r="CO58" s="1198"/>
      <c r="CP58" s="1198"/>
      <c r="CQ58" s="1198"/>
      <c r="CR58" s="1198"/>
      <c r="CS58" s="1198"/>
      <c r="CT58" s="1198"/>
    </row>
    <row r="59" spans="1:98" ht="8.25" customHeight="1">
      <c r="A59" s="1198"/>
      <c r="B59" s="1620"/>
      <c r="C59" s="1620"/>
      <c r="D59" s="1621"/>
      <c r="E59" s="1621"/>
      <c r="F59" s="1621"/>
      <c r="G59" s="1621"/>
      <c r="H59" s="1627"/>
      <c r="I59" s="1627"/>
      <c r="J59" s="1340"/>
      <c r="K59" s="1340"/>
      <c r="L59" s="1340"/>
      <c r="M59" s="1340"/>
      <c r="N59" s="1340"/>
      <c r="O59" s="1341"/>
      <c r="P59" s="1341"/>
      <c r="Q59" s="1341"/>
      <c r="R59" s="1342"/>
      <c r="S59" s="1340"/>
      <c r="T59" s="1198"/>
      <c r="U59" s="1198"/>
      <c r="V59" s="1198"/>
      <c r="W59" s="1198"/>
      <c r="X59" s="1198"/>
      <c r="Y59" s="1198"/>
      <c r="Z59" s="1198"/>
      <c r="AA59" s="1198"/>
      <c r="AB59" s="1198"/>
      <c r="AC59" s="1198"/>
      <c r="AD59" s="1198"/>
      <c r="AE59" s="1198"/>
      <c r="AF59" s="1198"/>
      <c r="AG59" s="1198"/>
      <c r="AH59" s="1198"/>
      <c r="AI59" s="1198"/>
      <c r="AJ59" s="1198"/>
      <c r="AK59" s="1198"/>
      <c r="AL59" s="1198"/>
      <c r="AM59" s="1198"/>
      <c r="AN59" s="1198"/>
      <c r="AO59" s="1198"/>
      <c r="AP59" s="1198"/>
      <c r="AQ59" s="1198"/>
      <c r="AR59" s="1621"/>
      <c r="AS59" s="1621"/>
      <c r="AT59" s="1621"/>
      <c r="AU59" s="1198"/>
      <c r="AV59" s="1198"/>
      <c r="AW59" s="1198"/>
      <c r="AX59" s="1340"/>
      <c r="AY59" s="1340"/>
      <c r="AZ59" s="1340"/>
      <c r="BA59" s="1340"/>
      <c r="BB59" s="1340"/>
      <c r="BC59" s="1340"/>
      <c r="BD59" s="1340"/>
      <c r="BE59" s="1340"/>
      <c r="BF59" s="1340"/>
      <c r="BG59" s="1340"/>
      <c r="BH59" s="1340"/>
      <c r="BI59" s="1340"/>
      <c r="BJ59" s="1340"/>
      <c r="BK59" s="1340"/>
      <c r="BL59" s="1340"/>
      <c r="BM59" s="1340"/>
      <c r="BN59" s="1346"/>
      <c r="BO59" s="1340"/>
      <c r="BP59" s="1340"/>
      <c r="BQ59" s="1342"/>
      <c r="BR59" s="1340"/>
      <c r="BS59" s="1340"/>
      <c r="BT59" s="1340"/>
      <c r="BU59" s="1341"/>
      <c r="BV59" s="1346"/>
      <c r="BW59" s="1340"/>
      <c r="BX59" s="1340"/>
      <c r="BY59" s="1342"/>
      <c r="BZ59" s="1346"/>
      <c r="CA59" s="1340"/>
      <c r="CB59" s="1340"/>
      <c r="CC59" s="1340"/>
      <c r="CD59" s="1346"/>
      <c r="CE59" s="1340"/>
      <c r="CF59" s="1340"/>
      <c r="CG59" s="1340"/>
      <c r="CH59" s="1346"/>
      <c r="CI59" s="1340"/>
      <c r="CJ59" s="1340"/>
      <c r="CK59" s="1340"/>
      <c r="CL59" s="1346"/>
      <c r="CM59" s="1198"/>
      <c r="CN59" s="1198"/>
      <c r="CO59" s="1198"/>
      <c r="CP59" s="1198"/>
      <c r="CQ59" s="1198"/>
      <c r="CR59" s="1198"/>
      <c r="CS59" s="1198"/>
      <c r="CT59" s="1198"/>
    </row>
    <row r="60" spans="1:98" ht="11.25" customHeight="1">
      <c r="A60" s="1583" t="s">
        <v>291</v>
      </c>
      <c r="B60" s="1620"/>
      <c r="C60" s="1620"/>
      <c r="D60" s="1621"/>
      <c r="E60" s="1621"/>
      <c r="F60" s="1621"/>
      <c r="G60" s="1621"/>
      <c r="H60" s="1627"/>
      <c r="I60" s="1627"/>
      <c r="J60" s="1340">
        <v>2067</v>
      </c>
      <c r="K60" s="1340">
        <f>K34+K45+K56+K58</f>
        <v>-497</v>
      </c>
      <c r="L60" s="1340" t="e">
        <f>L34+L45+L56+L58</f>
        <v>#REF!</v>
      </c>
      <c r="M60" s="1340">
        <f t="shared" ref="M60:S60" si="35">M34+M45+M56</f>
        <v>-305</v>
      </c>
      <c r="N60" s="1340">
        <f t="shared" si="35"/>
        <v>395</v>
      </c>
      <c r="O60" s="1341">
        <f t="shared" si="35"/>
        <v>-339</v>
      </c>
      <c r="P60" s="1341">
        <f t="shared" si="35"/>
        <v>-345</v>
      </c>
      <c r="Q60" s="1341">
        <f t="shared" si="35"/>
        <v>1841</v>
      </c>
      <c r="R60" s="1342">
        <f t="shared" ca="1" si="35"/>
        <v>-2034</v>
      </c>
      <c r="S60" s="1340">
        <f t="shared" si="35"/>
        <v>52</v>
      </c>
      <c r="T60" s="1198"/>
      <c r="U60" s="1198"/>
      <c r="V60" s="1198"/>
      <c r="W60" s="1198"/>
      <c r="X60" s="1198"/>
      <c r="Y60" s="1198"/>
      <c r="Z60" s="1198"/>
      <c r="AA60" s="1198"/>
      <c r="AB60" s="1198"/>
      <c r="AC60" s="1198"/>
      <c r="AD60" s="1198"/>
      <c r="AE60" s="1198"/>
      <c r="AF60" s="1198"/>
      <c r="AG60" s="1198"/>
      <c r="AH60" s="1198"/>
      <c r="AI60" s="1198"/>
      <c r="AJ60" s="1198"/>
      <c r="AK60" s="1198"/>
      <c r="AL60" s="1198"/>
      <c r="AM60" s="1198"/>
      <c r="AN60" s="1198"/>
      <c r="AO60" s="1198"/>
      <c r="AP60" s="1198"/>
      <c r="AQ60" s="1198"/>
      <c r="AR60" s="1621"/>
      <c r="AS60" s="1621"/>
      <c r="AT60" s="1621"/>
      <c r="AU60" s="1198"/>
      <c r="AV60" s="1198"/>
      <c r="AW60" s="1198"/>
      <c r="AX60" s="1340"/>
      <c r="AY60" s="1340"/>
      <c r="AZ60" s="1340"/>
      <c r="BA60" s="1340"/>
      <c r="BB60" s="1340">
        <v>1137</v>
      </c>
      <c r="BC60" s="1340">
        <v>-639</v>
      </c>
      <c r="BD60" s="1340">
        <v>418</v>
      </c>
      <c r="BE60" s="1340">
        <v>1151</v>
      </c>
      <c r="BF60" s="1340">
        <v>315</v>
      </c>
      <c r="BG60" s="1340">
        <v>193</v>
      </c>
      <c r="BH60" s="1340">
        <v>3328</v>
      </c>
      <c r="BI60" s="1340">
        <v>-4333</v>
      </c>
      <c r="BJ60" s="1340">
        <v>124</v>
      </c>
      <c r="BK60" s="1340">
        <v>-429</v>
      </c>
      <c r="BL60" s="1340">
        <v>358</v>
      </c>
      <c r="BM60" s="1340">
        <f>BM34+BM45+BM56</f>
        <v>-650</v>
      </c>
      <c r="BN60" s="1346">
        <v>255</v>
      </c>
      <c r="BO60" s="1340">
        <v>841</v>
      </c>
      <c r="BP60" s="1340">
        <v>64</v>
      </c>
      <c r="BQ60" s="1342">
        <v>-1465</v>
      </c>
      <c r="BR60" s="1340">
        <v>-236</v>
      </c>
      <c r="BS60" s="1340">
        <v>579</v>
      </c>
      <c r="BT60" s="1340">
        <v>-227</v>
      </c>
      <c r="BU60" s="1341">
        <v>279</v>
      </c>
      <c r="BV60" s="1346">
        <v>-354</v>
      </c>
      <c r="BW60" s="1340">
        <v>-18</v>
      </c>
      <c r="BX60" s="1340">
        <v>250</v>
      </c>
      <c r="BY60" s="1342">
        <v>-217</v>
      </c>
      <c r="BZ60" s="1346">
        <f t="shared" ref="BZ60:CI60" si="36">BZ34+BZ45+BZ56</f>
        <v>-275</v>
      </c>
      <c r="CA60" s="1340">
        <f t="shared" si="36"/>
        <v>128</v>
      </c>
      <c r="CB60" s="1340">
        <f t="shared" si="36"/>
        <v>-177</v>
      </c>
      <c r="CC60" s="1340">
        <f t="shared" si="36"/>
        <v>-21</v>
      </c>
      <c r="CD60" s="1346">
        <f t="shared" si="36"/>
        <v>-24</v>
      </c>
      <c r="CE60" s="1340">
        <f t="shared" si="36"/>
        <v>1255</v>
      </c>
      <c r="CF60" s="1340">
        <f t="shared" si="36"/>
        <v>278</v>
      </c>
      <c r="CG60" s="1340">
        <f>CG34+CG45+CG56</f>
        <v>332</v>
      </c>
      <c r="CH60" s="1346">
        <f>CH34+CH45+CH56</f>
        <v>-1210</v>
      </c>
      <c r="CI60" s="1340">
        <f t="shared" si="36"/>
        <v>-78</v>
      </c>
      <c r="CJ60" s="1340">
        <f>CJ34+CJ45+CJ56</f>
        <v>849</v>
      </c>
      <c r="CK60" s="1340">
        <f ca="1">CK34+CK45+CK56</f>
        <v>-1595</v>
      </c>
      <c r="CL60" s="1346">
        <f>CL34+CL45+CL56</f>
        <v>52</v>
      </c>
      <c r="CM60" s="1198"/>
      <c r="CN60" s="1198"/>
      <c r="CO60" s="1198"/>
      <c r="CP60" s="1198"/>
      <c r="CQ60" s="1198"/>
      <c r="CR60" s="1198"/>
      <c r="CS60" s="1198"/>
      <c r="CT60" s="1198"/>
    </row>
    <row r="61" spans="1:98" ht="11.25" customHeight="1">
      <c r="A61" s="1583" t="s">
        <v>292</v>
      </c>
      <c r="B61" s="1620"/>
      <c r="C61" s="1620"/>
      <c r="D61" s="1621"/>
      <c r="E61" s="1621"/>
      <c r="F61" s="1621"/>
      <c r="G61" s="1621"/>
      <c r="H61" s="1627"/>
      <c r="I61" s="1627"/>
      <c r="J61" s="1340">
        <v>186</v>
      </c>
      <c r="K61" s="1340">
        <f>J62</f>
        <v>2253</v>
      </c>
      <c r="L61" s="1340">
        <f>K62</f>
        <v>1756</v>
      </c>
      <c r="M61" s="1340">
        <f>BN61</f>
        <v>1159</v>
      </c>
      <c r="N61" s="1340">
        <f t="shared" ref="N61:S61" si="37">M62</f>
        <v>854</v>
      </c>
      <c r="O61" s="1341">
        <f t="shared" si="37"/>
        <v>1249</v>
      </c>
      <c r="P61" s="1341">
        <f t="shared" si="37"/>
        <v>910</v>
      </c>
      <c r="Q61" s="1341">
        <f t="shared" si="37"/>
        <v>565</v>
      </c>
      <c r="R61" s="1342">
        <f t="shared" si="37"/>
        <v>2406</v>
      </c>
      <c r="S61" s="1340">
        <f t="shared" ca="1" si="37"/>
        <v>372</v>
      </c>
      <c r="T61" s="1198"/>
      <c r="U61" s="1198"/>
      <c r="V61" s="1198"/>
      <c r="W61" s="1198"/>
      <c r="X61" s="1198"/>
      <c r="Y61" s="1198"/>
      <c r="Z61" s="1198"/>
      <c r="AA61" s="1198"/>
      <c r="AB61" s="1198"/>
      <c r="AC61" s="1198"/>
      <c r="AD61" s="1198"/>
      <c r="AE61" s="1198"/>
      <c r="AF61" s="1198"/>
      <c r="AG61" s="1198"/>
      <c r="AH61" s="1198"/>
      <c r="AI61" s="1198"/>
      <c r="AJ61" s="1198"/>
      <c r="AK61" s="1198"/>
      <c r="AL61" s="1198"/>
      <c r="AM61" s="1198"/>
      <c r="AN61" s="1198"/>
      <c r="AO61" s="1198"/>
      <c r="AP61" s="1198"/>
      <c r="AQ61" s="1198"/>
      <c r="AR61" s="1621"/>
      <c r="AS61" s="1621"/>
      <c r="AT61" s="1621"/>
      <c r="AU61" s="1198"/>
      <c r="AV61" s="1198"/>
      <c r="AW61" s="1198"/>
      <c r="AX61" s="1340"/>
      <c r="AY61" s="1340"/>
      <c r="AZ61" s="1340"/>
      <c r="BA61" s="1340"/>
      <c r="BB61" s="1340">
        <v>186</v>
      </c>
      <c r="BC61" s="1340">
        <v>1323</v>
      </c>
      <c r="BD61" s="1340">
        <v>684</v>
      </c>
      <c r="BE61" s="1340">
        <v>1102</v>
      </c>
      <c r="BF61" s="1340">
        <v>2253</v>
      </c>
      <c r="BG61" s="1340">
        <v>2568</v>
      </c>
      <c r="BH61" s="1340">
        <v>2761</v>
      </c>
      <c r="BI61" s="1340">
        <v>6089</v>
      </c>
      <c r="BJ61" s="1340">
        <v>1756</v>
      </c>
      <c r="BK61" s="1340">
        <f t="shared" ref="BK61:CF61" si="38">BJ62</f>
        <v>1880</v>
      </c>
      <c r="BL61" s="1340">
        <f t="shared" si="38"/>
        <v>1451</v>
      </c>
      <c r="BM61" s="1340">
        <f t="shared" si="38"/>
        <v>1809</v>
      </c>
      <c r="BN61" s="1346">
        <f t="shared" si="38"/>
        <v>1159</v>
      </c>
      <c r="BO61" s="1340">
        <f t="shared" si="38"/>
        <v>1414</v>
      </c>
      <c r="BP61" s="1340">
        <f t="shared" si="38"/>
        <v>2255</v>
      </c>
      <c r="BQ61" s="1342">
        <f t="shared" si="38"/>
        <v>2319</v>
      </c>
      <c r="BR61" s="1340">
        <f t="shared" si="38"/>
        <v>854</v>
      </c>
      <c r="BS61" s="1340">
        <f t="shared" si="38"/>
        <v>618</v>
      </c>
      <c r="BT61" s="1340">
        <f t="shared" si="38"/>
        <v>1197</v>
      </c>
      <c r="BU61" s="1341">
        <f t="shared" si="38"/>
        <v>970</v>
      </c>
      <c r="BV61" s="1346">
        <f t="shared" si="38"/>
        <v>1249</v>
      </c>
      <c r="BW61" s="1340">
        <f t="shared" si="38"/>
        <v>895</v>
      </c>
      <c r="BX61" s="1340">
        <f t="shared" si="38"/>
        <v>877</v>
      </c>
      <c r="BY61" s="1342">
        <f t="shared" si="38"/>
        <v>1127</v>
      </c>
      <c r="BZ61" s="1346">
        <f t="shared" si="38"/>
        <v>910</v>
      </c>
      <c r="CA61" s="1340">
        <f t="shared" si="38"/>
        <v>635</v>
      </c>
      <c r="CB61" s="1340">
        <f t="shared" si="38"/>
        <v>763</v>
      </c>
      <c r="CC61" s="1340">
        <f t="shared" si="38"/>
        <v>586</v>
      </c>
      <c r="CD61" s="1346">
        <f t="shared" si="38"/>
        <v>565</v>
      </c>
      <c r="CE61" s="1340">
        <f t="shared" si="38"/>
        <v>541</v>
      </c>
      <c r="CF61" s="1340">
        <f t="shared" si="38"/>
        <v>1796</v>
      </c>
      <c r="CG61" s="1340">
        <f t="shared" ref="CG61:CL61" si="39">CF62</f>
        <v>2074</v>
      </c>
      <c r="CH61" s="1346">
        <f t="shared" si="39"/>
        <v>2406</v>
      </c>
      <c r="CI61" s="1340">
        <f t="shared" si="39"/>
        <v>1196</v>
      </c>
      <c r="CJ61" s="1340">
        <f t="shared" si="39"/>
        <v>1118</v>
      </c>
      <c r="CK61" s="1340">
        <f t="shared" si="39"/>
        <v>1967</v>
      </c>
      <c r="CL61" s="1346">
        <f t="shared" ca="1" si="39"/>
        <v>372</v>
      </c>
      <c r="CM61" s="1198"/>
      <c r="CN61" s="1198"/>
      <c r="CO61" s="1198"/>
      <c r="CP61" s="1198"/>
      <c r="CQ61" s="1198"/>
      <c r="CR61" s="1198"/>
      <c r="CS61" s="1198"/>
      <c r="CT61" s="1198"/>
    </row>
    <row r="62" spans="1:98" ht="11.25" customHeight="1">
      <c r="A62" s="1198" t="s">
        <v>293</v>
      </c>
      <c r="B62" s="1620"/>
      <c r="C62" s="1620"/>
      <c r="D62" s="1621"/>
      <c r="E62" s="1621"/>
      <c r="F62" s="1621"/>
      <c r="G62" s="1621"/>
      <c r="H62" s="1627"/>
      <c r="I62" s="1627"/>
      <c r="J62" s="1340">
        <v>2253</v>
      </c>
      <c r="K62" s="1340">
        <f>K60+K61</f>
        <v>1756</v>
      </c>
      <c r="L62" s="1340" t="e">
        <f>L60+L61</f>
        <v>#REF!</v>
      </c>
      <c r="M62" s="1340">
        <f>M60+M61+M58</f>
        <v>854</v>
      </c>
      <c r="N62" s="1340">
        <f t="shared" ref="N62:S62" si="40">N60+N61</f>
        <v>1249</v>
      </c>
      <c r="O62" s="1341">
        <f t="shared" si="40"/>
        <v>910</v>
      </c>
      <c r="P62" s="1341">
        <f t="shared" si="40"/>
        <v>565</v>
      </c>
      <c r="Q62" s="1341">
        <f t="shared" si="40"/>
        <v>2406</v>
      </c>
      <c r="R62" s="1342">
        <f t="shared" ca="1" si="40"/>
        <v>372</v>
      </c>
      <c r="S62" s="1340">
        <f t="shared" ca="1" si="40"/>
        <v>424</v>
      </c>
      <c r="T62" s="1198"/>
      <c r="U62" s="1198"/>
      <c r="V62" s="1198"/>
      <c r="W62" s="1198"/>
      <c r="X62" s="1198"/>
      <c r="Y62" s="1198"/>
      <c r="Z62" s="1198"/>
      <c r="AA62" s="1198"/>
      <c r="AB62" s="1198"/>
      <c r="AC62" s="1198"/>
      <c r="AD62" s="1198"/>
      <c r="AE62" s="1198"/>
      <c r="AF62" s="1198"/>
      <c r="AG62" s="1198"/>
      <c r="AH62" s="1198"/>
      <c r="AI62" s="1198"/>
      <c r="AJ62" s="1198"/>
      <c r="AK62" s="1198"/>
      <c r="AL62" s="1198"/>
      <c r="AM62" s="1198"/>
      <c r="AN62" s="1198"/>
      <c r="AO62" s="1198"/>
      <c r="AP62" s="1198"/>
      <c r="AQ62" s="1198"/>
      <c r="AR62" s="1621"/>
      <c r="AS62" s="1621"/>
      <c r="AT62" s="1621"/>
      <c r="AU62" s="1198"/>
      <c r="AV62" s="1198"/>
      <c r="AW62" s="1198"/>
      <c r="AX62" s="1340"/>
      <c r="AY62" s="1340"/>
      <c r="AZ62" s="1340"/>
      <c r="BA62" s="1340"/>
      <c r="BB62" s="1340">
        <v>1323</v>
      </c>
      <c r="BC62" s="1340">
        <v>684</v>
      </c>
      <c r="BD62" s="1340">
        <v>1102</v>
      </c>
      <c r="BE62" s="1340">
        <v>2253</v>
      </c>
      <c r="BF62" s="1340">
        <v>2568</v>
      </c>
      <c r="BG62" s="1340">
        <v>2761</v>
      </c>
      <c r="BH62" s="1340">
        <v>6089</v>
      </c>
      <c r="BI62" s="1340">
        <v>1756</v>
      </c>
      <c r="BJ62" s="1340">
        <v>1880</v>
      </c>
      <c r="BK62" s="1340">
        <f>BK60+BK61</f>
        <v>1451</v>
      </c>
      <c r="BL62" s="1340">
        <f>BL60+BL61</f>
        <v>1809</v>
      </c>
      <c r="BM62" s="1340">
        <f>BM60+BM61</f>
        <v>1159</v>
      </c>
      <c r="BN62" s="1346">
        <f t="shared" ref="BN62:BY62" si="41">BN60+BN61+BN58</f>
        <v>1414</v>
      </c>
      <c r="BO62" s="1340">
        <f t="shared" si="41"/>
        <v>2255</v>
      </c>
      <c r="BP62" s="1340">
        <f t="shared" si="41"/>
        <v>2319</v>
      </c>
      <c r="BQ62" s="1342">
        <f t="shared" si="41"/>
        <v>854</v>
      </c>
      <c r="BR62" s="1340">
        <f t="shared" si="41"/>
        <v>618</v>
      </c>
      <c r="BS62" s="1340">
        <f t="shared" si="41"/>
        <v>1197</v>
      </c>
      <c r="BT62" s="1340">
        <f t="shared" si="41"/>
        <v>970</v>
      </c>
      <c r="BU62" s="1341">
        <f t="shared" si="41"/>
        <v>1249</v>
      </c>
      <c r="BV62" s="1346">
        <f t="shared" si="41"/>
        <v>895</v>
      </c>
      <c r="BW62" s="1340">
        <f t="shared" si="41"/>
        <v>877</v>
      </c>
      <c r="BX62" s="1340">
        <f t="shared" si="41"/>
        <v>1127</v>
      </c>
      <c r="BY62" s="1342">
        <f t="shared" si="41"/>
        <v>910</v>
      </c>
      <c r="BZ62" s="1346">
        <f>BZ60+BZ61</f>
        <v>635</v>
      </c>
      <c r="CA62" s="1340">
        <f>CA60+CA61</f>
        <v>763</v>
      </c>
      <c r="CB62" s="1340">
        <f>CB60+CB61</f>
        <v>586</v>
      </c>
      <c r="CC62" s="1340">
        <f>CC60+CC61</f>
        <v>565</v>
      </c>
      <c r="CD62" s="1346">
        <f t="shared" ref="CD62:CJ62" si="42">CD60+CD61</f>
        <v>541</v>
      </c>
      <c r="CE62" s="1340">
        <f t="shared" si="42"/>
        <v>1796</v>
      </c>
      <c r="CF62" s="1340">
        <f t="shared" si="42"/>
        <v>2074</v>
      </c>
      <c r="CG62" s="1340">
        <f t="shared" si="42"/>
        <v>2406</v>
      </c>
      <c r="CH62" s="1346">
        <f t="shared" si="42"/>
        <v>1196</v>
      </c>
      <c r="CI62" s="1340">
        <f t="shared" si="42"/>
        <v>1118</v>
      </c>
      <c r="CJ62" s="1340">
        <f t="shared" si="42"/>
        <v>1967</v>
      </c>
      <c r="CK62" s="1340">
        <f ca="1">CK60+CK61</f>
        <v>372</v>
      </c>
      <c r="CL62" s="1346">
        <f ca="1">CL60+CL61</f>
        <v>424</v>
      </c>
      <c r="CM62" s="1198"/>
      <c r="CN62" s="1198"/>
      <c r="CO62" s="1198"/>
      <c r="CP62" s="1198"/>
      <c r="CQ62" s="1198"/>
      <c r="CR62" s="1198"/>
      <c r="CS62" s="1198"/>
      <c r="CT62" s="1198"/>
    </row>
    <row r="63" spans="1:98" ht="11.25" customHeight="1">
      <c r="A63" s="1642"/>
      <c r="B63" s="1643"/>
      <c r="C63" s="1643"/>
      <c r="D63" s="1644"/>
      <c r="E63" s="1644"/>
      <c r="F63" s="1644"/>
      <c r="G63" s="1644"/>
      <c r="H63" s="1645"/>
      <c r="I63" s="1645"/>
      <c r="J63" s="1645"/>
      <c r="K63" s="1645"/>
      <c r="L63" s="1646"/>
      <c r="M63" s="1646">
        <f>M62-Q_BS!M10</f>
        <v>8</v>
      </c>
      <c r="N63" s="1646">
        <f>N62-Q_BS!N10</f>
        <v>8</v>
      </c>
      <c r="O63" s="1647"/>
      <c r="P63" s="1647">
        <f>P62-Q_BS!P10</f>
        <v>0</v>
      </c>
      <c r="Q63" s="1647">
        <f>Q62-Q_BS!Q10</f>
        <v>0</v>
      </c>
      <c r="R63" s="1648">
        <f ca="1">R62-Q_BS!R10</f>
        <v>0</v>
      </c>
      <c r="S63" s="1646">
        <f ca="1">S62-Q_BS!S10</f>
        <v>424</v>
      </c>
      <c r="T63" s="1198"/>
      <c r="U63" s="1198"/>
      <c r="V63" s="1198"/>
      <c r="W63" s="1198"/>
      <c r="X63" s="1198"/>
      <c r="Y63" s="1645"/>
      <c r="Z63" s="1645"/>
      <c r="AA63" s="1645"/>
      <c r="AB63" s="1645"/>
      <c r="AC63" s="1645"/>
      <c r="AD63" s="1645"/>
      <c r="AE63" s="1645"/>
      <c r="AF63" s="1645"/>
      <c r="AG63" s="1645"/>
      <c r="AH63" s="1645"/>
      <c r="AI63" s="1645"/>
      <c r="AJ63" s="1645"/>
      <c r="AK63" s="1645"/>
      <c r="AL63" s="1645"/>
      <c r="AM63" s="1645"/>
      <c r="AN63" s="1645"/>
      <c r="AO63" s="1645"/>
      <c r="AP63" s="1645"/>
      <c r="AQ63" s="1645"/>
      <c r="AR63" s="1644"/>
      <c r="AS63" s="1644"/>
      <c r="AT63" s="1644"/>
      <c r="AU63" s="1645"/>
      <c r="AV63" s="1645"/>
      <c r="AW63" s="1645"/>
      <c r="AX63" s="1645"/>
      <c r="AY63" s="1645"/>
      <c r="AZ63" s="1645"/>
      <c r="BA63" s="1645"/>
      <c r="BB63" s="1645"/>
      <c r="BC63" s="1645"/>
      <c r="BD63" s="1645"/>
      <c r="BE63" s="1645"/>
      <c r="BF63" s="1646">
        <f>BF62-Q_BS!BF10</f>
        <v>0</v>
      </c>
      <c r="BG63" s="1646">
        <f>BG62-Q_BS!BG10</f>
        <v>0</v>
      </c>
      <c r="BH63" s="1646">
        <f>BH62-Q_BS!BH10</f>
        <v>0</v>
      </c>
      <c r="BI63" s="1646">
        <f>BI62-Q_BS!BI10</f>
        <v>0</v>
      </c>
      <c r="BJ63" s="1646">
        <f>BJ62-Q_BS!BJ10</f>
        <v>0</v>
      </c>
      <c r="BK63" s="1646">
        <f>BK62-Q_BS!BK10</f>
        <v>0</v>
      </c>
      <c r="BL63" s="1646">
        <f>BL62-Q_BS!BL10</f>
        <v>0</v>
      </c>
      <c r="BM63" s="1646">
        <f>BM62-Q_BS!BM10</f>
        <v>8</v>
      </c>
      <c r="BN63" s="1649">
        <f>BN62-Q_BS!BN10</f>
        <v>8</v>
      </c>
      <c r="BO63" s="1646">
        <f>BO62-Q_BS!BO10</f>
        <v>10</v>
      </c>
      <c r="BP63" s="1646">
        <f>BP62-Q_BS!BP10</f>
        <v>8</v>
      </c>
      <c r="BQ63" s="1648">
        <f>BQ62-Q_BS!BQ10</f>
        <v>8</v>
      </c>
      <c r="BR63" s="1646">
        <f>BR62-Q_BS!BR10</f>
        <v>8</v>
      </c>
      <c r="BS63" s="1646">
        <f>BS62-Q_BS!BS10</f>
        <v>8</v>
      </c>
      <c r="BT63" s="1646">
        <f>BT62-Q_BS!BT10</f>
        <v>8</v>
      </c>
      <c r="BU63" s="1647">
        <f>BU62-Q_BS!BU10</f>
        <v>8</v>
      </c>
      <c r="BV63" s="1649">
        <f>BV62-Q_BS!BV10</f>
        <v>8</v>
      </c>
      <c r="BW63" s="1646">
        <f>BW62-Q_BS!BW10</f>
        <v>8</v>
      </c>
      <c r="BX63" s="1646">
        <f>BX62-Q_BS!BX10</f>
        <v>8</v>
      </c>
      <c r="BY63" s="1648">
        <f>BY62-Q_BS!BY10</f>
        <v>8</v>
      </c>
      <c r="BZ63" s="1649">
        <f>BZ62-Q_BS!BZ10</f>
        <v>1</v>
      </c>
      <c r="CA63" s="1646">
        <f>CA62-Q_BS!CA10</f>
        <v>8</v>
      </c>
      <c r="CB63" s="1646">
        <f>CB62-Q_BS!CB10</f>
        <v>0</v>
      </c>
      <c r="CC63" s="1646">
        <f>CC62-Q_BS!CC10</f>
        <v>0</v>
      </c>
      <c r="CD63" s="1649">
        <f>CD62-Q_BS!CD10</f>
        <v>0</v>
      </c>
      <c r="CE63" s="1646">
        <f>CE62-Q_BS!CE10</f>
        <v>0</v>
      </c>
      <c r="CF63" s="1646">
        <f>CF62-Q_BS!CF10</f>
        <v>0</v>
      </c>
      <c r="CG63" s="1646">
        <f>CG62-Q_BS!CG10</f>
        <v>0</v>
      </c>
      <c r="CH63" s="1649">
        <f>CH62-Q_BS!CH10</f>
        <v>0</v>
      </c>
      <c r="CI63" s="1646">
        <f>CI62-Q_BS!CI10</f>
        <v>0</v>
      </c>
      <c r="CJ63" s="1646">
        <f>CJ62-Q_BS!CJ10</f>
        <v>0</v>
      </c>
      <c r="CK63" s="1646">
        <f ca="1">CK62-Q_BS!CK10</f>
        <v>0</v>
      </c>
      <c r="CL63" s="1649">
        <f ca="1">CL62-Q_BS!CL10</f>
        <v>0</v>
      </c>
      <c r="CM63" s="1198"/>
      <c r="CN63" s="1198"/>
      <c r="CO63" s="1198"/>
      <c r="CP63" s="1198"/>
      <c r="CQ63" s="1198"/>
      <c r="CR63" s="1198"/>
      <c r="CS63" s="1198"/>
      <c r="CT63" s="1198"/>
    </row>
    <row r="64" spans="1:98" ht="11.25" customHeight="1">
      <c r="A64" s="1205" t="s">
        <v>1102</v>
      </c>
      <c r="B64" s="1618"/>
      <c r="C64" s="1618"/>
      <c r="D64" s="1619"/>
      <c r="E64" s="1619"/>
      <c r="F64" s="1619"/>
      <c r="G64" s="1619"/>
      <c r="H64" s="1206"/>
      <c r="I64" s="1206"/>
      <c r="J64" s="1206"/>
      <c r="K64" s="1206"/>
      <c r="L64" s="1206"/>
      <c r="M64" s="1206"/>
      <c r="N64" s="1206"/>
      <c r="O64" s="1650"/>
      <c r="P64" s="1207"/>
      <c r="Q64" s="1207"/>
      <c r="R64" s="1208"/>
      <c r="S64" s="1206"/>
      <c r="T64" s="1198"/>
      <c r="U64" s="1198"/>
      <c r="V64" s="1198"/>
      <c r="W64" s="1198"/>
      <c r="X64" s="1198"/>
      <c r="Y64" s="1198"/>
      <c r="Z64" s="1206"/>
      <c r="AA64" s="1206"/>
      <c r="AB64" s="1206"/>
      <c r="AC64" s="1206"/>
      <c r="AD64" s="1206"/>
      <c r="AE64" s="1206"/>
      <c r="AF64" s="1206"/>
      <c r="AG64" s="1206"/>
      <c r="AH64" s="1206"/>
      <c r="AI64" s="1206"/>
      <c r="AJ64" s="1206"/>
      <c r="AK64" s="1206"/>
      <c r="AL64" s="1206"/>
      <c r="AM64" s="1206"/>
      <c r="AN64" s="1206"/>
      <c r="AO64" s="1206"/>
      <c r="AP64" s="1206"/>
      <c r="AQ64" s="1206"/>
      <c r="AR64" s="1619"/>
      <c r="AS64" s="1619"/>
      <c r="AT64" s="1619"/>
      <c r="AU64" s="1206"/>
      <c r="AV64" s="1206"/>
      <c r="AW64" s="1206"/>
      <c r="AX64" s="1206"/>
      <c r="AY64" s="1206"/>
      <c r="AZ64" s="1206"/>
      <c r="BA64" s="1206"/>
      <c r="BB64" s="1206"/>
      <c r="BC64" s="1206"/>
      <c r="BD64" s="1206"/>
      <c r="BE64" s="1206"/>
      <c r="BF64" s="1206"/>
      <c r="BG64" s="1206"/>
      <c r="BH64" s="1206"/>
      <c r="BI64" s="1206"/>
      <c r="BJ64" s="1206"/>
      <c r="BK64" s="1206"/>
      <c r="BL64" s="1206"/>
      <c r="BM64" s="1206"/>
      <c r="BN64" s="1365"/>
      <c r="BO64" s="1206"/>
      <c r="BP64" s="1206"/>
      <c r="BQ64" s="1208"/>
      <c r="BR64" s="1206"/>
      <c r="BS64" s="1206"/>
      <c r="BT64" s="1206"/>
      <c r="BU64" s="1207"/>
      <c r="BV64" s="1365"/>
      <c r="BW64" s="1206"/>
      <c r="BX64" s="1206"/>
      <c r="BY64" s="1208"/>
      <c r="BZ64" s="1365"/>
      <c r="CA64" s="1206"/>
      <c r="CB64" s="1206"/>
      <c r="CC64" s="1206"/>
      <c r="CD64" s="1365"/>
      <c r="CE64" s="1206"/>
      <c r="CF64" s="1206"/>
      <c r="CG64" s="1206"/>
      <c r="CH64" s="1365"/>
      <c r="CI64" s="1206"/>
      <c r="CJ64" s="1206"/>
      <c r="CK64" s="1206"/>
      <c r="CL64" s="1365"/>
      <c r="CM64" s="1198"/>
      <c r="CN64" s="1198"/>
      <c r="CO64" s="1198"/>
      <c r="CP64" s="1198"/>
      <c r="CQ64" s="1198"/>
      <c r="CR64" s="1198"/>
      <c r="CS64" s="1198"/>
      <c r="CT64" s="1198"/>
    </row>
    <row r="65" spans="1:98">
      <c r="A65" s="1213" t="s">
        <v>1108</v>
      </c>
      <c r="B65" s="1623"/>
      <c r="C65" s="1623"/>
      <c r="D65" s="1624"/>
      <c r="E65" s="1624"/>
      <c r="F65" s="1624"/>
      <c r="G65" s="1326">
        <f t="shared" ref="G65:S65" si="43">G34+G37</f>
        <v>0</v>
      </c>
      <c r="H65" s="1326">
        <f t="shared" si="43"/>
        <v>0</v>
      </c>
      <c r="I65" s="1326">
        <f t="shared" si="43"/>
        <v>-5152</v>
      </c>
      <c r="J65" s="1326">
        <f t="shared" si="43"/>
        <v>-430</v>
      </c>
      <c r="K65" s="1326">
        <f t="shared" si="43"/>
        <v>87</v>
      </c>
      <c r="L65" s="1326">
        <f t="shared" si="43"/>
        <v>125</v>
      </c>
      <c r="M65" s="1326">
        <f t="shared" si="43"/>
        <v>700</v>
      </c>
      <c r="N65" s="1326">
        <f t="shared" si="43"/>
        <v>1157</v>
      </c>
      <c r="O65" s="1327">
        <f t="shared" si="43"/>
        <v>1357</v>
      </c>
      <c r="P65" s="1327">
        <f>P34+P37</f>
        <v>1109</v>
      </c>
      <c r="Q65" s="1327">
        <f>Q34+Q37</f>
        <v>1898</v>
      </c>
      <c r="R65" s="1328">
        <f ca="1">R34+R37</f>
        <v>1879</v>
      </c>
      <c r="S65" s="1326">
        <f t="shared" si="43"/>
        <v>367</v>
      </c>
      <c r="T65" s="1198"/>
      <c r="U65" s="1198"/>
      <c r="V65" s="1198"/>
      <c r="W65" s="1198"/>
      <c r="X65" s="1198"/>
      <c r="Y65" s="1198"/>
      <c r="Z65" s="1213"/>
      <c r="AA65" s="1213"/>
      <c r="AB65" s="1213"/>
      <c r="AC65" s="1213"/>
      <c r="AD65" s="1213"/>
      <c r="AE65" s="1213"/>
      <c r="AF65" s="1213"/>
      <c r="AG65" s="1213"/>
      <c r="AH65" s="1213"/>
      <c r="AI65" s="1213"/>
      <c r="AJ65" s="1213"/>
      <c r="AK65" s="1213"/>
      <c r="AL65" s="1213"/>
      <c r="AM65" s="1213"/>
      <c r="AN65" s="1213"/>
      <c r="AO65" s="1213"/>
      <c r="AP65" s="1213"/>
      <c r="AQ65" s="1213"/>
      <c r="AR65" s="1624"/>
      <c r="AS65" s="1624"/>
      <c r="AT65" s="1624"/>
      <c r="AU65" s="1213"/>
      <c r="AV65" s="1213"/>
      <c r="AW65" s="1213"/>
      <c r="AX65" s="1213"/>
      <c r="AY65" s="1213"/>
      <c r="AZ65" s="1213"/>
      <c r="BA65" s="1213"/>
      <c r="BB65" s="1326">
        <f t="shared" ref="BB65:CB65" si="44">BB34+BB37</f>
        <v>-600</v>
      </c>
      <c r="BC65" s="1326">
        <f t="shared" si="44"/>
        <v>206</v>
      </c>
      <c r="BD65" s="1326">
        <f t="shared" si="44"/>
        <v>-145</v>
      </c>
      <c r="BE65" s="1326">
        <f t="shared" si="44"/>
        <v>109</v>
      </c>
      <c r="BF65" s="1326">
        <f t="shared" si="44"/>
        <v>408</v>
      </c>
      <c r="BG65" s="1326">
        <f t="shared" si="44"/>
        <v>-67</v>
      </c>
      <c r="BH65" s="1326">
        <f t="shared" si="44"/>
        <v>64</v>
      </c>
      <c r="BI65" s="1326">
        <f t="shared" si="44"/>
        <v>-318</v>
      </c>
      <c r="BJ65" s="1326">
        <f t="shared" si="44"/>
        <v>105</v>
      </c>
      <c r="BK65" s="1326">
        <f t="shared" si="44"/>
        <v>-202</v>
      </c>
      <c r="BL65" s="1326">
        <f t="shared" si="44"/>
        <v>347</v>
      </c>
      <c r="BM65" s="1326">
        <f t="shared" si="44"/>
        <v>-125</v>
      </c>
      <c r="BN65" s="1331">
        <f t="shared" si="44"/>
        <v>30</v>
      </c>
      <c r="BO65" s="1326">
        <f t="shared" si="44"/>
        <v>220</v>
      </c>
      <c r="BP65" s="1326">
        <f t="shared" si="44"/>
        <v>228</v>
      </c>
      <c r="BQ65" s="1328">
        <f t="shared" si="44"/>
        <v>222</v>
      </c>
      <c r="BR65" s="1326">
        <f t="shared" si="44"/>
        <v>-250</v>
      </c>
      <c r="BS65" s="1326">
        <f t="shared" si="44"/>
        <v>595</v>
      </c>
      <c r="BT65" s="1326">
        <f t="shared" si="44"/>
        <v>358</v>
      </c>
      <c r="BU65" s="1327">
        <f t="shared" si="44"/>
        <v>454</v>
      </c>
      <c r="BV65" s="1331">
        <f t="shared" si="44"/>
        <v>-50</v>
      </c>
      <c r="BW65" s="1326">
        <f t="shared" si="44"/>
        <v>679</v>
      </c>
      <c r="BX65" s="1326">
        <f t="shared" si="44"/>
        <v>333</v>
      </c>
      <c r="BY65" s="1328">
        <f>BY34+BY37</f>
        <v>395</v>
      </c>
      <c r="BZ65" s="1331">
        <f t="shared" si="44"/>
        <v>-35</v>
      </c>
      <c r="CA65" s="1326">
        <f t="shared" si="44"/>
        <v>382</v>
      </c>
      <c r="CB65" s="1326">
        <f t="shared" si="44"/>
        <v>215</v>
      </c>
      <c r="CC65" s="1326">
        <f t="shared" ref="CC65:CJ65" si="45">CC34+CC37</f>
        <v>547</v>
      </c>
      <c r="CD65" s="1331">
        <f t="shared" si="45"/>
        <v>323</v>
      </c>
      <c r="CE65" s="1326">
        <f t="shared" si="45"/>
        <v>657</v>
      </c>
      <c r="CF65" s="1326">
        <f t="shared" si="45"/>
        <v>428</v>
      </c>
      <c r="CG65" s="1326">
        <f>CG34+CG37</f>
        <v>490</v>
      </c>
      <c r="CH65" s="1331">
        <f t="shared" si="45"/>
        <v>335</v>
      </c>
      <c r="CI65" s="1326">
        <f>CI34+CI37</f>
        <v>589</v>
      </c>
      <c r="CJ65" s="1326">
        <f t="shared" si="45"/>
        <v>550</v>
      </c>
      <c r="CK65" s="1326">
        <f ca="1">CK34+CK37</f>
        <v>405</v>
      </c>
      <c r="CL65" s="1331">
        <f>CL34+CL37</f>
        <v>367</v>
      </c>
      <c r="CM65" s="1198"/>
      <c r="CN65" s="1198"/>
      <c r="CO65" s="1198"/>
      <c r="CP65" s="1198"/>
      <c r="CQ65" s="1198"/>
      <c r="CR65" s="1198"/>
      <c r="CS65" s="1198"/>
      <c r="CT65" s="1198"/>
    </row>
    <row r="66" spans="1:98" outlineLevel="1">
      <c r="A66" s="1198" t="s">
        <v>1109</v>
      </c>
      <c r="B66" s="1620"/>
      <c r="C66" s="1620"/>
      <c r="D66" s="1621"/>
      <c r="E66" s="1621"/>
      <c r="F66" s="1621"/>
      <c r="G66" s="1621"/>
      <c r="H66" s="1355"/>
      <c r="I66" s="1355"/>
      <c r="J66" s="1355"/>
      <c r="K66" s="1355">
        <f>K65/Q_IS!K91</f>
        <v>5.0035484935868312E-2</v>
      </c>
      <c r="L66" s="1355">
        <f>L65/Q_IS!L91</f>
        <v>6.9389713308072698E-2</v>
      </c>
      <c r="M66" s="1355">
        <f>M65/Q_IS!M91</f>
        <v>0.3803837719045014</v>
      </c>
      <c r="N66" s="1355">
        <f>N65/Q_IS!N91</f>
        <v>0.61452360109767978</v>
      </c>
      <c r="O66" s="1651">
        <f>O65/Q_IS!O91</f>
        <v>0.70122361429337488</v>
      </c>
      <c r="P66" s="1651">
        <f>P65/Q_IS!P91</f>
        <v>0.63488828485130222</v>
      </c>
      <c r="Q66" s="1651">
        <f ca="1">Q65/Q_IS!Q91</f>
        <v>1.1085741169846492</v>
      </c>
      <c r="R66" s="1652">
        <f ca="1">R65/Q_IS!R91</f>
        <v>1.0933203306377566</v>
      </c>
      <c r="S66" s="1355">
        <f ca="1">S65/Q_IS!S91</f>
        <v>0.21354839460484817</v>
      </c>
      <c r="T66" s="1198"/>
      <c r="U66" s="1198"/>
      <c r="V66" s="1198"/>
      <c r="W66" s="1198"/>
      <c r="X66" s="1198"/>
      <c r="Y66" s="1198"/>
      <c r="Z66" s="1198"/>
      <c r="AA66" s="1198"/>
      <c r="AB66" s="1198"/>
      <c r="AC66" s="1198"/>
      <c r="AD66" s="1198"/>
      <c r="AE66" s="1198"/>
      <c r="AF66" s="1198"/>
      <c r="AG66" s="1198"/>
      <c r="AH66" s="1198"/>
      <c r="AI66" s="1198"/>
      <c r="AJ66" s="1198"/>
      <c r="AK66" s="1198"/>
      <c r="AL66" s="1198"/>
      <c r="AM66" s="1198"/>
      <c r="AN66" s="1198"/>
      <c r="AO66" s="1198"/>
      <c r="AP66" s="1198"/>
      <c r="AQ66" s="1198"/>
      <c r="AR66" s="1621"/>
      <c r="AS66" s="1621"/>
      <c r="AT66" s="1621"/>
      <c r="AU66" s="1198"/>
      <c r="AV66" s="1198"/>
      <c r="AW66" s="1198"/>
      <c r="AX66" s="1198"/>
      <c r="AY66" s="1198"/>
      <c r="AZ66" s="1198"/>
      <c r="BA66" s="1198"/>
      <c r="BB66" s="1355"/>
      <c r="BC66" s="1355"/>
      <c r="BD66" s="1355"/>
      <c r="BE66" s="1355"/>
      <c r="BF66" s="1355"/>
      <c r="BG66" s="1355"/>
      <c r="BH66" s="1355"/>
      <c r="BI66" s="1355"/>
      <c r="BJ66" s="1355"/>
      <c r="BK66" s="1355"/>
      <c r="BL66" s="1355"/>
      <c r="BM66" s="1355"/>
      <c r="BN66" s="1653"/>
      <c r="BO66" s="1355"/>
      <c r="BP66" s="1355"/>
      <c r="BQ66" s="1652"/>
      <c r="BR66" s="1355"/>
      <c r="BS66" s="1355"/>
      <c r="BT66" s="1355"/>
      <c r="BU66" s="1651"/>
      <c r="BV66" s="1653"/>
      <c r="BW66" s="1355"/>
      <c r="BX66" s="1355"/>
      <c r="BY66" s="1652"/>
      <c r="BZ66" s="1653"/>
      <c r="CA66" s="1355"/>
      <c r="CB66" s="1355"/>
      <c r="CC66" s="1355"/>
      <c r="CD66" s="1653">
        <f>CD65/Q_IS!CD91*4</f>
        <v>0.75696235459819483</v>
      </c>
      <c r="CE66" s="1651">
        <f>CE65/Q_IS!CE91*4</f>
        <v>1.5254502922618807</v>
      </c>
      <c r="CF66" s="1651">
        <f>CF65/Q_IS!CF91*4</f>
        <v>0.99563710888385126</v>
      </c>
      <c r="CG66" s="1651">
        <f>CG65/Q_IS!CG91*4</f>
        <v>1.1391699519514389</v>
      </c>
      <c r="CH66" s="1653">
        <f>CH65/Q_IS!CH91*4</f>
        <v>0.77037837651380792</v>
      </c>
      <c r="CI66" s="1651">
        <f>CI65/Q_IS!CI91*4</f>
        <v>1.3375048041741957</v>
      </c>
      <c r="CJ66" s="1651">
        <f>CJ65/Q_IS!CJ91*4</f>
        <v>1.2740565032476858</v>
      </c>
      <c r="CK66" s="1651">
        <f ca="1">CK65/Q_IS!CK91*4</f>
        <v>0.93373533905832207</v>
      </c>
      <c r="CL66" s="1653">
        <f>CL65/Q_IS!CL91*4</f>
        <v>0.82670272321959037</v>
      </c>
      <c r="CM66" s="1198"/>
      <c r="CN66" s="1198"/>
      <c r="CO66" s="1198"/>
      <c r="CP66" s="1198"/>
      <c r="CQ66" s="1198"/>
      <c r="CR66" s="1198"/>
      <c r="CS66" s="1198"/>
      <c r="CT66" s="1198"/>
    </row>
    <row r="67" spans="1:98" outlineLevel="1">
      <c r="A67" s="1654" t="s">
        <v>294</v>
      </c>
      <c r="B67" s="1620"/>
      <c r="C67" s="1620"/>
      <c r="D67" s="1621"/>
      <c r="E67" s="1621"/>
      <c r="F67" s="1621"/>
      <c r="G67" s="1427"/>
      <c r="H67" s="1198"/>
      <c r="I67" s="1198"/>
      <c r="J67" s="1427"/>
      <c r="K67" s="1340"/>
      <c r="L67" s="1198"/>
      <c r="M67" s="1198"/>
      <c r="N67" s="1198"/>
      <c r="O67" s="1170"/>
      <c r="P67" s="1626"/>
      <c r="Q67" s="1177"/>
      <c r="R67" s="1655"/>
      <c r="S67" s="1199"/>
      <c r="T67" s="1198"/>
      <c r="U67" s="1198"/>
      <c r="V67" s="1198"/>
      <c r="W67" s="1198"/>
      <c r="X67" s="1198"/>
      <c r="Y67" s="1198"/>
      <c r="Z67" s="1198"/>
      <c r="AA67" s="1198"/>
      <c r="AB67" s="1198"/>
      <c r="AC67" s="1198"/>
      <c r="AD67" s="1198"/>
      <c r="AE67" s="1198"/>
      <c r="AF67" s="1198"/>
      <c r="AG67" s="1198"/>
      <c r="AH67" s="1198"/>
      <c r="AI67" s="1198"/>
      <c r="AJ67" s="1198"/>
      <c r="AK67" s="1198"/>
      <c r="AL67" s="1198"/>
      <c r="AM67" s="1198"/>
      <c r="AN67" s="1198"/>
      <c r="AO67" s="1198"/>
      <c r="AP67" s="1198"/>
      <c r="AQ67" s="1198"/>
      <c r="AR67" s="1621"/>
      <c r="AS67" s="1621"/>
      <c r="AT67" s="1621"/>
      <c r="AU67" s="1198"/>
      <c r="AV67" s="1198"/>
      <c r="AW67" s="1198"/>
      <c r="AX67" s="1198"/>
      <c r="AY67" s="1198"/>
      <c r="AZ67" s="1198"/>
      <c r="BA67" s="1198"/>
      <c r="BB67" s="1198"/>
      <c r="BC67" s="1198"/>
      <c r="BD67" s="1198"/>
      <c r="BE67" s="1198"/>
      <c r="BF67" s="1198"/>
      <c r="BG67" s="1198"/>
      <c r="BH67" s="1198"/>
      <c r="BI67" s="1198"/>
      <c r="BJ67" s="1198"/>
      <c r="BK67" s="1198"/>
      <c r="BL67" s="1198"/>
      <c r="BM67" s="1198"/>
      <c r="BN67" s="1359"/>
      <c r="BO67" s="1198"/>
      <c r="BP67" s="1198"/>
      <c r="BQ67" s="1360"/>
      <c r="BR67" s="1198"/>
      <c r="BS67" s="1198"/>
      <c r="BT67" s="1198"/>
      <c r="BU67" s="1170"/>
      <c r="BV67" s="1346"/>
      <c r="BW67" s="1340"/>
      <c r="BX67" s="1340"/>
      <c r="BY67" s="1342"/>
      <c r="BZ67" s="1346"/>
      <c r="CA67" s="1198"/>
      <c r="CB67" s="1198"/>
      <c r="CC67" s="1198"/>
      <c r="CD67" s="1359"/>
      <c r="CE67" s="1198"/>
      <c r="CF67" s="1198"/>
      <c r="CG67" s="1198"/>
      <c r="CH67" s="1359"/>
      <c r="CI67" s="1198"/>
      <c r="CJ67" s="1198"/>
      <c r="CK67" s="1198"/>
      <c r="CL67" s="1359"/>
      <c r="CM67" s="1198"/>
      <c r="CN67" s="1198"/>
      <c r="CO67" s="1198"/>
      <c r="CP67" s="1198"/>
      <c r="CQ67" s="1198"/>
      <c r="CR67" s="1198"/>
      <c r="CS67" s="1198"/>
      <c r="CT67" s="1198"/>
    </row>
    <row r="68" spans="1:98" outlineLevel="1">
      <c r="A68" s="1656">
        <v>7.42</v>
      </c>
      <c r="B68" s="1620"/>
      <c r="C68" s="1620"/>
      <c r="D68" s="1621"/>
      <c r="E68" s="1621"/>
      <c r="F68" s="1621"/>
      <c r="G68" s="1621"/>
      <c r="H68" s="1198"/>
      <c r="I68" s="1198"/>
      <c r="J68" s="1198"/>
      <c r="K68" s="1198"/>
      <c r="L68" s="1198"/>
      <c r="M68" s="1198"/>
      <c r="N68" s="1198"/>
      <c r="O68" s="1170"/>
      <c r="P68" s="1170"/>
      <c r="Q68" s="1170"/>
      <c r="R68" s="1360"/>
      <c r="S68" s="1198"/>
      <c r="T68" s="1198"/>
      <c r="U68" s="1198"/>
      <c r="V68" s="1198"/>
      <c r="W68" s="1198"/>
      <c r="X68" s="1198"/>
      <c r="Y68" s="1198"/>
      <c r="Z68" s="1198"/>
      <c r="AA68" s="1198"/>
      <c r="AB68" s="1198"/>
      <c r="AC68" s="1198"/>
      <c r="AD68" s="1198"/>
      <c r="AE68" s="1198"/>
      <c r="AF68" s="1198"/>
      <c r="AG68" s="1198"/>
      <c r="AH68" s="1198"/>
      <c r="AI68" s="1198"/>
      <c r="AJ68" s="1198"/>
      <c r="AK68" s="1198"/>
      <c r="AL68" s="1198"/>
      <c r="AM68" s="1198"/>
      <c r="AN68" s="1198"/>
      <c r="AO68" s="1198"/>
      <c r="AP68" s="1198"/>
      <c r="AQ68" s="1198"/>
      <c r="AR68" s="1621"/>
      <c r="AS68" s="1621"/>
      <c r="AT68" s="1621"/>
      <c r="AU68" s="1198"/>
      <c r="AV68" s="1198"/>
      <c r="AW68" s="1198"/>
      <c r="AX68" s="1198"/>
      <c r="AY68" s="1198"/>
      <c r="AZ68" s="1198"/>
      <c r="BA68" s="1198"/>
      <c r="BB68" s="1198"/>
      <c r="BC68" s="1198"/>
      <c r="BD68" s="1198"/>
      <c r="BE68" s="1198"/>
      <c r="BF68" s="1198"/>
      <c r="BG68" s="1198"/>
      <c r="BH68" s="1198"/>
      <c r="BI68" s="1198"/>
      <c r="BJ68" s="1198"/>
      <c r="BK68" s="1198"/>
      <c r="BL68" s="1198"/>
      <c r="BM68" s="1198"/>
      <c r="BN68" s="1346"/>
      <c r="BO68" s="1198"/>
      <c r="BP68" s="1198"/>
      <c r="BQ68" s="1360"/>
      <c r="BR68" s="1198"/>
      <c r="BS68" s="1198"/>
      <c r="BT68" s="1198"/>
      <c r="BU68" s="1170"/>
      <c r="BV68" s="1359"/>
      <c r="BW68" s="1340"/>
      <c r="BX68" s="1340"/>
      <c r="BY68" s="1342"/>
      <c r="BZ68" s="1359"/>
      <c r="CA68" s="1198"/>
      <c r="CB68" s="1198"/>
      <c r="CC68" s="1198"/>
      <c r="CD68" s="1359"/>
      <c r="CE68" s="1198"/>
      <c r="CF68" s="1198"/>
      <c r="CG68" s="1198"/>
      <c r="CH68" s="1359"/>
      <c r="CI68" s="1198"/>
      <c r="CJ68" s="1198"/>
      <c r="CK68" s="1198"/>
      <c r="CL68" s="1359"/>
      <c r="CM68" s="1198"/>
      <c r="CN68" s="1198"/>
      <c r="CO68" s="1198"/>
      <c r="CP68" s="1198"/>
      <c r="CQ68" s="1198"/>
      <c r="CR68" s="1198"/>
      <c r="CS68" s="1198"/>
      <c r="CT68" s="1198"/>
    </row>
    <row r="69" spans="1:98" outlineLevel="1">
      <c r="A69" s="1609" t="s">
        <v>1110</v>
      </c>
      <c r="B69" s="1657"/>
      <c r="C69" s="1657"/>
      <c r="D69" s="1658"/>
      <c r="E69" s="1658"/>
      <c r="F69" s="1658"/>
      <c r="G69" s="1658"/>
      <c r="H69" s="1178"/>
      <c r="I69" s="1178"/>
      <c r="J69" s="1315"/>
      <c r="K69" s="1315">
        <f t="shared" ref="K69:S69" si="46">K66/$A$68</f>
        <v>6.743326810763923E-3</v>
      </c>
      <c r="L69" s="1315">
        <f t="shared" si="46"/>
        <v>9.3517133838372912E-3</v>
      </c>
      <c r="M69" s="1315">
        <f t="shared" si="46"/>
        <v>5.1264659286320943E-2</v>
      </c>
      <c r="N69" s="1315">
        <f t="shared" si="46"/>
        <v>8.2819892331223693E-2</v>
      </c>
      <c r="O69" s="1315">
        <f t="shared" si="46"/>
        <v>9.4504530228217642E-2</v>
      </c>
      <c r="P69" s="1315">
        <f t="shared" si="46"/>
        <v>8.5564458874838573E-2</v>
      </c>
      <c r="Q69" s="1315">
        <f t="shared" ca="1" si="46"/>
        <v>0.14940351980925193</v>
      </c>
      <c r="R69" s="1494">
        <f t="shared" ca="1" si="46"/>
        <v>0.14734775345522325</v>
      </c>
      <c r="S69" s="1315">
        <f t="shared" ca="1" si="46"/>
        <v>2.8780107089602179E-2</v>
      </c>
      <c r="T69" s="1198"/>
      <c r="U69" s="1198"/>
      <c r="V69" s="1198"/>
      <c r="W69" s="1198"/>
      <c r="X69" s="1198"/>
      <c r="Y69" s="1198"/>
      <c r="Z69" s="1198"/>
      <c r="AA69" s="1198"/>
      <c r="AB69" s="1198"/>
      <c r="AC69" s="1198"/>
      <c r="AD69" s="1198"/>
      <c r="AE69" s="1198"/>
      <c r="AF69" s="1198"/>
      <c r="AG69" s="1198"/>
      <c r="AH69" s="1198"/>
      <c r="AI69" s="1198"/>
      <c r="AJ69" s="1198"/>
      <c r="AK69" s="1198"/>
      <c r="AL69" s="1198"/>
      <c r="AM69" s="1198"/>
      <c r="AN69" s="1198"/>
      <c r="AO69" s="1198"/>
      <c r="AP69" s="1198"/>
      <c r="AQ69" s="1198"/>
      <c r="AR69" s="1621"/>
      <c r="AS69" s="1621"/>
      <c r="AT69" s="1621"/>
      <c r="AU69" s="1198"/>
      <c r="AV69" s="1198"/>
      <c r="AW69" s="1198"/>
      <c r="AX69" s="1198"/>
      <c r="AY69" s="1198"/>
      <c r="AZ69" s="1198"/>
      <c r="BA69" s="1198"/>
      <c r="BB69" s="1198"/>
      <c r="BC69" s="1198"/>
      <c r="BD69" s="1198"/>
      <c r="BE69" s="1198"/>
      <c r="BF69" s="1198"/>
      <c r="BG69" s="1198"/>
      <c r="BH69" s="1198"/>
      <c r="BI69" s="1198"/>
      <c r="BJ69" s="1198"/>
      <c r="BK69" s="1198"/>
      <c r="BL69" s="1198"/>
      <c r="BM69" s="1198"/>
      <c r="BN69" s="1359"/>
      <c r="BO69" s="1198"/>
      <c r="BP69" s="1198"/>
      <c r="BQ69" s="1360"/>
      <c r="BR69" s="1198"/>
      <c r="BS69" s="1340"/>
      <c r="BT69" s="1198"/>
      <c r="BU69" s="1170"/>
      <c r="BV69" s="1359"/>
      <c r="BW69" s="1198"/>
      <c r="BX69" s="1198"/>
      <c r="BY69" s="1360"/>
      <c r="BZ69" s="1346"/>
      <c r="CA69" s="1198"/>
      <c r="CB69" s="1198"/>
      <c r="CC69" s="1198"/>
      <c r="CD69" s="1359"/>
      <c r="CE69" s="1198"/>
      <c r="CF69" s="1198"/>
      <c r="CG69" s="1198"/>
      <c r="CH69" s="1359"/>
      <c r="CI69" s="1198"/>
      <c r="CJ69" s="1198"/>
      <c r="CK69" s="1198"/>
      <c r="CL69" s="1359"/>
      <c r="CM69" s="1198"/>
      <c r="CN69" s="1198"/>
      <c r="CO69" s="1198"/>
      <c r="CP69" s="1198"/>
      <c r="CQ69" s="1198"/>
      <c r="CR69" s="1198"/>
      <c r="CS69" s="1198"/>
      <c r="CT69" s="1198"/>
    </row>
    <row r="70" spans="1:98" ht="4.5" customHeight="1" outlineLevel="1">
      <c r="A70" s="1213"/>
      <c r="B70" s="1620"/>
      <c r="C70" s="1620"/>
      <c r="D70" s="1621"/>
      <c r="E70" s="1621"/>
      <c r="F70" s="1621"/>
      <c r="G70" s="1621"/>
      <c r="H70" s="1198"/>
      <c r="I70" s="1198"/>
      <c r="J70" s="1198"/>
      <c r="K70" s="1198"/>
      <c r="L70" s="1198"/>
      <c r="M70" s="1198"/>
      <c r="N70" s="1198"/>
      <c r="O70" s="1170"/>
      <c r="P70" s="1170"/>
      <c r="Q70" s="1170"/>
      <c r="R70" s="1360"/>
      <c r="S70" s="1198"/>
      <c r="T70" s="1198"/>
      <c r="U70" s="1198"/>
      <c r="V70" s="1198"/>
      <c r="W70" s="1198"/>
      <c r="X70" s="1198"/>
      <c r="Y70" s="1198"/>
      <c r="Z70" s="1198"/>
      <c r="AA70" s="1198"/>
      <c r="AB70" s="1198"/>
      <c r="AC70" s="1198"/>
      <c r="AD70" s="1198"/>
      <c r="AE70" s="1198"/>
      <c r="AF70" s="1198"/>
      <c r="AG70" s="1198"/>
      <c r="AH70" s="1198"/>
      <c r="AI70" s="1198"/>
      <c r="AJ70" s="1198"/>
      <c r="AK70" s="1198"/>
      <c r="AL70" s="1198"/>
      <c r="AM70" s="1198"/>
      <c r="AN70" s="1198"/>
      <c r="AO70" s="1198"/>
      <c r="AP70" s="1198"/>
      <c r="AQ70" s="1198"/>
      <c r="AR70" s="1621"/>
      <c r="AS70" s="1621"/>
      <c r="AT70" s="1621"/>
      <c r="AU70" s="1198"/>
      <c r="AV70" s="1198"/>
      <c r="AW70" s="1198"/>
      <c r="AX70" s="1198"/>
      <c r="AY70" s="1198"/>
      <c r="AZ70" s="1198"/>
      <c r="BA70" s="1198"/>
      <c r="BB70" s="1198"/>
      <c r="BC70" s="1198"/>
      <c r="BD70" s="1198"/>
      <c r="BE70" s="1198"/>
      <c r="BF70" s="1198"/>
      <c r="BG70" s="1198"/>
      <c r="BH70" s="1198"/>
      <c r="BI70" s="1198"/>
      <c r="BJ70" s="1198"/>
      <c r="BK70" s="1198"/>
      <c r="BL70" s="1198"/>
      <c r="BM70" s="1198"/>
      <c r="BN70" s="1359"/>
      <c r="BO70" s="1198"/>
      <c r="BP70" s="1198"/>
      <c r="BQ70" s="1360"/>
      <c r="BR70" s="1198"/>
      <c r="BS70" s="1198"/>
      <c r="BT70" s="1198"/>
      <c r="BU70" s="1170"/>
      <c r="BV70" s="1359"/>
      <c r="BW70" s="1198"/>
      <c r="BX70" s="1198"/>
      <c r="BY70" s="1360"/>
      <c r="BZ70" s="1359"/>
      <c r="CA70" s="1198"/>
      <c r="CB70" s="1198"/>
      <c r="CC70" s="1198"/>
      <c r="CD70" s="1359"/>
      <c r="CE70" s="1198"/>
      <c r="CF70" s="1198"/>
      <c r="CG70" s="1198"/>
      <c r="CH70" s="1359"/>
      <c r="CI70" s="1198"/>
      <c r="CJ70" s="1198"/>
      <c r="CK70" s="1198"/>
      <c r="CL70" s="1359"/>
      <c r="CM70" s="1198"/>
      <c r="CN70" s="1198"/>
      <c r="CO70" s="1198"/>
      <c r="CP70" s="1198"/>
      <c r="CQ70" s="1198"/>
      <c r="CR70" s="1198"/>
      <c r="CS70" s="1198"/>
      <c r="CT70" s="1198"/>
    </row>
    <row r="71" spans="1:98">
      <c r="A71" s="1198" t="s">
        <v>295</v>
      </c>
      <c r="B71" s="1620"/>
      <c r="C71" s="1620"/>
      <c r="D71" s="1621"/>
      <c r="E71" s="1621"/>
      <c r="F71" s="1621"/>
      <c r="G71" s="1621"/>
      <c r="H71" s="1627"/>
      <c r="I71" s="1627"/>
      <c r="J71" s="1627"/>
      <c r="K71" s="1340"/>
      <c r="L71" s="1340"/>
      <c r="M71" s="1340">
        <f>SUM(BN71:BQ71)</f>
        <v>204</v>
      </c>
      <c r="N71" s="1340">
        <f>SUM(BR71:BU71)</f>
        <v>240</v>
      </c>
      <c r="O71" s="1341">
        <f>SUM(BV71:BY71)</f>
        <v>445</v>
      </c>
      <c r="P71" s="1341">
        <f>SUM(BZ71:CC71)</f>
        <v>285</v>
      </c>
      <c r="Q71" s="1341">
        <f>SUM(CD71:CG71)</f>
        <v>32</v>
      </c>
      <c r="R71" s="1342">
        <v>0</v>
      </c>
      <c r="S71" s="1340">
        <v>0</v>
      </c>
      <c r="T71" s="1198"/>
      <c r="U71" s="1198"/>
      <c r="V71" s="1198"/>
      <c r="W71" s="1198"/>
      <c r="X71" s="1198"/>
      <c r="Y71" s="1198"/>
      <c r="Z71" s="1198"/>
      <c r="AA71" s="1198"/>
      <c r="AB71" s="1198"/>
      <c r="AC71" s="1198"/>
      <c r="AD71" s="1198"/>
      <c r="AE71" s="1198"/>
      <c r="AF71" s="1198"/>
      <c r="AG71" s="1198"/>
      <c r="AH71" s="1198"/>
      <c r="AI71" s="1198"/>
      <c r="AJ71" s="1198"/>
      <c r="AK71" s="1198"/>
      <c r="AL71" s="1198"/>
      <c r="AM71" s="1198"/>
      <c r="AN71" s="1198"/>
      <c r="AO71" s="1198"/>
      <c r="AP71" s="1198"/>
      <c r="AQ71" s="1198"/>
      <c r="AR71" s="1621"/>
      <c r="AS71" s="1621"/>
      <c r="AT71" s="1621"/>
      <c r="AU71" s="1198"/>
      <c r="AV71" s="1198"/>
      <c r="AW71" s="1198"/>
      <c r="AX71" s="1627"/>
      <c r="AY71" s="1627"/>
      <c r="AZ71" s="1627"/>
      <c r="BA71" s="1627"/>
      <c r="BB71" s="1627"/>
      <c r="BC71" s="1627"/>
      <c r="BD71" s="1627"/>
      <c r="BE71" s="1627"/>
      <c r="BF71" s="1627"/>
      <c r="BG71" s="1627"/>
      <c r="BH71" s="1627"/>
      <c r="BI71" s="1627"/>
      <c r="BJ71" s="1627"/>
      <c r="BK71" s="1627"/>
      <c r="BL71" s="1627"/>
      <c r="BM71" s="1627"/>
      <c r="BN71" s="1631">
        <v>0</v>
      </c>
      <c r="BO71" s="1627">
        <v>0</v>
      </c>
      <c r="BP71" s="1627">
        <v>0</v>
      </c>
      <c r="BQ71" s="1630">
        <v>204</v>
      </c>
      <c r="BR71" s="1627">
        <v>100</v>
      </c>
      <c r="BS71" s="1627">
        <v>0</v>
      </c>
      <c r="BT71" s="1627">
        <v>0</v>
      </c>
      <c r="BU71" s="1629">
        <v>140</v>
      </c>
      <c r="BV71" s="1631">
        <v>200</v>
      </c>
      <c r="BW71" s="1627">
        <v>0</v>
      </c>
      <c r="BX71" s="1627">
        <v>0</v>
      </c>
      <c r="BY71" s="1630">
        <v>245</v>
      </c>
      <c r="BZ71" s="1659">
        <v>84</v>
      </c>
      <c r="CA71" s="1660">
        <v>85</v>
      </c>
      <c r="CB71" s="1660">
        <v>70</v>
      </c>
      <c r="CC71" s="1660">
        <v>46</v>
      </c>
      <c r="CD71" s="1659">
        <v>16</v>
      </c>
      <c r="CE71" s="1660">
        <v>0</v>
      </c>
      <c r="CF71" s="1660">
        <v>0</v>
      </c>
      <c r="CG71" s="1660">
        <v>16</v>
      </c>
      <c r="CH71" s="1659">
        <v>0</v>
      </c>
      <c r="CI71" s="1660">
        <v>20</v>
      </c>
      <c r="CJ71" s="1660">
        <v>4</v>
      </c>
      <c r="CK71" s="1660">
        <f>10+11</f>
        <v>21</v>
      </c>
      <c r="CL71" s="1659">
        <v>7</v>
      </c>
      <c r="CM71" s="1198"/>
      <c r="CN71" s="1198"/>
      <c r="CO71" s="1198"/>
      <c r="CP71" s="1198"/>
      <c r="CQ71" s="1198"/>
      <c r="CR71" s="1198"/>
      <c r="CS71" s="1198"/>
      <c r="CT71" s="1198"/>
    </row>
    <row r="72" spans="1:98">
      <c r="A72" s="1213" t="s">
        <v>296</v>
      </c>
      <c r="B72" s="1623"/>
      <c r="C72" s="1623"/>
      <c r="D72" s="1624"/>
      <c r="E72" s="1624"/>
      <c r="F72" s="1624"/>
      <c r="G72" s="1624"/>
      <c r="H72" s="1213"/>
      <c r="I72" s="1213"/>
      <c r="J72" s="1213"/>
      <c r="K72" s="1326"/>
      <c r="L72" s="1326"/>
      <c r="M72" s="1326">
        <f t="shared" ref="M72:S72" si="47">M65+M71</f>
        <v>904</v>
      </c>
      <c r="N72" s="1326">
        <f t="shared" si="47"/>
        <v>1397</v>
      </c>
      <c r="O72" s="1327">
        <f t="shared" si="47"/>
        <v>1802</v>
      </c>
      <c r="P72" s="1327">
        <f>P65+P71</f>
        <v>1394</v>
      </c>
      <c r="Q72" s="1327">
        <f>Q65+Q71</f>
        <v>1930</v>
      </c>
      <c r="R72" s="1328">
        <f ca="1">R65+R71</f>
        <v>1879</v>
      </c>
      <c r="S72" s="1326">
        <f t="shared" si="47"/>
        <v>367</v>
      </c>
      <c r="T72" s="1198"/>
      <c r="U72" s="1198"/>
      <c r="V72" s="1198"/>
      <c r="W72" s="1198"/>
      <c r="X72" s="1198"/>
      <c r="Y72" s="1198"/>
      <c r="Z72" s="1213"/>
      <c r="AA72" s="1213"/>
      <c r="AB72" s="1213"/>
      <c r="AC72" s="1213"/>
      <c r="AD72" s="1213"/>
      <c r="AE72" s="1213"/>
      <c r="AF72" s="1213"/>
      <c r="AG72" s="1213"/>
      <c r="AH72" s="1213"/>
      <c r="AI72" s="1213"/>
      <c r="AJ72" s="1213"/>
      <c r="AK72" s="1213"/>
      <c r="AL72" s="1213"/>
      <c r="AM72" s="1213"/>
      <c r="AN72" s="1213"/>
      <c r="AO72" s="1213"/>
      <c r="AP72" s="1213"/>
      <c r="AQ72" s="1213"/>
      <c r="AR72" s="1624"/>
      <c r="AS72" s="1624"/>
      <c r="AT72" s="1624"/>
      <c r="AU72" s="1213"/>
      <c r="AV72" s="1213"/>
      <c r="AW72" s="1213"/>
      <c r="AX72" s="1213"/>
      <c r="AY72" s="1213"/>
      <c r="AZ72" s="1213"/>
      <c r="BA72" s="1213"/>
      <c r="BB72" s="1213"/>
      <c r="BC72" s="1213"/>
      <c r="BD72" s="1213"/>
      <c r="BE72" s="1213"/>
      <c r="BF72" s="1213"/>
      <c r="BG72" s="1213"/>
      <c r="BH72" s="1213"/>
      <c r="BI72" s="1213"/>
      <c r="BJ72" s="1213"/>
      <c r="BK72" s="1213"/>
      <c r="BL72" s="1213"/>
      <c r="BM72" s="1213"/>
      <c r="BN72" s="1331">
        <f t="shared" ref="BN72:CB72" si="48">BN65+BN71</f>
        <v>30</v>
      </c>
      <c r="BO72" s="1326">
        <f t="shared" si="48"/>
        <v>220</v>
      </c>
      <c r="BP72" s="1326">
        <f t="shared" si="48"/>
        <v>228</v>
      </c>
      <c r="BQ72" s="1328">
        <f t="shared" si="48"/>
        <v>426</v>
      </c>
      <c r="BR72" s="1326">
        <f t="shared" si="48"/>
        <v>-150</v>
      </c>
      <c r="BS72" s="1326">
        <f t="shared" si="48"/>
        <v>595</v>
      </c>
      <c r="BT72" s="1326">
        <f t="shared" si="48"/>
        <v>358</v>
      </c>
      <c r="BU72" s="1327">
        <f t="shared" si="48"/>
        <v>594</v>
      </c>
      <c r="BV72" s="1331">
        <f t="shared" si="48"/>
        <v>150</v>
      </c>
      <c r="BW72" s="1326">
        <f t="shared" si="48"/>
        <v>679</v>
      </c>
      <c r="BX72" s="1326">
        <f t="shared" si="48"/>
        <v>333</v>
      </c>
      <c r="BY72" s="1328">
        <f t="shared" si="48"/>
        <v>640</v>
      </c>
      <c r="BZ72" s="1331">
        <f t="shared" si="48"/>
        <v>49</v>
      </c>
      <c r="CA72" s="1326">
        <f t="shared" si="48"/>
        <v>467</v>
      </c>
      <c r="CB72" s="1326">
        <f t="shared" si="48"/>
        <v>285</v>
      </c>
      <c r="CC72" s="1326">
        <f t="shared" ref="CC72:CJ72" si="49">CC65+CC71</f>
        <v>593</v>
      </c>
      <c r="CD72" s="1331">
        <f t="shared" si="49"/>
        <v>339</v>
      </c>
      <c r="CE72" s="1326">
        <f t="shared" si="49"/>
        <v>657</v>
      </c>
      <c r="CF72" s="1326">
        <f t="shared" si="49"/>
        <v>428</v>
      </c>
      <c r="CG72" s="1326">
        <f t="shared" si="49"/>
        <v>506</v>
      </c>
      <c r="CH72" s="1331">
        <f>CH65+CH71</f>
        <v>335</v>
      </c>
      <c r="CI72" s="1326">
        <f>CI65+CI71</f>
        <v>609</v>
      </c>
      <c r="CJ72" s="1326">
        <f t="shared" si="49"/>
        <v>554</v>
      </c>
      <c r="CK72" s="1326">
        <f ca="1">CK65+CK71</f>
        <v>426</v>
      </c>
      <c r="CL72" s="1331">
        <f>CL65+CL71</f>
        <v>374</v>
      </c>
      <c r="CM72" s="1198"/>
      <c r="CN72" s="1198"/>
      <c r="CO72" s="1198"/>
      <c r="CP72" s="1198"/>
      <c r="CQ72" s="1198"/>
      <c r="CR72" s="1198"/>
      <c r="CS72" s="1198"/>
      <c r="CT72" s="1198"/>
    </row>
    <row r="73" spans="1:98">
      <c r="A73" s="1198" t="s">
        <v>1109</v>
      </c>
      <c r="B73" s="1620"/>
      <c r="C73" s="1620"/>
      <c r="D73" s="1621"/>
      <c r="E73" s="1621"/>
      <c r="F73" s="1621"/>
      <c r="G73" s="1621"/>
      <c r="H73" s="1198"/>
      <c r="I73" s="1198"/>
      <c r="J73" s="1198"/>
      <c r="K73" s="1235"/>
      <c r="L73" s="1235"/>
      <c r="M73" s="1235">
        <f>M72/Q_IS!M91</f>
        <v>0.49123847114524177</v>
      </c>
      <c r="N73" s="1235">
        <f>N72/Q_IS!N91</f>
        <v>0.74199608533574646</v>
      </c>
      <c r="O73" s="1559">
        <f>O72/Q_IS!O91</f>
        <v>0.93117535221566805</v>
      </c>
      <c r="P73" s="1559">
        <f>P72/Q_IS!P91</f>
        <v>0.79804713172472075</v>
      </c>
      <c r="Q73" s="1559">
        <f ca="1">Q72/Q_IS!Q91</f>
        <v>1.1272645130560448</v>
      </c>
      <c r="R73" s="1560">
        <f ca="1">R72/Q_IS!R91</f>
        <v>1.0933203306377566</v>
      </c>
      <c r="S73" s="1235">
        <f ca="1">S72/Q_IS!S91</f>
        <v>0.21354839460484817</v>
      </c>
      <c r="T73" s="1198"/>
      <c r="U73" s="1198"/>
      <c r="V73" s="1198"/>
      <c r="W73" s="1198"/>
      <c r="X73" s="1198"/>
      <c r="Y73" s="1198"/>
      <c r="Z73" s="1198"/>
      <c r="AA73" s="1198"/>
      <c r="AB73" s="1198"/>
      <c r="AC73" s="1198"/>
      <c r="AD73" s="1198"/>
      <c r="AE73" s="1198"/>
      <c r="AF73" s="1198"/>
      <c r="AG73" s="1198"/>
      <c r="AH73" s="1198"/>
      <c r="AI73" s="1198"/>
      <c r="AJ73" s="1198"/>
      <c r="AK73" s="1198"/>
      <c r="AL73" s="1198"/>
      <c r="AM73" s="1198"/>
      <c r="AN73" s="1198"/>
      <c r="AO73" s="1198"/>
      <c r="AP73" s="1198"/>
      <c r="AQ73" s="1198"/>
      <c r="AR73" s="1621"/>
      <c r="AS73" s="1621"/>
      <c r="AT73" s="1621"/>
      <c r="AU73" s="1198"/>
      <c r="AV73" s="1198"/>
      <c r="AW73" s="1198"/>
      <c r="AX73" s="1198"/>
      <c r="AY73" s="1198"/>
      <c r="AZ73" s="1198"/>
      <c r="BA73" s="1198"/>
      <c r="BB73" s="1198"/>
      <c r="BC73" s="1198"/>
      <c r="BD73" s="1198"/>
      <c r="BE73" s="1198"/>
      <c r="BF73" s="1198"/>
      <c r="BG73" s="1198"/>
      <c r="BH73" s="1198"/>
      <c r="BI73" s="1198"/>
      <c r="BJ73" s="1198"/>
      <c r="BK73" s="1198"/>
      <c r="BL73" s="1198"/>
      <c r="BM73" s="1198"/>
      <c r="BN73" s="1561">
        <f>BN72/Q_IS!BN91</f>
        <v>1.6462016366536672E-2</v>
      </c>
      <c r="BO73" s="1235">
        <f>BO72/Q_IS!BO91</f>
        <v>0.12065782646991398</v>
      </c>
      <c r="BP73" s="1235">
        <f>BP72/Q_IS!BP91</f>
        <v>0.123663364457088</v>
      </c>
      <c r="BQ73" s="1560">
        <f>BQ72/Q_IS!BQ91</f>
        <v>0.22882508524540149</v>
      </c>
      <c r="BR73" s="1235">
        <f>BR72/Q_IS!BR91</f>
        <v>-7.8477494747239682E-2</v>
      </c>
      <c r="BS73" s="1235">
        <f>BS72/Q_IS!BS91</f>
        <v>0.30485805399112992</v>
      </c>
      <c r="BT73" s="1235">
        <f>BT72/Q_IS!BT91</f>
        <v>0.17859797595612278</v>
      </c>
      <c r="BU73" s="1559">
        <f>BU72/Q_IS!BU91</f>
        <v>0.29817286295643913</v>
      </c>
      <c r="BV73" s="1561">
        <f>BV72/Q_IS!BV91</f>
        <v>7.6829699288556985E-2</v>
      </c>
      <c r="BW73" s="1235">
        <f>BW72/Q_IS!BW91</f>
        <v>0.3493466856826512</v>
      </c>
      <c r="BX73" s="1235">
        <f>BX72/Q_IS!BX91</f>
        <v>0.17423890822841936</v>
      </c>
      <c r="BY73" s="1560">
        <f>BY72/Q_IS!BY91</f>
        <v>0.34603460562327859</v>
      </c>
      <c r="BZ73" s="1561">
        <f>BZ72/Q_IS!BZ91</f>
        <v>2.7696681767952678E-2</v>
      </c>
      <c r="CA73" s="1235">
        <f>CA72/Q_IS!CA91</f>
        <v>0.26762775786966014</v>
      </c>
      <c r="CB73" s="1235">
        <f>CB72/Q_IS!CB91</f>
        <v>0.16630245456587767</v>
      </c>
      <c r="CC73" s="1235">
        <f>CC72/Q_IS!CC91</f>
        <v>0.34930330777862534</v>
      </c>
      <c r="CD73" s="1561">
        <f>CD72/Q_IS!CD91</f>
        <v>0.19861473545571831</v>
      </c>
      <c r="CE73" s="1235">
        <f>CE72/Q_IS!CE91</f>
        <v>0.38136257306547017</v>
      </c>
      <c r="CF73" s="1235">
        <f>CF72/Q_IS!CF91</f>
        <v>0.24890927722096282</v>
      </c>
      <c r="CG73" s="1235">
        <f>CG72/Q_IS!CG91</f>
        <v>0.29409183453440207</v>
      </c>
      <c r="CH73" s="1561">
        <f>CH72/Q_IS!CH91</f>
        <v>0.19259459412845198</v>
      </c>
      <c r="CI73" s="1235">
        <f>CI72/Q_IS!CI91</f>
        <v>0.3457302316392552</v>
      </c>
      <c r="CJ73" s="1235">
        <f>CJ72/Q_IS!CJ91</f>
        <v>0.3208305921814627</v>
      </c>
      <c r="CK73" s="1235">
        <f ca="1">CK72/Q_IS!CK91</f>
        <v>0.24553781138200323</v>
      </c>
      <c r="CL73" s="1561">
        <f>CL72/Q_IS!CL91</f>
        <v>0.21061772376302915</v>
      </c>
      <c r="CM73" s="1198"/>
      <c r="CN73" s="1198"/>
      <c r="CO73" s="1198"/>
      <c r="CP73" s="1198"/>
      <c r="CQ73" s="1198"/>
      <c r="CR73" s="1198"/>
      <c r="CS73" s="1198"/>
      <c r="CT73" s="1198"/>
    </row>
    <row r="74" spans="1:98" hidden="1">
      <c r="A74" s="1609" t="s">
        <v>297</v>
      </c>
      <c r="B74" s="1657"/>
      <c r="C74" s="1657"/>
      <c r="D74" s="1658"/>
      <c r="E74" s="1658"/>
      <c r="F74" s="1658"/>
      <c r="G74" s="1658"/>
      <c r="H74" s="1178"/>
      <c r="I74" s="1178"/>
      <c r="J74" s="1315"/>
      <c r="K74" s="1315"/>
      <c r="L74" s="1315"/>
      <c r="M74" s="1315"/>
      <c r="N74" s="1315"/>
      <c r="O74" s="1315">
        <f>O73/$A$68</f>
        <v>0.12549533048728681</v>
      </c>
      <c r="P74" s="1315">
        <f>P73/$A$68</f>
        <v>0.10755352179578447</v>
      </c>
      <c r="Q74" s="1315">
        <f ca="1">Q73/$A$68</f>
        <v>0.1519224411126745</v>
      </c>
      <c r="R74" s="1494">
        <f ca="1">R73/$A$68</f>
        <v>0.14734775345522325</v>
      </c>
      <c r="S74" s="1315">
        <f ca="1">S73/$A$68</f>
        <v>2.8780107089602179E-2</v>
      </c>
      <c r="T74" s="1198"/>
      <c r="U74" s="1198"/>
      <c r="V74" s="1198"/>
      <c r="W74" s="1198"/>
      <c r="X74" s="1198"/>
      <c r="Y74" s="1198"/>
      <c r="Z74" s="1198"/>
      <c r="AA74" s="1198"/>
      <c r="AB74" s="1198"/>
      <c r="AC74" s="1198"/>
      <c r="AD74" s="1198"/>
      <c r="AE74" s="1198"/>
      <c r="AF74" s="1198"/>
      <c r="AG74" s="1198"/>
      <c r="AH74" s="1198"/>
      <c r="AI74" s="1198"/>
      <c r="AJ74" s="1198"/>
      <c r="AK74" s="1198"/>
      <c r="AL74" s="1198"/>
      <c r="AM74" s="1198"/>
      <c r="AN74" s="1198"/>
      <c r="AO74" s="1198"/>
      <c r="AP74" s="1198"/>
      <c r="AQ74" s="1198"/>
      <c r="AR74" s="1621"/>
      <c r="AS74" s="1621"/>
      <c r="AT74" s="1621"/>
      <c r="AU74" s="1198"/>
      <c r="AV74" s="1198"/>
      <c r="AW74" s="1198"/>
      <c r="AX74" s="1198"/>
      <c r="AY74" s="1198"/>
      <c r="AZ74" s="1198"/>
      <c r="BA74" s="1198"/>
      <c r="BB74" s="1198"/>
      <c r="BC74" s="1198"/>
      <c r="BD74" s="1198"/>
      <c r="BE74" s="1198"/>
      <c r="BF74" s="1198"/>
      <c r="BG74" s="1198"/>
      <c r="BH74" s="1198"/>
      <c r="BI74" s="1198"/>
      <c r="BJ74" s="1198"/>
      <c r="BK74" s="1198"/>
      <c r="BL74" s="1198"/>
      <c r="BM74" s="1198"/>
      <c r="BN74" s="1359"/>
      <c r="BO74" s="1198"/>
      <c r="BP74" s="1198"/>
      <c r="BQ74" s="1360"/>
      <c r="BR74" s="1198"/>
      <c r="BS74" s="1198"/>
      <c r="BT74" s="1198"/>
      <c r="BU74" s="1170"/>
      <c r="BV74" s="1231"/>
      <c r="BW74" s="1227"/>
      <c r="BX74" s="1227"/>
      <c r="BY74" s="1230"/>
      <c r="BZ74" s="1231"/>
      <c r="CA74" s="1227"/>
      <c r="CB74" s="1227"/>
      <c r="CC74" s="1227"/>
      <c r="CD74" s="1231"/>
      <c r="CE74" s="1227"/>
      <c r="CF74" s="1227"/>
      <c r="CG74" s="1227"/>
      <c r="CH74" s="1231"/>
      <c r="CI74" s="1227"/>
      <c r="CJ74" s="1227"/>
      <c r="CK74" s="1227"/>
      <c r="CL74" s="1231"/>
      <c r="CM74" s="1198"/>
      <c r="CN74" s="1198"/>
      <c r="CO74" s="1198"/>
      <c r="CP74" s="1198"/>
      <c r="CQ74" s="1198"/>
      <c r="CR74" s="1198"/>
      <c r="CS74" s="1198"/>
      <c r="CT74" s="1198"/>
    </row>
    <row r="75" spans="1:98">
      <c r="A75" s="1198" t="s">
        <v>298</v>
      </c>
      <c r="B75" s="1620"/>
      <c r="C75" s="1620"/>
      <c r="D75" s="1621"/>
      <c r="E75" s="1621"/>
      <c r="F75" s="1621"/>
      <c r="G75" s="1621"/>
      <c r="H75" s="1198"/>
      <c r="I75" s="1198"/>
      <c r="J75" s="1198"/>
      <c r="K75" s="1198"/>
      <c r="L75" s="1198"/>
      <c r="M75" s="1198"/>
      <c r="N75" s="1340">
        <f t="shared" ref="N75:S75" si="50">N72-M72</f>
        <v>493</v>
      </c>
      <c r="O75" s="1341">
        <f t="shared" si="50"/>
        <v>405</v>
      </c>
      <c r="P75" s="1341">
        <f t="shared" si="50"/>
        <v>-408</v>
      </c>
      <c r="Q75" s="1341">
        <f t="shared" si="50"/>
        <v>536</v>
      </c>
      <c r="R75" s="1342">
        <f t="shared" ca="1" si="50"/>
        <v>-51</v>
      </c>
      <c r="S75" s="1340">
        <f t="shared" ca="1" si="50"/>
        <v>-1512</v>
      </c>
      <c r="T75" s="1198"/>
      <c r="U75" s="1198"/>
      <c r="V75" s="1198"/>
      <c r="W75" s="1198"/>
      <c r="X75" s="1198"/>
      <c r="Y75" s="1198"/>
      <c r="Z75" s="1198"/>
      <c r="AA75" s="1198"/>
      <c r="AB75" s="1198"/>
      <c r="AC75" s="1198"/>
      <c r="AD75" s="1198"/>
      <c r="AE75" s="1198"/>
      <c r="AF75" s="1198"/>
      <c r="AG75" s="1198"/>
      <c r="AH75" s="1198"/>
      <c r="AI75" s="1198"/>
      <c r="AJ75" s="1198"/>
      <c r="AK75" s="1198"/>
      <c r="AL75" s="1198"/>
      <c r="AM75" s="1198"/>
      <c r="AN75" s="1198"/>
      <c r="AO75" s="1198"/>
      <c r="AP75" s="1198"/>
      <c r="AQ75" s="1198"/>
      <c r="AR75" s="1621"/>
      <c r="AS75" s="1621"/>
      <c r="AT75" s="1621"/>
      <c r="AU75" s="1198"/>
      <c r="AV75" s="1198"/>
      <c r="AW75" s="1198"/>
      <c r="AX75" s="1198"/>
      <c r="AY75" s="1198"/>
      <c r="AZ75" s="1198"/>
      <c r="BA75" s="1198"/>
      <c r="BB75" s="1198"/>
      <c r="BC75" s="1198"/>
      <c r="BD75" s="1198"/>
      <c r="BE75" s="1198"/>
      <c r="BF75" s="1198"/>
      <c r="BG75" s="1198"/>
      <c r="BH75" s="1198"/>
      <c r="BI75" s="1198"/>
      <c r="BJ75" s="1198"/>
      <c r="BK75" s="1198"/>
      <c r="BL75" s="1198"/>
      <c r="BM75" s="1198"/>
      <c r="BN75" s="1359"/>
      <c r="BO75" s="1198"/>
      <c r="BP75" s="1198"/>
      <c r="BQ75" s="1360"/>
      <c r="BR75" s="1198"/>
      <c r="BS75" s="1198"/>
      <c r="BT75" s="1198"/>
      <c r="BU75" s="1170"/>
      <c r="BV75" s="1359"/>
      <c r="BW75" s="1198"/>
      <c r="BX75" s="1198"/>
      <c r="BY75" s="1360"/>
      <c r="BZ75" s="1359"/>
      <c r="CA75" s="1198"/>
      <c r="CB75" s="1198"/>
      <c r="CC75" s="1198"/>
      <c r="CD75" s="1359"/>
      <c r="CE75" s="1198"/>
      <c r="CF75" s="1198"/>
      <c r="CG75" s="1198"/>
      <c r="CH75" s="1359"/>
      <c r="CI75" s="1198"/>
      <c r="CJ75" s="1198"/>
      <c r="CK75" s="1198"/>
      <c r="CL75" s="1359"/>
      <c r="CM75" s="1198"/>
      <c r="CN75" s="1198"/>
      <c r="CO75" s="1198"/>
      <c r="CP75" s="1198"/>
      <c r="CQ75" s="1198"/>
      <c r="CR75" s="1198"/>
      <c r="CS75" s="1198"/>
      <c r="CT75" s="1198"/>
    </row>
    <row r="76" spans="1:98">
      <c r="A76" s="1213" t="s">
        <v>299</v>
      </c>
      <c r="B76" s="1623"/>
      <c r="C76" s="1623"/>
      <c r="D76" s="1624"/>
      <c r="E76" s="1624"/>
      <c r="F76" s="1624"/>
      <c r="G76" s="1624"/>
      <c r="H76" s="1213"/>
      <c r="I76" s="1326"/>
      <c r="J76" s="1326" t="e">
        <f>J65-J53</f>
        <v>#REF!</v>
      </c>
      <c r="K76" s="1326">
        <f>K65-K53</f>
        <v>87</v>
      </c>
      <c r="L76" s="1326">
        <f>L65-L53</f>
        <v>125</v>
      </c>
      <c r="M76" s="1326">
        <f t="shared" ref="M76:S76" si="51">M65+M53</f>
        <v>700</v>
      </c>
      <c r="N76" s="1326">
        <f t="shared" si="51"/>
        <v>1157</v>
      </c>
      <c r="O76" s="1327">
        <f t="shared" si="51"/>
        <v>1357</v>
      </c>
      <c r="P76" s="1327">
        <f>P65+P53</f>
        <v>541</v>
      </c>
      <c r="Q76" s="1327">
        <f>Q65+Q53</f>
        <v>1347</v>
      </c>
      <c r="R76" s="1328">
        <f ca="1">R65+R53</f>
        <v>1324</v>
      </c>
      <c r="S76" s="1326">
        <f t="shared" si="51"/>
        <v>226</v>
      </c>
      <c r="T76" s="1198"/>
      <c r="U76" s="1198"/>
      <c r="V76" s="1198"/>
      <c r="W76" s="1198"/>
      <c r="X76" s="1198"/>
      <c r="Y76" s="1198"/>
      <c r="Z76" s="1213"/>
      <c r="AA76" s="1213"/>
      <c r="AB76" s="1213"/>
      <c r="AC76" s="1213"/>
      <c r="AD76" s="1213"/>
      <c r="AE76" s="1213"/>
      <c r="AF76" s="1213"/>
      <c r="AG76" s="1213"/>
      <c r="AH76" s="1213"/>
      <c r="AI76" s="1213"/>
      <c r="AJ76" s="1213"/>
      <c r="AK76" s="1213"/>
      <c r="AL76" s="1213"/>
      <c r="AM76" s="1213"/>
      <c r="AN76" s="1213"/>
      <c r="AO76" s="1213"/>
      <c r="AP76" s="1213"/>
      <c r="AQ76" s="1213"/>
      <c r="AR76" s="1624"/>
      <c r="AS76" s="1624"/>
      <c r="AT76" s="1624"/>
      <c r="AU76" s="1213"/>
      <c r="AV76" s="1213"/>
      <c r="AW76" s="1213"/>
      <c r="AX76" s="1213"/>
      <c r="AY76" s="1213"/>
      <c r="AZ76" s="1213"/>
      <c r="BA76" s="1213"/>
      <c r="BB76" s="1326"/>
      <c r="BC76" s="1326"/>
      <c r="BD76" s="1326"/>
      <c r="BE76" s="1326"/>
      <c r="BF76" s="1326">
        <f t="shared" ref="BF76:BM76" si="52">BF65-BF53</f>
        <v>408</v>
      </c>
      <c r="BG76" s="1326">
        <f t="shared" si="52"/>
        <v>-67</v>
      </c>
      <c r="BH76" s="1326">
        <f t="shared" si="52"/>
        <v>64</v>
      </c>
      <c r="BI76" s="1326">
        <f t="shared" si="52"/>
        <v>-318</v>
      </c>
      <c r="BJ76" s="1326">
        <f t="shared" si="52"/>
        <v>105</v>
      </c>
      <c r="BK76" s="1326">
        <f t="shared" si="52"/>
        <v>-202</v>
      </c>
      <c r="BL76" s="1326">
        <f t="shared" si="52"/>
        <v>347</v>
      </c>
      <c r="BM76" s="1326">
        <f t="shared" si="52"/>
        <v>-125</v>
      </c>
      <c r="BN76" s="1331">
        <f t="shared" ref="BN76:BU76" si="53">BN65-BN53</f>
        <v>30</v>
      </c>
      <c r="BO76" s="1326">
        <f t="shared" si="53"/>
        <v>220</v>
      </c>
      <c r="BP76" s="1326">
        <f t="shared" si="53"/>
        <v>228</v>
      </c>
      <c r="BQ76" s="1328">
        <f t="shared" si="53"/>
        <v>222</v>
      </c>
      <c r="BR76" s="1326">
        <f t="shared" si="53"/>
        <v>-250</v>
      </c>
      <c r="BS76" s="1326">
        <f t="shared" si="53"/>
        <v>595</v>
      </c>
      <c r="BT76" s="1326">
        <f t="shared" si="53"/>
        <v>358</v>
      </c>
      <c r="BU76" s="1327">
        <f t="shared" si="53"/>
        <v>454</v>
      </c>
      <c r="BV76" s="1331">
        <f t="shared" ref="BV76:CA76" si="54">BV65+BV53</f>
        <v>-50</v>
      </c>
      <c r="BW76" s="1327">
        <f t="shared" si="54"/>
        <v>679</v>
      </c>
      <c r="BX76" s="1327">
        <f t="shared" si="54"/>
        <v>333</v>
      </c>
      <c r="BY76" s="1327">
        <f t="shared" si="54"/>
        <v>395</v>
      </c>
      <c r="BZ76" s="1331">
        <f t="shared" si="54"/>
        <v>-177</v>
      </c>
      <c r="CA76" s="1326">
        <f t="shared" si="54"/>
        <v>242</v>
      </c>
      <c r="CB76" s="1326">
        <f t="shared" ref="CB76:CL76" si="55">CB65+CB53</f>
        <v>65</v>
      </c>
      <c r="CC76" s="1326">
        <f t="shared" si="55"/>
        <v>411</v>
      </c>
      <c r="CD76" s="1331">
        <f t="shared" si="55"/>
        <v>186</v>
      </c>
      <c r="CE76" s="1326">
        <f t="shared" si="55"/>
        <v>520</v>
      </c>
      <c r="CF76" s="1326">
        <f t="shared" si="55"/>
        <v>290</v>
      </c>
      <c r="CG76" s="1326">
        <f t="shared" si="55"/>
        <v>351</v>
      </c>
      <c r="CH76" s="1331">
        <f t="shared" si="55"/>
        <v>197</v>
      </c>
      <c r="CI76" s="1326">
        <f t="shared" si="55"/>
        <v>450</v>
      </c>
      <c r="CJ76" s="1326">
        <f t="shared" si="55"/>
        <v>411</v>
      </c>
      <c r="CK76" s="1326">
        <f t="shared" ca="1" si="55"/>
        <v>266</v>
      </c>
      <c r="CL76" s="1331">
        <f t="shared" si="55"/>
        <v>226</v>
      </c>
      <c r="CM76" s="1198"/>
      <c r="CN76" s="1198"/>
      <c r="CO76" s="1198"/>
      <c r="CP76" s="1198"/>
      <c r="CQ76" s="1198"/>
      <c r="CR76" s="1198"/>
      <c r="CS76" s="1198"/>
      <c r="CT76" s="1198"/>
    </row>
    <row r="77" spans="1:98">
      <c r="A77" s="968" t="s">
        <v>300</v>
      </c>
      <c r="B77" s="1661"/>
      <c r="C77" s="1661"/>
      <c r="D77" s="1662"/>
      <c r="E77" s="1662"/>
      <c r="F77" s="1662"/>
      <c r="G77" s="1662"/>
      <c r="H77" s="968"/>
      <c r="I77" s="968"/>
      <c r="J77" s="968"/>
      <c r="K77" s="968"/>
      <c r="L77" s="968"/>
      <c r="M77" s="968"/>
      <c r="N77" s="968"/>
      <c r="O77" s="968"/>
      <c r="P77" s="1663">
        <v>-150</v>
      </c>
      <c r="Q77" s="1663">
        <v>130</v>
      </c>
      <c r="R77" s="1664">
        <f>+Q77</f>
        <v>130</v>
      </c>
      <c r="S77" s="1663">
        <f>+R77</f>
        <v>130</v>
      </c>
      <c r="T77" s="1198"/>
      <c r="U77" s="1198"/>
      <c r="V77" s="1198"/>
      <c r="W77" s="1198"/>
      <c r="X77" s="1198"/>
      <c r="Y77" s="1198"/>
      <c r="Z77" s="1243"/>
      <c r="AA77" s="1243"/>
      <c r="AB77" s="1243"/>
      <c r="AC77" s="1243"/>
      <c r="AD77" s="1243"/>
      <c r="AE77" s="1243"/>
      <c r="AF77" s="1243"/>
      <c r="AG77" s="1243"/>
      <c r="AH77" s="1243"/>
      <c r="AI77" s="1243"/>
      <c r="AJ77" s="1243"/>
      <c r="AK77" s="1243"/>
      <c r="AL77" s="1243"/>
      <c r="AM77" s="1243"/>
      <c r="AN77" s="1243"/>
      <c r="AO77" s="1243"/>
      <c r="AP77" s="1243"/>
      <c r="AQ77" s="1243"/>
      <c r="AR77" s="1665"/>
      <c r="AS77" s="1665"/>
      <c r="AT77" s="1665"/>
      <c r="AU77" s="1243"/>
      <c r="AV77" s="1243"/>
      <c r="AW77" s="1243"/>
      <c r="AX77" s="1243"/>
      <c r="AY77" s="1243"/>
      <c r="AZ77" s="1243"/>
      <c r="BA77" s="1243"/>
      <c r="BB77" s="1243"/>
      <c r="BC77" s="1243"/>
      <c r="BD77" s="1243"/>
      <c r="BE77" s="1243"/>
      <c r="BF77" s="1243"/>
      <c r="BG77" s="1243"/>
      <c r="BH77" s="1243"/>
      <c r="BI77" s="1243"/>
      <c r="BJ77" s="1243"/>
      <c r="BK77" s="1243"/>
      <c r="BL77" s="1243"/>
      <c r="BM77" s="1243"/>
      <c r="BN77" s="1388"/>
      <c r="BO77" s="1243"/>
      <c r="BP77" s="1243"/>
      <c r="BQ77" s="1387"/>
      <c r="BR77" s="1243"/>
      <c r="BS77" s="1243"/>
      <c r="BT77" s="1243"/>
      <c r="BU77" s="1243"/>
      <c r="BV77" s="1388"/>
      <c r="BW77" s="1243"/>
      <c r="BX77" s="1243"/>
      <c r="BY77" s="1387"/>
      <c r="BZ77" s="1388"/>
      <c r="CA77" s="1243"/>
      <c r="CB77" s="1243"/>
      <c r="CC77" s="1243"/>
      <c r="CD77" s="1388"/>
      <c r="CE77" s="1243"/>
      <c r="CF77" s="1243"/>
      <c r="CG77" s="1243"/>
      <c r="CH77" s="1388"/>
      <c r="CI77" s="1243"/>
      <c r="CJ77" s="1243"/>
      <c r="CK77" s="1243"/>
      <c r="CL77" s="1388"/>
      <c r="CM77" s="1198"/>
      <c r="CN77" s="1198"/>
      <c r="CO77" s="1198"/>
      <c r="CP77" s="1198"/>
      <c r="CQ77" s="1198"/>
      <c r="CR77" s="1198"/>
      <c r="CS77" s="1198"/>
      <c r="CT77" s="1198"/>
    </row>
    <row r="78" spans="1:98" ht="12.75" customHeight="1">
      <c r="A78" s="1198"/>
      <c r="B78" s="1198"/>
      <c r="C78" s="1198"/>
      <c r="D78" s="1198"/>
      <c r="E78" s="1198"/>
      <c r="F78" s="1198"/>
      <c r="G78" s="1198"/>
      <c r="H78" s="1198"/>
      <c r="I78" s="1198"/>
      <c r="J78" s="1198"/>
      <c r="K78" s="1198"/>
      <c r="L78" s="1198"/>
      <c r="M78" s="1248"/>
      <c r="N78" s="1427"/>
      <c r="O78" s="1427"/>
      <c r="P78" s="1449"/>
      <c r="Q78" s="1778"/>
      <c r="R78" s="1666"/>
      <c r="S78" s="1427"/>
      <c r="T78" s="1198"/>
      <c r="U78" s="1198"/>
      <c r="V78" s="1198"/>
      <c r="W78" s="1198"/>
      <c r="X78" s="1198"/>
      <c r="Y78" s="1198"/>
      <c r="Z78" s="1198"/>
      <c r="AA78" s="1198"/>
      <c r="AB78" s="1198"/>
      <c r="AC78" s="1198"/>
      <c r="AD78" s="1198"/>
      <c r="AE78" s="1198"/>
      <c r="AF78" s="1198"/>
      <c r="AG78" s="1198"/>
      <c r="AH78" s="1198"/>
      <c r="AI78" s="1198"/>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605"/>
      <c r="CI78" s="1198"/>
      <c r="CJ78" s="1198"/>
      <c r="CK78" s="1198"/>
      <c r="CL78" s="1667"/>
      <c r="CM78" s="1198"/>
      <c r="CN78" s="1198"/>
      <c r="CO78" s="1198"/>
      <c r="CP78" s="1198"/>
      <c r="CQ78" s="1198"/>
      <c r="CR78" s="1198"/>
      <c r="CS78" s="1198"/>
      <c r="CT78" s="1198"/>
    </row>
    <row r="79" spans="1:98" ht="12.75" customHeight="1">
      <c r="A79" s="1198" t="s">
        <v>301</v>
      </c>
      <c r="B79" s="1198"/>
      <c r="C79" s="1198"/>
      <c r="D79" s="1198"/>
      <c r="E79" s="1198"/>
      <c r="F79" s="1198"/>
      <c r="G79" s="1198"/>
      <c r="H79" s="1198"/>
      <c r="I79" s="1198"/>
      <c r="J79" s="1198"/>
      <c r="K79" s="1198"/>
      <c r="L79" s="1198"/>
      <c r="M79" s="1198"/>
      <c r="N79" s="1668"/>
      <c r="O79" s="1669"/>
      <c r="P79" s="1338">
        <f>-P53/P72</f>
        <v>0.40746054519368724</v>
      </c>
      <c r="Q79" s="1176">
        <f>-Q53/Q72</f>
        <v>0.28549222797927459</v>
      </c>
      <c r="R79" s="1462">
        <f ca="1">-R53/R72</f>
        <v>0.29536987759446515</v>
      </c>
      <c r="S79" s="1338">
        <f>-S53/S72</f>
        <v>0.38419618528610355</v>
      </c>
      <c r="T79" s="1198"/>
      <c r="U79" s="1198"/>
      <c r="V79" s="1198"/>
      <c r="W79" s="1198"/>
      <c r="X79" s="1198"/>
      <c r="Y79" s="1198"/>
      <c r="Z79" s="1198"/>
      <c r="AA79" s="1198"/>
      <c r="AB79" s="1198"/>
      <c r="AC79" s="1198"/>
      <c r="AD79" s="1198"/>
      <c r="AE79" s="1198"/>
      <c r="AF79" s="1198"/>
      <c r="AG79" s="1198"/>
      <c r="AH79" s="1198"/>
      <c r="AI79" s="1198"/>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227">
        <f>+BV72/BR72-1</f>
        <v>-2</v>
      </c>
      <c r="BW79" s="1227">
        <f>+BW72/BS72-1</f>
        <v>0.14117647058823524</v>
      </c>
      <c r="BX79" s="1227">
        <f>+BX72/BT72-1</f>
        <v>-6.9832402234636826E-2</v>
      </c>
      <c r="BY79" s="1227">
        <f>+BY72/BU72-1</f>
        <v>7.7441077441077422E-2</v>
      </c>
      <c r="BZ79" s="1227"/>
      <c r="CA79" s="1227"/>
      <c r="CB79" s="1338">
        <f t="shared" ref="CB79:CG79" si="56">-CB53/CB72</f>
        <v>0.52631578947368418</v>
      </c>
      <c r="CC79" s="1338">
        <f t="shared" si="56"/>
        <v>0.22934232715008432</v>
      </c>
      <c r="CD79" s="1338">
        <f t="shared" si="56"/>
        <v>0.40412979351032446</v>
      </c>
      <c r="CE79" s="1338">
        <f t="shared" si="56"/>
        <v>0.20852359208523591</v>
      </c>
      <c r="CF79" s="1338">
        <f t="shared" si="56"/>
        <v>0.32242990654205606</v>
      </c>
      <c r="CG79" s="1338">
        <f t="shared" si="56"/>
        <v>0.27470355731225299</v>
      </c>
      <c r="CH79" s="1338">
        <f>-CH53/CH72</f>
        <v>0.41194029850746267</v>
      </c>
      <c r="CI79" s="1338">
        <f>-CI53/CI72</f>
        <v>0.22824302134646962</v>
      </c>
      <c r="CJ79" s="1338">
        <f>-CJ53/CJ72</f>
        <v>0.25090252707581229</v>
      </c>
      <c r="CK79" s="1338">
        <f ca="1">-CK53/CK72</f>
        <v>0.32629107981220656</v>
      </c>
      <c r="CL79" s="1464">
        <f>-CL53/CL72</f>
        <v>0.3770053475935829</v>
      </c>
      <c r="CM79" s="1198"/>
      <c r="CN79" s="1198"/>
      <c r="CO79" s="1198"/>
      <c r="CP79" s="1198"/>
      <c r="CQ79" s="1198"/>
      <c r="CR79" s="1198"/>
      <c r="CS79" s="1198"/>
      <c r="CT79" s="1198"/>
    </row>
    <row r="80" spans="1:98" ht="12.75" customHeight="1">
      <c r="A80" s="1198"/>
      <c r="B80" s="1198"/>
      <c r="C80" s="1198"/>
      <c r="D80" s="1198"/>
      <c r="E80" s="1198"/>
      <c r="F80" s="1198"/>
      <c r="G80" s="1198"/>
      <c r="H80" s="1198"/>
      <c r="I80" s="1198"/>
      <c r="J80" s="1198"/>
      <c r="K80" s="1198"/>
      <c r="L80" s="1198"/>
      <c r="M80" s="1198"/>
      <c r="N80" s="1198"/>
      <c r="O80" s="1227"/>
      <c r="P80" s="1514"/>
      <c r="Q80" s="1176"/>
      <c r="R80" s="1462"/>
      <c r="S80" s="1338"/>
      <c r="T80" s="1198"/>
      <c r="U80" s="1198"/>
      <c r="V80" s="1198"/>
      <c r="W80" s="1198"/>
      <c r="X80" s="1198"/>
      <c r="Y80" s="1198"/>
      <c r="Z80" s="1198"/>
      <c r="AA80" s="1198"/>
      <c r="AB80" s="1198"/>
      <c r="AC80" s="1198"/>
      <c r="AD80" s="1198"/>
      <c r="AE80" s="1198"/>
      <c r="AF80" s="1198"/>
      <c r="AG80" s="1198"/>
      <c r="AH80" s="1198"/>
      <c r="AI80" s="1198"/>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605"/>
      <c r="CI80" s="1198"/>
      <c r="CJ80" s="1198"/>
      <c r="CK80" s="1198"/>
      <c r="CL80" s="1428"/>
      <c r="CM80" s="1198"/>
      <c r="CN80" s="1198"/>
      <c r="CO80" s="1198"/>
      <c r="CP80" s="1198"/>
      <c r="CQ80" s="1198"/>
      <c r="CR80" s="1198"/>
      <c r="CS80" s="1198"/>
      <c r="CT80" s="1198"/>
    </row>
    <row r="81" spans="1:98" ht="12.75" customHeight="1">
      <c r="A81" s="1198"/>
      <c r="B81" s="1198"/>
      <c r="C81" s="1198"/>
      <c r="D81" s="1198"/>
      <c r="E81" s="1198"/>
      <c r="F81" s="1198"/>
      <c r="G81" s="1198"/>
      <c r="H81" s="1198"/>
      <c r="I81" s="1198"/>
      <c r="J81" s="1198"/>
      <c r="K81" s="1198"/>
      <c r="L81" s="1198"/>
      <c r="M81" s="1198"/>
      <c r="N81" s="1198"/>
      <c r="O81" s="1198"/>
      <c r="P81" s="1282"/>
      <c r="Q81" s="1282"/>
      <c r="R81" s="1250"/>
      <c r="S81" s="1248"/>
      <c r="T81" s="1198"/>
      <c r="U81" s="1198"/>
      <c r="V81" s="1198"/>
      <c r="W81" s="1198"/>
      <c r="X81" s="1198"/>
      <c r="Y81" s="1198"/>
      <c r="Z81" s="1198"/>
      <c r="AA81" s="1198"/>
      <c r="AB81" s="1198"/>
      <c r="AC81" s="1198"/>
      <c r="AD81" s="1198"/>
      <c r="AE81" s="1198"/>
      <c r="AF81" s="1198"/>
      <c r="AG81" s="1198"/>
      <c r="AH81" s="1198"/>
      <c r="AI81" s="1198"/>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340">
        <f>+SUM(BZ72:CB72)</f>
        <v>801</v>
      </c>
      <c r="CD81" s="1198"/>
      <c r="CE81" s="1198"/>
      <c r="CF81" s="1340"/>
      <c r="CG81" s="1340"/>
      <c r="CH81" s="1605"/>
      <c r="CI81" s="1198"/>
      <c r="CJ81" s="1227">
        <f>+CJ72/CF72-1</f>
        <v>0.29439252336448596</v>
      </c>
      <c r="CK81" s="1198"/>
      <c r="CL81" s="1428"/>
      <c r="CM81" s="1198"/>
      <c r="CN81" s="1198"/>
      <c r="CO81" s="1198"/>
      <c r="CP81" s="1198"/>
      <c r="CQ81" s="1198"/>
      <c r="CR81" s="1198"/>
      <c r="CS81" s="1198"/>
      <c r="CT81" s="1198"/>
    </row>
    <row r="82" spans="1:98" ht="12.75" customHeight="1">
      <c r="A82" s="946"/>
      <c r="B82" s="946"/>
      <c r="C82" s="946"/>
      <c r="D82" s="946"/>
      <c r="E82" s="946"/>
      <c r="F82" s="946"/>
      <c r="G82" s="946"/>
      <c r="H82" s="946"/>
      <c r="I82" s="946"/>
      <c r="J82" s="946"/>
      <c r="K82" s="946"/>
      <c r="L82" s="946"/>
      <c r="M82" s="946"/>
      <c r="N82" s="946"/>
      <c r="O82" s="946"/>
      <c r="P82" s="946"/>
      <c r="Q82" s="946"/>
      <c r="R82" s="946"/>
      <c r="S82" s="1670"/>
      <c r="T82" s="1198"/>
      <c r="U82" s="1198"/>
      <c r="V82" s="1198"/>
      <c r="W82" s="1198"/>
      <c r="X82" s="1198"/>
      <c r="Y82" s="1198"/>
      <c r="Z82" s="1198"/>
      <c r="AA82" s="1198"/>
      <c r="AB82" s="1198"/>
      <c r="AC82" s="1198"/>
      <c r="AD82" s="1198"/>
      <c r="AE82" s="1198"/>
      <c r="AF82" s="1198"/>
      <c r="AG82" s="1198"/>
      <c r="AH82" s="1198"/>
      <c r="AI82" s="1198"/>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605"/>
      <c r="CI82" s="1198"/>
      <c r="CJ82" s="1198"/>
      <c r="CK82" s="1198"/>
      <c r="CL82" s="1428"/>
      <c r="CM82" s="1198"/>
      <c r="CN82" s="1198"/>
      <c r="CO82" s="1198"/>
      <c r="CP82" s="1198"/>
      <c r="CQ82" s="1198"/>
      <c r="CR82" s="1198"/>
      <c r="CS82" s="1198"/>
      <c r="CT82" s="1198"/>
    </row>
    <row r="83" spans="1:98" ht="12.75" customHeight="1">
      <c r="A83" s="946"/>
      <c r="B83" s="946"/>
      <c r="C83" s="946"/>
      <c r="D83" s="946"/>
      <c r="E83" s="946"/>
      <c r="F83" s="946"/>
      <c r="G83" s="946"/>
      <c r="H83" s="946"/>
      <c r="I83" s="946"/>
      <c r="J83" s="946"/>
      <c r="K83" s="946"/>
      <c r="L83" s="946"/>
      <c r="M83" s="946"/>
      <c r="N83" s="946"/>
      <c r="O83" s="946"/>
      <c r="P83" s="946"/>
      <c r="Q83" s="946"/>
      <c r="R83" s="946"/>
      <c r="S83" s="1672">
        <f>IS!AA133</f>
        <v>0</v>
      </c>
      <c r="T83" s="1198"/>
      <c r="U83" s="1198"/>
      <c r="V83" s="1198"/>
      <c r="W83" s="1198"/>
      <c r="X83" s="1198"/>
      <c r="Y83" s="1198"/>
      <c r="Z83" s="1198"/>
      <c r="AA83" s="1198"/>
      <c r="AB83" s="1198"/>
      <c r="AC83" s="1198"/>
      <c r="AD83" s="1198"/>
      <c r="AE83" s="1198"/>
      <c r="AF83" s="1198"/>
      <c r="AG83" s="1198"/>
      <c r="AH83" s="1198"/>
      <c r="AI83" s="1198"/>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605"/>
      <c r="CI83" s="1198"/>
      <c r="CJ83" s="1198"/>
      <c r="CK83" s="1198"/>
      <c r="CL83" s="1428"/>
      <c r="CM83" s="1198"/>
      <c r="CN83" s="1198"/>
      <c r="CO83" s="1198"/>
      <c r="CP83" s="1198"/>
      <c r="CQ83" s="1198"/>
      <c r="CR83" s="1198"/>
      <c r="CS83" s="1198"/>
      <c r="CT83" s="1198"/>
    </row>
    <row r="84" spans="1:98" ht="12.75" customHeight="1">
      <c r="A84" s="946"/>
      <c r="B84" s="946"/>
      <c r="C84" s="946"/>
      <c r="D84" s="946"/>
      <c r="E84" s="946"/>
      <c r="F84" s="946"/>
      <c r="G84" s="946"/>
      <c r="H84" s="946"/>
      <c r="I84" s="946"/>
      <c r="J84" s="946"/>
      <c r="K84" s="946"/>
      <c r="L84" s="946"/>
      <c r="M84" s="946"/>
      <c r="N84" s="946"/>
      <c r="O84" s="946"/>
      <c r="P84" s="946"/>
      <c r="Q84" s="946"/>
      <c r="R84" s="946"/>
      <c r="S84" s="1672">
        <f>-S95</f>
        <v>0</v>
      </c>
      <c r="T84" s="1198"/>
      <c r="U84" s="1198"/>
      <c r="V84" s="1198"/>
      <c r="W84" s="1198"/>
      <c r="X84" s="1198"/>
      <c r="Y84" s="1198"/>
      <c r="Z84" s="1198"/>
      <c r="AA84" s="1198"/>
      <c r="AB84" s="1198"/>
      <c r="AC84" s="1198"/>
      <c r="AD84" s="1198"/>
      <c r="AE84" s="1198"/>
      <c r="AF84" s="1198"/>
      <c r="AG84" s="1198"/>
      <c r="AH84" s="1198"/>
      <c r="AI84" s="1198"/>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605"/>
      <c r="CI84" s="1198"/>
      <c r="CJ84" s="1198"/>
      <c r="CK84" s="1198"/>
      <c r="CL84" s="1428"/>
      <c r="CM84" s="1198"/>
      <c r="CN84" s="1198"/>
      <c r="CO84" s="1198"/>
      <c r="CP84" s="1198"/>
      <c r="CQ84" s="1198"/>
      <c r="CR84" s="1198"/>
      <c r="CS84" s="1198"/>
      <c r="CT84" s="1198"/>
    </row>
    <row r="85" spans="1:98" ht="12.75" customHeight="1">
      <c r="A85" s="946"/>
      <c r="B85" s="946"/>
      <c r="C85" s="946"/>
      <c r="D85" s="946"/>
      <c r="E85" s="946"/>
      <c r="F85" s="946"/>
      <c r="G85" s="946"/>
      <c r="H85" s="946"/>
      <c r="I85" s="946"/>
      <c r="J85" s="946"/>
      <c r="K85" s="946"/>
      <c r="L85" s="946"/>
      <c r="M85" s="946"/>
      <c r="N85" s="946"/>
      <c r="O85" s="946"/>
      <c r="P85" s="946"/>
      <c r="Q85" s="946"/>
      <c r="R85" s="946"/>
      <c r="S85" s="1672">
        <f>SUM(S83:S84)</f>
        <v>0</v>
      </c>
      <c r="T85" s="1198"/>
      <c r="U85" s="1198"/>
      <c r="V85" s="1198"/>
      <c r="W85" s="1198"/>
      <c r="X85" s="1198"/>
      <c r="Y85" s="1198"/>
      <c r="Z85" s="1198"/>
      <c r="AA85" s="1198"/>
      <c r="AB85" s="1198"/>
      <c r="AC85" s="1198"/>
      <c r="AD85" s="1198"/>
      <c r="AE85" s="1198"/>
      <c r="AF85" s="1198"/>
      <c r="AG85" s="1198"/>
      <c r="AH85" s="1198"/>
      <c r="AI85" s="1198"/>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605"/>
      <c r="CI85" s="1198"/>
      <c r="CJ85" s="1198"/>
      <c r="CK85" s="1198"/>
      <c r="CL85" s="1428"/>
      <c r="CM85" s="1198"/>
      <c r="CN85" s="1198"/>
      <c r="CO85" s="1198"/>
      <c r="CP85" s="1198"/>
      <c r="CQ85" s="1198"/>
      <c r="CR85" s="1198"/>
      <c r="CS85" s="1198"/>
      <c r="CT85" s="1198"/>
    </row>
    <row r="86" spans="1:98" ht="12.75" customHeight="1">
      <c r="A86" s="946"/>
      <c r="B86" s="946"/>
      <c r="C86" s="946"/>
      <c r="D86" s="946"/>
      <c r="E86" s="946"/>
      <c r="F86" s="946"/>
      <c r="G86" s="946"/>
      <c r="H86" s="946"/>
      <c r="I86" s="946"/>
      <c r="J86" s="946"/>
      <c r="K86" s="946"/>
      <c r="L86" s="946"/>
      <c r="M86" s="946"/>
      <c r="N86" s="946"/>
      <c r="O86" s="946"/>
      <c r="P86" s="946"/>
      <c r="Q86" s="946"/>
      <c r="R86" s="946"/>
      <c r="S86" s="1177"/>
      <c r="T86" s="1198"/>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605"/>
      <c r="CI86" s="1198"/>
      <c r="CJ86" s="1198"/>
      <c r="CK86" s="1198"/>
      <c r="CL86" s="1428"/>
      <c r="CM86" s="1198"/>
      <c r="CN86" s="1198"/>
      <c r="CO86" s="1198"/>
      <c r="CP86" s="1198"/>
      <c r="CQ86" s="1198"/>
      <c r="CR86" s="1198"/>
      <c r="CS86" s="1198"/>
      <c r="CT86" s="1198"/>
    </row>
    <row r="87" spans="1:98" ht="12.75" customHeight="1">
      <c r="A87" s="946"/>
      <c r="B87" s="946"/>
      <c r="C87" s="946"/>
      <c r="D87" s="946"/>
      <c r="E87" s="946"/>
      <c r="F87" s="946"/>
      <c r="G87" s="946"/>
      <c r="H87" s="946"/>
      <c r="I87" s="946"/>
      <c r="J87" s="946"/>
      <c r="K87" s="946"/>
      <c r="L87" s="946"/>
      <c r="M87" s="946"/>
      <c r="N87" s="946"/>
      <c r="O87" s="946"/>
      <c r="P87" s="946"/>
      <c r="Q87" s="946"/>
      <c r="R87" s="946"/>
      <c r="S87" s="1673">
        <f>Q_IS!S77</f>
        <v>0.40700808625336926</v>
      </c>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605"/>
      <c r="CI87" s="1198"/>
      <c r="CJ87" s="1198"/>
      <c r="CK87" s="1198"/>
      <c r="CL87" s="1428"/>
      <c r="CM87" s="1198"/>
      <c r="CN87" s="1198"/>
      <c r="CO87" s="1198"/>
      <c r="CP87" s="1198"/>
      <c r="CQ87" s="1198"/>
      <c r="CR87" s="1198"/>
      <c r="CS87" s="1198"/>
      <c r="CT87" s="1198"/>
    </row>
    <row r="88" spans="1:98" ht="12.75" customHeight="1">
      <c r="A88" s="946"/>
      <c r="B88" s="946"/>
      <c r="C88" s="946"/>
      <c r="D88" s="946"/>
      <c r="E88" s="946"/>
      <c r="F88" s="946"/>
      <c r="G88" s="946"/>
      <c r="H88" s="946"/>
      <c r="I88" s="946"/>
      <c r="J88" s="946"/>
      <c r="K88" s="946"/>
      <c r="L88" s="946"/>
      <c r="M88" s="946"/>
      <c r="N88" s="946"/>
      <c r="O88" s="946"/>
      <c r="P88" s="946"/>
      <c r="Q88" s="946"/>
      <c r="R88" s="946"/>
      <c r="S88" s="1177"/>
      <c r="T88" s="1198"/>
      <c r="U88" s="1198"/>
      <c r="V88" s="1198"/>
      <c r="W88" s="1198"/>
      <c r="X88" s="1198"/>
      <c r="Y88" s="1198"/>
      <c r="Z88" s="1198"/>
      <c r="AA88" s="1198"/>
      <c r="AB88" s="1198"/>
      <c r="AC88" s="1198"/>
      <c r="AD88" s="1198"/>
      <c r="AE88" s="1198"/>
      <c r="AF88" s="1198"/>
      <c r="AG88" s="1198"/>
      <c r="AH88" s="1198"/>
      <c r="AI88" s="1198"/>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605"/>
      <c r="CI88" s="1198"/>
      <c r="CJ88" s="1198"/>
      <c r="CK88" s="1198"/>
      <c r="CL88" s="1428"/>
      <c r="CM88" s="1198"/>
      <c r="CN88" s="1198"/>
      <c r="CO88" s="1198"/>
      <c r="CP88" s="1198"/>
      <c r="CQ88" s="1198"/>
      <c r="CR88" s="1198"/>
      <c r="CS88" s="1198"/>
      <c r="CT88" s="1198"/>
    </row>
    <row r="89" spans="1:98" ht="12.75" customHeight="1">
      <c r="A89" s="946"/>
      <c r="B89" s="946"/>
      <c r="C89" s="946"/>
      <c r="D89" s="946"/>
      <c r="E89" s="946"/>
      <c r="F89" s="946"/>
      <c r="G89" s="946"/>
      <c r="H89" s="946"/>
      <c r="I89" s="946"/>
      <c r="J89" s="946"/>
      <c r="K89" s="946"/>
      <c r="L89" s="946"/>
      <c r="M89" s="946"/>
      <c r="N89" s="946"/>
      <c r="O89" s="946"/>
      <c r="P89" s="946"/>
      <c r="Q89" s="946"/>
      <c r="R89" s="946"/>
      <c r="S89" s="1177"/>
      <c r="T89" s="1198"/>
      <c r="U89" s="1198"/>
      <c r="V89" s="1198"/>
      <c r="W89" s="1198"/>
      <c r="X89" s="1198"/>
      <c r="Y89" s="1198"/>
      <c r="Z89" s="1198"/>
      <c r="AA89" s="1198"/>
      <c r="AB89" s="1198"/>
      <c r="AC89" s="1198"/>
      <c r="AD89" s="1198"/>
      <c r="AE89" s="1198"/>
      <c r="AF89" s="1198"/>
      <c r="AG89" s="1198"/>
      <c r="AH89" s="1198"/>
      <c r="AI89" s="1198"/>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605"/>
      <c r="CI89" s="1198"/>
      <c r="CJ89" s="1198"/>
      <c r="CK89" s="1198"/>
      <c r="CL89" s="1428"/>
      <c r="CM89" s="1198"/>
      <c r="CN89" s="1198"/>
      <c r="CO89" s="1198"/>
      <c r="CP89" s="1198"/>
      <c r="CQ89" s="1198"/>
      <c r="CR89" s="1198"/>
      <c r="CS89" s="1198"/>
      <c r="CT89" s="1198"/>
    </row>
    <row r="90" spans="1:98" ht="12.75" customHeight="1">
      <c r="A90" s="946"/>
      <c r="B90" s="946"/>
      <c r="C90" s="946"/>
      <c r="D90" s="946"/>
      <c r="E90" s="946"/>
      <c r="F90" s="946"/>
      <c r="G90" s="946"/>
      <c r="H90" s="946"/>
      <c r="I90" s="946"/>
      <c r="J90" s="946"/>
      <c r="K90" s="946"/>
      <c r="L90" s="946"/>
      <c r="M90" s="946"/>
      <c r="N90" s="946"/>
      <c r="O90" s="946"/>
      <c r="P90" s="946"/>
      <c r="Q90" s="946"/>
      <c r="R90" s="946"/>
      <c r="S90" s="1674">
        <f>S87*S83</f>
        <v>0</v>
      </c>
      <c r="T90" s="1198"/>
      <c r="U90" s="1198"/>
      <c r="V90" s="1198"/>
      <c r="W90" s="1198"/>
      <c r="X90" s="1198"/>
      <c r="Y90" s="1198"/>
      <c r="Z90" s="1198"/>
      <c r="AA90" s="1198"/>
      <c r="AB90" s="1198"/>
      <c r="AC90" s="1198"/>
      <c r="AD90" s="1198"/>
      <c r="AE90" s="1198"/>
      <c r="AF90" s="1198"/>
      <c r="AG90" s="1198"/>
      <c r="AH90" s="1198"/>
      <c r="AI90" s="1198"/>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605"/>
      <c r="CI90" s="1198"/>
      <c r="CJ90" s="1198"/>
      <c r="CK90" s="1198"/>
      <c r="CL90" s="1428"/>
      <c r="CM90" s="1198"/>
      <c r="CN90" s="1198"/>
      <c r="CO90" s="1198"/>
      <c r="CP90" s="1198"/>
      <c r="CQ90" s="1198"/>
      <c r="CR90" s="1198"/>
      <c r="CS90" s="1198"/>
      <c r="CT90" s="1198"/>
    </row>
    <row r="91" spans="1:98" ht="12.75" customHeight="1">
      <c r="A91" s="946"/>
      <c r="B91" s="946"/>
      <c r="C91" s="946"/>
      <c r="D91" s="946"/>
      <c r="E91" s="946"/>
      <c r="F91" s="946"/>
      <c r="G91" s="946"/>
      <c r="H91" s="946"/>
      <c r="I91" s="946"/>
      <c r="J91" s="946"/>
      <c r="K91" s="946"/>
      <c r="L91" s="946"/>
      <c r="M91" s="946"/>
      <c r="N91" s="946"/>
      <c r="O91" s="946"/>
      <c r="P91" s="946"/>
      <c r="Q91" s="946"/>
      <c r="R91" s="946"/>
      <c r="S91" s="1674">
        <f>S99*-1</f>
        <v>0</v>
      </c>
      <c r="T91" s="1198"/>
      <c r="U91" s="1198"/>
      <c r="V91" s="1198"/>
      <c r="W91" s="1198"/>
      <c r="X91" s="1198"/>
      <c r="Y91" s="1198"/>
      <c r="Z91" s="1198"/>
      <c r="AA91" s="1198"/>
      <c r="AB91" s="1198"/>
      <c r="AC91" s="1198"/>
      <c r="AD91" s="1198"/>
      <c r="AE91" s="1198"/>
      <c r="AF91" s="1198"/>
      <c r="AG91" s="1198"/>
      <c r="AH91" s="1198"/>
      <c r="AI91" s="1198"/>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605"/>
      <c r="CI91" s="1198"/>
      <c r="CJ91" s="1198"/>
      <c r="CK91" s="1198"/>
      <c r="CL91" s="1428"/>
      <c r="CM91" s="1198"/>
      <c r="CN91" s="1198"/>
      <c r="CO91" s="1198"/>
      <c r="CP91" s="1198"/>
      <c r="CQ91" s="1198"/>
      <c r="CR91" s="1198"/>
      <c r="CS91" s="1198"/>
      <c r="CT91" s="1198"/>
    </row>
    <row r="92" spans="1:98" ht="12.75" customHeight="1">
      <c r="A92" s="946"/>
      <c r="B92" s="946"/>
      <c r="C92" s="946"/>
      <c r="D92" s="946"/>
      <c r="E92" s="946"/>
      <c r="F92" s="946"/>
      <c r="G92" s="946"/>
      <c r="H92" s="946"/>
      <c r="I92" s="946"/>
      <c r="J92" s="946"/>
      <c r="K92" s="946"/>
      <c r="L92" s="946"/>
      <c r="M92" s="946"/>
      <c r="N92" s="946"/>
      <c r="O92" s="946"/>
      <c r="P92" s="946"/>
      <c r="Q92" s="946"/>
      <c r="R92" s="946"/>
      <c r="S92" s="1674">
        <f>SUM(S90:S91)</f>
        <v>0</v>
      </c>
      <c r="T92" s="1198"/>
      <c r="U92" s="1198"/>
      <c r="V92" s="1198"/>
      <c r="W92" s="1198"/>
      <c r="X92" s="1198"/>
      <c r="Y92" s="1198"/>
      <c r="Z92" s="1198"/>
      <c r="AA92" s="1198"/>
      <c r="AB92" s="1198"/>
      <c r="AC92" s="1198"/>
      <c r="AD92" s="1198"/>
      <c r="AE92" s="1198"/>
      <c r="AF92" s="1198"/>
      <c r="AG92" s="1198"/>
      <c r="AH92" s="1198"/>
      <c r="AI92" s="119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605"/>
      <c r="CI92" s="1198"/>
      <c r="CJ92" s="1198"/>
      <c r="CK92" s="1198"/>
      <c r="CL92" s="1428"/>
      <c r="CM92" s="1198"/>
      <c r="CN92" s="1198"/>
      <c r="CO92" s="1198"/>
      <c r="CP92" s="1198"/>
      <c r="CQ92" s="1198"/>
      <c r="CR92" s="1198"/>
      <c r="CS92" s="1198"/>
      <c r="CT92" s="1198"/>
    </row>
    <row r="93" spans="1:98" ht="12.75" customHeight="1">
      <c r="A93" s="946"/>
      <c r="B93" s="946"/>
      <c r="C93" s="946"/>
      <c r="D93" s="946"/>
      <c r="E93" s="946"/>
      <c r="F93" s="946"/>
      <c r="G93" s="946"/>
      <c r="H93" s="946"/>
      <c r="I93" s="946"/>
      <c r="J93" s="946"/>
      <c r="K93" s="946"/>
      <c r="L93" s="946"/>
      <c r="M93" s="946"/>
      <c r="N93" s="946"/>
      <c r="O93" s="946"/>
      <c r="P93" s="946"/>
      <c r="Q93" s="946"/>
      <c r="R93" s="946"/>
      <c r="S93" s="1177"/>
      <c r="T93" s="1198"/>
      <c r="U93" s="1198"/>
      <c r="V93" s="1198"/>
      <c r="W93" s="1198"/>
      <c r="X93" s="1198"/>
      <c r="Y93" s="1198"/>
      <c r="Z93" s="1198"/>
      <c r="AA93" s="1198"/>
      <c r="AB93" s="1198"/>
      <c r="AC93" s="1198"/>
      <c r="AD93" s="1198"/>
      <c r="AE93" s="1198"/>
      <c r="AF93" s="1198"/>
      <c r="AG93" s="1198"/>
      <c r="AH93" s="1198"/>
      <c r="AI93" s="119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605"/>
      <c r="CI93" s="1198"/>
      <c r="CJ93" s="1198"/>
      <c r="CK93" s="1198"/>
      <c r="CL93" s="1428"/>
      <c r="CM93" s="1198"/>
      <c r="CN93" s="1198"/>
      <c r="CO93" s="1198"/>
      <c r="CP93" s="1198"/>
      <c r="CQ93" s="1198"/>
      <c r="CR93" s="1198"/>
      <c r="CS93" s="1198"/>
      <c r="CT93" s="1198"/>
    </row>
    <row r="94" spans="1:98" ht="12.75" customHeight="1">
      <c r="A94" s="946"/>
      <c r="B94" s="946"/>
      <c r="C94" s="946"/>
      <c r="D94" s="946"/>
      <c r="E94" s="946"/>
      <c r="F94" s="946"/>
      <c r="G94" s="946"/>
      <c r="H94" s="946"/>
      <c r="I94" s="946"/>
      <c r="J94" s="946"/>
      <c r="K94" s="946"/>
      <c r="L94" s="946"/>
      <c r="M94" s="946"/>
      <c r="N94" s="946"/>
      <c r="O94" s="946"/>
      <c r="P94" s="946"/>
      <c r="Q94" s="946"/>
      <c r="R94" s="946"/>
      <c r="S94" s="1522">
        <f>Q_IS!S68</f>
        <v>371</v>
      </c>
      <c r="T94" s="1198"/>
      <c r="U94" s="1198"/>
      <c r="V94" s="1198"/>
      <c r="W94" s="1198"/>
      <c r="X94" s="1198"/>
      <c r="Y94" s="1198"/>
      <c r="Z94" s="1198"/>
      <c r="AA94" s="1198"/>
      <c r="AB94" s="1198"/>
      <c r="AC94" s="1198"/>
      <c r="AD94" s="1198"/>
      <c r="AE94" s="1198"/>
      <c r="AF94" s="1198"/>
      <c r="AG94" s="1198"/>
      <c r="AH94" s="1198"/>
      <c r="AI94" s="119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605"/>
      <c r="CI94" s="1198"/>
      <c r="CJ94" s="1198"/>
      <c r="CK94" s="1198"/>
      <c r="CL94" s="1428"/>
      <c r="CM94" s="1198"/>
      <c r="CN94" s="1198"/>
      <c r="CO94" s="1198"/>
      <c r="CP94" s="1198"/>
      <c r="CQ94" s="1198"/>
      <c r="CR94" s="1198"/>
      <c r="CS94" s="1198"/>
      <c r="CT94" s="1198"/>
    </row>
    <row r="95" spans="1:98" ht="12.75" customHeight="1">
      <c r="A95" s="946"/>
      <c r="B95" s="946"/>
      <c r="C95" s="946"/>
      <c r="D95" s="946"/>
      <c r="E95" s="946"/>
      <c r="F95" s="946"/>
      <c r="G95" s="946"/>
      <c r="H95" s="946"/>
      <c r="I95" s="946"/>
      <c r="J95" s="946"/>
      <c r="K95" s="946"/>
      <c r="L95" s="946"/>
      <c r="M95" s="946"/>
      <c r="N95" s="946"/>
      <c r="O95" s="946"/>
      <c r="P95" s="946"/>
      <c r="Q95" s="946"/>
      <c r="R95" s="946"/>
      <c r="S95" s="1674">
        <f>MIN(S94,S83)</f>
        <v>0</v>
      </c>
      <c r="T95" s="1198"/>
      <c r="U95" s="1198"/>
      <c r="V95" s="1198"/>
      <c r="W95" s="1198"/>
      <c r="X95" s="1198"/>
      <c r="Y95" s="1198"/>
      <c r="Z95" s="1198"/>
      <c r="AA95" s="1198"/>
      <c r="AB95" s="1198"/>
      <c r="AC95" s="1198"/>
      <c r="AD95" s="1198"/>
      <c r="AE95" s="1198"/>
      <c r="AF95" s="1198"/>
      <c r="AG95" s="1198"/>
      <c r="AH95" s="1198"/>
      <c r="AI95" s="1198"/>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605"/>
      <c r="CI95" s="1198"/>
      <c r="CJ95" s="1198"/>
      <c r="CK95" s="1198"/>
      <c r="CL95" s="1428"/>
      <c r="CM95" s="1198"/>
      <c r="CN95" s="1198"/>
      <c r="CO95" s="1198"/>
      <c r="CP95" s="1198"/>
      <c r="CQ95" s="1198"/>
      <c r="CR95" s="1198"/>
      <c r="CS95" s="1198"/>
      <c r="CT95" s="1198"/>
    </row>
    <row r="96" spans="1:98" ht="12.75" customHeight="1">
      <c r="A96" s="946"/>
      <c r="B96" s="946"/>
      <c r="C96" s="946"/>
      <c r="D96" s="946"/>
      <c r="E96" s="946"/>
      <c r="F96" s="946"/>
      <c r="G96" s="946"/>
      <c r="H96" s="946"/>
      <c r="I96" s="946"/>
      <c r="J96" s="946"/>
      <c r="K96" s="946"/>
      <c r="L96" s="946"/>
      <c r="M96" s="946"/>
      <c r="N96" s="946"/>
      <c r="O96" s="946"/>
      <c r="P96" s="946"/>
      <c r="Q96" s="946"/>
      <c r="R96" s="946"/>
      <c r="S96" s="1674">
        <f>+S94-S95</f>
        <v>371</v>
      </c>
      <c r="T96" s="1198"/>
      <c r="U96" s="1198"/>
      <c r="V96" s="1198"/>
      <c r="W96" s="1198"/>
      <c r="X96" s="1198"/>
      <c r="Y96" s="1198"/>
      <c r="Z96" s="1198"/>
      <c r="AA96" s="1198"/>
      <c r="AB96" s="1198"/>
      <c r="AC96" s="1198"/>
      <c r="AD96" s="1198"/>
      <c r="AE96" s="1198"/>
      <c r="AF96" s="1198"/>
      <c r="AG96" s="1198"/>
      <c r="AH96" s="1198"/>
      <c r="AI96" s="1198"/>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605"/>
      <c r="CI96" s="1198"/>
      <c r="CJ96" s="1198"/>
      <c r="CK96" s="1198"/>
      <c r="CL96" s="1428"/>
      <c r="CM96" s="1198"/>
      <c r="CN96" s="1198"/>
      <c r="CO96" s="1198"/>
      <c r="CP96" s="1198"/>
      <c r="CQ96" s="1198"/>
      <c r="CR96" s="1198"/>
      <c r="CS96" s="1198"/>
      <c r="CT96" s="1198"/>
    </row>
    <row r="97" spans="1:98" ht="12.75" customHeight="1">
      <c r="A97" s="946"/>
      <c r="B97" s="946"/>
      <c r="C97" s="946"/>
      <c r="D97" s="946"/>
      <c r="E97" s="946"/>
      <c r="F97" s="946"/>
      <c r="G97" s="946"/>
      <c r="H97" s="946"/>
      <c r="I97" s="946"/>
      <c r="J97" s="946"/>
      <c r="K97" s="946"/>
      <c r="L97" s="946"/>
      <c r="M97" s="946"/>
      <c r="N97" s="946"/>
      <c r="O97" s="946"/>
      <c r="P97" s="946"/>
      <c r="Q97" s="946"/>
      <c r="R97" s="946"/>
      <c r="S97" s="1177"/>
      <c r="T97" s="1198"/>
      <c r="U97" s="1198"/>
      <c r="V97" s="1198"/>
      <c r="W97" s="1198"/>
      <c r="X97" s="1198"/>
      <c r="Y97" s="1198"/>
      <c r="Z97" s="1198"/>
      <c r="AA97" s="1198"/>
      <c r="AB97" s="1198"/>
      <c r="AC97" s="1198"/>
      <c r="AD97" s="1198"/>
      <c r="AE97" s="1198"/>
      <c r="AF97" s="1198"/>
      <c r="AG97" s="1198"/>
      <c r="AH97" s="1198"/>
      <c r="AI97" s="1198"/>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605"/>
      <c r="CI97" s="1198"/>
      <c r="CJ97" s="1198"/>
      <c r="CK97" s="1198"/>
      <c r="CL97" s="1428"/>
      <c r="CM97" s="1198"/>
      <c r="CN97" s="1198"/>
      <c r="CO97" s="1198"/>
      <c r="CP97" s="1198"/>
      <c r="CQ97" s="1198"/>
      <c r="CR97" s="1198"/>
      <c r="CS97" s="1198"/>
      <c r="CT97" s="1198"/>
    </row>
    <row r="98" spans="1:98" ht="12.75" customHeight="1">
      <c r="A98" s="946"/>
      <c r="B98" s="946"/>
      <c r="C98" s="946"/>
      <c r="D98" s="946"/>
      <c r="E98" s="946"/>
      <c r="F98" s="946"/>
      <c r="G98" s="946"/>
      <c r="H98" s="946"/>
      <c r="I98" s="946"/>
      <c r="J98" s="946"/>
      <c r="K98" s="946"/>
      <c r="L98" s="946"/>
      <c r="M98" s="946"/>
      <c r="N98" s="946"/>
      <c r="O98" s="946"/>
      <c r="P98" s="946"/>
      <c r="Q98" s="946"/>
      <c r="R98" s="946"/>
      <c r="S98" s="1674">
        <f>S87*S94</f>
        <v>151</v>
      </c>
      <c r="T98" s="1198"/>
      <c r="U98" s="1198"/>
      <c r="V98" s="1198"/>
      <c r="W98" s="1198"/>
      <c r="X98" s="1198"/>
      <c r="Y98" s="1198"/>
      <c r="Z98" s="1198"/>
      <c r="AA98" s="1198"/>
      <c r="AB98" s="1198"/>
      <c r="AC98" s="1198"/>
      <c r="AD98" s="1198"/>
      <c r="AE98" s="1198"/>
      <c r="AF98" s="1198"/>
      <c r="AG98" s="1198"/>
      <c r="AH98" s="1198"/>
      <c r="AI98" s="1198"/>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605"/>
      <c r="CI98" s="1198"/>
      <c r="CJ98" s="1198"/>
      <c r="CK98" s="1198"/>
      <c r="CL98" s="1428"/>
      <c r="CM98" s="1198"/>
      <c r="CN98" s="1198"/>
      <c r="CO98" s="1198"/>
      <c r="CP98" s="1198"/>
      <c r="CQ98" s="1198"/>
      <c r="CR98" s="1198"/>
      <c r="CS98" s="1198"/>
      <c r="CT98" s="1198"/>
    </row>
    <row r="99" spans="1:98" ht="12.75" customHeight="1">
      <c r="A99" s="946"/>
      <c r="B99" s="946"/>
      <c r="C99" s="946"/>
      <c r="D99" s="946"/>
      <c r="E99" s="946"/>
      <c r="F99" s="946"/>
      <c r="G99" s="946"/>
      <c r="H99" s="946"/>
      <c r="I99" s="946"/>
      <c r="J99" s="946"/>
      <c r="K99" s="946"/>
      <c r="L99" s="946"/>
      <c r="M99" s="946"/>
      <c r="N99" s="946"/>
      <c r="O99" s="946"/>
      <c r="P99" s="946"/>
      <c r="Q99" s="946"/>
      <c r="R99" s="946"/>
      <c r="S99" s="1674">
        <f>MIN(S98,S90)*-1</f>
        <v>0</v>
      </c>
      <c r="T99" s="1198"/>
      <c r="U99" s="1198"/>
      <c r="V99" s="1198"/>
      <c r="W99" s="1198"/>
      <c r="X99" s="1198"/>
      <c r="Y99" s="1198"/>
      <c r="Z99" s="1198"/>
      <c r="AA99" s="1198"/>
      <c r="AB99" s="1198"/>
      <c r="AC99" s="1198"/>
      <c r="AD99" s="1198"/>
      <c r="AE99" s="1198"/>
      <c r="AF99" s="1198"/>
      <c r="AG99" s="1198"/>
      <c r="AH99" s="1198"/>
      <c r="AI99" s="1198"/>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605"/>
      <c r="CI99" s="1198"/>
      <c r="CJ99" s="1198"/>
      <c r="CK99" s="1198"/>
      <c r="CL99" s="1428"/>
      <c r="CM99" s="1198"/>
      <c r="CN99" s="1198"/>
      <c r="CO99" s="1198"/>
      <c r="CP99" s="1198"/>
      <c r="CQ99" s="1198"/>
      <c r="CR99" s="1198"/>
      <c r="CS99" s="1198"/>
      <c r="CT99" s="1198"/>
    </row>
    <row r="100" spans="1:98" ht="12.75" customHeight="1">
      <c r="A100" s="946"/>
      <c r="B100" s="946"/>
      <c r="C100" s="946"/>
      <c r="D100" s="946"/>
      <c r="E100" s="946"/>
      <c r="F100" s="946"/>
      <c r="G100" s="946"/>
      <c r="H100" s="946"/>
      <c r="I100" s="946"/>
      <c r="J100" s="946"/>
      <c r="K100" s="946"/>
      <c r="L100" s="946"/>
      <c r="M100" s="946"/>
      <c r="N100" s="946"/>
      <c r="O100" s="946"/>
      <c r="P100" s="946"/>
      <c r="Q100" s="946"/>
      <c r="R100" s="946"/>
      <c r="S100" s="1674">
        <f>SUM(S98:S99)</f>
        <v>151</v>
      </c>
      <c r="T100" s="1198"/>
      <c r="U100" s="1198"/>
      <c r="V100" s="1198"/>
      <c r="W100" s="1198"/>
      <c r="X100" s="1198"/>
      <c r="Y100" s="1198"/>
      <c r="Z100" s="1198"/>
      <c r="AA100" s="1198"/>
      <c r="AB100" s="1198"/>
      <c r="AC100" s="1198"/>
      <c r="AD100" s="1198"/>
      <c r="AE100" s="1198"/>
      <c r="AF100" s="1198"/>
      <c r="AG100" s="1198"/>
      <c r="AH100" s="1198"/>
      <c r="AI100" s="1198"/>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605"/>
      <c r="CI100" s="1198"/>
      <c r="CJ100" s="1198"/>
      <c r="CK100" s="1198"/>
      <c r="CL100" s="1428"/>
      <c r="CM100" s="1198"/>
      <c r="CN100" s="1198"/>
      <c r="CO100" s="1198"/>
      <c r="CP100" s="1198"/>
      <c r="CQ100" s="1198"/>
      <c r="CR100" s="1198"/>
      <c r="CS100" s="1198"/>
      <c r="CT100" s="1198"/>
    </row>
    <row r="101" spans="1:98" ht="12.75" customHeight="1">
      <c r="A101" s="946"/>
      <c r="B101" s="946"/>
      <c r="C101" s="946"/>
      <c r="D101" s="946"/>
      <c r="E101" s="946"/>
      <c r="F101" s="946"/>
      <c r="G101" s="946"/>
      <c r="H101" s="946"/>
      <c r="I101" s="946"/>
      <c r="J101" s="946"/>
      <c r="K101" s="946"/>
      <c r="L101" s="946"/>
      <c r="M101" s="946"/>
      <c r="N101" s="946"/>
      <c r="O101" s="946"/>
      <c r="P101" s="946"/>
      <c r="Q101" s="946"/>
      <c r="R101" s="946"/>
      <c r="S101" s="1177"/>
      <c r="T101" s="1198"/>
      <c r="U101" s="1198"/>
      <c r="V101" s="1198"/>
      <c r="W101" s="1198"/>
      <c r="X101" s="1198"/>
      <c r="Y101" s="1198"/>
      <c r="Z101" s="1198"/>
      <c r="AA101" s="1198"/>
      <c r="AB101" s="1198"/>
      <c r="AC101" s="1198"/>
      <c r="AD101" s="1198"/>
      <c r="AE101" s="1198"/>
      <c r="AF101" s="1198"/>
      <c r="AG101" s="1198"/>
      <c r="AH101" s="1198"/>
      <c r="AI101" s="1198"/>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605"/>
      <c r="CI101" s="1198"/>
      <c r="CJ101" s="1198"/>
      <c r="CK101" s="1198"/>
      <c r="CL101" s="1428"/>
      <c r="CM101" s="1198"/>
      <c r="CN101" s="1198"/>
      <c r="CO101" s="1198"/>
      <c r="CP101" s="1198"/>
      <c r="CQ101" s="1198"/>
      <c r="CR101" s="1198"/>
      <c r="CS101" s="1198"/>
      <c r="CT101" s="1198"/>
    </row>
    <row r="102" spans="1:98" ht="12.75" customHeight="1">
      <c r="A102" s="946"/>
      <c r="B102" s="946"/>
      <c r="C102" s="946"/>
      <c r="D102" s="946"/>
      <c r="E102" s="946"/>
      <c r="F102" s="946"/>
      <c r="G102" s="946"/>
      <c r="H102" s="946"/>
      <c r="I102" s="946"/>
      <c r="J102" s="946"/>
      <c r="K102" s="946"/>
      <c r="L102" s="946"/>
      <c r="M102" s="946"/>
      <c r="N102" s="946"/>
      <c r="O102" s="946"/>
      <c r="P102" s="946"/>
      <c r="Q102" s="946"/>
      <c r="R102" s="946"/>
      <c r="S102" s="1522">
        <f>+IF(S91&gt;0,S91,0)</f>
        <v>0</v>
      </c>
      <c r="T102" s="1198"/>
      <c r="U102" s="1198"/>
      <c r="V102" s="1198"/>
      <c r="W102" s="1198"/>
      <c r="X102" s="1198"/>
      <c r="Y102" s="1198"/>
      <c r="Z102" s="1198"/>
      <c r="AA102" s="1198"/>
      <c r="AB102" s="1198"/>
      <c r="AC102" s="1198"/>
      <c r="AD102" s="1198"/>
      <c r="AE102" s="1198"/>
      <c r="AF102" s="1198"/>
      <c r="AG102" s="1198"/>
      <c r="AH102" s="1198"/>
      <c r="AI102" s="1198"/>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605"/>
      <c r="CI102" s="1198"/>
      <c r="CJ102" s="1198"/>
      <c r="CK102" s="1198"/>
      <c r="CL102" s="1428"/>
      <c r="CM102" s="1198"/>
      <c r="CN102" s="1198"/>
      <c r="CO102" s="1198"/>
      <c r="CP102" s="1198"/>
      <c r="CQ102" s="1198"/>
      <c r="CR102" s="1198"/>
      <c r="CS102" s="1198"/>
      <c r="CT102" s="1198"/>
    </row>
    <row r="103" spans="1:98" ht="12.75" customHeight="1">
      <c r="A103" s="946"/>
      <c r="B103" s="946"/>
      <c r="C103" s="946"/>
      <c r="D103" s="946"/>
      <c r="E103" s="946"/>
      <c r="F103" s="946"/>
      <c r="G103" s="946"/>
      <c r="H103" s="946"/>
      <c r="I103" s="946"/>
      <c r="J103" s="946"/>
      <c r="K103" s="946"/>
      <c r="L103" s="946"/>
      <c r="M103" s="946"/>
      <c r="N103" s="946"/>
      <c r="O103" s="946"/>
      <c r="P103" s="946"/>
      <c r="Q103" s="946"/>
      <c r="R103" s="946"/>
      <c r="S103" s="1522" t="e">
        <f>+NPV(IS!#REF!,T102:$T$102)</f>
        <v>#REF!</v>
      </c>
      <c r="T103" s="1198"/>
      <c r="U103" s="1198"/>
      <c r="V103" s="1198"/>
      <c r="W103" s="1198"/>
      <c r="X103" s="1198"/>
      <c r="Y103" s="1198"/>
      <c r="Z103" s="1198"/>
      <c r="AA103" s="1198"/>
      <c r="AB103" s="1198"/>
      <c r="AC103" s="1198"/>
      <c r="AD103" s="1198"/>
      <c r="AE103" s="1198"/>
      <c r="AF103" s="1198"/>
      <c r="AG103" s="1198"/>
      <c r="AH103" s="1198"/>
      <c r="AI103" s="1198"/>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605"/>
      <c r="CI103" s="1198"/>
      <c r="CJ103" s="1198"/>
      <c r="CK103" s="1198"/>
      <c r="CL103" s="1428"/>
      <c r="CM103" s="1198"/>
      <c r="CN103" s="1198"/>
      <c r="CO103" s="1198"/>
      <c r="CP103" s="1198"/>
      <c r="CQ103" s="1198"/>
      <c r="CR103" s="1198"/>
      <c r="CS103" s="1198"/>
      <c r="CT103" s="1198"/>
    </row>
    <row r="104" spans="1:98" ht="12.75" customHeight="1">
      <c r="A104" s="946"/>
      <c r="B104" s="946"/>
      <c r="C104" s="946"/>
      <c r="D104" s="946"/>
      <c r="E104" s="946"/>
      <c r="F104" s="946"/>
      <c r="G104" s="946"/>
      <c r="H104" s="946"/>
      <c r="I104" s="946"/>
      <c r="J104" s="946"/>
      <c r="K104" s="946"/>
      <c r="L104" s="946"/>
      <c r="M104" s="946"/>
      <c r="N104" s="946"/>
      <c r="O104" s="946"/>
      <c r="P104" s="946"/>
      <c r="Q104" s="946"/>
      <c r="R104" s="946"/>
      <c r="S104" s="1522" t="e">
        <f>-PV(IS!#REF!,IS!#REF!,S87*S94)/((1+IS!#REF!)^S106)</f>
        <v>#REF!</v>
      </c>
      <c r="T104" s="1198"/>
      <c r="U104" s="1198"/>
      <c r="V104" s="1198"/>
      <c r="W104" s="1198"/>
      <c r="X104" s="1198"/>
      <c r="Y104" s="1198"/>
      <c r="Z104" s="1198"/>
      <c r="AA104" s="1198"/>
      <c r="AB104" s="1198"/>
      <c r="AC104" s="1198"/>
      <c r="AD104" s="1198"/>
      <c r="AE104" s="1198"/>
      <c r="AF104" s="1198"/>
      <c r="AG104" s="1198"/>
      <c r="AH104" s="1198"/>
      <c r="AI104" s="1198"/>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605"/>
      <c r="CI104" s="1198"/>
      <c r="CJ104" s="1198"/>
      <c r="CK104" s="1198"/>
      <c r="CL104" s="1428"/>
      <c r="CM104" s="1198"/>
      <c r="CN104" s="1198"/>
      <c r="CO104" s="1198"/>
      <c r="CP104" s="1198"/>
      <c r="CQ104" s="1198"/>
      <c r="CR104" s="1198"/>
      <c r="CS104" s="1198"/>
      <c r="CT104" s="1198"/>
    </row>
    <row r="105" spans="1:98" ht="12.75" customHeight="1">
      <c r="A105" s="946"/>
      <c r="B105" s="946"/>
      <c r="C105" s="946"/>
      <c r="D105" s="946"/>
      <c r="E105" s="946"/>
      <c r="F105" s="946"/>
      <c r="G105" s="946"/>
      <c r="H105" s="946"/>
      <c r="I105" s="946"/>
      <c r="J105" s="946"/>
      <c r="K105" s="946"/>
      <c r="L105" s="946"/>
      <c r="M105" s="946"/>
      <c r="N105" s="946"/>
      <c r="O105" s="946"/>
      <c r="P105" s="946"/>
      <c r="Q105" s="946"/>
      <c r="R105" s="946"/>
      <c r="S105" s="1522" t="e">
        <f>SUM(S102:S104)</f>
        <v>#REF!</v>
      </c>
      <c r="T105" s="1198"/>
      <c r="U105" s="1198"/>
      <c r="V105" s="1198"/>
      <c r="W105" s="1198"/>
      <c r="X105" s="1198"/>
      <c r="Y105" s="1170"/>
      <c r="Z105" s="1170"/>
      <c r="AA105" s="1198"/>
      <c r="AB105" s="1198"/>
      <c r="AC105" s="1198"/>
      <c r="AD105" s="1198"/>
      <c r="AE105" s="1198"/>
      <c r="AF105" s="1198"/>
      <c r="AG105" s="1198"/>
      <c r="AH105" s="1198"/>
      <c r="AI105" s="1198"/>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605"/>
      <c r="CI105" s="1198"/>
      <c r="CJ105" s="1198"/>
      <c r="CK105" s="1198"/>
      <c r="CL105" s="1428"/>
      <c r="CM105" s="1198"/>
      <c r="CN105" s="1198"/>
      <c r="CO105" s="1198"/>
      <c r="CP105" s="1198"/>
      <c r="CQ105" s="1198"/>
      <c r="CR105" s="1198"/>
      <c r="CS105" s="1198"/>
      <c r="CT105" s="1198"/>
    </row>
    <row r="106" spans="1:98" ht="12.75" customHeight="1">
      <c r="A106" s="946"/>
      <c r="B106" s="946"/>
      <c r="C106" s="946"/>
      <c r="D106" s="946"/>
      <c r="E106" s="946"/>
      <c r="F106" s="946"/>
      <c r="G106" s="946"/>
      <c r="H106" s="946"/>
      <c r="I106" s="946"/>
      <c r="J106" s="946"/>
      <c r="K106" s="946"/>
      <c r="L106" s="946"/>
      <c r="M106" s="946"/>
      <c r="N106" s="946"/>
      <c r="O106" s="946"/>
      <c r="P106" s="946"/>
      <c r="Q106" s="946"/>
      <c r="R106" s="946"/>
      <c r="S106" s="1247" t="e">
        <f>IS!#REF!-1</f>
        <v>#REF!</v>
      </c>
      <c r="T106" s="1198"/>
      <c r="U106" s="1198"/>
      <c r="V106" s="1198"/>
      <c r="W106" s="1198"/>
      <c r="X106" s="1198"/>
      <c r="Y106" s="1198"/>
      <c r="Z106" s="1198"/>
      <c r="AA106" s="1198"/>
      <c r="AB106" s="1198"/>
      <c r="AC106" s="1198"/>
      <c r="AD106" s="1198"/>
      <c r="AE106" s="1198"/>
      <c r="AF106" s="1198"/>
      <c r="AG106" s="1198"/>
      <c r="AH106" s="1198"/>
      <c r="AI106" s="1198"/>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605"/>
      <c r="CI106" s="1198"/>
      <c r="CJ106" s="1198"/>
      <c r="CK106" s="1198"/>
      <c r="CL106" s="1428"/>
      <c r="CM106" s="1198"/>
      <c r="CN106" s="1198"/>
      <c r="CO106" s="1198"/>
      <c r="CP106" s="1198"/>
      <c r="CQ106" s="1198"/>
      <c r="CR106" s="1198"/>
      <c r="CS106" s="1198"/>
      <c r="CT106" s="1198"/>
    </row>
    <row r="107" spans="1:98" ht="12.75" customHeight="1">
      <c r="A107" s="946"/>
      <c r="B107" s="946"/>
      <c r="C107" s="946"/>
      <c r="D107" s="946"/>
      <c r="E107" s="946"/>
      <c r="F107" s="946"/>
      <c r="G107" s="946"/>
      <c r="H107" s="946"/>
      <c r="I107" s="946"/>
      <c r="J107" s="946"/>
      <c r="K107" s="946"/>
      <c r="L107" s="946"/>
      <c r="M107" s="946"/>
      <c r="N107" s="946"/>
      <c r="O107" s="946"/>
      <c r="P107" s="946"/>
      <c r="Q107" s="946"/>
      <c r="R107" s="946"/>
      <c r="S107" s="1198"/>
      <c r="T107" s="1198"/>
      <c r="U107" s="1198"/>
      <c r="V107" s="1198"/>
      <c r="W107" s="1198"/>
      <c r="X107" s="1198"/>
      <c r="Y107" s="1198"/>
      <c r="Z107" s="1198"/>
      <c r="AA107" s="1198"/>
      <c r="AB107" s="1198"/>
      <c r="AC107" s="1198"/>
      <c r="AD107" s="1198"/>
      <c r="AE107" s="1198"/>
      <c r="AF107" s="1198"/>
      <c r="AG107" s="1198"/>
      <c r="AH107" s="1198"/>
      <c r="AI107" s="1198"/>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605"/>
      <c r="CI107" s="1198"/>
      <c r="CJ107" s="1198"/>
      <c r="CK107" s="1198"/>
      <c r="CL107" s="1428"/>
      <c r="CM107" s="1198"/>
      <c r="CN107" s="1198"/>
      <c r="CO107" s="1198"/>
      <c r="CP107" s="1198"/>
      <c r="CQ107" s="1198"/>
      <c r="CR107" s="1198"/>
      <c r="CS107" s="1198"/>
      <c r="CT107" s="1198"/>
    </row>
    <row r="108" spans="1:98" ht="12.75" customHeight="1">
      <c r="A108" s="946"/>
      <c r="B108" s="946"/>
      <c r="C108" s="946"/>
      <c r="D108" s="946"/>
      <c r="E108" s="946"/>
      <c r="F108" s="946"/>
      <c r="G108" s="946"/>
      <c r="H108" s="946"/>
      <c r="I108" s="946"/>
      <c r="J108" s="946"/>
      <c r="K108" s="946"/>
      <c r="L108" s="946"/>
      <c r="M108" s="946"/>
      <c r="N108" s="946"/>
      <c r="O108" s="946"/>
      <c r="P108" s="946"/>
      <c r="Q108" s="946"/>
      <c r="R108" s="946"/>
      <c r="S108" s="1198"/>
      <c r="T108" s="1198"/>
      <c r="U108" s="1198"/>
      <c r="V108" s="1198"/>
      <c r="W108" s="1198"/>
      <c r="X108" s="1198"/>
      <c r="Y108" s="1198"/>
      <c r="Z108" s="1198"/>
      <c r="AA108" s="1198"/>
      <c r="AB108" s="1198"/>
      <c r="AC108" s="1198"/>
      <c r="AD108" s="1198"/>
      <c r="AE108" s="1198"/>
      <c r="AF108" s="1198"/>
      <c r="AG108" s="1198"/>
      <c r="AH108" s="1198"/>
      <c r="AI108" s="1198"/>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605"/>
      <c r="CI108" s="1198"/>
      <c r="CJ108" s="1198"/>
      <c r="CK108" s="1198"/>
      <c r="CL108" s="1428"/>
      <c r="CM108" s="1198"/>
      <c r="CN108" s="1198"/>
      <c r="CO108" s="1198"/>
      <c r="CP108" s="1198"/>
      <c r="CQ108" s="1198"/>
      <c r="CR108" s="1198"/>
      <c r="CS108" s="1198"/>
      <c r="CT108" s="1198"/>
    </row>
    <row r="109" spans="1:98" ht="12.75" customHeight="1">
      <c r="A109" s="946"/>
      <c r="B109" s="946"/>
      <c r="C109" s="946"/>
      <c r="D109" s="946"/>
      <c r="E109" s="946"/>
      <c r="F109" s="946"/>
      <c r="G109" s="946"/>
      <c r="H109" s="946"/>
      <c r="I109" s="946"/>
      <c r="J109" s="946"/>
      <c r="K109" s="946"/>
      <c r="L109" s="946"/>
      <c r="M109" s="946"/>
      <c r="N109" s="946"/>
      <c r="O109" s="946"/>
      <c r="P109" s="946"/>
      <c r="Q109" s="946"/>
      <c r="R109" s="946"/>
      <c r="S109" s="1198"/>
      <c r="T109" s="1198"/>
      <c r="U109" s="1198"/>
      <c r="V109" s="1198"/>
      <c r="W109" s="1198"/>
      <c r="X109" s="1198"/>
      <c r="Y109" s="1198"/>
      <c r="Z109" s="1198"/>
      <c r="AA109" s="1198"/>
      <c r="AB109" s="1198"/>
      <c r="AC109" s="1198"/>
      <c r="AD109" s="1198"/>
      <c r="AE109" s="1198"/>
      <c r="AF109" s="1198"/>
      <c r="AG109" s="1198"/>
      <c r="AH109" s="1198"/>
      <c r="AI109" s="1198"/>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605"/>
      <c r="CI109" s="1198"/>
      <c r="CJ109" s="1198"/>
      <c r="CK109" s="1198"/>
      <c r="CL109" s="1428"/>
      <c r="CM109" s="1198"/>
      <c r="CN109" s="1198"/>
      <c r="CO109" s="1198"/>
      <c r="CP109" s="1198"/>
      <c r="CQ109" s="1198"/>
      <c r="CR109" s="1198"/>
      <c r="CS109" s="1198"/>
      <c r="CT109" s="1198"/>
    </row>
    <row r="110" spans="1:98" ht="12.75" customHeight="1">
      <c r="A110" s="946"/>
      <c r="B110" s="946"/>
      <c r="C110" s="946"/>
      <c r="D110" s="946"/>
      <c r="E110" s="946"/>
      <c r="F110" s="946"/>
      <c r="G110" s="946"/>
      <c r="H110" s="946"/>
      <c r="I110" s="946"/>
      <c r="J110" s="946"/>
      <c r="K110" s="946"/>
      <c r="L110" s="946"/>
      <c r="M110" s="946"/>
      <c r="N110" s="946"/>
      <c r="O110" s="946"/>
      <c r="P110" s="946"/>
      <c r="Q110" s="946"/>
      <c r="R110" s="946"/>
      <c r="S110" s="1198"/>
      <c r="T110" s="1198"/>
      <c r="U110" s="1198"/>
      <c r="V110" s="1198"/>
      <c r="W110" s="1198"/>
      <c r="X110" s="1198"/>
      <c r="Y110" s="1198"/>
      <c r="Z110" s="1198"/>
      <c r="AA110" s="1198"/>
      <c r="AB110" s="1198"/>
      <c r="AC110" s="1198"/>
      <c r="AD110" s="1198"/>
      <c r="AE110" s="1198"/>
      <c r="AF110" s="1198"/>
      <c r="AG110" s="1198"/>
      <c r="AH110" s="1198"/>
      <c r="AI110" s="1198"/>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605"/>
      <c r="CI110" s="1198"/>
      <c r="CJ110" s="1198"/>
      <c r="CK110" s="1198"/>
      <c r="CL110" s="1428"/>
      <c r="CM110" s="1198"/>
      <c r="CN110" s="1198"/>
      <c r="CO110" s="1198"/>
      <c r="CP110" s="1198"/>
      <c r="CQ110" s="1198"/>
      <c r="CR110" s="1198"/>
      <c r="CS110" s="1198"/>
      <c r="CT110" s="1198"/>
    </row>
    <row r="111" spans="1:98" ht="12.75" customHeight="1">
      <c r="A111" s="946"/>
      <c r="B111" s="946"/>
      <c r="C111" s="946"/>
      <c r="D111" s="946"/>
      <c r="E111" s="946"/>
      <c r="F111" s="946"/>
      <c r="G111" s="946"/>
      <c r="H111" s="946"/>
      <c r="I111" s="946"/>
      <c r="J111" s="946"/>
      <c r="K111" s="946"/>
      <c r="L111" s="946"/>
      <c r="M111" s="946"/>
      <c r="N111" s="946"/>
      <c r="O111" s="946"/>
      <c r="P111" s="946"/>
      <c r="Q111" s="946"/>
      <c r="R111" s="946"/>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605"/>
      <c r="CI111" s="1198"/>
      <c r="CJ111" s="1198"/>
      <c r="CK111" s="1198"/>
      <c r="CL111" s="1428"/>
      <c r="CM111" s="1198"/>
      <c r="CN111" s="1198"/>
      <c r="CO111" s="1198"/>
      <c r="CP111" s="1198"/>
      <c r="CQ111" s="1198"/>
      <c r="CR111" s="1198"/>
      <c r="CS111" s="1198"/>
      <c r="CT111" s="1198"/>
    </row>
    <row r="112" spans="1:98" ht="12.75" customHeight="1">
      <c r="A112" s="1427"/>
      <c r="B112" s="1198"/>
      <c r="C112" s="1198"/>
      <c r="D112" s="1198"/>
      <c r="E112" s="1198"/>
      <c r="F112" s="1198"/>
      <c r="G112" s="1198"/>
      <c r="H112" s="1198"/>
      <c r="I112" s="1198"/>
      <c r="J112" s="1198"/>
      <c r="K112" s="1198"/>
      <c r="L112" s="1198"/>
      <c r="M112" s="1198"/>
      <c r="N112" s="1198"/>
      <c r="O112" s="1198"/>
      <c r="P112" s="1198"/>
      <c r="Q112" s="1170"/>
      <c r="R112" s="1360"/>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605"/>
      <c r="CI112" s="1198"/>
      <c r="CJ112" s="1198"/>
      <c r="CK112" s="1198"/>
      <c r="CL112" s="1428"/>
      <c r="CM112" s="1198"/>
      <c r="CN112" s="1198"/>
      <c r="CO112" s="1198"/>
      <c r="CP112" s="1198"/>
      <c r="CQ112" s="1198"/>
      <c r="CR112" s="1198"/>
      <c r="CS112" s="1198"/>
      <c r="CT112" s="1198"/>
    </row>
    <row r="113" spans="1:98" ht="12.75" customHeight="1">
      <c r="A113" s="1427"/>
      <c r="B113" s="1198"/>
      <c r="C113" s="1198"/>
      <c r="D113" s="1198"/>
      <c r="E113" s="1198"/>
      <c r="F113" s="1198"/>
      <c r="G113" s="1198"/>
      <c r="H113" s="1198"/>
      <c r="I113" s="1198"/>
      <c r="J113" s="1198"/>
      <c r="K113" s="1198"/>
      <c r="L113" s="1198"/>
      <c r="M113" s="1198"/>
      <c r="N113" s="1198"/>
      <c r="O113" s="1198"/>
      <c r="P113" s="1198"/>
      <c r="Q113" s="1170"/>
      <c r="R113" s="1360"/>
      <c r="S113" s="1198"/>
      <c r="T113" s="1198"/>
      <c r="U113" s="1198"/>
      <c r="V113" s="1198"/>
      <c r="W113" s="1198"/>
      <c r="X113" s="1198"/>
      <c r="Y113" s="1198"/>
      <c r="Z113" s="1198"/>
      <c r="AA113" s="1198"/>
      <c r="AB113" s="1198"/>
      <c r="AC113" s="1198"/>
      <c r="AD113" s="1198"/>
      <c r="AE113" s="1198"/>
      <c r="AF113" s="1198"/>
      <c r="AG113" s="1198"/>
      <c r="AH113" s="1198"/>
      <c r="AI113" s="1198"/>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605"/>
      <c r="CI113" s="1198"/>
      <c r="CJ113" s="1198"/>
      <c r="CK113" s="1198"/>
      <c r="CL113" s="1428"/>
      <c r="CM113" s="1198"/>
      <c r="CN113" s="1198"/>
      <c r="CO113" s="1198"/>
      <c r="CP113" s="1198"/>
      <c r="CQ113" s="1198"/>
      <c r="CR113" s="1198"/>
      <c r="CS113" s="1198"/>
      <c r="CT113" s="1198"/>
    </row>
    <row r="114" spans="1:98" ht="12.75" customHeight="1">
      <c r="A114" s="1677" t="s">
        <v>499</v>
      </c>
      <c r="B114" s="1678"/>
      <c r="C114" s="1678"/>
      <c r="D114" s="1679"/>
      <c r="E114" s="1679"/>
      <c r="F114" s="1679"/>
      <c r="G114" s="1679"/>
      <c r="H114" s="978"/>
      <c r="I114" s="978"/>
      <c r="J114" s="978">
        <v>2002</v>
      </c>
      <c r="K114" s="978">
        <v>2003</v>
      </c>
      <c r="L114" s="978">
        <v>2004</v>
      </c>
      <c r="M114" s="978">
        <v>2005</v>
      </c>
      <c r="N114" s="978">
        <v>2006</v>
      </c>
      <c r="O114" s="978">
        <v>2007</v>
      </c>
      <c r="P114" s="978">
        <v>2008</v>
      </c>
      <c r="Q114" s="978">
        <v>2009</v>
      </c>
      <c r="R114" s="979">
        <v>2010</v>
      </c>
      <c r="S114" s="978" t="s">
        <v>766</v>
      </c>
      <c r="T114" s="1198"/>
      <c r="U114" s="1198"/>
      <c r="V114" s="1198"/>
      <c r="W114" s="1198"/>
      <c r="X114" s="1198"/>
      <c r="Y114" s="978"/>
      <c r="Z114" s="978"/>
      <c r="AA114" s="978"/>
      <c r="AB114" s="978"/>
      <c r="AC114" s="978"/>
      <c r="AD114" s="978"/>
      <c r="AE114" s="978"/>
      <c r="AF114" s="978"/>
      <c r="AG114" s="978"/>
      <c r="AH114" s="978"/>
      <c r="AI114" s="978"/>
      <c r="AJ114" s="978"/>
      <c r="AK114" s="978"/>
      <c r="AL114" s="978"/>
      <c r="AM114" s="978"/>
      <c r="AN114" s="978"/>
      <c r="AO114" s="978"/>
      <c r="AP114" s="978"/>
      <c r="AQ114" s="978"/>
      <c r="AR114" s="1679"/>
      <c r="AS114" s="1679"/>
      <c r="AT114" s="1679"/>
      <c r="AU114" s="978"/>
      <c r="AV114" s="978"/>
      <c r="AW114" s="978"/>
      <c r="AX114" s="978"/>
      <c r="AY114" s="978"/>
      <c r="AZ114" s="978"/>
      <c r="BA114" s="978"/>
      <c r="BB114" s="978" t="s">
        <v>138</v>
      </c>
      <c r="BC114" s="978" t="s">
        <v>139</v>
      </c>
      <c r="BD114" s="978" t="s">
        <v>140</v>
      </c>
      <c r="BE114" s="978" t="s">
        <v>145</v>
      </c>
      <c r="BF114" s="978" t="s">
        <v>146</v>
      </c>
      <c r="BG114" s="978" t="s">
        <v>147</v>
      </c>
      <c r="BH114" s="978" t="s">
        <v>148</v>
      </c>
      <c r="BI114" s="978" t="s">
        <v>767</v>
      </c>
      <c r="BJ114" s="978" t="s">
        <v>768</v>
      </c>
      <c r="BK114" s="978" t="s">
        <v>769</v>
      </c>
      <c r="BL114" s="978" t="s">
        <v>770</v>
      </c>
      <c r="BM114" s="978" t="s">
        <v>771</v>
      </c>
      <c r="BN114" s="978" t="s">
        <v>800</v>
      </c>
      <c r="BO114" s="978" t="s">
        <v>801</v>
      </c>
      <c r="BP114" s="978" t="s">
        <v>802</v>
      </c>
      <c r="BQ114" s="978" t="s">
        <v>803</v>
      </c>
      <c r="BR114" s="978" t="s">
        <v>804</v>
      </c>
      <c r="BS114" s="978" t="s">
        <v>805</v>
      </c>
      <c r="BT114" s="978" t="s">
        <v>806</v>
      </c>
      <c r="BU114" s="978" t="s">
        <v>807</v>
      </c>
      <c r="BV114" s="978" t="s">
        <v>808</v>
      </c>
      <c r="BW114" s="978" t="s">
        <v>809</v>
      </c>
      <c r="BX114" s="978" t="s">
        <v>810</v>
      </c>
      <c r="BY114" s="978" t="s">
        <v>811</v>
      </c>
      <c r="BZ114" s="978" t="s">
        <v>812</v>
      </c>
      <c r="CA114" s="978" t="s">
        <v>813</v>
      </c>
      <c r="CB114" s="978" t="s">
        <v>814</v>
      </c>
      <c r="CC114" s="978" t="s">
        <v>430</v>
      </c>
      <c r="CD114" s="978" t="s">
        <v>431</v>
      </c>
      <c r="CE114" s="978" t="s">
        <v>486</v>
      </c>
      <c r="CF114" s="978" t="s">
        <v>493</v>
      </c>
      <c r="CG114" s="978" t="s">
        <v>774</v>
      </c>
      <c r="CH114" s="978" t="s">
        <v>307</v>
      </c>
      <c r="CI114" s="978" t="s">
        <v>308</v>
      </c>
      <c r="CJ114" s="978" t="s">
        <v>510</v>
      </c>
      <c r="CK114" s="978" t="s">
        <v>511</v>
      </c>
      <c r="CL114" s="981" t="s">
        <v>257</v>
      </c>
      <c r="CM114" s="1198"/>
      <c r="CN114" s="1198"/>
      <c r="CO114" s="1198"/>
      <c r="CP114" s="1198"/>
      <c r="CQ114" s="1198"/>
      <c r="CR114" s="1198"/>
      <c r="CS114" s="1198"/>
      <c r="CT114" s="1198"/>
    </row>
    <row r="115" spans="1:98" ht="12.75" customHeight="1">
      <c r="A115" s="1198"/>
      <c r="B115" s="1198"/>
      <c r="C115" s="1198"/>
      <c r="D115" s="1198"/>
      <c r="E115" s="1198"/>
      <c r="F115" s="1198"/>
      <c r="G115" s="1198"/>
      <c r="H115" s="1198"/>
      <c r="I115" s="1198"/>
      <c r="J115" s="1198"/>
      <c r="K115" s="1198"/>
      <c r="L115" s="1198"/>
      <c r="M115" s="1198"/>
      <c r="N115" s="1198"/>
      <c r="O115" s="1198"/>
      <c r="P115" s="1198"/>
      <c r="Q115" s="1170"/>
      <c r="R115" s="1360"/>
      <c r="S115" s="1198"/>
      <c r="T115" s="1198"/>
      <c r="U115" s="1198"/>
      <c r="V115" s="1198"/>
      <c r="W115" s="1198"/>
      <c r="X115" s="1198"/>
      <c r="Y115" s="1198"/>
      <c r="Z115" s="1198"/>
      <c r="AA115" s="1198"/>
      <c r="AB115" s="1198"/>
      <c r="AC115" s="1198"/>
      <c r="AD115" s="1198"/>
      <c r="AE115" s="1198"/>
      <c r="AF115" s="1198"/>
      <c r="AG115" s="1198"/>
      <c r="AH115" s="1198"/>
      <c r="AI115" s="1198"/>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605"/>
      <c r="CI115" s="1198"/>
      <c r="CJ115" s="1198"/>
      <c r="CK115" s="1198"/>
      <c r="CL115" s="1359"/>
      <c r="CM115" s="1198"/>
      <c r="CN115" s="1198"/>
      <c r="CO115" s="1198"/>
      <c r="CP115" s="1198"/>
      <c r="CQ115" s="1198"/>
      <c r="CR115" s="1198"/>
      <c r="CS115" s="1198"/>
      <c r="CT115" s="1198"/>
    </row>
    <row r="116" spans="1:98" ht="12.75" customHeight="1">
      <c r="A116" s="1680" t="s">
        <v>500</v>
      </c>
      <c r="B116" s="1198"/>
      <c r="C116" s="1198"/>
      <c r="D116" s="1198"/>
      <c r="E116" s="1198"/>
      <c r="F116" s="1198"/>
      <c r="G116" s="1198"/>
      <c r="H116" s="1198"/>
      <c r="I116" s="1198"/>
      <c r="J116" s="1226">
        <f>Q_IS!J47</f>
        <v>4120</v>
      </c>
      <c r="K116" s="1226">
        <f>Q_IS!K47</f>
        <v>3649</v>
      </c>
      <c r="L116" s="1226">
        <f>Q_IS!L47</f>
        <v>3593</v>
      </c>
      <c r="M116" s="1226">
        <f>Q_IS!M47</f>
        <v>4020</v>
      </c>
      <c r="N116" s="1226">
        <f>Q_IS!N47</f>
        <v>4389</v>
      </c>
      <c r="O116" s="1226">
        <f>Q_IS!O47</f>
        <v>4608</v>
      </c>
      <c r="P116" s="1226">
        <f>Q_IS!P47</f>
        <v>4547</v>
      </c>
      <c r="Q116" s="1179">
        <f>Q_IS!Q47</f>
        <v>4415</v>
      </c>
      <c r="R116" s="1263">
        <f>Q_IS!R47</f>
        <v>4435</v>
      </c>
      <c r="S116" s="1226">
        <f>Q_IS!S47</f>
        <v>1126</v>
      </c>
      <c r="T116" s="1198"/>
      <c r="U116" s="1198"/>
      <c r="V116" s="1198"/>
      <c r="W116" s="1198"/>
      <c r="X116" s="1198"/>
      <c r="Y116" s="1198"/>
      <c r="Z116" s="1198"/>
      <c r="AA116" s="1198"/>
      <c r="AB116" s="1198"/>
      <c r="AC116" s="1198"/>
      <c r="AD116" s="1198"/>
      <c r="AE116" s="1198"/>
      <c r="AF116" s="1198"/>
      <c r="AG116" s="1198"/>
      <c r="AH116" s="1198"/>
      <c r="AI116" s="1198"/>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226">
        <f>Q_IS!BB47</f>
        <v>1065</v>
      </c>
      <c r="BC116" s="1226">
        <f>Q_IS!BC47</f>
        <v>847</v>
      </c>
      <c r="BD116" s="1226">
        <f>Q_IS!BD47</f>
        <v>1007</v>
      </c>
      <c r="BE116" s="1226">
        <f>Q_IS!BE47</f>
        <v>1201</v>
      </c>
      <c r="BF116" s="1226">
        <f>Q_IS!BF47</f>
        <v>980</v>
      </c>
      <c r="BG116" s="1226">
        <f>Q_IS!BG47</f>
        <v>983</v>
      </c>
      <c r="BH116" s="1226">
        <f>Q_IS!BH47</f>
        <v>933</v>
      </c>
      <c r="BI116" s="1226">
        <f>Q_IS!BI47</f>
        <v>753</v>
      </c>
      <c r="BJ116" s="1226">
        <f>Q_IS!BJ47</f>
        <v>888</v>
      </c>
      <c r="BK116" s="1226">
        <f>Q_IS!BK47</f>
        <v>864</v>
      </c>
      <c r="BL116" s="1226">
        <f>Q_IS!BL47</f>
        <v>876</v>
      </c>
      <c r="BM116" s="1226">
        <f>Q_IS!BM47</f>
        <v>965</v>
      </c>
      <c r="BN116" s="1226">
        <f>Q_IS!BN47</f>
        <v>974</v>
      </c>
      <c r="BO116" s="1226">
        <f>Q_IS!BO47</f>
        <v>991</v>
      </c>
      <c r="BP116" s="1226">
        <f>Q_IS!BP47</f>
        <v>1002</v>
      </c>
      <c r="BQ116" s="1226">
        <f>Q_IS!BQ47</f>
        <v>1053</v>
      </c>
      <c r="BR116" s="1226">
        <f>Q_IS!BR47</f>
        <v>1066</v>
      </c>
      <c r="BS116" s="1226">
        <f>Q_IS!BS47</f>
        <v>1109</v>
      </c>
      <c r="BT116" s="1226">
        <f>Q_IS!BT47</f>
        <v>1134</v>
      </c>
      <c r="BU116" s="1226">
        <f>Q_IS!BU47</f>
        <v>1080</v>
      </c>
      <c r="BV116" s="1226">
        <f>Q_IS!BV47</f>
        <v>1171</v>
      </c>
      <c r="BW116" s="1226">
        <f>Q_IS!BW47</f>
        <v>1149</v>
      </c>
      <c r="BX116" s="1226">
        <f>Q_IS!BX47</f>
        <v>1151</v>
      </c>
      <c r="BY116" s="1226">
        <f>Q_IS!BY47</f>
        <v>1137</v>
      </c>
      <c r="BZ116" s="1226">
        <f>Q_IS!BZ47</f>
        <v>1141</v>
      </c>
      <c r="CA116" s="1226">
        <f>Q_IS!CA47</f>
        <v>1144</v>
      </c>
      <c r="CB116" s="1226">
        <f>Q_IS!CB47</f>
        <v>1083</v>
      </c>
      <c r="CC116" s="1226">
        <f>Q_IS!CC47</f>
        <v>1179</v>
      </c>
      <c r="CD116" s="1226">
        <f>Q_IS!CD47</f>
        <v>1145</v>
      </c>
      <c r="CE116" s="1226">
        <f>Q_IS!CE47</f>
        <v>1092</v>
      </c>
      <c r="CF116" s="1226">
        <f>Q_IS!CF47</f>
        <v>1093</v>
      </c>
      <c r="CG116" s="1226">
        <f>Q_IS!CG47</f>
        <v>1085</v>
      </c>
      <c r="CH116" s="1226">
        <f>Q_IS!CH47</f>
        <v>1124</v>
      </c>
      <c r="CI116" s="1226">
        <f>Q_IS!CI47</f>
        <v>1092</v>
      </c>
      <c r="CJ116" s="1226">
        <f>Q_IS!CJ47</f>
        <v>1120</v>
      </c>
      <c r="CK116" s="1226">
        <f>Q_IS!CK47</f>
        <v>1099</v>
      </c>
      <c r="CL116" s="1267">
        <f>Q_IS!CL47</f>
        <v>1126</v>
      </c>
      <c r="CM116" s="1198"/>
      <c r="CN116" s="1198"/>
      <c r="CO116" s="1198"/>
      <c r="CP116" s="1198"/>
      <c r="CQ116" s="1198"/>
      <c r="CR116" s="1198"/>
      <c r="CS116" s="1198"/>
      <c r="CT116" s="1198"/>
    </row>
    <row r="117" spans="1:98" ht="12.75" customHeight="1">
      <c r="A117" s="1680" t="s">
        <v>311</v>
      </c>
      <c r="B117" s="1198"/>
      <c r="C117" s="1198"/>
      <c r="D117" s="1198"/>
      <c r="E117" s="1198"/>
      <c r="F117" s="1198"/>
      <c r="G117" s="1198"/>
      <c r="H117" s="1198"/>
      <c r="I117" s="1198"/>
      <c r="J117" s="1226"/>
      <c r="K117" s="1226"/>
      <c r="L117" s="1226"/>
      <c r="M117" s="1226"/>
      <c r="N117" s="1226"/>
      <c r="O117" s="1226"/>
      <c r="P117" s="1341">
        <v>-31</v>
      </c>
      <c r="Q117" s="1341">
        <v>194</v>
      </c>
      <c r="R117" s="1342">
        <v>119.47799999999998</v>
      </c>
      <c r="S117" s="1340">
        <v>129.95370024207494</v>
      </c>
      <c r="T117" s="1198"/>
      <c r="U117" s="1198"/>
      <c r="V117" s="1198"/>
      <c r="W117" s="1198"/>
      <c r="X117" s="1198"/>
      <c r="Y117" s="1198"/>
      <c r="Z117" s="1198"/>
      <c r="AA117" s="1198"/>
      <c r="AB117" s="1198"/>
      <c r="AC117" s="1198"/>
      <c r="AD117" s="1198"/>
      <c r="AE117" s="1198"/>
      <c r="AF117" s="1198"/>
      <c r="AG117" s="1198"/>
      <c r="AH117" s="1198"/>
      <c r="AI117" s="119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226"/>
      <c r="BC117" s="1226"/>
      <c r="BD117" s="1226"/>
      <c r="BE117" s="1226"/>
      <c r="BF117" s="1226"/>
      <c r="BG117" s="1226"/>
      <c r="BH117" s="1226"/>
      <c r="BI117" s="1226"/>
      <c r="BJ117" s="1226"/>
      <c r="BK117" s="1226"/>
      <c r="BL117" s="1226"/>
      <c r="BM117" s="1226"/>
      <c r="BN117" s="1226"/>
      <c r="BO117" s="1226"/>
      <c r="BP117" s="1226"/>
      <c r="BQ117" s="1226"/>
      <c r="BR117" s="1226"/>
      <c r="BS117" s="1226"/>
      <c r="BT117" s="1226"/>
      <c r="BU117" s="1226"/>
      <c r="BV117" s="1226"/>
      <c r="BW117" s="1226"/>
      <c r="BX117" s="1226"/>
      <c r="BY117" s="1226"/>
      <c r="BZ117" s="1226"/>
      <c r="CA117" s="1226"/>
      <c r="CB117" s="1226"/>
      <c r="CC117" s="1226"/>
      <c r="CD117" s="1226"/>
      <c r="CE117" s="1226"/>
      <c r="CF117" s="1226"/>
      <c r="CG117" s="1226"/>
      <c r="CH117" s="1226"/>
      <c r="CI117" s="1226"/>
      <c r="CJ117" s="1226"/>
      <c r="CK117" s="1226"/>
      <c r="CL117" s="1267"/>
      <c r="CM117" s="1198"/>
      <c r="CN117" s="1198"/>
      <c r="CO117" s="1198"/>
      <c r="CP117" s="1198"/>
      <c r="CQ117" s="1198"/>
      <c r="CR117" s="1198"/>
      <c r="CS117" s="1198"/>
      <c r="CT117" s="1198"/>
    </row>
    <row r="118" spans="1:98" ht="12.75" customHeight="1">
      <c r="A118" s="1680" t="s">
        <v>312</v>
      </c>
      <c r="B118" s="1198"/>
      <c r="C118" s="1198"/>
      <c r="D118" s="1198"/>
      <c r="E118" s="1198"/>
      <c r="F118" s="1198"/>
      <c r="G118" s="1198"/>
      <c r="H118" s="1198"/>
      <c r="I118" s="1198"/>
      <c r="J118" s="1226"/>
      <c r="K118" s="1226"/>
      <c r="L118" s="1226"/>
      <c r="M118" s="1226"/>
      <c r="N118" s="1226"/>
      <c r="O118" s="1226"/>
      <c r="P118" s="1341">
        <f>-Q_BS!P42*3.5%</f>
        <v>-113.12</v>
      </c>
      <c r="Q118" s="1341">
        <f>-Q_BS!Q42*3.5%</f>
        <v>-115.36000000000001</v>
      </c>
      <c r="R118" s="1342">
        <f>-Q_BS!R42*3.5%</f>
        <v>-104.26500000000001</v>
      </c>
      <c r="S118" s="1340">
        <f>-Q_BS!S42*3.5%</f>
        <v>0</v>
      </c>
      <c r="T118" s="1198"/>
      <c r="U118" s="1198"/>
      <c r="V118" s="1198"/>
      <c r="W118" s="1198"/>
      <c r="X118" s="1198"/>
      <c r="Y118" s="1198"/>
      <c r="Z118" s="1198"/>
      <c r="AA118" s="1198"/>
      <c r="AB118" s="1198"/>
      <c r="AC118" s="1198"/>
      <c r="AD118" s="1198"/>
      <c r="AE118" s="1198"/>
      <c r="AF118" s="1198"/>
      <c r="AG118" s="1198"/>
      <c r="AH118" s="1198"/>
      <c r="AI118" s="119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226"/>
      <c r="BC118" s="1226"/>
      <c r="BD118" s="1226"/>
      <c r="BE118" s="1226"/>
      <c r="BF118" s="1226"/>
      <c r="BG118" s="1226"/>
      <c r="BH118" s="1226"/>
      <c r="BI118" s="1226"/>
      <c r="BJ118" s="1226"/>
      <c r="BK118" s="1226"/>
      <c r="BL118" s="1226"/>
      <c r="BM118" s="1226"/>
      <c r="BN118" s="1226"/>
      <c r="BO118" s="1226"/>
      <c r="BP118" s="1226"/>
      <c r="BQ118" s="1226"/>
      <c r="BR118" s="1226"/>
      <c r="BS118" s="1226"/>
      <c r="BT118" s="1226"/>
      <c r="BU118" s="1226"/>
      <c r="BV118" s="1226"/>
      <c r="BW118" s="1226"/>
      <c r="BX118" s="1226"/>
      <c r="BY118" s="1226"/>
      <c r="BZ118" s="1226"/>
      <c r="CA118" s="1226"/>
      <c r="CB118" s="1226"/>
      <c r="CC118" s="1226"/>
      <c r="CD118" s="1226"/>
      <c r="CE118" s="1226"/>
      <c r="CF118" s="1226"/>
      <c r="CG118" s="1226"/>
      <c r="CH118" s="1226"/>
      <c r="CI118" s="1226"/>
      <c r="CJ118" s="1226"/>
      <c r="CK118" s="1226"/>
      <c r="CL118" s="1267"/>
      <c r="CM118" s="1198"/>
      <c r="CN118" s="1198"/>
      <c r="CO118" s="1198"/>
      <c r="CP118" s="1198"/>
      <c r="CQ118" s="1198"/>
      <c r="CR118" s="1198"/>
      <c r="CS118" s="1198"/>
      <c r="CT118" s="1198"/>
    </row>
    <row r="119" spans="1:98" ht="12.75" customHeight="1">
      <c r="A119" s="1680" t="s">
        <v>501</v>
      </c>
      <c r="B119" s="1198"/>
      <c r="C119" s="1198"/>
      <c r="D119" s="1198"/>
      <c r="E119" s="1198"/>
      <c r="F119" s="1198"/>
      <c r="G119" s="1198"/>
      <c r="H119" s="1198"/>
      <c r="I119" s="1198"/>
      <c r="J119" s="1226"/>
      <c r="K119" s="1226"/>
      <c r="L119" s="1226"/>
      <c r="M119" s="1226"/>
      <c r="N119" s="1226"/>
      <c r="O119" s="1226"/>
      <c r="P119" s="1226"/>
      <c r="Q119" s="1179"/>
      <c r="R119" s="1263"/>
      <c r="S119" s="1226"/>
      <c r="T119" s="1198"/>
      <c r="U119" s="1198"/>
      <c r="V119" s="1198"/>
      <c r="W119" s="1198"/>
      <c r="X119" s="1198"/>
      <c r="Y119" s="1198"/>
      <c r="Z119" s="1198"/>
      <c r="AA119" s="1198"/>
      <c r="AB119" s="1198"/>
      <c r="AC119" s="1198"/>
      <c r="AD119" s="1198"/>
      <c r="AE119" s="1198"/>
      <c r="AF119" s="1198"/>
      <c r="AG119" s="1198"/>
      <c r="AH119" s="1198"/>
      <c r="AI119" s="119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226"/>
      <c r="BC119" s="1226"/>
      <c r="BD119" s="1226"/>
      <c r="BE119" s="1226"/>
      <c r="BF119" s="1226"/>
      <c r="BG119" s="1226"/>
      <c r="BH119" s="1226"/>
      <c r="BI119" s="1226"/>
      <c r="BJ119" s="1226"/>
      <c r="BK119" s="1226"/>
      <c r="BL119" s="1226"/>
      <c r="BM119" s="1226"/>
      <c r="BN119" s="1226"/>
      <c r="BO119" s="1226"/>
      <c r="BP119" s="1226"/>
      <c r="BQ119" s="1226"/>
      <c r="BR119" s="1226"/>
      <c r="BS119" s="1226"/>
      <c r="BT119" s="1226"/>
      <c r="BU119" s="1226"/>
      <c r="BV119" s="1226"/>
      <c r="BW119" s="1226"/>
      <c r="BX119" s="1226"/>
      <c r="BY119" s="1226"/>
      <c r="BZ119" s="1226"/>
      <c r="CA119" s="1226"/>
      <c r="CB119" s="1226"/>
      <c r="CC119" s="1226"/>
      <c r="CD119" s="1226"/>
      <c r="CE119" s="1226"/>
      <c r="CF119" s="1226"/>
      <c r="CG119" s="1226"/>
      <c r="CH119" s="1226"/>
      <c r="CI119" s="1226"/>
      <c r="CJ119" s="1226"/>
      <c r="CK119" s="1226"/>
      <c r="CL119" s="1267"/>
      <c r="CM119" s="1198"/>
      <c r="CN119" s="1198"/>
      <c r="CO119" s="1198"/>
      <c r="CP119" s="1198"/>
      <c r="CQ119" s="1198"/>
      <c r="CR119" s="1198"/>
      <c r="CS119" s="1198"/>
      <c r="CT119" s="1198"/>
    </row>
    <row r="120" spans="1:98" ht="12.75" customHeight="1">
      <c r="A120" s="1680" t="s">
        <v>502</v>
      </c>
      <c r="B120" s="1198"/>
      <c r="C120" s="1198"/>
      <c r="D120" s="1198"/>
      <c r="E120" s="1198"/>
      <c r="F120" s="1198"/>
      <c r="G120" s="1198"/>
      <c r="H120" s="1198"/>
      <c r="I120" s="1198"/>
      <c r="J120" s="1340">
        <f>SUM(J25:J31)</f>
        <v>-971</v>
      </c>
      <c r="K120" s="1340">
        <f t="shared" ref="K120:S120" si="57">SUM(K25:K31)</f>
        <v>-230</v>
      </c>
      <c r="L120" s="1340">
        <f t="shared" si="57"/>
        <v>-185</v>
      </c>
      <c r="M120" s="1340">
        <f t="shared" si="57"/>
        <v>-112</v>
      </c>
      <c r="N120" s="1340">
        <f t="shared" si="57"/>
        <v>-460</v>
      </c>
      <c r="O120" s="1340">
        <f t="shared" si="57"/>
        <v>-96</v>
      </c>
      <c r="P120" s="1340">
        <f t="shared" si="57"/>
        <v>-601</v>
      </c>
      <c r="Q120" s="1341">
        <f t="shared" si="57"/>
        <v>-185</v>
      </c>
      <c r="R120" s="1342">
        <f ca="1">SUM(R25:R31)</f>
        <v>-32</v>
      </c>
      <c r="S120" s="1340">
        <f t="shared" si="57"/>
        <v>-77</v>
      </c>
      <c r="T120" s="1198"/>
      <c r="U120" s="1198"/>
      <c r="V120" s="1198"/>
      <c r="W120" s="1198"/>
      <c r="X120" s="1198"/>
      <c r="Y120" s="1198"/>
      <c r="Z120" s="1198"/>
      <c r="AA120" s="1198"/>
      <c r="AB120" s="1198"/>
      <c r="AC120" s="1198"/>
      <c r="AD120" s="1198"/>
      <c r="AE120" s="1198"/>
      <c r="AF120" s="1198"/>
      <c r="AG120" s="1198"/>
      <c r="AH120" s="1198"/>
      <c r="AI120" s="119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340">
        <f>SUM(BB25:BB31)</f>
        <v>-318</v>
      </c>
      <c r="BC120" s="1340">
        <f t="shared" ref="BC120:CJ120" si="58">SUM(BC25:BC31)</f>
        <v>55</v>
      </c>
      <c r="BD120" s="1340">
        <f t="shared" si="58"/>
        <v>-290</v>
      </c>
      <c r="BE120" s="1340">
        <f t="shared" si="58"/>
        <v>-418</v>
      </c>
      <c r="BF120" s="1340">
        <f t="shared" si="58"/>
        <v>166</v>
      </c>
      <c r="BG120" s="1340">
        <f t="shared" si="58"/>
        <v>-301</v>
      </c>
      <c r="BH120" s="1340">
        <f t="shared" si="58"/>
        <v>384</v>
      </c>
      <c r="BI120" s="1340">
        <f t="shared" si="58"/>
        <v>-479</v>
      </c>
      <c r="BJ120" s="1340">
        <f t="shared" si="58"/>
        <v>-11</v>
      </c>
      <c r="BK120" s="1340">
        <f t="shared" si="58"/>
        <v>22</v>
      </c>
      <c r="BL120" s="1340">
        <f t="shared" si="58"/>
        <v>393</v>
      </c>
      <c r="BM120" s="1340">
        <f t="shared" si="58"/>
        <v>-589</v>
      </c>
      <c r="BN120" s="1340">
        <f t="shared" si="58"/>
        <v>-265</v>
      </c>
      <c r="BO120" s="1340">
        <f t="shared" si="58"/>
        <v>-31</v>
      </c>
      <c r="BP120" s="1340">
        <f t="shared" si="58"/>
        <v>155</v>
      </c>
      <c r="BQ120" s="1340">
        <f t="shared" si="58"/>
        <v>29</v>
      </c>
      <c r="BR120" s="1340">
        <f t="shared" si="58"/>
        <v>-484</v>
      </c>
      <c r="BS120" s="1340">
        <f t="shared" si="58"/>
        <v>167</v>
      </c>
      <c r="BT120" s="1340">
        <f t="shared" si="58"/>
        <v>-188</v>
      </c>
      <c r="BU120" s="1340">
        <f t="shared" si="58"/>
        <v>45</v>
      </c>
      <c r="BV120" s="1340">
        <f t="shared" si="58"/>
        <v>-595</v>
      </c>
      <c r="BW120" s="1340">
        <f t="shared" si="58"/>
        <v>185</v>
      </c>
      <c r="BX120" s="1340">
        <f t="shared" si="58"/>
        <v>322</v>
      </c>
      <c r="BY120" s="1340">
        <f t="shared" si="58"/>
        <v>-8</v>
      </c>
      <c r="BZ120" s="1340">
        <f t="shared" si="58"/>
        <v>-424</v>
      </c>
      <c r="CA120" s="1340">
        <f t="shared" si="58"/>
        <v>17</v>
      </c>
      <c r="CB120" s="1340">
        <f t="shared" si="58"/>
        <v>-133</v>
      </c>
      <c r="CC120" s="1340">
        <f t="shared" si="58"/>
        <v>-61</v>
      </c>
      <c r="CD120" s="1340">
        <f t="shared" si="58"/>
        <v>-252</v>
      </c>
      <c r="CE120" s="1340">
        <f t="shared" si="58"/>
        <v>107</v>
      </c>
      <c r="CF120" s="1340">
        <f t="shared" si="58"/>
        <v>-102</v>
      </c>
      <c r="CG120" s="1340">
        <f t="shared" si="58"/>
        <v>62</v>
      </c>
      <c r="CH120" s="1340">
        <f t="shared" si="58"/>
        <v>-123</v>
      </c>
      <c r="CI120" s="1340">
        <f t="shared" si="58"/>
        <v>80</v>
      </c>
      <c r="CJ120" s="1340">
        <f t="shared" si="58"/>
        <v>40</v>
      </c>
      <c r="CK120" s="1340">
        <f ca="1">SUM(CK25:CK31)</f>
        <v>-29</v>
      </c>
      <c r="CL120" s="1346">
        <f>SUM(CL25:CL31)</f>
        <v>-77</v>
      </c>
      <c r="CM120" s="1198"/>
      <c r="CN120" s="1198"/>
      <c r="CO120" s="1198"/>
      <c r="CP120" s="1198"/>
      <c r="CQ120" s="1198"/>
      <c r="CR120" s="1198"/>
      <c r="CS120" s="1198"/>
      <c r="CT120" s="1198"/>
    </row>
    <row r="121" spans="1:98" ht="12.75" customHeight="1">
      <c r="A121" s="1681" t="s">
        <v>503</v>
      </c>
      <c r="B121" s="1198"/>
      <c r="C121" s="1198"/>
      <c r="D121" s="1198"/>
      <c r="E121" s="1198"/>
      <c r="F121" s="1198"/>
      <c r="G121" s="1198"/>
      <c r="H121" s="1198"/>
      <c r="I121" s="1198"/>
      <c r="J121" s="1340">
        <f>J37</f>
        <v>-2764</v>
      </c>
      <c r="K121" s="1340">
        <f t="shared" ref="K121:S121" si="59">K37</f>
        <v>-2088</v>
      </c>
      <c r="L121" s="1340">
        <f t="shared" si="59"/>
        <v>-1731</v>
      </c>
      <c r="M121" s="1340">
        <f t="shared" si="59"/>
        <v>-1613</v>
      </c>
      <c r="N121" s="1340">
        <f t="shared" si="59"/>
        <v>-1632</v>
      </c>
      <c r="O121" s="1340">
        <f t="shared" si="59"/>
        <v>-1669</v>
      </c>
      <c r="P121" s="1340">
        <f t="shared" si="59"/>
        <v>-1777</v>
      </c>
      <c r="Q121" s="1341">
        <f t="shared" si="59"/>
        <v>-1409</v>
      </c>
      <c r="R121" s="1342">
        <f t="shared" si="59"/>
        <v>-1488</v>
      </c>
      <c r="S121" s="1340">
        <f t="shared" si="59"/>
        <v>-410</v>
      </c>
      <c r="T121" s="1198"/>
      <c r="U121" s="1198"/>
      <c r="V121" s="1198"/>
      <c r="W121" s="1198"/>
      <c r="X121" s="1198"/>
      <c r="Y121" s="1198"/>
      <c r="Z121" s="1198"/>
      <c r="AA121" s="1198"/>
      <c r="AB121" s="1198"/>
      <c r="AC121" s="1198"/>
      <c r="AD121" s="1198"/>
      <c r="AE121" s="1198"/>
      <c r="AF121" s="1198"/>
      <c r="AG121" s="1198"/>
      <c r="AH121" s="1198"/>
      <c r="AI121" s="119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340">
        <f>BB37</f>
        <v>-1171</v>
      </c>
      <c r="BC121" s="1340">
        <f t="shared" ref="BC121:CK121" si="60">BC37</f>
        <v>-599</v>
      </c>
      <c r="BD121" s="1340">
        <f t="shared" si="60"/>
        <v>-433</v>
      </c>
      <c r="BE121" s="1340">
        <f t="shared" si="60"/>
        <v>-561</v>
      </c>
      <c r="BF121" s="1340">
        <f t="shared" si="60"/>
        <v>-429</v>
      </c>
      <c r="BG121" s="1340">
        <f t="shared" si="60"/>
        <v>-505</v>
      </c>
      <c r="BH121" s="1340">
        <f t="shared" si="60"/>
        <v>-539</v>
      </c>
      <c r="BI121" s="1340">
        <f t="shared" si="60"/>
        <v>-615</v>
      </c>
      <c r="BJ121" s="1340">
        <f t="shared" si="60"/>
        <v>-455</v>
      </c>
      <c r="BK121" s="1340">
        <f t="shared" si="60"/>
        <v>-486</v>
      </c>
      <c r="BL121" s="1340">
        <f t="shared" si="60"/>
        <v>-418</v>
      </c>
      <c r="BM121" s="1340">
        <f t="shared" si="60"/>
        <v>-372</v>
      </c>
      <c r="BN121" s="1340">
        <f t="shared" si="60"/>
        <v>-313</v>
      </c>
      <c r="BO121" s="1340">
        <f t="shared" si="60"/>
        <v>-352</v>
      </c>
      <c r="BP121" s="1340">
        <f t="shared" si="60"/>
        <v>-445</v>
      </c>
      <c r="BQ121" s="1340">
        <f t="shared" si="60"/>
        <v>-503</v>
      </c>
      <c r="BR121" s="1340">
        <f t="shared" si="60"/>
        <v>-390</v>
      </c>
      <c r="BS121" s="1340">
        <f t="shared" si="60"/>
        <v>-442</v>
      </c>
      <c r="BT121" s="1340">
        <f t="shared" si="60"/>
        <v>-394</v>
      </c>
      <c r="BU121" s="1340">
        <f t="shared" si="60"/>
        <v>-406</v>
      </c>
      <c r="BV121" s="1340">
        <f t="shared" si="60"/>
        <v>-318</v>
      </c>
      <c r="BW121" s="1340">
        <f t="shared" si="60"/>
        <v>-426</v>
      </c>
      <c r="BX121" s="1340">
        <f t="shared" si="60"/>
        <v>-420</v>
      </c>
      <c r="BY121" s="1340">
        <f t="shared" si="60"/>
        <v>-505</v>
      </c>
      <c r="BZ121" s="1340">
        <f t="shared" si="60"/>
        <v>-416</v>
      </c>
      <c r="CA121" s="1340">
        <f t="shared" si="60"/>
        <v>-534</v>
      </c>
      <c r="CB121" s="1340">
        <f t="shared" si="60"/>
        <v>-466</v>
      </c>
      <c r="CC121" s="1340">
        <f t="shared" si="60"/>
        <v>-361</v>
      </c>
      <c r="CD121" s="1340">
        <f t="shared" si="60"/>
        <v>-334</v>
      </c>
      <c r="CE121" s="1340">
        <f t="shared" si="60"/>
        <v>-348</v>
      </c>
      <c r="CF121" s="1340">
        <f t="shared" si="60"/>
        <v>-341</v>
      </c>
      <c r="CG121" s="1340">
        <f t="shared" si="60"/>
        <v>-386</v>
      </c>
      <c r="CH121" s="1340">
        <f t="shared" si="60"/>
        <v>-387</v>
      </c>
      <c r="CI121" s="1340">
        <f t="shared" si="60"/>
        <v>-330</v>
      </c>
      <c r="CJ121" s="1340">
        <f t="shared" si="60"/>
        <v>-373</v>
      </c>
      <c r="CK121" s="1340">
        <f t="shared" si="60"/>
        <v>-398</v>
      </c>
      <c r="CL121" s="1346">
        <f>CL37</f>
        <v>-410</v>
      </c>
      <c r="CM121" s="1198"/>
      <c r="CN121" s="1198"/>
      <c r="CO121" s="1198"/>
      <c r="CP121" s="1198"/>
      <c r="CQ121" s="1198"/>
      <c r="CR121" s="1198"/>
      <c r="CS121" s="1198"/>
      <c r="CT121" s="1198"/>
    </row>
    <row r="122" spans="1:98" ht="12.75" customHeight="1">
      <c r="A122" s="1681" t="s">
        <v>504</v>
      </c>
      <c r="B122" s="1198"/>
      <c r="C122" s="1198"/>
      <c r="D122" s="1198"/>
      <c r="E122" s="1198"/>
      <c r="F122" s="1198"/>
      <c r="G122" s="1198"/>
      <c r="H122" s="1198"/>
      <c r="I122" s="1198"/>
      <c r="J122" s="1248">
        <f>-(Q_IS!J68*Q_IS!J79)</f>
        <v>550.19299999999998</v>
      </c>
      <c r="K122" s="1248">
        <f>-(Q_IS!K68*Q_IS!K79)</f>
        <v>394.15799999999996</v>
      </c>
      <c r="L122" s="1248">
        <f>-(Q_IS!L68*Q_IS!L79)</f>
        <v>358.71600000000001</v>
      </c>
      <c r="M122" s="1248">
        <f>-(Q_IS!M68*Q_IS!M79)</f>
        <v>161.1</v>
      </c>
      <c r="N122" s="1248">
        <f>-(Q_IS!N68*Q_IS!N79)</f>
        <v>-199.048</v>
      </c>
      <c r="O122" s="1248">
        <f>-(Q_IS!O68*Q_IS!O79)</f>
        <v>-370.53</v>
      </c>
      <c r="P122" s="1248">
        <f>-(Q_IS!P68*Q_IS!P79)</f>
        <v>-410.62599999999998</v>
      </c>
      <c r="Q122" s="1282">
        <f>-(Q_IS!Q68*Q_IS!Q79)</f>
        <v>-369.45599999999996</v>
      </c>
      <c r="R122" s="1250">
        <f>-(Q_IS!R68*Q_IS!R79)</f>
        <v>-429.95799999999997</v>
      </c>
      <c r="S122" s="1248">
        <f>-(Q_IS!S68*Q_IS!S79)</f>
        <v>-132.81799999999998</v>
      </c>
      <c r="T122" s="1198"/>
      <c r="U122" s="1198"/>
      <c r="V122" s="1198"/>
      <c r="W122" s="1198"/>
      <c r="X122" s="1198"/>
      <c r="Y122" s="1248"/>
      <c r="Z122" s="1248"/>
      <c r="AA122" s="1248"/>
      <c r="AB122" s="1248"/>
      <c r="AC122" s="1248"/>
      <c r="AD122" s="1248"/>
      <c r="AE122" s="1248"/>
      <c r="AF122" s="1248"/>
      <c r="AG122" s="1248"/>
      <c r="AH122" s="1248"/>
      <c r="AI122" s="1248"/>
      <c r="AJ122" s="1248"/>
      <c r="AK122" s="1248"/>
      <c r="AL122" s="1248"/>
      <c r="AM122" s="1248"/>
      <c r="AN122" s="1248"/>
      <c r="AO122" s="1248"/>
      <c r="AP122" s="1248"/>
      <c r="AQ122" s="1248"/>
      <c r="AR122" s="1248"/>
      <c r="AS122" s="1248"/>
      <c r="AT122" s="1248"/>
      <c r="AU122" s="1248"/>
      <c r="AV122" s="1248"/>
      <c r="AW122" s="1248"/>
      <c r="AX122" s="1248"/>
      <c r="AY122" s="1248"/>
      <c r="AZ122" s="1248"/>
      <c r="BA122" s="1248"/>
      <c r="BB122" s="1248">
        <f>(Q_IS!BB68*35%)*-1</f>
        <v>194.95</v>
      </c>
      <c r="BC122" s="1248">
        <f>(Q_IS!BC68*35%)*-1</f>
        <v>264.25</v>
      </c>
      <c r="BD122" s="1248">
        <f>(Q_IS!BD68*35%)*-1</f>
        <v>88.199999999999989</v>
      </c>
      <c r="BE122" s="1248">
        <f>(Q_IS!BE68*35%)*-1</f>
        <v>37.799999999999997</v>
      </c>
      <c r="BF122" s="1248">
        <f>(Q_IS!BF68*35%)*-1</f>
        <v>64.05</v>
      </c>
      <c r="BG122" s="1248">
        <f>(Q_IS!BG68*35%)*-1</f>
        <v>67.199999999999989</v>
      </c>
      <c r="BH122" s="1248">
        <f>(Q_IS!BH68*35%)*-1</f>
        <v>98.699999999999989</v>
      </c>
      <c r="BI122" s="1248">
        <f>(Q_IS!BI68*35%)*-1</f>
        <v>155.39999999999998</v>
      </c>
      <c r="BJ122" s="1248">
        <f>(Q_IS!BJ68*35%)*-1</f>
        <v>104.3</v>
      </c>
      <c r="BK122" s="1248">
        <f>(Q_IS!BK68*35%)*-1</f>
        <v>102.55</v>
      </c>
      <c r="BL122" s="1248">
        <f>(Q_IS!BL68*35%)*-1</f>
        <v>98.35</v>
      </c>
      <c r="BM122" s="1248">
        <f>(Q_IS!BM68*35%)*-1</f>
        <v>45.5</v>
      </c>
      <c r="BN122" s="1248">
        <f>(Q_IS!BN68*35%)*-1</f>
        <v>68.599999999999994</v>
      </c>
      <c r="BO122" s="1248">
        <f>(Q_IS!BO68*35%)*-1</f>
        <v>43.4</v>
      </c>
      <c r="BP122" s="1248">
        <f>(Q_IS!BP68*35%)*-1</f>
        <v>41.65</v>
      </c>
      <c r="BQ122" s="1248">
        <f>(Q_IS!BQ68*35%)*-1</f>
        <v>3.8499999999999996</v>
      </c>
      <c r="BR122" s="1248">
        <f ca="1">-(Q_IS!BR68*Q_IS!BR79)</f>
        <v>-38.305999999999997</v>
      </c>
      <c r="BS122" s="1248">
        <f ca="1">-(Q_IS!BS68*Q_IS!BS79)</f>
        <v>-48.33</v>
      </c>
      <c r="BT122" s="1248">
        <f ca="1">-(Q_IS!BT68*Q_IS!BT79)</f>
        <v>-69.451999999999998</v>
      </c>
      <c r="BU122" s="1248">
        <f ca="1">-(Q_IS!BU68*Q_IS!BU79)</f>
        <v>-42.96</v>
      </c>
      <c r="BV122" s="1248">
        <f ca="1">-(Q_IS!BV68*Q_IS!BV79)</f>
        <v>-97.375999999999991</v>
      </c>
      <c r="BW122" s="1248">
        <f ca="1">-(Q_IS!BW68*Q_IS!BW79)</f>
        <v>-92.006</v>
      </c>
      <c r="BX122" s="1248">
        <f ca="1">-(Q_IS!BX68*Q_IS!BX79)</f>
        <v>-92.36399999999999</v>
      </c>
      <c r="BY122" s="1248">
        <f ca="1">-(Q_IS!BY68*Q_IS!BY79)</f>
        <v>-88.783999999999992</v>
      </c>
      <c r="BZ122" s="1248">
        <f ca="1">-(Q_IS!BZ68*Q_IS!BZ79)</f>
        <v>-103.82</v>
      </c>
      <c r="CA122" s="1248">
        <f ca="1">-(Q_IS!CA68*Q_IS!CA79)</f>
        <v>-107.39999999999999</v>
      </c>
      <c r="CB122" s="1248">
        <f ca="1">-(Q_IS!CB68*Q_IS!CB79)</f>
        <v>-88.783999999999992</v>
      </c>
      <c r="CC122" s="1248">
        <f ca="1">-(Q_IS!CC68*Q_IS!CC79)</f>
        <v>-110.622</v>
      </c>
      <c r="CD122" s="1248">
        <f ca="1">-(Q_IS!CD68*Q_IS!CD79)</f>
        <v>-114.91799999999999</v>
      </c>
      <c r="CE122" s="1248">
        <f ca="1">-(Q_IS!CE68*Q_IS!CE79)</f>
        <v>-85.92</v>
      </c>
      <c r="CF122" s="1248">
        <f ca="1">-(Q_IS!CF68*Q_IS!CF79)</f>
        <v>-85.203999999999994</v>
      </c>
      <c r="CG122" s="1248">
        <f ca="1">-(Q_IS!CG68*Q_IS!CG79)</f>
        <v>-83.414000000000001</v>
      </c>
      <c r="CH122" s="1248">
        <f ca="1">-(Q_IS!CH68*Q_IS!CH79)</f>
        <v>-107.39999999999999</v>
      </c>
      <c r="CI122" s="1248">
        <f ca="1">-(Q_IS!CI68*Q_IS!CI79)</f>
        <v>-100.24</v>
      </c>
      <c r="CJ122" s="1248">
        <f ca="1">-(Q_IS!CJ68*Q_IS!CJ79)</f>
        <v>-113.84399999999999</v>
      </c>
      <c r="CK122" s="1248">
        <f ca="1">-(Q_IS!CK68*Q_IS!CK79)</f>
        <v>-108.47399999999999</v>
      </c>
      <c r="CL122" s="1249">
        <f ca="1">-(Q_IS!CL68*Q_IS!CL79)</f>
        <v>-132.81799999999998</v>
      </c>
      <c r="CM122" s="1198"/>
      <c r="CN122" s="1198"/>
      <c r="CO122" s="1198"/>
      <c r="CP122" s="1198"/>
      <c r="CQ122" s="1198"/>
      <c r="CR122" s="1198"/>
      <c r="CS122" s="1198"/>
      <c r="CT122" s="1198"/>
    </row>
    <row r="123" spans="1:98" ht="12.75" customHeight="1">
      <c r="A123" s="1681" t="s">
        <v>505</v>
      </c>
      <c r="B123" s="1198"/>
      <c r="C123" s="1198"/>
      <c r="D123" s="1198"/>
      <c r="E123" s="1198"/>
      <c r="F123" s="1198"/>
      <c r="G123" s="1198"/>
      <c r="H123" s="1198"/>
      <c r="I123" s="1198"/>
      <c r="J123" s="1198"/>
      <c r="K123" s="1198"/>
      <c r="L123" s="1198"/>
      <c r="M123" s="1198"/>
      <c r="N123" s="1198"/>
      <c r="O123" s="1198"/>
      <c r="P123" s="1198"/>
      <c r="Q123" s="1170"/>
      <c r="R123" s="1360"/>
      <c r="S123" s="1198"/>
      <c r="T123" s="1198"/>
      <c r="U123" s="1198"/>
      <c r="V123" s="1198"/>
      <c r="W123" s="1198"/>
      <c r="X123" s="1198"/>
      <c r="Y123" s="1198"/>
      <c r="Z123" s="1198"/>
      <c r="AA123" s="1198"/>
      <c r="AB123" s="1198"/>
      <c r="AC123" s="1198"/>
      <c r="AD123" s="1198"/>
      <c r="AE123" s="1198"/>
      <c r="AF123" s="1198"/>
      <c r="AG123" s="1198"/>
      <c r="AH123" s="1198"/>
      <c r="AI123" s="119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605"/>
      <c r="CI123" s="1198"/>
      <c r="CJ123" s="1198"/>
      <c r="CK123" s="1198"/>
      <c r="CL123" s="1359"/>
      <c r="CM123" s="1198"/>
      <c r="CN123" s="1198"/>
      <c r="CO123" s="1198"/>
      <c r="CP123" s="1198"/>
      <c r="CQ123" s="1198"/>
      <c r="CR123" s="1198"/>
      <c r="CS123" s="1198"/>
      <c r="CT123" s="1198"/>
    </row>
    <row r="124" spans="1:98" ht="12.75" customHeight="1">
      <c r="A124" s="1681" t="s">
        <v>506</v>
      </c>
      <c r="B124" s="1198"/>
      <c r="C124" s="1198"/>
      <c r="D124" s="1198"/>
      <c r="E124" s="1198"/>
      <c r="F124" s="1198"/>
      <c r="G124" s="1198"/>
      <c r="H124" s="1198"/>
      <c r="I124" s="1198"/>
      <c r="J124" s="1248">
        <f>-Q_IS!J62-Q_IS!J65</f>
        <v>-1756</v>
      </c>
      <c r="K124" s="1248">
        <f>-Q_IS!K62-Q_IS!K65</f>
        <v>-1583</v>
      </c>
      <c r="L124" s="1248">
        <f>-Q_IS!L62-Q_IS!L65</f>
        <v>-1471</v>
      </c>
      <c r="M124" s="1248">
        <f>-Q_IS!M62-Q_IS!M65</f>
        <v>-1405</v>
      </c>
      <c r="N124" s="1248">
        <f>-Q_IS!N62-Q_IS!N65</f>
        <v>-1063</v>
      </c>
      <c r="O124" s="1248">
        <f>-Q_IS!O62-Q_IS!O65</f>
        <v>-1114</v>
      </c>
      <c r="P124" s="1248">
        <f>-Q_IS!P62-Q_IS!P65</f>
        <v>-1046</v>
      </c>
      <c r="Q124" s="1282">
        <f>-Q_IS!Q62-Q_IS!Q65</f>
        <v>-1072</v>
      </c>
      <c r="R124" s="1250">
        <f>-Q_IS!R62-Q_IS!R65</f>
        <v>-1034</v>
      </c>
      <c r="S124" s="1248">
        <f>-Q_IS!S62-Q_IS!S65</f>
        <v>-222</v>
      </c>
      <c r="T124" s="1198"/>
      <c r="U124" s="1198"/>
      <c r="V124" s="1198"/>
      <c r="W124" s="1198"/>
      <c r="X124" s="1198"/>
      <c r="Y124" s="1248"/>
      <c r="Z124" s="1248"/>
      <c r="AA124" s="1248"/>
      <c r="AB124" s="1248"/>
      <c r="AC124" s="1248"/>
      <c r="AD124" s="1248"/>
      <c r="AE124" s="1248"/>
      <c r="AF124" s="1248"/>
      <c r="AG124" s="1248"/>
      <c r="AH124" s="1248"/>
      <c r="AI124" s="1248"/>
      <c r="AJ124" s="1248"/>
      <c r="AK124" s="1248"/>
      <c r="AL124" s="1248"/>
      <c r="AM124" s="1248"/>
      <c r="AN124" s="1248"/>
      <c r="AO124" s="1248"/>
      <c r="AP124" s="1248"/>
      <c r="AQ124" s="1248"/>
      <c r="AR124" s="1248"/>
      <c r="AS124" s="1248"/>
      <c r="AT124" s="1248"/>
      <c r="AU124" s="1248"/>
      <c r="AV124" s="1248"/>
      <c r="AW124" s="1248"/>
      <c r="AX124" s="1248"/>
      <c r="AY124" s="1248"/>
      <c r="AZ124" s="1248"/>
      <c r="BA124" s="1248"/>
      <c r="BB124" s="1248">
        <f>-Q_IS!BB62-Q_IS!BB65</f>
        <v>-508</v>
      </c>
      <c r="BC124" s="1248">
        <f>-Q_IS!BC62-Q_IS!BC65</f>
        <v>-470</v>
      </c>
      <c r="BD124" s="1248">
        <f>-Q_IS!BD62-Q_IS!BD65</f>
        <v>-463</v>
      </c>
      <c r="BE124" s="1248">
        <f>-Q_IS!BE62-Q_IS!BE65</f>
        <v>-499</v>
      </c>
      <c r="BF124" s="1248">
        <f>-Q_IS!BF62-Q_IS!BF65</f>
        <v>-379</v>
      </c>
      <c r="BG124" s="1248">
        <f>-Q_IS!BG62-Q_IS!BG65</f>
        <v>-386</v>
      </c>
      <c r="BH124" s="1248">
        <f>-Q_IS!BH62-Q_IS!BH65</f>
        <v>-419</v>
      </c>
      <c r="BI124" s="1248">
        <f>-Q_IS!BI62-Q_IS!BI65</f>
        <v>-399</v>
      </c>
      <c r="BJ124" s="1248">
        <f>-Q_IS!BJ62-Q_IS!BJ65</f>
        <v>-409</v>
      </c>
      <c r="BK124" s="1248">
        <f>-Q_IS!BK62-Q_IS!BK65</f>
        <v>-372</v>
      </c>
      <c r="BL124" s="1248">
        <f>-Q_IS!BL62-Q_IS!BL65</f>
        <v>-378</v>
      </c>
      <c r="BM124" s="1248">
        <f>-Q_IS!BM62-Q_IS!BM65</f>
        <v>-312</v>
      </c>
      <c r="BN124" s="1248">
        <f>-Q_IS!BN62-Q_IS!BN65</f>
        <v>-396</v>
      </c>
      <c r="BO124" s="1248">
        <f>-Q_IS!BO62-Q_IS!BO65</f>
        <v>-350</v>
      </c>
      <c r="BP124" s="1248">
        <f>-Q_IS!BP62-Q_IS!BP65</f>
        <v>-353</v>
      </c>
      <c r="BQ124" s="1248">
        <f>-Q_IS!BQ62-Q_IS!BQ65</f>
        <v>-306</v>
      </c>
      <c r="BR124" s="1248">
        <f>-Q_IS!BR62-Q_IS!BR65</f>
        <v>-268</v>
      </c>
      <c r="BS124" s="1248">
        <f>-Q_IS!BS62-Q_IS!BS65</f>
        <v>-281</v>
      </c>
      <c r="BT124" s="1248">
        <f>-Q_IS!BT62-Q_IS!BT65</f>
        <v>-249</v>
      </c>
      <c r="BU124" s="1248">
        <f>-Q_IS!BU62-Q_IS!BU65</f>
        <v>-265</v>
      </c>
      <c r="BV124" s="1248">
        <f>-Q_IS!BV62-Q_IS!BV65</f>
        <v>-287</v>
      </c>
      <c r="BW124" s="1248">
        <f>-Q_IS!BW62-Q_IS!BW65</f>
        <v>-277</v>
      </c>
      <c r="BX124" s="1248">
        <f>-Q_IS!BX62-Q_IS!BX65</f>
        <v>-274</v>
      </c>
      <c r="BY124" s="1248">
        <f>-Q_IS!BY62-Q_IS!BY65</f>
        <v>-276</v>
      </c>
      <c r="BZ124" s="1248">
        <f>-Q_IS!BZ62-Q_IS!BZ65</f>
        <v>-275</v>
      </c>
      <c r="CA124" s="1248">
        <f>-Q_IS!CA62-Q_IS!CA65</f>
        <v>-266</v>
      </c>
      <c r="CB124" s="1248">
        <f>-Q_IS!CB62-Q_IS!CB65</f>
        <v>-236</v>
      </c>
      <c r="CC124" s="1248">
        <f>-Q_IS!CC62-Q_IS!CC65</f>
        <v>-269</v>
      </c>
      <c r="CD124" s="1248">
        <f>-Q_IS!CD62-Q_IS!CD65</f>
        <v>-251</v>
      </c>
      <c r="CE124" s="1248">
        <f>-Q_IS!CE62-Q_IS!CE65</f>
        <v>-274</v>
      </c>
      <c r="CF124" s="1248">
        <f>-Q_IS!CF62-Q_IS!CF65</f>
        <v>-274</v>
      </c>
      <c r="CG124" s="1248">
        <f>-Q_IS!CG62-Q_IS!CG65</f>
        <v>-273</v>
      </c>
      <c r="CH124" s="1248">
        <f>-Q_IS!CH62-Q_IS!CH65</f>
        <v>-279</v>
      </c>
      <c r="CI124" s="1248">
        <f>-Q_IS!CI62-Q_IS!CI65</f>
        <v>-264</v>
      </c>
      <c r="CJ124" s="1248">
        <f>-Q_IS!CJ62-Q_IS!CJ65</f>
        <v>-250</v>
      </c>
      <c r="CK124" s="1248">
        <f>-Q_IS!CK62-Q_IS!CK65</f>
        <v>-241</v>
      </c>
      <c r="CL124" s="1249">
        <f>-Q_IS!CL62-Q_IS!CL65</f>
        <v>-222</v>
      </c>
      <c r="CM124" s="1198"/>
      <c r="CN124" s="1198"/>
      <c r="CO124" s="1198"/>
      <c r="CP124" s="1198"/>
      <c r="CQ124" s="1198"/>
      <c r="CR124" s="1198"/>
      <c r="CS124" s="1198"/>
      <c r="CT124" s="1198"/>
    </row>
    <row r="125" spans="1:98" ht="12.75" customHeight="1">
      <c r="A125" s="1681" t="s">
        <v>507</v>
      </c>
      <c r="B125" s="1198"/>
      <c r="C125" s="1198"/>
      <c r="D125" s="1198"/>
      <c r="E125" s="1198"/>
      <c r="F125" s="1198"/>
      <c r="G125" s="1198"/>
      <c r="H125" s="1198"/>
      <c r="I125" s="1198"/>
      <c r="J125" s="1198"/>
      <c r="K125" s="1198"/>
      <c r="L125" s="1198"/>
      <c r="M125" s="1198"/>
      <c r="N125" s="1198"/>
      <c r="O125" s="1198"/>
      <c r="P125" s="1198"/>
      <c r="Q125" s="1170"/>
      <c r="R125" s="1360"/>
      <c r="S125" s="1198"/>
      <c r="T125" s="1198"/>
      <c r="U125" s="1198"/>
      <c r="V125" s="1198"/>
      <c r="W125" s="1198"/>
      <c r="X125" s="1198"/>
      <c r="Y125" s="1198"/>
      <c r="Z125" s="1198"/>
      <c r="AA125" s="1198"/>
      <c r="AB125" s="1198"/>
      <c r="AC125" s="1198"/>
      <c r="AD125" s="1198"/>
      <c r="AE125" s="1198"/>
      <c r="AF125" s="1198"/>
      <c r="AG125" s="1198"/>
      <c r="AH125" s="1198"/>
      <c r="AI125" s="1198"/>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605"/>
      <c r="CI125" s="1198"/>
      <c r="CJ125" s="1198"/>
      <c r="CK125" s="1198"/>
      <c r="CL125" s="1359"/>
      <c r="CM125" s="1198"/>
      <c r="CN125" s="1198"/>
      <c r="CO125" s="1198"/>
      <c r="CP125" s="1198"/>
      <c r="CQ125" s="1198"/>
      <c r="CR125" s="1198"/>
      <c r="CS125" s="1198"/>
      <c r="CT125" s="1198"/>
    </row>
    <row r="126" spans="1:98" ht="12.75" customHeight="1">
      <c r="A126" s="1682" t="s">
        <v>508</v>
      </c>
      <c r="B126" s="1198"/>
      <c r="C126" s="1198"/>
      <c r="D126" s="1198"/>
      <c r="E126" s="1198"/>
      <c r="F126" s="1198"/>
      <c r="G126" s="1198"/>
      <c r="H126" s="1198"/>
      <c r="I126" s="1198"/>
      <c r="J126" s="1683">
        <f t="shared" ref="J126:S126" si="61">SUM(J116:J125)</f>
        <v>-820.80700000000002</v>
      </c>
      <c r="K126" s="1683">
        <f t="shared" si="61"/>
        <v>142.1579999999999</v>
      </c>
      <c r="L126" s="1683">
        <f t="shared" si="61"/>
        <v>564.71599999999989</v>
      </c>
      <c r="M126" s="1683">
        <f t="shared" si="61"/>
        <v>1051.0999999999999</v>
      </c>
      <c r="N126" s="1683">
        <f t="shared" si="61"/>
        <v>1034.9520000000002</v>
      </c>
      <c r="O126" s="1683">
        <f t="shared" si="61"/>
        <v>1358.4700000000003</v>
      </c>
      <c r="P126" s="1683">
        <f t="shared" si="61"/>
        <v>568.25400000000013</v>
      </c>
      <c r="Q126" s="1683">
        <f t="shared" si="61"/>
        <v>1458.1840000000002</v>
      </c>
      <c r="R126" s="1684">
        <f t="shared" ca="1" si="61"/>
        <v>1466.2549999999997</v>
      </c>
      <c r="S126" s="1683">
        <f t="shared" si="61"/>
        <v>414.13570024207502</v>
      </c>
      <c r="T126" s="1198"/>
      <c r="U126" s="1198"/>
      <c r="V126" s="1198"/>
      <c r="W126" s="1198"/>
      <c r="X126" s="1198"/>
      <c r="Y126" s="1198"/>
      <c r="Z126" s="1198"/>
      <c r="AA126" s="1198"/>
      <c r="AB126" s="1198"/>
      <c r="AC126" s="1198"/>
      <c r="AD126" s="1198"/>
      <c r="AE126" s="1198"/>
      <c r="AF126" s="1198"/>
      <c r="AG126" s="1198"/>
      <c r="AH126" s="1198"/>
      <c r="AI126" s="1198"/>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683">
        <f t="shared" ref="BB126:CL126" si="62">SUM(BB116:BB125)</f>
        <v>-737.05</v>
      </c>
      <c r="BC126" s="1683">
        <f t="shared" si="62"/>
        <v>97.25</v>
      </c>
      <c r="BD126" s="1683">
        <f t="shared" si="62"/>
        <v>-90.800000000000011</v>
      </c>
      <c r="BE126" s="1683">
        <f t="shared" si="62"/>
        <v>-239.2</v>
      </c>
      <c r="BF126" s="1683">
        <f t="shared" si="62"/>
        <v>402.04999999999995</v>
      </c>
      <c r="BG126" s="1683">
        <f t="shared" si="62"/>
        <v>-141.80000000000001</v>
      </c>
      <c r="BH126" s="1683">
        <f t="shared" si="62"/>
        <v>457.70000000000005</v>
      </c>
      <c r="BI126" s="1683">
        <f t="shared" si="62"/>
        <v>-584.6</v>
      </c>
      <c r="BJ126" s="1683">
        <f t="shared" si="62"/>
        <v>117.29999999999995</v>
      </c>
      <c r="BK126" s="1683">
        <f t="shared" si="62"/>
        <v>130.55000000000001</v>
      </c>
      <c r="BL126" s="1683">
        <f t="shared" si="62"/>
        <v>571.35</v>
      </c>
      <c r="BM126" s="1683">
        <f t="shared" si="62"/>
        <v>-262.5</v>
      </c>
      <c r="BN126" s="1683">
        <f t="shared" si="62"/>
        <v>68.600000000000023</v>
      </c>
      <c r="BO126" s="1683">
        <f t="shared" si="62"/>
        <v>301.39999999999998</v>
      </c>
      <c r="BP126" s="1683">
        <f t="shared" si="62"/>
        <v>400.65</v>
      </c>
      <c r="BQ126" s="1683">
        <f t="shared" si="62"/>
        <v>276.85000000000002</v>
      </c>
      <c r="BR126" s="1683">
        <f t="shared" ca="1" si="62"/>
        <v>-114.30599999999998</v>
      </c>
      <c r="BS126" s="1683">
        <f t="shared" ca="1" si="62"/>
        <v>504.66999999999996</v>
      </c>
      <c r="BT126" s="1683">
        <f t="shared" ca="1" si="62"/>
        <v>233.548</v>
      </c>
      <c r="BU126" s="1683">
        <f t="shared" ca="1" si="62"/>
        <v>411.03999999999996</v>
      </c>
      <c r="BV126" s="1683">
        <f t="shared" ca="1" si="62"/>
        <v>-126.37599999999998</v>
      </c>
      <c r="BW126" s="1683">
        <f t="shared" ca="1" si="62"/>
        <v>538.99400000000003</v>
      </c>
      <c r="BX126" s="1683">
        <f t="shared" ca="1" si="62"/>
        <v>686.63599999999997</v>
      </c>
      <c r="BY126" s="1683">
        <f t="shared" ca="1" si="62"/>
        <v>259.21600000000001</v>
      </c>
      <c r="BZ126" s="1683">
        <f t="shared" ca="1" si="62"/>
        <v>-77.819999999999993</v>
      </c>
      <c r="CA126" s="1683">
        <f t="shared" ca="1" si="62"/>
        <v>253.60000000000002</v>
      </c>
      <c r="CB126" s="1683">
        <f t="shared" ca="1" si="62"/>
        <v>159.21600000000001</v>
      </c>
      <c r="CC126" s="1683">
        <f t="shared" ca="1" si="62"/>
        <v>377.37800000000004</v>
      </c>
      <c r="CD126" s="1683">
        <f t="shared" ca="1" si="62"/>
        <v>193.08199999999999</v>
      </c>
      <c r="CE126" s="1683">
        <f t="shared" ca="1" si="62"/>
        <v>491.08000000000004</v>
      </c>
      <c r="CF126" s="1683">
        <f t="shared" ca="1" si="62"/>
        <v>290.79600000000005</v>
      </c>
      <c r="CG126" s="1683">
        <f t="shared" ca="1" si="62"/>
        <v>404.58600000000001</v>
      </c>
      <c r="CH126" s="1683">
        <f t="shared" ca="1" si="62"/>
        <v>227.60000000000002</v>
      </c>
      <c r="CI126" s="1683">
        <f t="shared" ca="1" si="62"/>
        <v>477.76</v>
      </c>
      <c r="CJ126" s="1683">
        <f t="shared" ca="1" si="62"/>
        <v>423.15599999999995</v>
      </c>
      <c r="CK126" s="1683">
        <f t="shared" ca="1" si="62"/>
        <v>322.52600000000007</v>
      </c>
      <c r="CL126" s="1800">
        <f t="shared" ca="1" si="62"/>
        <v>284.18200000000002</v>
      </c>
      <c r="CM126" s="1198"/>
      <c r="CN126" s="1198"/>
      <c r="CO126" s="1198"/>
      <c r="CP126" s="1198"/>
      <c r="CQ126" s="1198"/>
      <c r="CR126" s="1198"/>
      <c r="CS126" s="1198"/>
      <c r="CT126" s="1198"/>
    </row>
    <row r="127" spans="1:98" ht="12.75" customHeight="1">
      <c r="A127" s="1198"/>
      <c r="B127" s="1198"/>
      <c r="C127" s="1198"/>
      <c r="D127" s="1198"/>
      <c r="E127" s="1198"/>
      <c r="F127" s="1198"/>
      <c r="G127" s="1198"/>
      <c r="H127" s="1198"/>
      <c r="I127" s="1198"/>
      <c r="J127" s="1198"/>
      <c r="K127" s="1198"/>
      <c r="L127" s="1198"/>
      <c r="M127" s="1198"/>
      <c r="N127" s="1198"/>
      <c r="O127" s="1198"/>
      <c r="P127" s="1198"/>
      <c r="Q127" s="1170"/>
      <c r="R127" s="1360"/>
      <c r="S127" s="1198"/>
      <c r="T127" s="1198"/>
      <c r="U127" s="1198"/>
      <c r="V127" s="1198"/>
      <c r="W127" s="1198"/>
      <c r="X127" s="1198"/>
      <c r="Y127" s="1198"/>
      <c r="Z127" s="1198"/>
      <c r="AA127" s="1198"/>
      <c r="AB127" s="1198"/>
      <c r="AC127" s="1198"/>
      <c r="AD127" s="1198"/>
      <c r="AE127" s="1198"/>
      <c r="AF127" s="1198"/>
      <c r="AG127" s="1198"/>
      <c r="AH127" s="1198"/>
      <c r="AI127" s="1198"/>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605"/>
      <c r="CI127" s="1198"/>
      <c r="CJ127" s="1198"/>
      <c r="CK127" s="1198"/>
      <c r="CL127" s="1428"/>
      <c r="CM127" s="1198"/>
      <c r="CN127" s="1198"/>
      <c r="CO127" s="1198"/>
      <c r="CP127" s="1198"/>
      <c r="CQ127" s="1198"/>
      <c r="CR127" s="1198"/>
      <c r="CS127" s="1198"/>
      <c r="CT127" s="1198"/>
    </row>
    <row r="128" spans="1:98" ht="12.75" customHeight="1">
      <c r="A128" s="1685" t="s">
        <v>509</v>
      </c>
      <c r="B128" s="1198"/>
      <c r="C128" s="1198"/>
      <c r="D128" s="1198"/>
      <c r="E128" s="1198"/>
      <c r="F128" s="1198"/>
      <c r="G128" s="1198"/>
      <c r="H128" s="1198"/>
      <c r="I128" s="1198"/>
      <c r="J128" s="1198"/>
      <c r="K128" s="1198"/>
      <c r="L128" s="1198"/>
      <c r="M128" s="1198"/>
      <c r="N128" s="1198"/>
      <c r="O128" s="1198"/>
      <c r="P128" s="1248">
        <f>+Q_IS!P91</f>
        <v>1746.7639999999999</v>
      </c>
      <c r="Q128" s="1282">
        <f ca="1">+Q_IS!Q91</f>
        <v>1712.10925</v>
      </c>
      <c r="R128" s="1250">
        <f ca="1">+Q_IS!R91</f>
        <v>1718.6179999999999</v>
      </c>
      <c r="S128" s="1248">
        <f ca="1">+Q_IS!S91</f>
        <v>1718.5800000000002</v>
      </c>
      <c r="T128" s="1198"/>
      <c r="U128" s="1198"/>
      <c r="V128" s="1198"/>
      <c r="W128" s="1198"/>
      <c r="X128" s="1198"/>
      <c r="Y128" s="1198"/>
      <c r="Z128" s="1198"/>
      <c r="AA128" s="1198"/>
      <c r="AB128" s="1198"/>
      <c r="AC128" s="1198"/>
      <c r="AD128" s="1198"/>
      <c r="AE128" s="1198"/>
      <c r="AF128" s="1198"/>
      <c r="AG128" s="1198"/>
      <c r="AH128" s="1198"/>
      <c r="AI128" s="1198"/>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605"/>
      <c r="CI128" s="1198"/>
      <c r="CJ128" s="1198"/>
      <c r="CK128" s="1198"/>
      <c r="CL128" s="1428"/>
      <c r="CM128" s="1198"/>
      <c r="CN128" s="1198"/>
      <c r="CO128" s="1198"/>
      <c r="CP128" s="1198"/>
      <c r="CQ128" s="1198"/>
      <c r="CR128" s="1198"/>
      <c r="CS128" s="1198"/>
      <c r="CT128" s="1198"/>
    </row>
    <row r="129" spans="1:98" ht="12.75" customHeight="1">
      <c r="A129" s="1685" t="s">
        <v>309</v>
      </c>
      <c r="B129" s="1198"/>
      <c r="C129" s="1198"/>
      <c r="D129" s="1198"/>
      <c r="E129" s="1198"/>
      <c r="F129" s="1198"/>
      <c r="G129" s="1198"/>
      <c r="H129" s="1198"/>
      <c r="I129" s="1198"/>
      <c r="J129" s="1198"/>
      <c r="K129" s="1198"/>
      <c r="L129" s="1198"/>
      <c r="M129" s="1198"/>
      <c r="N129" s="1198"/>
      <c r="O129" s="1198"/>
      <c r="P129" s="1198"/>
      <c r="Q129" s="1282">
        <f ca="1">+Q128*$A$68</f>
        <v>12703.850634999999</v>
      </c>
      <c r="R129" s="1250">
        <f ca="1">+R128*$A$68</f>
        <v>12752.145559999999</v>
      </c>
      <c r="S129" s="1282">
        <f ca="1">+S128*$A$68</f>
        <v>12751.863600000001</v>
      </c>
      <c r="T129" s="1198"/>
      <c r="U129" s="1198"/>
      <c r="V129" s="1198"/>
      <c r="W129" s="1198"/>
      <c r="X129" s="1198"/>
      <c r="Y129" s="1198"/>
      <c r="Z129" s="1198"/>
      <c r="AA129" s="1198"/>
      <c r="AB129" s="1198"/>
      <c r="AC129" s="1198"/>
      <c r="AD129" s="1198"/>
      <c r="AE129" s="1198"/>
      <c r="AF129" s="1198"/>
      <c r="AG129" s="1198"/>
      <c r="AH129" s="1198"/>
      <c r="AI129" s="1198"/>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605"/>
      <c r="CI129" s="1198"/>
      <c r="CJ129" s="1198"/>
      <c r="CK129" s="1198"/>
      <c r="CL129" s="1428"/>
      <c r="CM129" s="1198"/>
      <c r="CN129" s="1198"/>
      <c r="CO129" s="1198"/>
      <c r="CP129" s="1198"/>
      <c r="CQ129" s="1198"/>
      <c r="CR129" s="1198"/>
      <c r="CS129" s="1198"/>
      <c r="CT129" s="1198"/>
    </row>
    <row r="130" spans="1:98" ht="12.75" customHeight="1">
      <c r="A130" s="1685" t="s">
        <v>310</v>
      </c>
      <c r="B130" s="1198"/>
      <c r="C130" s="1198"/>
      <c r="D130" s="1198"/>
      <c r="E130" s="1198"/>
      <c r="F130" s="1198"/>
      <c r="G130" s="1198"/>
      <c r="H130" s="1198"/>
      <c r="I130" s="1198"/>
      <c r="J130" s="1198"/>
      <c r="K130" s="1198"/>
      <c r="L130" s="1198"/>
      <c r="M130" s="1198"/>
      <c r="N130" s="1198"/>
      <c r="O130" s="1198"/>
      <c r="P130" s="1198"/>
      <c r="Q130" s="1229">
        <f ca="1">+Q126/Q129</f>
        <v>0.11478283568468611</v>
      </c>
      <c r="R130" s="1230">
        <f ca="1">+R126/R129</f>
        <v>0.11498104323708799</v>
      </c>
      <c r="S130" s="1227">
        <f ca="1">+S126/S129</f>
        <v>3.2476484475733806E-2</v>
      </c>
      <c r="T130" s="1198"/>
      <c r="U130" s="1198"/>
      <c r="V130" s="1198"/>
      <c r="W130" s="1198"/>
      <c r="X130" s="1198"/>
      <c r="Y130" s="1198"/>
      <c r="Z130" s="1198"/>
      <c r="AA130" s="1198"/>
      <c r="AB130" s="1198"/>
      <c r="AC130" s="1198"/>
      <c r="AD130" s="1198"/>
      <c r="AE130" s="1198"/>
      <c r="AF130" s="1198"/>
      <c r="AG130" s="1198"/>
      <c r="AH130" s="1198"/>
      <c r="AI130" s="1198"/>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605"/>
      <c r="CI130" s="1198"/>
      <c r="CJ130" s="1198"/>
      <c r="CK130" s="1198"/>
      <c r="CL130" s="1428"/>
      <c r="CM130" s="1198"/>
      <c r="CN130" s="1198"/>
      <c r="CO130" s="1198"/>
      <c r="CP130" s="1198"/>
      <c r="CQ130" s="1198"/>
      <c r="CR130" s="1198"/>
      <c r="CS130" s="1198"/>
      <c r="CT130" s="1198"/>
    </row>
    <row r="131" spans="1:98" ht="12.75" customHeight="1"/>
    <row r="132" spans="1:98" ht="12.75" customHeight="1"/>
    <row r="133" spans="1:98" ht="12.75" customHeight="1"/>
    <row r="134" spans="1:98" ht="12.75" customHeight="1"/>
    <row r="135" spans="1:98" ht="12.75" customHeight="1"/>
    <row r="136" spans="1:98" ht="12.75" customHeight="1"/>
    <row r="137" spans="1:98" ht="12.75" customHeight="1"/>
    <row r="138" spans="1:98" ht="12.75" customHeight="1"/>
    <row r="139" spans="1:98" ht="12.75" customHeight="1"/>
    <row r="140" spans="1:98" ht="12.75" customHeight="1"/>
    <row r="141" spans="1:98" ht="12.75" customHeight="1"/>
    <row r="142" spans="1:98" ht="12.75" customHeight="1"/>
    <row r="143" spans="1:98" ht="12.75" customHeight="1"/>
    <row r="144" spans="1:98" ht="12.75" customHeight="1"/>
  </sheetData>
  <phoneticPr fontId="83" type="noConversion"/>
  <pageMargins left="0.25" right="0" top="0.25" bottom="0.25" header="0.5" footer="0.5"/>
  <pageSetup scale="65" orientation="landscape" r:id="rId1"/>
  <headerFooter alignWithMargins="0"/>
  <cellWatches>
    <cellWatch r="BW6"/>
    <cellWatch r="BX6"/>
    <cellWatch r="BY6"/>
  </cellWatches>
  <drawing r:id="rId2"/>
  <legacyDrawing r:id="rId3"/>
  <mc:AlternateContent xmlns:mc="http://schemas.openxmlformats.org/markup-compatibility/2006">
    <mc:Choice Requires="x14">
      <controls>
        <mc:AlternateContent xmlns:mc="http://schemas.openxmlformats.org/markup-compatibility/2006">
          <mc:Choice Requires="x14">
            <control shapeId="44043" r:id="rId4" name="Drop Down 11">
              <controlPr defaultSize="0" autoLine="0" autoPict="0">
                <anchor moveWithCells="1">
                  <from>
                    <xdr:col>0</xdr:col>
                    <xdr:colOff>57150</xdr:colOff>
                    <xdr:row>3</xdr:row>
                    <xdr:rowOff>9525</xdr:rowOff>
                  </from>
                  <to>
                    <xdr:col>0</xdr:col>
                    <xdr:colOff>1943100</xdr:colOff>
                    <xdr:row>3</xdr:row>
                    <xdr:rowOff>209550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indexed="56"/>
  </sheetPr>
  <dimension ref="A1:CL266"/>
  <sheetViews>
    <sheetView showGridLines="0" zoomScale="85" zoomScaleNormal="85" workbookViewId="0">
      <pane xSplit="15" ySplit="7" topLeftCell="P8" activePane="bottomRight" state="frozen"/>
      <selection pane="topRight" activeCell="P1" sqref="P1"/>
      <selection pane="bottomLeft" activeCell="A8" sqref="A8"/>
      <selection pane="bottomRight" activeCell="R56" sqref="R56"/>
    </sheetView>
  </sheetViews>
  <sheetFormatPr defaultRowHeight="12.75" outlineLevelRow="2" outlineLevelCol="1"/>
  <cols>
    <col min="1" max="1" width="38.7109375" customWidth="1"/>
    <col min="2" max="7" width="6.28515625" customWidth="1" outlineLevel="1"/>
    <col min="8" max="8" width="8" customWidth="1" outlineLevel="1"/>
    <col min="9" max="13" width="8.28515625" customWidth="1" outlineLevel="1"/>
    <col min="14" max="15" width="8" customWidth="1" outlineLevel="1"/>
    <col min="16" max="16" width="8.7109375" customWidth="1" outlineLevel="1"/>
    <col min="17" max="17" width="8.7109375" customWidth="1"/>
    <col min="18" max="18" width="9.28515625" customWidth="1"/>
    <col min="19" max="19" width="8.7109375" customWidth="1"/>
    <col min="20" max="20" width="8.7109375" hidden="1" customWidth="1"/>
    <col min="21" max="21" width="9" hidden="1" customWidth="1"/>
    <col min="22" max="23" width="8.140625" hidden="1" customWidth="1"/>
    <col min="24" max="25" width="2.85546875" customWidth="1"/>
    <col min="26" max="27" width="2.85546875" customWidth="1" outlineLevel="1"/>
    <col min="28" max="60" width="3.28515625" customWidth="1" outlineLevel="1"/>
    <col min="61" max="61" width="1.5703125" customWidth="1" outlineLevel="1"/>
    <col min="62" max="69" width="9" customWidth="1" outlineLevel="1"/>
    <col min="70" max="73" width="8" customWidth="1" outlineLevel="1"/>
    <col min="74" max="77" width="8.7109375" customWidth="1" outlineLevel="1"/>
    <col min="78" max="81" width="8" customWidth="1" outlineLevel="1"/>
    <col min="86" max="86" width="8" customWidth="1"/>
    <col min="87" max="87" width="8.42578125" customWidth="1"/>
    <col min="88" max="89" width="8" customWidth="1"/>
    <col min="90" max="90" width="9.42578125" bestFit="1" customWidth="1"/>
    <col min="91" max="92" width="8" customWidth="1"/>
    <col min="93" max="93" width="8" bestFit="1" customWidth="1"/>
    <col min="94" max="94" width="8.5703125" customWidth="1"/>
    <col min="95" max="95" width="9" customWidth="1"/>
    <col min="96" max="96" width="8.5703125" customWidth="1"/>
    <col min="97" max="97" width="8.42578125" customWidth="1"/>
  </cols>
  <sheetData>
    <row r="1" spans="1:90">
      <c r="A1" s="942" t="s">
        <v>590</v>
      </c>
      <c r="B1" s="943"/>
      <c r="C1" s="943"/>
      <c r="D1" s="943"/>
      <c r="E1" s="943"/>
      <c r="F1" s="943"/>
      <c r="G1" s="943"/>
      <c r="H1" s="943"/>
      <c r="I1" s="943"/>
      <c r="J1" s="943"/>
      <c r="K1" s="943"/>
      <c r="L1" s="943"/>
      <c r="M1" s="943"/>
      <c r="N1" s="944"/>
      <c r="O1" s="944"/>
      <c r="P1" s="944"/>
      <c r="Q1" s="945"/>
      <c r="R1" s="945"/>
      <c r="S1" s="945"/>
      <c r="T1" s="945"/>
      <c r="U1" s="945"/>
      <c r="V1" s="945"/>
      <c r="W1" s="945"/>
      <c r="X1" s="945"/>
      <c r="Y1" s="945"/>
      <c r="Z1" s="945"/>
      <c r="AA1" s="945"/>
      <c r="AB1" s="945"/>
      <c r="AC1" s="945"/>
      <c r="AD1" s="945"/>
      <c r="AE1" s="945"/>
      <c r="AF1" s="945"/>
      <c r="AG1" s="945"/>
      <c r="AH1" s="945"/>
      <c r="AI1" s="945"/>
      <c r="AJ1" s="945"/>
      <c r="AK1" s="945"/>
      <c r="AL1" s="945"/>
      <c r="AM1" s="945"/>
      <c r="AN1" s="945"/>
      <c r="AO1" s="945"/>
      <c r="AP1" s="945"/>
      <c r="AQ1" s="945"/>
      <c r="AR1" s="945"/>
      <c r="AS1" s="945"/>
      <c r="AT1" s="945"/>
      <c r="AU1" s="945"/>
      <c r="AV1" s="945"/>
      <c r="AW1" s="945"/>
      <c r="AX1" s="945"/>
      <c r="AY1" s="945"/>
      <c r="AZ1" s="945"/>
      <c r="BA1" s="945"/>
      <c r="BB1" s="945"/>
      <c r="BC1" s="945"/>
      <c r="BD1" s="945"/>
      <c r="BE1" s="945"/>
      <c r="BF1" s="945"/>
      <c r="BG1" s="945"/>
      <c r="BH1" s="945"/>
      <c r="BI1" s="945"/>
      <c r="BJ1" s="945"/>
      <c r="BK1" s="945"/>
      <c r="BL1" s="945"/>
      <c r="BM1" s="945"/>
      <c r="BN1" s="945"/>
      <c r="BO1" s="945"/>
      <c r="BP1" s="945"/>
      <c r="BQ1" s="945"/>
      <c r="BR1" s="945"/>
      <c r="BS1" s="945"/>
      <c r="BT1" s="945"/>
      <c r="BU1" s="945"/>
      <c r="BV1" s="945"/>
      <c r="BW1" s="945"/>
      <c r="BX1" s="945"/>
      <c r="BY1" s="945"/>
      <c r="BZ1" s="945"/>
      <c r="CA1" s="945"/>
      <c r="CB1" s="945"/>
      <c r="CC1" s="945"/>
      <c r="CD1" s="945"/>
      <c r="CE1" s="945"/>
      <c r="CF1" s="945"/>
      <c r="CG1" s="1900"/>
      <c r="CI1" s="945"/>
      <c r="CJ1" s="1810"/>
      <c r="CK1" s="945"/>
      <c r="CL1" s="945"/>
    </row>
    <row r="2" spans="1:90">
      <c r="A2" s="942" t="s">
        <v>986</v>
      </c>
      <c r="B2" s="943"/>
      <c r="C2" s="943"/>
      <c r="D2" s="943"/>
      <c r="E2" s="943"/>
      <c r="F2" s="943"/>
      <c r="G2" s="943"/>
      <c r="H2" s="943"/>
      <c r="I2" s="943"/>
      <c r="J2" s="943"/>
      <c r="K2" s="943"/>
      <c r="L2" s="943"/>
      <c r="M2" s="943"/>
      <c r="N2" s="947"/>
      <c r="O2" s="947"/>
      <c r="P2" s="948"/>
      <c r="Q2" s="949"/>
      <c r="R2" s="949"/>
      <c r="S2" s="949"/>
      <c r="T2" s="949"/>
      <c r="U2" s="949"/>
      <c r="V2" s="949"/>
      <c r="W2" s="949"/>
      <c r="X2" s="949"/>
      <c r="Y2" s="949"/>
      <c r="Z2" s="949"/>
      <c r="AA2" s="949"/>
      <c r="AB2" s="949"/>
      <c r="AC2" s="949"/>
      <c r="AD2" s="949"/>
      <c r="AE2" s="949"/>
      <c r="AF2" s="949"/>
      <c r="AG2" s="949"/>
      <c r="AH2" s="949"/>
      <c r="AI2" s="949"/>
      <c r="AJ2" s="949"/>
      <c r="AK2" s="949"/>
      <c r="AL2" s="949"/>
      <c r="AM2" s="949"/>
      <c r="AN2" s="949"/>
      <c r="AO2" s="949"/>
      <c r="AP2" s="949"/>
      <c r="AQ2" s="949"/>
      <c r="AR2" s="949"/>
      <c r="AS2" s="949"/>
      <c r="AT2" s="949"/>
      <c r="AU2" s="949"/>
      <c r="AV2" s="949"/>
      <c r="AW2" s="949"/>
      <c r="AX2" s="949"/>
      <c r="AY2" s="949"/>
      <c r="AZ2" s="949"/>
      <c r="BA2" s="949"/>
      <c r="BB2" s="949"/>
      <c r="BC2" s="949"/>
      <c r="BD2" s="949"/>
      <c r="BE2" s="949"/>
      <c r="BF2" s="949"/>
      <c r="BG2" s="949"/>
      <c r="BH2" s="949"/>
      <c r="BI2" s="949"/>
      <c r="BJ2" s="949"/>
      <c r="BK2" s="949"/>
      <c r="BL2" s="949"/>
      <c r="BM2" s="949"/>
      <c r="BN2" s="949"/>
      <c r="BO2" s="949"/>
      <c r="BP2" s="949"/>
      <c r="BQ2" s="949"/>
      <c r="BR2" s="949"/>
      <c r="BS2" s="949"/>
      <c r="BT2" s="949"/>
      <c r="BU2" s="949"/>
      <c r="BV2" s="949"/>
      <c r="BW2" s="949"/>
      <c r="BX2" s="949"/>
      <c r="BY2" s="949"/>
      <c r="BZ2" s="949"/>
      <c r="CA2" s="949"/>
      <c r="CB2" s="949"/>
      <c r="CC2" s="949"/>
      <c r="CD2" s="949"/>
      <c r="CE2" s="949"/>
      <c r="CF2" s="949"/>
      <c r="CG2" s="1900"/>
      <c r="CI2" s="945"/>
      <c r="CJ2" s="1810"/>
      <c r="CK2" s="945"/>
      <c r="CL2" s="1810"/>
    </row>
    <row r="3" spans="1:90">
      <c r="A3" s="950" t="s">
        <v>32</v>
      </c>
      <c r="B3" s="951"/>
      <c r="C3" s="951"/>
      <c r="D3" s="951"/>
      <c r="E3" s="951"/>
      <c r="F3" s="951"/>
      <c r="G3" s="951"/>
      <c r="H3" s="951"/>
      <c r="I3" s="951"/>
      <c r="J3" s="951"/>
      <c r="K3" s="951"/>
      <c r="L3" s="951"/>
      <c r="M3" s="951"/>
      <c r="N3" s="952"/>
      <c r="O3" s="952"/>
      <c r="P3" s="952"/>
      <c r="Q3" s="949"/>
      <c r="R3" s="949"/>
      <c r="S3" s="949"/>
      <c r="T3" s="949"/>
      <c r="U3" s="949"/>
      <c r="V3" s="949"/>
      <c r="W3" s="949"/>
      <c r="X3" s="949"/>
      <c r="Y3" s="949"/>
      <c r="Z3" s="949"/>
      <c r="AA3" s="949"/>
      <c r="AB3" s="949"/>
      <c r="AC3" s="949"/>
      <c r="AD3" s="949"/>
      <c r="AE3" s="949"/>
      <c r="AF3" s="949"/>
      <c r="AG3" s="949"/>
      <c r="AH3" s="949"/>
      <c r="AI3" s="949"/>
      <c r="AJ3" s="949"/>
      <c r="AK3" s="949"/>
      <c r="AL3" s="949"/>
      <c r="AM3" s="949"/>
      <c r="AN3" s="949"/>
      <c r="AO3" s="949"/>
      <c r="AP3" s="949"/>
      <c r="AQ3" s="949"/>
      <c r="AR3" s="949"/>
      <c r="AS3" s="949"/>
      <c r="AT3" s="949"/>
      <c r="AU3" s="949"/>
      <c r="AV3" s="949"/>
      <c r="AW3" s="949"/>
      <c r="AX3" s="949"/>
      <c r="AY3" s="949"/>
      <c r="AZ3" s="949"/>
      <c r="BA3" s="949"/>
      <c r="BB3" s="949"/>
      <c r="BC3" s="949"/>
      <c r="BD3" s="949"/>
      <c r="BE3" s="949"/>
      <c r="BF3" s="949"/>
      <c r="BG3" s="949"/>
      <c r="BH3" s="949"/>
      <c r="BI3" s="949"/>
      <c r="BJ3" s="949"/>
      <c r="BK3" s="949"/>
      <c r="BL3" s="949"/>
      <c r="BM3" s="949"/>
      <c r="BN3" s="949"/>
      <c r="BO3" s="949"/>
      <c r="BP3" s="949"/>
      <c r="BQ3" s="949"/>
      <c r="BR3" s="949"/>
      <c r="BS3" s="949"/>
      <c r="BT3" s="949"/>
      <c r="BU3" s="949"/>
      <c r="BV3" s="949"/>
      <c r="BW3" s="949"/>
      <c r="BX3" s="949"/>
      <c r="BY3" s="949"/>
      <c r="BZ3" s="949"/>
      <c r="CA3" s="949"/>
      <c r="CB3" s="949"/>
      <c r="CC3" s="949"/>
      <c r="CD3" s="949"/>
      <c r="CE3" s="949"/>
      <c r="CF3" s="949"/>
      <c r="CG3" s="1900"/>
      <c r="CI3" s="945"/>
      <c r="CJ3" s="1810"/>
      <c r="CK3" s="945"/>
      <c r="CL3" s="945"/>
    </row>
    <row r="4" spans="1:90" ht="19.5" customHeight="1">
      <c r="A4" s="942"/>
      <c r="B4" s="951"/>
      <c r="C4" s="951"/>
      <c r="D4" s="951"/>
      <c r="E4" s="951"/>
      <c r="F4" s="951"/>
      <c r="G4" s="951"/>
      <c r="H4" s="951"/>
      <c r="I4" s="951"/>
      <c r="J4" s="951"/>
      <c r="K4" s="951"/>
      <c r="L4" s="951"/>
      <c r="M4" s="951"/>
      <c r="N4" s="952"/>
      <c r="O4" s="952"/>
      <c r="P4" s="952"/>
      <c r="Q4" s="949"/>
      <c r="R4" s="949"/>
      <c r="S4" s="949"/>
      <c r="T4" s="949"/>
      <c r="U4" s="949"/>
      <c r="V4" s="949"/>
      <c r="W4" s="949"/>
      <c r="X4" s="949"/>
      <c r="Y4" s="949"/>
      <c r="Z4" s="949"/>
      <c r="AA4" s="949"/>
      <c r="AB4" s="949"/>
      <c r="AC4" s="949"/>
      <c r="AD4" s="949"/>
      <c r="AE4" s="949"/>
      <c r="AF4" s="949"/>
      <c r="AG4" s="949"/>
      <c r="AH4" s="949"/>
      <c r="AI4" s="949"/>
      <c r="AJ4" s="949"/>
      <c r="AK4" s="949"/>
      <c r="AL4" s="949"/>
      <c r="AM4" s="949"/>
      <c r="AN4" s="949"/>
      <c r="AO4" s="949"/>
      <c r="AP4" s="949"/>
      <c r="AQ4" s="949"/>
      <c r="AR4" s="949"/>
      <c r="AS4" s="949"/>
      <c r="AT4" s="949"/>
      <c r="AU4" s="949"/>
      <c r="AV4" s="949"/>
      <c r="AW4" s="949"/>
      <c r="AX4" s="949"/>
      <c r="AY4" s="949"/>
      <c r="AZ4" s="949"/>
      <c r="BA4" s="949"/>
      <c r="BB4" s="949"/>
      <c r="BC4" s="949"/>
      <c r="BD4" s="949"/>
      <c r="BE4" s="949"/>
      <c r="BF4" s="949"/>
      <c r="BG4" s="949"/>
      <c r="BH4" s="949"/>
      <c r="BI4" s="949"/>
      <c r="BJ4" s="949"/>
      <c r="BK4" s="949"/>
      <c r="BL4" s="949"/>
      <c r="BM4" s="949"/>
      <c r="BN4" s="949"/>
      <c r="BO4" s="949"/>
      <c r="BP4" s="949"/>
      <c r="BQ4" s="949"/>
      <c r="BR4" s="949"/>
      <c r="BS4" s="949"/>
      <c r="BT4" s="949"/>
      <c r="BU4" s="949"/>
      <c r="BV4" s="949"/>
      <c r="BW4" s="949"/>
      <c r="BX4" s="949"/>
      <c r="BY4" s="949"/>
      <c r="BZ4" s="949"/>
      <c r="CA4" s="949"/>
      <c r="CB4" s="949"/>
      <c r="CC4" s="949"/>
      <c r="CD4" s="949"/>
      <c r="CE4" s="949"/>
      <c r="CF4" s="949"/>
      <c r="CH4" s="945"/>
      <c r="CI4" s="945"/>
      <c r="CJ4" s="945"/>
      <c r="CK4" s="945"/>
      <c r="CL4" s="945"/>
    </row>
    <row r="5" spans="1:90">
      <c r="A5" s="953"/>
      <c r="B5" s="954"/>
      <c r="C5" s="954"/>
      <c r="D5" s="954"/>
      <c r="E5" s="954"/>
      <c r="F5" s="954"/>
      <c r="G5" s="954"/>
      <c r="H5" s="954"/>
      <c r="I5" s="954">
        <f>Q_IS!I5</f>
        <v>2001</v>
      </c>
      <c r="J5" s="954">
        <f>Q_IS!J5</f>
        <v>2002</v>
      </c>
      <c r="K5" s="954">
        <f>Q_IS!K5</f>
        <v>2003</v>
      </c>
      <c r="L5" s="954">
        <f>Q_IS!L5</f>
        <v>2004</v>
      </c>
      <c r="M5" s="954">
        <f>Q_IS!M5</f>
        <v>2005</v>
      </c>
      <c r="N5" s="955">
        <f>Q_IS!N5</f>
        <v>2006</v>
      </c>
      <c r="O5" s="955">
        <f>Q_IS!O5</f>
        <v>2007</v>
      </c>
      <c r="P5" s="955">
        <f>Q_IS!P5</f>
        <v>2008</v>
      </c>
      <c r="Q5" s="955">
        <f>Q_IS!Q5</f>
        <v>2009</v>
      </c>
      <c r="R5" s="956">
        <f>Q_IS!R5</f>
        <v>2010</v>
      </c>
      <c r="S5" s="957">
        <f>Q_IS!S5</f>
        <v>2011</v>
      </c>
      <c r="T5" s="949"/>
      <c r="U5" s="949"/>
      <c r="V5" s="949"/>
      <c r="W5" s="949"/>
      <c r="X5" s="947"/>
      <c r="Y5" s="947"/>
      <c r="Z5" s="947"/>
      <c r="AA5" s="958"/>
      <c r="AB5" s="958"/>
      <c r="AC5" s="958"/>
      <c r="AD5" s="958"/>
      <c r="AE5" s="958"/>
      <c r="AF5" s="958"/>
      <c r="AG5" s="958"/>
      <c r="AH5" s="958"/>
      <c r="AI5" s="958"/>
      <c r="AJ5" s="958"/>
      <c r="AK5" s="958"/>
      <c r="AL5" s="958"/>
      <c r="AM5" s="958"/>
      <c r="AN5" s="958"/>
      <c r="AO5" s="958"/>
      <c r="AP5" s="958"/>
      <c r="AQ5" s="958"/>
      <c r="AR5" s="958"/>
      <c r="AS5" s="958"/>
      <c r="AT5" s="958"/>
      <c r="AU5" s="958"/>
      <c r="AV5" s="958"/>
      <c r="AW5" s="958"/>
      <c r="AX5" s="958"/>
      <c r="AY5" s="958"/>
      <c r="AZ5" s="958"/>
      <c r="BA5" s="958"/>
      <c r="BB5" s="958"/>
      <c r="BC5" s="958"/>
      <c r="BD5" s="958"/>
      <c r="BE5" s="958"/>
      <c r="BF5" s="958"/>
      <c r="BG5" s="958"/>
      <c r="BH5" s="958"/>
      <c r="BI5" s="958"/>
      <c r="BJ5" s="959" t="str">
        <f>Q_IS!BJ5</f>
        <v>1Q04</v>
      </c>
      <c r="BK5" s="959" t="str">
        <f>Q_IS!BK5</f>
        <v>2Q04</v>
      </c>
      <c r="BL5" s="959" t="str">
        <f>Q_IS!BL5</f>
        <v>3Q04</v>
      </c>
      <c r="BM5" s="959" t="str">
        <f>Q_IS!BM5</f>
        <v>4Q04</v>
      </c>
      <c r="BN5" s="959" t="str">
        <f>Q_IS!BN5</f>
        <v>1Q05</v>
      </c>
      <c r="BO5" s="959" t="str">
        <f>Q_IS!BO5</f>
        <v>2Q05</v>
      </c>
      <c r="BP5" s="959" t="str">
        <f>Q_IS!BP5</f>
        <v>3Q05</v>
      </c>
      <c r="BQ5" s="959" t="str">
        <f>Q_IS!BQ5</f>
        <v>4Q05</v>
      </c>
      <c r="BR5" s="959" t="str">
        <f>Q_IS!BR5</f>
        <v>1Q06</v>
      </c>
      <c r="BS5" s="958" t="str">
        <f>Q_IS!BS5</f>
        <v>2Q06</v>
      </c>
      <c r="BT5" s="958" t="str">
        <f>Q_IS!BT5</f>
        <v>3Q06</v>
      </c>
      <c r="BU5" s="958" t="str">
        <f>Q_IS!BU5</f>
        <v>4Q06</v>
      </c>
      <c r="BV5" s="960" t="str">
        <f>Q_IS!BV5</f>
        <v>1Q07</v>
      </c>
      <c r="BW5" s="955" t="str">
        <f>Q_IS!BW5</f>
        <v>2Q07</v>
      </c>
      <c r="BX5" s="955" t="str">
        <f>Q_IS!BX5</f>
        <v>3Q07</v>
      </c>
      <c r="BY5" s="955" t="str">
        <f>Q_IS!BY5</f>
        <v>4Q07</v>
      </c>
      <c r="BZ5" s="960" t="str">
        <f>Q_IS!BZ5</f>
        <v>1Q08</v>
      </c>
      <c r="CA5" s="955" t="str">
        <f>Q_IS!CA5</f>
        <v>2Q08</v>
      </c>
      <c r="CB5" s="955" t="str">
        <f>Q_IS!CB5</f>
        <v>3Q08</v>
      </c>
      <c r="CC5" s="955" t="str">
        <f>Q_IS!CC5</f>
        <v>4Q08</v>
      </c>
      <c r="CD5" s="960" t="str">
        <f>Q_IS!CD5</f>
        <v>1Q09</v>
      </c>
      <c r="CE5" s="955" t="str">
        <f>Q_IS!CE5</f>
        <v>2Q09</v>
      </c>
      <c r="CF5" s="955" t="str">
        <f>Q_IS!CF5</f>
        <v>3Q09</v>
      </c>
      <c r="CG5" s="955" t="str">
        <f>Q_IS!CG5</f>
        <v>4Q09</v>
      </c>
      <c r="CH5" s="960" t="str">
        <f>Q_IS!CH5</f>
        <v>1Q10</v>
      </c>
      <c r="CI5" s="955" t="str">
        <f>Q_IS!CI5</f>
        <v>2Q10</v>
      </c>
      <c r="CJ5" s="955" t="str">
        <f>Q_IS!CJ5</f>
        <v>3Q10</v>
      </c>
      <c r="CK5" s="955" t="str">
        <f>Q_IS!CK5</f>
        <v>4Q10</v>
      </c>
      <c r="CL5" s="960" t="str">
        <f>Q_IS!CL5</f>
        <v>1Q11</v>
      </c>
    </row>
    <row r="6" spans="1:90" ht="12.75" hidden="1" customHeight="1" outlineLevel="1">
      <c r="A6" s="961" t="s">
        <v>33</v>
      </c>
      <c r="B6" s="962"/>
      <c r="C6" s="962"/>
      <c r="D6" s="962"/>
      <c r="E6" s="962"/>
      <c r="F6" s="962"/>
      <c r="G6" s="963"/>
      <c r="H6" s="963"/>
      <c r="I6" s="963"/>
      <c r="J6" s="963">
        <f>Q_IS!J6</f>
        <v>-0.61</v>
      </c>
      <c r="K6" s="963">
        <f>Q_IS!K6</f>
        <v>-0.47</v>
      </c>
      <c r="L6" s="963">
        <f>Q_IS!L6</f>
        <v>-0.54</v>
      </c>
      <c r="M6" s="963">
        <f>Q_IS!M6</f>
        <v>-0.24</v>
      </c>
      <c r="N6" s="963">
        <f>Q_IS!N6</f>
        <v>0.27</v>
      </c>
      <c r="O6" s="963">
        <f>Q_IS!O6</f>
        <v>0.53</v>
      </c>
      <c r="P6" s="963">
        <f>Q_IS!P6</f>
        <v>0.40816275123599982</v>
      </c>
      <c r="Q6" s="963">
        <f ca="1">Q_IS!Q6</f>
        <v>0.38468923639072683</v>
      </c>
      <c r="R6" s="964">
        <f ca="1">Q_IS!R6</f>
        <v>0.43299616319624257</v>
      </c>
      <c r="S6" s="963">
        <f ca="1">Q_IS!S6</f>
        <v>0.12801266161598529</v>
      </c>
      <c r="T6" s="949"/>
      <c r="U6" s="949"/>
      <c r="V6" s="949"/>
      <c r="W6" s="949"/>
      <c r="X6" s="947"/>
      <c r="Y6" s="947"/>
      <c r="Z6" s="947"/>
      <c r="AA6" s="962"/>
      <c r="AB6" s="962"/>
      <c r="AC6" s="962"/>
      <c r="AD6" s="962"/>
      <c r="AE6" s="962"/>
      <c r="AF6" s="962"/>
      <c r="AG6" s="962"/>
      <c r="AH6" s="962"/>
      <c r="AI6" s="962"/>
      <c r="AJ6" s="962"/>
      <c r="AK6" s="962"/>
      <c r="AL6" s="962"/>
      <c r="AM6" s="962"/>
      <c r="AN6" s="962"/>
      <c r="AO6" s="962"/>
      <c r="AP6" s="963"/>
      <c r="AQ6" s="963"/>
      <c r="AR6" s="963"/>
      <c r="AS6" s="963"/>
      <c r="AT6" s="963"/>
      <c r="AU6" s="963"/>
      <c r="AV6" s="963"/>
      <c r="AW6" s="963"/>
      <c r="AX6" s="963"/>
      <c r="AY6" s="963"/>
      <c r="AZ6" s="963"/>
      <c r="BA6" s="963"/>
      <c r="BB6" s="963"/>
      <c r="BC6" s="963"/>
      <c r="BD6" s="963"/>
      <c r="BE6" s="963"/>
      <c r="BF6" s="963"/>
      <c r="BG6" s="963"/>
      <c r="BH6" s="963"/>
      <c r="BI6" s="963"/>
      <c r="BJ6" s="963">
        <f>Q_IS!BJ6</f>
        <v>-0.17</v>
      </c>
      <c r="BK6" s="963">
        <f>Q_IS!BK6</f>
        <v>-0.16</v>
      </c>
      <c r="BL6" s="963">
        <f>Q_IS!BL6</f>
        <v>-0.15</v>
      </c>
      <c r="BM6" s="963">
        <f>Q_IS!BM6</f>
        <v>-0.06</v>
      </c>
      <c r="BN6" s="963">
        <f>Q_IS!BN6</f>
        <v>-0.1</v>
      </c>
      <c r="BO6" s="963">
        <f>Q_IS!BO6</f>
        <v>-7.0000000000000007E-2</v>
      </c>
      <c r="BP6" s="963">
        <f>Q_IS!BP6</f>
        <v>-0.06</v>
      </c>
      <c r="BQ6" s="963">
        <f>Q_IS!BQ6</f>
        <v>0</v>
      </c>
      <c r="BR6" s="965">
        <f>Q_IS!BR6</f>
        <v>0.06</v>
      </c>
      <c r="BS6" s="963">
        <f>Q_IS!BS6</f>
        <v>0.06</v>
      </c>
      <c r="BT6" s="963">
        <f>Q_IS!BT6</f>
        <v>7.0000000000000007E-2</v>
      </c>
      <c r="BU6" s="963">
        <f>Q_IS!BU6</f>
        <v>0.08</v>
      </c>
      <c r="BV6" s="965">
        <f>Q_IS!BV6</f>
        <v>0.14000000000000001</v>
      </c>
      <c r="BW6" s="963">
        <f>Q_IS!BW6</f>
        <v>0.13</v>
      </c>
      <c r="BX6" s="963">
        <f>Q_IS!BX6</f>
        <v>0.13</v>
      </c>
      <c r="BY6" s="963">
        <f>Q_IS!BY6</f>
        <v>0.13</v>
      </c>
      <c r="BZ6" s="965">
        <f>Q_IS!BZ6</f>
        <v>0.10037786187269136</v>
      </c>
      <c r="CA6" s="963">
        <f>Q_IS!CA6</f>
        <v>0.10430032533678403</v>
      </c>
      <c r="CB6" s="963">
        <f>Q_IS!CB6</f>
        <v>9.6146159434454953E-2</v>
      </c>
      <c r="CC6" s="963">
        <f>Q_IS!CC6</f>
        <v>0.11109906842633852</v>
      </c>
      <c r="CD6" s="965">
        <f>Q_IS!CD6</f>
        <v>0.12945110855144826</v>
      </c>
      <c r="CE6" s="963">
        <f>Q_IS!CE6</f>
        <v>8.2889764739344202E-2</v>
      </c>
      <c r="CF6" s="963">
        <f>Q_IS!CF6</f>
        <v>8.9142088814086876E-2</v>
      </c>
      <c r="CG6" s="963">
        <f>Q_IS!CG6</f>
        <v>8.2299216936899872E-2</v>
      </c>
      <c r="CH6" s="965">
        <f>Q_IS!CH6</f>
        <v>0.10494105743055815</v>
      </c>
      <c r="CI6" s="963">
        <f>Q_IS!CI6</f>
        <v>0.1016185738315709</v>
      </c>
      <c r="CJ6" s="963">
        <f>Q_IS!CJ6</f>
        <v>0.10598991873835976</v>
      </c>
      <c r="CK6" s="963">
        <f>Q_IS!CK6</f>
        <v>0.11504541584940808</v>
      </c>
      <c r="CL6" s="965">
        <f>Q_IS!CL6</f>
        <v>0.1238927786841348</v>
      </c>
    </row>
    <row r="7" spans="1:90" ht="12.75" hidden="1" customHeight="1" outlineLevel="1">
      <c r="A7" s="967" t="s">
        <v>34</v>
      </c>
      <c r="B7" s="968"/>
      <c r="C7" s="968"/>
      <c r="D7" s="969"/>
      <c r="E7" s="969"/>
      <c r="F7" s="970"/>
      <c r="G7" s="970"/>
      <c r="H7" s="970"/>
      <c r="I7" s="970"/>
      <c r="J7" s="970"/>
      <c r="K7" s="970"/>
      <c r="L7" s="970"/>
      <c r="M7" s="970">
        <f>Q_IS!M7</f>
        <v>-0.55555555555555558</v>
      </c>
      <c r="N7" s="971">
        <f>Q_IS!N7</f>
        <v>-2.125</v>
      </c>
      <c r="O7" s="971">
        <f>Q_IS!O7</f>
        <v>0.96296296296296302</v>
      </c>
      <c r="P7" s="971">
        <f>Q_IS!P7</f>
        <v>-0.22988160144150982</v>
      </c>
      <c r="Q7" s="971">
        <f ca="1">Q_IS!Q7</f>
        <v>-5.7510183803373582E-2</v>
      </c>
      <c r="R7" s="972">
        <f ca="1">Q_IS!R7</f>
        <v>0.125573897670614</v>
      </c>
      <c r="S7" s="971">
        <f ca="1">Q_IS!S7</f>
        <v>-0.70435612946074211</v>
      </c>
      <c r="T7" s="949"/>
      <c r="U7" s="949"/>
      <c r="V7" s="949"/>
      <c r="W7" s="949"/>
      <c r="X7" s="947"/>
      <c r="Y7" s="947"/>
      <c r="Z7" s="947"/>
      <c r="AA7" s="968"/>
      <c r="AB7" s="968"/>
      <c r="AC7" s="968"/>
      <c r="AD7" s="968"/>
      <c r="AE7" s="968"/>
      <c r="AF7" s="968"/>
      <c r="AG7" s="968"/>
      <c r="AH7" s="969"/>
      <c r="AI7" s="969"/>
      <c r="AJ7" s="969"/>
      <c r="AK7" s="969"/>
      <c r="AL7" s="973"/>
      <c r="AM7" s="973"/>
      <c r="AN7" s="973"/>
      <c r="AO7" s="973"/>
      <c r="AP7" s="970"/>
      <c r="AQ7" s="970"/>
      <c r="AR7" s="970"/>
      <c r="AS7" s="970"/>
      <c r="AT7" s="970"/>
      <c r="AU7" s="970"/>
      <c r="AV7" s="970"/>
      <c r="AW7" s="970"/>
      <c r="AX7" s="970"/>
      <c r="AY7" s="970"/>
      <c r="AZ7" s="970"/>
      <c r="BA7" s="970"/>
      <c r="BB7" s="970"/>
      <c r="BC7" s="970"/>
      <c r="BD7" s="970"/>
      <c r="BE7" s="970"/>
      <c r="BF7" s="970"/>
      <c r="BG7" s="970"/>
      <c r="BH7" s="970"/>
      <c r="BI7" s="970"/>
      <c r="BJ7" s="970">
        <f>Q_IS!BJ7</f>
        <v>1.8333333333333335</v>
      </c>
      <c r="BK7" s="970">
        <f>Q_IS!BK7</f>
        <v>0.7777777777777779</v>
      </c>
      <c r="BL7" s="970">
        <f>Q_IS!BL7</f>
        <v>0.15384615384615374</v>
      </c>
      <c r="BM7" s="970">
        <f>Q_IS!BM7</f>
        <v>-0.68421052631578949</v>
      </c>
      <c r="BN7" s="970">
        <f>Q_IS!BN7</f>
        <v>-0.41176470588235292</v>
      </c>
      <c r="BO7" s="970">
        <f>Q_IS!BO7</f>
        <v>-0.5625</v>
      </c>
      <c r="BP7" s="970">
        <f>Q_IS!BP7</f>
        <v>-0.6</v>
      </c>
      <c r="BQ7" s="970">
        <f>Q_IS!BQ7</f>
        <v>-1</v>
      </c>
      <c r="BR7" s="974">
        <f>Q_IS!BR7</f>
        <v>-1.6</v>
      </c>
      <c r="BS7" s="970">
        <f>Q_IS!BS7</f>
        <v>-1.857142857142857</v>
      </c>
      <c r="BT7" s="970">
        <f>Q_IS!BT7</f>
        <v>-2.166666666666667</v>
      </c>
      <c r="BU7" s="970" t="str">
        <f>Q_IS!BU7</f>
        <v>NM</v>
      </c>
      <c r="BV7" s="975">
        <f>Q_IS!BV7</f>
        <v>1.3333333333333335</v>
      </c>
      <c r="BW7" s="971">
        <f>Q_IS!BW7</f>
        <v>1.166666666666667</v>
      </c>
      <c r="BX7" s="971">
        <f>Q_IS!BX7</f>
        <v>0.85714285714285698</v>
      </c>
      <c r="BY7" s="971">
        <f>Q_IS!BY7</f>
        <v>0.625</v>
      </c>
      <c r="BZ7" s="975">
        <f>Q_IS!BZ7</f>
        <v>-0.2830152723379189</v>
      </c>
      <c r="CA7" s="971">
        <f>Q_IS!CA7</f>
        <v>-0.19768980510166134</v>
      </c>
      <c r="CB7" s="971">
        <f>Q_IS!CB7</f>
        <v>-0.26041415819650038</v>
      </c>
      <c r="CC7" s="971">
        <f>Q_IS!CC7</f>
        <v>-0.14539178133585762</v>
      </c>
      <c r="CD7" s="975">
        <f>Q_IS!CD7</f>
        <v>0.28963803508417341</v>
      </c>
      <c r="CE7" s="971">
        <f>Q_IS!CE7</f>
        <v>-0.20527798478389669</v>
      </c>
      <c r="CF7" s="971">
        <f>Q_IS!CF7</f>
        <v>-7.2848158070660252E-2</v>
      </c>
      <c r="CG7" s="971">
        <f>Q_IS!CG7</f>
        <v>-0.25922675948028917</v>
      </c>
      <c r="CH7" s="975">
        <f>Q_IS!CH7</f>
        <v>-0.18933828682624976</v>
      </c>
      <c r="CI7" s="971">
        <f>Q_IS!CI7</f>
        <v>0.22594839243568199</v>
      </c>
      <c r="CJ7" s="971">
        <f>Q_IS!CJ7</f>
        <v>0.18899972110155971</v>
      </c>
      <c r="CK7" s="971">
        <f>Q_IS!CK7</f>
        <v>0.39789198647680024</v>
      </c>
      <c r="CL7" s="975">
        <f>Q_IS!CL7</f>
        <v>0.1805939611969074</v>
      </c>
    </row>
    <row r="8" spans="1:90" collapsed="1">
      <c r="A8" s="976" t="s">
        <v>35</v>
      </c>
      <c r="B8" s="977"/>
      <c r="C8" s="977"/>
      <c r="D8" s="977"/>
      <c r="E8" s="977"/>
      <c r="F8" s="977"/>
      <c r="G8" s="977"/>
      <c r="H8" s="977"/>
      <c r="I8" s="977"/>
      <c r="J8" s="977"/>
      <c r="K8" s="977"/>
      <c r="L8" s="977"/>
      <c r="M8" s="977"/>
      <c r="N8" s="977"/>
      <c r="O8" s="977"/>
      <c r="P8" s="978"/>
      <c r="Q8" s="978"/>
      <c r="R8" s="979"/>
      <c r="S8" s="977"/>
      <c r="T8" s="949"/>
      <c r="U8" s="949"/>
      <c r="V8" s="949"/>
      <c r="W8" s="949"/>
      <c r="X8" s="947"/>
      <c r="Y8" s="947"/>
      <c r="Z8" s="947"/>
      <c r="AA8" s="977"/>
      <c r="AB8" s="977"/>
      <c r="AC8" s="977"/>
      <c r="AD8" s="977"/>
      <c r="AE8" s="977"/>
      <c r="AF8" s="977"/>
      <c r="AG8" s="977"/>
      <c r="AH8" s="977"/>
      <c r="AI8" s="977"/>
      <c r="AJ8" s="977"/>
      <c r="AK8" s="977"/>
      <c r="AL8" s="977"/>
      <c r="AM8" s="977"/>
      <c r="AN8" s="977"/>
      <c r="AO8" s="977"/>
      <c r="AP8" s="977"/>
      <c r="AQ8" s="977"/>
      <c r="AR8" s="977"/>
      <c r="AS8" s="977"/>
      <c r="AT8" s="977"/>
      <c r="AU8" s="977"/>
      <c r="AV8" s="977"/>
      <c r="AW8" s="977"/>
      <c r="AX8" s="977"/>
      <c r="AY8" s="977"/>
      <c r="AZ8" s="977"/>
      <c r="BA8" s="977"/>
      <c r="BB8" s="977"/>
      <c r="BC8" s="977"/>
      <c r="BD8" s="977"/>
      <c r="BE8" s="977"/>
      <c r="BF8" s="977"/>
      <c r="BG8" s="977"/>
      <c r="BH8" s="977"/>
      <c r="BI8" s="977"/>
      <c r="BJ8" s="977"/>
      <c r="BK8" s="977"/>
      <c r="BL8" s="977"/>
      <c r="BM8" s="977"/>
      <c r="BN8" s="977"/>
      <c r="BO8" s="977"/>
      <c r="BP8" s="977"/>
      <c r="BQ8" s="977"/>
      <c r="BR8" s="980" t="s">
        <v>36</v>
      </c>
      <c r="BS8" s="977"/>
      <c r="BT8" s="977"/>
      <c r="BU8" s="977"/>
      <c r="BV8" s="981"/>
      <c r="BW8" s="977"/>
      <c r="BX8" s="977"/>
      <c r="BY8" s="977"/>
      <c r="BZ8" s="981"/>
      <c r="CA8" s="977"/>
      <c r="CB8" s="977"/>
      <c r="CC8" s="977"/>
      <c r="CD8" s="981"/>
      <c r="CE8" s="977"/>
      <c r="CF8" s="977"/>
      <c r="CG8" s="977"/>
      <c r="CH8" s="981"/>
      <c r="CI8" s="977"/>
      <c r="CJ8" s="977"/>
      <c r="CK8" s="977"/>
      <c r="CL8" s="981"/>
    </row>
    <row r="9" spans="1:90">
      <c r="A9" s="982" t="s">
        <v>658</v>
      </c>
      <c r="B9" s="983"/>
      <c r="C9" s="983"/>
      <c r="D9" s="983"/>
      <c r="E9" s="983"/>
      <c r="F9" s="983"/>
      <c r="G9" s="983"/>
      <c r="H9" s="983"/>
      <c r="I9" s="983"/>
      <c r="J9" s="983"/>
      <c r="K9" s="983"/>
      <c r="L9" s="983"/>
      <c r="M9" s="983"/>
      <c r="N9" s="984">
        <f>SUM(BR9:BU9)</f>
        <v>8464</v>
      </c>
      <c r="O9" s="984">
        <f>SUM(BV9:BY9)</f>
        <v>8860</v>
      </c>
      <c r="P9" s="948">
        <f>SUM(BZ9:CC9)</f>
        <v>8103</v>
      </c>
      <c r="Q9" s="948">
        <f>SUM(CD9:CG9)</f>
        <v>7075</v>
      </c>
      <c r="R9" s="985">
        <f>SUM(CH9:CK9)</f>
        <v>6254</v>
      </c>
      <c r="S9" s="984">
        <f>SUM(CL9:CO9)</f>
        <v>1460</v>
      </c>
      <c r="T9" s="949"/>
      <c r="U9" s="949"/>
      <c r="V9" s="949"/>
      <c r="W9" s="949"/>
      <c r="X9" s="947"/>
      <c r="Y9" s="947"/>
      <c r="Z9" s="947"/>
      <c r="AA9" s="984"/>
      <c r="AB9" s="984"/>
      <c r="AC9" s="984"/>
      <c r="AD9" s="984"/>
      <c r="AE9" s="984"/>
      <c r="AF9" s="984"/>
      <c r="AG9" s="984"/>
      <c r="AH9" s="984"/>
      <c r="AI9" s="984"/>
      <c r="AJ9" s="984"/>
      <c r="AK9" s="984"/>
      <c r="AL9" s="984"/>
      <c r="AM9" s="984"/>
      <c r="AN9" s="984"/>
      <c r="AO9" s="984"/>
      <c r="AP9" s="984"/>
      <c r="AQ9" s="984"/>
      <c r="AR9" s="984"/>
      <c r="AS9" s="984"/>
      <c r="AT9" s="984"/>
      <c r="AU9" s="984"/>
      <c r="AV9" s="984"/>
      <c r="AW9" s="984"/>
      <c r="AX9" s="984"/>
      <c r="AY9" s="984"/>
      <c r="AZ9" s="984"/>
      <c r="BA9" s="984"/>
      <c r="BB9" s="984"/>
      <c r="BC9" s="984"/>
      <c r="BD9" s="984"/>
      <c r="BE9" s="984"/>
      <c r="BF9" s="984"/>
      <c r="BG9" s="984"/>
      <c r="BH9" s="984"/>
      <c r="BI9" s="984"/>
      <c r="BJ9" s="984"/>
      <c r="BK9" s="984"/>
      <c r="BL9" s="984"/>
      <c r="BM9" s="984"/>
      <c r="BN9" s="984"/>
      <c r="BO9" s="984"/>
      <c r="BP9" s="984"/>
      <c r="BQ9" s="984"/>
      <c r="BR9" s="986">
        <f t="shared" ref="BR9:CL9" si="0">SUM(BR96,BR168,BR197)</f>
        <v>2149</v>
      </c>
      <c r="BS9" s="984">
        <f t="shared" si="0"/>
        <v>2121</v>
      </c>
      <c r="BT9" s="984">
        <f t="shared" si="0"/>
        <v>2121</v>
      </c>
      <c r="BU9" s="984">
        <f t="shared" si="0"/>
        <v>2073</v>
      </c>
      <c r="BV9" s="986">
        <f t="shared" si="0"/>
        <v>2277</v>
      </c>
      <c r="BW9" s="984">
        <f t="shared" si="0"/>
        <v>2253</v>
      </c>
      <c r="BX9" s="984">
        <f t="shared" si="0"/>
        <v>2188</v>
      </c>
      <c r="BY9" s="984">
        <f t="shared" si="0"/>
        <v>2142</v>
      </c>
      <c r="BZ9" s="986">
        <f t="shared" si="0"/>
        <v>2115</v>
      </c>
      <c r="CA9" s="984">
        <f t="shared" si="0"/>
        <v>2048</v>
      </c>
      <c r="CB9" s="984">
        <f t="shared" si="0"/>
        <v>2008</v>
      </c>
      <c r="CC9" s="984">
        <f t="shared" si="0"/>
        <v>1932</v>
      </c>
      <c r="CD9" s="986">
        <f t="shared" si="0"/>
        <v>1869</v>
      </c>
      <c r="CE9" s="984">
        <f t="shared" si="0"/>
        <v>1790</v>
      </c>
      <c r="CF9" s="984">
        <f t="shared" si="0"/>
        <v>1736</v>
      </c>
      <c r="CG9" s="984">
        <f t="shared" si="0"/>
        <v>1680</v>
      </c>
      <c r="CH9" s="986">
        <f t="shared" si="0"/>
        <v>1631</v>
      </c>
      <c r="CI9" s="984">
        <f t="shared" si="0"/>
        <v>1570</v>
      </c>
      <c r="CJ9" s="984">
        <f t="shared" si="0"/>
        <v>1553</v>
      </c>
      <c r="CK9" s="984">
        <f>SUM(CK96,CK168,CK197)</f>
        <v>1500</v>
      </c>
      <c r="CL9" s="986">
        <f t="shared" si="0"/>
        <v>1460</v>
      </c>
    </row>
    <row r="10" spans="1:90">
      <c r="A10" s="987" t="s">
        <v>34</v>
      </c>
      <c r="B10" s="983"/>
      <c r="C10" s="983"/>
      <c r="D10" s="983"/>
      <c r="E10" s="983"/>
      <c r="F10" s="983"/>
      <c r="G10" s="983"/>
      <c r="H10" s="983"/>
      <c r="I10" s="983"/>
      <c r="J10" s="983"/>
      <c r="K10" s="983"/>
      <c r="L10" s="983"/>
      <c r="M10" s="983"/>
      <c r="N10" s="984"/>
      <c r="O10" s="988">
        <f>O9/N9-1</f>
        <v>4.6786389413988605E-2</v>
      </c>
      <c r="P10" s="988">
        <f>P9/O9-1</f>
        <v>-8.5440180586907499E-2</v>
      </c>
      <c r="Q10" s="988">
        <f>Q9/P9-1</f>
        <v>-0.12686659262001732</v>
      </c>
      <c r="R10" s="989">
        <f>R9/Q9-1</f>
        <v>-0.11604240282685507</v>
      </c>
      <c r="S10" s="988">
        <f>S9/R9-1</f>
        <v>-0.76654940837863772</v>
      </c>
      <c r="T10" s="949"/>
      <c r="U10" s="949"/>
      <c r="V10" s="949"/>
      <c r="W10" s="949"/>
      <c r="X10" s="947"/>
      <c r="Y10" s="947"/>
      <c r="Z10" s="947"/>
      <c r="AA10" s="984"/>
      <c r="AB10" s="984"/>
      <c r="AC10" s="984"/>
      <c r="AD10" s="984"/>
      <c r="AE10" s="984"/>
      <c r="AF10" s="984"/>
      <c r="AG10" s="984"/>
      <c r="AH10" s="984"/>
      <c r="AI10" s="984"/>
      <c r="AJ10" s="984"/>
      <c r="AK10" s="984"/>
      <c r="AL10" s="984"/>
      <c r="AM10" s="984"/>
      <c r="AN10" s="984"/>
      <c r="AO10" s="984"/>
      <c r="AP10" s="984"/>
      <c r="AQ10" s="984"/>
      <c r="AR10" s="984"/>
      <c r="AS10" s="984"/>
      <c r="AT10" s="984"/>
      <c r="AU10" s="984"/>
      <c r="AV10" s="984"/>
      <c r="AW10" s="984"/>
      <c r="AX10" s="984"/>
      <c r="AY10" s="984"/>
      <c r="AZ10" s="984"/>
      <c r="BA10" s="984"/>
      <c r="BB10" s="984"/>
      <c r="BC10" s="984"/>
      <c r="BD10" s="984"/>
      <c r="BE10" s="984"/>
      <c r="BF10" s="984"/>
      <c r="BG10" s="984"/>
      <c r="BH10" s="984"/>
      <c r="BI10" s="984"/>
      <c r="BJ10" s="984"/>
      <c r="BK10" s="984"/>
      <c r="BL10" s="984"/>
      <c r="BM10" s="984"/>
      <c r="BN10" s="984"/>
      <c r="BO10" s="984"/>
      <c r="BP10" s="984"/>
      <c r="BQ10" s="984"/>
      <c r="BR10" s="938"/>
      <c r="BS10" s="347"/>
      <c r="BT10" s="347"/>
      <c r="BU10" s="347"/>
      <c r="BV10" s="990">
        <f>BV9/BR9-1</f>
        <v>5.9562587249883725E-2</v>
      </c>
      <c r="BW10" s="988">
        <f t="shared" ref="BW10:CB10" si="1">BW9/BS9-1</f>
        <v>6.2234794908062163E-2</v>
      </c>
      <c r="BX10" s="988">
        <f t="shared" si="1"/>
        <v>3.1588873173031606E-2</v>
      </c>
      <c r="BY10" s="988">
        <f t="shared" si="1"/>
        <v>3.3285094066570098E-2</v>
      </c>
      <c r="BZ10" s="990">
        <f t="shared" si="1"/>
        <v>-7.1146245059288571E-2</v>
      </c>
      <c r="CA10" s="988">
        <f t="shared" si="1"/>
        <v>-9.0989791389258778E-2</v>
      </c>
      <c r="CB10" s="988">
        <f t="shared" si="1"/>
        <v>-8.2266910420475292E-2</v>
      </c>
      <c r="CC10" s="988">
        <f t="shared" ref="CC10:CK10" si="2">CC9/BY9-1</f>
        <v>-9.8039215686274495E-2</v>
      </c>
      <c r="CD10" s="990">
        <f t="shared" si="2"/>
        <v>-0.1163120567375886</v>
      </c>
      <c r="CE10" s="988">
        <f t="shared" si="2"/>
        <v>-0.1259765625</v>
      </c>
      <c r="CF10" s="988">
        <f t="shared" si="2"/>
        <v>-0.13545816733067728</v>
      </c>
      <c r="CG10" s="988">
        <f t="shared" si="2"/>
        <v>-0.13043478260869568</v>
      </c>
      <c r="CH10" s="990">
        <f t="shared" si="2"/>
        <v>-0.12734082397003743</v>
      </c>
      <c r="CI10" s="988">
        <f t="shared" si="2"/>
        <v>-0.12290502793296088</v>
      </c>
      <c r="CJ10" s="988">
        <f t="shared" si="2"/>
        <v>-0.1054147465437788</v>
      </c>
      <c r="CK10" s="988">
        <f t="shared" si="2"/>
        <v>-0.1071428571428571</v>
      </c>
      <c r="CL10" s="990">
        <f>CL9/CH9-1</f>
        <v>-0.1048436541998774</v>
      </c>
    </row>
    <row r="11" spans="1:90">
      <c r="A11" s="982" t="s">
        <v>659</v>
      </c>
      <c r="B11" s="983"/>
      <c r="C11" s="983"/>
      <c r="D11" s="983"/>
      <c r="E11" s="983"/>
      <c r="F11" s="983"/>
      <c r="G11" s="983"/>
      <c r="H11" s="983"/>
      <c r="I11" s="983"/>
      <c r="J11" s="983"/>
      <c r="K11" s="983"/>
      <c r="L11" s="983"/>
      <c r="M11" s="983"/>
      <c r="N11" s="984">
        <f>SUM(BR11:BU11)</f>
        <v>4529</v>
      </c>
      <c r="O11" s="984">
        <f>SUM(BV11:BY11)</f>
        <v>3536</v>
      </c>
      <c r="P11" s="948">
        <f>SUM(BZ11:CC11)</f>
        <v>3985</v>
      </c>
      <c r="Q11" s="948">
        <f>SUM(CD11:CG11)</f>
        <v>4217</v>
      </c>
      <c r="R11" s="985">
        <f>SUM(CH11:CK11)</f>
        <v>4492</v>
      </c>
      <c r="S11" s="984">
        <f>SUM(CL11:CO11)</f>
        <v>1171</v>
      </c>
      <c r="T11" s="949"/>
      <c r="U11" s="949"/>
      <c r="V11" s="949"/>
      <c r="W11" s="949"/>
      <c r="X11" s="947"/>
      <c r="Y11" s="947"/>
      <c r="Z11" s="947"/>
      <c r="AA11" s="984"/>
      <c r="AB11" s="984"/>
      <c r="AC11" s="984"/>
      <c r="AD11" s="984"/>
      <c r="AE11" s="984"/>
      <c r="AF11" s="984"/>
      <c r="AG11" s="984"/>
      <c r="AH11" s="984"/>
      <c r="AI11" s="984"/>
      <c r="AJ11" s="984"/>
      <c r="AK11" s="984"/>
      <c r="AL11" s="984"/>
      <c r="AM11" s="984"/>
      <c r="AN11" s="984"/>
      <c r="AO11" s="984"/>
      <c r="AP11" s="984"/>
      <c r="AQ11" s="984"/>
      <c r="AR11" s="984"/>
      <c r="AS11" s="984"/>
      <c r="AT11" s="984"/>
      <c r="AU11" s="984"/>
      <c r="AV11" s="984"/>
      <c r="AW11" s="984"/>
      <c r="AX11" s="984"/>
      <c r="AY11" s="984"/>
      <c r="AZ11" s="984"/>
      <c r="BA11" s="984"/>
      <c r="BB11" s="984"/>
      <c r="BC11" s="984"/>
      <c r="BD11" s="984"/>
      <c r="BE11" s="984"/>
      <c r="BF11" s="984"/>
      <c r="BG11" s="984"/>
      <c r="BH11" s="984"/>
      <c r="BI11" s="984"/>
      <c r="BJ11" s="984"/>
      <c r="BK11" s="984"/>
      <c r="BL11" s="984"/>
      <c r="BM11" s="984"/>
      <c r="BN11" s="984"/>
      <c r="BO11" s="984"/>
      <c r="BP11" s="984"/>
      <c r="BQ11" s="984"/>
      <c r="BR11" s="986">
        <f t="shared" ref="BR11:CL11" si="3">SUM(BR100,BR172,BR201)</f>
        <v>1088</v>
      </c>
      <c r="BS11" s="991">
        <f t="shared" si="3"/>
        <v>1105</v>
      </c>
      <c r="BT11" s="991">
        <f t="shared" si="3"/>
        <v>1139</v>
      </c>
      <c r="BU11" s="991">
        <f t="shared" si="3"/>
        <v>1197</v>
      </c>
      <c r="BV11" s="986">
        <f t="shared" si="3"/>
        <v>843</v>
      </c>
      <c r="BW11" s="991">
        <f t="shared" si="3"/>
        <v>867</v>
      </c>
      <c r="BX11" s="991">
        <f t="shared" si="3"/>
        <v>898</v>
      </c>
      <c r="BY11" s="991">
        <f t="shared" si="3"/>
        <v>928</v>
      </c>
      <c r="BZ11" s="986">
        <f t="shared" si="3"/>
        <v>960</v>
      </c>
      <c r="CA11" s="991">
        <f t="shared" si="3"/>
        <v>985</v>
      </c>
      <c r="CB11" s="991">
        <f t="shared" si="3"/>
        <v>1006</v>
      </c>
      <c r="CC11" s="991">
        <f t="shared" si="3"/>
        <v>1034</v>
      </c>
      <c r="CD11" s="986">
        <f t="shared" si="3"/>
        <v>1047</v>
      </c>
      <c r="CE11" s="991">
        <f t="shared" si="3"/>
        <v>1046</v>
      </c>
      <c r="CF11" s="991">
        <f t="shared" si="3"/>
        <v>1051</v>
      </c>
      <c r="CG11" s="991">
        <f t="shared" si="3"/>
        <v>1073</v>
      </c>
      <c r="CH11" s="986">
        <f t="shared" si="3"/>
        <v>1101</v>
      </c>
      <c r="CI11" s="991">
        <f t="shared" si="3"/>
        <v>1112</v>
      </c>
      <c r="CJ11" s="991">
        <f t="shared" si="3"/>
        <v>1135</v>
      </c>
      <c r="CK11" s="991">
        <f t="shared" si="3"/>
        <v>1144</v>
      </c>
      <c r="CL11" s="986">
        <f t="shared" si="3"/>
        <v>1171</v>
      </c>
    </row>
    <row r="12" spans="1:90">
      <c r="A12" s="987" t="s">
        <v>34</v>
      </c>
      <c r="B12" s="983"/>
      <c r="C12" s="983"/>
      <c r="D12" s="983"/>
      <c r="E12" s="983"/>
      <c r="F12" s="983"/>
      <c r="G12" s="983"/>
      <c r="H12" s="983"/>
      <c r="I12" s="983"/>
      <c r="J12" s="983"/>
      <c r="K12" s="983"/>
      <c r="L12" s="983"/>
      <c r="M12" s="983"/>
      <c r="N12" s="984"/>
      <c r="O12" s="988">
        <f>O11/N11-1</f>
        <v>-0.21925369838816511</v>
      </c>
      <c r="P12" s="988">
        <f>P11/O11-1</f>
        <v>0.12697963800904977</v>
      </c>
      <c r="Q12" s="988">
        <f>Q11/P11-1</f>
        <v>5.821831869510663E-2</v>
      </c>
      <c r="R12" s="989">
        <f>R11/Q11-1</f>
        <v>6.5212236186862782E-2</v>
      </c>
      <c r="S12" s="988">
        <f>S11/R11-1</f>
        <v>-0.73931433659839718</v>
      </c>
      <c r="T12" s="949"/>
      <c r="U12" s="949"/>
      <c r="V12" s="949"/>
      <c r="W12" s="949"/>
      <c r="X12" s="947"/>
      <c r="Y12" s="947"/>
      <c r="Z12" s="947"/>
      <c r="AA12" s="984"/>
      <c r="AB12" s="984"/>
      <c r="AC12" s="984"/>
      <c r="AD12" s="984"/>
      <c r="AE12" s="984"/>
      <c r="AF12" s="984"/>
      <c r="AG12" s="984"/>
      <c r="AH12" s="984"/>
      <c r="AI12" s="984"/>
      <c r="AJ12" s="984"/>
      <c r="AK12" s="984"/>
      <c r="AL12" s="984"/>
      <c r="AM12" s="984"/>
      <c r="AN12" s="984"/>
      <c r="AO12" s="984"/>
      <c r="AP12" s="984"/>
      <c r="AQ12" s="984"/>
      <c r="AR12" s="984"/>
      <c r="AS12" s="984"/>
      <c r="AT12" s="984"/>
      <c r="AU12" s="984"/>
      <c r="AV12" s="984"/>
      <c r="AW12" s="984"/>
      <c r="AX12" s="984"/>
      <c r="AY12" s="984"/>
      <c r="AZ12" s="984"/>
      <c r="BA12" s="984"/>
      <c r="BB12" s="984"/>
      <c r="BC12" s="984"/>
      <c r="BD12" s="984"/>
      <c r="BE12" s="984"/>
      <c r="BF12" s="984"/>
      <c r="BG12" s="984"/>
      <c r="BH12" s="984"/>
      <c r="BI12" s="984"/>
      <c r="BJ12" s="984"/>
      <c r="BK12" s="984"/>
      <c r="BL12" s="984"/>
      <c r="BM12" s="984"/>
      <c r="BN12" s="984"/>
      <c r="BO12" s="984"/>
      <c r="BP12" s="984"/>
      <c r="BQ12" s="984"/>
      <c r="BR12" s="938"/>
      <c r="BS12" s="347"/>
      <c r="BT12" s="347"/>
      <c r="BU12" s="347"/>
      <c r="BV12" s="990">
        <f t="shared" ref="BV12:CB12" si="4">BV11/BR11-1</f>
        <v>-0.2251838235294118</v>
      </c>
      <c r="BW12" s="988">
        <f t="shared" si="4"/>
        <v>-0.2153846153846154</v>
      </c>
      <c r="BX12" s="988">
        <f t="shared" si="4"/>
        <v>-0.21158911325724317</v>
      </c>
      <c r="BY12" s="988">
        <f t="shared" si="4"/>
        <v>-0.22472848788638267</v>
      </c>
      <c r="BZ12" s="990">
        <f t="shared" si="4"/>
        <v>0.13879003558718872</v>
      </c>
      <c r="CA12" s="988">
        <f t="shared" si="4"/>
        <v>0.13610149942329874</v>
      </c>
      <c r="CB12" s="988">
        <f t="shared" si="4"/>
        <v>0.12026726057906467</v>
      </c>
      <c r="CC12" s="988">
        <f t="shared" ref="CC12:CK12" si="5">CC11/BY11-1</f>
        <v>0.11422413793103448</v>
      </c>
      <c r="CD12" s="990">
        <f t="shared" si="5"/>
        <v>9.0624999999999956E-2</v>
      </c>
      <c r="CE12" s="988">
        <f t="shared" si="5"/>
        <v>6.1928934010152314E-2</v>
      </c>
      <c r="CF12" s="988">
        <f t="shared" si="5"/>
        <v>4.4731610337972239E-2</v>
      </c>
      <c r="CG12" s="988">
        <f t="shared" si="5"/>
        <v>3.771760154738879E-2</v>
      </c>
      <c r="CH12" s="990">
        <f t="shared" si="5"/>
        <v>5.1575931232091587E-2</v>
      </c>
      <c r="CI12" s="988">
        <f t="shared" si="5"/>
        <v>6.3097514340344274E-2</v>
      </c>
      <c r="CJ12" s="988">
        <f t="shared" si="5"/>
        <v>7.9923882017126635E-2</v>
      </c>
      <c r="CK12" s="988">
        <f t="shared" si="5"/>
        <v>6.6169617893755861E-2</v>
      </c>
      <c r="CL12" s="990">
        <f>CL11/CH11-1</f>
        <v>6.3578564940962812E-2</v>
      </c>
    </row>
    <row r="13" spans="1:90">
      <c r="A13" s="982" t="s">
        <v>660</v>
      </c>
      <c r="B13" s="983"/>
      <c r="C13" s="983"/>
      <c r="D13" s="983"/>
      <c r="E13" s="983"/>
      <c r="F13" s="983"/>
      <c r="G13" s="983"/>
      <c r="H13" s="983"/>
      <c r="I13" s="983"/>
      <c r="J13" s="983"/>
      <c r="K13" s="983"/>
      <c r="L13" s="983"/>
      <c r="M13" s="983"/>
      <c r="N13" s="984"/>
      <c r="O13" s="984">
        <f>SUM(BV13:BY13)</f>
        <v>475</v>
      </c>
      <c r="P13" s="948">
        <f>SUM(BZ13:CC13)</f>
        <v>570</v>
      </c>
      <c r="Q13" s="948">
        <f>SUM(CD13:CG13)</f>
        <v>557</v>
      </c>
      <c r="R13" s="985">
        <f>SUM(CH13:CK13)</f>
        <v>604</v>
      </c>
      <c r="S13" s="984">
        <f>SUM(CL13:CO13)</f>
        <v>122</v>
      </c>
      <c r="T13" s="949"/>
      <c r="U13" s="949"/>
      <c r="V13" s="949"/>
      <c r="W13" s="949"/>
      <c r="X13" s="947"/>
      <c r="Y13" s="947"/>
      <c r="Z13" s="947"/>
      <c r="AA13" s="984"/>
      <c r="AB13" s="984"/>
      <c r="AC13" s="984"/>
      <c r="AD13" s="984"/>
      <c r="AE13" s="984"/>
      <c r="AF13" s="984"/>
      <c r="AG13" s="984"/>
      <c r="AH13" s="984"/>
      <c r="AI13" s="984"/>
      <c r="AJ13" s="984"/>
      <c r="AK13" s="984"/>
      <c r="AL13" s="984"/>
      <c r="AM13" s="984"/>
      <c r="AN13" s="984"/>
      <c r="AO13" s="984"/>
      <c r="AP13" s="984"/>
      <c r="AQ13" s="984"/>
      <c r="AR13" s="984"/>
      <c r="AS13" s="984"/>
      <c r="AT13" s="984"/>
      <c r="AU13" s="984"/>
      <c r="AV13" s="984"/>
      <c r="AW13" s="984"/>
      <c r="AX13" s="984"/>
      <c r="AY13" s="984"/>
      <c r="AZ13" s="984"/>
      <c r="BA13" s="984"/>
      <c r="BB13" s="984"/>
      <c r="BC13" s="984"/>
      <c r="BD13" s="984"/>
      <c r="BE13" s="984"/>
      <c r="BF13" s="984"/>
      <c r="BG13" s="984"/>
      <c r="BH13" s="984"/>
      <c r="BI13" s="984"/>
      <c r="BJ13" s="984"/>
      <c r="BK13" s="984"/>
      <c r="BL13" s="984"/>
      <c r="BM13" s="984"/>
      <c r="BN13" s="984"/>
      <c r="BO13" s="984"/>
      <c r="BP13" s="984"/>
      <c r="BQ13" s="984"/>
      <c r="BR13" s="938"/>
      <c r="BS13" s="347"/>
      <c r="BT13" s="347"/>
      <c r="BU13" s="347"/>
      <c r="BV13" s="986">
        <f t="shared" ref="BV13:CC13" si="6">+BV174</f>
        <v>109</v>
      </c>
      <c r="BW13" s="984">
        <f t="shared" si="6"/>
        <v>112</v>
      </c>
      <c r="BX13" s="984">
        <f t="shared" si="6"/>
        <v>116</v>
      </c>
      <c r="BY13" s="984">
        <f t="shared" si="6"/>
        <v>138</v>
      </c>
      <c r="BZ13" s="986">
        <f t="shared" si="6"/>
        <v>116</v>
      </c>
      <c r="CA13" s="984">
        <f t="shared" si="6"/>
        <v>133</v>
      </c>
      <c r="CB13" s="984">
        <f t="shared" si="6"/>
        <v>158</v>
      </c>
      <c r="CC13" s="984">
        <f t="shared" si="6"/>
        <v>163</v>
      </c>
      <c r="CD13" s="986">
        <f>+CD174</f>
        <v>124</v>
      </c>
      <c r="CE13" s="984">
        <f t="shared" ref="CE13:CK13" si="7">+CE174</f>
        <v>132</v>
      </c>
      <c r="CF13" s="984">
        <f t="shared" si="7"/>
        <v>153</v>
      </c>
      <c r="CG13" s="984">
        <f>+CG174</f>
        <v>148</v>
      </c>
      <c r="CH13" s="986">
        <f t="shared" si="7"/>
        <v>135</v>
      </c>
      <c r="CI13" s="984">
        <f t="shared" si="7"/>
        <v>142</v>
      </c>
      <c r="CJ13" s="984">
        <f t="shared" si="7"/>
        <v>157</v>
      </c>
      <c r="CK13" s="984">
        <f t="shared" si="7"/>
        <v>170</v>
      </c>
      <c r="CL13" s="986">
        <f>+CL174</f>
        <v>122</v>
      </c>
    </row>
    <row r="14" spans="1:90">
      <c r="A14" s="987" t="s">
        <v>34</v>
      </c>
      <c r="B14" s="983"/>
      <c r="C14" s="983"/>
      <c r="D14" s="983"/>
      <c r="E14" s="983"/>
      <c r="F14" s="983"/>
      <c r="G14" s="983"/>
      <c r="H14" s="983"/>
      <c r="I14" s="983"/>
      <c r="J14" s="983"/>
      <c r="K14" s="983"/>
      <c r="L14" s="983"/>
      <c r="M14" s="983"/>
      <c r="N14" s="984"/>
      <c r="O14" s="988"/>
      <c r="P14" s="988">
        <f>P13/O13-1</f>
        <v>0.19999999999999996</v>
      </c>
      <c r="Q14" s="988">
        <f>Q13/P13-1</f>
        <v>-2.2807017543859609E-2</v>
      </c>
      <c r="R14" s="989">
        <f>R13/Q13-1</f>
        <v>8.4380610412926327E-2</v>
      </c>
      <c r="S14" s="988">
        <f>S13/R13-1</f>
        <v>-0.79801324503311255</v>
      </c>
      <c r="T14" s="949"/>
      <c r="U14" s="949"/>
      <c r="V14" s="949"/>
      <c r="W14" s="949"/>
      <c r="X14" s="947"/>
      <c r="Y14" s="947"/>
      <c r="Z14" s="947"/>
      <c r="AA14" s="984"/>
      <c r="AB14" s="984"/>
      <c r="AC14" s="984"/>
      <c r="AD14" s="984"/>
      <c r="AE14" s="984"/>
      <c r="AF14" s="984"/>
      <c r="AG14" s="984"/>
      <c r="AH14" s="984"/>
      <c r="AI14" s="984"/>
      <c r="AJ14" s="984"/>
      <c r="AK14" s="984"/>
      <c r="AL14" s="984"/>
      <c r="AM14" s="984"/>
      <c r="AN14" s="984"/>
      <c r="AO14" s="984"/>
      <c r="AP14" s="984"/>
      <c r="AQ14" s="984"/>
      <c r="AR14" s="984"/>
      <c r="AS14" s="984"/>
      <c r="AT14" s="984"/>
      <c r="AU14" s="984"/>
      <c r="AV14" s="984"/>
      <c r="AW14" s="984"/>
      <c r="AX14" s="984"/>
      <c r="AY14" s="984"/>
      <c r="AZ14" s="984"/>
      <c r="BA14" s="984"/>
      <c r="BB14" s="984"/>
      <c r="BC14" s="984"/>
      <c r="BD14" s="984"/>
      <c r="BE14" s="984"/>
      <c r="BF14" s="984"/>
      <c r="BG14" s="984"/>
      <c r="BH14" s="984"/>
      <c r="BI14" s="984"/>
      <c r="BJ14" s="984"/>
      <c r="BK14" s="984"/>
      <c r="BL14" s="984"/>
      <c r="BM14" s="984"/>
      <c r="BN14" s="984"/>
      <c r="BO14" s="984"/>
      <c r="BP14" s="984"/>
      <c r="BQ14" s="984"/>
      <c r="BR14" s="938"/>
      <c r="BS14" s="347"/>
      <c r="BT14" s="347"/>
      <c r="BU14" s="347"/>
      <c r="BV14" s="990"/>
      <c r="BW14" s="988"/>
      <c r="BX14" s="988"/>
      <c r="BY14" s="988"/>
      <c r="BZ14" s="990">
        <f t="shared" ref="BZ14:CK14" si="8">BZ13/BV13-1</f>
        <v>6.4220183486238591E-2</v>
      </c>
      <c r="CA14" s="988">
        <f t="shared" si="8"/>
        <v>0.1875</v>
      </c>
      <c r="CB14" s="988">
        <f t="shared" si="8"/>
        <v>0.36206896551724133</v>
      </c>
      <c r="CC14" s="988">
        <f t="shared" si="8"/>
        <v>0.18115942028985499</v>
      </c>
      <c r="CD14" s="990">
        <f t="shared" si="8"/>
        <v>6.8965517241379226E-2</v>
      </c>
      <c r="CE14" s="988">
        <f t="shared" si="8"/>
        <v>-7.5187969924812581E-3</v>
      </c>
      <c r="CF14" s="988">
        <f t="shared" si="8"/>
        <v>-3.1645569620253111E-2</v>
      </c>
      <c r="CG14" s="988">
        <f t="shared" si="8"/>
        <v>-9.2024539877300637E-2</v>
      </c>
      <c r="CH14" s="990">
        <f t="shared" si="8"/>
        <v>8.870967741935476E-2</v>
      </c>
      <c r="CI14" s="988">
        <f t="shared" si="8"/>
        <v>7.575757575757569E-2</v>
      </c>
      <c r="CJ14" s="988">
        <f t="shared" si="8"/>
        <v>2.614379084967311E-2</v>
      </c>
      <c r="CK14" s="988">
        <f t="shared" si="8"/>
        <v>0.14864864864864868</v>
      </c>
      <c r="CL14" s="990">
        <f>CL13/CH13-1</f>
        <v>-9.6296296296296324E-2</v>
      </c>
    </row>
    <row r="15" spans="1:90">
      <c r="A15" s="983" t="s">
        <v>661</v>
      </c>
      <c r="B15" s="983"/>
      <c r="C15" s="983"/>
      <c r="D15" s="983"/>
      <c r="E15" s="983"/>
      <c r="F15" s="983"/>
      <c r="G15" s="983"/>
      <c r="H15" s="983"/>
      <c r="I15" s="983"/>
      <c r="J15" s="983"/>
      <c r="K15" s="983"/>
      <c r="L15" s="983"/>
      <c r="M15" s="983"/>
      <c r="N15" s="984">
        <f>SUM(BR15:BU15)</f>
        <v>539</v>
      </c>
      <c r="O15" s="984">
        <f>SUM(BV15:BY15)</f>
        <v>535</v>
      </c>
      <c r="P15" s="948">
        <f>SUM(BZ15:CC15)</f>
        <v>460</v>
      </c>
      <c r="Q15" s="948">
        <f>SUM(CD15:CG15)</f>
        <v>112</v>
      </c>
      <c r="R15" s="1002">
        <f>SUM(CH15:CK15)</f>
        <v>0</v>
      </c>
      <c r="S15" s="991">
        <f>SUM(CL15:CO15)</f>
        <v>0</v>
      </c>
      <c r="T15" s="949"/>
      <c r="U15" s="949"/>
      <c r="V15" s="949"/>
      <c r="W15" s="949"/>
      <c r="X15" s="947"/>
      <c r="Y15" s="947"/>
      <c r="Z15" s="947"/>
      <c r="AA15" s="984"/>
      <c r="AB15" s="984"/>
      <c r="AC15" s="984"/>
      <c r="AD15" s="984"/>
      <c r="AE15" s="984"/>
      <c r="AF15" s="984"/>
      <c r="AG15" s="984"/>
      <c r="AH15" s="984"/>
      <c r="AI15" s="984"/>
      <c r="AJ15" s="984"/>
      <c r="AK15" s="984"/>
      <c r="AL15" s="984"/>
      <c r="AM15" s="984"/>
      <c r="AN15" s="984"/>
      <c r="AO15" s="984"/>
      <c r="AP15" s="984"/>
      <c r="AQ15" s="984"/>
      <c r="AR15" s="984"/>
      <c r="AS15" s="984"/>
      <c r="AT15" s="984"/>
      <c r="AU15" s="984"/>
      <c r="AV15" s="984"/>
      <c r="AW15" s="984"/>
      <c r="AX15" s="984"/>
      <c r="AY15" s="984"/>
      <c r="AZ15" s="984"/>
      <c r="BA15" s="984"/>
      <c r="BB15" s="984"/>
      <c r="BC15" s="984"/>
      <c r="BD15" s="984"/>
      <c r="BE15" s="984"/>
      <c r="BF15" s="984"/>
      <c r="BG15" s="984"/>
      <c r="BH15" s="984"/>
      <c r="BI15" s="984"/>
      <c r="BJ15" s="984"/>
      <c r="BK15" s="984"/>
      <c r="BL15" s="984"/>
      <c r="BM15" s="984"/>
      <c r="BN15" s="984"/>
      <c r="BO15" s="984"/>
      <c r="BP15" s="984"/>
      <c r="BQ15" s="984"/>
      <c r="BR15" s="986">
        <f>BR109</f>
        <v>133</v>
      </c>
      <c r="BS15" s="991">
        <f t="shared" ref="BS15:BZ15" si="9">BS109</f>
        <v>137</v>
      </c>
      <c r="BT15" s="991">
        <f t="shared" si="9"/>
        <v>134</v>
      </c>
      <c r="BU15" s="991">
        <f t="shared" si="9"/>
        <v>135</v>
      </c>
      <c r="BV15" s="986">
        <f t="shared" si="9"/>
        <v>133</v>
      </c>
      <c r="BW15" s="991">
        <f t="shared" si="9"/>
        <v>133</v>
      </c>
      <c r="BX15" s="991">
        <f t="shared" si="9"/>
        <v>138</v>
      </c>
      <c r="BY15" s="991">
        <f t="shared" si="9"/>
        <v>131</v>
      </c>
      <c r="BZ15" s="986">
        <f t="shared" si="9"/>
        <v>129</v>
      </c>
      <c r="CA15" s="991">
        <f t="shared" ref="CA15:CF15" si="10">CA109</f>
        <v>126</v>
      </c>
      <c r="CB15" s="991">
        <f t="shared" si="10"/>
        <v>116</v>
      </c>
      <c r="CC15" s="991">
        <f t="shared" si="10"/>
        <v>89</v>
      </c>
      <c r="CD15" s="986">
        <f t="shared" si="10"/>
        <v>55</v>
      </c>
      <c r="CE15" s="991">
        <f>CE109</f>
        <v>33</v>
      </c>
      <c r="CF15" s="991">
        <f t="shared" si="10"/>
        <v>20</v>
      </c>
      <c r="CG15" s="991">
        <f t="shared" ref="CG15:CL15" si="11">CG109</f>
        <v>4</v>
      </c>
      <c r="CH15" s="986">
        <f t="shared" si="11"/>
        <v>0</v>
      </c>
      <c r="CI15" s="991">
        <f t="shared" si="11"/>
        <v>0</v>
      </c>
      <c r="CJ15" s="991">
        <f t="shared" si="11"/>
        <v>0</v>
      </c>
      <c r="CK15" s="991">
        <f t="shared" si="11"/>
        <v>0</v>
      </c>
      <c r="CL15" s="986">
        <f t="shared" si="11"/>
        <v>0</v>
      </c>
    </row>
    <row r="16" spans="1:90">
      <c r="A16" s="987" t="s">
        <v>34</v>
      </c>
      <c r="B16" s="983"/>
      <c r="C16" s="983"/>
      <c r="D16" s="983"/>
      <c r="E16" s="983"/>
      <c r="F16" s="983"/>
      <c r="G16" s="983"/>
      <c r="H16" s="983"/>
      <c r="I16" s="983"/>
      <c r="J16" s="983"/>
      <c r="K16" s="983"/>
      <c r="L16" s="983"/>
      <c r="M16" s="983"/>
      <c r="N16" s="984"/>
      <c r="O16" s="988">
        <f>O15/N15-1</f>
        <v>-7.4211502782931538E-3</v>
      </c>
      <c r="P16" s="988">
        <f>P15/O15-1</f>
        <v>-0.14018691588785048</v>
      </c>
      <c r="Q16" s="988">
        <f>Q15/P15-1</f>
        <v>-0.75652173913043474</v>
      </c>
      <c r="R16" s="989">
        <f>R15/Q15-1</f>
        <v>-1</v>
      </c>
      <c r="S16" s="988"/>
      <c r="T16" s="949"/>
      <c r="U16" s="949"/>
      <c r="V16" s="949"/>
      <c r="W16" s="949"/>
      <c r="X16" s="947"/>
      <c r="Y16" s="947"/>
      <c r="Z16" s="947"/>
      <c r="AA16" s="984"/>
      <c r="AB16" s="984"/>
      <c r="AC16" s="984"/>
      <c r="AD16" s="984"/>
      <c r="AE16" s="984"/>
      <c r="AF16" s="984"/>
      <c r="AG16" s="984"/>
      <c r="AH16" s="984"/>
      <c r="AI16" s="984"/>
      <c r="AJ16" s="984"/>
      <c r="AK16" s="984"/>
      <c r="AL16" s="984"/>
      <c r="AM16" s="984"/>
      <c r="AN16" s="984"/>
      <c r="AO16" s="984"/>
      <c r="AP16" s="984"/>
      <c r="AQ16" s="984"/>
      <c r="AR16" s="984"/>
      <c r="AS16" s="984"/>
      <c r="AT16" s="984"/>
      <c r="AU16" s="984"/>
      <c r="AV16" s="984"/>
      <c r="AW16" s="984"/>
      <c r="AX16" s="984"/>
      <c r="AY16" s="984"/>
      <c r="AZ16" s="984"/>
      <c r="BA16" s="984"/>
      <c r="BB16" s="984"/>
      <c r="BC16" s="984"/>
      <c r="BD16" s="984"/>
      <c r="BE16" s="984"/>
      <c r="BF16" s="984"/>
      <c r="BG16" s="984"/>
      <c r="BH16" s="984"/>
      <c r="BI16" s="984"/>
      <c r="BJ16" s="984"/>
      <c r="BK16" s="984"/>
      <c r="BL16" s="984"/>
      <c r="BM16" s="984"/>
      <c r="BN16" s="984"/>
      <c r="BO16" s="984"/>
      <c r="BP16" s="984"/>
      <c r="BQ16" s="984"/>
      <c r="BR16" s="938"/>
      <c r="BS16" s="347"/>
      <c r="BT16" s="347"/>
      <c r="BU16" s="347"/>
      <c r="BV16" s="990">
        <f t="shared" ref="BV16:CB16" si="12">BV15/BR15-1</f>
        <v>0</v>
      </c>
      <c r="BW16" s="988">
        <f t="shared" si="12"/>
        <v>-2.9197080291970767E-2</v>
      </c>
      <c r="BX16" s="988">
        <f t="shared" si="12"/>
        <v>2.9850746268656803E-2</v>
      </c>
      <c r="BY16" s="988">
        <f t="shared" si="12"/>
        <v>-2.9629629629629672E-2</v>
      </c>
      <c r="BZ16" s="990">
        <f t="shared" si="12"/>
        <v>-3.007518796992481E-2</v>
      </c>
      <c r="CA16" s="988">
        <f t="shared" si="12"/>
        <v>-5.2631578947368474E-2</v>
      </c>
      <c r="CB16" s="988">
        <f t="shared" si="12"/>
        <v>-0.15942028985507251</v>
      </c>
      <c r="CC16" s="988">
        <f t="shared" ref="CC16:CJ16" si="13">CC15/BY15-1</f>
        <v>-0.32061068702290074</v>
      </c>
      <c r="CD16" s="990">
        <f t="shared" si="13"/>
        <v>-0.5736434108527132</v>
      </c>
      <c r="CE16" s="988">
        <f t="shared" si="13"/>
        <v>-0.73809523809523814</v>
      </c>
      <c r="CF16" s="988">
        <f t="shared" si="13"/>
        <v>-0.82758620689655171</v>
      </c>
      <c r="CG16" s="988">
        <f t="shared" si="13"/>
        <v>-0.9550561797752809</v>
      </c>
      <c r="CH16" s="990">
        <f t="shared" si="13"/>
        <v>-1</v>
      </c>
      <c r="CI16" s="988">
        <f t="shared" si="13"/>
        <v>-1</v>
      </c>
      <c r="CJ16" s="988">
        <f t="shared" si="13"/>
        <v>-1</v>
      </c>
      <c r="CK16" s="988">
        <f>CK15/CG15-1</f>
        <v>-1</v>
      </c>
      <c r="CL16" s="990"/>
    </row>
    <row r="17" spans="1:90">
      <c r="A17" s="992" t="s">
        <v>37</v>
      </c>
      <c r="B17" s="992"/>
      <c r="C17" s="992"/>
      <c r="D17" s="992"/>
      <c r="E17" s="992"/>
      <c r="F17" s="992"/>
      <c r="G17" s="992"/>
      <c r="H17" s="992"/>
      <c r="I17" s="992"/>
      <c r="J17" s="992"/>
      <c r="K17" s="992"/>
      <c r="L17" s="992"/>
      <c r="M17" s="992"/>
      <c r="N17" s="767">
        <f>SUM(N9,N11,N15)</f>
        <v>13532</v>
      </c>
      <c r="O17" s="767">
        <f>SUM(O9,O11,O15,O13)</f>
        <v>13406</v>
      </c>
      <c r="P17" s="767">
        <f>SUM(P9,P11,P15,P13)</f>
        <v>13118</v>
      </c>
      <c r="Q17" s="271">
        <f>SUM(Q9,Q11,Q15,Q13)</f>
        <v>11961</v>
      </c>
      <c r="R17" s="223">
        <f>SUM(R9,R11,R15,R13)</f>
        <v>11350</v>
      </c>
      <c r="S17" s="271">
        <f>SUM(S9,S11,S15,S13)</f>
        <v>2753</v>
      </c>
      <c r="T17" s="949"/>
      <c r="U17" s="949"/>
      <c r="V17" s="949"/>
      <c r="W17" s="949"/>
      <c r="X17" s="947"/>
      <c r="Y17" s="947"/>
      <c r="Z17" s="947"/>
      <c r="AA17" s="271"/>
      <c r="AB17" s="271"/>
      <c r="AC17" s="271"/>
      <c r="AD17" s="271"/>
      <c r="AE17" s="271"/>
      <c r="AF17" s="271"/>
      <c r="AG17" s="271"/>
      <c r="AH17" s="271"/>
      <c r="AI17" s="271"/>
      <c r="AJ17" s="271"/>
      <c r="AK17" s="271"/>
      <c r="AL17" s="271"/>
      <c r="AM17" s="271"/>
      <c r="AN17" s="271"/>
      <c r="AO17" s="271"/>
      <c r="AP17" s="271"/>
      <c r="AQ17" s="271"/>
      <c r="AR17" s="271"/>
      <c r="AS17" s="271"/>
      <c r="AT17" s="271"/>
      <c r="AU17" s="271"/>
      <c r="AV17" s="271"/>
      <c r="AW17" s="271"/>
      <c r="AX17" s="271"/>
      <c r="AY17" s="271"/>
      <c r="AZ17" s="271"/>
      <c r="BA17" s="271"/>
      <c r="BB17" s="271"/>
      <c r="BC17" s="271"/>
      <c r="BD17" s="271"/>
      <c r="BE17" s="271"/>
      <c r="BF17" s="271"/>
      <c r="BG17" s="271"/>
      <c r="BH17" s="271"/>
      <c r="BI17" s="271"/>
      <c r="BJ17" s="271"/>
      <c r="BK17" s="271"/>
      <c r="BL17" s="271"/>
      <c r="BM17" s="271"/>
      <c r="BN17" s="271"/>
      <c r="BO17" s="271"/>
      <c r="BP17" s="271"/>
      <c r="BQ17" s="271"/>
      <c r="BR17" s="940">
        <f>SUM(BR9,BR11,BR15)</f>
        <v>3370</v>
      </c>
      <c r="BS17" s="271">
        <f>SUM(BS9,BS11,BS15)</f>
        <v>3363</v>
      </c>
      <c r="BT17" s="271">
        <f>SUM(BT9,BT11,BT15)</f>
        <v>3394</v>
      </c>
      <c r="BU17" s="271">
        <f>SUM(BU9,BU11,BU15)</f>
        <v>3405</v>
      </c>
      <c r="BV17" s="940">
        <f>SUM(BV9,BV11,BV15,BV13)</f>
        <v>3362</v>
      </c>
      <c r="BW17" s="271">
        <f t="shared" ref="BW17:CJ17" si="14">SUM(BW9,BW11,BW15,BW13)</f>
        <v>3365</v>
      </c>
      <c r="BX17" s="271">
        <f t="shared" si="14"/>
        <v>3340</v>
      </c>
      <c r="BY17" s="271">
        <f t="shared" si="14"/>
        <v>3339</v>
      </c>
      <c r="BZ17" s="940">
        <f t="shared" si="14"/>
        <v>3320</v>
      </c>
      <c r="CA17" s="271">
        <f t="shared" si="14"/>
        <v>3292</v>
      </c>
      <c r="CB17" s="271">
        <f t="shared" si="14"/>
        <v>3288</v>
      </c>
      <c r="CC17" s="271">
        <f t="shared" si="14"/>
        <v>3218</v>
      </c>
      <c r="CD17" s="940">
        <f t="shared" si="14"/>
        <v>3095</v>
      </c>
      <c r="CE17" s="271">
        <f t="shared" si="14"/>
        <v>3001</v>
      </c>
      <c r="CF17" s="271">
        <f t="shared" si="14"/>
        <v>2960</v>
      </c>
      <c r="CG17" s="271">
        <f>SUM(CG9,CG11,CG15,CG13)</f>
        <v>2905</v>
      </c>
      <c r="CH17" s="940">
        <f t="shared" si="14"/>
        <v>2867</v>
      </c>
      <c r="CI17" s="271">
        <f t="shared" si="14"/>
        <v>2824</v>
      </c>
      <c r="CJ17" s="271">
        <f t="shared" si="14"/>
        <v>2845</v>
      </c>
      <c r="CK17" s="271">
        <f>SUM(CK9,CK11,CK15,CK13)</f>
        <v>2814</v>
      </c>
      <c r="CL17" s="940">
        <f>SUM(CL9,CL11,CL15,CL13)</f>
        <v>2753</v>
      </c>
    </row>
    <row r="18" spans="1:90">
      <c r="A18" s="987" t="s">
        <v>34</v>
      </c>
      <c r="B18" s="983"/>
      <c r="C18" s="983"/>
      <c r="D18" s="983"/>
      <c r="E18" s="983"/>
      <c r="F18" s="983"/>
      <c r="G18" s="983"/>
      <c r="H18" s="983"/>
      <c r="I18" s="983"/>
      <c r="J18" s="983"/>
      <c r="K18" s="983"/>
      <c r="L18" s="983"/>
      <c r="M18" s="983"/>
      <c r="N18" s="984"/>
      <c r="O18" s="988">
        <f>O17/N17-1</f>
        <v>-9.3112621933195694E-3</v>
      </c>
      <c r="P18" s="988">
        <f>P17/O17-1</f>
        <v>-2.1482918096374704E-2</v>
      </c>
      <c r="Q18" s="988">
        <f>Q17/P17-1</f>
        <v>-8.8199420643390813E-2</v>
      </c>
      <c r="R18" s="989">
        <f>R17/Q17-1</f>
        <v>-5.1082685394197802E-2</v>
      </c>
      <c r="S18" s="988">
        <f>S17/R17-1</f>
        <v>-0.75744493392070478</v>
      </c>
      <c r="T18" s="949"/>
      <c r="U18" s="949"/>
      <c r="V18" s="949"/>
      <c r="W18" s="949"/>
      <c r="X18" s="947"/>
      <c r="Y18" s="947"/>
      <c r="Z18" s="947"/>
      <c r="AA18" s="984"/>
      <c r="AB18" s="984"/>
      <c r="AC18" s="984"/>
      <c r="AD18" s="984"/>
      <c r="AE18" s="984"/>
      <c r="AF18" s="984"/>
      <c r="AG18" s="984"/>
      <c r="AH18" s="984"/>
      <c r="AI18" s="984"/>
      <c r="AJ18" s="984"/>
      <c r="AK18" s="984"/>
      <c r="AL18" s="984"/>
      <c r="AM18" s="984"/>
      <c r="AN18" s="984"/>
      <c r="AO18" s="984"/>
      <c r="AP18" s="984"/>
      <c r="AQ18" s="984"/>
      <c r="AR18" s="984"/>
      <c r="AS18" s="984"/>
      <c r="AT18" s="984"/>
      <c r="AU18" s="984"/>
      <c r="AV18" s="984"/>
      <c r="AW18" s="984"/>
      <c r="AX18" s="984"/>
      <c r="AY18" s="984"/>
      <c r="AZ18" s="984"/>
      <c r="BA18" s="984"/>
      <c r="BB18" s="984"/>
      <c r="BC18" s="984"/>
      <c r="BD18" s="984"/>
      <c r="BE18" s="984"/>
      <c r="BF18" s="984"/>
      <c r="BG18" s="984"/>
      <c r="BH18" s="984"/>
      <c r="BI18" s="984"/>
      <c r="BJ18" s="984"/>
      <c r="BK18" s="984"/>
      <c r="BL18" s="984"/>
      <c r="BM18" s="984"/>
      <c r="BN18" s="984"/>
      <c r="BO18" s="984"/>
      <c r="BP18" s="984"/>
      <c r="BQ18" s="984"/>
      <c r="BR18" s="938"/>
      <c r="BS18" s="347"/>
      <c r="BT18" s="347"/>
      <c r="BU18" s="347"/>
      <c r="BV18" s="990">
        <f t="shared" ref="BV18:CB18" si="15">BV17/BR17-1</f>
        <v>-2.3738872403560318E-3</v>
      </c>
      <c r="BW18" s="988">
        <f t="shared" si="15"/>
        <v>5.9470710675002536E-4</v>
      </c>
      <c r="BX18" s="988">
        <f t="shared" si="15"/>
        <v>-1.5910430170889778E-2</v>
      </c>
      <c r="BY18" s="988">
        <f t="shared" si="15"/>
        <v>-1.9383259911894268E-2</v>
      </c>
      <c r="BZ18" s="990">
        <f t="shared" si="15"/>
        <v>-1.2492563950029734E-2</v>
      </c>
      <c r="CA18" s="988">
        <f t="shared" si="15"/>
        <v>-2.1693907875185769E-2</v>
      </c>
      <c r="CB18" s="988">
        <f t="shared" si="15"/>
        <v>-1.5568862275449069E-2</v>
      </c>
      <c r="CC18" s="988">
        <f t="shared" ref="CC18:CK18" si="16">CC17/BY17-1</f>
        <v>-3.6238394728960732E-2</v>
      </c>
      <c r="CD18" s="990">
        <f t="shared" si="16"/>
        <v>-6.7771084337349352E-2</v>
      </c>
      <c r="CE18" s="988">
        <f t="shared" si="16"/>
        <v>-8.8396111786148257E-2</v>
      </c>
      <c r="CF18" s="988">
        <f t="shared" si="16"/>
        <v>-9.9756690997566899E-2</v>
      </c>
      <c r="CG18" s="988">
        <f t="shared" si="16"/>
        <v>-9.7265382224984487E-2</v>
      </c>
      <c r="CH18" s="990">
        <f t="shared" si="16"/>
        <v>-7.3667205169628436E-2</v>
      </c>
      <c r="CI18" s="988">
        <f t="shared" si="16"/>
        <v>-5.898033988670448E-2</v>
      </c>
      <c r="CJ18" s="988">
        <f t="shared" si="16"/>
        <v>-3.8851351351351315E-2</v>
      </c>
      <c r="CK18" s="988">
        <f t="shared" si="16"/>
        <v>-3.1325301204819245E-2</v>
      </c>
      <c r="CL18" s="990">
        <f>CL17/CH17-1</f>
        <v>-3.97628182769445E-2</v>
      </c>
    </row>
    <row r="19" spans="1:90">
      <c r="A19" s="993" t="s">
        <v>38</v>
      </c>
      <c r="B19" s="993"/>
      <c r="C19" s="993"/>
      <c r="D19" s="993"/>
      <c r="E19" s="993"/>
      <c r="F19" s="993"/>
      <c r="G19" s="993"/>
      <c r="H19" s="993"/>
      <c r="I19" s="993"/>
      <c r="J19" s="993"/>
      <c r="K19" s="993"/>
      <c r="L19" s="993"/>
      <c r="M19" s="993"/>
      <c r="N19" s="984">
        <f>SUM(BR19:BU19)</f>
        <v>391</v>
      </c>
      <c r="O19" s="984">
        <f>SUM(BV19:BY19)</f>
        <v>372</v>
      </c>
      <c r="P19" s="948">
        <f>SUM(BZ19:CC19)</f>
        <v>357</v>
      </c>
      <c r="Q19" s="948">
        <f>SUM(CD19:CG19)</f>
        <v>350</v>
      </c>
      <c r="R19" s="1002">
        <f>SUM(CH19:CK19)</f>
        <v>380</v>
      </c>
      <c r="S19" s="984">
        <f>SUM(CL19:CO19)</f>
        <v>93</v>
      </c>
      <c r="T19" s="949"/>
      <c r="U19" s="949"/>
      <c r="V19" s="949"/>
      <c r="W19" s="949"/>
      <c r="X19" s="947"/>
      <c r="Y19" s="947"/>
      <c r="Z19" s="947"/>
      <c r="AA19" s="984"/>
      <c r="AB19" s="984"/>
      <c r="AC19" s="984"/>
      <c r="AD19" s="984"/>
      <c r="AE19" s="984"/>
      <c r="AF19" s="984"/>
      <c r="AG19" s="984"/>
      <c r="AH19" s="984"/>
      <c r="AI19" s="984"/>
      <c r="AJ19" s="984"/>
      <c r="AK19" s="984"/>
      <c r="AL19" s="984"/>
      <c r="AM19" s="984"/>
      <c r="AN19" s="984"/>
      <c r="AO19" s="984"/>
      <c r="AP19" s="984"/>
      <c r="AQ19" s="984"/>
      <c r="AR19" s="984"/>
      <c r="AS19" s="984"/>
      <c r="AT19" s="984"/>
      <c r="AU19" s="984"/>
      <c r="AV19" s="984"/>
      <c r="AW19" s="984"/>
      <c r="AX19" s="984"/>
      <c r="AY19" s="984"/>
      <c r="AZ19" s="984"/>
      <c r="BA19" s="984"/>
      <c r="BB19" s="984"/>
      <c r="BC19" s="984"/>
      <c r="BD19" s="984"/>
      <c r="BE19" s="984"/>
      <c r="BF19" s="984"/>
      <c r="BG19" s="984"/>
      <c r="BH19" s="984"/>
      <c r="BI19" s="984"/>
      <c r="BJ19" s="984"/>
      <c r="BK19" s="984"/>
      <c r="BL19" s="984"/>
      <c r="BM19" s="984"/>
      <c r="BN19" s="984"/>
      <c r="BO19" s="984"/>
      <c r="BP19" s="984"/>
      <c r="BQ19" s="984"/>
      <c r="BR19" s="986">
        <f>BR225</f>
        <v>106</v>
      </c>
      <c r="BS19" s="984">
        <f t="shared" ref="BS19:BZ19" si="17">BS225</f>
        <v>109</v>
      </c>
      <c r="BT19" s="984">
        <f t="shared" si="17"/>
        <v>93</v>
      </c>
      <c r="BU19" s="984">
        <f t="shared" si="17"/>
        <v>83</v>
      </c>
      <c r="BV19" s="986">
        <f t="shared" si="17"/>
        <v>84</v>
      </c>
      <c r="BW19" s="984">
        <f t="shared" si="17"/>
        <v>98</v>
      </c>
      <c r="BX19" s="984">
        <f t="shared" si="17"/>
        <v>94</v>
      </c>
      <c r="BY19" s="984">
        <f t="shared" si="17"/>
        <v>96</v>
      </c>
      <c r="BZ19" s="986">
        <f t="shared" si="17"/>
        <v>79</v>
      </c>
      <c r="CA19" s="984">
        <f t="shared" ref="CA19:CF19" si="18">CA225</f>
        <v>90</v>
      </c>
      <c r="CB19" s="984">
        <f t="shared" si="18"/>
        <v>91</v>
      </c>
      <c r="CC19" s="984">
        <f t="shared" si="18"/>
        <v>97</v>
      </c>
      <c r="CD19" s="986">
        <f t="shared" si="18"/>
        <v>78</v>
      </c>
      <c r="CE19" s="984">
        <f>CE225</f>
        <v>89</v>
      </c>
      <c r="CF19" s="984">
        <f t="shared" si="18"/>
        <v>94</v>
      </c>
      <c r="CG19" s="984">
        <f t="shared" ref="CG19:CL19" si="19">CG225</f>
        <v>89</v>
      </c>
      <c r="CH19" s="986">
        <f t="shared" si="19"/>
        <v>99</v>
      </c>
      <c r="CI19" s="984">
        <f t="shared" si="19"/>
        <v>106</v>
      </c>
      <c r="CJ19" s="984">
        <f t="shared" si="19"/>
        <v>90</v>
      </c>
      <c r="CK19" s="984">
        <f t="shared" si="19"/>
        <v>85</v>
      </c>
      <c r="CL19" s="986">
        <f t="shared" si="19"/>
        <v>93</v>
      </c>
    </row>
    <row r="20" spans="1:90">
      <c r="A20" s="987" t="s">
        <v>34</v>
      </c>
      <c r="B20" s="983"/>
      <c r="C20" s="983"/>
      <c r="D20" s="983"/>
      <c r="E20" s="983"/>
      <c r="F20" s="983"/>
      <c r="G20" s="983"/>
      <c r="H20" s="983"/>
      <c r="I20" s="983"/>
      <c r="J20" s="983"/>
      <c r="K20" s="983"/>
      <c r="L20" s="983"/>
      <c r="M20" s="983"/>
      <c r="N20" s="984"/>
      <c r="O20" s="988">
        <f>O19/N19-1</f>
        <v>-4.8593350383631662E-2</v>
      </c>
      <c r="P20" s="988">
        <f>P19/O19-1</f>
        <v>-4.0322580645161255E-2</v>
      </c>
      <c r="Q20" s="988">
        <f>Q19/P19-1</f>
        <v>-1.9607843137254943E-2</v>
      </c>
      <c r="R20" s="989">
        <f>R19/Q19-1</f>
        <v>8.5714285714285632E-2</v>
      </c>
      <c r="S20" s="988">
        <f>S19/R19-1</f>
        <v>-0.75526315789473686</v>
      </c>
      <c r="T20" s="949"/>
      <c r="U20" s="949"/>
      <c r="V20" s="949"/>
      <c r="W20" s="949"/>
      <c r="X20" s="947"/>
      <c r="Y20" s="947"/>
      <c r="Z20" s="947"/>
      <c r="AA20" s="984"/>
      <c r="AB20" s="984"/>
      <c r="AC20" s="984"/>
      <c r="AD20" s="984"/>
      <c r="AE20" s="984"/>
      <c r="AF20" s="984"/>
      <c r="AG20" s="984"/>
      <c r="AH20" s="984"/>
      <c r="AI20" s="984"/>
      <c r="AJ20" s="984"/>
      <c r="AK20" s="984"/>
      <c r="AL20" s="984"/>
      <c r="AM20" s="984"/>
      <c r="AN20" s="984"/>
      <c r="AO20" s="984"/>
      <c r="AP20" s="984"/>
      <c r="AQ20" s="984"/>
      <c r="AR20" s="984"/>
      <c r="AS20" s="984"/>
      <c r="AT20" s="984"/>
      <c r="AU20" s="984"/>
      <c r="AV20" s="984"/>
      <c r="AW20" s="984"/>
      <c r="AX20" s="984"/>
      <c r="AY20" s="984"/>
      <c r="AZ20" s="984"/>
      <c r="BA20" s="984"/>
      <c r="BB20" s="984"/>
      <c r="BC20" s="984"/>
      <c r="BD20" s="984"/>
      <c r="BE20" s="984"/>
      <c r="BF20" s="984"/>
      <c r="BG20" s="984"/>
      <c r="BH20" s="984"/>
      <c r="BI20" s="984"/>
      <c r="BJ20" s="984"/>
      <c r="BK20" s="984"/>
      <c r="BL20" s="984"/>
      <c r="BM20" s="984"/>
      <c r="BN20" s="984"/>
      <c r="BO20" s="984"/>
      <c r="BP20" s="984"/>
      <c r="BQ20" s="984"/>
      <c r="BR20" s="938"/>
      <c r="BS20" s="347"/>
      <c r="BT20" s="347"/>
      <c r="BU20" s="347"/>
      <c r="BV20" s="990">
        <f t="shared" ref="BV20:CB20" si="20">BV19/BR19-1</f>
        <v>-0.20754716981132071</v>
      </c>
      <c r="BW20" s="988">
        <f t="shared" si="20"/>
        <v>-0.1009174311926605</v>
      </c>
      <c r="BX20" s="988">
        <f t="shared" si="20"/>
        <v>1.0752688172043001E-2</v>
      </c>
      <c r="BY20" s="988">
        <f t="shared" si="20"/>
        <v>0.15662650602409633</v>
      </c>
      <c r="BZ20" s="990">
        <f t="shared" si="20"/>
        <v>-5.9523809523809534E-2</v>
      </c>
      <c r="CA20" s="988">
        <f t="shared" si="20"/>
        <v>-8.1632653061224469E-2</v>
      </c>
      <c r="CB20" s="988">
        <f t="shared" si="20"/>
        <v>-3.1914893617021267E-2</v>
      </c>
      <c r="CC20" s="988">
        <f t="shared" ref="CC20:CK20" si="21">CC19/BY19-1</f>
        <v>1.0416666666666741E-2</v>
      </c>
      <c r="CD20" s="990">
        <f t="shared" si="21"/>
        <v>-1.2658227848101222E-2</v>
      </c>
      <c r="CE20" s="988">
        <f t="shared" si="21"/>
        <v>-1.1111111111111072E-2</v>
      </c>
      <c r="CF20" s="988">
        <f t="shared" si="21"/>
        <v>3.2967032967033072E-2</v>
      </c>
      <c r="CG20" s="988">
        <f t="shared" si="21"/>
        <v>-8.2474226804123751E-2</v>
      </c>
      <c r="CH20" s="990">
        <f t="shared" si="21"/>
        <v>0.26923076923076916</v>
      </c>
      <c r="CI20" s="988">
        <f t="shared" si="21"/>
        <v>0.1910112359550562</v>
      </c>
      <c r="CJ20" s="988">
        <f t="shared" si="21"/>
        <v>-4.2553191489361653E-2</v>
      </c>
      <c r="CK20" s="988">
        <f t="shared" si="21"/>
        <v>-4.49438202247191E-2</v>
      </c>
      <c r="CL20" s="990">
        <f>CL19/CH19-1</f>
        <v>-6.0606060606060552E-2</v>
      </c>
    </row>
    <row r="21" spans="1:90" ht="15">
      <c r="A21" s="994" t="s">
        <v>39</v>
      </c>
      <c r="B21" s="994"/>
      <c r="C21" s="994"/>
      <c r="D21" s="994"/>
      <c r="E21" s="271"/>
      <c r="F21" s="271"/>
      <c r="G21" s="271"/>
      <c r="H21" s="271"/>
      <c r="I21" s="271"/>
      <c r="J21" s="271">
        <f>Q_IS!J34</f>
        <v>15371</v>
      </c>
      <c r="K21" s="271">
        <f>Q_IS!K34</f>
        <v>14288</v>
      </c>
      <c r="L21" s="271">
        <f>Q_IS!L34</f>
        <v>13809</v>
      </c>
      <c r="M21" s="271">
        <f>Q_IS!M34</f>
        <v>13903</v>
      </c>
      <c r="N21" s="271">
        <f t="shared" ref="N21:S21" si="22">SUM(N17,N19)</f>
        <v>13923</v>
      </c>
      <c r="O21" s="271">
        <f t="shared" si="22"/>
        <v>13778</v>
      </c>
      <c r="P21" s="271">
        <f t="shared" si="22"/>
        <v>13475</v>
      </c>
      <c r="Q21" s="271">
        <f t="shared" si="22"/>
        <v>12311</v>
      </c>
      <c r="R21" s="223">
        <f t="shared" si="22"/>
        <v>11730</v>
      </c>
      <c r="S21" s="271">
        <f t="shared" si="22"/>
        <v>2846</v>
      </c>
      <c r="T21" s="949"/>
      <c r="U21" s="949"/>
      <c r="V21" s="949"/>
      <c r="W21" s="949"/>
      <c r="X21" s="947"/>
      <c r="Y21" s="947"/>
      <c r="Z21" s="947"/>
      <c r="AA21" s="995"/>
      <c r="AB21" s="995"/>
      <c r="AC21" s="995"/>
      <c r="AD21" s="995"/>
      <c r="AE21" s="995"/>
      <c r="AF21" s="995"/>
      <c r="AG21" s="995"/>
      <c r="AH21" s="995"/>
      <c r="AI21" s="995"/>
      <c r="AJ21" s="995"/>
      <c r="AK21" s="995"/>
      <c r="AL21" s="995"/>
      <c r="AM21" s="995"/>
      <c r="AN21" s="995"/>
      <c r="AO21" s="995"/>
      <c r="AP21" s="995"/>
      <c r="AQ21" s="995"/>
      <c r="AR21" s="995"/>
      <c r="AS21" s="995"/>
      <c r="AT21" s="995"/>
      <c r="AU21" s="995"/>
      <c r="AV21" s="995"/>
      <c r="AW21" s="995"/>
      <c r="AX21" s="995"/>
      <c r="AY21" s="995"/>
      <c r="AZ21" s="995"/>
      <c r="BA21" s="995"/>
      <c r="BB21" s="995"/>
      <c r="BC21" s="995"/>
      <c r="BD21" s="995"/>
      <c r="BE21" s="995"/>
      <c r="BF21" s="995"/>
      <c r="BG21" s="995"/>
      <c r="BH21" s="995"/>
      <c r="BI21" s="995"/>
      <c r="BJ21" s="996">
        <v>3481</v>
      </c>
      <c r="BK21" s="996">
        <v>3442</v>
      </c>
      <c r="BL21" s="996">
        <v>3449</v>
      </c>
      <c r="BM21" s="996">
        <v>3437</v>
      </c>
      <c r="BN21" s="996">
        <v>3449</v>
      </c>
      <c r="BO21" s="996">
        <v>3470</v>
      </c>
      <c r="BP21" s="996">
        <v>3504</v>
      </c>
      <c r="BQ21" s="996">
        <v>3480</v>
      </c>
      <c r="BR21" s="940">
        <f t="shared" ref="BR21:BY21" si="23">SUM(BR17,BR19)</f>
        <v>3476</v>
      </c>
      <c r="BS21" s="271">
        <f t="shared" si="23"/>
        <v>3472</v>
      </c>
      <c r="BT21" s="271">
        <f t="shared" si="23"/>
        <v>3487</v>
      </c>
      <c r="BU21" s="271">
        <f t="shared" si="23"/>
        <v>3488</v>
      </c>
      <c r="BV21" s="940">
        <f t="shared" si="23"/>
        <v>3446</v>
      </c>
      <c r="BW21" s="271">
        <f t="shared" si="23"/>
        <v>3463</v>
      </c>
      <c r="BX21" s="271">
        <f t="shared" si="23"/>
        <v>3434</v>
      </c>
      <c r="BY21" s="271">
        <f t="shared" si="23"/>
        <v>3435</v>
      </c>
      <c r="BZ21" s="940">
        <f t="shared" ref="BZ21:CF21" si="24">SUM(BZ17,BZ19)</f>
        <v>3399</v>
      </c>
      <c r="CA21" s="271">
        <f t="shared" si="24"/>
        <v>3382</v>
      </c>
      <c r="CB21" s="271">
        <f t="shared" si="24"/>
        <v>3379</v>
      </c>
      <c r="CC21" s="271">
        <f t="shared" si="24"/>
        <v>3315</v>
      </c>
      <c r="CD21" s="940">
        <f t="shared" si="24"/>
        <v>3173</v>
      </c>
      <c r="CE21" s="271">
        <f>SUM(CE17,CE19)</f>
        <v>3090</v>
      </c>
      <c r="CF21" s="271">
        <f t="shared" si="24"/>
        <v>3054</v>
      </c>
      <c r="CG21" s="271">
        <f t="shared" ref="CG21:CL21" si="25">SUM(CG17,CG19)</f>
        <v>2994</v>
      </c>
      <c r="CH21" s="940">
        <f t="shared" si="25"/>
        <v>2966</v>
      </c>
      <c r="CI21" s="271">
        <f t="shared" si="25"/>
        <v>2930</v>
      </c>
      <c r="CJ21" s="271">
        <f t="shared" si="25"/>
        <v>2935</v>
      </c>
      <c r="CK21" s="271">
        <f t="shared" si="25"/>
        <v>2899</v>
      </c>
      <c r="CL21" s="940">
        <f t="shared" si="25"/>
        <v>2846</v>
      </c>
    </row>
    <row r="22" spans="1:90">
      <c r="A22" s="987" t="s">
        <v>34</v>
      </c>
      <c r="B22" s="983"/>
      <c r="C22" s="983"/>
      <c r="D22" s="983"/>
      <c r="E22" s="983"/>
      <c r="F22" s="983"/>
      <c r="G22" s="983"/>
      <c r="H22" s="983"/>
      <c r="I22" s="983"/>
      <c r="J22" s="983"/>
      <c r="K22" s="988">
        <f t="shared" ref="K22:S22" si="26">K21/J21-1</f>
        <v>-7.0457354758961643E-2</v>
      </c>
      <c r="L22" s="988">
        <f t="shared" si="26"/>
        <v>-3.3524636058230639E-2</v>
      </c>
      <c r="M22" s="988">
        <f t="shared" si="26"/>
        <v>6.8071547541459498E-3</v>
      </c>
      <c r="N22" s="988">
        <f t="shared" si="26"/>
        <v>1.4385384449400185E-3</v>
      </c>
      <c r="O22" s="988">
        <f t="shared" si="26"/>
        <v>-1.0414422179128024E-2</v>
      </c>
      <c r="P22" s="988">
        <f t="shared" si="26"/>
        <v>-2.19915807809552E-2</v>
      </c>
      <c r="Q22" s="988">
        <f t="shared" si="26"/>
        <v>-8.6382189239332052E-2</v>
      </c>
      <c r="R22" s="989">
        <f t="shared" si="26"/>
        <v>-4.7193566728941594E-2</v>
      </c>
      <c r="S22" s="988">
        <f t="shared" si="26"/>
        <v>-0.75737425404944592</v>
      </c>
      <c r="T22" s="949"/>
      <c r="U22" s="949"/>
      <c r="V22" s="949"/>
      <c r="W22" s="949"/>
      <c r="X22" s="947"/>
      <c r="Y22" s="947"/>
      <c r="Z22" s="947"/>
      <c r="AA22" s="984"/>
      <c r="AB22" s="984"/>
      <c r="AC22" s="984"/>
      <c r="AD22" s="984"/>
      <c r="AE22" s="984"/>
      <c r="AF22" s="984"/>
      <c r="AG22" s="984"/>
      <c r="AH22" s="984"/>
      <c r="AI22" s="984"/>
      <c r="AJ22" s="984"/>
      <c r="AK22" s="984"/>
      <c r="AL22" s="984"/>
      <c r="AM22" s="984"/>
      <c r="AN22" s="984"/>
      <c r="AO22" s="984"/>
      <c r="AP22" s="984"/>
      <c r="AQ22" s="984"/>
      <c r="AR22" s="984"/>
      <c r="AS22" s="984"/>
      <c r="AT22" s="984"/>
      <c r="AU22" s="984"/>
      <c r="AV22" s="984"/>
      <c r="AW22" s="984"/>
      <c r="AX22" s="984"/>
      <c r="AY22" s="984"/>
      <c r="AZ22" s="984"/>
      <c r="BA22" s="984"/>
      <c r="BB22" s="984"/>
      <c r="BC22" s="984"/>
      <c r="BD22" s="984"/>
      <c r="BE22" s="984"/>
      <c r="BF22" s="984"/>
      <c r="BG22" s="984"/>
      <c r="BH22" s="984"/>
      <c r="BI22" s="984"/>
      <c r="BJ22" s="984"/>
      <c r="BK22" s="984"/>
      <c r="BL22" s="984"/>
      <c r="BM22" s="984"/>
      <c r="BN22" s="988">
        <f t="shared" ref="BN22:BU22" si="27">BN21/BJ21-1</f>
        <v>-9.1927607009479884E-3</v>
      </c>
      <c r="BO22" s="988">
        <f t="shared" si="27"/>
        <v>8.1348053457293013E-3</v>
      </c>
      <c r="BP22" s="988">
        <f t="shared" si="27"/>
        <v>1.5946651203247342E-2</v>
      </c>
      <c r="BQ22" s="988">
        <f t="shared" si="27"/>
        <v>1.2510910677916875E-2</v>
      </c>
      <c r="BR22" s="990">
        <f t="shared" si="27"/>
        <v>7.8283560452305778E-3</v>
      </c>
      <c r="BS22" s="988">
        <f t="shared" si="27"/>
        <v>5.7636887608070175E-4</v>
      </c>
      <c r="BT22" s="988">
        <f t="shared" si="27"/>
        <v>-4.8515981735159919E-3</v>
      </c>
      <c r="BU22" s="988">
        <f t="shared" si="27"/>
        <v>2.2988505747125743E-3</v>
      </c>
      <c r="BV22" s="990">
        <f t="shared" ref="BV22:CB22" si="28">BV21/BR21-1</f>
        <v>-8.6306098964327171E-3</v>
      </c>
      <c r="BW22" s="988">
        <f t="shared" si="28"/>
        <v>-2.5921658986175489E-3</v>
      </c>
      <c r="BX22" s="988">
        <f t="shared" si="28"/>
        <v>-1.5199311729280129E-2</v>
      </c>
      <c r="BY22" s="988">
        <f t="shared" si="28"/>
        <v>-1.5194954128440408E-2</v>
      </c>
      <c r="BZ22" s="990">
        <f t="shared" si="28"/>
        <v>-1.3639001741149182E-2</v>
      </c>
      <c r="CA22" s="988">
        <f t="shared" si="28"/>
        <v>-2.3390124169795024E-2</v>
      </c>
      <c r="CB22" s="988">
        <f t="shared" si="28"/>
        <v>-1.6016307513104233E-2</v>
      </c>
      <c r="CC22" s="988">
        <f t="shared" ref="CC22:CK22" si="29">CC21/BY21-1</f>
        <v>-3.4934497816593857E-2</v>
      </c>
      <c r="CD22" s="990">
        <f t="shared" si="29"/>
        <v>-6.649014416004706E-2</v>
      </c>
      <c r="CE22" s="988">
        <f t="shared" si="29"/>
        <v>-8.6339444115907771E-2</v>
      </c>
      <c r="CF22" s="988">
        <f t="shared" si="29"/>
        <v>-9.6182302456348068E-2</v>
      </c>
      <c r="CG22" s="988">
        <f t="shared" si="29"/>
        <v>-9.6832579185520351E-2</v>
      </c>
      <c r="CH22" s="990">
        <f t="shared" si="29"/>
        <v>-6.5237945162306965E-2</v>
      </c>
      <c r="CI22" s="988">
        <f t="shared" si="29"/>
        <v>-5.1779935275080957E-2</v>
      </c>
      <c r="CJ22" s="988">
        <f t="shared" si="29"/>
        <v>-3.8965291421087067E-2</v>
      </c>
      <c r="CK22" s="988">
        <f t="shared" si="29"/>
        <v>-3.1730126920507695E-2</v>
      </c>
      <c r="CL22" s="990">
        <f>CL21/CH21-1</f>
        <v>-4.0458530006743043E-2</v>
      </c>
    </row>
    <row r="23" spans="1:90" outlineLevel="1">
      <c r="A23" s="976" t="s">
        <v>325</v>
      </c>
      <c r="B23" s="977"/>
      <c r="C23" s="977"/>
      <c r="D23" s="977"/>
      <c r="E23" s="977"/>
      <c r="F23" s="977"/>
      <c r="G23" s="977"/>
      <c r="H23" s="977"/>
      <c r="I23" s="977"/>
      <c r="J23" s="977"/>
      <c r="K23" s="977"/>
      <c r="L23" s="977"/>
      <c r="M23" s="977"/>
      <c r="N23" s="977"/>
      <c r="O23" s="977"/>
      <c r="P23" s="978"/>
      <c r="Q23" s="978"/>
      <c r="R23" s="979"/>
      <c r="S23" s="977"/>
      <c r="T23" s="949"/>
      <c r="U23" s="949"/>
      <c r="V23" s="949"/>
      <c r="W23" s="949"/>
      <c r="X23" s="947"/>
      <c r="Y23" s="947"/>
      <c r="Z23" s="947"/>
      <c r="AA23" s="977"/>
      <c r="AB23" s="977"/>
      <c r="AC23" s="977"/>
      <c r="AD23" s="977"/>
      <c r="AE23" s="977"/>
      <c r="AF23" s="977"/>
      <c r="AG23" s="977"/>
      <c r="AH23" s="977"/>
      <c r="AI23" s="977"/>
      <c r="AJ23" s="977"/>
      <c r="AK23" s="977"/>
      <c r="AL23" s="977"/>
      <c r="AM23" s="977"/>
      <c r="AN23" s="977"/>
      <c r="AO23" s="977"/>
      <c r="AP23" s="977"/>
      <c r="AQ23" s="977"/>
      <c r="AR23" s="977"/>
      <c r="AS23" s="977"/>
      <c r="AT23" s="977"/>
      <c r="AU23" s="977"/>
      <c r="AV23" s="977"/>
      <c r="AW23" s="977"/>
      <c r="AX23" s="977"/>
      <c r="AY23" s="977"/>
      <c r="AZ23" s="977"/>
      <c r="BA23" s="977"/>
      <c r="BB23" s="977"/>
      <c r="BC23" s="977"/>
      <c r="BD23" s="977"/>
      <c r="BE23" s="977"/>
      <c r="BF23" s="977"/>
      <c r="BG23" s="977"/>
      <c r="BH23" s="977"/>
      <c r="BI23" s="977"/>
      <c r="BJ23" s="977"/>
      <c r="BK23" s="977"/>
      <c r="BL23" s="977"/>
      <c r="BM23" s="977"/>
      <c r="BN23" s="977"/>
      <c r="BO23" s="977"/>
      <c r="BP23" s="977"/>
      <c r="BQ23" s="977"/>
      <c r="BR23" s="981"/>
      <c r="BS23" s="977"/>
      <c r="BT23" s="977"/>
      <c r="BU23" s="977"/>
      <c r="BV23" s="981"/>
      <c r="BW23" s="977"/>
      <c r="BX23" s="977"/>
      <c r="BY23" s="977"/>
      <c r="BZ23" s="981"/>
      <c r="CA23" s="977"/>
      <c r="CB23" s="977"/>
      <c r="CC23" s="977"/>
      <c r="CD23" s="981"/>
      <c r="CE23" s="977"/>
      <c r="CF23" s="977"/>
      <c r="CG23" s="977"/>
      <c r="CH23" s="981"/>
      <c r="CI23" s="977"/>
      <c r="CJ23" s="977"/>
      <c r="CK23" s="977"/>
      <c r="CL23" s="981"/>
    </row>
    <row r="24" spans="1:90" hidden="1" outlineLevel="2">
      <c r="A24" s="997" t="s">
        <v>40</v>
      </c>
      <c r="B24" s="997"/>
      <c r="C24" s="997"/>
      <c r="D24" s="997"/>
      <c r="E24" s="997"/>
      <c r="F24" s="997"/>
      <c r="G24" s="997"/>
      <c r="H24" s="997"/>
      <c r="I24" s="997"/>
      <c r="J24" s="997"/>
      <c r="K24" s="997"/>
      <c r="L24" s="997"/>
      <c r="M24" s="997"/>
      <c r="N24" s="984">
        <f>SUM(BR24:BU24)</f>
        <v>1424</v>
      </c>
      <c r="O24" s="984">
        <f>SUM(BV24:BY24)</f>
        <v>1383</v>
      </c>
      <c r="P24" s="948">
        <f>SUM(BZ24:CC24)</f>
        <v>1276</v>
      </c>
      <c r="Q24" s="948">
        <f>SUM(CD24:CG24)</f>
        <v>1112</v>
      </c>
      <c r="R24" s="985"/>
      <c r="S24" s="984"/>
      <c r="T24" s="949"/>
      <c r="U24" s="949"/>
      <c r="V24" s="949"/>
      <c r="W24" s="949"/>
      <c r="X24" s="947"/>
      <c r="Y24" s="947"/>
      <c r="Z24" s="947"/>
      <c r="AA24" s="984"/>
      <c r="AB24" s="984"/>
      <c r="AC24" s="984"/>
      <c r="AD24" s="984"/>
      <c r="AE24" s="984"/>
      <c r="AF24" s="984"/>
      <c r="AG24" s="984"/>
      <c r="AH24" s="984"/>
      <c r="AI24" s="984"/>
      <c r="AJ24" s="984"/>
      <c r="AK24" s="984"/>
      <c r="AL24" s="984"/>
      <c r="AM24" s="984"/>
      <c r="AN24" s="984"/>
      <c r="AO24" s="984"/>
      <c r="AP24" s="984"/>
      <c r="AQ24" s="984"/>
      <c r="AR24" s="984"/>
      <c r="AS24" s="984"/>
      <c r="AT24" s="984"/>
      <c r="AU24" s="984"/>
      <c r="AV24" s="984"/>
      <c r="AW24" s="984"/>
      <c r="AX24" s="984"/>
      <c r="AY24" s="984"/>
      <c r="AZ24" s="984"/>
      <c r="BA24" s="984"/>
      <c r="BB24" s="984"/>
      <c r="BC24" s="984"/>
      <c r="BD24" s="984"/>
      <c r="BE24" s="984"/>
      <c r="BF24" s="984"/>
      <c r="BG24" s="984"/>
      <c r="BH24" s="984"/>
      <c r="BI24" s="984"/>
      <c r="BJ24" s="984"/>
      <c r="BK24" s="984"/>
      <c r="BL24" s="984"/>
      <c r="BM24" s="984"/>
      <c r="BN24" s="984"/>
      <c r="BO24" s="984"/>
      <c r="BP24" s="984"/>
      <c r="BQ24" s="984"/>
      <c r="BR24" s="938">
        <v>349</v>
      </c>
      <c r="BS24" s="348">
        <v>349</v>
      </c>
      <c r="BT24" s="348">
        <v>377</v>
      </c>
      <c r="BU24" s="348">
        <v>349</v>
      </c>
      <c r="BV24" s="938">
        <v>350</v>
      </c>
      <c r="BW24" s="348">
        <v>347</v>
      </c>
      <c r="BX24" s="348">
        <v>347</v>
      </c>
      <c r="BY24" s="348">
        <v>339</v>
      </c>
      <c r="BZ24" s="350">
        <f>375-45</f>
        <v>330</v>
      </c>
      <c r="CA24" s="354">
        <v>314</v>
      </c>
      <c r="CB24" s="354">
        <f>373-30</f>
        <v>343</v>
      </c>
      <c r="CC24" s="354">
        <f>308-19</f>
        <v>289</v>
      </c>
      <c r="CD24" s="350">
        <f>295-23</f>
        <v>272</v>
      </c>
      <c r="CE24" s="354">
        <f>301-23</f>
        <v>278</v>
      </c>
      <c r="CF24" s="354">
        <f>306-11</f>
        <v>295</v>
      </c>
      <c r="CG24" s="354">
        <f>323-56</f>
        <v>267</v>
      </c>
      <c r="CH24" s="986"/>
      <c r="CI24" s="984"/>
      <c r="CJ24" s="984"/>
      <c r="CK24" s="984"/>
      <c r="CL24" s="998"/>
    </row>
    <row r="25" spans="1:90" hidden="1" outlineLevel="2">
      <c r="A25" s="997" t="s">
        <v>41</v>
      </c>
      <c r="B25" s="997"/>
      <c r="C25" s="997"/>
      <c r="D25" s="997"/>
      <c r="E25" s="997"/>
      <c r="F25" s="997"/>
      <c r="G25" s="997"/>
      <c r="H25" s="997"/>
      <c r="I25" s="997"/>
      <c r="J25" s="997"/>
      <c r="K25" s="997"/>
      <c r="L25" s="997"/>
      <c r="M25" s="997"/>
      <c r="N25" s="984">
        <f>SUM(BR25:BU25)</f>
        <v>3515</v>
      </c>
      <c r="O25" s="984">
        <f>SUM(BV25:BY25)</f>
        <v>3320</v>
      </c>
      <c r="P25" s="948">
        <f>SUM(BZ25:CC25)</f>
        <v>3215</v>
      </c>
      <c r="Q25" s="948">
        <f>SUM(CD25:CG25)</f>
        <v>2493</v>
      </c>
      <c r="R25" s="985"/>
      <c r="S25" s="984"/>
      <c r="T25" s="949"/>
      <c r="U25" s="949"/>
      <c r="V25" s="949"/>
      <c r="W25" s="949"/>
      <c r="X25" s="947"/>
      <c r="Y25" s="947"/>
      <c r="Z25" s="947"/>
      <c r="AA25" s="984"/>
      <c r="AB25" s="984"/>
      <c r="AC25" s="984"/>
      <c r="AD25" s="984"/>
      <c r="AE25" s="984"/>
      <c r="AF25" s="984"/>
      <c r="AG25" s="984"/>
      <c r="AH25" s="984"/>
      <c r="AI25" s="984"/>
      <c r="AJ25" s="984"/>
      <c r="AK25" s="984"/>
      <c r="AL25" s="984"/>
      <c r="AM25" s="984"/>
      <c r="AN25" s="984"/>
      <c r="AO25" s="984"/>
      <c r="AP25" s="984"/>
      <c r="AQ25" s="984"/>
      <c r="AR25" s="984"/>
      <c r="AS25" s="984"/>
      <c r="AT25" s="984"/>
      <c r="AU25" s="984"/>
      <c r="AV25" s="984"/>
      <c r="AW25" s="984"/>
      <c r="AX25" s="984"/>
      <c r="AY25" s="984"/>
      <c r="AZ25" s="984"/>
      <c r="BA25" s="984"/>
      <c r="BB25" s="984"/>
      <c r="BC25" s="984"/>
      <c r="BD25" s="984"/>
      <c r="BE25" s="984"/>
      <c r="BF25" s="984"/>
      <c r="BG25" s="984"/>
      <c r="BH25" s="984"/>
      <c r="BI25" s="984"/>
      <c r="BJ25" s="984"/>
      <c r="BK25" s="984"/>
      <c r="BL25" s="984"/>
      <c r="BM25" s="984"/>
      <c r="BN25" s="984"/>
      <c r="BO25" s="984"/>
      <c r="BP25" s="984"/>
      <c r="BQ25" s="984"/>
      <c r="BR25" s="986">
        <f>SUM(BR27:BR29)</f>
        <v>887</v>
      </c>
      <c r="BS25" s="991">
        <f t="shared" ref="BS25:BZ25" si="30">SUM(BS27:BS29)</f>
        <v>868</v>
      </c>
      <c r="BT25" s="991">
        <f t="shared" si="30"/>
        <v>847</v>
      </c>
      <c r="BU25" s="991">
        <f t="shared" si="30"/>
        <v>913</v>
      </c>
      <c r="BV25" s="986">
        <f t="shared" si="30"/>
        <v>828</v>
      </c>
      <c r="BW25" s="991">
        <f t="shared" si="30"/>
        <v>822</v>
      </c>
      <c r="BX25" s="991">
        <f t="shared" si="30"/>
        <v>825</v>
      </c>
      <c r="BY25" s="991">
        <f t="shared" si="30"/>
        <v>845</v>
      </c>
      <c r="BZ25" s="350">
        <f t="shared" si="30"/>
        <v>806</v>
      </c>
      <c r="CA25" s="354">
        <f t="shared" ref="CA25:CF25" si="31">SUM(CA27:CA29)</f>
        <v>835</v>
      </c>
      <c r="CB25" s="354">
        <f t="shared" si="31"/>
        <v>859</v>
      </c>
      <c r="CC25" s="354">
        <f t="shared" si="31"/>
        <v>715</v>
      </c>
      <c r="CD25" s="350">
        <f t="shared" si="31"/>
        <v>633</v>
      </c>
      <c r="CE25" s="354">
        <f t="shared" si="31"/>
        <v>633</v>
      </c>
      <c r="CF25" s="354">
        <f t="shared" si="31"/>
        <v>626</v>
      </c>
      <c r="CG25" s="354">
        <f>SUM(CG27:CG29)</f>
        <v>601</v>
      </c>
      <c r="CH25" s="986"/>
      <c r="CI25" s="984"/>
      <c r="CJ25" s="984"/>
      <c r="CK25" s="984"/>
      <c r="CL25" s="998"/>
    </row>
    <row r="26" spans="1:90" hidden="1" outlineLevel="2">
      <c r="A26" s="987" t="s">
        <v>34</v>
      </c>
      <c r="B26" s="997"/>
      <c r="C26" s="997"/>
      <c r="D26" s="997"/>
      <c r="E26" s="997"/>
      <c r="F26" s="997"/>
      <c r="G26" s="997"/>
      <c r="H26" s="997"/>
      <c r="I26" s="997"/>
      <c r="J26" s="997"/>
      <c r="K26" s="997"/>
      <c r="L26" s="997"/>
      <c r="M26" s="997"/>
      <c r="N26" s="984"/>
      <c r="O26" s="984"/>
      <c r="P26" s="988">
        <f>P25/O25-1</f>
        <v>-3.1626506024096335E-2</v>
      </c>
      <c r="Q26" s="988">
        <f>Q25/P25-1</f>
        <v>-0.22457231726283045</v>
      </c>
      <c r="R26" s="989"/>
      <c r="S26" s="363"/>
      <c r="T26" s="949"/>
      <c r="U26" s="949"/>
      <c r="V26" s="949"/>
      <c r="W26" s="949"/>
      <c r="X26" s="999"/>
      <c r="Y26" s="947"/>
      <c r="Z26" s="947"/>
      <c r="AA26" s="984"/>
      <c r="AB26" s="984"/>
      <c r="AC26" s="984"/>
      <c r="AD26" s="984"/>
      <c r="AE26" s="984"/>
      <c r="AF26" s="984"/>
      <c r="AG26" s="984"/>
      <c r="AH26" s="984"/>
      <c r="AI26" s="984"/>
      <c r="AJ26" s="984"/>
      <c r="AK26" s="984"/>
      <c r="AL26" s="984"/>
      <c r="AM26" s="984"/>
      <c r="AN26" s="984"/>
      <c r="AO26" s="984"/>
      <c r="AP26" s="984"/>
      <c r="AQ26" s="984"/>
      <c r="AR26" s="984"/>
      <c r="AS26" s="984"/>
      <c r="AT26" s="984"/>
      <c r="AU26" s="984"/>
      <c r="AV26" s="984"/>
      <c r="AW26" s="984"/>
      <c r="AX26" s="984"/>
      <c r="AY26" s="984"/>
      <c r="AZ26" s="984"/>
      <c r="BA26" s="984"/>
      <c r="BB26" s="984"/>
      <c r="BC26" s="984"/>
      <c r="BD26" s="984"/>
      <c r="BE26" s="984"/>
      <c r="BF26" s="984"/>
      <c r="BG26" s="984"/>
      <c r="BH26" s="984"/>
      <c r="BI26" s="984"/>
      <c r="BJ26" s="984"/>
      <c r="BK26" s="984"/>
      <c r="BL26" s="984"/>
      <c r="BM26" s="984"/>
      <c r="BN26" s="984"/>
      <c r="BO26" s="984"/>
      <c r="BP26" s="984"/>
      <c r="BQ26" s="984"/>
      <c r="BR26" s="986"/>
      <c r="BS26" s="991"/>
      <c r="BT26" s="991"/>
      <c r="BU26" s="991"/>
      <c r="BV26" s="986"/>
      <c r="BW26" s="991"/>
      <c r="BX26" s="991"/>
      <c r="BY26" s="991"/>
      <c r="BZ26" s="352">
        <f t="shared" ref="BZ26:CG26" si="32">BZ25/BV25-1</f>
        <v>-2.6570048309178751E-2</v>
      </c>
      <c r="CA26" s="353">
        <f t="shared" si="32"/>
        <v>1.5815085158150888E-2</v>
      </c>
      <c r="CB26" s="353">
        <f t="shared" si="32"/>
        <v>4.1212121212121255E-2</v>
      </c>
      <c r="CC26" s="353">
        <f t="shared" si="32"/>
        <v>-0.15384615384615385</v>
      </c>
      <c r="CD26" s="352">
        <f t="shared" si="32"/>
        <v>-0.21464019851116622</v>
      </c>
      <c r="CE26" s="353">
        <f t="shared" si="32"/>
        <v>-0.24191616766467061</v>
      </c>
      <c r="CF26" s="353">
        <f t="shared" si="32"/>
        <v>-0.27124563445867289</v>
      </c>
      <c r="CG26" s="353">
        <f t="shared" si="32"/>
        <v>-0.15944055944055946</v>
      </c>
      <c r="CH26" s="1000"/>
      <c r="CI26" s="363"/>
      <c r="CJ26" s="363"/>
      <c r="CK26" s="363"/>
      <c r="CL26" s="998"/>
    </row>
    <row r="27" spans="1:90" hidden="1" outlineLevel="2">
      <c r="A27" s="1001" t="s">
        <v>42</v>
      </c>
      <c r="B27" s="997"/>
      <c r="C27" s="997"/>
      <c r="D27" s="997"/>
      <c r="E27" s="997"/>
      <c r="F27" s="997"/>
      <c r="G27" s="997"/>
      <c r="H27" s="997"/>
      <c r="I27" s="997"/>
      <c r="J27" s="997"/>
      <c r="K27" s="997"/>
      <c r="L27" s="997"/>
      <c r="M27" s="997"/>
      <c r="N27" s="984">
        <f>SUM(BR27:BU27)</f>
        <v>2489</v>
      </c>
      <c r="O27" s="984">
        <f>SUM(BV27:BY27)</f>
        <v>2264</v>
      </c>
      <c r="P27" s="948">
        <f>SUM(BZ27:CC27)</f>
        <v>2121</v>
      </c>
      <c r="Q27" s="984">
        <f>SUM(CD27:CG27)</f>
        <v>1571</v>
      </c>
      <c r="R27" s="1002"/>
      <c r="S27" s="984"/>
      <c r="T27" s="949"/>
      <c r="U27" s="949"/>
      <c r="V27" s="949"/>
      <c r="W27" s="949"/>
      <c r="X27" s="947"/>
      <c r="Y27" s="947"/>
      <c r="Z27" s="947"/>
      <c r="AA27" s="984"/>
      <c r="AB27" s="984"/>
      <c r="AC27" s="984"/>
      <c r="AD27" s="984"/>
      <c r="AE27" s="984"/>
      <c r="AF27" s="984"/>
      <c r="AG27" s="984"/>
      <c r="AH27" s="984"/>
      <c r="AI27" s="984"/>
      <c r="AJ27" s="984"/>
      <c r="AK27" s="984"/>
      <c r="AL27" s="984"/>
      <c r="AM27" s="984"/>
      <c r="AN27" s="984"/>
      <c r="AO27" s="984"/>
      <c r="AP27" s="984"/>
      <c r="AQ27" s="984"/>
      <c r="AR27" s="984"/>
      <c r="AS27" s="984"/>
      <c r="AT27" s="984"/>
      <c r="AU27" s="984"/>
      <c r="AV27" s="984"/>
      <c r="AW27" s="984"/>
      <c r="AX27" s="984"/>
      <c r="AY27" s="984"/>
      <c r="AZ27" s="984"/>
      <c r="BA27" s="984"/>
      <c r="BB27" s="984"/>
      <c r="BC27" s="984"/>
      <c r="BD27" s="984"/>
      <c r="BE27" s="984"/>
      <c r="BF27" s="984"/>
      <c r="BG27" s="984"/>
      <c r="BH27" s="984"/>
      <c r="BI27" s="984"/>
      <c r="BJ27" s="984"/>
      <c r="BK27" s="984"/>
      <c r="BL27" s="984"/>
      <c r="BM27" s="984"/>
      <c r="BN27" s="984"/>
      <c r="BO27" s="984"/>
      <c r="BP27" s="984"/>
      <c r="BQ27" s="984"/>
      <c r="BR27" s="938">
        <v>628</v>
      </c>
      <c r="BS27" s="347">
        <v>622</v>
      </c>
      <c r="BT27" s="347">
        <v>597</v>
      </c>
      <c r="BU27" s="347">
        <v>642</v>
      </c>
      <c r="BV27" s="938">
        <v>589</v>
      </c>
      <c r="BW27" s="347">
        <v>567</v>
      </c>
      <c r="BX27" s="347">
        <v>558</v>
      </c>
      <c r="BY27" s="347">
        <v>550</v>
      </c>
      <c r="BZ27" s="350">
        <v>556</v>
      </c>
      <c r="CA27" s="351">
        <v>552</v>
      </c>
      <c r="CB27" s="351">
        <v>550</v>
      </c>
      <c r="CC27" s="351">
        <v>463</v>
      </c>
      <c r="CD27" s="350">
        <v>419</v>
      </c>
      <c r="CE27" s="351">
        <v>398</v>
      </c>
      <c r="CF27" s="351">
        <v>377</v>
      </c>
      <c r="CG27" s="351">
        <v>377</v>
      </c>
      <c r="CH27" s="1003"/>
      <c r="CI27" s="944"/>
      <c r="CJ27" s="944"/>
      <c r="CK27" s="944"/>
      <c r="CL27" s="998"/>
    </row>
    <row r="28" spans="1:90" hidden="1" outlineLevel="2">
      <c r="A28" s="1001" t="s">
        <v>43</v>
      </c>
      <c r="B28" s="997"/>
      <c r="C28" s="997"/>
      <c r="D28" s="997"/>
      <c r="E28" s="997"/>
      <c r="F28" s="997"/>
      <c r="G28" s="997"/>
      <c r="H28" s="997"/>
      <c r="I28" s="997"/>
      <c r="J28" s="997"/>
      <c r="K28" s="997"/>
      <c r="L28" s="997"/>
      <c r="M28" s="997"/>
      <c r="N28" s="984">
        <f>SUM(BR28:BU28)</f>
        <v>510</v>
      </c>
      <c r="O28" s="984">
        <f>SUM(BV28:BY28)</f>
        <v>518</v>
      </c>
      <c r="P28" s="948">
        <f>SUM(BZ28:CC28)</f>
        <v>523</v>
      </c>
      <c r="Q28" s="984">
        <f>SUM(CD28:CG28)</f>
        <v>445</v>
      </c>
      <c r="R28" s="1002"/>
      <c r="S28" s="984"/>
      <c r="T28" s="949"/>
      <c r="U28" s="949"/>
      <c r="V28" s="949"/>
      <c r="W28" s="949"/>
      <c r="X28" s="947"/>
      <c r="Y28" s="947"/>
      <c r="Z28" s="947"/>
      <c r="AA28" s="984"/>
      <c r="AB28" s="984"/>
      <c r="AC28" s="984"/>
      <c r="AD28" s="984"/>
      <c r="AE28" s="984"/>
      <c r="AF28" s="984"/>
      <c r="AG28" s="984"/>
      <c r="AH28" s="984"/>
      <c r="AI28" s="984"/>
      <c r="AJ28" s="984"/>
      <c r="AK28" s="984"/>
      <c r="AL28" s="984"/>
      <c r="AM28" s="984"/>
      <c r="AN28" s="984"/>
      <c r="AO28" s="984"/>
      <c r="AP28" s="984"/>
      <c r="AQ28" s="984"/>
      <c r="AR28" s="984"/>
      <c r="AS28" s="984"/>
      <c r="AT28" s="984"/>
      <c r="AU28" s="984"/>
      <c r="AV28" s="984"/>
      <c r="AW28" s="984"/>
      <c r="AX28" s="984"/>
      <c r="AY28" s="984"/>
      <c r="AZ28" s="984"/>
      <c r="BA28" s="984"/>
      <c r="BB28" s="984"/>
      <c r="BC28" s="984"/>
      <c r="BD28" s="984"/>
      <c r="BE28" s="984"/>
      <c r="BF28" s="984"/>
      <c r="BG28" s="984"/>
      <c r="BH28" s="984"/>
      <c r="BI28" s="984"/>
      <c r="BJ28" s="984"/>
      <c r="BK28" s="984"/>
      <c r="BL28" s="984"/>
      <c r="BM28" s="984"/>
      <c r="BN28" s="984"/>
      <c r="BO28" s="984"/>
      <c r="BP28" s="984"/>
      <c r="BQ28" s="984"/>
      <c r="BR28" s="938">
        <v>137</v>
      </c>
      <c r="BS28" s="348">
        <v>120</v>
      </c>
      <c r="BT28" s="348">
        <v>117</v>
      </c>
      <c r="BU28" s="348">
        <v>136</v>
      </c>
      <c r="BV28" s="938">
        <v>118</v>
      </c>
      <c r="BW28" s="348">
        <v>122</v>
      </c>
      <c r="BX28" s="348">
        <v>127</v>
      </c>
      <c r="BY28" s="348">
        <v>151</v>
      </c>
      <c r="BZ28" s="350">
        <v>119</v>
      </c>
      <c r="CA28" s="351">
        <v>137</v>
      </c>
      <c r="CB28" s="351">
        <v>146</v>
      </c>
      <c r="CC28" s="351">
        <v>121</v>
      </c>
      <c r="CD28" s="350">
        <v>95</v>
      </c>
      <c r="CE28" s="351">
        <v>109</v>
      </c>
      <c r="CF28" s="351">
        <v>129</v>
      </c>
      <c r="CG28" s="351">
        <v>112</v>
      </c>
      <c r="CH28" s="1003"/>
      <c r="CI28" s="944"/>
      <c r="CJ28" s="944"/>
      <c r="CK28" s="944"/>
      <c r="CL28" s="998"/>
    </row>
    <row r="29" spans="1:90" hidden="1" outlineLevel="2">
      <c r="A29" s="1001" t="s">
        <v>792</v>
      </c>
      <c r="B29" s="997"/>
      <c r="C29" s="997"/>
      <c r="D29" s="997"/>
      <c r="E29" s="997"/>
      <c r="F29" s="997"/>
      <c r="G29" s="997"/>
      <c r="H29" s="997"/>
      <c r="I29" s="997"/>
      <c r="J29" s="997"/>
      <c r="K29" s="997"/>
      <c r="L29" s="997"/>
      <c r="M29" s="997"/>
      <c r="N29" s="984">
        <f>SUM(BR29:BU29)</f>
        <v>516</v>
      </c>
      <c r="O29" s="984">
        <f>SUM(BV29:BY29)</f>
        <v>538</v>
      </c>
      <c r="P29" s="948">
        <f>SUM(BZ29:CC29)</f>
        <v>571</v>
      </c>
      <c r="Q29" s="984">
        <f>SUM(CD29:CG29)</f>
        <v>477</v>
      </c>
      <c r="R29" s="1002"/>
      <c r="S29" s="984"/>
      <c r="T29" s="949"/>
      <c r="U29" s="949"/>
      <c r="V29" s="949"/>
      <c r="W29" s="949"/>
      <c r="X29" s="947"/>
      <c r="Y29" s="947"/>
      <c r="Z29" s="947"/>
      <c r="AA29" s="984"/>
      <c r="AB29" s="984"/>
      <c r="AC29" s="984"/>
      <c r="AD29" s="984"/>
      <c r="AE29" s="984"/>
      <c r="AF29" s="984"/>
      <c r="AG29" s="984"/>
      <c r="AH29" s="984"/>
      <c r="AI29" s="984"/>
      <c r="AJ29" s="984"/>
      <c r="AK29" s="984"/>
      <c r="AL29" s="984"/>
      <c r="AM29" s="984"/>
      <c r="AN29" s="984"/>
      <c r="AO29" s="984"/>
      <c r="AP29" s="984"/>
      <c r="AQ29" s="984"/>
      <c r="AR29" s="984"/>
      <c r="AS29" s="984"/>
      <c r="AT29" s="984"/>
      <c r="AU29" s="984"/>
      <c r="AV29" s="984"/>
      <c r="AW29" s="984"/>
      <c r="AX29" s="984"/>
      <c r="AY29" s="984"/>
      <c r="AZ29" s="984"/>
      <c r="BA29" s="984"/>
      <c r="BB29" s="984"/>
      <c r="BC29" s="984"/>
      <c r="BD29" s="984"/>
      <c r="BE29" s="984"/>
      <c r="BF29" s="984"/>
      <c r="BG29" s="984"/>
      <c r="BH29" s="984"/>
      <c r="BI29" s="984"/>
      <c r="BJ29" s="984"/>
      <c r="BK29" s="984"/>
      <c r="BL29" s="984"/>
      <c r="BM29" s="984"/>
      <c r="BN29" s="984"/>
      <c r="BO29" s="984"/>
      <c r="BP29" s="984"/>
      <c r="BQ29" s="984"/>
      <c r="BR29" s="938">
        <v>122</v>
      </c>
      <c r="BS29" s="348">
        <v>126</v>
      </c>
      <c r="BT29" s="348">
        <v>133</v>
      </c>
      <c r="BU29" s="348">
        <v>135</v>
      </c>
      <c r="BV29" s="938">
        <v>121</v>
      </c>
      <c r="BW29" s="348">
        <v>133</v>
      </c>
      <c r="BX29" s="348">
        <v>140</v>
      </c>
      <c r="BY29" s="348">
        <v>144</v>
      </c>
      <c r="BZ29" s="350">
        <v>131</v>
      </c>
      <c r="CA29" s="351">
        <v>146</v>
      </c>
      <c r="CB29" s="351">
        <v>163</v>
      </c>
      <c r="CC29" s="351">
        <v>131</v>
      </c>
      <c r="CD29" s="350">
        <v>119</v>
      </c>
      <c r="CE29" s="351">
        <v>126</v>
      </c>
      <c r="CF29" s="351">
        <f>120</f>
        <v>120</v>
      </c>
      <c r="CG29" s="351">
        <v>112</v>
      </c>
      <c r="CH29" s="1806" t="s">
        <v>1071</v>
      </c>
      <c r="CI29" s="944"/>
      <c r="CJ29" s="944"/>
      <c r="CK29" s="944"/>
      <c r="CL29" s="1806" t="s">
        <v>1071</v>
      </c>
    </row>
    <row r="30" spans="1:90" outlineLevel="1" collapsed="1">
      <c r="A30" s="1004" t="s">
        <v>44</v>
      </c>
      <c r="B30" s="1004"/>
      <c r="C30" s="1004"/>
      <c r="D30" s="1004"/>
      <c r="E30" s="1004"/>
      <c r="F30" s="1004"/>
      <c r="G30" s="1004"/>
      <c r="H30" s="1004"/>
      <c r="I30" s="1004"/>
      <c r="J30" s="1004"/>
      <c r="K30" s="1004"/>
      <c r="L30" s="1004"/>
      <c r="M30" s="1004"/>
      <c r="N30" s="767">
        <f>SUM(N24:N25)</f>
        <v>4939</v>
      </c>
      <c r="O30" s="767">
        <f>SUM(O24:O25)</f>
        <v>4703</v>
      </c>
      <c r="P30" s="271">
        <f>SUM(P24:P25)</f>
        <v>4491</v>
      </c>
      <c r="Q30" s="271">
        <f>SUM(Q24:Q25)</f>
        <v>3605</v>
      </c>
      <c r="R30" s="223">
        <f>SUM(CH30:CK30)</f>
        <v>4095</v>
      </c>
      <c r="S30" s="767">
        <f>SUM(CL30:CO30)</f>
        <v>1178</v>
      </c>
      <c r="T30" s="949"/>
      <c r="U30" s="949"/>
      <c r="V30" s="949"/>
      <c r="W30" s="949"/>
      <c r="X30" s="947"/>
      <c r="Y30" s="947"/>
      <c r="Z30" s="947"/>
      <c r="AA30" s="767"/>
      <c r="AB30" s="767"/>
      <c r="AC30" s="767"/>
      <c r="AD30" s="767"/>
      <c r="AE30" s="767"/>
      <c r="AF30" s="767"/>
      <c r="AG30" s="767"/>
      <c r="AH30" s="767"/>
      <c r="AI30" s="767"/>
      <c r="AJ30" s="767"/>
      <c r="AK30" s="767"/>
      <c r="AL30" s="767"/>
      <c r="AM30" s="767"/>
      <c r="AN30" s="767"/>
      <c r="AO30" s="767"/>
      <c r="AP30" s="767"/>
      <c r="AQ30" s="767"/>
      <c r="AR30" s="767"/>
      <c r="AS30" s="767"/>
      <c r="AT30" s="767"/>
      <c r="AU30" s="767"/>
      <c r="AV30" s="767"/>
      <c r="AW30" s="767"/>
      <c r="AX30" s="767"/>
      <c r="AY30" s="767"/>
      <c r="AZ30" s="767"/>
      <c r="BA30" s="767"/>
      <c r="BB30" s="767"/>
      <c r="BC30" s="767"/>
      <c r="BD30" s="767"/>
      <c r="BE30" s="767"/>
      <c r="BF30" s="767"/>
      <c r="BG30" s="767"/>
      <c r="BH30" s="767"/>
      <c r="BI30" s="767"/>
      <c r="BJ30" s="767"/>
      <c r="BK30" s="767"/>
      <c r="BL30" s="767"/>
      <c r="BM30" s="767"/>
      <c r="BN30" s="767"/>
      <c r="BO30" s="767"/>
      <c r="BP30" s="767"/>
      <c r="BQ30" s="767"/>
      <c r="BR30" s="940">
        <f>SUM(BR24,BR27:BR29)</f>
        <v>1236</v>
      </c>
      <c r="BS30" s="767">
        <f t="shared" ref="BS30:BY30" si="33">SUM(BS24,BS27:BS29)</f>
        <v>1217</v>
      </c>
      <c r="BT30" s="767">
        <f t="shared" si="33"/>
        <v>1224</v>
      </c>
      <c r="BU30" s="767">
        <f t="shared" si="33"/>
        <v>1262</v>
      </c>
      <c r="BV30" s="940">
        <f t="shared" si="33"/>
        <v>1178</v>
      </c>
      <c r="BW30" s="767">
        <f t="shared" si="33"/>
        <v>1169</v>
      </c>
      <c r="BX30" s="767">
        <f t="shared" si="33"/>
        <v>1172</v>
      </c>
      <c r="BY30" s="767">
        <f t="shared" si="33"/>
        <v>1184</v>
      </c>
      <c r="BZ30" s="1005">
        <v>1274</v>
      </c>
      <c r="CA30" s="1006">
        <v>1246</v>
      </c>
      <c r="CB30" s="1006">
        <v>1330</v>
      </c>
      <c r="CC30" s="1006">
        <v>1106</v>
      </c>
      <c r="CD30" s="1005">
        <v>1014</v>
      </c>
      <c r="CE30" s="1006">
        <v>1028</v>
      </c>
      <c r="CF30" s="1006">
        <f>1029-16</f>
        <v>1013</v>
      </c>
      <c r="CG30" s="1006">
        <v>1017</v>
      </c>
      <c r="CH30" s="1252">
        <v>1247</v>
      </c>
      <c r="CI30" s="1006">
        <v>940</v>
      </c>
      <c r="CJ30" s="1006">
        <f>980-15</f>
        <v>965</v>
      </c>
      <c r="CK30" s="1006">
        <v>943</v>
      </c>
      <c r="CL30" s="1005">
        <v>1178</v>
      </c>
    </row>
    <row r="31" spans="1:90" outlineLevel="1">
      <c r="A31" s="987" t="s">
        <v>34</v>
      </c>
      <c r="B31" s="983"/>
      <c r="C31" s="983"/>
      <c r="D31" s="983"/>
      <c r="E31" s="983"/>
      <c r="F31" s="983"/>
      <c r="G31" s="983"/>
      <c r="H31" s="983"/>
      <c r="I31" s="983"/>
      <c r="J31" s="983"/>
      <c r="K31" s="983"/>
      <c r="L31" s="983"/>
      <c r="M31" s="983"/>
      <c r="N31" s="984"/>
      <c r="O31" s="988">
        <f>O30/N30-1</f>
        <v>-4.7782952014577829E-2</v>
      </c>
      <c r="P31" s="988">
        <f>P30/O30-1</f>
        <v>-4.5077610036147187E-2</v>
      </c>
      <c r="Q31" s="988">
        <f>Q30/P30-1</f>
        <v>-0.19728345580048989</v>
      </c>
      <c r="R31" s="989">
        <f>R30/Q30-1</f>
        <v>0.13592233009708732</v>
      </c>
      <c r="S31" s="988">
        <f>S30/R30-1</f>
        <v>-0.71233211233211235</v>
      </c>
      <c r="T31" s="949"/>
      <c r="U31" s="949"/>
      <c r="V31" s="949"/>
      <c r="W31" s="949"/>
      <c r="X31" s="947"/>
      <c r="Y31" s="947"/>
      <c r="Z31" s="947"/>
      <c r="AA31" s="984"/>
      <c r="AB31" s="984"/>
      <c r="AC31" s="984"/>
      <c r="AD31" s="984"/>
      <c r="AE31" s="984"/>
      <c r="AF31" s="984"/>
      <c r="AG31" s="984"/>
      <c r="AH31" s="984"/>
      <c r="AI31" s="984"/>
      <c r="AJ31" s="984"/>
      <c r="AK31" s="984"/>
      <c r="AL31" s="984"/>
      <c r="AM31" s="984"/>
      <c r="AN31" s="984"/>
      <c r="AO31" s="984"/>
      <c r="AP31" s="984"/>
      <c r="AQ31" s="984"/>
      <c r="AR31" s="984"/>
      <c r="AS31" s="984"/>
      <c r="AT31" s="984"/>
      <c r="AU31" s="984"/>
      <c r="AV31" s="984"/>
      <c r="AW31" s="984"/>
      <c r="AX31" s="984"/>
      <c r="AY31" s="984"/>
      <c r="AZ31" s="984"/>
      <c r="BA31" s="984"/>
      <c r="BB31" s="984"/>
      <c r="BC31" s="984"/>
      <c r="BD31" s="984"/>
      <c r="BE31" s="984"/>
      <c r="BF31" s="984"/>
      <c r="BG31" s="984"/>
      <c r="BH31" s="984"/>
      <c r="BI31" s="984"/>
      <c r="BJ31" s="984"/>
      <c r="BK31" s="984"/>
      <c r="BL31" s="984"/>
      <c r="BM31" s="984"/>
      <c r="BN31" s="984"/>
      <c r="BO31" s="984"/>
      <c r="BP31" s="984"/>
      <c r="BQ31" s="984"/>
      <c r="BR31" s="938"/>
      <c r="BS31" s="347"/>
      <c r="BT31" s="347"/>
      <c r="BU31" s="347"/>
      <c r="BV31" s="990">
        <f t="shared" ref="BV31:CD31" si="34">BV30/BR30-1</f>
        <v>-4.6925566343042124E-2</v>
      </c>
      <c r="BW31" s="988">
        <f t="shared" si="34"/>
        <v>-3.9441248972884146E-2</v>
      </c>
      <c r="BX31" s="988">
        <f t="shared" si="34"/>
        <v>-4.2483660130718914E-2</v>
      </c>
      <c r="BY31" s="988">
        <f t="shared" si="34"/>
        <v>-6.1806656101426327E-2</v>
      </c>
      <c r="BZ31" s="990">
        <f t="shared" si="34"/>
        <v>8.1494057724957658E-2</v>
      </c>
      <c r="CA31" s="988">
        <f t="shared" si="34"/>
        <v>6.5868263473053856E-2</v>
      </c>
      <c r="CB31" s="988">
        <f t="shared" si="34"/>
        <v>0.13481228668941969</v>
      </c>
      <c r="CC31" s="988">
        <f t="shared" si="34"/>
        <v>-6.5878378378378399E-2</v>
      </c>
      <c r="CD31" s="990">
        <f t="shared" si="34"/>
        <v>-0.20408163265306123</v>
      </c>
      <c r="CE31" s="988">
        <f t="shared" ref="CE31:CK31" si="35">CE30/CA30-1</f>
        <v>-0.1749598715890851</v>
      </c>
      <c r="CF31" s="988">
        <f t="shared" si="35"/>
        <v>-0.23834586466165408</v>
      </c>
      <c r="CG31" s="988">
        <f t="shared" si="35"/>
        <v>-8.0470162748643714E-2</v>
      </c>
      <c r="CH31" s="990">
        <f t="shared" si="35"/>
        <v>0.22978303747534512</v>
      </c>
      <c r="CI31" s="988">
        <f t="shared" si="35"/>
        <v>-8.5603112840466955E-2</v>
      </c>
      <c r="CJ31" s="988">
        <f t="shared" si="35"/>
        <v>-4.7384007897334657E-2</v>
      </c>
      <c r="CK31" s="988">
        <f t="shared" si="35"/>
        <v>-7.2763028515240857E-2</v>
      </c>
      <c r="CL31" s="277">
        <v>-0.06</v>
      </c>
    </row>
    <row r="32" spans="1:90" outlineLevel="1">
      <c r="A32" s="1001" t="s">
        <v>1003</v>
      </c>
      <c r="B32" s="1004"/>
      <c r="C32" s="1004"/>
      <c r="D32" s="1004"/>
      <c r="E32" s="1004"/>
      <c r="F32" s="1004"/>
      <c r="G32" s="1004"/>
      <c r="H32" s="1004"/>
      <c r="I32" s="1004"/>
      <c r="J32" s="1004"/>
      <c r="K32" s="1004"/>
      <c r="L32" s="1004"/>
      <c r="M32" s="1004"/>
      <c r="N32" s="1008">
        <f t="shared" ref="N32:S32" si="36">N30/N$21</f>
        <v>0.3547367665014724</v>
      </c>
      <c r="O32" s="1008">
        <f t="shared" si="36"/>
        <v>0.34134126868921472</v>
      </c>
      <c r="P32" s="988">
        <f t="shared" si="36"/>
        <v>0.33328385899814472</v>
      </c>
      <c r="Q32" s="988">
        <f t="shared" si="36"/>
        <v>0.29282755259524001</v>
      </c>
      <c r="R32" s="989">
        <f t="shared" si="36"/>
        <v>0.34910485933503838</v>
      </c>
      <c r="S32" s="988">
        <f t="shared" si="36"/>
        <v>0.41391426563598033</v>
      </c>
      <c r="T32" s="949"/>
      <c r="U32" s="949"/>
      <c r="V32" s="949"/>
      <c r="W32" s="949"/>
      <c r="X32" s="947"/>
      <c r="Y32" s="947"/>
      <c r="Z32" s="947"/>
      <c r="AA32" s="767"/>
      <c r="AB32" s="767"/>
      <c r="AC32" s="767"/>
      <c r="AD32" s="767"/>
      <c r="AE32" s="767"/>
      <c r="AF32" s="767"/>
      <c r="AG32" s="767"/>
      <c r="AH32" s="767"/>
      <c r="AI32" s="767"/>
      <c r="AJ32" s="767"/>
      <c r="AK32" s="767"/>
      <c r="AL32" s="767"/>
      <c r="AM32" s="767"/>
      <c r="AN32" s="767"/>
      <c r="AO32" s="767"/>
      <c r="AP32" s="767"/>
      <c r="AQ32" s="767"/>
      <c r="AR32" s="767"/>
      <c r="AS32" s="767"/>
      <c r="AT32" s="767"/>
      <c r="AU32" s="767"/>
      <c r="AV32" s="767"/>
      <c r="AW32" s="767"/>
      <c r="AX32" s="767"/>
      <c r="AY32" s="767"/>
      <c r="AZ32" s="767"/>
      <c r="BA32" s="767"/>
      <c r="BB32" s="767"/>
      <c r="BC32" s="767"/>
      <c r="BD32" s="767"/>
      <c r="BE32" s="767"/>
      <c r="BF32" s="767"/>
      <c r="BG32" s="767"/>
      <c r="BH32" s="767"/>
      <c r="BI32" s="767"/>
      <c r="BJ32" s="767"/>
      <c r="BK32" s="767"/>
      <c r="BL32" s="767"/>
      <c r="BM32" s="767"/>
      <c r="BN32" s="767"/>
      <c r="BO32" s="767"/>
      <c r="BP32" s="767"/>
      <c r="BQ32" s="767"/>
      <c r="BR32" s="990">
        <f t="shared" ref="BR32:BZ32" si="37">BR30/BR$21</f>
        <v>0.35558112773302647</v>
      </c>
      <c r="BS32" s="1008">
        <f t="shared" si="37"/>
        <v>0.35051843317972348</v>
      </c>
      <c r="BT32" s="1008">
        <f t="shared" si="37"/>
        <v>0.35101806710639516</v>
      </c>
      <c r="BU32" s="1008">
        <f t="shared" si="37"/>
        <v>0.3618119266055046</v>
      </c>
      <c r="BV32" s="990">
        <f t="shared" si="37"/>
        <v>0.34184561810795122</v>
      </c>
      <c r="BW32" s="1008">
        <f t="shared" si="37"/>
        <v>0.33756858215420155</v>
      </c>
      <c r="BX32" s="1008">
        <f t="shared" si="37"/>
        <v>0.34129295282469424</v>
      </c>
      <c r="BY32" s="1008">
        <f t="shared" si="37"/>
        <v>0.34468704512372633</v>
      </c>
      <c r="BZ32" s="990">
        <f t="shared" si="37"/>
        <v>0.37481612238893791</v>
      </c>
      <c r="CA32" s="1008">
        <f t="shared" ref="CA32:CF32" si="38">CA30/CA$21</f>
        <v>0.36842105263157893</v>
      </c>
      <c r="CB32" s="1008">
        <f t="shared" si="38"/>
        <v>0.39360757620597808</v>
      </c>
      <c r="CC32" s="1008">
        <f t="shared" si="38"/>
        <v>0.33363499245852185</v>
      </c>
      <c r="CD32" s="990">
        <f t="shared" si="38"/>
        <v>0.31957138354869208</v>
      </c>
      <c r="CE32" s="988">
        <f t="shared" si="38"/>
        <v>0.33268608414239481</v>
      </c>
      <c r="CF32" s="988">
        <f t="shared" si="38"/>
        <v>0.33169613621480026</v>
      </c>
      <c r="CG32" s="988">
        <f t="shared" ref="CG32:CL32" si="39">CG30/CG$21</f>
        <v>0.33967935871743488</v>
      </c>
      <c r="CH32" s="990">
        <f t="shared" si="39"/>
        <v>0.42043155765340529</v>
      </c>
      <c r="CI32" s="988">
        <f t="shared" si="39"/>
        <v>0.32081911262798635</v>
      </c>
      <c r="CJ32" s="988">
        <f>CJ30/CJ$21</f>
        <v>0.32879045996592843</v>
      </c>
      <c r="CK32" s="988">
        <f>CK30/CK$21</f>
        <v>0.32528458088996204</v>
      </c>
      <c r="CL32" s="990">
        <f t="shared" si="39"/>
        <v>0.41391426563598033</v>
      </c>
    </row>
    <row r="33" spans="1:90" ht="15.75" hidden="1" customHeight="1" outlineLevel="2">
      <c r="A33" s="1009"/>
      <c r="B33" s="1009"/>
      <c r="C33" s="1009"/>
      <c r="D33" s="1009"/>
      <c r="E33" s="1009"/>
      <c r="F33" s="1009"/>
      <c r="G33" s="1009"/>
      <c r="H33" s="1009"/>
      <c r="I33" s="1009"/>
      <c r="J33" s="1009"/>
      <c r="K33" s="1009"/>
      <c r="L33" s="1009"/>
      <c r="M33" s="1009"/>
      <c r="N33" s="991"/>
      <c r="O33" s="991"/>
      <c r="P33" s="984"/>
      <c r="Q33" s="984"/>
      <c r="R33" s="1002"/>
      <c r="S33" s="991"/>
      <c r="T33" s="949"/>
      <c r="U33" s="949"/>
      <c r="V33" s="949"/>
      <c r="W33" s="949"/>
      <c r="X33" s="947"/>
      <c r="Y33" s="947"/>
      <c r="Z33" s="947"/>
      <c r="AA33" s="991"/>
      <c r="AB33" s="991"/>
      <c r="AC33" s="991"/>
      <c r="AD33" s="991"/>
      <c r="AE33" s="991"/>
      <c r="AF33" s="991"/>
      <c r="AG33" s="991"/>
      <c r="AH33" s="991"/>
      <c r="AI33" s="991"/>
      <c r="AJ33" s="991"/>
      <c r="AK33" s="991"/>
      <c r="AL33" s="991"/>
      <c r="AM33" s="991"/>
      <c r="AN33" s="991"/>
      <c r="AO33" s="991"/>
      <c r="AP33" s="991"/>
      <c r="AQ33" s="991"/>
      <c r="AR33" s="991"/>
      <c r="AS33" s="991"/>
      <c r="AT33" s="991"/>
      <c r="AU33" s="991"/>
      <c r="AV33" s="991"/>
      <c r="AW33" s="991"/>
      <c r="AX33" s="991"/>
      <c r="AY33" s="991"/>
      <c r="AZ33" s="991"/>
      <c r="BA33" s="991"/>
      <c r="BB33" s="991"/>
      <c r="BC33" s="991"/>
      <c r="BD33" s="991"/>
      <c r="BE33" s="991"/>
      <c r="BF33" s="991"/>
      <c r="BG33" s="991"/>
      <c r="BH33" s="991"/>
      <c r="BI33" s="991"/>
      <c r="BJ33" s="991"/>
      <c r="BK33" s="991"/>
      <c r="BL33" s="991"/>
      <c r="BM33" s="991"/>
      <c r="BN33" s="991"/>
      <c r="BO33" s="991"/>
      <c r="BP33" s="991"/>
      <c r="BQ33" s="991"/>
      <c r="BR33" s="986"/>
      <c r="BS33" s="991"/>
      <c r="BT33" s="991"/>
      <c r="BU33" s="991"/>
      <c r="BV33" s="986"/>
      <c r="BW33" s="991"/>
      <c r="BX33" s="991"/>
      <c r="BY33" s="991"/>
      <c r="BZ33" s="986"/>
      <c r="CA33" s="991"/>
      <c r="CB33" s="944"/>
      <c r="CC33" s="944"/>
      <c r="CD33" s="1003"/>
      <c r="CE33" s="944"/>
      <c r="CF33" s="944"/>
      <c r="CG33" s="944"/>
      <c r="CH33" s="1003"/>
      <c r="CI33" s="944"/>
      <c r="CJ33" s="944"/>
      <c r="CK33" s="944"/>
      <c r="CL33" s="998"/>
    </row>
    <row r="34" spans="1:90" hidden="1" outlineLevel="2">
      <c r="A34" s="997" t="s">
        <v>40</v>
      </c>
      <c r="B34" s="997"/>
      <c r="C34" s="997"/>
      <c r="D34" s="997"/>
      <c r="E34" s="997"/>
      <c r="F34" s="997"/>
      <c r="G34" s="997"/>
      <c r="H34" s="997"/>
      <c r="I34" s="997"/>
      <c r="J34" s="997"/>
      <c r="K34" s="997"/>
      <c r="L34" s="997"/>
      <c r="M34" s="997"/>
      <c r="N34" s="984">
        <f>SUM(BR34:BU34)</f>
        <v>1130</v>
      </c>
      <c r="O34" s="984">
        <f>SUM(BV34:BY34)</f>
        <v>1140</v>
      </c>
      <c r="P34" s="948">
        <f>SUM(BZ34:CC34)</f>
        <v>1169</v>
      </c>
      <c r="Q34" s="948">
        <f>SUM(CD34:CG34)</f>
        <v>1071</v>
      </c>
      <c r="R34" s="1002"/>
      <c r="S34" s="984"/>
      <c r="T34" s="949"/>
      <c r="U34" s="949"/>
      <c r="V34" s="949"/>
      <c r="W34" s="949"/>
      <c r="X34" s="947"/>
      <c r="Y34" s="947"/>
      <c r="Z34" s="947"/>
      <c r="AA34" s="984"/>
      <c r="AB34" s="984"/>
      <c r="AC34" s="984"/>
      <c r="AD34" s="984"/>
      <c r="AE34" s="984"/>
      <c r="AF34" s="984"/>
      <c r="AG34" s="984"/>
      <c r="AH34" s="984"/>
      <c r="AI34" s="984"/>
      <c r="AJ34" s="984"/>
      <c r="AK34" s="984"/>
      <c r="AL34" s="984"/>
      <c r="AM34" s="984"/>
      <c r="AN34" s="984"/>
      <c r="AO34" s="984"/>
      <c r="AP34" s="984"/>
      <c r="AQ34" s="984"/>
      <c r="AR34" s="984"/>
      <c r="AS34" s="984"/>
      <c r="AT34" s="984"/>
      <c r="AU34" s="984"/>
      <c r="AV34" s="984"/>
      <c r="AW34" s="984"/>
      <c r="AX34" s="984"/>
      <c r="AY34" s="984"/>
      <c r="AZ34" s="984"/>
      <c r="BA34" s="984"/>
      <c r="BB34" s="984"/>
      <c r="BC34" s="984"/>
      <c r="BD34" s="984"/>
      <c r="BE34" s="984"/>
      <c r="BF34" s="984"/>
      <c r="BG34" s="984"/>
      <c r="BH34" s="984"/>
      <c r="BI34" s="984"/>
      <c r="BJ34" s="984"/>
      <c r="BK34" s="984"/>
      <c r="BL34" s="984"/>
      <c r="BM34" s="984"/>
      <c r="BN34" s="984"/>
      <c r="BO34" s="984"/>
      <c r="BP34" s="984"/>
      <c r="BQ34" s="984"/>
      <c r="BR34" s="938">
        <v>273</v>
      </c>
      <c r="BS34" s="348">
        <v>272</v>
      </c>
      <c r="BT34" s="348">
        <v>293</v>
      </c>
      <c r="BU34" s="348">
        <v>292</v>
      </c>
      <c r="BV34" s="938">
        <v>279</v>
      </c>
      <c r="BW34" s="348">
        <v>293</v>
      </c>
      <c r="BX34" s="348">
        <v>287</v>
      </c>
      <c r="BY34" s="348">
        <v>281</v>
      </c>
      <c r="BZ34" s="350">
        <v>292</v>
      </c>
      <c r="CA34" s="354">
        <v>291</v>
      </c>
      <c r="CB34" s="354">
        <v>295</v>
      </c>
      <c r="CC34" s="354">
        <v>291</v>
      </c>
      <c r="CD34" s="350">
        <v>294</v>
      </c>
      <c r="CE34" s="354">
        <v>266</v>
      </c>
      <c r="CF34" s="354">
        <v>248</v>
      </c>
      <c r="CG34" s="354">
        <v>263</v>
      </c>
      <c r="CH34" s="986"/>
      <c r="CI34" s="984"/>
      <c r="CJ34" s="984"/>
      <c r="CK34" s="984"/>
      <c r="CL34" s="998"/>
    </row>
    <row r="35" spans="1:90" hidden="1" outlineLevel="2">
      <c r="A35" s="997" t="s">
        <v>41</v>
      </c>
      <c r="B35" s="997"/>
      <c r="C35" s="997"/>
      <c r="D35" s="997"/>
      <c r="E35" s="997"/>
      <c r="F35" s="997"/>
      <c r="G35" s="997"/>
      <c r="H35" s="997"/>
      <c r="I35" s="997"/>
      <c r="J35" s="997"/>
      <c r="K35" s="997"/>
      <c r="L35" s="997"/>
      <c r="M35" s="997"/>
      <c r="N35" s="984">
        <f>SUM(BR35:BU35)</f>
        <v>1015</v>
      </c>
      <c r="O35" s="984">
        <f>SUM(BV35:BY35)</f>
        <v>1022</v>
      </c>
      <c r="P35" s="948">
        <f>SUM(BZ35:CC35)</f>
        <v>1039</v>
      </c>
      <c r="Q35" s="948">
        <f>SUM(CD35:CG35)</f>
        <v>890</v>
      </c>
      <c r="R35" s="1002"/>
      <c r="S35" s="984"/>
      <c r="T35" s="949"/>
      <c r="U35" s="949"/>
      <c r="V35" s="949"/>
      <c r="W35" s="949"/>
      <c r="X35" s="947"/>
      <c r="Y35" s="947"/>
      <c r="Z35" s="947"/>
      <c r="AA35" s="984"/>
      <c r="AB35" s="984"/>
      <c r="AC35" s="984"/>
      <c r="AD35" s="984"/>
      <c r="AE35" s="984"/>
      <c r="AF35" s="984"/>
      <c r="AG35" s="984"/>
      <c r="AH35" s="984"/>
      <c r="AI35" s="984"/>
      <c r="AJ35" s="984"/>
      <c r="AK35" s="984"/>
      <c r="AL35" s="984"/>
      <c r="AM35" s="984"/>
      <c r="AN35" s="984"/>
      <c r="AO35" s="984"/>
      <c r="AP35" s="984"/>
      <c r="AQ35" s="984"/>
      <c r="AR35" s="984"/>
      <c r="AS35" s="984"/>
      <c r="AT35" s="984"/>
      <c r="AU35" s="984"/>
      <c r="AV35" s="984"/>
      <c r="AW35" s="984"/>
      <c r="AX35" s="984"/>
      <c r="AY35" s="984"/>
      <c r="AZ35" s="984"/>
      <c r="BA35" s="984"/>
      <c r="BB35" s="984"/>
      <c r="BC35" s="984"/>
      <c r="BD35" s="984"/>
      <c r="BE35" s="984"/>
      <c r="BF35" s="984"/>
      <c r="BG35" s="984"/>
      <c r="BH35" s="984"/>
      <c r="BI35" s="984"/>
      <c r="BJ35" s="984"/>
      <c r="BK35" s="984"/>
      <c r="BL35" s="984"/>
      <c r="BM35" s="984"/>
      <c r="BN35" s="984"/>
      <c r="BO35" s="984"/>
      <c r="BP35" s="984"/>
      <c r="BQ35" s="984"/>
      <c r="BR35" s="986">
        <f>SUM(BR37:BR38)</f>
        <v>253</v>
      </c>
      <c r="BS35" s="991">
        <f t="shared" ref="BS35:BZ35" si="40">SUM(BS37:BS38)</f>
        <v>234</v>
      </c>
      <c r="BT35" s="991">
        <f t="shared" si="40"/>
        <v>256</v>
      </c>
      <c r="BU35" s="991">
        <f t="shared" si="40"/>
        <v>272</v>
      </c>
      <c r="BV35" s="986">
        <f t="shared" si="40"/>
        <v>242</v>
      </c>
      <c r="BW35" s="991">
        <f t="shared" si="40"/>
        <v>252</v>
      </c>
      <c r="BX35" s="991">
        <f t="shared" si="40"/>
        <v>263</v>
      </c>
      <c r="BY35" s="991">
        <f t="shared" si="40"/>
        <v>265</v>
      </c>
      <c r="BZ35" s="350">
        <f t="shared" si="40"/>
        <v>258</v>
      </c>
      <c r="CA35" s="354">
        <f t="shared" ref="CA35:CF35" si="41">SUM(CA37:CA38)</f>
        <v>241</v>
      </c>
      <c r="CB35" s="354">
        <f t="shared" si="41"/>
        <v>280</v>
      </c>
      <c r="CC35" s="354">
        <f t="shared" si="41"/>
        <v>260</v>
      </c>
      <c r="CD35" s="350">
        <f t="shared" si="41"/>
        <v>254</v>
      </c>
      <c r="CE35" s="354">
        <f t="shared" si="41"/>
        <v>228</v>
      </c>
      <c r="CF35" s="354">
        <f t="shared" si="41"/>
        <v>212</v>
      </c>
      <c r="CG35" s="354">
        <f>SUM(CG37:CG38)</f>
        <v>196</v>
      </c>
      <c r="CH35" s="986"/>
      <c r="CI35" s="984"/>
      <c r="CJ35" s="984"/>
      <c r="CK35" s="984"/>
      <c r="CL35" s="998"/>
    </row>
    <row r="36" spans="1:90" hidden="1" outlineLevel="2">
      <c r="A36" s="987" t="s">
        <v>34</v>
      </c>
      <c r="B36" s="997"/>
      <c r="C36" s="997"/>
      <c r="D36" s="997"/>
      <c r="E36" s="997"/>
      <c r="F36" s="997"/>
      <c r="G36" s="997"/>
      <c r="H36" s="997"/>
      <c r="I36" s="997"/>
      <c r="J36" s="997"/>
      <c r="K36" s="997"/>
      <c r="L36" s="997"/>
      <c r="M36" s="997"/>
      <c r="N36" s="984"/>
      <c r="O36" s="984"/>
      <c r="P36" s="988">
        <f>P35/O35-1</f>
        <v>1.6634050880626194E-2</v>
      </c>
      <c r="Q36" s="988">
        <f>Q35/P35-1</f>
        <v>-0.1434071222329163</v>
      </c>
      <c r="R36" s="989"/>
      <c r="S36" s="363"/>
      <c r="T36" s="949"/>
      <c r="U36" s="949"/>
      <c r="V36" s="949"/>
      <c r="W36" s="949"/>
      <c r="X36" s="947"/>
      <c r="Y36" s="947"/>
      <c r="Z36" s="947"/>
      <c r="AA36" s="984"/>
      <c r="AB36" s="984"/>
      <c r="AC36" s="984"/>
      <c r="AD36" s="984"/>
      <c r="AE36" s="984"/>
      <c r="AF36" s="984"/>
      <c r="AG36" s="984"/>
      <c r="AH36" s="984"/>
      <c r="AI36" s="984"/>
      <c r="AJ36" s="984"/>
      <c r="AK36" s="984"/>
      <c r="AL36" s="984"/>
      <c r="AM36" s="984"/>
      <c r="AN36" s="984"/>
      <c r="AO36" s="984"/>
      <c r="AP36" s="984"/>
      <c r="AQ36" s="984"/>
      <c r="AR36" s="984"/>
      <c r="AS36" s="984"/>
      <c r="AT36" s="984"/>
      <c r="AU36" s="984"/>
      <c r="AV36" s="984"/>
      <c r="AW36" s="984"/>
      <c r="AX36" s="984"/>
      <c r="AY36" s="984"/>
      <c r="AZ36" s="984"/>
      <c r="BA36" s="984"/>
      <c r="BB36" s="984"/>
      <c r="BC36" s="984"/>
      <c r="BD36" s="984"/>
      <c r="BE36" s="984"/>
      <c r="BF36" s="984"/>
      <c r="BG36" s="984"/>
      <c r="BH36" s="984"/>
      <c r="BI36" s="984"/>
      <c r="BJ36" s="984"/>
      <c r="BK36" s="984"/>
      <c r="BL36" s="984"/>
      <c r="BM36" s="984"/>
      <c r="BN36" s="984"/>
      <c r="BO36" s="984"/>
      <c r="BP36" s="984"/>
      <c r="BQ36" s="984"/>
      <c r="BR36" s="986"/>
      <c r="BS36" s="991"/>
      <c r="BT36" s="991"/>
      <c r="BU36" s="991"/>
      <c r="BV36" s="986"/>
      <c r="BW36" s="991"/>
      <c r="BX36" s="991"/>
      <c r="BY36" s="991"/>
      <c r="BZ36" s="352">
        <f t="shared" ref="BZ36:CG36" si="42">BZ35/BV35-1</f>
        <v>6.6115702479338845E-2</v>
      </c>
      <c r="CA36" s="353">
        <f t="shared" si="42"/>
        <v>-4.3650793650793607E-2</v>
      </c>
      <c r="CB36" s="353">
        <f t="shared" si="42"/>
        <v>6.4638783269961975E-2</v>
      </c>
      <c r="CC36" s="353">
        <f t="shared" si="42"/>
        <v>-1.8867924528301883E-2</v>
      </c>
      <c r="CD36" s="352">
        <f t="shared" si="42"/>
        <v>-1.5503875968992276E-2</v>
      </c>
      <c r="CE36" s="353">
        <f t="shared" si="42"/>
        <v>-5.3941908713692976E-2</v>
      </c>
      <c r="CF36" s="353">
        <f t="shared" si="42"/>
        <v>-0.24285714285714288</v>
      </c>
      <c r="CG36" s="353">
        <f t="shared" si="42"/>
        <v>-0.24615384615384617</v>
      </c>
      <c r="CH36" s="1000"/>
      <c r="CI36" s="363"/>
      <c r="CJ36" s="363"/>
      <c r="CK36" s="363"/>
      <c r="CL36" s="998"/>
    </row>
    <row r="37" spans="1:90" hidden="1" outlineLevel="2">
      <c r="A37" s="987" t="s">
        <v>45</v>
      </c>
      <c r="B37" s="983"/>
      <c r="C37" s="983"/>
      <c r="D37" s="983"/>
      <c r="E37" s="983"/>
      <c r="F37" s="983"/>
      <c r="G37" s="983"/>
      <c r="H37" s="983"/>
      <c r="I37" s="983"/>
      <c r="J37" s="983"/>
      <c r="K37" s="983"/>
      <c r="L37" s="983"/>
      <c r="M37" s="983"/>
      <c r="N37" s="984">
        <f>SUM(BR37:BU37)</f>
        <v>582</v>
      </c>
      <c r="O37" s="984">
        <f>SUM(BV37:BY37)</f>
        <v>602</v>
      </c>
      <c r="P37" s="948">
        <f>SUM(BZ37:CC37)</f>
        <v>587</v>
      </c>
      <c r="Q37" s="984">
        <f>SUM(CD37:CG37)</f>
        <v>524</v>
      </c>
      <c r="R37" s="1002"/>
      <c r="S37" s="984"/>
      <c r="T37" s="949"/>
      <c r="U37" s="949"/>
      <c r="V37" s="949"/>
      <c r="W37" s="949"/>
      <c r="X37" s="947"/>
      <c r="Y37" s="947"/>
      <c r="Z37" s="947"/>
      <c r="AA37" s="984"/>
      <c r="AB37" s="984"/>
      <c r="AC37" s="984"/>
      <c r="AD37" s="984"/>
      <c r="AE37" s="984"/>
      <c r="AF37" s="984"/>
      <c r="AG37" s="984"/>
      <c r="AH37" s="984"/>
      <c r="AI37" s="984"/>
      <c r="AJ37" s="984"/>
      <c r="AK37" s="984"/>
      <c r="AL37" s="984"/>
      <c r="AM37" s="984"/>
      <c r="AN37" s="984"/>
      <c r="AO37" s="984"/>
      <c r="AP37" s="984"/>
      <c r="AQ37" s="984"/>
      <c r="AR37" s="984"/>
      <c r="AS37" s="984"/>
      <c r="AT37" s="984"/>
      <c r="AU37" s="984"/>
      <c r="AV37" s="984"/>
      <c r="AW37" s="984"/>
      <c r="AX37" s="984"/>
      <c r="AY37" s="984"/>
      <c r="AZ37" s="984"/>
      <c r="BA37" s="984"/>
      <c r="BB37" s="984"/>
      <c r="BC37" s="984"/>
      <c r="BD37" s="984"/>
      <c r="BE37" s="984"/>
      <c r="BF37" s="984"/>
      <c r="BG37" s="984"/>
      <c r="BH37" s="984"/>
      <c r="BI37" s="984"/>
      <c r="BJ37" s="984"/>
      <c r="BK37" s="984"/>
      <c r="BL37" s="984"/>
      <c r="BM37" s="984"/>
      <c r="BN37" s="984"/>
      <c r="BO37" s="984"/>
      <c r="BP37" s="984"/>
      <c r="BQ37" s="984"/>
      <c r="BR37" s="938">
        <v>147</v>
      </c>
      <c r="BS37" s="348">
        <v>141</v>
      </c>
      <c r="BT37" s="348">
        <v>144</v>
      </c>
      <c r="BU37" s="348">
        <v>150</v>
      </c>
      <c r="BV37" s="938">
        <v>135</v>
      </c>
      <c r="BW37" s="348">
        <v>150</v>
      </c>
      <c r="BX37" s="348">
        <v>153</v>
      </c>
      <c r="BY37" s="348">
        <v>164</v>
      </c>
      <c r="BZ37" s="350">
        <v>149</v>
      </c>
      <c r="CA37" s="354">
        <v>139</v>
      </c>
      <c r="CB37" s="354">
        <v>151</v>
      </c>
      <c r="CC37" s="354">
        <v>148</v>
      </c>
      <c r="CD37" s="350">
        <v>137</v>
      </c>
      <c r="CE37" s="354">
        <v>136</v>
      </c>
      <c r="CF37" s="354">
        <v>134</v>
      </c>
      <c r="CG37" s="354">
        <v>117</v>
      </c>
      <c r="CH37" s="1003"/>
      <c r="CI37" s="944"/>
      <c r="CJ37" s="944"/>
      <c r="CK37" s="944"/>
      <c r="CL37" s="998"/>
    </row>
    <row r="38" spans="1:90" hidden="1" outlineLevel="2">
      <c r="A38" s="987" t="s">
        <v>792</v>
      </c>
      <c r="B38" s="983"/>
      <c r="C38" s="983"/>
      <c r="D38" s="983"/>
      <c r="E38" s="983"/>
      <c r="F38" s="983"/>
      <c r="G38" s="983"/>
      <c r="H38" s="983"/>
      <c r="I38" s="983"/>
      <c r="J38" s="983"/>
      <c r="K38" s="983"/>
      <c r="L38" s="983"/>
      <c r="M38" s="983"/>
      <c r="N38" s="984">
        <f>SUM(BR38:BU38)</f>
        <v>433</v>
      </c>
      <c r="O38" s="984">
        <f>SUM(BV38:BY38)</f>
        <v>420</v>
      </c>
      <c r="P38" s="948">
        <f>SUM(BZ38:CC38)</f>
        <v>452</v>
      </c>
      <c r="Q38" s="984">
        <f>SUM(CD38:CG38)</f>
        <v>366</v>
      </c>
      <c r="R38" s="1002"/>
      <c r="S38" s="984"/>
      <c r="T38" s="949"/>
      <c r="U38" s="949"/>
      <c r="V38" s="949"/>
      <c r="W38" s="949"/>
      <c r="X38" s="947"/>
      <c r="Y38" s="947"/>
      <c r="Z38" s="947"/>
      <c r="AA38" s="984"/>
      <c r="AB38" s="984"/>
      <c r="AC38" s="984"/>
      <c r="AD38" s="984"/>
      <c r="AE38" s="984"/>
      <c r="AF38" s="984"/>
      <c r="AG38" s="984"/>
      <c r="AH38" s="984"/>
      <c r="AI38" s="984"/>
      <c r="AJ38" s="984"/>
      <c r="AK38" s="984"/>
      <c r="AL38" s="984"/>
      <c r="AM38" s="984"/>
      <c r="AN38" s="984"/>
      <c r="AO38" s="984"/>
      <c r="AP38" s="984"/>
      <c r="AQ38" s="984"/>
      <c r="AR38" s="984"/>
      <c r="AS38" s="984"/>
      <c r="AT38" s="984"/>
      <c r="AU38" s="984"/>
      <c r="AV38" s="984"/>
      <c r="AW38" s="984"/>
      <c r="AX38" s="984"/>
      <c r="AY38" s="984"/>
      <c r="AZ38" s="984"/>
      <c r="BA38" s="984"/>
      <c r="BB38" s="984"/>
      <c r="BC38" s="984"/>
      <c r="BD38" s="984"/>
      <c r="BE38" s="984"/>
      <c r="BF38" s="984"/>
      <c r="BG38" s="984"/>
      <c r="BH38" s="984"/>
      <c r="BI38" s="984"/>
      <c r="BJ38" s="984"/>
      <c r="BK38" s="984"/>
      <c r="BL38" s="984"/>
      <c r="BM38" s="984"/>
      <c r="BN38" s="984"/>
      <c r="BO38" s="984"/>
      <c r="BP38" s="984"/>
      <c r="BQ38" s="984"/>
      <c r="BR38" s="938">
        <v>106</v>
      </c>
      <c r="BS38" s="348">
        <v>93</v>
      </c>
      <c r="BT38" s="348">
        <v>112</v>
      </c>
      <c r="BU38" s="348">
        <v>122</v>
      </c>
      <c r="BV38" s="938">
        <v>107</v>
      </c>
      <c r="BW38" s="348">
        <v>102</v>
      </c>
      <c r="BX38" s="348">
        <v>110</v>
      </c>
      <c r="BY38" s="348">
        <v>101</v>
      </c>
      <c r="BZ38" s="350">
        <v>109</v>
      </c>
      <c r="CA38" s="354">
        <v>102</v>
      </c>
      <c r="CB38" s="354">
        <v>129</v>
      </c>
      <c r="CC38" s="354">
        <v>112</v>
      </c>
      <c r="CD38" s="350">
        <v>117</v>
      </c>
      <c r="CE38" s="354">
        <v>92</v>
      </c>
      <c r="CF38" s="354">
        <v>78</v>
      </c>
      <c r="CG38" s="354">
        <v>79</v>
      </c>
      <c r="CH38" s="1806" t="s">
        <v>1071</v>
      </c>
      <c r="CI38" s="944"/>
      <c r="CJ38" s="944"/>
      <c r="CK38" s="944"/>
      <c r="CL38" s="1806" t="s">
        <v>1071</v>
      </c>
    </row>
    <row r="39" spans="1:90" outlineLevel="1" collapsed="1">
      <c r="A39" s="1004" t="s">
        <v>46</v>
      </c>
      <c r="B39" s="1004"/>
      <c r="C39" s="1004"/>
      <c r="D39" s="1004"/>
      <c r="E39" s="1004"/>
      <c r="F39" s="1004"/>
      <c r="G39" s="1004"/>
      <c r="H39" s="1004"/>
      <c r="I39" s="1004"/>
      <c r="J39" s="1004"/>
      <c r="K39" s="1004"/>
      <c r="L39" s="1004"/>
      <c r="M39" s="1004"/>
      <c r="N39" s="767">
        <f>SUM(N34:N35)</f>
        <v>2145</v>
      </c>
      <c r="O39" s="767">
        <f>SUM(O34:O35)</f>
        <v>2162</v>
      </c>
      <c r="P39" s="271">
        <f>SUM(P34:P35)</f>
        <v>2208</v>
      </c>
      <c r="Q39" s="271">
        <f>SUM(Q34:Q35)</f>
        <v>1961</v>
      </c>
      <c r="R39" s="223">
        <f>SUM(CH39:CK39)</f>
        <v>1857</v>
      </c>
      <c r="S39" s="767">
        <f>SUM(CL39:CO39)</f>
        <v>542</v>
      </c>
      <c r="T39" s="949"/>
      <c r="U39" s="949"/>
      <c r="V39" s="949"/>
      <c r="W39" s="949"/>
      <c r="X39" s="947"/>
      <c r="Y39" s="947"/>
      <c r="Z39" s="947"/>
      <c r="AA39" s="767"/>
      <c r="AB39" s="767"/>
      <c r="AC39" s="767"/>
      <c r="AD39" s="767"/>
      <c r="AE39" s="767"/>
      <c r="AF39" s="767"/>
      <c r="AG39" s="767"/>
      <c r="AH39" s="767"/>
      <c r="AI39" s="767"/>
      <c r="AJ39" s="767"/>
      <c r="AK39" s="767"/>
      <c r="AL39" s="767"/>
      <c r="AM39" s="767"/>
      <c r="AN39" s="767"/>
      <c r="AO39" s="767"/>
      <c r="AP39" s="767"/>
      <c r="AQ39" s="767"/>
      <c r="AR39" s="767"/>
      <c r="AS39" s="767"/>
      <c r="AT39" s="767"/>
      <c r="AU39" s="767"/>
      <c r="AV39" s="767"/>
      <c r="AW39" s="767"/>
      <c r="AX39" s="767"/>
      <c r="AY39" s="767"/>
      <c r="AZ39" s="767"/>
      <c r="BA39" s="767"/>
      <c r="BB39" s="767"/>
      <c r="BC39" s="767"/>
      <c r="BD39" s="767"/>
      <c r="BE39" s="767"/>
      <c r="BF39" s="767"/>
      <c r="BG39" s="767"/>
      <c r="BH39" s="767"/>
      <c r="BI39" s="767"/>
      <c r="BJ39" s="767"/>
      <c r="BK39" s="767"/>
      <c r="BL39" s="767"/>
      <c r="BM39" s="767"/>
      <c r="BN39" s="767"/>
      <c r="BO39" s="767"/>
      <c r="BP39" s="767"/>
      <c r="BQ39" s="767"/>
      <c r="BR39" s="940">
        <f>SUM(BR34,BR37:BR38)</f>
        <v>526</v>
      </c>
      <c r="BS39" s="767">
        <f t="shared" ref="BS39:BY39" si="43">SUM(BS34,BS37:BS38)</f>
        <v>506</v>
      </c>
      <c r="BT39" s="767">
        <f t="shared" si="43"/>
        <v>549</v>
      </c>
      <c r="BU39" s="767">
        <f t="shared" si="43"/>
        <v>564</v>
      </c>
      <c r="BV39" s="940">
        <f t="shared" si="43"/>
        <v>521</v>
      </c>
      <c r="BW39" s="767">
        <f t="shared" si="43"/>
        <v>545</v>
      </c>
      <c r="BX39" s="767">
        <f t="shared" si="43"/>
        <v>550</v>
      </c>
      <c r="BY39" s="767">
        <f t="shared" si="43"/>
        <v>546</v>
      </c>
      <c r="BZ39" s="1005">
        <v>545</v>
      </c>
      <c r="CA39" s="1006">
        <v>526</v>
      </c>
      <c r="CB39" s="1006">
        <v>572</v>
      </c>
      <c r="CC39" s="1006">
        <v>545</v>
      </c>
      <c r="CD39" s="1005">
        <v>543</v>
      </c>
      <c r="CE39" s="1006">
        <v>493</v>
      </c>
      <c r="CF39" s="1006">
        <v>455</v>
      </c>
      <c r="CG39" s="1006">
        <v>453</v>
      </c>
      <c r="CH39" s="1252">
        <f>606-11</f>
        <v>595</v>
      </c>
      <c r="CI39" s="1006">
        <v>428</v>
      </c>
      <c r="CJ39" s="1006">
        <v>420</v>
      </c>
      <c r="CK39" s="1006">
        <v>414</v>
      </c>
      <c r="CL39" s="1252">
        <f>556-14</f>
        <v>542</v>
      </c>
    </row>
    <row r="40" spans="1:90" outlineLevel="1">
      <c r="A40" s="987" t="s">
        <v>34</v>
      </c>
      <c r="B40" s="983"/>
      <c r="C40" s="983"/>
      <c r="D40" s="983"/>
      <c r="E40" s="983"/>
      <c r="F40" s="983"/>
      <c r="G40" s="983"/>
      <c r="H40" s="983"/>
      <c r="I40" s="983"/>
      <c r="J40" s="983"/>
      <c r="K40" s="983"/>
      <c r="L40" s="983"/>
      <c r="M40" s="983"/>
      <c r="N40" s="984"/>
      <c r="O40" s="988">
        <f>O39/N39-1</f>
        <v>7.9254079254078569E-3</v>
      </c>
      <c r="P40" s="988">
        <f>P39/O39-1</f>
        <v>2.1276595744680771E-2</v>
      </c>
      <c r="Q40" s="988">
        <f>Q39/P39-1</f>
        <v>-0.11186594202898548</v>
      </c>
      <c r="R40" s="989">
        <f>R39/Q39-1</f>
        <v>-5.3034166241713421E-2</v>
      </c>
      <c r="S40" s="988">
        <f>S39/R39-1</f>
        <v>-0.70813139472267095</v>
      </c>
      <c r="T40" s="949"/>
      <c r="U40" s="949"/>
      <c r="V40" s="949"/>
      <c r="W40" s="949"/>
      <c r="X40" s="947"/>
      <c r="Y40" s="947"/>
      <c r="Z40" s="947"/>
      <c r="AA40" s="984"/>
      <c r="AB40" s="984"/>
      <c r="AC40" s="984"/>
      <c r="AD40" s="984"/>
      <c r="AE40" s="984"/>
      <c r="AF40" s="984"/>
      <c r="AG40" s="984"/>
      <c r="AH40" s="984"/>
      <c r="AI40" s="984"/>
      <c r="AJ40" s="984"/>
      <c r="AK40" s="984"/>
      <c r="AL40" s="984"/>
      <c r="AM40" s="984"/>
      <c r="AN40" s="984"/>
      <c r="AO40" s="984"/>
      <c r="AP40" s="984"/>
      <c r="AQ40" s="984"/>
      <c r="AR40" s="984"/>
      <c r="AS40" s="984"/>
      <c r="AT40" s="984"/>
      <c r="AU40" s="984"/>
      <c r="AV40" s="984"/>
      <c r="AW40" s="984"/>
      <c r="AX40" s="984"/>
      <c r="AY40" s="984"/>
      <c r="AZ40" s="984"/>
      <c r="BA40" s="984"/>
      <c r="BB40" s="984"/>
      <c r="BC40" s="984"/>
      <c r="BD40" s="984"/>
      <c r="BE40" s="984"/>
      <c r="BF40" s="984"/>
      <c r="BG40" s="984"/>
      <c r="BH40" s="984"/>
      <c r="BI40" s="984"/>
      <c r="BJ40" s="984"/>
      <c r="BK40" s="984"/>
      <c r="BL40" s="984"/>
      <c r="BM40" s="984"/>
      <c r="BN40" s="984"/>
      <c r="BO40" s="984"/>
      <c r="BP40" s="984"/>
      <c r="BQ40" s="984"/>
      <c r="BR40" s="938"/>
      <c r="BS40" s="347"/>
      <c r="BT40" s="347"/>
      <c r="BU40" s="347"/>
      <c r="BV40" s="990">
        <f t="shared" ref="BV40:CG40" si="44">BV39/BR39-1</f>
        <v>-9.5057034220532577E-3</v>
      </c>
      <c r="BW40" s="988">
        <f t="shared" si="44"/>
        <v>7.7075098814229248E-2</v>
      </c>
      <c r="BX40" s="988">
        <f t="shared" si="44"/>
        <v>1.8214936247722413E-3</v>
      </c>
      <c r="BY40" s="988">
        <f t="shared" si="44"/>
        <v>-3.1914893617021267E-2</v>
      </c>
      <c r="BZ40" s="990">
        <f t="shared" si="44"/>
        <v>4.606525911708248E-2</v>
      </c>
      <c r="CA40" s="988">
        <f t="shared" si="44"/>
        <v>-3.4862385321100864E-2</v>
      </c>
      <c r="CB40" s="988">
        <f t="shared" si="44"/>
        <v>4.0000000000000036E-2</v>
      </c>
      <c r="CC40" s="988">
        <f t="shared" si="44"/>
        <v>-1.831501831501825E-3</v>
      </c>
      <c r="CD40" s="990">
        <f t="shared" si="44"/>
        <v>-3.669724770642202E-3</v>
      </c>
      <c r="CE40" s="988">
        <f t="shared" si="44"/>
        <v>-6.2737642585551368E-2</v>
      </c>
      <c r="CF40" s="988">
        <f t="shared" si="44"/>
        <v>-0.20454545454545459</v>
      </c>
      <c r="CG40" s="988">
        <f t="shared" si="44"/>
        <v>-0.16880733944954129</v>
      </c>
      <c r="CH40" s="990">
        <f>CH39/CD39-1</f>
        <v>9.5764272559852648E-2</v>
      </c>
      <c r="CI40" s="988">
        <f>CI39/CE39-1</f>
        <v>-0.13184584178498981</v>
      </c>
      <c r="CJ40" s="988">
        <f>CJ39/CF39-1</f>
        <v>-7.6923076923076872E-2</v>
      </c>
      <c r="CK40" s="988">
        <f>CK39/CG39-1</f>
        <v>-8.6092715231788075E-2</v>
      </c>
      <c r="CL40" s="990">
        <f>CL39/CH39-1</f>
        <v>-8.9075630252100857E-2</v>
      </c>
    </row>
    <row r="41" spans="1:90" outlineLevel="1">
      <c r="A41" s="1001" t="s">
        <v>1003</v>
      </c>
      <c r="B41" s="1004"/>
      <c r="C41" s="1004"/>
      <c r="D41" s="1004"/>
      <c r="E41" s="1004"/>
      <c r="F41" s="1004"/>
      <c r="G41" s="1004"/>
      <c r="H41" s="1004"/>
      <c r="I41" s="1004"/>
      <c r="J41" s="1004"/>
      <c r="K41" s="1004"/>
      <c r="L41" s="1004"/>
      <c r="M41" s="1004"/>
      <c r="N41" s="1008">
        <f t="shared" ref="N41:S41" si="45">N39/N$21</f>
        <v>0.15406162464985995</v>
      </c>
      <c r="O41" s="1008">
        <f t="shared" si="45"/>
        <v>0.1569168239221948</v>
      </c>
      <c r="P41" s="988">
        <f t="shared" si="45"/>
        <v>0.16385899814471244</v>
      </c>
      <c r="Q41" s="988">
        <f t="shared" si="45"/>
        <v>0.15928844123141905</v>
      </c>
      <c r="R41" s="989">
        <f t="shared" si="45"/>
        <v>0.15831202046035805</v>
      </c>
      <c r="S41" s="988">
        <f t="shared" si="45"/>
        <v>0.1904427266338721</v>
      </c>
      <c r="T41" s="949"/>
      <c r="U41" s="949"/>
      <c r="V41" s="949"/>
      <c r="W41" s="949"/>
      <c r="X41" s="947"/>
      <c r="Y41" s="947"/>
      <c r="Z41" s="947"/>
      <c r="AA41" s="767"/>
      <c r="AB41" s="767"/>
      <c r="AC41" s="767"/>
      <c r="AD41" s="767"/>
      <c r="AE41" s="767"/>
      <c r="AF41" s="767"/>
      <c r="AG41" s="767"/>
      <c r="AH41" s="767"/>
      <c r="AI41" s="767"/>
      <c r="AJ41" s="767"/>
      <c r="AK41" s="767"/>
      <c r="AL41" s="767"/>
      <c r="AM41" s="767"/>
      <c r="AN41" s="767"/>
      <c r="AO41" s="767"/>
      <c r="AP41" s="767"/>
      <c r="AQ41" s="767"/>
      <c r="AR41" s="767"/>
      <c r="AS41" s="767"/>
      <c r="AT41" s="767"/>
      <c r="AU41" s="767"/>
      <c r="AV41" s="767"/>
      <c r="AW41" s="767"/>
      <c r="AX41" s="767"/>
      <c r="AY41" s="767"/>
      <c r="AZ41" s="767"/>
      <c r="BA41" s="767"/>
      <c r="BB41" s="767"/>
      <c r="BC41" s="767"/>
      <c r="BD41" s="767"/>
      <c r="BE41" s="767"/>
      <c r="BF41" s="767"/>
      <c r="BG41" s="767"/>
      <c r="BH41" s="767"/>
      <c r="BI41" s="767"/>
      <c r="BJ41" s="767"/>
      <c r="BK41" s="767"/>
      <c r="BL41" s="767"/>
      <c r="BM41" s="767"/>
      <c r="BN41" s="767"/>
      <c r="BO41" s="767"/>
      <c r="BP41" s="767"/>
      <c r="BQ41" s="767"/>
      <c r="BR41" s="990">
        <f t="shared" ref="BR41:BZ41" si="46">BR39/BR$21</f>
        <v>0.15132336018411968</v>
      </c>
      <c r="BS41" s="1008">
        <f t="shared" si="46"/>
        <v>0.14573732718894009</v>
      </c>
      <c r="BT41" s="1008">
        <f t="shared" si="46"/>
        <v>0.1574419271580155</v>
      </c>
      <c r="BU41" s="1008">
        <f t="shared" si="46"/>
        <v>0.16169724770642202</v>
      </c>
      <c r="BV41" s="990">
        <f t="shared" si="46"/>
        <v>0.15118978525827045</v>
      </c>
      <c r="BW41" s="1008">
        <f t="shared" si="46"/>
        <v>0.15737799595726248</v>
      </c>
      <c r="BX41" s="1008">
        <f t="shared" si="46"/>
        <v>0.16016307513104253</v>
      </c>
      <c r="BY41" s="1008">
        <f t="shared" si="46"/>
        <v>0.15895196506550219</v>
      </c>
      <c r="BZ41" s="990">
        <f t="shared" si="46"/>
        <v>0.16034127684613123</v>
      </c>
      <c r="CA41" s="1008">
        <f t="shared" ref="CA41:CI41" si="47">CA39/CA$21</f>
        <v>0.15552927261975164</v>
      </c>
      <c r="CB41" s="1008">
        <f t="shared" si="47"/>
        <v>0.16928085232317253</v>
      </c>
      <c r="CC41" s="1008">
        <f t="shared" si="47"/>
        <v>0.16440422322775264</v>
      </c>
      <c r="CD41" s="990">
        <f t="shared" si="47"/>
        <v>0.17113142136779075</v>
      </c>
      <c r="CE41" s="1008">
        <f t="shared" si="47"/>
        <v>0.15954692556634303</v>
      </c>
      <c r="CF41" s="1008">
        <f t="shared" si="47"/>
        <v>0.14898493778650951</v>
      </c>
      <c r="CG41" s="1008">
        <f t="shared" si="47"/>
        <v>0.15130260521042085</v>
      </c>
      <c r="CH41" s="990">
        <f t="shared" si="47"/>
        <v>0.20060687795010115</v>
      </c>
      <c r="CI41" s="988">
        <f t="shared" si="47"/>
        <v>0.14607508532423208</v>
      </c>
      <c r="CJ41" s="988">
        <f>CJ39/CJ$21</f>
        <v>0.14310051107325383</v>
      </c>
      <c r="CK41" s="988">
        <f>CK39/CK$21</f>
        <v>0.14280786478095894</v>
      </c>
      <c r="CL41" s="990">
        <f>CL39/CL$21</f>
        <v>0.1904427266338721</v>
      </c>
    </row>
    <row r="42" spans="1:90" hidden="1" outlineLevel="2">
      <c r="A42" s="1009"/>
      <c r="B42" s="1009"/>
      <c r="C42" s="1009"/>
      <c r="D42" s="1009"/>
      <c r="E42" s="1009"/>
      <c r="F42" s="1009"/>
      <c r="G42" s="1009"/>
      <c r="H42" s="1009"/>
      <c r="I42" s="1009"/>
      <c r="J42" s="1009"/>
      <c r="K42" s="1009"/>
      <c r="L42" s="1009"/>
      <c r="M42" s="1009"/>
      <c r="N42" s="991"/>
      <c r="O42" s="991"/>
      <c r="P42" s="984"/>
      <c r="Q42" s="984"/>
      <c r="R42" s="1002"/>
      <c r="S42" s="991"/>
      <c r="T42" s="949"/>
      <c r="U42" s="949"/>
      <c r="V42" s="949"/>
      <c r="W42" s="949"/>
      <c r="X42" s="947"/>
      <c r="Y42" s="947"/>
      <c r="Z42" s="947"/>
      <c r="AA42" s="991"/>
      <c r="AB42" s="991"/>
      <c r="AC42" s="991"/>
      <c r="AD42" s="991"/>
      <c r="AE42" s="991"/>
      <c r="AF42" s="991"/>
      <c r="AG42" s="991"/>
      <c r="AH42" s="991"/>
      <c r="AI42" s="991"/>
      <c r="AJ42" s="991"/>
      <c r="AK42" s="991"/>
      <c r="AL42" s="991"/>
      <c r="AM42" s="991"/>
      <c r="AN42" s="991"/>
      <c r="AO42" s="991"/>
      <c r="AP42" s="991"/>
      <c r="AQ42" s="991"/>
      <c r="AR42" s="991"/>
      <c r="AS42" s="991"/>
      <c r="AT42" s="991"/>
      <c r="AU42" s="991"/>
      <c r="AV42" s="991"/>
      <c r="AW42" s="991"/>
      <c r="AX42" s="991"/>
      <c r="AY42" s="991"/>
      <c r="AZ42" s="991"/>
      <c r="BA42" s="991"/>
      <c r="BB42" s="991"/>
      <c r="BC42" s="991"/>
      <c r="BD42" s="991"/>
      <c r="BE42" s="991"/>
      <c r="BF42" s="991"/>
      <c r="BG42" s="991"/>
      <c r="BH42" s="991"/>
      <c r="BI42" s="991"/>
      <c r="BJ42" s="991"/>
      <c r="BK42" s="991"/>
      <c r="BL42" s="991"/>
      <c r="BM42" s="991"/>
      <c r="BN42" s="991"/>
      <c r="BO42" s="991"/>
      <c r="BP42" s="991"/>
      <c r="BQ42" s="991"/>
      <c r="BR42" s="986"/>
      <c r="BS42" s="991"/>
      <c r="BT42" s="991"/>
      <c r="BU42" s="991"/>
      <c r="BV42" s="986"/>
      <c r="BW42" s="991"/>
      <c r="BX42" s="991"/>
      <c r="BY42" s="991"/>
      <c r="BZ42" s="986"/>
      <c r="CA42" s="991"/>
      <c r="CB42" s="991"/>
      <c r="CC42" s="944"/>
      <c r="CD42" s="986"/>
      <c r="CE42" s="991"/>
      <c r="CF42" s="991"/>
      <c r="CG42" s="944"/>
      <c r="CH42" s="1003"/>
      <c r="CI42" s="944"/>
      <c r="CJ42" s="944"/>
      <c r="CK42" s="944"/>
      <c r="CL42" s="998"/>
    </row>
    <row r="43" spans="1:90" hidden="1" outlineLevel="2">
      <c r="A43" s="997" t="s">
        <v>40</v>
      </c>
      <c r="B43" s="997"/>
      <c r="C43" s="997"/>
      <c r="D43" s="997"/>
      <c r="E43" s="997"/>
      <c r="F43" s="997"/>
      <c r="G43" s="997"/>
      <c r="H43" s="997"/>
      <c r="I43" s="997"/>
      <c r="J43" s="997"/>
      <c r="K43" s="997"/>
      <c r="L43" s="997"/>
      <c r="M43" s="997"/>
      <c r="N43" s="984">
        <f>SUM(BR43:BU43)</f>
        <v>710</v>
      </c>
      <c r="O43" s="984">
        <f>SUM(BV43:BY43)</f>
        <v>492</v>
      </c>
      <c r="P43" s="948">
        <f>SUM(BZ43:CC43)</f>
        <v>489</v>
      </c>
      <c r="Q43" s="948">
        <f>SUM(CD43:CG43)</f>
        <v>652</v>
      </c>
      <c r="R43" s="1002"/>
      <c r="S43" s="984"/>
      <c r="T43" s="949"/>
      <c r="U43" s="949"/>
      <c r="V43" s="949"/>
      <c r="W43" s="949"/>
      <c r="X43" s="947"/>
      <c r="Y43" s="947"/>
      <c r="Z43" s="947"/>
      <c r="AA43" s="984"/>
      <c r="AB43" s="984"/>
      <c r="AC43" s="984"/>
      <c r="AD43" s="984"/>
      <c r="AE43" s="984"/>
      <c r="AF43" s="984"/>
      <c r="AG43" s="984"/>
      <c r="AH43" s="984"/>
      <c r="AI43" s="984"/>
      <c r="AJ43" s="984"/>
      <c r="AK43" s="984"/>
      <c r="AL43" s="984"/>
      <c r="AM43" s="984"/>
      <c r="AN43" s="984"/>
      <c r="AO43" s="984"/>
      <c r="AP43" s="984"/>
      <c r="AQ43" s="984"/>
      <c r="AR43" s="984"/>
      <c r="AS43" s="984"/>
      <c r="AT43" s="984"/>
      <c r="AU43" s="984"/>
      <c r="AV43" s="984"/>
      <c r="AW43" s="984"/>
      <c r="AX43" s="984"/>
      <c r="AY43" s="984"/>
      <c r="AZ43" s="984"/>
      <c r="BA43" s="984"/>
      <c r="BB43" s="984"/>
      <c r="BC43" s="984"/>
      <c r="BD43" s="984"/>
      <c r="BE43" s="984"/>
      <c r="BF43" s="984"/>
      <c r="BG43" s="984"/>
      <c r="BH43" s="984"/>
      <c r="BI43" s="984"/>
      <c r="BJ43" s="984"/>
      <c r="BK43" s="984"/>
      <c r="BL43" s="984"/>
      <c r="BM43" s="984"/>
      <c r="BN43" s="984"/>
      <c r="BO43" s="984"/>
      <c r="BP43" s="984"/>
      <c r="BQ43" s="984"/>
      <c r="BR43" s="938">
        <v>180</v>
      </c>
      <c r="BS43" s="348">
        <v>175</v>
      </c>
      <c r="BT43" s="348">
        <v>177</v>
      </c>
      <c r="BU43" s="348">
        <v>178</v>
      </c>
      <c r="BV43" s="938">
        <v>144</v>
      </c>
      <c r="BW43" s="348">
        <v>118</v>
      </c>
      <c r="BX43" s="348">
        <v>118</v>
      </c>
      <c r="BY43" s="348">
        <v>112</v>
      </c>
      <c r="BZ43" s="350">
        <v>119</v>
      </c>
      <c r="CA43" s="354">
        <v>110</v>
      </c>
      <c r="CB43" s="354">
        <v>121</v>
      </c>
      <c r="CC43" s="354">
        <v>139</v>
      </c>
      <c r="CD43" s="350">
        <v>158</v>
      </c>
      <c r="CE43" s="354">
        <v>172</v>
      </c>
      <c r="CF43" s="354">
        <v>161</v>
      </c>
      <c r="CG43" s="354">
        <v>161</v>
      </c>
      <c r="CH43" s="986"/>
      <c r="CI43" s="984"/>
      <c r="CJ43" s="984"/>
      <c r="CK43" s="984"/>
      <c r="CL43" s="998"/>
    </row>
    <row r="44" spans="1:90" hidden="1" outlineLevel="2">
      <c r="A44" s="997" t="s">
        <v>41</v>
      </c>
      <c r="B44" s="997"/>
      <c r="C44" s="997"/>
      <c r="D44" s="997"/>
      <c r="E44" s="997"/>
      <c r="F44" s="997"/>
      <c r="G44" s="997"/>
      <c r="H44" s="997"/>
      <c r="I44" s="997"/>
      <c r="J44" s="997"/>
      <c r="K44" s="997"/>
      <c r="L44" s="997"/>
      <c r="M44" s="997"/>
      <c r="N44" s="984">
        <f>SUM(BR44:BU44)</f>
        <v>1740</v>
      </c>
      <c r="O44" s="984">
        <f>SUM(BV44:BY44)</f>
        <v>1813</v>
      </c>
      <c r="P44" s="948">
        <f>SUM(BZ44:CC44)</f>
        <v>1742</v>
      </c>
      <c r="Q44" s="948">
        <f>SUM(CD44:CG44)</f>
        <v>1694</v>
      </c>
      <c r="R44" s="1002"/>
      <c r="S44" s="984"/>
      <c r="T44" s="949"/>
      <c r="U44" s="949"/>
      <c r="V44" s="949"/>
      <c r="W44" s="949"/>
      <c r="X44" s="947"/>
      <c r="Y44" s="947"/>
      <c r="Z44" s="947"/>
      <c r="AA44" s="984"/>
      <c r="AB44" s="984"/>
      <c r="AC44" s="984"/>
      <c r="AD44" s="984"/>
      <c r="AE44" s="984"/>
      <c r="AF44" s="984"/>
      <c r="AG44" s="984"/>
      <c r="AH44" s="984"/>
      <c r="AI44" s="984"/>
      <c r="AJ44" s="984"/>
      <c r="AK44" s="984"/>
      <c r="AL44" s="984"/>
      <c r="AM44" s="984"/>
      <c r="AN44" s="984"/>
      <c r="AO44" s="984"/>
      <c r="AP44" s="984"/>
      <c r="AQ44" s="984"/>
      <c r="AR44" s="984"/>
      <c r="AS44" s="984"/>
      <c r="AT44" s="984"/>
      <c r="AU44" s="984"/>
      <c r="AV44" s="984"/>
      <c r="AW44" s="984"/>
      <c r="AX44" s="984"/>
      <c r="AY44" s="984"/>
      <c r="AZ44" s="984"/>
      <c r="BA44" s="984"/>
      <c r="BB44" s="984"/>
      <c r="BC44" s="984"/>
      <c r="BD44" s="984"/>
      <c r="BE44" s="984"/>
      <c r="BF44" s="984"/>
      <c r="BG44" s="984"/>
      <c r="BH44" s="984"/>
      <c r="BI44" s="984"/>
      <c r="BJ44" s="984"/>
      <c r="BK44" s="984"/>
      <c r="BL44" s="984"/>
      <c r="BM44" s="984"/>
      <c r="BN44" s="984"/>
      <c r="BO44" s="984"/>
      <c r="BP44" s="984"/>
      <c r="BQ44" s="984"/>
      <c r="BR44" s="986">
        <f t="shared" ref="BR44:BZ44" si="48">SUM(BR46:BR48)</f>
        <v>468</v>
      </c>
      <c r="BS44" s="991">
        <f t="shared" si="48"/>
        <v>465</v>
      </c>
      <c r="BT44" s="991">
        <f t="shared" si="48"/>
        <v>403</v>
      </c>
      <c r="BU44" s="991">
        <f t="shared" si="48"/>
        <v>404</v>
      </c>
      <c r="BV44" s="986">
        <f t="shared" si="48"/>
        <v>432</v>
      </c>
      <c r="BW44" s="991">
        <f t="shared" si="48"/>
        <v>482</v>
      </c>
      <c r="BX44" s="991">
        <f t="shared" si="48"/>
        <v>443</v>
      </c>
      <c r="BY44" s="991">
        <f t="shared" si="48"/>
        <v>456</v>
      </c>
      <c r="BZ44" s="350">
        <f t="shared" si="48"/>
        <v>453</v>
      </c>
      <c r="CA44" s="354">
        <f t="shared" ref="CA44:CF44" si="49">SUM(CA46:CA48)</f>
        <v>449</v>
      </c>
      <c r="CB44" s="354">
        <f t="shared" si="49"/>
        <v>398</v>
      </c>
      <c r="CC44" s="354">
        <f t="shared" si="49"/>
        <v>442</v>
      </c>
      <c r="CD44" s="350">
        <f t="shared" si="49"/>
        <v>417</v>
      </c>
      <c r="CE44" s="354">
        <f t="shared" si="49"/>
        <v>421</v>
      </c>
      <c r="CF44" s="354">
        <f t="shared" si="49"/>
        <v>435</v>
      </c>
      <c r="CG44" s="354">
        <f>SUM(CG46:CG48)</f>
        <v>421</v>
      </c>
      <c r="CH44" s="986"/>
      <c r="CI44" s="984"/>
      <c r="CJ44" s="984"/>
      <c r="CK44" s="984"/>
      <c r="CL44" s="998"/>
    </row>
    <row r="45" spans="1:90" hidden="1" outlineLevel="2">
      <c r="A45" s="987" t="s">
        <v>34</v>
      </c>
      <c r="B45" s="997"/>
      <c r="C45" s="997"/>
      <c r="D45" s="997"/>
      <c r="E45" s="997"/>
      <c r="F45" s="997"/>
      <c r="G45" s="997"/>
      <c r="H45" s="997"/>
      <c r="I45" s="997"/>
      <c r="J45" s="997"/>
      <c r="K45" s="997"/>
      <c r="L45" s="997"/>
      <c r="M45" s="997"/>
      <c r="N45" s="984"/>
      <c r="O45" s="988">
        <f>O44/N44-1</f>
        <v>4.1954022988505812E-2</v>
      </c>
      <c r="P45" s="988">
        <f>P44/O44-1</f>
        <v>-3.9161610590181972E-2</v>
      </c>
      <c r="Q45" s="988">
        <f>Q44/P44-1</f>
        <v>-2.7554535017221604E-2</v>
      </c>
      <c r="R45" s="989"/>
      <c r="S45" s="363"/>
      <c r="T45" s="949"/>
      <c r="U45" s="949"/>
      <c r="V45" s="949"/>
      <c r="W45" s="949"/>
      <c r="X45" s="947"/>
      <c r="Y45" s="947"/>
      <c r="Z45" s="947"/>
      <c r="AA45" s="984"/>
      <c r="AB45" s="984"/>
      <c r="AC45" s="984"/>
      <c r="AD45" s="984"/>
      <c r="AE45" s="984"/>
      <c r="AF45" s="984"/>
      <c r="AG45" s="984"/>
      <c r="AH45" s="984"/>
      <c r="AI45" s="984"/>
      <c r="AJ45" s="984"/>
      <c r="AK45" s="984"/>
      <c r="AL45" s="984"/>
      <c r="AM45" s="984"/>
      <c r="AN45" s="984"/>
      <c r="AO45" s="984"/>
      <c r="AP45" s="984"/>
      <c r="AQ45" s="984"/>
      <c r="AR45" s="984"/>
      <c r="AS45" s="984"/>
      <c r="AT45" s="984"/>
      <c r="AU45" s="984"/>
      <c r="AV45" s="984"/>
      <c r="AW45" s="984"/>
      <c r="AX45" s="984"/>
      <c r="AY45" s="984"/>
      <c r="AZ45" s="984"/>
      <c r="BA45" s="984"/>
      <c r="BB45" s="984"/>
      <c r="BC45" s="984"/>
      <c r="BD45" s="984"/>
      <c r="BE45" s="984"/>
      <c r="BF45" s="984"/>
      <c r="BG45" s="984"/>
      <c r="BH45" s="984"/>
      <c r="BI45" s="984"/>
      <c r="BJ45" s="984"/>
      <c r="BK45" s="984"/>
      <c r="BL45" s="984"/>
      <c r="BM45" s="984"/>
      <c r="BN45" s="984"/>
      <c r="BO45" s="984"/>
      <c r="BP45" s="984"/>
      <c r="BQ45" s="984"/>
      <c r="BR45" s="986"/>
      <c r="BS45" s="991"/>
      <c r="BT45" s="991"/>
      <c r="BU45" s="991"/>
      <c r="BV45" s="986"/>
      <c r="BW45" s="991"/>
      <c r="BX45" s="991"/>
      <c r="BY45" s="991"/>
      <c r="BZ45" s="352">
        <f t="shared" ref="BZ45:CG45" si="50">BZ44/BV44-1</f>
        <v>4.861111111111116E-2</v>
      </c>
      <c r="CA45" s="353">
        <f t="shared" si="50"/>
        <v>-6.846473029045641E-2</v>
      </c>
      <c r="CB45" s="353">
        <f t="shared" si="50"/>
        <v>-0.10158013544018063</v>
      </c>
      <c r="CC45" s="353">
        <f t="shared" si="50"/>
        <v>-3.0701754385964897E-2</v>
      </c>
      <c r="CD45" s="352">
        <f t="shared" si="50"/>
        <v>-7.9470198675496651E-2</v>
      </c>
      <c r="CE45" s="353">
        <f t="shared" si="50"/>
        <v>-6.2360801781737196E-2</v>
      </c>
      <c r="CF45" s="353">
        <f t="shared" si="50"/>
        <v>9.2964824120602918E-2</v>
      </c>
      <c r="CG45" s="353">
        <f t="shared" si="50"/>
        <v>-4.7511312217194623E-2</v>
      </c>
      <c r="CH45" s="1000"/>
      <c r="CI45" s="363"/>
      <c r="CJ45" s="363"/>
      <c r="CK45" s="363"/>
      <c r="CL45" s="998"/>
    </row>
    <row r="46" spans="1:90" hidden="1" outlineLevel="2">
      <c r="A46" s="1001" t="s">
        <v>47</v>
      </c>
      <c r="B46" s="997"/>
      <c r="C46" s="997"/>
      <c r="D46" s="997"/>
      <c r="E46" s="997"/>
      <c r="F46" s="997"/>
      <c r="G46" s="997"/>
      <c r="H46" s="997"/>
      <c r="I46" s="997"/>
      <c r="J46" s="997"/>
      <c r="K46" s="997"/>
      <c r="L46" s="997"/>
      <c r="M46" s="997"/>
      <c r="N46" s="984">
        <f>SUM(BR46:BU46)</f>
        <v>607</v>
      </c>
      <c r="O46" s="984">
        <f>SUM(BV46:BY46)</f>
        <v>622</v>
      </c>
      <c r="P46" s="948">
        <f>SUM(BZ46:CC46)</f>
        <v>589</v>
      </c>
      <c r="Q46" s="984"/>
      <c r="R46" s="1002"/>
      <c r="S46" s="984"/>
      <c r="T46" s="949"/>
      <c r="U46" s="949"/>
      <c r="V46" s="949"/>
      <c r="W46" s="949"/>
      <c r="X46" s="947"/>
      <c r="Y46" s="947"/>
      <c r="Z46" s="947"/>
      <c r="AA46" s="984"/>
      <c r="AB46" s="984"/>
      <c r="AC46" s="984"/>
      <c r="AD46" s="984"/>
      <c r="AE46" s="984"/>
      <c r="AF46" s="984"/>
      <c r="AG46" s="984"/>
      <c r="AH46" s="984"/>
      <c r="AI46" s="984"/>
      <c r="AJ46" s="984"/>
      <c r="AK46" s="984"/>
      <c r="AL46" s="984"/>
      <c r="AM46" s="984"/>
      <c r="AN46" s="984"/>
      <c r="AO46" s="984"/>
      <c r="AP46" s="984"/>
      <c r="AQ46" s="984"/>
      <c r="AR46" s="984"/>
      <c r="AS46" s="984"/>
      <c r="AT46" s="984"/>
      <c r="AU46" s="984"/>
      <c r="AV46" s="984"/>
      <c r="AW46" s="984"/>
      <c r="AX46" s="984"/>
      <c r="AY46" s="984"/>
      <c r="AZ46" s="984"/>
      <c r="BA46" s="984"/>
      <c r="BB46" s="984"/>
      <c r="BC46" s="984"/>
      <c r="BD46" s="984"/>
      <c r="BE46" s="984"/>
      <c r="BF46" s="984"/>
      <c r="BG46" s="984"/>
      <c r="BH46" s="984"/>
      <c r="BI46" s="984"/>
      <c r="BJ46" s="984"/>
      <c r="BK46" s="984"/>
      <c r="BL46" s="984"/>
      <c r="BM46" s="984"/>
      <c r="BN46" s="984"/>
      <c r="BO46" s="984"/>
      <c r="BP46" s="984"/>
      <c r="BQ46" s="984"/>
      <c r="BR46" s="938">
        <f>184</f>
        <v>184</v>
      </c>
      <c r="BS46" s="348">
        <v>161</v>
      </c>
      <c r="BT46" s="348">
        <f>181-43</f>
        <v>138</v>
      </c>
      <c r="BU46" s="348">
        <v>124</v>
      </c>
      <c r="BV46" s="938">
        <f>159-40</f>
        <v>119</v>
      </c>
      <c r="BW46" s="348">
        <v>178</v>
      </c>
      <c r="BX46" s="348">
        <v>164</v>
      </c>
      <c r="BY46" s="348">
        <v>161</v>
      </c>
      <c r="BZ46" s="350">
        <v>163</v>
      </c>
      <c r="CA46" s="354">
        <v>123</v>
      </c>
      <c r="CB46" s="354">
        <v>155</v>
      </c>
      <c r="CC46" s="354">
        <v>148</v>
      </c>
      <c r="CD46" s="350">
        <v>145</v>
      </c>
      <c r="CE46" s="354">
        <v>152</v>
      </c>
      <c r="CF46" s="354">
        <v>160</v>
      </c>
      <c r="CG46" s="354">
        <v>139</v>
      </c>
      <c r="CH46" s="1003"/>
      <c r="CI46" s="944"/>
      <c r="CJ46" s="944"/>
      <c r="CK46" s="944"/>
      <c r="CL46" s="998"/>
    </row>
    <row r="47" spans="1:90" hidden="1" outlineLevel="2">
      <c r="A47" s="1001" t="s">
        <v>48</v>
      </c>
      <c r="B47" s="997"/>
      <c r="C47" s="997"/>
      <c r="D47" s="997"/>
      <c r="E47" s="997"/>
      <c r="F47" s="997"/>
      <c r="G47" s="997"/>
      <c r="H47" s="997"/>
      <c r="I47" s="997"/>
      <c r="J47" s="997"/>
      <c r="K47" s="997"/>
      <c r="L47" s="997"/>
      <c r="M47" s="997"/>
      <c r="N47" s="984">
        <f>SUM(BR47:BU47)</f>
        <v>446</v>
      </c>
      <c r="O47" s="984">
        <f>SUM(BV47:BY47)</f>
        <v>445</v>
      </c>
      <c r="P47" s="948">
        <f>SUM(BZ47:CC47)</f>
        <v>454</v>
      </c>
      <c r="Q47" s="984"/>
      <c r="R47" s="1002"/>
      <c r="S47" s="984"/>
      <c r="T47" s="949"/>
      <c r="U47" s="949"/>
      <c r="V47" s="949"/>
      <c r="W47" s="949"/>
      <c r="X47" s="947"/>
      <c r="Y47" s="947"/>
      <c r="Z47" s="947"/>
      <c r="AA47" s="984"/>
      <c r="AB47" s="984"/>
      <c r="AC47" s="984"/>
      <c r="AD47" s="984"/>
      <c r="AE47" s="984"/>
      <c r="AF47" s="984"/>
      <c r="AG47" s="984"/>
      <c r="AH47" s="984"/>
      <c r="AI47" s="984"/>
      <c r="AJ47" s="984"/>
      <c r="AK47" s="984"/>
      <c r="AL47" s="984"/>
      <c r="AM47" s="984"/>
      <c r="AN47" s="984"/>
      <c r="AO47" s="984"/>
      <c r="AP47" s="984"/>
      <c r="AQ47" s="984"/>
      <c r="AR47" s="984"/>
      <c r="AS47" s="984"/>
      <c r="AT47" s="984"/>
      <c r="AU47" s="984"/>
      <c r="AV47" s="984"/>
      <c r="AW47" s="984"/>
      <c r="AX47" s="984"/>
      <c r="AY47" s="984"/>
      <c r="AZ47" s="984"/>
      <c r="BA47" s="984"/>
      <c r="BB47" s="984"/>
      <c r="BC47" s="984"/>
      <c r="BD47" s="984"/>
      <c r="BE47" s="984"/>
      <c r="BF47" s="984"/>
      <c r="BG47" s="984"/>
      <c r="BH47" s="984"/>
      <c r="BI47" s="984"/>
      <c r="BJ47" s="984"/>
      <c r="BK47" s="984"/>
      <c r="BL47" s="984"/>
      <c r="BM47" s="984"/>
      <c r="BN47" s="984"/>
      <c r="BO47" s="984"/>
      <c r="BP47" s="984"/>
      <c r="BQ47" s="984"/>
      <c r="BR47" s="938">
        <v>112</v>
      </c>
      <c r="BS47" s="348">
        <v>108</v>
      </c>
      <c r="BT47" s="348">
        <v>113</v>
      </c>
      <c r="BU47" s="348">
        <v>113</v>
      </c>
      <c r="BV47" s="938">
        <v>111</v>
      </c>
      <c r="BW47" s="348">
        <v>111</v>
      </c>
      <c r="BX47" s="348">
        <v>114</v>
      </c>
      <c r="BY47" s="348">
        <v>109</v>
      </c>
      <c r="BZ47" s="350">
        <v>117</v>
      </c>
      <c r="CA47" s="354">
        <v>114</v>
      </c>
      <c r="CB47" s="354">
        <v>117</v>
      </c>
      <c r="CC47" s="354">
        <v>106</v>
      </c>
      <c r="CD47" s="350">
        <v>108</v>
      </c>
      <c r="CE47" s="354">
        <v>107</v>
      </c>
      <c r="CF47" s="354">
        <v>110</v>
      </c>
      <c r="CG47" s="354">
        <v>107</v>
      </c>
      <c r="CH47" s="1003"/>
      <c r="CI47" s="944"/>
      <c r="CJ47" s="944"/>
      <c r="CK47" s="944"/>
      <c r="CL47" s="998"/>
    </row>
    <row r="48" spans="1:90" hidden="1" outlineLevel="2">
      <c r="A48" s="1001" t="s">
        <v>792</v>
      </c>
      <c r="B48" s="997"/>
      <c r="C48" s="997"/>
      <c r="D48" s="997"/>
      <c r="E48" s="997"/>
      <c r="F48" s="997"/>
      <c r="G48" s="997"/>
      <c r="H48" s="997"/>
      <c r="I48" s="997"/>
      <c r="J48" s="997"/>
      <c r="K48" s="997"/>
      <c r="L48" s="997"/>
      <c r="M48" s="997"/>
      <c r="N48" s="984">
        <f>SUM(BR48:BU48)</f>
        <v>687</v>
      </c>
      <c r="O48" s="984">
        <f>SUM(BV48:BY48)</f>
        <v>746</v>
      </c>
      <c r="P48" s="948">
        <f>SUM(BZ48:CC48)</f>
        <v>699</v>
      </c>
      <c r="Q48" s="948"/>
      <c r="R48" s="1002"/>
      <c r="S48" s="984"/>
      <c r="T48" s="949"/>
      <c r="U48" s="949"/>
      <c r="V48" s="949"/>
      <c r="W48" s="949"/>
      <c r="X48" s="947"/>
      <c r="Y48" s="947"/>
      <c r="Z48" s="947"/>
      <c r="AA48" s="984"/>
      <c r="AB48" s="984"/>
      <c r="AC48" s="984"/>
      <c r="AD48" s="984"/>
      <c r="AE48" s="984"/>
      <c r="AF48" s="984"/>
      <c r="AG48" s="984"/>
      <c r="AH48" s="984"/>
      <c r="AI48" s="984"/>
      <c r="AJ48" s="984"/>
      <c r="AK48" s="984"/>
      <c r="AL48" s="984"/>
      <c r="AM48" s="984"/>
      <c r="AN48" s="984"/>
      <c r="AO48" s="984"/>
      <c r="AP48" s="984"/>
      <c r="AQ48" s="984"/>
      <c r="AR48" s="984"/>
      <c r="AS48" s="984"/>
      <c r="AT48" s="984"/>
      <c r="AU48" s="984"/>
      <c r="AV48" s="984"/>
      <c r="AW48" s="984"/>
      <c r="AX48" s="984"/>
      <c r="AY48" s="984"/>
      <c r="AZ48" s="984"/>
      <c r="BA48" s="984"/>
      <c r="BB48" s="984"/>
      <c r="BC48" s="984"/>
      <c r="BD48" s="984"/>
      <c r="BE48" s="984"/>
      <c r="BF48" s="984"/>
      <c r="BG48" s="984"/>
      <c r="BH48" s="984"/>
      <c r="BI48" s="984"/>
      <c r="BJ48" s="984"/>
      <c r="BK48" s="984"/>
      <c r="BL48" s="984"/>
      <c r="BM48" s="984"/>
      <c r="BN48" s="984"/>
      <c r="BO48" s="984"/>
      <c r="BP48" s="984"/>
      <c r="BQ48" s="984"/>
      <c r="BR48" s="938">
        <f>193-21</f>
        <v>172</v>
      </c>
      <c r="BS48" s="348">
        <v>196</v>
      </c>
      <c r="BT48" s="348">
        <v>152</v>
      </c>
      <c r="BU48" s="348">
        <v>167</v>
      </c>
      <c r="BV48" s="938">
        <v>202</v>
      </c>
      <c r="BW48" s="348">
        <v>193</v>
      </c>
      <c r="BX48" s="348">
        <f>518-353</f>
        <v>165</v>
      </c>
      <c r="BY48" s="348">
        <v>186</v>
      </c>
      <c r="BZ48" s="350">
        <v>173</v>
      </c>
      <c r="CA48" s="354">
        <v>212</v>
      </c>
      <c r="CB48" s="354">
        <v>126</v>
      </c>
      <c r="CC48" s="354">
        <v>188</v>
      </c>
      <c r="CD48" s="350">
        <v>164</v>
      </c>
      <c r="CE48" s="354">
        <v>162</v>
      </c>
      <c r="CF48" s="354">
        <v>165</v>
      </c>
      <c r="CG48" s="354">
        <v>175</v>
      </c>
      <c r="CH48" s="1806" t="s">
        <v>1071</v>
      </c>
      <c r="CI48" s="944"/>
      <c r="CJ48" s="944"/>
      <c r="CK48" s="944"/>
      <c r="CL48" s="1806" t="s">
        <v>1071</v>
      </c>
    </row>
    <row r="49" spans="1:90" outlineLevel="1" collapsed="1">
      <c r="A49" s="1004" t="s">
        <v>49</v>
      </c>
      <c r="B49" s="1004"/>
      <c r="C49" s="1004"/>
      <c r="D49" s="1004"/>
      <c r="E49" s="1004"/>
      <c r="F49" s="1004"/>
      <c r="G49" s="1004"/>
      <c r="H49" s="1004"/>
      <c r="I49" s="1004"/>
      <c r="J49" s="1004"/>
      <c r="K49" s="1004"/>
      <c r="L49" s="1004"/>
      <c r="M49" s="1004"/>
      <c r="N49" s="767">
        <f>SUM(N43:N44)</f>
        <v>2450</v>
      </c>
      <c r="O49" s="767">
        <f>SUM(O43:O44)</f>
        <v>2305</v>
      </c>
      <c r="P49" s="271">
        <f>SUM(P43:P44)</f>
        <v>2231</v>
      </c>
      <c r="Q49" s="271">
        <f>SUM(Q43:Q44)</f>
        <v>2346</v>
      </c>
      <c r="R49" s="223">
        <f>SUM(CH49:CK49)</f>
        <v>1343</v>
      </c>
      <c r="S49" s="767">
        <f>SUM(CL49:CO49)</f>
        <v>0</v>
      </c>
      <c r="T49" s="949"/>
      <c r="U49" s="949"/>
      <c r="V49" s="949"/>
      <c r="W49" s="949"/>
      <c r="X49" s="947"/>
      <c r="Y49" s="947"/>
      <c r="Z49" s="947"/>
      <c r="AA49" s="767"/>
      <c r="AB49" s="767"/>
      <c r="AC49" s="767"/>
      <c r="AD49" s="767"/>
      <c r="AE49" s="767"/>
      <c r="AF49" s="767"/>
      <c r="AG49" s="767"/>
      <c r="AH49" s="767"/>
      <c r="AI49" s="767"/>
      <c r="AJ49" s="767"/>
      <c r="AK49" s="767"/>
      <c r="AL49" s="767"/>
      <c r="AM49" s="767"/>
      <c r="AN49" s="767"/>
      <c r="AO49" s="767"/>
      <c r="AP49" s="767"/>
      <c r="AQ49" s="767"/>
      <c r="AR49" s="767"/>
      <c r="AS49" s="767"/>
      <c r="AT49" s="767"/>
      <c r="AU49" s="767"/>
      <c r="AV49" s="767"/>
      <c r="AW49" s="767"/>
      <c r="AX49" s="767"/>
      <c r="AY49" s="767"/>
      <c r="AZ49" s="767"/>
      <c r="BA49" s="767"/>
      <c r="BB49" s="767"/>
      <c r="BC49" s="767"/>
      <c r="BD49" s="767"/>
      <c r="BE49" s="767"/>
      <c r="BF49" s="767"/>
      <c r="BG49" s="767"/>
      <c r="BH49" s="767"/>
      <c r="BI49" s="767"/>
      <c r="BJ49" s="767"/>
      <c r="BK49" s="767"/>
      <c r="BL49" s="767"/>
      <c r="BM49" s="767"/>
      <c r="BN49" s="767"/>
      <c r="BO49" s="767"/>
      <c r="BP49" s="767"/>
      <c r="BQ49" s="767"/>
      <c r="BR49" s="940">
        <f t="shared" ref="BR49:BY49" si="51">SUM(BR43,BR46:BR48)</f>
        <v>648</v>
      </c>
      <c r="BS49" s="767">
        <f t="shared" si="51"/>
        <v>640</v>
      </c>
      <c r="BT49" s="767">
        <f t="shared" si="51"/>
        <v>580</v>
      </c>
      <c r="BU49" s="767">
        <f t="shared" si="51"/>
        <v>582</v>
      </c>
      <c r="BV49" s="940">
        <f t="shared" si="51"/>
        <v>576</v>
      </c>
      <c r="BW49" s="767">
        <f t="shared" si="51"/>
        <v>600</v>
      </c>
      <c r="BX49" s="767">
        <f t="shared" si="51"/>
        <v>561</v>
      </c>
      <c r="BY49" s="767">
        <f t="shared" si="51"/>
        <v>568</v>
      </c>
      <c r="BZ49" s="1005">
        <f>484-45</f>
        <v>439</v>
      </c>
      <c r="CA49" s="1006">
        <f>468-2</f>
        <v>466</v>
      </c>
      <c r="CB49" s="1006">
        <f>424-30</f>
        <v>394</v>
      </c>
      <c r="CC49" s="1006">
        <f>504-19</f>
        <v>485</v>
      </c>
      <c r="CD49" s="1005">
        <f>494-23</f>
        <v>471</v>
      </c>
      <c r="CE49" s="1006">
        <f>500-23</f>
        <v>477</v>
      </c>
      <c r="CF49" s="1006">
        <f>504-11</f>
        <v>493</v>
      </c>
      <c r="CG49" s="1006">
        <f>495-56</f>
        <v>439</v>
      </c>
      <c r="CH49" s="1005">
        <v>0</v>
      </c>
      <c r="CI49" s="1006">
        <f>505-8-27</f>
        <v>470</v>
      </c>
      <c r="CJ49" s="1006">
        <f>486-51-5</f>
        <v>430</v>
      </c>
      <c r="CK49" s="1006">
        <f>560-19-25-67-6</f>
        <v>443</v>
      </c>
      <c r="CL49" s="940">
        <v>0</v>
      </c>
    </row>
    <row r="50" spans="1:90" outlineLevel="1">
      <c r="A50" s="987" t="s">
        <v>34</v>
      </c>
      <c r="B50" s="983"/>
      <c r="C50" s="983"/>
      <c r="D50" s="983"/>
      <c r="E50" s="983"/>
      <c r="F50" s="983"/>
      <c r="G50" s="983"/>
      <c r="H50" s="983"/>
      <c r="I50" s="983"/>
      <c r="J50" s="983"/>
      <c r="K50" s="983"/>
      <c r="L50" s="983"/>
      <c r="M50" s="983"/>
      <c r="N50" s="984"/>
      <c r="O50" s="988">
        <f>O49/N49-1</f>
        <v>-5.9183673469387799E-2</v>
      </c>
      <c r="P50" s="988">
        <f>P49/O49-1</f>
        <v>-3.2104121475054259E-2</v>
      </c>
      <c r="Q50" s="988">
        <f>Q49/P49-1</f>
        <v>5.1546391752577359E-2</v>
      </c>
      <c r="R50" s="989">
        <f>R49/Q49-1</f>
        <v>-0.42753623188405798</v>
      </c>
      <c r="S50" s="988">
        <f>S49/R49-1</f>
        <v>-1</v>
      </c>
      <c r="T50" s="949"/>
      <c r="U50" s="949"/>
      <c r="V50" s="949"/>
      <c r="W50" s="949"/>
      <c r="X50" s="947"/>
      <c r="Y50" s="947"/>
      <c r="Z50" s="947"/>
      <c r="AA50" s="984"/>
      <c r="AB50" s="984"/>
      <c r="AC50" s="984"/>
      <c r="AD50" s="984"/>
      <c r="AE50" s="984"/>
      <c r="AF50" s="984"/>
      <c r="AG50" s="984"/>
      <c r="AH50" s="984"/>
      <c r="AI50" s="984"/>
      <c r="AJ50" s="984"/>
      <c r="AK50" s="984"/>
      <c r="AL50" s="984"/>
      <c r="AM50" s="984"/>
      <c r="AN50" s="984"/>
      <c r="AO50" s="984"/>
      <c r="AP50" s="984"/>
      <c r="AQ50" s="984"/>
      <c r="AR50" s="984"/>
      <c r="AS50" s="984"/>
      <c r="AT50" s="984"/>
      <c r="AU50" s="984"/>
      <c r="AV50" s="984"/>
      <c r="AW50" s="984"/>
      <c r="AX50" s="984"/>
      <c r="AY50" s="984"/>
      <c r="AZ50" s="984"/>
      <c r="BA50" s="984"/>
      <c r="BB50" s="984"/>
      <c r="BC50" s="984"/>
      <c r="BD50" s="984"/>
      <c r="BE50" s="984"/>
      <c r="BF50" s="984"/>
      <c r="BG50" s="984"/>
      <c r="BH50" s="984"/>
      <c r="BI50" s="984"/>
      <c r="BJ50" s="984"/>
      <c r="BK50" s="984"/>
      <c r="BL50" s="984"/>
      <c r="BM50" s="984"/>
      <c r="BN50" s="984"/>
      <c r="BO50" s="984"/>
      <c r="BP50" s="984"/>
      <c r="BQ50" s="984"/>
      <c r="BR50" s="938"/>
      <c r="BS50" s="347"/>
      <c r="BT50" s="347"/>
      <c r="BU50" s="347"/>
      <c r="BV50" s="990">
        <f t="shared" ref="BV50:CF50" si="52">BV49/BR49-1</f>
        <v>-0.11111111111111116</v>
      </c>
      <c r="BW50" s="988">
        <f t="shared" si="52"/>
        <v>-6.25E-2</v>
      </c>
      <c r="BX50" s="988">
        <f t="shared" si="52"/>
        <v>-3.2758620689655182E-2</v>
      </c>
      <c r="BY50" s="988">
        <f t="shared" si="52"/>
        <v>-2.4054982817869441E-2</v>
      </c>
      <c r="BZ50" s="990">
        <f t="shared" si="52"/>
        <v>-0.23784722222222221</v>
      </c>
      <c r="CA50" s="988">
        <f t="shared" si="52"/>
        <v>-0.22333333333333338</v>
      </c>
      <c r="CB50" s="988">
        <f t="shared" si="52"/>
        <v>-0.29768270944741537</v>
      </c>
      <c r="CC50" s="988">
        <f t="shared" si="52"/>
        <v>-0.14612676056338025</v>
      </c>
      <c r="CD50" s="990">
        <f t="shared" si="52"/>
        <v>7.2892938496583071E-2</v>
      </c>
      <c r="CE50" s="988">
        <f t="shared" si="52"/>
        <v>2.3605150214592197E-2</v>
      </c>
      <c r="CF50" s="988">
        <f t="shared" si="52"/>
        <v>0.25126903553299496</v>
      </c>
      <c r="CG50" s="988">
        <f>CG49/CC49-1</f>
        <v>-9.4845360824742264E-2</v>
      </c>
      <c r="CH50" s="990">
        <f>CH49/CD49-1</f>
        <v>-1</v>
      </c>
      <c r="CI50" s="988">
        <f>CI49/CE49-1</f>
        <v>-1.4675052410901501E-2</v>
      </c>
      <c r="CJ50" s="988">
        <f>CJ49/CF49-1</f>
        <v>-0.12778904665314406</v>
      </c>
      <c r="CK50" s="988">
        <f>CK49/CG49-1</f>
        <v>9.1116173120728838E-3</v>
      </c>
      <c r="CL50" s="990"/>
    </row>
    <row r="51" spans="1:90" outlineLevel="1">
      <c r="A51" s="1001" t="s">
        <v>1003</v>
      </c>
      <c r="B51" s="1004"/>
      <c r="C51" s="1004"/>
      <c r="D51" s="1004"/>
      <c r="E51" s="1004"/>
      <c r="F51" s="1004"/>
      <c r="G51" s="1004"/>
      <c r="H51" s="1004"/>
      <c r="I51" s="1004"/>
      <c r="J51" s="1004"/>
      <c r="K51" s="1004"/>
      <c r="L51" s="1004"/>
      <c r="M51" s="1004"/>
      <c r="N51" s="1008">
        <f t="shared" ref="N51:S51" si="53">N49/N$21</f>
        <v>0.17596782302664657</v>
      </c>
      <c r="O51" s="1008">
        <f t="shared" si="53"/>
        <v>0.16729568877921325</v>
      </c>
      <c r="P51" s="988">
        <f t="shared" si="53"/>
        <v>0.16556586270871984</v>
      </c>
      <c r="Q51" s="988">
        <f t="shared" si="53"/>
        <v>0.19056128665421168</v>
      </c>
      <c r="R51" s="989">
        <f t="shared" si="53"/>
        <v>0.11449275362318841</v>
      </c>
      <c r="S51" s="988">
        <f t="shared" si="53"/>
        <v>0</v>
      </c>
      <c r="T51" s="949"/>
      <c r="U51" s="949"/>
      <c r="V51" s="949"/>
      <c r="W51" s="949"/>
      <c r="X51" s="947"/>
      <c r="Y51" s="947"/>
      <c r="Z51" s="947"/>
      <c r="AA51" s="767"/>
      <c r="AB51" s="767"/>
      <c r="AC51" s="767"/>
      <c r="AD51" s="767"/>
      <c r="AE51" s="767"/>
      <c r="AF51" s="767"/>
      <c r="AG51" s="767"/>
      <c r="AH51" s="767"/>
      <c r="AI51" s="767"/>
      <c r="AJ51" s="767"/>
      <c r="AK51" s="767"/>
      <c r="AL51" s="767"/>
      <c r="AM51" s="767"/>
      <c r="AN51" s="767"/>
      <c r="AO51" s="767"/>
      <c r="AP51" s="767"/>
      <c r="AQ51" s="767"/>
      <c r="AR51" s="767"/>
      <c r="AS51" s="767"/>
      <c r="AT51" s="767"/>
      <c r="AU51" s="767"/>
      <c r="AV51" s="767"/>
      <c r="AW51" s="767"/>
      <c r="AX51" s="767"/>
      <c r="AY51" s="767"/>
      <c r="AZ51" s="767"/>
      <c r="BA51" s="767"/>
      <c r="BB51" s="767"/>
      <c r="BC51" s="767"/>
      <c r="BD51" s="767"/>
      <c r="BE51" s="767"/>
      <c r="BF51" s="767"/>
      <c r="BG51" s="767"/>
      <c r="BH51" s="767"/>
      <c r="BI51" s="767"/>
      <c r="BJ51" s="767"/>
      <c r="BK51" s="767"/>
      <c r="BL51" s="767"/>
      <c r="BM51" s="767"/>
      <c r="BN51" s="767"/>
      <c r="BO51" s="767"/>
      <c r="BP51" s="767"/>
      <c r="BQ51" s="767"/>
      <c r="BR51" s="990">
        <f t="shared" ref="BR51:BZ51" si="54">BR49/BR$21</f>
        <v>0.18642117376294592</v>
      </c>
      <c r="BS51" s="1008">
        <f t="shared" si="54"/>
        <v>0.18433179723502305</v>
      </c>
      <c r="BT51" s="1008">
        <f t="shared" si="54"/>
        <v>0.16633209062231144</v>
      </c>
      <c r="BU51" s="1008">
        <f t="shared" si="54"/>
        <v>0.16685779816513763</v>
      </c>
      <c r="BV51" s="990">
        <f t="shared" si="54"/>
        <v>0.16715031921067905</v>
      </c>
      <c r="BW51" s="1008">
        <f t="shared" si="54"/>
        <v>0.17326017903551832</v>
      </c>
      <c r="BX51" s="1008">
        <f t="shared" si="54"/>
        <v>0.16336633663366337</v>
      </c>
      <c r="BY51" s="1008">
        <f t="shared" si="54"/>
        <v>0.16535662299854439</v>
      </c>
      <c r="BZ51" s="990">
        <f t="shared" si="54"/>
        <v>0.12915563401000293</v>
      </c>
      <c r="CA51" s="1008">
        <f t="shared" ref="CA51:CG51" si="55">CA49/CA$21</f>
        <v>0.13778829095209935</v>
      </c>
      <c r="CB51" s="1008">
        <f t="shared" si="55"/>
        <v>0.11660254513169577</v>
      </c>
      <c r="CC51" s="1008">
        <f t="shared" si="55"/>
        <v>0.14630467571644043</v>
      </c>
      <c r="CD51" s="990">
        <f t="shared" si="55"/>
        <v>0.14843996218090136</v>
      </c>
      <c r="CE51" s="1008">
        <f>CE49/CE$21</f>
        <v>0.15436893203883495</v>
      </c>
      <c r="CF51" s="1008">
        <f>CF49/CF$21</f>
        <v>0.16142763588736084</v>
      </c>
      <c r="CG51" s="1008">
        <f t="shared" si="55"/>
        <v>0.14662658650634602</v>
      </c>
      <c r="CH51" s="990">
        <f>CH49/CH$21</f>
        <v>0</v>
      </c>
      <c r="CI51" s="988">
        <f>CI49/CI$21</f>
        <v>0.16040955631399317</v>
      </c>
      <c r="CJ51" s="988">
        <f>CJ49/CJ$21</f>
        <v>0.1465076660988075</v>
      </c>
      <c r="CK51" s="988">
        <f>CK49/CK$21</f>
        <v>0.15281131424629182</v>
      </c>
      <c r="CL51" s="990">
        <f>CL49/CL$21</f>
        <v>0</v>
      </c>
    </row>
    <row r="52" spans="1:90" outlineLevel="1">
      <c r="A52" s="1010" t="s">
        <v>50</v>
      </c>
      <c r="B52" s="1010"/>
      <c r="C52" s="1010"/>
      <c r="D52" s="1010"/>
      <c r="E52" s="1010"/>
      <c r="F52" s="1010"/>
      <c r="G52" s="1010"/>
      <c r="H52" s="1010"/>
      <c r="I52" s="1010"/>
      <c r="J52" s="1010"/>
      <c r="K52" s="1010"/>
      <c r="L52" s="1010"/>
      <c r="M52" s="1010"/>
      <c r="N52" s="271">
        <f t="shared" ref="N52:S52" si="56">SUM(N30,N39,N49)</f>
        <v>9534</v>
      </c>
      <c r="O52" s="271">
        <f t="shared" si="56"/>
        <v>9170</v>
      </c>
      <c r="P52" s="271">
        <f t="shared" si="56"/>
        <v>8930</v>
      </c>
      <c r="Q52" s="271">
        <f t="shared" si="56"/>
        <v>7912</v>
      </c>
      <c r="R52" s="223">
        <f t="shared" si="56"/>
        <v>7295</v>
      </c>
      <c r="S52" s="1011">
        <f t="shared" si="56"/>
        <v>1720</v>
      </c>
      <c r="T52" s="949"/>
      <c r="U52" s="949"/>
      <c r="V52" s="949"/>
      <c r="W52" s="949"/>
      <c r="X52" s="947"/>
      <c r="Y52" s="947"/>
      <c r="Z52" s="947"/>
      <c r="AA52" s="271"/>
      <c r="AB52" s="271"/>
      <c r="AC52" s="271"/>
      <c r="AD52" s="271"/>
      <c r="AE52" s="271"/>
      <c r="AF52" s="271"/>
      <c r="AG52" s="271"/>
      <c r="AH52" s="271"/>
      <c r="AI52" s="271"/>
      <c r="AJ52" s="271"/>
      <c r="AK52" s="271"/>
      <c r="AL52" s="271"/>
      <c r="AM52" s="271"/>
      <c r="AN52" s="271"/>
      <c r="AO52" s="271"/>
      <c r="AP52" s="271"/>
      <c r="AQ52" s="271"/>
      <c r="AR52" s="271"/>
      <c r="AS52" s="271"/>
      <c r="AT52" s="271"/>
      <c r="AU52" s="271"/>
      <c r="AV52" s="271"/>
      <c r="AW52" s="271"/>
      <c r="AX52" s="271"/>
      <c r="AY52" s="271"/>
      <c r="AZ52" s="271"/>
      <c r="BA52" s="271"/>
      <c r="BB52" s="271"/>
      <c r="BC52" s="271"/>
      <c r="BD52" s="271"/>
      <c r="BE52" s="271"/>
      <c r="BF52" s="271"/>
      <c r="BG52" s="271"/>
      <c r="BH52" s="271"/>
      <c r="BI52" s="271"/>
      <c r="BJ52" s="271"/>
      <c r="BK52" s="271"/>
      <c r="BL52" s="271"/>
      <c r="BM52" s="271"/>
      <c r="BN52" s="271"/>
      <c r="BO52" s="271"/>
      <c r="BP52" s="271"/>
      <c r="BQ52" s="271"/>
      <c r="BR52" s="940">
        <f t="shared" ref="BR52:CG52" si="57">SUM(BR30,BR39,BR49)</f>
        <v>2410</v>
      </c>
      <c r="BS52" s="271">
        <f t="shared" si="57"/>
        <v>2363</v>
      </c>
      <c r="BT52" s="271">
        <f t="shared" si="57"/>
        <v>2353</v>
      </c>
      <c r="BU52" s="271">
        <f t="shared" si="57"/>
        <v>2408</v>
      </c>
      <c r="BV52" s="940">
        <f t="shared" si="57"/>
        <v>2275</v>
      </c>
      <c r="BW52" s="271">
        <f t="shared" si="57"/>
        <v>2314</v>
      </c>
      <c r="BX52" s="271">
        <f t="shared" si="57"/>
        <v>2283</v>
      </c>
      <c r="BY52" s="271">
        <f t="shared" si="57"/>
        <v>2298</v>
      </c>
      <c r="BZ52" s="940">
        <f t="shared" si="57"/>
        <v>2258</v>
      </c>
      <c r="CA52" s="271">
        <f t="shared" si="57"/>
        <v>2238</v>
      </c>
      <c r="CB52" s="271">
        <f t="shared" si="57"/>
        <v>2296</v>
      </c>
      <c r="CC52" s="271">
        <f t="shared" si="57"/>
        <v>2136</v>
      </c>
      <c r="CD52" s="940">
        <f t="shared" si="57"/>
        <v>2028</v>
      </c>
      <c r="CE52" s="271">
        <f>SUM(CE30,CE39,CE49)</f>
        <v>1998</v>
      </c>
      <c r="CF52" s="271">
        <f>SUM(CF30,CF39,CF49)</f>
        <v>1961</v>
      </c>
      <c r="CG52" s="271">
        <f t="shared" si="57"/>
        <v>1909</v>
      </c>
      <c r="CH52" s="940">
        <f>SUM(CH30,CH39,CH49)</f>
        <v>1842</v>
      </c>
      <c r="CI52" s="271">
        <f>SUM(CI30,CI39,CI49)</f>
        <v>1838</v>
      </c>
      <c r="CJ52" s="271">
        <f>SUM(CJ30,CJ39,CJ49)</f>
        <v>1815</v>
      </c>
      <c r="CK52" s="271">
        <f>SUM(CK30,CK39,CK49)</f>
        <v>1800</v>
      </c>
      <c r="CL52" s="940">
        <f>SUM(CL30,CL39,CL49)</f>
        <v>1720</v>
      </c>
    </row>
    <row r="53" spans="1:90" outlineLevel="1">
      <c r="A53" s="987" t="s">
        <v>34</v>
      </c>
      <c r="B53" s="983"/>
      <c r="C53" s="983"/>
      <c r="D53" s="983"/>
      <c r="E53" s="983"/>
      <c r="F53" s="983"/>
      <c r="G53" s="983"/>
      <c r="H53" s="983"/>
      <c r="I53" s="983"/>
      <c r="J53" s="983"/>
      <c r="K53" s="983"/>
      <c r="L53" s="983"/>
      <c r="M53" s="983"/>
      <c r="N53" s="984"/>
      <c r="O53" s="988">
        <f>O52/N52-1</f>
        <v>-3.8179148311306865E-2</v>
      </c>
      <c r="P53" s="988">
        <f>P52/O52-1</f>
        <v>-2.6172300981461283E-2</v>
      </c>
      <c r="Q53" s="988">
        <f>Q52/P52-1</f>
        <v>-0.11399776035834264</v>
      </c>
      <c r="R53" s="989">
        <f>R52/Q52-1</f>
        <v>-7.7982810920121381E-2</v>
      </c>
      <c r="S53" s="988">
        <f>S52/R52-1</f>
        <v>-0.76422206991089792</v>
      </c>
      <c r="T53" s="949"/>
      <c r="U53" s="949"/>
      <c r="V53" s="949"/>
      <c r="W53" s="949"/>
      <c r="X53" s="947"/>
      <c r="Y53" s="947"/>
      <c r="Z53" s="947"/>
      <c r="AA53" s="984"/>
      <c r="AB53" s="984"/>
      <c r="AC53" s="984"/>
      <c r="AD53" s="984"/>
      <c r="AE53" s="984"/>
      <c r="AF53" s="984"/>
      <c r="AG53" s="984"/>
      <c r="AH53" s="984"/>
      <c r="AI53" s="984"/>
      <c r="AJ53" s="984"/>
      <c r="AK53" s="984"/>
      <c r="AL53" s="984"/>
      <c r="AM53" s="984"/>
      <c r="AN53" s="984"/>
      <c r="AO53" s="984"/>
      <c r="AP53" s="984"/>
      <c r="AQ53" s="984"/>
      <c r="AR53" s="984"/>
      <c r="AS53" s="984"/>
      <c r="AT53" s="984"/>
      <c r="AU53" s="984"/>
      <c r="AV53" s="984"/>
      <c r="AW53" s="984"/>
      <c r="AX53" s="984"/>
      <c r="AY53" s="984"/>
      <c r="AZ53" s="984"/>
      <c r="BA53" s="984"/>
      <c r="BB53" s="984"/>
      <c r="BC53" s="984"/>
      <c r="BD53" s="984"/>
      <c r="BE53" s="984"/>
      <c r="BF53" s="984"/>
      <c r="BG53" s="984"/>
      <c r="BH53" s="984"/>
      <c r="BI53" s="984"/>
      <c r="BJ53" s="984"/>
      <c r="BK53" s="984"/>
      <c r="BL53" s="984"/>
      <c r="BM53" s="984"/>
      <c r="BN53" s="984"/>
      <c r="BO53" s="984"/>
      <c r="BP53" s="984"/>
      <c r="BQ53" s="984"/>
      <c r="BR53" s="938"/>
      <c r="BS53" s="347"/>
      <c r="BT53" s="347"/>
      <c r="BU53" s="347"/>
      <c r="BV53" s="990">
        <f t="shared" ref="BV53:CF53" si="58">BV52/BR52-1</f>
        <v>-5.6016597510373467E-2</v>
      </c>
      <c r="BW53" s="988">
        <f t="shared" si="58"/>
        <v>-2.0736352094794741E-2</v>
      </c>
      <c r="BX53" s="988">
        <f t="shared" si="58"/>
        <v>-2.974925626859326E-2</v>
      </c>
      <c r="BY53" s="988">
        <f t="shared" si="58"/>
        <v>-4.5681063122923637E-2</v>
      </c>
      <c r="BZ53" s="990">
        <f t="shared" si="58"/>
        <v>-7.4725274725274682E-3</v>
      </c>
      <c r="CA53" s="988">
        <f t="shared" si="58"/>
        <v>-3.2843560933448535E-2</v>
      </c>
      <c r="CB53" s="988">
        <f t="shared" si="58"/>
        <v>5.6942619360491609E-3</v>
      </c>
      <c r="CC53" s="988">
        <f t="shared" si="58"/>
        <v>-7.0496083550913857E-2</v>
      </c>
      <c r="CD53" s="990">
        <f t="shared" si="58"/>
        <v>-0.10186005314437552</v>
      </c>
      <c r="CE53" s="988">
        <f t="shared" si="58"/>
        <v>-0.10723860589812328</v>
      </c>
      <c r="CF53" s="988">
        <f t="shared" si="58"/>
        <v>-0.14590592334494779</v>
      </c>
      <c r="CG53" s="988">
        <f t="shared" ref="CG53:CL53" si="59">CG52/CC52-1</f>
        <v>-0.10627340823970033</v>
      </c>
      <c r="CH53" s="990">
        <f t="shared" si="59"/>
        <v>-9.1715976331360971E-2</v>
      </c>
      <c r="CI53" s="988">
        <f t="shared" si="59"/>
        <v>-8.0080080080080052E-2</v>
      </c>
      <c r="CJ53" s="988">
        <f t="shared" si="59"/>
        <v>-7.4451810300866894E-2</v>
      </c>
      <c r="CK53" s="988">
        <f t="shared" si="59"/>
        <v>-5.7097957045573633E-2</v>
      </c>
      <c r="CL53" s="990">
        <f t="shared" si="59"/>
        <v>-6.6232356134636294E-2</v>
      </c>
    </row>
    <row r="54" spans="1:90" outlineLevel="1">
      <c r="A54" s="1001" t="s">
        <v>1003</v>
      </c>
      <c r="B54" s="1004"/>
      <c r="C54" s="1004"/>
      <c r="D54" s="1004"/>
      <c r="E54" s="1004"/>
      <c r="F54" s="1004"/>
      <c r="G54" s="1004"/>
      <c r="H54" s="1004"/>
      <c r="I54" s="1004"/>
      <c r="J54" s="1004"/>
      <c r="K54" s="1004"/>
      <c r="L54" s="1004"/>
      <c r="M54" s="1004"/>
      <c r="N54" s="1008">
        <f t="shared" ref="N54:S54" si="60">N52/N$21</f>
        <v>0.68476621417797889</v>
      </c>
      <c r="O54" s="1008">
        <f t="shared" si="60"/>
        <v>0.66555378139062271</v>
      </c>
      <c r="P54" s="988">
        <f t="shared" si="60"/>
        <v>0.66270871985157698</v>
      </c>
      <c r="Q54" s="988">
        <f t="shared" si="60"/>
        <v>0.64267728048087081</v>
      </c>
      <c r="R54" s="989">
        <f t="shared" si="60"/>
        <v>0.62190963341858485</v>
      </c>
      <c r="S54" s="1008">
        <f t="shared" si="60"/>
        <v>0.6043569922698524</v>
      </c>
      <c r="T54" s="949"/>
      <c r="U54" s="949"/>
      <c r="V54" s="949"/>
      <c r="W54" s="949"/>
      <c r="X54" s="947"/>
      <c r="Y54" s="947"/>
      <c r="Z54" s="947"/>
      <c r="AA54" s="767"/>
      <c r="AB54" s="767"/>
      <c r="AC54" s="767"/>
      <c r="AD54" s="767"/>
      <c r="AE54" s="767"/>
      <c r="AF54" s="767"/>
      <c r="AG54" s="767"/>
      <c r="AH54" s="767"/>
      <c r="AI54" s="767"/>
      <c r="AJ54" s="767"/>
      <c r="AK54" s="767"/>
      <c r="AL54" s="767"/>
      <c r="AM54" s="767"/>
      <c r="AN54" s="767"/>
      <c r="AO54" s="767"/>
      <c r="AP54" s="767"/>
      <c r="AQ54" s="767"/>
      <c r="AR54" s="767"/>
      <c r="AS54" s="767"/>
      <c r="AT54" s="767"/>
      <c r="AU54" s="767"/>
      <c r="AV54" s="767"/>
      <c r="AW54" s="767"/>
      <c r="AX54" s="767"/>
      <c r="AY54" s="767"/>
      <c r="AZ54" s="767"/>
      <c r="BA54" s="767"/>
      <c r="BB54" s="767"/>
      <c r="BC54" s="767"/>
      <c r="BD54" s="767"/>
      <c r="BE54" s="767"/>
      <c r="BF54" s="767"/>
      <c r="BG54" s="767"/>
      <c r="BH54" s="767"/>
      <c r="BI54" s="767"/>
      <c r="BJ54" s="767"/>
      <c r="BK54" s="767"/>
      <c r="BL54" s="767"/>
      <c r="BM54" s="767"/>
      <c r="BN54" s="767"/>
      <c r="BO54" s="767"/>
      <c r="BP54" s="767"/>
      <c r="BQ54" s="767"/>
      <c r="BR54" s="990">
        <f t="shared" ref="BR54:CG54" si="61">BR52/BR$21</f>
        <v>0.69332566168009202</v>
      </c>
      <c r="BS54" s="1008">
        <f t="shared" si="61"/>
        <v>0.68058755760368661</v>
      </c>
      <c r="BT54" s="1008">
        <f t="shared" si="61"/>
        <v>0.67479208488672215</v>
      </c>
      <c r="BU54" s="1008">
        <f t="shared" si="61"/>
        <v>0.69036697247706424</v>
      </c>
      <c r="BV54" s="990">
        <f t="shared" si="61"/>
        <v>0.66018572257690078</v>
      </c>
      <c r="BW54" s="1008">
        <f t="shared" si="61"/>
        <v>0.66820675714698241</v>
      </c>
      <c r="BX54" s="1008">
        <f t="shared" si="61"/>
        <v>0.66482236458940014</v>
      </c>
      <c r="BY54" s="1008">
        <f t="shared" si="61"/>
        <v>0.66899563318777289</v>
      </c>
      <c r="BZ54" s="990">
        <f t="shared" si="61"/>
        <v>0.66431303324507207</v>
      </c>
      <c r="CA54" s="1008">
        <f t="shared" ref="CA54:CF54" si="62">CA52/CA$21</f>
        <v>0.66173861620342989</v>
      </c>
      <c r="CB54" s="1008">
        <f t="shared" si="62"/>
        <v>0.67949097366084643</v>
      </c>
      <c r="CC54" s="1008">
        <f t="shared" si="62"/>
        <v>0.64434389140271497</v>
      </c>
      <c r="CD54" s="990">
        <f t="shared" si="62"/>
        <v>0.63914276709738416</v>
      </c>
      <c r="CE54" s="1008">
        <f t="shared" si="62"/>
        <v>0.64660194174757279</v>
      </c>
      <c r="CF54" s="1008">
        <f t="shared" si="62"/>
        <v>0.64210870988867064</v>
      </c>
      <c r="CG54" s="1008">
        <f t="shared" si="61"/>
        <v>0.63760855043420173</v>
      </c>
      <c r="CH54" s="990">
        <f>CH52/CH$21</f>
        <v>0.62103843560350636</v>
      </c>
      <c r="CI54" s="1008">
        <f>CI52/CI$21</f>
        <v>0.62730375426621166</v>
      </c>
      <c r="CJ54" s="1008">
        <f>CJ52/CJ$21</f>
        <v>0.61839863713798982</v>
      </c>
      <c r="CK54" s="1008">
        <f>CK52/CK$21</f>
        <v>0.62090375991721281</v>
      </c>
      <c r="CL54" s="990">
        <f>CL52/CL$21</f>
        <v>0.6043569922698524</v>
      </c>
    </row>
    <row r="55" spans="1:90" ht="6.75" customHeight="1" outlineLevel="1">
      <c r="A55" s="1001"/>
      <c r="B55" s="1004"/>
      <c r="C55" s="1004"/>
      <c r="D55" s="1004"/>
      <c r="E55" s="1004"/>
      <c r="F55" s="1004"/>
      <c r="G55" s="1004"/>
      <c r="H55" s="1004"/>
      <c r="I55" s="1004"/>
      <c r="J55" s="1004"/>
      <c r="K55" s="1004"/>
      <c r="L55" s="1004"/>
      <c r="M55" s="1004"/>
      <c r="N55" s="1008"/>
      <c r="O55" s="1008"/>
      <c r="P55" s="988"/>
      <c r="Q55" s="988"/>
      <c r="R55" s="989"/>
      <c r="S55" s="1008"/>
      <c r="T55" s="949"/>
      <c r="U55" s="949"/>
      <c r="V55" s="949"/>
      <c r="W55" s="949"/>
      <c r="X55" s="947"/>
      <c r="Y55" s="947"/>
      <c r="Z55" s="947"/>
      <c r="AA55" s="767"/>
      <c r="AB55" s="767"/>
      <c r="AC55" s="767"/>
      <c r="AD55" s="767"/>
      <c r="AE55" s="767"/>
      <c r="AF55" s="767"/>
      <c r="AG55" s="767"/>
      <c r="AH55" s="767"/>
      <c r="AI55" s="767"/>
      <c r="AJ55" s="767"/>
      <c r="AK55" s="767"/>
      <c r="AL55" s="767"/>
      <c r="AM55" s="767"/>
      <c r="AN55" s="767"/>
      <c r="AO55" s="767"/>
      <c r="AP55" s="767"/>
      <c r="AQ55" s="767"/>
      <c r="AR55" s="767"/>
      <c r="AS55" s="767"/>
      <c r="AT55" s="767"/>
      <c r="AU55" s="767"/>
      <c r="AV55" s="767"/>
      <c r="AW55" s="767"/>
      <c r="AX55" s="767"/>
      <c r="AY55" s="767"/>
      <c r="AZ55" s="767"/>
      <c r="BA55" s="767"/>
      <c r="BB55" s="767"/>
      <c r="BC55" s="767"/>
      <c r="BD55" s="767"/>
      <c r="BE55" s="767"/>
      <c r="BF55" s="767"/>
      <c r="BG55" s="767"/>
      <c r="BH55" s="767"/>
      <c r="BI55" s="767"/>
      <c r="BJ55" s="767"/>
      <c r="BK55" s="767"/>
      <c r="BL55" s="767"/>
      <c r="BM55" s="767"/>
      <c r="BN55" s="767"/>
      <c r="BO55" s="767"/>
      <c r="BP55" s="767"/>
      <c r="BQ55" s="767"/>
      <c r="BR55" s="990"/>
      <c r="BS55" s="1008"/>
      <c r="BT55" s="1008"/>
      <c r="BU55" s="1008"/>
      <c r="BV55" s="990"/>
      <c r="BW55" s="1008"/>
      <c r="BX55" s="1008"/>
      <c r="BY55" s="1008"/>
      <c r="BZ55" s="990"/>
      <c r="CA55" s="1008"/>
      <c r="CB55" s="1008"/>
      <c r="CC55" s="1008"/>
      <c r="CD55" s="990"/>
      <c r="CE55" s="1008"/>
      <c r="CF55" s="1008"/>
      <c r="CG55" s="1012"/>
      <c r="CH55" s="1013"/>
      <c r="CI55" s="1012"/>
      <c r="CJ55" s="1012"/>
      <c r="CK55" s="1012"/>
      <c r="CL55" s="1013"/>
    </row>
    <row r="56" spans="1:90" outlineLevel="1">
      <c r="A56" s="1010" t="s">
        <v>51</v>
      </c>
      <c r="B56" s="1010"/>
      <c r="C56" s="1010"/>
      <c r="D56" s="1010"/>
      <c r="E56" s="1010"/>
      <c r="F56" s="1010"/>
      <c r="G56" s="1010"/>
      <c r="H56" s="1010"/>
      <c r="I56" s="1010"/>
      <c r="J56" s="1010"/>
      <c r="K56" s="1010"/>
      <c r="L56" s="1010"/>
      <c r="M56" s="1010"/>
      <c r="N56" s="271">
        <f>BU56</f>
        <v>38383</v>
      </c>
      <c r="O56" s="271">
        <f>BY56</f>
        <v>36843</v>
      </c>
      <c r="P56" s="271">
        <f>CC56</f>
        <v>32937</v>
      </c>
      <c r="Q56" s="271">
        <f>CG56</f>
        <v>30138</v>
      </c>
      <c r="R56" s="223">
        <f>+CK56</f>
        <v>28343</v>
      </c>
      <c r="S56" s="271">
        <f>+CO56</f>
        <v>0</v>
      </c>
      <c r="T56" s="949"/>
      <c r="U56" s="949"/>
      <c r="V56" s="949"/>
      <c r="W56" s="949"/>
      <c r="X56" s="947"/>
      <c r="Y56" s="947"/>
      <c r="Z56" s="947"/>
      <c r="AA56" s="271"/>
      <c r="AB56" s="271"/>
      <c r="AC56" s="271"/>
      <c r="AD56" s="271"/>
      <c r="AE56" s="271"/>
      <c r="AF56" s="271"/>
      <c r="AG56" s="271"/>
      <c r="AH56" s="271"/>
      <c r="AI56" s="271"/>
      <c r="AJ56" s="271"/>
      <c r="AK56" s="271"/>
      <c r="AL56" s="271"/>
      <c r="AM56" s="271"/>
      <c r="AN56" s="271"/>
      <c r="AO56" s="271"/>
      <c r="AP56" s="271"/>
      <c r="AQ56" s="271"/>
      <c r="AR56" s="271"/>
      <c r="AS56" s="271"/>
      <c r="AT56" s="271"/>
      <c r="AU56" s="271"/>
      <c r="AV56" s="271"/>
      <c r="AW56" s="271"/>
      <c r="AX56" s="271"/>
      <c r="AY56" s="271"/>
      <c r="AZ56" s="271"/>
      <c r="BA56" s="271"/>
      <c r="BB56" s="271"/>
      <c r="BC56" s="271"/>
      <c r="BD56" s="271"/>
      <c r="BE56" s="271"/>
      <c r="BF56" s="271"/>
      <c r="BG56" s="271"/>
      <c r="BH56" s="271"/>
      <c r="BI56" s="271"/>
      <c r="BJ56" s="996">
        <v>45852</v>
      </c>
      <c r="BK56" s="996">
        <v>45166</v>
      </c>
      <c r="BL56" s="996">
        <v>42682</v>
      </c>
      <c r="BM56" s="996">
        <v>41401</v>
      </c>
      <c r="BN56" s="996">
        <v>40683</v>
      </c>
      <c r="BO56" s="996">
        <v>40303</v>
      </c>
      <c r="BP56" s="996">
        <v>39977</v>
      </c>
      <c r="BQ56" s="996">
        <v>39641</v>
      </c>
      <c r="BR56" s="1005">
        <v>39127</v>
      </c>
      <c r="BS56" s="1006">
        <v>39315</v>
      </c>
      <c r="BT56" s="1006">
        <v>39163</v>
      </c>
      <c r="BU56" s="1006">
        <v>38383</v>
      </c>
      <c r="BV56" s="1005">
        <v>38011</v>
      </c>
      <c r="BW56" s="1006">
        <v>37585</v>
      </c>
      <c r="BX56" s="1006">
        <v>37026</v>
      </c>
      <c r="BY56" s="1006">
        <v>36843</v>
      </c>
      <c r="BZ56" s="1005">
        <v>36519</v>
      </c>
      <c r="CA56" s="1006">
        <v>35111</v>
      </c>
      <c r="CB56" s="1006">
        <v>34656</v>
      </c>
      <c r="CC56" s="1006">
        <v>32937</v>
      </c>
      <c r="CD56" s="1005">
        <v>32838</v>
      </c>
      <c r="CE56" s="1006">
        <v>31509</v>
      </c>
      <c r="CF56" s="1006">
        <v>31292</v>
      </c>
      <c r="CG56" s="1006">
        <v>30138</v>
      </c>
      <c r="CH56" s="1005">
        <v>29519</v>
      </c>
      <c r="CI56" s="996">
        <v>29221</v>
      </c>
      <c r="CJ56" s="996">
        <v>28535</v>
      </c>
      <c r="CK56" s="1006">
        <v>28343</v>
      </c>
      <c r="CL56" s="1005">
        <v>28043</v>
      </c>
    </row>
    <row r="57" spans="1:90" outlineLevel="1">
      <c r="A57" s="993" t="s">
        <v>52</v>
      </c>
      <c r="B57" s="1010"/>
      <c r="C57" s="1010"/>
      <c r="D57" s="1010"/>
      <c r="E57" s="1010"/>
      <c r="F57" s="1010"/>
      <c r="G57" s="1010"/>
      <c r="H57" s="1010"/>
      <c r="I57" s="1010"/>
      <c r="J57" s="1010"/>
      <c r="K57" s="1010"/>
      <c r="L57" s="1010"/>
      <c r="M57" s="1010"/>
      <c r="N57" s="271"/>
      <c r="O57" s="984">
        <f>O56-N56</f>
        <v>-1540</v>
      </c>
      <c r="P57" s="984">
        <f>P56-O56</f>
        <v>-3906</v>
      </c>
      <c r="Q57" s="984">
        <f>Q56-P56</f>
        <v>-2799</v>
      </c>
      <c r="R57" s="1002">
        <f>R56-Q56</f>
        <v>-1795</v>
      </c>
      <c r="S57" s="984">
        <f>S56-R56</f>
        <v>-28343</v>
      </c>
      <c r="T57" s="949"/>
      <c r="U57" s="949"/>
      <c r="V57" s="949"/>
      <c r="W57" s="949"/>
      <c r="X57" s="947"/>
      <c r="Y57" s="947"/>
      <c r="Z57" s="947"/>
      <c r="AA57" s="271"/>
      <c r="AB57" s="271"/>
      <c r="AC57" s="271"/>
      <c r="AD57" s="271"/>
      <c r="AE57" s="271"/>
      <c r="AF57" s="271"/>
      <c r="AG57" s="271"/>
      <c r="AH57" s="271"/>
      <c r="AI57" s="271"/>
      <c r="AJ57" s="271"/>
      <c r="AK57" s="271"/>
      <c r="AL57" s="271"/>
      <c r="AM57" s="271"/>
      <c r="AN57" s="271"/>
      <c r="AO57" s="271"/>
      <c r="AP57" s="271"/>
      <c r="AQ57" s="271"/>
      <c r="AR57" s="271"/>
      <c r="AS57" s="271"/>
      <c r="AT57" s="271"/>
      <c r="AU57" s="271"/>
      <c r="AV57" s="271"/>
      <c r="AW57" s="271"/>
      <c r="AX57" s="271"/>
      <c r="AY57" s="271"/>
      <c r="AZ57" s="271"/>
      <c r="BA57" s="271"/>
      <c r="BB57" s="271"/>
      <c r="BC57" s="271"/>
      <c r="BD57" s="271"/>
      <c r="BE57" s="271"/>
      <c r="BF57" s="271"/>
      <c r="BG57" s="271"/>
      <c r="BH57" s="271"/>
      <c r="BI57" s="271"/>
      <c r="BJ57" s="271"/>
      <c r="BK57" s="271"/>
      <c r="BL57" s="271"/>
      <c r="BM57" s="271"/>
      <c r="BN57" s="271"/>
      <c r="BO57" s="271"/>
      <c r="BP57" s="271"/>
      <c r="BQ57" s="271"/>
      <c r="BR57" s="1005"/>
      <c r="BS57" s="991">
        <f>BS56-BR56</f>
        <v>188</v>
      </c>
      <c r="BT57" s="991">
        <f t="shared" ref="BT57:CL57" si="63">BT56-BS56</f>
        <v>-152</v>
      </c>
      <c r="BU57" s="991">
        <f t="shared" si="63"/>
        <v>-780</v>
      </c>
      <c r="BV57" s="986">
        <f t="shared" si="63"/>
        <v>-372</v>
      </c>
      <c r="BW57" s="991">
        <f t="shared" si="63"/>
        <v>-426</v>
      </c>
      <c r="BX57" s="991">
        <f t="shared" si="63"/>
        <v>-559</v>
      </c>
      <c r="BY57" s="991">
        <f t="shared" si="63"/>
        <v>-183</v>
      </c>
      <c r="BZ57" s="986">
        <f t="shared" si="63"/>
        <v>-324</v>
      </c>
      <c r="CA57" s="991">
        <f t="shared" si="63"/>
        <v>-1408</v>
      </c>
      <c r="CB57" s="991">
        <f t="shared" si="63"/>
        <v>-455</v>
      </c>
      <c r="CC57" s="991">
        <f t="shared" si="63"/>
        <v>-1719</v>
      </c>
      <c r="CD57" s="986">
        <f t="shared" si="63"/>
        <v>-99</v>
      </c>
      <c r="CE57" s="991">
        <f t="shared" si="63"/>
        <v>-1329</v>
      </c>
      <c r="CF57" s="991">
        <f t="shared" si="63"/>
        <v>-217</v>
      </c>
      <c r="CG57" s="991">
        <f t="shared" si="63"/>
        <v>-1154</v>
      </c>
      <c r="CH57" s="986">
        <f t="shared" si="63"/>
        <v>-619</v>
      </c>
      <c r="CI57" s="984">
        <f t="shared" si="63"/>
        <v>-298</v>
      </c>
      <c r="CJ57" s="984">
        <f t="shared" si="63"/>
        <v>-686</v>
      </c>
      <c r="CK57" s="984">
        <f t="shared" si="63"/>
        <v>-192</v>
      </c>
      <c r="CL57" s="986">
        <f t="shared" si="63"/>
        <v>-300</v>
      </c>
    </row>
    <row r="58" spans="1:90" hidden="1" outlineLevel="2">
      <c r="A58" s="1010"/>
      <c r="B58" s="1010"/>
      <c r="C58" s="1010"/>
      <c r="D58" s="1010"/>
      <c r="E58" s="1010"/>
      <c r="F58" s="1010"/>
      <c r="G58" s="1010"/>
      <c r="H58" s="1010"/>
      <c r="I58" s="1010"/>
      <c r="J58" s="1010"/>
      <c r="K58" s="1010"/>
      <c r="L58" s="1010"/>
      <c r="M58" s="1010"/>
      <c r="N58" s="271"/>
      <c r="O58" s="271"/>
      <c r="P58" s="271"/>
      <c r="Q58" s="271"/>
      <c r="R58" s="223"/>
      <c r="S58" s="271"/>
      <c r="T58" s="949"/>
      <c r="U58" s="949"/>
      <c r="V58" s="949"/>
      <c r="W58" s="949"/>
      <c r="X58" s="947"/>
      <c r="Y58" s="947"/>
      <c r="Z58" s="947"/>
      <c r="AA58" s="271"/>
      <c r="AB58" s="271"/>
      <c r="AC58" s="271"/>
      <c r="AD58" s="271"/>
      <c r="AE58" s="271"/>
      <c r="AF58" s="271"/>
      <c r="AG58" s="271"/>
      <c r="AH58" s="271"/>
      <c r="AI58" s="271"/>
      <c r="AJ58" s="271"/>
      <c r="AK58" s="271"/>
      <c r="AL58" s="271"/>
      <c r="AM58" s="271"/>
      <c r="AN58" s="271"/>
      <c r="AO58" s="271"/>
      <c r="AP58" s="271"/>
      <c r="AQ58" s="271"/>
      <c r="AR58" s="271"/>
      <c r="AS58" s="271"/>
      <c r="AT58" s="271"/>
      <c r="AU58" s="271"/>
      <c r="AV58" s="271"/>
      <c r="AW58" s="271"/>
      <c r="AX58" s="271"/>
      <c r="AY58" s="271"/>
      <c r="AZ58" s="271"/>
      <c r="BA58" s="271"/>
      <c r="BB58" s="271"/>
      <c r="BC58" s="271"/>
      <c r="BD58" s="271"/>
      <c r="BE58" s="271"/>
      <c r="BF58" s="271"/>
      <c r="BG58" s="271"/>
      <c r="BH58" s="271"/>
      <c r="BI58" s="271"/>
      <c r="BJ58" s="271"/>
      <c r="BK58" s="271"/>
      <c r="BL58" s="271"/>
      <c r="BM58" s="271"/>
      <c r="BN58" s="271"/>
      <c r="BO58" s="271"/>
      <c r="BP58" s="271"/>
      <c r="BQ58" s="271"/>
      <c r="BR58" s="1005"/>
      <c r="BS58" s="1006"/>
      <c r="BT58" s="1006"/>
      <c r="BU58" s="1006"/>
      <c r="BV58" s="1005"/>
      <c r="BW58" s="1006"/>
      <c r="BX58" s="1006"/>
      <c r="BY58" s="1006"/>
      <c r="BZ58" s="1005"/>
      <c r="CA58" s="271"/>
      <c r="CB58" s="1012"/>
      <c r="CC58" s="1012"/>
      <c r="CD58" s="1013"/>
      <c r="CE58" s="271"/>
      <c r="CF58" s="271"/>
      <c r="CG58" s="1012"/>
      <c r="CH58" s="1013"/>
      <c r="CI58" s="1012"/>
      <c r="CJ58" s="1012"/>
      <c r="CK58" s="1012"/>
      <c r="CL58" s="998"/>
    </row>
    <row r="59" spans="1:90" hidden="1" outlineLevel="2">
      <c r="A59" s="993" t="s">
        <v>53</v>
      </c>
      <c r="B59" s="1010"/>
      <c r="C59" s="1010"/>
      <c r="D59" s="1010"/>
      <c r="E59" s="1010"/>
      <c r="F59" s="1010"/>
      <c r="G59" s="1010"/>
      <c r="H59" s="1010"/>
      <c r="I59" s="1010"/>
      <c r="J59" s="1010"/>
      <c r="K59" s="1010"/>
      <c r="L59" s="1010"/>
      <c r="M59" s="1010"/>
      <c r="N59" s="984">
        <v>80</v>
      </c>
      <c r="O59" s="984">
        <v>33</v>
      </c>
      <c r="P59" s="984">
        <v>-32</v>
      </c>
      <c r="Q59" s="984">
        <v>110</v>
      </c>
      <c r="R59" s="1002">
        <v>69.085999999999899</v>
      </c>
      <c r="S59" s="984">
        <v>75.773256242074922</v>
      </c>
      <c r="T59" s="949"/>
      <c r="U59" s="949"/>
      <c r="V59" s="949"/>
      <c r="W59" s="949"/>
      <c r="X59" s="947"/>
      <c r="Y59" s="947"/>
      <c r="Z59" s="947"/>
      <c r="AA59" s="271"/>
      <c r="AB59" s="271"/>
      <c r="AC59" s="271"/>
      <c r="AD59" s="271"/>
      <c r="AE59" s="271"/>
      <c r="AF59" s="271"/>
      <c r="AG59" s="271"/>
      <c r="AH59" s="271"/>
      <c r="AI59" s="271"/>
      <c r="AJ59" s="271"/>
      <c r="AK59" s="271"/>
      <c r="AL59" s="271"/>
      <c r="AM59" s="271"/>
      <c r="AN59" s="271"/>
      <c r="AO59" s="271"/>
      <c r="AP59" s="271"/>
      <c r="AQ59" s="271"/>
      <c r="AR59" s="271"/>
      <c r="AS59" s="271"/>
      <c r="AT59" s="271"/>
      <c r="AU59" s="271"/>
      <c r="AV59" s="271"/>
      <c r="AW59" s="271"/>
      <c r="AX59" s="271"/>
      <c r="AY59" s="271"/>
      <c r="AZ59" s="271"/>
      <c r="BA59" s="271"/>
      <c r="BB59" s="271"/>
      <c r="BC59" s="271"/>
      <c r="BD59" s="271"/>
      <c r="BE59" s="271"/>
      <c r="BF59" s="271"/>
      <c r="BG59" s="271"/>
      <c r="BH59" s="271"/>
      <c r="BI59" s="271"/>
      <c r="BJ59" s="271"/>
      <c r="BK59" s="271"/>
      <c r="BL59" s="271"/>
      <c r="BM59" s="271"/>
      <c r="BN59" s="271"/>
      <c r="BO59" s="271"/>
      <c r="BP59" s="271"/>
      <c r="BQ59" s="271"/>
      <c r="BR59" s="986">
        <f>$N59/4</f>
        <v>20</v>
      </c>
      <c r="BS59" s="991">
        <f t="shared" ref="BS59:BU60" si="64">$N59/4</f>
        <v>20</v>
      </c>
      <c r="BT59" s="991">
        <f t="shared" si="64"/>
        <v>20</v>
      </c>
      <c r="BU59" s="991">
        <f t="shared" si="64"/>
        <v>20</v>
      </c>
      <c r="BV59" s="986">
        <f>$O59/4</f>
        <v>8.25</v>
      </c>
      <c r="BW59" s="991">
        <f t="shared" ref="BW59:BY60" si="65">$O59/4</f>
        <v>8.25</v>
      </c>
      <c r="BX59" s="991">
        <f t="shared" si="65"/>
        <v>8.25</v>
      </c>
      <c r="BY59" s="991">
        <f t="shared" si="65"/>
        <v>8.25</v>
      </c>
      <c r="BZ59" s="986">
        <f t="shared" ref="BZ59:CC60" si="66">$P59/4</f>
        <v>-8</v>
      </c>
      <c r="CA59" s="984">
        <f t="shared" si="66"/>
        <v>-8</v>
      </c>
      <c r="CB59" s="984">
        <f t="shared" si="66"/>
        <v>-8</v>
      </c>
      <c r="CC59" s="984">
        <f t="shared" si="66"/>
        <v>-8</v>
      </c>
      <c r="CD59" s="986">
        <f t="shared" ref="CD59:CG60" si="67">$Q59/4</f>
        <v>27.5</v>
      </c>
      <c r="CE59" s="984">
        <f t="shared" si="67"/>
        <v>27.5</v>
      </c>
      <c r="CF59" s="984">
        <f t="shared" si="67"/>
        <v>27.5</v>
      </c>
      <c r="CG59" s="984">
        <f t="shared" si="67"/>
        <v>27.5</v>
      </c>
      <c r="CH59" s="986">
        <f>R59/4</f>
        <v>17.271499999999975</v>
      </c>
      <c r="CI59" s="991">
        <f>R59/4</f>
        <v>17.271499999999975</v>
      </c>
      <c r="CJ59" s="991">
        <f>R59/4</f>
        <v>17.271499999999975</v>
      </c>
      <c r="CK59" s="991">
        <f>R59/4</f>
        <v>17.271499999999975</v>
      </c>
      <c r="CL59" s="986">
        <f>S59/4</f>
        <v>18.94331406051873</v>
      </c>
    </row>
    <row r="60" spans="1:90" hidden="1" outlineLevel="2">
      <c r="A60" s="993" t="s">
        <v>54</v>
      </c>
      <c r="B60" s="1010"/>
      <c r="C60" s="1010"/>
      <c r="D60" s="1010"/>
      <c r="E60" s="1010"/>
      <c r="F60" s="1010"/>
      <c r="G60" s="1010"/>
      <c r="H60" s="1010"/>
      <c r="I60" s="1010"/>
      <c r="J60" s="1010"/>
      <c r="K60" s="1010"/>
      <c r="L60" s="1010"/>
      <c r="M60" s="1010"/>
      <c r="N60" s="984">
        <v>123</v>
      </c>
      <c r="O60" s="984">
        <v>6</v>
      </c>
      <c r="P60" s="984">
        <v>18</v>
      </c>
      <c r="Q60" s="984">
        <v>86</v>
      </c>
      <c r="R60" s="1002">
        <v>58.312000000000012</v>
      </c>
      <c r="S60" s="984">
        <v>75.157644000000019</v>
      </c>
      <c r="T60" s="949"/>
      <c r="U60" s="949"/>
      <c r="V60" s="949"/>
      <c r="W60" s="949"/>
      <c r="X60" s="947"/>
      <c r="Y60" s="947"/>
      <c r="Z60" s="947"/>
      <c r="AA60" s="271"/>
      <c r="AB60" s="271"/>
      <c r="AC60" s="271"/>
      <c r="AD60" s="271"/>
      <c r="AE60" s="271"/>
      <c r="AF60" s="271"/>
      <c r="AG60" s="271"/>
      <c r="AH60" s="271"/>
      <c r="AI60" s="271"/>
      <c r="AJ60" s="271"/>
      <c r="AK60" s="271"/>
      <c r="AL60" s="271"/>
      <c r="AM60" s="271"/>
      <c r="AN60" s="271"/>
      <c r="AO60" s="271"/>
      <c r="AP60" s="271"/>
      <c r="AQ60" s="271"/>
      <c r="AR60" s="271"/>
      <c r="AS60" s="271"/>
      <c r="AT60" s="271"/>
      <c r="AU60" s="271"/>
      <c r="AV60" s="271"/>
      <c r="AW60" s="271"/>
      <c r="AX60" s="271"/>
      <c r="AY60" s="271"/>
      <c r="AZ60" s="271"/>
      <c r="BA60" s="271"/>
      <c r="BB60" s="271"/>
      <c r="BC60" s="271"/>
      <c r="BD60" s="271"/>
      <c r="BE60" s="271"/>
      <c r="BF60" s="271"/>
      <c r="BG60" s="271"/>
      <c r="BH60" s="271"/>
      <c r="BI60" s="271"/>
      <c r="BJ60" s="271"/>
      <c r="BK60" s="271"/>
      <c r="BL60" s="271"/>
      <c r="BM60" s="271"/>
      <c r="BN60" s="271"/>
      <c r="BO60" s="271"/>
      <c r="BP60" s="271"/>
      <c r="BQ60" s="271"/>
      <c r="BR60" s="986">
        <f>$N60/4</f>
        <v>30.75</v>
      </c>
      <c r="BS60" s="991">
        <f t="shared" si="64"/>
        <v>30.75</v>
      </c>
      <c r="BT60" s="991">
        <f t="shared" si="64"/>
        <v>30.75</v>
      </c>
      <c r="BU60" s="991">
        <f t="shared" si="64"/>
        <v>30.75</v>
      </c>
      <c r="BV60" s="986">
        <f>$O60/4</f>
        <v>1.5</v>
      </c>
      <c r="BW60" s="991">
        <f t="shared" si="65"/>
        <v>1.5</v>
      </c>
      <c r="BX60" s="991">
        <f t="shared" si="65"/>
        <v>1.5</v>
      </c>
      <c r="BY60" s="991">
        <f t="shared" si="65"/>
        <v>1.5</v>
      </c>
      <c r="BZ60" s="986">
        <f t="shared" si="66"/>
        <v>4.5</v>
      </c>
      <c r="CA60" s="984">
        <f t="shared" si="66"/>
        <v>4.5</v>
      </c>
      <c r="CB60" s="984">
        <f t="shared" si="66"/>
        <v>4.5</v>
      </c>
      <c r="CC60" s="984">
        <f t="shared" si="66"/>
        <v>4.5</v>
      </c>
      <c r="CD60" s="986">
        <f t="shared" si="67"/>
        <v>21.5</v>
      </c>
      <c r="CE60" s="984">
        <f t="shared" si="67"/>
        <v>21.5</v>
      </c>
      <c r="CF60" s="984">
        <f t="shared" si="67"/>
        <v>21.5</v>
      </c>
      <c r="CG60" s="984">
        <f t="shared" si="67"/>
        <v>21.5</v>
      </c>
      <c r="CH60" s="986">
        <f>R60/4</f>
        <v>14.578000000000003</v>
      </c>
      <c r="CI60" s="991">
        <f>R60/4</f>
        <v>14.578000000000003</v>
      </c>
      <c r="CJ60" s="991">
        <f>R60/4</f>
        <v>14.578000000000003</v>
      </c>
      <c r="CK60" s="991">
        <f>R60/4</f>
        <v>14.578000000000003</v>
      </c>
      <c r="CL60" s="986">
        <f>S60/4</f>
        <v>18.789411000000005</v>
      </c>
    </row>
    <row r="61" spans="1:90" hidden="1" outlineLevel="2">
      <c r="A61" s="993" t="s">
        <v>55</v>
      </c>
      <c r="B61" s="1010"/>
      <c r="C61" s="1010"/>
      <c r="D61" s="1010"/>
      <c r="E61" s="1010"/>
      <c r="F61" s="1010"/>
      <c r="G61" s="1010"/>
      <c r="H61" s="1010"/>
      <c r="I61" s="1010"/>
      <c r="J61" s="1010"/>
      <c r="K61" s="1010"/>
      <c r="L61" s="1010"/>
      <c r="M61" s="1010"/>
      <c r="N61" s="984">
        <f>SUM(BR61:BU61)</f>
        <v>3061</v>
      </c>
      <c r="O61" s="984">
        <f>SUM(BV61:BY61)</f>
        <v>2976</v>
      </c>
      <c r="P61" s="948">
        <f>SUM(BZ61:CC61)</f>
        <v>2948</v>
      </c>
      <c r="Q61" s="948">
        <f>SUM(CD61:CG61)</f>
        <v>2639</v>
      </c>
      <c r="R61" s="985">
        <f>SUM(CH61:CK61)</f>
        <v>2369.9798776665816</v>
      </c>
      <c r="S61" s="984">
        <f>SUM(CL61:CO61)</f>
        <v>557.43443917901936</v>
      </c>
      <c r="T61" s="949"/>
      <c r="U61" s="949"/>
      <c r="V61" s="949"/>
      <c r="W61" s="949"/>
      <c r="X61" s="947"/>
      <c r="Y61" s="947"/>
      <c r="Z61" s="947"/>
      <c r="AA61" s="271"/>
      <c r="AB61" s="271"/>
      <c r="AC61" s="271"/>
      <c r="AD61" s="271"/>
      <c r="AE61" s="271"/>
      <c r="AF61" s="271"/>
      <c r="AG61" s="271"/>
      <c r="AH61" s="271"/>
      <c r="AI61" s="271"/>
      <c r="AJ61" s="271"/>
      <c r="AK61" s="271"/>
      <c r="AL61" s="271"/>
      <c r="AM61" s="271"/>
      <c r="AN61" s="271"/>
      <c r="AO61" s="271"/>
      <c r="AP61" s="271"/>
      <c r="AQ61" s="271"/>
      <c r="AR61" s="271"/>
      <c r="AS61" s="271"/>
      <c r="AT61" s="271"/>
      <c r="AU61" s="271"/>
      <c r="AV61" s="271"/>
      <c r="AW61" s="271"/>
      <c r="AX61" s="271"/>
      <c r="AY61" s="271"/>
      <c r="AZ61" s="271"/>
      <c r="BA61" s="271"/>
      <c r="BB61" s="271"/>
      <c r="BC61" s="271"/>
      <c r="BD61" s="271"/>
      <c r="BE61" s="271"/>
      <c r="BF61" s="271"/>
      <c r="BG61" s="271"/>
      <c r="BH61" s="271"/>
      <c r="BI61" s="271"/>
      <c r="BJ61" s="271"/>
      <c r="BK61" s="271"/>
      <c r="BL61" s="271"/>
      <c r="BM61" s="271"/>
      <c r="BN61" s="271"/>
      <c r="BO61" s="271"/>
      <c r="BP61" s="271"/>
      <c r="BQ61" s="271"/>
      <c r="BR61" s="1017">
        <f t="shared" ref="BR61:CG61" si="68">BR64-SUM(BR59,BR60)</f>
        <v>751.25</v>
      </c>
      <c r="BS61" s="1018">
        <f t="shared" si="68"/>
        <v>745.25</v>
      </c>
      <c r="BT61" s="1018">
        <f t="shared" si="68"/>
        <v>796.25</v>
      </c>
      <c r="BU61" s="1018">
        <f t="shared" si="68"/>
        <v>768.25</v>
      </c>
      <c r="BV61" s="1017">
        <f t="shared" si="68"/>
        <v>763.25</v>
      </c>
      <c r="BW61" s="1018">
        <f t="shared" si="68"/>
        <v>748.25</v>
      </c>
      <c r="BX61" s="1018">
        <f t="shared" si="68"/>
        <v>742.25</v>
      </c>
      <c r="BY61" s="1018">
        <f t="shared" si="68"/>
        <v>722.25</v>
      </c>
      <c r="BZ61" s="1017">
        <f t="shared" si="68"/>
        <v>744.5</v>
      </c>
      <c r="CA61" s="1019">
        <f t="shared" si="68"/>
        <v>718.5</v>
      </c>
      <c r="CB61" s="1019">
        <f t="shared" si="68"/>
        <v>762.5</v>
      </c>
      <c r="CC61" s="1019">
        <f t="shared" si="68"/>
        <v>722.5</v>
      </c>
      <c r="CD61" s="1017">
        <f t="shared" si="68"/>
        <v>675</v>
      </c>
      <c r="CE61" s="1019">
        <f t="shared" si="68"/>
        <v>667</v>
      </c>
      <c r="CF61" s="1019">
        <f t="shared" si="68"/>
        <v>655</v>
      </c>
      <c r="CG61" s="1019">
        <f t="shared" si="68"/>
        <v>642</v>
      </c>
      <c r="CH61" s="986">
        <f>CH62*AVERAGE(CG56:CH56)/1000</f>
        <v>599.97119726339793</v>
      </c>
      <c r="CI61" s="984">
        <f>CI62*AVERAGE(CH56:CI56)/1000</f>
        <v>614.96846473029041</v>
      </c>
      <c r="CJ61" s="984">
        <f>CJ62*AVERAGE(CI56:CJ56)/1000</f>
        <v>590.33417302272255</v>
      </c>
      <c r="CK61" s="984">
        <f>CK62*AVERAGE(CJ56:CK56)/1000</f>
        <v>564.70604265017084</v>
      </c>
      <c r="CL61" s="986">
        <f>CL62*AVERAGE(CK56:CL56)/1000</f>
        <v>557.43443917901936</v>
      </c>
    </row>
    <row r="62" spans="1:90" hidden="1" outlineLevel="2">
      <c r="A62" s="983" t="s">
        <v>56</v>
      </c>
      <c r="B62" s="1010"/>
      <c r="C62" s="1010"/>
      <c r="D62" s="1010"/>
      <c r="E62" s="1010"/>
      <c r="F62" s="1010"/>
      <c r="G62" s="1010"/>
      <c r="H62" s="1010"/>
      <c r="I62" s="1010"/>
      <c r="J62" s="1010"/>
      <c r="K62" s="1010"/>
      <c r="L62" s="1010"/>
      <c r="M62" s="1010"/>
      <c r="N62" s="1020">
        <f t="shared" ref="N62:S62" si="69">N61/AVERAGE(M56:N56)*1000</f>
        <v>79.748847145871864</v>
      </c>
      <c r="O62" s="1020">
        <f t="shared" si="69"/>
        <v>79.121580304681885</v>
      </c>
      <c r="P62" s="1020">
        <f t="shared" si="69"/>
        <v>84.494124390942957</v>
      </c>
      <c r="Q62" s="1020">
        <f t="shared" si="69"/>
        <v>83.678160919540218</v>
      </c>
      <c r="R62" s="1021">
        <f t="shared" si="69"/>
        <v>81.05127742913362</v>
      </c>
      <c r="S62" s="1020">
        <f t="shared" si="69"/>
        <v>39.334893213775494</v>
      </c>
      <c r="T62" s="949"/>
      <c r="U62" s="949"/>
      <c r="V62" s="949"/>
      <c r="W62" s="949"/>
      <c r="X62" s="947"/>
      <c r="Y62" s="947"/>
      <c r="Z62" s="947"/>
      <c r="AA62" s="271"/>
      <c r="AB62" s="271"/>
      <c r="AC62" s="271"/>
      <c r="AD62" s="271"/>
      <c r="AE62" s="271"/>
      <c r="AF62" s="271"/>
      <c r="AG62" s="271"/>
      <c r="AH62" s="271"/>
      <c r="AI62" s="271"/>
      <c r="AJ62" s="271"/>
      <c r="AK62" s="271"/>
      <c r="AL62" s="271"/>
      <c r="AM62" s="271"/>
      <c r="AN62" s="271"/>
      <c r="AO62" s="271"/>
      <c r="AP62" s="271"/>
      <c r="AQ62" s="271"/>
      <c r="AR62" s="271"/>
      <c r="AS62" s="271"/>
      <c r="AT62" s="271"/>
      <c r="AU62" s="271"/>
      <c r="AV62" s="271"/>
      <c r="AW62" s="271"/>
      <c r="AX62" s="271"/>
      <c r="AY62" s="271"/>
      <c r="AZ62" s="271"/>
      <c r="BA62" s="271"/>
      <c r="BB62" s="271"/>
      <c r="BC62" s="271"/>
      <c r="BD62" s="271"/>
      <c r="BE62" s="271"/>
      <c r="BF62" s="271"/>
      <c r="BG62" s="271"/>
      <c r="BH62" s="271"/>
      <c r="BI62" s="271"/>
      <c r="BJ62" s="271"/>
      <c r="BK62" s="271"/>
      <c r="BL62" s="271"/>
      <c r="BM62" s="271"/>
      <c r="BN62" s="271"/>
      <c r="BO62" s="271"/>
      <c r="BP62" s="271"/>
      <c r="BQ62" s="271"/>
      <c r="BR62" s="1022">
        <f t="shared" ref="BR62:BY62" si="70">BR61/AVERAGE(BQ56:BR56)*1000</f>
        <v>19.075005078204349</v>
      </c>
      <c r="BS62" s="1020">
        <f t="shared" si="70"/>
        <v>19.001300323806124</v>
      </c>
      <c r="BT62" s="1020">
        <f t="shared" si="70"/>
        <v>20.292311220979126</v>
      </c>
      <c r="BU62" s="1020">
        <f t="shared" si="70"/>
        <v>19.814045856652825</v>
      </c>
      <c r="BV62" s="1022">
        <f t="shared" si="70"/>
        <v>19.981935754116815</v>
      </c>
      <c r="BW62" s="1020">
        <f t="shared" si="70"/>
        <v>19.796020953489606</v>
      </c>
      <c r="BX62" s="1020">
        <f t="shared" si="70"/>
        <v>19.896530002278485</v>
      </c>
      <c r="BY62" s="1020">
        <f t="shared" si="70"/>
        <v>19.554887706615766</v>
      </c>
      <c r="BZ62" s="1022">
        <f t="shared" ref="BZ62:CG62" si="71">BZ61/AVERAGE(BY56:BZ56)*1000</f>
        <v>20.296611324663996</v>
      </c>
      <c r="CA62" s="1020">
        <f t="shared" si="71"/>
        <v>20.061426776490297</v>
      </c>
      <c r="CB62" s="1020">
        <f t="shared" si="71"/>
        <v>21.858471770321209</v>
      </c>
      <c r="CC62" s="1020">
        <f t="shared" si="71"/>
        <v>21.37795333836344</v>
      </c>
      <c r="CD62" s="1022">
        <f t="shared" si="71"/>
        <v>20.524515393386547</v>
      </c>
      <c r="CE62" s="1020">
        <f t="shared" si="71"/>
        <v>20.731347226754938</v>
      </c>
      <c r="CF62" s="1020">
        <f t="shared" si="71"/>
        <v>20.859540453177498</v>
      </c>
      <c r="CG62" s="1020">
        <f t="shared" si="71"/>
        <v>20.901839492104834</v>
      </c>
      <c r="CH62" s="1022">
        <f>CD62*(1+CH63)</f>
        <v>20.114025085518815</v>
      </c>
      <c r="CI62" s="1020">
        <f>CE62*(1+CI63)</f>
        <v>20.938660699022488</v>
      </c>
      <c r="CJ62" s="1020">
        <f>CF62*(1+CJ63)</f>
        <v>20.442349644113946</v>
      </c>
      <c r="CK62" s="1020">
        <f>CG62*(1+CK63)</f>
        <v>19.856747517499592</v>
      </c>
      <c r="CL62" s="1022">
        <f>CH62*(1+CL63)</f>
        <v>19.772086659064996</v>
      </c>
    </row>
    <row r="63" spans="1:90" hidden="1" outlineLevel="2">
      <c r="A63" s="983" t="s">
        <v>993</v>
      </c>
      <c r="B63" s="1010"/>
      <c r="C63" s="1010"/>
      <c r="D63" s="1010"/>
      <c r="E63" s="1010"/>
      <c r="F63" s="1010"/>
      <c r="G63" s="1010"/>
      <c r="H63" s="1010"/>
      <c r="I63" s="1010"/>
      <c r="J63" s="1010"/>
      <c r="K63" s="1010"/>
      <c r="L63" s="1010"/>
      <c r="M63" s="1010"/>
      <c r="N63" s="271"/>
      <c r="O63" s="988">
        <f>O62/N62-1</f>
        <v>-7.865528639462549E-3</v>
      </c>
      <c r="P63" s="988">
        <f>P62/O62-1</f>
        <v>6.7902385993460213E-2</v>
      </c>
      <c r="Q63" s="988">
        <f>Q62/P62-1</f>
        <v>-9.6570439339354053E-3</v>
      </c>
      <c r="R63" s="989">
        <f>R62/Q62-1</f>
        <v>-3.1392701052936012E-2</v>
      </c>
      <c r="S63" s="988">
        <f>S62/R62-1</f>
        <v>-0.51469126136639165</v>
      </c>
      <c r="T63" s="949"/>
      <c r="U63" s="949"/>
      <c r="V63" s="949"/>
      <c r="W63" s="949"/>
      <c r="X63" s="947"/>
      <c r="Y63" s="947"/>
      <c r="Z63" s="947"/>
      <c r="AA63" s="271"/>
      <c r="AB63" s="271"/>
      <c r="AC63" s="271"/>
      <c r="AD63" s="271"/>
      <c r="AE63" s="271"/>
      <c r="AF63" s="271"/>
      <c r="AG63" s="271"/>
      <c r="AH63" s="271"/>
      <c r="AI63" s="271"/>
      <c r="AJ63" s="271"/>
      <c r="AK63" s="271"/>
      <c r="AL63" s="271"/>
      <c r="AM63" s="271"/>
      <c r="AN63" s="271"/>
      <c r="AO63" s="271"/>
      <c r="AP63" s="271"/>
      <c r="AQ63" s="271"/>
      <c r="AR63" s="271"/>
      <c r="AS63" s="271"/>
      <c r="AT63" s="271"/>
      <c r="AU63" s="271"/>
      <c r="AV63" s="271"/>
      <c r="AW63" s="271"/>
      <c r="AX63" s="271"/>
      <c r="AY63" s="271"/>
      <c r="AZ63" s="271"/>
      <c r="BA63" s="271"/>
      <c r="BB63" s="271"/>
      <c r="BC63" s="271"/>
      <c r="BD63" s="271"/>
      <c r="BE63" s="271"/>
      <c r="BF63" s="271"/>
      <c r="BG63" s="271"/>
      <c r="BH63" s="271"/>
      <c r="BI63" s="271"/>
      <c r="BJ63" s="271"/>
      <c r="BK63" s="271"/>
      <c r="BL63" s="271"/>
      <c r="BM63" s="271"/>
      <c r="BN63" s="271"/>
      <c r="BO63" s="271"/>
      <c r="BP63" s="271"/>
      <c r="BQ63" s="271"/>
      <c r="BR63" s="1005"/>
      <c r="BS63" s="1008">
        <f t="shared" ref="BS63:CG63" si="72">BS62/BR62-1</f>
        <v>-3.8639441560328613E-3</v>
      </c>
      <c r="BT63" s="1008">
        <f t="shared" si="72"/>
        <v>6.7943292046994008E-2</v>
      </c>
      <c r="BU63" s="1008">
        <f t="shared" si="72"/>
        <v>-2.3568797024552279E-2</v>
      </c>
      <c r="BV63" s="990">
        <f t="shared" si="72"/>
        <v>8.4732769207567227E-3</v>
      </c>
      <c r="BW63" s="1008">
        <f t="shared" si="72"/>
        <v>-9.3041436482902418E-3</v>
      </c>
      <c r="BX63" s="1008">
        <f t="shared" si="72"/>
        <v>5.0772349163008546E-3</v>
      </c>
      <c r="BY63" s="1008">
        <f t="shared" si="72"/>
        <v>-1.717094868419744E-2</v>
      </c>
      <c r="BZ63" s="990">
        <f t="shared" si="72"/>
        <v>3.7930344023263896E-2</v>
      </c>
      <c r="CA63" s="988">
        <f t="shared" si="72"/>
        <v>-1.1587380002094583E-2</v>
      </c>
      <c r="CB63" s="988">
        <f t="shared" si="72"/>
        <v>8.9577127980590365E-2</v>
      </c>
      <c r="CC63" s="988">
        <f t="shared" si="72"/>
        <v>-2.1983166847473923E-2</v>
      </c>
      <c r="CD63" s="990">
        <f t="shared" si="72"/>
        <v>-3.9921405546590405E-2</v>
      </c>
      <c r="CE63" s="988">
        <f t="shared" si="72"/>
        <v>1.0077306548004428E-2</v>
      </c>
      <c r="CF63" s="988">
        <f t="shared" si="72"/>
        <v>6.1835453827678855E-3</v>
      </c>
      <c r="CG63" s="988">
        <f t="shared" si="72"/>
        <v>2.0278030104394773E-3</v>
      </c>
      <c r="CH63" s="277">
        <v>-0.02</v>
      </c>
      <c r="CI63" s="13">
        <v>0.01</v>
      </c>
      <c r="CJ63" s="13">
        <v>-0.02</v>
      </c>
      <c r="CK63" s="13">
        <v>-0.05</v>
      </c>
      <c r="CL63" s="277">
        <v>-1.7000000000000001E-2</v>
      </c>
    </row>
    <row r="64" spans="1:90" hidden="1" outlineLevel="2">
      <c r="A64" s="1010" t="s">
        <v>57</v>
      </c>
      <c r="B64" s="1010"/>
      <c r="C64" s="1010"/>
      <c r="D64" s="1010"/>
      <c r="E64" s="1010"/>
      <c r="F64" s="1010"/>
      <c r="G64" s="1010"/>
      <c r="H64" s="1010"/>
      <c r="I64" s="1010"/>
      <c r="J64" s="1010"/>
      <c r="K64" s="1010"/>
      <c r="L64" s="1010"/>
      <c r="M64" s="1010"/>
      <c r="N64" s="271">
        <f>SUM(N24,N34,N43)</f>
        <v>3264</v>
      </c>
      <c r="O64" s="271">
        <f>SUM(O24,O34,O43)</f>
        <v>3015</v>
      </c>
      <c r="P64" s="271">
        <f>SUM(P24,P34,P43)</f>
        <v>2934</v>
      </c>
      <c r="Q64" s="271">
        <f>SUM(Q24,Q34,Q43)</f>
        <v>2835</v>
      </c>
      <c r="R64" s="223">
        <f>SUM(R59,R60,R61)</f>
        <v>2497.3778776665813</v>
      </c>
      <c r="S64" s="271">
        <f>SUM(S59,S60,S61)</f>
        <v>708.36533942109429</v>
      </c>
      <c r="T64" s="949"/>
      <c r="U64" s="949"/>
      <c r="V64" s="949"/>
      <c r="W64" s="949"/>
      <c r="X64" s="947"/>
      <c r="Y64" s="947"/>
      <c r="Z64" s="947"/>
      <c r="AA64" s="271"/>
      <c r="AB64" s="271"/>
      <c r="AC64" s="271"/>
      <c r="AD64" s="271"/>
      <c r="AE64" s="271"/>
      <c r="AF64" s="271"/>
      <c r="AG64" s="271"/>
      <c r="AH64" s="271"/>
      <c r="AI64" s="271"/>
      <c r="AJ64" s="271"/>
      <c r="AK64" s="271"/>
      <c r="AL64" s="271"/>
      <c r="AM64" s="271"/>
      <c r="AN64" s="271"/>
      <c r="AO64" s="271"/>
      <c r="AP64" s="271"/>
      <c r="AQ64" s="271"/>
      <c r="AR64" s="271"/>
      <c r="AS64" s="271"/>
      <c r="AT64" s="271"/>
      <c r="AU64" s="271"/>
      <c r="AV64" s="271"/>
      <c r="AW64" s="271"/>
      <c r="AX64" s="271"/>
      <c r="AY64" s="271"/>
      <c r="AZ64" s="271"/>
      <c r="BA64" s="271"/>
      <c r="BB64" s="271"/>
      <c r="BC64" s="271"/>
      <c r="BD64" s="271"/>
      <c r="BE64" s="271"/>
      <c r="BF64" s="271"/>
      <c r="BG64" s="271"/>
      <c r="BH64" s="271"/>
      <c r="BI64" s="271"/>
      <c r="BJ64" s="271"/>
      <c r="BK64" s="271"/>
      <c r="BL64" s="271"/>
      <c r="BM64" s="271"/>
      <c r="BN64" s="271"/>
      <c r="BO64" s="271"/>
      <c r="BP64" s="271"/>
      <c r="BQ64" s="271"/>
      <c r="BR64" s="940">
        <f t="shared" ref="BR64:BZ64" si="73">SUM(BR24,BR34,BR43)</f>
        <v>802</v>
      </c>
      <c r="BS64" s="271">
        <f t="shared" si="73"/>
        <v>796</v>
      </c>
      <c r="BT64" s="271">
        <f t="shared" si="73"/>
        <v>847</v>
      </c>
      <c r="BU64" s="271">
        <f t="shared" si="73"/>
        <v>819</v>
      </c>
      <c r="BV64" s="940">
        <f t="shared" si="73"/>
        <v>773</v>
      </c>
      <c r="BW64" s="271">
        <f t="shared" si="73"/>
        <v>758</v>
      </c>
      <c r="BX64" s="271">
        <f t="shared" si="73"/>
        <v>752</v>
      </c>
      <c r="BY64" s="271">
        <f t="shared" si="73"/>
        <v>732</v>
      </c>
      <c r="BZ64" s="940">
        <f t="shared" si="73"/>
        <v>741</v>
      </c>
      <c r="CA64" s="271">
        <f t="shared" ref="CA64:CF64" si="74">SUM(CA24,CA34,CA43)</f>
        <v>715</v>
      </c>
      <c r="CB64" s="271">
        <f t="shared" si="74"/>
        <v>759</v>
      </c>
      <c r="CC64" s="271">
        <f t="shared" si="74"/>
        <v>719</v>
      </c>
      <c r="CD64" s="940">
        <f t="shared" si="74"/>
        <v>724</v>
      </c>
      <c r="CE64" s="271">
        <f t="shared" si="74"/>
        <v>716</v>
      </c>
      <c r="CF64" s="271">
        <f t="shared" si="74"/>
        <v>704</v>
      </c>
      <c r="CG64" s="271">
        <f>SUM(CG24,CG34,CG43)</f>
        <v>691</v>
      </c>
      <c r="CH64" s="940">
        <f>SUM(CH59,CH60,CH61)</f>
        <v>631.82069726339796</v>
      </c>
      <c r="CI64" s="271">
        <f>SUM(CI59,CI60,CI61)</f>
        <v>646.81796473029044</v>
      </c>
      <c r="CJ64" s="271">
        <f>SUM(CJ59,CJ60,CJ61)</f>
        <v>622.18367302272259</v>
      </c>
      <c r="CK64" s="271">
        <f>SUM(CK59,CK60,CK61)</f>
        <v>596.55554265017076</v>
      </c>
      <c r="CL64" s="940">
        <f>SUM(CL59,CL60,CL61)</f>
        <v>595.16716423953812</v>
      </c>
    </row>
    <row r="65" spans="1:90" hidden="1" outlineLevel="2">
      <c r="A65" s="1010"/>
      <c r="B65" s="1010"/>
      <c r="C65" s="1010"/>
      <c r="D65" s="1010"/>
      <c r="E65" s="1010"/>
      <c r="F65" s="1010"/>
      <c r="G65" s="1010"/>
      <c r="H65" s="1010"/>
      <c r="I65" s="1010"/>
      <c r="J65" s="1010"/>
      <c r="K65" s="1010"/>
      <c r="L65" s="1010"/>
      <c r="M65" s="1010"/>
      <c r="N65" s="271"/>
      <c r="O65" s="271"/>
      <c r="P65" s="271"/>
      <c r="Q65" s="988"/>
      <c r="R65" s="223"/>
      <c r="S65" s="271"/>
      <c r="T65" s="949"/>
      <c r="U65" s="949"/>
      <c r="V65" s="949"/>
      <c r="W65" s="949"/>
      <c r="X65" s="947"/>
      <c r="Y65" s="947"/>
      <c r="Z65" s="947"/>
      <c r="AA65" s="271"/>
      <c r="AB65" s="271"/>
      <c r="AC65" s="271"/>
      <c r="AD65" s="271"/>
      <c r="AE65" s="271"/>
      <c r="AF65" s="271"/>
      <c r="AG65" s="271"/>
      <c r="AH65" s="271"/>
      <c r="AI65" s="271"/>
      <c r="AJ65" s="271"/>
      <c r="AK65" s="271"/>
      <c r="AL65" s="271"/>
      <c r="AM65" s="271"/>
      <c r="AN65" s="271"/>
      <c r="AO65" s="271"/>
      <c r="AP65" s="271"/>
      <c r="AQ65" s="271"/>
      <c r="AR65" s="271"/>
      <c r="AS65" s="271"/>
      <c r="AT65" s="271"/>
      <c r="AU65" s="271"/>
      <c r="AV65" s="271"/>
      <c r="AW65" s="271"/>
      <c r="AX65" s="271"/>
      <c r="AY65" s="271"/>
      <c r="AZ65" s="271"/>
      <c r="BA65" s="271"/>
      <c r="BB65" s="271"/>
      <c r="BC65" s="271"/>
      <c r="BD65" s="271"/>
      <c r="BE65" s="271"/>
      <c r="BF65" s="271"/>
      <c r="BG65" s="271"/>
      <c r="BH65" s="271"/>
      <c r="BI65" s="271"/>
      <c r="BJ65" s="271"/>
      <c r="BK65" s="271"/>
      <c r="BL65" s="271"/>
      <c r="BM65" s="271"/>
      <c r="BN65" s="271"/>
      <c r="BO65" s="271"/>
      <c r="BP65" s="271"/>
      <c r="BQ65" s="271"/>
      <c r="BR65" s="1005"/>
      <c r="BS65" s="1006"/>
      <c r="BT65" s="1006"/>
      <c r="BU65" s="1006"/>
      <c r="BV65" s="1005"/>
      <c r="BW65" s="1006"/>
      <c r="BX65" s="1006"/>
      <c r="BY65" s="1006"/>
      <c r="BZ65" s="1005"/>
      <c r="CA65" s="996"/>
      <c r="CB65" s="996"/>
      <c r="CC65" s="996"/>
      <c r="CD65" s="1005"/>
      <c r="CE65" s="996"/>
      <c r="CF65" s="996"/>
      <c r="CG65" s="1023">
        <f>+CG64/CC64-1</f>
        <v>-3.8942976356050041E-2</v>
      </c>
      <c r="CH65" s="1024">
        <f>+CH64/CD64-1</f>
        <v>-0.12731947891795858</v>
      </c>
      <c r="CI65" s="1012"/>
      <c r="CJ65" s="1012"/>
      <c r="CK65" s="1012"/>
      <c r="CL65" s="1013"/>
    </row>
    <row r="66" spans="1:90" hidden="1" outlineLevel="2">
      <c r="A66" s="1025" t="s">
        <v>58</v>
      </c>
      <c r="B66" s="1010"/>
      <c r="C66" s="1010"/>
      <c r="D66" s="1010"/>
      <c r="E66" s="1010"/>
      <c r="F66" s="1010"/>
      <c r="G66" s="1010"/>
      <c r="H66" s="1010"/>
      <c r="I66" s="1010"/>
      <c r="J66" s="1010"/>
      <c r="K66" s="1010"/>
      <c r="L66" s="1010"/>
      <c r="M66" s="1010"/>
      <c r="N66" s="988">
        <f t="shared" ref="N66:S66" si="75">N24/N64</f>
        <v>0.43627450980392157</v>
      </c>
      <c r="O66" s="988">
        <f t="shared" si="75"/>
        <v>0.45870646766169154</v>
      </c>
      <c r="P66" s="988">
        <f t="shared" si="75"/>
        <v>0.43490115882753921</v>
      </c>
      <c r="Q66" s="988">
        <f t="shared" si="75"/>
        <v>0.39223985890652557</v>
      </c>
      <c r="R66" s="989">
        <f t="shared" si="75"/>
        <v>0</v>
      </c>
      <c r="S66" s="988">
        <f t="shared" si="75"/>
        <v>0</v>
      </c>
      <c r="T66" s="949"/>
      <c r="U66" s="949"/>
      <c r="V66" s="949"/>
      <c r="W66" s="949"/>
      <c r="X66" s="947"/>
      <c r="Y66" s="947"/>
      <c r="Z66" s="947"/>
      <c r="AA66" s="271"/>
      <c r="AB66" s="271"/>
      <c r="AC66" s="271"/>
      <c r="AD66" s="271"/>
      <c r="AE66" s="271"/>
      <c r="AF66" s="271"/>
      <c r="AG66" s="271"/>
      <c r="AH66" s="271"/>
      <c r="AI66" s="271"/>
      <c r="AJ66" s="271"/>
      <c r="AK66" s="271"/>
      <c r="AL66" s="271"/>
      <c r="AM66" s="271"/>
      <c r="AN66" s="271"/>
      <c r="AO66" s="271"/>
      <c r="AP66" s="271"/>
      <c r="AQ66" s="271"/>
      <c r="AR66" s="271"/>
      <c r="AS66" s="271"/>
      <c r="AT66" s="271"/>
      <c r="AU66" s="271"/>
      <c r="AV66" s="271"/>
      <c r="AW66" s="271"/>
      <c r="AX66" s="271"/>
      <c r="AY66" s="271"/>
      <c r="AZ66" s="271"/>
      <c r="BA66" s="271"/>
      <c r="BB66" s="271"/>
      <c r="BC66" s="271"/>
      <c r="BD66" s="271"/>
      <c r="BE66" s="271"/>
      <c r="BF66" s="271"/>
      <c r="BG66" s="271"/>
      <c r="BH66" s="271"/>
      <c r="BI66" s="271"/>
      <c r="BJ66" s="271"/>
      <c r="BK66" s="271"/>
      <c r="BL66" s="271"/>
      <c r="BM66" s="271"/>
      <c r="BN66" s="271"/>
      <c r="BO66" s="271"/>
      <c r="BP66" s="271"/>
      <c r="BQ66" s="271"/>
      <c r="BR66" s="990">
        <f t="shared" ref="BR66:CD66" si="76">BR24/BR64</f>
        <v>0.43516209476309226</v>
      </c>
      <c r="BS66" s="988">
        <f t="shared" si="76"/>
        <v>0.43844221105527637</v>
      </c>
      <c r="BT66" s="988">
        <f t="shared" si="76"/>
        <v>0.44510035419126326</v>
      </c>
      <c r="BU66" s="988">
        <f t="shared" si="76"/>
        <v>0.42612942612942611</v>
      </c>
      <c r="BV66" s="990">
        <f t="shared" si="76"/>
        <v>0.45278137128072443</v>
      </c>
      <c r="BW66" s="988">
        <f t="shared" si="76"/>
        <v>0.45778364116094988</v>
      </c>
      <c r="BX66" s="988">
        <f t="shared" si="76"/>
        <v>0.46143617021276595</v>
      </c>
      <c r="BY66" s="988">
        <f t="shared" si="76"/>
        <v>0.46311475409836067</v>
      </c>
      <c r="BZ66" s="990">
        <f t="shared" si="76"/>
        <v>0.44534412955465585</v>
      </c>
      <c r="CA66" s="988">
        <f t="shared" si="76"/>
        <v>0.43916083916083914</v>
      </c>
      <c r="CB66" s="988">
        <f t="shared" si="76"/>
        <v>0.45191040843214758</v>
      </c>
      <c r="CC66" s="988">
        <f t="shared" si="76"/>
        <v>0.40194714881780252</v>
      </c>
      <c r="CD66" s="990">
        <f t="shared" si="76"/>
        <v>0.37569060773480661</v>
      </c>
      <c r="CE66" s="988">
        <f>CE24/CE64</f>
        <v>0.38826815642458101</v>
      </c>
      <c r="CF66" s="988">
        <f>CF24/CF64</f>
        <v>0.41903409090909088</v>
      </c>
      <c r="CG66" s="988">
        <f>CG24/CG64</f>
        <v>0.38639652677279307</v>
      </c>
      <c r="CH66" s="277">
        <v>0.38400000000000001</v>
      </c>
      <c r="CI66" s="13">
        <f t="shared" ref="CI66:CK67" si="77">CH66</f>
        <v>0.38400000000000001</v>
      </c>
      <c r="CJ66" s="13">
        <f t="shared" si="77"/>
        <v>0.38400000000000001</v>
      </c>
      <c r="CK66" s="13">
        <f t="shared" si="77"/>
        <v>0.38400000000000001</v>
      </c>
      <c r="CL66" s="277">
        <f>CK66</f>
        <v>0.38400000000000001</v>
      </c>
    </row>
    <row r="67" spans="1:90" hidden="1" outlineLevel="2">
      <c r="A67" s="1025" t="s">
        <v>59</v>
      </c>
      <c r="B67" s="1010"/>
      <c r="C67" s="1010"/>
      <c r="D67" s="1010"/>
      <c r="E67" s="1010"/>
      <c r="F67" s="1010"/>
      <c r="G67" s="1010"/>
      <c r="H67" s="1010"/>
      <c r="I67" s="1010"/>
      <c r="J67" s="1010"/>
      <c r="K67" s="1010"/>
      <c r="L67" s="1010"/>
      <c r="M67" s="1010"/>
      <c r="N67" s="988">
        <f t="shared" ref="N67:S67" si="78">N34/N64</f>
        <v>0.34620098039215685</v>
      </c>
      <c r="O67" s="988">
        <f t="shared" si="78"/>
        <v>0.37810945273631841</v>
      </c>
      <c r="P67" s="988">
        <f t="shared" si="78"/>
        <v>0.39843217450579416</v>
      </c>
      <c r="Q67" s="988">
        <f t="shared" si="78"/>
        <v>0.37777777777777777</v>
      </c>
      <c r="R67" s="989">
        <f t="shared" si="78"/>
        <v>0</v>
      </c>
      <c r="S67" s="988">
        <f t="shared" si="78"/>
        <v>0</v>
      </c>
      <c r="T67" s="949"/>
      <c r="U67" s="949"/>
      <c r="V67" s="949"/>
      <c r="W67" s="949"/>
      <c r="X67" s="947"/>
      <c r="Y67" s="947"/>
      <c r="Z67" s="947"/>
      <c r="AA67" s="271"/>
      <c r="AB67" s="271"/>
      <c r="AC67" s="271"/>
      <c r="AD67" s="271"/>
      <c r="AE67" s="271"/>
      <c r="AF67" s="271"/>
      <c r="AG67" s="271"/>
      <c r="AH67" s="271"/>
      <c r="AI67" s="271"/>
      <c r="AJ67" s="271"/>
      <c r="AK67" s="271"/>
      <c r="AL67" s="271"/>
      <c r="AM67" s="271"/>
      <c r="AN67" s="271"/>
      <c r="AO67" s="271"/>
      <c r="AP67" s="271"/>
      <c r="AQ67" s="271"/>
      <c r="AR67" s="271"/>
      <c r="AS67" s="271"/>
      <c r="AT67" s="271"/>
      <c r="AU67" s="271"/>
      <c r="AV67" s="271"/>
      <c r="AW67" s="271"/>
      <c r="AX67" s="271"/>
      <c r="AY67" s="271"/>
      <c r="AZ67" s="271"/>
      <c r="BA67" s="271"/>
      <c r="BB67" s="271"/>
      <c r="BC67" s="271"/>
      <c r="BD67" s="271"/>
      <c r="BE67" s="271"/>
      <c r="BF67" s="271"/>
      <c r="BG67" s="271"/>
      <c r="BH67" s="271"/>
      <c r="BI67" s="271"/>
      <c r="BJ67" s="271"/>
      <c r="BK67" s="271"/>
      <c r="BL67" s="271"/>
      <c r="BM67" s="271"/>
      <c r="BN67" s="271"/>
      <c r="BO67" s="271"/>
      <c r="BP67" s="271"/>
      <c r="BQ67" s="271"/>
      <c r="BR67" s="990">
        <f t="shared" ref="BR67:CD67" si="79">BR34/BR64</f>
        <v>0.34039900249376559</v>
      </c>
      <c r="BS67" s="988">
        <f t="shared" si="79"/>
        <v>0.34170854271356782</v>
      </c>
      <c r="BT67" s="988">
        <f t="shared" si="79"/>
        <v>0.34592680047225499</v>
      </c>
      <c r="BU67" s="988">
        <f t="shared" si="79"/>
        <v>0.35653235653235654</v>
      </c>
      <c r="BV67" s="990">
        <f t="shared" si="79"/>
        <v>0.36093143596377747</v>
      </c>
      <c r="BW67" s="988">
        <f t="shared" si="79"/>
        <v>0.38654353562005278</v>
      </c>
      <c r="BX67" s="988">
        <f t="shared" si="79"/>
        <v>0.38164893617021278</v>
      </c>
      <c r="BY67" s="988">
        <f t="shared" si="79"/>
        <v>0.38387978142076501</v>
      </c>
      <c r="BZ67" s="990">
        <f t="shared" si="79"/>
        <v>0.39406207827260459</v>
      </c>
      <c r="CA67" s="988">
        <f t="shared" si="79"/>
        <v>0.406993006993007</v>
      </c>
      <c r="CB67" s="988">
        <f t="shared" si="79"/>
        <v>0.38866930171277997</v>
      </c>
      <c r="CC67" s="988">
        <f t="shared" si="79"/>
        <v>0.4047287899860918</v>
      </c>
      <c r="CD67" s="990">
        <f t="shared" si="79"/>
        <v>0.40607734806629836</v>
      </c>
      <c r="CE67" s="988">
        <f>CE34/CE64</f>
        <v>0.37150837988826818</v>
      </c>
      <c r="CF67" s="988">
        <f>CF34/CF64</f>
        <v>0.35227272727272729</v>
      </c>
      <c r="CG67" s="988">
        <f>CG34/CG64</f>
        <v>0.38060781476121563</v>
      </c>
      <c r="CH67" s="277">
        <v>0.37</v>
      </c>
      <c r="CI67" s="13">
        <f t="shared" si="77"/>
        <v>0.37</v>
      </c>
      <c r="CJ67" s="13">
        <f t="shared" si="77"/>
        <v>0.37</v>
      </c>
      <c r="CK67" s="13">
        <f t="shared" si="77"/>
        <v>0.37</v>
      </c>
      <c r="CL67" s="277">
        <f>CK67</f>
        <v>0.37</v>
      </c>
    </row>
    <row r="68" spans="1:90" hidden="1" outlineLevel="2">
      <c r="A68" s="1025" t="s">
        <v>60</v>
      </c>
      <c r="B68" s="1010"/>
      <c r="C68" s="1010"/>
      <c r="D68" s="1010"/>
      <c r="E68" s="1010"/>
      <c r="F68" s="1010"/>
      <c r="G68" s="1010"/>
      <c r="H68" s="1010"/>
      <c r="I68" s="1010"/>
      <c r="J68" s="1010"/>
      <c r="K68" s="1010"/>
      <c r="L68" s="1010"/>
      <c r="M68" s="1010"/>
      <c r="N68" s="988">
        <f t="shared" ref="N68:S68" si="80">1-N66-N67</f>
        <v>0.21752450980392157</v>
      </c>
      <c r="O68" s="988">
        <f t="shared" si="80"/>
        <v>0.16318407960199005</v>
      </c>
      <c r="P68" s="988">
        <f t="shared" si="80"/>
        <v>0.16666666666666663</v>
      </c>
      <c r="Q68" s="988">
        <f t="shared" si="80"/>
        <v>0.22998236331569666</v>
      </c>
      <c r="R68" s="989">
        <f t="shared" si="80"/>
        <v>1</v>
      </c>
      <c r="S68" s="988">
        <f t="shared" si="80"/>
        <v>1</v>
      </c>
      <c r="T68" s="949"/>
      <c r="U68" s="949"/>
      <c r="V68" s="949"/>
      <c r="W68" s="949"/>
      <c r="X68" s="947"/>
      <c r="Y68" s="947"/>
      <c r="Z68" s="947"/>
      <c r="AA68" s="271"/>
      <c r="AB68" s="271"/>
      <c r="AC68" s="271"/>
      <c r="AD68" s="271"/>
      <c r="AE68" s="271"/>
      <c r="AF68" s="271"/>
      <c r="AG68" s="271"/>
      <c r="AH68" s="271"/>
      <c r="AI68" s="271"/>
      <c r="AJ68" s="271"/>
      <c r="AK68" s="271"/>
      <c r="AL68" s="271"/>
      <c r="AM68" s="271"/>
      <c r="AN68" s="271"/>
      <c r="AO68" s="271"/>
      <c r="AP68" s="271"/>
      <c r="AQ68" s="271"/>
      <c r="AR68" s="271"/>
      <c r="AS68" s="271"/>
      <c r="AT68" s="271"/>
      <c r="AU68" s="271"/>
      <c r="AV68" s="271"/>
      <c r="AW68" s="271"/>
      <c r="AX68" s="271"/>
      <c r="AY68" s="271"/>
      <c r="AZ68" s="271"/>
      <c r="BA68" s="271"/>
      <c r="BB68" s="271"/>
      <c r="BC68" s="271"/>
      <c r="BD68" s="271"/>
      <c r="BE68" s="271"/>
      <c r="BF68" s="271"/>
      <c r="BG68" s="271"/>
      <c r="BH68" s="271"/>
      <c r="BI68" s="271"/>
      <c r="BJ68" s="271"/>
      <c r="BK68" s="271"/>
      <c r="BL68" s="271"/>
      <c r="BM68" s="271"/>
      <c r="BN68" s="271"/>
      <c r="BO68" s="271"/>
      <c r="BP68" s="271"/>
      <c r="BQ68" s="271"/>
      <c r="BR68" s="990">
        <f t="shared" ref="BR68:CK68" si="81">1-BR66-BR67</f>
        <v>0.2244389027431421</v>
      </c>
      <c r="BS68" s="988">
        <f t="shared" si="81"/>
        <v>0.21984924623115581</v>
      </c>
      <c r="BT68" s="988">
        <f t="shared" si="81"/>
        <v>0.20897284533648175</v>
      </c>
      <c r="BU68" s="988">
        <f t="shared" si="81"/>
        <v>0.21733821733821729</v>
      </c>
      <c r="BV68" s="990">
        <f t="shared" si="81"/>
        <v>0.18628719275549804</v>
      </c>
      <c r="BW68" s="988">
        <f t="shared" si="81"/>
        <v>0.15567282321899728</v>
      </c>
      <c r="BX68" s="988">
        <f t="shared" si="81"/>
        <v>0.15691489361702127</v>
      </c>
      <c r="BY68" s="988">
        <f t="shared" si="81"/>
        <v>0.15300546448087432</v>
      </c>
      <c r="BZ68" s="990">
        <f t="shared" si="81"/>
        <v>0.16059379217273956</v>
      </c>
      <c r="CA68" s="988">
        <f t="shared" si="81"/>
        <v>0.15384615384615385</v>
      </c>
      <c r="CB68" s="988">
        <f t="shared" si="81"/>
        <v>0.15942028985507245</v>
      </c>
      <c r="CC68" s="988">
        <f t="shared" si="81"/>
        <v>0.19332406119610562</v>
      </c>
      <c r="CD68" s="990">
        <f t="shared" si="81"/>
        <v>0.21823204419889508</v>
      </c>
      <c r="CE68" s="988">
        <f t="shared" si="81"/>
        <v>0.24022346368715081</v>
      </c>
      <c r="CF68" s="988">
        <f t="shared" si="81"/>
        <v>0.22869318181818188</v>
      </c>
      <c r="CG68" s="988">
        <f t="shared" si="81"/>
        <v>0.23299565846599124</v>
      </c>
      <c r="CH68" s="990">
        <f t="shared" si="81"/>
        <v>0.246</v>
      </c>
      <c r="CI68" s="988">
        <f t="shared" si="81"/>
        <v>0.246</v>
      </c>
      <c r="CJ68" s="988">
        <f t="shared" si="81"/>
        <v>0.246</v>
      </c>
      <c r="CK68" s="988">
        <f t="shared" si="81"/>
        <v>0.246</v>
      </c>
      <c r="CL68" s="990">
        <f>1-CL66-CL67</f>
        <v>0.246</v>
      </c>
    </row>
    <row r="69" spans="1:90" outlineLevel="1" collapsed="1">
      <c r="A69" s="976" t="s">
        <v>61</v>
      </c>
      <c r="B69" s="977"/>
      <c r="C69" s="977"/>
      <c r="D69" s="977"/>
      <c r="E69" s="977"/>
      <c r="F69" s="977"/>
      <c r="G69" s="977"/>
      <c r="H69" s="977"/>
      <c r="I69" s="977"/>
      <c r="J69" s="977"/>
      <c r="K69" s="977"/>
      <c r="L69" s="977"/>
      <c r="M69" s="977"/>
      <c r="N69" s="977"/>
      <c r="O69" s="977"/>
      <c r="P69" s="978"/>
      <c r="Q69" s="978"/>
      <c r="R69" s="979"/>
      <c r="S69" s="977"/>
      <c r="T69" s="949"/>
      <c r="U69" s="949"/>
      <c r="V69" s="949"/>
      <c r="W69" s="949"/>
      <c r="X69" s="947"/>
      <c r="Y69" s="947"/>
      <c r="Z69" s="947"/>
      <c r="AA69" s="977"/>
      <c r="AB69" s="977"/>
      <c r="AC69" s="977"/>
      <c r="AD69" s="977"/>
      <c r="AE69" s="977"/>
      <c r="AF69" s="977"/>
      <c r="AG69" s="977"/>
      <c r="AH69" s="977"/>
      <c r="AI69" s="977"/>
      <c r="AJ69" s="977"/>
      <c r="AK69" s="977"/>
      <c r="AL69" s="977"/>
      <c r="AM69" s="977"/>
      <c r="AN69" s="977"/>
      <c r="AO69" s="977"/>
      <c r="AP69" s="977"/>
      <c r="AQ69" s="977"/>
      <c r="AR69" s="977"/>
      <c r="AS69" s="977"/>
      <c r="AT69" s="977"/>
      <c r="AU69" s="977"/>
      <c r="AV69" s="977"/>
      <c r="AW69" s="977"/>
      <c r="AX69" s="977"/>
      <c r="AY69" s="977"/>
      <c r="AZ69" s="977"/>
      <c r="BA69" s="977"/>
      <c r="BB69" s="977"/>
      <c r="BC69" s="977"/>
      <c r="BD69" s="977"/>
      <c r="BE69" s="977"/>
      <c r="BF69" s="977"/>
      <c r="BG69" s="977"/>
      <c r="BH69" s="977"/>
      <c r="BI69" s="977"/>
      <c r="BJ69" s="977"/>
      <c r="BK69" s="977"/>
      <c r="BL69" s="977"/>
      <c r="BM69" s="977"/>
      <c r="BN69" s="977"/>
      <c r="BO69" s="977"/>
      <c r="BP69" s="977"/>
      <c r="BQ69" s="977"/>
      <c r="BR69" s="981"/>
      <c r="BS69" s="977"/>
      <c r="BT69" s="977"/>
      <c r="BU69" s="977"/>
      <c r="BV69" s="981"/>
      <c r="BW69" s="977"/>
      <c r="BX69" s="977"/>
      <c r="BY69" s="977"/>
      <c r="BZ69" s="981"/>
      <c r="CA69" s="977"/>
      <c r="CB69" s="977"/>
      <c r="CC69" s="977"/>
      <c r="CD69" s="981"/>
      <c r="CE69" s="977"/>
      <c r="CF69" s="977"/>
      <c r="CG69" s="977"/>
      <c r="CH69" s="981"/>
      <c r="CI69" s="977"/>
      <c r="CJ69" s="977"/>
      <c r="CK69" s="977"/>
      <c r="CL69" s="981"/>
    </row>
    <row r="70" spans="1:90" outlineLevel="1">
      <c r="A70" s="1026" t="s">
        <v>1093</v>
      </c>
      <c r="B70" s="1004"/>
      <c r="C70" s="1004"/>
      <c r="D70" s="1004"/>
      <c r="E70" s="1004"/>
      <c r="F70" s="1004"/>
      <c r="G70" s="1004"/>
      <c r="H70" s="1004"/>
      <c r="I70" s="1004"/>
      <c r="J70" s="1004"/>
      <c r="K70" s="1004"/>
      <c r="L70" s="1004"/>
      <c r="M70" s="1004"/>
      <c r="N70" s="271">
        <f t="shared" ref="N70:S70" si="82">N21-N52</f>
        <v>4389</v>
      </c>
      <c r="O70" s="271">
        <f t="shared" si="82"/>
        <v>4608</v>
      </c>
      <c r="P70" s="271">
        <f t="shared" si="82"/>
        <v>4545</v>
      </c>
      <c r="Q70" s="271">
        <f t="shared" si="82"/>
        <v>4399</v>
      </c>
      <c r="R70" s="223">
        <f t="shared" si="82"/>
        <v>4435</v>
      </c>
      <c r="S70" s="271">
        <f t="shared" si="82"/>
        <v>1126</v>
      </c>
      <c r="T70" s="949"/>
      <c r="U70" s="949"/>
      <c r="V70" s="949"/>
      <c r="W70" s="949"/>
      <c r="X70" s="947"/>
      <c r="Y70" s="947"/>
      <c r="Z70" s="947"/>
      <c r="AA70" s="767"/>
      <c r="AB70" s="767"/>
      <c r="AC70" s="767"/>
      <c r="AD70" s="767"/>
      <c r="AE70" s="767"/>
      <c r="AF70" s="767"/>
      <c r="AG70" s="767"/>
      <c r="AH70" s="767"/>
      <c r="AI70" s="767"/>
      <c r="AJ70" s="767"/>
      <c r="AK70" s="767"/>
      <c r="AL70" s="767"/>
      <c r="AM70" s="767"/>
      <c r="AN70" s="767"/>
      <c r="AO70" s="767"/>
      <c r="AP70" s="767"/>
      <c r="AQ70" s="767"/>
      <c r="AR70" s="767"/>
      <c r="AS70" s="767"/>
      <c r="AT70" s="767"/>
      <c r="AU70" s="767"/>
      <c r="AV70" s="767"/>
      <c r="AW70" s="767"/>
      <c r="AX70" s="767"/>
      <c r="AY70" s="767"/>
      <c r="AZ70" s="767"/>
      <c r="BA70" s="767"/>
      <c r="BB70" s="767"/>
      <c r="BC70" s="767"/>
      <c r="BD70" s="767"/>
      <c r="BE70" s="767"/>
      <c r="BF70" s="767"/>
      <c r="BG70" s="767"/>
      <c r="BH70" s="767"/>
      <c r="BI70" s="767"/>
      <c r="BJ70" s="1006">
        <v>888</v>
      </c>
      <c r="BK70" s="1006">
        <v>864</v>
      </c>
      <c r="BL70" s="1006">
        <v>876</v>
      </c>
      <c r="BM70" s="1006">
        <v>965</v>
      </c>
      <c r="BN70" s="1006">
        <v>974</v>
      </c>
      <c r="BO70" s="1006">
        <v>991</v>
      </c>
      <c r="BP70" s="1006">
        <v>1002</v>
      </c>
      <c r="BQ70" s="1006">
        <v>1053</v>
      </c>
      <c r="BR70" s="940">
        <f t="shared" ref="BR70:CE70" si="83">BR21-BR52</f>
        <v>1066</v>
      </c>
      <c r="BS70" s="271">
        <f t="shared" si="83"/>
        <v>1109</v>
      </c>
      <c r="BT70" s="271">
        <f t="shared" si="83"/>
        <v>1134</v>
      </c>
      <c r="BU70" s="271">
        <f t="shared" si="83"/>
        <v>1080</v>
      </c>
      <c r="BV70" s="940">
        <f t="shared" si="83"/>
        <v>1171</v>
      </c>
      <c r="BW70" s="271">
        <f t="shared" si="83"/>
        <v>1149</v>
      </c>
      <c r="BX70" s="271">
        <f t="shared" si="83"/>
        <v>1151</v>
      </c>
      <c r="BY70" s="271">
        <f t="shared" si="83"/>
        <v>1137</v>
      </c>
      <c r="BZ70" s="940">
        <f t="shared" si="83"/>
        <v>1141</v>
      </c>
      <c r="CA70" s="271">
        <f t="shared" si="83"/>
        <v>1144</v>
      </c>
      <c r="CB70" s="271">
        <f t="shared" si="83"/>
        <v>1083</v>
      </c>
      <c r="CC70" s="271">
        <f t="shared" si="83"/>
        <v>1179</v>
      </c>
      <c r="CD70" s="940">
        <f t="shared" si="83"/>
        <v>1145</v>
      </c>
      <c r="CE70" s="271">
        <f t="shared" si="83"/>
        <v>1092</v>
      </c>
      <c r="CF70" s="271">
        <f t="shared" ref="CF70:CK70" si="84">CF21-CF52</f>
        <v>1093</v>
      </c>
      <c r="CG70" s="271">
        <f t="shared" si="84"/>
        <v>1085</v>
      </c>
      <c r="CH70" s="940">
        <f>CH21-CH52</f>
        <v>1124</v>
      </c>
      <c r="CI70" s="271">
        <f t="shared" si="84"/>
        <v>1092</v>
      </c>
      <c r="CJ70" s="271">
        <f>CJ21-CJ52</f>
        <v>1120</v>
      </c>
      <c r="CK70" s="271">
        <f t="shared" si="84"/>
        <v>1099</v>
      </c>
      <c r="CL70" s="940">
        <f>CL21-CL52</f>
        <v>1126</v>
      </c>
    </row>
    <row r="71" spans="1:90" outlineLevel="1">
      <c r="A71" s="983" t="s">
        <v>34</v>
      </c>
      <c r="B71" s="1004"/>
      <c r="C71" s="1004"/>
      <c r="D71" s="1004"/>
      <c r="E71" s="1004"/>
      <c r="F71" s="1004"/>
      <c r="G71" s="1004"/>
      <c r="H71" s="1004"/>
      <c r="I71" s="1004"/>
      <c r="J71" s="1004"/>
      <c r="K71" s="1004"/>
      <c r="L71" s="1004"/>
      <c r="M71" s="1004"/>
      <c r="N71" s="984"/>
      <c r="O71" s="988">
        <f>O70/N70-1</f>
        <v>4.9897470950102552E-2</v>
      </c>
      <c r="P71" s="988">
        <f>P70/O70-1</f>
        <v>-1.3671875E-2</v>
      </c>
      <c r="Q71" s="988">
        <f>Q70/P70-1</f>
        <v>-3.2123212321232164E-2</v>
      </c>
      <c r="R71" s="989">
        <f>R70/Q70-1</f>
        <v>8.1836781086610522E-3</v>
      </c>
      <c r="S71" s="988">
        <f>S70/R70-1</f>
        <v>-0.74611048478015785</v>
      </c>
      <c r="T71" s="949"/>
      <c r="U71" s="949"/>
      <c r="V71" s="949"/>
      <c r="W71" s="949"/>
      <c r="X71" s="947"/>
      <c r="Y71" s="947"/>
      <c r="Z71" s="947"/>
      <c r="AA71" s="767"/>
      <c r="AB71" s="767"/>
      <c r="AC71" s="767"/>
      <c r="AD71" s="767"/>
      <c r="AE71" s="767"/>
      <c r="AF71" s="767"/>
      <c r="AG71" s="767"/>
      <c r="AH71" s="767"/>
      <c r="AI71" s="767"/>
      <c r="AJ71" s="767"/>
      <c r="AK71" s="767"/>
      <c r="AL71" s="767"/>
      <c r="AM71" s="767"/>
      <c r="AN71" s="767"/>
      <c r="AO71" s="767"/>
      <c r="AP71" s="767"/>
      <c r="AQ71" s="767"/>
      <c r="AR71" s="767"/>
      <c r="AS71" s="767"/>
      <c r="AT71" s="767"/>
      <c r="AU71" s="767"/>
      <c r="AV71" s="767"/>
      <c r="AW71" s="767"/>
      <c r="AX71" s="767"/>
      <c r="AY71" s="767"/>
      <c r="AZ71" s="767"/>
      <c r="BA71" s="767"/>
      <c r="BB71" s="767"/>
      <c r="BC71" s="767"/>
      <c r="BD71" s="767"/>
      <c r="BE71" s="767"/>
      <c r="BF71" s="767"/>
      <c r="BG71" s="767"/>
      <c r="BH71" s="767"/>
      <c r="BI71" s="767"/>
      <c r="BJ71" s="767"/>
      <c r="BK71" s="767"/>
      <c r="BL71" s="767"/>
      <c r="BM71" s="767"/>
      <c r="BN71" s="1008">
        <f t="shared" ref="BN71:BU71" si="85">BN70/BJ70-1</f>
        <v>9.6846846846846857E-2</v>
      </c>
      <c r="BO71" s="1008">
        <f t="shared" si="85"/>
        <v>0.1469907407407407</v>
      </c>
      <c r="BP71" s="1008">
        <f t="shared" si="85"/>
        <v>0.14383561643835607</v>
      </c>
      <c r="BQ71" s="1008">
        <f t="shared" si="85"/>
        <v>9.1191709844559599E-2</v>
      </c>
      <c r="BR71" s="990">
        <f t="shared" si="85"/>
        <v>9.4455852156057452E-2</v>
      </c>
      <c r="BS71" s="988">
        <f t="shared" si="85"/>
        <v>0.11907164480322896</v>
      </c>
      <c r="BT71" s="988">
        <f t="shared" si="85"/>
        <v>0.13173652694610771</v>
      </c>
      <c r="BU71" s="988">
        <f t="shared" si="85"/>
        <v>2.564102564102555E-2</v>
      </c>
      <c r="BV71" s="990">
        <f t="shared" ref="BV71:CA71" si="86">BV70/BR70-1</f>
        <v>9.8499061913696062E-2</v>
      </c>
      <c r="BW71" s="988">
        <f t="shared" si="86"/>
        <v>3.6068530207393978E-2</v>
      </c>
      <c r="BX71" s="988">
        <f t="shared" si="86"/>
        <v>1.4991181657848296E-2</v>
      </c>
      <c r="BY71" s="988">
        <f t="shared" si="86"/>
        <v>5.2777777777777812E-2</v>
      </c>
      <c r="BZ71" s="990">
        <f t="shared" si="86"/>
        <v>-2.561912894961571E-2</v>
      </c>
      <c r="CA71" s="988">
        <f t="shared" si="86"/>
        <v>-4.3516100957353698E-3</v>
      </c>
      <c r="CB71" s="988">
        <f t="shared" ref="CB71:CK71" si="87">CB70/BX70-1</f>
        <v>-5.907906168549093E-2</v>
      </c>
      <c r="CC71" s="988">
        <f t="shared" si="87"/>
        <v>3.6939313984168942E-2</v>
      </c>
      <c r="CD71" s="990">
        <f t="shared" si="87"/>
        <v>3.5056967572304476E-3</v>
      </c>
      <c r="CE71" s="988">
        <f t="shared" si="87"/>
        <v>-4.5454545454545414E-2</v>
      </c>
      <c r="CF71" s="988">
        <f t="shared" si="87"/>
        <v>9.2336103416434945E-3</v>
      </c>
      <c r="CG71" s="988">
        <f t="shared" si="87"/>
        <v>-7.9728583545377485E-2</v>
      </c>
      <c r="CH71" s="990">
        <f t="shared" si="87"/>
        <v>-1.8340611353711789E-2</v>
      </c>
      <c r="CI71" s="988">
        <f t="shared" si="87"/>
        <v>0</v>
      </c>
      <c r="CJ71" s="988">
        <f t="shared" si="87"/>
        <v>2.470265324794152E-2</v>
      </c>
      <c r="CK71" s="988">
        <f t="shared" si="87"/>
        <v>1.2903225806451646E-2</v>
      </c>
      <c r="CL71" s="990">
        <f>CL70/CH70-1</f>
        <v>1.779359430605032E-3</v>
      </c>
    </row>
    <row r="72" spans="1:90" outlineLevel="1">
      <c r="A72" s="997" t="s">
        <v>1003</v>
      </c>
      <c r="B72" s="1004"/>
      <c r="C72" s="1004"/>
      <c r="D72" s="1004"/>
      <c r="E72" s="1004"/>
      <c r="F72" s="1004"/>
      <c r="G72" s="1004"/>
      <c r="H72" s="1004"/>
      <c r="I72" s="1004"/>
      <c r="J72" s="1004"/>
      <c r="K72" s="1004"/>
      <c r="L72" s="1004"/>
      <c r="M72" s="1004"/>
      <c r="N72" s="1008">
        <f t="shared" ref="N72:S72" si="88">N70/N$21</f>
        <v>0.31523378582202111</v>
      </c>
      <c r="O72" s="1008">
        <f t="shared" si="88"/>
        <v>0.33444621860937729</v>
      </c>
      <c r="P72" s="988">
        <f t="shared" si="88"/>
        <v>0.33729128014842302</v>
      </c>
      <c r="Q72" s="988">
        <f t="shared" si="88"/>
        <v>0.35732271951912925</v>
      </c>
      <c r="R72" s="989">
        <f t="shared" si="88"/>
        <v>0.37809036658141515</v>
      </c>
      <c r="S72" s="1008">
        <f t="shared" si="88"/>
        <v>0.3956430077301476</v>
      </c>
      <c r="T72" s="949"/>
      <c r="U72" s="949"/>
      <c r="V72" s="949"/>
      <c r="W72" s="949"/>
      <c r="X72" s="947"/>
      <c r="Y72" s="947"/>
      <c r="Z72" s="947"/>
      <c r="AA72" s="767"/>
      <c r="AB72" s="767"/>
      <c r="AC72" s="767"/>
      <c r="AD72" s="767"/>
      <c r="AE72" s="767"/>
      <c r="AF72" s="767"/>
      <c r="AG72" s="767"/>
      <c r="AH72" s="767"/>
      <c r="AI72" s="767"/>
      <c r="AJ72" s="767"/>
      <c r="AK72" s="767"/>
      <c r="AL72" s="767"/>
      <c r="AM72" s="767"/>
      <c r="AN72" s="767"/>
      <c r="AO72" s="767"/>
      <c r="AP72" s="767"/>
      <c r="AQ72" s="767"/>
      <c r="AR72" s="767"/>
      <c r="AS72" s="767"/>
      <c r="AT72" s="767"/>
      <c r="AU72" s="767"/>
      <c r="AV72" s="767"/>
      <c r="AW72" s="767"/>
      <c r="AX72" s="767"/>
      <c r="AY72" s="767"/>
      <c r="AZ72" s="767"/>
      <c r="BA72" s="767"/>
      <c r="BB72" s="767"/>
      <c r="BC72" s="767"/>
      <c r="BD72" s="767"/>
      <c r="BE72" s="767"/>
      <c r="BF72" s="767"/>
      <c r="BG72" s="767"/>
      <c r="BH72" s="767"/>
      <c r="BI72" s="767"/>
      <c r="BJ72" s="1008">
        <f t="shared" ref="BJ72:BQ72" si="89">BJ70/BJ$21</f>
        <v>0.25509910945130709</v>
      </c>
      <c r="BK72" s="1008">
        <f t="shared" si="89"/>
        <v>0.25101685066821616</v>
      </c>
      <c r="BL72" s="1008">
        <f t="shared" si="89"/>
        <v>0.25398666280081184</v>
      </c>
      <c r="BM72" s="1008">
        <f t="shared" si="89"/>
        <v>0.28076811172534188</v>
      </c>
      <c r="BN72" s="1008">
        <f t="shared" si="89"/>
        <v>0.28240069585387068</v>
      </c>
      <c r="BO72" s="1008">
        <f t="shared" si="89"/>
        <v>0.28559077809798272</v>
      </c>
      <c r="BP72" s="1008">
        <f t="shared" si="89"/>
        <v>0.28595890410958902</v>
      </c>
      <c r="BQ72" s="1008">
        <f t="shared" si="89"/>
        <v>0.30258620689655175</v>
      </c>
      <c r="BR72" s="990">
        <f t="shared" ref="BR72:CE72" si="90">BR70/BR$21</f>
        <v>0.30667433831990792</v>
      </c>
      <c r="BS72" s="1008">
        <f t="shared" si="90"/>
        <v>0.31941244239631339</v>
      </c>
      <c r="BT72" s="1008">
        <f t="shared" si="90"/>
        <v>0.3252079151132779</v>
      </c>
      <c r="BU72" s="1008">
        <f t="shared" si="90"/>
        <v>0.30963302752293576</v>
      </c>
      <c r="BV72" s="990">
        <f t="shared" si="90"/>
        <v>0.33981427742309922</v>
      </c>
      <c r="BW72" s="1008">
        <f t="shared" si="90"/>
        <v>0.33179324285301759</v>
      </c>
      <c r="BX72" s="1008">
        <f t="shared" si="90"/>
        <v>0.33517763541059986</v>
      </c>
      <c r="BY72" s="1008">
        <f t="shared" si="90"/>
        <v>0.33100436681222706</v>
      </c>
      <c r="BZ72" s="990">
        <f>BZ70/BZ$21</f>
        <v>0.33568696675492793</v>
      </c>
      <c r="CA72" s="1008">
        <f t="shared" si="90"/>
        <v>0.33826138379657006</v>
      </c>
      <c r="CB72" s="1008">
        <f>CB70/CB$21</f>
        <v>0.32050902633915357</v>
      </c>
      <c r="CC72" s="1008">
        <f>CC70/CC$21</f>
        <v>0.35565610859728508</v>
      </c>
      <c r="CD72" s="990">
        <f>CD70/CD$21</f>
        <v>0.36085723290261584</v>
      </c>
      <c r="CE72" s="1008">
        <f t="shared" si="90"/>
        <v>0.35339805825242721</v>
      </c>
      <c r="CF72" s="1008">
        <f t="shared" ref="CF72:CK72" si="91">CF70/CF$21</f>
        <v>0.35789129011132942</v>
      </c>
      <c r="CG72" s="1008">
        <f t="shared" si="91"/>
        <v>0.36239144956579827</v>
      </c>
      <c r="CH72" s="990">
        <f t="shared" si="91"/>
        <v>0.37896156439649359</v>
      </c>
      <c r="CI72" s="1008">
        <f t="shared" si="91"/>
        <v>0.3726962457337884</v>
      </c>
      <c r="CJ72" s="1008">
        <f t="shared" si="91"/>
        <v>0.38160136286201024</v>
      </c>
      <c r="CK72" s="1008">
        <f t="shared" si="91"/>
        <v>0.37909624008278719</v>
      </c>
      <c r="CL72" s="990">
        <f>CL70/CL$21</f>
        <v>0.3956430077301476</v>
      </c>
    </row>
    <row r="73" spans="1:90" outlineLevel="1">
      <c r="A73" s="1027" t="s">
        <v>62</v>
      </c>
      <c r="B73" s="1004"/>
      <c r="C73" s="1004"/>
      <c r="D73" s="1004"/>
      <c r="E73" s="1004"/>
      <c r="F73" s="1004"/>
      <c r="G73" s="1004"/>
      <c r="H73" s="1004"/>
      <c r="I73" s="1004"/>
      <c r="J73" s="1004"/>
      <c r="K73" s="1004"/>
      <c r="L73" s="1004"/>
      <c r="M73" s="1004"/>
      <c r="N73" s="1028"/>
      <c r="O73" s="1028"/>
      <c r="P73" s="271"/>
      <c r="Q73" s="271"/>
      <c r="R73" s="223"/>
      <c r="S73" s="271"/>
      <c r="T73" s="949"/>
      <c r="U73" s="949"/>
      <c r="V73" s="949"/>
      <c r="W73" s="949"/>
      <c r="X73" s="947"/>
      <c r="Y73" s="947"/>
      <c r="Z73" s="947"/>
      <c r="AA73" s="767"/>
      <c r="AB73" s="767"/>
      <c r="AC73" s="767"/>
      <c r="AD73" s="767"/>
      <c r="AE73" s="767"/>
      <c r="AF73" s="767"/>
      <c r="AG73" s="767"/>
      <c r="AH73" s="767"/>
      <c r="AI73" s="767"/>
      <c r="AJ73" s="767"/>
      <c r="AK73" s="767"/>
      <c r="AL73" s="767"/>
      <c r="AM73" s="767"/>
      <c r="AN73" s="767"/>
      <c r="AO73" s="767"/>
      <c r="AP73" s="767"/>
      <c r="AQ73" s="767"/>
      <c r="AR73" s="767"/>
      <c r="AS73" s="767"/>
      <c r="AT73" s="767"/>
      <c r="AU73" s="767"/>
      <c r="AV73" s="767"/>
      <c r="AW73" s="767"/>
      <c r="AX73" s="767"/>
      <c r="AY73" s="767"/>
      <c r="AZ73" s="767"/>
      <c r="BA73" s="767"/>
      <c r="BB73" s="767"/>
      <c r="BC73" s="767"/>
      <c r="BD73" s="767"/>
      <c r="BE73" s="767"/>
      <c r="BF73" s="767"/>
      <c r="BG73" s="767"/>
      <c r="BH73" s="767"/>
      <c r="BI73" s="767"/>
      <c r="BJ73" s="767">
        <v>0</v>
      </c>
      <c r="BK73" s="767">
        <v>0</v>
      </c>
      <c r="BL73" s="767">
        <v>0</v>
      </c>
      <c r="BM73" s="767">
        <v>0</v>
      </c>
      <c r="BN73" s="767">
        <v>0</v>
      </c>
      <c r="BO73" s="767">
        <v>0</v>
      </c>
      <c r="BP73" s="767">
        <v>0</v>
      </c>
      <c r="BQ73" s="767">
        <v>0</v>
      </c>
      <c r="BR73" s="1029">
        <v>-1</v>
      </c>
      <c r="BS73" s="1028">
        <v>0</v>
      </c>
      <c r="BT73" s="1028">
        <v>0</v>
      </c>
      <c r="BU73" s="1028">
        <v>0</v>
      </c>
      <c r="BV73" s="1029">
        <v>0</v>
      </c>
      <c r="BW73" s="1028">
        <v>0</v>
      </c>
      <c r="BX73" s="1028">
        <v>0</v>
      </c>
      <c r="BY73" s="1028">
        <v>0</v>
      </c>
      <c r="BZ73" s="1029"/>
      <c r="CA73" s="1028"/>
      <c r="CB73" s="1028"/>
      <c r="CC73" s="1028"/>
      <c r="CD73" s="1029"/>
      <c r="CE73" s="1012"/>
      <c r="CF73" s="1012"/>
      <c r="CG73" s="1012"/>
      <c r="CH73" s="1013"/>
      <c r="CI73" s="1012"/>
      <c r="CJ73" s="1012"/>
      <c r="CK73" s="1012"/>
      <c r="CL73" s="1013"/>
    </row>
    <row r="74" spans="1:90" outlineLevel="1">
      <c r="A74" s="1001"/>
      <c r="B74" s="1004"/>
      <c r="C74" s="1004"/>
      <c r="D74" s="1004"/>
      <c r="E74" s="1004"/>
      <c r="F74" s="1004"/>
      <c r="G74" s="1004"/>
      <c r="H74" s="1004"/>
      <c r="I74" s="1004"/>
      <c r="J74" s="1004"/>
      <c r="K74" s="1004"/>
      <c r="L74" s="1004"/>
      <c r="M74" s="1004"/>
      <c r="N74" s="1008"/>
      <c r="O74" s="1008"/>
      <c r="P74" s="271"/>
      <c r="Q74" s="271"/>
      <c r="R74" s="223"/>
      <c r="S74" s="271"/>
      <c r="T74" s="949"/>
      <c r="U74" s="949"/>
      <c r="V74" s="949"/>
      <c r="W74" s="949"/>
      <c r="X74" s="947"/>
      <c r="Y74" s="947"/>
      <c r="Z74" s="947"/>
      <c r="AA74" s="767"/>
      <c r="AB74" s="767"/>
      <c r="AC74" s="767"/>
      <c r="AD74" s="767"/>
      <c r="AE74" s="767"/>
      <c r="AF74" s="767"/>
      <c r="AG74" s="767"/>
      <c r="AH74" s="767"/>
      <c r="AI74" s="767"/>
      <c r="AJ74" s="767"/>
      <c r="AK74" s="767"/>
      <c r="AL74" s="767"/>
      <c r="AM74" s="767"/>
      <c r="AN74" s="767"/>
      <c r="AO74" s="767"/>
      <c r="AP74" s="767"/>
      <c r="AQ74" s="767"/>
      <c r="AR74" s="767"/>
      <c r="AS74" s="767"/>
      <c r="AT74" s="767"/>
      <c r="AU74" s="767"/>
      <c r="AV74" s="767"/>
      <c r="AW74" s="767"/>
      <c r="AX74" s="767"/>
      <c r="AY74" s="767"/>
      <c r="AZ74" s="767"/>
      <c r="BA74" s="767"/>
      <c r="BB74" s="767"/>
      <c r="BC74" s="767"/>
      <c r="BD74" s="767"/>
      <c r="BE74" s="767"/>
      <c r="BF74" s="767"/>
      <c r="BG74" s="767"/>
      <c r="BH74" s="767"/>
      <c r="BI74" s="767"/>
      <c r="BJ74" s="767"/>
      <c r="BK74" s="767"/>
      <c r="BL74" s="767"/>
      <c r="BM74" s="767"/>
      <c r="BN74" s="767"/>
      <c r="BO74" s="767"/>
      <c r="BP74" s="767"/>
      <c r="BQ74" s="767"/>
      <c r="BR74" s="990"/>
      <c r="BS74" s="1008"/>
      <c r="BT74" s="1008"/>
      <c r="BU74" s="1008"/>
      <c r="BV74" s="990"/>
      <c r="BW74" s="1008"/>
      <c r="BX74" s="1008"/>
      <c r="BY74" s="1008"/>
      <c r="BZ74" s="990"/>
      <c r="CA74" s="1008"/>
      <c r="CB74" s="1008"/>
      <c r="CC74" s="1008"/>
      <c r="CD74" s="990"/>
      <c r="CE74" s="1012"/>
      <c r="CF74" s="1012"/>
      <c r="CG74" s="1012"/>
      <c r="CH74" s="1013"/>
      <c r="CI74" s="1012"/>
      <c r="CJ74" s="1012"/>
      <c r="CK74" s="1012"/>
      <c r="CL74" s="1013"/>
    </row>
    <row r="75" spans="1:90" outlineLevel="1">
      <c r="A75" s="993" t="s">
        <v>63</v>
      </c>
      <c r="B75" s="993"/>
      <c r="C75" s="993"/>
      <c r="D75" s="993"/>
      <c r="E75" s="993"/>
      <c r="F75" s="993"/>
      <c r="G75" s="993"/>
      <c r="H75" s="993"/>
      <c r="I75" s="993"/>
      <c r="J75" s="993"/>
      <c r="K75" s="993"/>
      <c r="L75" s="993"/>
      <c r="M75" s="993"/>
      <c r="N75" s="984">
        <f>SUM(BR75:BU75)</f>
        <v>2724</v>
      </c>
      <c r="O75" s="984">
        <f>SUM(BV75:BY75)</f>
        <v>2881</v>
      </c>
      <c r="P75" s="948">
        <f>SUM(BZ75:CC75)</f>
        <v>2867</v>
      </c>
      <c r="Q75" s="948">
        <f>SUM(CD75:CG75)</f>
        <v>2774</v>
      </c>
      <c r="R75" s="1002">
        <f>SUM(CH75:CK75)</f>
        <v>2480</v>
      </c>
      <c r="S75" s="991">
        <f>SUM(CL75:CO75)</f>
        <v>616</v>
      </c>
      <c r="T75" s="949"/>
      <c r="U75" s="949"/>
      <c r="V75" s="949"/>
      <c r="W75" s="949"/>
      <c r="X75" s="947"/>
      <c r="Y75" s="947"/>
      <c r="Z75" s="947"/>
      <c r="AA75" s="991"/>
      <c r="AB75" s="991"/>
      <c r="AC75" s="991"/>
      <c r="AD75" s="991"/>
      <c r="AE75" s="991"/>
      <c r="AF75" s="991"/>
      <c r="AG75" s="991"/>
      <c r="AH75" s="991"/>
      <c r="AI75" s="991"/>
      <c r="AJ75" s="991"/>
      <c r="AK75" s="991"/>
      <c r="AL75" s="991"/>
      <c r="AM75" s="991"/>
      <c r="AN75" s="991"/>
      <c r="AO75" s="991"/>
      <c r="AP75" s="991"/>
      <c r="AQ75" s="991"/>
      <c r="AR75" s="991"/>
      <c r="AS75" s="991"/>
      <c r="AT75" s="991"/>
      <c r="AU75" s="991"/>
      <c r="AV75" s="991"/>
      <c r="AW75" s="991"/>
      <c r="AX75" s="991"/>
      <c r="AY75" s="991"/>
      <c r="AZ75" s="991"/>
      <c r="BA75" s="991"/>
      <c r="BB75" s="991"/>
      <c r="BC75" s="991"/>
      <c r="BD75" s="991"/>
      <c r="BE75" s="991"/>
      <c r="BF75" s="991"/>
      <c r="BG75" s="991"/>
      <c r="BH75" s="991"/>
      <c r="BI75" s="991"/>
      <c r="BJ75" s="991"/>
      <c r="BK75" s="991"/>
      <c r="BL75" s="991"/>
      <c r="BM75" s="991"/>
      <c r="BN75" s="991"/>
      <c r="BO75" s="991"/>
      <c r="BP75" s="991"/>
      <c r="BQ75" s="991"/>
      <c r="BR75" s="986">
        <f>BR129</f>
        <v>662</v>
      </c>
      <c r="BS75" s="991">
        <f t="shared" ref="BS75:CA75" si="92">BS129</f>
        <v>703</v>
      </c>
      <c r="BT75" s="991">
        <f t="shared" si="92"/>
        <v>676</v>
      </c>
      <c r="BU75" s="991">
        <f t="shared" si="92"/>
        <v>683</v>
      </c>
      <c r="BV75" s="986">
        <f t="shared" si="92"/>
        <v>732</v>
      </c>
      <c r="BW75" s="991">
        <f t="shared" si="92"/>
        <v>733</v>
      </c>
      <c r="BX75" s="991">
        <f t="shared" si="92"/>
        <v>717</v>
      </c>
      <c r="BY75" s="991">
        <f t="shared" si="92"/>
        <v>699</v>
      </c>
      <c r="BZ75" s="986">
        <f t="shared" si="92"/>
        <v>723</v>
      </c>
      <c r="CA75" s="991">
        <f t="shared" si="92"/>
        <v>730</v>
      </c>
      <c r="CB75" s="991">
        <f>CB129</f>
        <v>677</v>
      </c>
      <c r="CC75" s="991">
        <f>CC129</f>
        <v>737</v>
      </c>
      <c r="CD75" s="986">
        <f>CD129</f>
        <v>725</v>
      </c>
      <c r="CE75" s="991">
        <f>CE129</f>
        <v>691</v>
      </c>
      <c r="CF75" s="991">
        <f t="shared" ref="CF75:CL75" si="93">CF129</f>
        <v>673</v>
      </c>
      <c r="CG75" s="991">
        <f t="shared" si="93"/>
        <v>685</v>
      </c>
      <c r="CH75" s="986">
        <f t="shared" si="93"/>
        <v>630</v>
      </c>
      <c r="CI75" s="991">
        <f t="shared" si="93"/>
        <v>622</v>
      </c>
      <c r="CJ75" s="991">
        <f t="shared" si="93"/>
        <v>617</v>
      </c>
      <c r="CK75" s="991">
        <f t="shared" si="93"/>
        <v>611</v>
      </c>
      <c r="CL75" s="986">
        <f t="shared" si="93"/>
        <v>616</v>
      </c>
    </row>
    <row r="76" spans="1:90" outlineLevel="1">
      <c r="A76" s="993" t="s">
        <v>64</v>
      </c>
      <c r="B76" s="993"/>
      <c r="C76" s="993"/>
      <c r="D76" s="993"/>
      <c r="E76" s="993"/>
      <c r="F76" s="993"/>
      <c r="G76" s="993"/>
      <c r="H76" s="993"/>
      <c r="I76" s="993"/>
      <c r="J76" s="993"/>
      <c r="K76" s="993"/>
      <c r="L76" s="993"/>
      <c r="M76" s="993"/>
      <c r="N76" s="984">
        <f>SUM(BR76:BU76)</f>
        <v>1686</v>
      </c>
      <c r="O76" s="984">
        <f>SUM(BV76:BY76)</f>
        <v>1463</v>
      </c>
      <c r="P76" s="948">
        <f>SUM(BZ76:CC76)</f>
        <v>1449</v>
      </c>
      <c r="Q76" s="948">
        <f>SUM(CD76:CG76)</f>
        <v>1553</v>
      </c>
      <c r="R76" s="1002">
        <f>SUM(CH76:CK76)</f>
        <v>1614</v>
      </c>
      <c r="S76" s="991">
        <f>SUM(CL76:CO76)</f>
        <v>401</v>
      </c>
      <c r="T76" s="949"/>
      <c r="U76" s="949"/>
      <c r="V76" s="949"/>
      <c r="W76" s="949"/>
      <c r="X76" s="947"/>
      <c r="Y76" s="947"/>
      <c r="Z76" s="947"/>
      <c r="AA76" s="991"/>
      <c r="AB76" s="991"/>
      <c r="AC76" s="991"/>
      <c r="AD76" s="991"/>
      <c r="AE76" s="991"/>
      <c r="AF76" s="991"/>
      <c r="AG76" s="991"/>
      <c r="AH76" s="991"/>
      <c r="AI76" s="991"/>
      <c r="AJ76" s="991"/>
      <c r="AK76" s="991"/>
      <c r="AL76" s="991"/>
      <c r="AM76" s="991"/>
      <c r="AN76" s="991"/>
      <c r="AO76" s="991"/>
      <c r="AP76" s="991"/>
      <c r="AQ76" s="991"/>
      <c r="AR76" s="991"/>
      <c r="AS76" s="991"/>
      <c r="AT76" s="991"/>
      <c r="AU76" s="991"/>
      <c r="AV76" s="991"/>
      <c r="AW76" s="991"/>
      <c r="AX76" s="991"/>
      <c r="AY76" s="991"/>
      <c r="AZ76" s="991"/>
      <c r="BA76" s="991"/>
      <c r="BB76" s="991"/>
      <c r="BC76" s="991"/>
      <c r="BD76" s="991"/>
      <c r="BE76" s="991"/>
      <c r="BF76" s="991"/>
      <c r="BG76" s="991"/>
      <c r="BH76" s="991"/>
      <c r="BI76" s="991"/>
      <c r="BJ76" s="991"/>
      <c r="BK76" s="991"/>
      <c r="BL76" s="991"/>
      <c r="BM76" s="991"/>
      <c r="BN76" s="991"/>
      <c r="BO76" s="991"/>
      <c r="BP76" s="991"/>
      <c r="BQ76" s="991"/>
      <c r="BR76" s="986">
        <f>BR188</f>
        <v>422</v>
      </c>
      <c r="BS76" s="991">
        <f t="shared" ref="BS76:CA76" si="94">BS188</f>
        <v>420</v>
      </c>
      <c r="BT76" s="991">
        <f t="shared" si="94"/>
        <v>436</v>
      </c>
      <c r="BU76" s="991">
        <f t="shared" si="94"/>
        <v>408</v>
      </c>
      <c r="BV76" s="986">
        <f t="shared" si="94"/>
        <v>378</v>
      </c>
      <c r="BW76" s="991">
        <f t="shared" si="94"/>
        <v>367</v>
      </c>
      <c r="BX76" s="991">
        <f t="shared" si="94"/>
        <v>373</v>
      </c>
      <c r="BY76" s="991">
        <f t="shared" si="94"/>
        <v>345</v>
      </c>
      <c r="BZ76" s="986">
        <f t="shared" si="94"/>
        <v>358</v>
      </c>
      <c r="CA76" s="991">
        <f t="shared" si="94"/>
        <v>362</v>
      </c>
      <c r="CB76" s="991">
        <f>CB188</f>
        <v>350</v>
      </c>
      <c r="CC76" s="991">
        <f>CC188</f>
        <v>379</v>
      </c>
      <c r="CD76" s="986">
        <f>CD188</f>
        <v>380</v>
      </c>
      <c r="CE76" s="991">
        <f>CE188</f>
        <v>391</v>
      </c>
      <c r="CF76" s="991">
        <f t="shared" ref="CF76:CL76" si="95">CF188</f>
        <v>392</v>
      </c>
      <c r="CG76" s="991">
        <f t="shared" si="95"/>
        <v>390</v>
      </c>
      <c r="CH76" s="986">
        <f t="shared" si="95"/>
        <v>390</v>
      </c>
      <c r="CI76" s="991">
        <f t="shared" si="95"/>
        <v>389</v>
      </c>
      <c r="CJ76" s="991">
        <f t="shared" si="95"/>
        <v>415</v>
      </c>
      <c r="CK76" s="991">
        <f t="shared" si="95"/>
        <v>420</v>
      </c>
      <c r="CL76" s="986">
        <f t="shared" si="95"/>
        <v>401</v>
      </c>
    </row>
    <row r="77" spans="1:90" outlineLevel="1">
      <c r="A77" s="993" t="s">
        <v>65</v>
      </c>
      <c r="B77" s="993"/>
      <c r="C77" s="993"/>
      <c r="D77" s="993"/>
      <c r="E77" s="993"/>
      <c r="F77" s="993"/>
      <c r="G77" s="993"/>
      <c r="H77" s="993"/>
      <c r="I77" s="993"/>
      <c r="J77" s="993"/>
      <c r="K77" s="993"/>
      <c r="L77" s="993"/>
      <c r="M77" s="993"/>
      <c r="N77" s="984">
        <f>SUM(BR77:BU77)</f>
        <v>1995</v>
      </c>
      <c r="O77" s="984">
        <f>SUM(BV77:BY77)</f>
        <v>2056</v>
      </c>
      <c r="P77" s="948">
        <f>SUM(BZ77:CC77)</f>
        <v>1971</v>
      </c>
      <c r="Q77" s="948">
        <f>SUM(CD77:CG77)</f>
        <v>1908</v>
      </c>
      <c r="R77" s="1002">
        <f>SUM(CH77:CK77)</f>
        <v>1793</v>
      </c>
      <c r="S77" s="991">
        <f>SUM(CL77:CO77)</f>
        <v>453</v>
      </c>
      <c r="T77" s="949"/>
      <c r="U77" s="949"/>
      <c r="V77" s="949"/>
      <c r="W77" s="949"/>
      <c r="X77" s="947"/>
      <c r="Y77" s="947"/>
      <c r="Z77" s="947"/>
      <c r="AA77" s="991"/>
      <c r="AB77" s="991"/>
      <c r="AC77" s="991"/>
      <c r="AD77" s="991"/>
      <c r="AE77" s="991"/>
      <c r="AF77" s="991"/>
      <c r="AG77" s="991"/>
      <c r="AH77" s="991"/>
      <c r="AI77" s="991"/>
      <c r="AJ77" s="991"/>
      <c r="AK77" s="991"/>
      <c r="AL77" s="991"/>
      <c r="AM77" s="991"/>
      <c r="AN77" s="991"/>
      <c r="AO77" s="991"/>
      <c r="AP77" s="991"/>
      <c r="AQ77" s="991"/>
      <c r="AR77" s="991"/>
      <c r="AS77" s="991"/>
      <c r="AT77" s="991"/>
      <c r="AU77" s="991"/>
      <c r="AV77" s="991"/>
      <c r="AW77" s="991"/>
      <c r="AX77" s="991"/>
      <c r="AY77" s="991"/>
      <c r="AZ77" s="991"/>
      <c r="BA77" s="991"/>
      <c r="BB77" s="991"/>
      <c r="BC77" s="991"/>
      <c r="BD77" s="991"/>
      <c r="BE77" s="991"/>
      <c r="BF77" s="991"/>
      <c r="BG77" s="991"/>
      <c r="BH77" s="991"/>
      <c r="BI77" s="991"/>
      <c r="BJ77" s="991"/>
      <c r="BK77" s="991"/>
      <c r="BL77" s="991"/>
      <c r="BM77" s="991"/>
      <c r="BN77" s="991"/>
      <c r="BO77" s="991"/>
      <c r="BP77" s="991"/>
      <c r="BQ77" s="991"/>
      <c r="BR77" s="986">
        <f>BR215</f>
        <v>493</v>
      </c>
      <c r="BS77" s="991">
        <f t="shared" ref="BS77:CE77" si="96">BS215</f>
        <v>497</v>
      </c>
      <c r="BT77" s="991">
        <f t="shared" si="96"/>
        <v>516</v>
      </c>
      <c r="BU77" s="991">
        <f t="shared" si="96"/>
        <v>489</v>
      </c>
      <c r="BV77" s="986">
        <f t="shared" si="96"/>
        <v>503</v>
      </c>
      <c r="BW77" s="991">
        <f t="shared" si="96"/>
        <v>525</v>
      </c>
      <c r="BX77" s="991">
        <f t="shared" si="96"/>
        <v>500</v>
      </c>
      <c r="BY77" s="991">
        <f t="shared" si="96"/>
        <v>528</v>
      </c>
      <c r="BZ77" s="986">
        <f t="shared" si="96"/>
        <v>501</v>
      </c>
      <c r="CA77" s="991">
        <f t="shared" si="96"/>
        <v>487</v>
      </c>
      <c r="CB77" s="991">
        <f>CB215</f>
        <v>479</v>
      </c>
      <c r="CC77" s="991">
        <f>CC215</f>
        <v>504</v>
      </c>
      <c r="CD77" s="986">
        <f>CD215</f>
        <v>492</v>
      </c>
      <c r="CE77" s="991">
        <f t="shared" si="96"/>
        <v>475</v>
      </c>
      <c r="CF77" s="991">
        <f t="shared" ref="CF77:CL77" si="97">CF215</f>
        <v>478</v>
      </c>
      <c r="CG77" s="991">
        <f t="shared" si="97"/>
        <v>463</v>
      </c>
      <c r="CH77" s="986">
        <f t="shared" si="97"/>
        <v>466</v>
      </c>
      <c r="CI77" s="991">
        <f t="shared" si="97"/>
        <v>445</v>
      </c>
      <c r="CJ77" s="991">
        <f t="shared" si="97"/>
        <v>448</v>
      </c>
      <c r="CK77" s="991">
        <f t="shared" si="97"/>
        <v>434</v>
      </c>
      <c r="CL77" s="986">
        <f t="shared" si="97"/>
        <v>453</v>
      </c>
    </row>
    <row r="78" spans="1:90" outlineLevel="1">
      <c r="A78" s="1010" t="s">
        <v>66</v>
      </c>
      <c r="B78" s="992"/>
      <c r="C78" s="992"/>
      <c r="D78" s="992"/>
      <c r="E78" s="992"/>
      <c r="F78" s="992"/>
      <c r="G78" s="992"/>
      <c r="H78" s="992"/>
      <c r="I78" s="992"/>
      <c r="J78" s="992"/>
      <c r="K78" s="992"/>
      <c r="L78" s="992"/>
      <c r="M78" s="992"/>
      <c r="N78" s="767">
        <f t="shared" ref="N78:S78" si="98">SUM(N75:N77)</f>
        <v>6405</v>
      </c>
      <c r="O78" s="767">
        <f t="shared" si="98"/>
        <v>6400</v>
      </c>
      <c r="P78" s="271">
        <f t="shared" si="98"/>
        <v>6287</v>
      </c>
      <c r="Q78" s="271">
        <f t="shared" si="98"/>
        <v>6235</v>
      </c>
      <c r="R78" s="223">
        <f t="shared" si="98"/>
        <v>5887</v>
      </c>
      <c r="S78" s="767">
        <f t="shared" si="98"/>
        <v>1470</v>
      </c>
      <c r="T78" s="949"/>
      <c r="U78" s="949"/>
      <c r="V78" s="949"/>
      <c r="W78" s="949"/>
      <c r="X78" s="947"/>
      <c r="Y78" s="947"/>
      <c r="Z78" s="947"/>
      <c r="AA78" s="767"/>
      <c r="AB78" s="767"/>
      <c r="AC78" s="767"/>
      <c r="AD78" s="767"/>
      <c r="AE78" s="767"/>
      <c r="AF78" s="767"/>
      <c r="AG78" s="767"/>
      <c r="AH78" s="767"/>
      <c r="AI78" s="767"/>
      <c r="AJ78" s="767"/>
      <c r="AK78" s="767"/>
      <c r="AL78" s="767"/>
      <c r="AM78" s="767"/>
      <c r="AN78" s="767"/>
      <c r="AO78" s="767"/>
      <c r="AP78" s="767"/>
      <c r="AQ78" s="767"/>
      <c r="AR78" s="767"/>
      <c r="AS78" s="767"/>
      <c r="AT78" s="767"/>
      <c r="AU78" s="767"/>
      <c r="AV78" s="767"/>
      <c r="AW78" s="767"/>
      <c r="AX78" s="767"/>
      <c r="AY78" s="767"/>
      <c r="AZ78" s="767"/>
      <c r="BA78" s="767"/>
      <c r="BB78" s="767"/>
      <c r="BC78" s="767"/>
      <c r="BD78" s="767"/>
      <c r="BE78" s="767"/>
      <c r="BF78" s="767"/>
      <c r="BG78" s="767"/>
      <c r="BH78" s="767"/>
      <c r="BI78" s="767"/>
      <c r="BJ78" s="767"/>
      <c r="BK78" s="767"/>
      <c r="BL78" s="767"/>
      <c r="BM78" s="767"/>
      <c r="BN78" s="767"/>
      <c r="BO78" s="767"/>
      <c r="BP78" s="767"/>
      <c r="BQ78" s="767"/>
      <c r="BR78" s="940">
        <f>SUM(BR75:BR77)</f>
        <v>1577</v>
      </c>
      <c r="BS78" s="767">
        <f t="shared" ref="BS78:CA78" si="99">SUM(BS75:BS77)</f>
        <v>1620</v>
      </c>
      <c r="BT78" s="767">
        <f t="shared" si="99"/>
        <v>1628</v>
      </c>
      <c r="BU78" s="767">
        <f t="shared" si="99"/>
        <v>1580</v>
      </c>
      <c r="BV78" s="940">
        <f t="shared" si="99"/>
        <v>1613</v>
      </c>
      <c r="BW78" s="767">
        <f t="shared" si="99"/>
        <v>1625</v>
      </c>
      <c r="BX78" s="767">
        <f t="shared" si="99"/>
        <v>1590</v>
      </c>
      <c r="BY78" s="767">
        <f t="shared" si="99"/>
        <v>1572</v>
      </c>
      <c r="BZ78" s="940">
        <f t="shared" si="99"/>
        <v>1582</v>
      </c>
      <c r="CA78" s="767">
        <f t="shared" si="99"/>
        <v>1579</v>
      </c>
      <c r="CB78" s="767">
        <f t="shared" ref="CB78:CK78" si="100">SUM(CB75:CB77)</f>
        <v>1506</v>
      </c>
      <c r="CC78" s="767">
        <f t="shared" si="100"/>
        <v>1620</v>
      </c>
      <c r="CD78" s="940">
        <f t="shared" si="100"/>
        <v>1597</v>
      </c>
      <c r="CE78" s="767">
        <f t="shared" si="100"/>
        <v>1557</v>
      </c>
      <c r="CF78" s="767">
        <f t="shared" si="100"/>
        <v>1543</v>
      </c>
      <c r="CG78" s="767">
        <f t="shared" si="100"/>
        <v>1538</v>
      </c>
      <c r="CH78" s="940">
        <f t="shared" si="100"/>
        <v>1486</v>
      </c>
      <c r="CI78" s="767">
        <f t="shared" si="100"/>
        <v>1456</v>
      </c>
      <c r="CJ78" s="767">
        <f t="shared" si="100"/>
        <v>1480</v>
      </c>
      <c r="CK78" s="767">
        <f t="shared" si="100"/>
        <v>1465</v>
      </c>
      <c r="CL78" s="940">
        <f>SUM(CL75:CL77)</f>
        <v>1470</v>
      </c>
    </row>
    <row r="79" spans="1:90" outlineLevel="1">
      <c r="A79" s="993"/>
      <c r="B79" s="993"/>
      <c r="C79" s="993"/>
      <c r="D79" s="993"/>
      <c r="E79" s="993"/>
      <c r="F79" s="993"/>
      <c r="G79" s="993"/>
      <c r="H79" s="993"/>
      <c r="I79" s="993"/>
      <c r="J79" s="993"/>
      <c r="K79" s="993"/>
      <c r="L79" s="993"/>
      <c r="M79" s="993"/>
      <c r="N79" s="991"/>
      <c r="O79" s="991"/>
      <c r="P79" s="984"/>
      <c r="Q79" s="984"/>
      <c r="R79" s="1002"/>
      <c r="S79" s="991"/>
      <c r="T79" s="949"/>
      <c r="U79" s="949"/>
      <c r="V79" s="949"/>
      <c r="W79" s="949"/>
      <c r="X79" s="947"/>
      <c r="Y79" s="947"/>
      <c r="Z79" s="947"/>
      <c r="AA79" s="991"/>
      <c r="AB79" s="991"/>
      <c r="AC79" s="991"/>
      <c r="AD79" s="991"/>
      <c r="AE79" s="991"/>
      <c r="AF79" s="991"/>
      <c r="AG79" s="991"/>
      <c r="AH79" s="991"/>
      <c r="AI79" s="991"/>
      <c r="AJ79" s="991"/>
      <c r="AK79" s="991"/>
      <c r="AL79" s="991"/>
      <c r="AM79" s="991"/>
      <c r="AN79" s="991"/>
      <c r="AO79" s="991"/>
      <c r="AP79" s="991"/>
      <c r="AQ79" s="991"/>
      <c r="AR79" s="991"/>
      <c r="AS79" s="991"/>
      <c r="AT79" s="991"/>
      <c r="AU79" s="991"/>
      <c r="AV79" s="991"/>
      <c r="AW79" s="991"/>
      <c r="AX79" s="991"/>
      <c r="AY79" s="991"/>
      <c r="AZ79" s="991"/>
      <c r="BA79" s="991"/>
      <c r="BB79" s="991"/>
      <c r="BC79" s="991"/>
      <c r="BD79" s="991"/>
      <c r="BE79" s="991"/>
      <c r="BF79" s="991"/>
      <c r="BG79" s="991"/>
      <c r="BH79" s="991"/>
      <c r="BI79" s="991"/>
      <c r="BJ79" s="991"/>
      <c r="BK79" s="991"/>
      <c r="BL79" s="991"/>
      <c r="BM79" s="991"/>
      <c r="BN79" s="991"/>
      <c r="BO79" s="991"/>
      <c r="BP79" s="991"/>
      <c r="BQ79" s="991"/>
      <c r="BR79" s="986"/>
      <c r="BS79" s="991"/>
      <c r="BT79" s="991"/>
      <c r="BU79" s="991"/>
      <c r="BV79" s="986"/>
      <c r="BW79" s="991"/>
      <c r="BX79" s="991"/>
      <c r="BY79" s="991"/>
      <c r="BZ79" s="986"/>
      <c r="CA79" s="984"/>
      <c r="CB79" s="984"/>
      <c r="CC79" s="984"/>
      <c r="CD79" s="986"/>
      <c r="CE79" s="944"/>
      <c r="CF79" s="944"/>
      <c r="CG79" s="944"/>
      <c r="CH79" s="1003"/>
      <c r="CI79" s="944"/>
      <c r="CJ79" s="944"/>
      <c r="CK79" s="944"/>
      <c r="CL79" s="1003"/>
    </row>
    <row r="80" spans="1:90" outlineLevel="1">
      <c r="A80" s="993" t="s">
        <v>38</v>
      </c>
      <c r="B80" s="993"/>
      <c r="C80" s="993"/>
      <c r="D80" s="993"/>
      <c r="E80" s="993"/>
      <c r="F80" s="993"/>
      <c r="G80" s="993"/>
      <c r="H80" s="993"/>
      <c r="I80" s="993"/>
      <c r="J80" s="993"/>
      <c r="K80" s="993"/>
      <c r="L80" s="993"/>
      <c r="M80" s="993"/>
      <c r="N80" s="984">
        <f>SUM(BR80:BU80)</f>
        <v>391</v>
      </c>
      <c r="O80" s="984">
        <f>SUM(BV80:BY80)</f>
        <v>372</v>
      </c>
      <c r="P80" s="948">
        <f>SUM(BZ80:CC80)</f>
        <v>357</v>
      </c>
      <c r="Q80" s="948">
        <f>SUM(CD80:CG80)</f>
        <v>350</v>
      </c>
      <c r="R80" s="1002">
        <f>SUM(CH80:CK80)</f>
        <v>380</v>
      </c>
      <c r="S80" s="991">
        <f>SUM(CL80:CO80)</f>
        <v>93</v>
      </c>
      <c r="T80" s="949"/>
      <c r="U80" s="949"/>
      <c r="V80" s="949"/>
      <c r="W80" s="949"/>
      <c r="X80" s="947"/>
      <c r="Y80" s="947"/>
      <c r="Z80" s="947"/>
      <c r="AA80" s="991"/>
      <c r="AB80" s="991"/>
      <c r="AC80" s="991"/>
      <c r="AD80" s="991"/>
      <c r="AE80" s="991"/>
      <c r="AF80" s="991"/>
      <c r="AG80" s="991"/>
      <c r="AH80" s="991"/>
      <c r="AI80" s="991"/>
      <c r="AJ80" s="991"/>
      <c r="AK80" s="991"/>
      <c r="AL80" s="991"/>
      <c r="AM80" s="991"/>
      <c r="AN80" s="991"/>
      <c r="AO80" s="991"/>
      <c r="AP80" s="991"/>
      <c r="AQ80" s="991"/>
      <c r="AR80" s="991"/>
      <c r="AS80" s="991"/>
      <c r="AT80" s="991"/>
      <c r="AU80" s="991"/>
      <c r="AV80" s="991"/>
      <c r="AW80" s="991"/>
      <c r="AX80" s="991"/>
      <c r="AY80" s="991"/>
      <c r="AZ80" s="991"/>
      <c r="BA80" s="991"/>
      <c r="BB80" s="991"/>
      <c r="BC80" s="991"/>
      <c r="BD80" s="991"/>
      <c r="BE80" s="991"/>
      <c r="BF80" s="991"/>
      <c r="BG80" s="991"/>
      <c r="BH80" s="991"/>
      <c r="BI80" s="991"/>
      <c r="BJ80" s="991"/>
      <c r="BK80" s="991"/>
      <c r="BL80" s="991"/>
      <c r="BM80" s="991"/>
      <c r="BN80" s="991"/>
      <c r="BO80" s="991"/>
      <c r="BP80" s="991"/>
      <c r="BQ80" s="991"/>
      <c r="BR80" s="986">
        <f>BR19</f>
        <v>106</v>
      </c>
      <c r="BS80" s="991">
        <f t="shared" ref="BS80:CE80" si="101">BS19</f>
        <v>109</v>
      </c>
      <c r="BT80" s="991">
        <f t="shared" si="101"/>
        <v>93</v>
      </c>
      <c r="BU80" s="991">
        <f t="shared" si="101"/>
        <v>83</v>
      </c>
      <c r="BV80" s="986">
        <f t="shared" si="101"/>
        <v>84</v>
      </c>
      <c r="BW80" s="991">
        <f t="shared" si="101"/>
        <v>98</v>
      </c>
      <c r="BX80" s="991">
        <f t="shared" si="101"/>
        <v>94</v>
      </c>
      <c r="BY80" s="991">
        <f t="shared" si="101"/>
        <v>96</v>
      </c>
      <c r="BZ80" s="986">
        <f>BZ19</f>
        <v>79</v>
      </c>
      <c r="CA80" s="991">
        <f t="shared" si="101"/>
        <v>90</v>
      </c>
      <c r="CB80" s="991">
        <f>CB19</f>
        <v>91</v>
      </c>
      <c r="CC80" s="991">
        <f>CC19</f>
        <v>97</v>
      </c>
      <c r="CD80" s="986">
        <f>CD19</f>
        <v>78</v>
      </c>
      <c r="CE80" s="991">
        <f t="shared" si="101"/>
        <v>89</v>
      </c>
      <c r="CF80" s="991">
        <f t="shared" ref="CF80:CK80" si="102">CF19</f>
        <v>94</v>
      </c>
      <c r="CG80" s="991">
        <f t="shared" si="102"/>
        <v>89</v>
      </c>
      <c r="CH80" s="986">
        <f t="shared" si="102"/>
        <v>99</v>
      </c>
      <c r="CI80" s="991">
        <f t="shared" si="102"/>
        <v>106</v>
      </c>
      <c r="CJ80" s="991">
        <f t="shared" si="102"/>
        <v>90</v>
      </c>
      <c r="CK80" s="991">
        <f t="shared" si="102"/>
        <v>85</v>
      </c>
      <c r="CL80" s="986">
        <f>CL19</f>
        <v>93</v>
      </c>
    </row>
    <row r="81" spans="1:90" outlineLevel="1">
      <c r="A81" s="993" t="s">
        <v>67</v>
      </c>
      <c r="B81" s="993"/>
      <c r="C81" s="993"/>
      <c r="D81" s="993"/>
      <c r="E81" s="993"/>
      <c r="F81" s="993"/>
      <c r="G81" s="993"/>
      <c r="H81" s="993"/>
      <c r="I81" s="993"/>
      <c r="J81" s="993"/>
      <c r="K81" s="993"/>
      <c r="L81" s="993"/>
      <c r="M81" s="993"/>
      <c r="N81" s="984">
        <f>SUM(BR81:BU81)</f>
        <v>-2407</v>
      </c>
      <c r="O81" s="984">
        <f>SUM(BV81:BY81)</f>
        <v>-2164</v>
      </c>
      <c r="P81" s="948">
        <f>SUM(BZ81:CC81)</f>
        <v>-2099</v>
      </c>
      <c r="Q81" s="948">
        <f>SUM(CD81:CG81)</f>
        <v>-2170</v>
      </c>
      <c r="R81" s="1002">
        <f>SUM(CH81:CK81)</f>
        <v>-1832</v>
      </c>
      <c r="S81" s="991">
        <f>SUM(CL81:CO81)</f>
        <v>-437</v>
      </c>
      <c r="T81" s="949"/>
      <c r="U81" s="949"/>
      <c r="V81" s="949"/>
      <c r="W81" s="949"/>
      <c r="X81" s="947"/>
      <c r="Y81" s="947"/>
      <c r="Z81" s="947"/>
      <c r="AA81" s="991"/>
      <c r="AB81" s="991"/>
      <c r="AC81" s="991"/>
      <c r="AD81" s="991"/>
      <c r="AE81" s="991"/>
      <c r="AF81" s="991"/>
      <c r="AG81" s="991"/>
      <c r="AH81" s="991"/>
      <c r="AI81" s="991"/>
      <c r="AJ81" s="991"/>
      <c r="AK81" s="991"/>
      <c r="AL81" s="991"/>
      <c r="AM81" s="991"/>
      <c r="AN81" s="991"/>
      <c r="AO81" s="991"/>
      <c r="AP81" s="991"/>
      <c r="AQ81" s="991"/>
      <c r="AR81" s="991"/>
      <c r="AS81" s="991"/>
      <c r="AT81" s="991"/>
      <c r="AU81" s="991"/>
      <c r="AV81" s="991"/>
      <c r="AW81" s="991"/>
      <c r="AX81" s="991"/>
      <c r="AY81" s="991"/>
      <c r="AZ81" s="991"/>
      <c r="BA81" s="991"/>
      <c r="BB81" s="991"/>
      <c r="BC81" s="991"/>
      <c r="BD81" s="991"/>
      <c r="BE81" s="991"/>
      <c r="BF81" s="991"/>
      <c r="BG81" s="991"/>
      <c r="BH81" s="991"/>
      <c r="BI81" s="991"/>
      <c r="BJ81" s="991"/>
      <c r="BK81" s="991"/>
      <c r="BL81" s="991"/>
      <c r="BM81" s="991"/>
      <c r="BN81" s="991"/>
      <c r="BO81" s="991"/>
      <c r="BP81" s="991"/>
      <c r="BQ81" s="991"/>
      <c r="BR81" s="938">
        <f>-639+22</f>
        <v>-617</v>
      </c>
      <c r="BS81" s="348">
        <v>-620</v>
      </c>
      <c r="BT81" s="348">
        <f>-630+43</f>
        <v>-587</v>
      </c>
      <c r="BU81" s="348">
        <v>-583</v>
      </c>
      <c r="BV81" s="938">
        <f>-566+40</f>
        <v>-526</v>
      </c>
      <c r="BW81" s="348">
        <v>-574</v>
      </c>
      <c r="BX81" s="348">
        <f>-886+353</f>
        <v>-533</v>
      </c>
      <c r="BY81" s="348">
        <v>-531</v>
      </c>
      <c r="BZ81" s="938">
        <f>-565+45</f>
        <v>-520</v>
      </c>
      <c r="CA81" s="348">
        <v>-527</v>
      </c>
      <c r="CB81" s="348">
        <f>-544+30</f>
        <v>-514</v>
      </c>
      <c r="CC81" s="348">
        <f>-557+19</f>
        <v>-538</v>
      </c>
      <c r="CD81" s="986">
        <f t="shared" ref="CD81:CL81" si="103">SUM(CD124,CD183,CD210)-CD52</f>
        <v>-530</v>
      </c>
      <c r="CE81" s="984">
        <f t="shared" si="103"/>
        <v>-554</v>
      </c>
      <c r="CF81" s="984">
        <f t="shared" si="103"/>
        <v>-544</v>
      </c>
      <c r="CG81" s="984">
        <f t="shared" si="103"/>
        <v>-542</v>
      </c>
      <c r="CH81" s="986">
        <f t="shared" si="103"/>
        <v>-461</v>
      </c>
      <c r="CI81" s="984">
        <f t="shared" si="103"/>
        <v>-470</v>
      </c>
      <c r="CJ81" s="984">
        <f t="shared" si="103"/>
        <v>-450</v>
      </c>
      <c r="CK81" s="984">
        <f t="shared" si="103"/>
        <v>-451</v>
      </c>
      <c r="CL81" s="986">
        <f t="shared" si="103"/>
        <v>-437</v>
      </c>
    </row>
    <row r="82" spans="1:90" outlineLevel="1">
      <c r="A82" s="1010" t="s">
        <v>68</v>
      </c>
      <c r="B82" s="992"/>
      <c r="C82" s="992"/>
      <c r="D82" s="992"/>
      <c r="E82" s="992"/>
      <c r="F82" s="992"/>
      <c r="G82" s="992"/>
      <c r="H82" s="992"/>
      <c r="I82" s="992"/>
      <c r="J82" s="992"/>
      <c r="K82" s="992"/>
      <c r="L82" s="992"/>
      <c r="M82" s="992"/>
      <c r="N82" s="767">
        <f t="shared" ref="N82:S82" si="104">N78+N80+N81</f>
        <v>4389</v>
      </c>
      <c r="O82" s="767">
        <f t="shared" si="104"/>
        <v>4608</v>
      </c>
      <c r="P82" s="271">
        <f t="shared" si="104"/>
        <v>4545</v>
      </c>
      <c r="Q82" s="271">
        <f t="shared" si="104"/>
        <v>4415</v>
      </c>
      <c r="R82" s="223">
        <f t="shared" si="104"/>
        <v>4435</v>
      </c>
      <c r="S82" s="767">
        <f t="shared" si="104"/>
        <v>1126</v>
      </c>
      <c r="T82" s="949"/>
      <c r="U82" s="949"/>
      <c r="V82" s="949"/>
      <c r="W82" s="949"/>
      <c r="X82" s="947"/>
      <c r="Y82" s="947"/>
      <c r="Z82" s="947"/>
      <c r="AA82" s="767"/>
      <c r="AB82" s="767"/>
      <c r="AC82" s="767"/>
      <c r="AD82" s="767"/>
      <c r="AE82" s="767"/>
      <c r="AF82" s="767"/>
      <c r="AG82" s="767"/>
      <c r="AH82" s="767"/>
      <c r="AI82" s="767"/>
      <c r="AJ82" s="767"/>
      <c r="AK82" s="767"/>
      <c r="AL82" s="767"/>
      <c r="AM82" s="767"/>
      <c r="AN82" s="767"/>
      <c r="AO82" s="767"/>
      <c r="AP82" s="767"/>
      <c r="AQ82" s="767"/>
      <c r="AR82" s="767"/>
      <c r="AS82" s="767"/>
      <c r="AT82" s="767"/>
      <c r="AU82" s="767"/>
      <c r="AV82" s="767"/>
      <c r="AW82" s="767"/>
      <c r="AX82" s="767"/>
      <c r="AY82" s="767"/>
      <c r="AZ82" s="767"/>
      <c r="BA82" s="767"/>
      <c r="BB82" s="767"/>
      <c r="BC82" s="767"/>
      <c r="BD82" s="767"/>
      <c r="BE82" s="767"/>
      <c r="BF82" s="767"/>
      <c r="BG82" s="767"/>
      <c r="BH82" s="767"/>
      <c r="BI82" s="767"/>
      <c r="BJ82" s="767">
        <f t="shared" ref="BJ82:BP82" si="105">BJ70</f>
        <v>888</v>
      </c>
      <c r="BK82" s="767">
        <f t="shared" si="105"/>
        <v>864</v>
      </c>
      <c r="BL82" s="767">
        <f t="shared" si="105"/>
        <v>876</v>
      </c>
      <c r="BM82" s="767">
        <f t="shared" si="105"/>
        <v>965</v>
      </c>
      <c r="BN82" s="767">
        <f t="shared" si="105"/>
        <v>974</v>
      </c>
      <c r="BO82" s="767">
        <f t="shared" si="105"/>
        <v>991</v>
      </c>
      <c r="BP82" s="767">
        <f t="shared" si="105"/>
        <v>1002</v>
      </c>
      <c r="BQ82" s="767">
        <f>BQ70</f>
        <v>1053</v>
      </c>
      <c r="BR82" s="940">
        <f>BR78+BR80+BR81</f>
        <v>1066</v>
      </c>
      <c r="BS82" s="767">
        <f t="shared" ref="BS82:CD82" si="106">BS78+BS80+BS81</f>
        <v>1109</v>
      </c>
      <c r="BT82" s="767">
        <f t="shared" si="106"/>
        <v>1134</v>
      </c>
      <c r="BU82" s="767">
        <f t="shared" si="106"/>
        <v>1080</v>
      </c>
      <c r="BV82" s="940">
        <f t="shared" si="106"/>
        <v>1171</v>
      </c>
      <c r="BW82" s="767">
        <f t="shared" si="106"/>
        <v>1149</v>
      </c>
      <c r="BX82" s="767">
        <f t="shared" si="106"/>
        <v>1151</v>
      </c>
      <c r="BY82" s="767">
        <f t="shared" si="106"/>
        <v>1137</v>
      </c>
      <c r="BZ82" s="940">
        <f t="shared" si="106"/>
        <v>1141</v>
      </c>
      <c r="CA82" s="767">
        <f t="shared" si="106"/>
        <v>1142</v>
      </c>
      <c r="CB82" s="767">
        <f t="shared" si="106"/>
        <v>1083</v>
      </c>
      <c r="CC82" s="767">
        <f t="shared" si="106"/>
        <v>1179</v>
      </c>
      <c r="CD82" s="940">
        <f t="shared" si="106"/>
        <v>1145</v>
      </c>
      <c r="CE82" s="767">
        <f t="shared" ref="CE82:CK82" si="107">CE78+CE80+CE81</f>
        <v>1092</v>
      </c>
      <c r="CF82" s="767">
        <f t="shared" si="107"/>
        <v>1093</v>
      </c>
      <c r="CG82" s="767">
        <f t="shared" si="107"/>
        <v>1085</v>
      </c>
      <c r="CH82" s="940">
        <f t="shared" si="107"/>
        <v>1124</v>
      </c>
      <c r="CI82" s="767">
        <f t="shared" si="107"/>
        <v>1092</v>
      </c>
      <c r="CJ82" s="767">
        <f t="shared" si="107"/>
        <v>1120</v>
      </c>
      <c r="CK82" s="767">
        <f t="shared" si="107"/>
        <v>1099</v>
      </c>
      <c r="CL82" s="940">
        <f>CL78+CL80+CL81</f>
        <v>1126</v>
      </c>
    </row>
    <row r="83" spans="1:90" outlineLevel="1">
      <c r="A83" s="993" t="s">
        <v>795</v>
      </c>
      <c r="B83" s="993"/>
      <c r="C83" s="993"/>
      <c r="D83" s="993"/>
      <c r="E83" s="993"/>
      <c r="F83" s="993"/>
      <c r="G83" s="993"/>
      <c r="H83" s="993"/>
      <c r="I83" s="993"/>
      <c r="J83" s="993"/>
      <c r="K83" s="993"/>
      <c r="L83" s="993"/>
      <c r="M83" s="993"/>
      <c r="N83" s="991">
        <f t="shared" ref="N83:S83" si="108">N82-N70</f>
        <v>0</v>
      </c>
      <c r="O83" s="991">
        <f t="shared" si="108"/>
        <v>0</v>
      </c>
      <c r="P83" s="984">
        <f>P82-P70</f>
        <v>0</v>
      </c>
      <c r="Q83" s="984">
        <f t="shared" si="108"/>
        <v>16</v>
      </c>
      <c r="R83" s="1002">
        <f t="shared" si="108"/>
        <v>0</v>
      </c>
      <c r="S83" s="991">
        <f t="shared" si="108"/>
        <v>0</v>
      </c>
      <c r="T83" s="949"/>
      <c r="U83" s="949"/>
      <c r="V83" s="949"/>
      <c r="W83" s="949"/>
      <c r="X83" s="947"/>
      <c r="Y83" s="947"/>
      <c r="Z83" s="947"/>
      <c r="AA83" s="991"/>
      <c r="AB83" s="991"/>
      <c r="AC83" s="991"/>
      <c r="AD83" s="991"/>
      <c r="AE83" s="991"/>
      <c r="AF83" s="991"/>
      <c r="AG83" s="991"/>
      <c r="AH83" s="991"/>
      <c r="AI83" s="991"/>
      <c r="AJ83" s="991"/>
      <c r="AK83" s="991"/>
      <c r="AL83" s="991"/>
      <c r="AM83" s="991"/>
      <c r="AN83" s="991"/>
      <c r="AO83" s="991"/>
      <c r="AP83" s="991"/>
      <c r="AQ83" s="991"/>
      <c r="AR83" s="991"/>
      <c r="AS83" s="991"/>
      <c r="AT83" s="991"/>
      <c r="AU83" s="991"/>
      <c r="AV83" s="991"/>
      <c r="AW83" s="991"/>
      <c r="AX83" s="991"/>
      <c r="AY83" s="991"/>
      <c r="AZ83" s="991"/>
      <c r="BA83" s="991"/>
      <c r="BB83" s="991"/>
      <c r="BC83" s="991"/>
      <c r="BD83" s="991"/>
      <c r="BE83" s="991"/>
      <c r="BF83" s="991"/>
      <c r="BG83" s="991"/>
      <c r="BH83" s="991"/>
      <c r="BI83" s="991"/>
      <c r="BJ83" s="991"/>
      <c r="BK83" s="991"/>
      <c r="BL83" s="991"/>
      <c r="BM83" s="991"/>
      <c r="BN83" s="991"/>
      <c r="BO83" s="991"/>
      <c r="BP83" s="991"/>
      <c r="BQ83" s="991"/>
      <c r="BR83" s="986">
        <f t="shared" ref="BR83:CB83" si="109">BR82-BR70</f>
        <v>0</v>
      </c>
      <c r="BS83" s="991">
        <f t="shared" si="109"/>
        <v>0</v>
      </c>
      <c r="BT83" s="991">
        <f t="shared" si="109"/>
        <v>0</v>
      </c>
      <c r="BU83" s="991">
        <f t="shared" si="109"/>
        <v>0</v>
      </c>
      <c r="BV83" s="986">
        <f t="shared" si="109"/>
        <v>0</v>
      </c>
      <c r="BW83" s="991">
        <f t="shared" si="109"/>
        <v>0</v>
      </c>
      <c r="BX83" s="991">
        <f t="shared" si="109"/>
        <v>0</v>
      </c>
      <c r="BY83" s="991">
        <f t="shared" si="109"/>
        <v>0</v>
      </c>
      <c r="BZ83" s="986">
        <f>BZ82-BZ70</f>
        <v>0</v>
      </c>
      <c r="CA83" s="991">
        <f t="shared" si="109"/>
        <v>-2</v>
      </c>
      <c r="CB83" s="991">
        <f t="shared" si="109"/>
        <v>0</v>
      </c>
      <c r="CC83" s="991">
        <f t="shared" ref="CC83:CK83" si="110">CC82-CC70</f>
        <v>0</v>
      </c>
      <c r="CD83" s="986">
        <f t="shared" si="110"/>
        <v>0</v>
      </c>
      <c r="CE83" s="991">
        <f t="shared" si="110"/>
        <v>0</v>
      </c>
      <c r="CF83" s="991">
        <f t="shared" si="110"/>
        <v>0</v>
      </c>
      <c r="CG83" s="991">
        <f t="shared" si="110"/>
        <v>0</v>
      </c>
      <c r="CH83" s="986">
        <f t="shared" si="110"/>
        <v>0</v>
      </c>
      <c r="CI83" s="991">
        <f t="shared" si="110"/>
        <v>0</v>
      </c>
      <c r="CJ83" s="991">
        <f t="shared" si="110"/>
        <v>0</v>
      </c>
      <c r="CK83" s="991">
        <f t="shared" si="110"/>
        <v>0</v>
      </c>
      <c r="CL83" s="986">
        <f>CL82-CL70</f>
        <v>0</v>
      </c>
    </row>
    <row r="84" spans="1:90">
      <c r="A84" s="976" t="s">
        <v>69</v>
      </c>
      <c r="B84" s="977"/>
      <c r="C84" s="977"/>
      <c r="D84" s="977"/>
      <c r="E84" s="977"/>
      <c r="F84" s="977"/>
      <c r="G84" s="977"/>
      <c r="H84" s="977"/>
      <c r="I84" s="977"/>
      <c r="J84" s="977"/>
      <c r="K84" s="977"/>
      <c r="L84" s="977"/>
      <c r="M84" s="977"/>
      <c r="N84" s="977"/>
      <c r="O84" s="977"/>
      <c r="P84" s="978"/>
      <c r="Q84" s="978"/>
      <c r="R84" s="979"/>
      <c r="S84" s="977"/>
      <c r="T84" s="949"/>
      <c r="U84" s="949"/>
      <c r="V84" s="949"/>
      <c r="W84" s="949"/>
      <c r="X84" s="947"/>
      <c r="Y84" s="947"/>
      <c r="Z84" s="947"/>
      <c r="AA84" s="977"/>
      <c r="AB84" s="977"/>
      <c r="AC84" s="977"/>
      <c r="AD84" s="977"/>
      <c r="AE84" s="977"/>
      <c r="AF84" s="977"/>
      <c r="AG84" s="977"/>
      <c r="AH84" s="977"/>
      <c r="AI84" s="977"/>
      <c r="AJ84" s="977"/>
      <c r="AK84" s="977"/>
      <c r="AL84" s="977"/>
      <c r="AM84" s="977"/>
      <c r="AN84" s="977"/>
      <c r="AO84" s="977"/>
      <c r="AP84" s="977"/>
      <c r="AQ84" s="977"/>
      <c r="AR84" s="977"/>
      <c r="AS84" s="977"/>
      <c r="AT84" s="977"/>
      <c r="AU84" s="977"/>
      <c r="AV84" s="977"/>
      <c r="AW84" s="977"/>
      <c r="AX84" s="977"/>
      <c r="AY84" s="977"/>
      <c r="AZ84" s="977"/>
      <c r="BA84" s="977"/>
      <c r="BB84" s="977"/>
      <c r="BC84" s="977"/>
      <c r="BD84" s="977"/>
      <c r="BE84" s="977"/>
      <c r="BF84" s="977"/>
      <c r="BG84" s="977"/>
      <c r="BH84" s="977"/>
      <c r="BI84" s="977"/>
      <c r="BJ84" s="977"/>
      <c r="BK84" s="977"/>
      <c r="BL84" s="977"/>
      <c r="BM84" s="977"/>
      <c r="BN84" s="977"/>
      <c r="BO84" s="977"/>
      <c r="BP84" s="977"/>
      <c r="BQ84" s="977"/>
      <c r="BR84" s="981"/>
      <c r="BS84" s="977"/>
      <c r="BT84" s="977"/>
      <c r="BU84" s="977"/>
      <c r="BV84" s="981"/>
      <c r="BW84" s="977"/>
      <c r="BX84" s="977"/>
      <c r="BY84" s="977"/>
      <c r="BZ84" s="981"/>
      <c r="CA84" s="977"/>
      <c r="CB84" s="977"/>
      <c r="CC84" s="977"/>
      <c r="CD84" s="981"/>
      <c r="CE84" s="977"/>
      <c r="CF84" s="977"/>
      <c r="CG84" s="977"/>
      <c r="CH84" s="981"/>
      <c r="CI84" s="977"/>
      <c r="CJ84" s="977"/>
      <c r="CK84" s="977"/>
      <c r="CL84" s="1805" t="s">
        <v>1070</v>
      </c>
    </row>
    <row r="85" spans="1:90">
      <c r="A85" s="1030" t="s">
        <v>71</v>
      </c>
      <c r="B85" s="1030"/>
      <c r="C85" s="1030"/>
      <c r="D85" s="1030"/>
      <c r="E85" s="1030"/>
      <c r="F85" s="1030"/>
      <c r="G85" s="1030"/>
      <c r="H85" s="1030"/>
      <c r="I85" s="1030"/>
      <c r="J85" s="1030"/>
      <c r="K85" s="1030"/>
      <c r="L85" s="1030"/>
      <c r="M85" s="1030"/>
      <c r="N85" s="1031">
        <f>BU85</f>
        <v>2870</v>
      </c>
      <c r="O85" s="1031">
        <f>BY85</f>
        <v>2240</v>
      </c>
      <c r="P85" s="1031">
        <f>CC85</f>
        <v>2146</v>
      </c>
      <c r="Q85" s="1031">
        <f>CG85</f>
        <v>2003</v>
      </c>
      <c r="R85" s="1032">
        <f>CK85</f>
        <v>1872</v>
      </c>
      <c r="S85" s="1033">
        <f>CO85</f>
        <v>0</v>
      </c>
      <c r="T85" s="949"/>
      <c r="U85" s="949"/>
      <c r="V85" s="949"/>
      <c r="W85" s="949"/>
      <c r="X85" s="947"/>
      <c r="Y85" s="947"/>
      <c r="Z85" s="947"/>
      <c r="AA85" s="984"/>
      <c r="AB85" s="984"/>
      <c r="AC85" s="984"/>
      <c r="AD85" s="984"/>
      <c r="AE85" s="984"/>
      <c r="AF85" s="984"/>
      <c r="AG85" s="984"/>
      <c r="AH85" s="984"/>
      <c r="AI85" s="984"/>
      <c r="AJ85" s="984"/>
      <c r="AK85" s="984"/>
      <c r="AL85" s="984"/>
      <c r="AM85" s="984"/>
      <c r="AN85" s="984"/>
      <c r="AO85" s="984"/>
      <c r="AP85" s="984"/>
      <c r="AQ85" s="984"/>
      <c r="AR85" s="984"/>
      <c r="AS85" s="984"/>
      <c r="AT85" s="984"/>
      <c r="AU85" s="984"/>
      <c r="AV85" s="984"/>
      <c r="AW85" s="984"/>
      <c r="AX85" s="984"/>
      <c r="AY85" s="984"/>
      <c r="AZ85" s="984"/>
      <c r="BA85" s="984"/>
      <c r="BB85" s="984"/>
      <c r="BC85" s="984"/>
      <c r="BD85" s="984"/>
      <c r="BE85" s="984"/>
      <c r="BF85" s="984"/>
      <c r="BG85" s="984"/>
      <c r="BH85" s="984"/>
      <c r="BI85" s="984"/>
      <c r="BJ85" s="984"/>
      <c r="BK85" s="984"/>
      <c r="BL85" s="984"/>
      <c r="BM85" s="984"/>
      <c r="BN85" s="984"/>
      <c r="BO85" s="984"/>
      <c r="BP85" s="984"/>
      <c r="BQ85" s="984"/>
      <c r="BR85" s="1034">
        <f>BR193</f>
        <v>2961</v>
      </c>
      <c r="BS85" s="1033">
        <f t="shared" ref="BS85:BZ85" si="111">BS193</f>
        <v>2923</v>
      </c>
      <c r="BT85" s="1033">
        <f t="shared" si="111"/>
        <v>2902</v>
      </c>
      <c r="BU85" s="1033">
        <f t="shared" si="111"/>
        <v>2870</v>
      </c>
      <c r="BV85" s="1034">
        <f t="shared" si="111"/>
        <v>2279</v>
      </c>
      <c r="BW85" s="1033">
        <f t="shared" si="111"/>
        <v>2263</v>
      </c>
      <c r="BX85" s="1033">
        <f t="shared" si="111"/>
        <v>2249</v>
      </c>
      <c r="BY85" s="1033">
        <f t="shared" si="111"/>
        <v>2240</v>
      </c>
      <c r="BZ85" s="1034">
        <f t="shared" si="111"/>
        <v>2225</v>
      </c>
      <c r="CA85" s="1033">
        <f t="shared" ref="CA85:CG85" si="112">CA193</f>
        <v>2205</v>
      </c>
      <c r="CB85" s="1033">
        <f t="shared" si="112"/>
        <v>2190</v>
      </c>
      <c r="CC85" s="1033">
        <f t="shared" si="112"/>
        <v>2146</v>
      </c>
      <c r="CD85" s="1034">
        <f t="shared" si="112"/>
        <v>2102</v>
      </c>
      <c r="CE85" s="1033">
        <f t="shared" si="112"/>
        <v>2067</v>
      </c>
      <c r="CF85" s="1033">
        <f t="shared" si="112"/>
        <v>2036</v>
      </c>
      <c r="CG85" s="1033">
        <f t="shared" si="112"/>
        <v>2003</v>
      </c>
      <c r="CH85" s="1034">
        <f>CH193</f>
        <v>1969</v>
      </c>
      <c r="CI85" s="1033">
        <f>CI193</f>
        <v>1942</v>
      </c>
      <c r="CJ85" s="1033">
        <f>CJ193</f>
        <v>1913</v>
      </c>
      <c r="CK85" s="1033">
        <f>CK193</f>
        <v>1872</v>
      </c>
      <c r="CL85" s="1807">
        <f>+CK85/$CK$91*$CL$91</f>
        <v>1824.8564652738567</v>
      </c>
    </row>
    <row r="86" spans="1:90">
      <c r="A86" s="1035" t="s">
        <v>34</v>
      </c>
      <c r="B86" s="1030"/>
      <c r="C86" s="1030"/>
      <c r="D86" s="1030"/>
      <c r="E86" s="1030"/>
      <c r="F86" s="1030"/>
      <c r="G86" s="1030"/>
      <c r="H86" s="1030"/>
      <c r="I86" s="1030"/>
      <c r="J86" s="1030"/>
      <c r="K86" s="1030"/>
      <c r="L86" s="1030"/>
      <c r="M86" s="1030"/>
      <c r="N86" s="1031"/>
      <c r="O86" s="1036">
        <f>O85/N85-1</f>
        <v>-0.21951219512195119</v>
      </c>
      <c r="P86" s="1036">
        <f>P85/O85-1</f>
        <v>-4.1964285714285676E-2</v>
      </c>
      <c r="Q86" s="1036">
        <f>Q85/P85-1</f>
        <v>-6.6635601118359755E-2</v>
      </c>
      <c r="R86" s="1037">
        <f>R85/Q85-1</f>
        <v>-6.5401897154268585E-2</v>
      </c>
      <c r="S86" s="1036">
        <f>S85/R85-1</f>
        <v>-1</v>
      </c>
      <c r="T86" s="949"/>
      <c r="U86" s="949"/>
      <c r="V86" s="949"/>
      <c r="W86" s="949"/>
      <c r="X86" s="947"/>
      <c r="Y86" s="947"/>
      <c r="Z86" s="947"/>
      <c r="AA86" s="984"/>
      <c r="AB86" s="984"/>
      <c r="AC86" s="984"/>
      <c r="AD86" s="984"/>
      <c r="AE86" s="984"/>
      <c r="AF86" s="984"/>
      <c r="AG86" s="984"/>
      <c r="AH86" s="984"/>
      <c r="AI86" s="984"/>
      <c r="AJ86" s="984"/>
      <c r="AK86" s="984"/>
      <c r="AL86" s="984"/>
      <c r="AM86" s="984"/>
      <c r="AN86" s="984"/>
      <c r="AO86" s="984"/>
      <c r="AP86" s="984"/>
      <c r="AQ86" s="984"/>
      <c r="AR86" s="984"/>
      <c r="AS86" s="984"/>
      <c r="AT86" s="984"/>
      <c r="AU86" s="984"/>
      <c r="AV86" s="984"/>
      <c r="AW86" s="984"/>
      <c r="AX86" s="984"/>
      <c r="AY86" s="984"/>
      <c r="AZ86" s="984"/>
      <c r="BA86" s="984"/>
      <c r="BB86" s="984"/>
      <c r="BC86" s="984"/>
      <c r="BD86" s="984"/>
      <c r="BE86" s="984"/>
      <c r="BF86" s="984"/>
      <c r="BG86" s="984"/>
      <c r="BH86" s="984"/>
      <c r="BI86" s="984"/>
      <c r="BJ86" s="984"/>
      <c r="BK86" s="984"/>
      <c r="BL86" s="984"/>
      <c r="BM86" s="984"/>
      <c r="BN86" s="984"/>
      <c r="BO86" s="984"/>
      <c r="BP86" s="984"/>
      <c r="BQ86" s="984"/>
      <c r="BR86" s="1038"/>
      <c r="BS86" s="1039"/>
      <c r="BT86" s="1039"/>
      <c r="BU86" s="1039"/>
      <c r="BV86" s="1038">
        <f>BV85/BR85-1</f>
        <v>-0.23032759202971964</v>
      </c>
      <c r="BW86" s="1039">
        <f t="shared" ref="BW86:CC86" si="113">BW85/BS85-1</f>
        <v>-0.22579541566883343</v>
      </c>
      <c r="BX86" s="1039">
        <f t="shared" si="113"/>
        <v>-0.22501722949689873</v>
      </c>
      <c r="BY86" s="1039">
        <f t="shared" si="113"/>
        <v>-0.21951219512195119</v>
      </c>
      <c r="BZ86" s="1038">
        <f t="shared" si="113"/>
        <v>-2.3694602896007E-2</v>
      </c>
      <c r="CA86" s="1039">
        <f t="shared" si="113"/>
        <v>-2.5629695095006677E-2</v>
      </c>
      <c r="CB86" s="1039">
        <f t="shared" si="113"/>
        <v>-2.6233881725211239E-2</v>
      </c>
      <c r="CC86" s="1039">
        <f t="shared" si="113"/>
        <v>-4.1964285714285676E-2</v>
      </c>
      <c r="CD86" s="1038">
        <f t="shared" ref="CD86:CK86" si="114">CD85/BZ85-1</f>
        <v>-5.5280898876404527E-2</v>
      </c>
      <c r="CE86" s="1039">
        <f t="shared" si="114"/>
        <v>-6.2585034013605489E-2</v>
      </c>
      <c r="CF86" s="1039">
        <f t="shared" si="114"/>
        <v>-7.0319634703196354E-2</v>
      </c>
      <c r="CG86" s="1039">
        <f t="shared" si="114"/>
        <v>-6.6635601118359755E-2</v>
      </c>
      <c r="CH86" s="1038">
        <f t="shared" si="114"/>
        <v>-6.3273073263558466E-2</v>
      </c>
      <c r="CI86" s="1039">
        <f t="shared" si="114"/>
        <v>-6.0474117077890632E-2</v>
      </c>
      <c r="CJ86" s="1039">
        <f t="shared" si="114"/>
        <v>-6.0412573673870318E-2</v>
      </c>
      <c r="CK86" s="1039">
        <f t="shared" si="114"/>
        <v>-6.5401897154268585E-2</v>
      </c>
      <c r="CL86" s="1038">
        <f>CL85/CH85-1</f>
        <v>-7.320646761104288E-2</v>
      </c>
    </row>
    <row r="87" spans="1:90">
      <c r="A87" s="1040" t="s">
        <v>72</v>
      </c>
      <c r="B87" s="1040"/>
      <c r="C87" s="1040"/>
      <c r="D87" s="1040"/>
      <c r="E87" s="1040"/>
      <c r="F87" s="1040"/>
      <c r="G87" s="1040"/>
      <c r="H87" s="1040"/>
      <c r="I87" s="1040"/>
      <c r="J87" s="1040"/>
      <c r="K87" s="1040"/>
      <c r="L87" s="1040"/>
      <c r="M87" s="1040"/>
      <c r="N87" s="1031">
        <f>BU87</f>
        <v>9429.994999999999</v>
      </c>
      <c r="O87" s="1031">
        <f>BY87</f>
        <v>8717</v>
      </c>
      <c r="P87" s="1031">
        <f>CC87</f>
        <v>7807</v>
      </c>
      <c r="Q87" s="1031">
        <f>CG87</f>
        <v>6865</v>
      </c>
      <c r="R87" s="1032">
        <f>CK87</f>
        <v>6038</v>
      </c>
      <c r="S87" s="1033">
        <f>CO87</f>
        <v>0</v>
      </c>
      <c r="T87" s="949"/>
      <c r="U87" s="949"/>
      <c r="V87" s="949"/>
      <c r="W87" s="949"/>
      <c r="X87" s="947"/>
      <c r="Y87" s="947"/>
      <c r="Z87" s="947"/>
      <c r="AA87" s="984"/>
      <c r="AB87" s="984"/>
      <c r="AC87" s="984"/>
      <c r="AD87" s="984"/>
      <c r="AE87" s="984"/>
      <c r="AF87" s="984"/>
      <c r="AG87" s="984"/>
      <c r="AH87" s="984"/>
      <c r="AI87" s="984"/>
      <c r="AJ87" s="984"/>
      <c r="AK87" s="984"/>
      <c r="AL87" s="984"/>
      <c r="AM87" s="984"/>
      <c r="AN87" s="984"/>
      <c r="AO87" s="984"/>
      <c r="AP87" s="984"/>
      <c r="AQ87" s="984"/>
      <c r="AR87" s="984"/>
      <c r="AS87" s="984"/>
      <c r="AT87" s="984"/>
      <c r="AU87" s="984"/>
      <c r="AV87" s="984"/>
      <c r="AW87" s="984"/>
      <c r="AX87" s="984"/>
      <c r="AY87" s="984"/>
      <c r="AZ87" s="984"/>
      <c r="BA87" s="984"/>
      <c r="BB87" s="984"/>
      <c r="BC87" s="984"/>
      <c r="BD87" s="984"/>
      <c r="BE87" s="984"/>
      <c r="BF87" s="984"/>
      <c r="BG87" s="984"/>
      <c r="BH87" s="984"/>
      <c r="BI87" s="984"/>
      <c r="BJ87" s="984"/>
      <c r="BK87" s="984"/>
      <c r="BL87" s="984"/>
      <c r="BM87" s="984"/>
      <c r="BN87" s="984"/>
      <c r="BO87" s="984"/>
      <c r="BP87" s="984"/>
      <c r="BQ87" s="984"/>
      <c r="BR87" s="1034">
        <f>BR147</f>
        <v>9916.7839999999997</v>
      </c>
      <c r="BS87" s="1033">
        <f t="shared" ref="BS87:CG87" si="115">BS147</f>
        <v>9736.1640000000007</v>
      </c>
      <c r="BT87" s="1033">
        <f t="shared" si="115"/>
        <v>9570.59</v>
      </c>
      <c r="BU87" s="1033">
        <f t="shared" si="115"/>
        <v>9429.994999999999</v>
      </c>
      <c r="BV87" s="1034">
        <f t="shared" si="115"/>
        <v>9285</v>
      </c>
      <c r="BW87" s="1033">
        <f t="shared" si="115"/>
        <v>9085</v>
      </c>
      <c r="BX87" s="1033">
        <f t="shared" si="115"/>
        <v>8893</v>
      </c>
      <c r="BY87" s="1033">
        <f t="shared" si="115"/>
        <v>8717</v>
      </c>
      <c r="BZ87" s="1034">
        <f t="shared" si="115"/>
        <v>8519</v>
      </c>
      <c r="CA87" s="1033">
        <f>CA147</f>
        <v>8286</v>
      </c>
      <c r="CB87" s="1033">
        <f>CB147</f>
        <v>8039</v>
      </c>
      <c r="CC87" s="1033">
        <f t="shared" si="115"/>
        <v>7807</v>
      </c>
      <c r="CD87" s="1034">
        <f t="shared" si="115"/>
        <v>7558</v>
      </c>
      <c r="CE87" s="1033">
        <f t="shared" si="115"/>
        <v>7310</v>
      </c>
      <c r="CF87" s="1033">
        <f t="shared" si="115"/>
        <v>7058</v>
      </c>
      <c r="CG87" s="1033">
        <f t="shared" si="115"/>
        <v>6865</v>
      </c>
      <c r="CH87" s="1034">
        <f>CH147</f>
        <v>6673</v>
      </c>
      <c r="CI87" s="1033">
        <f>CI147</f>
        <v>6457</v>
      </c>
      <c r="CJ87" s="1033">
        <f>CJ147</f>
        <v>6238</v>
      </c>
      <c r="CK87" s="1033">
        <f>CK147</f>
        <v>6038</v>
      </c>
      <c r="CL87" s="1807">
        <f>+CK87/$CK$91*$CL$91</f>
        <v>5885.9419536984751</v>
      </c>
    </row>
    <row r="88" spans="1:90">
      <c r="A88" s="1035" t="s">
        <v>34</v>
      </c>
      <c r="B88" s="1030"/>
      <c r="C88" s="1030"/>
      <c r="D88" s="1030"/>
      <c r="E88" s="1030"/>
      <c r="F88" s="1030"/>
      <c r="G88" s="1030"/>
      <c r="H88" s="1030"/>
      <c r="I88" s="1030"/>
      <c r="J88" s="1030"/>
      <c r="K88" s="1030"/>
      <c r="L88" s="1030"/>
      <c r="M88" s="1030"/>
      <c r="N88" s="1031"/>
      <c r="O88" s="1036">
        <f>O87/N87-1</f>
        <v>-7.5609265964616035E-2</v>
      </c>
      <c r="P88" s="1036">
        <f>P87/O87-1</f>
        <v>-0.10439371343352066</v>
      </c>
      <c r="Q88" s="1036">
        <f>Q87/P87-1</f>
        <v>-0.12066094530549509</v>
      </c>
      <c r="R88" s="1037">
        <f>R87/Q87-1</f>
        <v>-0.12046613255644578</v>
      </c>
      <c r="S88" s="1036">
        <f>S87/R87-1</f>
        <v>-1</v>
      </c>
      <c r="T88" s="949"/>
      <c r="U88" s="949"/>
      <c r="V88" s="949"/>
      <c r="W88" s="949"/>
      <c r="X88" s="947"/>
      <c r="Y88" s="947"/>
      <c r="Z88" s="947"/>
      <c r="AA88" s="984"/>
      <c r="AB88" s="984"/>
      <c r="AC88" s="984"/>
      <c r="AD88" s="984"/>
      <c r="AE88" s="984"/>
      <c r="AF88" s="984"/>
      <c r="AG88" s="984"/>
      <c r="AH88" s="984"/>
      <c r="AI88" s="984"/>
      <c r="AJ88" s="984"/>
      <c r="AK88" s="984"/>
      <c r="AL88" s="984"/>
      <c r="AM88" s="984"/>
      <c r="AN88" s="984"/>
      <c r="AO88" s="984"/>
      <c r="AP88" s="984"/>
      <c r="AQ88" s="984"/>
      <c r="AR88" s="984"/>
      <c r="AS88" s="984"/>
      <c r="AT88" s="984"/>
      <c r="AU88" s="984"/>
      <c r="AV88" s="984"/>
      <c r="AW88" s="984"/>
      <c r="AX88" s="984"/>
      <c r="AY88" s="984"/>
      <c r="AZ88" s="984"/>
      <c r="BA88" s="984"/>
      <c r="BB88" s="984"/>
      <c r="BC88" s="984"/>
      <c r="BD88" s="984"/>
      <c r="BE88" s="984"/>
      <c r="BF88" s="984"/>
      <c r="BG88" s="984"/>
      <c r="BH88" s="984"/>
      <c r="BI88" s="984"/>
      <c r="BJ88" s="984"/>
      <c r="BK88" s="984"/>
      <c r="BL88" s="984"/>
      <c r="BM88" s="984"/>
      <c r="BN88" s="984"/>
      <c r="BO88" s="984"/>
      <c r="BP88" s="984"/>
      <c r="BQ88" s="984"/>
      <c r="BR88" s="1038"/>
      <c r="BS88" s="1039"/>
      <c r="BT88" s="1039"/>
      <c r="BU88" s="1039"/>
      <c r="BV88" s="1038">
        <f t="shared" ref="BV88:CC88" si="116">BV87/BR87-1</f>
        <v>-6.3708557129004695E-2</v>
      </c>
      <c r="BW88" s="1039">
        <f t="shared" si="116"/>
        <v>-6.6880960509703935E-2</v>
      </c>
      <c r="BX88" s="1039">
        <f t="shared" si="116"/>
        <v>-7.0799187928852869E-2</v>
      </c>
      <c r="BY88" s="1039">
        <f t="shared" si="116"/>
        <v>-7.5609265964616035E-2</v>
      </c>
      <c r="BZ88" s="1038">
        <f t="shared" si="116"/>
        <v>-8.2498653742595573E-2</v>
      </c>
      <c r="CA88" s="1039">
        <f t="shared" si="116"/>
        <v>-8.7947165657677462E-2</v>
      </c>
      <c r="CB88" s="1039">
        <f t="shared" si="116"/>
        <v>-9.6030585854042561E-2</v>
      </c>
      <c r="CC88" s="1039">
        <f t="shared" si="116"/>
        <v>-0.10439371343352066</v>
      </c>
      <c r="CD88" s="1038">
        <f t="shared" ref="CD88:CK88" si="117">CD87/BZ87-1</f>
        <v>-0.11280666744923118</v>
      </c>
      <c r="CE88" s="1039">
        <f t="shared" si="117"/>
        <v>-0.11778904175718075</v>
      </c>
      <c r="CF88" s="1039">
        <f t="shared" si="117"/>
        <v>-0.12203010324667252</v>
      </c>
      <c r="CG88" s="1039">
        <f t="shared" si="117"/>
        <v>-0.12066094530549509</v>
      </c>
      <c r="CH88" s="1038">
        <f t="shared" si="117"/>
        <v>-0.11709446943635882</v>
      </c>
      <c r="CI88" s="1039">
        <f t="shared" si="117"/>
        <v>-0.11668946648426815</v>
      </c>
      <c r="CJ88" s="1039">
        <f t="shared" si="117"/>
        <v>-0.11618022102578629</v>
      </c>
      <c r="CK88" s="1039">
        <f t="shared" si="117"/>
        <v>-0.12046613255644578</v>
      </c>
      <c r="CL88" s="1038">
        <f>CL87/CH87-1</f>
        <v>-0.11794665762048928</v>
      </c>
    </row>
    <row r="89" spans="1:90">
      <c r="A89" s="1040" t="s">
        <v>73</v>
      </c>
      <c r="B89" s="1040"/>
      <c r="C89" s="1040"/>
      <c r="D89" s="1040"/>
      <c r="E89" s="1040"/>
      <c r="F89" s="1040"/>
      <c r="G89" s="1040"/>
      <c r="H89" s="1040"/>
      <c r="I89" s="1040"/>
      <c r="J89" s="1040"/>
      <c r="K89" s="1040"/>
      <c r="L89" s="1040"/>
      <c r="M89" s="1040"/>
      <c r="N89" s="1031">
        <f>BU89</f>
        <v>1495</v>
      </c>
      <c r="O89" s="1031">
        <f>BY89</f>
        <v>1379</v>
      </c>
      <c r="P89" s="1031">
        <f>CC89</f>
        <v>1174</v>
      </c>
      <c r="Q89" s="1031">
        <f>CG89</f>
        <v>1057</v>
      </c>
      <c r="R89" s="1032">
        <f>CK89</f>
        <v>945</v>
      </c>
      <c r="S89" s="1033">
        <f>CO89</f>
        <v>0</v>
      </c>
      <c r="T89" s="949"/>
      <c r="U89" s="949"/>
      <c r="V89" s="949"/>
      <c r="W89" s="949"/>
      <c r="X89" s="947"/>
      <c r="Y89" s="947"/>
      <c r="Z89" s="947"/>
      <c r="AA89" s="984"/>
      <c r="AB89" s="984"/>
      <c r="AC89" s="984"/>
      <c r="AD89" s="984"/>
      <c r="AE89" s="984"/>
      <c r="AF89" s="984"/>
      <c r="AG89" s="984"/>
      <c r="AH89" s="984"/>
      <c r="AI89" s="984"/>
      <c r="AJ89" s="984"/>
      <c r="AK89" s="984"/>
      <c r="AL89" s="984"/>
      <c r="AM89" s="984"/>
      <c r="AN89" s="984"/>
      <c r="AO89" s="984"/>
      <c r="AP89" s="984"/>
      <c r="AQ89" s="984"/>
      <c r="AR89" s="984"/>
      <c r="AS89" s="984"/>
      <c r="AT89" s="984"/>
      <c r="AU89" s="984"/>
      <c r="AV89" s="984"/>
      <c r="AW89" s="984"/>
      <c r="AX89" s="984"/>
      <c r="AY89" s="984"/>
      <c r="AZ89" s="984"/>
      <c r="BA89" s="984"/>
      <c r="BB89" s="984"/>
      <c r="BC89" s="984"/>
      <c r="BD89" s="984"/>
      <c r="BE89" s="984"/>
      <c r="BF89" s="984"/>
      <c r="BG89" s="984"/>
      <c r="BH89" s="984"/>
      <c r="BI89" s="984"/>
      <c r="BJ89" s="984"/>
      <c r="BK89" s="984"/>
      <c r="BL89" s="984"/>
      <c r="BM89" s="984"/>
      <c r="BN89" s="984"/>
      <c r="BO89" s="984"/>
      <c r="BP89" s="984"/>
      <c r="BQ89" s="984"/>
      <c r="BR89" s="1034">
        <f>BR221</f>
        <v>1668</v>
      </c>
      <c r="BS89" s="1033">
        <f t="shared" ref="BS89:CF89" si="118">BS221</f>
        <v>1624</v>
      </c>
      <c r="BT89" s="1033">
        <f t="shared" si="118"/>
        <v>1564</v>
      </c>
      <c r="BU89" s="1033">
        <f t="shared" si="118"/>
        <v>1495</v>
      </c>
      <c r="BV89" s="1034">
        <f t="shared" si="118"/>
        <v>1558</v>
      </c>
      <c r="BW89" s="1033">
        <f t="shared" si="118"/>
        <v>1492</v>
      </c>
      <c r="BX89" s="1033">
        <f t="shared" si="118"/>
        <v>1438</v>
      </c>
      <c r="BY89" s="1033">
        <f t="shared" si="118"/>
        <v>1379</v>
      </c>
      <c r="BZ89" s="1034">
        <f t="shared" si="118"/>
        <v>1314</v>
      </c>
      <c r="CA89" s="1033">
        <f>CA221</f>
        <v>1259</v>
      </c>
      <c r="CB89" s="1033">
        <f>CB221</f>
        <v>1209</v>
      </c>
      <c r="CC89" s="1033">
        <f t="shared" si="118"/>
        <v>1174</v>
      </c>
      <c r="CD89" s="1034">
        <f t="shared" si="118"/>
        <v>1140</v>
      </c>
      <c r="CE89" s="1033">
        <f t="shared" si="118"/>
        <v>1107</v>
      </c>
      <c r="CF89" s="1033">
        <f t="shared" si="118"/>
        <v>1076</v>
      </c>
      <c r="CG89" s="1033">
        <f>CG221</f>
        <v>1057</v>
      </c>
      <c r="CH89" s="1034">
        <f>CH221</f>
        <v>1021</v>
      </c>
      <c r="CI89" s="1033">
        <f>CI221</f>
        <v>988</v>
      </c>
      <c r="CJ89" s="1033">
        <f>CJ221</f>
        <v>963</v>
      </c>
      <c r="CK89" s="1033">
        <f>CK221</f>
        <v>945</v>
      </c>
      <c r="CL89" s="1807">
        <f>+CK89/$CK$91*$CL$91</f>
        <v>921.20158102766788</v>
      </c>
    </row>
    <row r="90" spans="1:90">
      <c r="A90" s="1035" t="s">
        <v>34</v>
      </c>
      <c r="B90" s="1030"/>
      <c r="C90" s="1030"/>
      <c r="D90" s="1030"/>
      <c r="E90" s="1030"/>
      <c r="F90" s="1030"/>
      <c r="G90" s="1030"/>
      <c r="H90" s="1030"/>
      <c r="I90" s="1030"/>
      <c r="J90" s="1030"/>
      <c r="K90" s="1030"/>
      <c r="L90" s="1030"/>
      <c r="M90" s="1030"/>
      <c r="N90" s="1031"/>
      <c r="O90" s="1036">
        <f>O89/N89-1</f>
        <v>-7.7591973244147128E-2</v>
      </c>
      <c r="P90" s="1036">
        <f>P89/O89-1</f>
        <v>-0.14865844815083396</v>
      </c>
      <c r="Q90" s="1036">
        <f>Q89/P89-1</f>
        <v>-9.9659284497444656E-2</v>
      </c>
      <c r="R90" s="1037">
        <f>R89/Q89-1</f>
        <v>-0.10596026490066224</v>
      </c>
      <c r="S90" s="1036">
        <f>S89/R89-1</f>
        <v>-1</v>
      </c>
      <c r="T90" s="949"/>
      <c r="U90" s="949"/>
      <c r="V90" s="949"/>
      <c r="W90" s="949"/>
      <c r="X90" s="947"/>
      <c r="Y90" s="947"/>
      <c r="Z90" s="947"/>
      <c r="AA90" s="984"/>
      <c r="AB90" s="984"/>
      <c r="AC90" s="984"/>
      <c r="AD90" s="984"/>
      <c r="AE90" s="984"/>
      <c r="AF90" s="984"/>
      <c r="AG90" s="984"/>
      <c r="AH90" s="984"/>
      <c r="AI90" s="984"/>
      <c r="AJ90" s="984"/>
      <c r="AK90" s="984"/>
      <c r="AL90" s="984"/>
      <c r="AM90" s="984"/>
      <c r="AN90" s="984"/>
      <c r="AO90" s="984"/>
      <c r="AP90" s="984"/>
      <c r="AQ90" s="984"/>
      <c r="AR90" s="984"/>
      <c r="AS90" s="984"/>
      <c r="AT90" s="984"/>
      <c r="AU90" s="984"/>
      <c r="AV90" s="984"/>
      <c r="AW90" s="984"/>
      <c r="AX90" s="984"/>
      <c r="AY90" s="984"/>
      <c r="AZ90" s="984"/>
      <c r="BA90" s="984"/>
      <c r="BB90" s="984"/>
      <c r="BC90" s="984"/>
      <c r="BD90" s="984"/>
      <c r="BE90" s="984"/>
      <c r="BF90" s="984"/>
      <c r="BG90" s="984"/>
      <c r="BH90" s="984"/>
      <c r="BI90" s="984"/>
      <c r="BJ90" s="984"/>
      <c r="BK90" s="984"/>
      <c r="BL90" s="984"/>
      <c r="BM90" s="984"/>
      <c r="BN90" s="984"/>
      <c r="BO90" s="984"/>
      <c r="BP90" s="984"/>
      <c r="BQ90" s="984"/>
      <c r="BR90" s="1038"/>
      <c r="BS90" s="1039"/>
      <c r="BT90" s="1039"/>
      <c r="BU90" s="1039"/>
      <c r="BV90" s="1038">
        <f t="shared" ref="BV90:CC90" si="119">BV89/BR89-1</f>
        <v>-6.5947242206235046E-2</v>
      </c>
      <c r="BW90" s="1039">
        <f t="shared" si="119"/>
        <v>-8.1280788177339858E-2</v>
      </c>
      <c r="BX90" s="1039">
        <f t="shared" si="119"/>
        <v>-8.0562659846547313E-2</v>
      </c>
      <c r="BY90" s="1039">
        <f t="shared" si="119"/>
        <v>-7.7591973244147128E-2</v>
      </c>
      <c r="BZ90" s="1038">
        <f t="shared" si="119"/>
        <v>-0.15661103979460844</v>
      </c>
      <c r="CA90" s="1039">
        <f t="shared" si="119"/>
        <v>-0.15616621983914214</v>
      </c>
      <c r="CB90" s="1039">
        <f t="shared" si="119"/>
        <v>-0.15924895688456187</v>
      </c>
      <c r="CC90" s="1039">
        <f t="shared" si="119"/>
        <v>-0.14865844815083396</v>
      </c>
      <c r="CD90" s="1038">
        <f t="shared" ref="CD90:CK90" si="120">CD89/BZ89-1</f>
        <v>-0.13242009132420096</v>
      </c>
      <c r="CE90" s="1039">
        <f t="shared" si="120"/>
        <v>-0.1207307386814932</v>
      </c>
      <c r="CF90" s="1039">
        <f t="shared" si="120"/>
        <v>-0.11000827129859392</v>
      </c>
      <c r="CG90" s="1039">
        <f t="shared" si="120"/>
        <v>-9.9659284497444656E-2</v>
      </c>
      <c r="CH90" s="1038">
        <f t="shared" si="120"/>
        <v>-0.10438596491228069</v>
      </c>
      <c r="CI90" s="1039">
        <f t="shared" si="120"/>
        <v>-0.1074977416440831</v>
      </c>
      <c r="CJ90" s="1039">
        <f t="shared" si="120"/>
        <v>-0.10501858736059477</v>
      </c>
      <c r="CK90" s="1039">
        <f t="shared" si="120"/>
        <v>-0.10596026490066224</v>
      </c>
      <c r="CL90" s="1038">
        <f>CL89/CH89-1</f>
        <v>-9.7745758053214615E-2</v>
      </c>
    </row>
    <row r="91" spans="1:90">
      <c r="A91" s="1041" t="s">
        <v>936</v>
      </c>
      <c r="B91" s="1041"/>
      <c r="C91" s="1041"/>
      <c r="D91" s="1041"/>
      <c r="E91" s="1041"/>
      <c r="F91" s="1041"/>
      <c r="G91" s="1041"/>
      <c r="H91" s="1042">
        <v>18089</v>
      </c>
      <c r="I91" s="1042">
        <v>17787</v>
      </c>
      <c r="J91" s="1042">
        <v>17006</v>
      </c>
      <c r="K91" s="1042">
        <v>16209</v>
      </c>
      <c r="L91" s="1042">
        <v>15522</v>
      </c>
      <c r="M91" s="1042">
        <v>14739</v>
      </c>
      <c r="N91" s="1043">
        <f t="shared" ref="N91:S91" si="121">SUM(N85,N87,N89)</f>
        <v>13794.994999999999</v>
      </c>
      <c r="O91" s="1043">
        <f t="shared" si="121"/>
        <v>12336</v>
      </c>
      <c r="P91" s="1043">
        <f t="shared" si="121"/>
        <v>11127</v>
      </c>
      <c r="Q91" s="1043">
        <f t="shared" si="121"/>
        <v>9925</v>
      </c>
      <c r="R91" s="1044">
        <f t="shared" si="121"/>
        <v>8855</v>
      </c>
      <c r="S91" s="1043">
        <f t="shared" si="121"/>
        <v>0</v>
      </c>
      <c r="T91" s="949"/>
      <c r="U91" s="949"/>
      <c r="V91" s="949"/>
      <c r="W91" s="949"/>
      <c r="X91" s="947"/>
      <c r="Y91" s="947"/>
      <c r="Z91" s="947"/>
      <c r="AA91" s="271"/>
      <c r="AB91" s="271"/>
      <c r="AC91" s="271"/>
      <c r="AD91" s="271"/>
      <c r="AE91" s="271"/>
      <c r="AF91" s="271"/>
      <c r="AG91" s="271"/>
      <c r="AH91" s="271"/>
      <c r="AI91" s="271"/>
      <c r="AJ91" s="271"/>
      <c r="AK91" s="271"/>
      <c r="AL91" s="271"/>
      <c r="AM91" s="271"/>
      <c r="AN91" s="271"/>
      <c r="AO91" s="271"/>
      <c r="AP91" s="271"/>
      <c r="AQ91" s="271"/>
      <c r="AR91" s="271"/>
      <c r="AS91" s="271"/>
      <c r="AT91" s="271"/>
      <c r="AU91" s="271"/>
      <c r="AV91" s="271"/>
      <c r="AW91" s="271"/>
      <c r="AX91" s="271"/>
      <c r="AY91" s="271"/>
      <c r="AZ91" s="271"/>
      <c r="BA91" s="271"/>
      <c r="BB91" s="271"/>
      <c r="BC91" s="271"/>
      <c r="BD91" s="271"/>
      <c r="BE91" s="271"/>
      <c r="BF91" s="271"/>
      <c r="BG91" s="271"/>
      <c r="BH91" s="271"/>
      <c r="BI91" s="271"/>
      <c r="BJ91" s="996">
        <v>16050</v>
      </c>
      <c r="BK91" s="996">
        <v>15839</v>
      </c>
      <c r="BL91" s="996">
        <v>15680</v>
      </c>
      <c r="BM91" s="996">
        <v>15522</v>
      </c>
      <c r="BN91" s="996">
        <v>15339</v>
      </c>
      <c r="BO91" s="996">
        <v>15087</v>
      </c>
      <c r="BP91" s="996">
        <v>14933</v>
      </c>
      <c r="BQ91" s="996">
        <v>14739</v>
      </c>
      <c r="BR91" s="1045">
        <f t="shared" ref="BR91:CC91" si="122">SUM(BR85,BR87,BR89)</f>
        <v>14545.784</v>
      </c>
      <c r="BS91" s="1043">
        <f t="shared" si="122"/>
        <v>14283.164000000001</v>
      </c>
      <c r="BT91" s="1043">
        <f t="shared" si="122"/>
        <v>14036.59</v>
      </c>
      <c r="BU91" s="1043">
        <f t="shared" si="122"/>
        <v>13794.994999999999</v>
      </c>
      <c r="BV91" s="1045">
        <f t="shared" si="122"/>
        <v>13122</v>
      </c>
      <c r="BW91" s="1043">
        <f t="shared" si="122"/>
        <v>12840</v>
      </c>
      <c r="BX91" s="1043">
        <f t="shared" si="122"/>
        <v>12580</v>
      </c>
      <c r="BY91" s="1043">
        <f t="shared" si="122"/>
        <v>12336</v>
      </c>
      <c r="BZ91" s="1045">
        <f t="shared" si="122"/>
        <v>12058</v>
      </c>
      <c r="CA91" s="1043">
        <f>SUM(CA85,CA87,CA89)</f>
        <v>11750</v>
      </c>
      <c r="CB91" s="1043">
        <f>SUM(CB85,CB87,CB89)</f>
        <v>11438</v>
      </c>
      <c r="CC91" s="1043">
        <f t="shared" si="122"/>
        <v>11127</v>
      </c>
      <c r="CD91" s="1045">
        <f t="shared" ref="CD91:CK91" si="123">SUM(CD85,CD87,CD89)</f>
        <v>10800</v>
      </c>
      <c r="CE91" s="1043">
        <f t="shared" si="123"/>
        <v>10484</v>
      </c>
      <c r="CF91" s="1043">
        <f t="shared" si="123"/>
        <v>10170</v>
      </c>
      <c r="CG91" s="1043">
        <f t="shared" si="123"/>
        <v>9925</v>
      </c>
      <c r="CH91" s="1045">
        <f t="shared" si="123"/>
        <v>9663</v>
      </c>
      <c r="CI91" s="1043">
        <f t="shared" si="123"/>
        <v>9387</v>
      </c>
      <c r="CJ91" s="1043">
        <f t="shared" si="123"/>
        <v>9114</v>
      </c>
      <c r="CK91" s="1043">
        <f t="shared" si="123"/>
        <v>8855</v>
      </c>
      <c r="CL91" s="1804">
        <v>8632</v>
      </c>
    </row>
    <row r="92" spans="1:90">
      <c r="A92" s="1035" t="s">
        <v>34</v>
      </c>
      <c r="B92" s="1030"/>
      <c r="C92" s="1030"/>
      <c r="D92" s="1030"/>
      <c r="E92" s="1030"/>
      <c r="F92" s="1030"/>
      <c r="G92" s="1030"/>
      <c r="H92" s="1030"/>
      <c r="I92" s="1030"/>
      <c r="J92" s="1030"/>
      <c r="K92" s="1030"/>
      <c r="L92" s="1030"/>
      <c r="M92" s="1030"/>
      <c r="N92" s="1031"/>
      <c r="O92" s="1036">
        <f>O91/N91-1</f>
        <v>-0.10576263347685155</v>
      </c>
      <c r="P92" s="1036">
        <f>P91/O91-1</f>
        <v>-9.8005836575875471E-2</v>
      </c>
      <c r="Q92" s="1036">
        <f>Q91/P91-1</f>
        <v>-0.10802552350139305</v>
      </c>
      <c r="R92" s="1037">
        <f>R91/Q91-1</f>
        <v>-0.10780856423173801</v>
      </c>
      <c r="S92" s="1036">
        <f>S91/R91-1</f>
        <v>-1</v>
      </c>
      <c r="T92" s="949"/>
      <c r="U92" s="949"/>
      <c r="V92" s="949"/>
      <c r="W92" s="949"/>
      <c r="X92" s="947"/>
      <c r="Y92" s="947"/>
      <c r="Z92" s="947"/>
      <c r="AA92" s="984"/>
      <c r="AB92" s="984"/>
      <c r="AC92" s="984"/>
      <c r="AD92" s="984"/>
      <c r="AE92" s="984"/>
      <c r="AF92" s="984"/>
      <c r="AG92" s="984"/>
      <c r="AH92" s="984"/>
      <c r="AI92" s="984"/>
      <c r="AJ92" s="984"/>
      <c r="AK92" s="984"/>
      <c r="AL92" s="984"/>
      <c r="AM92" s="984"/>
      <c r="AN92" s="984"/>
      <c r="AO92" s="984"/>
      <c r="AP92" s="984"/>
      <c r="AQ92" s="984"/>
      <c r="AR92" s="984"/>
      <c r="AS92" s="984"/>
      <c r="AT92" s="984"/>
      <c r="AU92" s="984"/>
      <c r="AV92" s="984"/>
      <c r="AW92" s="984"/>
      <c r="AX92" s="984"/>
      <c r="AY92" s="984"/>
      <c r="AZ92" s="984"/>
      <c r="BA92" s="984"/>
      <c r="BB92" s="984"/>
      <c r="BC92" s="984"/>
      <c r="BD92" s="984"/>
      <c r="BE92" s="984"/>
      <c r="BF92" s="984"/>
      <c r="BG92" s="984"/>
      <c r="BH92" s="984"/>
      <c r="BI92" s="984"/>
      <c r="BJ92" s="984"/>
      <c r="BK92" s="984"/>
      <c r="BL92" s="984"/>
      <c r="BM92" s="984"/>
      <c r="BN92" s="988">
        <f t="shared" ref="BN92:BU92" si="124">BN91/BJ91-1</f>
        <v>-4.4299065420560724E-2</v>
      </c>
      <c r="BO92" s="988">
        <f t="shared" si="124"/>
        <v>-4.7477744807121636E-2</v>
      </c>
      <c r="BP92" s="988">
        <f t="shared" si="124"/>
        <v>-4.7640306122448961E-2</v>
      </c>
      <c r="BQ92" s="988">
        <f t="shared" si="124"/>
        <v>-5.0444530344027849E-2</v>
      </c>
      <c r="BR92" s="1038">
        <f t="shared" si="124"/>
        <v>-5.1712367168655127E-2</v>
      </c>
      <c r="BS92" s="1039">
        <f t="shared" si="124"/>
        <v>-5.3280042420627005E-2</v>
      </c>
      <c r="BT92" s="1039">
        <f t="shared" si="124"/>
        <v>-6.0028795285609005E-2</v>
      </c>
      <c r="BU92" s="1039">
        <f t="shared" si="124"/>
        <v>-6.404810367053404E-2</v>
      </c>
      <c r="BV92" s="1038">
        <f t="shared" ref="BV92:CC92" si="125">BV91/BR91-1</f>
        <v>-9.788293295156858E-2</v>
      </c>
      <c r="BW92" s="1039">
        <f t="shared" si="125"/>
        <v>-0.10103951757467744</v>
      </c>
      <c r="BX92" s="1039">
        <f t="shared" si="125"/>
        <v>-0.10377093011906735</v>
      </c>
      <c r="BY92" s="1039">
        <f t="shared" si="125"/>
        <v>-0.10576263347685155</v>
      </c>
      <c r="BZ92" s="1038">
        <f t="shared" si="125"/>
        <v>-8.1085200426764259E-2</v>
      </c>
      <c r="CA92" s="1039">
        <f t="shared" si="125"/>
        <v>-8.4890965732087209E-2</v>
      </c>
      <c r="CB92" s="1039">
        <f t="shared" si="125"/>
        <v>-9.0779014308426054E-2</v>
      </c>
      <c r="CC92" s="1039">
        <f t="shared" si="125"/>
        <v>-9.8005836575875471E-2</v>
      </c>
      <c r="CD92" s="1038">
        <f t="shared" ref="CD92:CK92" si="126">CD91/BZ91-1</f>
        <v>-0.10432907613202858</v>
      </c>
      <c r="CE92" s="1039">
        <f t="shared" si="126"/>
        <v>-0.10774468085106381</v>
      </c>
      <c r="CF92" s="1039">
        <f t="shared" si="126"/>
        <v>-0.11085854170309495</v>
      </c>
      <c r="CG92" s="1039">
        <f t="shared" si="126"/>
        <v>-0.10802552350139305</v>
      </c>
      <c r="CH92" s="1038">
        <f t="shared" si="126"/>
        <v>-0.1052777777777778</v>
      </c>
      <c r="CI92" s="1039">
        <f t="shared" si="126"/>
        <v>-0.10463563525371999</v>
      </c>
      <c r="CJ92" s="1039">
        <f t="shared" si="126"/>
        <v>-0.10383480825958702</v>
      </c>
      <c r="CK92" s="1039">
        <f t="shared" si="126"/>
        <v>-0.10780856423173801</v>
      </c>
      <c r="CL92" s="1038">
        <f>CL91/CH91-1</f>
        <v>-0.10669564317499747</v>
      </c>
    </row>
    <row r="93" spans="1:90">
      <c r="A93" s="1040" t="s">
        <v>74</v>
      </c>
      <c r="B93" s="1046"/>
      <c r="C93" s="1046"/>
      <c r="D93" s="1046"/>
      <c r="E93" s="1046"/>
      <c r="F93" s="1046"/>
      <c r="G93" s="1046"/>
      <c r="H93" s="1046"/>
      <c r="I93" s="1046"/>
      <c r="J93" s="1046"/>
      <c r="K93" s="1046"/>
      <c r="L93" s="1046"/>
      <c r="M93" s="1046"/>
      <c r="N93" s="1031"/>
      <c r="O93" s="1031">
        <f>O91-N91</f>
        <v>-1458.994999999999</v>
      </c>
      <c r="P93" s="1031">
        <f>P91-O91</f>
        <v>-1209</v>
      </c>
      <c r="Q93" s="1031">
        <f>Q91-P91</f>
        <v>-1202</v>
      </c>
      <c r="R93" s="1032">
        <f>R91-Q91</f>
        <v>-1070</v>
      </c>
      <c r="S93" s="1033">
        <f>S91-R91</f>
        <v>-8855</v>
      </c>
      <c r="T93" s="949"/>
      <c r="U93" s="949"/>
      <c r="V93" s="949"/>
      <c r="W93" s="949"/>
      <c r="X93" s="947"/>
      <c r="Y93" s="947"/>
      <c r="Z93" s="947"/>
      <c r="AA93" s="984"/>
      <c r="AB93" s="984"/>
      <c r="AC93" s="984"/>
      <c r="AD93" s="984"/>
      <c r="AE93" s="984"/>
      <c r="AF93" s="984"/>
      <c r="AG93" s="984"/>
      <c r="AH93" s="984"/>
      <c r="AI93" s="984"/>
      <c r="AJ93" s="984"/>
      <c r="AK93" s="984"/>
      <c r="AL93" s="984"/>
      <c r="AM93" s="984"/>
      <c r="AN93" s="984"/>
      <c r="AO93" s="984"/>
      <c r="AP93" s="984"/>
      <c r="AQ93" s="984"/>
      <c r="AR93" s="984"/>
      <c r="AS93" s="984"/>
      <c r="AT93" s="984"/>
      <c r="AU93" s="984"/>
      <c r="AV93" s="984"/>
      <c r="AW93" s="984"/>
      <c r="AX93" s="984"/>
      <c r="AY93" s="984"/>
      <c r="AZ93" s="984"/>
      <c r="BA93" s="984"/>
      <c r="BB93" s="984"/>
      <c r="BC93" s="984"/>
      <c r="BD93" s="984"/>
      <c r="BE93" s="984"/>
      <c r="BF93" s="984"/>
      <c r="BG93" s="984"/>
      <c r="BH93" s="984"/>
      <c r="BI93" s="984"/>
      <c r="BJ93" s="984"/>
      <c r="BK93" s="984">
        <f t="shared" ref="BK93:BT93" si="127">BK91-BJ91</f>
        <v>-211</v>
      </c>
      <c r="BL93" s="984">
        <f t="shared" si="127"/>
        <v>-159</v>
      </c>
      <c r="BM93" s="984">
        <f t="shared" si="127"/>
        <v>-158</v>
      </c>
      <c r="BN93" s="984">
        <f t="shared" si="127"/>
        <v>-183</v>
      </c>
      <c r="BO93" s="984">
        <f t="shared" si="127"/>
        <v>-252</v>
      </c>
      <c r="BP93" s="984">
        <f t="shared" si="127"/>
        <v>-154</v>
      </c>
      <c r="BQ93" s="984">
        <f t="shared" si="127"/>
        <v>-194</v>
      </c>
      <c r="BR93" s="1034">
        <f t="shared" si="127"/>
        <v>-193.21600000000035</v>
      </c>
      <c r="BS93" s="1033">
        <f t="shared" si="127"/>
        <v>-262.61999999999898</v>
      </c>
      <c r="BT93" s="1033">
        <f t="shared" si="127"/>
        <v>-246.57400000000052</v>
      </c>
      <c r="BU93" s="1033">
        <f t="shared" ref="BU93:CC93" si="128">BU91-BT91</f>
        <v>-241.59500000000116</v>
      </c>
      <c r="BV93" s="1034">
        <f t="shared" si="128"/>
        <v>-672.99499999999898</v>
      </c>
      <c r="BW93" s="1033">
        <f t="shared" si="128"/>
        <v>-282</v>
      </c>
      <c r="BX93" s="1033">
        <f t="shared" si="128"/>
        <v>-260</v>
      </c>
      <c r="BY93" s="1033">
        <f t="shared" si="128"/>
        <v>-244</v>
      </c>
      <c r="BZ93" s="1034">
        <f t="shared" si="128"/>
        <v>-278</v>
      </c>
      <c r="CA93" s="1033">
        <f t="shared" si="128"/>
        <v>-308</v>
      </c>
      <c r="CB93" s="1033">
        <f t="shared" si="128"/>
        <v>-312</v>
      </c>
      <c r="CC93" s="1033">
        <f t="shared" si="128"/>
        <v>-311</v>
      </c>
      <c r="CD93" s="1034">
        <f t="shared" ref="CD93:CK93" si="129">CD91-CC91</f>
        <v>-327</v>
      </c>
      <c r="CE93" s="1033">
        <f t="shared" si="129"/>
        <v>-316</v>
      </c>
      <c r="CF93" s="1033">
        <f t="shared" si="129"/>
        <v>-314</v>
      </c>
      <c r="CG93" s="1033">
        <f t="shared" si="129"/>
        <v>-245</v>
      </c>
      <c r="CH93" s="1034">
        <f t="shared" si="129"/>
        <v>-262</v>
      </c>
      <c r="CI93" s="1033">
        <f t="shared" si="129"/>
        <v>-276</v>
      </c>
      <c r="CJ93" s="1033">
        <f t="shared" si="129"/>
        <v>-273</v>
      </c>
      <c r="CK93" s="1033">
        <f t="shared" si="129"/>
        <v>-259</v>
      </c>
      <c r="CL93" s="1034">
        <f>CL91-CK91</f>
        <v>-223</v>
      </c>
    </row>
    <row r="94" spans="1:90">
      <c r="A94" s="1035" t="s">
        <v>34</v>
      </c>
      <c r="B94" s="1030"/>
      <c r="C94" s="1030"/>
      <c r="D94" s="1030"/>
      <c r="E94" s="1030"/>
      <c r="F94" s="1030"/>
      <c r="G94" s="1030"/>
      <c r="H94" s="1030"/>
      <c r="I94" s="1030"/>
      <c r="J94" s="1030"/>
      <c r="K94" s="1030"/>
      <c r="L94" s="1030"/>
      <c r="M94" s="1030"/>
      <c r="N94" s="1031"/>
      <c r="O94" s="1036"/>
      <c r="P94" s="1036">
        <f>P93/O93-1</f>
        <v>-0.1713474000938997</v>
      </c>
      <c r="Q94" s="1036">
        <f>Q93/P93-1</f>
        <v>-5.789909015715522E-3</v>
      </c>
      <c r="R94" s="1037">
        <f>R93/Q93-1</f>
        <v>-0.10981697171381033</v>
      </c>
      <c r="S94" s="1036">
        <f>S93/R93-1</f>
        <v>7.2757009345794401</v>
      </c>
      <c r="T94" s="949"/>
      <c r="U94" s="949"/>
      <c r="V94" s="949"/>
      <c r="W94" s="949"/>
      <c r="X94" s="947"/>
      <c r="Y94" s="947"/>
      <c r="Z94" s="947"/>
      <c r="AA94" s="984"/>
      <c r="AB94" s="984"/>
      <c r="AC94" s="984"/>
      <c r="AD94" s="984"/>
      <c r="AE94" s="984"/>
      <c r="AF94" s="984"/>
      <c r="AG94" s="984"/>
      <c r="AH94" s="984"/>
      <c r="AI94" s="984"/>
      <c r="AJ94" s="984"/>
      <c r="AK94" s="984"/>
      <c r="AL94" s="984"/>
      <c r="AM94" s="984"/>
      <c r="AN94" s="984"/>
      <c r="AO94" s="984"/>
      <c r="AP94" s="984"/>
      <c r="AQ94" s="984"/>
      <c r="AR94" s="984"/>
      <c r="AS94" s="984"/>
      <c r="AT94" s="984"/>
      <c r="AU94" s="984"/>
      <c r="AV94" s="984"/>
      <c r="AW94" s="984"/>
      <c r="AX94" s="984"/>
      <c r="AY94" s="984"/>
      <c r="AZ94" s="984"/>
      <c r="BA94" s="984"/>
      <c r="BB94" s="984"/>
      <c r="BC94" s="984"/>
      <c r="BD94" s="984"/>
      <c r="BE94" s="984"/>
      <c r="BF94" s="984"/>
      <c r="BG94" s="984"/>
      <c r="BH94" s="984"/>
      <c r="BI94" s="984"/>
      <c r="BJ94" s="984"/>
      <c r="BK94" s="984"/>
      <c r="BL94" s="984"/>
      <c r="BM94" s="984"/>
      <c r="BN94" s="984"/>
      <c r="BO94" s="984"/>
      <c r="BP94" s="984"/>
      <c r="BQ94" s="984"/>
      <c r="BR94" s="1038"/>
      <c r="BS94" s="1039"/>
      <c r="BT94" s="1039"/>
      <c r="BU94" s="1039"/>
      <c r="BV94" s="1038">
        <f t="shared" ref="BV94:CC94" si="130">BV93/BR93-1</f>
        <v>2.4831225157336752</v>
      </c>
      <c r="BW94" s="1039">
        <f t="shared" si="130"/>
        <v>7.3794836646108752E-2</v>
      </c>
      <c r="BX94" s="1039">
        <f t="shared" si="130"/>
        <v>5.4450185339895762E-2</v>
      </c>
      <c r="BY94" s="1039">
        <f t="shared" si="130"/>
        <v>9.954676214320779E-3</v>
      </c>
      <c r="BZ94" s="1038">
        <f t="shared" si="130"/>
        <v>-0.58692115097437514</v>
      </c>
      <c r="CA94" s="1039">
        <f t="shared" si="130"/>
        <v>9.219858156028371E-2</v>
      </c>
      <c r="CB94" s="1039">
        <f t="shared" si="130"/>
        <v>0.19999999999999996</v>
      </c>
      <c r="CC94" s="1039">
        <f t="shared" si="130"/>
        <v>0.27459016393442615</v>
      </c>
      <c r="CD94" s="1038">
        <f t="shared" ref="CD94:CK94" si="131">CD93/BZ93-1</f>
        <v>0.17625899280575541</v>
      </c>
      <c r="CE94" s="1039">
        <f t="shared" si="131"/>
        <v>2.5974025974025983E-2</v>
      </c>
      <c r="CF94" s="1039">
        <f t="shared" si="131"/>
        <v>6.4102564102563875E-3</v>
      </c>
      <c r="CG94" s="1039">
        <f t="shared" si="131"/>
        <v>-0.21221864951768488</v>
      </c>
      <c r="CH94" s="1038">
        <f t="shared" si="131"/>
        <v>-0.19877675840978593</v>
      </c>
      <c r="CI94" s="1039">
        <f t="shared" si="131"/>
        <v>-0.12658227848101267</v>
      </c>
      <c r="CJ94" s="1039">
        <f t="shared" si="131"/>
        <v>-0.13057324840764328</v>
      </c>
      <c r="CK94" s="1039">
        <f t="shared" si="131"/>
        <v>5.7142857142857162E-2</v>
      </c>
      <c r="CL94" s="1038">
        <f>CL93/CH93-1</f>
        <v>-0.14885496183206104</v>
      </c>
    </row>
    <row r="95" spans="1:90">
      <c r="A95" s="976" t="s">
        <v>75</v>
      </c>
      <c r="B95" s="977"/>
      <c r="C95" s="977"/>
      <c r="D95" s="977"/>
      <c r="E95" s="977"/>
      <c r="F95" s="977"/>
      <c r="G95" s="977"/>
      <c r="H95" s="977"/>
      <c r="I95" s="977"/>
      <c r="J95" s="977"/>
      <c r="K95" s="977"/>
      <c r="L95" s="977"/>
      <c r="M95" s="977"/>
      <c r="N95" s="977"/>
      <c r="O95" s="977"/>
      <c r="P95" s="978"/>
      <c r="Q95" s="978"/>
      <c r="R95" s="979"/>
      <c r="S95" s="977"/>
      <c r="T95" s="949"/>
      <c r="U95" s="949"/>
      <c r="V95" s="949"/>
      <c r="W95" s="949"/>
      <c r="X95" s="947"/>
      <c r="Y95" s="947"/>
      <c r="Z95" s="947"/>
      <c r="AA95" s="977"/>
      <c r="AB95" s="977"/>
      <c r="AC95" s="977"/>
      <c r="AD95" s="977"/>
      <c r="AE95" s="977"/>
      <c r="AF95" s="977"/>
      <c r="AG95" s="977"/>
      <c r="AH95" s="977"/>
      <c r="AI95" s="977"/>
      <c r="AJ95" s="977"/>
      <c r="AK95" s="977"/>
      <c r="AL95" s="977"/>
      <c r="AM95" s="977"/>
      <c r="AN95" s="977"/>
      <c r="AO95" s="977"/>
      <c r="AP95" s="977"/>
      <c r="AQ95" s="977"/>
      <c r="AR95" s="977"/>
      <c r="AS95" s="977"/>
      <c r="AT95" s="977"/>
      <c r="AU95" s="977"/>
      <c r="AV95" s="977"/>
      <c r="AW95" s="977"/>
      <c r="AX95" s="977"/>
      <c r="AY95" s="977"/>
      <c r="AZ95" s="977"/>
      <c r="BA95" s="977"/>
      <c r="BB95" s="977"/>
      <c r="BC95" s="977"/>
      <c r="BD95" s="977"/>
      <c r="BE95" s="977"/>
      <c r="BF95" s="977"/>
      <c r="BG95" s="977"/>
      <c r="BH95" s="977"/>
      <c r="BI95" s="977"/>
      <c r="BJ95" s="977"/>
      <c r="BK95" s="977"/>
      <c r="BL95" s="977"/>
      <c r="BM95" s="977"/>
      <c r="BN95" s="977"/>
      <c r="BO95" s="977"/>
      <c r="BP95" s="977"/>
      <c r="BQ95" s="977"/>
      <c r="BR95" s="980" t="s">
        <v>76</v>
      </c>
      <c r="BS95" s="977"/>
      <c r="BT95" s="977"/>
      <c r="BU95" s="977"/>
      <c r="BV95" s="981"/>
      <c r="BW95" s="977"/>
      <c r="BX95" s="977"/>
      <c r="BY95" s="977"/>
      <c r="BZ95" s="981"/>
      <c r="CA95" s="977"/>
      <c r="CB95" s="977"/>
      <c r="CC95" s="977"/>
      <c r="CD95" s="981"/>
      <c r="CE95" s="977"/>
      <c r="CF95" s="977"/>
      <c r="CG95" s="977"/>
      <c r="CH95" s="981"/>
      <c r="CI95" s="977"/>
      <c r="CJ95" s="977"/>
      <c r="CK95" s="977"/>
      <c r="CL95" s="981"/>
    </row>
    <row r="96" spans="1:90">
      <c r="A96" s="1047" t="s">
        <v>658</v>
      </c>
      <c r="B96" s="1048"/>
      <c r="C96" s="1048"/>
      <c r="D96" s="1048"/>
      <c r="E96" s="1048"/>
      <c r="F96" s="1048"/>
      <c r="G96" s="1048"/>
      <c r="H96" s="1048"/>
      <c r="I96" s="1048"/>
      <c r="J96" s="1048"/>
      <c r="K96" s="1048"/>
      <c r="L96" s="1048"/>
      <c r="M96" s="1048"/>
      <c r="N96" s="984">
        <f>SUM(BR96:BU96)</f>
        <v>4481</v>
      </c>
      <c r="O96" s="984">
        <f>SUM(BV96:BY96)</f>
        <v>4308</v>
      </c>
      <c r="P96" s="948">
        <f>SUM(BZ96:CC96)</f>
        <v>3953</v>
      </c>
      <c r="Q96" s="948">
        <f>SUM(CD96:CG96)</f>
        <v>3510</v>
      </c>
      <c r="R96" s="985">
        <f>SUM(CH96:CK96)</f>
        <v>3169</v>
      </c>
      <c r="S96" s="984">
        <f>SUM(CL96:CO96)</f>
        <v>748</v>
      </c>
      <c r="T96" s="949"/>
      <c r="U96" s="949"/>
      <c r="V96" s="949"/>
      <c r="W96" s="949"/>
      <c r="X96" s="947"/>
      <c r="Y96" s="947"/>
      <c r="Z96" s="947"/>
      <c r="AA96" s="984"/>
      <c r="AB96" s="984"/>
      <c r="AC96" s="984"/>
      <c r="AD96" s="984"/>
      <c r="AE96" s="984"/>
      <c r="AF96" s="984"/>
      <c r="AG96" s="984"/>
      <c r="AH96" s="984"/>
      <c r="AI96" s="984"/>
      <c r="AJ96" s="984"/>
      <c r="AK96" s="984"/>
      <c r="AL96" s="984"/>
      <c r="AM96" s="984"/>
      <c r="AN96" s="984"/>
      <c r="AO96" s="984"/>
      <c r="AP96" s="984"/>
      <c r="AQ96" s="984"/>
      <c r="AR96" s="984"/>
      <c r="AS96" s="984"/>
      <c r="AT96" s="984"/>
      <c r="AU96" s="984"/>
      <c r="AV96" s="984"/>
      <c r="AW96" s="984"/>
      <c r="AX96" s="984"/>
      <c r="AY96" s="984"/>
      <c r="AZ96" s="984"/>
      <c r="BA96" s="984"/>
      <c r="BB96" s="984"/>
      <c r="BC96" s="984"/>
      <c r="BD96" s="984"/>
      <c r="BE96" s="984"/>
      <c r="BF96" s="984"/>
      <c r="BG96" s="984"/>
      <c r="BH96" s="984"/>
      <c r="BI96" s="984"/>
      <c r="BJ96" s="984"/>
      <c r="BK96" s="984"/>
      <c r="BL96" s="984"/>
      <c r="BM96" s="984"/>
      <c r="BN96" s="984"/>
      <c r="BO96" s="984"/>
      <c r="BP96" s="984"/>
      <c r="BQ96" s="984"/>
      <c r="BR96" s="938">
        <v>1137</v>
      </c>
      <c r="BS96" s="347">
        <v>1131</v>
      </c>
      <c r="BT96" s="347">
        <v>1114</v>
      </c>
      <c r="BU96" s="347">
        <v>1099</v>
      </c>
      <c r="BV96" s="938">
        <v>1098</v>
      </c>
      <c r="BW96" s="347">
        <v>1089</v>
      </c>
      <c r="BX96" s="347">
        <v>1070</v>
      </c>
      <c r="BY96" s="347">
        <v>1051</v>
      </c>
      <c r="BZ96" s="938">
        <v>1031</v>
      </c>
      <c r="CA96" s="347">
        <v>996</v>
      </c>
      <c r="CB96" s="347">
        <v>978</v>
      </c>
      <c r="CC96" s="347">
        <v>948</v>
      </c>
      <c r="CD96" s="938">
        <v>921</v>
      </c>
      <c r="CE96" s="347">
        <v>889</v>
      </c>
      <c r="CF96" s="347">
        <v>859</v>
      </c>
      <c r="CG96" s="347">
        <v>841</v>
      </c>
      <c r="CH96" s="938">
        <v>823</v>
      </c>
      <c r="CI96" s="347">
        <v>795</v>
      </c>
      <c r="CJ96" s="347">
        <v>785</v>
      </c>
      <c r="CK96" s="347">
        <v>766</v>
      </c>
      <c r="CL96" s="938">
        <v>748</v>
      </c>
    </row>
    <row r="97" spans="1:90">
      <c r="A97" s="983" t="s">
        <v>34</v>
      </c>
      <c r="B97" s="983"/>
      <c r="C97" s="983"/>
      <c r="D97" s="983"/>
      <c r="E97" s="983"/>
      <c r="F97" s="983"/>
      <c r="G97" s="983"/>
      <c r="H97" s="983"/>
      <c r="I97" s="983"/>
      <c r="J97" s="983"/>
      <c r="K97" s="983"/>
      <c r="L97" s="983"/>
      <c r="M97" s="983"/>
      <c r="N97" s="984"/>
      <c r="O97" s="988">
        <f>O96/N96-1</f>
        <v>-3.860745369337204E-2</v>
      </c>
      <c r="P97" s="988">
        <f>P96/O96-1</f>
        <v>-8.240482822655526E-2</v>
      </c>
      <c r="Q97" s="988">
        <f>Q96/P96-1</f>
        <v>-0.1120667847204655</v>
      </c>
      <c r="R97" s="989">
        <f>R96/Q96-1</f>
        <v>-9.7150997150997176E-2</v>
      </c>
      <c r="S97" s="988">
        <f>S96/R96-1</f>
        <v>-0.76396339539286839</v>
      </c>
      <c r="T97" s="949"/>
      <c r="U97" s="949"/>
      <c r="V97" s="949"/>
      <c r="W97" s="949"/>
      <c r="X97" s="947"/>
      <c r="Y97" s="947"/>
      <c r="Z97" s="947"/>
      <c r="AA97" s="984"/>
      <c r="AB97" s="984"/>
      <c r="AC97" s="984"/>
      <c r="AD97" s="984"/>
      <c r="AE97" s="984"/>
      <c r="AF97" s="984"/>
      <c r="AG97" s="984"/>
      <c r="AH97" s="984"/>
      <c r="AI97" s="984"/>
      <c r="AJ97" s="984"/>
      <c r="AK97" s="984"/>
      <c r="AL97" s="984"/>
      <c r="AM97" s="984"/>
      <c r="AN97" s="984"/>
      <c r="AO97" s="984"/>
      <c r="AP97" s="984"/>
      <c r="AQ97" s="984"/>
      <c r="AR97" s="984"/>
      <c r="AS97" s="984"/>
      <c r="AT97" s="984"/>
      <c r="AU97" s="984"/>
      <c r="AV97" s="984"/>
      <c r="AW97" s="984"/>
      <c r="AX97" s="984"/>
      <c r="AY97" s="984"/>
      <c r="AZ97" s="984"/>
      <c r="BA97" s="984"/>
      <c r="BB97" s="984"/>
      <c r="BC97" s="984"/>
      <c r="BD97" s="984"/>
      <c r="BE97" s="984"/>
      <c r="BF97" s="984"/>
      <c r="BG97" s="984"/>
      <c r="BH97" s="984"/>
      <c r="BI97" s="984"/>
      <c r="BJ97" s="984"/>
      <c r="BK97" s="984"/>
      <c r="BL97" s="984"/>
      <c r="BM97" s="984"/>
      <c r="BN97" s="984"/>
      <c r="BO97" s="984"/>
      <c r="BP97" s="984"/>
      <c r="BQ97" s="984"/>
      <c r="BR97" s="938"/>
      <c r="BS97" s="347"/>
      <c r="BT97" s="347"/>
      <c r="BU97" s="347"/>
      <c r="BV97" s="990">
        <f t="shared" ref="BV97:CG97" si="132">BV96/BR96-1</f>
        <v>-3.4300791556728272E-2</v>
      </c>
      <c r="BW97" s="988">
        <f t="shared" si="132"/>
        <v>-3.7135278514588865E-2</v>
      </c>
      <c r="BX97" s="988">
        <f t="shared" si="132"/>
        <v>-3.9497307001795323E-2</v>
      </c>
      <c r="BY97" s="988">
        <f t="shared" si="132"/>
        <v>-4.3676069153776198E-2</v>
      </c>
      <c r="BZ97" s="990">
        <f t="shared" si="132"/>
        <v>-6.1020036429872526E-2</v>
      </c>
      <c r="CA97" s="988">
        <f t="shared" si="132"/>
        <v>-8.5399449035812647E-2</v>
      </c>
      <c r="CB97" s="988">
        <f t="shared" si="132"/>
        <v>-8.5981308411214985E-2</v>
      </c>
      <c r="CC97" s="988">
        <f t="shared" si="132"/>
        <v>-9.8001902949571784E-2</v>
      </c>
      <c r="CD97" s="990">
        <f t="shared" si="132"/>
        <v>-0.10669253152279345</v>
      </c>
      <c r="CE97" s="988">
        <f t="shared" si="132"/>
        <v>-0.10742971887550201</v>
      </c>
      <c r="CF97" s="988">
        <f t="shared" si="132"/>
        <v>-0.12167689161554196</v>
      </c>
      <c r="CG97" s="988">
        <f t="shared" si="132"/>
        <v>-0.1128691983122363</v>
      </c>
      <c r="CH97" s="990">
        <f>CH96/CD96-1</f>
        <v>-0.10640608034744847</v>
      </c>
      <c r="CI97" s="988">
        <f>CI96/CE96-1</f>
        <v>-0.10573678290213728</v>
      </c>
      <c r="CJ97" s="988">
        <f>CJ96/CF96-1</f>
        <v>-8.6146682188591339E-2</v>
      </c>
      <c r="CK97" s="988">
        <f>CK96/CG96-1</f>
        <v>-8.9179548156956057E-2</v>
      </c>
      <c r="CL97" s="990">
        <f>CL96/CH96-1</f>
        <v>-9.1130012150668294E-2</v>
      </c>
    </row>
    <row r="98" spans="1:90">
      <c r="A98" s="1048" t="s">
        <v>77</v>
      </c>
      <c r="B98" s="1049"/>
      <c r="C98" s="1049"/>
      <c r="D98" s="1049"/>
      <c r="E98" s="1049"/>
      <c r="F98" s="1049"/>
      <c r="G98" s="1049"/>
      <c r="H98" s="1049"/>
      <c r="I98" s="1049"/>
      <c r="J98" s="1049"/>
      <c r="K98" s="1049"/>
      <c r="L98" s="1049"/>
      <c r="M98" s="1049"/>
      <c r="N98" s="1050">
        <f t="shared" ref="N98:S98" si="133">N96/AVERAGE(M147:N147)/12*1000</f>
        <v>39.598819158087224</v>
      </c>
      <c r="O98" s="1050">
        <f t="shared" si="133"/>
        <v>39.56577934804082</v>
      </c>
      <c r="P98" s="1051">
        <f t="shared" si="133"/>
        <v>39.871298313564111</v>
      </c>
      <c r="Q98" s="1051">
        <f t="shared" si="133"/>
        <v>39.87186477644493</v>
      </c>
      <c r="R98" s="1052">
        <f t="shared" si="133"/>
        <v>40.933633005244261</v>
      </c>
      <c r="S98" s="1020">
        <f t="shared" si="133"/>
        <v>20.647013359832172</v>
      </c>
      <c r="T98" s="949"/>
      <c r="U98" s="949"/>
      <c r="V98" s="949"/>
      <c r="W98" s="949"/>
      <c r="X98" s="947"/>
      <c r="Y98" s="947"/>
      <c r="Z98" s="947"/>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53"/>
      <c r="BC98" s="153"/>
      <c r="BD98" s="153"/>
      <c r="BE98" s="153"/>
      <c r="BF98" s="153"/>
      <c r="BG98" s="153"/>
      <c r="BH98" s="153"/>
      <c r="BI98" s="153"/>
      <c r="BJ98" s="153"/>
      <c r="BK98" s="153"/>
      <c r="BL98" s="153"/>
      <c r="BM98" s="153"/>
      <c r="BN98" s="153"/>
      <c r="BO98" s="153"/>
      <c r="BP98" s="153"/>
      <c r="BQ98" s="153"/>
      <c r="BR98" s="154"/>
      <c r="BS98" s="1051">
        <f t="shared" ref="BS98:CL98" si="134">BS96/AVERAGE(BR147:BS147)/3*1000</f>
        <v>38.365745434221878</v>
      </c>
      <c r="BT98" s="1051">
        <f t="shared" si="134"/>
        <v>38.466676825460489</v>
      </c>
      <c r="BU98" s="1051">
        <f t="shared" si="134"/>
        <v>38.560216260008133</v>
      </c>
      <c r="BV98" s="1053">
        <f t="shared" si="134"/>
        <v>39.113021403425435</v>
      </c>
      <c r="BW98" s="1051">
        <f t="shared" si="134"/>
        <v>39.520958083832333</v>
      </c>
      <c r="BX98" s="1051">
        <f t="shared" si="134"/>
        <v>39.678125115882374</v>
      </c>
      <c r="BY98" s="1051">
        <f t="shared" si="134"/>
        <v>39.78799924285444</v>
      </c>
      <c r="BZ98" s="1053">
        <f t="shared" si="134"/>
        <v>39.877775199195483</v>
      </c>
      <c r="CA98" s="1051">
        <f t="shared" si="134"/>
        <v>39.512049985123475</v>
      </c>
      <c r="CB98" s="1051">
        <f t="shared" si="134"/>
        <v>39.938744257274124</v>
      </c>
      <c r="CC98" s="1051">
        <f t="shared" si="134"/>
        <v>39.88388236778998</v>
      </c>
      <c r="CD98" s="1053">
        <f t="shared" si="134"/>
        <v>39.960950211519688</v>
      </c>
      <c r="CE98" s="1051">
        <f t="shared" si="134"/>
        <v>39.861895794099183</v>
      </c>
      <c r="CF98" s="1051">
        <f t="shared" si="134"/>
        <v>39.857089829250185</v>
      </c>
      <c r="CG98" s="1051">
        <f t="shared" si="134"/>
        <v>40.269099092628508</v>
      </c>
      <c r="CH98" s="1053">
        <f t="shared" si="134"/>
        <v>40.527896784360074</v>
      </c>
      <c r="CI98" s="1051">
        <f t="shared" si="134"/>
        <v>40.365575019040364</v>
      </c>
      <c r="CJ98" s="1051">
        <f t="shared" si="134"/>
        <v>41.223578836812393</v>
      </c>
      <c r="CK98" s="1051">
        <f t="shared" si="134"/>
        <v>41.598783534267405</v>
      </c>
      <c r="CL98" s="1053">
        <f t="shared" si="134"/>
        <v>41.820621787914199</v>
      </c>
    </row>
    <row r="99" spans="1:90">
      <c r="A99" s="983" t="s">
        <v>34</v>
      </c>
      <c r="B99" s="1049"/>
      <c r="C99" s="1049"/>
      <c r="D99" s="1049"/>
      <c r="E99" s="1049"/>
      <c r="F99" s="1049"/>
      <c r="G99" s="1049"/>
      <c r="H99" s="1049"/>
      <c r="I99" s="1049"/>
      <c r="J99" s="1049"/>
      <c r="K99" s="1049"/>
      <c r="L99" s="1049"/>
      <c r="M99" s="1049"/>
      <c r="N99" s="153"/>
      <c r="O99" s="1055">
        <f>O98/N98-1</f>
        <v>-8.3436351762156136E-4</v>
      </c>
      <c r="P99" s="1056">
        <f>P98/O98-1</f>
        <v>7.7217982447859157E-3</v>
      </c>
      <c r="Q99" s="1056">
        <f>Q98/P98-1</f>
        <v>1.4207284557476996E-5</v>
      </c>
      <c r="R99" s="1057">
        <f>R98/Q98-1</f>
        <v>2.6629510175972371E-2</v>
      </c>
      <c r="S99" s="1056">
        <f>S98/R98-1</f>
        <v>-0.49559782887614801</v>
      </c>
      <c r="T99" s="949"/>
      <c r="U99" s="949"/>
      <c r="V99" s="949"/>
      <c r="W99" s="949"/>
      <c r="X99" s="947"/>
      <c r="Y99" s="947"/>
      <c r="Z99" s="947"/>
      <c r="AA99" s="153"/>
      <c r="AB99" s="153"/>
      <c r="AC99" s="153"/>
      <c r="AD99" s="153"/>
      <c r="AE99" s="153"/>
      <c r="AF99" s="153"/>
      <c r="AG99" s="153"/>
      <c r="AH99" s="153"/>
      <c r="AI99" s="153"/>
      <c r="AJ99" s="153"/>
      <c r="AK99" s="153"/>
      <c r="AL99" s="153"/>
      <c r="AM99" s="153"/>
      <c r="AN99" s="153"/>
      <c r="AO99" s="153"/>
      <c r="AP99" s="153"/>
      <c r="AQ99" s="153"/>
      <c r="AR99" s="153"/>
      <c r="AS99" s="153"/>
      <c r="AT99" s="153"/>
      <c r="AU99" s="153"/>
      <c r="AV99" s="153"/>
      <c r="AW99" s="153"/>
      <c r="AX99" s="153"/>
      <c r="AY99" s="153"/>
      <c r="AZ99" s="153"/>
      <c r="BA99" s="153"/>
      <c r="BB99" s="153"/>
      <c r="BC99" s="153"/>
      <c r="BD99" s="153"/>
      <c r="BE99" s="153"/>
      <c r="BF99" s="153"/>
      <c r="BG99" s="153"/>
      <c r="BH99" s="153"/>
      <c r="BI99" s="153"/>
      <c r="BJ99" s="153"/>
      <c r="BK99" s="153"/>
      <c r="BL99" s="153"/>
      <c r="BM99" s="153"/>
      <c r="BN99" s="153"/>
      <c r="BO99" s="153"/>
      <c r="BP99" s="153"/>
      <c r="BQ99" s="153"/>
      <c r="BR99" s="154"/>
      <c r="BS99" s="153"/>
      <c r="BT99" s="153"/>
      <c r="BU99" s="153"/>
      <c r="BV99" s="1058"/>
      <c r="BW99" s="1055">
        <f t="shared" ref="BW99:CG99" si="135">BW98/BS98-1</f>
        <v>3.0110522721136013E-2</v>
      </c>
      <c r="BX99" s="1055">
        <f t="shared" si="135"/>
        <v>3.1493448106233224E-2</v>
      </c>
      <c r="BY99" s="1055">
        <f t="shared" si="135"/>
        <v>3.1840666415547947E-2</v>
      </c>
      <c r="BZ99" s="1058">
        <f t="shared" si="135"/>
        <v>1.9552409103917201E-2</v>
      </c>
      <c r="CA99" s="1055">
        <f t="shared" si="135"/>
        <v>-2.2540189157260748E-4</v>
      </c>
      <c r="CB99" s="1055">
        <f t="shared" si="135"/>
        <v>6.5683330709451759E-3</v>
      </c>
      <c r="CC99" s="1055">
        <f t="shared" si="135"/>
        <v>2.4098503759963918E-3</v>
      </c>
      <c r="CD99" s="1058">
        <f t="shared" si="135"/>
        <v>2.0857485631715633E-3</v>
      </c>
      <c r="CE99" s="1055">
        <f t="shared" si="135"/>
        <v>8.8541548491518629E-3</v>
      </c>
      <c r="CF99" s="1055">
        <f t="shared" si="135"/>
        <v>-2.0444916219184428E-3</v>
      </c>
      <c r="CG99" s="1055">
        <f t="shared" si="135"/>
        <v>9.6584560471382197E-3</v>
      </c>
      <c r="CH99" s="1058">
        <f>CH98/CD98-1</f>
        <v>1.4187514807316726E-2</v>
      </c>
      <c r="CI99" s="1056">
        <f>CI98/CE98-1</f>
        <v>1.2635606383170073E-2</v>
      </c>
      <c r="CJ99" s="1056">
        <f>CJ98/CF98-1</f>
        <v>3.428471605469241E-2</v>
      </c>
      <c r="CK99" s="1056">
        <f>CK98/CG98-1</f>
        <v>3.3019969942220673E-2</v>
      </c>
      <c r="CL99" s="1058">
        <f>CL98/CH98-1</f>
        <v>3.1897164820380963E-2</v>
      </c>
    </row>
    <row r="100" spans="1:90">
      <c r="A100" s="1047" t="s">
        <v>659</v>
      </c>
      <c r="B100" s="1048"/>
      <c r="C100" s="1048"/>
      <c r="D100" s="1048"/>
      <c r="E100" s="1048"/>
      <c r="F100" s="1048"/>
      <c r="G100" s="1048"/>
      <c r="H100" s="1048"/>
      <c r="I100" s="1048"/>
      <c r="J100" s="1048"/>
      <c r="K100" s="1048"/>
      <c r="L100" s="1048"/>
      <c r="M100" s="1048"/>
      <c r="N100" s="984">
        <f>SUM(BR100:BU100)</f>
        <v>869</v>
      </c>
      <c r="O100" s="984">
        <f>SUM(BV100:BY100)</f>
        <v>1150</v>
      </c>
      <c r="P100" s="948">
        <f>SUM(BZ100:CC100)</f>
        <v>1333</v>
      </c>
      <c r="Q100" s="948">
        <f>SUM(CD100:CG100)</f>
        <v>1398</v>
      </c>
      <c r="R100" s="985">
        <f>SUM(CH100:CK100)</f>
        <v>1497</v>
      </c>
      <c r="S100" s="984">
        <f>SUM(CL100:CO100)</f>
        <v>393</v>
      </c>
      <c r="T100" s="949"/>
      <c r="U100" s="949"/>
      <c r="V100" s="949"/>
      <c r="W100" s="949"/>
      <c r="X100" s="947"/>
      <c r="Y100" s="947"/>
      <c r="Z100" s="947"/>
      <c r="AA100" s="984"/>
      <c r="AB100" s="984"/>
      <c r="AC100" s="984"/>
      <c r="AD100" s="984"/>
      <c r="AE100" s="984"/>
      <c r="AF100" s="984"/>
      <c r="AG100" s="984"/>
      <c r="AH100" s="984"/>
      <c r="AI100" s="984"/>
      <c r="AJ100" s="984"/>
      <c r="AK100" s="984"/>
      <c r="AL100" s="984"/>
      <c r="AM100" s="984"/>
      <c r="AN100" s="984"/>
      <c r="AO100" s="984"/>
      <c r="AP100" s="984"/>
      <c r="AQ100" s="984"/>
      <c r="AR100" s="984"/>
      <c r="AS100" s="984"/>
      <c r="AT100" s="984"/>
      <c r="AU100" s="984"/>
      <c r="AV100" s="984"/>
      <c r="AW100" s="984"/>
      <c r="AX100" s="984"/>
      <c r="AY100" s="984"/>
      <c r="AZ100" s="984"/>
      <c r="BA100" s="984"/>
      <c r="BB100" s="984"/>
      <c r="BC100" s="984"/>
      <c r="BD100" s="984"/>
      <c r="BE100" s="984"/>
      <c r="BF100" s="984"/>
      <c r="BG100" s="984"/>
      <c r="BH100" s="984"/>
      <c r="BI100" s="984"/>
      <c r="BJ100" s="984"/>
      <c r="BK100" s="984"/>
      <c r="BL100" s="984"/>
      <c r="BM100" s="984"/>
      <c r="BN100" s="984"/>
      <c r="BO100" s="984"/>
      <c r="BP100" s="984"/>
      <c r="BQ100" s="984"/>
      <c r="BR100" s="938">
        <v>190</v>
      </c>
      <c r="BS100" s="348">
        <v>204</v>
      </c>
      <c r="BT100" s="348">
        <v>224</v>
      </c>
      <c r="BU100" s="348">
        <v>251</v>
      </c>
      <c r="BV100" s="938">
        <v>267</v>
      </c>
      <c r="BW100" s="348">
        <v>280</v>
      </c>
      <c r="BX100" s="348">
        <v>296</v>
      </c>
      <c r="BY100" s="348">
        <v>307</v>
      </c>
      <c r="BZ100" s="938">
        <v>326</v>
      </c>
      <c r="CA100" s="348">
        <v>333</v>
      </c>
      <c r="CB100" s="348">
        <v>334</v>
      </c>
      <c r="CC100" s="348">
        <v>340</v>
      </c>
      <c r="CD100" s="938">
        <v>349</v>
      </c>
      <c r="CE100" s="348">
        <v>347</v>
      </c>
      <c r="CF100" s="348">
        <v>347</v>
      </c>
      <c r="CG100" s="348">
        <v>355</v>
      </c>
      <c r="CH100" s="938">
        <v>367</v>
      </c>
      <c r="CI100" s="347">
        <v>368</v>
      </c>
      <c r="CJ100" s="347">
        <v>380</v>
      </c>
      <c r="CK100" s="347">
        <v>382</v>
      </c>
      <c r="CL100" s="938">
        <v>393</v>
      </c>
    </row>
    <row r="101" spans="1:90">
      <c r="A101" s="983" t="s">
        <v>34</v>
      </c>
      <c r="B101" s="983"/>
      <c r="C101" s="983"/>
      <c r="D101" s="983"/>
      <c r="E101" s="983"/>
      <c r="F101" s="983"/>
      <c r="G101" s="983"/>
      <c r="H101" s="983"/>
      <c r="I101" s="983"/>
      <c r="J101" s="983"/>
      <c r="K101" s="983"/>
      <c r="L101" s="983"/>
      <c r="M101" s="983"/>
      <c r="N101" s="984"/>
      <c r="O101" s="988">
        <f>O100/N100-1</f>
        <v>0.32336018411967782</v>
      </c>
      <c r="P101" s="988">
        <f>P100/O100-1</f>
        <v>0.1591304347826088</v>
      </c>
      <c r="Q101" s="988">
        <f>Q100/P100-1</f>
        <v>4.8762190547636974E-2</v>
      </c>
      <c r="R101" s="989">
        <f>R100/Q100-1</f>
        <v>7.0815450643776812E-2</v>
      </c>
      <c r="S101" s="988">
        <f>S100/R100-1</f>
        <v>-0.73747494989979967</v>
      </c>
      <c r="T101" s="949"/>
      <c r="U101" s="949"/>
      <c r="V101" s="949"/>
      <c r="W101" s="949"/>
      <c r="X101" s="947"/>
      <c r="Y101" s="947"/>
      <c r="Z101" s="947"/>
      <c r="AA101" s="984"/>
      <c r="AB101" s="984"/>
      <c r="AC101" s="984"/>
      <c r="AD101" s="984"/>
      <c r="AE101" s="984"/>
      <c r="AF101" s="984"/>
      <c r="AG101" s="984"/>
      <c r="AH101" s="984"/>
      <c r="AI101" s="984"/>
      <c r="AJ101" s="984"/>
      <c r="AK101" s="984"/>
      <c r="AL101" s="984"/>
      <c r="AM101" s="984"/>
      <c r="AN101" s="984"/>
      <c r="AO101" s="984"/>
      <c r="AP101" s="984"/>
      <c r="AQ101" s="984"/>
      <c r="AR101" s="984"/>
      <c r="AS101" s="984"/>
      <c r="AT101" s="984"/>
      <c r="AU101" s="984"/>
      <c r="AV101" s="984"/>
      <c r="AW101" s="984"/>
      <c r="AX101" s="984"/>
      <c r="AY101" s="984"/>
      <c r="AZ101" s="984"/>
      <c r="BA101" s="984"/>
      <c r="BB101" s="984"/>
      <c r="BC101" s="984"/>
      <c r="BD101" s="984"/>
      <c r="BE101" s="984"/>
      <c r="BF101" s="984"/>
      <c r="BG101" s="984"/>
      <c r="BH101" s="984"/>
      <c r="BI101" s="984"/>
      <c r="BJ101" s="984"/>
      <c r="BK101" s="984"/>
      <c r="BL101" s="984"/>
      <c r="BM101" s="984"/>
      <c r="BN101" s="984"/>
      <c r="BO101" s="984"/>
      <c r="BP101" s="984"/>
      <c r="BQ101" s="984"/>
      <c r="BR101" s="938"/>
      <c r="BS101" s="347"/>
      <c r="BT101" s="347"/>
      <c r="BU101" s="347"/>
      <c r="BV101" s="990">
        <f t="shared" ref="BV101:CG101" si="136">BV100/BR100-1</f>
        <v>0.40526315789473677</v>
      </c>
      <c r="BW101" s="988">
        <f t="shared" si="136"/>
        <v>0.37254901960784315</v>
      </c>
      <c r="BX101" s="988">
        <f t="shared" si="136"/>
        <v>0.3214285714285714</v>
      </c>
      <c r="BY101" s="988">
        <f t="shared" si="136"/>
        <v>0.22310756972111556</v>
      </c>
      <c r="BZ101" s="990">
        <f t="shared" si="136"/>
        <v>0.22097378277153568</v>
      </c>
      <c r="CA101" s="988">
        <f t="shared" si="136"/>
        <v>0.18928571428571428</v>
      </c>
      <c r="CB101" s="988">
        <f t="shared" si="136"/>
        <v>0.12837837837837829</v>
      </c>
      <c r="CC101" s="988">
        <f t="shared" si="136"/>
        <v>0.10749185667752448</v>
      </c>
      <c r="CD101" s="990">
        <f t="shared" si="136"/>
        <v>7.055214723926384E-2</v>
      </c>
      <c r="CE101" s="988">
        <f t="shared" si="136"/>
        <v>4.2042042042041983E-2</v>
      </c>
      <c r="CF101" s="988">
        <f t="shared" si="136"/>
        <v>3.8922155688622784E-2</v>
      </c>
      <c r="CG101" s="988">
        <f t="shared" si="136"/>
        <v>4.4117647058823595E-2</v>
      </c>
      <c r="CH101" s="990">
        <f>CH100/CD100-1</f>
        <v>5.1575931232091587E-2</v>
      </c>
      <c r="CI101" s="988">
        <f>CI100/CE100-1</f>
        <v>6.0518731988472574E-2</v>
      </c>
      <c r="CJ101" s="988">
        <f>CJ100/CF100-1</f>
        <v>9.5100864553314013E-2</v>
      </c>
      <c r="CK101" s="988">
        <f>CK100/CG100-1</f>
        <v>7.6056338028168913E-2</v>
      </c>
      <c r="CL101" s="990">
        <f>CL100/CH100-1</f>
        <v>7.0844686648501298E-2</v>
      </c>
    </row>
    <row r="102" spans="1:90">
      <c r="A102" s="1048" t="s">
        <v>77</v>
      </c>
      <c r="B102" s="1049"/>
      <c r="C102" s="1049"/>
      <c r="D102" s="1049"/>
      <c r="E102" s="1049"/>
      <c r="F102" s="1049"/>
      <c r="G102" s="1049"/>
      <c r="H102" s="1049"/>
      <c r="I102" s="1049"/>
      <c r="J102" s="1049"/>
      <c r="K102" s="1049"/>
      <c r="L102" s="1049"/>
      <c r="M102" s="1049"/>
      <c r="N102" s="1050">
        <f t="shared" ref="N102:S102" si="137">N100/AVERAGE(M151:N151)/12*1000</f>
        <v>33.871219207982534</v>
      </c>
      <c r="O102" s="1050">
        <f t="shared" si="137"/>
        <v>42.115286017725047</v>
      </c>
      <c r="P102" s="1051">
        <f t="shared" si="137"/>
        <v>43.863112866074367</v>
      </c>
      <c r="Q102" s="1051">
        <f t="shared" si="137"/>
        <v>42.642752562225475</v>
      </c>
      <c r="R102" s="1052">
        <f t="shared" si="137"/>
        <v>43.535159658000346</v>
      </c>
      <c r="S102" s="1020">
        <f t="shared" si="137"/>
        <v>22.439191503939707</v>
      </c>
      <c r="T102" s="949"/>
      <c r="U102" s="949"/>
      <c r="V102" s="949"/>
      <c r="W102" s="949"/>
      <c r="X102" s="947"/>
      <c r="Y102" s="947"/>
      <c r="Z102" s="947"/>
      <c r="AA102" s="153"/>
      <c r="AB102" s="153"/>
      <c r="AC102" s="153"/>
      <c r="AD102" s="153"/>
      <c r="AE102" s="153"/>
      <c r="AF102" s="153"/>
      <c r="AG102" s="153"/>
      <c r="AH102" s="153"/>
      <c r="AI102" s="153"/>
      <c r="AJ102" s="153"/>
      <c r="AK102" s="153"/>
      <c r="AL102" s="153"/>
      <c r="AM102" s="153"/>
      <c r="AN102" s="153"/>
      <c r="AO102" s="153"/>
      <c r="AP102" s="153"/>
      <c r="AQ102" s="153"/>
      <c r="AR102" s="153"/>
      <c r="AS102" s="153"/>
      <c r="AT102" s="153"/>
      <c r="AU102" s="153"/>
      <c r="AV102" s="153"/>
      <c r="AW102" s="153"/>
      <c r="AX102" s="153"/>
      <c r="AY102" s="153"/>
      <c r="AZ102" s="153"/>
      <c r="BA102" s="153"/>
      <c r="BB102" s="153"/>
      <c r="BC102" s="153"/>
      <c r="BD102" s="153"/>
      <c r="BE102" s="153"/>
      <c r="BF102" s="153"/>
      <c r="BG102" s="153"/>
      <c r="BH102" s="153"/>
      <c r="BI102" s="153"/>
      <c r="BJ102" s="153"/>
      <c r="BK102" s="153"/>
      <c r="BL102" s="153"/>
      <c r="BM102" s="153"/>
      <c r="BN102" s="153"/>
      <c r="BO102" s="153"/>
      <c r="BP102" s="153"/>
      <c r="BQ102" s="153"/>
      <c r="BR102" s="154"/>
      <c r="BS102" s="1051">
        <f t="shared" ref="BS102:CL102" si="138">BS100/AVERAGE(BR151:BS151)/3*1000</f>
        <v>39.125431530494822</v>
      </c>
      <c r="BT102" s="1051">
        <f t="shared" si="138"/>
        <v>39.600459648192341</v>
      </c>
      <c r="BU102" s="1051">
        <f t="shared" si="138"/>
        <v>40.703802805481224</v>
      </c>
      <c r="BV102" s="1053">
        <f t="shared" si="138"/>
        <v>41.862652869238005</v>
      </c>
      <c r="BW102" s="1051">
        <f t="shared" si="138"/>
        <v>43.139973807873048</v>
      </c>
      <c r="BX102" s="1051">
        <f t="shared" si="138"/>
        <v>43.561442236938923</v>
      </c>
      <c r="BY102" s="1051">
        <f t="shared" si="138"/>
        <v>43.26990838618746</v>
      </c>
      <c r="BZ102" s="1053">
        <f t="shared" si="138"/>
        <v>44.101731601731608</v>
      </c>
      <c r="CA102" s="1051">
        <f t="shared" si="138"/>
        <v>43.79562043795621</v>
      </c>
      <c r="CB102" s="1051">
        <f t="shared" si="138"/>
        <v>43.211074455010028</v>
      </c>
      <c r="CC102" s="1051">
        <f t="shared" si="138"/>
        <v>43.166381006792356</v>
      </c>
      <c r="CD102" s="1053">
        <f t="shared" si="138"/>
        <v>43.407960199004975</v>
      </c>
      <c r="CE102" s="1051">
        <f t="shared" si="138"/>
        <v>42.454272955282313</v>
      </c>
      <c r="CF102" s="1051">
        <f t="shared" si="138"/>
        <v>41.97665275509587</v>
      </c>
      <c r="CG102" s="1051">
        <f t="shared" si="138"/>
        <v>42.398184641108315</v>
      </c>
      <c r="CH102" s="1053">
        <f t="shared" si="138"/>
        <v>43.158699359087429</v>
      </c>
      <c r="CI102" s="1051">
        <f t="shared" si="138"/>
        <v>42.920457196174482</v>
      </c>
      <c r="CJ102" s="1051">
        <f t="shared" si="138"/>
        <v>43.996758133611209</v>
      </c>
      <c r="CK102" s="1051">
        <f t="shared" si="138"/>
        <v>43.772201214621298</v>
      </c>
      <c r="CL102" s="1053">
        <f t="shared" si="138"/>
        <v>44.52753229095854</v>
      </c>
    </row>
    <row r="103" spans="1:90">
      <c r="A103" s="983" t="s">
        <v>34</v>
      </c>
      <c r="B103" s="1049"/>
      <c r="C103" s="1049"/>
      <c r="D103" s="1049"/>
      <c r="E103" s="1049"/>
      <c r="F103" s="1049"/>
      <c r="G103" s="1049"/>
      <c r="H103" s="1049"/>
      <c r="I103" s="1049"/>
      <c r="J103" s="1049"/>
      <c r="K103" s="1049"/>
      <c r="L103" s="1049"/>
      <c r="M103" s="1049"/>
      <c r="N103" s="153"/>
      <c r="O103" s="1055">
        <f>O102/N102-1</f>
        <v>0.24339445117463043</v>
      </c>
      <c r="P103" s="1056">
        <f>P102/O102-1</f>
        <v>4.1501008626979585E-2</v>
      </c>
      <c r="Q103" s="1056">
        <f>Q102/P102-1</f>
        <v>-2.7822017729908333E-2</v>
      </c>
      <c r="R103" s="1057">
        <f>R102/Q102-1</f>
        <v>2.0927520906926622E-2</v>
      </c>
      <c r="S103" s="1056">
        <f>S102/R102-1</f>
        <v>-0.48457312020409427</v>
      </c>
      <c r="T103" s="949"/>
      <c r="U103" s="949"/>
      <c r="V103" s="949"/>
      <c r="W103" s="949"/>
      <c r="X103" s="947"/>
      <c r="Y103" s="947"/>
      <c r="Z103" s="947"/>
      <c r="AA103" s="153"/>
      <c r="AB103" s="153"/>
      <c r="AC103" s="153"/>
      <c r="AD103" s="153"/>
      <c r="AE103" s="153"/>
      <c r="AF103" s="153"/>
      <c r="AG103" s="153"/>
      <c r="AH103" s="153"/>
      <c r="AI103" s="153"/>
      <c r="AJ103" s="153"/>
      <c r="AK103" s="153"/>
      <c r="AL103" s="153"/>
      <c r="AM103" s="153"/>
      <c r="AN103" s="153"/>
      <c r="AO103" s="153"/>
      <c r="AP103" s="153"/>
      <c r="AQ103" s="153"/>
      <c r="AR103" s="153"/>
      <c r="AS103" s="153"/>
      <c r="AT103" s="153"/>
      <c r="AU103" s="153"/>
      <c r="AV103" s="153"/>
      <c r="AW103" s="153"/>
      <c r="AX103" s="153"/>
      <c r="AY103" s="153"/>
      <c r="AZ103" s="153"/>
      <c r="BA103" s="153"/>
      <c r="BB103" s="153"/>
      <c r="BC103" s="153"/>
      <c r="BD103" s="153"/>
      <c r="BE103" s="153"/>
      <c r="BF103" s="153"/>
      <c r="BG103" s="153"/>
      <c r="BH103" s="153"/>
      <c r="BI103" s="153"/>
      <c r="BJ103" s="153"/>
      <c r="BK103" s="153"/>
      <c r="BL103" s="153"/>
      <c r="BM103" s="153"/>
      <c r="BN103" s="153"/>
      <c r="BO103" s="153"/>
      <c r="BP103" s="153"/>
      <c r="BQ103" s="153"/>
      <c r="BR103" s="154"/>
      <c r="BS103" s="153"/>
      <c r="BT103" s="153"/>
      <c r="BU103" s="153"/>
      <c r="BV103" s="1058"/>
      <c r="BW103" s="1055">
        <f t="shared" ref="BW103:CG103" si="139">BW102/BS102-1</f>
        <v>0.10260697761887294</v>
      </c>
      <c r="BX103" s="1055">
        <f t="shared" si="139"/>
        <v>0.10002365184484385</v>
      </c>
      <c r="BY103" s="1055">
        <f t="shared" si="139"/>
        <v>6.3043386706872484E-2</v>
      </c>
      <c r="BZ103" s="1058">
        <f t="shared" si="139"/>
        <v>5.3486307699790903E-2</v>
      </c>
      <c r="CA103" s="1055">
        <f t="shared" si="139"/>
        <v>1.5198123044838363E-2</v>
      </c>
      <c r="CB103" s="1055">
        <f t="shared" si="139"/>
        <v>-8.0430712101582369E-3</v>
      </c>
      <c r="CC103" s="1055">
        <f t="shared" si="139"/>
        <v>-2.3925952990496713E-3</v>
      </c>
      <c r="CD103" s="1058">
        <f t="shared" si="139"/>
        <v>-1.573116015016951E-2</v>
      </c>
      <c r="CE103" s="1055">
        <f t="shared" si="139"/>
        <v>-3.0627434187720626E-2</v>
      </c>
      <c r="CF103" s="1055">
        <f t="shared" si="139"/>
        <v>-2.8567253082294908E-2</v>
      </c>
      <c r="CG103" s="1055">
        <f t="shared" si="139"/>
        <v>-1.7796172571501012E-2</v>
      </c>
      <c r="CH103" s="1058">
        <f>CH102/CD102-1</f>
        <v>-5.7422841058368812E-3</v>
      </c>
      <c r="CI103" s="1056">
        <f>CI102/CE102-1</f>
        <v>1.0980855599228123E-2</v>
      </c>
      <c r="CJ103" s="1056">
        <f>CJ102/CF102-1</f>
        <v>4.812449888039505E-2</v>
      </c>
      <c r="CK103" s="1056">
        <f>CK102/CG102-1</f>
        <v>3.240743878880048E-2</v>
      </c>
      <c r="CL103" s="1058">
        <f>CL102/CH102-1</f>
        <v>3.1716269308354139E-2</v>
      </c>
    </row>
    <row r="104" spans="1:90" hidden="1" outlineLevel="1">
      <c r="A104" s="1059" t="s">
        <v>78</v>
      </c>
      <c r="B104" s="1049"/>
      <c r="C104" s="1049"/>
      <c r="D104" s="1049"/>
      <c r="E104" s="1049"/>
      <c r="F104" s="1049"/>
      <c r="G104" s="1049"/>
      <c r="H104" s="1049"/>
      <c r="I104" s="1049"/>
      <c r="J104" s="1049"/>
      <c r="K104" s="1049"/>
      <c r="L104" s="1049"/>
      <c r="M104" s="1049"/>
      <c r="N104" s="153"/>
      <c r="O104" s="1055"/>
      <c r="P104" s="1056"/>
      <c r="Q104" s="1056"/>
      <c r="R104" s="1057"/>
      <c r="S104" s="1056"/>
      <c r="T104" s="949"/>
      <c r="U104" s="949"/>
      <c r="V104" s="949"/>
      <c r="W104" s="949"/>
      <c r="X104" s="947"/>
      <c r="Y104" s="947"/>
      <c r="Z104" s="947"/>
      <c r="AA104" s="153"/>
      <c r="AB104" s="153"/>
      <c r="AC104" s="153"/>
      <c r="AD104" s="153"/>
      <c r="AE104" s="153"/>
      <c r="AF104" s="153"/>
      <c r="AG104" s="153"/>
      <c r="AH104" s="153"/>
      <c r="AI104" s="153"/>
      <c r="AJ104" s="153"/>
      <c r="AK104" s="153"/>
      <c r="AL104" s="153"/>
      <c r="AM104" s="153"/>
      <c r="AN104" s="153"/>
      <c r="AO104" s="153"/>
      <c r="AP104" s="153"/>
      <c r="AQ104" s="153"/>
      <c r="AR104" s="153"/>
      <c r="AS104" s="153"/>
      <c r="AT104" s="153"/>
      <c r="AU104" s="153"/>
      <c r="AV104" s="153"/>
      <c r="AW104" s="153"/>
      <c r="AX104" s="153"/>
      <c r="AY104" s="153"/>
      <c r="AZ104" s="153"/>
      <c r="BA104" s="153"/>
      <c r="BB104" s="153"/>
      <c r="BC104" s="153"/>
      <c r="BD104" s="153"/>
      <c r="BE104" s="153"/>
      <c r="BF104" s="153"/>
      <c r="BG104" s="153"/>
      <c r="BH104" s="153"/>
      <c r="BI104" s="153"/>
      <c r="BJ104" s="153"/>
      <c r="BK104" s="153"/>
      <c r="BL104" s="153"/>
      <c r="BM104" s="153"/>
      <c r="BN104" s="153"/>
      <c r="BO104" s="153"/>
      <c r="BP104" s="153"/>
      <c r="BQ104" s="153"/>
      <c r="BR104" s="154"/>
      <c r="BS104" s="153"/>
      <c r="BT104" s="153"/>
      <c r="BU104" s="153"/>
      <c r="BV104" s="1058"/>
      <c r="BW104" s="1055"/>
      <c r="BX104" s="1055"/>
      <c r="BY104" s="1055"/>
      <c r="BZ104" s="1058"/>
      <c r="CA104" s="1055"/>
      <c r="CB104" s="1055"/>
      <c r="CC104" s="1055"/>
      <c r="CD104" s="1058"/>
      <c r="CE104" s="1055"/>
      <c r="CF104" s="1055"/>
      <c r="CG104" s="1055"/>
      <c r="CH104" s="1058"/>
      <c r="CI104" s="1056"/>
      <c r="CJ104" s="1056"/>
      <c r="CK104" s="1056"/>
      <c r="CL104" s="1058"/>
    </row>
    <row r="105" spans="1:90" hidden="1" outlineLevel="1">
      <c r="A105" s="1059" t="s">
        <v>79</v>
      </c>
      <c r="B105" s="1049"/>
      <c r="C105" s="1049"/>
      <c r="D105" s="1049"/>
      <c r="E105" s="1049"/>
      <c r="F105" s="1049"/>
      <c r="G105" s="1049"/>
      <c r="H105" s="1049"/>
      <c r="I105" s="1049"/>
      <c r="J105" s="1049"/>
      <c r="K105" s="1049"/>
      <c r="L105" s="1049"/>
      <c r="M105" s="1049"/>
      <c r="N105" s="153"/>
      <c r="O105" s="1055"/>
      <c r="P105" s="1056"/>
      <c r="Q105" s="1056"/>
      <c r="R105" s="1057"/>
      <c r="S105" s="1056"/>
      <c r="T105" s="949"/>
      <c r="U105" s="949"/>
      <c r="V105" s="949"/>
      <c r="W105" s="949"/>
      <c r="X105" s="947"/>
      <c r="Y105" s="947"/>
      <c r="Z105" s="947"/>
      <c r="AA105" s="153"/>
      <c r="AB105" s="153"/>
      <c r="AC105" s="153"/>
      <c r="AD105" s="153"/>
      <c r="AE105" s="153"/>
      <c r="AF105" s="153"/>
      <c r="AG105" s="153"/>
      <c r="AH105" s="153"/>
      <c r="AI105" s="153"/>
      <c r="AJ105" s="153"/>
      <c r="AK105" s="153"/>
      <c r="AL105" s="153"/>
      <c r="AM105" s="153"/>
      <c r="AN105" s="153"/>
      <c r="AO105" s="153"/>
      <c r="AP105" s="153"/>
      <c r="AQ105" s="153"/>
      <c r="AR105" s="153"/>
      <c r="AS105" s="153"/>
      <c r="AT105" s="153"/>
      <c r="AU105" s="153"/>
      <c r="AV105" s="153"/>
      <c r="AW105" s="153"/>
      <c r="AX105" s="153"/>
      <c r="AY105" s="153"/>
      <c r="AZ105" s="153"/>
      <c r="BA105" s="153"/>
      <c r="BB105" s="153"/>
      <c r="BC105" s="153"/>
      <c r="BD105" s="153"/>
      <c r="BE105" s="153"/>
      <c r="BF105" s="153"/>
      <c r="BG105" s="153"/>
      <c r="BH105" s="153"/>
      <c r="BI105" s="153"/>
      <c r="BJ105" s="153"/>
      <c r="BK105" s="153"/>
      <c r="BL105" s="153"/>
      <c r="BM105" s="153"/>
      <c r="BN105" s="153"/>
      <c r="BO105" s="153"/>
      <c r="BP105" s="153"/>
      <c r="BQ105" s="153"/>
      <c r="BR105" s="154"/>
      <c r="BS105" s="153"/>
      <c r="BT105" s="153"/>
      <c r="BU105" s="153"/>
      <c r="BV105" s="1058"/>
      <c r="BW105" s="1055"/>
      <c r="BX105" s="1055"/>
      <c r="BY105" s="1055"/>
      <c r="BZ105" s="1058"/>
      <c r="CA105" s="1055"/>
      <c r="CB105" s="1055"/>
      <c r="CC105" s="1055"/>
      <c r="CD105" s="1058"/>
      <c r="CE105" s="1055"/>
      <c r="CF105" s="1055"/>
      <c r="CG105" s="1055"/>
      <c r="CH105" s="1058"/>
      <c r="CI105" s="1056"/>
      <c r="CJ105" s="1056"/>
      <c r="CK105" s="1056"/>
      <c r="CL105" s="1058"/>
    </row>
    <row r="106" spans="1:90" hidden="1" outlineLevel="1">
      <c r="A106" s="1059" t="s">
        <v>80</v>
      </c>
      <c r="B106" s="1049"/>
      <c r="C106" s="1049"/>
      <c r="D106" s="1049"/>
      <c r="E106" s="1049"/>
      <c r="F106" s="1049"/>
      <c r="G106" s="1049"/>
      <c r="H106" s="1049"/>
      <c r="I106" s="1049"/>
      <c r="J106" s="1049"/>
      <c r="K106" s="1049"/>
      <c r="L106" s="1049"/>
      <c r="M106" s="1049"/>
      <c r="N106" s="153"/>
      <c r="O106" s="1055"/>
      <c r="P106" s="1056"/>
      <c r="Q106" s="1056"/>
      <c r="R106" s="1057"/>
      <c r="S106" s="1056"/>
      <c r="T106" s="949"/>
      <c r="U106" s="949"/>
      <c r="V106" s="949"/>
      <c r="W106" s="949"/>
      <c r="X106" s="947"/>
      <c r="Y106" s="947"/>
      <c r="Z106" s="947"/>
      <c r="AA106" s="153"/>
      <c r="AB106" s="153"/>
      <c r="AC106" s="153"/>
      <c r="AD106" s="153"/>
      <c r="AE106" s="153"/>
      <c r="AF106" s="153"/>
      <c r="AG106" s="153"/>
      <c r="AH106" s="153"/>
      <c r="AI106" s="153"/>
      <c r="AJ106" s="153"/>
      <c r="AK106" s="153"/>
      <c r="AL106" s="153"/>
      <c r="AM106" s="153"/>
      <c r="AN106" s="153"/>
      <c r="AO106" s="153"/>
      <c r="AP106" s="153"/>
      <c r="AQ106" s="153"/>
      <c r="AR106" s="153"/>
      <c r="AS106" s="153"/>
      <c r="AT106" s="153"/>
      <c r="AU106" s="153"/>
      <c r="AV106" s="153"/>
      <c r="AW106" s="153"/>
      <c r="AX106" s="153"/>
      <c r="AY106" s="153"/>
      <c r="AZ106" s="153"/>
      <c r="BA106" s="153"/>
      <c r="BB106" s="153"/>
      <c r="BC106" s="153"/>
      <c r="BD106" s="153"/>
      <c r="BE106" s="153"/>
      <c r="BF106" s="153"/>
      <c r="BG106" s="153"/>
      <c r="BH106" s="153"/>
      <c r="BI106" s="153"/>
      <c r="BJ106" s="153"/>
      <c r="BK106" s="153"/>
      <c r="BL106" s="153"/>
      <c r="BM106" s="153"/>
      <c r="BN106" s="153"/>
      <c r="BO106" s="153"/>
      <c r="BP106" s="153"/>
      <c r="BQ106" s="153"/>
      <c r="BR106" s="154"/>
      <c r="BS106" s="153"/>
      <c r="BT106" s="153"/>
      <c r="BU106" s="153"/>
      <c r="BV106" s="1058"/>
      <c r="BW106" s="1055"/>
      <c r="BX106" s="1055"/>
      <c r="BY106" s="1055"/>
      <c r="BZ106" s="1058"/>
      <c r="CA106" s="1055"/>
      <c r="CB106" s="1055"/>
      <c r="CC106" s="1055"/>
      <c r="CD106" s="1058"/>
      <c r="CE106" s="1055"/>
      <c r="CF106" s="1055"/>
      <c r="CG106" s="1055"/>
      <c r="CH106" s="1058"/>
      <c r="CI106" s="1056"/>
      <c r="CJ106" s="1056"/>
      <c r="CK106" s="1056"/>
      <c r="CL106" s="1058"/>
    </row>
    <row r="107" spans="1:90" hidden="1" outlineLevel="1">
      <c r="A107" s="1059" t="s">
        <v>81</v>
      </c>
      <c r="B107" s="1049"/>
      <c r="C107" s="1049"/>
      <c r="D107" s="1049"/>
      <c r="E107" s="1049"/>
      <c r="F107" s="1049"/>
      <c r="G107" s="1049"/>
      <c r="H107" s="1049"/>
      <c r="I107" s="1049"/>
      <c r="J107" s="1049"/>
      <c r="K107" s="1049"/>
      <c r="L107" s="1049"/>
      <c r="M107" s="1049"/>
      <c r="N107" s="153"/>
      <c r="O107" s="1055"/>
      <c r="P107" s="1056"/>
      <c r="Q107" s="1056"/>
      <c r="R107" s="1057"/>
      <c r="S107" s="1056"/>
      <c r="T107" s="949"/>
      <c r="U107" s="949"/>
      <c r="V107" s="949"/>
      <c r="W107" s="949"/>
      <c r="X107" s="947"/>
      <c r="Y107" s="947"/>
      <c r="Z107" s="947"/>
      <c r="AA107" s="153"/>
      <c r="AB107" s="153"/>
      <c r="AC107" s="153"/>
      <c r="AD107" s="153"/>
      <c r="AE107" s="153"/>
      <c r="AF107" s="153"/>
      <c r="AG107" s="153"/>
      <c r="AH107" s="153"/>
      <c r="AI107" s="153"/>
      <c r="AJ107" s="153"/>
      <c r="AK107" s="153"/>
      <c r="AL107" s="153"/>
      <c r="AM107" s="153"/>
      <c r="AN107" s="153"/>
      <c r="AO107" s="153"/>
      <c r="AP107" s="153"/>
      <c r="AQ107" s="153"/>
      <c r="AR107" s="153"/>
      <c r="AS107" s="153"/>
      <c r="AT107" s="153"/>
      <c r="AU107" s="153"/>
      <c r="AV107" s="153"/>
      <c r="AW107" s="153"/>
      <c r="AX107" s="153"/>
      <c r="AY107" s="153"/>
      <c r="AZ107" s="153"/>
      <c r="BA107" s="153"/>
      <c r="BB107" s="153"/>
      <c r="BC107" s="153"/>
      <c r="BD107" s="153"/>
      <c r="BE107" s="153"/>
      <c r="BF107" s="153"/>
      <c r="BG107" s="153"/>
      <c r="BH107" s="153"/>
      <c r="BI107" s="153"/>
      <c r="BJ107" s="153"/>
      <c r="BK107" s="153"/>
      <c r="BL107" s="153"/>
      <c r="BM107" s="153"/>
      <c r="BN107" s="153"/>
      <c r="BO107" s="153"/>
      <c r="BP107" s="153"/>
      <c r="BQ107" s="153"/>
      <c r="BR107" s="154"/>
      <c r="BS107" s="153"/>
      <c r="BT107" s="153"/>
      <c r="BU107" s="153"/>
      <c r="BV107" s="1058"/>
      <c r="BW107" s="1055"/>
      <c r="BX107" s="1055"/>
      <c r="BY107" s="1055"/>
      <c r="BZ107" s="1058"/>
      <c r="CA107" s="1055"/>
      <c r="CB107" s="1055"/>
      <c r="CC107" s="1055"/>
      <c r="CD107" s="1058"/>
      <c r="CE107" s="1055"/>
      <c r="CF107" s="1055"/>
      <c r="CG107" s="1055"/>
      <c r="CH107" s="1058"/>
      <c r="CI107" s="1056"/>
      <c r="CJ107" s="1056"/>
      <c r="CK107" s="1056"/>
      <c r="CL107" s="1058"/>
    </row>
    <row r="108" spans="1:90" hidden="1" outlineLevel="1">
      <c r="A108" s="1059" t="s">
        <v>82</v>
      </c>
      <c r="B108" s="1049"/>
      <c r="C108" s="1049"/>
      <c r="D108" s="1049"/>
      <c r="E108" s="1049"/>
      <c r="F108" s="1049"/>
      <c r="G108" s="1049"/>
      <c r="H108" s="1049"/>
      <c r="I108" s="1049"/>
      <c r="J108" s="1049"/>
      <c r="K108" s="1049"/>
      <c r="L108" s="1049"/>
      <c r="M108" s="1049"/>
      <c r="N108" s="153"/>
      <c r="O108" s="1055"/>
      <c r="P108" s="1056"/>
      <c r="Q108" s="1056"/>
      <c r="R108" s="1057"/>
      <c r="S108" s="1056"/>
      <c r="T108" s="949"/>
      <c r="U108" s="949"/>
      <c r="V108" s="949"/>
      <c r="W108" s="949"/>
      <c r="X108" s="947"/>
      <c r="Y108" s="947"/>
      <c r="Z108" s="947"/>
      <c r="AA108" s="153"/>
      <c r="AB108" s="153"/>
      <c r="AC108" s="153"/>
      <c r="AD108" s="153"/>
      <c r="AE108" s="153"/>
      <c r="AF108" s="153"/>
      <c r="AG108" s="153"/>
      <c r="AH108" s="153"/>
      <c r="AI108" s="153"/>
      <c r="AJ108" s="153"/>
      <c r="AK108" s="153"/>
      <c r="AL108" s="153"/>
      <c r="AM108" s="153"/>
      <c r="AN108" s="153"/>
      <c r="AO108" s="153"/>
      <c r="AP108" s="153"/>
      <c r="AQ108" s="153"/>
      <c r="AR108" s="153"/>
      <c r="AS108" s="153"/>
      <c r="AT108" s="153"/>
      <c r="AU108" s="153"/>
      <c r="AV108" s="153"/>
      <c r="AW108" s="153"/>
      <c r="AX108" s="153"/>
      <c r="AY108" s="153"/>
      <c r="AZ108" s="153"/>
      <c r="BA108" s="153"/>
      <c r="BB108" s="153"/>
      <c r="BC108" s="153"/>
      <c r="BD108" s="153"/>
      <c r="BE108" s="153"/>
      <c r="BF108" s="153"/>
      <c r="BG108" s="153"/>
      <c r="BH108" s="153"/>
      <c r="BI108" s="153"/>
      <c r="BJ108" s="153"/>
      <c r="BK108" s="153"/>
      <c r="BL108" s="153"/>
      <c r="BM108" s="153"/>
      <c r="BN108" s="153"/>
      <c r="BO108" s="153"/>
      <c r="BP108" s="153"/>
      <c r="BQ108" s="153"/>
      <c r="BR108" s="154"/>
      <c r="BS108" s="153"/>
      <c r="BT108" s="153"/>
      <c r="BU108" s="153"/>
      <c r="BV108" s="1058"/>
      <c r="BW108" s="1055"/>
      <c r="BX108" s="1055"/>
      <c r="BY108" s="1055"/>
      <c r="BZ108" s="1058"/>
      <c r="CA108" s="1055"/>
      <c r="CB108" s="1055"/>
      <c r="CC108" s="1055"/>
      <c r="CD108" s="1058"/>
      <c r="CE108" s="1055"/>
      <c r="CF108" s="1055"/>
      <c r="CG108" s="1055"/>
      <c r="CH108" s="1058"/>
      <c r="CI108" s="1056"/>
      <c r="CJ108" s="1056"/>
      <c r="CK108" s="1056"/>
      <c r="CL108" s="1058"/>
    </row>
    <row r="109" spans="1:90" collapsed="1">
      <c r="A109" s="1047" t="s">
        <v>661</v>
      </c>
      <c r="B109" s="1048"/>
      <c r="C109" s="1048"/>
      <c r="D109" s="1048"/>
      <c r="E109" s="1048"/>
      <c r="F109" s="1048"/>
      <c r="G109" s="1048"/>
      <c r="H109" s="1048"/>
      <c r="I109" s="1048"/>
      <c r="J109" s="1048"/>
      <c r="K109" s="1048"/>
      <c r="L109" s="1048"/>
      <c r="M109" s="1048"/>
      <c r="N109" s="984">
        <f>SUM(BR109:BU109)</f>
        <v>539</v>
      </c>
      <c r="O109" s="984">
        <f>SUM(BV109:BY109)</f>
        <v>535</v>
      </c>
      <c r="P109" s="948">
        <f>SUM(BZ109:CC109)</f>
        <v>460</v>
      </c>
      <c r="Q109" s="948">
        <f>SUM(CD109:CG109)</f>
        <v>112</v>
      </c>
      <c r="R109" s="985">
        <f>SUM(CH109:CK109)</f>
        <v>0</v>
      </c>
      <c r="S109" s="984">
        <f>R109*(1+S110)</f>
        <v>0</v>
      </c>
      <c r="T109" s="949"/>
      <c r="U109" s="949"/>
      <c r="V109" s="949"/>
      <c r="W109" s="949"/>
      <c r="X109" s="947"/>
      <c r="Y109" s="947"/>
      <c r="Z109" s="947"/>
      <c r="AA109" s="984"/>
      <c r="AB109" s="984"/>
      <c r="AC109" s="984"/>
      <c r="AD109" s="984"/>
      <c r="AE109" s="984"/>
      <c r="AF109" s="984"/>
      <c r="AG109" s="984"/>
      <c r="AH109" s="984"/>
      <c r="AI109" s="984"/>
      <c r="AJ109" s="984"/>
      <c r="AK109" s="984"/>
      <c r="AL109" s="984"/>
      <c r="AM109" s="984"/>
      <c r="AN109" s="984"/>
      <c r="AO109" s="984"/>
      <c r="AP109" s="984"/>
      <c r="AQ109" s="984"/>
      <c r="AR109" s="984"/>
      <c r="AS109" s="984"/>
      <c r="AT109" s="984"/>
      <c r="AU109" s="984"/>
      <c r="AV109" s="984"/>
      <c r="AW109" s="984"/>
      <c r="AX109" s="984"/>
      <c r="AY109" s="984"/>
      <c r="AZ109" s="984"/>
      <c r="BA109" s="984"/>
      <c r="BB109" s="984"/>
      <c r="BC109" s="984"/>
      <c r="BD109" s="984"/>
      <c r="BE109" s="984"/>
      <c r="BF109" s="984"/>
      <c r="BG109" s="984"/>
      <c r="BH109" s="984"/>
      <c r="BI109" s="984"/>
      <c r="BJ109" s="984"/>
      <c r="BK109" s="984"/>
      <c r="BL109" s="984"/>
      <c r="BM109" s="984"/>
      <c r="BN109" s="984"/>
      <c r="BO109" s="984"/>
      <c r="BP109" s="984"/>
      <c r="BQ109" s="984"/>
      <c r="BR109" s="938">
        <v>133</v>
      </c>
      <c r="BS109" s="348">
        <v>137</v>
      </c>
      <c r="BT109" s="348">
        <v>134</v>
      </c>
      <c r="BU109" s="348">
        <v>135</v>
      </c>
      <c r="BV109" s="938">
        <v>133</v>
      </c>
      <c r="BW109" s="348">
        <v>133</v>
      </c>
      <c r="BX109" s="348">
        <v>138</v>
      </c>
      <c r="BY109" s="348">
        <v>131</v>
      </c>
      <c r="BZ109" s="938">
        <v>129</v>
      </c>
      <c r="CA109" s="348">
        <v>126</v>
      </c>
      <c r="CB109" s="348">
        <v>116</v>
      </c>
      <c r="CC109" s="348">
        <v>89</v>
      </c>
      <c r="CD109" s="938">
        <v>55</v>
      </c>
      <c r="CE109" s="348">
        <v>33</v>
      </c>
      <c r="CF109" s="348">
        <v>20</v>
      </c>
      <c r="CG109" s="348">
        <v>4</v>
      </c>
      <c r="CH109" s="938">
        <v>0</v>
      </c>
      <c r="CI109" s="347">
        <v>0</v>
      </c>
      <c r="CJ109" s="347">
        <v>0</v>
      </c>
      <c r="CK109" s="347">
        <v>0</v>
      </c>
      <c r="CL109" s="938">
        <v>0</v>
      </c>
    </row>
    <row r="110" spans="1:90">
      <c r="A110" s="983" t="s">
        <v>34</v>
      </c>
      <c r="B110" s="983"/>
      <c r="C110" s="983"/>
      <c r="D110" s="983"/>
      <c r="E110" s="983"/>
      <c r="F110" s="983"/>
      <c r="G110" s="983"/>
      <c r="H110" s="983"/>
      <c r="I110" s="983"/>
      <c r="J110" s="983"/>
      <c r="K110" s="983"/>
      <c r="L110" s="983"/>
      <c r="M110" s="983"/>
      <c r="N110" s="984"/>
      <c r="O110" s="988">
        <f>O109/N109-1</f>
        <v>-7.4211502782931538E-3</v>
      </c>
      <c r="P110" s="988">
        <f>P109/O109-1</f>
        <v>-0.14018691588785048</v>
      </c>
      <c r="Q110" s="988">
        <f>Q109/P109-1</f>
        <v>-0.75652173913043474</v>
      </c>
      <c r="R110" s="989">
        <f>R109/Q109-1</f>
        <v>-1</v>
      </c>
      <c r="S110" s="270">
        <v>0</v>
      </c>
      <c r="T110" s="949"/>
      <c r="U110" s="949"/>
      <c r="V110" s="949"/>
      <c r="W110" s="949"/>
      <c r="X110" s="947"/>
      <c r="Y110" s="947"/>
      <c r="Z110" s="947"/>
      <c r="AA110" s="984"/>
      <c r="AB110" s="984"/>
      <c r="AC110" s="984"/>
      <c r="AD110" s="984"/>
      <c r="AE110" s="984"/>
      <c r="AF110" s="984"/>
      <c r="AG110" s="984"/>
      <c r="AH110" s="984"/>
      <c r="AI110" s="984"/>
      <c r="AJ110" s="984"/>
      <c r="AK110" s="984"/>
      <c r="AL110" s="984"/>
      <c r="AM110" s="984"/>
      <c r="AN110" s="984"/>
      <c r="AO110" s="984"/>
      <c r="AP110" s="984"/>
      <c r="AQ110" s="984"/>
      <c r="AR110" s="984"/>
      <c r="AS110" s="984"/>
      <c r="AT110" s="984"/>
      <c r="AU110" s="984"/>
      <c r="AV110" s="984"/>
      <c r="AW110" s="984"/>
      <c r="AX110" s="984"/>
      <c r="AY110" s="984"/>
      <c r="AZ110" s="984"/>
      <c r="BA110" s="984"/>
      <c r="BB110" s="984"/>
      <c r="BC110" s="984"/>
      <c r="BD110" s="984"/>
      <c r="BE110" s="984"/>
      <c r="BF110" s="984"/>
      <c r="BG110" s="984"/>
      <c r="BH110" s="984"/>
      <c r="BI110" s="984"/>
      <c r="BJ110" s="984"/>
      <c r="BK110" s="984"/>
      <c r="BL110" s="984"/>
      <c r="BM110" s="984"/>
      <c r="BN110" s="984"/>
      <c r="BO110" s="984"/>
      <c r="BP110" s="984"/>
      <c r="BQ110" s="984"/>
      <c r="BR110" s="938"/>
      <c r="BS110" s="347"/>
      <c r="BT110" s="347"/>
      <c r="BU110" s="347"/>
      <c r="BV110" s="1058"/>
      <c r="BW110" s="1055">
        <f t="shared" ref="BW110:CG110" si="140">BW109/BS109-1</f>
        <v>-2.9197080291970767E-2</v>
      </c>
      <c r="BX110" s="1055">
        <f t="shared" si="140"/>
        <v>2.9850746268656803E-2</v>
      </c>
      <c r="BY110" s="1055">
        <f t="shared" si="140"/>
        <v>-2.9629629629629672E-2</v>
      </c>
      <c r="BZ110" s="1058">
        <f t="shared" si="140"/>
        <v>-3.007518796992481E-2</v>
      </c>
      <c r="CA110" s="1055">
        <f t="shared" si="140"/>
        <v>-5.2631578947368474E-2</v>
      </c>
      <c r="CB110" s="1055">
        <f t="shared" si="140"/>
        <v>-0.15942028985507251</v>
      </c>
      <c r="CC110" s="1055">
        <f t="shared" si="140"/>
        <v>-0.32061068702290074</v>
      </c>
      <c r="CD110" s="1058">
        <f t="shared" si="140"/>
        <v>-0.5736434108527132</v>
      </c>
      <c r="CE110" s="1055">
        <f t="shared" si="140"/>
        <v>-0.73809523809523814</v>
      </c>
      <c r="CF110" s="1055">
        <f t="shared" si="140"/>
        <v>-0.82758620689655171</v>
      </c>
      <c r="CG110" s="1055">
        <f t="shared" si="140"/>
        <v>-0.9550561797752809</v>
      </c>
      <c r="CH110" s="1058">
        <f>CH109/CD109-1</f>
        <v>-1</v>
      </c>
      <c r="CI110" s="1056">
        <f>CI109/CE109-1</f>
        <v>-1</v>
      </c>
      <c r="CJ110" s="1056">
        <f>CJ109/CF109-1</f>
        <v>-1</v>
      </c>
      <c r="CK110" s="1056">
        <f>CK109/CG109-1</f>
        <v>-1</v>
      </c>
      <c r="CL110" s="1058"/>
    </row>
    <row r="111" spans="1:90">
      <c r="A111" s="1048" t="s">
        <v>77</v>
      </c>
      <c r="B111" s="1049"/>
      <c r="C111" s="1049"/>
      <c r="D111" s="1049"/>
      <c r="E111" s="1049"/>
      <c r="F111" s="1049"/>
      <c r="G111" s="1049"/>
      <c r="H111" s="1049"/>
      <c r="I111" s="1049"/>
      <c r="J111" s="1049"/>
      <c r="K111" s="1049"/>
      <c r="L111" s="1049"/>
      <c r="M111" s="1049"/>
      <c r="N111" s="1050">
        <f>N109/AVERAGE(M161:N161)/12*1000</f>
        <v>56.075738660008319</v>
      </c>
      <c r="O111" s="1050">
        <f>O109/AVERAGE(N161:O161)/12*1000</f>
        <v>54.887636288052775</v>
      </c>
      <c r="P111" s="1051">
        <f>P109/AVERAGE(O161:P161)/12*1000</f>
        <v>51.739260223059198</v>
      </c>
      <c r="Q111" s="1051">
        <f>Q109/AVERAGE(P161:Q161)/12*1000</f>
        <v>12.475191633423623</v>
      </c>
      <c r="R111" s="1052">
        <f>R109/AVERAGE(Q161:R161)/12*1000</f>
        <v>0</v>
      </c>
      <c r="S111" s="1020"/>
      <c r="T111" s="949"/>
      <c r="U111" s="949"/>
      <c r="V111" s="949"/>
      <c r="W111" s="949"/>
      <c r="X111" s="947"/>
      <c r="Y111" s="947"/>
      <c r="Z111" s="947"/>
      <c r="AA111" s="153"/>
      <c r="AB111" s="153"/>
      <c r="AC111" s="153"/>
      <c r="AD111" s="153"/>
      <c r="AE111" s="153"/>
      <c r="AF111" s="153"/>
      <c r="AG111" s="153"/>
      <c r="AH111" s="153"/>
      <c r="AI111" s="153"/>
      <c r="AJ111" s="153"/>
      <c r="AK111" s="153"/>
      <c r="AL111" s="153"/>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53"/>
      <c r="BH111" s="153"/>
      <c r="BI111" s="153"/>
      <c r="BJ111" s="153"/>
      <c r="BK111" s="153"/>
      <c r="BL111" s="153"/>
      <c r="BM111" s="153"/>
      <c r="BN111" s="153"/>
      <c r="BO111" s="153"/>
      <c r="BP111" s="153"/>
      <c r="BQ111" s="153"/>
      <c r="BR111" s="154">
        <f t="shared" ref="BR111:CI111" si="141">BR109/AVERAGE(BQ161:BR161)/3*1000</f>
        <v>57.057057057057058</v>
      </c>
      <c r="BS111" s="1051">
        <f t="shared" si="141"/>
        <v>58.5095024556908</v>
      </c>
      <c r="BT111" s="1051">
        <f t="shared" si="141"/>
        <v>57.33846812152332</v>
      </c>
      <c r="BU111" s="1051">
        <f t="shared" si="141"/>
        <v>56.890012642225031</v>
      </c>
      <c r="BV111" s="1053">
        <f t="shared" si="141"/>
        <v>54.970035131225451</v>
      </c>
      <c r="BW111" s="1051">
        <f t="shared" si="141"/>
        <v>54.774233376946803</v>
      </c>
      <c r="BX111" s="1051">
        <f t="shared" si="141"/>
        <v>56.588396303301501</v>
      </c>
      <c r="BY111" s="1051">
        <f t="shared" si="141"/>
        <v>53.169684350660155</v>
      </c>
      <c r="BZ111" s="1053">
        <f t="shared" si="141"/>
        <v>52.443117511610659</v>
      </c>
      <c r="CA111" s="1051">
        <f t="shared" si="141"/>
        <v>51.630827291809446</v>
      </c>
      <c r="CB111" s="1051">
        <f t="shared" si="141"/>
        <v>50.937882788857863</v>
      </c>
      <c r="CC111" s="1051">
        <f t="shared" si="141"/>
        <v>43.440497135001593</v>
      </c>
      <c r="CD111" s="1053">
        <f t="shared" si="141"/>
        <v>26.641400930802106</v>
      </c>
      <c r="CE111" s="1051">
        <f t="shared" si="141"/>
        <v>15.114031935949479</v>
      </c>
      <c r="CF111" s="1051">
        <f t="shared" si="141"/>
        <v>8.9009051107884538</v>
      </c>
      <c r="CG111" s="1051">
        <f t="shared" si="141"/>
        <v>1.6682671604737462</v>
      </c>
      <c r="CH111" s="1053">
        <f t="shared" si="141"/>
        <v>0</v>
      </c>
      <c r="CI111" s="1051">
        <f t="shared" si="141"/>
        <v>0</v>
      </c>
      <c r="CJ111" s="1051">
        <f>CJ109/AVERAGE(CI161:CJ161)/3*1000</f>
        <v>0</v>
      </c>
      <c r="CK111" s="1051">
        <f>CK109/AVERAGE(CJ161:CK161)/3*1000</f>
        <v>0</v>
      </c>
      <c r="CL111" s="1053">
        <f>CL109/AVERAGE(CK161:CL161)/3*1000</f>
        <v>0</v>
      </c>
    </row>
    <row r="112" spans="1:90">
      <c r="A112" s="983" t="s">
        <v>34</v>
      </c>
      <c r="B112" s="1049"/>
      <c r="C112" s="1049"/>
      <c r="D112" s="1049"/>
      <c r="E112" s="1049"/>
      <c r="F112" s="1049"/>
      <c r="G112" s="1049"/>
      <c r="H112" s="1049"/>
      <c r="I112" s="1049"/>
      <c r="J112" s="1049"/>
      <c r="K112" s="1049"/>
      <c r="L112" s="1049"/>
      <c r="M112" s="1049"/>
      <c r="N112" s="153"/>
      <c r="O112" s="1055">
        <f>O111/N111-1</f>
        <v>-2.1187458254613545E-2</v>
      </c>
      <c r="P112" s="1056">
        <f>P111/O111-1</f>
        <v>-5.7360387109234523E-2</v>
      </c>
      <c r="Q112" s="1056">
        <f>Q111/P111-1</f>
        <v>-0.7588834556265327</v>
      </c>
      <c r="R112" s="1057">
        <f>R111/Q111-1</f>
        <v>-1</v>
      </c>
      <c r="S112" s="268"/>
      <c r="T112" s="949"/>
      <c r="U112" s="949"/>
      <c r="V112" s="949"/>
      <c r="W112" s="949"/>
      <c r="X112" s="947"/>
      <c r="Y112" s="947"/>
      <c r="Z112" s="947"/>
      <c r="AA112" s="153"/>
      <c r="AB112" s="153"/>
      <c r="AC112" s="153"/>
      <c r="AD112" s="153"/>
      <c r="AE112" s="153"/>
      <c r="AF112" s="153"/>
      <c r="AG112" s="153"/>
      <c r="AH112" s="153"/>
      <c r="AI112" s="153"/>
      <c r="AJ112" s="153"/>
      <c r="AK112" s="153"/>
      <c r="AL112" s="153"/>
      <c r="AM112" s="153"/>
      <c r="AN112" s="153"/>
      <c r="AO112" s="153"/>
      <c r="AP112" s="153"/>
      <c r="AQ112" s="153"/>
      <c r="AR112" s="153"/>
      <c r="AS112" s="153"/>
      <c r="AT112" s="153"/>
      <c r="AU112" s="153"/>
      <c r="AV112" s="153"/>
      <c r="AW112" s="153"/>
      <c r="AX112" s="153"/>
      <c r="AY112" s="153"/>
      <c r="AZ112" s="153"/>
      <c r="BA112" s="153"/>
      <c r="BB112" s="153"/>
      <c r="BC112" s="153"/>
      <c r="BD112" s="153"/>
      <c r="BE112" s="153"/>
      <c r="BF112" s="153"/>
      <c r="BG112" s="153"/>
      <c r="BH112" s="153"/>
      <c r="BI112" s="153"/>
      <c r="BJ112" s="153"/>
      <c r="BK112" s="153"/>
      <c r="BL112" s="153"/>
      <c r="BM112" s="153"/>
      <c r="BN112" s="153"/>
      <c r="BO112" s="153"/>
      <c r="BP112" s="153"/>
      <c r="BQ112" s="153"/>
      <c r="BR112" s="154"/>
      <c r="BS112" s="153"/>
      <c r="BT112" s="153"/>
      <c r="BU112" s="153"/>
      <c r="BV112" s="1058">
        <f t="shared" ref="BV112:CG112" si="142">BV111/BR111-1</f>
        <v>-3.6577805331680313E-2</v>
      </c>
      <c r="BW112" s="1055">
        <f t="shared" si="142"/>
        <v>-6.3840383561161063E-2</v>
      </c>
      <c r="BX112" s="1055">
        <f t="shared" si="142"/>
        <v>-1.3081476411823778E-2</v>
      </c>
      <c r="BY112" s="1055">
        <f t="shared" si="142"/>
        <v>-6.5395103969506985E-2</v>
      </c>
      <c r="BZ112" s="1058">
        <f t="shared" si="142"/>
        <v>-4.5969001358330708E-2</v>
      </c>
      <c r="CA112" s="1055">
        <f t="shared" si="142"/>
        <v>-5.7388408588121775E-2</v>
      </c>
      <c r="CB112" s="1055">
        <f t="shared" si="142"/>
        <v>-9.9852865314615236E-2</v>
      </c>
      <c r="CC112" s="1055">
        <f t="shared" si="142"/>
        <v>-0.18298373094512765</v>
      </c>
      <c r="CD112" s="1058">
        <f t="shared" si="142"/>
        <v>-0.49199433224190336</v>
      </c>
      <c r="CE112" s="1055">
        <f t="shared" si="142"/>
        <v>-0.70726729109864328</v>
      </c>
      <c r="CF112" s="1055">
        <f t="shared" si="142"/>
        <v>-0.82525961772530843</v>
      </c>
      <c r="CG112" s="1055">
        <f t="shared" si="142"/>
        <v>-0.96159649933818181</v>
      </c>
      <c r="CH112" s="1058">
        <f>CH111/CD111-1</f>
        <v>-1</v>
      </c>
      <c r="CI112" s="1056">
        <f>CI111/CE111-1</f>
        <v>-1</v>
      </c>
      <c r="CJ112" s="1056">
        <f>CJ111/CF111-1</f>
        <v>-1</v>
      </c>
      <c r="CK112" s="1056">
        <f>CK111/CG111-1</f>
        <v>-1</v>
      </c>
      <c r="CL112" s="1058"/>
    </row>
    <row r="113" spans="1:90">
      <c r="A113" s="1060" t="s">
        <v>83</v>
      </c>
      <c r="B113" s="1060"/>
      <c r="C113" s="1060"/>
      <c r="D113" s="1060"/>
      <c r="E113" s="1060"/>
      <c r="F113" s="1060"/>
      <c r="G113" s="1060"/>
      <c r="H113" s="1060"/>
      <c r="I113" s="1060"/>
      <c r="J113" s="1060"/>
      <c r="K113" s="1060"/>
      <c r="L113" s="1060"/>
      <c r="M113" s="1060"/>
      <c r="N113" s="767">
        <f t="shared" ref="N113:S113" si="143">SUM(N96,N100,N109)</f>
        <v>5889</v>
      </c>
      <c r="O113" s="767">
        <f t="shared" si="143"/>
        <v>5993</v>
      </c>
      <c r="P113" s="271">
        <f t="shared" si="143"/>
        <v>5746</v>
      </c>
      <c r="Q113" s="271">
        <f t="shared" si="143"/>
        <v>5020</v>
      </c>
      <c r="R113" s="223">
        <f t="shared" si="143"/>
        <v>4666</v>
      </c>
      <c r="S113" s="767">
        <f t="shared" si="143"/>
        <v>1141</v>
      </c>
      <c r="T113" s="949"/>
      <c r="U113" s="949"/>
      <c r="V113" s="949"/>
      <c r="W113" s="949"/>
      <c r="X113" s="947"/>
      <c r="Y113" s="947"/>
      <c r="Z113" s="947"/>
      <c r="AA113" s="767"/>
      <c r="AB113" s="767"/>
      <c r="AC113" s="767"/>
      <c r="AD113" s="767"/>
      <c r="AE113" s="767"/>
      <c r="AF113" s="767"/>
      <c r="AG113" s="767"/>
      <c r="AH113" s="767"/>
      <c r="AI113" s="767"/>
      <c r="AJ113" s="767"/>
      <c r="AK113" s="767"/>
      <c r="AL113" s="767"/>
      <c r="AM113" s="767"/>
      <c r="AN113" s="767"/>
      <c r="AO113" s="767"/>
      <c r="AP113" s="767"/>
      <c r="AQ113" s="767"/>
      <c r="AR113" s="767"/>
      <c r="AS113" s="767"/>
      <c r="AT113" s="767"/>
      <c r="AU113" s="767"/>
      <c r="AV113" s="767"/>
      <c r="AW113" s="767"/>
      <c r="AX113" s="767"/>
      <c r="AY113" s="767"/>
      <c r="AZ113" s="767"/>
      <c r="BA113" s="767"/>
      <c r="BB113" s="767"/>
      <c r="BC113" s="767"/>
      <c r="BD113" s="767"/>
      <c r="BE113" s="767"/>
      <c r="BF113" s="767"/>
      <c r="BG113" s="767"/>
      <c r="BH113" s="767"/>
      <c r="BI113" s="767"/>
      <c r="BJ113" s="767"/>
      <c r="BK113" s="767"/>
      <c r="BL113" s="767"/>
      <c r="BM113" s="767"/>
      <c r="BN113" s="767"/>
      <c r="BO113" s="767"/>
      <c r="BP113" s="767"/>
      <c r="BQ113" s="767"/>
      <c r="BR113" s="940">
        <f t="shared" ref="BR113:CK113" si="144">SUM(BR96,BR100,BR109)</f>
        <v>1460</v>
      </c>
      <c r="BS113" s="767">
        <f t="shared" si="144"/>
        <v>1472</v>
      </c>
      <c r="BT113" s="767">
        <f t="shared" si="144"/>
        <v>1472</v>
      </c>
      <c r="BU113" s="767">
        <f t="shared" si="144"/>
        <v>1485</v>
      </c>
      <c r="BV113" s="940">
        <f t="shared" si="144"/>
        <v>1498</v>
      </c>
      <c r="BW113" s="767">
        <f t="shared" si="144"/>
        <v>1502</v>
      </c>
      <c r="BX113" s="767">
        <f t="shared" si="144"/>
        <v>1504</v>
      </c>
      <c r="BY113" s="767">
        <f t="shared" si="144"/>
        <v>1489</v>
      </c>
      <c r="BZ113" s="940">
        <f t="shared" si="144"/>
        <v>1486</v>
      </c>
      <c r="CA113" s="767">
        <f t="shared" si="144"/>
        <v>1455</v>
      </c>
      <c r="CB113" s="767">
        <f t="shared" si="144"/>
        <v>1428</v>
      </c>
      <c r="CC113" s="767">
        <f t="shared" si="144"/>
        <v>1377</v>
      </c>
      <c r="CD113" s="940">
        <f t="shared" si="144"/>
        <v>1325</v>
      </c>
      <c r="CE113" s="767">
        <f t="shared" si="144"/>
        <v>1269</v>
      </c>
      <c r="CF113" s="767">
        <f t="shared" si="144"/>
        <v>1226</v>
      </c>
      <c r="CG113" s="767">
        <f t="shared" si="144"/>
        <v>1200</v>
      </c>
      <c r="CH113" s="940">
        <f t="shared" si="144"/>
        <v>1190</v>
      </c>
      <c r="CI113" s="767">
        <f t="shared" si="144"/>
        <v>1163</v>
      </c>
      <c r="CJ113" s="767">
        <f t="shared" si="144"/>
        <v>1165</v>
      </c>
      <c r="CK113" s="767">
        <f t="shared" si="144"/>
        <v>1148</v>
      </c>
      <c r="CL113" s="940">
        <f>SUM(CL96,CL100,CL109)</f>
        <v>1141</v>
      </c>
    </row>
    <row r="114" spans="1:90">
      <c r="A114" s="997" t="s">
        <v>34</v>
      </c>
      <c r="B114" s="997"/>
      <c r="C114" s="997"/>
      <c r="D114" s="997"/>
      <c r="E114" s="997"/>
      <c r="F114" s="997"/>
      <c r="G114" s="997"/>
      <c r="H114" s="997"/>
      <c r="I114" s="997"/>
      <c r="J114" s="997"/>
      <c r="K114" s="997"/>
      <c r="L114" s="997"/>
      <c r="M114" s="997"/>
      <c r="N114" s="984"/>
      <c r="O114" s="988">
        <f>O113/N113-1</f>
        <v>1.7660044150110465E-2</v>
      </c>
      <c r="P114" s="988">
        <f>P113/O113-1</f>
        <v>-4.1214750542299394E-2</v>
      </c>
      <c r="Q114" s="988">
        <f>Q113/P113-1</f>
        <v>-0.12634876435781417</v>
      </c>
      <c r="R114" s="989">
        <f>R113/Q113-1</f>
        <v>-7.0517928286852549E-2</v>
      </c>
      <c r="S114" s="988">
        <f>S113/R113-1</f>
        <v>-0.75546506643806255</v>
      </c>
      <c r="T114" s="949"/>
      <c r="U114" s="949"/>
      <c r="V114" s="949"/>
      <c r="W114" s="949"/>
      <c r="X114" s="1061"/>
      <c r="Y114" s="1061"/>
      <c r="Z114" s="1061"/>
      <c r="AA114" s="984"/>
      <c r="AB114" s="984"/>
      <c r="AC114" s="984"/>
      <c r="AD114" s="984"/>
      <c r="AE114" s="984"/>
      <c r="AF114" s="984"/>
      <c r="AG114" s="984"/>
      <c r="AH114" s="984"/>
      <c r="AI114" s="984"/>
      <c r="AJ114" s="984"/>
      <c r="AK114" s="984"/>
      <c r="AL114" s="984"/>
      <c r="AM114" s="984"/>
      <c r="AN114" s="984"/>
      <c r="AO114" s="984"/>
      <c r="AP114" s="984"/>
      <c r="AQ114" s="984"/>
      <c r="AR114" s="984"/>
      <c r="AS114" s="984"/>
      <c r="AT114" s="984"/>
      <c r="AU114" s="984"/>
      <c r="AV114" s="984"/>
      <c r="AW114" s="984"/>
      <c r="AX114" s="984"/>
      <c r="AY114" s="984"/>
      <c r="AZ114" s="984"/>
      <c r="BA114" s="984"/>
      <c r="BB114" s="984"/>
      <c r="BC114" s="984"/>
      <c r="BD114" s="984"/>
      <c r="BE114" s="984"/>
      <c r="BF114" s="984"/>
      <c r="BG114" s="984"/>
      <c r="BH114" s="984"/>
      <c r="BI114" s="984"/>
      <c r="BJ114" s="984"/>
      <c r="BK114" s="984"/>
      <c r="BL114" s="984"/>
      <c r="BM114" s="984"/>
      <c r="BN114" s="984"/>
      <c r="BO114" s="984"/>
      <c r="BP114" s="984"/>
      <c r="BQ114" s="984"/>
      <c r="BR114" s="938"/>
      <c r="BS114" s="347"/>
      <c r="BT114" s="347"/>
      <c r="BU114" s="347"/>
      <c r="BV114" s="990">
        <f t="shared" ref="BV114:CG114" si="145">BV113/BR113-1</f>
        <v>2.6027397260274032E-2</v>
      </c>
      <c r="BW114" s="988">
        <f t="shared" si="145"/>
        <v>2.0380434782608647E-2</v>
      </c>
      <c r="BX114" s="988">
        <f t="shared" si="145"/>
        <v>2.1739130434782705E-2</v>
      </c>
      <c r="BY114" s="988">
        <f t="shared" si="145"/>
        <v>2.6936026936026369E-3</v>
      </c>
      <c r="BZ114" s="990">
        <f t="shared" si="145"/>
        <v>-8.0106809078771546E-3</v>
      </c>
      <c r="CA114" s="988">
        <f t="shared" si="145"/>
        <v>-3.1291611185086499E-2</v>
      </c>
      <c r="CB114" s="988">
        <f t="shared" si="145"/>
        <v>-5.0531914893616969E-2</v>
      </c>
      <c r="CC114" s="988">
        <f t="shared" si="145"/>
        <v>-7.5218267293485574E-2</v>
      </c>
      <c r="CD114" s="990">
        <f t="shared" si="145"/>
        <v>-0.10834454912516822</v>
      </c>
      <c r="CE114" s="988">
        <f t="shared" si="145"/>
        <v>-0.12783505154639174</v>
      </c>
      <c r="CF114" s="988">
        <f t="shared" si="145"/>
        <v>-0.14145658263305327</v>
      </c>
      <c r="CG114" s="988">
        <f t="shared" si="145"/>
        <v>-0.1285403050108932</v>
      </c>
      <c r="CH114" s="990">
        <f>CH113/CD113-1</f>
        <v>-0.10188679245283017</v>
      </c>
      <c r="CI114" s="988">
        <f>CI113/CE113-1</f>
        <v>-8.3530338849487795E-2</v>
      </c>
      <c r="CJ114" s="988">
        <f>CJ113/CF113-1</f>
        <v>-4.9755301794453533E-2</v>
      </c>
      <c r="CK114" s="988">
        <f>CK113/CG113-1</f>
        <v>-4.3333333333333335E-2</v>
      </c>
      <c r="CL114" s="990">
        <f>CL113/CH113-1</f>
        <v>-4.1176470588235259E-2</v>
      </c>
    </row>
    <row r="115" spans="1:90">
      <c r="A115" s="1062" t="s">
        <v>84</v>
      </c>
      <c r="B115" s="1062"/>
      <c r="C115" s="1062"/>
      <c r="D115" s="1062"/>
      <c r="E115" s="1062"/>
      <c r="F115" s="1062"/>
      <c r="G115" s="1062"/>
      <c r="H115" s="1062"/>
      <c r="I115" s="1062"/>
      <c r="J115" s="1062"/>
      <c r="K115" s="1062"/>
      <c r="L115" s="1062"/>
      <c r="M115" s="1062"/>
      <c r="N115" s="1063"/>
      <c r="O115" s="1064">
        <f>+((O113-O109)/(N113-N109))-1</f>
        <v>2.0186915887850487E-2</v>
      </c>
      <c r="P115" s="1064">
        <f>+((P113-P109)/(O113-O109))-1</f>
        <v>-3.1513374862586985E-2</v>
      </c>
      <c r="Q115" s="1064">
        <f>+((Q113-Q109)/(P113-P109))-1</f>
        <v>-7.1509648127128234E-2</v>
      </c>
      <c r="R115" s="1065">
        <f>+((R113-R109)/(Q113-Q109))-1</f>
        <v>-4.9307253463732659E-2</v>
      </c>
      <c r="S115" s="1064">
        <f>+((S113-S109)/(R113-R109))-1</f>
        <v>-0.75546506643806255</v>
      </c>
      <c r="T115" s="949"/>
      <c r="U115" s="949"/>
      <c r="V115" s="949"/>
      <c r="W115" s="949"/>
      <c r="X115" s="947"/>
      <c r="Y115" s="947"/>
      <c r="Z115" s="947"/>
      <c r="AA115" s="984"/>
      <c r="AB115" s="984"/>
      <c r="AC115" s="984"/>
      <c r="AD115" s="984"/>
      <c r="AE115" s="984"/>
      <c r="AF115" s="984"/>
      <c r="AG115" s="984"/>
      <c r="AH115" s="984"/>
      <c r="AI115" s="984"/>
      <c r="AJ115" s="984"/>
      <c r="AK115" s="984"/>
      <c r="AL115" s="984"/>
      <c r="AM115" s="984"/>
      <c r="AN115" s="984"/>
      <c r="AO115" s="984"/>
      <c r="AP115" s="984"/>
      <c r="AQ115" s="984"/>
      <c r="AR115" s="984"/>
      <c r="AS115" s="984"/>
      <c r="AT115" s="984"/>
      <c r="AU115" s="984"/>
      <c r="AV115" s="984"/>
      <c r="AW115" s="984"/>
      <c r="AX115" s="984"/>
      <c r="AY115" s="984"/>
      <c r="AZ115" s="984"/>
      <c r="BA115" s="984"/>
      <c r="BB115" s="984"/>
      <c r="BC115" s="984"/>
      <c r="BD115" s="984"/>
      <c r="BE115" s="984"/>
      <c r="BF115" s="984"/>
      <c r="BG115" s="984"/>
      <c r="BH115" s="984"/>
      <c r="BI115" s="984"/>
      <c r="BJ115" s="984"/>
      <c r="BK115" s="984"/>
      <c r="BL115" s="984"/>
      <c r="BM115" s="984"/>
      <c r="BN115" s="984"/>
      <c r="BO115" s="984"/>
      <c r="BP115" s="984"/>
      <c r="BQ115" s="984"/>
      <c r="BR115" s="1066"/>
      <c r="BS115" s="1067"/>
      <c r="BT115" s="1067"/>
      <c r="BU115" s="1068"/>
      <c r="BV115" s="1069">
        <f t="shared" ref="BV115:CL115" si="146">((BV113-BV109)/(BR113-BR109))-1</f>
        <v>2.8636021100226117E-2</v>
      </c>
      <c r="BW115" s="1064">
        <f t="shared" si="146"/>
        <v>2.5468164794007597E-2</v>
      </c>
      <c r="BX115" s="1064">
        <f t="shared" si="146"/>
        <v>2.0926756352765308E-2</v>
      </c>
      <c r="BY115" s="1064">
        <f t="shared" si="146"/>
        <v>5.9259259259258901E-3</v>
      </c>
      <c r="BZ115" s="1069">
        <f t="shared" si="146"/>
        <v>-5.86080586080584E-3</v>
      </c>
      <c r="CA115" s="1064">
        <f t="shared" si="146"/>
        <v>-2.9218407596785956E-2</v>
      </c>
      <c r="CB115" s="1064">
        <f t="shared" si="146"/>
        <v>-3.9531478770131745E-2</v>
      </c>
      <c r="CC115" s="1064">
        <f t="shared" si="146"/>
        <v>-5.1546391752577359E-2</v>
      </c>
      <c r="CD115" s="1069">
        <f t="shared" si="146"/>
        <v>-6.4112011790714796E-2</v>
      </c>
      <c r="CE115" s="1064">
        <f t="shared" si="146"/>
        <v>-6.9977426636568807E-2</v>
      </c>
      <c r="CF115" s="1064">
        <f t="shared" si="146"/>
        <v>-8.0792682926829285E-2</v>
      </c>
      <c r="CG115" s="1064">
        <f t="shared" si="146"/>
        <v>-7.1428571428571397E-2</v>
      </c>
      <c r="CH115" s="1069">
        <f t="shared" si="146"/>
        <v>-6.2992125984251968E-2</v>
      </c>
      <c r="CI115" s="1064">
        <f t="shared" si="146"/>
        <v>-5.9061488673139206E-2</v>
      </c>
      <c r="CJ115" s="1064">
        <f t="shared" si="146"/>
        <v>-3.3996683250414605E-2</v>
      </c>
      <c r="CK115" s="1064">
        <f t="shared" si="146"/>
        <v>-4.013377926421402E-2</v>
      </c>
      <c r="CL115" s="1069">
        <f t="shared" si="146"/>
        <v>-4.1176470588235259E-2</v>
      </c>
    </row>
    <row r="116" spans="1:90" outlineLevel="2">
      <c r="A116" s="1070" t="s">
        <v>85</v>
      </c>
      <c r="B116" s="1071"/>
      <c r="C116" s="1071"/>
      <c r="D116" s="1071"/>
      <c r="E116" s="1071"/>
      <c r="F116" s="1071"/>
      <c r="G116" s="1071"/>
      <c r="H116" s="1071"/>
      <c r="I116" s="1071"/>
      <c r="J116" s="1071"/>
      <c r="K116" s="1071"/>
      <c r="L116" s="1071"/>
      <c r="M116" s="1071"/>
      <c r="N116" s="984">
        <f>SUM(BR116:BU116)</f>
        <v>1499</v>
      </c>
      <c r="O116" s="984">
        <f>SUM(BV116:BY116)</f>
        <v>1454</v>
      </c>
      <c r="P116" s="948">
        <f>SUM(BZ116:CC116)</f>
        <v>1299</v>
      </c>
      <c r="Q116" s="948">
        <f>SUM(CD116:CG116)</f>
        <v>1031</v>
      </c>
      <c r="R116" s="1002"/>
      <c r="S116" s="984"/>
      <c r="T116" s="949"/>
      <c r="U116" s="949"/>
      <c r="V116" s="949"/>
      <c r="W116" s="949"/>
      <c r="X116" s="947"/>
      <c r="Y116" s="947"/>
      <c r="Z116" s="947"/>
      <c r="AA116" s="984"/>
      <c r="AB116" s="984"/>
      <c r="AC116" s="984"/>
      <c r="AD116" s="984"/>
      <c r="AE116" s="984"/>
      <c r="AF116" s="984"/>
      <c r="AG116" s="984"/>
      <c r="AH116" s="984"/>
      <c r="AI116" s="984"/>
      <c r="AJ116" s="984"/>
      <c r="AK116" s="984"/>
      <c r="AL116" s="984"/>
      <c r="AM116" s="984"/>
      <c r="AN116" s="984"/>
      <c r="AO116" s="984"/>
      <c r="AP116" s="984"/>
      <c r="AQ116" s="984"/>
      <c r="AR116" s="984"/>
      <c r="AS116" s="984"/>
      <c r="AT116" s="984"/>
      <c r="AU116" s="984"/>
      <c r="AV116" s="984"/>
      <c r="AW116" s="984"/>
      <c r="AX116" s="984"/>
      <c r="AY116" s="984"/>
      <c r="AZ116" s="984"/>
      <c r="BA116" s="984"/>
      <c r="BB116" s="984"/>
      <c r="BC116" s="984"/>
      <c r="BD116" s="984"/>
      <c r="BE116" s="984"/>
      <c r="BF116" s="984"/>
      <c r="BG116" s="984"/>
      <c r="BH116" s="984"/>
      <c r="BI116" s="984"/>
      <c r="BJ116" s="984"/>
      <c r="BK116" s="984"/>
      <c r="BL116" s="984"/>
      <c r="BM116" s="984"/>
      <c r="BN116" s="984"/>
      <c r="BO116" s="984"/>
      <c r="BP116" s="984"/>
      <c r="BQ116" s="984"/>
      <c r="BR116" s="938">
        <v>379</v>
      </c>
      <c r="BS116" s="348">
        <v>361</v>
      </c>
      <c r="BT116" s="348">
        <v>377</v>
      </c>
      <c r="BU116" s="348">
        <v>382</v>
      </c>
      <c r="BV116" s="938">
        <v>356</v>
      </c>
      <c r="BW116" s="348">
        <v>355</v>
      </c>
      <c r="BX116" s="348">
        <v>368</v>
      </c>
      <c r="BY116" s="348">
        <v>375</v>
      </c>
      <c r="BZ116" s="938">
        <v>354</v>
      </c>
      <c r="CA116" s="348">
        <v>328</v>
      </c>
      <c r="CB116" s="348">
        <v>323</v>
      </c>
      <c r="CC116" s="348">
        <v>294</v>
      </c>
      <c r="CD116" s="938">
        <v>288</v>
      </c>
      <c r="CE116" s="348">
        <v>272</v>
      </c>
      <c r="CF116" s="348">
        <v>250</v>
      </c>
      <c r="CG116" s="348">
        <v>221</v>
      </c>
      <c r="CH116" s="986"/>
      <c r="CI116" s="984"/>
      <c r="CJ116" s="984"/>
      <c r="CK116" s="984"/>
      <c r="CL116" s="1072"/>
    </row>
    <row r="117" spans="1:90" outlineLevel="2">
      <c r="A117" s="997" t="s">
        <v>1003</v>
      </c>
      <c r="B117" s="1071"/>
      <c r="C117" s="1071"/>
      <c r="D117" s="1071"/>
      <c r="E117" s="1071"/>
      <c r="F117" s="1071"/>
      <c r="G117" s="1071"/>
      <c r="H117" s="1071"/>
      <c r="I117" s="1071"/>
      <c r="J117" s="1071"/>
      <c r="K117" s="1071"/>
      <c r="L117" s="1071"/>
      <c r="M117" s="1071"/>
      <c r="N117" s="1008">
        <f>N116/N$113</f>
        <v>0.25454236712514861</v>
      </c>
      <c r="O117" s="1008">
        <f>O116/O$113</f>
        <v>0.24261638578341399</v>
      </c>
      <c r="P117" s="988">
        <f>P116/P$113</f>
        <v>0.22607030978071702</v>
      </c>
      <c r="Q117" s="988">
        <f>Q116/Q$113</f>
        <v>0.20537848605577688</v>
      </c>
      <c r="R117" s="989"/>
      <c r="S117" s="268"/>
      <c r="T117" s="949"/>
      <c r="U117" s="949"/>
      <c r="V117" s="949"/>
      <c r="W117" s="949"/>
      <c r="X117" s="947"/>
      <c r="Y117" s="947"/>
      <c r="Z117" s="947"/>
      <c r="AA117" s="984"/>
      <c r="AB117" s="984"/>
      <c r="AC117" s="984"/>
      <c r="AD117" s="984"/>
      <c r="AE117" s="984"/>
      <c r="AF117" s="984"/>
      <c r="AG117" s="984"/>
      <c r="AH117" s="984"/>
      <c r="AI117" s="984"/>
      <c r="AJ117" s="984"/>
      <c r="AK117" s="984"/>
      <c r="AL117" s="984"/>
      <c r="AM117" s="984"/>
      <c r="AN117" s="984"/>
      <c r="AO117" s="984"/>
      <c r="AP117" s="984"/>
      <c r="AQ117" s="984"/>
      <c r="AR117" s="984"/>
      <c r="AS117" s="984"/>
      <c r="AT117" s="984"/>
      <c r="AU117" s="984"/>
      <c r="AV117" s="984"/>
      <c r="AW117" s="984"/>
      <c r="AX117" s="984"/>
      <c r="AY117" s="984"/>
      <c r="AZ117" s="984"/>
      <c r="BA117" s="984"/>
      <c r="BB117" s="984"/>
      <c r="BC117" s="984"/>
      <c r="BD117" s="984"/>
      <c r="BE117" s="984"/>
      <c r="BF117" s="984"/>
      <c r="BG117" s="984"/>
      <c r="BH117" s="984"/>
      <c r="BI117" s="984"/>
      <c r="BJ117" s="984"/>
      <c r="BK117" s="984"/>
      <c r="BL117" s="984"/>
      <c r="BM117" s="984"/>
      <c r="BN117" s="984"/>
      <c r="BO117" s="984"/>
      <c r="BP117" s="984"/>
      <c r="BQ117" s="984"/>
      <c r="BR117" s="990">
        <f>BR116/BR$113</f>
        <v>0.25958904109589043</v>
      </c>
      <c r="BS117" s="1008">
        <f t="shared" ref="BS117:CG117" si="147">BS116/BS$113</f>
        <v>0.2452445652173913</v>
      </c>
      <c r="BT117" s="1008">
        <f t="shared" si="147"/>
        <v>0.25611413043478259</v>
      </c>
      <c r="BU117" s="1008">
        <f t="shared" si="147"/>
        <v>0.25723905723905721</v>
      </c>
      <c r="BV117" s="990">
        <f t="shared" si="147"/>
        <v>0.23765020026702269</v>
      </c>
      <c r="BW117" s="1008">
        <f t="shared" si="147"/>
        <v>0.23635153129161118</v>
      </c>
      <c r="BX117" s="1008">
        <f t="shared" si="147"/>
        <v>0.24468085106382978</v>
      </c>
      <c r="BY117" s="1008">
        <f t="shared" si="147"/>
        <v>0.251846877098724</v>
      </c>
      <c r="BZ117" s="990">
        <f t="shared" si="147"/>
        <v>0.23822341857335128</v>
      </c>
      <c r="CA117" s="1008">
        <f t="shared" si="147"/>
        <v>0.22542955326460482</v>
      </c>
      <c r="CB117" s="1008">
        <f t="shared" si="147"/>
        <v>0.22619047619047619</v>
      </c>
      <c r="CC117" s="1008">
        <f t="shared" si="147"/>
        <v>0.21350762527233116</v>
      </c>
      <c r="CD117" s="990">
        <f t="shared" si="147"/>
        <v>0.21735849056603773</v>
      </c>
      <c r="CE117" s="1008">
        <f t="shared" si="147"/>
        <v>0.21434200157604413</v>
      </c>
      <c r="CF117" s="1008">
        <f t="shared" si="147"/>
        <v>0.2039151712887439</v>
      </c>
      <c r="CG117" s="1008">
        <f t="shared" si="147"/>
        <v>0.18416666666666667</v>
      </c>
      <c r="CH117" s="1000"/>
      <c r="CI117" s="268"/>
      <c r="CJ117" s="268"/>
      <c r="CK117" s="268"/>
      <c r="CL117" s="1072"/>
    </row>
    <row r="118" spans="1:90" outlineLevel="2">
      <c r="A118" s="1070" t="s">
        <v>86</v>
      </c>
      <c r="B118" s="1071"/>
      <c r="C118" s="1071"/>
      <c r="D118" s="1071"/>
      <c r="E118" s="1071"/>
      <c r="F118" s="1071"/>
      <c r="G118" s="1071"/>
      <c r="H118" s="1071"/>
      <c r="I118" s="1071"/>
      <c r="J118" s="1071"/>
      <c r="K118" s="1071"/>
      <c r="L118" s="1071"/>
      <c r="M118" s="1071"/>
      <c r="N118" s="984">
        <f>SUM(BR118:BU118)</f>
        <v>1666</v>
      </c>
      <c r="O118" s="984">
        <f>SUM(BV118:BY118)</f>
        <v>1658</v>
      </c>
      <c r="P118" s="948">
        <f>SUM(BZ118:CC118)</f>
        <v>1580</v>
      </c>
      <c r="Q118" s="948">
        <f>SUM(CD118:CG118)</f>
        <v>1215</v>
      </c>
      <c r="R118" s="1002"/>
      <c r="S118" s="984"/>
      <c r="T118" s="949"/>
      <c r="U118" s="949"/>
      <c r="V118" s="949"/>
      <c r="W118" s="949"/>
      <c r="X118" s="947"/>
      <c r="Y118" s="947"/>
      <c r="Z118" s="947"/>
      <c r="AA118" s="984"/>
      <c r="AB118" s="984"/>
      <c r="AC118" s="984"/>
      <c r="AD118" s="984"/>
      <c r="AE118" s="984"/>
      <c r="AF118" s="984"/>
      <c r="AG118" s="984"/>
      <c r="AH118" s="984"/>
      <c r="AI118" s="984"/>
      <c r="AJ118" s="984"/>
      <c r="AK118" s="984"/>
      <c r="AL118" s="984"/>
      <c r="AM118" s="984"/>
      <c r="AN118" s="984"/>
      <c r="AO118" s="984"/>
      <c r="AP118" s="984"/>
      <c r="AQ118" s="984"/>
      <c r="AR118" s="984"/>
      <c r="AS118" s="984"/>
      <c r="AT118" s="984"/>
      <c r="AU118" s="984"/>
      <c r="AV118" s="984"/>
      <c r="AW118" s="984"/>
      <c r="AX118" s="984"/>
      <c r="AY118" s="984"/>
      <c r="AZ118" s="984"/>
      <c r="BA118" s="984"/>
      <c r="BB118" s="984"/>
      <c r="BC118" s="984"/>
      <c r="BD118" s="984"/>
      <c r="BE118" s="984"/>
      <c r="BF118" s="984"/>
      <c r="BG118" s="984"/>
      <c r="BH118" s="984"/>
      <c r="BI118" s="984"/>
      <c r="BJ118" s="984"/>
      <c r="BK118" s="984"/>
      <c r="BL118" s="984"/>
      <c r="BM118" s="984"/>
      <c r="BN118" s="984"/>
      <c r="BO118" s="984"/>
      <c r="BP118" s="984"/>
      <c r="BQ118" s="984"/>
      <c r="BR118" s="938">
        <v>419</v>
      </c>
      <c r="BS118" s="348">
        <v>408</v>
      </c>
      <c r="BT118" s="348">
        <v>419</v>
      </c>
      <c r="BU118" s="348">
        <v>420</v>
      </c>
      <c r="BV118" s="938">
        <v>410</v>
      </c>
      <c r="BW118" s="348">
        <v>414</v>
      </c>
      <c r="BX118" s="348">
        <v>419</v>
      </c>
      <c r="BY118" s="348">
        <v>415</v>
      </c>
      <c r="BZ118" s="938">
        <v>409</v>
      </c>
      <c r="CA118" s="348">
        <v>397</v>
      </c>
      <c r="CB118" s="348">
        <v>428</v>
      </c>
      <c r="CC118" s="348">
        <v>346</v>
      </c>
      <c r="CD118" s="938">
        <v>312</v>
      </c>
      <c r="CE118" s="348">
        <v>306</v>
      </c>
      <c r="CF118" s="348">
        <v>303</v>
      </c>
      <c r="CG118" s="348">
        <v>294</v>
      </c>
      <c r="CH118" s="986"/>
      <c r="CI118" s="984"/>
      <c r="CJ118" s="984"/>
      <c r="CK118" s="984"/>
      <c r="CL118" s="1072"/>
    </row>
    <row r="119" spans="1:90" outlineLevel="2">
      <c r="A119" s="997" t="s">
        <v>1003</v>
      </c>
      <c r="B119" s="1071"/>
      <c r="C119" s="1071"/>
      <c r="D119" s="1071"/>
      <c r="E119" s="1071"/>
      <c r="F119" s="1071"/>
      <c r="G119" s="1071"/>
      <c r="H119" s="1071"/>
      <c r="I119" s="1071"/>
      <c r="J119" s="1071"/>
      <c r="K119" s="1071"/>
      <c r="L119" s="1071"/>
      <c r="M119" s="1071"/>
      <c r="N119" s="1008">
        <f>N118/N$113</f>
        <v>0.28290032263542197</v>
      </c>
      <c r="O119" s="1008">
        <f>O118/O$113</f>
        <v>0.27665609878191222</v>
      </c>
      <c r="P119" s="988">
        <f>P118/P$113</f>
        <v>0.27497389488339713</v>
      </c>
      <c r="Q119" s="988">
        <f>Q118/Q$113</f>
        <v>0.24203187250996017</v>
      </c>
      <c r="R119" s="989"/>
      <c r="S119" s="988"/>
      <c r="T119" s="949"/>
      <c r="U119" s="949"/>
      <c r="V119" s="949"/>
      <c r="W119" s="949"/>
      <c r="X119" s="947"/>
      <c r="Y119" s="947"/>
      <c r="Z119" s="947"/>
      <c r="AA119" s="984"/>
      <c r="AB119" s="984"/>
      <c r="AC119" s="984"/>
      <c r="AD119" s="984"/>
      <c r="AE119" s="984"/>
      <c r="AF119" s="984"/>
      <c r="AG119" s="984"/>
      <c r="AH119" s="984"/>
      <c r="AI119" s="984"/>
      <c r="AJ119" s="984"/>
      <c r="AK119" s="984"/>
      <c r="AL119" s="984"/>
      <c r="AM119" s="984"/>
      <c r="AN119" s="984"/>
      <c r="AO119" s="984"/>
      <c r="AP119" s="984"/>
      <c r="AQ119" s="984"/>
      <c r="AR119" s="984"/>
      <c r="AS119" s="984"/>
      <c r="AT119" s="984"/>
      <c r="AU119" s="984"/>
      <c r="AV119" s="984"/>
      <c r="AW119" s="984"/>
      <c r="AX119" s="984"/>
      <c r="AY119" s="984"/>
      <c r="AZ119" s="984"/>
      <c r="BA119" s="984"/>
      <c r="BB119" s="984"/>
      <c r="BC119" s="984"/>
      <c r="BD119" s="984"/>
      <c r="BE119" s="984"/>
      <c r="BF119" s="984"/>
      <c r="BG119" s="984"/>
      <c r="BH119" s="984"/>
      <c r="BI119" s="984"/>
      <c r="BJ119" s="984"/>
      <c r="BK119" s="984"/>
      <c r="BL119" s="984"/>
      <c r="BM119" s="984"/>
      <c r="BN119" s="984"/>
      <c r="BO119" s="984"/>
      <c r="BP119" s="984"/>
      <c r="BQ119" s="984"/>
      <c r="BR119" s="990">
        <f t="shared" ref="BR119:BY119" si="148">BR118/BR$113</f>
        <v>0.28698630136986303</v>
      </c>
      <c r="BS119" s="1008">
        <f t="shared" si="148"/>
        <v>0.27717391304347827</v>
      </c>
      <c r="BT119" s="1008">
        <f t="shared" si="148"/>
        <v>0.28464673913043476</v>
      </c>
      <c r="BU119" s="1008">
        <f t="shared" si="148"/>
        <v>0.28282828282828282</v>
      </c>
      <c r="BV119" s="990">
        <f t="shared" si="148"/>
        <v>0.27369826435246997</v>
      </c>
      <c r="BW119" s="1008">
        <f t="shared" si="148"/>
        <v>0.27563249001331558</v>
      </c>
      <c r="BX119" s="1008">
        <f t="shared" si="148"/>
        <v>0.27859042553191488</v>
      </c>
      <c r="BY119" s="1008">
        <f t="shared" si="148"/>
        <v>0.27871054398925454</v>
      </c>
      <c r="BZ119" s="990">
        <f t="shared" ref="BZ119:CG119" si="149">BZ118/BZ$113</f>
        <v>0.27523553162853298</v>
      </c>
      <c r="CA119" s="1008">
        <f t="shared" si="149"/>
        <v>0.27285223367697592</v>
      </c>
      <c r="CB119" s="1008">
        <f t="shared" si="149"/>
        <v>0.29971988795518206</v>
      </c>
      <c r="CC119" s="1008">
        <f t="shared" si="149"/>
        <v>0.2512708787218591</v>
      </c>
      <c r="CD119" s="990">
        <f t="shared" si="149"/>
        <v>0.23547169811320753</v>
      </c>
      <c r="CE119" s="1008">
        <f t="shared" si="149"/>
        <v>0.24113475177304963</v>
      </c>
      <c r="CF119" s="1008">
        <f t="shared" si="149"/>
        <v>0.24714518760195758</v>
      </c>
      <c r="CG119" s="1008">
        <f t="shared" si="149"/>
        <v>0.245</v>
      </c>
      <c r="CH119" s="990"/>
      <c r="CI119" s="988"/>
      <c r="CJ119" s="988"/>
      <c r="CK119" s="988"/>
      <c r="CL119" s="1072"/>
    </row>
    <row r="120" spans="1:90" outlineLevel="2">
      <c r="A120" s="997"/>
      <c r="B120" s="1071"/>
      <c r="C120" s="1071"/>
      <c r="D120" s="1071"/>
      <c r="E120" s="1071"/>
      <c r="F120" s="1071"/>
      <c r="G120" s="1071"/>
      <c r="H120" s="1071"/>
      <c r="I120" s="1071"/>
      <c r="J120" s="1071"/>
      <c r="K120" s="1071"/>
      <c r="L120" s="1071"/>
      <c r="M120" s="1071"/>
      <c r="N120" s="1008"/>
      <c r="O120" s="1008"/>
      <c r="P120" s="988"/>
      <c r="Q120" s="988"/>
      <c r="R120" s="989"/>
      <c r="S120" s="988"/>
      <c r="T120" s="949"/>
      <c r="U120" s="949"/>
      <c r="V120" s="949"/>
      <c r="W120" s="949"/>
      <c r="X120" s="947"/>
      <c r="Y120" s="947"/>
      <c r="Z120" s="947"/>
      <c r="AA120" s="984"/>
      <c r="AB120" s="984"/>
      <c r="AC120" s="984"/>
      <c r="AD120" s="984"/>
      <c r="AE120" s="984"/>
      <c r="AF120" s="984"/>
      <c r="AG120" s="984"/>
      <c r="AH120" s="984"/>
      <c r="AI120" s="984"/>
      <c r="AJ120" s="984"/>
      <c r="AK120" s="984"/>
      <c r="AL120" s="984"/>
      <c r="AM120" s="984"/>
      <c r="AN120" s="984"/>
      <c r="AO120" s="984"/>
      <c r="AP120" s="984"/>
      <c r="AQ120" s="984"/>
      <c r="AR120" s="984"/>
      <c r="AS120" s="984"/>
      <c r="AT120" s="984"/>
      <c r="AU120" s="984"/>
      <c r="AV120" s="984"/>
      <c r="AW120" s="984"/>
      <c r="AX120" s="984"/>
      <c r="AY120" s="984"/>
      <c r="AZ120" s="984"/>
      <c r="BA120" s="984"/>
      <c r="BB120" s="984"/>
      <c r="BC120" s="984"/>
      <c r="BD120" s="984"/>
      <c r="BE120" s="984"/>
      <c r="BF120" s="984"/>
      <c r="BG120" s="984"/>
      <c r="BH120" s="984"/>
      <c r="BI120" s="984"/>
      <c r="BJ120" s="984"/>
      <c r="BK120" s="984"/>
      <c r="BL120" s="984"/>
      <c r="BM120" s="984"/>
      <c r="BN120" s="984"/>
      <c r="BO120" s="984"/>
      <c r="BP120" s="984"/>
      <c r="BQ120" s="984"/>
      <c r="BR120" s="990"/>
      <c r="BS120" s="1008"/>
      <c r="BT120" s="1008"/>
      <c r="BU120" s="1008"/>
      <c r="BV120" s="990"/>
      <c r="BW120" s="1008"/>
      <c r="BX120" s="1008"/>
      <c r="BY120" s="1008"/>
      <c r="BZ120" s="990"/>
      <c r="CA120" s="1008"/>
      <c r="CB120" s="1008"/>
      <c r="CC120" s="1008"/>
      <c r="CD120" s="990"/>
      <c r="CE120" s="1008"/>
      <c r="CF120" s="1008"/>
      <c r="CG120" s="1008"/>
      <c r="CH120" s="990"/>
      <c r="CI120" s="988"/>
      <c r="CJ120" s="988"/>
      <c r="CK120" s="988"/>
      <c r="CL120" s="1072"/>
    </row>
    <row r="121" spans="1:90" outlineLevel="2">
      <c r="A121" s="997"/>
      <c r="B121" s="1071"/>
      <c r="C121" s="1071"/>
      <c r="D121" s="1071"/>
      <c r="E121" s="1071"/>
      <c r="F121" s="1071"/>
      <c r="G121" s="1071"/>
      <c r="H121" s="1071"/>
      <c r="I121" s="1071"/>
      <c r="J121" s="1071"/>
      <c r="K121" s="1071"/>
      <c r="L121" s="1071"/>
      <c r="M121" s="1071"/>
      <c r="N121" s="1008"/>
      <c r="O121" s="1008"/>
      <c r="P121" s="988"/>
      <c r="Q121" s="988"/>
      <c r="R121" s="989"/>
      <c r="S121" s="988"/>
      <c r="T121" s="949"/>
      <c r="U121" s="949"/>
      <c r="V121" s="949"/>
      <c r="W121" s="949"/>
      <c r="X121" s="947"/>
      <c r="Y121" s="947"/>
      <c r="Z121" s="947"/>
      <c r="AA121" s="984"/>
      <c r="AB121" s="984"/>
      <c r="AC121" s="984"/>
      <c r="AD121" s="984"/>
      <c r="AE121" s="984"/>
      <c r="AF121" s="984"/>
      <c r="AG121" s="984"/>
      <c r="AH121" s="984"/>
      <c r="AI121" s="984"/>
      <c r="AJ121" s="984"/>
      <c r="AK121" s="984"/>
      <c r="AL121" s="984"/>
      <c r="AM121" s="984"/>
      <c r="AN121" s="984"/>
      <c r="AO121" s="984"/>
      <c r="AP121" s="984"/>
      <c r="AQ121" s="984"/>
      <c r="AR121" s="984"/>
      <c r="AS121" s="984"/>
      <c r="AT121" s="984"/>
      <c r="AU121" s="984"/>
      <c r="AV121" s="984"/>
      <c r="AW121" s="984"/>
      <c r="AX121" s="984"/>
      <c r="AY121" s="984"/>
      <c r="AZ121" s="984"/>
      <c r="BA121" s="984"/>
      <c r="BB121" s="984"/>
      <c r="BC121" s="984"/>
      <c r="BD121" s="984"/>
      <c r="BE121" s="984"/>
      <c r="BF121" s="984"/>
      <c r="BG121" s="984"/>
      <c r="BH121" s="984"/>
      <c r="BI121" s="984"/>
      <c r="BJ121" s="984"/>
      <c r="BK121" s="984"/>
      <c r="BL121" s="984"/>
      <c r="BM121" s="984"/>
      <c r="BN121" s="984"/>
      <c r="BO121" s="984"/>
      <c r="BP121" s="984"/>
      <c r="BQ121" s="984"/>
      <c r="BR121" s="990"/>
      <c r="BS121" s="1008"/>
      <c r="BT121" s="1008"/>
      <c r="BU121" s="1008"/>
      <c r="BV121" s="990"/>
      <c r="BW121" s="1008"/>
      <c r="BX121" s="1008"/>
      <c r="BY121" s="1008"/>
      <c r="BZ121" s="990"/>
      <c r="CA121" s="1008"/>
      <c r="CB121" s="1008"/>
      <c r="CC121" s="1008"/>
      <c r="CD121" s="990"/>
      <c r="CE121" s="1008"/>
      <c r="CF121" s="1008"/>
      <c r="CG121" s="1008"/>
      <c r="CH121" s="990"/>
      <c r="CI121" s="988"/>
      <c r="CJ121" s="988"/>
      <c r="CK121" s="988"/>
      <c r="CL121" s="1072"/>
    </row>
    <row r="122" spans="1:90" outlineLevel="2">
      <c r="A122" s="997"/>
      <c r="B122" s="1071"/>
      <c r="C122" s="1071"/>
      <c r="D122" s="1071"/>
      <c r="E122" s="1071"/>
      <c r="F122" s="1071"/>
      <c r="G122" s="1071"/>
      <c r="H122" s="1071"/>
      <c r="I122" s="1071"/>
      <c r="J122" s="1071"/>
      <c r="K122" s="1071"/>
      <c r="L122" s="1071"/>
      <c r="M122" s="1071"/>
      <c r="N122" s="1008"/>
      <c r="O122" s="1008"/>
      <c r="P122" s="988"/>
      <c r="Q122" s="988"/>
      <c r="R122" s="989"/>
      <c r="S122" s="988"/>
      <c r="T122" s="949"/>
      <c r="U122" s="949"/>
      <c r="V122" s="949"/>
      <c r="W122" s="949"/>
      <c r="X122" s="947"/>
      <c r="Y122" s="947"/>
      <c r="Z122" s="947"/>
      <c r="AA122" s="984"/>
      <c r="AB122" s="984"/>
      <c r="AC122" s="984"/>
      <c r="AD122" s="984"/>
      <c r="AE122" s="984"/>
      <c r="AF122" s="984"/>
      <c r="AG122" s="984"/>
      <c r="AH122" s="984"/>
      <c r="AI122" s="984"/>
      <c r="AJ122" s="984"/>
      <c r="AK122" s="984"/>
      <c r="AL122" s="984"/>
      <c r="AM122" s="984"/>
      <c r="AN122" s="984"/>
      <c r="AO122" s="984"/>
      <c r="AP122" s="984"/>
      <c r="AQ122" s="984"/>
      <c r="AR122" s="984"/>
      <c r="AS122" s="984"/>
      <c r="AT122" s="984"/>
      <c r="AU122" s="984"/>
      <c r="AV122" s="984"/>
      <c r="AW122" s="984"/>
      <c r="AX122" s="984"/>
      <c r="AY122" s="984"/>
      <c r="AZ122" s="984"/>
      <c r="BA122" s="984"/>
      <c r="BB122" s="984"/>
      <c r="BC122" s="984"/>
      <c r="BD122" s="984"/>
      <c r="BE122" s="984"/>
      <c r="BF122" s="984"/>
      <c r="BG122" s="984"/>
      <c r="BH122" s="984"/>
      <c r="BI122" s="984"/>
      <c r="BJ122" s="984"/>
      <c r="BK122" s="984"/>
      <c r="BL122" s="984"/>
      <c r="BM122" s="984"/>
      <c r="BN122" s="984"/>
      <c r="BO122" s="984"/>
      <c r="BP122" s="984"/>
      <c r="BQ122" s="984"/>
      <c r="BR122" s="990"/>
      <c r="BS122" s="1008"/>
      <c r="BT122" s="1008"/>
      <c r="BU122" s="1008"/>
      <c r="BV122" s="990"/>
      <c r="BW122" s="1008"/>
      <c r="BX122" s="1008"/>
      <c r="BY122" s="1008"/>
      <c r="BZ122" s="990"/>
      <c r="CA122" s="1008"/>
      <c r="CB122" s="1008"/>
      <c r="CC122" s="1008"/>
      <c r="CD122" s="990"/>
      <c r="CE122" s="1008"/>
      <c r="CF122" s="1008"/>
      <c r="CG122" s="1008"/>
      <c r="CH122" s="990"/>
      <c r="CI122" s="988"/>
      <c r="CJ122" s="988"/>
      <c r="CK122" s="988"/>
      <c r="CL122" s="1072"/>
    </row>
    <row r="123" spans="1:90" outlineLevel="2">
      <c r="A123" s="997"/>
      <c r="B123" s="1071"/>
      <c r="C123" s="1071"/>
      <c r="D123" s="1071"/>
      <c r="E123" s="1071"/>
      <c r="F123" s="1071"/>
      <c r="G123" s="1071"/>
      <c r="H123" s="1071"/>
      <c r="I123" s="1071"/>
      <c r="J123" s="1071"/>
      <c r="K123" s="1071"/>
      <c r="L123" s="1071"/>
      <c r="M123" s="1071"/>
      <c r="N123" s="1008"/>
      <c r="O123" s="1008"/>
      <c r="P123" s="988"/>
      <c r="Q123" s="988"/>
      <c r="R123" s="989"/>
      <c r="S123" s="988"/>
      <c r="T123" s="949"/>
      <c r="U123" s="949"/>
      <c r="V123" s="949"/>
      <c r="W123" s="949"/>
      <c r="X123" s="947"/>
      <c r="Y123" s="947"/>
      <c r="Z123" s="947"/>
      <c r="AA123" s="984"/>
      <c r="AB123" s="984"/>
      <c r="AC123" s="984"/>
      <c r="AD123" s="984"/>
      <c r="AE123" s="984"/>
      <c r="AF123" s="984"/>
      <c r="AG123" s="984"/>
      <c r="AH123" s="984"/>
      <c r="AI123" s="984"/>
      <c r="AJ123" s="984"/>
      <c r="AK123" s="984"/>
      <c r="AL123" s="984"/>
      <c r="AM123" s="984"/>
      <c r="AN123" s="984"/>
      <c r="AO123" s="984"/>
      <c r="AP123" s="984"/>
      <c r="AQ123" s="984"/>
      <c r="AR123" s="984"/>
      <c r="AS123" s="984"/>
      <c r="AT123" s="984"/>
      <c r="AU123" s="984"/>
      <c r="AV123" s="984"/>
      <c r="AW123" s="984"/>
      <c r="AX123" s="984"/>
      <c r="AY123" s="984"/>
      <c r="AZ123" s="984"/>
      <c r="BA123" s="984"/>
      <c r="BB123" s="984"/>
      <c r="BC123" s="984"/>
      <c r="BD123" s="984"/>
      <c r="BE123" s="984"/>
      <c r="BF123" s="984"/>
      <c r="BG123" s="984"/>
      <c r="BH123" s="984"/>
      <c r="BI123" s="984"/>
      <c r="BJ123" s="984"/>
      <c r="BK123" s="984"/>
      <c r="BL123" s="984"/>
      <c r="BM123" s="984"/>
      <c r="BN123" s="984"/>
      <c r="BO123" s="984"/>
      <c r="BP123" s="984"/>
      <c r="BQ123" s="984"/>
      <c r="BR123" s="990"/>
      <c r="BS123" s="1008"/>
      <c r="BT123" s="1008"/>
      <c r="BU123" s="1008"/>
      <c r="BV123" s="990"/>
      <c r="BW123" s="1008"/>
      <c r="BX123" s="1008"/>
      <c r="BY123" s="1008"/>
      <c r="BZ123" s="990"/>
      <c r="CA123" s="1008"/>
      <c r="CB123" s="1008"/>
      <c r="CC123" s="1008"/>
      <c r="CD123" s="990"/>
      <c r="CE123" s="1008"/>
      <c r="CF123" s="1008"/>
      <c r="CG123" s="1008"/>
      <c r="CH123" s="990"/>
      <c r="CI123" s="988"/>
      <c r="CJ123" s="988"/>
      <c r="CK123" s="988"/>
      <c r="CL123" s="1072"/>
    </row>
    <row r="124" spans="1:90" outlineLevel="1">
      <c r="A124" s="1060" t="s">
        <v>87</v>
      </c>
      <c r="B124" s="1060"/>
      <c r="C124" s="1060"/>
      <c r="D124" s="1060"/>
      <c r="E124" s="1060"/>
      <c r="F124" s="1060"/>
      <c r="G124" s="1060"/>
      <c r="H124" s="1060"/>
      <c r="I124" s="1060"/>
      <c r="J124" s="1060"/>
      <c r="K124" s="1060"/>
      <c r="L124" s="1060"/>
      <c r="M124" s="1060"/>
      <c r="N124" s="1006">
        <v>3165</v>
      </c>
      <c r="O124" s="767">
        <f>SUM(O116,O118)</f>
        <v>3112</v>
      </c>
      <c r="P124" s="271">
        <f>SUM(P116,P118)</f>
        <v>2879</v>
      </c>
      <c r="Q124" s="271">
        <f>SUM(Q116,Q118)</f>
        <v>2246</v>
      </c>
      <c r="R124" s="223">
        <f>SUM(CH124:CK124)</f>
        <v>2186</v>
      </c>
      <c r="S124" s="271">
        <f>SUM(CL124:CO124)</f>
        <v>525</v>
      </c>
      <c r="T124" s="949"/>
      <c r="U124" s="949"/>
      <c r="V124" s="949"/>
      <c r="W124" s="949"/>
      <c r="X124" s="947"/>
      <c r="Y124" s="947"/>
      <c r="Z124" s="947"/>
      <c r="AA124" s="767"/>
      <c r="AB124" s="767"/>
      <c r="AC124" s="767"/>
      <c r="AD124" s="767"/>
      <c r="AE124" s="767"/>
      <c r="AF124" s="767"/>
      <c r="AG124" s="767"/>
      <c r="AH124" s="767"/>
      <c r="AI124" s="767"/>
      <c r="AJ124" s="767"/>
      <c r="AK124" s="767"/>
      <c r="AL124" s="767"/>
      <c r="AM124" s="767"/>
      <c r="AN124" s="767"/>
      <c r="AO124" s="767"/>
      <c r="AP124" s="767"/>
      <c r="AQ124" s="767"/>
      <c r="AR124" s="767"/>
      <c r="AS124" s="767"/>
      <c r="AT124" s="767"/>
      <c r="AU124" s="767"/>
      <c r="AV124" s="767"/>
      <c r="AW124" s="767"/>
      <c r="AX124" s="767"/>
      <c r="AY124" s="767"/>
      <c r="AZ124" s="767"/>
      <c r="BA124" s="767"/>
      <c r="BB124" s="767"/>
      <c r="BC124" s="767"/>
      <c r="BD124" s="767"/>
      <c r="BE124" s="767"/>
      <c r="BF124" s="767"/>
      <c r="BG124" s="767"/>
      <c r="BH124" s="767"/>
      <c r="BI124" s="767"/>
      <c r="BJ124" s="767"/>
      <c r="BK124" s="767"/>
      <c r="BL124" s="767"/>
      <c r="BM124" s="767"/>
      <c r="BN124" s="767"/>
      <c r="BO124" s="767"/>
      <c r="BP124" s="767"/>
      <c r="BQ124" s="767"/>
      <c r="BR124" s="1005">
        <v>798</v>
      </c>
      <c r="BS124" s="1006">
        <v>769</v>
      </c>
      <c r="BT124" s="1006">
        <v>796</v>
      </c>
      <c r="BU124" s="1006">
        <v>802</v>
      </c>
      <c r="BV124" s="940">
        <f>SUM(BV116,BV118)</f>
        <v>766</v>
      </c>
      <c r="BW124" s="767">
        <f>SUM(BW116,BW118)</f>
        <v>769</v>
      </c>
      <c r="BX124" s="767">
        <f>SUM(BX116,BX118)</f>
        <v>787</v>
      </c>
      <c r="BY124" s="767">
        <f>SUM(BY116,BY118)</f>
        <v>790</v>
      </c>
      <c r="BZ124" s="940">
        <f>SUM(BZ116,BZ118)</f>
        <v>763</v>
      </c>
      <c r="CA124" s="767">
        <f t="shared" ref="CA124:CF124" si="150">SUM(CA116,CA118)</f>
        <v>725</v>
      </c>
      <c r="CB124" s="767">
        <f t="shared" si="150"/>
        <v>751</v>
      </c>
      <c r="CC124" s="767">
        <f t="shared" si="150"/>
        <v>640</v>
      </c>
      <c r="CD124" s="940">
        <f t="shared" si="150"/>
        <v>600</v>
      </c>
      <c r="CE124" s="767">
        <f t="shared" si="150"/>
        <v>578</v>
      </c>
      <c r="CF124" s="767">
        <f t="shared" si="150"/>
        <v>553</v>
      </c>
      <c r="CG124" s="767">
        <f>SUM(CG116,CG118)</f>
        <v>515</v>
      </c>
      <c r="CH124" s="1005">
        <v>560</v>
      </c>
      <c r="CI124" s="1006">
        <v>541</v>
      </c>
      <c r="CJ124" s="1006">
        <v>548</v>
      </c>
      <c r="CK124" s="1006">
        <f>2186-CH124-CI124-CJ124</f>
        <v>537</v>
      </c>
      <c r="CL124" s="1005">
        <v>525</v>
      </c>
    </row>
    <row r="125" spans="1:90" outlineLevel="1">
      <c r="A125" s="993" t="s">
        <v>34</v>
      </c>
      <c r="B125" s="983"/>
      <c r="C125" s="983"/>
      <c r="D125" s="983"/>
      <c r="E125" s="983"/>
      <c r="F125" s="983"/>
      <c r="G125" s="983"/>
      <c r="H125" s="983"/>
      <c r="I125" s="983"/>
      <c r="J125" s="983"/>
      <c r="K125" s="983"/>
      <c r="L125" s="983"/>
      <c r="M125" s="983"/>
      <c r="N125" s="984"/>
      <c r="O125" s="988">
        <f>O124/N124-1</f>
        <v>-1.6745655608214838E-2</v>
      </c>
      <c r="P125" s="988">
        <f>P124/O124-1</f>
        <v>-7.4871465295629824E-2</v>
      </c>
      <c r="Q125" s="988">
        <f>Q124/P124-1</f>
        <v>-0.21986800972559917</v>
      </c>
      <c r="R125" s="989">
        <f>R124/Q124-1</f>
        <v>-2.6714158504007157E-2</v>
      </c>
      <c r="S125" s="988">
        <f>S124/R124-1</f>
        <v>-0.75983531564501372</v>
      </c>
      <c r="T125" s="949"/>
      <c r="U125" s="949"/>
      <c r="V125" s="949"/>
      <c r="W125" s="949"/>
      <c r="X125" s="947"/>
      <c r="Y125" s="947"/>
      <c r="Z125" s="947"/>
      <c r="AA125" s="984"/>
      <c r="AB125" s="984"/>
      <c r="AC125" s="984"/>
      <c r="AD125" s="984"/>
      <c r="AE125" s="984"/>
      <c r="AF125" s="984"/>
      <c r="AG125" s="984"/>
      <c r="AH125" s="984"/>
      <c r="AI125" s="984"/>
      <c r="AJ125" s="984"/>
      <c r="AK125" s="984"/>
      <c r="AL125" s="984"/>
      <c r="AM125" s="984"/>
      <c r="AN125" s="984"/>
      <c r="AO125" s="984"/>
      <c r="AP125" s="984"/>
      <c r="AQ125" s="984"/>
      <c r="AR125" s="984"/>
      <c r="AS125" s="984"/>
      <c r="AT125" s="984"/>
      <c r="AU125" s="984"/>
      <c r="AV125" s="984"/>
      <c r="AW125" s="984"/>
      <c r="AX125" s="984"/>
      <c r="AY125" s="984"/>
      <c r="AZ125" s="984"/>
      <c r="BA125" s="984"/>
      <c r="BB125" s="984"/>
      <c r="BC125" s="984"/>
      <c r="BD125" s="984"/>
      <c r="BE125" s="984"/>
      <c r="BF125" s="984"/>
      <c r="BG125" s="984"/>
      <c r="BH125" s="984"/>
      <c r="BI125" s="984"/>
      <c r="BJ125" s="984"/>
      <c r="BK125" s="984"/>
      <c r="BL125" s="984"/>
      <c r="BM125" s="984"/>
      <c r="BN125" s="984"/>
      <c r="BO125" s="984"/>
      <c r="BP125" s="984"/>
      <c r="BQ125" s="984"/>
      <c r="BR125" s="938"/>
      <c r="BS125" s="347"/>
      <c r="BT125" s="347"/>
      <c r="BU125" s="347"/>
      <c r="BV125" s="990">
        <f t="shared" ref="BV125:CG125" si="151">BV124/BR124-1</f>
        <v>-4.0100250626566414E-2</v>
      </c>
      <c r="BW125" s="988">
        <f t="shared" si="151"/>
        <v>0</v>
      </c>
      <c r="BX125" s="988">
        <f t="shared" si="151"/>
        <v>-1.1306532663316604E-2</v>
      </c>
      <c r="BY125" s="988">
        <f t="shared" si="151"/>
        <v>-1.4962593516209433E-2</v>
      </c>
      <c r="BZ125" s="990">
        <f t="shared" si="151"/>
        <v>-3.916449086161844E-3</v>
      </c>
      <c r="CA125" s="988">
        <f t="shared" si="151"/>
        <v>-5.7217165149544891E-2</v>
      </c>
      <c r="CB125" s="988">
        <f t="shared" si="151"/>
        <v>-4.5743329097839847E-2</v>
      </c>
      <c r="CC125" s="988">
        <f t="shared" si="151"/>
        <v>-0.189873417721519</v>
      </c>
      <c r="CD125" s="990">
        <f t="shared" si="151"/>
        <v>-0.21363040629095675</v>
      </c>
      <c r="CE125" s="988">
        <f t="shared" si="151"/>
        <v>-0.20275862068965522</v>
      </c>
      <c r="CF125" s="988">
        <f t="shared" si="151"/>
        <v>-0.26364846870838876</v>
      </c>
      <c r="CG125" s="989">
        <f t="shared" si="151"/>
        <v>-0.1953125</v>
      </c>
      <c r="CH125" s="988">
        <f>CH124/CD124-1</f>
        <v>-6.6666666666666652E-2</v>
      </c>
      <c r="CI125" s="988">
        <f>CI124/CE124-1</f>
        <v>-6.4013840830449809E-2</v>
      </c>
      <c r="CJ125" s="988">
        <f>CJ124/CF124-1</f>
        <v>-9.0415913200723175E-3</v>
      </c>
      <c r="CK125" s="988">
        <f>CK124/CG124-1</f>
        <v>4.2718446601941684E-2</v>
      </c>
      <c r="CL125" s="990">
        <f>CL124/CH124-1</f>
        <v>-6.25E-2</v>
      </c>
    </row>
    <row r="126" spans="1:90" outlineLevel="1">
      <c r="A126" s="1009" t="s">
        <v>1003</v>
      </c>
      <c r="B126" s="1004"/>
      <c r="C126" s="1004"/>
      <c r="D126" s="1004"/>
      <c r="E126" s="1004"/>
      <c r="F126" s="1004"/>
      <c r="G126" s="1004"/>
      <c r="H126" s="1004"/>
      <c r="I126" s="1004"/>
      <c r="J126" s="1004"/>
      <c r="K126" s="1004"/>
      <c r="L126" s="1004"/>
      <c r="M126" s="1004"/>
      <c r="N126" s="1008">
        <f t="shared" ref="N126:S126" si="152">N124/N$113</f>
        <v>0.53744268976057052</v>
      </c>
      <c r="O126" s="1008">
        <f t="shared" si="152"/>
        <v>0.51927248456532626</v>
      </c>
      <c r="P126" s="988">
        <f t="shared" si="152"/>
        <v>0.50104420466411415</v>
      </c>
      <c r="Q126" s="988">
        <f t="shared" si="152"/>
        <v>0.44741035856573708</v>
      </c>
      <c r="R126" s="989">
        <f t="shared" si="152"/>
        <v>0.46849549935705098</v>
      </c>
      <c r="S126" s="1008">
        <f t="shared" si="152"/>
        <v>0.46012269938650308</v>
      </c>
      <c r="T126" s="949"/>
      <c r="U126" s="949"/>
      <c r="V126" s="949"/>
      <c r="W126" s="949"/>
      <c r="X126" s="947"/>
      <c r="Y126" s="947"/>
      <c r="Z126" s="947"/>
      <c r="AA126" s="767"/>
      <c r="AB126" s="767"/>
      <c r="AC126" s="767"/>
      <c r="AD126" s="767"/>
      <c r="AE126" s="767"/>
      <c r="AF126" s="767"/>
      <c r="AG126" s="767"/>
      <c r="AH126" s="767"/>
      <c r="AI126" s="767"/>
      <c r="AJ126" s="767"/>
      <c r="AK126" s="767"/>
      <c r="AL126" s="767"/>
      <c r="AM126" s="767"/>
      <c r="AN126" s="767"/>
      <c r="AO126" s="767"/>
      <c r="AP126" s="767"/>
      <c r="AQ126" s="767"/>
      <c r="AR126" s="767"/>
      <c r="AS126" s="767"/>
      <c r="AT126" s="767"/>
      <c r="AU126" s="767"/>
      <c r="AV126" s="767"/>
      <c r="AW126" s="767"/>
      <c r="AX126" s="767"/>
      <c r="AY126" s="767"/>
      <c r="AZ126" s="767"/>
      <c r="BA126" s="767"/>
      <c r="BB126" s="767"/>
      <c r="BC126" s="767"/>
      <c r="BD126" s="767"/>
      <c r="BE126" s="767"/>
      <c r="BF126" s="767"/>
      <c r="BG126" s="767"/>
      <c r="BH126" s="767"/>
      <c r="BI126" s="767"/>
      <c r="BJ126" s="767"/>
      <c r="BK126" s="767"/>
      <c r="BL126" s="767"/>
      <c r="BM126" s="767"/>
      <c r="BN126" s="767"/>
      <c r="BO126" s="767"/>
      <c r="BP126" s="767"/>
      <c r="BQ126" s="767"/>
      <c r="BR126" s="990">
        <f t="shared" ref="BR126:BZ126" si="153">BR124/BR$113</f>
        <v>0.54657534246575346</v>
      </c>
      <c r="BS126" s="1008">
        <f t="shared" si="153"/>
        <v>0.52241847826086951</v>
      </c>
      <c r="BT126" s="1008">
        <f t="shared" si="153"/>
        <v>0.54076086956521741</v>
      </c>
      <c r="BU126" s="1008">
        <f t="shared" si="153"/>
        <v>0.54006734006734003</v>
      </c>
      <c r="BV126" s="990">
        <f t="shared" si="153"/>
        <v>0.51134846461949268</v>
      </c>
      <c r="BW126" s="1008">
        <f t="shared" si="153"/>
        <v>0.51198402130492682</v>
      </c>
      <c r="BX126" s="1008">
        <f t="shared" si="153"/>
        <v>0.52327127659574468</v>
      </c>
      <c r="BY126" s="1008">
        <f t="shared" si="153"/>
        <v>0.53055742108797854</v>
      </c>
      <c r="BZ126" s="990">
        <f t="shared" si="153"/>
        <v>0.51345895020188426</v>
      </c>
      <c r="CA126" s="1008">
        <f t="shared" ref="CA126:CG126" si="154">CA124/CA$113</f>
        <v>0.49828178694158076</v>
      </c>
      <c r="CB126" s="1008">
        <f t="shared" si="154"/>
        <v>0.52591036414565828</v>
      </c>
      <c r="CC126" s="1008">
        <f t="shared" si="154"/>
        <v>0.4647785039941903</v>
      </c>
      <c r="CD126" s="990">
        <f t="shared" si="154"/>
        <v>0.45283018867924529</v>
      </c>
      <c r="CE126" s="1008">
        <f t="shared" si="154"/>
        <v>0.45547675334909377</v>
      </c>
      <c r="CF126" s="1008">
        <f t="shared" si="154"/>
        <v>0.45106035889070145</v>
      </c>
      <c r="CG126" s="989">
        <f t="shared" si="154"/>
        <v>0.42916666666666664</v>
      </c>
      <c r="CH126" s="1008">
        <f>CH124/CH$113</f>
        <v>0.47058823529411764</v>
      </c>
      <c r="CI126" s="1008">
        <f>CI124/CI$113</f>
        <v>0.4651762682717111</v>
      </c>
      <c r="CJ126" s="1008">
        <f>CJ124/CJ$113</f>
        <v>0.47038626609442058</v>
      </c>
      <c r="CK126" s="1008">
        <f>CK124/CK$113</f>
        <v>0.46777003484320556</v>
      </c>
      <c r="CL126" s="990">
        <f>CL124/CL$113</f>
        <v>0.46012269938650308</v>
      </c>
    </row>
    <row r="127" spans="1:90" outlineLevel="1">
      <c r="A127" s="1009" t="s">
        <v>88</v>
      </c>
      <c r="B127" s="1004"/>
      <c r="C127" s="1004"/>
      <c r="D127" s="1004"/>
      <c r="E127" s="1004"/>
      <c r="F127" s="1004"/>
      <c r="G127" s="1004"/>
      <c r="H127" s="1004"/>
      <c r="I127" s="1004"/>
      <c r="J127" s="1004"/>
      <c r="K127" s="1004"/>
      <c r="L127" s="1004"/>
      <c r="M127" s="1004"/>
      <c r="N127" s="1008">
        <f t="shared" ref="N127:S127" si="155">N124/N52</f>
        <v>0.33196979232221524</v>
      </c>
      <c r="O127" s="1008">
        <f t="shared" si="155"/>
        <v>0.33936750272628136</v>
      </c>
      <c r="P127" s="988">
        <f t="shared" si="155"/>
        <v>0.32239641657334828</v>
      </c>
      <c r="Q127" s="988">
        <f t="shared" si="155"/>
        <v>0.2838725985844287</v>
      </c>
      <c r="R127" s="989">
        <f t="shared" si="155"/>
        <v>0.29965729952021936</v>
      </c>
      <c r="S127" s="988">
        <f t="shared" si="155"/>
        <v>0.30523255813953487</v>
      </c>
      <c r="T127" s="949"/>
      <c r="U127" s="949"/>
      <c r="V127" s="949"/>
      <c r="W127" s="949"/>
      <c r="X127" s="947"/>
      <c r="Y127" s="947"/>
      <c r="Z127" s="947"/>
      <c r="AA127" s="767"/>
      <c r="AB127" s="767"/>
      <c r="AC127" s="767"/>
      <c r="AD127" s="767"/>
      <c r="AE127" s="767"/>
      <c r="AF127" s="767"/>
      <c r="AG127" s="767"/>
      <c r="AH127" s="767"/>
      <c r="AI127" s="767"/>
      <c r="AJ127" s="767"/>
      <c r="AK127" s="767"/>
      <c r="AL127" s="767"/>
      <c r="AM127" s="767"/>
      <c r="AN127" s="767"/>
      <c r="AO127" s="767"/>
      <c r="AP127" s="767"/>
      <c r="AQ127" s="767"/>
      <c r="AR127" s="767"/>
      <c r="AS127" s="767"/>
      <c r="AT127" s="767"/>
      <c r="AU127" s="767"/>
      <c r="AV127" s="767"/>
      <c r="AW127" s="767"/>
      <c r="AX127" s="767"/>
      <c r="AY127" s="767"/>
      <c r="AZ127" s="767"/>
      <c r="BA127" s="767"/>
      <c r="BB127" s="767"/>
      <c r="BC127" s="767"/>
      <c r="BD127" s="767"/>
      <c r="BE127" s="767"/>
      <c r="BF127" s="767"/>
      <c r="BG127" s="767"/>
      <c r="BH127" s="767"/>
      <c r="BI127" s="767"/>
      <c r="BJ127" s="767"/>
      <c r="BK127" s="767"/>
      <c r="BL127" s="767"/>
      <c r="BM127" s="767"/>
      <c r="BN127" s="767"/>
      <c r="BO127" s="767"/>
      <c r="BP127" s="767"/>
      <c r="BQ127" s="223"/>
      <c r="BR127" s="1008">
        <f t="shared" ref="BR127:CI127" si="156">BR124/BR52</f>
        <v>0.33112033195020746</v>
      </c>
      <c r="BS127" s="1008">
        <f t="shared" si="156"/>
        <v>0.3254337706305544</v>
      </c>
      <c r="BT127" s="1008">
        <f t="shared" si="156"/>
        <v>0.33829154271143219</v>
      </c>
      <c r="BU127" s="1008">
        <f t="shared" si="156"/>
        <v>0.3330564784053156</v>
      </c>
      <c r="BV127" s="990">
        <f t="shared" si="156"/>
        <v>0.33670329670329668</v>
      </c>
      <c r="BW127" s="1008">
        <f t="shared" si="156"/>
        <v>0.33232497839239411</v>
      </c>
      <c r="BX127" s="1008">
        <f t="shared" si="156"/>
        <v>0.34472185720543147</v>
      </c>
      <c r="BY127" s="1008">
        <f t="shared" si="156"/>
        <v>0.34377719756309832</v>
      </c>
      <c r="BZ127" s="990">
        <f t="shared" si="156"/>
        <v>0.33790965456155891</v>
      </c>
      <c r="CA127" s="1008">
        <f t="shared" si="156"/>
        <v>0.32394995531724752</v>
      </c>
      <c r="CB127" s="1008">
        <f t="shared" si="156"/>
        <v>0.32709059233449478</v>
      </c>
      <c r="CC127" s="1008">
        <f t="shared" si="156"/>
        <v>0.29962546816479402</v>
      </c>
      <c r="CD127" s="990">
        <f t="shared" si="156"/>
        <v>0.29585798816568049</v>
      </c>
      <c r="CE127" s="1008">
        <f t="shared" si="156"/>
        <v>0.28928928928928926</v>
      </c>
      <c r="CF127" s="1008">
        <f t="shared" si="156"/>
        <v>0.28199898011218766</v>
      </c>
      <c r="CG127" s="989">
        <f t="shared" si="156"/>
        <v>0.26977475117862754</v>
      </c>
      <c r="CH127" s="1008">
        <f t="shared" si="156"/>
        <v>0.30401737242128124</v>
      </c>
      <c r="CI127" s="1008">
        <f t="shared" si="156"/>
        <v>0.29434167573449399</v>
      </c>
      <c r="CJ127" s="1008">
        <f>CJ124/CJ52</f>
        <v>0.30192837465564737</v>
      </c>
      <c r="CK127" s="1008">
        <f>CK124/CK52</f>
        <v>0.29833333333333334</v>
      </c>
      <c r="CL127" s="990">
        <f>CL124/CL52</f>
        <v>0.30523255813953487</v>
      </c>
    </row>
    <row r="128" spans="1:90" ht="15" outlineLevel="1">
      <c r="A128" s="1060"/>
      <c r="B128" s="1060"/>
      <c r="C128" s="1060"/>
      <c r="D128" s="1060"/>
      <c r="E128" s="1060"/>
      <c r="F128" s="1060"/>
      <c r="G128" s="1060"/>
      <c r="H128" s="1060"/>
      <c r="I128" s="1060"/>
      <c r="J128" s="1060"/>
      <c r="K128" s="1060"/>
      <c r="L128" s="1060"/>
      <c r="M128" s="1060"/>
      <c r="N128" s="767"/>
      <c r="O128" s="767"/>
      <c r="P128" s="271"/>
      <c r="Q128" s="271"/>
      <c r="R128" s="223"/>
      <c r="S128" s="767"/>
      <c r="T128" s="949"/>
      <c r="U128" s="949"/>
      <c r="V128" s="949"/>
      <c r="W128" s="949"/>
      <c r="X128" s="947"/>
      <c r="Y128" s="947"/>
      <c r="Z128" s="947"/>
      <c r="AA128" s="767"/>
      <c r="AB128" s="767"/>
      <c r="AC128" s="767"/>
      <c r="AD128" s="767"/>
      <c r="AE128" s="767"/>
      <c r="AF128" s="767"/>
      <c r="AG128" s="767"/>
      <c r="AH128" s="767"/>
      <c r="AI128" s="767"/>
      <c r="AJ128" s="767"/>
      <c r="AK128" s="767"/>
      <c r="AL128" s="767"/>
      <c r="AM128" s="767"/>
      <c r="AN128" s="767"/>
      <c r="AO128" s="767"/>
      <c r="AP128" s="767"/>
      <c r="AQ128" s="767"/>
      <c r="AR128" s="767"/>
      <c r="AS128" s="767"/>
      <c r="AT128" s="767"/>
      <c r="AU128" s="767"/>
      <c r="AV128" s="767"/>
      <c r="AW128" s="767"/>
      <c r="AX128" s="767"/>
      <c r="AY128" s="767"/>
      <c r="AZ128" s="767"/>
      <c r="BA128" s="767"/>
      <c r="BB128" s="767"/>
      <c r="BC128" s="767"/>
      <c r="BD128" s="767"/>
      <c r="BE128" s="767"/>
      <c r="BF128" s="767"/>
      <c r="BG128" s="767"/>
      <c r="BH128" s="767"/>
      <c r="BI128" s="767"/>
      <c r="BJ128" s="767"/>
      <c r="BK128" s="767"/>
      <c r="BL128" s="767"/>
      <c r="BM128" s="767"/>
      <c r="BN128" s="767"/>
      <c r="BO128" s="767"/>
      <c r="BP128" s="767"/>
      <c r="BQ128" s="767"/>
      <c r="BR128" s="940"/>
      <c r="BS128" s="767"/>
      <c r="BT128" s="767"/>
      <c r="BU128" s="767"/>
      <c r="BV128" s="940"/>
      <c r="BW128" s="767"/>
      <c r="BX128" s="767"/>
      <c r="BY128" s="767"/>
      <c r="BZ128" s="940"/>
      <c r="CA128" s="767"/>
      <c r="CB128" s="767"/>
      <c r="CC128" s="767"/>
      <c r="CD128" s="940"/>
      <c r="CE128" s="767"/>
      <c r="CF128" s="767"/>
      <c r="CG128" s="767"/>
      <c r="CH128" s="1073"/>
      <c r="CI128" s="1074"/>
      <c r="CJ128" s="1074"/>
      <c r="CK128" s="1074"/>
      <c r="CL128" s="1073"/>
    </row>
    <row r="129" spans="1:90" outlineLevel="1">
      <c r="A129" s="1060" t="s">
        <v>89</v>
      </c>
      <c r="B129" s="1060"/>
      <c r="C129" s="1060"/>
      <c r="D129" s="1060"/>
      <c r="E129" s="1060"/>
      <c r="F129" s="1060"/>
      <c r="G129" s="1060"/>
      <c r="H129" s="1060"/>
      <c r="I129" s="1060"/>
      <c r="J129" s="1060"/>
      <c r="K129" s="1060"/>
      <c r="L129" s="1060"/>
      <c r="M129" s="1060"/>
      <c r="N129" s="916">
        <f t="shared" ref="N129:S129" si="157">N113-N124</f>
        <v>2724</v>
      </c>
      <c r="O129" s="916">
        <f t="shared" si="157"/>
        <v>2881</v>
      </c>
      <c r="P129" s="916">
        <f t="shared" si="157"/>
        <v>2867</v>
      </c>
      <c r="Q129" s="916">
        <f t="shared" si="157"/>
        <v>2774</v>
      </c>
      <c r="R129" s="1075">
        <f t="shared" si="157"/>
        <v>2480</v>
      </c>
      <c r="S129" s="1011">
        <f t="shared" si="157"/>
        <v>616</v>
      </c>
      <c r="T129" s="949"/>
      <c r="U129" s="949"/>
      <c r="V129" s="949"/>
      <c r="W129" s="949"/>
      <c r="X129" s="947"/>
      <c r="Y129" s="947"/>
      <c r="Z129" s="947"/>
      <c r="AA129" s="916"/>
      <c r="AB129" s="916"/>
      <c r="AC129" s="916"/>
      <c r="AD129" s="916"/>
      <c r="AE129" s="916"/>
      <c r="AF129" s="916"/>
      <c r="AG129" s="916"/>
      <c r="AH129" s="916"/>
      <c r="AI129" s="916"/>
      <c r="AJ129" s="916"/>
      <c r="AK129" s="916"/>
      <c r="AL129" s="916"/>
      <c r="AM129" s="916"/>
      <c r="AN129" s="916"/>
      <c r="AO129" s="916"/>
      <c r="AP129" s="916"/>
      <c r="AQ129" s="916"/>
      <c r="AR129" s="916"/>
      <c r="AS129" s="916"/>
      <c r="AT129" s="916"/>
      <c r="AU129" s="916"/>
      <c r="AV129" s="916"/>
      <c r="AW129" s="916"/>
      <c r="AX129" s="916"/>
      <c r="AY129" s="916"/>
      <c r="AZ129" s="916"/>
      <c r="BA129" s="916"/>
      <c r="BB129" s="916"/>
      <c r="BC129" s="916"/>
      <c r="BD129" s="916"/>
      <c r="BE129" s="916"/>
      <c r="BF129" s="916"/>
      <c r="BG129" s="916"/>
      <c r="BH129" s="916"/>
      <c r="BI129" s="916"/>
      <c r="BJ129" s="916"/>
      <c r="BK129" s="916"/>
      <c r="BL129" s="916"/>
      <c r="BM129" s="916"/>
      <c r="BN129" s="916"/>
      <c r="BO129" s="916"/>
      <c r="BP129" s="916"/>
      <c r="BQ129" s="916"/>
      <c r="BR129" s="154">
        <f t="shared" ref="BR129:BZ129" si="158">BR113-BR124</f>
        <v>662</v>
      </c>
      <c r="BS129" s="916">
        <f t="shared" si="158"/>
        <v>703</v>
      </c>
      <c r="BT129" s="916">
        <f t="shared" si="158"/>
        <v>676</v>
      </c>
      <c r="BU129" s="916">
        <f t="shared" si="158"/>
        <v>683</v>
      </c>
      <c r="BV129" s="154">
        <f t="shared" si="158"/>
        <v>732</v>
      </c>
      <c r="BW129" s="916">
        <f t="shared" si="158"/>
        <v>733</v>
      </c>
      <c r="BX129" s="916">
        <f t="shared" si="158"/>
        <v>717</v>
      </c>
      <c r="BY129" s="916">
        <f t="shared" si="158"/>
        <v>699</v>
      </c>
      <c r="BZ129" s="154">
        <f t="shared" si="158"/>
        <v>723</v>
      </c>
      <c r="CA129" s="916">
        <f t="shared" ref="CA129:CK129" si="159">CA113-CA124</f>
        <v>730</v>
      </c>
      <c r="CB129" s="916">
        <f t="shared" si="159"/>
        <v>677</v>
      </c>
      <c r="CC129" s="916">
        <f t="shared" si="159"/>
        <v>737</v>
      </c>
      <c r="CD129" s="154">
        <f t="shared" si="159"/>
        <v>725</v>
      </c>
      <c r="CE129" s="916">
        <f t="shared" si="159"/>
        <v>691</v>
      </c>
      <c r="CF129" s="916">
        <f t="shared" si="159"/>
        <v>673</v>
      </c>
      <c r="CG129" s="916">
        <f t="shared" si="159"/>
        <v>685</v>
      </c>
      <c r="CH129" s="154">
        <f t="shared" si="159"/>
        <v>630</v>
      </c>
      <c r="CI129" s="916">
        <f t="shared" si="159"/>
        <v>622</v>
      </c>
      <c r="CJ129" s="916">
        <f>CJ113-CJ124</f>
        <v>617</v>
      </c>
      <c r="CK129" s="916">
        <f t="shared" si="159"/>
        <v>611</v>
      </c>
      <c r="CL129" s="154">
        <f>CL113-CL124</f>
        <v>616</v>
      </c>
    </row>
    <row r="130" spans="1:90" outlineLevel="1">
      <c r="A130" s="1076" t="s">
        <v>90</v>
      </c>
      <c r="B130" s="1077"/>
      <c r="C130" s="1077"/>
      <c r="D130" s="1077"/>
      <c r="E130" s="1077"/>
      <c r="F130" s="1077"/>
      <c r="G130" s="1077"/>
      <c r="H130" s="1077"/>
      <c r="I130" s="1077"/>
      <c r="J130" s="1077"/>
      <c r="K130" s="1077"/>
      <c r="L130" s="1077"/>
      <c r="M130" s="1077"/>
      <c r="N130" s="1078">
        <f t="shared" ref="N130:S130" si="160">N129/N113</f>
        <v>0.46255731023942942</v>
      </c>
      <c r="O130" s="1078">
        <f t="shared" si="160"/>
        <v>0.48072751543467379</v>
      </c>
      <c r="P130" s="1078">
        <f t="shared" si="160"/>
        <v>0.49895579533588585</v>
      </c>
      <c r="Q130" s="1078">
        <f t="shared" si="160"/>
        <v>0.55258964143426292</v>
      </c>
      <c r="R130" s="1079">
        <f t="shared" si="160"/>
        <v>0.53150450064294896</v>
      </c>
      <c r="S130" s="1078">
        <f t="shared" si="160"/>
        <v>0.53987730061349692</v>
      </c>
      <c r="T130" s="949"/>
      <c r="U130" s="949"/>
      <c r="V130" s="949"/>
      <c r="W130" s="949"/>
      <c r="X130" s="947"/>
      <c r="Y130" s="947"/>
      <c r="Z130" s="947"/>
      <c r="AA130" s="1080"/>
      <c r="AB130" s="1080"/>
      <c r="AC130" s="1080"/>
      <c r="AD130" s="1080"/>
      <c r="AE130" s="1080"/>
      <c r="AF130" s="1080"/>
      <c r="AG130" s="1080"/>
      <c r="AH130" s="1080"/>
      <c r="AI130" s="1080"/>
      <c r="AJ130" s="1080"/>
      <c r="AK130" s="1080"/>
      <c r="AL130" s="1080"/>
      <c r="AM130" s="1080"/>
      <c r="AN130" s="1080"/>
      <c r="AO130" s="1080"/>
      <c r="AP130" s="1080"/>
      <c r="AQ130" s="1080"/>
      <c r="AR130" s="1080"/>
      <c r="AS130" s="1080"/>
      <c r="AT130" s="1080"/>
      <c r="AU130" s="1080"/>
      <c r="AV130" s="1080"/>
      <c r="AW130" s="1080"/>
      <c r="AX130" s="1080"/>
      <c r="AY130" s="1080"/>
      <c r="AZ130" s="1080"/>
      <c r="BA130" s="1080"/>
      <c r="BB130" s="1080"/>
      <c r="BC130" s="1080"/>
      <c r="BD130" s="1080"/>
      <c r="BE130" s="1080"/>
      <c r="BF130" s="1080"/>
      <c r="BG130" s="1080"/>
      <c r="BH130" s="1080"/>
      <c r="BI130" s="1080"/>
      <c r="BJ130" s="1080"/>
      <c r="BK130" s="1080"/>
      <c r="BL130" s="1080"/>
      <c r="BM130" s="1080"/>
      <c r="BN130" s="1080"/>
      <c r="BO130" s="1080"/>
      <c r="BP130" s="1080"/>
      <c r="BQ130" s="1080"/>
      <c r="BR130" s="1081">
        <f t="shared" ref="BR130:CG130" si="161">BR129/BR113</f>
        <v>0.4534246575342466</v>
      </c>
      <c r="BS130" s="1080">
        <f t="shared" si="161"/>
        <v>0.47758152173913043</v>
      </c>
      <c r="BT130" s="1080">
        <f t="shared" si="161"/>
        <v>0.45923913043478259</v>
      </c>
      <c r="BU130" s="1080">
        <f t="shared" si="161"/>
        <v>0.45993265993265992</v>
      </c>
      <c r="BV130" s="1082">
        <f t="shared" si="161"/>
        <v>0.48865153538050732</v>
      </c>
      <c r="BW130" s="1078">
        <f t="shared" si="161"/>
        <v>0.48801597869507324</v>
      </c>
      <c r="BX130" s="1078">
        <f t="shared" si="161"/>
        <v>0.47672872340425532</v>
      </c>
      <c r="BY130" s="1078">
        <f t="shared" si="161"/>
        <v>0.46944257891202151</v>
      </c>
      <c r="BZ130" s="1082">
        <f t="shared" si="161"/>
        <v>0.48654104979811574</v>
      </c>
      <c r="CA130" s="1078">
        <f t="shared" si="161"/>
        <v>0.50171821305841924</v>
      </c>
      <c r="CB130" s="1078">
        <f t="shared" si="161"/>
        <v>0.47408963585434172</v>
      </c>
      <c r="CC130" s="1078">
        <f t="shared" si="161"/>
        <v>0.5352214960058097</v>
      </c>
      <c r="CD130" s="1082">
        <f t="shared" si="161"/>
        <v>0.54716981132075471</v>
      </c>
      <c r="CE130" s="1078">
        <f t="shared" si="161"/>
        <v>0.54452324665090623</v>
      </c>
      <c r="CF130" s="1078">
        <f t="shared" si="161"/>
        <v>0.54893964110929849</v>
      </c>
      <c r="CG130" s="1078">
        <f t="shared" si="161"/>
        <v>0.5708333333333333</v>
      </c>
      <c r="CH130" s="1082">
        <f>CH129/CH113</f>
        <v>0.52941176470588236</v>
      </c>
      <c r="CI130" s="1078">
        <f>CI129/CI113</f>
        <v>0.5348237317282889</v>
      </c>
      <c r="CJ130" s="1078">
        <f>CJ129/CJ113</f>
        <v>0.52961373390557942</v>
      </c>
      <c r="CK130" s="1078">
        <f>CK129/CK113</f>
        <v>0.53222996515679444</v>
      </c>
      <c r="CL130" s="1082">
        <f>CL129/CL113</f>
        <v>0.53987730061349692</v>
      </c>
    </row>
    <row r="131" spans="1:90" ht="7.5" customHeight="1">
      <c r="A131" s="1083"/>
      <c r="B131" s="1083"/>
      <c r="C131" s="1083"/>
      <c r="D131" s="1083"/>
      <c r="E131" s="1083"/>
      <c r="F131" s="1083"/>
      <c r="G131" s="1083"/>
      <c r="H131" s="1083"/>
      <c r="I131" s="1083"/>
      <c r="J131" s="1083"/>
      <c r="K131" s="1083"/>
      <c r="L131" s="1083"/>
      <c r="M131" s="1083"/>
      <c r="N131" s="1080"/>
      <c r="O131" s="1080"/>
      <c r="P131" s="1084"/>
      <c r="Q131" s="1084"/>
      <c r="R131" s="1085"/>
      <c r="S131" s="1080"/>
      <c r="T131" s="949"/>
      <c r="U131" s="949"/>
      <c r="V131" s="949"/>
      <c r="W131" s="949"/>
      <c r="X131" s="947"/>
      <c r="Y131" s="947"/>
      <c r="Z131" s="947"/>
      <c r="AA131" s="1086"/>
      <c r="AB131" s="1086"/>
      <c r="AC131" s="1086"/>
      <c r="AD131" s="1086"/>
      <c r="AE131" s="1086"/>
      <c r="AF131" s="1086"/>
      <c r="AG131" s="1086"/>
      <c r="AH131" s="1086"/>
      <c r="AI131" s="1086"/>
      <c r="AJ131" s="1086"/>
      <c r="AK131" s="1086"/>
      <c r="AL131" s="1086"/>
      <c r="AM131" s="1086"/>
      <c r="AN131" s="1086"/>
      <c r="AO131" s="1086"/>
      <c r="AP131" s="1086"/>
      <c r="AQ131" s="1086"/>
      <c r="AR131" s="1086"/>
      <c r="AS131" s="1086"/>
      <c r="AT131" s="1086"/>
      <c r="AU131" s="1086"/>
      <c r="AV131" s="1086"/>
      <c r="AW131" s="1086"/>
      <c r="AX131" s="1086"/>
      <c r="AY131" s="1086"/>
      <c r="AZ131" s="1086"/>
      <c r="BA131" s="1086"/>
      <c r="BB131" s="1086"/>
      <c r="BC131" s="1086"/>
      <c r="BD131" s="1086"/>
      <c r="BE131" s="1086"/>
      <c r="BF131" s="1086"/>
      <c r="BG131" s="1086"/>
      <c r="BH131" s="1086"/>
      <c r="BI131" s="1086"/>
      <c r="BJ131" s="1086"/>
      <c r="BK131" s="1086"/>
      <c r="BL131" s="1086"/>
      <c r="BM131" s="1086"/>
      <c r="BN131" s="1086"/>
      <c r="BO131" s="1086"/>
      <c r="BP131" s="1086"/>
      <c r="BQ131" s="1086"/>
      <c r="BR131" s="1087"/>
      <c r="BS131" s="1086"/>
      <c r="BT131" s="1086"/>
      <c r="BU131" s="1088"/>
      <c r="BV131" s="1081"/>
      <c r="BW131" s="1080"/>
      <c r="BX131" s="1080"/>
      <c r="BY131" s="1080"/>
      <c r="BZ131" s="1081"/>
      <c r="CA131" s="988"/>
      <c r="CB131" s="1089"/>
      <c r="CC131" s="1090"/>
      <c r="CD131" s="1091"/>
      <c r="CE131" s="988"/>
      <c r="CF131" s="988"/>
      <c r="CG131" s="988"/>
      <c r="CH131" s="1092"/>
      <c r="CI131" s="1090"/>
      <c r="CJ131" s="1090"/>
      <c r="CK131" s="1090"/>
      <c r="CL131" s="1092"/>
    </row>
    <row r="132" spans="1:90">
      <c r="A132" s="1070" t="s">
        <v>91</v>
      </c>
      <c r="B132" s="1070"/>
      <c r="C132" s="1070"/>
      <c r="D132" s="1070"/>
      <c r="E132" s="1070"/>
      <c r="F132" s="1070"/>
      <c r="G132" s="1070"/>
      <c r="H132" s="1070"/>
      <c r="I132" s="1070"/>
      <c r="J132" s="1070"/>
      <c r="K132" s="1070"/>
      <c r="L132" s="1070"/>
      <c r="M132" s="1070"/>
      <c r="N132" s="1080">
        <f t="shared" ref="N132:S132" si="162">N100/N113</f>
        <v>0.14756325352351843</v>
      </c>
      <c r="O132" s="1080">
        <f t="shared" si="162"/>
        <v>0.19189053896212246</v>
      </c>
      <c r="P132" s="1084">
        <f t="shared" si="162"/>
        <v>0.23198746954403063</v>
      </c>
      <c r="Q132" s="1084">
        <f t="shared" si="162"/>
        <v>0.27848605577689245</v>
      </c>
      <c r="R132" s="1085">
        <f t="shared" si="162"/>
        <v>0.32083154736390912</v>
      </c>
      <c r="S132" s="1080">
        <f t="shared" si="162"/>
        <v>0.34443470639789658</v>
      </c>
      <c r="T132" s="949"/>
      <c r="U132" s="949"/>
      <c r="V132" s="949"/>
      <c r="W132" s="949"/>
      <c r="X132" s="947"/>
      <c r="Y132" s="947"/>
      <c r="Z132" s="947"/>
      <c r="AA132" s="1084"/>
      <c r="AB132" s="1084"/>
      <c r="AC132" s="1084"/>
      <c r="AD132" s="1084"/>
      <c r="AE132" s="1084"/>
      <c r="AF132" s="1084"/>
      <c r="AG132" s="1084"/>
      <c r="AH132" s="1084"/>
      <c r="AI132" s="1084"/>
      <c r="AJ132" s="1084"/>
      <c r="AK132" s="1084"/>
      <c r="AL132" s="1084"/>
      <c r="AM132" s="1084"/>
      <c r="AN132" s="1084"/>
      <c r="AO132" s="1084"/>
      <c r="AP132" s="1084"/>
      <c r="AQ132" s="1084"/>
      <c r="AR132" s="1084"/>
      <c r="AS132" s="1084"/>
      <c r="AT132" s="1084"/>
      <c r="AU132" s="1084"/>
      <c r="AV132" s="1084"/>
      <c r="AW132" s="1084"/>
      <c r="AX132" s="1084"/>
      <c r="AY132" s="1084"/>
      <c r="AZ132" s="1084"/>
      <c r="BA132" s="1084"/>
      <c r="BB132" s="1084"/>
      <c r="BC132" s="1084"/>
      <c r="BD132" s="1084"/>
      <c r="BE132" s="1084"/>
      <c r="BF132" s="1084"/>
      <c r="BG132" s="1084"/>
      <c r="BH132" s="1084"/>
      <c r="BI132" s="1084"/>
      <c r="BJ132" s="1084"/>
      <c r="BK132" s="1084"/>
      <c r="BL132" s="1084"/>
      <c r="BM132" s="1084"/>
      <c r="BN132" s="1084"/>
      <c r="BO132" s="1084"/>
      <c r="BP132" s="1084"/>
      <c r="BQ132" s="1084"/>
      <c r="BR132" s="1081">
        <f t="shared" ref="BR132:CK132" si="163">BR100/BR113</f>
        <v>0.13013698630136986</v>
      </c>
      <c r="BS132" s="1084">
        <f t="shared" si="163"/>
        <v>0.13858695652173914</v>
      </c>
      <c r="BT132" s="1084">
        <f t="shared" si="163"/>
        <v>0.15217391304347827</v>
      </c>
      <c r="BU132" s="1085">
        <f t="shared" si="163"/>
        <v>0.16902356902356902</v>
      </c>
      <c r="BV132" s="1081">
        <f t="shared" si="163"/>
        <v>0.17823765020026702</v>
      </c>
      <c r="BW132" s="1080">
        <f t="shared" si="163"/>
        <v>0.18641810918774968</v>
      </c>
      <c r="BX132" s="1080">
        <f t="shared" si="163"/>
        <v>0.19680851063829788</v>
      </c>
      <c r="BY132" s="1080">
        <f t="shared" si="163"/>
        <v>0.20617864338482203</v>
      </c>
      <c r="BZ132" s="1081">
        <f t="shared" si="163"/>
        <v>0.21938088829071331</v>
      </c>
      <c r="CA132" s="1080">
        <f t="shared" si="163"/>
        <v>0.22886597938144329</v>
      </c>
      <c r="CB132" s="1080">
        <f t="shared" si="163"/>
        <v>0.23389355742296919</v>
      </c>
      <c r="CC132" s="1080">
        <f t="shared" si="163"/>
        <v>0.24691358024691357</v>
      </c>
      <c r="CD132" s="1081">
        <f t="shared" si="163"/>
        <v>0.26339622641509436</v>
      </c>
      <c r="CE132" s="1080">
        <f t="shared" si="163"/>
        <v>0.27344365642237983</v>
      </c>
      <c r="CF132" s="1080">
        <f t="shared" si="163"/>
        <v>0.2830342577487765</v>
      </c>
      <c r="CG132" s="1080">
        <f t="shared" si="163"/>
        <v>0.29583333333333334</v>
      </c>
      <c r="CH132" s="1081">
        <f t="shared" si="163"/>
        <v>0.30840336134453783</v>
      </c>
      <c r="CI132" s="1080">
        <f t="shared" si="163"/>
        <v>0.31642304385210662</v>
      </c>
      <c r="CJ132" s="1080">
        <f t="shared" si="163"/>
        <v>0.3261802575107296</v>
      </c>
      <c r="CK132" s="1080">
        <f t="shared" si="163"/>
        <v>0.3327526132404181</v>
      </c>
      <c r="CL132" s="1081">
        <f>CL100/CL113</f>
        <v>0.34443470639789658</v>
      </c>
    </row>
    <row r="133" spans="1:90">
      <c r="A133" s="1093" t="s">
        <v>92</v>
      </c>
      <c r="B133" s="1093"/>
      <c r="C133" s="1093"/>
      <c r="D133" s="1093"/>
      <c r="E133" s="1093"/>
      <c r="F133" s="1093"/>
      <c r="G133" s="1093"/>
      <c r="H133" s="1093"/>
      <c r="I133" s="1093"/>
      <c r="J133" s="1093"/>
      <c r="K133" s="1093"/>
      <c r="L133" s="1093"/>
      <c r="M133" s="1093"/>
      <c r="N133" s="1067">
        <v>48</v>
      </c>
      <c r="O133" s="1067">
        <v>52</v>
      </c>
      <c r="P133" s="1067"/>
      <c r="Q133" s="1067"/>
      <c r="R133" s="1068"/>
      <c r="S133" s="1067"/>
      <c r="T133" s="949"/>
      <c r="U133" s="949"/>
      <c r="V133" s="949"/>
      <c r="W133" s="949"/>
      <c r="X133" s="947"/>
      <c r="Y133" s="947"/>
      <c r="Z133" s="947"/>
      <c r="AA133" s="1067"/>
      <c r="AB133" s="1067"/>
      <c r="AC133" s="1067"/>
      <c r="AD133" s="1067"/>
      <c r="AE133" s="1067"/>
      <c r="AF133" s="1067"/>
      <c r="AG133" s="1067"/>
      <c r="AH133" s="1067"/>
      <c r="AI133" s="1067"/>
      <c r="AJ133" s="1067"/>
      <c r="AK133" s="1067"/>
      <c r="AL133" s="1067"/>
      <c r="AM133" s="1067"/>
      <c r="AN133" s="1067"/>
      <c r="AO133" s="1067"/>
      <c r="AP133" s="1067"/>
      <c r="AQ133" s="1067"/>
      <c r="AR133" s="1067"/>
      <c r="AS133" s="1067"/>
      <c r="AT133" s="1067"/>
      <c r="AU133" s="1067"/>
      <c r="AV133" s="1067"/>
      <c r="AW133" s="1067"/>
      <c r="AX133" s="1067"/>
      <c r="AY133" s="1067"/>
      <c r="AZ133" s="1067"/>
      <c r="BA133" s="1067"/>
      <c r="BB133" s="1067"/>
      <c r="BC133" s="1067"/>
      <c r="BD133" s="1067"/>
      <c r="BE133" s="1067"/>
      <c r="BF133" s="1067"/>
      <c r="BG133" s="1067"/>
      <c r="BH133" s="1067"/>
      <c r="BI133" s="1067"/>
      <c r="BJ133" s="1067"/>
      <c r="BK133" s="1067"/>
      <c r="BL133" s="1067"/>
      <c r="BM133" s="1067"/>
      <c r="BN133" s="1067"/>
      <c r="BO133" s="1067"/>
      <c r="BP133" s="1067"/>
      <c r="BQ133" s="1067"/>
      <c r="BR133" s="1094">
        <v>46.758592018376063</v>
      </c>
      <c r="BS133" s="1095">
        <v>47.581925724963597</v>
      </c>
      <c r="BT133" s="1095">
        <v>48.473574878816088</v>
      </c>
      <c r="BU133" s="1096">
        <v>49.629370744906502</v>
      </c>
      <c r="BV133" s="1094">
        <v>50.75767200783902</v>
      </c>
      <c r="BW133" s="1095">
        <v>51.869620427899747</v>
      </c>
      <c r="BX133" s="1095">
        <v>53.052609267167377</v>
      </c>
      <c r="BY133" s="1095">
        <v>53.789144694465158</v>
      </c>
      <c r="BZ133" s="1094">
        <v>55.04804800981136</v>
      </c>
      <c r="CA133" s="1095">
        <v>55.406748147235291</v>
      </c>
      <c r="CB133" s="1095">
        <v>56.288554992464441</v>
      </c>
      <c r="CC133" s="1095">
        <v>56.827816251024046</v>
      </c>
      <c r="CD133" s="1094">
        <v>57.888808034999208</v>
      </c>
      <c r="CE133" s="1095">
        <v>58.195577443316125</v>
      </c>
      <c r="CF133" s="1095">
        <v>58.851040332447624</v>
      </c>
      <c r="CG133" s="1095">
        <v>60.367060595567352</v>
      </c>
      <c r="CH133" s="1094">
        <v>61.638267341119054</v>
      </c>
      <c r="CI133" s="1095">
        <v>62.39</v>
      </c>
      <c r="CJ133" s="1095">
        <v>64.5</v>
      </c>
      <c r="CK133" s="1067"/>
      <c r="CL133" s="1066"/>
    </row>
    <row r="134" spans="1:90">
      <c r="A134" s="1049" t="s">
        <v>93</v>
      </c>
      <c r="B134" s="1048"/>
      <c r="C134" s="1048"/>
      <c r="D134" s="1048"/>
      <c r="E134" s="1048"/>
      <c r="F134" s="1048"/>
      <c r="G134" s="1048"/>
      <c r="H134" s="1048"/>
      <c r="I134" s="1048"/>
      <c r="J134" s="1048"/>
      <c r="K134" s="1048"/>
      <c r="L134" s="1048"/>
      <c r="M134" s="1048"/>
      <c r="N134" s="991"/>
      <c r="O134" s="991"/>
      <c r="P134" s="984"/>
      <c r="Q134" s="984"/>
      <c r="R134" s="1780"/>
      <c r="S134" s="1097"/>
      <c r="T134" s="949"/>
      <c r="U134" s="949"/>
      <c r="V134" s="949"/>
      <c r="W134" s="949"/>
      <c r="X134" s="947"/>
      <c r="Y134" s="947"/>
      <c r="Z134" s="947"/>
      <c r="AA134" s="991"/>
      <c r="AB134" s="991"/>
      <c r="AC134" s="991"/>
      <c r="AD134" s="991"/>
      <c r="AE134" s="991"/>
      <c r="AF134" s="991"/>
      <c r="AG134" s="991"/>
      <c r="AH134" s="991"/>
      <c r="AI134" s="991"/>
      <c r="AJ134" s="991"/>
      <c r="AK134" s="991"/>
      <c r="AL134" s="991"/>
      <c r="AM134" s="991"/>
      <c r="AN134" s="991"/>
      <c r="AO134" s="991"/>
      <c r="AP134" s="991"/>
      <c r="AQ134" s="991"/>
      <c r="AR134" s="991"/>
      <c r="AS134" s="991"/>
      <c r="AT134" s="991"/>
      <c r="AU134" s="991"/>
      <c r="AV134" s="991"/>
      <c r="AW134" s="991"/>
      <c r="AX134" s="991"/>
      <c r="AY134" s="991"/>
      <c r="AZ134" s="991"/>
      <c r="BA134" s="991"/>
      <c r="BB134" s="991"/>
      <c r="BC134" s="991"/>
      <c r="BD134" s="991"/>
      <c r="BE134" s="991"/>
      <c r="BF134" s="991"/>
      <c r="BG134" s="991"/>
      <c r="BH134" s="991"/>
      <c r="BI134" s="991"/>
      <c r="BJ134" s="991"/>
      <c r="BK134" s="991"/>
      <c r="BL134" s="991"/>
      <c r="BM134" s="991"/>
      <c r="BN134" s="991"/>
      <c r="BO134" s="991"/>
      <c r="BP134" s="991"/>
      <c r="BQ134" s="991"/>
      <c r="BR134" s="986"/>
      <c r="BS134" s="991"/>
      <c r="BT134" s="991"/>
      <c r="BU134" s="991"/>
      <c r="BV134" s="986"/>
      <c r="BW134" s="991"/>
      <c r="BX134" s="991"/>
      <c r="BY134" s="991"/>
      <c r="BZ134" s="986"/>
      <c r="CA134" s="271"/>
      <c r="CB134" s="1089"/>
      <c r="CC134" s="1098"/>
      <c r="CD134" s="1099"/>
      <c r="CE134" s="271"/>
      <c r="CF134" s="1098"/>
      <c r="CG134" s="1098"/>
      <c r="CH134" s="1091"/>
      <c r="CI134" s="1100"/>
      <c r="CJ134" s="1098"/>
      <c r="CK134" s="1098"/>
      <c r="CL134" s="1809" t="s">
        <v>1072</v>
      </c>
    </row>
    <row r="135" spans="1:90">
      <c r="A135" s="1048" t="s">
        <v>94</v>
      </c>
      <c r="B135" s="982"/>
      <c r="C135" s="982"/>
      <c r="D135" s="982"/>
      <c r="E135" s="982"/>
      <c r="F135" s="982"/>
      <c r="G135" s="982"/>
      <c r="H135" s="982"/>
      <c r="I135" s="982"/>
      <c r="J135" s="982"/>
      <c r="K135" s="982"/>
      <c r="L135" s="982"/>
      <c r="M135" s="982"/>
      <c r="N135" s="984">
        <f>BU135</f>
        <v>7333</v>
      </c>
      <c r="O135" s="984">
        <f>BY135</f>
        <v>7357</v>
      </c>
      <c r="P135" s="984">
        <f>CC135</f>
        <v>6503</v>
      </c>
      <c r="Q135" s="984">
        <f>CG135</f>
        <v>5675</v>
      </c>
      <c r="R135" s="1002">
        <f>+CK135</f>
        <v>4945</v>
      </c>
      <c r="S135" s="984">
        <f>+CO135</f>
        <v>0</v>
      </c>
      <c r="T135" s="949"/>
      <c r="U135" s="949"/>
      <c r="V135" s="949"/>
      <c r="W135" s="949"/>
      <c r="X135" s="947"/>
      <c r="Y135" s="947"/>
      <c r="Z135" s="947"/>
      <c r="AA135" s="984"/>
      <c r="AB135" s="984"/>
      <c r="AC135" s="984"/>
      <c r="AD135" s="984"/>
      <c r="AE135" s="984"/>
      <c r="AF135" s="984"/>
      <c r="AG135" s="984"/>
      <c r="AH135" s="984"/>
      <c r="AI135" s="984"/>
      <c r="AJ135" s="984"/>
      <c r="AK135" s="984"/>
      <c r="AL135" s="984"/>
      <c r="AM135" s="984"/>
      <c r="AN135" s="984"/>
      <c r="AO135" s="984"/>
      <c r="AP135" s="984"/>
      <c r="AQ135" s="984"/>
      <c r="AR135" s="984"/>
      <c r="AS135" s="984"/>
      <c r="AT135" s="984"/>
      <c r="AU135" s="984"/>
      <c r="AV135" s="984"/>
      <c r="AW135" s="984"/>
      <c r="AX135" s="984"/>
      <c r="AY135" s="984"/>
      <c r="AZ135" s="984"/>
      <c r="BA135" s="984"/>
      <c r="BB135" s="984"/>
      <c r="BC135" s="984"/>
      <c r="BD135" s="984"/>
      <c r="BE135" s="984"/>
      <c r="BF135" s="984"/>
      <c r="BG135" s="984"/>
      <c r="BH135" s="984"/>
      <c r="BI135" s="984"/>
      <c r="BJ135" s="925">
        <v>8539</v>
      </c>
      <c r="BK135" s="925">
        <v>8321</v>
      </c>
      <c r="BL135" s="925">
        <v>8234</v>
      </c>
      <c r="BM135" s="925">
        <v>8184</v>
      </c>
      <c r="BN135" s="925">
        <v>8107</v>
      </c>
      <c r="BO135" s="925">
        <v>7974</v>
      </c>
      <c r="BP135" s="925">
        <v>7916</v>
      </c>
      <c r="BQ135" s="925">
        <v>7851</v>
      </c>
      <c r="BR135" s="938">
        <v>7749</v>
      </c>
      <c r="BS135" s="348">
        <v>7592</v>
      </c>
      <c r="BT135" s="348">
        <v>7454</v>
      </c>
      <c r="BU135" s="348">
        <v>7333</v>
      </c>
      <c r="BV135" s="938">
        <v>7928</v>
      </c>
      <c r="BW135" s="348">
        <v>7724</v>
      </c>
      <c r="BX135" s="348">
        <v>7530</v>
      </c>
      <c r="BY135" s="348">
        <v>7357</v>
      </c>
      <c r="BZ135" s="938">
        <v>7171</v>
      </c>
      <c r="CA135" s="348">
        <v>6947</v>
      </c>
      <c r="CB135" s="348">
        <v>6712</v>
      </c>
      <c r="CC135" s="348">
        <v>6503</v>
      </c>
      <c r="CD135" s="938">
        <v>6290</v>
      </c>
      <c r="CE135" s="348">
        <v>6069</v>
      </c>
      <c r="CF135" s="348">
        <v>5842</v>
      </c>
      <c r="CG135" s="348">
        <v>5675</v>
      </c>
      <c r="CH135" s="938">
        <v>5509</v>
      </c>
      <c r="CI135" s="347">
        <v>5315</v>
      </c>
      <c r="CJ135" s="347">
        <v>5119</v>
      </c>
      <c r="CK135" s="348">
        <v>4945</v>
      </c>
      <c r="CL135" s="1808">
        <f>+CK135/$CK$147*$CL$147</f>
        <v>4820.4675324675318</v>
      </c>
    </row>
    <row r="136" spans="1:90">
      <c r="A136" s="983" t="s">
        <v>34</v>
      </c>
      <c r="B136" s="983"/>
      <c r="C136" s="983"/>
      <c r="D136" s="983"/>
      <c r="E136" s="983"/>
      <c r="F136" s="983"/>
      <c r="G136" s="983"/>
      <c r="H136" s="983"/>
      <c r="I136" s="983"/>
      <c r="J136" s="983"/>
      <c r="K136" s="983"/>
      <c r="L136" s="983"/>
      <c r="M136" s="983"/>
      <c r="N136" s="984"/>
      <c r="O136" s="988">
        <f>O135/N135-1</f>
        <v>3.2728760398199608E-3</v>
      </c>
      <c r="P136" s="988">
        <f>P135/O135-1</f>
        <v>-0.11607992388201716</v>
      </c>
      <c r="Q136" s="988">
        <f>Q135/P135-1</f>
        <v>-0.1273258496078733</v>
      </c>
      <c r="R136" s="989">
        <f>R135/Q135-1</f>
        <v>-0.12863436123348015</v>
      </c>
      <c r="S136" s="988">
        <f>S135/R135-1</f>
        <v>-1</v>
      </c>
      <c r="T136" s="949"/>
      <c r="U136" s="949"/>
      <c r="V136" s="949"/>
      <c r="W136" s="949"/>
      <c r="X136" s="947"/>
      <c r="Y136" s="947"/>
      <c r="Z136" s="947"/>
      <c r="AA136" s="984"/>
      <c r="AB136" s="984"/>
      <c r="AC136" s="984"/>
      <c r="AD136" s="984"/>
      <c r="AE136" s="984"/>
      <c r="AF136" s="984"/>
      <c r="AG136" s="984"/>
      <c r="AH136" s="984"/>
      <c r="AI136" s="984"/>
      <c r="AJ136" s="984"/>
      <c r="AK136" s="984"/>
      <c r="AL136" s="984"/>
      <c r="AM136" s="984"/>
      <c r="AN136" s="984"/>
      <c r="AO136" s="984"/>
      <c r="AP136" s="984"/>
      <c r="AQ136" s="984"/>
      <c r="AR136" s="984"/>
      <c r="AS136" s="984"/>
      <c r="AT136" s="984"/>
      <c r="AU136" s="984"/>
      <c r="AV136" s="984"/>
      <c r="AW136" s="984"/>
      <c r="AX136" s="984"/>
      <c r="AY136" s="984"/>
      <c r="AZ136" s="984"/>
      <c r="BA136" s="984"/>
      <c r="BB136" s="984"/>
      <c r="BC136" s="984"/>
      <c r="BD136" s="984"/>
      <c r="BE136" s="984"/>
      <c r="BF136" s="984"/>
      <c r="BG136" s="984"/>
      <c r="BH136" s="984"/>
      <c r="BI136" s="984"/>
      <c r="BJ136" s="984"/>
      <c r="BK136" s="984"/>
      <c r="BL136" s="984"/>
      <c r="BM136" s="984"/>
      <c r="BN136" s="984"/>
      <c r="BO136" s="984"/>
      <c r="BP136" s="984"/>
      <c r="BQ136" s="984"/>
      <c r="BR136" s="938"/>
      <c r="BS136" s="347"/>
      <c r="BT136" s="347"/>
      <c r="BU136" s="347"/>
      <c r="BV136" s="990">
        <f t="shared" ref="BV136:CE136" si="164">BV135/BR135-1</f>
        <v>2.3099754807071937E-2</v>
      </c>
      <c r="BW136" s="988">
        <f t="shared" si="164"/>
        <v>1.738672286617482E-2</v>
      </c>
      <c r="BX136" s="988">
        <f t="shared" si="164"/>
        <v>1.0195867990340668E-2</v>
      </c>
      <c r="BY136" s="988">
        <f t="shared" si="164"/>
        <v>3.2728760398199608E-3</v>
      </c>
      <c r="BZ136" s="990">
        <f t="shared" si="164"/>
        <v>-9.5484359233097837E-2</v>
      </c>
      <c r="CA136" s="988">
        <f t="shared" si="164"/>
        <v>-0.100595546349042</v>
      </c>
      <c r="CB136" s="988">
        <f t="shared" si="164"/>
        <v>-0.1086321381142098</v>
      </c>
      <c r="CC136" s="988">
        <f t="shared" si="164"/>
        <v>-0.11607992388201716</v>
      </c>
      <c r="CD136" s="990">
        <f t="shared" si="164"/>
        <v>-0.12285594756658769</v>
      </c>
      <c r="CE136" s="988">
        <f t="shared" si="164"/>
        <v>-0.12638549013962863</v>
      </c>
      <c r="CF136" s="988">
        <f t="shared" ref="CF136:CL136" si="165">CF135/CB135-1</f>
        <v>-0.12961859356376637</v>
      </c>
      <c r="CG136" s="988">
        <f t="shared" si="165"/>
        <v>-0.1273258496078733</v>
      </c>
      <c r="CH136" s="990">
        <f t="shared" si="165"/>
        <v>-0.12416534181240069</v>
      </c>
      <c r="CI136" s="988">
        <f t="shared" si="165"/>
        <v>-0.12423793046630416</v>
      </c>
      <c r="CJ136" s="988">
        <f t="shared" si="165"/>
        <v>-0.12375898664840812</v>
      </c>
      <c r="CK136" s="988">
        <f t="shared" si="165"/>
        <v>-0.12863436123348015</v>
      </c>
      <c r="CL136" s="990">
        <f t="shared" si="165"/>
        <v>-0.12498320340033908</v>
      </c>
    </row>
    <row r="137" spans="1:90">
      <c r="A137" s="983" t="s">
        <v>95</v>
      </c>
      <c r="B137" s="983"/>
      <c r="C137" s="983"/>
      <c r="D137" s="983"/>
      <c r="E137" s="983"/>
      <c r="F137" s="983"/>
      <c r="G137" s="983"/>
      <c r="H137" s="983"/>
      <c r="I137" s="983"/>
      <c r="J137" s="983"/>
      <c r="K137" s="983"/>
      <c r="L137" s="983"/>
      <c r="M137" s="983"/>
      <c r="N137" s="984"/>
      <c r="O137" s="984">
        <f>O135-N135</f>
        <v>24</v>
      </c>
      <c r="P137" s="984">
        <f>P135-O135</f>
        <v>-854</v>
      </c>
      <c r="Q137" s="984">
        <f>Q135-P135</f>
        <v>-828</v>
      </c>
      <c r="R137" s="1002">
        <f>R135-Q135</f>
        <v>-730</v>
      </c>
      <c r="S137" s="1031">
        <f>S135-R135</f>
        <v>-4945</v>
      </c>
      <c r="T137" s="949"/>
      <c r="U137" s="949"/>
      <c r="V137" s="949"/>
      <c r="W137" s="949"/>
      <c r="X137" s="947"/>
      <c r="Y137" s="947"/>
      <c r="Z137" s="947"/>
      <c r="AA137" s="984"/>
      <c r="AB137" s="984"/>
      <c r="AC137" s="984"/>
      <c r="AD137" s="984"/>
      <c r="AE137" s="984"/>
      <c r="AF137" s="984"/>
      <c r="AG137" s="984"/>
      <c r="AH137" s="984"/>
      <c r="AI137" s="984"/>
      <c r="AJ137" s="984"/>
      <c r="AK137" s="984"/>
      <c r="AL137" s="984"/>
      <c r="AM137" s="984"/>
      <c r="AN137" s="984"/>
      <c r="AO137" s="984"/>
      <c r="AP137" s="984"/>
      <c r="AQ137" s="984"/>
      <c r="AR137" s="984"/>
      <c r="AS137" s="984"/>
      <c r="AT137" s="984"/>
      <c r="AU137" s="984"/>
      <c r="AV137" s="984"/>
      <c r="AW137" s="984"/>
      <c r="AX137" s="984"/>
      <c r="AY137" s="984"/>
      <c r="AZ137" s="984"/>
      <c r="BA137" s="984"/>
      <c r="BB137" s="984"/>
      <c r="BC137" s="984"/>
      <c r="BD137" s="984"/>
      <c r="BE137" s="984"/>
      <c r="BF137" s="984"/>
      <c r="BG137" s="984"/>
      <c r="BH137" s="984"/>
      <c r="BI137" s="984"/>
      <c r="BJ137" s="984"/>
      <c r="BK137" s="984"/>
      <c r="BL137" s="984"/>
      <c r="BM137" s="984"/>
      <c r="BN137" s="984"/>
      <c r="BO137" s="984"/>
      <c r="BP137" s="984"/>
      <c r="BQ137" s="984"/>
      <c r="BR137" s="938"/>
      <c r="BS137" s="984">
        <f t="shared" ref="BS137:CL137" si="166">BS135-BR135</f>
        <v>-157</v>
      </c>
      <c r="BT137" s="984">
        <f t="shared" si="166"/>
        <v>-138</v>
      </c>
      <c r="BU137" s="984">
        <f t="shared" si="166"/>
        <v>-121</v>
      </c>
      <c r="BV137" s="986">
        <f t="shared" si="166"/>
        <v>595</v>
      </c>
      <c r="BW137" s="984">
        <f t="shared" si="166"/>
        <v>-204</v>
      </c>
      <c r="BX137" s="984">
        <f t="shared" si="166"/>
        <v>-194</v>
      </c>
      <c r="BY137" s="984">
        <f t="shared" si="166"/>
        <v>-173</v>
      </c>
      <c r="BZ137" s="986">
        <f t="shared" si="166"/>
        <v>-186</v>
      </c>
      <c r="CA137" s="984">
        <f t="shared" si="166"/>
        <v>-224</v>
      </c>
      <c r="CB137" s="984">
        <f t="shared" si="166"/>
        <v>-235</v>
      </c>
      <c r="CC137" s="984">
        <f t="shared" si="166"/>
        <v>-209</v>
      </c>
      <c r="CD137" s="986">
        <f t="shared" si="166"/>
        <v>-213</v>
      </c>
      <c r="CE137" s="984">
        <f t="shared" si="166"/>
        <v>-221</v>
      </c>
      <c r="CF137" s="984">
        <f t="shared" si="166"/>
        <v>-227</v>
      </c>
      <c r="CG137" s="984">
        <f t="shared" si="166"/>
        <v>-167</v>
      </c>
      <c r="CH137" s="986">
        <f t="shared" si="166"/>
        <v>-166</v>
      </c>
      <c r="CI137" s="984">
        <f t="shared" si="166"/>
        <v>-194</v>
      </c>
      <c r="CJ137" s="984">
        <f t="shared" si="166"/>
        <v>-196</v>
      </c>
      <c r="CK137" s="984">
        <f t="shared" si="166"/>
        <v>-174</v>
      </c>
      <c r="CL137" s="986">
        <f t="shared" si="166"/>
        <v>-124.53246753246822</v>
      </c>
    </row>
    <row r="138" spans="1:90">
      <c r="A138" s="1101" t="s">
        <v>778</v>
      </c>
      <c r="B138" s="1035"/>
      <c r="C138" s="1035"/>
      <c r="D138" s="1035"/>
      <c r="E138" s="1035"/>
      <c r="F138" s="1035"/>
      <c r="G138" s="1035"/>
      <c r="H138" s="1035"/>
      <c r="I138" s="1035"/>
      <c r="J138" s="1035"/>
      <c r="K138" s="1035"/>
      <c r="L138" s="1035"/>
      <c r="M138" s="1035"/>
      <c r="N138" s="1031"/>
      <c r="O138" s="1031"/>
      <c r="P138" s="1031"/>
      <c r="Q138" s="1031"/>
      <c r="R138" s="1754"/>
      <c r="S138" s="1014"/>
      <c r="T138" s="949"/>
      <c r="U138" s="949"/>
      <c r="V138" s="949"/>
      <c r="W138" s="949"/>
      <c r="X138" s="947"/>
      <c r="Y138" s="947"/>
      <c r="Z138" s="947"/>
      <c r="AA138" s="1031"/>
      <c r="AB138" s="1031"/>
      <c r="AC138" s="1031"/>
      <c r="AD138" s="1031"/>
      <c r="AE138" s="1031"/>
      <c r="AF138" s="1031"/>
      <c r="AG138" s="1031"/>
      <c r="AH138" s="1031"/>
      <c r="AI138" s="1031"/>
      <c r="AJ138" s="1031"/>
      <c r="AK138" s="1031"/>
      <c r="AL138" s="1031"/>
      <c r="AM138" s="1031"/>
      <c r="AN138" s="1031"/>
      <c r="AO138" s="1031"/>
      <c r="AP138" s="1031"/>
      <c r="AQ138" s="1031"/>
      <c r="AR138" s="1031"/>
      <c r="AS138" s="1031"/>
      <c r="AT138" s="1031"/>
      <c r="AU138" s="1031"/>
      <c r="AV138" s="1031"/>
      <c r="AW138" s="1031"/>
      <c r="AX138" s="1031"/>
      <c r="AY138" s="1031"/>
      <c r="AZ138" s="1031"/>
      <c r="BA138" s="1031"/>
      <c r="BB138" s="1031"/>
      <c r="BC138" s="1031"/>
      <c r="BD138" s="1031"/>
      <c r="BE138" s="1031"/>
      <c r="BF138" s="1031"/>
      <c r="BG138" s="1031"/>
      <c r="BH138" s="1031"/>
      <c r="BI138" s="1031"/>
      <c r="BJ138" s="1031"/>
      <c r="BK138" s="1031"/>
      <c r="BL138" s="1031"/>
      <c r="BM138" s="1031"/>
      <c r="BN138" s="1031"/>
      <c r="BO138" s="1031"/>
      <c r="BP138" s="1031"/>
      <c r="BQ138" s="1031"/>
      <c r="BR138" s="1015"/>
      <c r="BS138" s="1031"/>
      <c r="BT138" s="1031"/>
      <c r="BU138" s="1031"/>
      <c r="BV138" s="1034"/>
      <c r="BW138" s="1031"/>
      <c r="BX138" s="1031"/>
      <c r="BY138" s="1031"/>
      <c r="BZ138" s="1034"/>
      <c r="CA138" s="1031"/>
      <c r="CB138" s="1031"/>
      <c r="CC138" s="1014"/>
      <c r="CD138" s="1015"/>
      <c r="CE138" s="1031"/>
      <c r="CF138" s="1031"/>
      <c r="CG138" s="1014"/>
      <c r="CH138" s="1015"/>
      <c r="CI138" s="1014"/>
      <c r="CJ138" s="1014"/>
      <c r="CK138" s="1014"/>
      <c r="CL138" s="1015"/>
    </row>
    <row r="139" spans="1:90">
      <c r="A139" s="1101" t="s">
        <v>779</v>
      </c>
      <c r="B139" s="1035"/>
      <c r="C139" s="1035"/>
      <c r="D139" s="1035"/>
      <c r="E139" s="1035"/>
      <c r="F139" s="1035"/>
      <c r="G139" s="1035"/>
      <c r="H139" s="1035"/>
      <c r="I139" s="1035"/>
      <c r="J139" s="1035"/>
      <c r="K139" s="1035"/>
      <c r="L139" s="1035"/>
      <c r="M139" s="1035"/>
      <c r="N139" s="1031"/>
      <c r="O139" s="1031"/>
      <c r="P139" s="1031"/>
      <c r="Q139" s="1031"/>
      <c r="R139" s="1754"/>
      <c r="S139" s="1014"/>
      <c r="T139" s="949"/>
      <c r="U139" s="949"/>
      <c r="V139" s="949"/>
      <c r="W139" s="949"/>
      <c r="X139" s="947"/>
      <c r="Y139" s="947"/>
      <c r="Z139" s="947"/>
      <c r="AA139" s="1031"/>
      <c r="AB139" s="1031"/>
      <c r="AC139" s="1031"/>
      <c r="AD139" s="1031"/>
      <c r="AE139" s="1031"/>
      <c r="AF139" s="1031"/>
      <c r="AG139" s="1031"/>
      <c r="AH139" s="1031"/>
      <c r="AI139" s="1031"/>
      <c r="AJ139" s="1031"/>
      <c r="AK139" s="1031"/>
      <c r="AL139" s="1031"/>
      <c r="AM139" s="1031"/>
      <c r="AN139" s="1031"/>
      <c r="AO139" s="1031"/>
      <c r="AP139" s="1031"/>
      <c r="AQ139" s="1031"/>
      <c r="AR139" s="1031"/>
      <c r="AS139" s="1031"/>
      <c r="AT139" s="1031"/>
      <c r="AU139" s="1031"/>
      <c r="AV139" s="1031"/>
      <c r="AW139" s="1031"/>
      <c r="AX139" s="1031"/>
      <c r="AY139" s="1031"/>
      <c r="AZ139" s="1031"/>
      <c r="BA139" s="1031"/>
      <c r="BB139" s="1031"/>
      <c r="BC139" s="1031"/>
      <c r="BD139" s="1031"/>
      <c r="BE139" s="1031"/>
      <c r="BF139" s="1031"/>
      <c r="BG139" s="1031"/>
      <c r="BH139" s="1031"/>
      <c r="BI139" s="1031"/>
      <c r="BJ139" s="1031"/>
      <c r="BK139" s="1031"/>
      <c r="BL139" s="1031"/>
      <c r="BM139" s="1031"/>
      <c r="BN139" s="1031"/>
      <c r="BO139" s="1031"/>
      <c r="BP139" s="1031"/>
      <c r="BQ139" s="1031"/>
      <c r="BR139" s="1015"/>
      <c r="BS139" s="1031"/>
      <c r="BT139" s="1031"/>
      <c r="BU139" s="1031"/>
      <c r="BV139" s="1034"/>
      <c r="BW139" s="1031"/>
      <c r="BX139" s="1031"/>
      <c r="BY139" s="1031"/>
      <c r="BZ139" s="1034"/>
      <c r="CA139" s="1031"/>
      <c r="CB139" s="1031"/>
      <c r="CC139" s="1014"/>
      <c r="CD139" s="1015"/>
      <c r="CE139" s="1031"/>
      <c r="CF139" s="1031"/>
      <c r="CG139" s="1014"/>
      <c r="CH139" s="1015"/>
      <c r="CI139" s="1014"/>
      <c r="CJ139" s="1014"/>
      <c r="CK139" s="1014"/>
      <c r="CL139" s="1015"/>
    </row>
    <row r="140" spans="1:90">
      <c r="A140" s="1101" t="s">
        <v>780</v>
      </c>
      <c r="B140" s="1035"/>
      <c r="C140" s="1035"/>
      <c r="D140" s="1035"/>
      <c r="E140" s="1035"/>
      <c r="F140" s="1035"/>
      <c r="G140" s="1035"/>
      <c r="H140" s="1035"/>
      <c r="I140" s="1035"/>
      <c r="J140" s="1035"/>
      <c r="K140" s="1035"/>
      <c r="L140" s="1035"/>
      <c r="M140" s="1035"/>
      <c r="N140" s="1031"/>
      <c r="O140" s="1031"/>
      <c r="P140" s="1031"/>
      <c r="Q140" s="1031"/>
      <c r="R140" s="1754"/>
      <c r="S140" s="1014"/>
      <c r="T140" s="949"/>
      <c r="U140" s="949"/>
      <c r="V140" s="949"/>
      <c r="W140" s="949"/>
      <c r="X140" s="947"/>
      <c r="Y140" s="947"/>
      <c r="Z140" s="947"/>
      <c r="AA140" s="1031"/>
      <c r="AB140" s="1031"/>
      <c r="AC140" s="1031"/>
      <c r="AD140" s="1031"/>
      <c r="AE140" s="1031"/>
      <c r="AF140" s="1031"/>
      <c r="AG140" s="1031"/>
      <c r="AH140" s="1031"/>
      <c r="AI140" s="1031"/>
      <c r="AJ140" s="1031"/>
      <c r="AK140" s="1031"/>
      <c r="AL140" s="1031"/>
      <c r="AM140" s="1031"/>
      <c r="AN140" s="1031"/>
      <c r="AO140" s="1031"/>
      <c r="AP140" s="1031"/>
      <c r="AQ140" s="1031"/>
      <c r="AR140" s="1031"/>
      <c r="AS140" s="1031"/>
      <c r="AT140" s="1031"/>
      <c r="AU140" s="1031"/>
      <c r="AV140" s="1031"/>
      <c r="AW140" s="1031"/>
      <c r="AX140" s="1031"/>
      <c r="AY140" s="1031"/>
      <c r="AZ140" s="1031"/>
      <c r="BA140" s="1031"/>
      <c r="BB140" s="1031"/>
      <c r="BC140" s="1031"/>
      <c r="BD140" s="1031"/>
      <c r="BE140" s="1031"/>
      <c r="BF140" s="1031"/>
      <c r="BG140" s="1031"/>
      <c r="BH140" s="1031"/>
      <c r="BI140" s="1031"/>
      <c r="BJ140" s="1031"/>
      <c r="BK140" s="1031"/>
      <c r="BL140" s="1031"/>
      <c r="BM140" s="1031"/>
      <c r="BN140" s="1031"/>
      <c r="BO140" s="1031"/>
      <c r="BP140" s="1031"/>
      <c r="BQ140" s="1031"/>
      <c r="BR140" s="1015"/>
      <c r="BS140" s="1031"/>
      <c r="BT140" s="1031"/>
      <c r="BU140" s="1031"/>
      <c r="BV140" s="1034"/>
      <c r="BW140" s="1031"/>
      <c r="BX140" s="1031"/>
      <c r="BY140" s="1031"/>
      <c r="BZ140" s="1034"/>
      <c r="CA140" s="1031"/>
      <c r="CB140" s="1031"/>
      <c r="CC140" s="1014"/>
      <c r="CD140" s="1015"/>
      <c r="CE140" s="1031"/>
      <c r="CF140" s="1031"/>
      <c r="CG140" s="1014"/>
      <c r="CH140" s="1015"/>
      <c r="CI140" s="1014"/>
      <c r="CJ140" s="1014"/>
      <c r="CK140" s="1014"/>
      <c r="CL140" s="1015"/>
    </row>
    <row r="141" spans="1:90">
      <c r="A141" s="1048" t="s">
        <v>96</v>
      </c>
      <c r="B141" s="982"/>
      <c r="C141" s="982"/>
      <c r="D141" s="982"/>
      <c r="E141" s="982"/>
      <c r="F141" s="982"/>
      <c r="G141" s="982"/>
      <c r="H141" s="982"/>
      <c r="I141" s="982"/>
      <c r="J141" s="982"/>
      <c r="K141" s="982"/>
      <c r="L141" s="982"/>
      <c r="M141" s="982"/>
      <c r="N141" s="984">
        <f>BU141</f>
        <v>770</v>
      </c>
      <c r="O141" s="984">
        <f>BY141</f>
        <v>0</v>
      </c>
      <c r="P141" s="984">
        <f>CC141</f>
        <v>0</v>
      </c>
      <c r="Q141" s="984">
        <f>CG141</f>
        <v>0</v>
      </c>
      <c r="R141" s="1002">
        <f>+CK141</f>
        <v>0</v>
      </c>
      <c r="S141" s="984"/>
      <c r="T141" s="949"/>
      <c r="U141" s="949"/>
      <c r="V141" s="949"/>
      <c r="W141" s="949"/>
      <c r="X141" s="947"/>
      <c r="Y141" s="947"/>
      <c r="Z141" s="947"/>
      <c r="AA141" s="984"/>
      <c r="AB141" s="984"/>
      <c r="AC141" s="984"/>
      <c r="AD141" s="984"/>
      <c r="AE141" s="984"/>
      <c r="AF141" s="984"/>
      <c r="AG141" s="984"/>
      <c r="AH141" s="984"/>
      <c r="AI141" s="984"/>
      <c r="AJ141" s="984"/>
      <c r="AK141" s="984"/>
      <c r="AL141" s="984"/>
      <c r="AM141" s="984"/>
      <c r="AN141" s="984"/>
      <c r="AO141" s="984"/>
      <c r="AP141" s="984"/>
      <c r="AQ141" s="984"/>
      <c r="AR141" s="984"/>
      <c r="AS141" s="984"/>
      <c r="AT141" s="984"/>
      <c r="AU141" s="984"/>
      <c r="AV141" s="984"/>
      <c r="AW141" s="984"/>
      <c r="AX141" s="984"/>
      <c r="AY141" s="984"/>
      <c r="AZ141" s="984"/>
      <c r="BA141" s="984"/>
      <c r="BB141" s="984"/>
      <c r="BC141" s="984"/>
      <c r="BD141" s="984"/>
      <c r="BE141" s="984"/>
      <c r="BF141" s="984"/>
      <c r="BG141" s="984"/>
      <c r="BH141" s="984"/>
      <c r="BI141" s="984"/>
      <c r="BJ141" s="347">
        <v>1205</v>
      </c>
      <c r="BK141" s="347">
        <v>1150</v>
      </c>
      <c r="BL141" s="347">
        <v>1101</v>
      </c>
      <c r="BM141" s="347">
        <v>1063</v>
      </c>
      <c r="BN141" s="347">
        <v>1024</v>
      </c>
      <c r="BO141" s="347">
        <v>985</v>
      </c>
      <c r="BP141" s="347">
        <v>948</v>
      </c>
      <c r="BQ141" s="347">
        <v>913</v>
      </c>
      <c r="BR141" s="938">
        <v>876</v>
      </c>
      <c r="BS141" s="348">
        <v>840</v>
      </c>
      <c r="BT141" s="348">
        <v>803</v>
      </c>
      <c r="BU141" s="348">
        <v>770</v>
      </c>
      <c r="BV141" s="938"/>
      <c r="BW141" s="348"/>
      <c r="BX141" s="348"/>
      <c r="BY141" s="348"/>
      <c r="BZ141" s="938"/>
      <c r="CA141" s="348"/>
      <c r="CB141" s="348"/>
      <c r="CC141" s="348"/>
      <c r="CD141" s="938"/>
      <c r="CE141" s="348"/>
      <c r="CF141" s="348"/>
      <c r="CG141" s="348"/>
      <c r="CH141" s="986"/>
      <c r="CI141" s="984"/>
      <c r="CJ141" s="984"/>
      <c r="CK141" s="984"/>
      <c r="CL141" s="1072"/>
    </row>
    <row r="142" spans="1:90">
      <c r="A142" s="983" t="s">
        <v>34</v>
      </c>
      <c r="B142" s="983"/>
      <c r="C142" s="983"/>
      <c r="D142" s="983"/>
      <c r="E142" s="983"/>
      <c r="F142" s="983"/>
      <c r="G142" s="983"/>
      <c r="H142" s="983"/>
      <c r="I142" s="983"/>
      <c r="J142" s="983"/>
      <c r="K142" s="983"/>
      <c r="L142" s="983"/>
      <c r="M142" s="983"/>
      <c r="N142" s="984"/>
      <c r="O142" s="988">
        <f>O141/N141-1</f>
        <v>-1</v>
      </c>
      <c r="P142" s="988"/>
      <c r="Q142" s="988"/>
      <c r="R142" s="989"/>
      <c r="S142" s="988"/>
      <c r="T142" s="949"/>
      <c r="U142" s="949"/>
      <c r="V142" s="949"/>
      <c r="W142" s="949"/>
      <c r="X142" s="947"/>
      <c r="Y142" s="947"/>
      <c r="Z142" s="947"/>
      <c r="AA142" s="984"/>
      <c r="AB142" s="984"/>
      <c r="AC142" s="984"/>
      <c r="AD142" s="984"/>
      <c r="AE142" s="984"/>
      <c r="AF142" s="984"/>
      <c r="AG142" s="984"/>
      <c r="AH142" s="984"/>
      <c r="AI142" s="984"/>
      <c r="AJ142" s="984"/>
      <c r="AK142" s="984"/>
      <c r="AL142" s="984"/>
      <c r="AM142" s="984"/>
      <c r="AN142" s="984"/>
      <c r="AO142" s="984"/>
      <c r="AP142" s="984"/>
      <c r="AQ142" s="984"/>
      <c r="AR142" s="984"/>
      <c r="AS142" s="984"/>
      <c r="AT142" s="984"/>
      <c r="AU142" s="984"/>
      <c r="AV142" s="984"/>
      <c r="AW142" s="984"/>
      <c r="AX142" s="984"/>
      <c r="AY142" s="984"/>
      <c r="AZ142" s="984"/>
      <c r="BA142" s="984"/>
      <c r="BB142" s="984"/>
      <c r="BC142" s="984"/>
      <c r="BD142" s="984"/>
      <c r="BE142" s="984"/>
      <c r="BF142" s="984"/>
      <c r="BG142" s="984"/>
      <c r="BH142" s="984"/>
      <c r="BI142" s="984"/>
      <c r="BJ142" s="984"/>
      <c r="BK142" s="984"/>
      <c r="BL142" s="984"/>
      <c r="BM142" s="984"/>
      <c r="BN142" s="984"/>
      <c r="BO142" s="984"/>
      <c r="BP142" s="984"/>
      <c r="BQ142" s="984"/>
      <c r="BR142" s="938"/>
      <c r="BS142" s="347"/>
      <c r="BT142" s="347"/>
      <c r="BU142" s="347"/>
      <c r="BV142" s="990"/>
      <c r="BW142" s="988"/>
      <c r="BX142" s="988"/>
      <c r="BY142" s="988"/>
      <c r="BZ142" s="990"/>
      <c r="CA142" s="988"/>
      <c r="CB142" s="988"/>
      <c r="CC142" s="988"/>
      <c r="CD142" s="990"/>
      <c r="CE142" s="988"/>
      <c r="CF142" s="988"/>
      <c r="CG142" s="988"/>
      <c r="CH142" s="990"/>
      <c r="CI142" s="988"/>
      <c r="CJ142" s="988"/>
      <c r="CK142" s="988"/>
      <c r="CL142" s="1072"/>
    </row>
    <row r="143" spans="1:90">
      <c r="A143" s="983" t="s">
        <v>95</v>
      </c>
      <c r="B143" s="983"/>
      <c r="C143" s="983"/>
      <c r="D143" s="983"/>
      <c r="E143" s="983"/>
      <c r="F143" s="983"/>
      <c r="G143" s="983"/>
      <c r="H143" s="983"/>
      <c r="I143" s="983"/>
      <c r="J143" s="983"/>
      <c r="K143" s="983"/>
      <c r="L143" s="983"/>
      <c r="M143" s="983"/>
      <c r="N143" s="984"/>
      <c r="O143" s="984">
        <f>O141-N141</f>
        <v>-770</v>
      </c>
      <c r="P143" s="984">
        <f>P141-O141</f>
        <v>0</v>
      </c>
      <c r="Q143" s="984">
        <f>Q141-P141</f>
        <v>0</v>
      </c>
      <c r="R143" s="1002">
        <f>R141-Q141</f>
        <v>0</v>
      </c>
      <c r="S143" s="1014"/>
      <c r="T143" s="949"/>
      <c r="U143" s="949"/>
      <c r="V143" s="949"/>
      <c r="W143" s="949"/>
      <c r="X143" s="947"/>
      <c r="Y143" s="947"/>
      <c r="Z143" s="947"/>
      <c r="AA143" s="984"/>
      <c r="AB143" s="984"/>
      <c r="AC143" s="984"/>
      <c r="AD143" s="984"/>
      <c r="AE143" s="984"/>
      <c r="AF143" s="984"/>
      <c r="AG143" s="984"/>
      <c r="AH143" s="984"/>
      <c r="AI143" s="984"/>
      <c r="AJ143" s="984"/>
      <c r="AK143" s="984"/>
      <c r="AL143" s="984"/>
      <c r="AM143" s="984"/>
      <c r="AN143" s="984"/>
      <c r="AO143" s="984"/>
      <c r="AP143" s="984"/>
      <c r="AQ143" s="984"/>
      <c r="AR143" s="984"/>
      <c r="AS143" s="984"/>
      <c r="AT143" s="984"/>
      <c r="AU143" s="984"/>
      <c r="AV143" s="984"/>
      <c r="AW143" s="984"/>
      <c r="AX143" s="984"/>
      <c r="AY143" s="984"/>
      <c r="AZ143" s="984"/>
      <c r="BA143" s="984"/>
      <c r="BB143" s="984"/>
      <c r="BC143" s="984"/>
      <c r="BD143" s="984"/>
      <c r="BE143" s="984"/>
      <c r="BF143" s="984"/>
      <c r="BG143" s="984"/>
      <c r="BH143" s="984"/>
      <c r="BI143" s="984"/>
      <c r="BJ143" s="984"/>
      <c r="BK143" s="984"/>
      <c r="BL143" s="984"/>
      <c r="BM143" s="984"/>
      <c r="BN143" s="984"/>
      <c r="BO143" s="984"/>
      <c r="BP143" s="984"/>
      <c r="BQ143" s="984"/>
      <c r="BR143" s="938"/>
      <c r="BS143" s="984">
        <f t="shared" ref="BS143:CH143" si="167">BS141-BR141</f>
        <v>-36</v>
      </c>
      <c r="BT143" s="984">
        <f t="shared" si="167"/>
        <v>-37</v>
      </c>
      <c r="BU143" s="984">
        <f t="shared" si="167"/>
        <v>-33</v>
      </c>
      <c r="BV143" s="986">
        <f t="shared" si="167"/>
        <v>-770</v>
      </c>
      <c r="BW143" s="984">
        <f t="shared" si="167"/>
        <v>0</v>
      </c>
      <c r="BX143" s="984">
        <f t="shared" si="167"/>
        <v>0</v>
      </c>
      <c r="BY143" s="984">
        <f t="shared" si="167"/>
        <v>0</v>
      </c>
      <c r="BZ143" s="986">
        <f t="shared" si="167"/>
        <v>0</v>
      </c>
      <c r="CA143" s="984">
        <f t="shared" si="167"/>
        <v>0</v>
      </c>
      <c r="CB143" s="984">
        <f t="shared" si="167"/>
        <v>0</v>
      </c>
      <c r="CC143" s="984">
        <f t="shared" si="167"/>
        <v>0</v>
      </c>
      <c r="CD143" s="986">
        <f t="shared" si="167"/>
        <v>0</v>
      </c>
      <c r="CE143" s="984">
        <f t="shared" si="167"/>
        <v>0</v>
      </c>
      <c r="CF143" s="984">
        <f t="shared" si="167"/>
        <v>0</v>
      </c>
      <c r="CG143" s="984">
        <f t="shared" si="167"/>
        <v>0</v>
      </c>
      <c r="CH143" s="986">
        <f t="shared" si="167"/>
        <v>0</v>
      </c>
      <c r="CI143" s="347"/>
      <c r="CJ143" s="347"/>
      <c r="CK143" s="347"/>
      <c r="CL143" s="1803" t="s">
        <v>1072</v>
      </c>
    </row>
    <row r="144" spans="1:90">
      <c r="A144" s="1048" t="s">
        <v>97</v>
      </c>
      <c r="B144" s="982"/>
      <c r="C144" s="982"/>
      <c r="D144" s="982"/>
      <c r="E144" s="982"/>
      <c r="F144" s="982"/>
      <c r="G144" s="982"/>
      <c r="H144" s="982"/>
      <c r="I144" s="982"/>
      <c r="J144" s="982"/>
      <c r="K144" s="982"/>
      <c r="L144" s="982"/>
      <c r="M144" s="982"/>
      <c r="N144" s="984">
        <f>BU144</f>
        <v>1326.9949999999999</v>
      </c>
      <c r="O144" s="984">
        <f>BY144</f>
        <v>1360</v>
      </c>
      <c r="P144" s="984">
        <f>CC144</f>
        <v>1304</v>
      </c>
      <c r="Q144" s="984">
        <f>CG144</f>
        <v>1190</v>
      </c>
      <c r="R144" s="1002">
        <f>+CK144</f>
        <v>1093</v>
      </c>
      <c r="S144" s="984">
        <f>+CO144</f>
        <v>0</v>
      </c>
      <c r="T144" s="949"/>
      <c r="U144" s="949"/>
      <c r="V144" s="949"/>
      <c r="W144" s="949"/>
      <c r="X144" s="947"/>
      <c r="Y144" s="947"/>
      <c r="Z144" s="947"/>
      <c r="AA144" s="984"/>
      <c r="AB144" s="984"/>
      <c r="AC144" s="984"/>
      <c r="AD144" s="984"/>
      <c r="AE144" s="984"/>
      <c r="AF144" s="984"/>
      <c r="AG144" s="984"/>
      <c r="AH144" s="984"/>
      <c r="AI144" s="984"/>
      <c r="AJ144" s="984"/>
      <c r="AK144" s="984"/>
      <c r="AL144" s="984"/>
      <c r="AM144" s="984"/>
      <c r="AN144" s="984"/>
      <c r="AO144" s="984"/>
      <c r="AP144" s="984"/>
      <c r="AQ144" s="984"/>
      <c r="AR144" s="984"/>
      <c r="AS144" s="984"/>
      <c r="AT144" s="984"/>
      <c r="AU144" s="984"/>
      <c r="AV144" s="984"/>
      <c r="AW144" s="984"/>
      <c r="AX144" s="984"/>
      <c r="AY144" s="984"/>
      <c r="AZ144" s="984"/>
      <c r="BA144" s="984"/>
      <c r="BB144" s="984"/>
      <c r="BC144" s="984"/>
      <c r="BD144" s="984"/>
      <c r="BE144" s="984"/>
      <c r="BF144" s="984"/>
      <c r="BG144" s="984"/>
      <c r="BH144" s="984"/>
      <c r="BI144" s="984"/>
      <c r="BJ144" s="984"/>
      <c r="BK144" s="984"/>
      <c r="BL144" s="984"/>
      <c r="BM144" s="984"/>
      <c r="BN144" s="984"/>
      <c r="BO144" s="984"/>
      <c r="BP144" s="984"/>
      <c r="BQ144" s="984"/>
      <c r="BR144" s="938">
        <v>1291.7840000000001</v>
      </c>
      <c r="BS144" s="348">
        <v>1304.164</v>
      </c>
      <c r="BT144" s="348">
        <v>1313.59</v>
      </c>
      <c r="BU144" s="348">
        <v>1326.9949999999999</v>
      </c>
      <c r="BV144" s="938">
        <v>1357</v>
      </c>
      <c r="BW144" s="348">
        <v>1361</v>
      </c>
      <c r="BX144" s="348">
        <v>1363</v>
      </c>
      <c r="BY144" s="348">
        <v>1360</v>
      </c>
      <c r="BZ144" s="938">
        <v>1348</v>
      </c>
      <c r="CA144" s="348">
        <v>1339</v>
      </c>
      <c r="CB144" s="348">
        <v>1327</v>
      </c>
      <c r="CC144" s="348">
        <v>1304</v>
      </c>
      <c r="CD144" s="938">
        <v>1268</v>
      </c>
      <c r="CE144" s="348">
        <v>1241</v>
      </c>
      <c r="CF144" s="348">
        <v>1216</v>
      </c>
      <c r="CG144" s="348">
        <v>1190</v>
      </c>
      <c r="CH144" s="938">
        <v>1164</v>
      </c>
      <c r="CI144" s="347">
        <v>1142</v>
      </c>
      <c r="CJ144" s="347">
        <v>1119</v>
      </c>
      <c r="CK144" s="348">
        <v>1093</v>
      </c>
      <c r="CL144" s="1808">
        <f>+CK144/$CK$147*$CL$147</f>
        <v>1065.4744212309429</v>
      </c>
    </row>
    <row r="145" spans="1:90">
      <c r="A145" s="983" t="s">
        <v>34</v>
      </c>
      <c r="B145" s="983"/>
      <c r="C145" s="983"/>
      <c r="D145" s="983"/>
      <c r="E145" s="983"/>
      <c r="F145" s="983"/>
      <c r="G145" s="983"/>
      <c r="H145" s="983"/>
      <c r="I145" s="983"/>
      <c r="J145" s="983"/>
      <c r="K145" s="983"/>
      <c r="L145" s="983"/>
      <c r="M145" s="983"/>
      <c r="N145" s="984"/>
      <c r="O145" s="988">
        <f>O144/N144-1</f>
        <v>2.4871985199642843E-2</v>
      </c>
      <c r="P145" s="988">
        <f>P144/O144-1</f>
        <v>-4.1176470588235259E-2</v>
      </c>
      <c r="Q145" s="988">
        <f>Q144/P144-1</f>
        <v>-8.7423312883435633E-2</v>
      </c>
      <c r="R145" s="989">
        <f>R144/Q144-1</f>
        <v>-8.151260504201685E-2</v>
      </c>
      <c r="S145" s="988">
        <f>S144/R144-1</f>
        <v>-1</v>
      </c>
      <c r="T145" s="949"/>
      <c r="U145" s="949"/>
      <c r="V145" s="949"/>
      <c r="W145" s="949"/>
      <c r="X145" s="947"/>
      <c r="Y145" s="947"/>
      <c r="Z145" s="947"/>
      <c r="AA145" s="984"/>
      <c r="AB145" s="984"/>
      <c r="AC145" s="984"/>
      <c r="AD145" s="984"/>
      <c r="AE145" s="984"/>
      <c r="AF145" s="984"/>
      <c r="AG145" s="984"/>
      <c r="AH145" s="984"/>
      <c r="AI145" s="984"/>
      <c r="AJ145" s="984"/>
      <c r="AK145" s="984"/>
      <c r="AL145" s="984"/>
      <c r="AM145" s="984"/>
      <c r="AN145" s="984"/>
      <c r="AO145" s="984"/>
      <c r="AP145" s="984"/>
      <c r="AQ145" s="984"/>
      <c r="AR145" s="984"/>
      <c r="AS145" s="984"/>
      <c r="AT145" s="984"/>
      <c r="AU145" s="984"/>
      <c r="AV145" s="984"/>
      <c r="AW145" s="984"/>
      <c r="AX145" s="984"/>
      <c r="AY145" s="984"/>
      <c r="AZ145" s="984"/>
      <c r="BA145" s="984"/>
      <c r="BB145" s="984"/>
      <c r="BC145" s="984"/>
      <c r="BD145" s="984"/>
      <c r="BE145" s="984"/>
      <c r="BF145" s="984"/>
      <c r="BG145" s="984"/>
      <c r="BH145" s="984"/>
      <c r="BI145" s="984"/>
      <c r="BJ145" s="984"/>
      <c r="BK145" s="984"/>
      <c r="BL145" s="984"/>
      <c r="BM145" s="984"/>
      <c r="BN145" s="984"/>
      <c r="BO145" s="984"/>
      <c r="BP145" s="984"/>
      <c r="BQ145" s="984"/>
      <c r="BR145" s="938"/>
      <c r="BS145" s="347"/>
      <c r="BT145" s="347"/>
      <c r="BU145" s="347"/>
      <c r="BV145" s="990">
        <f t="shared" ref="BV145:CG145" si="168">BV144/BR144-1</f>
        <v>5.0485220439330236E-2</v>
      </c>
      <c r="BW145" s="988">
        <f t="shared" si="168"/>
        <v>4.3580408598918652E-2</v>
      </c>
      <c r="BX145" s="988">
        <f t="shared" si="168"/>
        <v>3.7614476358681204E-2</v>
      </c>
      <c r="BY145" s="988">
        <f t="shared" si="168"/>
        <v>2.4871985199642843E-2</v>
      </c>
      <c r="BZ145" s="990">
        <f t="shared" si="168"/>
        <v>-6.6322770817980325E-3</v>
      </c>
      <c r="CA145" s="988">
        <f t="shared" si="168"/>
        <v>-1.6164584864070575E-2</v>
      </c>
      <c r="CB145" s="988">
        <f t="shared" si="168"/>
        <v>-2.6412325752017574E-2</v>
      </c>
      <c r="CC145" s="988">
        <f t="shared" si="168"/>
        <v>-4.1176470588235259E-2</v>
      </c>
      <c r="CD145" s="990">
        <f t="shared" si="168"/>
        <v>-5.9347181008902128E-2</v>
      </c>
      <c r="CE145" s="988">
        <f t="shared" si="168"/>
        <v>-7.3188946975354718E-2</v>
      </c>
      <c r="CF145" s="988">
        <f t="shared" si="168"/>
        <v>-8.3647324792765598E-2</v>
      </c>
      <c r="CG145" s="988">
        <f t="shared" si="168"/>
        <v>-8.7423312883435633E-2</v>
      </c>
      <c r="CH145" s="990">
        <f>CH144/CD144-1</f>
        <v>-8.2018927444794998E-2</v>
      </c>
      <c r="CI145" s="988">
        <f>CI144/CE144-1</f>
        <v>-7.9774375503626094E-2</v>
      </c>
      <c r="CJ145" s="988">
        <f>CJ144/CF144-1</f>
        <v>-7.976973684210531E-2</v>
      </c>
      <c r="CK145" s="988">
        <f>CK144/CG144-1</f>
        <v>-8.151260504201685E-2</v>
      </c>
      <c r="CL145" s="990">
        <f>CL144/CH144-1</f>
        <v>-8.4643968014653903E-2</v>
      </c>
    </row>
    <row r="146" spans="1:90">
      <c r="A146" s="983" t="s">
        <v>95</v>
      </c>
      <c r="B146" s="983"/>
      <c r="C146" s="983"/>
      <c r="D146" s="983"/>
      <c r="E146" s="983"/>
      <c r="F146" s="983"/>
      <c r="G146" s="983"/>
      <c r="H146" s="983"/>
      <c r="I146" s="983"/>
      <c r="J146" s="983"/>
      <c r="K146" s="983"/>
      <c r="L146" s="983"/>
      <c r="M146" s="983"/>
      <c r="N146" s="984"/>
      <c r="O146" s="984">
        <f>O144-N144</f>
        <v>33.005000000000109</v>
      </c>
      <c r="P146" s="984">
        <f>P144-O144</f>
        <v>-56</v>
      </c>
      <c r="Q146" s="984">
        <f>Q144-P144</f>
        <v>-114</v>
      </c>
      <c r="R146" s="1002">
        <f>R144-Q144</f>
        <v>-97</v>
      </c>
      <c r="S146" s="984">
        <f>S144-R144</f>
        <v>-1093</v>
      </c>
      <c r="T146" s="949"/>
      <c r="U146" s="949"/>
      <c r="V146" s="949"/>
      <c r="W146" s="949"/>
      <c r="X146" s="947"/>
      <c r="Y146" s="947"/>
      <c r="Z146" s="947"/>
      <c r="AA146" s="984"/>
      <c r="AB146" s="984"/>
      <c r="AC146" s="984"/>
      <c r="AD146" s="984"/>
      <c r="AE146" s="984"/>
      <c r="AF146" s="984"/>
      <c r="AG146" s="984"/>
      <c r="AH146" s="984"/>
      <c r="AI146" s="984"/>
      <c r="AJ146" s="984"/>
      <c r="AK146" s="984"/>
      <c r="AL146" s="984"/>
      <c r="AM146" s="984"/>
      <c r="AN146" s="984"/>
      <c r="AO146" s="984"/>
      <c r="AP146" s="984"/>
      <c r="AQ146" s="984"/>
      <c r="AR146" s="984"/>
      <c r="AS146" s="984"/>
      <c r="AT146" s="984"/>
      <c r="AU146" s="984"/>
      <c r="AV146" s="984"/>
      <c r="AW146" s="984"/>
      <c r="AX146" s="984"/>
      <c r="AY146" s="984"/>
      <c r="AZ146" s="984"/>
      <c r="BA146" s="984"/>
      <c r="BB146" s="984"/>
      <c r="BC146" s="984"/>
      <c r="BD146" s="984"/>
      <c r="BE146" s="984"/>
      <c r="BF146" s="984"/>
      <c r="BG146" s="984"/>
      <c r="BH146" s="984"/>
      <c r="BI146" s="984"/>
      <c r="BJ146" s="984"/>
      <c r="BK146" s="984"/>
      <c r="BL146" s="984"/>
      <c r="BM146" s="984"/>
      <c r="BN146" s="984"/>
      <c r="BO146" s="984"/>
      <c r="BP146" s="984"/>
      <c r="BQ146" s="984"/>
      <c r="BR146" s="938"/>
      <c r="BS146" s="984">
        <f t="shared" ref="BS146:CL146" si="169">BS144-BR144</f>
        <v>12.379999999999882</v>
      </c>
      <c r="BT146" s="984">
        <f t="shared" si="169"/>
        <v>9.4259999999999309</v>
      </c>
      <c r="BU146" s="984">
        <f t="shared" si="169"/>
        <v>13.404999999999973</v>
      </c>
      <c r="BV146" s="986">
        <f t="shared" si="169"/>
        <v>30.005000000000109</v>
      </c>
      <c r="BW146" s="984">
        <f t="shared" si="169"/>
        <v>4</v>
      </c>
      <c r="BX146" s="984">
        <f t="shared" si="169"/>
        <v>2</v>
      </c>
      <c r="BY146" s="984">
        <f t="shared" si="169"/>
        <v>-3</v>
      </c>
      <c r="BZ146" s="986">
        <f t="shared" si="169"/>
        <v>-12</v>
      </c>
      <c r="CA146" s="984">
        <f t="shared" si="169"/>
        <v>-9</v>
      </c>
      <c r="CB146" s="984">
        <f t="shared" si="169"/>
        <v>-12</v>
      </c>
      <c r="CC146" s="984">
        <f t="shared" si="169"/>
        <v>-23</v>
      </c>
      <c r="CD146" s="986">
        <f t="shared" si="169"/>
        <v>-36</v>
      </c>
      <c r="CE146" s="984">
        <f t="shared" si="169"/>
        <v>-27</v>
      </c>
      <c r="CF146" s="984">
        <f t="shared" si="169"/>
        <v>-25</v>
      </c>
      <c r="CG146" s="984">
        <f t="shared" si="169"/>
        <v>-26</v>
      </c>
      <c r="CH146" s="986">
        <f t="shared" si="169"/>
        <v>-26</v>
      </c>
      <c r="CI146" s="984">
        <f t="shared" si="169"/>
        <v>-22</v>
      </c>
      <c r="CJ146" s="984">
        <f t="shared" si="169"/>
        <v>-23</v>
      </c>
      <c r="CK146" s="984">
        <f t="shared" si="169"/>
        <v>-26</v>
      </c>
      <c r="CL146" s="986">
        <f t="shared" si="169"/>
        <v>-27.52557876905712</v>
      </c>
    </row>
    <row r="147" spans="1:90">
      <c r="A147" s="1049" t="s">
        <v>98</v>
      </c>
      <c r="B147" s="1102"/>
      <c r="C147" s="1102"/>
      <c r="D147" s="1102"/>
      <c r="E147" s="1102"/>
      <c r="F147" s="1102"/>
      <c r="G147" s="1102"/>
      <c r="H147" s="1102"/>
      <c r="I147" s="1102"/>
      <c r="J147" s="1102"/>
      <c r="K147" s="1102"/>
      <c r="L147" s="1102"/>
      <c r="M147" s="1103"/>
      <c r="N147" s="767">
        <f t="shared" ref="N147:S147" si="170">SUM(N135,N141,N144)</f>
        <v>9429.994999999999</v>
      </c>
      <c r="O147" s="767">
        <f t="shared" si="170"/>
        <v>8717</v>
      </c>
      <c r="P147" s="271">
        <f t="shared" si="170"/>
        <v>7807</v>
      </c>
      <c r="Q147" s="271">
        <f t="shared" si="170"/>
        <v>6865</v>
      </c>
      <c r="R147" s="223">
        <f t="shared" si="170"/>
        <v>6038</v>
      </c>
      <c r="S147" s="767">
        <f t="shared" si="170"/>
        <v>0</v>
      </c>
      <c r="T147" s="949"/>
      <c r="U147" s="949"/>
      <c r="V147" s="949"/>
      <c r="W147" s="949"/>
      <c r="X147" s="947"/>
      <c r="Y147" s="947"/>
      <c r="Z147" s="947"/>
      <c r="AA147" s="767"/>
      <c r="AB147" s="767"/>
      <c r="AC147" s="767"/>
      <c r="AD147" s="767"/>
      <c r="AE147" s="767"/>
      <c r="AF147" s="767"/>
      <c r="AG147" s="767"/>
      <c r="AH147" s="767"/>
      <c r="AI147" s="767"/>
      <c r="AJ147" s="767"/>
      <c r="AK147" s="767"/>
      <c r="AL147" s="767"/>
      <c r="AM147" s="767"/>
      <c r="AN147" s="767"/>
      <c r="AO147" s="767"/>
      <c r="AP147" s="767"/>
      <c r="AQ147" s="767"/>
      <c r="AR147" s="767"/>
      <c r="AS147" s="767"/>
      <c r="AT147" s="767"/>
      <c r="AU147" s="767"/>
      <c r="AV147" s="767"/>
      <c r="AW147" s="767"/>
      <c r="AX147" s="767"/>
      <c r="AY147" s="767"/>
      <c r="AZ147" s="767"/>
      <c r="BA147" s="767"/>
      <c r="BB147" s="767"/>
      <c r="BC147" s="767"/>
      <c r="BD147" s="767"/>
      <c r="BE147" s="767"/>
      <c r="BF147" s="767"/>
      <c r="BG147" s="767"/>
      <c r="BH147" s="767"/>
      <c r="BI147" s="767"/>
      <c r="BJ147" s="767"/>
      <c r="BK147" s="767"/>
      <c r="BL147" s="767"/>
      <c r="BM147" s="767"/>
      <c r="BN147" s="767"/>
      <c r="BO147" s="767"/>
      <c r="BP147" s="767"/>
      <c r="BQ147" s="767"/>
      <c r="BR147" s="940">
        <f>SUM(BR135,BR141,BR144)</f>
        <v>9916.7839999999997</v>
      </c>
      <c r="BS147" s="767">
        <f t="shared" ref="BS147:BZ147" si="171">SUM(BS135,BS141,BS144)</f>
        <v>9736.1640000000007</v>
      </c>
      <c r="BT147" s="767">
        <f t="shared" si="171"/>
        <v>9570.59</v>
      </c>
      <c r="BU147" s="767">
        <f t="shared" si="171"/>
        <v>9429.994999999999</v>
      </c>
      <c r="BV147" s="940">
        <f t="shared" si="171"/>
        <v>9285</v>
      </c>
      <c r="BW147" s="767">
        <f t="shared" si="171"/>
        <v>9085</v>
      </c>
      <c r="BX147" s="767">
        <f t="shared" si="171"/>
        <v>8893</v>
      </c>
      <c r="BY147" s="767">
        <f t="shared" si="171"/>
        <v>8717</v>
      </c>
      <c r="BZ147" s="940">
        <f t="shared" si="171"/>
        <v>8519</v>
      </c>
      <c r="CA147" s="767">
        <f t="shared" ref="CA147:CG147" si="172">SUM(CA135,CA141,CA144)</f>
        <v>8286</v>
      </c>
      <c r="CB147" s="767">
        <f t="shared" si="172"/>
        <v>8039</v>
      </c>
      <c r="CC147" s="767">
        <f t="shared" si="172"/>
        <v>7807</v>
      </c>
      <c r="CD147" s="940">
        <f t="shared" si="172"/>
        <v>7558</v>
      </c>
      <c r="CE147" s="767">
        <f t="shared" si="172"/>
        <v>7310</v>
      </c>
      <c r="CF147" s="767">
        <f t="shared" si="172"/>
        <v>7058</v>
      </c>
      <c r="CG147" s="767">
        <f t="shared" si="172"/>
        <v>6865</v>
      </c>
      <c r="CH147" s="940">
        <f>SUM(CH135,CH141,CH144)</f>
        <v>6673</v>
      </c>
      <c r="CI147" s="767">
        <f>SUM(CI135,CI141,CI144)</f>
        <v>6457</v>
      </c>
      <c r="CJ147" s="767">
        <f>SUM(CJ135,CJ141,CJ144)</f>
        <v>6238</v>
      </c>
      <c r="CK147" s="767">
        <f>SUM(CK135,CK141,CK144)</f>
        <v>6038</v>
      </c>
      <c r="CL147" s="1808">
        <f>+CK147/$CK$91*$CL$91</f>
        <v>5885.9419536984751</v>
      </c>
    </row>
    <row r="148" spans="1:90">
      <c r="A148" s="983" t="s">
        <v>34</v>
      </c>
      <c r="B148" s="983"/>
      <c r="C148" s="983"/>
      <c r="D148" s="983"/>
      <c r="E148" s="983"/>
      <c r="F148" s="983"/>
      <c r="G148" s="983"/>
      <c r="H148" s="983"/>
      <c r="I148" s="983"/>
      <c r="J148" s="983"/>
      <c r="K148" s="983"/>
      <c r="L148" s="983"/>
      <c r="M148" s="983"/>
      <c r="N148" s="984"/>
      <c r="O148" s="988">
        <f>O147/N147-1</f>
        <v>-7.5609265964616035E-2</v>
      </c>
      <c r="P148" s="988">
        <f>P147/O147-1</f>
        <v>-0.10439371343352066</v>
      </c>
      <c r="Q148" s="988">
        <f>Q147/P147-1</f>
        <v>-0.12066094530549509</v>
      </c>
      <c r="R148" s="989">
        <f>R147/Q147-1</f>
        <v>-0.12046613255644578</v>
      </c>
      <c r="S148" s="988">
        <f>S147/R147-1</f>
        <v>-1</v>
      </c>
      <c r="T148" s="949"/>
      <c r="U148" s="949"/>
      <c r="V148" s="949"/>
      <c r="W148" s="949"/>
      <c r="X148" s="947"/>
      <c r="Y148" s="947"/>
      <c r="Z148" s="947"/>
      <c r="AA148" s="984"/>
      <c r="AB148" s="984"/>
      <c r="AC148" s="984"/>
      <c r="AD148" s="984"/>
      <c r="AE148" s="984"/>
      <c r="AF148" s="984"/>
      <c r="AG148" s="984"/>
      <c r="AH148" s="984"/>
      <c r="AI148" s="984"/>
      <c r="AJ148" s="984"/>
      <c r="AK148" s="984"/>
      <c r="AL148" s="984"/>
      <c r="AM148" s="984"/>
      <c r="AN148" s="984"/>
      <c r="AO148" s="984"/>
      <c r="AP148" s="984"/>
      <c r="AQ148" s="984"/>
      <c r="AR148" s="984"/>
      <c r="AS148" s="984"/>
      <c r="AT148" s="984"/>
      <c r="AU148" s="984"/>
      <c r="AV148" s="984"/>
      <c r="AW148" s="984"/>
      <c r="AX148" s="984"/>
      <c r="AY148" s="984"/>
      <c r="AZ148" s="984"/>
      <c r="BA148" s="984"/>
      <c r="BB148" s="984"/>
      <c r="BC148" s="984"/>
      <c r="BD148" s="984"/>
      <c r="BE148" s="984"/>
      <c r="BF148" s="984"/>
      <c r="BG148" s="984"/>
      <c r="BH148" s="984"/>
      <c r="BI148" s="984"/>
      <c r="BJ148" s="984"/>
      <c r="BK148" s="984"/>
      <c r="BL148" s="984"/>
      <c r="BM148" s="984"/>
      <c r="BN148" s="984"/>
      <c r="BO148" s="984"/>
      <c r="BP148" s="984"/>
      <c r="BQ148" s="984"/>
      <c r="BR148" s="938"/>
      <c r="BS148" s="347"/>
      <c r="BT148" s="347"/>
      <c r="BU148" s="347"/>
      <c r="BV148" s="990">
        <f t="shared" ref="BV148:CG148" si="173">BV147/BR147-1</f>
        <v>-6.3708557129004695E-2</v>
      </c>
      <c r="BW148" s="988">
        <f t="shared" si="173"/>
        <v>-6.6880960509703935E-2</v>
      </c>
      <c r="BX148" s="988">
        <f t="shared" si="173"/>
        <v>-7.0799187928852869E-2</v>
      </c>
      <c r="BY148" s="988">
        <f t="shared" si="173"/>
        <v>-7.5609265964616035E-2</v>
      </c>
      <c r="BZ148" s="990">
        <f t="shared" si="173"/>
        <v>-8.2498653742595573E-2</v>
      </c>
      <c r="CA148" s="988">
        <f t="shared" si="173"/>
        <v>-8.7947165657677462E-2</v>
      </c>
      <c r="CB148" s="988">
        <f t="shared" si="173"/>
        <v>-9.6030585854042561E-2</v>
      </c>
      <c r="CC148" s="988">
        <f t="shared" si="173"/>
        <v>-0.10439371343352066</v>
      </c>
      <c r="CD148" s="990">
        <f t="shared" si="173"/>
        <v>-0.11280666744923118</v>
      </c>
      <c r="CE148" s="988">
        <f t="shared" si="173"/>
        <v>-0.11778904175718075</v>
      </c>
      <c r="CF148" s="988">
        <f t="shared" si="173"/>
        <v>-0.12203010324667252</v>
      </c>
      <c r="CG148" s="988">
        <f t="shared" si="173"/>
        <v>-0.12066094530549509</v>
      </c>
      <c r="CH148" s="990">
        <f>CH147/CD147-1</f>
        <v>-0.11709446943635882</v>
      </c>
      <c r="CI148" s="988">
        <f>CI147/CE147-1</f>
        <v>-0.11668946648426815</v>
      </c>
      <c r="CJ148" s="988">
        <f>CJ147/CF147-1</f>
        <v>-0.11618022102578629</v>
      </c>
      <c r="CK148" s="988">
        <f>CK147/CG147-1</f>
        <v>-0.12046613255644578</v>
      </c>
      <c r="CL148" s="990">
        <f>CL147/CH147-1</f>
        <v>-0.11794665762048928</v>
      </c>
    </row>
    <row r="149" spans="1:90">
      <c r="A149" s="983" t="s">
        <v>95</v>
      </c>
      <c r="B149" s="983"/>
      <c r="C149" s="983"/>
      <c r="D149" s="983"/>
      <c r="E149" s="983"/>
      <c r="F149" s="983"/>
      <c r="G149" s="983"/>
      <c r="H149" s="983"/>
      <c r="I149" s="983"/>
      <c r="J149" s="983"/>
      <c r="K149" s="983"/>
      <c r="L149" s="983"/>
      <c r="M149" s="983"/>
      <c r="N149" s="984"/>
      <c r="O149" s="984">
        <f>O147-N147</f>
        <v>-712.99499999999898</v>
      </c>
      <c r="P149" s="984">
        <f>P147-O147</f>
        <v>-910</v>
      </c>
      <c r="Q149" s="984">
        <f>Q147-P147</f>
        <v>-942</v>
      </c>
      <c r="R149" s="1002">
        <f>R147-Q147</f>
        <v>-827</v>
      </c>
      <c r="S149" s="984">
        <f>S147-R147</f>
        <v>-6038</v>
      </c>
      <c r="T149" s="949"/>
      <c r="U149" s="949"/>
      <c r="V149" s="949"/>
      <c r="W149" s="949"/>
      <c r="X149" s="947"/>
      <c r="Y149" s="947"/>
      <c r="Z149" s="947"/>
      <c r="AA149" s="984"/>
      <c r="AB149" s="984"/>
      <c r="AC149" s="984"/>
      <c r="AD149" s="984"/>
      <c r="AE149" s="984"/>
      <c r="AF149" s="984"/>
      <c r="AG149" s="984"/>
      <c r="AH149" s="984"/>
      <c r="AI149" s="984"/>
      <c r="AJ149" s="984"/>
      <c r="AK149" s="984"/>
      <c r="AL149" s="984"/>
      <c r="AM149" s="984"/>
      <c r="AN149" s="984"/>
      <c r="AO149" s="984"/>
      <c r="AP149" s="984"/>
      <c r="AQ149" s="984"/>
      <c r="AR149" s="984"/>
      <c r="AS149" s="984"/>
      <c r="AT149" s="984"/>
      <c r="AU149" s="984"/>
      <c r="AV149" s="984"/>
      <c r="AW149" s="984"/>
      <c r="AX149" s="984"/>
      <c r="AY149" s="984"/>
      <c r="AZ149" s="984"/>
      <c r="BA149" s="984"/>
      <c r="BB149" s="984"/>
      <c r="BC149" s="984"/>
      <c r="BD149" s="984"/>
      <c r="BE149" s="984"/>
      <c r="BF149" s="984"/>
      <c r="BG149" s="984"/>
      <c r="BH149" s="984"/>
      <c r="BI149" s="984"/>
      <c r="BJ149" s="984"/>
      <c r="BK149" s="984"/>
      <c r="BL149" s="984"/>
      <c r="BM149" s="984"/>
      <c r="BN149" s="984"/>
      <c r="BO149" s="984"/>
      <c r="BP149" s="984"/>
      <c r="BQ149" s="984"/>
      <c r="BR149" s="938"/>
      <c r="BS149" s="984">
        <f t="shared" ref="BS149:CG149" si="174">BS147-BR147</f>
        <v>-180.61999999999898</v>
      </c>
      <c r="BT149" s="984">
        <f t="shared" si="174"/>
        <v>-165.57400000000052</v>
      </c>
      <c r="BU149" s="984">
        <f t="shared" si="174"/>
        <v>-140.59500000000116</v>
      </c>
      <c r="BV149" s="986">
        <f t="shared" si="174"/>
        <v>-144.99499999999898</v>
      </c>
      <c r="BW149" s="984">
        <f t="shared" si="174"/>
        <v>-200</v>
      </c>
      <c r="BX149" s="984">
        <f t="shared" si="174"/>
        <v>-192</v>
      </c>
      <c r="BY149" s="984">
        <f t="shared" si="174"/>
        <v>-176</v>
      </c>
      <c r="BZ149" s="986">
        <f t="shared" si="174"/>
        <v>-198</v>
      </c>
      <c r="CA149" s="984">
        <f t="shared" si="174"/>
        <v>-233</v>
      </c>
      <c r="CB149" s="984">
        <f t="shared" si="174"/>
        <v>-247</v>
      </c>
      <c r="CC149" s="984">
        <f t="shared" si="174"/>
        <v>-232</v>
      </c>
      <c r="CD149" s="986">
        <f t="shared" si="174"/>
        <v>-249</v>
      </c>
      <c r="CE149" s="984">
        <f t="shared" si="174"/>
        <v>-248</v>
      </c>
      <c r="CF149" s="984">
        <f t="shared" si="174"/>
        <v>-252</v>
      </c>
      <c r="CG149" s="984">
        <f t="shared" si="174"/>
        <v>-193</v>
      </c>
      <c r="CH149" s="986">
        <f>CH147-CG147</f>
        <v>-192</v>
      </c>
      <c r="CI149" s="984">
        <f>CI147-CH147</f>
        <v>-216</v>
      </c>
      <c r="CJ149" s="984">
        <f>CJ147-CI147</f>
        <v>-219</v>
      </c>
      <c r="CK149" s="984">
        <f>CK147-CJ147</f>
        <v>-200</v>
      </c>
      <c r="CL149" s="986">
        <f>CL147-CK147</f>
        <v>-152.05804630152488</v>
      </c>
    </row>
    <row r="150" spans="1:90" ht="13.5" customHeight="1">
      <c r="A150" s="983" t="s">
        <v>34</v>
      </c>
      <c r="B150" s="1048"/>
      <c r="C150" s="1048"/>
      <c r="D150" s="1048"/>
      <c r="E150" s="1048"/>
      <c r="F150" s="1048"/>
      <c r="G150" s="1048"/>
      <c r="H150" s="1048"/>
      <c r="I150" s="1048"/>
      <c r="J150" s="1048"/>
      <c r="K150" s="1048"/>
      <c r="L150" s="1048"/>
      <c r="M150" s="1048"/>
      <c r="N150" s="991"/>
      <c r="O150" s="991"/>
      <c r="P150" s="984"/>
      <c r="Q150" s="984"/>
      <c r="R150" s="1002"/>
      <c r="S150" s="991"/>
      <c r="T150" s="949"/>
      <c r="U150" s="949"/>
      <c r="V150" s="949"/>
      <c r="W150" s="949"/>
      <c r="X150" s="947"/>
      <c r="Y150" s="947"/>
      <c r="Z150" s="947"/>
      <c r="AA150" s="991"/>
      <c r="AB150" s="991"/>
      <c r="AC150" s="991"/>
      <c r="AD150" s="991"/>
      <c r="AE150" s="991"/>
      <c r="AF150" s="991"/>
      <c r="AG150" s="991"/>
      <c r="AH150" s="991"/>
      <c r="AI150" s="991"/>
      <c r="AJ150" s="991"/>
      <c r="AK150" s="991"/>
      <c r="AL150" s="991"/>
      <c r="AM150" s="991"/>
      <c r="AN150" s="991"/>
      <c r="AO150" s="991"/>
      <c r="AP150" s="991"/>
      <c r="AQ150" s="991"/>
      <c r="AR150" s="991"/>
      <c r="AS150" s="991"/>
      <c r="AT150" s="991"/>
      <c r="AU150" s="991"/>
      <c r="AV150" s="991"/>
      <c r="AW150" s="991"/>
      <c r="AX150" s="991"/>
      <c r="AY150" s="991"/>
      <c r="AZ150" s="991"/>
      <c r="BA150" s="991"/>
      <c r="BB150" s="991"/>
      <c r="BC150" s="991"/>
      <c r="BD150" s="991"/>
      <c r="BE150" s="991"/>
      <c r="BF150" s="991"/>
      <c r="BG150" s="991"/>
      <c r="BH150" s="991"/>
      <c r="BI150" s="991"/>
      <c r="BJ150" s="991"/>
      <c r="BK150" s="991"/>
      <c r="BL150" s="991"/>
      <c r="BM150" s="991"/>
      <c r="BN150" s="991"/>
      <c r="BO150" s="991"/>
      <c r="BP150" s="991"/>
      <c r="BQ150" s="991"/>
      <c r="BR150" s="986"/>
      <c r="BS150" s="991"/>
      <c r="BT150" s="991"/>
      <c r="BU150" s="991"/>
      <c r="BV150" s="1104"/>
      <c r="BW150" s="1097">
        <f t="shared" ref="BW150:CK150" si="175">ABS(BW149/BS149-1)</f>
        <v>0.1072970878086652</v>
      </c>
      <c r="BX150" s="1097">
        <f t="shared" si="175"/>
        <v>0.15960235302643766</v>
      </c>
      <c r="BY150" s="1097">
        <f t="shared" si="175"/>
        <v>0.25182261104590165</v>
      </c>
      <c r="BZ150" s="1104">
        <f t="shared" si="175"/>
        <v>0.3655643298044855</v>
      </c>
      <c r="CA150" s="1097">
        <f t="shared" si="175"/>
        <v>0.16500000000000004</v>
      </c>
      <c r="CB150" s="1097">
        <f t="shared" si="175"/>
        <v>0.28645833333333326</v>
      </c>
      <c r="CC150" s="1097">
        <f t="shared" si="175"/>
        <v>0.31818181818181812</v>
      </c>
      <c r="CD150" s="1104">
        <f t="shared" si="175"/>
        <v>0.25757575757575757</v>
      </c>
      <c r="CE150" s="1097">
        <f t="shared" si="175"/>
        <v>6.4377682403433445E-2</v>
      </c>
      <c r="CF150" s="1097">
        <f t="shared" si="175"/>
        <v>2.0242914979757165E-2</v>
      </c>
      <c r="CG150" s="1097">
        <f t="shared" si="175"/>
        <v>0.1681034482758621</v>
      </c>
      <c r="CH150" s="1104">
        <f t="shared" si="175"/>
        <v>0.22891566265060237</v>
      </c>
      <c r="CI150" s="1097">
        <f t="shared" si="175"/>
        <v>0.12903225806451613</v>
      </c>
      <c r="CJ150" s="1097">
        <f t="shared" si="175"/>
        <v>0.13095238095238093</v>
      </c>
      <c r="CK150" s="1097">
        <f t="shared" si="175"/>
        <v>3.6269430051813378E-2</v>
      </c>
      <c r="CL150" s="1104">
        <f>ABS(CL149/CH149-1)</f>
        <v>0.20803100884622461</v>
      </c>
    </row>
    <row r="151" spans="1:90">
      <c r="A151" s="1049" t="s">
        <v>99</v>
      </c>
      <c r="B151" s="1105"/>
      <c r="C151" s="1105"/>
      <c r="D151" s="1105"/>
      <c r="E151" s="1105"/>
      <c r="F151" s="1105"/>
      <c r="G151" s="1105"/>
      <c r="H151" s="1105"/>
      <c r="I151" s="1105"/>
      <c r="J151" s="1105"/>
      <c r="K151" s="1105"/>
      <c r="L151" s="1105"/>
      <c r="M151" s="1105"/>
      <c r="N151" s="271">
        <f>BU151</f>
        <v>2138</v>
      </c>
      <c r="O151" s="271">
        <f>BY151</f>
        <v>2413</v>
      </c>
      <c r="P151" s="271">
        <f>CC151</f>
        <v>2652</v>
      </c>
      <c r="Q151" s="271">
        <f>CG151</f>
        <v>2812</v>
      </c>
      <c r="R151" s="223">
        <f>+CK151</f>
        <v>2919</v>
      </c>
      <c r="S151" s="271">
        <f>+CO151</f>
        <v>0</v>
      </c>
      <c r="T151" s="949"/>
      <c r="U151" s="949"/>
      <c r="V151" s="949"/>
      <c r="W151" s="949"/>
      <c r="X151" s="947"/>
      <c r="Y151" s="947"/>
      <c r="Z151" s="947"/>
      <c r="AA151" s="271"/>
      <c r="AB151" s="271"/>
      <c r="AC151" s="271"/>
      <c r="AD151" s="271"/>
      <c r="AE151" s="271"/>
      <c r="AF151" s="271"/>
      <c r="AG151" s="271"/>
      <c r="AH151" s="271"/>
      <c r="AI151" s="271"/>
      <c r="AJ151" s="271"/>
      <c r="AK151" s="271"/>
      <c r="AL151" s="271"/>
      <c r="AM151" s="271"/>
      <c r="AN151" s="271"/>
      <c r="AO151" s="271"/>
      <c r="AP151" s="271"/>
      <c r="AQ151" s="271"/>
      <c r="AR151" s="271"/>
      <c r="AS151" s="271"/>
      <c r="AT151" s="271"/>
      <c r="AU151" s="271"/>
      <c r="AV151" s="271"/>
      <c r="AW151" s="271"/>
      <c r="AX151" s="271"/>
      <c r="AY151" s="271"/>
      <c r="AZ151" s="271"/>
      <c r="BA151" s="271"/>
      <c r="BB151" s="271"/>
      <c r="BC151" s="271"/>
      <c r="BD151" s="271"/>
      <c r="BE151" s="271"/>
      <c r="BF151" s="271"/>
      <c r="BG151" s="271"/>
      <c r="BH151" s="271"/>
      <c r="BI151" s="271"/>
      <c r="BJ151" s="996">
        <v>744</v>
      </c>
      <c r="BK151" s="996">
        <v>853</v>
      </c>
      <c r="BL151" s="996">
        <v>956</v>
      </c>
      <c r="BM151" s="996">
        <v>1037</v>
      </c>
      <c r="BN151" s="996">
        <v>1122</v>
      </c>
      <c r="BO151" s="996">
        <v>1190</v>
      </c>
      <c r="BP151" s="996">
        <v>1340</v>
      </c>
      <c r="BQ151" s="996">
        <v>1480</v>
      </c>
      <c r="BR151" s="1005">
        <v>1678</v>
      </c>
      <c r="BS151" s="1006">
        <v>1798</v>
      </c>
      <c r="BT151" s="1006">
        <v>1973</v>
      </c>
      <c r="BU151" s="1006">
        <v>2138</v>
      </c>
      <c r="BV151" s="1005">
        <v>2114</v>
      </c>
      <c r="BW151" s="1006">
        <v>2213</v>
      </c>
      <c r="BX151" s="1006">
        <v>2317</v>
      </c>
      <c r="BY151" s="1006">
        <v>2413</v>
      </c>
      <c r="BZ151" s="1005">
        <v>2515</v>
      </c>
      <c r="CA151" s="1006">
        <v>2554</v>
      </c>
      <c r="CB151" s="1006">
        <v>2599</v>
      </c>
      <c r="CC151" s="1006">
        <v>2652</v>
      </c>
      <c r="CD151" s="1005">
        <v>2708</v>
      </c>
      <c r="CE151" s="1006">
        <v>2741</v>
      </c>
      <c r="CF151" s="1006">
        <v>2770</v>
      </c>
      <c r="CG151" s="1006">
        <v>2812</v>
      </c>
      <c r="CH151" s="1005">
        <v>2857</v>
      </c>
      <c r="CI151" s="996">
        <v>2859</v>
      </c>
      <c r="CJ151" s="996">
        <v>2899</v>
      </c>
      <c r="CK151" s="1844">
        <f>+CL151-CL153</f>
        <v>2919</v>
      </c>
      <c r="CL151" s="1005">
        <v>2965</v>
      </c>
    </row>
    <row r="152" spans="1:90">
      <c r="A152" s="983" t="s">
        <v>34</v>
      </c>
      <c r="B152" s="983"/>
      <c r="C152" s="983"/>
      <c r="D152" s="983"/>
      <c r="E152" s="983"/>
      <c r="F152" s="983"/>
      <c r="G152" s="983"/>
      <c r="H152" s="983"/>
      <c r="I152" s="983"/>
      <c r="J152" s="983"/>
      <c r="K152" s="983"/>
      <c r="L152" s="983"/>
      <c r="M152" s="983"/>
      <c r="N152" s="984"/>
      <c r="O152" s="988">
        <f>O151/N151-1</f>
        <v>0.12862488306828812</v>
      </c>
      <c r="P152" s="988">
        <f>P151/O151-1</f>
        <v>9.9046829672606806E-2</v>
      </c>
      <c r="Q152" s="988">
        <f>Q151/P151-1</f>
        <v>6.0331825037707398E-2</v>
      </c>
      <c r="R152" s="989">
        <f>R151/Q151-1</f>
        <v>3.8051209103840744E-2</v>
      </c>
      <c r="S152" s="988">
        <f>S151/R151-1</f>
        <v>-1</v>
      </c>
      <c r="T152" s="949"/>
      <c r="U152" s="949"/>
      <c r="V152" s="949"/>
      <c r="W152" s="949"/>
      <c r="X152" s="947"/>
      <c r="Y152" s="947"/>
      <c r="Z152" s="947"/>
      <c r="AA152" s="984"/>
      <c r="AB152" s="984"/>
      <c r="AC152" s="984"/>
      <c r="AD152" s="984"/>
      <c r="AE152" s="984"/>
      <c r="AF152" s="984"/>
      <c r="AG152" s="984"/>
      <c r="AH152" s="984"/>
      <c r="AI152" s="984"/>
      <c r="AJ152" s="984"/>
      <c r="AK152" s="984"/>
      <c r="AL152" s="984"/>
      <c r="AM152" s="984"/>
      <c r="AN152" s="984"/>
      <c r="AO152" s="984"/>
      <c r="AP152" s="984"/>
      <c r="AQ152" s="984"/>
      <c r="AR152" s="984"/>
      <c r="AS152" s="984"/>
      <c r="AT152" s="984"/>
      <c r="AU152" s="984"/>
      <c r="AV152" s="984"/>
      <c r="AW152" s="984"/>
      <c r="AX152" s="984"/>
      <c r="AY152" s="984"/>
      <c r="AZ152" s="984"/>
      <c r="BA152" s="984"/>
      <c r="BB152" s="984"/>
      <c r="BC152" s="984"/>
      <c r="BD152" s="984"/>
      <c r="BE152" s="984"/>
      <c r="BF152" s="984"/>
      <c r="BG152" s="984"/>
      <c r="BH152" s="984"/>
      <c r="BI152" s="984"/>
      <c r="BJ152" s="984"/>
      <c r="BK152" s="984"/>
      <c r="BL152" s="984"/>
      <c r="BM152" s="984"/>
      <c r="BN152" s="988">
        <f t="shared" ref="BN152:BU152" si="176">BN151/BJ151-1</f>
        <v>0.50806451612903225</v>
      </c>
      <c r="BO152" s="988">
        <f t="shared" si="176"/>
        <v>0.39507620164126611</v>
      </c>
      <c r="BP152" s="988">
        <f t="shared" si="176"/>
        <v>0.40167364016736395</v>
      </c>
      <c r="BQ152" s="988">
        <f t="shared" si="176"/>
        <v>0.42719382835101261</v>
      </c>
      <c r="BR152" s="990">
        <f t="shared" si="176"/>
        <v>0.49554367201426031</v>
      </c>
      <c r="BS152" s="988">
        <f t="shared" si="176"/>
        <v>0.51092436974789912</v>
      </c>
      <c r="BT152" s="988">
        <f t="shared" si="176"/>
        <v>0.47238805970149245</v>
      </c>
      <c r="BU152" s="988">
        <f t="shared" si="176"/>
        <v>0.44459459459459461</v>
      </c>
      <c r="BV152" s="990">
        <f t="shared" ref="BV152:CG152" si="177">BV151/BR151-1</f>
        <v>0.25983313468414782</v>
      </c>
      <c r="BW152" s="988">
        <f t="shared" si="177"/>
        <v>0.23081201334816459</v>
      </c>
      <c r="BX152" s="988">
        <f t="shared" si="177"/>
        <v>0.17435377597567148</v>
      </c>
      <c r="BY152" s="988">
        <f t="shared" si="177"/>
        <v>0.12862488306828812</v>
      </c>
      <c r="BZ152" s="990">
        <f t="shared" si="177"/>
        <v>0.18968779564806049</v>
      </c>
      <c r="CA152" s="988">
        <f t="shared" si="177"/>
        <v>0.15408947130591955</v>
      </c>
      <c r="CB152" s="988">
        <f t="shared" si="177"/>
        <v>0.12170910660336642</v>
      </c>
      <c r="CC152" s="988">
        <f t="shared" si="177"/>
        <v>9.9046829672606806E-2</v>
      </c>
      <c r="CD152" s="990">
        <f t="shared" si="177"/>
        <v>7.6739562624254409E-2</v>
      </c>
      <c r="CE152" s="988">
        <f t="shared" si="177"/>
        <v>7.3218480814408737E-2</v>
      </c>
      <c r="CF152" s="988">
        <f t="shared" si="177"/>
        <v>6.5794536360138434E-2</v>
      </c>
      <c r="CG152" s="988">
        <f t="shared" si="177"/>
        <v>6.0331825037707398E-2</v>
      </c>
      <c r="CH152" s="990">
        <f>CH151/CD151-1</f>
        <v>5.5022156573116598E-2</v>
      </c>
      <c r="CI152" s="988">
        <f>CI151/CE151-1</f>
        <v>4.3049981758482403E-2</v>
      </c>
      <c r="CJ152" s="988">
        <f>CJ151/CF151-1</f>
        <v>4.6570397111913353E-2</v>
      </c>
      <c r="CK152" s="988">
        <f>CK151/CG151-1</f>
        <v>3.8051209103840744E-2</v>
      </c>
      <c r="CL152" s="990">
        <f>CL151/CH151-1</f>
        <v>3.7801890094504742E-2</v>
      </c>
    </row>
    <row r="153" spans="1:90">
      <c r="A153" s="983" t="s">
        <v>776</v>
      </c>
      <c r="B153" s="983"/>
      <c r="C153" s="983"/>
      <c r="D153" s="983"/>
      <c r="E153" s="983"/>
      <c r="F153" s="983"/>
      <c r="G153" s="983"/>
      <c r="H153" s="983"/>
      <c r="I153" s="983"/>
      <c r="J153" s="983"/>
      <c r="K153" s="983"/>
      <c r="L153" s="983"/>
      <c r="M153" s="983"/>
      <c r="N153" s="984"/>
      <c r="O153" s="984">
        <f>O151-N151</f>
        <v>275</v>
      </c>
      <c r="P153" s="984">
        <f>P151-O151</f>
        <v>239</v>
      </c>
      <c r="Q153" s="984">
        <f>Q151-P151</f>
        <v>160</v>
      </c>
      <c r="R153" s="1002">
        <f>R151-Q151</f>
        <v>107</v>
      </c>
      <c r="S153" s="984">
        <f>S151-R151</f>
        <v>-2919</v>
      </c>
      <c r="T153" s="949"/>
      <c r="U153" s="949"/>
      <c r="V153" s="949"/>
      <c r="W153" s="949"/>
      <c r="X153" s="947"/>
      <c r="Y153" s="947"/>
      <c r="Z153" s="947"/>
      <c r="AA153" s="984"/>
      <c r="AB153" s="984"/>
      <c r="AC153" s="984"/>
      <c r="AD153" s="984"/>
      <c r="AE153" s="984"/>
      <c r="AF153" s="984"/>
      <c r="AG153" s="984"/>
      <c r="AH153" s="984"/>
      <c r="AI153" s="984"/>
      <c r="AJ153" s="984"/>
      <c r="AK153" s="984"/>
      <c r="AL153" s="984"/>
      <c r="AM153" s="984"/>
      <c r="AN153" s="984"/>
      <c r="AO153" s="984"/>
      <c r="AP153" s="984"/>
      <c r="AQ153" s="984"/>
      <c r="AR153" s="984"/>
      <c r="AS153" s="984"/>
      <c r="AT153" s="984"/>
      <c r="AU153" s="984"/>
      <c r="AV153" s="984"/>
      <c r="AW153" s="984"/>
      <c r="AX153" s="984"/>
      <c r="AY153" s="984"/>
      <c r="AZ153" s="984"/>
      <c r="BA153" s="984"/>
      <c r="BB153" s="984"/>
      <c r="BC153" s="984"/>
      <c r="BD153" s="984"/>
      <c r="BE153" s="984"/>
      <c r="BF153" s="984"/>
      <c r="BG153" s="984"/>
      <c r="BH153" s="984"/>
      <c r="BI153" s="984"/>
      <c r="BJ153" s="984"/>
      <c r="BK153" s="984">
        <f t="shared" ref="BK153:CK153" si="178">BK151-BJ151</f>
        <v>109</v>
      </c>
      <c r="BL153" s="984">
        <f t="shared" si="178"/>
        <v>103</v>
      </c>
      <c r="BM153" s="984">
        <f t="shared" si="178"/>
        <v>81</v>
      </c>
      <c r="BN153" s="984">
        <f t="shared" si="178"/>
        <v>85</v>
      </c>
      <c r="BO153" s="984">
        <f t="shared" si="178"/>
        <v>68</v>
      </c>
      <c r="BP153" s="984">
        <f t="shared" si="178"/>
        <v>150</v>
      </c>
      <c r="BQ153" s="1002">
        <f t="shared" si="178"/>
        <v>140</v>
      </c>
      <c r="BR153" s="984">
        <f t="shared" si="178"/>
        <v>198</v>
      </c>
      <c r="BS153" s="984">
        <f t="shared" si="178"/>
        <v>120</v>
      </c>
      <c r="BT153" s="984">
        <f t="shared" si="178"/>
        <v>175</v>
      </c>
      <c r="BU153" s="984">
        <f t="shared" si="178"/>
        <v>165</v>
      </c>
      <c r="BV153" s="986">
        <f t="shared" si="178"/>
        <v>-24</v>
      </c>
      <c r="BW153" s="984">
        <f t="shared" si="178"/>
        <v>99</v>
      </c>
      <c r="BX153" s="984">
        <f t="shared" si="178"/>
        <v>104</v>
      </c>
      <c r="BY153" s="984">
        <f t="shared" si="178"/>
        <v>96</v>
      </c>
      <c r="BZ153" s="986">
        <f t="shared" si="178"/>
        <v>102</v>
      </c>
      <c r="CA153" s="984">
        <f t="shared" si="178"/>
        <v>39</v>
      </c>
      <c r="CB153" s="984">
        <f t="shared" si="178"/>
        <v>45</v>
      </c>
      <c r="CC153" s="984">
        <f t="shared" si="178"/>
        <v>53</v>
      </c>
      <c r="CD153" s="986">
        <f t="shared" si="178"/>
        <v>56</v>
      </c>
      <c r="CE153" s="984">
        <f t="shared" si="178"/>
        <v>33</v>
      </c>
      <c r="CF153" s="984">
        <f t="shared" si="178"/>
        <v>29</v>
      </c>
      <c r="CG153" s="984">
        <f t="shared" si="178"/>
        <v>42</v>
      </c>
      <c r="CH153" s="986">
        <f t="shared" si="178"/>
        <v>45</v>
      </c>
      <c r="CI153" s="984">
        <f t="shared" si="178"/>
        <v>2</v>
      </c>
      <c r="CJ153" s="984">
        <f t="shared" si="178"/>
        <v>40</v>
      </c>
      <c r="CK153" s="1002">
        <f t="shared" si="178"/>
        <v>20</v>
      </c>
      <c r="CL153" s="938">
        <v>46</v>
      </c>
    </row>
    <row r="154" spans="1:90">
      <c r="A154" s="1101" t="s">
        <v>778</v>
      </c>
      <c r="B154" s="1035"/>
      <c r="C154" s="1035"/>
      <c r="D154" s="1035"/>
      <c r="E154" s="1035"/>
      <c r="F154" s="1035"/>
      <c r="G154" s="1035"/>
      <c r="H154" s="1035"/>
      <c r="I154" s="1035"/>
      <c r="J154" s="1035"/>
      <c r="K154" s="1035"/>
      <c r="L154" s="1035"/>
      <c r="M154" s="1035"/>
      <c r="N154" s="1031"/>
      <c r="O154" s="1031"/>
      <c r="P154" s="1031"/>
      <c r="Q154" s="1031"/>
      <c r="R154" s="1754"/>
      <c r="S154" s="1014"/>
      <c r="T154" s="949"/>
      <c r="U154" s="949"/>
      <c r="V154" s="949"/>
      <c r="W154" s="949"/>
      <c r="X154" s="947"/>
      <c r="Y154" s="947"/>
      <c r="Z154" s="947"/>
      <c r="AA154" s="1031"/>
      <c r="AB154" s="1031"/>
      <c r="AC154" s="1031"/>
      <c r="AD154" s="1031"/>
      <c r="AE154" s="1031"/>
      <c r="AF154" s="1031"/>
      <c r="AG154" s="1031"/>
      <c r="AH154" s="1031"/>
      <c r="AI154" s="1031"/>
      <c r="AJ154" s="1031"/>
      <c r="AK154" s="1031"/>
      <c r="AL154" s="1031"/>
      <c r="AM154" s="1031"/>
      <c r="AN154" s="1031"/>
      <c r="AO154" s="1031"/>
      <c r="AP154" s="1031"/>
      <c r="AQ154" s="1031"/>
      <c r="AR154" s="1031"/>
      <c r="AS154" s="1031"/>
      <c r="AT154" s="1031"/>
      <c r="AU154" s="1031"/>
      <c r="AV154" s="1031"/>
      <c r="AW154" s="1031"/>
      <c r="AX154" s="1031"/>
      <c r="AY154" s="1031"/>
      <c r="AZ154" s="1031"/>
      <c r="BA154" s="1031"/>
      <c r="BB154" s="1031"/>
      <c r="BC154" s="1031"/>
      <c r="BD154" s="1031"/>
      <c r="BE154" s="1031"/>
      <c r="BF154" s="1031"/>
      <c r="BG154" s="1031"/>
      <c r="BH154" s="1031"/>
      <c r="BI154" s="1031"/>
      <c r="BJ154" s="1031"/>
      <c r="BK154" s="1031"/>
      <c r="BL154" s="1031"/>
      <c r="BM154" s="1031"/>
      <c r="BN154" s="1031"/>
      <c r="BO154" s="1031"/>
      <c r="BP154" s="1031"/>
      <c r="BQ154" s="1031"/>
      <c r="BR154" s="1031"/>
      <c r="BS154" s="1031"/>
      <c r="BT154" s="1031"/>
      <c r="BU154" s="1031"/>
      <c r="BV154" s="1034"/>
      <c r="BW154" s="1031"/>
      <c r="BX154" s="1031"/>
      <c r="BY154" s="1031"/>
      <c r="BZ154" s="1034"/>
      <c r="CA154" s="1031"/>
      <c r="CB154" s="1031"/>
      <c r="CC154" s="1014"/>
      <c r="CD154" s="1015"/>
      <c r="CE154" s="1031"/>
      <c r="CF154" s="1031"/>
      <c r="CG154" s="1014"/>
      <c r="CH154" s="1015"/>
      <c r="CI154" s="1014"/>
      <c r="CJ154" s="1014"/>
      <c r="CK154" s="1754"/>
      <c r="CL154" s="1015"/>
    </row>
    <row r="155" spans="1:90">
      <c r="A155" s="1101" t="s">
        <v>779</v>
      </c>
      <c r="B155" s="1035"/>
      <c r="C155" s="1035"/>
      <c r="D155" s="1035"/>
      <c r="E155" s="1035"/>
      <c r="F155" s="1035"/>
      <c r="G155" s="1035"/>
      <c r="H155" s="1035"/>
      <c r="I155" s="1035"/>
      <c r="J155" s="1035"/>
      <c r="K155" s="1035"/>
      <c r="L155" s="1035"/>
      <c r="M155" s="1035"/>
      <c r="N155" s="1031"/>
      <c r="O155" s="1031"/>
      <c r="P155" s="1031"/>
      <c r="Q155" s="1031"/>
      <c r="R155" s="1754"/>
      <c r="S155" s="1014"/>
      <c r="T155" s="949"/>
      <c r="U155" s="949"/>
      <c r="V155" s="949"/>
      <c r="W155" s="949"/>
      <c r="X155" s="947"/>
      <c r="Y155" s="947"/>
      <c r="Z155" s="947"/>
      <c r="AA155" s="1031"/>
      <c r="AB155" s="1031"/>
      <c r="AC155" s="1031"/>
      <c r="AD155" s="1031"/>
      <c r="AE155" s="1031"/>
      <c r="AF155" s="1031"/>
      <c r="AG155" s="1031"/>
      <c r="AH155" s="1031"/>
      <c r="AI155" s="1031"/>
      <c r="AJ155" s="1031"/>
      <c r="AK155" s="1031"/>
      <c r="AL155" s="1031"/>
      <c r="AM155" s="1031"/>
      <c r="AN155" s="1031"/>
      <c r="AO155" s="1031"/>
      <c r="AP155" s="1031"/>
      <c r="AQ155" s="1031"/>
      <c r="AR155" s="1031"/>
      <c r="AS155" s="1031"/>
      <c r="AT155" s="1031"/>
      <c r="AU155" s="1031"/>
      <c r="AV155" s="1031"/>
      <c r="AW155" s="1031"/>
      <c r="AX155" s="1031"/>
      <c r="AY155" s="1031"/>
      <c r="AZ155" s="1031"/>
      <c r="BA155" s="1031"/>
      <c r="BB155" s="1031"/>
      <c r="BC155" s="1031"/>
      <c r="BD155" s="1031"/>
      <c r="BE155" s="1031"/>
      <c r="BF155" s="1031"/>
      <c r="BG155" s="1031"/>
      <c r="BH155" s="1031"/>
      <c r="BI155" s="1031"/>
      <c r="BJ155" s="1031"/>
      <c r="BK155" s="1031"/>
      <c r="BL155" s="1031"/>
      <c r="BM155" s="1031"/>
      <c r="BN155" s="1031"/>
      <c r="BO155" s="1031"/>
      <c r="BP155" s="1031"/>
      <c r="BQ155" s="1031"/>
      <c r="BR155" s="1031"/>
      <c r="BS155" s="1031"/>
      <c r="BT155" s="1031"/>
      <c r="BU155" s="1031"/>
      <c r="BV155" s="1034"/>
      <c r="BW155" s="1031"/>
      <c r="BX155" s="1031"/>
      <c r="BY155" s="1031"/>
      <c r="BZ155" s="1034"/>
      <c r="CA155" s="1031"/>
      <c r="CB155" s="1031"/>
      <c r="CC155" s="1014"/>
      <c r="CD155" s="1015"/>
      <c r="CE155" s="1031"/>
      <c r="CF155" s="1031"/>
      <c r="CG155" s="1014"/>
      <c r="CH155" s="1015"/>
      <c r="CI155" s="1014"/>
      <c r="CJ155" s="1014"/>
      <c r="CK155" s="1754"/>
      <c r="CL155" s="1015"/>
    </row>
    <row r="156" spans="1:90">
      <c r="A156" s="1101" t="s">
        <v>780</v>
      </c>
      <c r="B156" s="1035"/>
      <c r="C156" s="1035"/>
      <c r="D156" s="1035"/>
      <c r="E156" s="1035"/>
      <c r="F156" s="1035"/>
      <c r="G156" s="1035"/>
      <c r="H156" s="1035"/>
      <c r="I156" s="1035"/>
      <c r="J156" s="1035"/>
      <c r="K156" s="1035"/>
      <c r="L156" s="1035"/>
      <c r="M156" s="1035"/>
      <c r="N156" s="1031"/>
      <c r="O156" s="1031"/>
      <c r="P156" s="1031"/>
      <c r="Q156" s="1031"/>
      <c r="R156" s="1754"/>
      <c r="S156" s="1014"/>
      <c r="T156" s="949"/>
      <c r="U156" s="949"/>
      <c r="V156" s="949"/>
      <c r="W156" s="949"/>
      <c r="X156" s="947"/>
      <c r="Y156" s="947"/>
      <c r="Z156" s="947"/>
      <c r="AA156" s="1031"/>
      <c r="AB156" s="1031"/>
      <c r="AC156" s="1031"/>
      <c r="AD156" s="1031"/>
      <c r="AE156" s="1031"/>
      <c r="AF156" s="1031"/>
      <c r="AG156" s="1031"/>
      <c r="AH156" s="1031"/>
      <c r="AI156" s="1031"/>
      <c r="AJ156" s="1031"/>
      <c r="AK156" s="1031"/>
      <c r="AL156" s="1031"/>
      <c r="AM156" s="1031"/>
      <c r="AN156" s="1031"/>
      <c r="AO156" s="1031"/>
      <c r="AP156" s="1031"/>
      <c r="AQ156" s="1031"/>
      <c r="AR156" s="1031"/>
      <c r="AS156" s="1031"/>
      <c r="AT156" s="1031"/>
      <c r="AU156" s="1031"/>
      <c r="AV156" s="1031"/>
      <c r="AW156" s="1031"/>
      <c r="AX156" s="1031"/>
      <c r="AY156" s="1031"/>
      <c r="AZ156" s="1031"/>
      <c r="BA156" s="1031"/>
      <c r="BB156" s="1031"/>
      <c r="BC156" s="1031"/>
      <c r="BD156" s="1031"/>
      <c r="BE156" s="1031"/>
      <c r="BF156" s="1031"/>
      <c r="BG156" s="1031"/>
      <c r="BH156" s="1031"/>
      <c r="BI156" s="1031"/>
      <c r="BJ156" s="1031"/>
      <c r="BK156" s="1031"/>
      <c r="BL156" s="1031"/>
      <c r="BM156" s="1031"/>
      <c r="BN156" s="1031"/>
      <c r="BO156" s="1031"/>
      <c r="BP156" s="1031"/>
      <c r="BQ156" s="1031"/>
      <c r="BR156" s="1031"/>
      <c r="BS156" s="1031"/>
      <c r="BT156" s="1031"/>
      <c r="BU156" s="1031"/>
      <c r="BV156" s="1034"/>
      <c r="BW156" s="1031"/>
      <c r="BX156" s="1031"/>
      <c r="BY156" s="1031"/>
      <c r="BZ156" s="1034"/>
      <c r="CA156" s="1031"/>
      <c r="CB156" s="1031"/>
      <c r="CC156" s="1014"/>
      <c r="CD156" s="1015"/>
      <c r="CE156" s="1031"/>
      <c r="CF156" s="1031"/>
      <c r="CG156" s="1014"/>
      <c r="CH156" s="1015"/>
      <c r="CI156" s="1014"/>
      <c r="CJ156" s="1014"/>
      <c r="CK156" s="1754"/>
      <c r="CL156" s="1015"/>
    </row>
    <row r="157" spans="1:90">
      <c r="A157" s="983" t="s">
        <v>34</v>
      </c>
      <c r="B157" s="983"/>
      <c r="C157" s="983"/>
      <c r="D157" s="983"/>
      <c r="E157" s="983"/>
      <c r="F157" s="983"/>
      <c r="G157" s="983"/>
      <c r="H157" s="983"/>
      <c r="I157" s="983"/>
      <c r="J157" s="983"/>
      <c r="K157" s="983"/>
      <c r="L157" s="983"/>
      <c r="M157" s="983"/>
      <c r="N157" s="984"/>
      <c r="O157" s="988"/>
      <c r="P157" s="988">
        <f>P153/O153-1</f>
        <v>-0.13090909090909086</v>
      </c>
      <c r="Q157" s="988">
        <f>Q153/P153-1</f>
        <v>-0.33054393305439334</v>
      </c>
      <c r="R157" s="989">
        <f>R153/Q153-1</f>
        <v>-0.33125000000000004</v>
      </c>
      <c r="S157" s="988">
        <f>S153/R153-1</f>
        <v>-28.280373831775702</v>
      </c>
      <c r="T157" s="949"/>
      <c r="U157" s="949"/>
      <c r="V157" s="949"/>
      <c r="W157" s="949"/>
      <c r="X157" s="947"/>
      <c r="Y157" s="947"/>
      <c r="Z157" s="947"/>
      <c r="AA157" s="984"/>
      <c r="AB157" s="984"/>
      <c r="AC157" s="984"/>
      <c r="AD157" s="984"/>
      <c r="AE157" s="984"/>
      <c r="AF157" s="984"/>
      <c r="AG157" s="984"/>
      <c r="AH157" s="984"/>
      <c r="AI157" s="984"/>
      <c r="AJ157" s="984"/>
      <c r="AK157" s="984"/>
      <c r="AL157" s="984"/>
      <c r="AM157" s="984"/>
      <c r="AN157" s="984"/>
      <c r="AO157" s="984"/>
      <c r="AP157" s="984"/>
      <c r="AQ157" s="984"/>
      <c r="AR157" s="984"/>
      <c r="AS157" s="984"/>
      <c r="AT157" s="984"/>
      <c r="AU157" s="984"/>
      <c r="AV157" s="984"/>
      <c r="AW157" s="984"/>
      <c r="AX157" s="984"/>
      <c r="AY157" s="984"/>
      <c r="AZ157" s="984"/>
      <c r="BA157" s="984"/>
      <c r="BB157" s="984"/>
      <c r="BC157" s="984"/>
      <c r="BD157" s="984"/>
      <c r="BE157" s="984"/>
      <c r="BF157" s="984"/>
      <c r="BG157" s="984"/>
      <c r="BH157" s="984"/>
      <c r="BI157" s="984"/>
      <c r="BJ157" s="984"/>
      <c r="BK157" s="984"/>
      <c r="BL157" s="984"/>
      <c r="BM157" s="984"/>
      <c r="BN157" s="984"/>
      <c r="BO157" s="984"/>
      <c r="BP157" s="984"/>
      <c r="BQ157" s="984"/>
      <c r="BR157" s="938"/>
      <c r="BS157" s="347"/>
      <c r="BT157" s="347"/>
      <c r="BU157" s="347"/>
      <c r="BV157" s="990">
        <f t="shared" ref="BV157:CB157" si="179">BV153/BR153-1</f>
        <v>-1.1212121212121211</v>
      </c>
      <c r="BW157" s="988">
        <f t="shared" si="179"/>
        <v>-0.17500000000000004</v>
      </c>
      <c r="BX157" s="988">
        <f t="shared" si="179"/>
        <v>-0.40571428571428569</v>
      </c>
      <c r="BY157" s="988">
        <f t="shared" si="179"/>
        <v>-0.41818181818181821</v>
      </c>
      <c r="BZ157" s="990">
        <f t="shared" si="179"/>
        <v>-5.25</v>
      </c>
      <c r="CA157" s="988">
        <f t="shared" si="179"/>
        <v>-0.60606060606060608</v>
      </c>
      <c r="CB157" s="988">
        <f t="shared" si="179"/>
        <v>-0.56730769230769229</v>
      </c>
      <c r="CC157" s="988">
        <f t="shared" ref="CC157:CL157" si="180">CC153/BY153-1</f>
        <v>-0.44791666666666663</v>
      </c>
      <c r="CD157" s="990">
        <f t="shared" si="180"/>
        <v>-0.4509803921568627</v>
      </c>
      <c r="CE157" s="988">
        <f t="shared" si="180"/>
        <v>-0.15384615384615385</v>
      </c>
      <c r="CF157" s="988">
        <f t="shared" si="180"/>
        <v>-0.35555555555555551</v>
      </c>
      <c r="CG157" s="988">
        <f t="shared" si="180"/>
        <v>-0.20754716981132071</v>
      </c>
      <c r="CH157" s="990">
        <f t="shared" si="180"/>
        <v>-0.1964285714285714</v>
      </c>
      <c r="CI157" s="988">
        <f t="shared" si="180"/>
        <v>-0.93939393939393945</v>
      </c>
      <c r="CJ157" s="988">
        <f t="shared" si="180"/>
        <v>0.3793103448275863</v>
      </c>
      <c r="CK157" s="988">
        <f t="shared" si="180"/>
        <v>-0.52380952380952384</v>
      </c>
      <c r="CL157" s="990">
        <f t="shared" si="180"/>
        <v>2.2222222222222143E-2</v>
      </c>
    </row>
    <row r="158" spans="1:90">
      <c r="A158" s="1049" t="s">
        <v>100</v>
      </c>
      <c r="B158" s="1105"/>
      <c r="C158" s="1105"/>
      <c r="D158" s="1105"/>
      <c r="E158" s="1105"/>
      <c r="F158" s="1105"/>
      <c r="G158" s="1105"/>
      <c r="H158" s="1105"/>
      <c r="I158" s="1105"/>
      <c r="J158" s="1105"/>
      <c r="K158" s="1105"/>
      <c r="L158" s="1105"/>
      <c r="M158" s="1105"/>
      <c r="N158" s="271">
        <f>BU158</f>
        <v>411</v>
      </c>
      <c r="O158" s="271">
        <f>BY158</f>
        <v>652</v>
      </c>
      <c r="P158" s="271">
        <f>CC158</f>
        <v>814</v>
      </c>
      <c r="Q158" s="271">
        <f>CG158</f>
        <v>940</v>
      </c>
      <c r="R158" s="223">
        <f>+CK158</f>
        <v>1003</v>
      </c>
      <c r="S158" s="271">
        <f>+CO158</f>
        <v>0</v>
      </c>
      <c r="T158" s="949"/>
      <c r="U158" s="949"/>
      <c r="V158" s="949"/>
      <c r="W158" s="949"/>
      <c r="X158" s="947"/>
      <c r="Y158" s="947"/>
      <c r="Z158" s="947"/>
      <c r="AA158" s="271"/>
      <c r="AB158" s="271"/>
      <c r="AC158" s="271"/>
      <c r="AD158" s="271"/>
      <c r="AE158" s="271"/>
      <c r="AF158" s="271"/>
      <c r="AG158" s="271"/>
      <c r="AH158" s="271"/>
      <c r="AI158" s="271"/>
      <c r="AJ158" s="271"/>
      <c r="AK158" s="271"/>
      <c r="AL158" s="271"/>
      <c r="AM158" s="271"/>
      <c r="AN158" s="271"/>
      <c r="AO158" s="271"/>
      <c r="AP158" s="271"/>
      <c r="AQ158" s="271"/>
      <c r="AR158" s="271"/>
      <c r="AS158" s="271"/>
      <c r="AT158" s="271"/>
      <c r="AU158" s="271"/>
      <c r="AV158" s="271"/>
      <c r="AW158" s="271"/>
      <c r="AX158" s="271"/>
      <c r="AY158" s="271"/>
      <c r="AZ158" s="271"/>
      <c r="BA158" s="271"/>
      <c r="BB158" s="271"/>
      <c r="BC158" s="271"/>
      <c r="BD158" s="271"/>
      <c r="BE158" s="271"/>
      <c r="BF158" s="271"/>
      <c r="BG158" s="271"/>
      <c r="BH158" s="271"/>
      <c r="BI158" s="271"/>
      <c r="BJ158" s="271"/>
      <c r="BK158" s="271"/>
      <c r="BL158" s="271"/>
      <c r="BM158" s="271"/>
      <c r="BN158" s="271"/>
      <c r="BO158" s="271"/>
      <c r="BP158" s="271"/>
      <c r="BQ158" s="271"/>
      <c r="BR158" s="1005">
        <v>210</v>
      </c>
      <c r="BS158" s="1006">
        <v>249</v>
      </c>
      <c r="BT158" s="1006">
        <v>338</v>
      </c>
      <c r="BU158" s="1006">
        <v>411</v>
      </c>
      <c r="BV158" s="1005">
        <v>482</v>
      </c>
      <c r="BW158" s="1006">
        <v>553</v>
      </c>
      <c r="BX158" s="1006">
        <v>593</v>
      </c>
      <c r="BY158" s="1006">
        <v>652</v>
      </c>
      <c r="BZ158" s="1005">
        <v>697</v>
      </c>
      <c r="CA158" s="1006">
        <v>716</v>
      </c>
      <c r="CB158" s="1006">
        <v>756</v>
      </c>
      <c r="CC158" s="1006">
        <v>814</v>
      </c>
      <c r="CD158" s="1005">
        <v>839</v>
      </c>
      <c r="CE158" s="1006">
        <v>857</v>
      </c>
      <c r="CF158" s="1006">
        <v>900</v>
      </c>
      <c r="CG158" s="1006">
        <v>940</v>
      </c>
      <c r="CH158" s="1005">
        <v>951</v>
      </c>
      <c r="CI158" s="996">
        <v>951</v>
      </c>
      <c r="CJ158" s="996">
        <v>963</v>
      </c>
      <c r="CK158" s="1006">
        <v>1003</v>
      </c>
      <c r="CL158" s="1005">
        <v>1014</v>
      </c>
    </row>
    <row r="159" spans="1:90">
      <c r="A159" s="983" t="s">
        <v>34</v>
      </c>
      <c r="B159" s="983"/>
      <c r="C159" s="983"/>
      <c r="D159" s="983"/>
      <c r="E159" s="983"/>
      <c r="F159" s="983"/>
      <c r="G159" s="983"/>
      <c r="H159" s="983"/>
      <c r="I159" s="983"/>
      <c r="J159" s="983"/>
      <c r="K159" s="983"/>
      <c r="L159" s="983"/>
      <c r="M159" s="983"/>
      <c r="N159" s="984"/>
      <c r="O159" s="988">
        <f>O158/N158-1</f>
        <v>0.58637469586374702</v>
      </c>
      <c r="P159" s="988">
        <f>P158/O158-1</f>
        <v>0.24846625766871155</v>
      </c>
      <c r="Q159" s="988">
        <f>Q158/P158-1</f>
        <v>0.15479115479115468</v>
      </c>
      <c r="R159" s="989">
        <f>R158/Q158-1</f>
        <v>6.702127659574475E-2</v>
      </c>
      <c r="S159" s="988">
        <f>S158/R158-1</f>
        <v>-1</v>
      </c>
      <c r="T159" s="949"/>
      <c r="U159" s="949"/>
      <c r="V159" s="949"/>
      <c r="W159" s="949"/>
      <c r="X159" s="947"/>
      <c r="Y159" s="947"/>
      <c r="Z159" s="947"/>
      <c r="AA159" s="984"/>
      <c r="AB159" s="984"/>
      <c r="AC159" s="984"/>
      <c r="AD159" s="984"/>
      <c r="AE159" s="984"/>
      <c r="AF159" s="984"/>
      <c r="AG159" s="984"/>
      <c r="AH159" s="984"/>
      <c r="AI159" s="984"/>
      <c r="AJ159" s="984"/>
      <c r="AK159" s="984"/>
      <c r="AL159" s="984"/>
      <c r="AM159" s="984"/>
      <c r="AN159" s="984"/>
      <c r="AO159" s="984"/>
      <c r="AP159" s="984"/>
      <c r="AQ159" s="984"/>
      <c r="AR159" s="984"/>
      <c r="AS159" s="984"/>
      <c r="AT159" s="984"/>
      <c r="AU159" s="984"/>
      <c r="AV159" s="984"/>
      <c r="AW159" s="984"/>
      <c r="AX159" s="984"/>
      <c r="AY159" s="984"/>
      <c r="AZ159" s="984"/>
      <c r="BA159" s="984"/>
      <c r="BB159" s="984"/>
      <c r="BC159" s="984"/>
      <c r="BD159" s="984"/>
      <c r="BE159" s="984"/>
      <c r="BF159" s="984"/>
      <c r="BG159" s="984"/>
      <c r="BH159" s="984"/>
      <c r="BI159" s="984"/>
      <c r="BJ159" s="984"/>
      <c r="BK159" s="984"/>
      <c r="BL159" s="984"/>
      <c r="BM159" s="984"/>
      <c r="BN159" s="984"/>
      <c r="BO159" s="984"/>
      <c r="BP159" s="984"/>
      <c r="BQ159" s="984"/>
      <c r="BR159" s="938"/>
      <c r="BS159" s="347"/>
      <c r="BT159" s="347"/>
      <c r="BU159" s="347"/>
      <c r="BV159" s="990">
        <f t="shared" ref="BV159:CG159" si="181">BV158/BR158-1</f>
        <v>1.2952380952380951</v>
      </c>
      <c r="BW159" s="988">
        <f t="shared" si="181"/>
        <v>1.2208835341365463</v>
      </c>
      <c r="BX159" s="988">
        <f t="shared" si="181"/>
        <v>0.75443786982248517</v>
      </c>
      <c r="BY159" s="988">
        <f t="shared" si="181"/>
        <v>0.58637469586374702</v>
      </c>
      <c r="BZ159" s="990">
        <f t="shared" si="181"/>
        <v>0.44605809128630702</v>
      </c>
      <c r="CA159" s="988">
        <f t="shared" si="181"/>
        <v>0.29475587703435813</v>
      </c>
      <c r="CB159" s="988">
        <f t="shared" si="181"/>
        <v>0.27487352445193936</v>
      </c>
      <c r="CC159" s="988">
        <f t="shared" si="181"/>
        <v>0.24846625766871155</v>
      </c>
      <c r="CD159" s="990">
        <f t="shared" si="181"/>
        <v>0.20373027259684351</v>
      </c>
      <c r="CE159" s="988">
        <f t="shared" si="181"/>
        <v>0.19692737430167595</v>
      </c>
      <c r="CF159" s="988">
        <f t="shared" si="181"/>
        <v>0.19047619047619047</v>
      </c>
      <c r="CG159" s="988">
        <f t="shared" si="181"/>
        <v>0.15479115479115468</v>
      </c>
      <c r="CH159" s="990">
        <f>CH158/CD158-1</f>
        <v>0.1334922526817639</v>
      </c>
      <c r="CI159" s="988">
        <f>CI158/CE158-1</f>
        <v>0.10968494749124846</v>
      </c>
      <c r="CJ159" s="988">
        <f>CJ158/CF158-1</f>
        <v>7.0000000000000062E-2</v>
      </c>
      <c r="CK159" s="988">
        <f>CK158/CG158-1</f>
        <v>6.702127659574475E-2</v>
      </c>
      <c r="CL159" s="990">
        <f>CL158/CH158-1</f>
        <v>6.6246056782334417E-2</v>
      </c>
    </row>
    <row r="160" spans="1:90">
      <c r="A160" s="983" t="s">
        <v>776</v>
      </c>
      <c r="B160" s="983"/>
      <c r="C160" s="983"/>
      <c r="D160" s="983"/>
      <c r="E160" s="983"/>
      <c r="F160" s="983"/>
      <c r="G160" s="983"/>
      <c r="H160" s="983"/>
      <c r="I160" s="983"/>
      <c r="J160" s="983"/>
      <c r="K160" s="983"/>
      <c r="L160" s="983"/>
      <c r="M160" s="983"/>
      <c r="N160" s="984"/>
      <c r="O160" s="984">
        <f>O158-N158</f>
        <v>241</v>
      </c>
      <c r="P160" s="984">
        <f>P158-O158</f>
        <v>162</v>
      </c>
      <c r="Q160" s="984">
        <f>Q158-P158</f>
        <v>126</v>
      </c>
      <c r="R160" s="1002">
        <f>R158-Q158</f>
        <v>63</v>
      </c>
      <c r="S160" s="984">
        <f>S158-R158</f>
        <v>-1003</v>
      </c>
      <c r="T160" s="949"/>
      <c r="U160" s="949"/>
      <c r="V160" s="949"/>
      <c r="W160" s="949"/>
      <c r="X160" s="947"/>
      <c r="Y160" s="947"/>
      <c r="Z160" s="947"/>
      <c r="AA160" s="984"/>
      <c r="AB160" s="984"/>
      <c r="AC160" s="984"/>
      <c r="AD160" s="984"/>
      <c r="AE160" s="984"/>
      <c r="AF160" s="984"/>
      <c r="AG160" s="984"/>
      <c r="AH160" s="984"/>
      <c r="AI160" s="984"/>
      <c r="AJ160" s="984"/>
      <c r="AK160" s="984"/>
      <c r="AL160" s="984"/>
      <c r="AM160" s="984"/>
      <c r="AN160" s="984"/>
      <c r="AO160" s="984"/>
      <c r="AP160" s="984"/>
      <c r="AQ160" s="984"/>
      <c r="AR160" s="984"/>
      <c r="AS160" s="984"/>
      <c r="AT160" s="984"/>
      <c r="AU160" s="984"/>
      <c r="AV160" s="984"/>
      <c r="AW160" s="984"/>
      <c r="AX160" s="984"/>
      <c r="AY160" s="984"/>
      <c r="AZ160" s="984"/>
      <c r="BA160" s="984"/>
      <c r="BB160" s="984"/>
      <c r="BC160" s="984"/>
      <c r="BD160" s="984"/>
      <c r="BE160" s="984"/>
      <c r="BF160" s="984"/>
      <c r="BG160" s="984"/>
      <c r="BH160" s="984"/>
      <c r="BI160" s="984"/>
      <c r="BJ160" s="984"/>
      <c r="BK160" s="984"/>
      <c r="BL160" s="984"/>
      <c r="BM160" s="984"/>
      <c r="BN160" s="984"/>
      <c r="BO160" s="984"/>
      <c r="BP160" s="984"/>
      <c r="BQ160" s="984"/>
      <c r="BR160" s="938"/>
      <c r="BS160" s="984">
        <f t="shared" ref="BS160:CL160" si="182">BS158-BR158</f>
        <v>39</v>
      </c>
      <c r="BT160" s="984">
        <f t="shared" si="182"/>
        <v>89</v>
      </c>
      <c r="BU160" s="984">
        <f t="shared" si="182"/>
        <v>73</v>
      </c>
      <c r="BV160" s="986">
        <f t="shared" si="182"/>
        <v>71</v>
      </c>
      <c r="BW160" s="984">
        <f t="shared" si="182"/>
        <v>71</v>
      </c>
      <c r="BX160" s="984">
        <f t="shared" si="182"/>
        <v>40</v>
      </c>
      <c r="BY160" s="984">
        <f t="shared" si="182"/>
        <v>59</v>
      </c>
      <c r="BZ160" s="986">
        <f t="shared" si="182"/>
        <v>45</v>
      </c>
      <c r="CA160" s="984">
        <f t="shared" si="182"/>
        <v>19</v>
      </c>
      <c r="CB160" s="984">
        <f t="shared" si="182"/>
        <v>40</v>
      </c>
      <c r="CC160" s="984">
        <f t="shared" si="182"/>
        <v>58</v>
      </c>
      <c r="CD160" s="986">
        <f t="shared" si="182"/>
        <v>25</v>
      </c>
      <c r="CE160" s="984">
        <f t="shared" si="182"/>
        <v>18</v>
      </c>
      <c r="CF160" s="984">
        <f t="shared" si="182"/>
        <v>43</v>
      </c>
      <c r="CG160" s="984">
        <f t="shared" si="182"/>
        <v>40</v>
      </c>
      <c r="CH160" s="986">
        <f t="shared" si="182"/>
        <v>11</v>
      </c>
      <c r="CI160" s="984">
        <f t="shared" si="182"/>
        <v>0</v>
      </c>
      <c r="CJ160" s="984">
        <f t="shared" si="182"/>
        <v>12</v>
      </c>
      <c r="CK160" s="984">
        <f t="shared" si="182"/>
        <v>40</v>
      </c>
      <c r="CL160" s="986">
        <f t="shared" si="182"/>
        <v>11</v>
      </c>
    </row>
    <row r="161" spans="1:90">
      <c r="A161" s="1049" t="s">
        <v>101</v>
      </c>
      <c r="B161" s="1105"/>
      <c r="C161" s="1105"/>
      <c r="D161" s="1105"/>
      <c r="E161" s="1105"/>
      <c r="F161" s="1105"/>
      <c r="G161" s="1105"/>
      <c r="H161" s="1105"/>
      <c r="I161" s="1105"/>
      <c r="J161" s="1105"/>
      <c r="K161" s="1105"/>
      <c r="L161" s="1105"/>
      <c r="M161" s="1105"/>
      <c r="N161" s="271">
        <f>BU161</f>
        <v>801</v>
      </c>
      <c r="O161" s="271">
        <f>BY161</f>
        <v>823.53099999999995</v>
      </c>
      <c r="P161" s="271">
        <f>CC161</f>
        <v>658.25800000000004</v>
      </c>
      <c r="Q161" s="271">
        <f>CG161</f>
        <v>838.04499999999996</v>
      </c>
      <c r="R161" s="223">
        <f>+CK161</f>
        <v>1086</v>
      </c>
      <c r="S161" s="271">
        <f>+CO161</f>
        <v>0</v>
      </c>
      <c r="T161" s="949"/>
      <c r="U161" s="949"/>
      <c r="V161" s="949"/>
      <c r="W161" s="949"/>
      <c r="X161" s="947"/>
      <c r="Y161" s="947"/>
      <c r="Z161" s="947"/>
      <c r="AA161" s="271"/>
      <c r="AB161" s="271"/>
      <c r="AC161" s="271"/>
      <c r="AD161" s="271"/>
      <c r="AE161" s="271"/>
      <c r="AF161" s="271"/>
      <c r="AG161" s="271"/>
      <c r="AH161" s="271"/>
      <c r="AI161" s="271"/>
      <c r="AJ161" s="271"/>
      <c r="AK161" s="271"/>
      <c r="AL161" s="271"/>
      <c r="AM161" s="271"/>
      <c r="AN161" s="271"/>
      <c r="AO161" s="271"/>
      <c r="AP161" s="271"/>
      <c r="AQ161" s="271"/>
      <c r="AR161" s="271"/>
      <c r="AS161" s="271"/>
      <c r="AT161" s="271"/>
      <c r="AU161" s="271"/>
      <c r="AV161" s="271"/>
      <c r="AW161" s="271"/>
      <c r="AX161" s="271"/>
      <c r="AY161" s="271"/>
      <c r="AZ161" s="271"/>
      <c r="BA161" s="271"/>
      <c r="BB161" s="271"/>
      <c r="BC161" s="271"/>
      <c r="BD161" s="271"/>
      <c r="BE161" s="271"/>
      <c r="BF161" s="271"/>
      <c r="BG161" s="271"/>
      <c r="BH161" s="271"/>
      <c r="BI161" s="271"/>
      <c r="BJ161" s="996">
        <v>816</v>
      </c>
      <c r="BK161" s="996">
        <v>814</v>
      </c>
      <c r="BL161" s="996">
        <v>778</v>
      </c>
      <c r="BM161" s="996">
        <v>754</v>
      </c>
      <c r="BN161" s="996">
        <v>743</v>
      </c>
      <c r="BO161" s="996">
        <v>744</v>
      </c>
      <c r="BP161" s="996">
        <v>748</v>
      </c>
      <c r="BQ161" s="996">
        <v>770</v>
      </c>
      <c r="BR161" s="1005">
        <v>784</v>
      </c>
      <c r="BS161" s="1006">
        <v>777</v>
      </c>
      <c r="BT161" s="1006">
        <v>781</v>
      </c>
      <c r="BU161" s="1006">
        <v>801</v>
      </c>
      <c r="BV161" s="1005">
        <v>812</v>
      </c>
      <c r="BW161" s="1006">
        <v>806.76599999999996</v>
      </c>
      <c r="BX161" s="1006">
        <v>819.00900000000001</v>
      </c>
      <c r="BY161" s="1006">
        <v>823.53099999999995</v>
      </c>
      <c r="BZ161" s="1005">
        <v>816.34100000000001</v>
      </c>
      <c r="CA161" s="1006">
        <v>810.59400000000005</v>
      </c>
      <c r="CB161" s="1006">
        <v>707.59500000000003</v>
      </c>
      <c r="CC161" s="1006">
        <v>658.25800000000004</v>
      </c>
      <c r="CD161" s="1005">
        <v>718.04600000000005</v>
      </c>
      <c r="CE161" s="1006">
        <v>737.55499999999995</v>
      </c>
      <c r="CF161" s="1006">
        <v>760.42</v>
      </c>
      <c r="CG161" s="1006">
        <v>838.04499999999996</v>
      </c>
      <c r="CH161" s="1005">
        <v>922</v>
      </c>
      <c r="CI161" s="996">
        <v>982</v>
      </c>
      <c r="CJ161" s="996">
        <v>1044</v>
      </c>
      <c r="CK161" s="1006">
        <v>1086</v>
      </c>
      <c r="CL161" s="1005">
        <v>1087</v>
      </c>
    </row>
    <row r="162" spans="1:90">
      <c r="A162" s="983" t="s">
        <v>34</v>
      </c>
      <c r="B162" s="983"/>
      <c r="C162" s="983"/>
      <c r="D162" s="983"/>
      <c r="E162" s="983"/>
      <c r="F162" s="983"/>
      <c r="G162" s="983"/>
      <c r="H162" s="983"/>
      <c r="I162" s="983"/>
      <c r="J162" s="983"/>
      <c r="K162" s="983"/>
      <c r="L162" s="983"/>
      <c r="M162" s="983"/>
      <c r="N162" s="984"/>
      <c r="O162" s="988">
        <f>O161/N161-1</f>
        <v>2.8128589263420656E-2</v>
      </c>
      <c r="P162" s="988">
        <f>P161/O161-1</f>
        <v>-0.20068825581550653</v>
      </c>
      <c r="Q162" s="988">
        <f>Q161/P161-1</f>
        <v>0.27312543106198461</v>
      </c>
      <c r="R162" s="989">
        <f>R161/Q161-1</f>
        <v>0.29587313330429765</v>
      </c>
      <c r="S162" s="988">
        <f>S161/R161-1</f>
        <v>-1</v>
      </c>
      <c r="T162" s="949"/>
      <c r="U162" s="949"/>
      <c r="V162" s="949"/>
      <c r="W162" s="949"/>
      <c r="X162" s="947"/>
      <c r="Y162" s="947"/>
      <c r="Z162" s="947"/>
      <c r="AA162" s="984"/>
      <c r="AB162" s="984"/>
      <c r="AC162" s="984"/>
      <c r="AD162" s="984"/>
      <c r="AE162" s="984"/>
      <c r="AF162" s="984"/>
      <c r="AG162" s="984"/>
      <c r="AH162" s="984"/>
      <c r="AI162" s="984"/>
      <c r="AJ162" s="984"/>
      <c r="AK162" s="984"/>
      <c r="AL162" s="984"/>
      <c r="AM162" s="984"/>
      <c r="AN162" s="984"/>
      <c r="AO162" s="984"/>
      <c r="AP162" s="984"/>
      <c r="AQ162" s="984"/>
      <c r="AR162" s="984"/>
      <c r="AS162" s="984"/>
      <c r="AT162" s="984"/>
      <c r="AU162" s="984"/>
      <c r="AV162" s="984"/>
      <c r="AW162" s="984"/>
      <c r="AX162" s="984"/>
      <c r="AY162" s="984"/>
      <c r="AZ162" s="984"/>
      <c r="BA162" s="984"/>
      <c r="BB162" s="984"/>
      <c r="BC162" s="984"/>
      <c r="BD162" s="984"/>
      <c r="BE162" s="984"/>
      <c r="BF162" s="984"/>
      <c r="BG162" s="984"/>
      <c r="BH162" s="984"/>
      <c r="BI162" s="984"/>
      <c r="BJ162" s="984"/>
      <c r="BK162" s="984"/>
      <c r="BL162" s="984"/>
      <c r="BM162" s="984"/>
      <c r="BN162" s="1106">
        <f t="shared" ref="BN162:BU162" si="183">BN161/BJ161-1</f>
        <v>-8.9460784313725505E-2</v>
      </c>
      <c r="BO162" s="1106">
        <f t="shared" si="183"/>
        <v>-8.5995085995085985E-2</v>
      </c>
      <c r="BP162" s="1106">
        <f t="shared" si="183"/>
        <v>-3.8560411311054033E-2</v>
      </c>
      <c r="BQ162" s="1106">
        <f t="shared" si="183"/>
        <v>2.1220159151193574E-2</v>
      </c>
      <c r="BR162" s="1107">
        <f t="shared" si="183"/>
        <v>5.5181695827725363E-2</v>
      </c>
      <c r="BS162" s="1108">
        <f t="shared" si="183"/>
        <v>4.4354838709677491E-2</v>
      </c>
      <c r="BT162" s="1108">
        <f t="shared" si="183"/>
        <v>4.4117647058823595E-2</v>
      </c>
      <c r="BU162" s="1108">
        <f t="shared" si="183"/>
        <v>4.0259740259740218E-2</v>
      </c>
      <c r="BV162" s="990">
        <f t="shared" ref="BV162:CG162" si="184">BV161/BR161-1</f>
        <v>3.5714285714285809E-2</v>
      </c>
      <c r="BW162" s="988">
        <f t="shared" si="184"/>
        <v>3.8308880308880244E-2</v>
      </c>
      <c r="BX162" s="988">
        <f t="shared" si="184"/>
        <v>4.8667093469910494E-2</v>
      </c>
      <c r="BY162" s="988">
        <f t="shared" si="184"/>
        <v>2.8128589263420656E-2</v>
      </c>
      <c r="BZ162" s="990">
        <f t="shared" si="184"/>
        <v>5.3460591133005497E-3</v>
      </c>
      <c r="CA162" s="988">
        <f t="shared" si="184"/>
        <v>4.7448702597781001E-3</v>
      </c>
      <c r="CB162" s="988">
        <f t="shared" si="184"/>
        <v>-0.13603513514503507</v>
      </c>
      <c r="CC162" s="988">
        <f t="shared" si="184"/>
        <v>-0.20068825581550653</v>
      </c>
      <c r="CD162" s="990">
        <f t="shared" si="184"/>
        <v>-0.12040924074620774</v>
      </c>
      <c r="CE162" s="988">
        <f t="shared" si="184"/>
        <v>-9.0105527551400666E-2</v>
      </c>
      <c r="CF162" s="988">
        <f t="shared" si="184"/>
        <v>7.4654286703552009E-2</v>
      </c>
      <c r="CG162" s="988">
        <f t="shared" si="184"/>
        <v>0.27312543106198461</v>
      </c>
      <c r="CH162" s="990">
        <f>CH161/CD161-1</f>
        <v>0.28404029825387234</v>
      </c>
      <c r="CI162" s="988">
        <f>CI161/CE161-1</f>
        <v>0.33142613093260853</v>
      </c>
      <c r="CJ162" s="988">
        <f>CJ161/CF161-1</f>
        <v>0.37292548854580376</v>
      </c>
      <c r="CK162" s="988">
        <f>CK161/CG161-1</f>
        <v>0.29587313330429765</v>
      </c>
      <c r="CL162" s="990">
        <f>CL161/CH161-1</f>
        <v>0.17895878524945763</v>
      </c>
    </row>
    <row r="163" spans="1:90">
      <c r="A163" s="983" t="s">
        <v>776</v>
      </c>
      <c r="B163" s="983"/>
      <c r="C163" s="983"/>
      <c r="D163" s="983"/>
      <c r="E163" s="983"/>
      <c r="F163" s="983"/>
      <c r="G163" s="983"/>
      <c r="H163" s="983"/>
      <c r="I163" s="983"/>
      <c r="J163" s="983"/>
      <c r="K163" s="983"/>
      <c r="L163" s="983"/>
      <c r="M163" s="983"/>
      <c r="N163" s="984"/>
      <c r="O163" s="984">
        <f>O161-N161</f>
        <v>22.530999999999949</v>
      </c>
      <c r="P163" s="984">
        <f>P161-O161</f>
        <v>-165.27299999999991</v>
      </c>
      <c r="Q163" s="984">
        <f>Q161-P161</f>
        <v>179.78699999999992</v>
      </c>
      <c r="R163" s="1002">
        <f>R161-Q161</f>
        <v>247.95500000000004</v>
      </c>
      <c r="S163" s="984">
        <f>S161-R161</f>
        <v>-1086</v>
      </c>
      <c r="T163" s="949"/>
      <c r="U163" s="949"/>
      <c r="V163" s="949"/>
      <c r="W163" s="949"/>
      <c r="X163" s="947"/>
      <c r="Y163" s="947"/>
      <c r="Z163" s="947"/>
      <c r="AA163" s="984"/>
      <c r="AB163" s="984"/>
      <c r="AC163" s="984"/>
      <c r="AD163" s="984"/>
      <c r="AE163" s="984"/>
      <c r="AF163" s="984"/>
      <c r="AG163" s="984"/>
      <c r="AH163" s="984"/>
      <c r="AI163" s="984"/>
      <c r="AJ163" s="984"/>
      <c r="AK163" s="984"/>
      <c r="AL163" s="984"/>
      <c r="AM163" s="984"/>
      <c r="AN163" s="984"/>
      <c r="AO163" s="984"/>
      <c r="AP163" s="984"/>
      <c r="AQ163" s="984"/>
      <c r="AR163" s="984"/>
      <c r="AS163" s="984"/>
      <c r="AT163" s="984"/>
      <c r="AU163" s="984"/>
      <c r="AV163" s="984"/>
      <c r="AW163" s="984"/>
      <c r="AX163" s="984"/>
      <c r="AY163" s="984"/>
      <c r="AZ163" s="984"/>
      <c r="BA163" s="984"/>
      <c r="BB163" s="984"/>
      <c r="BC163" s="984"/>
      <c r="BD163" s="984"/>
      <c r="BE163" s="984"/>
      <c r="BF163" s="984"/>
      <c r="BG163" s="984"/>
      <c r="BH163" s="984"/>
      <c r="BI163" s="984"/>
      <c r="BJ163" s="984"/>
      <c r="BK163" s="984">
        <f t="shared" ref="BK163:BU163" si="185">BK161-BJ161</f>
        <v>-2</v>
      </c>
      <c r="BL163" s="984">
        <f t="shared" si="185"/>
        <v>-36</v>
      </c>
      <c r="BM163" s="984">
        <f t="shared" si="185"/>
        <v>-24</v>
      </c>
      <c r="BN163" s="984">
        <f t="shared" si="185"/>
        <v>-11</v>
      </c>
      <c r="BO163" s="984">
        <f t="shared" si="185"/>
        <v>1</v>
      </c>
      <c r="BP163" s="984">
        <f t="shared" si="185"/>
        <v>4</v>
      </c>
      <c r="BQ163" s="984">
        <f t="shared" si="185"/>
        <v>22</v>
      </c>
      <c r="BR163" s="938">
        <f t="shared" si="185"/>
        <v>14</v>
      </c>
      <c r="BS163" s="984">
        <f t="shared" si="185"/>
        <v>-7</v>
      </c>
      <c r="BT163" s="984">
        <f t="shared" si="185"/>
        <v>4</v>
      </c>
      <c r="BU163" s="984">
        <f t="shared" si="185"/>
        <v>20</v>
      </c>
      <c r="BV163" s="986">
        <f t="shared" ref="BV163:CL163" si="186">BV161-BU161</f>
        <v>11</v>
      </c>
      <c r="BW163" s="984">
        <f t="shared" si="186"/>
        <v>-5.2340000000000373</v>
      </c>
      <c r="BX163" s="984">
        <f t="shared" si="186"/>
        <v>12.243000000000052</v>
      </c>
      <c r="BY163" s="984">
        <f t="shared" si="186"/>
        <v>4.5219999999999345</v>
      </c>
      <c r="BZ163" s="986">
        <f t="shared" si="186"/>
        <v>-7.1899999999999409</v>
      </c>
      <c r="CA163" s="984">
        <f t="shared" si="186"/>
        <v>-5.7469999999999573</v>
      </c>
      <c r="CB163" s="984">
        <f t="shared" si="186"/>
        <v>-102.99900000000002</v>
      </c>
      <c r="CC163" s="984">
        <f t="shared" si="186"/>
        <v>-49.336999999999989</v>
      </c>
      <c r="CD163" s="986">
        <f t="shared" si="186"/>
        <v>59.788000000000011</v>
      </c>
      <c r="CE163" s="984">
        <f t="shared" si="186"/>
        <v>19.508999999999901</v>
      </c>
      <c r="CF163" s="984">
        <f t="shared" si="186"/>
        <v>22.865000000000009</v>
      </c>
      <c r="CG163" s="984">
        <f t="shared" si="186"/>
        <v>77.625</v>
      </c>
      <c r="CH163" s="986">
        <f t="shared" si="186"/>
        <v>83.955000000000041</v>
      </c>
      <c r="CI163" s="984">
        <f t="shared" si="186"/>
        <v>60</v>
      </c>
      <c r="CJ163" s="984">
        <f t="shared" si="186"/>
        <v>62</v>
      </c>
      <c r="CK163" s="984">
        <f t="shared" si="186"/>
        <v>42</v>
      </c>
      <c r="CL163" s="986">
        <f t="shared" si="186"/>
        <v>1</v>
      </c>
    </row>
    <row r="164" spans="1:90">
      <c r="A164" s="1049" t="s">
        <v>102</v>
      </c>
      <c r="B164" s="1102"/>
      <c r="C164" s="1102"/>
      <c r="D164" s="1102"/>
      <c r="E164" s="1102"/>
      <c r="F164" s="1102"/>
      <c r="G164" s="1102"/>
      <c r="H164" s="1102"/>
      <c r="I164" s="1102"/>
      <c r="J164" s="1102"/>
      <c r="K164" s="1102"/>
      <c r="L164" s="1102"/>
      <c r="M164" s="1102"/>
      <c r="N164" s="153">
        <f t="shared" ref="N164:S164" si="187">SUM(N151,N158,N161)</f>
        <v>3350</v>
      </c>
      <c r="O164" s="153">
        <f t="shared" si="187"/>
        <v>3888.5309999999999</v>
      </c>
      <c r="P164" s="916">
        <f t="shared" si="187"/>
        <v>4124.2579999999998</v>
      </c>
      <c r="Q164" s="916">
        <f t="shared" si="187"/>
        <v>4590.0450000000001</v>
      </c>
      <c r="R164" s="1075">
        <f t="shared" si="187"/>
        <v>5008</v>
      </c>
      <c r="S164" s="767">
        <f t="shared" si="187"/>
        <v>0</v>
      </c>
      <c r="T164" s="949"/>
      <c r="U164" s="949"/>
      <c r="V164" s="949"/>
      <c r="W164" s="949"/>
      <c r="X164" s="947"/>
      <c r="Y164" s="947"/>
      <c r="Z164" s="947"/>
      <c r="AA164" s="153"/>
      <c r="AB164" s="153"/>
      <c r="AC164" s="153"/>
      <c r="AD164" s="153"/>
      <c r="AE164" s="153"/>
      <c r="AF164" s="153"/>
      <c r="AG164" s="153"/>
      <c r="AH164" s="153"/>
      <c r="AI164" s="153"/>
      <c r="AJ164" s="153"/>
      <c r="AK164" s="153"/>
      <c r="AL164" s="153"/>
      <c r="AM164" s="153"/>
      <c r="AN164" s="153"/>
      <c r="AO164" s="153"/>
      <c r="AP164" s="153"/>
      <c r="AQ164" s="153"/>
      <c r="AR164" s="153"/>
      <c r="AS164" s="153"/>
      <c r="AT164" s="153"/>
      <c r="AU164" s="153"/>
      <c r="AV164" s="153"/>
      <c r="AW164" s="153"/>
      <c r="AX164" s="153"/>
      <c r="AY164" s="153"/>
      <c r="AZ164" s="153"/>
      <c r="BA164" s="153"/>
      <c r="BB164" s="153"/>
      <c r="BC164" s="153"/>
      <c r="BD164" s="153"/>
      <c r="BE164" s="153"/>
      <c r="BF164" s="153"/>
      <c r="BG164" s="153"/>
      <c r="BH164" s="153"/>
      <c r="BI164" s="153"/>
      <c r="BJ164" s="153"/>
      <c r="BK164" s="153"/>
      <c r="BL164" s="153"/>
      <c r="BM164" s="153"/>
      <c r="BN164" s="153"/>
      <c r="BO164" s="153"/>
      <c r="BP164" s="153"/>
      <c r="BQ164" s="153"/>
      <c r="BR164" s="154">
        <f t="shared" ref="BR164:CB164" si="188">SUM(BR151,BR158,BR161)</f>
        <v>2672</v>
      </c>
      <c r="BS164" s="153">
        <f t="shared" si="188"/>
        <v>2824</v>
      </c>
      <c r="BT164" s="153">
        <f t="shared" si="188"/>
        <v>3092</v>
      </c>
      <c r="BU164" s="153">
        <f t="shared" si="188"/>
        <v>3350</v>
      </c>
      <c r="BV164" s="154">
        <f t="shared" si="188"/>
        <v>3408</v>
      </c>
      <c r="BW164" s="153">
        <f t="shared" si="188"/>
        <v>3572.7660000000001</v>
      </c>
      <c r="BX164" s="153">
        <f t="shared" si="188"/>
        <v>3729.009</v>
      </c>
      <c r="BY164" s="153">
        <f t="shared" si="188"/>
        <v>3888.5309999999999</v>
      </c>
      <c r="BZ164" s="154">
        <f t="shared" si="188"/>
        <v>4028.3409999999999</v>
      </c>
      <c r="CA164" s="153">
        <f t="shared" si="188"/>
        <v>4080.5940000000001</v>
      </c>
      <c r="CB164" s="153">
        <f t="shared" si="188"/>
        <v>4062.5950000000003</v>
      </c>
      <c r="CC164" s="153">
        <f t="shared" ref="CC164:CI164" si="189">SUM(CC151,CC158,CC161)</f>
        <v>4124.2579999999998</v>
      </c>
      <c r="CD164" s="154">
        <f t="shared" si="189"/>
        <v>4265.0460000000003</v>
      </c>
      <c r="CE164" s="153">
        <f t="shared" si="189"/>
        <v>4335.5550000000003</v>
      </c>
      <c r="CF164" s="153">
        <f t="shared" si="189"/>
        <v>4430.42</v>
      </c>
      <c r="CG164" s="153">
        <f t="shared" si="189"/>
        <v>4590.0450000000001</v>
      </c>
      <c r="CH164" s="154">
        <f t="shared" si="189"/>
        <v>4730</v>
      </c>
      <c r="CI164" s="153">
        <f t="shared" si="189"/>
        <v>4792</v>
      </c>
      <c r="CJ164" s="153">
        <f>SUM(CJ151,CJ158,CJ161)</f>
        <v>4906</v>
      </c>
      <c r="CK164" s="153">
        <f>SUM(CK151,CK158,CK161)</f>
        <v>5008</v>
      </c>
      <c r="CL164" s="154">
        <f>SUM(CL151,CL158,CL161)</f>
        <v>5066</v>
      </c>
    </row>
    <row r="165" spans="1:90" ht="8.25" customHeight="1">
      <c r="A165" s="1049"/>
      <c r="B165" s="1102"/>
      <c r="C165" s="1102"/>
      <c r="D165" s="1102"/>
      <c r="E165" s="1102"/>
      <c r="F165" s="1102"/>
      <c r="G165" s="1102"/>
      <c r="H165" s="1102"/>
      <c r="I165" s="1102"/>
      <c r="J165" s="1102"/>
      <c r="K165" s="1102"/>
      <c r="L165" s="1102"/>
      <c r="M165" s="1102"/>
      <c r="N165" s="153"/>
      <c r="O165" s="153"/>
      <c r="P165" s="916"/>
      <c r="Q165" s="916"/>
      <c r="R165" s="1075"/>
      <c r="S165" s="767"/>
      <c r="T165" s="949"/>
      <c r="U165" s="949"/>
      <c r="V165" s="949"/>
      <c r="W165" s="949"/>
      <c r="X165" s="947"/>
      <c r="Y165" s="947"/>
      <c r="Z165" s="947"/>
      <c r="AA165" s="153"/>
      <c r="AB165" s="153"/>
      <c r="AC165" s="153"/>
      <c r="AD165" s="153"/>
      <c r="AE165" s="153"/>
      <c r="AF165" s="153"/>
      <c r="AG165" s="153"/>
      <c r="AH165" s="153"/>
      <c r="AI165" s="153"/>
      <c r="AJ165" s="153"/>
      <c r="AK165" s="153"/>
      <c r="AL165" s="153"/>
      <c r="AM165" s="153"/>
      <c r="AN165" s="153"/>
      <c r="AO165" s="153"/>
      <c r="AP165" s="153"/>
      <c r="AQ165" s="153"/>
      <c r="AR165" s="153"/>
      <c r="AS165" s="153"/>
      <c r="AT165" s="153"/>
      <c r="AU165" s="153"/>
      <c r="AV165" s="153"/>
      <c r="AW165" s="153"/>
      <c r="AX165" s="153"/>
      <c r="AY165" s="153"/>
      <c r="AZ165" s="153"/>
      <c r="BA165" s="153"/>
      <c r="BB165" s="153"/>
      <c r="BC165" s="153"/>
      <c r="BD165" s="153"/>
      <c r="BE165" s="153"/>
      <c r="BF165" s="153"/>
      <c r="BG165" s="153"/>
      <c r="BH165" s="153"/>
      <c r="BI165" s="153"/>
      <c r="BJ165" s="153"/>
      <c r="BK165" s="153"/>
      <c r="BL165" s="153"/>
      <c r="BM165" s="153"/>
      <c r="BN165" s="153"/>
      <c r="BO165" s="153"/>
      <c r="BP165" s="153"/>
      <c r="BQ165" s="153"/>
      <c r="BR165" s="154"/>
      <c r="BS165" s="153"/>
      <c r="BT165" s="153"/>
      <c r="BU165" s="153"/>
      <c r="BV165" s="154"/>
      <c r="BW165" s="153"/>
      <c r="BX165" s="153"/>
      <c r="BY165" s="153"/>
      <c r="BZ165" s="154"/>
      <c r="CA165" s="153"/>
      <c r="CB165" s="153"/>
      <c r="CC165" s="153"/>
      <c r="CD165" s="154"/>
      <c r="CE165" s="153"/>
      <c r="CF165" s="153"/>
      <c r="CG165" s="153"/>
      <c r="CH165" s="1109"/>
      <c r="CI165" s="1110"/>
      <c r="CJ165" s="1110"/>
      <c r="CK165" s="1110"/>
      <c r="CL165" s="1109"/>
    </row>
    <row r="166" spans="1:90">
      <c r="A166" s="1049" t="s">
        <v>103</v>
      </c>
      <c r="B166" s="1049"/>
      <c r="C166" s="1049"/>
      <c r="D166" s="1049"/>
      <c r="E166" s="1049"/>
      <c r="F166" s="1049"/>
      <c r="G166" s="1049"/>
      <c r="H166" s="1049"/>
      <c r="I166" s="1049"/>
      <c r="J166" s="1049"/>
      <c r="K166" s="1049"/>
      <c r="L166" s="1049"/>
      <c r="M166" s="1049"/>
      <c r="N166" s="153">
        <f t="shared" ref="N166:S166" si="190">SUM(N164,N147)</f>
        <v>12779.994999999999</v>
      </c>
      <c r="O166" s="153">
        <f t="shared" si="190"/>
        <v>12605.530999999999</v>
      </c>
      <c r="P166" s="916">
        <f t="shared" si="190"/>
        <v>11931.258</v>
      </c>
      <c r="Q166" s="916">
        <f t="shared" si="190"/>
        <v>11455.045</v>
      </c>
      <c r="R166" s="1075">
        <f t="shared" si="190"/>
        <v>11046</v>
      </c>
      <c r="S166" s="767">
        <f t="shared" si="190"/>
        <v>0</v>
      </c>
      <c r="T166" s="949"/>
      <c r="U166" s="949"/>
      <c r="V166" s="949"/>
      <c r="W166" s="949"/>
      <c r="X166" s="947"/>
      <c r="Y166" s="947"/>
      <c r="Z166" s="947"/>
      <c r="AA166" s="153"/>
      <c r="AB166" s="153"/>
      <c r="AC166" s="153"/>
      <c r="AD166" s="153"/>
      <c r="AE166" s="153"/>
      <c r="AF166" s="153"/>
      <c r="AG166" s="153"/>
      <c r="AH166" s="153"/>
      <c r="AI166" s="153"/>
      <c r="AJ166" s="153"/>
      <c r="AK166" s="153"/>
      <c r="AL166" s="153"/>
      <c r="AM166" s="153"/>
      <c r="AN166" s="153"/>
      <c r="AO166" s="153"/>
      <c r="AP166" s="153"/>
      <c r="AQ166" s="153"/>
      <c r="AR166" s="153"/>
      <c r="AS166" s="153"/>
      <c r="AT166" s="153"/>
      <c r="AU166" s="153"/>
      <c r="AV166" s="153"/>
      <c r="AW166" s="153"/>
      <c r="AX166" s="153"/>
      <c r="AY166" s="153"/>
      <c r="AZ166" s="153"/>
      <c r="BA166" s="153"/>
      <c r="BB166" s="153"/>
      <c r="BC166" s="153"/>
      <c r="BD166" s="153"/>
      <c r="BE166" s="153"/>
      <c r="BF166" s="153"/>
      <c r="BG166" s="153"/>
      <c r="BH166" s="153"/>
      <c r="BI166" s="153"/>
      <c r="BJ166" s="153"/>
      <c r="BK166" s="153"/>
      <c r="BL166" s="153"/>
      <c r="BM166" s="153"/>
      <c r="BN166" s="153"/>
      <c r="BO166" s="153"/>
      <c r="BP166" s="153"/>
      <c r="BQ166" s="153"/>
      <c r="BR166" s="154">
        <f t="shared" ref="BR166:CB166" si="191">SUM(BR164,BR147)</f>
        <v>12588.784</v>
      </c>
      <c r="BS166" s="153">
        <f t="shared" si="191"/>
        <v>12560.164000000001</v>
      </c>
      <c r="BT166" s="153">
        <f t="shared" si="191"/>
        <v>12662.59</v>
      </c>
      <c r="BU166" s="153">
        <f t="shared" si="191"/>
        <v>12779.994999999999</v>
      </c>
      <c r="BV166" s="154">
        <f t="shared" si="191"/>
        <v>12693</v>
      </c>
      <c r="BW166" s="153">
        <f t="shared" si="191"/>
        <v>12657.766</v>
      </c>
      <c r="BX166" s="153">
        <f t="shared" si="191"/>
        <v>12622.009</v>
      </c>
      <c r="BY166" s="153">
        <f t="shared" si="191"/>
        <v>12605.530999999999</v>
      </c>
      <c r="BZ166" s="154">
        <f t="shared" si="191"/>
        <v>12547.341</v>
      </c>
      <c r="CA166" s="153">
        <f t="shared" si="191"/>
        <v>12366.594000000001</v>
      </c>
      <c r="CB166" s="153">
        <f t="shared" si="191"/>
        <v>12101.595000000001</v>
      </c>
      <c r="CC166" s="153">
        <f t="shared" ref="CC166:CI166" si="192">SUM(CC164,CC147)</f>
        <v>11931.258</v>
      </c>
      <c r="CD166" s="154">
        <f t="shared" si="192"/>
        <v>11823.046</v>
      </c>
      <c r="CE166" s="153">
        <f t="shared" si="192"/>
        <v>11645.555</v>
      </c>
      <c r="CF166" s="153">
        <f t="shared" si="192"/>
        <v>11488.42</v>
      </c>
      <c r="CG166" s="153">
        <f t="shared" si="192"/>
        <v>11455.045</v>
      </c>
      <c r="CH166" s="154">
        <f t="shared" si="192"/>
        <v>11403</v>
      </c>
      <c r="CI166" s="153">
        <f t="shared" si="192"/>
        <v>11249</v>
      </c>
      <c r="CJ166" s="153">
        <f>SUM(CJ164,CJ147)</f>
        <v>11144</v>
      </c>
      <c r="CK166" s="153">
        <f>SUM(CK164,CK147)</f>
        <v>11046</v>
      </c>
      <c r="CL166" s="154">
        <f>SUM(CL164,CL147)</f>
        <v>10951.941953698475</v>
      </c>
    </row>
    <row r="167" spans="1:90">
      <c r="A167" s="976" t="s">
        <v>104</v>
      </c>
      <c r="B167" s="977"/>
      <c r="C167" s="977"/>
      <c r="D167" s="977"/>
      <c r="E167" s="977"/>
      <c r="F167" s="977"/>
      <c r="G167" s="977"/>
      <c r="H167" s="977"/>
      <c r="I167" s="977"/>
      <c r="J167" s="977"/>
      <c r="K167" s="977"/>
      <c r="L167" s="977"/>
      <c r="M167" s="977"/>
      <c r="N167" s="977"/>
      <c r="O167" s="977"/>
      <c r="P167" s="978"/>
      <c r="Q167" s="978"/>
      <c r="R167" s="979"/>
      <c r="S167" s="977"/>
      <c r="T167" s="949"/>
      <c r="U167" s="949"/>
      <c r="V167" s="949"/>
      <c r="W167" s="949"/>
      <c r="X167" s="947"/>
      <c r="Y167" s="947"/>
      <c r="Z167" s="947"/>
      <c r="AA167" s="977"/>
      <c r="AB167" s="977"/>
      <c r="AC167" s="977"/>
      <c r="AD167" s="977"/>
      <c r="AE167" s="977"/>
      <c r="AF167" s="977"/>
      <c r="AG167" s="977"/>
      <c r="AH167" s="977"/>
      <c r="AI167" s="977"/>
      <c r="AJ167" s="977"/>
      <c r="AK167" s="977"/>
      <c r="AL167" s="977"/>
      <c r="AM167" s="977"/>
      <c r="AN167" s="977"/>
      <c r="AO167" s="977"/>
      <c r="AP167" s="977"/>
      <c r="AQ167" s="977"/>
      <c r="AR167" s="977"/>
      <c r="AS167" s="977"/>
      <c r="AT167" s="977"/>
      <c r="AU167" s="977"/>
      <c r="AV167" s="977"/>
      <c r="AW167" s="977"/>
      <c r="AX167" s="977"/>
      <c r="AY167" s="977"/>
      <c r="AZ167" s="977"/>
      <c r="BA167" s="977"/>
      <c r="BB167" s="977"/>
      <c r="BC167" s="977"/>
      <c r="BD167" s="977"/>
      <c r="BE167" s="977"/>
      <c r="BF167" s="977"/>
      <c r="BG167" s="977"/>
      <c r="BH167" s="977"/>
      <c r="BI167" s="977"/>
      <c r="BJ167" s="977"/>
      <c r="BK167" s="977"/>
      <c r="BL167" s="977"/>
      <c r="BM167" s="977"/>
      <c r="BN167" s="977"/>
      <c r="BO167" s="977"/>
      <c r="BP167" s="977"/>
      <c r="BQ167" s="977"/>
      <c r="BR167" s="980" t="s">
        <v>36</v>
      </c>
      <c r="BS167" s="977"/>
      <c r="BT167" s="977"/>
      <c r="BU167" s="977"/>
      <c r="BV167" s="981"/>
      <c r="BW167" s="977"/>
      <c r="BX167" s="977"/>
      <c r="BY167" s="977"/>
      <c r="BZ167" s="981"/>
      <c r="CA167" s="977"/>
      <c r="CB167" s="977"/>
      <c r="CC167" s="977"/>
      <c r="CD167" s="981"/>
      <c r="CE167" s="977"/>
      <c r="CF167" s="977"/>
      <c r="CG167" s="977"/>
      <c r="CH167" s="981"/>
      <c r="CI167" s="977"/>
      <c r="CJ167" s="977"/>
      <c r="CK167" s="977"/>
      <c r="CL167" s="981"/>
    </row>
    <row r="168" spans="1:90">
      <c r="A168" s="1047" t="s">
        <v>658</v>
      </c>
      <c r="B168" s="1048"/>
      <c r="C168" s="1048"/>
      <c r="D168" s="1048"/>
      <c r="E168" s="1048"/>
      <c r="F168" s="1048"/>
      <c r="G168" s="1048"/>
      <c r="H168" s="1048"/>
      <c r="I168" s="1048"/>
      <c r="J168" s="1048"/>
      <c r="K168" s="1048"/>
      <c r="L168" s="1048"/>
      <c r="M168" s="1048"/>
      <c r="N168" s="984">
        <f>SUM(BR168:BU168)</f>
        <v>1629</v>
      </c>
      <c r="O168" s="984">
        <f>SUM(BV168:BY168)</f>
        <v>2197</v>
      </c>
      <c r="P168" s="948">
        <f>SUM(BZ168:CC168)</f>
        <v>2058</v>
      </c>
      <c r="Q168" s="948">
        <f>SUM(CD168:CG168)</f>
        <v>1887</v>
      </c>
      <c r="R168" s="985">
        <f>SUM(CH168:CK168)</f>
        <v>1717</v>
      </c>
      <c r="S168" s="984">
        <f>SUM(CL168:CO168)</f>
        <v>400</v>
      </c>
      <c r="T168" s="949"/>
      <c r="U168" s="949"/>
      <c r="V168" s="949"/>
      <c r="W168" s="949"/>
      <c r="X168" s="947"/>
      <c r="Y168" s="947"/>
      <c r="Z168" s="947"/>
      <c r="AA168" s="984"/>
      <c r="AB168" s="984"/>
      <c r="AC168" s="984"/>
      <c r="AD168" s="984"/>
      <c r="AE168" s="984"/>
      <c r="AF168" s="984"/>
      <c r="AG168" s="984"/>
      <c r="AH168" s="984"/>
      <c r="AI168" s="984"/>
      <c r="AJ168" s="984"/>
      <c r="AK168" s="984"/>
      <c r="AL168" s="984"/>
      <c r="AM168" s="984"/>
      <c r="AN168" s="984"/>
      <c r="AO168" s="984"/>
      <c r="AP168" s="984"/>
      <c r="AQ168" s="984"/>
      <c r="AR168" s="984"/>
      <c r="AS168" s="984"/>
      <c r="AT168" s="984"/>
      <c r="AU168" s="984"/>
      <c r="AV168" s="984"/>
      <c r="AW168" s="984"/>
      <c r="AX168" s="984"/>
      <c r="AY168" s="984"/>
      <c r="AZ168" s="984"/>
      <c r="BA168" s="984"/>
      <c r="BB168" s="984"/>
      <c r="BC168" s="984"/>
      <c r="BD168" s="984"/>
      <c r="BE168" s="984"/>
      <c r="BF168" s="984"/>
      <c r="BG168" s="984"/>
      <c r="BH168" s="984"/>
      <c r="BI168" s="984"/>
      <c r="BJ168" s="984"/>
      <c r="BK168" s="984"/>
      <c r="BL168" s="984"/>
      <c r="BM168" s="984"/>
      <c r="BN168" s="984"/>
      <c r="BO168" s="984"/>
      <c r="BP168" s="984"/>
      <c r="BQ168" s="984"/>
      <c r="BR168" s="938">
        <v>420</v>
      </c>
      <c r="BS168" s="347">
        <v>408</v>
      </c>
      <c r="BT168" s="347">
        <v>406</v>
      </c>
      <c r="BU168" s="347">
        <v>395</v>
      </c>
      <c r="BV168" s="938">
        <v>563</v>
      </c>
      <c r="BW168" s="347">
        <v>555</v>
      </c>
      <c r="BX168" s="347">
        <v>544</v>
      </c>
      <c r="BY168" s="347">
        <v>535</v>
      </c>
      <c r="BZ168" s="938">
        <v>533</v>
      </c>
      <c r="CA168" s="347">
        <v>521</v>
      </c>
      <c r="CB168" s="347">
        <v>510</v>
      </c>
      <c r="CC168" s="347">
        <v>494</v>
      </c>
      <c r="CD168" s="938">
        <v>492</v>
      </c>
      <c r="CE168" s="347">
        <v>478</v>
      </c>
      <c r="CF168" s="347">
        <v>464</v>
      </c>
      <c r="CG168" s="347">
        <v>453</v>
      </c>
      <c r="CH168" s="938">
        <v>440</v>
      </c>
      <c r="CI168" s="347">
        <v>434</v>
      </c>
      <c r="CJ168" s="347">
        <v>430</v>
      </c>
      <c r="CK168" s="347">
        <v>413</v>
      </c>
      <c r="CL168" s="938">
        <v>400</v>
      </c>
    </row>
    <row r="169" spans="1:90">
      <c r="A169" s="983" t="s">
        <v>34</v>
      </c>
      <c r="B169" s="983"/>
      <c r="C169" s="983"/>
      <c r="D169" s="983"/>
      <c r="E169" s="983"/>
      <c r="F169" s="983"/>
      <c r="G169" s="983"/>
      <c r="H169" s="983"/>
      <c r="I169" s="983"/>
      <c r="J169" s="983"/>
      <c r="K169" s="983"/>
      <c r="L169" s="983"/>
      <c r="M169" s="983"/>
      <c r="N169" s="984"/>
      <c r="O169" s="988">
        <f>O168/N168-1</f>
        <v>0.34868017188459177</v>
      </c>
      <c r="P169" s="988">
        <f>P168/O168-1</f>
        <v>-6.3268092853891678E-2</v>
      </c>
      <c r="Q169" s="988">
        <f>Q168/P168-1</f>
        <v>-8.3090379008746384E-2</v>
      </c>
      <c r="R169" s="989">
        <f>R168/Q168-1</f>
        <v>-9.0090090090090058E-2</v>
      </c>
      <c r="S169" s="988">
        <f>S168/R168-1</f>
        <v>-0.76703552708211997</v>
      </c>
      <c r="T169" s="949"/>
      <c r="U169" s="949"/>
      <c r="V169" s="949"/>
      <c r="W169" s="949"/>
      <c r="X169" s="947"/>
      <c r="Y169" s="947"/>
      <c r="Z169" s="947"/>
      <c r="AA169" s="984"/>
      <c r="AB169" s="984"/>
      <c r="AC169" s="984"/>
      <c r="AD169" s="984"/>
      <c r="AE169" s="984"/>
      <c r="AF169" s="984"/>
      <c r="AG169" s="984"/>
      <c r="AH169" s="984"/>
      <c r="AI169" s="984"/>
      <c r="AJ169" s="984"/>
      <c r="AK169" s="984"/>
      <c r="AL169" s="984"/>
      <c r="AM169" s="984"/>
      <c r="AN169" s="984"/>
      <c r="AO169" s="984"/>
      <c r="AP169" s="984"/>
      <c r="AQ169" s="984"/>
      <c r="AR169" s="984"/>
      <c r="AS169" s="984"/>
      <c r="AT169" s="984"/>
      <c r="AU169" s="984"/>
      <c r="AV169" s="984"/>
      <c r="AW169" s="984"/>
      <c r="AX169" s="984"/>
      <c r="AY169" s="984"/>
      <c r="AZ169" s="984"/>
      <c r="BA169" s="984"/>
      <c r="BB169" s="984"/>
      <c r="BC169" s="984"/>
      <c r="BD169" s="984"/>
      <c r="BE169" s="984"/>
      <c r="BF169" s="984"/>
      <c r="BG169" s="984"/>
      <c r="BH169" s="984"/>
      <c r="BI169" s="984"/>
      <c r="BJ169" s="984"/>
      <c r="BK169" s="984"/>
      <c r="BL169" s="984"/>
      <c r="BM169" s="984"/>
      <c r="BN169" s="984"/>
      <c r="BO169" s="984"/>
      <c r="BP169" s="984"/>
      <c r="BQ169" s="984"/>
      <c r="BR169" s="938"/>
      <c r="BS169" s="347"/>
      <c r="BT169" s="347"/>
      <c r="BU169" s="347"/>
      <c r="BV169" s="990"/>
      <c r="BW169" s="988"/>
      <c r="BX169" s="988"/>
      <c r="BY169" s="988"/>
      <c r="BZ169" s="990">
        <f>BZ168/BV168-1</f>
        <v>-5.3285968028419228E-2</v>
      </c>
      <c r="CA169" s="988">
        <f>CA168/BW168-1</f>
        <v>-6.1261261261261302E-2</v>
      </c>
      <c r="CB169" s="988">
        <f>CB168/BX168-1</f>
        <v>-6.25E-2</v>
      </c>
      <c r="CC169" s="988">
        <f>CC168/BY168-1</f>
        <v>-7.6635514018691619E-2</v>
      </c>
      <c r="CD169" s="990">
        <f t="shared" ref="CD169:CL169" si="193">CD168/BZ168-1</f>
        <v>-7.6923076923076872E-2</v>
      </c>
      <c r="CE169" s="988">
        <f t="shared" si="193"/>
        <v>-8.2533589251439499E-2</v>
      </c>
      <c r="CF169" s="988">
        <f t="shared" si="193"/>
        <v>-9.0196078431372562E-2</v>
      </c>
      <c r="CG169" s="988">
        <f t="shared" si="193"/>
        <v>-8.2995951417003999E-2</v>
      </c>
      <c r="CH169" s="990">
        <f t="shared" si="193"/>
        <v>-0.10569105691056913</v>
      </c>
      <c r="CI169" s="988">
        <f t="shared" si="193"/>
        <v>-9.2050209205020939E-2</v>
      </c>
      <c r="CJ169" s="988">
        <f t="shared" si="193"/>
        <v>-7.3275862068965525E-2</v>
      </c>
      <c r="CK169" s="988">
        <f t="shared" si="193"/>
        <v>-8.8300220750551883E-2</v>
      </c>
      <c r="CL169" s="990">
        <f t="shared" si="193"/>
        <v>-9.0909090909090939E-2</v>
      </c>
    </row>
    <row r="170" spans="1:90">
      <c r="A170" s="1048" t="s">
        <v>77</v>
      </c>
      <c r="B170" s="1049"/>
      <c r="C170" s="1049"/>
      <c r="D170" s="1049"/>
      <c r="E170" s="1049"/>
      <c r="F170" s="1049"/>
      <c r="G170" s="1049"/>
      <c r="H170" s="1049"/>
      <c r="I170" s="1049"/>
      <c r="J170" s="1049"/>
      <c r="K170" s="1049"/>
      <c r="L170" s="1049"/>
      <c r="M170" s="1049"/>
      <c r="N170" s="1050">
        <f t="shared" ref="N170:S170" si="194">N168/AVERAGE(M193:N193)/12*1000</f>
        <v>47.299651567944252</v>
      </c>
      <c r="O170" s="1050">
        <f t="shared" si="194"/>
        <v>71.656881930854539</v>
      </c>
      <c r="P170" s="1051">
        <f t="shared" si="194"/>
        <v>78.203374373005019</v>
      </c>
      <c r="Q170" s="1051">
        <f t="shared" si="194"/>
        <v>75.801397927211369</v>
      </c>
      <c r="R170" s="1052">
        <f t="shared" si="194"/>
        <v>73.849462365591393</v>
      </c>
      <c r="S170" s="1020">
        <f t="shared" si="194"/>
        <v>35.612535612535616</v>
      </c>
      <c r="T170" s="949"/>
      <c r="U170" s="949"/>
      <c r="V170" s="949"/>
      <c r="W170" s="949"/>
      <c r="X170" s="947"/>
      <c r="Y170" s="947"/>
      <c r="Z170" s="947"/>
      <c r="AA170" s="153"/>
      <c r="AB170" s="153"/>
      <c r="AC170" s="153"/>
      <c r="AD170" s="153"/>
      <c r="AE170" s="153"/>
      <c r="AF170" s="153"/>
      <c r="AG170" s="153"/>
      <c r="AH170" s="153"/>
      <c r="AI170" s="153"/>
      <c r="AJ170" s="153"/>
      <c r="AK170" s="153"/>
      <c r="AL170" s="153"/>
      <c r="AM170" s="153"/>
      <c r="AN170" s="153"/>
      <c r="AO170" s="153"/>
      <c r="AP170" s="153"/>
      <c r="AQ170" s="153"/>
      <c r="AR170" s="153"/>
      <c r="AS170" s="153"/>
      <c r="AT170" s="153"/>
      <c r="AU170" s="153"/>
      <c r="AV170" s="153"/>
      <c r="AW170" s="153"/>
      <c r="AX170" s="153"/>
      <c r="AY170" s="153"/>
      <c r="AZ170" s="153"/>
      <c r="BA170" s="153"/>
      <c r="BB170" s="153"/>
      <c r="BC170" s="153"/>
      <c r="BD170" s="153"/>
      <c r="BE170" s="153"/>
      <c r="BF170" s="153"/>
      <c r="BG170" s="153"/>
      <c r="BH170" s="153"/>
      <c r="BI170" s="153"/>
      <c r="BJ170" s="153"/>
      <c r="BK170" s="153"/>
      <c r="BL170" s="153"/>
      <c r="BM170" s="153"/>
      <c r="BN170" s="153"/>
      <c r="BO170" s="153"/>
      <c r="BP170" s="153"/>
      <c r="BQ170" s="153"/>
      <c r="BR170" s="154"/>
      <c r="BS170" s="1051">
        <f t="shared" ref="BS170:CJ170" si="195">BS168/AVERAGE(BR193:BS193)/3*1000</f>
        <v>46.227056424201223</v>
      </c>
      <c r="BT170" s="1051">
        <f t="shared" si="195"/>
        <v>46.466380543633761</v>
      </c>
      <c r="BU170" s="1051">
        <f t="shared" si="195"/>
        <v>45.622545622545623</v>
      </c>
      <c r="BV170" s="1053">
        <f t="shared" si="195"/>
        <v>72.894413154657855</v>
      </c>
      <c r="BW170" s="1051">
        <f t="shared" si="195"/>
        <v>81.461911052399813</v>
      </c>
      <c r="BX170" s="1051">
        <f t="shared" si="195"/>
        <v>80.378250591016538</v>
      </c>
      <c r="BY170" s="1051">
        <f t="shared" si="195"/>
        <v>79.453478874285295</v>
      </c>
      <c r="BZ170" s="1053">
        <f>BZ168/AVERAGE(BY193:BZ193)/3*1000</f>
        <v>79.581933557297489</v>
      </c>
      <c r="CA170" s="1051">
        <f t="shared" si="195"/>
        <v>78.404815650865302</v>
      </c>
      <c r="CB170" s="1051">
        <f t="shared" si="195"/>
        <v>77.360637087599542</v>
      </c>
      <c r="CC170" s="1051">
        <f t="shared" si="195"/>
        <v>75.953259532595325</v>
      </c>
      <c r="CD170" s="1053">
        <f t="shared" si="195"/>
        <v>77.212806026365342</v>
      </c>
      <c r="CE170" s="1051">
        <f t="shared" si="195"/>
        <v>76.437195170704413</v>
      </c>
      <c r="CF170" s="1051">
        <f t="shared" si="195"/>
        <v>75.391989601104882</v>
      </c>
      <c r="CG170" s="1051">
        <f t="shared" si="195"/>
        <v>74.770982916563511</v>
      </c>
      <c r="CH170" s="1053">
        <f t="shared" si="195"/>
        <v>73.850285330647878</v>
      </c>
      <c r="CI170" s="1051">
        <f t="shared" si="195"/>
        <v>73.97937441404585</v>
      </c>
      <c r="CJ170" s="1051">
        <f t="shared" si="195"/>
        <v>74.362300043233901</v>
      </c>
      <c r="CK170" s="1054">
        <f ca="1">CG170*(1+CK171)</f>
        <v>73.749774950726689</v>
      </c>
      <c r="CL170" s="1022">
        <f ca="1">CH170*(1+CL171)</f>
        <v>72.841652078586222</v>
      </c>
    </row>
    <row r="171" spans="1:90">
      <c r="A171" s="983" t="s">
        <v>34</v>
      </c>
      <c r="B171" s="983"/>
      <c r="C171" s="983"/>
      <c r="D171" s="983"/>
      <c r="E171" s="983"/>
      <c r="F171" s="983"/>
      <c r="G171" s="983"/>
      <c r="H171" s="983"/>
      <c r="I171" s="983"/>
      <c r="J171" s="983"/>
      <c r="K171" s="983"/>
      <c r="L171" s="983"/>
      <c r="M171" s="983"/>
      <c r="N171" s="984"/>
      <c r="O171" s="988">
        <f>O170/N170-1</f>
        <v>0.51495580951419906</v>
      </c>
      <c r="P171" s="988">
        <f>P170/O170-1</f>
        <v>9.13588795067517E-2</v>
      </c>
      <c r="Q171" s="988">
        <f>Q170/P170-1</f>
        <v>-3.0714485980323447E-2</v>
      </c>
      <c r="R171" s="989">
        <f>R170/Q170-1</f>
        <v>-2.5750653879686114E-2</v>
      </c>
      <c r="S171" s="988">
        <f>S170/R170-1</f>
        <v>-0.51776851893334119</v>
      </c>
      <c r="T171" s="949"/>
      <c r="U171" s="949"/>
      <c r="V171" s="949"/>
      <c r="W171" s="949"/>
      <c r="X171" s="947"/>
      <c r="Y171" s="947"/>
      <c r="Z171" s="947"/>
      <c r="AA171" s="984"/>
      <c r="AB171" s="984"/>
      <c r="AC171" s="984"/>
      <c r="AD171" s="984"/>
      <c r="AE171" s="984"/>
      <c r="AF171" s="984"/>
      <c r="AG171" s="984"/>
      <c r="AH171" s="984"/>
      <c r="AI171" s="984"/>
      <c r="AJ171" s="984"/>
      <c r="AK171" s="984"/>
      <c r="AL171" s="984"/>
      <c r="AM171" s="984"/>
      <c r="AN171" s="984"/>
      <c r="AO171" s="984"/>
      <c r="AP171" s="984"/>
      <c r="AQ171" s="984"/>
      <c r="AR171" s="984"/>
      <c r="AS171" s="984"/>
      <c r="AT171" s="984"/>
      <c r="AU171" s="984"/>
      <c r="AV171" s="984"/>
      <c r="AW171" s="984"/>
      <c r="AX171" s="984"/>
      <c r="AY171" s="984"/>
      <c r="AZ171" s="984"/>
      <c r="BA171" s="984"/>
      <c r="BB171" s="984"/>
      <c r="BC171" s="984"/>
      <c r="BD171" s="984"/>
      <c r="BE171" s="984"/>
      <c r="BF171" s="984"/>
      <c r="BG171" s="984"/>
      <c r="BH171" s="984"/>
      <c r="BI171" s="984"/>
      <c r="BJ171" s="984"/>
      <c r="BK171" s="984"/>
      <c r="BL171" s="984"/>
      <c r="BM171" s="984"/>
      <c r="BN171" s="984"/>
      <c r="BO171" s="984"/>
      <c r="BP171" s="984"/>
      <c r="BQ171" s="984"/>
      <c r="BR171" s="938"/>
      <c r="BS171" s="984"/>
      <c r="BT171" s="984"/>
      <c r="BU171" s="984"/>
      <c r="BV171" s="990"/>
      <c r="BW171" s="988"/>
      <c r="BX171" s="988"/>
      <c r="BY171" s="988"/>
      <c r="BZ171" s="990">
        <f t="shared" ref="BZ171:CG171" si="196">BZ170/BV170-1</f>
        <v>9.1742564528929371E-2</v>
      </c>
      <c r="CA171" s="988">
        <f t="shared" si="196"/>
        <v>-3.7527911658837176E-2</v>
      </c>
      <c r="CB171" s="988">
        <f t="shared" si="196"/>
        <v>-3.7542662116040848E-2</v>
      </c>
      <c r="CC171" s="988">
        <f t="shared" si="196"/>
        <v>-4.4053695209849364E-2</v>
      </c>
      <c r="CD171" s="990">
        <f t="shared" si="196"/>
        <v>-2.9769665362885611E-2</v>
      </c>
      <c r="CE171" s="988">
        <f t="shared" si="196"/>
        <v>-2.5095658523357267E-2</v>
      </c>
      <c r="CF171" s="988">
        <f t="shared" si="196"/>
        <v>-2.5447663832776524E-2</v>
      </c>
      <c r="CG171" s="988">
        <f t="shared" si="196"/>
        <v>-1.5565844353584879E-2</v>
      </c>
      <c r="CH171" s="990">
        <f>CH170/CD170-1</f>
        <v>-4.3548743644535981E-2</v>
      </c>
      <c r="CI171" s="988">
        <f>CI170/CE170-1</f>
        <v>-3.2154774271473507E-2</v>
      </c>
      <c r="CJ171" s="988">
        <f>CJ170/CF170-1</f>
        <v>-1.3657811172234857E-2</v>
      </c>
      <c r="CK171" s="988">
        <f ca="1">CK170/CG170-1</f>
        <v>-1.3657811172234857E-2</v>
      </c>
      <c r="CL171" s="990">
        <f ca="1">CL170/CH170-1</f>
        <v>-1.3657811172234857E-2</v>
      </c>
    </row>
    <row r="172" spans="1:90">
      <c r="A172" s="1047" t="s">
        <v>659</v>
      </c>
      <c r="B172" s="1048"/>
      <c r="C172" s="1048"/>
      <c r="D172" s="1048"/>
      <c r="E172" s="1048"/>
      <c r="F172" s="1048"/>
      <c r="G172" s="1048"/>
      <c r="H172" s="1048"/>
      <c r="I172" s="1048"/>
      <c r="J172" s="1048"/>
      <c r="K172" s="1048"/>
      <c r="L172" s="1048"/>
      <c r="M172" s="1048"/>
      <c r="N172" s="984">
        <f>SUM(BR172:BU172)</f>
        <v>2337</v>
      </c>
      <c r="O172" s="984">
        <f>SUM(BV172:BY172)</f>
        <v>1171</v>
      </c>
      <c r="P172" s="948">
        <f>SUM(BZ172:CC172)</f>
        <v>1401</v>
      </c>
      <c r="Q172" s="948">
        <f>SUM(CD172:CG172)</f>
        <v>1584</v>
      </c>
      <c r="R172" s="985">
        <f>SUM(CH172:CK172)</f>
        <v>1709</v>
      </c>
      <c r="S172" s="984">
        <f>SUM(CL172:CO172)</f>
        <v>439</v>
      </c>
      <c r="T172" s="949"/>
      <c r="U172" s="949"/>
      <c r="V172" s="949"/>
      <c r="W172" s="949"/>
      <c r="X172" s="947"/>
      <c r="Y172" s="947"/>
      <c r="Z172" s="947"/>
      <c r="AA172" s="984"/>
      <c r="AB172" s="984"/>
      <c r="AC172" s="984"/>
      <c r="AD172" s="984"/>
      <c r="AE172" s="984"/>
      <c r="AF172" s="984"/>
      <c r="AG172" s="984"/>
      <c r="AH172" s="984"/>
      <c r="AI172" s="984"/>
      <c r="AJ172" s="984"/>
      <c r="AK172" s="984"/>
      <c r="AL172" s="984"/>
      <c r="AM172" s="984"/>
      <c r="AN172" s="984"/>
      <c r="AO172" s="984"/>
      <c r="AP172" s="984"/>
      <c r="AQ172" s="984"/>
      <c r="AR172" s="984"/>
      <c r="AS172" s="984"/>
      <c r="AT172" s="984"/>
      <c r="AU172" s="984"/>
      <c r="AV172" s="984"/>
      <c r="AW172" s="984"/>
      <c r="AX172" s="984"/>
      <c r="AY172" s="984"/>
      <c r="AZ172" s="984"/>
      <c r="BA172" s="984"/>
      <c r="BB172" s="984"/>
      <c r="BC172" s="984"/>
      <c r="BD172" s="984"/>
      <c r="BE172" s="984"/>
      <c r="BF172" s="984"/>
      <c r="BG172" s="984"/>
      <c r="BH172" s="984"/>
      <c r="BI172" s="984"/>
      <c r="BJ172" s="984"/>
      <c r="BK172" s="984"/>
      <c r="BL172" s="984"/>
      <c r="BM172" s="984"/>
      <c r="BN172" s="984"/>
      <c r="BO172" s="984"/>
      <c r="BP172" s="984"/>
      <c r="BQ172" s="984"/>
      <c r="BR172" s="938">
        <v>583</v>
      </c>
      <c r="BS172" s="348">
        <v>581</v>
      </c>
      <c r="BT172" s="348">
        <v>580</v>
      </c>
      <c r="BU172" s="348">
        <v>593</v>
      </c>
      <c r="BV172" s="938">
        <v>274</v>
      </c>
      <c r="BW172" s="348">
        <v>284</v>
      </c>
      <c r="BX172" s="348">
        <v>298</v>
      </c>
      <c r="BY172" s="348">
        <v>315</v>
      </c>
      <c r="BZ172" s="938">
        <v>326</v>
      </c>
      <c r="CA172" s="347">
        <v>340</v>
      </c>
      <c r="CB172" s="347">
        <v>357</v>
      </c>
      <c r="CC172" s="347">
        <v>378</v>
      </c>
      <c r="CD172" s="938">
        <v>385</v>
      </c>
      <c r="CE172" s="347">
        <v>392</v>
      </c>
      <c r="CF172" s="347">
        <v>398</v>
      </c>
      <c r="CG172" s="347">
        <v>409</v>
      </c>
      <c r="CH172" s="938">
        <v>417</v>
      </c>
      <c r="CI172" s="347">
        <v>426</v>
      </c>
      <c r="CJ172" s="347">
        <v>432</v>
      </c>
      <c r="CK172" s="347">
        <v>434</v>
      </c>
      <c r="CL172" s="938">
        <v>439</v>
      </c>
    </row>
    <row r="173" spans="1:90">
      <c r="A173" s="983" t="s">
        <v>34</v>
      </c>
      <c r="B173" s="983"/>
      <c r="C173" s="983"/>
      <c r="D173" s="983"/>
      <c r="E173" s="983"/>
      <c r="F173" s="983"/>
      <c r="G173" s="983"/>
      <c r="H173" s="983"/>
      <c r="I173" s="983"/>
      <c r="J173" s="983"/>
      <c r="K173" s="983"/>
      <c r="L173" s="983"/>
      <c r="M173" s="983"/>
      <c r="N173" s="984"/>
      <c r="O173" s="988">
        <f>O172/N172-1</f>
        <v>-0.49893025246041933</v>
      </c>
      <c r="P173" s="988">
        <f>P172/O172-1</f>
        <v>0.19641332194705385</v>
      </c>
      <c r="Q173" s="988">
        <f>Q172/P172-1</f>
        <v>0.13062098501070674</v>
      </c>
      <c r="R173" s="989">
        <f>R172/Q172-1</f>
        <v>7.8914141414141437E-2</v>
      </c>
      <c r="S173" s="988">
        <f>S172/R172-1</f>
        <v>-0.74312463428905795</v>
      </c>
      <c r="T173" s="949"/>
      <c r="U173" s="949"/>
      <c r="V173" s="949"/>
      <c r="W173" s="949"/>
      <c r="X173" s="947"/>
      <c r="Y173" s="947"/>
      <c r="Z173" s="947"/>
      <c r="AA173" s="984"/>
      <c r="AB173" s="984"/>
      <c r="AC173" s="984"/>
      <c r="AD173" s="984"/>
      <c r="AE173" s="984"/>
      <c r="AF173" s="984"/>
      <c r="AG173" s="984"/>
      <c r="AH173" s="984"/>
      <c r="AI173" s="984"/>
      <c r="AJ173" s="984"/>
      <c r="AK173" s="984"/>
      <c r="AL173" s="984"/>
      <c r="AM173" s="984"/>
      <c r="AN173" s="984"/>
      <c r="AO173" s="984"/>
      <c r="AP173" s="984"/>
      <c r="AQ173" s="984"/>
      <c r="AR173" s="984"/>
      <c r="AS173" s="984"/>
      <c r="AT173" s="984"/>
      <c r="AU173" s="984"/>
      <c r="AV173" s="984"/>
      <c r="AW173" s="984"/>
      <c r="AX173" s="984"/>
      <c r="AY173" s="984"/>
      <c r="AZ173" s="984"/>
      <c r="BA173" s="984"/>
      <c r="BB173" s="984"/>
      <c r="BC173" s="984"/>
      <c r="BD173" s="984"/>
      <c r="BE173" s="984"/>
      <c r="BF173" s="984"/>
      <c r="BG173" s="984"/>
      <c r="BH173" s="984"/>
      <c r="BI173" s="984"/>
      <c r="BJ173" s="984"/>
      <c r="BK173" s="984"/>
      <c r="BL173" s="984"/>
      <c r="BM173" s="984"/>
      <c r="BN173" s="984"/>
      <c r="BO173" s="984"/>
      <c r="BP173" s="984"/>
      <c r="BQ173" s="984"/>
      <c r="BR173" s="938"/>
      <c r="BS173" s="984"/>
      <c r="BT173" s="984"/>
      <c r="BU173" s="984"/>
      <c r="BV173" s="990"/>
      <c r="BW173" s="988"/>
      <c r="BX173" s="988"/>
      <c r="BY173" s="988"/>
      <c r="BZ173" s="990">
        <f t="shared" ref="BZ173:CG173" si="197">BZ172/BV172-1</f>
        <v>0.18978102189781021</v>
      </c>
      <c r="CA173" s="988">
        <f t="shared" si="197"/>
        <v>0.19718309859154926</v>
      </c>
      <c r="CB173" s="988">
        <f t="shared" si="197"/>
        <v>0.19798657718120816</v>
      </c>
      <c r="CC173" s="988">
        <f t="shared" si="197"/>
        <v>0.19999999999999996</v>
      </c>
      <c r="CD173" s="990">
        <f t="shared" si="197"/>
        <v>0.18098159509202461</v>
      </c>
      <c r="CE173" s="988">
        <f t="shared" si="197"/>
        <v>0.15294117647058814</v>
      </c>
      <c r="CF173" s="988">
        <f t="shared" si="197"/>
        <v>0.11484593837535018</v>
      </c>
      <c r="CG173" s="988">
        <f t="shared" si="197"/>
        <v>8.2010582010582089E-2</v>
      </c>
      <c r="CH173" s="990">
        <f>CH172/CD172-1</f>
        <v>8.3116883116883145E-2</v>
      </c>
      <c r="CI173" s="988">
        <f>CI172/CE172-1</f>
        <v>8.6734693877551061E-2</v>
      </c>
      <c r="CJ173" s="988">
        <f>CJ172/CF172-1</f>
        <v>8.5427135678391997E-2</v>
      </c>
      <c r="CK173" s="988">
        <f>CK172/CG172-1</f>
        <v>6.112469437652801E-2</v>
      </c>
      <c r="CL173" s="990">
        <f>CL172/CH172-1</f>
        <v>5.2757793764987904E-2</v>
      </c>
    </row>
    <row r="174" spans="1:90">
      <c r="A174" s="1047" t="s">
        <v>660</v>
      </c>
      <c r="B174" s="983"/>
      <c r="C174" s="983"/>
      <c r="D174" s="983"/>
      <c r="E174" s="983"/>
      <c r="F174" s="983"/>
      <c r="G174" s="983"/>
      <c r="H174" s="983"/>
      <c r="I174" s="983"/>
      <c r="J174" s="983"/>
      <c r="K174" s="983"/>
      <c r="L174" s="983"/>
      <c r="M174" s="983"/>
      <c r="N174" s="984"/>
      <c r="O174" s="984">
        <f>SUM(BV174:BY174)</f>
        <v>475</v>
      </c>
      <c r="P174" s="948">
        <f>SUM(BZ174:CC174)</f>
        <v>570</v>
      </c>
      <c r="Q174" s="948">
        <f>SUM(CD174:CG174)</f>
        <v>557</v>
      </c>
      <c r="R174" s="985">
        <f>SUM(CH174:CK174)</f>
        <v>604</v>
      </c>
      <c r="S174" s="984">
        <f>SUM(CL174:CO174)</f>
        <v>122</v>
      </c>
      <c r="T174" s="949"/>
      <c r="U174" s="949"/>
      <c r="V174" s="949"/>
      <c r="W174" s="949"/>
      <c r="X174" s="947"/>
      <c r="Y174" s="947"/>
      <c r="Z174" s="947"/>
      <c r="AA174" s="984"/>
      <c r="AB174" s="984"/>
      <c r="AC174" s="984"/>
      <c r="AD174" s="984"/>
      <c r="AE174" s="984"/>
      <c r="AF174" s="984"/>
      <c r="AG174" s="984"/>
      <c r="AH174" s="984"/>
      <c r="AI174" s="984"/>
      <c r="AJ174" s="984"/>
      <c r="AK174" s="984"/>
      <c r="AL174" s="984"/>
      <c r="AM174" s="984"/>
      <c r="AN174" s="984"/>
      <c r="AO174" s="984"/>
      <c r="AP174" s="984"/>
      <c r="AQ174" s="984"/>
      <c r="AR174" s="984"/>
      <c r="AS174" s="984"/>
      <c r="AT174" s="984"/>
      <c r="AU174" s="984"/>
      <c r="AV174" s="984"/>
      <c r="AW174" s="984"/>
      <c r="AX174" s="984"/>
      <c r="AY174" s="984"/>
      <c r="AZ174" s="984"/>
      <c r="BA174" s="984"/>
      <c r="BB174" s="984"/>
      <c r="BC174" s="984"/>
      <c r="BD174" s="984"/>
      <c r="BE174" s="984"/>
      <c r="BF174" s="984"/>
      <c r="BG174" s="984"/>
      <c r="BH174" s="984"/>
      <c r="BI174" s="984"/>
      <c r="BJ174" s="984"/>
      <c r="BK174" s="984"/>
      <c r="BL174" s="984"/>
      <c r="BM174" s="984"/>
      <c r="BN174" s="984"/>
      <c r="BO174" s="984"/>
      <c r="BP174" s="984"/>
      <c r="BQ174" s="984"/>
      <c r="BR174" s="938"/>
      <c r="BS174" s="984"/>
      <c r="BT174" s="984"/>
      <c r="BU174" s="984"/>
      <c r="BV174" s="938">
        <v>109</v>
      </c>
      <c r="BW174" s="348">
        <v>112</v>
      </c>
      <c r="BX174" s="348">
        <v>116</v>
      </c>
      <c r="BY174" s="348">
        <v>138</v>
      </c>
      <c r="BZ174" s="938">
        <v>116</v>
      </c>
      <c r="CA174" s="347">
        <v>133</v>
      </c>
      <c r="CB174" s="347">
        <v>158</v>
      </c>
      <c r="CC174" s="347">
        <v>163</v>
      </c>
      <c r="CD174" s="938">
        <v>124</v>
      </c>
      <c r="CE174" s="347">
        <v>132</v>
      </c>
      <c r="CF174" s="347">
        <v>153</v>
      </c>
      <c r="CG174" s="347">
        <v>148</v>
      </c>
      <c r="CH174" s="938">
        <v>135</v>
      </c>
      <c r="CI174" s="347">
        <v>142</v>
      </c>
      <c r="CJ174" s="347">
        <v>157</v>
      </c>
      <c r="CK174" s="347">
        <v>170</v>
      </c>
      <c r="CL174" s="938">
        <v>122</v>
      </c>
    </row>
    <row r="175" spans="1:90">
      <c r="A175" s="983" t="s">
        <v>34</v>
      </c>
      <c r="B175" s="983"/>
      <c r="C175" s="983"/>
      <c r="D175" s="983"/>
      <c r="E175" s="983"/>
      <c r="F175" s="983"/>
      <c r="G175" s="983"/>
      <c r="H175" s="983"/>
      <c r="I175" s="983"/>
      <c r="J175" s="983"/>
      <c r="K175" s="983"/>
      <c r="L175" s="983"/>
      <c r="M175" s="983"/>
      <c r="N175" s="984"/>
      <c r="O175" s="988"/>
      <c r="P175" s="988">
        <f>P174/O174-1</f>
        <v>0.19999999999999996</v>
      </c>
      <c r="Q175" s="988">
        <f>Q174/P174-1</f>
        <v>-2.2807017543859609E-2</v>
      </c>
      <c r="R175" s="989">
        <f>R174/Q174-1</f>
        <v>8.4380610412926327E-2</v>
      </c>
      <c r="S175" s="988">
        <f>S174/R174-1</f>
        <v>-0.79801324503311255</v>
      </c>
      <c r="T175" s="949"/>
      <c r="U175" s="949"/>
      <c r="V175" s="949"/>
      <c r="W175" s="949"/>
      <c r="X175" s="947"/>
      <c r="Y175" s="947"/>
      <c r="Z175" s="947"/>
      <c r="AA175" s="984"/>
      <c r="AB175" s="984"/>
      <c r="AC175" s="984"/>
      <c r="AD175" s="984"/>
      <c r="AE175" s="984"/>
      <c r="AF175" s="984"/>
      <c r="AG175" s="984"/>
      <c r="AH175" s="984"/>
      <c r="AI175" s="984"/>
      <c r="AJ175" s="984"/>
      <c r="AK175" s="984"/>
      <c r="AL175" s="984"/>
      <c r="AM175" s="984"/>
      <c r="AN175" s="984"/>
      <c r="AO175" s="984"/>
      <c r="AP175" s="984"/>
      <c r="AQ175" s="984"/>
      <c r="AR175" s="984"/>
      <c r="AS175" s="984"/>
      <c r="AT175" s="984"/>
      <c r="AU175" s="984"/>
      <c r="AV175" s="984"/>
      <c r="AW175" s="984"/>
      <c r="AX175" s="984"/>
      <c r="AY175" s="984"/>
      <c r="AZ175" s="984"/>
      <c r="BA175" s="984"/>
      <c r="BB175" s="984"/>
      <c r="BC175" s="984"/>
      <c r="BD175" s="984"/>
      <c r="BE175" s="984"/>
      <c r="BF175" s="984"/>
      <c r="BG175" s="984"/>
      <c r="BH175" s="984"/>
      <c r="BI175" s="984"/>
      <c r="BJ175" s="984"/>
      <c r="BK175" s="984"/>
      <c r="BL175" s="984"/>
      <c r="BM175" s="984"/>
      <c r="BN175" s="984"/>
      <c r="BO175" s="984"/>
      <c r="BP175" s="984"/>
      <c r="BQ175" s="984"/>
      <c r="BR175" s="938"/>
      <c r="BS175" s="984"/>
      <c r="BT175" s="984"/>
      <c r="BU175" s="984"/>
      <c r="BV175" s="990"/>
      <c r="BW175" s="988"/>
      <c r="BX175" s="988"/>
      <c r="BY175" s="988"/>
      <c r="BZ175" s="990">
        <f t="shared" ref="BZ175:CG175" si="198">BZ174/BV174-1</f>
        <v>6.4220183486238591E-2</v>
      </c>
      <c r="CA175" s="988">
        <f t="shared" si="198"/>
        <v>0.1875</v>
      </c>
      <c r="CB175" s="988">
        <f t="shared" si="198"/>
        <v>0.36206896551724133</v>
      </c>
      <c r="CC175" s="988">
        <f t="shared" si="198"/>
        <v>0.18115942028985499</v>
      </c>
      <c r="CD175" s="990">
        <f t="shared" si="198"/>
        <v>6.8965517241379226E-2</v>
      </c>
      <c r="CE175" s="988">
        <f t="shared" si="198"/>
        <v>-7.5187969924812581E-3</v>
      </c>
      <c r="CF175" s="988">
        <f t="shared" si="198"/>
        <v>-3.1645569620253111E-2</v>
      </c>
      <c r="CG175" s="988">
        <f t="shared" si="198"/>
        <v>-9.2024539877300637E-2</v>
      </c>
      <c r="CH175" s="990">
        <f>CH174/CD174-1</f>
        <v>8.870967741935476E-2</v>
      </c>
      <c r="CI175" s="988">
        <f>CI174/CE174-1</f>
        <v>7.575757575757569E-2</v>
      </c>
      <c r="CJ175" s="988">
        <f>CJ174/CF174-1</f>
        <v>2.614379084967311E-2</v>
      </c>
      <c r="CK175" s="988">
        <f>CK174/CG174-1</f>
        <v>0.14864864864864868</v>
      </c>
      <c r="CL175" s="990">
        <f>CL174/CH174-1</f>
        <v>-9.6296296296296324E-2</v>
      </c>
    </row>
    <row r="176" spans="1:90">
      <c r="A176" s="1060" t="s">
        <v>105</v>
      </c>
      <c r="B176" s="1060"/>
      <c r="C176" s="1060"/>
      <c r="D176" s="1060"/>
      <c r="E176" s="1060"/>
      <c r="F176" s="1060"/>
      <c r="G176" s="1060"/>
      <c r="H176" s="1060"/>
      <c r="I176" s="1060"/>
      <c r="J176" s="1060"/>
      <c r="K176" s="1060"/>
      <c r="L176" s="1060"/>
      <c r="M176" s="1060"/>
      <c r="N176" s="767">
        <f>SUM(N168,N172)</f>
        <v>3966</v>
      </c>
      <c r="O176" s="767">
        <f>SUM(O168,O172,O174)</f>
        <v>3843</v>
      </c>
      <c r="P176" s="271">
        <f>SUM(P168,P172,P174)</f>
        <v>4029</v>
      </c>
      <c r="Q176" s="271">
        <f>SUM(Q168,Q172,Q174)</f>
        <v>4028</v>
      </c>
      <c r="R176" s="223">
        <f>SUM(R168,R172,R174)</f>
        <v>4030</v>
      </c>
      <c r="S176" s="271">
        <f>SUM(S168,S172,S174)</f>
        <v>961</v>
      </c>
      <c r="T176" s="949"/>
      <c r="U176" s="949"/>
      <c r="V176" s="949"/>
      <c r="W176" s="949"/>
      <c r="X176" s="947"/>
      <c r="Y176" s="947"/>
      <c r="Z176" s="947"/>
      <c r="AA176" s="767"/>
      <c r="AB176" s="767"/>
      <c r="AC176" s="767"/>
      <c r="AD176" s="767"/>
      <c r="AE176" s="767"/>
      <c r="AF176" s="767"/>
      <c r="AG176" s="767"/>
      <c r="AH176" s="767"/>
      <c r="AI176" s="767"/>
      <c r="AJ176" s="767"/>
      <c r="AK176" s="767"/>
      <c r="AL176" s="767"/>
      <c r="AM176" s="767"/>
      <c r="AN176" s="767"/>
      <c r="AO176" s="767"/>
      <c r="AP176" s="767"/>
      <c r="AQ176" s="767"/>
      <c r="AR176" s="767"/>
      <c r="AS176" s="767"/>
      <c r="AT176" s="767"/>
      <c r="AU176" s="767"/>
      <c r="AV176" s="767"/>
      <c r="AW176" s="767"/>
      <c r="AX176" s="767"/>
      <c r="AY176" s="767"/>
      <c r="AZ176" s="767"/>
      <c r="BA176" s="767"/>
      <c r="BB176" s="767"/>
      <c r="BC176" s="767"/>
      <c r="BD176" s="767"/>
      <c r="BE176" s="767"/>
      <c r="BF176" s="767"/>
      <c r="BG176" s="767"/>
      <c r="BH176" s="767"/>
      <c r="BI176" s="767"/>
      <c r="BJ176" s="767"/>
      <c r="BK176" s="767"/>
      <c r="BL176" s="767"/>
      <c r="BM176" s="767"/>
      <c r="BN176" s="767"/>
      <c r="BO176" s="767"/>
      <c r="BP176" s="767"/>
      <c r="BQ176" s="767"/>
      <c r="BR176" s="940">
        <f>SUM(BR168,BR172)</f>
        <v>1003</v>
      </c>
      <c r="BS176" s="767">
        <f>SUM(BS168,BS172)</f>
        <v>989</v>
      </c>
      <c r="BT176" s="767">
        <f>SUM(BT168,BT172)</f>
        <v>986</v>
      </c>
      <c r="BU176" s="767">
        <f>SUM(BU168,BU172)</f>
        <v>988</v>
      </c>
      <c r="BV176" s="940">
        <f>SUM(BV168,BV172,BV174)</f>
        <v>946</v>
      </c>
      <c r="BW176" s="271">
        <f t="shared" ref="BW176:CK176" si="199">SUM(BW168,BW172,BW174)</f>
        <v>951</v>
      </c>
      <c r="BX176" s="271">
        <f t="shared" si="199"/>
        <v>958</v>
      </c>
      <c r="BY176" s="271">
        <f t="shared" si="199"/>
        <v>988</v>
      </c>
      <c r="BZ176" s="940">
        <f t="shared" si="199"/>
        <v>975</v>
      </c>
      <c r="CA176" s="271">
        <f t="shared" si="199"/>
        <v>994</v>
      </c>
      <c r="CB176" s="271">
        <f t="shared" si="199"/>
        <v>1025</v>
      </c>
      <c r="CC176" s="271">
        <f t="shared" si="199"/>
        <v>1035</v>
      </c>
      <c r="CD176" s="940">
        <f t="shared" si="199"/>
        <v>1001</v>
      </c>
      <c r="CE176" s="271">
        <f t="shared" si="199"/>
        <v>1002</v>
      </c>
      <c r="CF176" s="271">
        <f t="shared" si="199"/>
        <v>1015</v>
      </c>
      <c r="CG176" s="271">
        <f>SUM(CG168,CG172,CG174)</f>
        <v>1010</v>
      </c>
      <c r="CH176" s="940">
        <f t="shared" si="199"/>
        <v>992</v>
      </c>
      <c r="CI176" s="271">
        <f t="shared" si="199"/>
        <v>1002</v>
      </c>
      <c r="CJ176" s="271">
        <f t="shared" si="199"/>
        <v>1019</v>
      </c>
      <c r="CK176" s="271">
        <f t="shared" si="199"/>
        <v>1017</v>
      </c>
      <c r="CL176" s="940">
        <f>SUM(CL168,CL172,CL174)</f>
        <v>961</v>
      </c>
    </row>
    <row r="177" spans="1:90">
      <c r="A177" s="1062" t="s">
        <v>34</v>
      </c>
      <c r="B177" s="1062"/>
      <c r="C177" s="1062"/>
      <c r="D177" s="1062"/>
      <c r="E177" s="1062"/>
      <c r="F177" s="1062"/>
      <c r="G177" s="1062"/>
      <c r="H177" s="1062"/>
      <c r="I177" s="1062"/>
      <c r="J177" s="1062"/>
      <c r="K177" s="1062"/>
      <c r="L177" s="1062"/>
      <c r="M177" s="1062"/>
      <c r="N177" s="1063"/>
      <c r="O177" s="1064">
        <f>O176/N176-1</f>
        <v>-3.1013615733736732E-2</v>
      </c>
      <c r="P177" s="1064">
        <f>P176/O176-1</f>
        <v>4.8399687743950093E-2</v>
      </c>
      <c r="Q177" s="1064">
        <f>Q176/P176-1</f>
        <v>-2.4820054604124397E-4</v>
      </c>
      <c r="R177" s="1065">
        <f>R176/Q176-1</f>
        <v>4.9652432969216065E-4</v>
      </c>
      <c r="S177" s="1064">
        <f>S176/R176-1</f>
        <v>-0.7615384615384615</v>
      </c>
      <c r="T177" s="949"/>
      <c r="U177" s="949"/>
      <c r="V177" s="949"/>
      <c r="W177" s="949"/>
      <c r="X177" s="947"/>
      <c r="Y177" s="947"/>
      <c r="Z177" s="947"/>
      <c r="AA177" s="1063"/>
      <c r="AB177" s="1063"/>
      <c r="AC177" s="1063"/>
      <c r="AD177" s="1063"/>
      <c r="AE177" s="1063"/>
      <c r="AF177" s="1063"/>
      <c r="AG177" s="1063"/>
      <c r="AH177" s="1063"/>
      <c r="AI177" s="1063"/>
      <c r="AJ177" s="1063"/>
      <c r="AK177" s="1063"/>
      <c r="AL177" s="1063"/>
      <c r="AM177" s="1063"/>
      <c r="AN177" s="1063"/>
      <c r="AO177" s="1063"/>
      <c r="AP177" s="1063"/>
      <c r="AQ177" s="1063"/>
      <c r="AR177" s="1063"/>
      <c r="AS177" s="1063"/>
      <c r="AT177" s="1063"/>
      <c r="AU177" s="1063"/>
      <c r="AV177" s="1063"/>
      <c r="AW177" s="1063"/>
      <c r="AX177" s="1063"/>
      <c r="AY177" s="1063"/>
      <c r="AZ177" s="1063"/>
      <c r="BA177" s="1063"/>
      <c r="BB177" s="1063"/>
      <c r="BC177" s="1063"/>
      <c r="BD177" s="1063"/>
      <c r="BE177" s="1063"/>
      <c r="BF177" s="1063"/>
      <c r="BG177" s="1063"/>
      <c r="BH177" s="1063"/>
      <c r="BI177" s="1063"/>
      <c r="BJ177" s="1063"/>
      <c r="BK177" s="1063"/>
      <c r="BL177" s="1063"/>
      <c r="BM177" s="1063"/>
      <c r="BN177" s="1063"/>
      <c r="BO177" s="1063"/>
      <c r="BP177" s="1063"/>
      <c r="BQ177" s="1063"/>
      <c r="BR177" s="1066"/>
      <c r="BS177" s="1067"/>
      <c r="BT177" s="1067"/>
      <c r="BU177" s="1067"/>
      <c r="BV177" s="1069">
        <f t="shared" ref="BV177:CE177" si="200">BV176/BR176-1</f>
        <v>-5.6829511465603222E-2</v>
      </c>
      <c r="BW177" s="1064">
        <f t="shared" si="200"/>
        <v>-3.842264914054605E-2</v>
      </c>
      <c r="BX177" s="1064">
        <f t="shared" si="200"/>
        <v>-2.8397565922920864E-2</v>
      </c>
      <c r="BY177" s="1064">
        <f t="shared" si="200"/>
        <v>0</v>
      </c>
      <c r="BZ177" s="1069">
        <f t="shared" si="200"/>
        <v>3.0655391120507414E-2</v>
      </c>
      <c r="CA177" s="1064">
        <f t="shared" si="200"/>
        <v>4.5215562565720235E-2</v>
      </c>
      <c r="CB177" s="1064">
        <f t="shared" si="200"/>
        <v>6.9937369519833092E-2</v>
      </c>
      <c r="CC177" s="1064">
        <f t="shared" si="200"/>
        <v>4.7570850202429238E-2</v>
      </c>
      <c r="CD177" s="1069">
        <f t="shared" si="200"/>
        <v>2.6666666666666616E-2</v>
      </c>
      <c r="CE177" s="1064">
        <f t="shared" si="200"/>
        <v>8.0482897384306362E-3</v>
      </c>
      <c r="CF177" s="1064">
        <f t="shared" ref="CF177:CL177" si="201">CF176/CB176-1</f>
        <v>-9.7560975609756184E-3</v>
      </c>
      <c r="CG177" s="1064">
        <f t="shared" si="201"/>
        <v>-2.4154589371980673E-2</v>
      </c>
      <c r="CH177" s="1069">
        <f t="shared" si="201"/>
        <v>-8.9910089910090196E-3</v>
      </c>
      <c r="CI177" s="1064">
        <f t="shared" si="201"/>
        <v>0</v>
      </c>
      <c r="CJ177" s="1064">
        <f t="shared" si="201"/>
        <v>3.9408866995074288E-3</v>
      </c>
      <c r="CK177" s="1064">
        <f t="shared" si="201"/>
        <v>6.9306930693069368E-3</v>
      </c>
      <c r="CL177" s="1069">
        <f t="shared" si="201"/>
        <v>-3.125E-2</v>
      </c>
    </row>
    <row r="178" spans="1:90" ht="9" hidden="1" customHeight="1" outlineLevel="2">
      <c r="A178" s="1047"/>
      <c r="B178" s="1047"/>
      <c r="C178" s="1047"/>
      <c r="D178" s="1047"/>
      <c r="E178" s="1047"/>
      <c r="F178" s="1047"/>
      <c r="G178" s="1047"/>
      <c r="H178" s="1047"/>
      <c r="I178" s="1047"/>
      <c r="J178" s="1047"/>
      <c r="K178" s="1047"/>
      <c r="L178" s="1047"/>
      <c r="M178" s="1047"/>
      <c r="N178" s="984"/>
      <c r="O178" s="984"/>
      <c r="P178" s="984"/>
      <c r="Q178" s="984"/>
      <c r="R178" s="1002"/>
      <c r="S178" s="984"/>
      <c r="T178" s="949"/>
      <c r="U178" s="949"/>
      <c r="V178" s="949"/>
      <c r="W178" s="949"/>
      <c r="X178" s="947"/>
      <c r="Y178" s="947"/>
      <c r="Z178" s="947"/>
      <c r="AA178" s="984"/>
      <c r="AB178" s="984"/>
      <c r="AC178" s="984"/>
      <c r="AD178" s="984"/>
      <c r="AE178" s="984"/>
      <c r="AF178" s="984"/>
      <c r="AG178" s="984"/>
      <c r="AH178" s="984"/>
      <c r="AI178" s="984"/>
      <c r="AJ178" s="984"/>
      <c r="AK178" s="984"/>
      <c r="AL178" s="984"/>
      <c r="AM178" s="984"/>
      <c r="AN178" s="984"/>
      <c r="AO178" s="984"/>
      <c r="AP178" s="984"/>
      <c r="AQ178" s="984"/>
      <c r="AR178" s="984"/>
      <c r="AS178" s="984"/>
      <c r="AT178" s="984"/>
      <c r="AU178" s="984"/>
      <c r="AV178" s="984"/>
      <c r="AW178" s="984"/>
      <c r="AX178" s="984"/>
      <c r="AY178" s="984"/>
      <c r="AZ178" s="984"/>
      <c r="BA178" s="984"/>
      <c r="BB178" s="984"/>
      <c r="BC178" s="984"/>
      <c r="BD178" s="984"/>
      <c r="BE178" s="984"/>
      <c r="BF178" s="984"/>
      <c r="BG178" s="984"/>
      <c r="BH178" s="984"/>
      <c r="BI178" s="984"/>
      <c r="BJ178" s="984"/>
      <c r="BK178" s="984"/>
      <c r="BL178" s="984"/>
      <c r="BM178" s="984"/>
      <c r="BN178" s="984"/>
      <c r="BO178" s="984"/>
      <c r="BP178" s="984"/>
      <c r="BQ178" s="984"/>
      <c r="BR178" s="986"/>
      <c r="BS178" s="984"/>
      <c r="BT178" s="984"/>
      <c r="BU178" s="984"/>
      <c r="BV178" s="986"/>
      <c r="BW178" s="984"/>
      <c r="BX178" s="984"/>
      <c r="BY178" s="984"/>
      <c r="BZ178" s="986"/>
      <c r="CA178" s="984"/>
      <c r="CB178" s="984"/>
      <c r="CC178" s="1111"/>
      <c r="CD178" s="1112"/>
      <c r="CE178" s="984"/>
      <c r="CF178" s="1111"/>
      <c r="CG178" s="1111"/>
      <c r="CH178" s="1113"/>
      <c r="CI178" s="1111"/>
      <c r="CJ178" s="1111"/>
      <c r="CK178" s="1111"/>
      <c r="CL178" s="1072"/>
    </row>
    <row r="179" spans="1:90" hidden="1" outlineLevel="2">
      <c r="A179" s="1071" t="s">
        <v>85</v>
      </c>
      <c r="B179" s="1071"/>
      <c r="C179" s="1071"/>
      <c r="D179" s="1071"/>
      <c r="E179" s="1071"/>
      <c r="F179" s="1071"/>
      <c r="G179" s="1071"/>
      <c r="H179" s="1071"/>
      <c r="I179" s="1071"/>
      <c r="J179" s="1071"/>
      <c r="K179" s="1071"/>
      <c r="L179" s="1071"/>
      <c r="M179" s="1071"/>
      <c r="N179" s="984">
        <f>SUM(BR179:BU179)</f>
        <v>957</v>
      </c>
      <c r="O179" s="984">
        <f>SUM(BV179:BY179)</f>
        <v>1081</v>
      </c>
      <c r="P179" s="948">
        <f>SUM(BZ179:CC179)</f>
        <v>1240</v>
      </c>
      <c r="Q179" s="948">
        <f>SUM(CD179:CG179)</f>
        <v>1171</v>
      </c>
      <c r="R179" s="985"/>
      <c r="S179" s="984"/>
      <c r="T179" s="949"/>
      <c r="U179" s="949"/>
      <c r="V179" s="949"/>
      <c r="W179" s="949"/>
      <c r="X179" s="947"/>
      <c r="Y179" s="947"/>
      <c r="Z179" s="947"/>
      <c r="AA179" s="984"/>
      <c r="AB179" s="984"/>
      <c r="AC179" s="984"/>
      <c r="AD179" s="984"/>
      <c r="AE179" s="984"/>
      <c r="AF179" s="984"/>
      <c r="AG179" s="984"/>
      <c r="AH179" s="984"/>
      <c r="AI179" s="984"/>
      <c r="AJ179" s="984"/>
      <c r="AK179" s="984"/>
      <c r="AL179" s="984"/>
      <c r="AM179" s="984"/>
      <c r="AN179" s="984"/>
      <c r="AO179" s="984"/>
      <c r="AP179" s="984"/>
      <c r="AQ179" s="984"/>
      <c r="AR179" s="984"/>
      <c r="AS179" s="984"/>
      <c r="AT179" s="984"/>
      <c r="AU179" s="984"/>
      <c r="AV179" s="984"/>
      <c r="AW179" s="984"/>
      <c r="AX179" s="984"/>
      <c r="AY179" s="984"/>
      <c r="AZ179" s="984"/>
      <c r="BA179" s="984"/>
      <c r="BB179" s="984"/>
      <c r="BC179" s="984"/>
      <c r="BD179" s="984"/>
      <c r="BE179" s="984"/>
      <c r="BF179" s="984"/>
      <c r="BG179" s="984"/>
      <c r="BH179" s="984"/>
      <c r="BI179" s="984"/>
      <c r="BJ179" s="984"/>
      <c r="BK179" s="984"/>
      <c r="BL179" s="984"/>
      <c r="BM179" s="984"/>
      <c r="BN179" s="984"/>
      <c r="BO179" s="984"/>
      <c r="BP179" s="984"/>
      <c r="BQ179" s="984"/>
      <c r="BR179" s="938">
        <v>246</v>
      </c>
      <c r="BS179" s="348">
        <v>233</v>
      </c>
      <c r="BT179" s="348">
        <v>230</v>
      </c>
      <c r="BU179" s="348">
        <v>248</v>
      </c>
      <c r="BV179" s="938">
        <v>246</v>
      </c>
      <c r="BW179" s="348">
        <v>267</v>
      </c>
      <c r="BX179" s="348">
        <v>261</v>
      </c>
      <c r="BY179" s="348">
        <v>307</v>
      </c>
      <c r="BZ179" s="938">
        <v>282</v>
      </c>
      <c r="CA179" s="348">
        <v>292</v>
      </c>
      <c r="CB179" s="348">
        <v>339</v>
      </c>
      <c r="CC179" s="348">
        <v>327</v>
      </c>
      <c r="CD179" s="938">
        <v>292</v>
      </c>
      <c r="CE179" s="348">
        <v>285</v>
      </c>
      <c r="CF179" s="348">
        <v>300</v>
      </c>
      <c r="CG179" s="348">
        <v>294</v>
      </c>
      <c r="CH179" s="986"/>
      <c r="CI179" s="984"/>
      <c r="CJ179" s="984"/>
      <c r="CK179" s="984"/>
      <c r="CL179" s="1072"/>
    </row>
    <row r="180" spans="1:90" hidden="1" outlineLevel="2">
      <c r="A180" s="997" t="s">
        <v>1003</v>
      </c>
      <c r="B180" s="1071"/>
      <c r="C180" s="1071"/>
      <c r="D180" s="1071"/>
      <c r="E180" s="1071"/>
      <c r="F180" s="1071"/>
      <c r="G180" s="1071"/>
      <c r="H180" s="1071"/>
      <c r="I180" s="1071"/>
      <c r="J180" s="1071"/>
      <c r="K180" s="1071"/>
      <c r="L180" s="1071"/>
      <c r="M180" s="1071"/>
      <c r="N180" s="988">
        <f>N179/N$176</f>
        <v>0.24130105900151286</v>
      </c>
      <c r="O180" s="988">
        <f>O179/O$176</f>
        <v>0.28129065833983868</v>
      </c>
      <c r="P180" s="988">
        <f>P179/P$176</f>
        <v>0.30776867709108963</v>
      </c>
      <c r="Q180" s="988">
        <f>Q179/Q$176</f>
        <v>0.29071499503475673</v>
      </c>
      <c r="R180" s="989"/>
      <c r="S180" s="268"/>
      <c r="T180" s="949"/>
      <c r="U180" s="949"/>
      <c r="V180" s="949"/>
      <c r="W180" s="949"/>
      <c r="X180" s="999"/>
      <c r="Y180" s="947"/>
      <c r="Z180" s="947"/>
      <c r="AA180" s="984"/>
      <c r="AB180" s="984"/>
      <c r="AC180" s="984"/>
      <c r="AD180" s="984"/>
      <c r="AE180" s="984"/>
      <c r="AF180" s="984"/>
      <c r="AG180" s="984"/>
      <c r="AH180" s="984"/>
      <c r="AI180" s="984"/>
      <c r="AJ180" s="984"/>
      <c r="AK180" s="984"/>
      <c r="AL180" s="984"/>
      <c r="AM180" s="984"/>
      <c r="AN180" s="984"/>
      <c r="AO180" s="984"/>
      <c r="AP180" s="984"/>
      <c r="AQ180" s="984"/>
      <c r="AR180" s="984"/>
      <c r="AS180" s="984"/>
      <c r="AT180" s="984"/>
      <c r="AU180" s="984"/>
      <c r="AV180" s="984"/>
      <c r="AW180" s="984"/>
      <c r="AX180" s="984"/>
      <c r="AY180" s="984"/>
      <c r="AZ180" s="984"/>
      <c r="BA180" s="984"/>
      <c r="BB180" s="984"/>
      <c r="BC180" s="984"/>
      <c r="BD180" s="984"/>
      <c r="BE180" s="984"/>
      <c r="BF180" s="984"/>
      <c r="BG180" s="984"/>
      <c r="BH180" s="984"/>
      <c r="BI180" s="984"/>
      <c r="BJ180" s="984"/>
      <c r="BK180" s="984"/>
      <c r="BL180" s="984"/>
      <c r="BM180" s="984"/>
      <c r="BN180" s="984"/>
      <c r="BO180" s="984"/>
      <c r="BP180" s="984"/>
      <c r="BQ180" s="984"/>
      <c r="BR180" s="990">
        <f t="shared" ref="BR180:CE180" si="202">BR179/BR$176</f>
        <v>0.24526420737786639</v>
      </c>
      <c r="BS180" s="988">
        <f t="shared" si="202"/>
        <v>0.23559150657229525</v>
      </c>
      <c r="BT180" s="988">
        <f t="shared" si="202"/>
        <v>0.23326572008113591</v>
      </c>
      <c r="BU180" s="988">
        <f t="shared" si="202"/>
        <v>0.25101214574898784</v>
      </c>
      <c r="BV180" s="990">
        <f t="shared" si="202"/>
        <v>0.26004228329809725</v>
      </c>
      <c r="BW180" s="988">
        <f t="shared" si="202"/>
        <v>0.28075709779179808</v>
      </c>
      <c r="BX180" s="988">
        <f t="shared" si="202"/>
        <v>0.27244258872651356</v>
      </c>
      <c r="BY180" s="988">
        <f t="shared" si="202"/>
        <v>0.31072874493927127</v>
      </c>
      <c r="BZ180" s="990">
        <f t="shared" si="202"/>
        <v>0.28923076923076924</v>
      </c>
      <c r="CA180" s="988">
        <f t="shared" si="202"/>
        <v>0.29376257545271628</v>
      </c>
      <c r="CB180" s="988">
        <f t="shared" si="202"/>
        <v>0.33073170731707319</v>
      </c>
      <c r="CC180" s="988">
        <f t="shared" si="202"/>
        <v>0.31594202898550727</v>
      </c>
      <c r="CD180" s="990">
        <f t="shared" si="202"/>
        <v>0.29170829170829171</v>
      </c>
      <c r="CE180" s="988">
        <f t="shared" si="202"/>
        <v>0.28443113772455092</v>
      </c>
      <c r="CF180" s="988">
        <f>CF179/CF$176</f>
        <v>0.29556650246305421</v>
      </c>
      <c r="CG180" s="988">
        <f>CG179/CG$176</f>
        <v>0.29108910891089107</v>
      </c>
      <c r="CH180" s="1000"/>
      <c r="CI180" s="268"/>
      <c r="CJ180" s="268"/>
      <c r="CK180" s="268"/>
      <c r="CL180" s="1072"/>
    </row>
    <row r="181" spans="1:90" hidden="1" outlineLevel="2">
      <c r="A181" s="1071" t="s">
        <v>86</v>
      </c>
      <c r="B181" s="1071"/>
      <c r="C181" s="1071"/>
      <c r="D181" s="1071"/>
      <c r="E181" s="1071"/>
      <c r="F181" s="1071"/>
      <c r="G181" s="1071"/>
      <c r="H181" s="1071"/>
      <c r="I181" s="1071"/>
      <c r="J181" s="1071"/>
      <c r="K181" s="1071"/>
      <c r="L181" s="1071"/>
      <c r="M181" s="1071"/>
      <c r="N181" s="984">
        <f>SUM(BR181:BU181)</f>
        <v>1323</v>
      </c>
      <c r="O181" s="984">
        <f>SUM(BV181:BY181)</f>
        <v>1299</v>
      </c>
      <c r="P181" s="948">
        <f>SUM(BZ181:CC181)</f>
        <v>1340</v>
      </c>
      <c r="Q181" s="948">
        <f>SUM(CD181:CG181)</f>
        <v>1304</v>
      </c>
      <c r="R181" s="985"/>
      <c r="S181" s="984"/>
      <c r="T181" s="949"/>
      <c r="U181" s="949"/>
      <c r="V181" s="949"/>
      <c r="W181" s="949"/>
      <c r="X181" s="947"/>
      <c r="Y181" s="947"/>
      <c r="Z181" s="947"/>
      <c r="AA181" s="984"/>
      <c r="AB181" s="984"/>
      <c r="AC181" s="984"/>
      <c r="AD181" s="984"/>
      <c r="AE181" s="984"/>
      <c r="AF181" s="984"/>
      <c r="AG181" s="984"/>
      <c r="AH181" s="984"/>
      <c r="AI181" s="984"/>
      <c r="AJ181" s="984"/>
      <c r="AK181" s="984"/>
      <c r="AL181" s="984"/>
      <c r="AM181" s="984"/>
      <c r="AN181" s="984"/>
      <c r="AO181" s="984"/>
      <c r="AP181" s="984"/>
      <c r="AQ181" s="984"/>
      <c r="AR181" s="984"/>
      <c r="AS181" s="984"/>
      <c r="AT181" s="984"/>
      <c r="AU181" s="984"/>
      <c r="AV181" s="984"/>
      <c r="AW181" s="984"/>
      <c r="AX181" s="984"/>
      <c r="AY181" s="984"/>
      <c r="AZ181" s="984"/>
      <c r="BA181" s="984"/>
      <c r="BB181" s="984"/>
      <c r="BC181" s="984"/>
      <c r="BD181" s="984"/>
      <c r="BE181" s="984"/>
      <c r="BF181" s="984"/>
      <c r="BG181" s="984"/>
      <c r="BH181" s="984"/>
      <c r="BI181" s="984"/>
      <c r="BJ181" s="984"/>
      <c r="BK181" s="984"/>
      <c r="BL181" s="984"/>
      <c r="BM181" s="984"/>
      <c r="BN181" s="984"/>
      <c r="BO181" s="984"/>
      <c r="BP181" s="984"/>
      <c r="BQ181" s="984"/>
      <c r="BR181" s="938">
        <v>335</v>
      </c>
      <c r="BS181" s="348">
        <v>336</v>
      </c>
      <c r="BT181" s="348">
        <v>320</v>
      </c>
      <c r="BU181" s="348">
        <v>332</v>
      </c>
      <c r="BV181" s="938">
        <v>322</v>
      </c>
      <c r="BW181" s="348">
        <v>317</v>
      </c>
      <c r="BX181" s="348">
        <v>324</v>
      </c>
      <c r="BY181" s="348">
        <v>336</v>
      </c>
      <c r="BZ181" s="938">
        <v>335</v>
      </c>
      <c r="CA181" s="348">
        <v>340</v>
      </c>
      <c r="CB181" s="348">
        <v>336</v>
      </c>
      <c r="CC181" s="348">
        <v>329</v>
      </c>
      <c r="CD181" s="938">
        <v>329</v>
      </c>
      <c r="CE181" s="348">
        <v>326</v>
      </c>
      <c r="CF181" s="348">
        <v>323</v>
      </c>
      <c r="CG181" s="348">
        <v>326</v>
      </c>
      <c r="CH181" s="986"/>
      <c r="CI181" s="984"/>
      <c r="CJ181" s="984"/>
      <c r="CK181" s="984"/>
      <c r="CL181" s="1072"/>
    </row>
    <row r="182" spans="1:90" hidden="1" outlineLevel="2">
      <c r="A182" s="997" t="s">
        <v>1003</v>
      </c>
      <c r="B182" s="1071"/>
      <c r="C182" s="1071"/>
      <c r="D182" s="1071"/>
      <c r="E182" s="1071"/>
      <c r="F182" s="1071"/>
      <c r="G182" s="1071"/>
      <c r="H182" s="1071"/>
      <c r="I182" s="1071"/>
      <c r="J182" s="1071"/>
      <c r="K182" s="1071"/>
      <c r="L182" s="1071"/>
      <c r="M182" s="1071"/>
      <c r="N182" s="988">
        <f>N181/N$176</f>
        <v>0.33358547655068077</v>
      </c>
      <c r="O182" s="988">
        <f>O181/O$176</f>
        <v>0.33801717408274784</v>
      </c>
      <c r="P182" s="988">
        <f>P181/P$176</f>
        <v>0.33258873169520975</v>
      </c>
      <c r="Q182" s="988">
        <f>Q181/Q$176</f>
        <v>0.32373386295928502</v>
      </c>
      <c r="R182" s="989"/>
      <c r="S182" s="988"/>
      <c r="T182" s="949"/>
      <c r="U182" s="949"/>
      <c r="V182" s="949"/>
      <c r="W182" s="949"/>
      <c r="X182" s="947"/>
      <c r="Y182" s="947"/>
      <c r="Z182" s="947"/>
      <c r="AA182" s="984"/>
      <c r="AB182" s="984"/>
      <c r="AC182" s="984"/>
      <c r="AD182" s="984"/>
      <c r="AE182" s="984"/>
      <c r="AF182" s="984"/>
      <c r="AG182" s="984"/>
      <c r="AH182" s="984"/>
      <c r="AI182" s="984"/>
      <c r="AJ182" s="984"/>
      <c r="AK182" s="984"/>
      <c r="AL182" s="984"/>
      <c r="AM182" s="984"/>
      <c r="AN182" s="984"/>
      <c r="AO182" s="984"/>
      <c r="AP182" s="984"/>
      <c r="AQ182" s="984"/>
      <c r="AR182" s="984"/>
      <c r="AS182" s="984"/>
      <c r="AT182" s="984"/>
      <c r="AU182" s="984"/>
      <c r="AV182" s="984"/>
      <c r="AW182" s="984"/>
      <c r="AX182" s="984"/>
      <c r="AY182" s="984"/>
      <c r="AZ182" s="984"/>
      <c r="BA182" s="984"/>
      <c r="BB182" s="984"/>
      <c r="BC182" s="984"/>
      <c r="BD182" s="984"/>
      <c r="BE182" s="984"/>
      <c r="BF182" s="984"/>
      <c r="BG182" s="984"/>
      <c r="BH182" s="984"/>
      <c r="BI182" s="984"/>
      <c r="BJ182" s="984"/>
      <c r="BK182" s="984"/>
      <c r="BL182" s="984"/>
      <c r="BM182" s="984"/>
      <c r="BN182" s="984"/>
      <c r="BO182" s="984"/>
      <c r="BP182" s="984"/>
      <c r="BQ182" s="984"/>
      <c r="BR182" s="990">
        <f t="shared" ref="BR182:BY182" si="203">BR181/BR$176</f>
        <v>0.33399800598205381</v>
      </c>
      <c r="BS182" s="988">
        <f t="shared" si="203"/>
        <v>0.33973710819009101</v>
      </c>
      <c r="BT182" s="988">
        <f t="shared" si="203"/>
        <v>0.32454361054766734</v>
      </c>
      <c r="BU182" s="988">
        <f t="shared" si="203"/>
        <v>0.33603238866396762</v>
      </c>
      <c r="BV182" s="990">
        <f t="shared" si="203"/>
        <v>0.34038054968287529</v>
      </c>
      <c r="BW182" s="988">
        <f t="shared" si="203"/>
        <v>0.33333333333333331</v>
      </c>
      <c r="BX182" s="988">
        <f t="shared" si="203"/>
        <v>0.33820459290187893</v>
      </c>
      <c r="BY182" s="988">
        <f t="shared" si="203"/>
        <v>0.34008097165991902</v>
      </c>
      <c r="BZ182" s="990">
        <f t="shared" ref="BZ182:CG182" si="204">BZ181/BZ$176</f>
        <v>0.34358974358974359</v>
      </c>
      <c r="CA182" s="988">
        <f t="shared" si="204"/>
        <v>0.34205231388329982</v>
      </c>
      <c r="CB182" s="988">
        <f t="shared" si="204"/>
        <v>0.3278048780487805</v>
      </c>
      <c r="CC182" s="988">
        <f t="shared" si="204"/>
        <v>0.31787439613526569</v>
      </c>
      <c r="CD182" s="990">
        <f t="shared" si="204"/>
        <v>0.32867132867132864</v>
      </c>
      <c r="CE182" s="988">
        <f t="shared" si="204"/>
        <v>0.32534930139720558</v>
      </c>
      <c r="CF182" s="988">
        <f t="shared" si="204"/>
        <v>0.31822660098522165</v>
      </c>
      <c r="CG182" s="988">
        <f t="shared" si="204"/>
        <v>0.32277227722772278</v>
      </c>
      <c r="CH182" s="990"/>
      <c r="CI182" s="988"/>
      <c r="CJ182" s="988"/>
      <c r="CK182" s="988"/>
      <c r="CL182" s="1072"/>
    </row>
    <row r="183" spans="1:90" outlineLevel="1" collapsed="1">
      <c r="A183" s="1060" t="s">
        <v>106</v>
      </c>
      <c r="B183" s="1060"/>
      <c r="C183" s="1060"/>
      <c r="D183" s="1060"/>
      <c r="E183" s="1060"/>
      <c r="F183" s="1060"/>
      <c r="G183" s="1060"/>
      <c r="H183" s="1060"/>
      <c r="I183" s="1060"/>
      <c r="J183" s="1060"/>
      <c r="K183" s="1060"/>
      <c r="L183" s="1060"/>
      <c r="M183" s="1060"/>
      <c r="N183" s="767">
        <f>SUM(N179,N181)</f>
        <v>2280</v>
      </c>
      <c r="O183" s="767">
        <f>SUM(O179,O181)</f>
        <v>2380</v>
      </c>
      <c r="P183" s="271">
        <f>SUM(P179,P181)</f>
        <v>2580</v>
      </c>
      <c r="Q183" s="271">
        <f>SUM(Q179,Q181)</f>
        <v>2475</v>
      </c>
      <c r="R183" s="223">
        <f>SUM(CH183:CK183)</f>
        <v>2416</v>
      </c>
      <c r="S183" s="271">
        <f>SUM(CL183:CO183)</f>
        <v>560</v>
      </c>
      <c r="T183" s="949"/>
      <c r="U183" s="949"/>
      <c r="V183" s="949"/>
      <c r="W183" s="949"/>
      <c r="X183" s="947"/>
      <c r="Y183" s="947"/>
      <c r="Z183" s="947"/>
      <c r="AA183" s="767"/>
      <c r="AB183" s="767"/>
      <c r="AC183" s="767"/>
      <c r="AD183" s="767"/>
      <c r="AE183" s="767"/>
      <c r="AF183" s="767"/>
      <c r="AG183" s="767"/>
      <c r="AH183" s="767"/>
      <c r="AI183" s="767"/>
      <c r="AJ183" s="767"/>
      <c r="AK183" s="767"/>
      <c r="AL183" s="767"/>
      <c r="AM183" s="767"/>
      <c r="AN183" s="767"/>
      <c r="AO183" s="767"/>
      <c r="AP183" s="767"/>
      <c r="AQ183" s="767"/>
      <c r="AR183" s="767"/>
      <c r="AS183" s="767"/>
      <c r="AT183" s="767"/>
      <c r="AU183" s="767"/>
      <c r="AV183" s="767"/>
      <c r="AW183" s="767"/>
      <c r="AX183" s="767"/>
      <c r="AY183" s="767"/>
      <c r="AZ183" s="767"/>
      <c r="BA183" s="767"/>
      <c r="BB183" s="767"/>
      <c r="BC183" s="767"/>
      <c r="BD183" s="767"/>
      <c r="BE183" s="767"/>
      <c r="BF183" s="767"/>
      <c r="BG183" s="767"/>
      <c r="BH183" s="767"/>
      <c r="BI183" s="767"/>
      <c r="BJ183" s="767"/>
      <c r="BK183" s="767"/>
      <c r="BL183" s="767"/>
      <c r="BM183" s="767"/>
      <c r="BN183" s="767"/>
      <c r="BO183" s="767"/>
      <c r="BP183" s="767"/>
      <c r="BQ183" s="767"/>
      <c r="BR183" s="940">
        <f t="shared" ref="BR183:BZ183" si="205">SUM(BR179,BR181)</f>
        <v>581</v>
      </c>
      <c r="BS183" s="767">
        <f t="shared" si="205"/>
        <v>569</v>
      </c>
      <c r="BT183" s="767">
        <f t="shared" si="205"/>
        <v>550</v>
      </c>
      <c r="BU183" s="767">
        <f t="shared" si="205"/>
        <v>580</v>
      </c>
      <c r="BV183" s="940">
        <f t="shared" si="205"/>
        <v>568</v>
      </c>
      <c r="BW183" s="767">
        <f t="shared" si="205"/>
        <v>584</v>
      </c>
      <c r="BX183" s="767">
        <f t="shared" si="205"/>
        <v>585</v>
      </c>
      <c r="BY183" s="767">
        <f t="shared" si="205"/>
        <v>643</v>
      </c>
      <c r="BZ183" s="940">
        <f t="shared" si="205"/>
        <v>617</v>
      </c>
      <c r="CA183" s="767">
        <f t="shared" ref="CA183:CF183" si="206">SUM(CA179,CA181)</f>
        <v>632</v>
      </c>
      <c r="CB183" s="767">
        <f t="shared" si="206"/>
        <v>675</v>
      </c>
      <c r="CC183" s="767">
        <f t="shared" si="206"/>
        <v>656</v>
      </c>
      <c r="CD183" s="940">
        <f t="shared" si="206"/>
        <v>621</v>
      </c>
      <c r="CE183" s="767">
        <f t="shared" si="206"/>
        <v>611</v>
      </c>
      <c r="CF183" s="767">
        <f t="shared" si="206"/>
        <v>623</v>
      </c>
      <c r="CG183" s="767">
        <f>SUM(CG179,CG181)</f>
        <v>620</v>
      </c>
      <c r="CH183" s="1005">
        <v>602</v>
      </c>
      <c r="CI183" s="1006">
        <v>613</v>
      </c>
      <c r="CJ183" s="1006">
        <v>604</v>
      </c>
      <c r="CK183" s="1006">
        <f>426+102+772+125+383+608-CH183-CI183-CJ183</f>
        <v>597</v>
      </c>
      <c r="CL183" s="1005">
        <f>73+23+193+29+95+147</f>
        <v>560</v>
      </c>
    </row>
    <row r="184" spans="1:90" outlineLevel="1">
      <c r="A184" s="983" t="s">
        <v>34</v>
      </c>
      <c r="B184" s="983"/>
      <c r="C184" s="983"/>
      <c r="D184" s="983"/>
      <c r="E184" s="983"/>
      <c r="F184" s="983"/>
      <c r="G184" s="983"/>
      <c r="H184" s="983"/>
      <c r="I184" s="983"/>
      <c r="J184" s="983"/>
      <c r="K184" s="983"/>
      <c r="L184" s="983"/>
      <c r="M184" s="983"/>
      <c r="N184" s="984"/>
      <c r="O184" s="988">
        <f>O183/N183-1</f>
        <v>4.3859649122806932E-2</v>
      </c>
      <c r="P184" s="988">
        <f>P183/O183-1</f>
        <v>8.4033613445378075E-2</v>
      </c>
      <c r="Q184" s="988">
        <f>Q183/P183-1</f>
        <v>-4.0697674418604612E-2</v>
      </c>
      <c r="R184" s="989">
        <f>R183/Q183-1</f>
        <v>-2.3838383838383881E-2</v>
      </c>
      <c r="S184" s="988">
        <f>S183/R183-1</f>
        <v>-0.76821192052980136</v>
      </c>
      <c r="T184" s="949"/>
      <c r="U184" s="949"/>
      <c r="V184" s="949"/>
      <c r="W184" s="949"/>
      <c r="X184" s="947"/>
      <c r="Y184" s="947"/>
      <c r="Z184" s="947"/>
      <c r="AA184" s="984"/>
      <c r="AB184" s="984"/>
      <c r="AC184" s="984"/>
      <c r="AD184" s="984"/>
      <c r="AE184" s="984"/>
      <c r="AF184" s="984"/>
      <c r="AG184" s="984"/>
      <c r="AH184" s="984"/>
      <c r="AI184" s="984"/>
      <c r="AJ184" s="984"/>
      <c r="AK184" s="984"/>
      <c r="AL184" s="984"/>
      <c r="AM184" s="984"/>
      <c r="AN184" s="984"/>
      <c r="AO184" s="984"/>
      <c r="AP184" s="984"/>
      <c r="AQ184" s="984"/>
      <c r="AR184" s="984"/>
      <c r="AS184" s="984"/>
      <c r="AT184" s="984"/>
      <c r="AU184" s="984"/>
      <c r="AV184" s="984"/>
      <c r="AW184" s="984"/>
      <c r="AX184" s="984"/>
      <c r="AY184" s="984"/>
      <c r="AZ184" s="984"/>
      <c r="BA184" s="984"/>
      <c r="BB184" s="984"/>
      <c r="BC184" s="984"/>
      <c r="BD184" s="984"/>
      <c r="BE184" s="984"/>
      <c r="BF184" s="984"/>
      <c r="BG184" s="984"/>
      <c r="BH184" s="984"/>
      <c r="BI184" s="984"/>
      <c r="BJ184" s="984"/>
      <c r="BK184" s="984"/>
      <c r="BL184" s="984"/>
      <c r="BM184" s="984"/>
      <c r="BN184" s="984"/>
      <c r="BO184" s="984"/>
      <c r="BP184" s="984"/>
      <c r="BQ184" s="984"/>
      <c r="BR184" s="938"/>
      <c r="BS184" s="347"/>
      <c r="BT184" s="347"/>
      <c r="BU184" s="347"/>
      <c r="BV184" s="990">
        <f t="shared" ref="BV184:CG184" si="207">BV183/BR183-1</f>
        <v>-2.2375215146299476E-2</v>
      </c>
      <c r="BW184" s="988">
        <f t="shared" si="207"/>
        <v>2.6362038664323295E-2</v>
      </c>
      <c r="BX184" s="988">
        <f t="shared" si="207"/>
        <v>6.3636363636363713E-2</v>
      </c>
      <c r="BY184" s="988">
        <f t="shared" si="207"/>
        <v>0.10862068965517246</v>
      </c>
      <c r="BZ184" s="990">
        <f t="shared" si="207"/>
        <v>8.6267605633802757E-2</v>
      </c>
      <c r="CA184" s="988">
        <f t="shared" si="207"/>
        <v>8.2191780821917915E-2</v>
      </c>
      <c r="CB184" s="988">
        <f t="shared" si="207"/>
        <v>0.15384615384615374</v>
      </c>
      <c r="CC184" s="988">
        <f t="shared" si="207"/>
        <v>2.021772939346822E-2</v>
      </c>
      <c r="CD184" s="990">
        <f t="shared" si="207"/>
        <v>6.482982171799101E-3</v>
      </c>
      <c r="CE184" s="988">
        <f t="shared" si="207"/>
        <v>-3.3227848101265778E-2</v>
      </c>
      <c r="CF184" s="988">
        <f t="shared" si="207"/>
        <v>-7.7037037037037015E-2</v>
      </c>
      <c r="CG184" s="989">
        <f t="shared" si="207"/>
        <v>-5.4878048780487854E-2</v>
      </c>
      <c r="CH184" s="988">
        <f>CH183/CD183-1</f>
        <v>-3.0595813204508882E-2</v>
      </c>
      <c r="CI184" s="988">
        <f>CI183/CE183-1</f>
        <v>3.2733224222585289E-3</v>
      </c>
      <c r="CJ184" s="988">
        <f>CJ183/CF183-1</f>
        <v>-3.04975922953451E-2</v>
      </c>
      <c r="CK184" s="988">
        <f>CK183/CG183-1</f>
        <v>-3.7096774193548399E-2</v>
      </c>
      <c r="CL184" s="990">
        <f>CL183/CH183-1</f>
        <v>-6.9767441860465129E-2</v>
      </c>
    </row>
    <row r="185" spans="1:90" outlineLevel="1">
      <c r="A185" s="997" t="s">
        <v>1003</v>
      </c>
      <c r="B185" s="1060"/>
      <c r="C185" s="1060"/>
      <c r="D185" s="1060"/>
      <c r="E185" s="1060"/>
      <c r="F185" s="1060"/>
      <c r="G185" s="1060"/>
      <c r="H185" s="1060"/>
      <c r="I185" s="1060"/>
      <c r="J185" s="1060"/>
      <c r="K185" s="1060"/>
      <c r="L185" s="1060"/>
      <c r="M185" s="1060"/>
      <c r="N185" s="1008">
        <f t="shared" ref="N185:S185" si="208">N183/N$176</f>
        <v>0.5748865355521936</v>
      </c>
      <c r="O185" s="1008">
        <f t="shared" si="208"/>
        <v>0.61930783242258647</v>
      </c>
      <c r="P185" s="988">
        <f t="shared" si="208"/>
        <v>0.64035740878629932</v>
      </c>
      <c r="Q185" s="988">
        <f t="shared" si="208"/>
        <v>0.6144488579940417</v>
      </c>
      <c r="R185" s="989">
        <f t="shared" si="208"/>
        <v>0.5995037220843672</v>
      </c>
      <c r="S185" s="1008">
        <f t="shared" si="208"/>
        <v>0.58272632674297609</v>
      </c>
      <c r="T185" s="949"/>
      <c r="U185" s="949"/>
      <c r="V185" s="949"/>
      <c r="W185" s="949"/>
      <c r="X185" s="947"/>
      <c r="Y185" s="947"/>
      <c r="Z185" s="947"/>
      <c r="AA185" s="767"/>
      <c r="AB185" s="767"/>
      <c r="AC185" s="767"/>
      <c r="AD185" s="767"/>
      <c r="AE185" s="767"/>
      <c r="AF185" s="767"/>
      <c r="AG185" s="767"/>
      <c r="AH185" s="767"/>
      <c r="AI185" s="767"/>
      <c r="AJ185" s="767"/>
      <c r="AK185" s="767"/>
      <c r="AL185" s="767"/>
      <c r="AM185" s="767"/>
      <c r="AN185" s="767"/>
      <c r="AO185" s="767"/>
      <c r="AP185" s="767"/>
      <c r="AQ185" s="767"/>
      <c r="AR185" s="767"/>
      <c r="AS185" s="767"/>
      <c r="AT185" s="767"/>
      <c r="AU185" s="767"/>
      <c r="AV185" s="767"/>
      <c r="AW185" s="767"/>
      <c r="AX185" s="767"/>
      <c r="AY185" s="767"/>
      <c r="AZ185" s="767"/>
      <c r="BA185" s="767"/>
      <c r="BB185" s="767"/>
      <c r="BC185" s="767"/>
      <c r="BD185" s="767"/>
      <c r="BE185" s="767"/>
      <c r="BF185" s="767"/>
      <c r="BG185" s="767"/>
      <c r="BH185" s="767"/>
      <c r="BI185" s="767"/>
      <c r="BJ185" s="767"/>
      <c r="BK185" s="767"/>
      <c r="BL185" s="767"/>
      <c r="BM185" s="767"/>
      <c r="BN185" s="767"/>
      <c r="BO185" s="767"/>
      <c r="BP185" s="767"/>
      <c r="BQ185" s="767"/>
      <c r="BR185" s="990">
        <f t="shared" ref="BR185:CF185" si="209">BR183/BR$176</f>
        <v>0.57926221335992023</v>
      </c>
      <c r="BS185" s="1008">
        <f t="shared" si="209"/>
        <v>0.57532861476238628</v>
      </c>
      <c r="BT185" s="1008">
        <f t="shared" si="209"/>
        <v>0.55780933062880322</v>
      </c>
      <c r="BU185" s="1008">
        <f t="shared" si="209"/>
        <v>0.58704453441295545</v>
      </c>
      <c r="BV185" s="990">
        <f t="shared" si="209"/>
        <v>0.60042283298097254</v>
      </c>
      <c r="BW185" s="1008">
        <f t="shared" si="209"/>
        <v>0.6140904311251314</v>
      </c>
      <c r="BX185" s="1008">
        <f t="shared" si="209"/>
        <v>0.61064718162839249</v>
      </c>
      <c r="BY185" s="1008">
        <f t="shared" si="209"/>
        <v>0.65080971659919029</v>
      </c>
      <c r="BZ185" s="990">
        <f t="shared" si="209"/>
        <v>0.63282051282051277</v>
      </c>
      <c r="CA185" s="1008">
        <f t="shared" si="209"/>
        <v>0.63581488933601604</v>
      </c>
      <c r="CB185" s="1008">
        <f t="shared" si="209"/>
        <v>0.65853658536585369</v>
      </c>
      <c r="CC185" s="1008">
        <f t="shared" si="209"/>
        <v>0.63381642512077296</v>
      </c>
      <c r="CD185" s="990">
        <f t="shared" si="209"/>
        <v>0.62037962037962036</v>
      </c>
      <c r="CE185" s="1008">
        <f t="shared" si="209"/>
        <v>0.6097804391217565</v>
      </c>
      <c r="CF185" s="1008">
        <f t="shared" si="209"/>
        <v>0.61379310344827587</v>
      </c>
      <c r="CG185" s="989">
        <f t="shared" ref="CG185:CL185" si="210">CG183/CG$176</f>
        <v>0.61386138613861385</v>
      </c>
      <c r="CH185" s="1008">
        <f t="shared" si="210"/>
        <v>0.60685483870967738</v>
      </c>
      <c r="CI185" s="1008">
        <f t="shared" si="210"/>
        <v>0.61177644710578838</v>
      </c>
      <c r="CJ185" s="1008">
        <f t="shared" si="210"/>
        <v>0.59273797841020603</v>
      </c>
      <c r="CK185" s="1008">
        <f t="shared" si="210"/>
        <v>0.58702064896755157</v>
      </c>
      <c r="CL185" s="990">
        <f t="shared" si="210"/>
        <v>0.58272632674297609</v>
      </c>
    </row>
    <row r="186" spans="1:90" outlineLevel="1">
      <c r="A186" s="997" t="s">
        <v>88</v>
      </c>
      <c r="B186" s="1060"/>
      <c r="C186" s="1060"/>
      <c r="D186" s="1060"/>
      <c r="E186" s="1060"/>
      <c r="F186" s="1060"/>
      <c r="G186" s="1060"/>
      <c r="H186" s="1060"/>
      <c r="I186" s="1060"/>
      <c r="J186" s="1060"/>
      <c r="K186" s="1060"/>
      <c r="L186" s="1060"/>
      <c r="M186" s="1060"/>
      <c r="N186" s="1008">
        <f t="shared" ref="N186:S186" si="211">N183/N52</f>
        <v>0.23914411579609818</v>
      </c>
      <c r="O186" s="1008">
        <f t="shared" si="211"/>
        <v>0.25954198473282442</v>
      </c>
      <c r="P186" s="988">
        <f t="shared" si="211"/>
        <v>0.2889137737961926</v>
      </c>
      <c r="Q186" s="988">
        <f t="shared" si="211"/>
        <v>0.31281597573306369</v>
      </c>
      <c r="R186" s="989">
        <f t="shared" si="211"/>
        <v>0.33118574366004111</v>
      </c>
      <c r="S186" s="988">
        <f t="shared" si="211"/>
        <v>0.32558139534883723</v>
      </c>
      <c r="T186" s="949"/>
      <c r="U186" s="949"/>
      <c r="V186" s="949"/>
      <c r="W186" s="949"/>
      <c r="X186" s="947"/>
      <c r="Y186" s="947"/>
      <c r="Z186" s="947"/>
      <c r="AA186" s="767"/>
      <c r="AB186" s="767"/>
      <c r="AC186" s="767"/>
      <c r="AD186" s="767"/>
      <c r="AE186" s="767"/>
      <c r="AF186" s="767"/>
      <c r="AG186" s="767"/>
      <c r="AH186" s="767"/>
      <c r="AI186" s="767"/>
      <c r="AJ186" s="767"/>
      <c r="AK186" s="767"/>
      <c r="AL186" s="767"/>
      <c r="AM186" s="767"/>
      <c r="AN186" s="767"/>
      <c r="AO186" s="767"/>
      <c r="AP186" s="767"/>
      <c r="AQ186" s="767"/>
      <c r="AR186" s="767"/>
      <c r="AS186" s="767"/>
      <c r="AT186" s="767"/>
      <c r="AU186" s="767"/>
      <c r="AV186" s="767"/>
      <c r="AW186" s="767"/>
      <c r="AX186" s="767"/>
      <c r="AY186" s="767"/>
      <c r="AZ186" s="767"/>
      <c r="BA186" s="767"/>
      <c r="BB186" s="767"/>
      <c r="BC186" s="767"/>
      <c r="BD186" s="767"/>
      <c r="BE186" s="767"/>
      <c r="BF186" s="767"/>
      <c r="BG186" s="767"/>
      <c r="BH186" s="767"/>
      <c r="BI186" s="767"/>
      <c r="BJ186" s="767"/>
      <c r="BK186" s="767"/>
      <c r="BL186" s="767"/>
      <c r="BM186" s="767"/>
      <c r="BN186" s="767"/>
      <c r="BO186" s="767"/>
      <c r="BP186" s="767"/>
      <c r="BQ186" s="767"/>
      <c r="BR186" s="990">
        <f t="shared" ref="BR186:CI186" si="212">BR183/BR52</f>
        <v>0.24107883817427386</v>
      </c>
      <c r="BS186" s="988">
        <f t="shared" si="212"/>
        <v>0.2407955988150656</v>
      </c>
      <c r="BT186" s="988">
        <f t="shared" si="212"/>
        <v>0.23374415639609009</v>
      </c>
      <c r="BU186" s="988">
        <f t="shared" si="212"/>
        <v>0.24086378737541528</v>
      </c>
      <c r="BV186" s="990">
        <f t="shared" si="212"/>
        <v>0.24967032967032968</v>
      </c>
      <c r="BW186" s="988">
        <f t="shared" si="212"/>
        <v>0.25237683664649957</v>
      </c>
      <c r="BX186" s="988">
        <f t="shared" si="212"/>
        <v>0.25624178712220763</v>
      </c>
      <c r="BY186" s="988">
        <f t="shared" si="212"/>
        <v>0.27980852915578763</v>
      </c>
      <c r="BZ186" s="990">
        <f t="shared" si="212"/>
        <v>0.27325066430469441</v>
      </c>
      <c r="CA186" s="988">
        <f t="shared" si="212"/>
        <v>0.28239499553172476</v>
      </c>
      <c r="CB186" s="988">
        <f t="shared" si="212"/>
        <v>0.29398954703832753</v>
      </c>
      <c r="CC186" s="988">
        <f t="shared" si="212"/>
        <v>0.30711610486891383</v>
      </c>
      <c r="CD186" s="990">
        <f t="shared" si="212"/>
        <v>0.3062130177514793</v>
      </c>
      <c r="CE186" s="988">
        <f t="shared" si="212"/>
        <v>0.3058058058058058</v>
      </c>
      <c r="CF186" s="988">
        <f t="shared" si="212"/>
        <v>0.31769505354411015</v>
      </c>
      <c r="CG186" s="989">
        <f t="shared" si="212"/>
        <v>0.3247773703509691</v>
      </c>
      <c r="CH186" s="988">
        <f t="shared" si="212"/>
        <v>0.32681867535287729</v>
      </c>
      <c r="CI186" s="988">
        <f t="shared" si="212"/>
        <v>0.33351468988030469</v>
      </c>
      <c r="CJ186" s="988">
        <f>CJ183/CJ52</f>
        <v>0.33278236914600551</v>
      </c>
      <c r="CK186" s="988">
        <f>CK183/CK52</f>
        <v>0.33166666666666667</v>
      </c>
      <c r="CL186" s="990">
        <f>CL183/CL52</f>
        <v>0.32558139534883723</v>
      </c>
    </row>
    <row r="187" spans="1:90" ht="6" customHeight="1" outlineLevel="1">
      <c r="A187" s="1060"/>
      <c r="B187" s="1060"/>
      <c r="C187" s="1060"/>
      <c r="D187" s="1060"/>
      <c r="E187" s="1060"/>
      <c r="F187" s="1060"/>
      <c r="G187" s="1060"/>
      <c r="H187" s="1060"/>
      <c r="I187" s="1060"/>
      <c r="J187" s="1060"/>
      <c r="K187" s="1060"/>
      <c r="L187" s="1060"/>
      <c r="M187" s="1060"/>
      <c r="N187" s="767"/>
      <c r="O187" s="767"/>
      <c r="P187" s="271"/>
      <c r="Q187" s="271"/>
      <c r="R187" s="223"/>
      <c r="S187" s="767"/>
      <c r="T187" s="949"/>
      <c r="U187" s="949"/>
      <c r="V187" s="949"/>
      <c r="W187" s="949"/>
      <c r="X187" s="947"/>
      <c r="Y187" s="947"/>
      <c r="Z187" s="947"/>
      <c r="AA187" s="767"/>
      <c r="AB187" s="767"/>
      <c r="AC187" s="767"/>
      <c r="AD187" s="767"/>
      <c r="AE187" s="767"/>
      <c r="AF187" s="767"/>
      <c r="AG187" s="767"/>
      <c r="AH187" s="767"/>
      <c r="AI187" s="767"/>
      <c r="AJ187" s="767"/>
      <c r="AK187" s="767"/>
      <c r="AL187" s="767"/>
      <c r="AM187" s="767"/>
      <c r="AN187" s="767"/>
      <c r="AO187" s="767"/>
      <c r="AP187" s="767"/>
      <c r="AQ187" s="767"/>
      <c r="AR187" s="767"/>
      <c r="AS187" s="767"/>
      <c r="AT187" s="767"/>
      <c r="AU187" s="767"/>
      <c r="AV187" s="767"/>
      <c r="AW187" s="767"/>
      <c r="AX187" s="767"/>
      <c r="AY187" s="767"/>
      <c r="AZ187" s="767"/>
      <c r="BA187" s="767"/>
      <c r="BB187" s="767"/>
      <c r="BC187" s="767"/>
      <c r="BD187" s="767"/>
      <c r="BE187" s="767"/>
      <c r="BF187" s="767"/>
      <c r="BG187" s="767"/>
      <c r="BH187" s="767"/>
      <c r="BI187" s="767"/>
      <c r="BJ187" s="767"/>
      <c r="BK187" s="767"/>
      <c r="BL187" s="767"/>
      <c r="BM187" s="767"/>
      <c r="BN187" s="767"/>
      <c r="BO187" s="767"/>
      <c r="BP187" s="767"/>
      <c r="BQ187" s="767"/>
      <c r="BR187" s="940"/>
      <c r="BS187" s="767"/>
      <c r="BT187" s="767"/>
      <c r="BU187" s="767"/>
      <c r="BV187" s="940"/>
      <c r="BW187" s="767"/>
      <c r="BX187" s="767"/>
      <c r="BY187" s="767"/>
      <c r="BZ187" s="940"/>
      <c r="CA187" s="767"/>
      <c r="CB187" s="767"/>
      <c r="CC187" s="767"/>
      <c r="CD187" s="1112"/>
      <c r="CE187" s="767"/>
      <c r="CF187" s="767"/>
      <c r="CG187" s="767"/>
      <c r="CH187" s="1073"/>
      <c r="CI187" s="1074"/>
      <c r="CJ187" s="1074"/>
      <c r="CK187" s="1074"/>
      <c r="CL187" s="1073"/>
    </row>
    <row r="188" spans="1:90" outlineLevel="1">
      <c r="A188" s="1060" t="s">
        <v>107</v>
      </c>
      <c r="B188" s="1060"/>
      <c r="C188" s="1060"/>
      <c r="D188" s="1060"/>
      <c r="E188" s="1060"/>
      <c r="F188" s="1060"/>
      <c r="G188" s="1060"/>
      <c r="H188" s="1060"/>
      <c r="I188" s="1060"/>
      <c r="J188" s="1060"/>
      <c r="K188" s="1060"/>
      <c r="L188" s="1060"/>
      <c r="M188" s="1060"/>
      <c r="N188" s="271">
        <f t="shared" ref="N188:S188" si="213">N176-N183</f>
        <v>1686</v>
      </c>
      <c r="O188" s="271">
        <f t="shared" si="213"/>
        <v>1463</v>
      </c>
      <c r="P188" s="271">
        <f t="shared" si="213"/>
        <v>1449</v>
      </c>
      <c r="Q188" s="271">
        <f t="shared" si="213"/>
        <v>1553</v>
      </c>
      <c r="R188" s="223">
        <f t="shared" si="213"/>
        <v>1614</v>
      </c>
      <c r="S188" s="271">
        <f t="shared" si="213"/>
        <v>401</v>
      </c>
      <c r="T188" s="949"/>
      <c r="U188" s="949"/>
      <c r="V188" s="949"/>
      <c r="W188" s="949"/>
      <c r="X188" s="947"/>
      <c r="Y188" s="947"/>
      <c r="Z188" s="947"/>
      <c r="AA188" s="271"/>
      <c r="AB188" s="271"/>
      <c r="AC188" s="271"/>
      <c r="AD188" s="271"/>
      <c r="AE188" s="271"/>
      <c r="AF188" s="271"/>
      <c r="AG188" s="271"/>
      <c r="AH188" s="271"/>
      <c r="AI188" s="271"/>
      <c r="AJ188" s="271"/>
      <c r="AK188" s="271"/>
      <c r="AL188" s="271"/>
      <c r="AM188" s="271"/>
      <c r="AN188" s="271"/>
      <c r="AO188" s="271"/>
      <c r="AP188" s="271"/>
      <c r="AQ188" s="271"/>
      <c r="AR188" s="271"/>
      <c r="AS188" s="271"/>
      <c r="AT188" s="271"/>
      <c r="AU188" s="271"/>
      <c r="AV188" s="271"/>
      <c r="AW188" s="271"/>
      <c r="AX188" s="271"/>
      <c r="AY188" s="271"/>
      <c r="AZ188" s="271"/>
      <c r="BA188" s="271"/>
      <c r="BB188" s="271"/>
      <c r="BC188" s="271"/>
      <c r="BD188" s="271"/>
      <c r="BE188" s="271"/>
      <c r="BF188" s="271"/>
      <c r="BG188" s="271"/>
      <c r="BH188" s="271"/>
      <c r="BI188" s="271"/>
      <c r="BJ188" s="271"/>
      <c r="BK188" s="271"/>
      <c r="BL188" s="271"/>
      <c r="BM188" s="271"/>
      <c r="BN188" s="271"/>
      <c r="BO188" s="271"/>
      <c r="BP188" s="271"/>
      <c r="BQ188" s="271"/>
      <c r="BR188" s="940">
        <f t="shared" ref="BR188:BZ188" si="214">BR176-BR183</f>
        <v>422</v>
      </c>
      <c r="BS188" s="271">
        <f t="shared" si="214"/>
        <v>420</v>
      </c>
      <c r="BT188" s="271">
        <f t="shared" si="214"/>
        <v>436</v>
      </c>
      <c r="BU188" s="271">
        <f t="shared" si="214"/>
        <v>408</v>
      </c>
      <c r="BV188" s="940">
        <f t="shared" si="214"/>
        <v>378</v>
      </c>
      <c r="BW188" s="271">
        <f t="shared" si="214"/>
        <v>367</v>
      </c>
      <c r="BX188" s="271">
        <f t="shared" si="214"/>
        <v>373</v>
      </c>
      <c r="BY188" s="271">
        <f t="shared" si="214"/>
        <v>345</v>
      </c>
      <c r="BZ188" s="940">
        <f t="shared" si="214"/>
        <v>358</v>
      </c>
      <c r="CA188" s="271">
        <f t="shared" ref="CA188:CK188" si="215">CA176-CA183</f>
        <v>362</v>
      </c>
      <c r="CB188" s="271">
        <f t="shared" si="215"/>
        <v>350</v>
      </c>
      <c r="CC188" s="271">
        <f t="shared" si="215"/>
        <v>379</v>
      </c>
      <c r="CD188" s="940">
        <f t="shared" si="215"/>
        <v>380</v>
      </c>
      <c r="CE188" s="271">
        <f t="shared" si="215"/>
        <v>391</v>
      </c>
      <c r="CF188" s="271">
        <f t="shared" si="215"/>
        <v>392</v>
      </c>
      <c r="CG188" s="271">
        <f>CG176-CG183</f>
        <v>390</v>
      </c>
      <c r="CH188" s="940">
        <f t="shared" si="215"/>
        <v>390</v>
      </c>
      <c r="CI188" s="271">
        <f t="shared" si="215"/>
        <v>389</v>
      </c>
      <c r="CJ188" s="271">
        <f>CJ176-CJ183</f>
        <v>415</v>
      </c>
      <c r="CK188" s="271">
        <f t="shared" si="215"/>
        <v>420</v>
      </c>
      <c r="CL188" s="940">
        <f>CL176-CL183</f>
        <v>401</v>
      </c>
    </row>
    <row r="189" spans="1:90" outlineLevel="1">
      <c r="A189" s="1076" t="s">
        <v>110</v>
      </c>
      <c r="B189" s="1077"/>
      <c r="C189" s="1077"/>
      <c r="D189" s="1077"/>
      <c r="E189" s="1077"/>
      <c r="F189" s="1077"/>
      <c r="G189" s="1077"/>
      <c r="H189" s="1077"/>
      <c r="I189" s="1077"/>
      <c r="J189" s="1077"/>
      <c r="K189" s="1077"/>
      <c r="L189" s="1077"/>
      <c r="M189" s="1077"/>
      <c r="N189" s="1078">
        <f t="shared" ref="N189:S189" si="216">N188/N176</f>
        <v>0.42511346444780634</v>
      </c>
      <c r="O189" s="1078">
        <f t="shared" si="216"/>
        <v>0.38069216757741348</v>
      </c>
      <c r="P189" s="1078">
        <f t="shared" si="216"/>
        <v>0.35964259121370068</v>
      </c>
      <c r="Q189" s="1078">
        <f t="shared" si="216"/>
        <v>0.3855511420059583</v>
      </c>
      <c r="R189" s="1079">
        <f t="shared" si="216"/>
        <v>0.40049627791563275</v>
      </c>
      <c r="S189" s="1078">
        <f t="shared" si="216"/>
        <v>0.41727367325702391</v>
      </c>
      <c r="T189" s="949"/>
      <c r="U189" s="949"/>
      <c r="V189" s="949"/>
      <c r="W189" s="949"/>
      <c r="X189" s="947"/>
      <c r="Y189" s="947"/>
      <c r="Z189" s="947"/>
      <c r="AA189" s="1078"/>
      <c r="AB189" s="1078"/>
      <c r="AC189" s="1078"/>
      <c r="AD189" s="1078"/>
      <c r="AE189" s="1078"/>
      <c r="AF189" s="1078"/>
      <c r="AG189" s="1078"/>
      <c r="AH189" s="1078"/>
      <c r="AI189" s="1078"/>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82">
        <f t="shared" ref="BR189:CG189" si="217">BR188/BR176</f>
        <v>0.42073778664007977</v>
      </c>
      <c r="BS189" s="1078">
        <f t="shared" si="217"/>
        <v>0.42467138523761377</v>
      </c>
      <c r="BT189" s="1078">
        <f t="shared" si="217"/>
        <v>0.44219066937119678</v>
      </c>
      <c r="BU189" s="1078">
        <f t="shared" si="217"/>
        <v>0.41295546558704455</v>
      </c>
      <c r="BV189" s="1082">
        <f t="shared" si="217"/>
        <v>0.39957716701902746</v>
      </c>
      <c r="BW189" s="1078">
        <f t="shared" si="217"/>
        <v>0.38590956887486855</v>
      </c>
      <c r="BX189" s="1078">
        <f t="shared" si="217"/>
        <v>0.38935281837160751</v>
      </c>
      <c r="BY189" s="1078">
        <f t="shared" si="217"/>
        <v>0.34919028340080971</v>
      </c>
      <c r="BZ189" s="1082">
        <f t="shared" si="217"/>
        <v>0.36717948717948717</v>
      </c>
      <c r="CA189" s="1078">
        <f t="shared" si="217"/>
        <v>0.3641851106639839</v>
      </c>
      <c r="CB189" s="1078">
        <f t="shared" si="217"/>
        <v>0.34146341463414637</v>
      </c>
      <c r="CC189" s="1078">
        <f t="shared" si="217"/>
        <v>0.36618357487922704</v>
      </c>
      <c r="CD189" s="1082">
        <f t="shared" si="217"/>
        <v>0.37962037962037964</v>
      </c>
      <c r="CE189" s="1078">
        <f t="shared" si="217"/>
        <v>0.3902195608782435</v>
      </c>
      <c r="CF189" s="1078">
        <f t="shared" si="217"/>
        <v>0.38620689655172413</v>
      </c>
      <c r="CG189" s="1078">
        <f t="shared" si="217"/>
        <v>0.38613861386138615</v>
      </c>
      <c r="CH189" s="1082">
        <f>CH188/CH176</f>
        <v>0.39314516129032256</v>
      </c>
      <c r="CI189" s="1078">
        <f>CI188/CI176</f>
        <v>0.38822355289421157</v>
      </c>
      <c r="CJ189" s="1078">
        <f>CJ188/CJ176</f>
        <v>0.40726202158979391</v>
      </c>
      <c r="CK189" s="1078">
        <f>CK188/CK176</f>
        <v>0.41297935103244837</v>
      </c>
      <c r="CL189" s="1082">
        <f>CL188/CL176</f>
        <v>0.41727367325702391</v>
      </c>
    </row>
    <row r="190" spans="1:90" ht="10.5" customHeight="1">
      <c r="A190" s="1083"/>
      <c r="B190" s="1083"/>
      <c r="C190" s="1083"/>
      <c r="D190" s="1083"/>
      <c r="E190" s="1083"/>
      <c r="F190" s="1083"/>
      <c r="G190" s="1083"/>
      <c r="H190" s="1083"/>
      <c r="I190" s="1083"/>
      <c r="J190" s="1083"/>
      <c r="K190" s="1083"/>
      <c r="L190" s="1083"/>
      <c r="M190" s="1083"/>
      <c r="N190" s="1080"/>
      <c r="O190" s="1080"/>
      <c r="P190" s="1084"/>
      <c r="Q190" s="1084"/>
      <c r="R190" s="1085"/>
      <c r="S190" s="1080"/>
      <c r="T190" s="949"/>
      <c r="U190" s="949"/>
      <c r="V190" s="949"/>
      <c r="W190" s="949"/>
      <c r="X190" s="947"/>
      <c r="Y190" s="947"/>
      <c r="Z190" s="947"/>
      <c r="AA190" s="1080"/>
      <c r="AB190" s="1080"/>
      <c r="AC190" s="1080"/>
      <c r="AD190" s="1080"/>
      <c r="AE190" s="1080"/>
      <c r="AF190" s="1080"/>
      <c r="AG190" s="1080"/>
      <c r="AH190" s="1080"/>
      <c r="AI190" s="1080"/>
      <c r="AJ190" s="1080"/>
      <c r="AK190" s="1080"/>
      <c r="AL190" s="1080"/>
      <c r="AM190" s="1080"/>
      <c r="AN190" s="1080"/>
      <c r="AO190" s="1080"/>
      <c r="AP190" s="1080"/>
      <c r="AQ190" s="1080"/>
      <c r="AR190" s="1080"/>
      <c r="AS190" s="1080"/>
      <c r="AT190" s="1080"/>
      <c r="AU190" s="1080"/>
      <c r="AV190" s="1080"/>
      <c r="AW190" s="1080"/>
      <c r="AX190" s="1080"/>
      <c r="AY190" s="1080"/>
      <c r="AZ190" s="1080"/>
      <c r="BA190" s="1080"/>
      <c r="BB190" s="1080"/>
      <c r="BC190" s="1080"/>
      <c r="BD190" s="1080"/>
      <c r="BE190" s="1080"/>
      <c r="BF190" s="1080"/>
      <c r="BG190" s="1080"/>
      <c r="BH190" s="1080"/>
      <c r="BI190" s="1080"/>
      <c r="BJ190" s="1080"/>
      <c r="BK190" s="1080"/>
      <c r="BL190" s="1080"/>
      <c r="BM190" s="1080"/>
      <c r="BN190" s="1080"/>
      <c r="BO190" s="1080"/>
      <c r="BP190" s="1080"/>
      <c r="BQ190" s="1080"/>
      <c r="BR190" s="1081"/>
      <c r="BS190" s="1080"/>
      <c r="BT190" s="1080"/>
      <c r="BU190" s="1080"/>
      <c r="BV190" s="1081"/>
      <c r="BW190" s="1080"/>
      <c r="BX190" s="1080"/>
      <c r="BY190" s="1080"/>
      <c r="BZ190" s="1081"/>
      <c r="CA190" s="1080"/>
      <c r="CB190" s="1080"/>
      <c r="CC190" s="1080"/>
      <c r="CD190" s="1081"/>
      <c r="CE190" s="1080"/>
      <c r="CF190" s="1080"/>
      <c r="CG190" s="1080"/>
      <c r="CH190" s="1092"/>
      <c r="CI190" s="1090"/>
      <c r="CJ190" s="1090"/>
      <c r="CK190" s="1090"/>
      <c r="CL190" s="1092"/>
    </row>
    <row r="191" spans="1:90">
      <c r="A191" s="1070" t="s">
        <v>111</v>
      </c>
      <c r="B191" s="1070"/>
      <c r="C191" s="1070"/>
      <c r="D191" s="1070"/>
      <c r="E191" s="1070"/>
      <c r="F191" s="1070"/>
      <c r="G191" s="1070"/>
      <c r="H191" s="1070"/>
      <c r="I191" s="1070"/>
      <c r="J191" s="1070"/>
      <c r="K191" s="1070"/>
      <c r="L191" s="1070"/>
      <c r="M191" s="1070"/>
      <c r="N191" s="1080">
        <f t="shared" ref="N191:S191" si="218">N172/N176</f>
        <v>0.58925869894099847</v>
      </c>
      <c r="O191" s="1080">
        <f t="shared" si="218"/>
        <v>0.30470986208691125</v>
      </c>
      <c r="P191" s="1084">
        <f t="shared" si="218"/>
        <v>0.34772896500372302</v>
      </c>
      <c r="Q191" s="1084">
        <f t="shared" si="218"/>
        <v>0.39324726911618668</v>
      </c>
      <c r="R191" s="1085">
        <f t="shared" si="218"/>
        <v>0.42406947890818858</v>
      </c>
      <c r="S191" s="1080">
        <f t="shared" si="218"/>
        <v>0.45681581685744016</v>
      </c>
      <c r="T191" s="949"/>
      <c r="U191" s="949"/>
      <c r="V191" s="949"/>
      <c r="W191" s="949"/>
      <c r="X191" s="947"/>
      <c r="Y191" s="947"/>
      <c r="Z191" s="947"/>
      <c r="AA191" s="1080"/>
      <c r="AB191" s="1080"/>
      <c r="AC191" s="1080"/>
      <c r="AD191" s="1080"/>
      <c r="AE191" s="1080"/>
      <c r="AF191" s="1080"/>
      <c r="AG191" s="1080"/>
      <c r="AH191" s="1080"/>
      <c r="AI191" s="1080"/>
      <c r="AJ191" s="1080"/>
      <c r="AK191" s="1080"/>
      <c r="AL191" s="1080"/>
      <c r="AM191" s="1080"/>
      <c r="AN191" s="1080"/>
      <c r="AO191" s="1080"/>
      <c r="AP191" s="1080"/>
      <c r="AQ191" s="1080"/>
      <c r="AR191" s="1080"/>
      <c r="AS191" s="1080"/>
      <c r="AT191" s="1080"/>
      <c r="AU191" s="1080"/>
      <c r="AV191" s="1080"/>
      <c r="AW191" s="1080"/>
      <c r="AX191" s="1080"/>
      <c r="AY191" s="1080"/>
      <c r="AZ191" s="1080"/>
      <c r="BA191" s="1080"/>
      <c r="BB191" s="1080"/>
      <c r="BC191" s="1080"/>
      <c r="BD191" s="1080"/>
      <c r="BE191" s="1080"/>
      <c r="BF191" s="1080"/>
      <c r="BG191" s="1080"/>
      <c r="BH191" s="1080"/>
      <c r="BI191" s="1080"/>
      <c r="BJ191" s="1080"/>
      <c r="BK191" s="1080"/>
      <c r="BL191" s="1080"/>
      <c r="BM191" s="1080"/>
      <c r="BN191" s="1080"/>
      <c r="BO191" s="1080"/>
      <c r="BP191" s="1080"/>
      <c r="BQ191" s="1080"/>
      <c r="BR191" s="1081">
        <f t="shared" ref="BR191:BZ191" si="219">BR172/BR176</f>
        <v>0.58125623130608173</v>
      </c>
      <c r="BS191" s="1080">
        <f t="shared" si="219"/>
        <v>0.58746208291203239</v>
      </c>
      <c r="BT191" s="1080">
        <f t="shared" si="219"/>
        <v>0.58823529411764708</v>
      </c>
      <c r="BU191" s="1080">
        <f t="shared" si="219"/>
        <v>0.6002024291497976</v>
      </c>
      <c r="BV191" s="1081">
        <f t="shared" si="219"/>
        <v>0.28964059196617337</v>
      </c>
      <c r="BW191" s="1080">
        <f t="shared" si="219"/>
        <v>0.29863301787592006</v>
      </c>
      <c r="BX191" s="1080">
        <f t="shared" si="219"/>
        <v>0.31106471816283926</v>
      </c>
      <c r="BY191" s="1080">
        <f t="shared" si="219"/>
        <v>0.31882591093117407</v>
      </c>
      <c r="BZ191" s="1081">
        <f t="shared" si="219"/>
        <v>0.33435897435897438</v>
      </c>
      <c r="CA191" s="1080">
        <f t="shared" ref="CA191:CF191" si="220">CA172/CA176</f>
        <v>0.34205231388329982</v>
      </c>
      <c r="CB191" s="1080">
        <f t="shared" si="220"/>
        <v>0.34829268292682924</v>
      </c>
      <c r="CC191" s="1080">
        <f t="shared" si="220"/>
        <v>0.36521739130434783</v>
      </c>
      <c r="CD191" s="1081">
        <f t="shared" si="220"/>
        <v>0.38461538461538464</v>
      </c>
      <c r="CE191" s="1080">
        <f t="shared" si="220"/>
        <v>0.39121756487025949</v>
      </c>
      <c r="CF191" s="1080">
        <f t="shared" si="220"/>
        <v>0.39211822660098522</v>
      </c>
      <c r="CG191" s="1080">
        <f t="shared" ref="CG191:CL191" si="221">CG172/CG176</f>
        <v>0.40495049504950498</v>
      </c>
      <c r="CH191" s="1081">
        <f t="shared" si="221"/>
        <v>0.42036290322580644</v>
      </c>
      <c r="CI191" s="1080">
        <f t="shared" si="221"/>
        <v>0.42514970059880242</v>
      </c>
      <c r="CJ191" s="1080">
        <f t="shared" si="221"/>
        <v>0.42394504416094209</v>
      </c>
      <c r="CK191" s="1080">
        <f t="shared" si="221"/>
        <v>0.42674532940019666</v>
      </c>
      <c r="CL191" s="1081">
        <f t="shared" si="221"/>
        <v>0.45681581685744016</v>
      </c>
    </row>
    <row r="192" spans="1:90" ht="15">
      <c r="A192" s="1114"/>
      <c r="B192" s="1114"/>
      <c r="C192" s="1114"/>
      <c r="D192" s="1114"/>
      <c r="E192" s="1114"/>
      <c r="F192" s="1114"/>
      <c r="G192" s="1114"/>
      <c r="H192" s="1114"/>
      <c r="I192" s="1114"/>
      <c r="J192" s="1114"/>
      <c r="K192" s="1114"/>
      <c r="L192" s="1114"/>
      <c r="M192" s="1114"/>
      <c r="N192" s="4173"/>
      <c r="O192" s="4173"/>
      <c r="P192" s="2"/>
      <c r="Q192" s="2"/>
      <c r="R192" s="1115"/>
      <c r="S192" s="2"/>
      <c r="T192" s="949"/>
      <c r="U192" s="949"/>
      <c r="V192" s="949"/>
      <c r="W192" s="949"/>
      <c r="X192" s="947"/>
      <c r="Y192" s="947"/>
      <c r="Z192" s="947"/>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1116"/>
      <c r="BS192" s="1117"/>
      <c r="BT192" s="1117"/>
      <c r="BU192" s="1117"/>
      <c r="BV192" s="1116"/>
      <c r="BW192" s="1117"/>
      <c r="BX192" s="1117"/>
      <c r="BY192" s="1117"/>
      <c r="BZ192" s="1116"/>
      <c r="CA192" s="1117"/>
      <c r="CB192" s="1117"/>
      <c r="CC192" s="1118"/>
      <c r="CD192" s="1119"/>
      <c r="CE192" s="1117"/>
      <c r="CF192" s="1117"/>
      <c r="CG192" s="1118"/>
      <c r="CH192" s="1119"/>
      <c r="CI192" s="1118"/>
      <c r="CJ192" s="1118"/>
      <c r="CK192" s="1118"/>
      <c r="CL192" s="1803" t="s">
        <v>1072</v>
      </c>
    </row>
    <row r="193" spans="1:90">
      <c r="A193" s="1060" t="s">
        <v>112</v>
      </c>
      <c r="B193" s="1060"/>
      <c r="C193" s="1060"/>
      <c r="D193" s="1060"/>
      <c r="E193" s="1060"/>
      <c r="F193" s="1060"/>
      <c r="G193" s="1060"/>
      <c r="H193" s="1060"/>
      <c r="I193" s="1060"/>
      <c r="J193" s="1060"/>
      <c r="K193" s="1060"/>
      <c r="L193" s="1060"/>
      <c r="M193" s="1060"/>
      <c r="N193" s="271">
        <f>BU193</f>
        <v>2870</v>
      </c>
      <c r="O193" s="271">
        <f>BY193</f>
        <v>2240</v>
      </c>
      <c r="P193" s="271">
        <f>CC193</f>
        <v>2146</v>
      </c>
      <c r="Q193" s="271">
        <f>CG193</f>
        <v>2003</v>
      </c>
      <c r="R193" s="223">
        <f>+CK193</f>
        <v>1872</v>
      </c>
      <c r="S193" s="271">
        <f>+CO193</f>
        <v>0</v>
      </c>
      <c r="T193" s="949"/>
      <c r="U193" s="949"/>
      <c r="V193" s="949"/>
      <c r="W193" s="949"/>
      <c r="X193" s="947"/>
      <c r="Y193" s="947"/>
      <c r="Z193" s="947"/>
      <c r="AA193" s="271"/>
      <c r="AB193" s="271"/>
      <c r="AC193" s="271"/>
      <c r="AD193" s="271"/>
      <c r="AE193" s="271"/>
      <c r="AF193" s="271"/>
      <c r="AG193" s="271"/>
      <c r="AH193" s="271"/>
      <c r="AI193" s="271"/>
      <c r="AJ193" s="271"/>
      <c r="AK193" s="271"/>
      <c r="AL193" s="271"/>
      <c r="AM193" s="271"/>
      <c r="AN193" s="271"/>
      <c r="AO193" s="271"/>
      <c r="AP193" s="271"/>
      <c r="AQ193" s="271"/>
      <c r="AR193" s="271"/>
      <c r="AS193" s="271"/>
      <c r="AT193" s="271"/>
      <c r="AU193" s="271"/>
      <c r="AV193" s="271"/>
      <c r="AW193" s="271"/>
      <c r="AX193" s="271"/>
      <c r="AY193" s="271"/>
      <c r="AZ193" s="271"/>
      <c r="BA193" s="271"/>
      <c r="BB193" s="271"/>
      <c r="BC193" s="271"/>
      <c r="BD193" s="271"/>
      <c r="BE193" s="271"/>
      <c r="BF193" s="271"/>
      <c r="BG193" s="271"/>
      <c r="BH193" s="271"/>
      <c r="BI193" s="271"/>
      <c r="BJ193" s="271"/>
      <c r="BK193" s="271"/>
      <c r="BL193" s="271"/>
      <c r="BM193" s="271"/>
      <c r="BN193" s="271"/>
      <c r="BO193" s="271"/>
      <c r="BP193" s="271"/>
      <c r="BQ193" s="271"/>
      <c r="BR193" s="1005">
        <v>2961</v>
      </c>
      <c r="BS193" s="1006">
        <v>2923</v>
      </c>
      <c r="BT193" s="1006">
        <v>2902</v>
      </c>
      <c r="BU193" s="1006">
        <v>2870</v>
      </c>
      <c r="BV193" s="1005">
        <v>2279</v>
      </c>
      <c r="BW193" s="1006">
        <v>2263</v>
      </c>
      <c r="BX193" s="1006">
        <v>2249</v>
      </c>
      <c r="BY193" s="1006">
        <v>2240</v>
      </c>
      <c r="BZ193" s="1005">
        <v>2225</v>
      </c>
      <c r="CA193" s="1006">
        <v>2205</v>
      </c>
      <c r="CB193" s="1006">
        <v>2190</v>
      </c>
      <c r="CC193" s="1006">
        <v>2146</v>
      </c>
      <c r="CD193" s="1005">
        <v>2102</v>
      </c>
      <c r="CE193" s="1006">
        <v>2067</v>
      </c>
      <c r="CF193" s="1006">
        <v>2036</v>
      </c>
      <c r="CG193" s="1006">
        <v>2003</v>
      </c>
      <c r="CH193" s="1005">
        <v>1969</v>
      </c>
      <c r="CI193" s="996">
        <v>1942</v>
      </c>
      <c r="CJ193" s="996">
        <v>1913</v>
      </c>
      <c r="CK193" s="1006">
        <v>1872</v>
      </c>
      <c r="CL193" s="1808">
        <v>1824.8564652738567</v>
      </c>
    </row>
    <row r="194" spans="1:90">
      <c r="A194" s="983" t="s">
        <v>34</v>
      </c>
      <c r="B194" s="983"/>
      <c r="C194" s="983"/>
      <c r="D194" s="983"/>
      <c r="E194" s="983"/>
      <c r="F194" s="983"/>
      <c r="G194" s="983"/>
      <c r="H194" s="983"/>
      <c r="I194" s="983"/>
      <c r="J194" s="983"/>
      <c r="K194" s="983"/>
      <c r="L194" s="983"/>
      <c r="M194" s="983"/>
      <c r="N194" s="984"/>
      <c r="O194" s="988">
        <f>O193/N193-1</f>
        <v>-0.21951219512195119</v>
      </c>
      <c r="P194" s="988">
        <f>P193/O193-1</f>
        <v>-4.1964285714285676E-2</v>
      </c>
      <c r="Q194" s="988">
        <f>Q193/P193-1</f>
        <v>-6.6635601118359755E-2</v>
      </c>
      <c r="R194" s="989">
        <f>R193/Q193-1</f>
        <v>-6.5401897154268585E-2</v>
      </c>
      <c r="S194" s="988">
        <f>S193/R193-1</f>
        <v>-1</v>
      </c>
      <c r="T194" s="949"/>
      <c r="U194" s="949"/>
      <c r="V194" s="949"/>
      <c r="W194" s="949"/>
      <c r="X194" s="947"/>
      <c r="Y194" s="947"/>
      <c r="Z194" s="947"/>
      <c r="AA194" s="984"/>
      <c r="AB194" s="984"/>
      <c r="AC194" s="984"/>
      <c r="AD194" s="984"/>
      <c r="AE194" s="984"/>
      <c r="AF194" s="984"/>
      <c r="AG194" s="984"/>
      <c r="AH194" s="984"/>
      <c r="AI194" s="984"/>
      <c r="AJ194" s="984"/>
      <c r="AK194" s="984"/>
      <c r="AL194" s="984"/>
      <c r="AM194" s="984"/>
      <c r="AN194" s="984"/>
      <c r="AO194" s="984"/>
      <c r="AP194" s="984"/>
      <c r="AQ194" s="984"/>
      <c r="AR194" s="984"/>
      <c r="AS194" s="984"/>
      <c r="AT194" s="984"/>
      <c r="AU194" s="984"/>
      <c r="AV194" s="984"/>
      <c r="AW194" s="984"/>
      <c r="AX194" s="984"/>
      <c r="AY194" s="984"/>
      <c r="AZ194" s="984"/>
      <c r="BA194" s="984"/>
      <c r="BB194" s="984"/>
      <c r="BC194" s="984"/>
      <c r="BD194" s="984"/>
      <c r="BE194" s="984"/>
      <c r="BF194" s="984"/>
      <c r="BG194" s="984"/>
      <c r="BH194" s="984"/>
      <c r="BI194" s="984"/>
      <c r="BJ194" s="984"/>
      <c r="BK194" s="984"/>
      <c r="BL194" s="984"/>
      <c r="BM194" s="984"/>
      <c r="BN194" s="984"/>
      <c r="BO194" s="984"/>
      <c r="BP194" s="984"/>
      <c r="BQ194" s="984"/>
      <c r="BR194" s="938"/>
      <c r="BS194" s="347"/>
      <c r="BT194" s="347"/>
      <c r="BU194" s="347"/>
      <c r="BV194" s="990">
        <f t="shared" ref="BV194:CD194" si="222">BV193/BR193-1</f>
        <v>-0.23032759202971964</v>
      </c>
      <c r="BW194" s="988">
        <f t="shared" si="222"/>
        <v>-0.22579541566883343</v>
      </c>
      <c r="BX194" s="988">
        <f t="shared" si="222"/>
        <v>-0.22501722949689873</v>
      </c>
      <c r="BY194" s="988">
        <f t="shared" si="222"/>
        <v>-0.21951219512195119</v>
      </c>
      <c r="BZ194" s="990">
        <f t="shared" si="222"/>
        <v>-2.3694602896007E-2</v>
      </c>
      <c r="CA194" s="988">
        <f t="shared" si="222"/>
        <v>-2.5629695095006677E-2</v>
      </c>
      <c r="CB194" s="988">
        <f t="shared" si="222"/>
        <v>-2.6233881725211239E-2</v>
      </c>
      <c r="CC194" s="988">
        <f t="shared" si="222"/>
        <v>-4.1964285714285676E-2</v>
      </c>
      <c r="CD194" s="990">
        <f t="shared" si="222"/>
        <v>-5.5280898876404527E-2</v>
      </c>
      <c r="CE194" s="988">
        <f t="shared" ref="CE194:CL194" si="223">CE193/CA193-1</f>
        <v>-6.2585034013605489E-2</v>
      </c>
      <c r="CF194" s="988">
        <f t="shared" si="223"/>
        <v>-7.0319634703196354E-2</v>
      </c>
      <c r="CG194" s="988">
        <f t="shared" si="223"/>
        <v>-6.6635601118359755E-2</v>
      </c>
      <c r="CH194" s="990">
        <f t="shared" si="223"/>
        <v>-6.3273073263558466E-2</v>
      </c>
      <c r="CI194" s="988">
        <f t="shared" si="223"/>
        <v>-6.0474117077890632E-2</v>
      </c>
      <c r="CJ194" s="988">
        <f t="shared" si="223"/>
        <v>-6.0412573673870318E-2</v>
      </c>
      <c r="CK194" s="988">
        <f t="shared" si="223"/>
        <v>-6.5401897154268585E-2</v>
      </c>
      <c r="CL194" s="990">
        <f t="shared" si="223"/>
        <v>-7.320646761104288E-2</v>
      </c>
    </row>
    <row r="195" spans="1:90">
      <c r="A195" s="983" t="s">
        <v>776</v>
      </c>
      <c r="B195" s="983"/>
      <c r="C195" s="983"/>
      <c r="D195" s="983"/>
      <c r="E195" s="983"/>
      <c r="F195" s="983"/>
      <c r="G195" s="983"/>
      <c r="H195" s="983"/>
      <c r="I195" s="983"/>
      <c r="J195" s="983"/>
      <c r="K195" s="983"/>
      <c r="L195" s="983"/>
      <c r="M195" s="983"/>
      <c r="N195" s="984"/>
      <c r="O195" s="984">
        <f>O193-N193</f>
        <v>-630</v>
      </c>
      <c r="P195" s="984">
        <f>P193-O193</f>
        <v>-94</v>
      </c>
      <c r="Q195" s="984">
        <f>Q193-P193</f>
        <v>-143</v>
      </c>
      <c r="R195" s="1002">
        <f>R193-Q193</f>
        <v>-131</v>
      </c>
      <c r="S195" s="984">
        <f>S193-R193</f>
        <v>-1872</v>
      </c>
      <c r="T195" s="949"/>
      <c r="U195" s="949"/>
      <c r="V195" s="949"/>
      <c r="W195" s="949"/>
      <c r="X195" s="947"/>
      <c r="Y195" s="947"/>
      <c r="Z195" s="947"/>
      <c r="AA195" s="984"/>
      <c r="AB195" s="984"/>
      <c r="AC195" s="984"/>
      <c r="AD195" s="984"/>
      <c r="AE195" s="984"/>
      <c r="AF195" s="984"/>
      <c r="AG195" s="984"/>
      <c r="AH195" s="984"/>
      <c r="AI195" s="984"/>
      <c r="AJ195" s="984"/>
      <c r="AK195" s="984"/>
      <c r="AL195" s="984"/>
      <c r="AM195" s="984"/>
      <c r="AN195" s="984"/>
      <c r="AO195" s="984"/>
      <c r="AP195" s="984"/>
      <c r="AQ195" s="984"/>
      <c r="AR195" s="984"/>
      <c r="AS195" s="984"/>
      <c r="AT195" s="984"/>
      <c r="AU195" s="984"/>
      <c r="AV195" s="984"/>
      <c r="AW195" s="984"/>
      <c r="AX195" s="984"/>
      <c r="AY195" s="984"/>
      <c r="AZ195" s="984"/>
      <c r="BA195" s="984"/>
      <c r="BB195" s="984"/>
      <c r="BC195" s="984"/>
      <c r="BD195" s="984"/>
      <c r="BE195" s="984"/>
      <c r="BF195" s="984"/>
      <c r="BG195" s="984"/>
      <c r="BH195" s="984"/>
      <c r="BI195" s="984"/>
      <c r="BJ195" s="984"/>
      <c r="BK195" s="984"/>
      <c r="BL195" s="984"/>
      <c r="BM195" s="984"/>
      <c r="BN195" s="984"/>
      <c r="BO195" s="984"/>
      <c r="BP195" s="984"/>
      <c r="BQ195" s="984"/>
      <c r="BR195" s="938"/>
      <c r="BS195" s="984">
        <f t="shared" ref="BS195:CL195" si="224">BS193-BR193</f>
        <v>-38</v>
      </c>
      <c r="BT195" s="984">
        <f t="shared" si="224"/>
        <v>-21</v>
      </c>
      <c r="BU195" s="984">
        <f t="shared" si="224"/>
        <v>-32</v>
      </c>
      <c r="BV195" s="986">
        <f t="shared" si="224"/>
        <v>-591</v>
      </c>
      <c r="BW195" s="984">
        <f t="shared" si="224"/>
        <v>-16</v>
      </c>
      <c r="BX195" s="984">
        <f t="shared" si="224"/>
        <v>-14</v>
      </c>
      <c r="BY195" s="984">
        <f t="shared" si="224"/>
        <v>-9</v>
      </c>
      <c r="BZ195" s="986">
        <f t="shared" si="224"/>
        <v>-15</v>
      </c>
      <c r="CA195" s="984">
        <f t="shared" si="224"/>
        <v>-20</v>
      </c>
      <c r="CB195" s="984">
        <f t="shared" si="224"/>
        <v>-15</v>
      </c>
      <c r="CC195" s="984">
        <f t="shared" si="224"/>
        <v>-44</v>
      </c>
      <c r="CD195" s="986">
        <f t="shared" si="224"/>
        <v>-44</v>
      </c>
      <c r="CE195" s="984">
        <f t="shared" si="224"/>
        <v>-35</v>
      </c>
      <c r="CF195" s="984">
        <f t="shared" si="224"/>
        <v>-31</v>
      </c>
      <c r="CG195" s="984">
        <f t="shared" si="224"/>
        <v>-33</v>
      </c>
      <c r="CH195" s="986">
        <f t="shared" si="224"/>
        <v>-34</v>
      </c>
      <c r="CI195" s="984">
        <f t="shared" si="224"/>
        <v>-27</v>
      </c>
      <c r="CJ195" s="984">
        <f t="shared" si="224"/>
        <v>-29</v>
      </c>
      <c r="CK195" s="984">
        <f t="shared" si="224"/>
        <v>-41</v>
      </c>
      <c r="CL195" s="986">
        <f t="shared" si="224"/>
        <v>-47.143534726143344</v>
      </c>
    </row>
    <row r="196" spans="1:90">
      <c r="A196" s="976" t="s">
        <v>113</v>
      </c>
      <c r="B196" s="977"/>
      <c r="C196" s="977"/>
      <c r="D196" s="977"/>
      <c r="E196" s="977"/>
      <c r="F196" s="977"/>
      <c r="G196" s="977"/>
      <c r="H196" s="977"/>
      <c r="I196" s="977"/>
      <c r="J196" s="977"/>
      <c r="K196" s="977"/>
      <c r="L196" s="977"/>
      <c r="M196" s="977"/>
      <c r="N196" s="977"/>
      <c r="O196" s="977"/>
      <c r="P196" s="978"/>
      <c r="Q196" s="978"/>
      <c r="R196" s="979"/>
      <c r="S196" s="977"/>
      <c r="T196" s="949"/>
      <c r="U196" s="949"/>
      <c r="V196" s="949"/>
      <c r="W196" s="949"/>
      <c r="X196" s="947"/>
      <c r="Y196" s="947"/>
      <c r="Z196" s="947"/>
      <c r="AA196" s="977"/>
      <c r="AB196" s="977"/>
      <c r="AC196" s="977"/>
      <c r="AD196" s="977"/>
      <c r="AE196" s="977"/>
      <c r="AF196" s="977"/>
      <c r="AG196" s="977"/>
      <c r="AH196" s="977"/>
      <c r="AI196" s="977"/>
      <c r="AJ196" s="977"/>
      <c r="AK196" s="977"/>
      <c r="AL196" s="977"/>
      <c r="AM196" s="977"/>
      <c r="AN196" s="977"/>
      <c r="AO196" s="977"/>
      <c r="AP196" s="977"/>
      <c r="AQ196" s="977"/>
      <c r="AR196" s="977"/>
      <c r="AS196" s="977"/>
      <c r="AT196" s="977"/>
      <c r="AU196" s="977"/>
      <c r="AV196" s="977"/>
      <c r="AW196" s="977"/>
      <c r="AX196" s="977"/>
      <c r="AY196" s="977"/>
      <c r="AZ196" s="977"/>
      <c r="BA196" s="977"/>
      <c r="BB196" s="977"/>
      <c r="BC196" s="977"/>
      <c r="BD196" s="977"/>
      <c r="BE196" s="977"/>
      <c r="BF196" s="977"/>
      <c r="BG196" s="977"/>
      <c r="BH196" s="977"/>
      <c r="BI196" s="977"/>
      <c r="BJ196" s="977"/>
      <c r="BK196" s="977"/>
      <c r="BL196" s="977"/>
      <c r="BM196" s="977"/>
      <c r="BN196" s="977"/>
      <c r="BO196" s="977"/>
      <c r="BP196" s="977"/>
      <c r="BQ196" s="977"/>
      <c r="BR196" s="980" t="s">
        <v>36</v>
      </c>
      <c r="BS196" s="977"/>
      <c r="BT196" s="977"/>
      <c r="BU196" s="977"/>
      <c r="BV196" s="981"/>
      <c r="BW196" s="977"/>
      <c r="BX196" s="977"/>
      <c r="BY196" s="977"/>
      <c r="BZ196" s="981"/>
      <c r="CA196" s="977"/>
      <c r="CB196" s="977"/>
      <c r="CC196" s="977"/>
      <c r="CD196" s="981"/>
      <c r="CE196" s="977"/>
      <c r="CF196" s="977"/>
      <c r="CG196" s="977"/>
      <c r="CH196" s="981"/>
      <c r="CI196" s="977"/>
      <c r="CJ196" s="977"/>
      <c r="CK196" s="977"/>
      <c r="CL196" s="981"/>
    </row>
    <row r="197" spans="1:90">
      <c r="A197" s="1047" t="s">
        <v>658</v>
      </c>
      <c r="B197" s="1048"/>
      <c r="C197" s="1048"/>
      <c r="D197" s="1048"/>
      <c r="E197" s="1048"/>
      <c r="F197" s="1048"/>
      <c r="G197" s="1048"/>
      <c r="H197" s="1048"/>
      <c r="I197" s="1048"/>
      <c r="J197" s="1048"/>
      <c r="K197" s="1048"/>
      <c r="L197" s="1048"/>
      <c r="M197" s="1048"/>
      <c r="N197" s="984">
        <f>SUM(BR197:BU197)</f>
        <v>2354</v>
      </c>
      <c r="O197" s="984">
        <f>SUM(BV197:BY197)</f>
        <v>2355</v>
      </c>
      <c r="P197" s="948">
        <f>SUM(BZ197:CC197)</f>
        <v>2092</v>
      </c>
      <c r="Q197" s="948">
        <f>SUM(CD197:CG197)</f>
        <v>1678</v>
      </c>
      <c r="R197" s="985">
        <f>SUM(CH197:CK197)</f>
        <v>1368</v>
      </c>
      <c r="S197" s="984">
        <f>SUM(CL197:CO197)</f>
        <v>312</v>
      </c>
      <c r="T197" s="949"/>
      <c r="U197" s="949"/>
      <c r="V197" s="949"/>
      <c r="W197" s="949"/>
      <c r="X197" s="947"/>
      <c r="Y197" s="947"/>
      <c r="Z197" s="947"/>
      <c r="AA197" s="984"/>
      <c r="AB197" s="984"/>
      <c r="AC197" s="984"/>
      <c r="AD197" s="984"/>
      <c r="AE197" s="984"/>
      <c r="AF197" s="984"/>
      <c r="AG197" s="984"/>
      <c r="AH197" s="984"/>
      <c r="AI197" s="984"/>
      <c r="AJ197" s="984"/>
      <c r="AK197" s="984"/>
      <c r="AL197" s="984"/>
      <c r="AM197" s="984"/>
      <c r="AN197" s="984"/>
      <c r="AO197" s="984"/>
      <c r="AP197" s="984"/>
      <c r="AQ197" s="984"/>
      <c r="AR197" s="984"/>
      <c r="AS197" s="984"/>
      <c r="AT197" s="984"/>
      <c r="AU197" s="984"/>
      <c r="AV197" s="984"/>
      <c r="AW197" s="984"/>
      <c r="AX197" s="984"/>
      <c r="AY197" s="984"/>
      <c r="AZ197" s="984"/>
      <c r="BA197" s="984"/>
      <c r="BB197" s="984"/>
      <c r="BC197" s="984"/>
      <c r="BD197" s="984"/>
      <c r="BE197" s="984"/>
      <c r="BF197" s="984"/>
      <c r="BG197" s="984"/>
      <c r="BH197" s="984"/>
      <c r="BI197" s="984"/>
      <c r="BJ197" s="984"/>
      <c r="BK197" s="984"/>
      <c r="BL197" s="984"/>
      <c r="BM197" s="984"/>
      <c r="BN197" s="984"/>
      <c r="BO197" s="984"/>
      <c r="BP197" s="984"/>
      <c r="BQ197" s="984"/>
      <c r="BR197" s="938">
        <v>592</v>
      </c>
      <c r="BS197" s="347">
        <v>582</v>
      </c>
      <c r="BT197" s="347">
        <v>601</v>
      </c>
      <c r="BU197" s="347">
        <v>579</v>
      </c>
      <c r="BV197" s="938">
        <v>616</v>
      </c>
      <c r="BW197" s="347">
        <v>609</v>
      </c>
      <c r="BX197" s="347">
        <v>574</v>
      </c>
      <c r="BY197" s="347">
        <v>556</v>
      </c>
      <c r="BZ197" s="938">
        <v>551</v>
      </c>
      <c r="CA197" s="347">
        <v>531</v>
      </c>
      <c r="CB197" s="347">
        <v>520</v>
      </c>
      <c r="CC197" s="348">
        <v>490</v>
      </c>
      <c r="CD197" s="938">
        <v>456</v>
      </c>
      <c r="CE197" s="347">
        <v>423</v>
      </c>
      <c r="CF197" s="347">
        <v>413</v>
      </c>
      <c r="CG197" s="348">
        <v>386</v>
      </c>
      <c r="CH197" s="938">
        <v>368</v>
      </c>
      <c r="CI197" s="347">
        <v>341</v>
      </c>
      <c r="CJ197" s="347">
        <v>338</v>
      </c>
      <c r="CK197" s="348">
        <v>321</v>
      </c>
      <c r="CL197" s="938">
        <v>312</v>
      </c>
    </row>
    <row r="198" spans="1:90">
      <c r="A198" s="983" t="s">
        <v>34</v>
      </c>
      <c r="B198" s="983"/>
      <c r="C198" s="983"/>
      <c r="D198" s="983"/>
      <c r="E198" s="983"/>
      <c r="F198" s="983"/>
      <c r="G198" s="983"/>
      <c r="H198" s="983"/>
      <c r="I198" s="983"/>
      <c r="J198" s="983"/>
      <c r="K198" s="983"/>
      <c r="L198" s="983"/>
      <c r="M198" s="983"/>
      <c r="N198" s="984"/>
      <c r="O198" s="988">
        <f>O197/N197-1</f>
        <v>4.2480883602369346E-4</v>
      </c>
      <c r="P198" s="988">
        <f>P197/O197-1</f>
        <v>-0.1116772823779193</v>
      </c>
      <c r="Q198" s="988">
        <f>Q197/P197-1</f>
        <v>-0.19789674952198855</v>
      </c>
      <c r="R198" s="989">
        <f>R197/Q197-1</f>
        <v>-0.18474374255065551</v>
      </c>
      <c r="S198" s="988">
        <f>S197/R197-1</f>
        <v>-0.77192982456140347</v>
      </c>
      <c r="T198" s="949"/>
      <c r="U198" s="949"/>
      <c r="V198" s="949"/>
      <c r="W198" s="949"/>
      <c r="X198" s="947"/>
      <c r="Y198" s="947"/>
      <c r="Z198" s="947"/>
      <c r="AA198" s="984"/>
      <c r="AB198" s="984"/>
      <c r="AC198" s="984"/>
      <c r="AD198" s="984"/>
      <c r="AE198" s="984"/>
      <c r="AF198" s="984"/>
      <c r="AG198" s="984"/>
      <c r="AH198" s="984"/>
      <c r="AI198" s="984"/>
      <c r="AJ198" s="984"/>
      <c r="AK198" s="984"/>
      <c r="AL198" s="984"/>
      <c r="AM198" s="984"/>
      <c r="AN198" s="984"/>
      <c r="AO198" s="984"/>
      <c r="AP198" s="984"/>
      <c r="AQ198" s="984"/>
      <c r="AR198" s="984"/>
      <c r="AS198" s="984"/>
      <c r="AT198" s="984"/>
      <c r="AU198" s="984"/>
      <c r="AV198" s="984"/>
      <c r="AW198" s="984"/>
      <c r="AX198" s="984"/>
      <c r="AY198" s="984"/>
      <c r="AZ198" s="984"/>
      <c r="BA198" s="984"/>
      <c r="BB198" s="984"/>
      <c r="BC198" s="984"/>
      <c r="BD198" s="984"/>
      <c r="BE198" s="984"/>
      <c r="BF198" s="984"/>
      <c r="BG198" s="984"/>
      <c r="BH198" s="984"/>
      <c r="BI198" s="984"/>
      <c r="BJ198" s="984"/>
      <c r="BK198" s="984"/>
      <c r="BL198" s="984"/>
      <c r="BM198" s="984"/>
      <c r="BN198" s="984"/>
      <c r="BO198" s="984"/>
      <c r="BP198" s="984"/>
      <c r="BQ198" s="984"/>
      <c r="BR198" s="938"/>
      <c r="BS198" s="347"/>
      <c r="BT198" s="347"/>
      <c r="BU198" s="347"/>
      <c r="BV198" s="990"/>
      <c r="BW198" s="988"/>
      <c r="BX198" s="988"/>
      <c r="BY198" s="988"/>
      <c r="BZ198" s="990">
        <f t="shared" ref="BZ198:CG198" si="225">BZ197/BV197-1</f>
        <v>-0.10551948051948057</v>
      </c>
      <c r="CA198" s="988">
        <f t="shared" si="225"/>
        <v>-0.1280788177339901</v>
      </c>
      <c r="CB198" s="988">
        <f t="shared" si="225"/>
        <v>-9.4076655052264813E-2</v>
      </c>
      <c r="CC198" s="988">
        <f t="shared" si="225"/>
        <v>-0.11870503597122306</v>
      </c>
      <c r="CD198" s="990">
        <f t="shared" si="225"/>
        <v>-0.17241379310344829</v>
      </c>
      <c r="CE198" s="988">
        <f t="shared" si="225"/>
        <v>-0.20338983050847459</v>
      </c>
      <c r="CF198" s="988">
        <f t="shared" si="225"/>
        <v>-0.20576923076923082</v>
      </c>
      <c r="CG198" s="988">
        <f t="shared" si="225"/>
        <v>-0.21224489795918366</v>
      </c>
      <c r="CH198" s="990">
        <f>CH197/CD197-1</f>
        <v>-0.19298245614035092</v>
      </c>
      <c r="CI198" s="988">
        <f>CI197/CE197-1</f>
        <v>-0.19385342789598103</v>
      </c>
      <c r="CJ198" s="988">
        <f>CJ197/CF197-1</f>
        <v>-0.18159806295399517</v>
      </c>
      <c r="CK198" s="988">
        <f>CK197/CG197-1</f>
        <v>-0.16839378238341973</v>
      </c>
      <c r="CL198" s="990">
        <f>CL197/CH197-1</f>
        <v>-0.15217391304347827</v>
      </c>
    </row>
    <row r="199" spans="1:90">
      <c r="A199" s="1048" t="s">
        <v>77</v>
      </c>
      <c r="B199" s="983"/>
      <c r="C199" s="983"/>
      <c r="D199" s="983"/>
      <c r="E199" s="983"/>
      <c r="F199" s="983"/>
      <c r="G199" s="983"/>
      <c r="H199" s="983"/>
      <c r="I199" s="983"/>
      <c r="J199" s="983"/>
      <c r="K199" s="983"/>
      <c r="L199" s="983"/>
      <c r="M199" s="983"/>
      <c r="N199" s="1020">
        <f t="shared" ref="N199:S199" si="226">N197/AVERAGE(M221:N221)/12*1000</f>
        <v>131.21516164994426</v>
      </c>
      <c r="O199" s="1020">
        <f t="shared" si="226"/>
        <v>136.56924147529577</v>
      </c>
      <c r="P199" s="1020">
        <f t="shared" si="226"/>
        <v>136.57135396265832</v>
      </c>
      <c r="Q199" s="1020">
        <f t="shared" si="226"/>
        <v>125.35484834902135</v>
      </c>
      <c r="R199" s="1021">
        <f t="shared" si="226"/>
        <v>113.88611388611388</v>
      </c>
      <c r="S199" s="1020">
        <f t="shared" si="226"/>
        <v>55.026455026455025</v>
      </c>
      <c r="T199" s="949"/>
      <c r="U199" s="949"/>
      <c r="V199" s="949"/>
      <c r="W199" s="949"/>
      <c r="X199" s="947"/>
      <c r="Y199" s="947"/>
      <c r="Z199" s="947"/>
      <c r="AA199" s="984"/>
      <c r="AB199" s="984"/>
      <c r="AC199" s="984"/>
      <c r="AD199" s="984"/>
      <c r="AE199" s="984"/>
      <c r="AF199" s="984"/>
      <c r="AG199" s="984"/>
      <c r="AH199" s="984"/>
      <c r="AI199" s="984"/>
      <c r="AJ199" s="984"/>
      <c r="AK199" s="984"/>
      <c r="AL199" s="984"/>
      <c r="AM199" s="984"/>
      <c r="AN199" s="984"/>
      <c r="AO199" s="984"/>
      <c r="AP199" s="984"/>
      <c r="AQ199" s="984"/>
      <c r="AR199" s="984"/>
      <c r="AS199" s="984"/>
      <c r="AT199" s="984"/>
      <c r="AU199" s="984"/>
      <c r="AV199" s="984"/>
      <c r="AW199" s="984"/>
      <c r="AX199" s="984"/>
      <c r="AY199" s="984"/>
      <c r="AZ199" s="984"/>
      <c r="BA199" s="984"/>
      <c r="BB199" s="984"/>
      <c r="BC199" s="984"/>
      <c r="BD199" s="984"/>
      <c r="BE199" s="984"/>
      <c r="BF199" s="984"/>
      <c r="BG199" s="984"/>
      <c r="BH199" s="984"/>
      <c r="BI199" s="984"/>
      <c r="BJ199" s="984"/>
      <c r="BK199" s="984"/>
      <c r="BL199" s="984"/>
      <c r="BM199" s="984"/>
      <c r="BN199" s="984"/>
      <c r="BO199" s="984"/>
      <c r="BP199" s="984"/>
      <c r="BQ199" s="984"/>
      <c r="BR199" s="1022"/>
      <c r="BS199" s="1020">
        <f t="shared" ref="BS199:CL199" si="227">BS197/AVERAGE(BR221:BS221)/3*1000</f>
        <v>117.86148238153099</v>
      </c>
      <c r="BT199" s="1020">
        <f t="shared" si="227"/>
        <v>125.67963195315768</v>
      </c>
      <c r="BU199" s="1020">
        <f t="shared" si="227"/>
        <v>126.18502778685844</v>
      </c>
      <c r="BV199" s="1022">
        <f t="shared" si="227"/>
        <v>134.51250136477779</v>
      </c>
      <c r="BW199" s="1020">
        <f t="shared" si="227"/>
        <v>133.11475409836066</v>
      </c>
      <c r="BX199" s="1020">
        <f t="shared" si="227"/>
        <v>130.60295790671216</v>
      </c>
      <c r="BY199" s="1020">
        <f t="shared" si="227"/>
        <v>131.58206129452134</v>
      </c>
      <c r="BZ199" s="1022">
        <f t="shared" si="227"/>
        <v>136.40302017576434</v>
      </c>
      <c r="CA199" s="1020">
        <f t="shared" si="227"/>
        <v>137.58258841818889</v>
      </c>
      <c r="CB199" s="1020">
        <f t="shared" si="227"/>
        <v>140.46461372231227</v>
      </c>
      <c r="CC199" s="1020">
        <f t="shared" si="227"/>
        <v>137.08210938592811</v>
      </c>
      <c r="CD199" s="1022">
        <f t="shared" si="227"/>
        <v>131.37424373379432</v>
      </c>
      <c r="CE199" s="1020">
        <f t="shared" si="227"/>
        <v>125.50066755674233</v>
      </c>
      <c r="CF199" s="1020">
        <f t="shared" si="227"/>
        <v>126.12612612612614</v>
      </c>
      <c r="CG199" s="1020">
        <f t="shared" si="227"/>
        <v>120.64385060165651</v>
      </c>
      <c r="CH199" s="1022">
        <f t="shared" si="227"/>
        <v>118.06223933269168</v>
      </c>
      <c r="CI199" s="1020">
        <f t="shared" si="227"/>
        <v>113.1574581051933</v>
      </c>
      <c r="CJ199" s="1020">
        <f t="shared" si="227"/>
        <v>115.4963266700837</v>
      </c>
      <c r="CK199" s="1020">
        <f t="shared" si="227"/>
        <v>112.15932914046121</v>
      </c>
      <c r="CL199" s="1022">
        <f t="shared" si="227"/>
        <v>111.45634111265723</v>
      </c>
    </row>
    <row r="200" spans="1:90">
      <c r="A200" s="983" t="s">
        <v>34</v>
      </c>
      <c r="B200" s="983"/>
      <c r="C200" s="983"/>
      <c r="D200" s="983"/>
      <c r="E200" s="983"/>
      <c r="F200" s="983"/>
      <c r="G200" s="983"/>
      <c r="H200" s="983"/>
      <c r="I200" s="983"/>
      <c r="J200" s="983"/>
      <c r="K200" s="983"/>
      <c r="L200" s="983"/>
      <c r="M200" s="983"/>
      <c r="N200" s="984"/>
      <c r="O200" s="988">
        <f>O199/N199-1</f>
        <v>4.0803819909433381E-2</v>
      </c>
      <c r="P200" s="988">
        <f>P199/O199-1</f>
        <v>1.5468251413963685E-5</v>
      </c>
      <c r="Q200" s="988">
        <f>Q199/P199-1</f>
        <v>-8.2129270071554017E-2</v>
      </c>
      <c r="R200" s="989">
        <f>R199/Q199-1</f>
        <v>-9.1490154660595624E-2</v>
      </c>
      <c r="S200" s="988">
        <f>S199/R199-1</f>
        <v>-0.51682910981156593</v>
      </c>
      <c r="T200" s="949"/>
      <c r="U200" s="949"/>
      <c r="V200" s="949"/>
      <c r="W200" s="949"/>
      <c r="X200" s="947"/>
      <c r="Y200" s="947"/>
      <c r="Z200" s="947"/>
      <c r="AA200" s="984"/>
      <c r="AB200" s="984"/>
      <c r="AC200" s="984"/>
      <c r="AD200" s="984"/>
      <c r="AE200" s="984"/>
      <c r="AF200" s="984"/>
      <c r="AG200" s="984"/>
      <c r="AH200" s="984"/>
      <c r="AI200" s="984"/>
      <c r="AJ200" s="984"/>
      <c r="AK200" s="984"/>
      <c r="AL200" s="984"/>
      <c r="AM200" s="984"/>
      <c r="AN200" s="984"/>
      <c r="AO200" s="984"/>
      <c r="AP200" s="984"/>
      <c r="AQ200" s="984"/>
      <c r="AR200" s="984"/>
      <c r="AS200" s="984"/>
      <c r="AT200" s="984"/>
      <c r="AU200" s="984"/>
      <c r="AV200" s="984"/>
      <c r="AW200" s="984"/>
      <c r="AX200" s="984"/>
      <c r="AY200" s="984"/>
      <c r="AZ200" s="984"/>
      <c r="BA200" s="984"/>
      <c r="BB200" s="984"/>
      <c r="BC200" s="984"/>
      <c r="BD200" s="984"/>
      <c r="BE200" s="984"/>
      <c r="BF200" s="984"/>
      <c r="BG200" s="984"/>
      <c r="BH200" s="984"/>
      <c r="BI200" s="984"/>
      <c r="BJ200" s="984"/>
      <c r="BK200" s="984"/>
      <c r="BL200" s="984"/>
      <c r="BM200" s="984"/>
      <c r="BN200" s="984"/>
      <c r="BO200" s="984"/>
      <c r="BP200" s="984"/>
      <c r="BQ200" s="984"/>
      <c r="BR200" s="938"/>
      <c r="BS200" s="984"/>
      <c r="BT200" s="984"/>
      <c r="BU200" s="984"/>
      <c r="BV200" s="990"/>
      <c r="BW200" s="988"/>
      <c r="BX200" s="988"/>
      <c r="BY200" s="988"/>
      <c r="BZ200" s="990">
        <f t="shared" ref="BZ200:CL200" si="228">BZ199/BV199-1</f>
        <v>1.4054595608624876E-2</v>
      </c>
      <c r="CA200" s="988">
        <f t="shared" si="228"/>
        <v>3.356377998885729E-2</v>
      </c>
      <c r="CB200" s="988">
        <f t="shared" si="228"/>
        <v>7.5508671271014682E-2</v>
      </c>
      <c r="CC200" s="988">
        <f t="shared" si="228"/>
        <v>4.1799376277408706E-2</v>
      </c>
      <c r="CD200" s="990">
        <f t="shared" si="228"/>
        <v>-3.6867046165767525E-2</v>
      </c>
      <c r="CE200" s="988">
        <f t="shared" si="228"/>
        <v>-8.7815769425146906E-2</v>
      </c>
      <c r="CF200" s="988">
        <f t="shared" si="228"/>
        <v>-0.102079002079002</v>
      </c>
      <c r="CG200" s="988">
        <f t="shared" si="228"/>
        <v>-0.11991542045791592</v>
      </c>
      <c r="CH200" s="990">
        <f>CH199/CD199-1</f>
        <v>-0.10132887560576154</v>
      </c>
      <c r="CI200" s="988">
        <f t="shared" si="228"/>
        <v>-9.8351743395853397E-2</v>
      </c>
      <c r="CJ200" s="988">
        <f t="shared" si="228"/>
        <v>-8.4279124258622162E-2</v>
      </c>
      <c r="CK200" s="988">
        <f t="shared" si="228"/>
        <v>-7.0327011438068299E-2</v>
      </c>
      <c r="CL200" s="990">
        <f t="shared" si="228"/>
        <v>-5.5952675956106979E-2</v>
      </c>
    </row>
    <row r="201" spans="1:90">
      <c r="A201" s="1047" t="s">
        <v>659</v>
      </c>
      <c r="B201" s="1048"/>
      <c r="C201" s="1048"/>
      <c r="D201" s="1048"/>
      <c r="E201" s="1048"/>
      <c r="F201" s="1048"/>
      <c r="G201" s="1048"/>
      <c r="H201" s="1048"/>
      <c r="I201" s="1048"/>
      <c r="J201" s="1048"/>
      <c r="K201" s="1048"/>
      <c r="L201" s="1048"/>
      <c r="M201" s="1048"/>
      <c r="N201" s="984">
        <f>SUM(BR201:BU201)</f>
        <v>1323</v>
      </c>
      <c r="O201" s="984">
        <f>SUM(BV201:BY201)</f>
        <v>1215</v>
      </c>
      <c r="P201" s="948">
        <f>SUM(BZ201:CC201)</f>
        <v>1251</v>
      </c>
      <c r="Q201" s="948">
        <f>SUM(CD201:CG201)</f>
        <v>1235</v>
      </c>
      <c r="R201" s="985">
        <f>SUM(CH201:CK201)</f>
        <v>1286</v>
      </c>
      <c r="S201" s="984">
        <f>SUM(CL201:CO201)</f>
        <v>339</v>
      </c>
      <c r="T201" s="949"/>
      <c r="U201" s="949"/>
      <c r="V201" s="949"/>
      <c r="W201" s="949"/>
      <c r="X201" s="947"/>
      <c r="Y201" s="947"/>
      <c r="Z201" s="947"/>
      <c r="AA201" s="984"/>
      <c r="AB201" s="984"/>
      <c r="AC201" s="984"/>
      <c r="AD201" s="984"/>
      <c r="AE201" s="984"/>
      <c r="AF201" s="984"/>
      <c r="AG201" s="984"/>
      <c r="AH201" s="984"/>
      <c r="AI201" s="984"/>
      <c r="AJ201" s="984"/>
      <c r="AK201" s="984"/>
      <c r="AL201" s="984"/>
      <c r="AM201" s="984"/>
      <c r="AN201" s="984"/>
      <c r="AO201" s="984"/>
      <c r="AP201" s="984"/>
      <c r="AQ201" s="984"/>
      <c r="AR201" s="984"/>
      <c r="AS201" s="984"/>
      <c r="AT201" s="984"/>
      <c r="AU201" s="984"/>
      <c r="AV201" s="984"/>
      <c r="AW201" s="984"/>
      <c r="AX201" s="984"/>
      <c r="AY201" s="984"/>
      <c r="AZ201" s="984"/>
      <c r="BA201" s="984"/>
      <c r="BB201" s="984"/>
      <c r="BC201" s="984"/>
      <c r="BD201" s="984"/>
      <c r="BE201" s="984"/>
      <c r="BF201" s="984"/>
      <c r="BG201" s="984"/>
      <c r="BH201" s="984"/>
      <c r="BI201" s="984"/>
      <c r="BJ201" s="984"/>
      <c r="BK201" s="984"/>
      <c r="BL201" s="984"/>
      <c r="BM201" s="984"/>
      <c r="BN201" s="984"/>
      <c r="BO201" s="984"/>
      <c r="BP201" s="984"/>
      <c r="BQ201" s="984"/>
      <c r="BR201" s="938">
        <v>315</v>
      </c>
      <c r="BS201" s="348">
        <v>320</v>
      </c>
      <c r="BT201" s="348">
        <v>335</v>
      </c>
      <c r="BU201" s="348">
        <v>353</v>
      </c>
      <c r="BV201" s="938">
        <v>302</v>
      </c>
      <c r="BW201" s="347">
        <v>303</v>
      </c>
      <c r="BX201" s="347">
        <v>304</v>
      </c>
      <c r="BY201" s="348">
        <v>306</v>
      </c>
      <c r="BZ201" s="938">
        <v>308</v>
      </c>
      <c r="CA201" s="347">
        <v>312</v>
      </c>
      <c r="CB201" s="347">
        <v>315</v>
      </c>
      <c r="CC201" s="348">
        <v>316</v>
      </c>
      <c r="CD201" s="938">
        <v>313</v>
      </c>
      <c r="CE201" s="347">
        <v>307</v>
      </c>
      <c r="CF201" s="347">
        <v>306</v>
      </c>
      <c r="CG201" s="348">
        <v>309</v>
      </c>
      <c r="CH201" s="938">
        <v>317</v>
      </c>
      <c r="CI201" s="347">
        <v>318</v>
      </c>
      <c r="CJ201" s="347">
        <v>323</v>
      </c>
      <c r="CK201" s="348">
        <v>328</v>
      </c>
      <c r="CL201" s="938">
        <v>339</v>
      </c>
    </row>
    <row r="202" spans="1:90">
      <c r="A202" s="983" t="s">
        <v>34</v>
      </c>
      <c r="B202" s="983"/>
      <c r="C202" s="983"/>
      <c r="D202" s="983"/>
      <c r="E202" s="983"/>
      <c r="F202" s="983"/>
      <c r="G202" s="983"/>
      <c r="H202" s="983"/>
      <c r="I202" s="983"/>
      <c r="J202" s="983"/>
      <c r="K202" s="983"/>
      <c r="L202" s="983"/>
      <c r="M202" s="983"/>
      <c r="N202" s="984"/>
      <c r="O202" s="988">
        <f>O201/N201-1</f>
        <v>-8.1632653061224469E-2</v>
      </c>
      <c r="P202" s="988">
        <f>P201/O201-1</f>
        <v>2.9629629629629672E-2</v>
      </c>
      <c r="Q202" s="988">
        <f>Q201/P201-1</f>
        <v>-1.2789768185451633E-2</v>
      </c>
      <c r="R202" s="989">
        <f>R201/Q201-1</f>
        <v>4.1295546558704377E-2</v>
      </c>
      <c r="S202" s="988">
        <f>S201/R201-1</f>
        <v>-0.73639191290824257</v>
      </c>
      <c r="T202" s="949"/>
      <c r="U202" s="949"/>
      <c r="V202" s="949"/>
      <c r="W202" s="949"/>
      <c r="X202" s="947"/>
      <c r="Y202" s="947"/>
      <c r="Z202" s="947"/>
      <c r="AA202" s="984"/>
      <c r="AB202" s="984"/>
      <c r="AC202" s="984"/>
      <c r="AD202" s="984"/>
      <c r="AE202" s="984"/>
      <c r="AF202" s="984"/>
      <c r="AG202" s="984"/>
      <c r="AH202" s="984"/>
      <c r="AI202" s="984"/>
      <c r="AJ202" s="984"/>
      <c r="AK202" s="984"/>
      <c r="AL202" s="984"/>
      <c r="AM202" s="984"/>
      <c r="AN202" s="984"/>
      <c r="AO202" s="984"/>
      <c r="AP202" s="984"/>
      <c r="AQ202" s="984"/>
      <c r="AR202" s="984"/>
      <c r="AS202" s="984"/>
      <c r="AT202" s="984"/>
      <c r="AU202" s="984"/>
      <c r="AV202" s="984"/>
      <c r="AW202" s="984"/>
      <c r="AX202" s="984"/>
      <c r="AY202" s="984"/>
      <c r="AZ202" s="984"/>
      <c r="BA202" s="984"/>
      <c r="BB202" s="984"/>
      <c r="BC202" s="984"/>
      <c r="BD202" s="984"/>
      <c r="BE202" s="984"/>
      <c r="BF202" s="984"/>
      <c r="BG202" s="984"/>
      <c r="BH202" s="984"/>
      <c r="BI202" s="984"/>
      <c r="BJ202" s="984"/>
      <c r="BK202" s="984"/>
      <c r="BL202" s="984"/>
      <c r="BM202" s="984"/>
      <c r="BN202" s="984"/>
      <c r="BO202" s="984"/>
      <c r="BP202" s="984"/>
      <c r="BQ202" s="984"/>
      <c r="BR202" s="938"/>
      <c r="BS202" s="347"/>
      <c r="BT202" s="347"/>
      <c r="BU202" s="347"/>
      <c r="BV202" s="990">
        <f t="shared" ref="BV202:CL202" si="229">BV201/BR201-1</f>
        <v>-4.1269841269841234E-2</v>
      </c>
      <c r="BW202" s="988">
        <f t="shared" si="229"/>
        <v>-5.3124999999999978E-2</v>
      </c>
      <c r="BX202" s="988">
        <f t="shared" si="229"/>
        <v>-9.2537313432835777E-2</v>
      </c>
      <c r="BY202" s="988">
        <f t="shared" si="229"/>
        <v>-0.13314447592067991</v>
      </c>
      <c r="BZ202" s="990">
        <f t="shared" si="229"/>
        <v>1.9867549668874274E-2</v>
      </c>
      <c r="CA202" s="988">
        <f t="shared" si="229"/>
        <v>2.9702970297029729E-2</v>
      </c>
      <c r="CB202" s="988">
        <f t="shared" si="229"/>
        <v>3.6184210526315708E-2</v>
      </c>
      <c r="CC202" s="988">
        <f t="shared" si="229"/>
        <v>3.2679738562091609E-2</v>
      </c>
      <c r="CD202" s="990">
        <f t="shared" si="229"/>
        <v>1.6233766233766156E-2</v>
      </c>
      <c r="CE202" s="988">
        <f t="shared" si="229"/>
        <v>-1.602564102564108E-2</v>
      </c>
      <c r="CF202" s="988">
        <f t="shared" si="229"/>
        <v>-2.8571428571428581E-2</v>
      </c>
      <c r="CG202" s="988">
        <f t="shared" si="229"/>
        <v>-2.2151898734177222E-2</v>
      </c>
      <c r="CH202" s="990">
        <f t="shared" si="229"/>
        <v>1.2779552715654896E-2</v>
      </c>
      <c r="CI202" s="988">
        <f t="shared" si="229"/>
        <v>3.5830618892508159E-2</v>
      </c>
      <c r="CJ202" s="988">
        <f t="shared" si="229"/>
        <v>5.555555555555558E-2</v>
      </c>
      <c r="CK202" s="988">
        <f t="shared" si="229"/>
        <v>6.1488673139158623E-2</v>
      </c>
      <c r="CL202" s="990">
        <f t="shared" si="229"/>
        <v>6.9400630914826511E-2</v>
      </c>
    </row>
    <row r="203" spans="1:90">
      <c r="A203" s="1060" t="s">
        <v>114</v>
      </c>
      <c r="B203" s="1060"/>
      <c r="C203" s="1060"/>
      <c r="D203" s="1060"/>
      <c r="E203" s="1060"/>
      <c r="F203" s="1060"/>
      <c r="G203" s="1060"/>
      <c r="H203" s="1060"/>
      <c r="I203" s="1060"/>
      <c r="J203" s="1060"/>
      <c r="K203" s="1060"/>
      <c r="L203" s="1060"/>
      <c r="M203" s="1060"/>
      <c r="N203" s="767">
        <f t="shared" ref="N203:S203" si="230">SUM(N197,N201)</f>
        <v>3677</v>
      </c>
      <c r="O203" s="767">
        <f t="shared" si="230"/>
        <v>3570</v>
      </c>
      <c r="P203" s="271">
        <f t="shared" si="230"/>
        <v>3343</v>
      </c>
      <c r="Q203" s="271">
        <f t="shared" si="230"/>
        <v>2913</v>
      </c>
      <c r="R203" s="223">
        <f t="shared" si="230"/>
        <v>2654</v>
      </c>
      <c r="S203" s="767">
        <f t="shared" si="230"/>
        <v>651</v>
      </c>
      <c r="T203" s="949"/>
      <c r="U203" s="949"/>
      <c r="V203" s="949"/>
      <c r="W203" s="949"/>
      <c r="X203" s="947"/>
      <c r="Y203" s="947"/>
      <c r="Z203" s="947"/>
      <c r="AA203" s="767"/>
      <c r="AB203" s="767"/>
      <c r="AC203" s="767"/>
      <c r="AD203" s="767"/>
      <c r="AE203" s="767"/>
      <c r="AF203" s="767"/>
      <c r="AG203" s="767"/>
      <c r="AH203" s="767"/>
      <c r="AI203" s="767"/>
      <c r="AJ203" s="767"/>
      <c r="AK203" s="767"/>
      <c r="AL203" s="767"/>
      <c r="AM203" s="767"/>
      <c r="AN203" s="767"/>
      <c r="AO203" s="767"/>
      <c r="AP203" s="767"/>
      <c r="AQ203" s="767"/>
      <c r="AR203" s="767"/>
      <c r="AS203" s="767"/>
      <c r="AT203" s="767"/>
      <c r="AU203" s="767"/>
      <c r="AV203" s="767"/>
      <c r="AW203" s="767"/>
      <c r="AX203" s="767"/>
      <c r="AY203" s="767"/>
      <c r="AZ203" s="767"/>
      <c r="BA203" s="767"/>
      <c r="BB203" s="767"/>
      <c r="BC203" s="767"/>
      <c r="BD203" s="767"/>
      <c r="BE203" s="767"/>
      <c r="BF203" s="767"/>
      <c r="BG203" s="767"/>
      <c r="BH203" s="767"/>
      <c r="BI203" s="767"/>
      <c r="BJ203" s="767"/>
      <c r="BK203" s="767"/>
      <c r="BL203" s="767"/>
      <c r="BM203" s="767"/>
      <c r="BN203" s="767"/>
      <c r="BO203" s="767"/>
      <c r="BP203" s="767"/>
      <c r="BQ203" s="767"/>
      <c r="BR203" s="940">
        <f t="shared" ref="BR203:BZ203" si="231">SUM(BR197,BR201)</f>
        <v>907</v>
      </c>
      <c r="BS203" s="767">
        <f t="shared" si="231"/>
        <v>902</v>
      </c>
      <c r="BT203" s="767">
        <f t="shared" si="231"/>
        <v>936</v>
      </c>
      <c r="BU203" s="767">
        <f t="shared" si="231"/>
        <v>932</v>
      </c>
      <c r="BV203" s="940">
        <f t="shared" si="231"/>
        <v>918</v>
      </c>
      <c r="BW203" s="767">
        <f t="shared" si="231"/>
        <v>912</v>
      </c>
      <c r="BX203" s="767">
        <f t="shared" si="231"/>
        <v>878</v>
      </c>
      <c r="BY203" s="767">
        <f t="shared" si="231"/>
        <v>862</v>
      </c>
      <c r="BZ203" s="940">
        <f t="shared" si="231"/>
        <v>859</v>
      </c>
      <c r="CA203" s="767">
        <f t="shared" ref="CA203:CK203" si="232">SUM(CA197,CA201)</f>
        <v>843</v>
      </c>
      <c r="CB203" s="767">
        <f t="shared" si="232"/>
        <v>835</v>
      </c>
      <c r="CC203" s="767">
        <f t="shared" si="232"/>
        <v>806</v>
      </c>
      <c r="CD203" s="940">
        <f t="shared" si="232"/>
        <v>769</v>
      </c>
      <c r="CE203" s="767">
        <f t="shared" si="232"/>
        <v>730</v>
      </c>
      <c r="CF203" s="767">
        <f t="shared" si="232"/>
        <v>719</v>
      </c>
      <c r="CG203" s="767">
        <f t="shared" si="232"/>
        <v>695</v>
      </c>
      <c r="CH203" s="940">
        <f t="shared" si="232"/>
        <v>685</v>
      </c>
      <c r="CI203" s="767">
        <f t="shared" si="232"/>
        <v>659</v>
      </c>
      <c r="CJ203" s="767">
        <f t="shared" si="232"/>
        <v>661</v>
      </c>
      <c r="CK203" s="767">
        <f t="shared" si="232"/>
        <v>649</v>
      </c>
      <c r="CL203" s="940">
        <f>SUM(CL197,CL201)</f>
        <v>651</v>
      </c>
    </row>
    <row r="204" spans="1:90">
      <c r="A204" s="1062" t="s">
        <v>34</v>
      </c>
      <c r="B204" s="1062"/>
      <c r="C204" s="1062"/>
      <c r="D204" s="1062"/>
      <c r="E204" s="1062"/>
      <c r="F204" s="1062"/>
      <c r="G204" s="1062"/>
      <c r="H204" s="1062"/>
      <c r="I204" s="1062"/>
      <c r="J204" s="1062"/>
      <c r="K204" s="1062"/>
      <c r="L204" s="1062"/>
      <c r="M204" s="1062"/>
      <c r="N204" s="1063"/>
      <c r="O204" s="1064">
        <f>O203/N203-1</f>
        <v>-2.9099809627413653E-2</v>
      </c>
      <c r="P204" s="1064">
        <f>P203/O203-1</f>
        <v>-6.3585434173669464E-2</v>
      </c>
      <c r="Q204" s="1064">
        <f>Q203/P203-1</f>
        <v>-0.12862698175291654</v>
      </c>
      <c r="R204" s="1065">
        <f>R203/Q203-1</f>
        <v>-8.8911774802609034E-2</v>
      </c>
      <c r="S204" s="1064">
        <f>S203/R203-1</f>
        <v>-0.75470987189148453</v>
      </c>
      <c r="T204" s="949"/>
      <c r="U204" s="949"/>
      <c r="V204" s="949"/>
      <c r="W204" s="949"/>
      <c r="X204" s="947"/>
      <c r="Y204" s="947"/>
      <c r="Z204" s="947"/>
      <c r="AA204" s="1063"/>
      <c r="AB204" s="1063"/>
      <c r="AC204" s="1063"/>
      <c r="AD204" s="1063"/>
      <c r="AE204" s="1063"/>
      <c r="AF204" s="1063"/>
      <c r="AG204" s="1063"/>
      <c r="AH204" s="1063"/>
      <c r="AI204" s="1063"/>
      <c r="AJ204" s="1063"/>
      <c r="AK204" s="1063"/>
      <c r="AL204" s="1063"/>
      <c r="AM204" s="1063"/>
      <c r="AN204" s="1063"/>
      <c r="AO204" s="1063"/>
      <c r="AP204" s="1063"/>
      <c r="AQ204" s="1063"/>
      <c r="AR204" s="1063"/>
      <c r="AS204" s="1063"/>
      <c r="AT204" s="1063"/>
      <c r="AU204" s="1063"/>
      <c r="AV204" s="1063"/>
      <c r="AW204" s="1063"/>
      <c r="AX204" s="1063"/>
      <c r="AY204" s="1063"/>
      <c r="AZ204" s="1063"/>
      <c r="BA204" s="1063"/>
      <c r="BB204" s="1063"/>
      <c r="BC204" s="1063"/>
      <c r="BD204" s="1063"/>
      <c r="BE204" s="1063"/>
      <c r="BF204" s="1063"/>
      <c r="BG204" s="1063"/>
      <c r="BH204" s="1063"/>
      <c r="BI204" s="1063"/>
      <c r="BJ204" s="1063"/>
      <c r="BK204" s="1063"/>
      <c r="BL204" s="1063"/>
      <c r="BM204" s="1063"/>
      <c r="BN204" s="1063"/>
      <c r="BO204" s="1063"/>
      <c r="BP204" s="1063"/>
      <c r="BQ204" s="1063"/>
      <c r="BR204" s="1066"/>
      <c r="BS204" s="1067"/>
      <c r="BT204" s="1067"/>
      <c r="BU204" s="1067"/>
      <c r="BV204" s="1069">
        <f t="shared" ref="BV204:CG204" si="233">BV203/BR203-1</f>
        <v>1.2127894156560126E-2</v>
      </c>
      <c r="BW204" s="1064">
        <f t="shared" si="233"/>
        <v>1.1086474501108556E-2</v>
      </c>
      <c r="BX204" s="1064">
        <f t="shared" si="233"/>
        <v>-6.1965811965811968E-2</v>
      </c>
      <c r="BY204" s="1064">
        <f t="shared" si="233"/>
        <v>-7.5107296137339019E-2</v>
      </c>
      <c r="BZ204" s="1069">
        <f t="shared" si="233"/>
        <v>-6.4270152505446654E-2</v>
      </c>
      <c r="CA204" s="1064">
        <f t="shared" si="233"/>
        <v>-7.5657894736842146E-2</v>
      </c>
      <c r="CB204" s="1064">
        <f t="shared" si="233"/>
        <v>-4.8974943052391806E-2</v>
      </c>
      <c r="CC204" s="1064">
        <f t="shared" si="233"/>
        <v>-6.4965197215777315E-2</v>
      </c>
      <c r="CD204" s="1069">
        <f t="shared" si="233"/>
        <v>-0.10477299185098954</v>
      </c>
      <c r="CE204" s="1064">
        <f t="shared" si="233"/>
        <v>-0.13404507710557534</v>
      </c>
      <c r="CF204" s="1064">
        <f t="shared" si="233"/>
        <v>-0.13892215568862276</v>
      </c>
      <c r="CG204" s="1064">
        <f t="shared" si="233"/>
        <v>-0.13771712158808935</v>
      </c>
      <c r="CH204" s="1069">
        <f>CH203/CD203-1</f>
        <v>-0.10923276983094932</v>
      </c>
      <c r="CI204" s="1064">
        <f>CI203/CE203-1</f>
        <v>-9.7260273972602729E-2</v>
      </c>
      <c r="CJ204" s="1064">
        <f>CJ203/CF203-1</f>
        <v>-8.0667593880389465E-2</v>
      </c>
      <c r="CK204" s="1064">
        <f>CK203/CG203-1</f>
        <v>-6.6187050359712285E-2</v>
      </c>
      <c r="CL204" s="1069">
        <f>CL203/CH203-1</f>
        <v>-4.9635036496350371E-2</v>
      </c>
    </row>
    <row r="205" spans="1:90" ht="12.75" hidden="1" customHeight="1" outlineLevel="2">
      <c r="A205" s="1047"/>
      <c r="B205" s="1047"/>
      <c r="C205" s="1047"/>
      <c r="D205" s="1047"/>
      <c r="E205" s="1047"/>
      <c r="F205" s="1047"/>
      <c r="G205" s="1047"/>
      <c r="H205" s="1047"/>
      <c r="I205" s="1047"/>
      <c r="J205" s="1047"/>
      <c r="K205" s="1047"/>
      <c r="L205" s="1047"/>
      <c r="M205" s="1047"/>
      <c r="N205" s="984"/>
      <c r="O205" s="984"/>
      <c r="P205" s="984"/>
      <c r="Q205" s="984"/>
      <c r="R205" s="1002"/>
      <c r="S205" s="984"/>
      <c r="T205" s="949"/>
      <c r="U205" s="949"/>
      <c r="V205" s="949"/>
      <c r="W205" s="949"/>
      <c r="X205" s="947"/>
      <c r="Y205" s="947"/>
      <c r="Z205" s="947"/>
      <c r="AA205" s="984"/>
      <c r="AB205" s="984"/>
      <c r="AC205" s="984"/>
      <c r="AD205" s="984"/>
      <c r="AE205" s="984"/>
      <c r="AF205" s="984"/>
      <c r="AG205" s="984"/>
      <c r="AH205" s="984"/>
      <c r="AI205" s="984"/>
      <c r="AJ205" s="984"/>
      <c r="AK205" s="984"/>
      <c r="AL205" s="984"/>
      <c r="AM205" s="984"/>
      <c r="AN205" s="984"/>
      <c r="AO205" s="984"/>
      <c r="AP205" s="984"/>
      <c r="AQ205" s="984"/>
      <c r="AR205" s="984"/>
      <c r="AS205" s="984"/>
      <c r="AT205" s="984"/>
      <c r="AU205" s="984"/>
      <c r="AV205" s="984"/>
      <c r="AW205" s="984"/>
      <c r="AX205" s="984"/>
      <c r="AY205" s="984"/>
      <c r="AZ205" s="984"/>
      <c r="BA205" s="984"/>
      <c r="BB205" s="984"/>
      <c r="BC205" s="984"/>
      <c r="BD205" s="984"/>
      <c r="BE205" s="984"/>
      <c r="BF205" s="984"/>
      <c r="BG205" s="984"/>
      <c r="BH205" s="984"/>
      <c r="BI205" s="984"/>
      <c r="BJ205" s="984"/>
      <c r="BK205" s="984"/>
      <c r="BL205" s="984"/>
      <c r="BM205" s="984"/>
      <c r="BN205" s="984"/>
      <c r="BO205" s="984"/>
      <c r="BP205" s="984"/>
      <c r="BQ205" s="984"/>
      <c r="BR205" s="986"/>
      <c r="BS205" s="984"/>
      <c r="BT205" s="984"/>
      <c r="BU205" s="984"/>
      <c r="BV205" s="986"/>
      <c r="BW205" s="984"/>
      <c r="BX205" s="984"/>
      <c r="BY205" s="984"/>
      <c r="BZ205" s="986"/>
      <c r="CA205" s="984"/>
      <c r="CB205" s="984"/>
      <c r="CC205" s="1111"/>
      <c r="CD205" s="1112"/>
      <c r="CE205" s="984"/>
      <c r="CF205" s="984"/>
      <c r="CG205" s="1111"/>
      <c r="CH205" s="1113"/>
      <c r="CI205" s="1111"/>
      <c r="CJ205" s="1111"/>
      <c r="CK205" s="1111"/>
      <c r="CL205" s="1072"/>
    </row>
    <row r="206" spans="1:90" hidden="1" outlineLevel="2">
      <c r="A206" s="1071" t="s">
        <v>85</v>
      </c>
      <c r="B206" s="1071"/>
      <c r="C206" s="1071"/>
      <c r="D206" s="1071"/>
      <c r="E206" s="1071"/>
      <c r="F206" s="1071"/>
      <c r="G206" s="1071"/>
      <c r="H206" s="1071"/>
      <c r="I206" s="1071"/>
      <c r="J206" s="1071"/>
      <c r="K206" s="1071"/>
      <c r="L206" s="1071"/>
      <c r="M206" s="1071"/>
      <c r="N206" s="984">
        <f>SUM(BR206:BU206)</f>
        <v>202</v>
      </c>
      <c r="O206" s="984">
        <f>SUM(BV206:BY206)</f>
        <v>168</v>
      </c>
      <c r="P206" s="948">
        <f>SUM(BZ206:CC206)</f>
        <v>179</v>
      </c>
      <c r="Q206" s="948">
        <f>SUM(CD206:CG206)</f>
        <v>156</v>
      </c>
      <c r="R206" s="1002"/>
      <c r="S206" s="984"/>
      <c r="T206" s="949"/>
      <c r="U206" s="949"/>
      <c r="V206" s="949"/>
      <c r="W206" s="949"/>
      <c r="X206" s="947"/>
      <c r="Y206" s="947"/>
      <c r="Z206" s="947"/>
      <c r="AA206" s="984"/>
      <c r="AB206" s="984"/>
      <c r="AC206" s="984"/>
      <c r="AD206" s="984"/>
      <c r="AE206" s="984"/>
      <c r="AF206" s="984"/>
      <c r="AG206" s="984"/>
      <c r="AH206" s="984"/>
      <c r="AI206" s="984"/>
      <c r="AJ206" s="984"/>
      <c r="AK206" s="984"/>
      <c r="AL206" s="984"/>
      <c r="AM206" s="984"/>
      <c r="AN206" s="984"/>
      <c r="AO206" s="984"/>
      <c r="AP206" s="984"/>
      <c r="AQ206" s="984"/>
      <c r="AR206" s="984"/>
      <c r="AS206" s="984"/>
      <c r="AT206" s="984"/>
      <c r="AU206" s="984"/>
      <c r="AV206" s="984"/>
      <c r="AW206" s="984"/>
      <c r="AX206" s="984"/>
      <c r="AY206" s="984"/>
      <c r="AZ206" s="984"/>
      <c r="BA206" s="984"/>
      <c r="BB206" s="984"/>
      <c r="BC206" s="984"/>
      <c r="BD206" s="984"/>
      <c r="BE206" s="984"/>
      <c r="BF206" s="984"/>
      <c r="BG206" s="984"/>
      <c r="BH206" s="984"/>
      <c r="BI206" s="984"/>
      <c r="BJ206" s="984"/>
      <c r="BK206" s="984"/>
      <c r="BL206" s="984"/>
      <c r="BM206" s="984"/>
      <c r="BN206" s="984"/>
      <c r="BO206" s="984"/>
      <c r="BP206" s="984"/>
      <c r="BQ206" s="984"/>
      <c r="BR206" s="938">
        <v>54</v>
      </c>
      <c r="BS206" s="348">
        <v>39</v>
      </c>
      <c r="BT206" s="348">
        <v>48</v>
      </c>
      <c r="BU206" s="348">
        <v>61</v>
      </c>
      <c r="BV206" s="938">
        <v>53</v>
      </c>
      <c r="BW206" s="348">
        <v>48</v>
      </c>
      <c r="BX206" s="348">
        <v>48</v>
      </c>
      <c r="BY206" s="348">
        <v>19</v>
      </c>
      <c r="BZ206" s="938">
        <v>45</v>
      </c>
      <c r="CA206" s="348">
        <v>46</v>
      </c>
      <c r="CB206" s="348">
        <v>45</v>
      </c>
      <c r="CC206" s="348">
        <v>43</v>
      </c>
      <c r="CD206" s="938">
        <v>49</v>
      </c>
      <c r="CE206" s="348">
        <v>42</v>
      </c>
      <c r="CF206" s="348">
        <v>35</v>
      </c>
      <c r="CG206" s="348">
        <v>30</v>
      </c>
      <c r="CH206" s="986"/>
      <c r="CI206" s="984"/>
      <c r="CJ206" s="984"/>
      <c r="CK206" s="984"/>
      <c r="CL206" s="1072"/>
    </row>
    <row r="207" spans="1:90" hidden="1" outlineLevel="2">
      <c r="A207" s="997" t="s">
        <v>1003</v>
      </c>
      <c r="B207" s="1071"/>
      <c r="C207" s="1071"/>
      <c r="D207" s="1071"/>
      <c r="E207" s="1071"/>
      <c r="F207" s="1071"/>
      <c r="G207" s="1071"/>
      <c r="H207" s="1071"/>
      <c r="I207" s="1071"/>
      <c r="J207" s="1071"/>
      <c r="K207" s="1071"/>
      <c r="L207" s="1071"/>
      <c r="M207" s="1071"/>
      <c r="N207" s="988">
        <f>N206/N$203</f>
        <v>5.4936089203154743E-2</v>
      </c>
      <c r="O207" s="988">
        <f>O206/O$203</f>
        <v>4.7058823529411764E-2</v>
      </c>
      <c r="P207" s="988">
        <f>P206/P$203</f>
        <v>5.3544720311097818E-2</v>
      </c>
      <c r="Q207" s="988">
        <f>Q206/Q$203</f>
        <v>5.3553038105046344E-2</v>
      </c>
      <c r="R207" s="989"/>
      <c r="S207" s="268"/>
      <c r="T207" s="949"/>
      <c r="U207" s="949"/>
      <c r="V207" s="949"/>
      <c r="W207" s="949"/>
      <c r="X207" s="947"/>
      <c r="Y207" s="947"/>
      <c r="Z207" s="947"/>
      <c r="AA207" s="984"/>
      <c r="AB207" s="984"/>
      <c r="AC207" s="984"/>
      <c r="AD207" s="984"/>
      <c r="AE207" s="984"/>
      <c r="AF207" s="984"/>
      <c r="AG207" s="984"/>
      <c r="AH207" s="984"/>
      <c r="AI207" s="984"/>
      <c r="AJ207" s="984"/>
      <c r="AK207" s="984"/>
      <c r="AL207" s="984"/>
      <c r="AM207" s="984"/>
      <c r="AN207" s="984"/>
      <c r="AO207" s="984"/>
      <c r="AP207" s="984"/>
      <c r="AQ207" s="984"/>
      <c r="AR207" s="984"/>
      <c r="AS207" s="984"/>
      <c r="AT207" s="984"/>
      <c r="AU207" s="984"/>
      <c r="AV207" s="984"/>
      <c r="AW207" s="984"/>
      <c r="AX207" s="984"/>
      <c r="AY207" s="984"/>
      <c r="AZ207" s="984"/>
      <c r="BA207" s="984"/>
      <c r="BB207" s="984"/>
      <c r="BC207" s="984"/>
      <c r="BD207" s="984"/>
      <c r="BE207" s="984"/>
      <c r="BF207" s="984"/>
      <c r="BG207" s="984"/>
      <c r="BH207" s="984"/>
      <c r="BI207" s="984"/>
      <c r="BJ207" s="984"/>
      <c r="BK207" s="984"/>
      <c r="BL207" s="984"/>
      <c r="BM207" s="984"/>
      <c r="BN207" s="984"/>
      <c r="BO207" s="984"/>
      <c r="BP207" s="984"/>
      <c r="BQ207" s="984"/>
      <c r="BR207" s="990">
        <f t="shared" ref="BR207:CG207" si="234">BR206/BR$203</f>
        <v>5.9536934950385888E-2</v>
      </c>
      <c r="BS207" s="988">
        <f t="shared" si="234"/>
        <v>4.3237250554323724E-2</v>
      </c>
      <c r="BT207" s="988">
        <f t="shared" si="234"/>
        <v>5.128205128205128E-2</v>
      </c>
      <c r="BU207" s="988">
        <f t="shared" si="234"/>
        <v>6.5450643776824038E-2</v>
      </c>
      <c r="BV207" s="990">
        <f t="shared" si="234"/>
        <v>5.7734204793028321E-2</v>
      </c>
      <c r="BW207" s="988">
        <f t="shared" si="234"/>
        <v>5.2631578947368418E-2</v>
      </c>
      <c r="BX207" s="988">
        <f t="shared" si="234"/>
        <v>5.4669703872437359E-2</v>
      </c>
      <c r="BY207" s="988">
        <f t="shared" si="234"/>
        <v>2.2041763341067284E-2</v>
      </c>
      <c r="BZ207" s="990">
        <f t="shared" si="234"/>
        <v>5.2386495925494762E-2</v>
      </c>
      <c r="CA207" s="988">
        <f t="shared" si="234"/>
        <v>5.4567022538552785E-2</v>
      </c>
      <c r="CB207" s="988">
        <f t="shared" si="234"/>
        <v>5.3892215568862277E-2</v>
      </c>
      <c r="CC207" s="988">
        <f t="shared" si="234"/>
        <v>5.3349875930521089E-2</v>
      </c>
      <c r="CD207" s="990">
        <f t="shared" si="234"/>
        <v>6.3719115734720416E-2</v>
      </c>
      <c r="CE207" s="988">
        <f t="shared" si="234"/>
        <v>5.7534246575342465E-2</v>
      </c>
      <c r="CF207" s="988">
        <f t="shared" si="234"/>
        <v>4.8678720445062586E-2</v>
      </c>
      <c r="CG207" s="988">
        <f t="shared" si="234"/>
        <v>4.3165467625899283E-2</v>
      </c>
      <c r="CH207" s="1000"/>
      <c r="CI207" s="268"/>
      <c r="CJ207" s="268"/>
      <c r="CK207" s="268"/>
      <c r="CL207" s="1072"/>
    </row>
    <row r="208" spans="1:90" hidden="1" outlineLevel="2">
      <c r="A208" s="1071" t="s">
        <v>86</v>
      </c>
      <c r="B208" s="1071"/>
      <c r="C208" s="1071"/>
      <c r="D208" s="1071"/>
      <c r="E208" s="1071"/>
      <c r="F208" s="1071"/>
      <c r="G208" s="1071"/>
      <c r="H208" s="1071"/>
      <c r="I208" s="1071"/>
      <c r="J208" s="1071"/>
      <c r="K208" s="1071"/>
      <c r="L208" s="1071"/>
      <c r="M208" s="1071"/>
      <c r="N208" s="984">
        <f>SUM(BR208:BU208)</f>
        <v>1480</v>
      </c>
      <c r="O208" s="984">
        <f>SUM(BV208:BY208)</f>
        <v>1346</v>
      </c>
      <c r="P208" s="948">
        <f>SUM(BZ208:CC208)</f>
        <v>1193</v>
      </c>
      <c r="Q208" s="948">
        <f>SUM(CD208:CG208)</f>
        <v>849</v>
      </c>
      <c r="R208" s="1002"/>
      <c r="S208" s="984"/>
      <c r="T208" s="949"/>
      <c r="U208" s="949"/>
      <c r="V208" s="949"/>
      <c r="W208" s="949"/>
      <c r="X208" s="947"/>
      <c r="Y208" s="947"/>
      <c r="Z208" s="947"/>
      <c r="AA208" s="984"/>
      <c r="AB208" s="984"/>
      <c r="AC208" s="984"/>
      <c r="AD208" s="984"/>
      <c r="AE208" s="984"/>
      <c r="AF208" s="984"/>
      <c r="AG208" s="984"/>
      <c r="AH208" s="984"/>
      <c r="AI208" s="984"/>
      <c r="AJ208" s="984"/>
      <c r="AK208" s="984"/>
      <c r="AL208" s="984"/>
      <c r="AM208" s="984"/>
      <c r="AN208" s="984"/>
      <c r="AO208" s="984"/>
      <c r="AP208" s="984"/>
      <c r="AQ208" s="984"/>
      <c r="AR208" s="984"/>
      <c r="AS208" s="984"/>
      <c r="AT208" s="984"/>
      <c r="AU208" s="984"/>
      <c r="AV208" s="984"/>
      <c r="AW208" s="984"/>
      <c r="AX208" s="984"/>
      <c r="AY208" s="984"/>
      <c r="AZ208" s="984"/>
      <c r="BA208" s="984"/>
      <c r="BB208" s="984"/>
      <c r="BC208" s="984"/>
      <c r="BD208" s="984"/>
      <c r="BE208" s="984"/>
      <c r="BF208" s="984"/>
      <c r="BG208" s="984"/>
      <c r="BH208" s="984"/>
      <c r="BI208" s="984"/>
      <c r="BJ208" s="984"/>
      <c r="BK208" s="984"/>
      <c r="BL208" s="984"/>
      <c r="BM208" s="984"/>
      <c r="BN208" s="984"/>
      <c r="BO208" s="984"/>
      <c r="BP208" s="984"/>
      <c r="BQ208" s="984"/>
      <c r="BR208" s="938">
        <v>360</v>
      </c>
      <c r="BS208" s="348">
        <v>366</v>
      </c>
      <c r="BT208" s="348">
        <v>372</v>
      </c>
      <c r="BU208" s="348">
        <v>382</v>
      </c>
      <c r="BV208" s="938">
        <v>362</v>
      </c>
      <c r="BW208" s="348">
        <v>339</v>
      </c>
      <c r="BX208" s="348">
        <v>330</v>
      </c>
      <c r="BY208" s="348">
        <v>315</v>
      </c>
      <c r="BZ208" s="938">
        <v>313</v>
      </c>
      <c r="CA208" s="348">
        <v>310</v>
      </c>
      <c r="CB208" s="348">
        <v>311</v>
      </c>
      <c r="CC208" s="348">
        <v>259</v>
      </c>
      <c r="CD208" s="938">
        <v>228</v>
      </c>
      <c r="CE208" s="348">
        <v>213</v>
      </c>
      <c r="CF208" s="348">
        <v>206</v>
      </c>
      <c r="CG208" s="348">
        <v>202</v>
      </c>
      <c r="CH208" s="986"/>
      <c r="CI208" s="984"/>
      <c r="CJ208" s="984"/>
      <c r="CK208" s="984"/>
      <c r="CL208" s="1072"/>
    </row>
    <row r="209" spans="1:90" hidden="1" outlineLevel="2">
      <c r="A209" s="997" t="s">
        <v>1003</v>
      </c>
      <c r="B209" s="1071"/>
      <c r="C209" s="1071"/>
      <c r="D209" s="1071"/>
      <c r="E209" s="1071"/>
      <c r="F209" s="1071"/>
      <c r="G209" s="1071"/>
      <c r="H209" s="1071"/>
      <c r="I209" s="1071"/>
      <c r="J209" s="1071"/>
      <c r="K209" s="1071"/>
      <c r="L209" s="1071"/>
      <c r="M209" s="1071"/>
      <c r="N209" s="988">
        <f>N208/N$203</f>
        <v>0.40250203970628229</v>
      </c>
      <c r="O209" s="988">
        <f>O208/O$203</f>
        <v>0.37703081232492996</v>
      </c>
      <c r="P209" s="988">
        <f>P208/P$203</f>
        <v>0.35686509123541726</v>
      </c>
      <c r="Q209" s="988">
        <f>Q208/Q$203</f>
        <v>0.29145211122554066</v>
      </c>
      <c r="R209" s="989"/>
      <c r="S209" s="988"/>
      <c r="T209" s="949"/>
      <c r="U209" s="949"/>
      <c r="V209" s="949"/>
      <c r="W209" s="949"/>
      <c r="X209" s="947"/>
      <c r="Y209" s="947"/>
      <c r="Z209" s="947"/>
      <c r="AA209" s="984"/>
      <c r="AB209" s="984"/>
      <c r="AC209" s="984"/>
      <c r="AD209" s="984"/>
      <c r="AE209" s="984"/>
      <c r="AF209" s="984"/>
      <c r="AG209" s="984"/>
      <c r="AH209" s="984"/>
      <c r="AI209" s="984"/>
      <c r="AJ209" s="984"/>
      <c r="AK209" s="984"/>
      <c r="AL209" s="984"/>
      <c r="AM209" s="984"/>
      <c r="AN209" s="984"/>
      <c r="AO209" s="984"/>
      <c r="AP209" s="984"/>
      <c r="AQ209" s="984"/>
      <c r="AR209" s="984"/>
      <c r="AS209" s="984"/>
      <c r="AT209" s="984"/>
      <c r="AU209" s="984"/>
      <c r="AV209" s="984"/>
      <c r="AW209" s="984"/>
      <c r="AX209" s="984"/>
      <c r="AY209" s="984"/>
      <c r="AZ209" s="984"/>
      <c r="BA209" s="984"/>
      <c r="BB209" s="984"/>
      <c r="BC209" s="984"/>
      <c r="BD209" s="984"/>
      <c r="BE209" s="984"/>
      <c r="BF209" s="984"/>
      <c r="BG209" s="984"/>
      <c r="BH209" s="984"/>
      <c r="BI209" s="984"/>
      <c r="BJ209" s="984"/>
      <c r="BK209" s="984"/>
      <c r="BL209" s="984"/>
      <c r="BM209" s="984"/>
      <c r="BN209" s="984"/>
      <c r="BO209" s="984"/>
      <c r="BP209" s="984"/>
      <c r="BQ209" s="984"/>
      <c r="BR209" s="990">
        <f t="shared" ref="BR209:BY209" si="235">BR208/BR$203</f>
        <v>0.39691289966923926</v>
      </c>
      <c r="BS209" s="988">
        <f t="shared" si="235"/>
        <v>0.40576496674057649</v>
      </c>
      <c r="BT209" s="988">
        <f t="shared" si="235"/>
        <v>0.39743589743589741</v>
      </c>
      <c r="BU209" s="988">
        <f t="shared" si="235"/>
        <v>0.40987124463519314</v>
      </c>
      <c r="BV209" s="990">
        <f t="shared" si="235"/>
        <v>0.39433551198257083</v>
      </c>
      <c r="BW209" s="988">
        <f t="shared" si="235"/>
        <v>0.37171052631578949</v>
      </c>
      <c r="BX209" s="988">
        <f t="shared" si="235"/>
        <v>0.37585421412300685</v>
      </c>
      <c r="BY209" s="988">
        <f t="shared" si="235"/>
        <v>0.36542923433874708</v>
      </c>
      <c r="BZ209" s="990">
        <f t="shared" ref="BZ209:CG209" si="236">BZ208/BZ$203</f>
        <v>0.36437718277066355</v>
      </c>
      <c r="CA209" s="988">
        <f t="shared" si="236"/>
        <v>0.36773428232502964</v>
      </c>
      <c r="CB209" s="988">
        <f t="shared" si="236"/>
        <v>0.3724550898203593</v>
      </c>
      <c r="CC209" s="988">
        <f t="shared" si="236"/>
        <v>0.32133995037220842</v>
      </c>
      <c r="CD209" s="990">
        <f t="shared" si="236"/>
        <v>0.29648894668400522</v>
      </c>
      <c r="CE209" s="988">
        <f t="shared" si="236"/>
        <v>0.29178082191780824</v>
      </c>
      <c r="CF209" s="988">
        <f t="shared" si="236"/>
        <v>0.28650904033379693</v>
      </c>
      <c r="CG209" s="988">
        <f t="shared" si="236"/>
        <v>0.2906474820143885</v>
      </c>
      <c r="CH209" s="990"/>
      <c r="CI209" s="988"/>
      <c r="CJ209" s="988"/>
      <c r="CK209" s="988"/>
      <c r="CL209" s="1072"/>
    </row>
    <row r="210" spans="1:90" hidden="1" outlineLevel="1" collapsed="1">
      <c r="A210" s="1060" t="s">
        <v>115</v>
      </c>
      <c r="B210" s="1060"/>
      <c r="C210" s="1060"/>
      <c r="D210" s="1060"/>
      <c r="E210" s="1060"/>
      <c r="F210" s="1060"/>
      <c r="G210" s="1060"/>
      <c r="H210" s="1060"/>
      <c r="I210" s="1060"/>
      <c r="J210" s="1060"/>
      <c r="K210" s="1060"/>
      <c r="L210" s="1060"/>
      <c r="M210" s="1060"/>
      <c r="N210" s="767">
        <f>SUM(N206,N208)</f>
        <v>1682</v>
      </c>
      <c r="O210" s="767">
        <f>SUM(O206,O208)</f>
        <v>1514</v>
      </c>
      <c r="P210" s="271">
        <f>SUM(P206,P208)</f>
        <v>1372</v>
      </c>
      <c r="Q210" s="271">
        <f>SUM(Q206,Q208)</f>
        <v>1005</v>
      </c>
      <c r="R210" s="223">
        <f>SUM(CH210:CK210)</f>
        <v>861</v>
      </c>
      <c r="S210" s="271">
        <f>SUM(CL210:CO210)</f>
        <v>198</v>
      </c>
      <c r="T210" s="949"/>
      <c r="U210" s="949"/>
      <c r="V210" s="949"/>
      <c r="W210" s="949"/>
      <c r="X210" s="947"/>
      <c r="Y210" s="947"/>
      <c r="Z210" s="947"/>
      <c r="AA210" s="767"/>
      <c r="AB210" s="767"/>
      <c r="AC210" s="767"/>
      <c r="AD210" s="767"/>
      <c r="AE210" s="767"/>
      <c r="AF210" s="767"/>
      <c r="AG210" s="767"/>
      <c r="AH210" s="767"/>
      <c r="AI210" s="767"/>
      <c r="AJ210" s="767"/>
      <c r="AK210" s="767"/>
      <c r="AL210" s="767"/>
      <c r="AM210" s="767"/>
      <c r="AN210" s="767"/>
      <c r="AO210" s="767"/>
      <c r="AP210" s="767"/>
      <c r="AQ210" s="767"/>
      <c r="AR210" s="767"/>
      <c r="AS210" s="767"/>
      <c r="AT210" s="767"/>
      <c r="AU210" s="767"/>
      <c r="AV210" s="767"/>
      <c r="AW210" s="767"/>
      <c r="AX210" s="767"/>
      <c r="AY210" s="767"/>
      <c r="AZ210" s="767"/>
      <c r="BA210" s="767"/>
      <c r="BB210" s="767"/>
      <c r="BC210" s="767"/>
      <c r="BD210" s="767"/>
      <c r="BE210" s="767"/>
      <c r="BF210" s="767"/>
      <c r="BG210" s="767"/>
      <c r="BH210" s="767"/>
      <c r="BI210" s="767"/>
      <c r="BJ210" s="767"/>
      <c r="BK210" s="767"/>
      <c r="BL210" s="767"/>
      <c r="BM210" s="767"/>
      <c r="BN210" s="767"/>
      <c r="BO210" s="767"/>
      <c r="BP210" s="767"/>
      <c r="BQ210" s="767"/>
      <c r="BR210" s="940">
        <f>SUM(BR206,BR208)</f>
        <v>414</v>
      </c>
      <c r="BS210" s="767">
        <f t="shared" ref="BS210:BZ210" si="237">SUM(BS206,BS208)</f>
        <v>405</v>
      </c>
      <c r="BT210" s="767">
        <f t="shared" si="237"/>
        <v>420</v>
      </c>
      <c r="BU210" s="767">
        <f t="shared" si="237"/>
        <v>443</v>
      </c>
      <c r="BV210" s="940">
        <f t="shared" si="237"/>
        <v>415</v>
      </c>
      <c r="BW210" s="767">
        <f t="shared" si="237"/>
        <v>387</v>
      </c>
      <c r="BX210" s="767">
        <f t="shared" si="237"/>
        <v>378</v>
      </c>
      <c r="BY210" s="767">
        <f t="shared" si="237"/>
        <v>334</v>
      </c>
      <c r="BZ210" s="940">
        <f t="shared" si="237"/>
        <v>358</v>
      </c>
      <c r="CA210" s="767">
        <f t="shared" ref="CA210:CF210" si="238">SUM(CA206,CA208)</f>
        <v>356</v>
      </c>
      <c r="CB210" s="767">
        <f t="shared" si="238"/>
        <v>356</v>
      </c>
      <c r="CC210" s="767">
        <f t="shared" si="238"/>
        <v>302</v>
      </c>
      <c r="CD210" s="940">
        <f t="shared" si="238"/>
        <v>277</v>
      </c>
      <c r="CE210" s="767">
        <f t="shared" si="238"/>
        <v>255</v>
      </c>
      <c r="CF210" s="767">
        <f t="shared" si="238"/>
        <v>241</v>
      </c>
      <c r="CG210" s="223">
        <f>SUM(CG206,CG208)</f>
        <v>232</v>
      </c>
      <c r="CH210" s="1006">
        <v>219</v>
      </c>
      <c r="CI210" s="1006">
        <v>214</v>
      </c>
      <c r="CJ210" s="1006">
        <v>213</v>
      </c>
      <c r="CK210" s="1006">
        <f>53+484+43+203+78-CH210-CI210-CJ210</f>
        <v>215</v>
      </c>
      <c r="CL210" s="1005">
        <f>11+107+11+49+20</f>
        <v>198</v>
      </c>
    </row>
    <row r="211" spans="1:90" hidden="1" outlineLevel="1">
      <c r="A211" s="983" t="s">
        <v>34</v>
      </c>
      <c r="B211" s="983"/>
      <c r="C211" s="983"/>
      <c r="D211" s="983"/>
      <c r="E211" s="983"/>
      <c r="F211" s="983"/>
      <c r="G211" s="983"/>
      <c r="H211" s="983"/>
      <c r="I211" s="983"/>
      <c r="J211" s="983"/>
      <c r="K211" s="983"/>
      <c r="L211" s="983"/>
      <c r="M211" s="983"/>
      <c r="N211" s="984"/>
      <c r="O211" s="988">
        <f>O210/N210-1</f>
        <v>-9.9881093935790699E-2</v>
      </c>
      <c r="P211" s="988">
        <f>P210/O210-1</f>
        <v>-9.3791281373844071E-2</v>
      </c>
      <c r="Q211" s="988">
        <f>Q210/P210-1</f>
        <v>-0.26749271137026243</v>
      </c>
      <c r="R211" s="989">
        <f>R210/Q210-1</f>
        <v>-0.14328358208955227</v>
      </c>
      <c r="S211" s="988">
        <f>S210/R210-1</f>
        <v>-0.77003484320557491</v>
      </c>
      <c r="T211" s="949"/>
      <c r="U211" s="949"/>
      <c r="V211" s="949"/>
      <c r="W211" s="949"/>
      <c r="X211" s="947"/>
      <c r="Y211" s="947"/>
      <c r="Z211" s="947"/>
      <c r="AA211" s="984"/>
      <c r="AB211" s="984"/>
      <c r="AC211" s="984"/>
      <c r="AD211" s="984"/>
      <c r="AE211" s="984"/>
      <c r="AF211" s="984"/>
      <c r="AG211" s="984"/>
      <c r="AH211" s="984"/>
      <c r="AI211" s="984"/>
      <c r="AJ211" s="984"/>
      <c r="AK211" s="984"/>
      <c r="AL211" s="984"/>
      <c r="AM211" s="984"/>
      <c r="AN211" s="984"/>
      <c r="AO211" s="984"/>
      <c r="AP211" s="984"/>
      <c r="AQ211" s="984"/>
      <c r="AR211" s="984"/>
      <c r="AS211" s="984"/>
      <c r="AT211" s="984"/>
      <c r="AU211" s="984"/>
      <c r="AV211" s="984"/>
      <c r="AW211" s="984"/>
      <c r="AX211" s="984"/>
      <c r="AY211" s="984"/>
      <c r="AZ211" s="984"/>
      <c r="BA211" s="984"/>
      <c r="BB211" s="984"/>
      <c r="BC211" s="984"/>
      <c r="BD211" s="984"/>
      <c r="BE211" s="984"/>
      <c r="BF211" s="984"/>
      <c r="BG211" s="984"/>
      <c r="BH211" s="984"/>
      <c r="BI211" s="984"/>
      <c r="BJ211" s="984"/>
      <c r="BK211" s="984"/>
      <c r="BL211" s="984"/>
      <c r="BM211" s="984"/>
      <c r="BN211" s="984"/>
      <c r="BO211" s="984"/>
      <c r="BP211" s="984"/>
      <c r="BQ211" s="984"/>
      <c r="BR211" s="938"/>
      <c r="BS211" s="347"/>
      <c r="BT211" s="347"/>
      <c r="BU211" s="347"/>
      <c r="BV211" s="990">
        <f t="shared" ref="BV211:CG211" si="239">BV210/BR210-1</f>
        <v>2.4154589371980784E-3</v>
      </c>
      <c r="BW211" s="988">
        <f t="shared" si="239"/>
        <v>-4.4444444444444398E-2</v>
      </c>
      <c r="BX211" s="988">
        <f t="shared" si="239"/>
        <v>-9.9999999999999978E-2</v>
      </c>
      <c r="BY211" s="988">
        <f t="shared" si="239"/>
        <v>-0.24604966139954854</v>
      </c>
      <c r="BZ211" s="990">
        <f t="shared" si="239"/>
        <v>-0.13734939759036147</v>
      </c>
      <c r="CA211" s="988">
        <f t="shared" si="239"/>
        <v>-8.0103359173126609E-2</v>
      </c>
      <c r="CB211" s="988">
        <f t="shared" si="239"/>
        <v>-5.8201058201058253E-2</v>
      </c>
      <c r="CC211" s="988">
        <f t="shared" si="239"/>
        <v>-9.5808383233532912E-2</v>
      </c>
      <c r="CD211" s="990">
        <f t="shared" si="239"/>
        <v>-0.22625698324022347</v>
      </c>
      <c r="CE211" s="988">
        <f t="shared" si="239"/>
        <v>-0.2837078651685393</v>
      </c>
      <c r="CF211" s="988">
        <f t="shared" si="239"/>
        <v>-0.3230337078651685</v>
      </c>
      <c r="CG211" s="989">
        <f t="shared" si="239"/>
        <v>-0.23178807947019864</v>
      </c>
      <c r="CH211" s="988">
        <f>CH210/CD210-1</f>
        <v>-0.20938628158844763</v>
      </c>
      <c r="CI211" s="988">
        <f>CI210/CE210-1</f>
        <v>-0.16078431372549018</v>
      </c>
      <c r="CJ211" s="988">
        <f>CJ210/CF210-1</f>
        <v>-0.11618257261410792</v>
      </c>
      <c r="CK211" s="988">
        <f>CK210/CG210-1</f>
        <v>-7.3275862068965525E-2</v>
      </c>
      <c r="CL211" s="990">
        <f>CL210/CH210-1</f>
        <v>-9.589041095890416E-2</v>
      </c>
    </row>
    <row r="212" spans="1:90" hidden="1" outlineLevel="1">
      <c r="A212" s="997" t="s">
        <v>1003</v>
      </c>
      <c r="B212" s="1060"/>
      <c r="C212" s="1060"/>
      <c r="D212" s="1060"/>
      <c r="E212" s="1060"/>
      <c r="F212" s="1060"/>
      <c r="G212" s="1060"/>
      <c r="H212" s="1060"/>
      <c r="I212" s="1060"/>
      <c r="J212" s="1060"/>
      <c r="K212" s="1060"/>
      <c r="L212" s="1060"/>
      <c r="M212" s="1060"/>
      <c r="N212" s="1008">
        <f t="shared" ref="N212:S212" si="240">N210/N$203</f>
        <v>0.45743812890943703</v>
      </c>
      <c r="O212" s="1008">
        <f t="shared" si="240"/>
        <v>0.42408963585434173</v>
      </c>
      <c r="P212" s="988">
        <f t="shared" si="240"/>
        <v>0.41040981154651512</v>
      </c>
      <c r="Q212" s="988">
        <f t="shared" si="240"/>
        <v>0.34500514933058701</v>
      </c>
      <c r="R212" s="989">
        <f t="shared" si="240"/>
        <v>0.3244159758854559</v>
      </c>
      <c r="S212" s="1008">
        <f t="shared" si="240"/>
        <v>0.30414746543778803</v>
      </c>
      <c r="T212" s="949"/>
      <c r="U212" s="949"/>
      <c r="V212" s="949"/>
      <c r="W212" s="949"/>
      <c r="X212" s="947"/>
      <c r="Y212" s="947"/>
      <c r="Z212" s="947"/>
      <c r="AA212" s="767"/>
      <c r="AB212" s="767"/>
      <c r="AC212" s="767"/>
      <c r="AD212" s="767"/>
      <c r="AE212" s="767"/>
      <c r="AF212" s="767"/>
      <c r="AG212" s="767"/>
      <c r="AH212" s="767"/>
      <c r="AI212" s="767"/>
      <c r="AJ212" s="767"/>
      <c r="AK212" s="767"/>
      <c r="AL212" s="767"/>
      <c r="AM212" s="767"/>
      <c r="AN212" s="767"/>
      <c r="AO212" s="767"/>
      <c r="AP212" s="767"/>
      <c r="AQ212" s="767"/>
      <c r="AR212" s="767"/>
      <c r="AS212" s="767"/>
      <c r="AT212" s="767"/>
      <c r="AU212" s="767"/>
      <c r="AV212" s="767"/>
      <c r="AW212" s="767"/>
      <c r="AX212" s="767"/>
      <c r="AY212" s="767"/>
      <c r="AZ212" s="767"/>
      <c r="BA212" s="767"/>
      <c r="BB212" s="767"/>
      <c r="BC212" s="767"/>
      <c r="BD212" s="767"/>
      <c r="BE212" s="767"/>
      <c r="BF212" s="767"/>
      <c r="BG212" s="767"/>
      <c r="BH212" s="767"/>
      <c r="BI212" s="767"/>
      <c r="BJ212" s="767"/>
      <c r="BK212" s="767"/>
      <c r="BL212" s="767"/>
      <c r="BM212" s="767"/>
      <c r="BN212" s="767"/>
      <c r="BO212" s="767"/>
      <c r="BP212" s="767"/>
      <c r="BQ212" s="767"/>
      <c r="BR212" s="990">
        <f t="shared" ref="BR212:BZ212" si="241">BR210/BR$203</f>
        <v>0.45644983461962513</v>
      </c>
      <c r="BS212" s="1008">
        <f t="shared" si="241"/>
        <v>0.4490022172949002</v>
      </c>
      <c r="BT212" s="1008">
        <f t="shared" si="241"/>
        <v>0.44871794871794873</v>
      </c>
      <c r="BU212" s="1008">
        <f t="shared" si="241"/>
        <v>0.47532188841201717</v>
      </c>
      <c r="BV212" s="990">
        <f t="shared" si="241"/>
        <v>0.45206971677559915</v>
      </c>
      <c r="BW212" s="1008">
        <f t="shared" si="241"/>
        <v>0.42434210526315791</v>
      </c>
      <c r="BX212" s="1008">
        <f t="shared" si="241"/>
        <v>0.43052391799544421</v>
      </c>
      <c r="BY212" s="1008">
        <f t="shared" si="241"/>
        <v>0.38747099767981441</v>
      </c>
      <c r="BZ212" s="990">
        <f t="shared" si="241"/>
        <v>0.41676367869615832</v>
      </c>
      <c r="CA212" s="1008">
        <f t="shared" ref="CA212:CF212" si="242">CA210/CA$203</f>
        <v>0.42230130486358242</v>
      </c>
      <c r="CB212" s="1008">
        <f t="shared" si="242"/>
        <v>0.42634730538922155</v>
      </c>
      <c r="CC212" s="1008">
        <f t="shared" si="242"/>
        <v>0.37468982630272951</v>
      </c>
      <c r="CD212" s="990">
        <f t="shared" si="242"/>
        <v>0.36020806241872561</v>
      </c>
      <c r="CE212" s="1008">
        <f t="shared" si="242"/>
        <v>0.34931506849315069</v>
      </c>
      <c r="CF212" s="1008">
        <f t="shared" si="242"/>
        <v>0.33518776077885953</v>
      </c>
      <c r="CG212" s="989">
        <f t="shared" ref="CG212:CL212" si="243">CG210/CG$203</f>
        <v>0.33381294964028779</v>
      </c>
      <c r="CH212" s="1008">
        <f t="shared" si="243"/>
        <v>0.3197080291970803</v>
      </c>
      <c r="CI212" s="1008">
        <f t="shared" si="243"/>
        <v>0.32473444613050073</v>
      </c>
      <c r="CJ212" s="1008">
        <f t="shared" si="243"/>
        <v>0.32223903177004537</v>
      </c>
      <c r="CK212" s="1008">
        <f t="shared" si="243"/>
        <v>0.33127889060092452</v>
      </c>
      <c r="CL212" s="990">
        <f t="shared" si="243"/>
        <v>0.30414746543778803</v>
      </c>
    </row>
    <row r="213" spans="1:90" hidden="1" outlineLevel="1">
      <c r="A213" s="997" t="s">
        <v>88</v>
      </c>
      <c r="B213" s="1060"/>
      <c r="C213" s="1060"/>
      <c r="D213" s="1060"/>
      <c r="E213" s="1060"/>
      <c r="F213" s="1060"/>
      <c r="G213" s="1060"/>
      <c r="H213" s="1060"/>
      <c r="I213" s="1060"/>
      <c r="J213" s="1060"/>
      <c r="K213" s="1060"/>
      <c r="L213" s="1060"/>
      <c r="M213" s="1060"/>
      <c r="N213" s="1008">
        <f t="shared" ref="N213:S213" si="244">N210/N52</f>
        <v>0.17642122928466542</v>
      </c>
      <c r="O213" s="1008">
        <f t="shared" si="244"/>
        <v>0.16510359869138494</v>
      </c>
      <c r="P213" s="988">
        <f t="shared" si="244"/>
        <v>0.15363941769316911</v>
      </c>
      <c r="Q213" s="988">
        <f t="shared" si="244"/>
        <v>0.12702224469160769</v>
      </c>
      <c r="R213" s="989">
        <f t="shared" si="244"/>
        <v>0.11802604523646333</v>
      </c>
      <c r="S213" s="988">
        <f t="shared" si="244"/>
        <v>0.11511627906976744</v>
      </c>
      <c r="T213" s="949"/>
      <c r="U213" s="949"/>
      <c r="V213" s="949"/>
      <c r="W213" s="949"/>
      <c r="X213" s="947"/>
      <c r="Y213" s="947"/>
      <c r="Z213" s="947"/>
      <c r="AA213" s="767"/>
      <c r="AB213" s="767"/>
      <c r="AC213" s="767"/>
      <c r="AD213" s="767"/>
      <c r="AE213" s="767"/>
      <c r="AF213" s="767"/>
      <c r="AG213" s="767"/>
      <c r="AH213" s="767"/>
      <c r="AI213" s="767"/>
      <c r="AJ213" s="767"/>
      <c r="AK213" s="767"/>
      <c r="AL213" s="767"/>
      <c r="AM213" s="767"/>
      <c r="AN213" s="767"/>
      <c r="AO213" s="767"/>
      <c r="AP213" s="767"/>
      <c r="AQ213" s="767"/>
      <c r="AR213" s="767"/>
      <c r="AS213" s="767"/>
      <c r="AT213" s="767"/>
      <c r="AU213" s="767"/>
      <c r="AV213" s="767"/>
      <c r="AW213" s="767"/>
      <c r="AX213" s="767"/>
      <c r="AY213" s="767"/>
      <c r="AZ213" s="767"/>
      <c r="BA213" s="767"/>
      <c r="BB213" s="767"/>
      <c r="BC213" s="767"/>
      <c r="BD213" s="767"/>
      <c r="BE213" s="767"/>
      <c r="BF213" s="767"/>
      <c r="BG213" s="767"/>
      <c r="BH213" s="767"/>
      <c r="BI213" s="767"/>
      <c r="BJ213" s="767"/>
      <c r="BK213" s="767"/>
      <c r="BL213" s="767"/>
      <c r="BM213" s="767"/>
      <c r="BN213" s="767"/>
      <c r="BO213" s="767"/>
      <c r="BP213" s="767"/>
      <c r="BQ213" s="223"/>
      <c r="BR213" s="1008">
        <f t="shared" ref="BR213:CI213" si="245">BR210/BR52</f>
        <v>0.17178423236514523</v>
      </c>
      <c r="BS213" s="1008">
        <f t="shared" si="245"/>
        <v>0.17139229792636479</v>
      </c>
      <c r="BT213" s="1008">
        <f t="shared" si="245"/>
        <v>0.1784955376115597</v>
      </c>
      <c r="BU213" s="1008">
        <f t="shared" si="245"/>
        <v>0.18397009966777408</v>
      </c>
      <c r="BV213" s="990">
        <f t="shared" si="245"/>
        <v>0.18241758241758241</v>
      </c>
      <c r="BW213" s="1008">
        <f t="shared" si="245"/>
        <v>0.16724286949006051</v>
      </c>
      <c r="BX213" s="1008">
        <f t="shared" si="245"/>
        <v>0.16557161629434955</v>
      </c>
      <c r="BY213" s="1008">
        <f t="shared" si="245"/>
        <v>0.14534377719756311</v>
      </c>
      <c r="BZ213" s="990">
        <f t="shared" si="245"/>
        <v>0.15854738706820196</v>
      </c>
      <c r="CA213" s="1008">
        <f t="shared" si="245"/>
        <v>0.15907059874888294</v>
      </c>
      <c r="CB213" s="1008">
        <f t="shared" si="245"/>
        <v>0.15505226480836237</v>
      </c>
      <c r="CC213" s="1008">
        <f t="shared" si="245"/>
        <v>0.14138576779026218</v>
      </c>
      <c r="CD213" s="990">
        <f t="shared" si="245"/>
        <v>0.13658777120315582</v>
      </c>
      <c r="CE213" s="1008">
        <f t="shared" si="245"/>
        <v>0.12762762762762764</v>
      </c>
      <c r="CF213" s="1008">
        <f t="shared" si="245"/>
        <v>0.12289648138704742</v>
      </c>
      <c r="CG213" s="989">
        <f t="shared" si="245"/>
        <v>0.12152959664745941</v>
      </c>
      <c r="CH213" s="1008">
        <f t="shared" si="245"/>
        <v>0.11889250814332247</v>
      </c>
      <c r="CI213" s="1008">
        <f t="shared" si="245"/>
        <v>0.11643090315560392</v>
      </c>
      <c r="CJ213" s="1008">
        <f>CJ210/CJ52</f>
        <v>0.11735537190082644</v>
      </c>
      <c r="CK213" s="1008">
        <f>CK210/CK52</f>
        <v>0.11944444444444445</v>
      </c>
      <c r="CL213" s="990">
        <f>CL210/CL52</f>
        <v>0.11511627906976744</v>
      </c>
    </row>
    <row r="214" spans="1:90" ht="9" hidden="1" customHeight="1" outlineLevel="1">
      <c r="A214" s="1060"/>
      <c r="B214" s="1060"/>
      <c r="C214" s="1060"/>
      <c r="D214" s="1060"/>
      <c r="E214" s="1060"/>
      <c r="F214" s="1060"/>
      <c r="G214" s="1060"/>
      <c r="H214" s="1060"/>
      <c r="I214" s="1060"/>
      <c r="J214" s="1060"/>
      <c r="K214" s="1060"/>
      <c r="L214" s="1060"/>
      <c r="M214" s="1060"/>
      <c r="N214" s="767"/>
      <c r="O214" s="767"/>
      <c r="P214" s="271"/>
      <c r="Q214" s="271"/>
      <c r="R214" s="223"/>
      <c r="S214" s="767"/>
      <c r="T214" s="949"/>
      <c r="U214" s="949"/>
      <c r="V214" s="949"/>
      <c r="W214" s="949"/>
      <c r="X214" s="947"/>
      <c r="Y214" s="947"/>
      <c r="Z214" s="947"/>
      <c r="AA214" s="767"/>
      <c r="AB214" s="767"/>
      <c r="AC214" s="767"/>
      <c r="AD214" s="767"/>
      <c r="AE214" s="767"/>
      <c r="AF214" s="767"/>
      <c r="AG214" s="767"/>
      <c r="AH214" s="767"/>
      <c r="AI214" s="767"/>
      <c r="AJ214" s="767"/>
      <c r="AK214" s="767"/>
      <c r="AL214" s="767"/>
      <c r="AM214" s="767"/>
      <c r="AN214" s="767"/>
      <c r="AO214" s="767"/>
      <c r="AP214" s="767"/>
      <c r="AQ214" s="767"/>
      <c r="AR214" s="767"/>
      <c r="AS214" s="767"/>
      <c r="AT214" s="767"/>
      <c r="AU214" s="767"/>
      <c r="AV214" s="767"/>
      <c r="AW214" s="767"/>
      <c r="AX214" s="767"/>
      <c r="AY214" s="767"/>
      <c r="AZ214" s="767"/>
      <c r="BA214" s="767"/>
      <c r="BB214" s="767"/>
      <c r="BC214" s="767"/>
      <c r="BD214" s="767"/>
      <c r="BE214" s="767"/>
      <c r="BF214" s="767"/>
      <c r="BG214" s="767"/>
      <c r="BH214" s="767"/>
      <c r="BI214" s="767"/>
      <c r="BJ214" s="767"/>
      <c r="BK214" s="767"/>
      <c r="BL214" s="767"/>
      <c r="BM214" s="767"/>
      <c r="BN214" s="767"/>
      <c r="BO214" s="767"/>
      <c r="BP214" s="767"/>
      <c r="BQ214" s="767"/>
      <c r="BR214" s="940"/>
      <c r="BS214" s="767"/>
      <c r="BT214" s="767"/>
      <c r="BU214" s="767"/>
      <c r="BV214" s="940"/>
      <c r="BW214" s="767"/>
      <c r="BX214" s="767"/>
      <c r="BY214" s="767"/>
      <c r="BZ214" s="940"/>
      <c r="CA214" s="767"/>
      <c r="CB214" s="767"/>
      <c r="CC214" s="767"/>
      <c r="CD214" s="940"/>
      <c r="CE214" s="767"/>
      <c r="CF214" s="767"/>
      <c r="CG214" s="767"/>
      <c r="CH214" s="1073"/>
      <c r="CI214" s="1074"/>
      <c r="CJ214" s="1074"/>
      <c r="CK214" s="1074"/>
      <c r="CL214" s="1073"/>
    </row>
    <row r="215" spans="1:90" hidden="1" outlineLevel="1">
      <c r="A215" s="1060" t="s">
        <v>116</v>
      </c>
      <c r="B215" s="1060"/>
      <c r="C215" s="1060"/>
      <c r="D215" s="1060"/>
      <c r="E215" s="1060"/>
      <c r="F215" s="1060"/>
      <c r="G215" s="1060"/>
      <c r="H215" s="1060"/>
      <c r="I215" s="1060"/>
      <c r="J215" s="1060"/>
      <c r="K215" s="1060"/>
      <c r="L215" s="1060"/>
      <c r="M215" s="1060"/>
      <c r="N215" s="271">
        <f t="shared" ref="N215:S215" si="246">N203-N210</f>
        <v>1995</v>
      </c>
      <c r="O215" s="271">
        <f t="shared" si="246"/>
        <v>2056</v>
      </c>
      <c r="P215" s="271">
        <f t="shared" si="246"/>
        <v>1971</v>
      </c>
      <c r="Q215" s="271">
        <f t="shared" si="246"/>
        <v>1908</v>
      </c>
      <c r="R215" s="223">
        <f t="shared" si="246"/>
        <v>1793</v>
      </c>
      <c r="S215" s="271">
        <f t="shared" si="246"/>
        <v>453</v>
      </c>
      <c r="T215" s="949"/>
      <c r="U215" s="949"/>
      <c r="V215" s="949"/>
      <c r="W215" s="949"/>
      <c r="X215" s="947"/>
      <c r="Y215" s="947"/>
      <c r="Z215" s="947"/>
      <c r="AA215" s="271"/>
      <c r="AB215" s="271"/>
      <c r="AC215" s="271"/>
      <c r="AD215" s="271"/>
      <c r="AE215" s="271"/>
      <c r="AF215" s="271"/>
      <c r="AG215" s="271"/>
      <c r="AH215" s="271"/>
      <c r="AI215" s="271"/>
      <c r="AJ215" s="271"/>
      <c r="AK215" s="271"/>
      <c r="AL215" s="271"/>
      <c r="AM215" s="271"/>
      <c r="AN215" s="271"/>
      <c r="AO215" s="271"/>
      <c r="AP215" s="271"/>
      <c r="AQ215" s="271"/>
      <c r="AR215" s="271"/>
      <c r="AS215" s="271"/>
      <c r="AT215" s="271"/>
      <c r="AU215" s="271"/>
      <c r="AV215" s="271"/>
      <c r="AW215" s="271"/>
      <c r="AX215" s="271"/>
      <c r="AY215" s="271"/>
      <c r="AZ215" s="271"/>
      <c r="BA215" s="271"/>
      <c r="BB215" s="271"/>
      <c r="BC215" s="271"/>
      <c r="BD215" s="271"/>
      <c r="BE215" s="271"/>
      <c r="BF215" s="271"/>
      <c r="BG215" s="271"/>
      <c r="BH215" s="271"/>
      <c r="BI215" s="271"/>
      <c r="BJ215" s="271"/>
      <c r="BK215" s="271"/>
      <c r="BL215" s="271"/>
      <c r="BM215" s="271"/>
      <c r="BN215" s="271"/>
      <c r="BO215" s="271"/>
      <c r="BP215" s="271"/>
      <c r="BQ215" s="271"/>
      <c r="BR215" s="940">
        <f t="shared" ref="BR215:BZ215" si="247">BR203-BR210</f>
        <v>493</v>
      </c>
      <c r="BS215" s="271">
        <f t="shared" si="247"/>
        <v>497</v>
      </c>
      <c r="BT215" s="271">
        <f t="shared" si="247"/>
        <v>516</v>
      </c>
      <c r="BU215" s="271">
        <f t="shared" si="247"/>
        <v>489</v>
      </c>
      <c r="BV215" s="940">
        <f t="shared" si="247"/>
        <v>503</v>
      </c>
      <c r="BW215" s="271">
        <f t="shared" si="247"/>
        <v>525</v>
      </c>
      <c r="BX215" s="271">
        <f t="shared" si="247"/>
        <v>500</v>
      </c>
      <c r="BY215" s="271">
        <f t="shared" si="247"/>
        <v>528</v>
      </c>
      <c r="BZ215" s="940">
        <f t="shared" si="247"/>
        <v>501</v>
      </c>
      <c r="CA215" s="271">
        <f t="shared" ref="CA215:CK215" si="248">CA203-CA210</f>
        <v>487</v>
      </c>
      <c r="CB215" s="271">
        <f t="shared" si="248"/>
        <v>479</v>
      </c>
      <c r="CC215" s="271">
        <f t="shared" si="248"/>
        <v>504</v>
      </c>
      <c r="CD215" s="940">
        <f t="shared" si="248"/>
        <v>492</v>
      </c>
      <c r="CE215" s="271">
        <f t="shared" si="248"/>
        <v>475</v>
      </c>
      <c r="CF215" s="271">
        <f t="shared" si="248"/>
        <v>478</v>
      </c>
      <c r="CG215" s="271">
        <f>CG203-CG210</f>
        <v>463</v>
      </c>
      <c r="CH215" s="940">
        <f t="shared" si="248"/>
        <v>466</v>
      </c>
      <c r="CI215" s="271">
        <f t="shared" si="248"/>
        <v>445</v>
      </c>
      <c r="CJ215" s="271">
        <f t="shared" si="248"/>
        <v>448</v>
      </c>
      <c r="CK215" s="271">
        <f t="shared" si="248"/>
        <v>434</v>
      </c>
      <c r="CL215" s="940">
        <f>CL203-CL210</f>
        <v>453</v>
      </c>
    </row>
    <row r="216" spans="1:90" hidden="1" outlineLevel="1">
      <c r="A216" s="1076" t="s">
        <v>117</v>
      </c>
      <c r="B216" s="1077"/>
      <c r="C216" s="1077"/>
      <c r="D216" s="1077"/>
      <c r="E216" s="1077"/>
      <c r="F216" s="1077"/>
      <c r="G216" s="1077"/>
      <c r="H216" s="1077"/>
      <c r="I216" s="1077"/>
      <c r="J216" s="1077"/>
      <c r="K216" s="1077"/>
      <c r="L216" s="1077"/>
      <c r="M216" s="1077"/>
      <c r="N216" s="1078">
        <f t="shared" ref="N216:S216" si="249">N215/N203</f>
        <v>0.54256187109056297</v>
      </c>
      <c r="O216" s="1078">
        <f t="shared" si="249"/>
        <v>0.57591036414565822</v>
      </c>
      <c r="P216" s="1078">
        <f t="shared" si="249"/>
        <v>0.58959018845348488</v>
      </c>
      <c r="Q216" s="1078">
        <f t="shared" si="249"/>
        <v>0.65499485066941299</v>
      </c>
      <c r="R216" s="1079">
        <f t="shared" si="249"/>
        <v>0.6755840241145441</v>
      </c>
      <c r="S216" s="1078">
        <f t="shared" si="249"/>
        <v>0.69585253456221197</v>
      </c>
      <c r="T216" s="949"/>
      <c r="U216" s="949"/>
      <c r="V216" s="949"/>
      <c r="W216" s="949"/>
      <c r="X216" s="947"/>
      <c r="Y216" s="947"/>
      <c r="Z216" s="947"/>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82">
        <f t="shared" ref="BR216:CB216" si="250">BR215/BR203</f>
        <v>0.54355016538037482</v>
      </c>
      <c r="BS216" s="1078">
        <f t="shared" si="250"/>
        <v>0.5509977827050998</v>
      </c>
      <c r="BT216" s="1078">
        <f t="shared" si="250"/>
        <v>0.55128205128205132</v>
      </c>
      <c r="BU216" s="1078">
        <f t="shared" si="250"/>
        <v>0.52467811158798283</v>
      </c>
      <c r="BV216" s="1082">
        <f t="shared" si="250"/>
        <v>0.54793028322440085</v>
      </c>
      <c r="BW216" s="1078">
        <f t="shared" si="250"/>
        <v>0.57565789473684215</v>
      </c>
      <c r="BX216" s="1078">
        <f t="shared" si="250"/>
        <v>0.56947608200455579</v>
      </c>
      <c r="BY216" s="1078">
        <f t="shared" si="250"/>
        <v>0.61252900232018559</v>
      </c>
      <c r="BZ216" s="1082">
        <f t="shared" si="250"/>
        <v>0.58323632130384173</v>
      </c>
      <c r="CA216" s="1078">
        <f t="shared" si="250"/>
        <v>0.57769869513641758</v>
      </c>
      <c r="CB216" s="1078">
        <f t="shared" si="250"/>
        <v>0.57365269461077839</v>
      </c>
      <c r="CC216" s="1078">
        <f t="shared" ref="CC216:CK216" si="251">CC215/CC203</f>
        <v>0.62531017369727049</v>
      </c>
      <c r="CD216" s="1082">
        <f t="shared" si="251"/>
        <v>0.63979193758127439</v>
      </c>
      <c r="CE216" s="1078">
        <f t="shared" si="251"/>
        <v>0.65068493150684936</v>
      </c>
      <c r="CF216" s="1078">
        <f t="shared" si="251"/>
        <v>0.66481223922114052</v>
      </c>
      <c r="CG216" s="1078">
        <f t="shared" si="251"/>
        <v>0.66618705035971226</v>
      </c>
      <c r="CH216" s="1082">
        <f t="shared" si="251"/>
        <v>0.6802919708029197</v>
      </c>
      <c r="CI216" s="1078">
        <f t="shared" si="251"/>
        <v>0.67526555386949927</v>
      </c>
      <c r="CJ216" s="1078">
        <f t="shared" si="251"/>
        <v>0.67776096822995457</v>
      </c>
      <c r="CK216" s="1078">
        <f t="shared" si="251"/>
        <v>0.66872110939907548</v>
      </c>
      <c r="CL216" s="1082">
        <f>CL215/CL203</f>
        <v>0.69585253456221197</v>
      </c>
    </row>
    <row r="217" spans="1:90" ht="9" customHeight="1" collapsed="1">
      <c r="A217" s="1083"/>
      <c r="B217" s="1083"/>
      <c r="C217" s="1083"/>
      <c r="D217" s="1083"/>
      <c r="E217" s="1083"/>
      <c r="F217" s="1083"/>
      <c r="G217" s="1083"/>
      <c r="H217" s="1083"/>
      <c r="I217" s="1083"/>
      <c r="J217" s="1083"/>
      <c r="K217" s="1083"/>
      <c r="L217" s="1083"/>
      <c r="M217" s="1083"/>
      <c r="N217" s="1080"/>
      <c r="O217" s="1080"/>
      <c r="P217" s="1084"/>
      <c r="Q217" s="1084"/>
      <c r="R217" s="1085"/>
      <c r="S217" s="1080"/>
      <c r="T217" s="949"/>
      <c r="U217" s="949"/>
      <c r="V217" s="949"/>
      <c r="W217" s="949"/>
      <c r="X217" s="947"/>
      <c r="Y217" s="947"/>
      <c r="Z217" s="947"/>
      <c r="AA217" s="1080"/>
      <c r="AB217" s="1080"/>
      <c r="AC217" s="1080"/>
      <c r="AD217" s="1080"/>
      <c r="AE217" s="1080"/>
      <c r="AF217" s="1080"/>
      <c r="AG217" s="1080"/>
      <c r="AH217" s="1080"/>
      <c r="AI217" s="1080"/>
      <c r="AJ217" s="1080"/>
      <c r="AK217" s="1080"/>
      <c r="AL217" s="1080"/>
      <c r="AM217" s="1080"/>
      <c r="AN217" s="1080"/>
      <c r="AO217" s="1080"/>
      <c r="AP217" s="1080"/>
      <c r="AQ217" s="1080"/>
      <c r="AR217" s="1080"/>
      <c r="AS217" s="1080"/>
      <c r="AT217" s="1080"/>
      <c r="AU217" s="1080"/>
      <c r="AV217" s="1080"/>
      <c r="AW217" s="1080"/>
      <c r="AX217" s="1080"/>
      <c r="AY217" s="1080"/>
      <c r="AZ217" s="1080"/>
      <c r="BA217" s="1080"/>
      <c r="BB217" s="1080"/>
      <c r="BC217" s="1080"/>
      <c r="BD217" s="1080"/>
      <c r="BE217" s="1080"/>
      <c r="BF217" s="1080"/>
      <c r="BG217" s="1080"/>
      <c r="BH217" s="1080"/>
      <c r="BI217" s="1080"/>
      <c r="BJ217" s="1080"/>
      <c r="BK217" s="1080"/>
      <c r="BL217" s="1080"/>
      <c r="BM217" s="1080"/>
      <c r="BN217" s="1080"/>
      <c r="BO217" s="1080"/>
      <c r="BP217" s="1080"/>
      <c r="BQ217" s="1080"/>
      <c r="BR217" s="1081"/>
      <c r="BS217" s="1080"/>
      <c r="BT217" s="1080"/>
      <c r="BU217" s="1080"/>
      <c r="BV217" s="1081"/>
      <c r="BW217" s="1080"/>
      <c r="BX217" s="1080"/>
      <c r="BY217" s="1080"/>
      <c r="BZ217" s="1081"/>
      <c r="CA217" s="1080"/>
      <c r="CB217" s="1080"/>
      <c r="CC217" s="1080"/>
      <c r="CD217" s="1081"/>
      <c r="CE217" s="1080"/>
      <c r="CF217" s="1080"/>
      <c r="CG217" s="1080"/>
      <c r="CH217" s="1092"/>
      <c r="CI217" s="1090"/>
      <c r="CJ217" s="1090"/>
      <c r="CK217" s="1090"/>
      <c r="CL217" s="1803"/>
    </row>
    <row r="218" spans="1:90">
      <c r="A218" s="1070" t="s">
        <v>111</v>
      </c>
      <c r="B218" s="1070"/>
      <c r="C218" s="1070"/>
      <c r="D218" s="1070"/>
      <c r="E218" s="1070"/>
      <c r="F218" s="1070"/>
      <c r="G218" s="1070"/>
      <c r="H218" s="1070"/>
      <c r="I218" s="1070"/>
      <c r="J218" s="1070"/>
      <c r="K218" s="1070"/>
      <c r="L218" s="1070"/>
      <c r="M218" s="1070"/>
      <c r="N218" s="1080">
        <f t="shared" ref="N218:S218" si="252">N201/N203</f>
        <v>0.35980418819689963</v>
      </c>
      <c r="O218" s="1080">
        <f t="shared" si="252"/>
        <v>0.34033613445378152</v>
      </c>
      <c r="P218" s="1084">
        <f t="shared" si="252"/>
        <v>0.37421477714627582</v>
      </c>
      <c r="Q218" s="1084">
        <f t="shared" si="252"/>
        <v>0.4239615516649502</v>
      </c>
      <c r="R218" s="1085">
        <f t="shared" si="252"/>
        <v>0.48455162019593068</v>
      </c>
      <c r="S218" s="1080">
        <f t="shared" si="252"/>
        <v>0.52073732718894006</v>
      </c>
      <c r="T218" s="949"/>
      <c r="U218" s="949"/>
      <c r="V218" s="949"/>
      <c r="W218" s="949"/>
      <c r="X218" s="947"/>
      <c r="Y218" s="947"/>
      <c r="Z218" s="947"/>
      <c r="AA218" s="1080"/>
      <c r="AB218" s="1080"/>
      <c r="AC218" s="1080"/>
      <c r="AD218" s="1080"/>
      <c r="AE218" s="1080"/>
      <c r="AF218" s="1080"/>
      <c r="AG218" s="1080"/>
      <c r="AH218" s="1080"/>
      <c r="AI218" s="1080"/>
      <c r="AJ218" s="1080"/>
      <c r="AK218" s="1080"/>
      <c r="AL218" s="1080"/>
      <c r="AM218" s="1080"/>
      <c r="AN218" s="1080"/>
      <c r="AO218" s="1080"/>
      <c r="AP218" s="1080"/>
      <c r="AQ218" s="1080"/>
      <c r="AR218" s="1080"/>
      <c r="AS218" s="1080"/>
      <c r="AT218" s="1080"/>
      <c r="AU218" s="1080"/>
      <c r="AV218" s="1080"/>
      <c r="AW218" s="1080"/>
      <c r="AX218" s="1080"/>
      <c r="AY218" s="1080"/>
      <c r="AZ218" s="1080"/>
      <c r="BA218" s="1080"/>
      <c r="BB218" s="1080"/>
      <c r="BC218" s="1080"/>
      <c r="BD218" s="1080"/>
      <c r="BE218" s="1080"/>
      <c r="BF218" s="1080"/>
      <c r="BG218" s="1080"/>
      <c r="BH218" s="1080"/>
      <c r="BI218" s="1080"/>
      <c r="BJ218" s="1080"/>
      <c r="BK218" s="1080"/>
      <c r="BL218" s="1080"/>
      <c r="BM218" s="1080"/>
      <c r="BN218" s="1080"/>
      <c r="BO218" s="1080"/>
      <c r="BP218" s="1080"/>
      <c r="BQ218" s="1080"/>
      <c r="BR218" s="1081">
        <f t="shared" ref="BR218:CA218" si="253">BR201/BR203</f>
        <v>0.34729878721058433</v>
      </c>
      <c r="BS218" s="1080">
        <f t="shared" si="253"/>
        <v>0.35476718403547675</v>
      </c>
      <c r="BT218" s="1080">
        <f t="shared" si="253"/>
        <v>0.35790598290598291</v>
      </c>
      <c r="BU218" s="1080">
        <f t="shared" si="253"/>
        <v>0.37875536480686695</v>
      </c>
      <c r="BV218" s="1081">
        <f t="shared" si="253"/>
        <v>0.32897603485838778</v>
      </c>
      <c r="BW218" s="1080">
        <f t="shared" si="253"/>
        <v>0.33223684210526316</v>
      </c>
      <c r="BX218" s="1080">
        <f t="shared" si="253"/>
        <v>0.34624145785876992</v>
      </c>
      <c r="BY218" s="1080">
        <f t="shared" si="253"/>
        <v>0.35498839907192575</v>
      </c>
      <c r="BZ218" s="1081">
        <f t="shared" si="253"/>
        <v>0.35855646100116412</v>
      </c>
      <c r="CA218" s="1080">
        <f t="shared" si="253"/>
        <v>0.37010676156583627</v>
      </c>
      <c r="CB218" s="1080">
        <f t="shared" ref="CB218:CK218" si="254">CB201/CB203</f>
        <v>0.3772455089820359</v>
      </c>
      <c r="CC218" s="1080">
        <f t="shared" si="254"/>
        <v>0.39205955334987591</v>
      </c>
      <c r="CD218" s="1081">
        <f t="shared" si="254"/>
        <v>0.40702210663198962</v>
      </c>
      <c r="CE218" s="1080">
        <f t="shared" si="254"/>
        <v>0.42054794520547945</v>
      </c>
      <c r="CF218" s="1080">
        <f t="shared" si="254"/>
        <v>0.42559109874826145</v>
      </c>
      <c r="CG218" s="1080">
        <f t="shared" si="254"/>
        <v>0.44460431654676258</v>
      </c>
      <c r="CH218" s="1081">
        <f t="shared" si="254"/>
        <v>0.46277372262773725</v>
      </c>
      <c r="CI218" s="1080">
        <f t="shared" si="254"/>
        <v>0.48254931714719274</v>
      </c>
      <c r="CJ218" s="1080">
        <f t="shared" si="254"/>
        <v>0.4886535552193646</v>
      </c>
      <c r="CK218" s="1080">
        <f t="shared" si="254"/>
        <v>0.50539291217257321</v>
      </c>
      <c r="CL218" s="1081">
        <f>CL201/CL203</f>
        <v>0.52073732718894006</v>
      </c>
    </row>
    <row r="219" spans="1:90">
      <c r="A219" s="1070"/>
      <c r="B219" s="1070"/>
      <c r="C219" s="1070"/>
      <c r="D219" s="1070"/>
      <c r="E219" s="1070"/>
      <c r="F219" s="1070"/>
      <c r="G219" s="1070"/>
      <c r="H219" s="1070"/>
      <c r="I219" s="1070"/>
      <c r="J219" s="1070"/>
      <c r="K219" s="1070"/>
      <c r="L219" s="1070"/>
      <c r="M219" s="1070"/>
      <c r="N219" s="1120"/>
      <c r="O219" s="1120"/>
      <c r="P219" s="1121"/>
      <c r="Q219" s="1121"/>
      <c r="R219" s="1122"/>
      <c r="S219" s="1120"/>
      <c r="T219" s="949"/>
      <c r="U219" s="949"/>
      <c r="V219" s="949"/>
      <c r="W219" s="949"/>
      <c r="X219" s="947"/>
      <c r="Y219" s="947"/>
      <c r="Z219" s="947"/>
      <c r="AA219" s="1120"/>
      <c r="AB219" s="1120"/>
      <c r="AC219" s="1120"/>
      <c r="AD219" s="1120"/>
      <c r="AE219" s="1120"/>
      <c r="AF219" s="1120"/>
      <c r="AG219" s="1120"/>
      <c r="AH219" s="1120"/>
      <c r="AI219" s="1120"/>
      <c r="AJ219" s="1120"/>
      <c r="AK219" s="1120"/>
      <c r="AL219" s="1120"/>
      <c r="AM219" s="1120"/>
      <c r="AN219" s="1120"/>
      <c r="AO219" s="1120"/>
      <c r="AP219" s="1120"/>
      <c r="AQ219" s="1120"/>
      <c r="AR219" s="1120"/>
      <c r="AS219" s="1120"/>
      <c r="AT219" s="1120"/>
      <c r="AU219" s="1120"/>
      <c r="AV219" s="1120"/>
      <c r="AW219" s="1120"/>
      <c r="AX219" s="1120"/>
      <c r="AY219" s="1120"/>
      <c r="AZ219" s="1120"/>
      <c r="BA219" s="1120"/>
      <c r="BB219" s="1120"/>
      <c r="BC219" s="1120"/>
      <c r="BD219" s="1120"/>
      <c r="BE219" s="1120"/>
      <c r="BF219" s="1120"/>
      <c r="BG219" s="1120"/>
      <c r="BH219" s="1120"/>
      <c r="BI219" s="1120"/>
      <c r="BJ219" s="1120"/>
      <c r="BK219" s="1120"/>
      <c r="BL219" s="1120"/>
      <c r="BM219" s="1120"/>
      <c r="BN219" s="1120"/>
      <c r="BO219" s="1120"/>
      <c r="BP219" s="1120"/>
      <c r="BQ219" s="1120"/>
      <c r="BR219" s="1123"/>
      <c r="BS219" s="1120"/>
      <c r="BT219" s="1120"/>
      <c r="BU219" s="1120"/>
      <c r="BV219" s="1123"/>
      <c r="BW219" s="1120"/>
      <c r="BX219" s="1120"/>
      <c r="BY219" s="1120"/>
      <c r="BZ219" s="1123"/>
      <c r="CA219" s="984"/>
      <c r="CB219" s="984"/>
      <c r="CC219" s="1090"/>
      <c r="CD219" s="1092"/>
      <c r="CE219" s="984"/>
      <c r="CF219" s="1090"/>
      <c r="CG219" s="1090"/>
      <c r="CH219" s="1092"/>
      <c r="CI219" s="1090"/>
      <c r="CJ219" s="1090"/>
      <c r="CK219" s="1090"/>
      <c r="CL219" s="1803" t="s">
        <v>1072</v>
      </c>
    </row>
    <row r="220" spans="1:90">
      <c r="A220" s="1070" t="s">
        <v>118</v>
      </c>
      <c r="B220" s="1070"/>
      <c r="C220" s="1070"/>
      <c r="D220" s="1070"/>
      <c r="E220" s="1070"/>
      <c r="F220" s="1070"/>
      <c r="G220" s="1070"/>
      <c r="H220" s="1070"/>
      <c r="I220" s="1070"/>
      <c r="J220" s="1070"/>
      <c r="K220" s="1070"/>
      <c r="L220" s="1070"/>
      <c r="M220" s="1070"/>
      <c r="N220" s="984">
        <f>SUM(BR220:BU220)</f>
        <v>48050</v>
      </c>
      <c r="O220" s="984">
        <f>SUM(BV220:BY220)</f>
        <v>43632</v>
      </c>
      <c r="P220" s="948"/>
      <c r="Q220" s="984"/>
      <c r="R220" s="1002"/>
      <c r="S220" s="984"/>
      <c r="T220" s="949"/>
      <c r="U220" s="949"/>
      <c r="V220" s="949"/>
      <c r="W220" s="949"/>
      <c r="X220" s="947"/>
      <c r="Y220" s="947"/>
      <c r="Z220" s="947"/>
      <c r="AA220" s="984"/>
      <c r="AB220" s="984"/>
      <c r="AC220" s="984"/>
      <c r="AD220" s="984"/>
      <c r="AE220" s="984"/>
      <c r="AF220" s="984"/>
      <c r="AG220" s="984"/>
      <c r="AH220" s="984"/>
      <c r="AI220" s="984"/>
      <c r="AJ220" s="984"/>
      <c r="AK220" s="984"/>
      <c r="AL220" s="984"/>
      <c r="AM220" s="984"/>
      <c r="AN220" s="984"/>
      <c r="AO220" s="984"/>
      <c r="AP220" s="984"/>
      <c r="AQ220" s="984"/>
      <c r="AR220" s="984"/>
      <c r="AS220" s="984"/>
      <c r="AT220" s="984"/>
      <c r="AU220" s="984"/>
      <c r="AV220" s="984"/>
      <c r="AW220" s="984"/>
      <c r="AX220" s="984"/>
      <c r="AY220" s="984"/>
      <c r="AZ220" s="984"/>
      <c r="BA220" s="984"/>
      <c r="BB220" s="984"/>
      <c r="BC220" s="984"/>
      <c r="BD220" s="984"/>
      <c r="BE220" s="984"/>
      <c r="BF220" s="984"/>
      <c r="BG220" s="984"/>
      <c r="BH220" s="984"/>
      <c r="BI220" s="984"/>
      <c r="BJ220" s="984"/>
      <c r="BK220" s="984"/>
      <c r="BL220" s="984"/>
      <c r="BM220" s="984"/>
      <c r="BN220" s="984"/>
      <c r="BO220" s="984"/>
      <c r="BP220" s="984"/>
      <c r="BQ220" s="984"/>
      <c r="BR220" s="938">
        <v>12442</v>
      </c>
      <c r="BS220" s="348">
        <v>12047</v>
      </c>
      <c r="BT220" s="348">
        <v>11796</v>
      </c>
      <c r="BU220" s="348">
        <v>11765</v>
      </c>
      <c r="BV220" s="938">
        <v>11690</v>
      </c>
      <c r="BW220" s="348">
        <v>10859</v>
      </c>
      <c r="BX220" s="348">
        <v>10635</v>
      </c>
      <c r="BY220" s="348">
        <v>10448</v>
      </c>
      <c r="BZ220" s="938">
        <v>10431</v>
      </c>
      <c r="CA220" s="348">
        <v>9986</v>
      </c>
      <c r="CB220" s="348">
        <v>9770</v>
      </c>
      <c r="CC220" s="348">
        <v>9440</v>
      </c>
      <c r="CD220" s="938">
        <v>9377</v>
      </c>
      <c r="CE220" s="348">
        <v>8574</v>
      </c>
      <c r="CF220" s="348">
        <v>8274</v>
      </c>
      <c r="CG220" s="348">
        <v>8100</v>
      </c>
      <c r="CH220" s="938">
        <v>8029</v>
      </c>
      <c r="CI220" s="1124">
        <v>7470</v>
      </c>
      <c r="CJ220" s="1124">
        <v>7295</v>
      </c>
      <c r="CK220" s="348">
        <v>7069</v>
      </c>
      <c r="CL220" s="1125"/>
    </row>
    <row r="221" spans="1:90">
      <c r="A221" s="1070" t="s">
        <v>119</v>
      </c>
      <c r="B221" s="1070"/>
      <c r="C221" s="1070"/>
      <c r="D221" s="1070"/>
      <c r="E221" s="1070"/>
      <c r="F221" s="1070"/>
      <c r="G221" s="1070"/>
      <c r="H221" s="1070"/>
      <c r="I221" s="1070"/>
      <c r="J221" s="1070"/>
      <c r="K221" s="1070"/>
      <c r="L221" s="1070"/>
      <c r="M221" s="1070"/>
      <c r="N221" s="984">
        <f>BU221</f>
        <v>1495</v>
      </c>
      <c r="O221" s="984">
        <f>BY221</f>
        <v>1379</v>
      </c>
      <c r="P221" s="984">
        <f>CC221</f>
        <v>1174</v>
      </c>
      <c r="Q221" s="984">
        <f>CG221</f>
        <v>1057</v>
      </c>
      <c r="R221" s="1002">
        <f>+CK221</f>
        <v>945</v>
      </c>
      <c r="S221" s="984">
        <f>+CO221</f>
        <v>0</v>
      </c>
      <c r="T221" s="949"/>
      <c r="U221" s="949"/>
      <c r="V221" s="949"/>
      <c r="W221" s="949"/>
      <c r="X221" s="947"/>
      <c r="Y221" s="947"/>
      <c r="Z221" s="947"/>
      <c r="AA221" s="984"/>
      <c r="AB221" s="984"/>
      <c r="AC221" s="984"/>
      <c r="AD221" s="984"/>
      <c r="AE221" s="984"/>
      <c r="AF221" s="984"/>
      <c r="AG221" s="984"/>
      <c r="AH221" s="984"/>
      <c r="AI221" s="984"/>
      <c r="AJ221" s="984"/>
      <c r="AK221" s="984"/>
      <c r="AL221" s="984"/>
      <c r="AM221" s="984"/>
      <c r="AN221" s="984"/>
      <c r="AO221" s="984"/>
      <c r="AP221" s="984"/>
      <c r="AQ221" s="984"/>
      <c r="AR221" s="984"/>
      <c r="AS221" s="984"/>
      <c r="AT221" s="984"/>
      <c r="AU221" s="984"/>
      <c r="AV221" s="984"/>
      <c r="AW221" s="984"/>
      <c r="AX221" s="984"/>
      <c r="AY221" s="984"/>
      <c r="AZ221" s="984"/>
      <c r="BA221" s="984"/>
      <c r="BB221" s="984"/>
      <c r="BC221" s="984"/>
      <c r="BD221" s="984"/>
      <c r="BE221" s="984"/>
      <c r="BF221" s="984"/>
      <c r="BG221" s="984"/>
      <c r="BH221" s="984"/>
      <c r="BI221" s="984"/>
      <c r="BJ221" s="984"/>
      <c r="BK221" s="984"/>
      <c r="BL221" s="984"/>
      <c r="BM221" s="984"/>
      <c r="BN221" s="984"/>
      <c r="BO221" s="984"/>
      <c r="BP221" s="984"/>
      <c r="BQ221" s="984"/>
      <c r="BR221" s="938">
        <v>1668</v>
      </c>
      <c r="BS221" s="348">
        <v>1624</v>
      </c>
      <c r="BT221" s="348">
        <v>1564</v>
      </c>
      <c r="BU221" s="348">
        <v>1495</v>
      </c>
      <c r="BV221" s="938">
        <v>1558</v>
      </c>
      <c r="BW221" s="348">
        <v>1492</v>
      </c>
      <c r="BX221" s="348">
        <v>1438</v>
      </c>
      <c r="BY221" s="348">
        <v>1379</v>
      </c>
      <c r="BZ221" s="938">
        <v>1314</v>
      </c>
      <c r="CA221" s="348">
        <v>1259</v>
      </c>
      <c r="CB221" s="348">
        <v>1209</v>
      </c>
      <c r="CC221" s="348">
        <v>1174</v>
      </c>
      <c r="CD221" s="938">
        <v>1140</v>
      </c>
      <c r="CE221" s="348">
        <v>1107</v>
      </c>
      <c r="CF221" s="348">
        <v>1076</v>
      </c>
      <c r="CG221" s="348">
        <v>1057</v>
      </c>
      <c r="CH221" s="938">
        <v>1021</v>
      </c>
      <c r="CI221" s="347">
        <v>988</v>
      </c>
      <c r="CJ221" s="347">
        <v>963</v>
      </c>
      <c r="CK221" s="348">
        <v>945</v>
      </c>
      <c r="CL221" s="1808">
        <f>+CK221/$CK$91*$CL$91</f>
        <v>921.20158102766788</v>
      </c>
    </row>
    <row r="222" spans="1:90">
      <c r="A222" s="983" t="s">
        <v>34</v>
      </c>
      <c r="B222" s="983"/>
      <c r="C222" s="983"/>
      <c r="D222" s="983"/>
      <c r="E222" s="983"/>
      <c r="F222" s="983"/>
      <c r="G222" s="983"/>
      <c r="H222" s="983"/>
      <c r="I222" s="983"/>
      <c r="J222" s="983"/>
      <c r="K222" s="983"/>
      <c r="L222" s="983"/>
      <c r="M222" s="983"/>
      <c r="N222" s="984"/>
      <c r="O222" s="988">
        <f>O221/N221-1</f>
        <v>-7.7591973244147128E-2</v>
      </c>
      <c r="P222" s="988">
        <f>P221/O221-1</f>
        <v>-0.14865844815083396</v>
      </c>
      <c r="Q222" s="988">
        <f>Q221/P221-1</f>
        <v>-9.9659284497444656E-2</v>
      </c>
      <c r="R222" s="989">
        <f>R221/Q221-1</f>
        <v>-0.10596026490066224</v>
      </c>
      <c r="S222" s="988">
        <f>S221/R221-1</f>
        <v>-1</v>
      </c>
      <c r="T222" s="949"/>
      <c r="U222" s="949"/>
      <c r="V222" s="949"/>
      <c r="W222" s="949"/>
      <c r="X222" s="947"/>
      <c r="Y222" s="947"/>
      <c r="Z222" s="947"/>
      <c r="AA222" s="984"/>
      <c r="AB222" s="984"/>
      <c r="AC222" s="984"/>
      <c r="AD222" s="984"/>
      <c r="AE222" s="984"/>
      <c r="AF222" s="984"/>
      <c r="AG222" s="984"/>
      <c r="AH222" s="984"/>
      <c r="AI222" s="984"/>
      <c r="AJ222" s="984"/>
      <c r="AK222" s="984"/>
      <c r="AL222" s="984"/>
      <c r="AM222" s="984"/>
      <c r="AN222" s="984"/>
      <c r="AO222" s="984"/>
      <c r="AP222" s="984"/>
      <c r="AQ222" s="984"/>
      <c r="AR222" s="984"/>
      <c r="AS222" s="984"/>
      <c r="AT222" s="984"/>
      <c r="AU222" s="984"/>
      <c r="AV222" s="984"/>
      <c r="AW222" s="984"/>
      <c r="AX222" s="984"/>
      <c r="AY222" s="984"/>
      <c r="AZ222" s="984"/>
      <c r="BA222" s="984"/>
      <c r="BB222" s="984"/>
      <c r="BC222" s="984"/>
      <c r="BD222" s="984"/>
      <c r="BE222" s="984"/>
      <c r="BF222" s="984"/>
      <c r="BG222" s="984"/>
      <c r="BH222" s="984"/>
      <c r="BI222" s="984"/>
      <c r="BJ222" s="984"/>
      <c r="BK222" s="984"/>
      <c r="BL222" s="984"/>
      <c r="BM222" s="984"/>
      <c r="BN222" s="984"/>
      <c r="BO222" s="984"/>
      <c r="BP222" s="984"/>
      <c r="BQ222" s="984"/>
      <c r="BR222" s="938"/>
      <c r="BS222" s="347"/>
      <c r="BT222" s="347"/>
      <c r="BU222" s="347"/>
      <c r="BV222" s="990">
        <f t="shared" ref="BV222:CG222" si="255">BV221/BR221-1</f>
        <v>-6.5947242206235046E-2</v>
      </c>
      <c r="BW222" s="988">
        <f t="shared" si="255"/>
        <v>-8.1280788177339858E-2</v>
      </c>
      <c r="BX222" s="988">
        <f t="shared" si="255"/>
        <v>-8.0562659846547313E-2</v>
      </c>
      <c r="BY222" s="988">
        <f t="shared" si="255"/>
        <v>-7.7591973244147128E-2</v>
      </c>
      <c r="BZ222" s="990">
        <f t="shared" si="255"/>
        <v>-0.15661103979460844</v>
      </c>
      <c r="CA222" s="988">
        <f t="shared" si="255"/>
        <v>-0.15616621983914214</v>
      </c>
      <c r="CB222" s="988">
        <f t="shared" si="255"/>
        <v>-0.15924895688456187</v>
      </c>
      <c r="CC222" s="988">
        <f t="shared" si="255"/>
        <v>-0.14865844815083396</v>
      </c>
      <c r="CD222" s="990">
        <f t="shared" si="255"/>
        <v>-0.13242009132420096</v>
      </c>
      <c r="CE222" s="988">
        <f t="shared" si="255"/>
        <v>-0.1207307386814932</v>
      </c>
      <c r="CF222" s="988">
        <f t="shared" si="255"/>
        <v>-0.11000827129859392</v>
      </c>
      <c r="CG222" s="988">
        <f t="shared" si="255"/>
        <v>-9.9659284497444656E-2</v>
      </c>
      <c r="CH222" s="990">
        <f>CH221/CD221-1</f>
        <v>-0.10438596491228069</v>
      </c>
      <c r="CI222" s="988">
        <f>CI221/CE221-1</f>
        <v>-0.1074977416440831</v>
      </c>
      <c r="CJ222" s="988">
        <f>CJ221/CF221-1</f>
        <v>-0.10501858736059477</v>
      </c>
      <c r="CK222" s="988">
        <f>CK221/CG221-1</f>
        <v>-0.10596026490066224</v>
      </c>
      <c r="CL222" s="990">
        <f>CL221/CH221-1</f>
        <v>-9.7745758053214615E-2</v>
      </c>
    </row>
    <row r="223" spans="1:90">
      <c r="A223" s="983" t="s">
        <v>776</v>
      </c>
      <c r="B223" s="983"/>
      <c r="C223" s="983"/>
      <c r="D223" s="983"/>
      <c r="E223" s="983"/>
      <c r="F223" s="983"/>
      <c r="G223" s="983"/>
      <c r="H223" s="983"/>
      <c r="I223" s="983"/>
      <c r="J223" s="983"/>
      <c r="K223" s="983"/>
      <c r="L223" s="983"/>
      <c r="M223" s="983"/>
      <c r="N223" s="984"/>
      <c r="O223" s="984">
        <f>O221-N221</f>
        <v>-116</v>
      </c>
      <c r="P223" s="984">
        <f>P221-O221</f>
        <v>-205</v>
      </c>
      <c r="Q223" s="984">
        <f>Q221-P221</f>
        <v>-117</v>
      </c>
      <c r="R223" s="1002">
        <f>R221-Q221</f>
        <v>-112</v>
      </c>
      <c r="S223" s="984">
        <f>S221-R221</f>
        <v>-945</v>
      </c>
      <c r="T223" s="949"/>
      <c r="U223" s="949"/>
      <c r="V223" s="949"/>
      <c r="W223" s="949"/>
      <c r="X223" s="947"/>
      <c r="Y223" s="947"/>
      <c r="Z223" s="947"/>
      <c r="AA223" s="984"/>
      <c r="AB223" s="984"/>
      <c r="AC223" s="984"/>
      <c r="AD223" s="984"/>
      <c r="AE223" s="984"/>
      <c r="AF223" s="984"/>
      <c r="AG223" s="984"/>
      <c r="AH223" s="984"/>
      <c r="AI223" s="984"/>
      <c r="AJ223" s="984"/>
      <c r="AK223" s="984"/>
      <c r="AL223" s="984"/>
      <c r="AM223" s="984"/>
      <c r="AN223" s="984"/>
      <c r="AO223" s="984"/>
      <c r="AP223" s="984"/>
      <c r="AQ223" s="984"/>
      <c r="AR223" s="984"/>
      <c r="AS223" s="984"/>
      <c r="AT223" s="984"/>
      <c r="AU223" s="984"/>
      <c r="AV223" s="984"/>
      <c r="AW223" s="984"/>
      <c r="AX223" s="984"/>
      <c r="AY223" s="984"/>
      <c r="AZ223" s="984"/>
      <c r="BA223" s="984"/>
      <c r="BB223" s="984"/>
      <c r="BC223" s="984"/>
      <c r="BD223" s="984"/>
      <c r="BE223" s="984"/>
      <c r="BF223" s="984"/>
      <c r="BG223" s="984"/>
      <c r="BH223" s="984"/>
      <c r="BI223" s="984"/>
      <c r="BJ223" s="984"/>
      <c r="BK223" s="984"/>
      <c r="BL223" s="984"/>
      <c r="BM223" s="984"/>
      <c r="BN223" s="984"/>
      <c r="BO223" s="984"/>
      <c r="BP223" s="984"/>
      <c r="BQ223" s="984"/>
      <c r="BR223" s="938"/>
      <c r="BS223" s="984">
        <f t="shared" ref="BS223:CL223" si="256">BS221-BR221</f>
        <v>-44</v>
      </c>
      <c r="BT223" s="984">
        <f t="shared" si="256"/>
        <v>-60</v>
      </c>
      <c r="BU223" s="984">
        <f t="shared" si="256"/>
        <v>-69</v>
      </c>
      <c r="BV223" s="986">
        <f t="shared" si="256"/>
        <v>63</v>
      </c>
      <c r="BW223" s="984">
        <f t="shared" si="256"/>
        <v>-66</v>
      </c>
      <c r="BX223" s="984">
        <f t="shared" si="256"/>
        <v>-54</v>
      </c>
      <c r="BY223" s="984">
        <f t="shared" si="256"/>
        <v>-59</v>
      </c>
      <c r="BZ223" s="986">
        <f t="shared" si="256"/>
        <v>-65</v>
      </c>
      <c r="CA223" s="984">
        <f t="shared" si="256"/>
        <v>-55</v>
      </c>
      <c r="CB223" s="984">
        <f t="shared" si="256"/>
        <v>-50</v>
      </c>
      <c r="CC223" s="984">
        <f t="shared" si="256"/>
        <v>-35</v>
      </c>
      <c r="CD223" s="986">
        <f t="shared" si="256"/>
        <v>-34</v>
      </c>
      <c r="CE223" s="984">
        <f t="shared" si="256"/>
        <v>-33</v>
      </c>
      <c r="CF223" s="984">
        <f t="shared" si="256"/>
        <v>-31</v>
      </c>
      <c r="CG223" s="984">
        <f t="shared" si="256"/>
        <v>-19</v>
      </c>
      <c r="CH223" s="986">
        <f t="shared" si="256"/>
        <v>-36</v>
      </c>
      <c r="CI223" s="984">
        <f t="shared" si="256"/>
        <v>-33</v>
      </c>
      <c r="CJ223" s="984">
        <f t="shared" si="256"/>
        <v>-25</v>
      </c>
      <c r="CK223" s="984">
        <f t="shared" si="256"/>
        <v>-18</v>
      </c>
      <c r="CL223" s="986">
        <f t="shared" si="256"/>
        <v>-23.798418972332115</v>
      </c>
    </row>
    <row r="224" spans="1:90">
      <c r="A224" s="976" t="s">
        <v>786</v>
      </c>
      <c r="B224" s="977"/>
      <c r="C224" s="977"/>
      <c r="D224" s="977"/>
      <c r="E224" s="977"/>
      <c r="F224" s="977"/>
      <c r="G224" s="977"/>
      <c r="H224" s="977"/>
      <c r="I224" s="977"/>
      <c r="J224" s="977"/>
      <c r="K224" s="977"/>
      <c r="L224" s="977"/>
      <c r="M224" s="977"/>
      <c r="N224" s="977"/>
      <c r="O224" s="977"/>
      <c r="P224" s="978"/>
      <c r="Q224" s="978"/>
      <c r="R224" s="979"/>
      <c r="S224" s="977"/>
      <c r="T224" s="949"/>
      <c r="U224" s="949"/>
      <c r="V224" s="949"/>
      <c r="W224" s="949"/>
      <c r="X224" s="947"/>
      <c r="Y224" s="947"/>
      <c r="Z224" s="947"/>
      <c r="AA224" s="977"/>
      <c r="AB224" s="977"/>
      <c r="AC224" s="977"/>
      <c r="AD224" s="977"/>
      <c r="AE224" s="977"/>
      <c r="AF224" s="977"/>
      <c r="AG224" s="977"/>
      <c r="AH224" s="977"/>
      <c r="AI224" s="977"/>
      <c r="AJ224" s="977"/>
      <c r="AK224" s="977"/>
      <c r="AL224" s="977"/>
      <c r="AM224" s="977"/>
      <c r="AN224" s="977"/>
      <c r="AO224" s="977"/>
      <c r="AP224" s="977"/>
      <c r="AQ224" s="977"/>
      <c r="AR224" s="977"/>
      <c r="AS224" s="977"/>
      <c r="AT224" s="977"/>
      <c r="AU224" s="977"/>
      <c r="AV224" s="977"/>
      <c r="AW224" s="977"/>
      <c r="AX224" s="977"/>
      <c r="AY224" s="977"/>
      <c r="AZ224" s="977"/>
      <c r="BA224" s="977"/>
      <c r="BB224" s="977"/>
      <c r="BC224" s="977"/>
      <c r="BD224" s="977"/>
      <c r="BE224" s="977"/>
      <c r="BF224" s="977"/>
      <c r="BG224" s="977"/>
      <c r="BH224" s="977"/>
      <c r="BI224" s="977"/>
      <c r="BJ224" s="977"/>
      <c r="BK224" s="977"/>
      <c r="BL224" s="977"/>
      <c r="BM224" s="977"/>
      <c r="BN224" s="977"/>
      <c r="BO224" s="977"/>
      <c r="BP224" s="977"/>
      <c r="BQ224" s="977"/>
      <c r="BR224" s="981"/>
      <c r="BS224" s="977"/>
      <c r="BT224" s="977"/>
      <c r="BU224" s="977"/>
      <c r="BV224" s="981"/>
      <c r="BW224" s="977"/>
      <c r="BX224" s="977"/>
      <c r="BY224" s="977"/>
      <c r="BZ224" s="981"/>
      <c r="CA224" s="977"/>
      <c r="CB224" s="977"/>
      <c r="CC224" s="977"/>
      <c r="CD224" s="981"/>
      <c r="CE224" s="977"/>
      <c r="CF224" s="977"/>
      <c r="CG224" s="977"/>
      <c r="CH224" s="981"/>
      <c r="CI224" s="977"/>
      <c r="CJ224" s="977"/>
      <c r="CK224" s="977"/>
      <c r="CL224" s="981"/>
    </row>
    <row r="225" spans="1:90">
      <c r="A225" s="1025" t="s">
        <v>38</v>
      </c>
      <c r="B225" s="993"/>
      <c r="C225" s="993"/>
      <c r="D225" s="993"/>
      <c r="E225" s="993"/>
      <c r="F225" s="993"/>
      <c r="G225" s="993"/>
      <c r="H225" s="993"/>
      <c r="I225" s="993"/>
      <c r="J225" s="993"/>
      <c r="K225" s="993"/>
      <c r="L225" s="993"/>
      <c r="M225" s="993"/>
      <c r="N225" s="984">
        <f>SUM(BR225:BU225)</f>
        <v>391</v>
      </c>
      <c r="O225" s="984">
        <f>SUM(BV225:BY225)</f>
        <v>372</v>
      </c>
      <c r="P225" s="948">
        <f>SUM(BZ225:CC225)</f>
        <v>357</v>
      </c>
      <c r="Q225" s="948">
        <f>SUM(CD225:CG225)</f>
        <v>350</v>
      </c>
      <c r="R225" s="985">
        <f>SUM(CH225:CK225)</f>
        <v>380</v>
      </c>
      <c r="S225" s="984">
        <f>SUM(CL225:CO225)</f>
        <v>93</v>
      </c>
      <c r="T225" s="949"/>
      <c r="U225" s="949"/>
      <c r="V225" s="949"/>
      <c r="W225" s="949"/>
      <c r="X225" s="947"/>
      <c r="Y225" s="947"/>
      <c r="Z225" s="947"/>
      <c r="AA225" s="984"/>
      <c r="AB225" s="984"/>
      <c r="AC225" s="984"/>
      <c r="AD225" s="984"/>
      <c r="AE225" s="984"/>
      <c r="AF225" s="984"/>
      <c r="AG225" s="984"/>
      <c r="AH225" s="984"/>
      <c r="AI225" s="984"/>
      <c r="AJ225" s="984"/>
      <c r="AK225" s="984"/>
      <c r="AL225" s="984"/>
      <c r="AM225" s="984"/>
      <c r="AN225" s="984"/>
      <c r="AO225" s="984"/>
      <c r="AP225" s="984"/>
      <c r="AQ225" s="984"/>
      <c r="AR225" s="984"/>
      <c r="AS225" s="984"/>
      <c r="AT225" s="984"/>
      <c r="AU225" s="984"/>
      <c r="AV225" s="984"/>
      <c r="AW225" s="984"/>
      <c r="AX225" s="984"/>
      <c r="AY225" s="984"/>
      <c r="AZ225" s="984"/>
      <c r="BA225" s="984"/>
      <c r="BB225" s="984"/>
      <c r="BC225" s="984"/>
      <c r="BD225" s="984"/>
      <c r="BE225" s="984"/>
      <c r="BF225" s="984"/>
      <c r="BG225" s="984"/>
      <c r="BH225" s="984"/>
      <c r="BI225" s="984"/>
      <c r="BJ225" s="984"/>
      <c r="BK225" s="984"/>
      <c r="BL225" s="984"/>
      <c r="BM225" s="984"/>
      <c r="BN225" s="984"/>
      <c r="BO225" s="984"/>
      <c r="BP225" s="984"/>
      <c r="BQ225" s="984"/>
      <c r="BR225" s="938">
        <v>106</v>
      </c>
      <c r="BS225" s="347">
        <v>109</v>
      </c>
      <c r="BT225" s="347">
        <v>93</v>
      </c>
      <c r="BU225" s="347">
        <v>83</v>
      </c>
      <c r="BV225" s="938">
        <v>84</v>
      </c>
      <c r="BW225" s="347">
        <v>98</v>
      </c>
      <c r="BX225" s="347">
        <v>94</v>
      </c>
      <c r="BY225" s="347">
        <v>96</v>
      </c>
      <c r="BZ225" s="938">
        <v>79</v>
      </c>
      <c r="CA225" s="347">
        <v>90</v>
      </c>
      <c r="CB225" s="347">
        <v>91</v>
      </c>
      <c r="CC225" s="347">
        <v>97</v>
      </c>
      <c r="CD225" s="938">
        <v>78</v>
      </c>
      <c r="CE225" s="347">
        <v>89</v>
      </c>
      <c r="CF225" s="347">
        <v>94</v>
      </c>
      <c r="CG225" s="347">
        <v>89</v>
      </c>
      <c r="CH225" s="938">
        <v>99</v>
      </c>
      <c r="CI225" s="347">
        <v>106</v>
      </c>
      <c r="CJ225" s="347">
        <v>90</v>
      </c>
      <c r="CK225" s="347">
        <v>85</v>
      </c>
      <c r="CL225" s="938">
        <v>93</v>
      </c>
    </row>
    <row r="226" spans="1:90">
      <c r="A226" s="1062" t="s">
        <v>34</v>
      </c>
      <c r="B226" s="1062"/>
      <c r="C226" s="1062"/>
      <c r="D226" s="1062"/>
      <c r="E226" s="1062"/>
      <c r="F226" s="1062"/>
      <c r="G226" s="1062"/>
      <c r="H226" s="1062"/>
      <c r="I226" s="1062"/>
      <c r="J226" s="1062"/>
      <c r="K226" s="1062"/>
      <c r="L226" s="1062"/>
      <c r="M226" s="1062"/>
      <c r="N226" s="1063"/>
      <c r="O226" s="1064">
        <f>O225/N225-1</f>
        <v>-4.8593350383631662E-2</v>
      </c>
      <c r="P226" s="1064">
        <f>P225/O225-1</f>
        <v>-4.0322580645161255E-2</v>
      </c>
      <c r="Q226" s="1064">
        <f>Q225/P225-1</f>
        <v>-1.9607843137254943E-2</v>
      </c>
      <c r="R226" s="1065">
        <f>R225/Q225-1</f>
        <v>8.5714285714285632E-2</v>
      </c>
      <c r="S226" s="1064">
        <f>S225/R225-1</f>
        <v>-0.75526315789473686</v>
      </c>
      <c r="T226" s="949"/>
      <c r="U226" s="949"/>
      <c r="V226" s="949"/>
      <c r="W226" s="949"/>
      <c r="X226" s="947"/>
      <c r="Y226" s="947"/>
      <c r="Z226" s="947"/>
      <c r="AA226" s="1063"/>
      <c r="AB226" s="1063"/>
      <c r="AC226" s="1063"/>
      <c r="AD226" s="1063"/>
      <c r="AE226" s="1063"/>
      <c r="AF226" s="1063"/>
      <c r="AG226" s="1063"/>
      <c r="AH226" s="1063"/>
      <c r="AI226" s="1063"/>
      <c r="AJ226" s="1063"/>
      <c r="AK226" s="1063"/>
      <c r="AL226" s="1063"/>
      <c r="AM226" s="1063"/>
      <c r="AN226" s="1063"/>
      <c r="AO226" s="1063"/>
      <c r="AP226" s="1063"/>
      <c r="AQ226" s="1063"/>
      <c r="AR226" s="1063"/>
      <c r="AS226" s="1063"/>
      <c r="AT226" s="1063"/>
      <c r="AU226" s="1063"/>
      <c r="AV226" s="1063"/>
      <c r="AW226" s="1063"/>
      <c r="AX226" s="1063"/>
      <c r="AY226" s="1063"/>
      <c r="AZ226" s="1063"/>
      <c r="BA226" s="1063"/>
      <c r="BB226" s="1063"/>
      <c r="BC226" s="1063"/>
      <c r="BD226" s="1063"/>
      <c r="BE226" s="1063"/>
      <c r="BF226" s="1063"/>
      <c r="BG226" s="1063"/>
      <c r="BH226" s="1063"/>
      <c r="BI226" s="1063"/>
      <c r="BJ226" s="1063"/>
      <c r="BK226" s="1063"/>
      <c r="BL226" s="1063"/>
      <c r="BM226" s="1063"/>
      <c r="BN226" s="1063"/>
      <c r="BO226" s="1063"/>
      <c r="BP226" s="1063"/>
      <c r="BQ226" s="1063"/>
      <c r="BR226" s="1066"/>
      <c r="BS226" s="1067"/>
      <c r="BT226" s="1067"/>
      <c r="BU226" s="1067"/>
      <c r="BV226" s="1069">
        <f t="shared" ref="BV226:CL226" si="257">BV225/BR225-1</f>
        <v>-0.20754716981132071</v>
      </c>
      <c r="BW226" s="1064">
        <f t="shared" si="257"/>
        <v>-0.1009174311926605</v>
      </c>
      <c r="BX226" s="1064">
        <f t="shared" si="257"/>
        <v>1.0752688172043001E-2</v>
      </c>
      <c r="BY226" s="1064">
        <f t="shared" si="257"/>
        <v>0.15662650602409633</v>
      </c>
      <c r="BZ226" s="1069">
        <f t="shared" si="257"/>
        <v>-5.9523809523809534E-2</v>
      </c>
      <c r="CA226" s="1064">
        <f t="shared" si="257"/>
        <v>-8.1632653061224469E-2</v>
      </c>
      <c r="CB226" s="1064">
        <f t="shared" si="257"/>
        <v>-3.1914893617021267E-2</v>
      </c>
      <c r="CC226" s="1064">
        <f t="shared" si="257"/>
        <v>1.0416666666666741E-2</v>
      </c>
      <c r="CD226" s="1069">
        <f t="shared" si="257"/>
        <v>-1.2658227848101222E-2</v>
      </c>
      <c r="CE226" s="1064">
        <f t="shared" si="257"/>
        <v>-1.1111111111111072E-2</v>
      </c>
      <c r="CF226" s="1064">
        <f t="shared" si="257"/>
        <v>3.2967032967033072E-2</v>
      </c>
      <c r="CG226" s="1064">
        <f t="shared" si="257"/>
        <v>-8.2474226804123751E-2</v>
      </c>
      <c r="CH226" s="1069">
        <f t="shared" si="257"/>
        <v>0.26923076923076916</v>
      </c>
      <c r="CI226" s="1064">
        <f t="shared" si="257"/>
        <v>0.1910112359550562</v>
      </c>
      <c r="CJ226" s="1064">
        <f t="shared" si="257"/>
        <v>-4.2553191489361653E-2</v>
      </c>
      <c r="CK226" s="1064">
        <f t="shared" si="257"/>
        <v>-4.49438202247191E-2</v>
      </c>
      <c r="CL226" s="1069">
        <f t="shared" si="257"/>
        <v>-6.0606060606060552E-2</v>
      </c>
    </row>
    <row r="227" spans="1:90">
      <c r="A227" s="946"/>
      <c r="B227" s="946"/>
      <c r="C227" s="946"/>
      <c r="D227" s="946"/>
      <c r="E227" s="946"/>
      <c r="F227" s="946"/>
      <c r="G227" s="946"/>
      <c r="H227" s="946"/>
      <c r="I227" s="946"/>
      <c r="J227" s="946"/>
      <c r="K227" s="946"/>
      <c r="L227" s="946"/>
      <c r="M227" s="946"/>
      <c r="N227" s="946"/>
      <c r="O227" s="946"/>
      <c r="P227" s="946"/>
      <c r="Q227" s="946"/>
      <c r="R227" s="1775"/>
      <c r="S227" s="946"/>
      <c r="T227" s="949"/>
      <c r="U227" s="949"/>
      <c r="V227" s="949"/>
      <c r="W227" s="949"/>
      <c r="X227" s="946"/>
      <c r="Y227" s="946"/>
      <c r="Z227" s="946"/>
      <c r="AA227" s="946"/>
      <c r="AB227" s="946"/>
      <c r="AC227" s="946"/>
      <c r="AD227" s="946"/>
      <c r="AE227" s="946"/>
      <c r="AF227" s="946"/>
      <c r="AG227" s="946"/>
      <c r="AH227" s="946"/>
      <c r="AI227" s="946"/>
      <c r="AJ227" s="946"/>
      <c r="AK227" s="946"/>
      <c r="AL227" s="946"/>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1126"/>
      <c r="CI227" s="946"/>
      <c r="CJ227" s="946"/>
      <c r="CK227" s="946"/>
      <c r="CL227" s="1799"/>
    </row>
    <row r="228" spans="1:90" ht="12.75" customHeight="1">
      <c r="A228" s="946"/>
      <c r="B228" s="946"/>
      <c r="C228" s="946"/>
      <c r="D228" s="946"/>
      <c r="E228" s="946"/>
      <c r="F228" s="946"/>
      <c r="G228" s="946"/>
      <c r="H228" s="946"/>
      <c r="I228" s="946"/>
      <c r="J228" s="946"/>
      <c r="K228" s="946"/>
      <c r="L228" s="946"/>
      <c r="M228" s="946"/>
      <c r="N228" s="946"/>
      <c r="O228" s="946"/>
      <c r="P228" s="946"/>
      <c r="Q228" s="946"/>
      <c r="R228" s="1775"/>
      <c r="S228" s="946"/>
      <c r="T228" s="949"/>
      <c r="U228" s="949"/>
      <c r="V228" s="949"/>
      <c r="W228" s="949"/>
      <c r="X228" s="946"/>
      <c r="Y228" s="946"/>
      <c r="Z228" s="946"/>
      <c r="AA228" s="946"/>
      <c r="AB228" s="946"/>
      <c r="AC228" s="946"/>
      <c r="AD228" s="946"/>
      <c r="AE228" s="946"/>
      <c r="AF228" s="946"/>
      <c r="AG228" s="946"/>
      <c r="AH228" s="946"/>
      <c r="AI228" s="946"/>
      <c r="AJ228" s="946"/>
      <c r="AK228" s="946"/>
      <c r="AL228" s="946"/>
      <c r="AM228" s="946"/>
      <c r="AN228" s="946"/>
      <c r="AO228" s="946"/>
      <c r="AP228" s="946"/>
      <c r="AQ228" s="946"/>
      <c r="AR228" s="946"/>
      <c r="AS228" s="946"/>
      <c r="AT228" s="946"/>
      <c r="AU228" s="946"/>
      <c r="AV228" s="946"/>
      <c r="AW228" s="946"/>
      <c r="AX228" s="946"/>
      <c r="AY228" s="946"/>
      <c r="AZ228" s="946"/>
      <c r="BA228" s="946"/>
      <c r="BB228" s="946"/>
      <c r="BC228" s="946"/>
      <c r="BD228" s="946"/>
      <c r="BE228" s="946"/>
      <c r="BF228" s="946"/>
      <c r="BG228" s="946"/>
      <c r="BH228" s="946"/>
      <c r="BI228" s="946"/>
      <c r="BJ228" s="946"/>
      <c r="BK228" s="946"/>
      <c r="BL228" s="946"/>
      <c r="BM228" s="946"/>
      <c r="BN228" s="946"/>
      <c r="BO228" s="946"/>
      <c r="BP228" s="946"/>
      <c r="BQ228" s="946"/>
      <c r="BR228" s="946"/>
      <c r="BS228" s="946"/>
      <c r="BT228" s="946"/>
      <c r="BU228" s="946"/>
      <c r="BV228" s="946"/>
      <c r="BW228" s="946"/>
      <c r="BX228" s="946"/>
      <c r="BY228" s="946"/>
      <c r="BZ228" s="946"/>
      <c r="CA228" s="946"/>
      <c r="CB228" s="946"/>
      <c r="CC228" s="946"/>
      <c r="CD228" s="946"/>
      <c r="CE228" s="946"/>
      <c r="CF228" s="946"/>
      <c r="CG228" s="946"/>
      <c r="CH228" s="946"/>
      <c r="CI228" s="946"/>
      <c r="CJ228" s="946"/>
      <c r="CK228" s="946"/>
      <c r="CL228" s="1127"/>
    </row>
    <row r="229" spans="1:90" ht="12.75" customHeight="1">
      <c r="A229" s="343" t="s">
        <v>120</v>
      </c>
      <c r="B229" s="1128"/>
      <c r="C229" s="1128"/>
      <c r="D229" s="1128"/>
      <c r="E229" s="1128"/>
      <c r="F229" s="1128"/>
      <c r="G229" s="1128"/>
      <c r="H229" s="1128"/>
      <c r="I229" s="1128"/>
      <c r="J229" s="1128"/>
      <c r="K229" s="1128"/>
      <c r="L229" s="1128"/>
      <c r="M229" s="1128"/>
      <c r="N229" s="1128"/>
      <c r="O229" s="1128"/>
      <c r="P229" s="1128"/>
      <c r="Q229" s="1128"/>
      <c r="R229" s="1781"/>
      <c r="S229" s="1128"/>
      <c r="T229" s="949"/>
      <c r="U229" s="949"/>
      <c r="V229" s="949"/>
      <c r="W229" s="949"/>
      <c r="X229" s="1128"/>
      <c r="Y229" s="1128"/>
      <c r="Z229" s="1129"/>
      <c r="AA229" s="1129"/>
      <c r="AB229" s="1129"/>
      <c r="AC229" s="1129"/>
      <c r="AD229" s="1129"/>
      <c r="AE229" s="1129"/>
      <c r="AF229" s="1129"/>
      <c r="AG229" s="1129"/>
      <c r="AH229" s="1129"/>
      <c r="AI229" s="1129"/>
      <c r="AJ229" s="1129"/>
      <c r="AK229" s="1129"/>
      <c r="AL229" s="1129"/>
      <c r="AM229" s="1129"/>
      <c r="AN229" s="1129"/>
      <c r="AO229" s="1129"/>
      <c r="AP229" s="1129"/>
      <c r="AQ229" s="1129"/>
      <c r="AR229" s="1129"/>
      <c r="AS229" s="1129"/>
      <c r="AT229" s="1129"/>
      <c r="AU229" s="1129"/>
      <c r="AV229" s="1129"/>
      <c r="AW229" s="1129"/>
      <c r="AX229" s="1129"/>
      <c r="AY229" s="1129"/>
      <c r="AZ229" s="1129"/>
      <c r="BA229" s="1129"/>
      <c r="BB229" s="1129"/>
      <c r="BC229" s="1129"/>
      <c r="BD229" s="1129"/>
      <c r="BE229" s="1129"/>
      <c r="BF229" s="1129"/>
      <c r="BG229" s="1129"/>
      <c r="BH229" s="1129"/>
      <c r="BI229" s="1129"/>
      <c r="BJ229" s="1129"/>
      <c r="BK229" s="1129"/>
      <c r="BL229" s="1129"/>
      <c r="BM229" s="1129"/>
      <c r="BN229" s="1129"/>
      <c r="BO229" s="1129"/>
      <c r="BP229" s="1129"/>
      <c r="BQ229" s="1129"/>
      <c r="BR229" s="1129"/>
      <c r="BS229" s="1129"/>
      <c r="BT229" s="1129"/>
      <c r="BU229" s="1129"/>
      <c r="BV229" s="1129"/>
      <c r="BW229" s="1129"/>
      <c r="BX229" s="1129"/>
      <c r="BY229" s="1129"/>
      <c r="BZ229" s="1129"/>
      <c r="CA229" s="1129"/>
      <c r="CB229" s="1129"/>
      <c r="CC229" s="1129"/>
      <c r="CD229" s="1129"/>
      <c r="CE229" s="1129"/>
      <c r="CF229" s="1129"/>
      <c r="CG229" s="1129"/>
      <c r="CH229" s="1130"/>
      <c r="CI229" s="1128"/>
      <c r="CJ229" s="1128"/>
      <c r="CK229" s="1128"/>
      <c r="CL229" s="1130"/>
    </row>
    <row r="230" spans="1:90">
      <c r="A230" s="1131" t="s">
        <v>121</v>
      </c>
      <c r="B230" s="1128"/>
      <c r="C230" s="1128"/>
      <c r="D230" s="1128"/>
      <c r="E230" s="1128"/>
      <c r="F230" s="1128"/>
      <c r="G230" s="1128"/>
      <c r="H230" s="1128"/>
      <c r="I230" s="1128"/>
      <c r="J230" s="1128"/>
      <c r="K230" s="1128"/>
      <c r="L230" s="1128"/>
      <c r="M230" s="1128"/>
      <c r="N230" s="1128"/>
      <c r="O230" s="1128"/>
      <c r="P230" s="1128"/>
      <c r="Q230" s="1128"/>
      <c r="R230" s="1781"/>
      <c r="S230" s="1128"/>
      <c r="T230" s="949"/>
      <c r="U230" s="949"/>
      <c r="V230" s="949"/>
      <c r="W230" s="949"/>
      <c r="X230" s="1128"/>
      <c r="Y230" s="1128"/>
      <c r="Z230" s="1128"/>
      <c r="AA230" s="1128"/>
      <c r="AB230" s="1128"/>
      <c r="AC230" s="1128"/>
      <c r="AD230" s="1128"/>
      <c r="AE230" s="1128"/>
      <c r="AF230" s="1128"/>
      <c r="AG230" s="1128"/>
      <c r="AH230" s="1128"/>
      <c r="AI230" s="1128"/>
      <c r="AJ230" s="1128"/>
      <c r="AK230" s="1128"/>
      <c r="AL230" s="1128"/>
      <c r="AM230" s="1128"/>
      <c r="AN230" s="1128"/>
      <c r="AO230" s="1128"/>
      <c r="AP230" s="1128"/>
      <c r="AQ230" s="1128"/>
      <c r="AR230" s="1128"/>
      <c r="AS230" s="1128"/>
      <c r="AT230" s="1128"/>
      <c r="AU230" s="1128"/>
      <c r="AV230" s="1128"/>
      <c r="AW230" s="1128"/>
      <c r="AX230" s="1128"/>
      <c r="AY230" s="1128"/>
      <c r="AZ230" s="1128"/>
      <c r="BA230" s="1128"/>
      <c r="BB230" s="1128"/>
      <c r="BC230" s="1128"/>
      <c r="BD230" s="1128"/>
      <c r="BE230" s="1128"/>
      <c r="BF230" s="1128"/>
      <c r="BG230" s="1128"/>
      <c r="BH230" s="1128"/>
      <c r="BI230" s="1128"/>
      <c r="BJ230" s="1128"/>
      <c r="BK230" s="1128"/>
      <c r="BL230" s="1128"/>
      <c r="BM230" s="1128"/>
      <c r="BN230" s="1128"/>
      <c r="BO230" s="1128"/>
      <c r="BP230" s="1128"/>
      <c r="BQ230" s="1128"/>
      <c r="BR230" s="1128"/>
      <c r="BS230" s="1128"/>
      <c r="BT230" s="1128"/>
      <c r="BU230" s="1128"/>
      <c r="BV230" s="1128"/>
      <c r="BW230" s="1128"/>
      <c r="BX230" s="1128"/>
      <c r="BY230" s="1128"/>
      <c r="BZ230" s="1128"/>
      <c r="CA230" s="1128"/>
      <c r="CB230" s="1128"/>
      <c r="CC230" s="1128"/>
      <c r="CD230" s="1132">
        <f t="shared" ref="CD230:CL230" si="258">+CD22-(((CD21-CD113+BZ113)/BZ21)-1)</f>
        <v>-4.7366872609591049E-2</v>
      </c>
      <c r="CE230" s="1132">
        <f t="shared" si="258"/>
        <v>-5.4997043169722093E-2</v>
      </c>
      <c r="CF230" s="1132">
        <f t="shared" si="258"/>
        <v>-5.9781000295945574E-2</v>
      </c>
      <c r="CG230" s="1132">
        <f t="shared" si="258"/>
        <v>-5.3393665158371073E-2</v>
      </c>
      <c r="CH230" s="1133">
        <f t="shared" si="258"/>
        <v>-4.2546485975417547E-2</v>
      </c>
      <c r="CI230" s="1132">
        <f t="shared" si="258"/>
        <v>-3.4304207119741137E-2</v>
      </c>
      <c r="CJ230" s="1132">
        <f t="shared" si="258"/>
        <v>-1.9973804846103449E-2</v>
      </c>
      <c r="CK230" s="1132">
        <f t="shared" si="258"/>
        <v>-1.7368069472277869E-2</v>
      </c>
      <c r="CL230" s="1133">
        <f t="shared" si="258"/>
        <v>-1.6520566419420013E-2</v>
      </c>
    </row>
    <row r="231" spans="1:90">
      <c r="A231" s="1128" t="s">
        <v>122</v>
      </c>
      <c r="B231" s="1128"/>
      <c r="C231" s="1128"/>
      <c r="D231" s="1128"/>
      <c r="E231" s="1128"/>
      <c r="F231" s="1128"/>
      <c r="G231" s="1128"/>
      <c r="H231" s="1128"/>
      <c r="I231" s="1128"/>
      <c r="J231" s="1128"/>
      <c r="K231" s="1128"/>
      <c r="L231" s="1128"/>
      <c r="M231" s="1128"/>
      <c r="N231" s="1128"/>
      <c r="O231" s="1128"/>
      <c r="P231" s="1128"/>
      <c r="Q231" s="1128"/>
      <c r="R231" s="1781"/>
      <c r="S231" s="1128"/>
      <c r="T231" s="949"/>
      <c r="U231" s="949"/>
      <c r="V231" s="949"/>
      <c r="W231" s="949"/>
      <c r="X231" s="1128"/>
      <c r="Y231" s="1128"/>
      <c r="Z231" s="1128"/>
      <c r="AA231" s="1128"/>
      <c r="AB231" s="1128"/>
      <c r="AC231" s="1128"/>
      <c r="AD231" s="1128"/>
      <c r="AE231" s="1128"/>
      <c r="AF231" s="1128"/>
      <c r="AG231" s="1128"/>
      <c r="AH231" s="1128"/>
      <c r="AI231" s="1128"/>
      <c r="AJ231" s="1128"/>
      <c r="AK231" s="1128"/>
      <c r="AL231" s="1128"/>
      <c r="AM231" s="1128"/>
      <c r="AN231" s="1128"/>
      <c r="AO231" s="1128"/>
      <c r="AP231" s="1128"/>
      <c r="AQ231" s="1128"/>
      <c r="AR231" s="1128"/>
      <c r="AS231" s="1128"/>
      <c r="AT231" s="1128"/>
      <c r="AU231" s="1128"/>
      <c r="AV231" s="1128"/>
      <c r="AW231" s="1128"/>
      <c r="AX231" s="1128"/>
      <c r="AY231" s="1128"/>
      <c r="AZ231" s="1128"/>
      <c r="BA231" s="1128"/>
      <c r="BB231" s="1128"/>
      <c r="BC231" s="1128"/>
      <c r="BD231" s="1128"/>
      <c r="BE231" s="1128"/>
      <c r="BF231" s="1128"/>
      <c r="BG231" s="1128"/>
      <c r="BH231" s="1128"/>
      <c r="BI231" s="1128"/>
      <c r="BJ231" s="1128"/>
      <c r="BK231" s="1128"/>
      <c r="BL231" s="1128"/>
      <c r="BM231" s="1128"/>
      <c r="BN231" s="1128"/>
      <c r="BO231" s="1128"/>
      <c r="BP231" s="1128"/>
      <c r="BQ231" s="1128"/>
      <c r="BR231" s="1128"/>
      <c r="BS231" s="1128"/>
      <c r="BT231" s="1128"/>
      <c r="BU231" s="1128"/>
      <c r="BV231" s="1128"/>
      <c r="BW231" s="1128"/>
      <c r="BX231" s="1128"/>
      <c r="BY231" s="1128"/>
      <c r="BZ231" s="1128"/>
      <c r="CA231" s="1128"/>
      <c r="CB231" s="1128"/>
      <c r="CC231" s="1128"/>
      <c r="CD231" s="1132">
        <f t="shared" ref="CD231:CL231" si="259">+CD22-(((CD21-CD176+BZ176)/BZ21)-1)</f>
        <v>7.6493086201824267E-3</v>
      </c>
      <c r="CE231" s="1132">
        <f t="shared" si="259"/>
        <v>2.3654642223536193E-3</v>
      </c>
      <c r="CF231" s="1132">
        <f t="shared" si="259"/>
        <v>-2.9594554601953815E-3</v>
      </c>
      <c r="CG231" s="1132">
        <f t="shared" si="259"/>
        <v>-7.541478129713397E-3</v>
      </c>
      <c r="CH231" s="1133">
        <f t="shared" si="259"/>
        <v>-2.8364323983611772E-3</v>
      </c>
      <c r="CI231" s="1132">
        <f t="shared" si="259"/>
        <v>0</v>
      </c>
      <c r="CJ231" s="1132">
        <f t="shared" si="259"/>
        <v>1.3097576948264411E-3</v>
      </c>
      <c r="CK231" s="1132">
        <f t="shared" si="259"/>
        <v>2.338009352037429E-3</v>
      </c>
      <c r="CL231" s="1133">
        <f t="shared" si="259"/>
        <v>-1.0451786918408534E-2</v>
      </c>
    </row>
    <row r="232" spans="1:90">
      <c r="A232" s="1128" t="s">
        <v>123</v>
      </c>
      <c r="B232" s="1128"/>
      <c r="C232" s="1128"/>
      <c r="D232" s="1128"/>
      <c r="E232" s="1128"/>
      <c r="F232" s="1128"/>
      <c r="G232" s="1128"/>
      <c r="H232" s="1128"/>
      <c r="I232" s="1128"/>
      <c r="J232" s="1128"/>
      <c r="K232" s="1128"/>
      <c r="L232" s="1128"/>
      <c r="M232" s="1128"/>
      <c r="N232" s="1128"/>
      <c r="O232" s="1128"/>
      <c r="P232" s="1128"/>
      <c r="Q232" s="1128"/>
      <c r="R232" s="1781"/>
      <c r="S232" s="1128"/>
      <c r="T232" s="949"/>
      <c r="U232" s="949"/>
      <c r="V232" s="949"/>
      <c r="W232" s="949"/>
      <c r="X232" s="1128"/>
      <c r="Y232" s="1128"/>
      <c r="Z232" s="1128"/>
      <c r="AA232" s="1128"/>
      <c r="AB232" s="1128"/>
      <c r="AC232" s="1128"/>
      <c r="AD232" s="1128"/>
      <c r="AE232" s="1128"/>
      <c r="AF232" s="1128"/>
      <c r="AG232" s="1128"/>
      <c r="AH232" s="1128"/>
      <c r="AI232" s="1128"/>
      <c r="AJ232" s="1128"/>
      <c r="AK232" s="1128"/>
      <c r="AL232" s="1128"/>
      <c r="AM232" s="1128"/>
      <c r="AN232" s="1128"/>
      <c r="AO232" s="1128"/>
      <c r="AP232" s="1128"/>
      <c r="AQ232" s="1128"/>
      <c r="AR232" s="1128"/>
      <c r="AS232" s="1128"/>
      <c r="AT232" s="1128"/>
      <c r="AU232" s="1128"/>
      <c r="AV232" s="1128"/>
      <c r="AW232" s="1128"/>
      <c r="AX232" s="1128"/>
      <c r="AY232" s="1128"/>
      <c r="AZ232" s="1128"/>
      <c r="BA232" s="1128"/>
      <c r="BB232" s="1128"/>
      <c r="BC232" s="1128"/>
      <c r="BD232" s="1128"/>
      <c r="BE232" s="1128"/>
      <c r="BF232" s="1128"/>
      <c r="BG232" s="1128"/>
      <c r="BH232" s="1128"/>
      <c r="BI232" s="1128"/>
      <c r="BJ232" s="1128"/>
      <c r="BK232" s="1128"/>
      <c r="BL232" s="1128"/>
      <c r="BM232" s="1128"/>
      <c r="BN232" s="1128"/>
      <c r="BO232" s="1128"/>
      <c r="BP232" s="1128"/>
      <c r="BQ232" s="1128"/>
      <c r="BR232" s="1128"/>
      <c r="BS232" s="1128"/>
      <c r="BT232" s="1128"/>
      <c r="BU232" s="1128"/>
      <c r="BV232" s="1128"/>
      <c r="BW232" s="1128"/>
      <c r="BX232" s="1128"/>
      <c r="BY232" s="1128"/>
      <c r="BZ232" s="1128"/>
      <c r="CA232" s="1128"/>
      <c r="CB232" s="1134"/>
      <c r="CC232" s="1134"/>
      <c r="CD232" s="1132">
        <f t="shared" ref="CD232:CL232" si="260">+CD22-(((CD21-CD203+BZ203)/BZ21)-1)</f>
        <v>-2.6478375992939118E-2</v>
      </c>
      <c r="CE232" s="1132">
        <f t="shared" si="260"/>
        <v>-3.341218214074515E-2</v>
      </c>
      <c r="CF232" s="1132">
        <f t="shared" si="260"/>
        <v>-3.4329683338265804E-2</v>
      </c>
      <c r="CG232" s="1132">
        <f t="shared" si="260"/>
        <v>-3.3484162895927594E-2</v>
      </c>
      <c r="CH232" s="1133">
        <f t="shared" si="260"/>
        <v>-2.6473369051370987E-2</v>
      </c>
      <c r="CI232" s="1132">
        <f t="shared" si="260"/>
        <v>-2.2977346278317157E-2</v>
      </c>
      <c r="CJ232" s="1132">
        <f t="shared" si="260"/>
        <v>-1.8991486574983618E-2</v>
      </c>
      <c r="CK232" s="1132">
        <f t="shared" si="260"/>
        <v>-1.5364061456245803E-2</v>
      </c>
      <c r="CL232" s="1133">
        <f t="shared" si="260"/>
        <v>-1.1463250168577188E-2</v>
      </c>
    </row>
    <row r="233" spans="1:90">
      <c r="A233" s="1128" t="s">
        <v>662</v>
      </c>
      <c r="B233" s="1128"/>
      <c r="C233" s="1128"/>
      <c r="D233" s="1128"/>
      <c r="E233" s="1128"/>
      <c r="F233" s="1128"/>
      <c r="G233" s="1128"/>
      <c r="H233" s="1128"/>
      <c r="I233" s="1128"/>
      <c r="J233" s="1128"/>
      <c r="K233" s="1128"/>
      <c r="L233" s="1128"/>
      <c r="M233" s="1128"/>
      <c r="N233" s="1128"/>
      <c r="O233" s="1128"/>
      <c r="P233" s="1128"/>
      <c r="Q233" s="1128"/>
      <c r="R233" s="1781"/>
      <c r="S233" s="1128"/>
      <c r="T233" s="949"/>
      <c r="U233" s="949"/>
      <c r="V233" s="949"/>
      <c r="W233" s="949"/>
      <c r="X233" s="1128"/>
      <c r="Y233" s="1128"/>
      <c r="Z233" s="1128"/>
      <c r="AA233" s="1128"/>
      <c r="AB233" s="1128"/>
      <c r="AC233" s="1128"/>
      <c r="AD233" s="1128"/>
      <c r="AE233" s="1128"/>
      <c r="AF233" s="1128"/>
      <c r="AG233" s="1128"/>
      <c r="AH233" s="1128"/>
      <c r="AI233" s="1128"/>
      <c r="AJ233" s="1128"/>
      <c r="AK233" s="1128"/>
      <c r="AL233" s="1128"/>
      <c r="AM233" s="1128"/>
      <c r="AN233" s="1128"/>
      <c r="AO233" s="1128"/>
      <c r="AP233" s="1128"/>
      <c r="AQ233" s="1128"/>
      <c r="AR233" s="1128"/>
      <c r="AS233" s="1128"/>
      <c r="AT233" s="1128"/>
      <c r="AU233" s="1128"/>
      <c r="AV233" s="1128"/>
      <c r="AW233" s="1128"/>
      <c r="AX233" s="1128"/>
      <c r="AY233" s="1128"/>
      <c r="AZ233" s="1128"/>
      <c r="BA233" s="1128"/>
      <c r="BB233" s="1128"/>
      <c r="BC233" s="1128"/>
      <c r="BD233" s="1128"/>
      <c r="BE233" s="1128"/>
      <c r="BF233" s="1128"/>
      <c r="BG233" s="1128"/>
      <c r="BH233" s="1128"/>
      <c r="BI233" s="1128"/>
      <c r="BJ233" s="1128"/>
      <c r="BK233" s="1128"/>
      <c r="BL233" s="1128"/>
      <c r="BM233" s="1128"/>
      <c r="BN233" s="1128"/>
      <c r="BO233" s="1128"/>
      <c r="BP233" s="1128"/>
      <c r="BQ233" s="1128"/>
      <c r="BR233" s="1128"/>
      <c r="BS233" s="1128"/>
      <c r="BT233" s="1128"/>
      <c r="BU233" s="1128"/>
      <c r="BV233" s="1128"/>
      <c r="BW233" s="1128"/>
      <c r="BX233" s="1128"/>
      <c r="BY233" s="1128"/>
      <c r="BZ233" s="1128"/>
      <c r="CA233" s="1128"/>
      <c r="CB233" s="1128"/>
      <c r="CC233" s="1128"/>
      <c r="CD233" s="1132">
        <f t="shared" ref="CD233:CL233" si="261">+CD22-(((CD21-CD225+BZ225)/BZ21)-1)</f>
        <v>-2.9420417769931984E-4</v>
      </c>
      <c r="CE233" s="1132">
        <f t="shared" si="261"/>
        <v>-2.9568302779425792E-4</v>
      </c>
      <c r="CF233" s="1132">
        <f t="shared" si="261"/>
        <v>8.8783663805858115E-4</v>
      </c>
      <c r="CG233" s="1132">
        <f t="shared" si="261"/>
        <v>-2.4132730015082871E-3</v>
      </c>
      <c r="CH233" s="1133">
        <f t="shared" si="261"/>
        <v>6.6183422628427468E-3</v>
      </c>
      <c r="CI233" s="1132">
        <f t="shared" si="261"/>
        <v>5.5016181229773364E-3</v>
      </c>
      <c r="CJ233" s="1132">
        <f t="shared" si="261"/>
        <v>-1.3097576948264411E-3</v>
      </c>
      <c r="CK233" s="1132">
        <f t="shared" si="261"/>
        <v>-1.3360053440213404E-3</v>
      </c>
      <c r="CL233" s="1133">
        <f t="shared" si="261"/>
        <v>-2.0229265003370855E-3</v>
      </c>
    </row>
    <row r="234" spans="1:90">
      <c r="A234" s="1135" t="s">
        <v>124</v>
      </c>
      <c r="B234" s="1135"/>
      <c r="C234" s="1135"/>
      <c r="D234" s="1135"/>
      <c r="E234" s="1135"/>
      <c r="F234" s="1135"/>
      <c r="G234" s="1135"/>
      <c r="H234" s="1135"/>
      <c r="I234" s="1135"/>
      <c r="J234" s="1135"/>
      <c r="K234" s="1135"/>
      <c r="L234" s="1135"/>
      <c r="M234" s="1135"/>
      <c r="N234" s="1135"/>
      <c r="O234" s="1135"/>
      <c r="P234" s="1136"/>
      <c r="Q234" s="1136"/>
      <c r="R234" s="1782"/>
      <c r="S234" s="1135"/>
      <c r="T234" s="949"/>
      <c r="U234" s="949"/>
      <c r="V234" s="949"/>
      <c r="W234" s="949"/>
      <c r="X234" s="1135"/>
      <c r="Y234" s="1135"/>
      <c r="Z234" s="1135"/>
      <c r="AA234" s="1135"/>
      <c r="AB234" s="1135"/>
      <c r="AC234" s="1135"/>
      <c r="AD234" s="1135"/>
      <c r="AE234" s="1135"/>
      <c r="AF234" s="1135"/>
      <c r="AG234" s="1135"/>
      <c r="AH234" s="1135"/>
      <c r="AI234" s="1135"/>
      <c r="AJ234" s="1135"/>
      <c r="AK234" s="1135"/>
      <c r="AL234" s="1135"/>
      <c r="AM234" s="1135"/>
      <c r="AN234" s="1135"/>
      <c r="AO234" s="1135"/>
      <c r="AP234" s="1135"/>
      <c r="AQ234" s="1135"/>
      <c r="AR234" s="1135"/>
      <c r="AS234" s="1135"/>
      <c r="AT234" s="1135"/>
      <c r="AU234" s="1135"/>
      <c r="AV234" s="1135"/>
      <c r="AW234" s="1135"/>
      <c r="AX234" s="1135"/>
      <c r="AY234" s="1135"/>
      <c r="AZ234" s="1135"/>
      <c r="BA234" s="1135"/>
      <c r="BB234" s="1135"/>
      <c r="BC234" s="1135"/>
      <c r="BD234" s="1135"/>
      <c r="BE234" s="1135"/>
      <c r="BF234" s="1135"/>
      <c r="BG234" s="1135"/>
      <c r="BH234" s="1135"/>
      <c r="BI234" s="1135"/>
      <c r="BJ234" s="1135"/>
      <c r="BK234" s="1135"/>
      <c r="BL234" s="1135"/>
      <c r="BM234" s="1135"/>
      <c r="BN234" s="1135"/>
      <c r="BO234" s="1135"/>
      <c r="BP234" s="1135"/>
      <c r="BQ234" s="1135"/>
      <c r="BR234" s="1135"/>
      <c r="BS234" s="1135"/>
      <c r="BT234" s="1135"/>
      <c r="BU234" s="1135"/>
      <c r="BV234" s="1135"/>
      <c r="BW234" s="1135"/>
      <c r="BX234" s="1135"/>
      <c r="BY234" s="1135"/>
      <c r="BZ234" s="1135"/>
      <c r="CA234" s="1135"/>
      <c r="CB234" s="1135"/>
      <c r="CC234" s="1135"/>
      <c r="CD234" s="1137">
        <f t="shared" ref="CD234:CK234" si="262">+CD22</f>
        <v>-6.649014416004706E-2</v>
      </c>
      <c r="CE234" s="1137">
        <f t="shared" si="262"/>
        <v>-8.6339444115907771E-2</v>
      </c>
      <c r="CF234" s="1137">
        <f t="shared" si="262"/>
        <v>-9.6182302456348068E-2</v>
      </c>
      <c r="CG234" s="1137">
        <f t="shared" si="262"/>
        <v>-9.6832579185520351E-2</v>
      </c>
      <c r="CH234" s="1138">
        <f t="shared" si="262"/>
        <v>-6.5237945162306965E-2</v>
      </c>
      <c r="CI234" s="1137">
        <f t="shared" si="262"/>
        <v>-5.1779935275080957E-2</v>
      </c>
      <c r="CJ234" s="1137">
        <f t="shared" si="262"/>
        <v>-3.8965291421087067E-2</v>
      </c>
      <c r="CK234" s="1137">
        <f t="shared" si="262"/>
        <v>-3.1730126920507695E-2</v>
      </c>
      <c r="CL234" s="1138">
        <f>+CL22</f>
        <v>-4.0458530006743043E-2</v>
      </c>
    </row>
    <row r="235" spans="1:90">
      <c r="A235" s="1128" t="s">
        <v>795</v>
      </c>
      <c r="B235" s="1128"/>
      <c r="C235" s="1128"/>
      <c r="D235" s="1128"/>
      <c r="E235" s="1128"/>
      <c r="F235" s="1128"/>
      <c r="G235" s="1128"/>
      <c r="H235" s="1128"/>
      <c r="I235" s="1128"/>
      <c r="J235" s="1128"/>
      <c r="K235" s="1128"/>
      <c r="L235" s="1128"/>
      <c r="M235" s="1128"/>
      <c r="N235" s="1128"/>
      <c r="O235" s="1128"/>
      <c r="P235" s="1128"/>
      <c r="Q235" s="1128"/>
      <c r="R235" s="1781"/>
      <c r="S235" s="1128"/>
      <c r="T235" s="949"/>
      <c r="U235" s="949"/>
      <c r="V235" s="949"/>
      <c r="W235" s="949"/>
      <c r="X235" s="1128"/>
      <c r="Y235" s="1128"/>
      <c r="Z235" s="1128"/>
      <c r="AA235" s="1128"/>
      <c r="AB235" s="1128"/>
      <c r="AC235" s="1128"/>
      <c r="AD235" s="1128"/>
      <c r="AE235" s="1128"/>
      <c r="AF235" s="1128"/>
      <c r="AG235" s="1128"/>
      <c r="AH235" s="1128"/>
      <c r="AI235" s="1128"/>
      <c r="AJ235" s="1128"/>
      <c r="AK235" s="1128"/>
      <c r="AL235" s="1128"/>
      <c r="AM235" s="1128"/>
      <c r="AN235" s="1128"/>
      <c r="AO235" s="1128"/>
      <c r="AP235" s="1128"/>
      <c r="AQ235" s="1128"/>
      <c r="AR235" s="1128"/>
      <c r="AS235" s="1128"/>
      <c r="AT235" s="1128"/>
      <c r="AU235" s="1128"/>
      <c r="AV235" s="1128"/>
      <c r="AW235" s="1128"/>
      <c r="AX235" s="1128"/>
      <c r="AY235" s="1128"/>
      <c r="AZ235" s="1128"/>
      <c r="BA235" s="1128"/>
      <c r="BB235" s="1128"/>
      <c r="BC235" s="1128"/>
      <c r="BD235" s="1128"/>
      <c r="BE235" s="1128"/>
      <c r="BF235" s="1128"/>
      <c r="BG235" s="1128"/>
      <c r="BH235" s="1128"/>
      <c r="BI235" s="1128"/>
      <c r="BJ235" s="1128"/>
      <c r="BK235" s="1128"/>
      <c r="BL235" s="1128"/>
      <c r="BM235" s="1128"/>
      <c r="BN235" s="1128"/>
      <c r="BO235" s="1128"/>
      <c r="BP235" s="1128"/>
      <c r="BQ235" s="1128"/>
      <c r="BR235" s="1128"/>
      <c r="BS235" s="1128"/>
      <c r="BT235" s="1128"/>
      <c r="BU235" s="1128"/>
      <c r="BV235" s="1128"/>
      <c r="BW235" s="1128"/>
      <c r="BX235" s="1128"/>
      <c r="BY235" s="1128"/>
      <c r="BZ235" s="1128"/>
      <c r="CA235" s="1128"/>
      <c r="CB235" s="1128"/>
      <c r="CC235" s="1128"/>
      <c r="CD235" s="1139">
        <f t="shared" ref="CD235:CL235" si="263">+CD234-SUM(CD230:CD233)</f>
        <v>0</v>
      </c>
      <c r="CE235" s="1139">
        <f t="shared" si="263"/>
        <v>1.1102230246251565E-16</v>
      </c>
      <c r="CF235" s="1139">
        <f t="shared" si="263"/>
        <v>1.1102230246251565E-16</v>
      </c>
      <c r="CG235" s="1139">
        <f t="shared" si="263"/>
        <v>0</v>
      </c>
      <c r="CH235" s="1140">
        <f t="shared" si="263"/>
        <v>0</v>
      </c>
      <c r="CI235" s="1139">
        <f t="shared" si="263"/>
        <v>0</v>
      </c>
      <c r="CJ235" s="1139">
        <f t="shared" si="263"/>
        <v>0</v>
      </c>
      <c r="CK235" s="1139">
        <f t="shared" si="263"/>
        <v>-1.1102230246251565E-16</v>
      </c>
      <c r="CL235" s="1140">
        <f t="shared" si="263"/>
        <v>-2.2204460492503131E-16</v>
      </c>
    </row>
    <row r="236" spans="1:90" ht="6.75" customHeight="1">
      <c r="A236" s="946"/>
      <c r="B236" s="946"/>
      <c r="C236" s="946"/>
      <c r="D236" s="946"/>
      <c r="E236" s="946"/>
      <c r="F236" s="946"/>
      <c r="G236" s="946"/>
      <c r="H236" s="946"/>
      <c r="I236" s="946"/>
      <c r="J236" s="946"/>
      <c r="K236" s="946"/>
      <c r="L236" s="946"/>
      <c r="M236" s="946"/>
      <c r="N236" s="946"/>
      <c r="O236" s="946"/>
      <c r="P236" s="946"/>
      <c r="Q236" s="946"/>
      <c r="R236" s="1775"/>
      <c r="S236" s="946"/>
      <c r="T236" s="949"/>
      <c r="U236" s="949"/>
      <c r="V236" s="949"/>
      <c r="W236" s="949"/>
      <c r="X236" s="1126"/>
      <c r="Y236" s="1126"/>
      <c r="Z236" s="1126"/>
      <c r="AA236" s="1126"/>
      <c r="AB236" s="1126"/>
      <c r="AC236" s="1126"/>
      <c r="AD236" s="1126"/>
      <c r="AE236" s="1126"/>
      <c r="AF236" s="1126"/>
      <c r="AG236" s="1126"/>
      <c r="AH236" s="1126"/>
      <c r="AI236" s="1126"/>
      <c r="AJ236" s="1126"/>
      <c r="AK236" s="1126"/>
      <c r="AL236" s="1126"/>
      <c r="AM236" s="1126"/>
      <c r="AN236" s="1126"/>
      <c r="AO236" s="1126"/>
      <c r="AP236" s="1126"/>
      <c r="AQ236" s="1126"/>
      <c r="AR236" s="1126"/>
      <c r="AS236" s="1126"/>
      <c r="AT236" s="1126"/>
      <c r="AU236" s="1126"/>
      <c r="AV236" s="1126"/>
      <c r="AW236" s="1126"/>
      <c r="AX236" s="1126"/>
      <c r="AY236" s="1126"/>
      <c r="AZ236" s="1126"/>
      <c r="BA236" s="1126"/>
      <c r="BB236" s="1126"/>
      <c r="BC236" s="1126"/>
      <c r="BD236" s="1126"/>
      <c r="BE236" s="1126"/>
      <c r="BF236" s="1126"/>
      <c r="BG236" s="1126"/>
      <c r="BH236" s="1126"/>
      <c r="BI236" s="1126"/>
      <c r="BJ236" s="1126"/>
      <c r="BK236" s="1126"/>
      <c r="BL236" s="1126"/>
      <c r="BM236" s="1126"/>
      <c r="BN236" s="1126"/>
      <c r="BO236" s="1126"/>
      <c r="BP236" s="1126"/>
      <c r="BQ236" s="1126"/>
      <c r="BR236" s="1126"/>
      <c r="BS236" s="1126"/>
      <c r="BT236" s="1126"/>
      <c r="BU236" s="1126"/>
      <c r="BV236" s="1126"/>
      <c r="BW236" s="1126"/>
      <c r="BX236" s="1126"/>
      <c r="BY236" s="1126"/>
      <c r="BZ236" s="1126"/>
      <c r="CA236" s="1126"/>
      <c r="CB236" s="1126"/>
      <c r="CC236" s="1126"/>
      <c r="CD236" s="1126"/>
      <c r="CE236" s="1126"/>
      <c r="CF236" s="1126"/>
      <c r="CG236" s="1126"/>
      <c r="CH236" s="1016"/>
      <c r="CI236" s="1126"/>
      <c r="CJ236" s="1126"/>
      <c r="CK236" s="1126"/>
      <c r="CL236" s="1016"/>
    </row>
    <row r="237" spans="1:90">
      <c r="A237" s="1128" t="s">
        <v>125</v>
      </c>
      <c r="B237" s="1128"/>
      <c r="C237" s="1128"/>
      <c r="D237" s="1128"/>
      <c r="E237" s="1128"/>
      <c r="F237" s="1128"/>
      <c r="G237" s="1128"/>
      <c r="H237" s="1128"/>
      <c r="I237" s="1128"/>
      <c r="J237" s="1128"/>
      <c r="K237" s="1128"/>
      <c r="L237" s="1128"/>
      <c r="M237" s="1128"/>
      <c r="N237" s="1128"/>
      <c r="O237" s="1128"/>
      <c r="P237" s="1128"/>
      <c r="Q237" s="1128"/>
      <c r="R237" s="1781"/>
      <c r="S237" s="1128"/>
      <c r="T237" s="949"/>
      <c r="U237" s="949"/>
      <c r="V237" s="949"/>
      <c r="W237" s="949"/>
      <c r="X237" s="1128"/>
      <c r="Y237" s="1128"/>
      <c r="Z237" s="1128"/>
      <c r="AA237" s="1128"/>
      <c r="AB237" s="1128"/>
      <c r="AC237" s="1128"/>
      <c r="AD237" s="1128"/>
      <c r="AE237" s="1128"/>
      <c r="AF237" s="1128"/>
      <c r="AG237" s="1128"/>
      <c r="AH237" s="1128"/>
      <c r="AI237" s="1128"/>
      <c r="AJ237" s="1128"/>
      <c r="AK237" s="1128"/>
      <c r="AL237" s="1128"/>
      <c r="AM237" s="1128"/>
      <c r="AN237" s="1128"/>
      <c r="AO237" s="1128"/>
      <c r="AP237" s="1128"/>
      <c r="AQ237" s="1128"/>
      <c r="AR237" s="1128"/>
      <c r="AS237" s="1128"/>
      <c r="AT237" s="1128"/>
      <c r="AU237" s="1128"/>
      <c r="AV237" s="1128"/>
      <c r="AW237" s="1128"/>
      <c r="AX237" s="1128"/>
      <c r="AY237" s="1128"/>
      <c r="AZ237" s="1128"/>
      <c r="BA237" s="1128"/>
      <c r="BB237" s="1128"/>
      <c r="BC237" s="1128"/>
      <c r="BD237" s="1128"/>
      <c r="BE237" s="1128"/>
      <c r="BF237" s="1128"/>
      <c r="BG237" s="1128"/>
      <c r="BH237" s="1128"/>
      <c r="BI237" s="1128"/>
      <c r="BJ237" s="1128"/>
      <c r="BK237" s="1128"/>
      <c r="BL237" s="1128"/>
      <c r="BM237" s="1128"/>
      <c r="BN237" s="1128"/>
      <c r="BO237" s="1128"/>
      <c r="BP237" s="1128"/>
      <c r="BQ237" s="1128"/>
      <c r="BR237" s="1128"/>
      <c r="BS237" s="1128"/>
      <c r="BT237" s="1128"/>
      <c r="BU237" s="1128"/>
      <c r="BV237" s="1128"/>
      <c r="BW237" s="1128"/>
      <c r="BX237" s="1128"/>
      <c r="BY237" s="1128"/>
      <c r="BZ237" s="1128"/>
      <c r="CA237" s="1128"/>
      <c r="CB237" s="1128"/>
      <c r="CC237" s="1128"/>
      <c r="CD237" s="1132"/>
      <c r="CE237" s="1132"/>
      <c r="CF237" s="1132"/>
      <c r="CG237" s="1132"/>
      <c r="CH237" s="1133"/>
      <c r="CI237" s="1132"/>
      <c r="CJ237" s="1132"/>
      <c r="CK237" s="1132"/>
      <c r="CL237" s="1133"/>
    </row>
    <row r="238" spans="1:90">
      <c r="A238" s="1131" t="s">
        <v>121</v>
      </c>
      <c r="B238" s="1128"/>
      <c r="C238" s="1128"/>
      <c r="D238" s="1128"/>
      <c r="E238" s="1128"/>
      <c r="F238" s="1128"/>
      <c r="G238" s="1128"/>
      <c r="H238" s="1128"/>
      <c r="I238" s="1128"/>
      <c r="J238" s="1128"/>
      <c r="K238" s="1128"/>
      <c r="L238" s="1128"/>
      <c r="M238" s="1128"/>
      <c r="N238" s="1128"/>
      <c r="O238" s="1128"/>
      <c r="P238" s="1128"/>
      <c r="Q238" s="1128"/>
      <c r="R238" s="1781"/>
      <c r="S238" s="1128"/>
      <c r="T238" s="949"/>
      <c r="U238" s="949"/>
      <c r="V238" s="949"/>
      <c r="W238" s="949"/>
      <c r="X238" s="1128"/>
      <c r="Y238" s="1128"/>
      <c r="Z238" s="1128"/>
      <c r="AA238" s="1128"/>
      <c r="AB238" s="1128"/>
      <c r="AC238" s="1128"/>
      <c r="AD238" s="1128"/>
      <c r="AE238" s="1128"/>
      <c r="AF238" s="1128"/>
      <c r="AG238" s="1128"/>
      <c r="AH238" s="1128"/>
      <c r="AI238" s="1128"/>
      <c r="AJ238" s="1128"/>
      <c r="AK238" s="1128"/>
      <c r="AL238" s="1128"/>
      <c r="AM238" s="1128"/>
      <c r="AN238" s="1128"/>
      <c r="AO238" s="1128"/>
      <c r="AP238" s="1128"/>
      <c r="AQ238" s="1128"/>
      <c r="AR238" s="1128"/>
      <c r="AS238" s="1128"/>
      <c r="AT238" s="1128"/>
      <c r="AU238" s="1128"/>
      <c r="AV238" s="1128"/>
      <c r="AW238" s="1128"/>
      <c r="AX238" s="1128"/>
      <c r="AY238" s="1128"/>
      <c r="AZ238" s="1128"/>
      <c r="BA238" s="1128"/>
      <c r="BB238" s="1128"/>
      <c r="BC238" s="1128"/>
      <c r="BD238" s="1128"/>
      <c r="BE238" s="1128"/>
      <c r="BF238" s="1128"/>
      <c r="BG238" s="1128"/>
      <c r="BH238" s="1128"/>
      <c r="BI238" s="1128"/>
      <c r="BJ238" s="1128"/>
      <c r="BK238" s="1128"/>
      <c r="BL238" s="1128"/>
      <c r="BM238" s="1128"/>
      <c r="BN238" s="1128"/>
      <c r="BO238" s="1128"/>
      <c r="BP238" s="1128"/>
      <c r="BQ238" s="1128"/>
      <c r="BR238" s="1128"/>
      <c r="BS238" s="1128"/>
      <c r="BT238" s="1128"/>
      <c r="BU238" s="1128"/>
      <c r="BV238" s="1128"/>
      <c r="BW238" s="1128"/>
      <c r="BX238" s="1128"/>
      <c r="BY238" s="1128"/>
      <c r="BZ238" s="1128"/>
      <c r="CA238" s="1128"/>
      <c r="CB238" s="1128"/>
      <c r="CC238" s="1128"/>
      <c r="CD238" s="1132">
        <f>+Q_IS!CD36-(((CD21-CD15-CD113-CD109+BZ113-BZ109)/(BZ21-BZ15))-1)</f>
        <v>7.0336391437308965E-3</v>
      </c>
      <c r="CE238" s="1132">
        <f>+Q_IS!CE36-(((CE21-CE15-CE113-CE109+CA113-CA109)/(CA21-CA15))-1)</f>
        <v>-8.292383292383354E-3</v>
      </c>
      <c r="CF238" s="1132">
        <f>+Q_IS!CF36-(((CF21-CF15-CF113-CF109+CB113-CB109)/(CB21-CB15))-1)</f>
        <v>-2.0226785167024142E-2</v>
      </c>
      <c r="CG238" s="1132">
        <f>+Q_IS!CG36-(((CG21-CG15-CG113-CG109+CC113-CC109)/(CC21-CC15))-1)</f>
        <v>-2.603843769373837E-2</v>
      </c>
      <c r="CH238" s="1133">
        <f>+Q_IS!CH36-(((CH21-CH15-CH113-CH109+CD113-CD109)/(CD21-CD15))-1)</f>
        <v>-2.5657472738935261E-2</v>
      </c>
      <c r="CI238" s="1132">
        <f>+Q_IS!CI36-(((CI21-CI15-CI113-CI109+CE113-CE109)/(CE21-CE15))-1)</f>
        <v>-2.3879620543015956E-2</v>
      </c>
      <c r="CJ238" s="1132">
        <f>+Q_IS!CJ36-(((CJ21-CJ15-CJ113-CJ109+CF113-CF109)/(CF21-CF15))-1)</f>
        <v>-1.3513513513513598E-2</v>
      </c>
      <c r="CK238" s="1132">
        <f>+Q_IS!CK36-(((CK21-CK15-CK113-CK109+CG113-CG109)/(CG21-CG15))-1)</f>
        <v>-1.6053511705685697E-2</v>
      </c>
      <c r="CL238" s="1133">
        <f>+Q_IS!CL36-(((CL21-CL15-CL113-CL109+CH113-CH109)/(CH21-CH15))-1)</f>
        <v>-1.6520566419420013E-2</v>
      </c>
    </row>
    <row r="239" spans="1:90">
      <c r="A239" s="1128" t="s">
        <v>122</v>
      </c>
      <c r="B239" s="1128"/>
      <c r="C239" s="1128"/>
      <c r="D239" s="1128"/>
      <c r="E239" s="1128"/>
      <c r="F239" s="1128"/>
      <c r="G239" s="1128"/>
      <c r="H239" s="1128"/>
      <c r="I239" s="1128"/>
      <c r="J239" s="1128"/>
      <c r="K239" s="1128"/>
      <c r="L239" s="1128"/>
      <c r="M239" s="1128"/>
      <c r="N239" s="1128"/>
      <c r="O239" s="1128"/>
      <c r="P239" s="1128"/>
      <c r="Q239" s="1128"/>
      <c r="R239" s="1781"/>
      <c r="S239" s="1128"/>
      <c r="T239" s="949"/>
      <c r="U239" s="949"/>
      <c r="V239" s="949"/>
      <c r="W239" s="949"/>
      <c r="X239" s="1128"/>
      <c r="Y239" s="1128"/>
      <c r="Z239" s="1128"/>
      <c r="AA239" s="1128"/>
      <c r="AB239" s="1128"/>
      <c r="AC239" s="1128"/>
      <c r="AD239" s="1128"/>
      <c r="AE239" s="1128"/>
      <c r="AF239" s="1128"/>
      <c r="AG239" s="1128"/>
      <c r="AH239" s="1128"/>
      <c r="AI239" s="1128"/>
      <c r="AJ239" s="1128"/>
      <c r="AK239" s="1128"/>
      <c r="AL239" s="1128"/>
      <c r="AM239" s="1128"/>
      <c r="AN239" s="1128"/>
      <c r="AO239" s="1128"/>
      <c r="AP239" s="1128"/>
      <c r="AQ239" s="1128"/>
      <c r="AR239" s="1128"/>
      <c r="AS239" s="1128"/>
      <c r="AT239" s="1128"/>
      <c r="AU239" s="1128"/>
      <c r="AV239" s="1128"/>
      <c r="AW239" s="1128"/>
      <c r="AX239" s="1128"/>
      <c r="AY239" s="1128"/>
      <c r="AZ239" s="1128"/>
      <c r="BA239" s="1128"/>
      <c r="BB239" s="1128"/>
      <c r="BC239" s="1128"/>
      <c r="BD239" s="1128"/>
      <c r="BE239" s="1128"/>
      <c r="BF239" s="1128"/>
      <c r="BG239" s="1128"/>
      <c r="BH239" s="1128"/>
      <c r="BI239" s="1128"/>
      <c r="BJ239" s="1128"/>
      <c r="BK239" s="1128"/>
      <c r="BL239" s="1128"/>
      <c r="BM239" s="1128"/>
      <c r="BN239" s="1128"/>
      <c r="BO239" s="1128"/>
      <c r="BP239" s="1128"/>
      <c r="BQ239" s="1128"/>
      <c r="BR239" s="1128"/>
      <c r="BS239" s="1128"/>
      <c r="BT239" s="1128"/>
      <c r="BU239" s="1128"/>
      <c r="BV239" s="1128"/>
      <c r="BW239" s="1128"/>
      <c r="BX239" s="1128"/>
      <c r="BY239" s="1128"/>
      <c r="BZ239" s="1128"/>
      <c r="CA239" s="1128"/>
      <c r="CB239" s="1128"/>
      <c r="CC239" s="1128"/>
      <c r="CD239" s="1132">
        <f>+Q_IS!CD36-(((CD21-CD15-CD176+BZ176)/(BZ21-BZ15))-1)</f>
        <v>7.9510703363914192E-3</v>
      </c>
      <c r="CE239" s="1132">
        <f>+Q_IS!CE36-(((CE21-CE15-CE176+CA176)/(CA21-CA15))-1)</f>
        <v>2.4570024570024218E-3</v>
      </c>
      <c r="CF239" s="1132">
        <f>+Q_IS!CF36-(((CF21-CF15-CF176+CB176)/(CB21-CB15))-1)</f>
        <v>-3.0646644192460215E-3</v>
      </c>
      <c r="CG239" s="1132">
        <f>+Q_IS!CG36-(((CG21-CG15-CG176+CC176)/(CC21-CC15))-1)</f>
        <v>-7.7495350278983244E-3</v>
      </c>
      <c r="CH239" s="1133">
        <f>+Q_IS!CH36-(((CH21-CH15-CH176+CD176)/(CD21-CD15))-1)</f>
        <v>-2.8864656831302238E-3</v>
      </c>
      <c r="CI239" s="1132">
        <f>+Q_IS!CI36-(((CI21-CI15-CI176+CE176)/(CE21-CE15))-1)</f>
        <v>0</v>
      </c>
      <c r="CJ239" s="1132">
        <f>+Q_IS!CJ36-(((CJ21-CJ15-CJ176+CF176)/(CF21-CF15))-1)</f>
        <v>1.3183915622939635E-3</v>
      </c>
      <c r="CK239" s="1132">
        <f>+Q_IS!CK36-(((CK21-CK15-CK176+CG176)/(CG21-CG15))-1)</f>
        <v>2.341137123745729E-3</v>
      </c>
      <c r="CL239" s="1133">
        <f>+Q_IS!CL36-(((CL21-CL15-CL176+CH176)/(CH21-CH15))-1)</f>
        <v>-1.0451786918408534E-2</v>
      </c>
    </row>
    <row r="240" spans="1:90">
      <c r="A240" s="1128" t="s">
        <v>123</v>
      </c>
      <c r="B240" s="1128"/>
      <c r="C240" s="1128"/>
      <c r="D240" s="1128"/>
      <c r="E240" s="1128"/>
      <c r="F240" s="1128"/>
      <c r="G240" s="1128"/>
      <c r="H240" s="1128"/>
      <c r="I240" s="1128"/>
      <c r="J240" s="1128"/>
      <c r="K240" s="1128"/>
      <c r="L240" s="1128"/>
      <c r="M240" s="1128"/>
      <c r="N240" s="1128"/>
      <c r="O240" s="1128"/>
      <c r="P240" s="1128"/>
      <c r="Q240" s="1128"/>
      <c r="R240" s="1781"/>
      <c r="S240" s="1128"/>
      <c r="T240" s="949"/>
      <c r="U240" s="949"/>
      <c r="V240" s="949"/>
      <c r="W240" s="949"/>
      <c r="X240" s="1128"/>
      <c r="Y240" s="1128"/>
      <c r="Z240" s="1128"/>
      <c r="AA240" s="1128"/>
      <c r="AB240" s="1128"/>
      <c r="AC240" s="1128"/>
      <c r="AD240" s="1128"/>
      <c r="AE240" s="1128"/>
      <c r="AF240" s="1128"/>
      <c r="AG240" s="1128"/>
      <c r="AH240" s="1128"/>
      <c r="AI240" s="1128"/>
      <c r="AJ240" s="1128"/>
      <c r="AK240" s="1128"/>
      <c r="AL240" s="1128"/>
      <c r="AM240" s="1128"/>
      <c r="AN240" s="1128"/>
      <c r="AO240" s="1128"/>
      <c r="AP240" s="1128"/>
      <c r="AQ240" s="1128"/>
      <c r="AR240" s="1128"/>
      <c r="AS240" s="1128"/>
      <c r="AT240" s="1128"/>
      <c r="AU240" s="1128"/>
      <c r="AV240" s="1128"/>
      <c r="AW240" s="1128"/>
      <c r="AX240" s="1128"/>
      <c r="AY240" s="1128"/>
      <c r="AZ240" s="1128"/>
      <c r="BA240" s="1128"/>
      <c r="BB240" s="1128"/>
      <c r="BC240" s="1128"/>
      <c r="BD240" s="1128"/>
      <c r="BE240" s="1128"/>
      <c r="BF240" s="1128"/>
      <c r="BG240" s="1128"/>
      <c r="BH240" s="1128"/>
      <c r="BI240" s="1128"/>
      <c r="BJ240" s="1128"/>
      <c r="BK240" s="1128"/>
      <c r="BL240" s="1128"/>
      <c r="BM240" s="1128"/>
      <c r="BN240" s="1128"/>
      <c r="BO240" s="1128"/>
      <c r="BP240" s="1128"/>
      <c r="BQ240" s="1128"/>
      <c r="BR240" s="1128"/>
      <c r="BS240" s="1128"/>
      <c r="BT240" s="1128"/>
      <c r="BU240" s="1128"/>
      <c r="BV240" s="1128"/>
      <c r="BW240" s="1128"/>
      <c r="BX240" s="1128"/>
      <c r="BY240" s="1128"/>
      <c r="BZ240" s="1128"/>
      <c r="CA240" s="1128"/>
      <c r="CB240" s="1128"/>
      <c r="CC240" s="1128"/>
      <c r="CD240" s="1132">
        <f>+Q_IS!CD36-(((CD21-CD15-CD203+BZ203)/(BZ21-BZ15))-1)</f>
        <v>-2.7522935779816571E-2</v>
      </c>
      <c r="CE240" s="1132">
        <f>+Q_IS!CE36-(((CE21-CE15-CE203+CA203)/(CA21-CA15))-1)</f>
        <v>-3.4705159705159749E-2</v>
      </c>
      <c r="CF240" s="1132">
        <f>+Q_IS!CF36-(((CF21-CF15-CF203+CB203)/(CB21-CB15))-1)</f>
        <v>-3.5550107263254693E-2</v>
      </c>
      <c r="CG240" s="1132">
        <f>+Q_IS!CG36-(((CG21-CG15-CG203+CC203)/(CC21-CC15))-1)</f>
        <v>-3.440793552386856E-2</v>
      </c>
      <c r="CH240" s="1133">
        <f>+Q_IS!CH36-(((CH21-CH15-CH203+CD203)/(CD21-CD15))-1)</f>
        <v>-2.6940346375882052E-2</v>
      </c>
      <c r="CI240" s="1132">
        <f>+Q_IS!CI36-(((CI21-CI15-CI203+CE203)/(CE21-CE15))-1)</f>
        <v>-2.3225384363755319E-2</v>
      </c>
      <c r="CJ240" s="1132">
        <f>+Q_IS!CJ36-(((CJ21-CJ15-CJ203+CF203)/(CF21-CF15))-1)</f>
        <v>-1.9116677653263081E-2</v>
      </c>
      <c r="CK240" s="1132">
        <f>+Q_IS!CK36-(((CK21-CK15-CK203+CG203)/(CG21-CG15))-1)</f>
        <v>-1.5384615384615441E-2</v>
      </c>
      <c r="CL240" s="1133">
        <f>+Q_IS!CL36-(((CL21-CL15-CL203+CH203)/(CH21-CH15))-1)</f>
        <v>-1.1463250168577188E-2</v>
      </c>
    </row>
    <row r="241" spans="1:90">
      <c r="A241" s="1128" t="s">
        <v>662</v>
      </c>
      <c r="B241" s="1128"/>
      <c r="C241" s="1128"/>
      <c r="D241" s="1128"/>
      <c r="E241" s="1128"/>
      <c r="F241" s="1128"/>
      <c r="G241" s="1128"/>
      <c r="H241" s="1128"/>
      <c r="I241" s="1128"/>
      <c r="J241" s="1128"/>
      <c r="K241" s="1128"/>
      <c r="L241" s="1128"/>
      <c r="M241" s="1128"/>
      <c r="N241" s="1128"/>
      <c r="O241" s="1128"/>
      <c r="P241" s="1128"/>
      <c r="Q241" s="1128"/>
      <c r="R241" s="1781"/>
      <c r="S241" s="1128"/>
      <c r="T241" s="949"/>
      <c r="U241" s="949"/>
      <c r="V241" s="949"/>
      <c r="W241" s="949"/>
      <c r="X241" s="1128"/>
      <c r="Y241" s="1128"/>
      <c r="Z241" s="1128"/>
      <c r="AA241" s="1128"/>
      <c r="AB241" s="1128"/>
      <c r="AC241" s="1128"/>
      <c r="AD241" s="1128"/>
      <c r="AE241" s="1128"/>
      <c r="AF241" s="1128"/>
      <c r="AG241" s="1128"/>
      <c r="AH241" s="1128"/>
      <c r="AI241" s="1128"/>
      <c r="AJ241" s="1128"/>
      <c r="AK241" s="1128"/>
      <c r="AL241" s="1128"/>
      <c r="AM241" s="1128"/>
      <c r="AN241" s="1128"/>
      <c r="AO241" s="1128"/>
      <c r="AP241" s="1128"/>
      <c r="AQ241" s="1128"/>
      <c r="AR241" s="1128"/>
      <c r="AS241" s="1128"/>
      <c r="AT241" s="1128"/>
      <c r="AU241" s="1128"/>
      <c r="AV241" s="1128"/>
      <c r="AW241" s="1128"/>
      <c r="AX241" s="1128"/>
      <c r="AY241" s="1128"/>
      <c r="AZ241" s="1128"/>
      <c r="BA241" s="1128"/>
      <c r="BB241" s="1128"/>
      <c r="BC241" s="1128"/>
      <c r="BD241" s="1128"/>
      <c r="BE241" s="1128"/>
      <c r="BF241" s="1128"/>
      <c r="BG241" s="1128"/>
      <c r="BH241" s="1128"/>
      <c r="BI241" s="1128"/>
      <c r="BJ241" s="1128"/>
      <c r="BK241" s="1128"/>
      <c r="BL241" s="1128"/>
      <c r="BM241" s="1128"/>
      <c r="BN241" s="1128"/>
      <c r="BO241" s="1128"/>
      <c r="BP241" s="1128"/>
      <c r="BQ241" s="1128"/>
      <c r="BR241" s="1128"/>
      <c r="BS241" s="1128"/>
      <c r="BT241" s="1128"/>
      <c r="BU241" s="1128"/>
      <c r="BV241" s="1128"/>
      <c r="BW241" s="1128"/>
      <c r="BX241" s="1128"/>
      <c r="BY241" s="1128"/>
      <c r="BZ241" s="1128"/>
      <c r="CA241" s="1128"/>
      <c r="CB241" s="1128"/>
      <c r="CC241" s="1128"/>
      <c r="CD241" s="1132">
        <f>+Q_IS!CD36-(((CD21-CD15-CD225+BZ225)/(BZ21-BZ15))-1)</f>
        <v>-3.0581039755350758E-4</v>
      </c>
      <c r="CE241" s="1132">
        <f>+Q_IS!CE36-(((CE21-CE15-CE225+CA225)/(CA21-CA15))-1)</f>
        <v>-3.0712530712528885E-4</v>
      </c>
      <c r="CF241" s="1132">
        <f>+Q_IS!CF36-(((CF21-CF15-CF225+CB225)/(CB21-CB15))-1)</f>
        <v>9.1939932577389527E-4</v>
      </c>
      <c r="CG241" s="1132">
        <f>+Q_IS!CG36-(((CG21-CG15-CG225+CC225)/(CC21-CC15))-1)</f>
        <v>-2.4798512089274638E-3</v>
      </c>
      <c r="CH241" s="1133">
        <f>+Q_IS!CH36-(((CH21-CH15-CH225+CD225)/(CD21-CD15))-1)</f>
        <v>6.7350865939704851E-3</v>
      </c>
      <c r="CI241" s="1132">
        <f>+Q_IS!CI36-(((CI21-CI15-CI225+CE225)/(CE21-CE15))-1)</f>
        <v>5.5610075237161327E-3</v>
      </c>
      <c r="CJ241" s="1132">
        <f>+Q_IS!CJ36-(((CJ21-CJ15-CJ225+CF225)/(CF21-CF15))-1)</f>
        <v>-1.3183915622940745E-3</v>
      </c>
      <c r="CK241" s="1132">
        <f>+Q_IS!CK36-(((CK21-CK15-CK225+CG225)/(CG21-CG15))-1)</f>
        <v>-1.3377926421405117E-3</v>
      </c>
      <c r="CL241" s="1133">
        <f>+Q_IS!CL36-(((CL21-CL15-CL225+CH225)/(CH21-CH15))-1)</f>
        <v>-2.0229265003370855E-3</v>
      </c>
    </row>
    <row r="242" spans="1:90">
      <c r="A242" s="1135" t="s">
        <v>124</v>
      </c>
      <c r="B242" s="1128"/>
      <c r="C242" s="1128"/>
      <c r="D242" s="1128"/>
      <c r="E242" s="1128"/>
      <c r="F242" s="1128"/>
      <c r="G242" s="1128"/>
      <c r="H242" s="1128"/>
      <c r="I242" s="1128"/>
      <c r="J242" s="1128"/>
      <c r="K242" s="1128"/>
      <c r="L242" s="1128"/>
      <c r="M242" s="1128"/>
      <c r="N242" s="1128"/>
      <c r="O242" s="1128"/>
      <c r="P242" s="1128"/>
      <c r="Q242" s="1128"/>
      <c r="R242" s="1781"/>
      <c r="S242" s="1128"/>
      <c r="T242" s="949"/>
      <c r="U242" s="949"/>
      <c r="V242" s="949"/>
      <c r="W242" s="949"/>
      <c r="X242" s="1128"/>
      <c r="Y242" s="1128"/>
      <c r="Z242" s="1128"/>
      <c r="AA242" s="1128"/>
      <c r="AB242" s="1128"/>
      <c r="AC242" s="1128"/>
      <c r="AD242" s="1128"/>
      <c r="AE242" s="1128"/>
      <c r="AF242" s="1128"/>
      <c r="AG242" s="1128"/>
      <c r="AH242" s="1128"/>
      <c r="AI242" s="1128"/>
      <c r="AJ242" s="1128"/>
      <c r="AK242" s="1128"/>
      <c r="AL242" s="1128"/>
      <c r="AM242" s="1128"/>
      <c r="AN242" s="1128"/>
      <c r="AO242" s="1128"/>
      <c r="AP242" s="1128"/>
      <c r="AQ242" s="1128"/>
      <c r="AR242" s="1128"/>
      <c r="AS242" s="1128"/>
      <c r="AT242" s="1128"/>
      <c r="AU242" s="1128"/>
      <c r="AV242" s="1128"/>
      <c r="AW242" s="1128"/>
      <c r="AX242" s="1128"/>
      <c r="AY242" s="1128"/>
      <c r="AZ242" s="1128"/>
      <c r="BA242" s="1128"/>
      <c r="BB242" s="1128"/>
      <c r="BC242" s="1128"/>
      <c r="BD242" s="1128"/>
      <c r="BE242" s="1128"/>
      <c r="BF242" s="1128"/>
      <c r="BG242" s="1128"/>
      <c r="BH242" s="1128"/>
      <c r="BI242" s="1128"/>
      <c r="BJ242" s="1128"/>
      <c r="BK242" s="1128"/>
      <c r="BL242" s="1128"/>
      <c r="BM242" s="1128"/>
      <c r="BN242" s="1128"/>
      <c r="BO242" s="1128"/>
      <c r="BP242" s="1128"/>
      <c r="BQ242" s="1128"/>
      <c r="BR242" s="1128"/>
      <c r="BS242" s="1128"/>
      <c r="BT242" s="1128"/>
      <c r="BU242" s="1128"/>
      <c r="BV242" s="1128"/>
      <c r="BW242" s="1128"/>
      <c r="BX242" s="1128"/>
      <c r="BY242" s="1128"/>
      <c r="BZ242" s="1128"/>
      <c r="CA242" s="1128"/>
      <c r="CB242" s="1128"/>
      <c r="CC242" s="1128"/>
      <c r="CD242" s="1132">
        <f>+Q_IS!CD36</f>
        <v>-4.6483180428134596E-2</v>
      </c>
      <c r="CE242" s="1132">
        <f>+Q_IS!CE36</f>
        <v>-6.1117936117936145E-2</v>
      </c>
      <c r="CF242" s="1132">
        <f>+Q_IS!CF36</f>
        <v>-7.0180815200735491E-2</v>
      </c>
      <c r="CG242" s="1132">
        <f>+Q_IS!CG36</f>
        <v>-7.3155610663360182E-2</v>
      </c>
      <c r="CH242" s="1133">
        <f>+Q_IS!CH36</f>
        <v>-4.874919820397694E-2</v>
      </c>
      <c r="CI242" s="1132">
        <f>+Q_IS!CI36</f>
        <v>-4.1543997383055253E-2</v>
      </c>
      <c r="CJ242" s="1132">
        <f>+Q_IS!CJ36</f>
        <v>-3.2630191166776568E-2</v>
      </c>
      <c r="CK242" s="1132">
        <f>+Q_IS!CK36</f>
        <v>-3.0434782608695699E-2</v>
      </c>
      <c r="CL242" s="1133">
        <f>+Q_IS!CL36</f>
        <v>-4.0458530006743043E-2</v>
      </c>
    </row>
    <row r="243" spans="1:90">
      <c r="A243" s="1128" t="s">
        <v>795</v>
      </c>
      <c r="B243" s="1128"/>
      <c r="C243" s="1128"/>
      <c r="D243" s="1128"/>
      <c r="E243" s="1128"/>
      <c r="F243" s="1128"/>
      <c r="G243" s="1128"/>
      <c r="H243" s="1128"/>
      <c r="I243" s="1128"/>
      <c r="J243" s="1128"/>
      <c r="K243" s="1128"/>
      <c r="L243" s="1128"/>
      <c r="M243" s="1128"/>
      <c r="N243" s="1128"/>
      <c r="O243" s="1128"/>
      <c r="P243" s="1128"/>
      <c r="Q243" s="1128"/>
      <c r="R243" s="1781"/>
      <c r="S243" s="1128"/>
      <c r="T243" s="949"/>
      <c r="U243" s="949"/>
      <c r="V243" s="949"/>
      <c r="W243" s="949"/>
      <c r="X243" s="1128"/>
      <c r="Y243" s="1128"/>
      <c r="Z243" s="1128"/>
      <c r="AA243" s="1128"/>
      <c r="AB243" s="1128"/>
      <c r="AC243" s="1128"/>
      <c r="AD243" s="1128"/>
      <c r="AE243" s="1128"/>
      <c r="AF243" s="1128"/>
      <c r="AG243" s="1128"/>
      <c r="AH243" s="1128"/>
      <c r="AI243" s="1128"/>
      <c r="AJ243" s="1128"/>
      <c r="AK243" s="1128"/>
      <c r="AL243" s="1128"/>
      <c r="AM243" s="1128"/>
      <c r="AN243" s="1128"/>
      <c r="AO243" s="1128"/>
      <c r="AP243" s="1128"/>
      <c r="AQ243" s="1128"/>
      <c r="AR243" s="1128"/>
      <c r="AS243" s="1128"/>
      <c r="AT243" s="1128"/>
      <c r="AU243" s="1128"/>
      <c r="AV243" s="1128"/>
      <c r="AW243" s="1128"/>
      <c r="AX243" s="1128"/>
      <c r="AY243" s="1128"/>
      <c r="AZ243" s="1128"/>
      <c r="BA243" s="1128"/>
      <c r="BB243" s="1128"/>
      <c r="BC243" s="1128"/>
      <c r="BD243" s="1128"/>
      <c r="BE243" s="1128"/>
      <c r="BF243" s="1128"/>
      <c r="BG243" s="1128"/>
      <c r="BH243" s="1128"/>
      <c r="BI243" s="1128"/>
      <c r="BJ243" s="1128"/>
      <c r="BK243" s="1128"/>
      <c r="BL243" s="1128"/>
      <c r="BM243" s="1128"/>
      <c r="BN243" s="1128"/>
      <c r="BO243" s="1128"/>
      <c r="BP243" s="1128"/>
      <c r="BQ243" s="1128"/>
      <c r="BR243" s="1128"/>
      <c r="BS243" s="1128"/>
      <c r="BT243" s="1128"/>
      <c r="BU243" s="1128"/>
      <c r="BV243" s="1128"/>
      <c r="BW243" s="1128"/>
      <c r="BX243" s="1128"/>
      <c r="BY243" s="1128"/>
      <c r="BZ243" s="1128"/>
      <c r="CA243" s="1128"/>
      <c r="CB243" s="1128"/>
      <c r="CC243" s="1128"/>
      <c r="CD243" s="1139">
        <f t="shared" ref="CD243:CL243" si="264">+CD242-SUM(CD238:CD241)</f>
        <v>-3.3639143730886834E-2</v>
      </c>
      <c r="CE243" s="1139">
        <f t="shared" si="264"/>
        <v>-2.0270270270270174E-2</v>
      </c>
      <c r="CF243" s="1139">
        <f t="shared" si="264"/>
        <v>-1.225865767698453E-2</v>
      </c>
      <c r="CG243" s="1139">
        <f t="shared" si="264"/>
        <v>-2.4798512089274638E-3</v>
      </c>
      <c r="CH243" s="1140">
        <f t="shared" si="264"/>
        <v>1.1102230246251565E-16</v>
      </c>
      <c r="CI243" s="1139">
        <f t="shared" si="264"/>
        <v>-1.1102230246251565E-16</v>
      </c>
      <c r="CJ243" s="1139">
        <f t="shared" si="264"/>
        <v>2.2204460492503131E-16</v>
      </c>
      <c r="CK243" s="1139">
        <f t="shared" si="264"/>
        <v>2.2204460492503131E-16</v>
      </c>
      <c r="CL243" s="1140">
        <f t="shared" si="264"/>
        <v>-2.2204460492503131E-16</v>
      </c>
    </row>
    <row r="244" spans="1:90">
      <c r="A244" s="946"/>
      <c r="B244" s="946"/>
      <c r="C244" s="946"/>
      <c r="D244" s="946"/>
      <c r="E244" s="946"/>
      <c r="F244" s="946"/>
      <c r="G244" s="946"/>
      <c r="H244" s="946"/>
      <c r="I244" s="946"/>
      <c r="J244" s="946"/>
      <c r="K244" s="946"/>
      <c r="L244" s="946"/>
      <c r="M244" s="946"/>
      <c r="N244" s="946"/>
      <c r="O244" s="946"/>
      <c r="P244" s="946"/>
      <c r="Q244" s="946"/>
      <c r="R244" s="1775"/>
      <c r="S244" s="946"/>
      <c r="T244" s="949"/>
      <c r="U244" s="949"/>
      <c r="V244" s="949"/>
      <c r="W244" s="949"/>
      <c r="X244" s="946"/>
      <c r="Y244" s="946"/>
      <c r="Z244" s="946"/>
      <c r="AA244" s="946"/>
      <c r="AB244" s="946"/>
      <c r="AC244" s="946"/>
      <c r="AD244" s="946"/>
      <c r="AE244" s="946"/>
      <c r="AF244" s="946"/>
      <c r="AG244" s="946"/>
      <c r="AH244" s="946"/>
      <c r="AI244" s="946"/>
      <c r="AJ244" s="946"/>
      <c r="AK244" s="946"/>
      <c r="AL244" s="946"/>
      <c r="AM244" s="946"/>
      <c r="AN244" s="946"/>
      <c r="AO244" s="946"/>
      <c r="AP244" s="946"/>
      <c r="AQ244" s="946"/>
      <c r="AR244" s="946"/>
      <c r="AS244" s="946"/>
      <c r="AT244" s="946"/>
      <c r="AU244" s="946"/>
      <c r="AV244" s="946"/>
      <c r="AW244" s="946"/>
      <c r="AX244" s="946"/>
      <c r="AY244" s="946"/>
      <c r="AZ244" s="946"/>
      <c r="BA244" s="946"/>
      <c r="BB244" s="946"/>
      <c r="BC244" s="946"/>
      <c r="BD244" s="946"/>
      <c r="BE244" s="946"/>
      <c r="BF244" s="946"/>
      <c r="BG244" s="946"/>
      <c r="BH244" s="946"/>
      <c r="BI244" s="946"/>
      <c r="BJ244" s="946"/>
      <c r="BK244" s="946"/>
      <c r="BL244" s="946"/>
      <c r="BM244" s="946"/>
      <c r="BN244" s="946"/>
      <c r="BO244" s="946"/>
      <c r="BP244" s="946"/>
      <c r="BQ244" s="946"/>
      <c r="BR244" s="946"/>
      <c r="BS244" s="946"/>
      <c r="BT244" s="946"/>
      <c r="BU244" s="946"/>
      <c r="BV244" s="946"/>
      <c r="BW244" s="946"/>
      <c r="BX244" s="946"/>
      <c r="BY244" s="946"/>
      <c r="BZ244" s="946"/>
      <c r="CA244" s="946"/>
      <c r="CB244" s="946"/>
      <c r="CC244" s="946"/>
      <c r="CD244" s="946"/>
      <c r="CE244" s="946"/>
      <c r="CF244" s="946"/>
      <c r="CG244" s="946"/>
      <c r="CH244" s="966"/>
      <c r="CI244" s="946"/>
      <c r="CJ244" s="946"/>
      <c r="CK244" s="946"/>
      <c r="CL244" s="966"/>
    </row>
    <row r="245" spans="1:90">
      <c r="A245" s="1141" t="s">
        <v>126</v>
      </c>
      <c r="B245" s="1142"/>
      <c r="C245" s="1142"/>
      <c r="D245" s="1142"/>
      <c r="E245" s="1142"/>
      <c r="F245" s="1142"/>
      <c r="G245" s="1142"/>
      <c r="H245" s="1142"/>
      <c r="I245" s="1142"/>
      <c r="J245" s="1142"/>
      <c r="K245" s="1142"/>
      <c r="L245" s="1142"/>
      <c r="M245" s="1142"/>
      <c r="N245" s="1142"/>
      <c r="O245" s="1142"/>
      <c r="P245" s="1142"/>
      <c r="Q245" s="1142"/>
      <c r="R245" s="1783"/>
      <c r="S245" s="1142"/>
      <c r="T245" s="949"/>
      <c r="U245" s="949"/>
      <c r="V245" s="949"/>
      <c r="W245" s="949"/>
      <c r="X245" s="1142"/>
      <c r="Y245" s="1142"/>
      <c r="Z245" s="1142"/>
      <c r="AA245" s="1142"/>
      <c r="AB245" s="1142"/>
      <c r="AC245" s="1142"/>
      <c r="AD245" s="1142"/>
      <c r="AE245" s="1142"/>
      <c r="AF245" s="1142"/>
      <c r="AG245" s="1142"/>
      <c r="AH245" s="1142"/>
      <c r="AI245" s="1142"/>
      <c r="AJ245" s="1142"/>
      <c r="AK245" s="1142"/>
      <c r="AL245" s="1142"/>
      <c r="AM245" s="1142"/>
      <c r="AN245" s="1142"/>
      <c r="AO245" s="1142"/>
      <c r="AP245" s="1142"/>
      <c r="AQ245" s="1142"/>
      <c r="AR245" s="1142"/>
      <c r="AS245" s="1142"/>
      <c r="AT245" s="1142"/>
      <c r="AU245" s="1142"/>
      <c r="AV245" s="1142"/>
      <c r="AW245" s="1142"/>
      <c r="AX245" s="1142"/>
      <c r="AY245" s="1142"/>
      <c r="AZ245" s="1142"/>
      <c r="BA245" s="1142"/>
      <c r="BB245" s="1142"/>
      <c r="BC245" s="1142"/>
      <c r="BD245" s="1142"/>
      <c r="BE245" s="1142"/>
      <c r="BF245" s="1142"/>
      <c r="BG245" s="1142"/>
      <c r="BH245" s="1142"/>
      <c r="BI245" s="1142"/>
      <c r="BJ245" s="1142"/>
      <c r="BK245" s="1142"/>
      <c r="BL245" s="1142"/>
      <c r="BM245" s="1142"/>
      <c r="BN245" s="1142"/>
      <c r="BO245" s="1142"/>
      <c r="BP245" s="1142"/>
      <c r="BQ245" s="1142"/>
      <c r="BR245" s="1142"/>
      <c r="BS245" s="1142"/>
      <c r="BT245" s="1142"/>
      <c r="BU245" s="1142"/>
      <c r="BV245" s="1142"/>
      <c r="BW245" s="1142"/>
      <c r="BX245" s="1142"/>
      <c r="BY245" s="1142"/>
      <c r="BZ245" s="1142"/>
      <c r="CA245" s="1142"/>
      <c r="CB245" s="1142"/>
      <c r="CC245" s="1142"/>
      <c r="CD245" s="1143"/>
      <c r="CE245" s="1142"/>
      <c r="CF245" s="1142"/>
      <c r="CG245" s="1142"/>
      <c r="CH245" s="1143"/>
      <c r="CI245" s="1142"/>
      <c r="CJ245" s="1128"/>
      <c r="CK245" s="1128"/>
      <c r="CL245" s="1802" t="s">
        <v>1069</v>
      </c>
    </row>
    <row r="246" spans="1:90">
      <c r="A246" s="1144" t="s">
        <v>127</v>
      </c>
      <c r="B246" s="949"/>
      <c r="C246" s="949"/>
      <c r="D246" s="949"/>
      <c r="E246" s="949"/>
      <c r="F246" s="949"/>
      <c r="G246" s="949"/>
      <c r="H246" s="949"/>
      <c r="I246" s="949"/>
      <c r="J246" s="949"/>
      <c r="K246" s="949"/>
      <c r="L246" s="949"/>
      <c r="M246" s="949"/>
      <c r="N246" s="949"/>
      <c r="O246" s="949"/>
      <c r="P246" s="1145">
        <f>+CC246</f>
        <v>1900</v>
      </c>
      <c r="Q246" s="1145">
        <f>+CG246</f>
        <v>3500</v>
      </c>
      <c r="R246" s="1162">
        <f>+CK246</f>
        <v>4700</v>
      </c>
      <c r="S246" s="1145">
        <f>+CO246</f>
        <v>0</v>
      </c>
      <c r="T246" s="949"/>
      <c r="U246" s="949"/>
      <c r="V246" s="949"/>
      <c r="W246" s="949"/>
      <c r="X246" s="949"/>
      <c r="Y246" s="949"/>
      <c r="Z246" s="949"/>
      <c r="AA246" s="949"/>
      <c r="AB246" s="949"/>
      <c r="AC246" s="949"/>
      <c r="AD246" s="949"/>
      <c r="AE246" s="949"/>
      <c r="AF246" s="949"/>
      <c r="AG246" s="949"/>
      <c r="AH246" s="949"/>
      <c r="AI246" s="949"/>
      <c r="AJ246" s="949"/>
      <c r="AK246" s="949"/>
      <c r="AL246" s="949"/>
      <c r="AM246" s="949"/>
      <c r="AN246" s="949"/>
      <c r="AO246" s="949"/>
      <c r="AP246" s="949"/>
      <c r="AQ246" s="949"/>
      <c r="AR246" s="949"/>
      <c r="AS246" s="949"/>
      <c r="AT246" s="949"/>
      <c r="AU246" s="949"/>
      <c r="AV246" s="949"/>
      <c r="AW246" s="949"/>
      <c r="AX246" s="949"/>
      <c r="AY246" s="949"/>
      <c r="AZ246" s="949"/>
      <c r="BA246" s="949"/>
      <c r="BB246" s="949"/>
      <c r="BC246" s="949"/>
      <c r="BD246" s="949"/>
      <c r="BE246" s="949"/>
      <c r="BF246" s="949"/>
      <c r="BG246" s="949"/>
      <c r="BH246" s="949"/>
      <c r="BI246" s="949"/>
      <c r="BJ246" s="949"/>
      <c r="BK246" s="949"/>
      <c r="BL246" s="949"/>
      <c r="BM246" s="949"/>
      <c r="BN246" s="949"/>
      <c r="BO246" s="949"/>
      <c r="BP246" s="949"/>
      <c r="BQ246" s="949"/>
      <c r="BR246" s="949"/>
      <c r="BS246" s="949"/>
      <c r="BT246" s="949"/>
      <c r="BU246" s="949"/>
      <c r="BV246" s="949"/>
      <c r="BW246" s="949"/>
      <c r="BX246" s="949"/>
      <c r="BY246" s="949"/>
      <c r="BZ246" s="1146">
        <v>500</v>
      </c>
      <c r="CA246" s="1147">
        <v>1000</v>
      </c>
      <c r="CB246" s="1147">
        <v>1500</v>
      </c>
      <c r="CC246" s="1147">
        <v>1900</v>
      </c>
      <c r="CD246" s="1148">
        <f>+CE246-CE247</f>
        <v>2225</v>
      </c>
      <c r="CE246" s="1147">
        <v>2600</v>
      </c>
      <c r="CF246" s="1147">
        <v>3000</v>
      </c>
      <c r="CG246" s="1147">
        <v>3500</v>
      </c>
      <c r="CH246" s="1149">
        <v>3800</v>
      </c>
      <c r="CI246" s="1147">
        <v>4000</v>
      </c>
      <c r="CJ246" s="1147">
        <v>4500</v>
      </c>
      <c r="CK246" s="1147">
        <f>CJ246+200</f>
        <v>4700</v>
      </c>
      <c r="CL246" s="1149">
        <f>CK246+200</f>
        <v>4900</v>
      </c>
    </row>
    <row r="247" spans="1:90">
      <c r="A247" s="1150" t="s">
        <v>128</v>
      </c>
      <c r="B247" s="949"/>
      <c r="C247" s="949"/>
      <c r="D247" s="949"/>
      <c r="E247" s="949"/>
      <c r="F247" s="949"/>
      <c r="G247" s="949"/>
      <c r="H247" s="949"/>
      <c r="I247" s="949"/>
      <c r="J247" s="949"/>
      <c r="K247" s="949"/>
      <c r="L247" s="949"/>
      <c r="M247" s="949"/>
      <c r="N247" s="949"/>
      <c r="O247" s="949"/>
      <c r="P247" s="949"/>
      <c r="Q247" s="1145">
        <f>+Q246-P246</f>
        <v>1600</v>
      </c>
      <c r="R247" s="1162">
        <f>+R246-Q246</f>
        <v>1200</v>
      </c>
      <c r="S247" s="1145">
        <f>+S246-R246</f>
        <v>-4700</v>
      </c>
      <c r="T247" s="949"/>
      <c r="U247" s="949"/>
      <c r="V247" s="949"/>
      <c r="W247" s="949"/>
      <c r="X247" s="949"/>
      <c r="Y247" s="949"/>
      <c r="Z247" s="949"/>
      <c r="AA247" s="949"/>
      <c r="AB247" s="949"/>
      <c r="AC247" s="949"/>
      <c r="AD247" s="949"/>
      <c r="AE247" s="949"/>
      <c r="AF247" s="949"/>
      <c r="AG247" s="949"/>
      <c r="AH247" s="949"/>
      <c r="AI247" s="949"/>
      <c r="AJ247" s="949"/>
      <c r="AK247" s="949"/>
      <c r="AL247" s="949"/>
      <c r="AM247" s="949"/>
      <c r="AN247" s="949"/>
      <c r="AO247" s="949"/>
      <c r="AP247" s="949"/>
      <c r="AQ247" s="949"/>
      <c r="AR247" s="949"/>
      <c r="AS247" s="949"/>
      <c r="AT247" s="949"/>
      <c r="AU247" s="949"/>
      <c r="AV247" s="949"/>
      <c r="AW247" s="949"/>
      <c r="AX247" s="949"/>
      <c r="AY247" s="949"/>
      <c r="AZ247" s="949"/>
      <c r="BA247" s="949"/>
      <c r="BB247" s="949"/>
      <c r="BC247" s="949"/>
      <c r="BD247" s="949"/>
      <c r="BE247" s="949"/>
      <c r="BF247" s="949"/>
      <c r="BG247" s="949"/>
      <c r="BH247" s="949"/>
      <c r="BI247" s="949"/>
      <c r="BJ247" s="949"/>
      <c r="BK247" s="949"/>
      <c r="BL247" s="949"/>
      <c r="BM247" s="949"/>
      <c r="BN247" s="949"/>
      <c r="BO247" s="949"/>
      <c r="BP247" s="949"/>
      <c r="BQ247" s="949"/>
      <c r="BR247" s="949"/>
      <c r="BS247" s="949"/>
      <c r="BT247" s="949"/>
      <c r="BU247" s="949"/>
      <c r="BV247" s="949"/>
      <c r="BW247" s="949"/>
      <c r="BX247" s="949"/>
      <c r="BY247" s="949"/>
      <c r="BZ247" s="1151"/>
      <c r="CA247" s="1151">
        <f>+CA246-BZ246</f>
        <v>500</v>
      </c>
      <c r="CB247" s="1151">
        <f>+CB246-CA246</f>
        <v>500</v>
      </c>
      <c r="CC247" s="1151">
        <f>+CC246-CB246</f>
        <v>400</v>
      </c>
      <c r="CD247" s="1148">
        <f>+CD246-CC246</f>
        <v>325</v>
      </c>
      <c r="CE247" s="1147">
        <v>375</v>
      </c>
      <c r="CF247" s="1151">
        <f t="shared" ref="CF247:CL247" si="265">+CF246-CE246</f>
        <v>400</v>
      </c>
      <c r="CG247" s="1151">
        <f t="shared" si="265"/>
        <v>500</v>
      </c>
      <c r="CH247" s="1148">
        <f t="shared" si="265"/>
        <v>300</v>
      </c>
      <c r="CI247" s="1151">
        <f t="shared" si="265"/>
        <v>200</v>
      </c>
      <c r="CJ247" s="1151">
        <f t="shared" si="265"/>
        <v>500</v>
      </c>
      <c r="CK247" s="1151">
        <f t="shared" si="265"/>
        <v>200</v>
      </c>
      <c r="CL247" s="1148">
        <f t="shared" si="265"/>
        <v>200</v>
      </c>
    </row>
    <row r="248" spans="1:90">
      <c r="A248" s="949" t="s">
        <v>129</v>
      </c>
      <c r="B248" s="949"/>
      <c r="C248" s="949"/>
      <c r="D248" s="949"/>
      <c r="E248" s="949"/>
      <c r="F248" s="949"/>
      <c r="G248" s="949"/>
      <c r="H248" s="949"/>
      <c r="I248" s="949"/>
      <c r="J248" s="949"/>
      <c r="K248" s="949"/>
      <c r="L248" s="949"/>
      <c r="M248" s="949"/>
      <c r="N248" s="949"/>
      <c r="O248" s="949"/>
      <c r="P248" s="1145">
        <f>+CC248</f>
        <v>140</v>
      </c>
      <c r="Q248" s="1145">
        <f>+CG248</f>
        <v>419</v>
      </c>
      <c r="R248" s="1162">
        <f>+CK248</f>
        <v>719</v>
      </c>
      <c r="S248" s="1145">
        <f>+CO248</f>
        <v>0</v>
      </c>
      <c r="T248" s="949"/>
      <c r="U248" s="949"/>
      <c r="V248" s="949"/>
      <c r="W248" s="949"/>
      <c r="X248" s="949"/>
      <c r="Y248" s="949"/>
      <c r="Z248" s="949"/>
      <c r="AA248" s="949"/>
      <c r="AB248" s="949"/>
      <c r="AC248" s="949"/>
      <c r="AD248" s="949"/>
      <c r="AE248" s="949"/>
      <c r="AF248" s="949"/>
      <c r="AG248" s="949"/>
      <c r="AH248" s="949"/>
      <c r="AI248" s="949"/>
      <c r="AJ248" s="949"/>
      <c r="AK248" s="949"/>
      <c r="AL248" s="949"/>
      <c r="AM248" s="949"/>
      <c r="AN248" s="949"/>
      <c r="AO248" s="949"/>
      <c r="AP248" s="949"/>
      <c r="AQ248" s="949"/>
      <c r="AR248" s="949"/>
      <c r="AS248" s="949"/>
      <c r="AT248" s="949"/>
      <c r="AU248" s="949"/>
      <c r="AV248" s="949"/>
      <c r="AW248" s="949"/>
      <c r="AX248" s="949"/>
      <c r="AY248" s="949"/>
      <c r="AZ248" s="949"/>
      <c r="BA248" s="949"/>
      <c r="BB248" s="949"/>
      <c r="BC248" s="949"/>
      <c r="BD248" s="949"/>
      <c r="BE248" s="949"/>
      <c r="BF248" s="949"/>
      <c r="BG248" s="949"/>
      <c r="BH248" s="949"/>
      <c r="BI248" s="949"/>
      <c r="BJ248" s="949"/>
      <c r="BK248" s="949"/>
      <c r="BL248" s="949"/>
      <c r="BM248" s="949"/>
      <c r="BN248" s="949"/>
      <c r="BO248" s="949"/>
      <c r="BP248" s="949"/>
      <c r="BQ248" s="949"/>
      <c r="BR248" s="949"/>
      <c r="BS248" s="949"/>
      <c r="BT248" s="949"/>
      <c r="BU248" s="949"/>
      <c r="BV248" s="949"/>
      <c r="BW248" s="949"/>
      <c r="BX248" s="949"/>
      <c r="BY248" s="1151">
        <f>+BZ248-BZ250</f>
        <v>7</v>
      </c>
      <c r="BZ248" s="1151">
        <f>+CA248-CA250</f>
        <v>20</v>
      </c>
      <c r="CA248" s="1151">
        <f>+CB248-CB250</f>
        <v>39</v>
      </c>
      <c r="CB248" s="1151">
        <f>+CC248-CC250</f>
        <v>79</v>
      </c>
      <c r="CC248" s="1147">
        <v>140</v>
      </c>
      <c r="CD248" s="1148">
        <f t="shared" ref="CD248:CI248" si="266">+CC248+CD250</f>
        <v>203</v>
      </c>
      <c r="CE248" s="1151">
        <f t="shared" si="266"/>
        <v>268</v>
      </c>
      <c r="CF248" s="1151">
        <f t="shared" si="266"/>
        <v>339</v>
      </c>
      <c r="CG248" s="1151">
        <f t="shared" si="266"/>
        <v>419</v>
      </c>
      <c r="CH248" s="1148">
        <f t="shared" si="266"/>
        <v>483</v>
      </c>
      <c r="CI248" s="1151">
        <f t="shared" si="266"/>
        <v>535</v>
      </c>
      <c r="CJ248" s="1151">
        <f>+CI248+CJ250</f>
        <v>627</v>
      </c>
      <c r="CK248" s="1151">
        <f>+CJ248+CK250</f>
        <v>719</v>
      </c>
      <c r="CL248" s="1148">
        <f>+CK248+CL250</f>
        <v>833</v>
      </c>
    </row>
    <row r="249" spans="1:90">
      <c r="A249" s="949" t="s">
        <v>130</v>
      </c>
      <c r="B249" s="949"/>
      <c r="C249" s="949"/>
      <c r="D249" s="949"/>
      <c r="E249" s="949"/>
      <c r="F249" s="949"/>
      <c r="G249" s="949"/>
      <c r="H249" s="949"/>
      <c r="I249" s="949"/>
      <c r="J249" s="949"/>
      <c r="K249" s="949"/>
      <c r="L249" s="949"/>
      <c r="M249" s="949"/>
      <c r="N249" s="949"/>
      <c r="O249" s="949"/>
      <c r="P249" s="949"/>
      <c r="Q249" s="1152">
        <f>+Q248/P248-1</f>
        <v>1.9928571428571429</v>
      </c>
      <c r="R249" s="1784">
        <f>+R248/Q248-1</f>
        <v>0.71599045346062051</v>
      </c>
      <c r="S249" s="1152">
        <f>+S248/R248-1</f>
        <v>-1</v>
      </c>
      <c r="T249" s="949"/>
      <c r="U249" s="949"/>
      <c r="V249" s="949"/>
      <c r="W249" s="949"/>
      <c r="X249" s="949"/>
      <c r="Y249" s="949"/>
      <c r="Z249" s="949"/>
      <c r="AA249" s="949"/>
      <c r="AB249" s="949"/>
      <c r="AC249" s="949"/>
      <c r="AD249" s="949"/>
      <c r="AE249" s="949"/>
      <c r="AF249" s="949"/>
      <c r="AG249" s="949"/>
      <c r="AH249" s="949"/>
      <c r="AI249" s="949"/>
      <c r="AJ249" s="949"/>
      <c r="AK249" s="949"/>
      <c r="AL249" s="949"/>
      <c r="AM249" s="949"/>
      <c r="AN249" s="949"/>
      <c r="AO249" s="949"/>
      <c r="AP249" s="949"/>
      <c r="AQ249" s="949"/>
      <c r="AR249" s="949"/>
      <c r="AS249" s="949"/>
      <c r="AT249" s="949"/>
      <c r="AU249" s="949"/>
      <c r="AV249" s="949"/>
      <c r="AW249" s="949"/>
      <c r="AX249" s="949"/>
      <c r="AY249" s="949"/>
      <c r="AZ249" s="949"/>
      <c r="BA249" s="949"/>
      <c r="BB249" s="949"/>
      <c r="BC249" s="949"/>
      <c r="BD249" s="949"/>
      <c r="BE249" s="949"/>
      <c r="BF249" s="949"/>
      <c r="BG249" s="949"/>
      <c r="BH249" s="949"/>
      <c r="BI249" s="949"/>
      <c r="BJ249" s="949"/>
      <c r="BK249" s="949"/>
      <c r="BL249" s="949"/>
      <c r="BM249" s="949"/>
      <c r="BN249" s="949"/>
      <c r="BO249" s="949"/>
      <c r="BP249" s="949"/>
      <c r="BQ249" s="949"/>
      <c r="BR249" s="949"/>
      <c r="BS249" s="949"/>
      <c r="BT249" s="949"/>
      <c r="BU249" s="949"/>
      <c r="BV249" s="949"/>
      <c r="BW249" s="949"/>
      <c r="BX249" s="949"/>
      <c r="BY249" s="1151"/>
      <c r="BZ249" s="1151"/>
      <c r="CA249" s="1151"/>
      <c r="CB249" s="1151"/>
      <c r="CC249" s="1147"/>
      <c r="CD249" s="1153">
        <f t="shared" ref="CD249:CI249" si="267">+CD248/BZ248-1</f>
        <v>9.15</v>
      </c>
      <c r="CE249" s="1152">
        <f t="shared" si="267"/>
        <v>5.8717948717948714</v>
      </c>
      <c r="CF249" s="1152">
        <f t="shared" si="267"/>
        <v>3.2911392405063289</v>
      </c>
      <c r="CG249" s="1152">
        <f t="shared" si="267"/>
        <v>1.9928571428571429</v>
      </c>
      <c r="CH249" s="1153">
        <f t="shared" si="267"/>
        <v>1.3793103448275863</v>
      </c>
      <c r="CI249" s="1152">
        <f t="shared" si="267"/>
        <v>0.99626865671641784</v>
      </c>
      <c r="CJ249" s="1152">
        <f>+CJ248/CF248-1</f>
        <v>0.84955752212389379</v>
      </c>
      <c r="CK249" s="1152">
        <f>+CK248/CG248-1</f>
        <v>0.71599045346062051</v>
      </c>
      <c r="CL249" s="1153">
        <f>+CL248/CH248-1</f>
        <v>0.7246376811594204</v>
      </c>
    </row>
    <row r="250" spans="1:90">
      <c r="A250" s="1150" t="s">
        <v>131</v>
      </c>
      <c r="B250" s="949"/>
      <c r="C250" s="949"/>
      <c r="D250" s="949"/>
      <c r="E250" s="949"/>
      <c r="F250" s="949"/>
      <c r="G250" s="949"/>
      <c r="H250" s="949"/>
      <c r="I250" s="949"/>
      <c r="J250" s="949"/>
      <c r="K250" s="949"/>
      <c r="L250" s="949"/>
      <c r="M250" s="949"/>
      <c r="N250" s="949"/>
      <c r="O250" s="949"/>
      <c r="P250" s="1145">
        <f>+P248-O248</f>
        <v>140</v>
      </c>
      <c r="Q250" s="1145">
        <f>+Q248-P248</f>
        <v>279</v>
      </c>
      <c r="R250" s="1162">
        <f>+R248-Q248</f>
        <v>300</v>
      </c>
      <c r="S250" s="1145">
        <f>+S248-R248</f>
        <v>-719</v>
      </c>
      <c r="T250" s="949"/>
      <c r="U250" s="949"/>
      <c r="V250" s="949"/>
      <c r="W250" s="949"/>
      <c r="X250" s="949"/>
      <c r="Y250" s="949"/>
      <c r="Z250" s="949"/>
      <c r="AA250" s="949"/>
      <c r="AB250" s="949"/>
      <c r="AC250" s="949"/>
      <c r="AD250" s="949"/>
      <c r="AE250" s="949"/>
      <c r="AF250" s="949"/>
      <c r="AG250" s="949"/>
      <c r="AH250" s="949"/>
      <c r="AI250" s="949"/>
      <c r="AJ250" s="949"/>
      <c r="AK250" s="949"/>
      <c r="AL250" s="949"/>
      <c r="AM250" s="949"/>
      <c r="AN250" s="949"/>
      <c r="AO250" s="949"/>
      <c r="AP250" s="949"/>
      <c r="AQ250" s="949"/>
      <c r="AR250" s="949"/>
      <c r="AS250" s="949"/>
      <c r="AT250" s="949"/>
      <c r="AU250" s="949"/>
      <c r="AV250" s="949"/>
      <c r="AW250" s="949"/>
      <c r="AX250" s="949"/>
      <c r="AY250" s="949"/>
      <c r="AZ250" s="949"/>
      <c r="BA250" s="949"/>
      <c r="BB250" s="949"/>
      <c r="BC250" s="949"/>
      <c r="BD250" s="949"/>
      <c r="BE250" s="949"/>
      <c r="BF250" s="949"/>
      <c r="BG250" s="949"/>
      <c r="BH250" s="949"/>
      <c r="BI250" s="949"/>
      <c r="BJ250" s="949"/>
      <c r="BK250" s="949"/>
      <c r="BL250" s="949"/>
      <c r="BM250" s="949"/>
      <c r="BN250" s="949"/>
      <c r="BO250" s="949"/>
      <c r="BP250" s="949"/>
      <c r="BQ250" s="949"/>
      <c r="BR250" s="949"/>
      <c r="BS250" s="949"/>
      <c r="BT250" s="949"/>
      <c r="BU250" s="949"/>
      <c r="BV250" s="949"/>
      <c r="BW250" s="949"/>
      <c r="BX250" s="949"/>
      <c r="BY250" s="949"/>
      <c r="BZ250" s="1147">
        <v>13</v>
      </c>
      <c r="CA250" s="1147">
        <v>19</v>
      </c>
      <c r="CB250" s="1147">
        <v>40</v>
      </c>
      <c r="CC250" s="1147">
        <v>61</v>
      </c>
      <c r="CD250" s="1149">
        <v>63</v>
      </c>
      <c r="CE250" s="1147">
        <v>65</v>
      </c>
      <c r="CF250" s="1147">
        <v>71</v>
      </c>
      <c r="CG250" s="1147">
        <v>80</v>
      </c>
      <c r="CH250" s="1149">
        <v>64</v>
      </c>
      <c r="CI250" s="1147">
        <v>52</v>
      </c>
      <c r="CJ250" s="1147">
        <v>92</v>
      </c>
      <c r="CK250" s="1147">
        <v>92</v>
      </c>
      <c r="CL250" s="1808">
        <v>114</v>
      </c>
    </row>
    <row r="251" spans="1:90" ht="12" customHeight="1" outlineLevel="1">
      <c r="A251" s="1101" t="s">
        <v>778</v>
      </c>
      <c r="B251" s="949"/>
      <c r="C251" s="949"/>
      <c r="D251" s="949"/>
      <c r="E251" s="949"/>
      <c r="F251" s="949"/>
      <c r="G251" s="949"/>
      <c r="H251" s="949"/>
      <c r="I251" s="949"/>
      <c r="J251" s="949"/>
      <c r="K251" s="949"/>
      <c r="L251" s="949"/>
      <c r="M251" s="949"/>
      <c r="N251" s="949"/>
      <c r="O251" s="949"/>
      <c r="P251" s="1155"/>
      <c r="Q251" s="1155"/>
      <c r="R251" s="1785"/>
      <c r="S251" s="1155"/>
      <c r="T251" s="949"/>
      <c r="U251" s="949"/>
      <c r="V251" s="949"/>
      <c r="W251" s="949"/>
      <c r="X251" s="949"/>
      <c r="Y251" s="949"/>
      <c r="Z251" s="949"/>
      <c r="AA251" s="949"/>
      <c r="AB251" s="949"/>
      <c r="AC251" s="949"/>
      <c r="AD251" s="949"/>
      <c r="AE251" s="949"/>
      <c r="AF251" s="949"/>
      <c r="AG251" s="949"/>
      <c r="AH251" s="949"/>
      <c r="AI251" s="949"/>
      <c r="AJ251" s="949"/>
      <c r="AK251" s="949"/>
      <c r="AL251" s="949"/>
      <c r="AM251" s="949"/>
      <c r="AN251" s="949"/>
      <c r="AO251" s="949"/>
      <c r="AP251" s="949"/>
      <c r="AQ251" s="949"/>
      <c r="AR251" s="949"/>
      <c r="AS251" s="949"/>
      <c r="AT251" s="949"/>
      <c r="AU251" s="949"/>
      <c r="AV251" s="949"/>
      <c r="AW251" s="949"/>
      <c r="AX251" s="949"/>
      <c r="AY251" s="949"/>
      <c r="AZ251" s="949"/>
      <c r="BA251" s="949"/>
      <c r="BB251" s="949"/>
      <c r="BC251" s="949"/>
      <c r="BD251" s="949"/>
      <c r="BE251" s="949"/>
      <c r="BF251" s="949"/>
      <c r="BG251" s="949"/>
      <c r="BH251" s="949"/>
      <c r="BI251" s="949"/>
      <c r="BJ251" s="949"/>
      <c r="BK251" s="949"/>
      <c r="BL251" s="949"/>
      <c r="BM251" s="949"/>
      <c r="BN251" s="949"/>
      <c r="BO251" s="949"/>
      <c r="BP251" s="949"/>
      <c r="BQ251" s="949"/>
      <c r="BR251" s="949"/>
      <c r="BS251" s="949"/>
      <c r="BT251" s="949"/>
      <c r="BU251" s="949"/>
      <c r="BV251" s="949"/>
      <c r="BW251" s="949"/>
      <c r="BX251" s="949"/>
      <c r="BY251" s="949"/>
      <c r="BZ251" s="1147"/>
      <c r="CA251" s="1147"/>
      <c r="CB251" s="1147"/>
      <c r="CC251" s="1147"/>
      <c r="CD251" s="1149"/>
      <c r="CE251" s="1147"/>
      <c r="CF251" s="1147"/>
      <c r="CG251" s="1147"/>
      <c r="CH251" s="1156"/>
      <c r="CI251" s="1157"/>
      <c r="CJ251" s="1157"/>
      <c r="CK251" s="1157"/>
      <c r="CL251" s="1156"/>
    </row>
    <row r="252" spans="1:90" outlineLevel="1">
      <c r="A252" s="1101" t="s">
        <v>779</v>
      </c>
      <c r="B252" s="949"/>
      <c r="C252" s="949"/>
      <c r="D252" s="949"/>
      <c r="E252" s="949"/>
      <c r="F252" s="949"/>
      <c r="G252" s="949"/>
      <c r="H252" s="949"/>
      <c r="I252" s="949"/>
      <c r="J252" s="949"/>
      <c r="K252" s="949"/>
      <c r="L252" s="949"/>
      <c r="M252" s="949"/>
      <c r="N252" s="949"/>
      <c r="O252" s="949"/>
      <c r="P252" s="1155"/>
      <c r="Q252" s="1155"/>
      <c r="R252" s="1785"/>
      <c r="S252" s="1155"/>
      <c r="T252" s="949"/>
      <c r="U252" s="949"/>
      <c r="V252" s="949"/>
      <c r="W252" s="949"/>
      <c r="X252" s="949"/>
      <c r="Y252" s="949"/>
      <c r="Z252" s="949"/>
      <c r="AA252" s="949"/>
      <c r="AB252" s="949"/>
      <c r="AC252" s="949"/>
      <c r="AD252" s="949"/>
      <c r="AE252" s="949"/>
      <c r="AF252" s="949"/>
      <c r="AG252" s="949"/>
      <c r="AH252" s="949"/>
      <c r="AI252" s="949"/>
      <c r="AJ252" s="949"/>
      <c r="AK252" s="949"/>
      <c r="AL252" s="949"/>
      <c r="AM252" s="949"/>
      <c r="AN252" s="949"/>
      <c r="AO252" s="949"/>
      <c r="AP252" s="949"/>
      <c r="AQ252" s="949"/>
      <c r="AR252" s="949"/>
      <c r="AS252" s="949"/>
      <c r="AT252" s="949"/>
      <c r="AU252" s="949"/>
      <c r="AV252" s="949"/>
      <c r="AW252" s="949"/>
      <c r="AX252" s="949"/>
      <c r="AY252" s="949"/>
      <c r="AZ252" s="949"/>
      <c r="BA252" s="949"/>
      <c r="BB252" s="949"/>
      <c r="BC252" s="949"/>
      <c r="BD252" s="949"/>
      <c r="BE252" s="949"/>
      <c r="BF252" s="949"/>
      <c r="BG252" s="949"/>
      <c r="BH252" s="949"/>
      <c r="BI252" s="949"/>
      <c r="BJ252" s="949"/>
      <c r="BK252" s="949"/>
      <c r="BL252" s="949"/>
      <c r="BM252" s="949"/>
      <c r="BN252" s="949"/>
      <c r="BO252" s="949"/>
      <c r="BP252" s="949"/>
      <c r="BQ252" s="949"/>
      <c r="BR252" s="949"/>
      <c r="BS252" s="949"/>
      <c r="BT252" s="949"/>
      <c r="BU252" s="949"/>
      <c r="BV252" s="949"/>
      <c r="BW252" s="949"/>
      <c r="BX252" s="949"/>
      <c r="BY252" s="949"/>
      <c r="BZ252" s="1147"/>
      <c r="CA252" s="1147"/>
      <c r="CB252" s="1147"/>
      <c r="CC252" s="1147"/>
      <c r="CD252" s="1149"/>
      <c r="CE252" s="1147"/>
      <c r="CF252" s="1147"/>
      <c r="CG252" s="1147"/>
      <c r="CH252" s="1156"/>
      <c r="CI252" s="1157"/>
      <c r="CJ252" s="1157"/>
      <c r="CK252" s="1157"/>
      <c r="CL252" s="1156"/>
    </row>
    <row r="253" spans="1:90" outlineLevel="1">
      <c r="A253" s="1101" t="s">
        <v>780</v>
      </c>
      <c r="B253" s="949"/>
      <c r="C253" s="949"/>
      <c r="D253" s="949"/>
      <c r="E253" s="949"/>
      <c r="F253" s="949"/>
      <c r="G253" s="949"/>
      <c r="H253" s="949"/>
      <c r="I253" s="949"/>
      <c r="J253" s="949"/>
      <c r="K253" s="949"/>
      <c r="L253" s="949"/>
      <c r="M253" s="949"/>
      <c r="N253" s="949"/>
      <c r="O253" s="949"/>
      <c r="P253" s="1155"/>
      <c r="Q253" s="1155"/>
      <c r="R253" s="1785"/>
      <c r="S253" s="1155"/>
      <c r="T253" s="949"/>
      <c r="U253" s="949"/>
      <c r="V253" s="949"/>
      <c r="W253" s="949"/>
      <c r="X253" s="949"/>
      <c r="Y253" s="949"/>
      <c r="Z253" s="949"/>
      <c r="AA253" s="949"/>
      <c r="AB253" s="949"/>
      <c r="AC253" s="949"/>
      <c r="AD253" s="949"/>
      <c r="AE253" s="949"/>
      <c r="AF253" s="949"/>
      <c r="AG253" s="949"/>
      <c r="AH253" s="949"/>
      <c r="AI253" s="949"/>
      <c r="AJ253" s="949"/>
      <c r="AK253" s="949"/>
      <c r="AL253" s="949"/>
      <c r="AM253" s="949"/>
      <c r="AN253" s="949"/>
      <c r="AO253" s="949"/>
      <c r="AP253" s="949"/>
      <c r="AQ253" s="949"/>
      <c r="AR253" s="949"/>
      <c r="AS253" s="949"/>
      <c r="AT253" s="949"/>
      <c r="AU253" s="949"/>
      <c r="AV253" s="949"/>
      <c r="AW253" s="949"/>
      <c r="AX253" s="949"/>
      <c r="AY253" s="949"/>
      <c r="AZ253" s="949"/>
      <c r="BA253" s="949"/>
      <c r="BB253" s="949"/>
      <c r="BC253" s="949"/>
      <c r="BD253" s="949"/>
      <c r="BE253" s="949"/>
      <c r="BF253" s="949"/>
      <c r="BG253" s="949"/>
      <c r="BH253" s="949"/>
      <c r="BI253" s="949"/>
      <c r="BJ253" s="949"/>
      <c r="BK253" s="949"/>
      <c r="BL253" s="949"/>
      <c r="BM253" s="949"/>
      <c r="BN253" s="949"/>
      <c r="BO253" s="949"/>
      <c r="BP253" s="949"/>
      <c r="BQ253" s="949"/>
      <c r="BR253" s="949"/>
      <c r="BS253" s="949"/>
      <c r="BT253" s="949"/>
      <c r="BU253" s="949"/>
      <c r="BV253" s="949"/>
      <c r="BW253" s="949"/>
      <c r="BX253" s="949"/>
      <c r="BY253" s="949"/>
      <c r="BZ253" s="1147"/>
      <c r="CA253" s="1147"/>
      <c r="CB253" s="1147"/>
      <c r="CC253" s="1147"/>
      <c r="CD253" s="1149"/>
      <c r="CE253" s="1147"/>
      <c r="CF253" s="1147"/>
      <c r="CG253" s="1147"/>
      <c r="CH253" s="1156"/>
      <c r="CI253" s="1157"/>
      <c r="CJ253" s="1157"/>
      <c r="CK253" s="1157"/>
      <c r="CL253" s="1156"/>
    </row>
    <row r="254" spans="1:90">
      <c r="A254" s="949" t="s">
        <v>130</v>
      </c>
      <c r="B254" s="949"/>
      <c r="C254" s="949"/>
      <c r="D254" s="949"/>
      <c r="E254" s="949"/>
      <c r="F254" s="949"/>
      <c r="G254" s="949"/>
      <c r="H254" s="949"/>
      <c r="I254" s="949"/>
      <c r="J254" s="949"/>
      <c r="K254" s="949"/>
      <c r="L254" s="949"/>
      <c r="M254" s="949"/>
      <c r="N254" s="949"/>
      <c r="O254" s="949"/>
      <c r="P254" s="949"/>
      <c r="Q254" s="1152">
        <f>+Q250/P250-1</f>
        <v>0.99285714285714288</v>
      </c>
      <c r="R254" s="1784">
        <f>+R250/Q250-1</f>
        <v>7.5268817204301008E-2</v>
      </c>
      <c r="S254" s="1152">
        <f>+S250/R250-1</f>
        <v>-3.3966666666666665</v>
      </c>
      <c r="T254" s="949"/>
      <c r="U254" s="949"/>
      <c r="V254" s="949"/>
      <c r="W254" s="949"/>
      <c r="X254" s="949"/>
      <c r="Y254" s="949"/>
      <c r="Z254" s="949"/>
      <c r="AA254" s="949"/>
      <c r="AB254" s="949"/>
      <c r="AC254" s="949"/>
      <c r="AD254" s="949"/>
      <c r="AE254" s="949"/>
      <c r="AF254" s="949"/>
      <c r="AG254" s="949"/>
      <c r="AH254" s="949"/>
      <c r="AI254" s="949"/>
      <c r="AJ254" s="949"/>
      <c r="AK254" s="949"/>
      <c r="AL254" s="949"/>
      <c r="AM254" s="949"/>
      <c r="AN254" s="949"/>
      <c r="AO254" s="949"/>
      <c r="AP254" s="949"/>
      <c r="AQ254" s="949"/>
      <c r="AR254" s="949"/>
      <c r="AS254" s="949"/>
      <c r="AT254" s="949"/>
      <c r="AU254" s="949"/>
      <c r="AV254" s="949"/>
      <c r="AW254" s="949"/>
      <c r="AX254" s="949"/>
      <c r="AY254" s="949"/>
      <c r="AZ254" s="949"/>
      <c r="BA254" s="949"/>
      <c r="BB254" s="949"/>
      <c r="BC254" s="949"/>
      <c r="BD254" s="949"/>
      <c r="BE254" s="949"/>
      <c r="BF254" s="949"/>
      <c r="BG254" s="949"/>
      <c r="BH254" s="949"/>
      <c r="BI254" s="949"/>
      <c r="BJ254" s="949"/>
      <c r="BK254" s="949"/>
      <c r="BL254" s="949"/>
      <c r="BM254" s="949"/>
      <c r="BN254" s="949"/>
      <c r="BO254" s="949"/>
      <c r="BP254" s="949"/>
      <c r="BQ254" s="949"/>
      <c r="BR254" s="949"/>
      <c r="BS254" s="949"/>
      <c r="BT254" s="949"/>
      <c r="BU254" s="949"/>
      <c r="BV254" s="949"/>
      <c r="BW254" s="949"/>
      <c r="BX254" s="949"/>
      <c r="BY254" s="949"/>
      <c r="BZ254" s="949"/>
      <c r="CA254" s="949"/>
      <c r="CB254" s="949"/>
      <c r="CC254" s="949"/>
      <c r="CD254" s="1153">
        <f t="shared" ref="CD254:CI254" si="268">+CD250/BZ250-1</f>
        <v>3.8461538461538458</v>
      </c>
      <c r="CE254" s="1152">
        <f t="shared" si="268"/>
        <v>2.4210526315789473</v>
      </c>
      <c r="CF254" s="1152">
        <f t="shared" si="268"/>
        <v>0.77499999999999991</v>
      </c>
      <c r="CG254" s="1152">
        <f t="shared" si="268"/>
        <v>0.31147540983606548</v>
      </c>
      <c r="CH254" s="1153">
        <f t="shared" si="268"/>
        <v>1.5873015873015817E-2</v>
      </c>
      <c r="CI254" s="1152">
        <f t="shared" si="268"/>
        <v>-0.19999999999999996</v>
      </c>
      <c r="CJ254" s="1152">
        <f>+CJ250/CF250-1</f>
        <v>0.29577464788732399</v>
      </c>
      <c r="CK254" s="1152">
        <f>+CK250/CG250-1</f>
        <v>0.14999999999999991</v>
      </c>
      <c r="CL254" s="1153">
        <f>+CL250/CH250-1</f>
        <v>0.78125</v>
      </c>
    </row>
    <row r="255" spans="1:90">
      <c r="A255" s="949"/>
      <c r="B255" s="949"/>
      <c r="C255" s="949"/>
      <c r="D255" s="949"/>
      <c r="E255" s="949"/>
      <c r="F255" s="949"/>
      <c r="G255" s="949"/>
      <c r="H255" s="949"/>
      <c r="I255" s="949"/>
      <c r="J255" s="949"/>
      <c r="K255" s="949"/>
      <c r="L255" s="949"/>
      <c r="M255" s="949"/>
      <c r="N255" s="949"/>
      <c r="O255" s="949"/>
      <c r="P255" s="949"/>
      <c r="Q255" s="949"/>
      <c r="R255" s="1161"/>
      <c r="S255" s="949"/>
      <c r="T255" s="949"/>
      <c r="U255" s="949"/>
      <c r="V255" s="949"/>
      <c r="W255" s="949"/>
      <c r="X255" s="949"/>
      <c r="Y255" s="949"/>
      <c r="Z255" s="949"/>
      <c r="AA255" s="949"/>
      <c r="AB255" s="949"/>
      <c r="AC255" s="949"/>
      <c r="AD255" s="949"/>
      <c r="AE255" s="949"/>
      <c r="AF255" s="949"/>
      <c r="AG255" s="949"/>
      <c r="AH255" s="949"/>
      <c r="AI255" s="949"/>
      <c r="AJ255" s="949"/>
      <c r="AK255" s="949"/>
      <c r="AL255" s="949"/>
      <c r="AM255" s="949"/>
      <c r="AN255" s="949"/>
      <c r="AO255" s="949"/>
      <c r="AP255" s="949"/>
      <c r="AQ255" s="949"/>
      <c r="AR255" s="949"/>
      <c r="AS255" s="949"/>
      <c r="AT255" s="949"/>
      <c r="AU255" s="949"/>
      <c r="AV255" s="949"/>
      <c r="AW255" s="949"/>
      <c r="AX255" s="949"/>
      <c r="AY255" s="949"/>
      <c r="AZ255" s="949"/>
      <c r="BA255" s="949"/>
      <c r="BB255" s="949"/>
      <c r="BC255" s="949"/>
      <c r="BD255" s="949"/>
      <c r="BE255" s="949"/>
      <c r="BF255" s="949"/>
      <c r="BG255" s="949"/>
      <c r="BH255" s="949"/>
      <c r="BI255" s="949"/>
      <c r="BJ255" s="949"/>
      <c r="BK255" s="949"/>
      <c r="BL255" s="949"/>
      <c r="BM255" s="949"/>
      <c r="BN255" s="949"/>
      <c r="BO255" s="949"/>
      <c r="BP255" s="949"/>
      <c r="BQ255" s="949"/>
      <c r="BR255" s="949"/>
      <c r="BS255" s="949"/>
      <c r="BT255" s="949"/>
      <c r="BU255" s="949"/>
      <c r="BV255" s="949"/>
      <c r="BW255" s="949"/>
      <c r="BX255" s="949"/>
      <c r="BY255" s="949"/>
      <c r="BZ255" s="949"/>
      <c r="CA255" s="949"/>
      <c r="CB255" s="1152"/>
      <c r="CC255" s="1152"/>
      <c r="CD255" s="1153"/>
      <c r="CE255" s="1152"/>
      <c r="CF255" s="1152"/>
      <c r="CG255" s="1152"/>
      <c r="CH255" s="1153"/>
      <c r="CI255" s="1152"/>
      <c r="CJ255" s="946"/>
      <c r="CK255" s="946"/>
      <c r="CL255" s="1072"/>
    </row>
    <row r="256" spans="1:90">
      <c r="A256" s="1144" t="s">
        <v>132</v>
      </c>
      <c r="B256" s="949"/>
      <c r="C256" s="949"/>
      <c r="D256" s="949"/>
      <c r="E256" s="949"/>
      <c r="F256" s="949"/>
      <c r="G256" s="949"/>
      <c r="H256" s="949"/>
      <c r="I256" s="949"/>
      <c r="J256" s="949"/>
      <c r="K256" s="949"/>
      <c r="L256" s="949"/>
      <c r="M256" s="949"/>
      <c r="N256" s="949"/>
      <c r="O256" s="949"/>
      <c r="P256" s="1145">
        <f>+BZ256</f>
        <v>13200</v>
      </c>
      <c r="Q256" s="1145">
        <f>+P256</f>
        <v>13200</v>
      </c>
      <c r="R256" s="1162">
        <f>+Q256</f>
        <v>13200</v>
      </c>
      <c r="S256" s="1145">
        <f>+R256</f>
        <v>13200</v>
      </c>
      <c r="T256" s="949"/>
      <c r="U256" s="949"/>
      <c r="V256" s="949"/>
      <c r="W256" s="949"/>
      <c r="X256" s="949"/>
      <c r="Y256" s="949"/>
      <c r="Z256" s="949"/>
      <c r="AA256" s="949"/>
      <c r="AB256" s="949"/>
      <c r="AC256" s="949"/>
      <c r="AD256" s="949"/>
      <c r="AE256" s="949"/>
      <c r="AF256" s="949"/>
      <c r="AG256" s="949"/>
      <c r="AH256" s="949"/>
      <c r="AI256" s="949"/>
      <c r="AJ256" s="949"/>
      <c r="AK256" s="949"/>
      <c r="AL256" s="949"/>
      <c r="AM256" s="949"/>
      <c r="AN256" s="949"/>
      <c r="AO256" s="949"/>
      <c r="AP256" s="949"/>
      <c r="AQ256" s="949"/>
      <c r="AR256" s="949"/>
      <c r="AS256" s="949"/>
      <c r="AT256" s="949"/>
      <c r="AU256" s="949"/>
      <c r="AV256" s="949"/>
      <c r="AW256" s="949"/>
      <c r="AX256" s="949"/>
      <c r="AY256" s="949"/>
      <c r="AZ256" s="949"/>
      <c r="BA256" s="949"/>
      <c r="BB256" s="949"/>
      <c r="BC256" s="949"/>
      <c r="BD256" s="949"/>
      <c r="BE256" s="949"/>
      <c r="BF256" s="949"/>
      <c r="BG256" s="949"/>
      <c r="BH256" s="949"/>
      <c r="BI256" s="949"/>
      <c r="BJ256" s="949"/>
      <c r="BK256" s="949"/>
      <c r="BL256" s="949"/>
      <c r="BM256" s="949"/>
      <c r="BN256" s="949"/>
      <c r="BO256" s="949"/>
      <c r="BP256" s="949"/>
      <c r="BQ256" s="949"/>
      <c r="BR256" s="949"/>
      <c r="BS256" s="949"/>
      <c r="BT256" s="949"/>
      <c r="BU256" s="949"/>
      <c r="BV256" s="949"/>
      <c r="BW256" s="949"/>
      <c r="BX256" s="949"/>
      <c r="BY256" s="949"/>
      <c r="BZ256" s="1154">
        <v>13200</v>
      </c>
      <c r="CA256" s="1145">
        <f>+BZ256</f>
        <v>13200</v>
      </c>
      <c r="CB256" s="1145">
        <f t="shared" ref="CB256:CI256" si="269">+CA256</f>
        <v>13200</v>
      </c>
      <c r="CC256" s="1145">
        <f t="shared" si="269"/>
        <v>13200</v>
      </c>
      <c r="CD256" s="1158">
        <f t="shared" si="269"/>
        <v>13200</v>
      </c>
      <c r="CE256" s="1145">
        <f t="shared" si="269"/>
        <v>13200</v>
      </c>
      <c r="CF256" s="1145">
        <f t="shared" si="269"/>
        <v>13200</v>
      </c>
      <c r="CG256" s="1145">
        <f t="shared" si="269"/>
        <v>13200</v>
      </c>
      <c r="CH256" s="1158">
        <f t="shared" si="269"/>
        <v>13200</v>
      </c>
      <c r="CI256" s="1145">
        <f t="shared" si="269"/>
        <v>13200</v>
      </c>
      <c r="CJ256" s="1145">
        <f>+CI256</f>
        <v>13200</v>
      </c>
      <c r="CK256" s="1145">
        <f>+CJ256</f>
        <v>13200</v>
      </c>
      <c r="CL256" s="1158">
        <f>+CK256</f>
        <v>13200</v>
      </c>
    </row>
    <row r="257" spans="1:90">
      <c r="A257" s="1150" t="s">
        <v>133</v>
      </c>
      <c r="B257" s="949"/>
      <c r="C257" s="949"/>
      <c r="D257" s="949"/>
      <c r="E257" s="949"/>
      <c r="F257" s="949"/>
      <c r="G257" s="949"/>
      <c r="H257" s="949"/>
      <c r="I257" s="949"/>
      <c r="J257" s="949"/>
      <c r="K257" s="949"/>
      <c r="L257" s="949"/>
      <c r="M257" s="949"/>
      <c r="N257" s="949"/>
      <c r="O257" s="949"/>
      <c r="P257" s="949"/>
      <c r="Q257" s="945">
        <f>+Q246/Q256</f>
        <v>0.26515151515151514</v>
      </c>
      <c r="R257" s="1786">
        <f>+R246/R256</f>
        <v>0.35606060606060608</v>
      </c>
      <c r="S257" s="945">
        <f>+S246/S256</f>
        <v>0</v>
      </c>
      <c r="T257" s="949"/>
      <c r="U257" s="949"/>
      <c r="V257" s="949"/>
      <c r="W257" s="949"/>
      <c r="X257" s="949"/>
      <c r="Y257" s="949"/>
      <c r="Z257" s="949"/>
      <c r="AA257" s="949"/>
      <c r="AB257" s="949"/>
      <c r="AC257" s="949"/>
      <c r="AD257" s="949"/>
      <c r="AE257" s="949"/>
      <c r="AF257" s="949"/>
      <c r="AG257" s="949"/>
      <c r="AH257" s="949"/>
      <c r="AI257" s="949"/>
      <c r="AJ257" s="949"/>
      <c r="AK257" s="949"/>
      <c r="AL257" s="949"/>
      <c r="AM257" s="949"/>
      <c r="AN257" s="949"/>
      <c r="AO257" s="949"/>
      <c r="AP257" s="949"/>
      <c r="AQ257" s="949"/>
      <c r="AR257" s="949"/>
      <c r="AS257" s="949"/>
      <c r="AT257" s="949"/>
      <c r="AU257" s="949"/>
      <c r="AV257" s="949"/>
      <c r="AW257" s="949"/>
      <c r="AX257" s="949"/>
      <c r="AY257" s="949"/>
      <c r="AZ257" s="949"/>
      <c r="BA257" s="949"/>
      <c r="BB257" s="949"/>
      <c r="BC257" s="949"/>
      <c r="BD257" s="949"/>
      <c r="BE257" s="949"/>
      <c r="BF257" s="949"/>
      <c r="BG257" s="949"/>
      <c r="BH257" s="949"/>
      <c r="BI257" s="949"/>
      <c r="BJ257" s="949"/>
      <c r="BK257" s="949"/>
      <c r="BL257" s="949"/>
      <c r="BM257" s="949"/>
      <c r="BN257" s="949"/>
      <c r="BO257" s="949"/>
      <c r="BP257" s="949"/>
      <c r="BQ257" s="949"/>
      <c r="BR257" s="949"/>
      <c r="BS257" s="949"/>
      <c r="BT257" s="949"/>
      <c r="BU257" s="949"/>
      <c r="BV257" s="949"/>
      <c r="BW257" s="949"/>
      <c r="BX257" s="949"/>
      <c r="BY257" s="949"/>
      <c r="BZ257" s="949"/>
      <c r="CA257" s="945">
        <f t="shared" ref="CA257:CH257" si="270">+CA246/CA256</f>
        <v>7.575757575757576E-2</v>
      </c>
      <c r="CB257" s="945">
        <f t="shared" si="270"/>
        <v>0.11363636363636363</v>
      </c>
      <c r="CC257" s="945">
        <f t="shared" si="270"/>
        <v>0.14393939393939395</v>
      </c>
      <c r="CD257" s="1159">
        <f t="shared" si="270"/>
        <v>0.16856060606060605</v>
      </c>
      <c r="CE257" s="945">
        <f t="shared" si="270"/>
        <v>0.19696969696969696</v>
      </c>
      <c r="CF257" s="945">
        <f t="shared" si="270"/>
        <v>0.22727272727272727</v>
      </c>
      <c r="CG257" s="945">
        <f t="shared" si="270"/>
        <v>0.26515151515151514</v>
      </c>
      <c r="CH257" s="1159">
        <f t="shared" si="270"/>
        <v>0.2878787878787879</v>
      </c>
      <c r="CI257" s="945">
        <f>+CI246/CI256</f>
        <v>0.30303030303030304</v>
      </c>
      <c r="CJ257" s="945">
        <f>+CJ246/CJ256</f>
        <v>0.34090909090909088</v>
      </c>
      <c r="CK257" s="945">
        <f>+CK246/CK256</f>
        <v>0.35606060606060608</v>
      </c>
      <c r="CL257" s="1159">
        <f>+CL246/CL256</f>
        <v>0.37121212121212122</v>
      </c>
    </row>
    <row r="258" spans="1:90">
      <c r="A258" s="1150" t="s">
        <v>134</v>
      </c>
      <c r="B258" s="949"/>
      <c r="C258" s="949"/>
      <c r="D258" s="949"/>
      <c r="E258" s="949"/>
      <c r="F258" s="949"/>
      <c r="G258" s="949"/>
      <c r="H258" s="949"/>
      <c r="I258" s="949"/>
      <c r="J258" s="949"/>
      <c r="K258" s="949"/>
      <c r="L258" s="949"/>
      <c r="M258" s="949"/>
      <c r="N258" s="949"/>
      <c r="O258" s="949"/>
      <c r="P258" s="949"/>
      <c r="Q258" s="945">
        <f>+Q248/Q151</f>
        <v>0.14900426742532005</v>
      </c>
      <c r="R258" s="1786">
        <f>+R248/R151</f>
        <v>0.24631723192874272</v>
      </c>
      <c r="S258" s="945"/>
      <c r="T258" s="949"/>
      <c r="U258" s="949"/>
      <c r="V258" s="949"/>
      <c r="W258" s="949"/>
      <c r="X258" s="949"/>
      <c r="Y258" s="949"/>
      <c r="Z258" s="949"/>
      <c r="AA258" s="949"/>
      <c r="AB258" s="949"/>
      <c r="AC258" s="949"/>
      <c r="AD258" s="949"/>
      <c r="AE258" s="949"/>
      <c r="AF258" s="949"/>
      <c r="AG258" s="949"/>
      <c r="AH258" s="949"/>
      <c r="AI258" s="949"/>
      <c r="AJ258" s="949"/>
      <c r="AK258" s="949"/>
      <c r="AL258" s="949"/>
      <c r="AM258" s="949"/>
      <c r="AN258" s="949"/>
      <c r="AO258" s="949"/>
      <c r="AP258" s="949"/>
      <c r="AQ258" s="949"/>
      <c r="AR258" s="949"/>
      <c r="AS258" s="949"/>
      <c r="AT258" s="949"/>
      <c r="AU258" s="949"/>
      <c r="AV258" s="949"/>
      <c r="AW258" s="949"/>
      <c r="AX258" s="949"/>
      <c r="AY258" s="949"/>
      <c r="AZ258" s="949"/>
      <c r="BA258" s="949"/>
      <c r="BB258" s="949"/>
      <c r="BC258" s="949"/>
      <c r="BD258" s="949"/>
      <c r="BE258" s="949"/>
      <c r="BF258" s="949"/>
      <c r="BG258" s="949"/>
      <c r="BH258" s="949"/>
      <c r="BI258" s="949"/>
      <c r="BJ258" s="949"/>
      <c r="BK258" s="949"/>
      <c r="BL258" s="949"/>
      <c r="BM258" s="949"/>
      <c r="BN258" s="949"/>
      <c r="BO258" s="949"/>
      <c r="BP258" s="949"/>
      <c r="BQ258" s="949"/>
      <c r="BR258" s="949"/>
      <c r="BS258" s="949"/>
      <c r="BT258" s="949"/>
      <c r="BU258" s="949"/>
      <c r="BV258" s="949"/>
      <c r="BW258" s="949"/>
      <c r="BX258" s="949"/>
      <c r="BY258" s="949"/>
      <c r="BZ258" s="945">
        <f t="shared" ref="BZ258:CH258" si="271">+BZ248/BZ151</f>
        <v>7.9522862823061622E-3</v>
      </c>
      <c r="CA258" s="945">
        <f t="shared" si="271"/>
        <v>1.5270164447924823E-2</v>
      </c>
      <c r="CB258" s="945">
        <f t="shared" si="271"/>
        <v>3.0396306271642939E-2</v>
      </c>
      <c r="CC258" s="945">
        <f t="shared" si="271"/>
        <v>5.2790346907993967E-2</v>
      </c>
      <c r="CD258" s="1159">
        <f t="shared" si="271"/>
        <v>7.4963072378138845E-2</v>
      </c>
      <c r="CE258" s="945">
        <f t="shared" si="271"/>
        <v>9.7774534841298791E-2</v>
      </c>
      <c r="CF258" s="945">
        <f t="shared" si="271"/>
        <v>0.12238267148014441</v>
      </c>
      <c r="CG258" s="945">
        <f t="shared" si="271"/>
        <v>0.14900426742532005</v>
      </c>
      <c r="CH258" s="1159">
        <f t="shared" si="271"/>
        <v>0.16905845292264612</v>
      </c>
      <c r="CI258" s="945">
        <f>+CI248/CI151</f>
        <v>0.18712836656173487</v>
      </c>
      <c r="CJ258" s="945">
        <f>+CJ248/CJ151</f>
        <v>0.21628147637116246</v>
      </c>
      <c r="CK258" s="945">
        <f>+CK248/CK151</f>
        <v>0.24631723192874272</v>
      </c>
      <c r="CL258" s="1159">
        <f>+CL248/CL151</f>
        <v>0.28094435075885327</v>
      </c>
    </row>
    <row r="259" spans="1:90">
      <c r="A259" s="1150"/>
      <c r="B259" s="949"/>
      <c r="C259" s="949"/>
      <c r="D259" s="949"/>
      <c r="E259" s="949"/>
      <c r="F259" s="949"/>
      <c r="G259" s="949"/>
      <c r="H259" s="949"/>
      <c r="I259" s="949"/>
      <c r="J259" s="949"/>
      <c r="K259" s="949"/>
      <c r="L259" s="949"/>
      <c r="M259" s="949"/>
      <c r="N259" s="949"/>
      <c r="O259" s="949"/>
      <c r="P259" s="949"/>
      <c r="Q259" s="949"/>
      <c r="R259" s="1161"/>
      <c r="S259" s="949"/>
      <c r="T259" s="949"/>
      <c r="U259" s="949"/>
      <c r="V259" s="949"/>
      <c r="W259" s="949"/>
      <c r="X259" s="949"/>
      <c r="Y259" s="949"/>
      <c r="Z259" s="949"/>
      <c r="AA259" s="949"/>
      <c r="AB259" s="949"/>
      <c r="AC259" s="949"/>
      <c r="AD259" s="949"/>
      <c r="AE259" s="949"/>
      <c r="AF259" s="949"/>
      <c r="AG259" s="949"/>
      <c r="AH259" s="949"/>
      <c r="AI259" s="949"/>
      <c r="AJ259" s="949"/>
      <c r="AK259" s="949"/>
      <c r="AL259" s="949"/>
      <c r="AM259" s="949"/>
      <c r="AN259" s="949"/>
      <c r="AO259" s="949"/>
      <c r="AP259" s="949"/>
      <c r="AQ259" s="949"/>
      <c r="AR259" s="949"/>
      <c r="AS259" s="949"/>
      <c r="AT259" s="949"/>
      <c r="AU259" s="949"/>
      <c r="AV259" s="949"/>
      <c r="AW259" s="949"/>
      <c r="AX259" s="949"/>
      <c r="AY259" s="949"/>
      <c r="AZ259" s="949"/>
      <c r="BA259" s="949"/>
      <c r="BB259" s="949"/>
      <c r="BC259" s="949"/>
      <c r="BD259" s="949"/>
      <c r="BE259" s="949"/>
      <c r="BF259" s="949"/>
      <c r="BG259" s="949"/>
      <c r="BH259" s="949"/>
      <c r="BI259" s="949"/>
      <c r="BJ259" s="949"/>
      <c r="BK259" s="949"/>
      <c r="BL259" s="949"/>
      <c r="BM259" s="949"/>
      <c r="BN259" s="949"/>
      <c r="BO259" s="949"/>
      <c r="BP259" s="949"/>
      <c r="BQ259" s="949"/>
      <c r="BR259" s="949"/>
      <c r="BS259" s="949"/>
      <c r="BT259" s="949"/>
      <c r="BU259" s="949"/>
      <c r="BV259" s="949"/>
      <c r="BW259" s="949"/>
      <c r="BX259" s="949"/>
      <c r="BY259" s="949"/>
      <c r="BZ259" s="949"/>
      <c r="CA259" s="945"/>
      <c r="CB259" s="945"/>
      <c r="CC259" s="945"/>
      <c r="CD259" s="1159"/>
      <c r="CE259" s="945"/>
      <c r="CF259" s="945"/>
      <c r="CG259" s="945"/>
      <c r="CH259" s="1159"/>
      <c r="CI259" s="945"/>
      <c r="CJ259" s="946"/>
      <c r="CK259" s="946"/>
      <c r="CL259" s="1072"/>
    </row>
    <row r="260" spans="1:90">
      <c r="A260" s="949" t="s">
        <v>135</v>
      </c>
      <c r="B260" s="949"/>
      <c r="C260" s="949"/>
      <c r="D260" s="949"/>
      <c r="E260" s="949"/>
      <c r="F260" s="949"/>
      <c r="G260" s="949"/>
      <c r="H260" s="949"/>
      <c r="I260" s="949"/>
      <c r="J260" s="949"/>
      <c r="K260" s="949"/>
      <c r="L260" s="949"/>
      <c r="M260" s="949"/>
      <c r="N260" s="949"/>
      <c r="O260" s="949"/>
      <c r="P260" s="949"/>
      <c r="Q260" s="1160">
        <f>+Q153</f>
        <v>160</v>
      </c>
      <c r="R260" s="1787">
        <f>+R153</f>
        <v>107</v>
      </c>
      <c r="S260" s="1160">
        <f>+S153</f>
        <v>-2919</v>
      </c>
      <c r="T260" s="949"/>
      <c r="U260" s="949"/>
      <c r="V260" s="949"/>
      <c r="W260" s="949"/>
      <c r="X260" s="949"/>
      <c r="Y260" s="949"/>
      <c r="Z260" s="949"/>
      <c r="AA260" s="949"/>
      <c r="AB260" s="949"/>
      <c r="AC260" s="949"/>
      <c r="AD260" s="949"/>
      <c r="AE260" s="949"/>
      <c r="AF260" s="949"/>
      <c r="AG260" s="949"/>
      <c r="AH260" s="949"/>
      <c r="AI260" s="949"/>
      <c r="AJ260" s="949"/>
      <c r="AK260" s="949"/>
      <c r="AL260" s="949"/>
      <c r="AM260" s="949"/>
      <c r="AN260" s="949"/>
      <c r="AO260" s="949"/>
      <c r="AP260" s="949"/>
      <c r="AQ260" s="949"/>
      <c r="AR260" s="949"/>
      <c r="AS260" s="949"/>
      <c r="AT260" s="949"/>
      <c r="AU260" s="949"/>
      <c r="AV260" s="949"/>
      <c r="AW260" s="949"/>
      <c r="AX260" s="949"/>
      <c r="AY260" s="949"/>
      <c r="AZ260" s="949"/>
      <c r="BA260" s="949"/>
      <c r="BB260" s="949"/>
      <c r="BC260" s="949"/>
      <c r="BD260" s="949"/>
      <c r="BE260" s="949"/>
      <c r="BF260" s="949"/>
      <c r="BG260" s="949"/>
      <c r="BH260" s="949"/>
      <c r="BI260" s="949"/>
      <c r="BJ260" s="949"/>
      <c r="BK260" s="949"/>
      <c r="BL260" s="949"/>
      <c r="BM260" s="949"/>
      <c r="BN260" s="949"/>
      <c r="BO260" s="949"/>
      <c r="BP260" s="949"/>
      <c r="BQ260" s="949"/>
      <c r="BR260" s="949"/>
      <c r="BS260" s="949"/>
      <c r="BT260" s="949"/>
      <c r="BU260" s="949"/>
      <c r="BV260" s="949"/>
      <c r="BW260" s="949"/>
      <c r="BX260" s="949"/>
      <c r="BY260" s="949"/>
      <c r="BZ260" s="1160">
        <f t="shared" ref="BZ260:CI260" si="272">+BZ153</f>
        <v>102</v>
      </c>
      <c r="CA260" s="1160">
        <f t="shared" si="272"/>
        <v>39</v>
      </c>
      <c r="CB260" s="1160">
        <f t="shared" si="272"/>
        <v>45</v>
      </c>
      <c r="CC260" s="1160">
        <f t="shared" si="272"/>
        <v>53</v>
      </c>
      <c r="CD260" s="1007">
        <f t="shared" si="272"/>
        <v>56</v>
      </c>
      <c r="CE260" s="1160">
        <f t="shared" si="272"/>
        <v>33</v>
      </c>
      <c r="CF260" s="1160">
        <f t="shared" si="272"/>
        <v>29</v>
      </c>
      <c r="CG260" s="1160">
        <f t="shared" si="272"/>
        <v>42</v>
      </c>
      <c r="CH260" s="1007">
        <f t="shared" si="272"/>
        <v>45</v>
      </c>
      <c r="CI260" s="1160">
        <f t="shared" si="272"/>
        <v>2</v>
      </c>
      <c r="CJ260" s="1160">
        <f>+CJ153</f>
        <v>40</v>
      </c>
      <c r="CK260" s="1160">
        <f>+CK153</f>
        <v>20</v>
      </c>
      <c r="CL260" s="1007">
        <f>+CL153</f>
        <v>46</v>
      </c>
    </row>
    <row r="261" spans="1:90">
      <c r="A261" s="1150" t="s">
        <v>136</v>
      </c>
      <c r="B261" s="949"/>
      <c r="C261" s="949"/>
      <c r="D261" s="949"/>
      <c r="E261" s="949"/>
      <c r="F261" s="949"/>
      <c r="G261" s="949"/>
      <c r="H261" s="949"/>
      <c r="I261" s="949"/>
      <c r="J261" s="949"/>
      <c r="K261" s="949"/>
      <c r="L261" s="949"/>
      <c r="M261" s="949"/>
      <c r="N261" s="949"/>
      <c r="O261" s="949"/>
      <c r="P261" s="949"/>
      <c r="Q261" s="1145">
        <f>+Q250</f>
        <v>279</v>
      </c>
      <c r="R261" s="1162">
        <f>+R250</f>
        <v>300</v>
      </c>
      <c r="S261" s="1145">
        <f>+S250</f>
        <v>-719</v>
      </c>
      <c r="T261" s="949"/>
      <c r="U261" s="949"/>
      <c r="V261" s="949"/>
      <c r="W261" s="949"/>
      <c r="X261" s="949"/>
      <c r="Y261" s="949"/>
      <c r="Z261" s="949"/>
      <c r="AA261" s="949"/>
      <c r="AB261" s="949"/>
      <c r="AC261" s="949"/>
      <c r="AD261" s="949"/>
      <c r="AE261" s="949"/>
      <c r="AF261" s="949"/>
      <c r="AG261" s="949"/>
      <c r="AH261" s="949"/>
      <c r="AI261" s="949"/>
      <c r="AJ261" s="949"/>
      <c r="AK261" s="949"/>
      <c r="AL261" s="949"/>
      <c r="AM261" s="949"/>
      <c r="AN261" s="949"/>
      <c r="AO261" s="949"/>
      <c r="AP261" s="949"/>
      <c r="AQ261" s="949"/>
      <c r="AR261" s="949"/>
      <c r="AS261" s="949"/>
      <c r="AT261" s="949"/>
      <c r="AU261" s="949"/>
      <c r="AV261" s="949"/>
      <c r="AW261" s="949"/>
      <c r="AX261" s="949"/>
      <c r="AY261" s="949"/>
      <c r="AZ261" s="949"/>
      <c r="BA261" s="949"/>
      <c r="BB261" s="949"/>
      <c r="BC261" s="949"/>
      <c r="BD261" s="949"/>
      <c r="BE261" s="949"/>
      <c r="BF261" s="949"/>
      <c r="BG261" s="949"/>
      <c r="BH261" s="949"/>
      <c r="BI261" s="949"/>
      <c r="BJ261" s="949"/>
      <c r="BK261" s="949"/>
      <c r="BL261" s="949"/>
      <c r="BM261" s="949"/>
      <c r="BN261" s="949"/>
      <c r="BO261" s="949"/>
      <c r="BP261" s="949"/>
      <c r="BQ261" s="949"/>
      <c r="BR261" s="949"/>
      <c r="BS261" s="949"/>
      <c r="BT261" s="949"/>
      <c r="BU261" s="949"/>
      <c r="BV261" s="949"/>
      <c r="BW261" s="949"/>
      <c r="BX261" s="949"/>
      <c r="BY261" s="949"/>
      <c r="BZ261" s="1145">
        <f t="shared" ref="BZ261:CI261" si="273">+BZ250</f>
        <v>13</v>
      </c>
      <c r="CA261" s="1145">
        <f t="shared" si="273"/>
        <v>19</v>
      </c>
      <c r="CB261" s="1145">
        <f t="shared" si="273"/>
        <v>40</v>
      </c>
      <c r="CC261" s="1145">
        <f t="shared" si="273"/>
        <v>61</v>
      </c>
      <c r="CD261" s="1158">
        <f t="shared" si="273"/>
        <v>63</v>
      </c>
      <c r="CE261" s="1145">
        <f t="shared" si="273"/>
        <v>65</v>
      </c>
      <c r="CF261" s="1145">
        <f t="shared" si="273"/>
        <v>71</v>
      </c>
      <c r="CG261" s="1145">
        <f t="shared" si="273"/>
        <v>80</v>
      </c>
      <c r="CH261" s="1158">
        <f t="shared" si="273"/>
        <v>64</v>
      </c>
      <c r="CI261" s="1145">
        <f t="shared" si="273"/>
        <v>52</v>
      </c>
      <c r="CJ261" s="1145">
        <f>+CJ250</f>
        <v>92</v>
      </c>
      <c r="CK261" s="1145">
        <f>+CK250</f>
        <v>92</v>
      </c>
      <c r="CL261" s="1145">
        <f>+CL250</f>
        <v>114</v>
      </c>
    </row>
    <row r="262" spans="1:90">
      <c r="A262" s="1150" t="s">
        <v>137</v>
      </c>
      <c r="B262" s="949"/>
      <c r="C262" s="949"/>
      <c r="D262" s="949"/>
      <c r="E262" s="949"/>
      <c r="F262" s="949"/>
      <c r="G262" s="949"/>
      <c r="H262" s="949"/>
      <c r="I262" s="949"/>
      <c r="J262" s="949"/>
      <c r="K262" s="949"/>
      <c r="L262" s="949"/>
      <c r="M262" s="949"/>
      <c r="N262" s="949"/>
      <c r="O262" s="949"/>
      <c r="P262" s="949"/>
      <c r="Q262" s="1145">
        <f>+Q260-Q261</f>
        <v>-119</v>
      </c>
      <c r="R262" s="1162">
        <f>+R260-R261</f>
        <v>-193</v>
      </c>
      <c r="S262" s="1145">
        <f>+S260-S261</f>
        <v>-2200</v>
      </c>
      <c r="T262" s="949"/>
      <c r="U262" s="949"/>
      <c r="V262" s="949"/>
      <c r="W262" s="949"/>
      <c r="X262" s="949"/>
      <c r="Y262" s="1161"/>
      <c r="Z262" s="949"/>
      <c r="AA262" s="949"/>
      <c r="AB262" s="949"/>
      <c r="AC262" s="949"/>
      <c r="AD262" s="949"/>
      <c r="AE262" s="949"/>
      <c r="AF262" s="949"/>
      <c r="AG262" s="949"/>
      <c r="AH262" s="949"/>
      <c r="AI262" s="949"/>
      <c r="AJ262" s="949"/>
      <c r="AK262" s="949"/>
      <c r="AL262" s="949"/>
      <c r="AM262" s="949"/>
      <c r="AN262" s="949"/>
      <c r="AO262" s="949"/>
      <c r="AP262" s="949"/>
      <c r="AQ262" s="949"/>
      <c r="AR262" s="949"/>
      <c r="AS262" s="949"/>
      <c r="AT262" s="949"/>
      <c r="AU262" s="949"/>
      <c r="AV262" s="949"/>
      <c r="AW262" s="949"/>
      <c r="AX262" s="949"/>
      <c r="AY262" s="949"/>
      <c r="AZ262" s="949"/>
      <c r="BA262" s="949"/>
      <c r="BB262" s="949"/>
      <c r="BC262" s="949"/>
      <c r="BD262" s="949"/>
      <c r="BE262" s="949"/>
      <c r="BF262" s="949"/>
      <c r="BG262" s="949"/>
      <c r="BH262" s="949"/>
      <c r="BI262" s="949"/>
      <c r="BJ262" s="949"/>
      <c r="BK262" s="949"/>
      <c r="BL262" s="949"/>
      <c r="BM262" s="949"/>
      <c r="BN262" s="949"/>
      <c r="BO262" s="949"/>
      <c r="BP262" s="949"/>
      <c r="BQ262" s="949"/>
      <c r="BR262" s="949"/>
      <c r="BS262" s="949"/>
      <c r="BT262" s="949"/>
      <c r="BU262" s="949"/>
      <c r="BV262" s="949"/>
      <c r="BW262" s="949"/>
      <c r="BX262" s="949"/>
      <c r="BY262" s="949"/>
      <c r="BZ262" s="1145">
        <f t="shared" ref="BZ262:CH262" si="274">+BZ260-BZ261</f>
        <v>89</v>
      </c>
      <c r="CA262" s="1145">
        <f t="shared" si="274"/>
        <v>20</v>
      </c>
      <c r="CB262" s="1145">
        <f t="shared" si="274"/>
        <v>5</v>
      </c>
      <c r="CC262" s="1145">
        <f t="shared" si="274"/>
        <v>-8</v>
      </c>
      <c r="CD262" s="1158">
        <f t="shared" si="274"/>
        <v>-7</v>
      </c>
      <c r="CE262" s="1145">
        <f t="shared" si="274"/>
        <v>-32</v>
      </c>
      <c r="CF262" s="1145">
        <f t="shared" si="274"/>
        <v>-42</v>
      </c>
      <c r="CG262" s="1145">
        <f t="shared" si="274"/>
        <v>-38</v>
      </c>
      <c r="CH262" s="1158">
        <f t="shared" si="274"/>
        <v>-19</v>
      </c>
      <c r="CI262" s="1145">
        <f>+CI260-CI261</f>
        <v>-50</v>
      </c>
      <c r="CJ262" s="1145">
        <f>+CJ260-CJ261</f>
        <v>-52</v>
      </c>
      <c r="CK262" s="1162">
        <f>+CK260-CK261</f>
        <v>-72</v>
      </c>
      <c r="CL262" s="1163">
        <f>+CL260-CL261</f>
        <v>-68</v>
      </c>
    </row>
    <row r="263" spans="1:90" hidden="1" outlineLevel="1">
      <c r="A263" s="1035" t="s">
        <v>778</v>
      </c>
      <c r="B263" s="946"/>
      <c r="C263" s="946"/>
      <c r="D263" s="946"/>
      <c r="E263" s="946"/>
      <c r="F263" s="946"/>
      <c r="G263" s="946"/>
      <c r="H263" s="946"/>
      <c r="I263" s="946"/>
      <c r="J263" s="946"/>
      <c r="K263" s="946"/>
      <c r="L263" s="946"/>
      <c r="M263" s="946"/>
      <c r="N263" s="946"/>
      <c r="O263" s="946"/>
      <c r="P263" s="1164"/>
      <c r="Q263" s="1164"/>
      <c r="R263" s="1788"/>
      <c r="S263" s="1164"/>
      <c r="T263" s="949"/>
      <c r="U263" s="949"/>
      <c r="V263" s="949"/>
      <c r="W263" s="949"/>
      <c r="X263" s="1165"/>
      <c r="Y263" s="1166"/>
      <c r="Z263" s="1164"/>
      <c r="AA263" s="1164"/>
      <c r="AB263" s="1164"/>
      <c r="AC263" s="1164"/>
      <c r="AD263" s="1164"/>
      <c r="AE263" s="1164"/>
      <c r="AF263" s="1164"/>
      <c r="AG263" s="1164"/>
      <c r="AH263" s="1164"/>
      <c r="AI263" s="1164"/>
      <c r="AJ263" s="1164"/>
      <c r="AK263" s="1164"/>
      <c r="AL263" s="1164"/>
      <c r="AM263" s="1164"/>
      <c r="AN263" s="1164"/>
      <c r="AO263" s="1164"/>
      <c r="AP263" s="1164"/>
      <c r="AQ263" s="1164"/>
      <c r="AR263" s="1164"/>
      <c r="AS263" s="1164"/>
      <c r="AT263" s="1164"/>
      <c r="AU263" s="1164"/>
      <c r="AV263" s="1164"/>
      <c r="AW263" s="1164"/>
      <c r="AX263" s="1164"/>
      <c r="AY263" s="1164"/>
      <c r="AZ263" s="1164"/>
      <c r="BA263" s="1164"/>
      <c r="BB263" s="1164"/>
      <c r="BC263" s="1164"/>
      <c r="BD263" s="1164"/>
      <c r="BE263" s="1164"/>
      <c r="BF263" s="1164"/>
      <c r="BG263" s="1164"/>
      <c r="BH263" s="1164"/>
      <c r="BI263" s="1164"/>
      <c r="BJ263" s="1164"/>
      <c r="BK263" s="1164"/>
      <c r="BL263" s="1164"/>
      <c r="BM263" s="1164"/>
      <c r="BN263" s="1164"/>
      <c r="BO263" s="1164"/>
      <c r="BP263" s="1164"/>
      <c r="BQ263" s="1164"/>
      <c r="BR263" s="1164"/>
      <c r="BS263" s="1164"/>
      <c r="BT263" s="1164"/>
      <c r="BU263" s="1164"/>
      <c r="BV263" s="1164"/>
      <c r="BW263" s="1164"/>
      <c r="BX263" s="1164"/>
      <c r="BY263" s="1164"/>
      <c r="BZ263" s="1164"/>
      <c r="CA263" s="1164"/>
      <c r="CB263" s="1164"/>
      <c r="CC263" s="1164"/>
      <c r="CD263" s="1164"/>
      <c r="CE263" s="1164"/>
      <c r="CF263" s="1164"/>
      <c r="CG263" s="1164"/>
      <c r="CH263" s="1164"/>
      <c r="CI263" s="1164"/>
      <c r="CJ263" s="1164"/>
      <c r="CK263" s="1167">
        <f t="shared" ref="CK263:CL265" si="275">CK154-CK251</f>
        <v>0</v>
      </c>
      <c r="CL263" s="1168">
        <f t="shared" si="275"/>
        <v>0</v>
      </c>
    </row>
    <row r="264" spans="1:90" hidden="1" outlineLevel="1">
      <c r="A264" s="1035" t="s">
        <v>779</v>
      </c>
      <c r="B264" s="946"/>
      <c r="C264" s="946"/>
      <c r="D264" s="946"/>
      <c r="E264" s="946"/>
      <c r="F264" s="946"/>
      <c r="G264" s="946"/>
      <c r="H264" s="946"/>
      <c r="I264" s="946"/>
      <c r="J264" s="946"/>
      <c r="K264" s="946"/>
      <c r="L264" s="946"/>
      <c r="M264" s="946"/>
      <c r="N264" s="946"/>
      <c r="O264" s="946"/>
      <c r="P264" s="1164"/>
      <c r="Q264" s="1164"/>
      <c r="R264" s="1788"/>
      <c r="S264" s="1164"/>
      <c r="T264" s="949"/>
      <c r="U264" s="949"/>
      <c r="V264" s="949"/>
      <c r="W264" s="949"/>
      <c r="X264" s="1165"/>
      <c r="Y264" s="1166"/>
      <c r="Z264" s="1164"/>
      <c r="AA264" s="1164"/>
      <c r="AB264" s="1164"/>
      <c r="AC264" s="1164"/>
      <c r="AD264" s="1164"/>
      <c r="AE264" s="1164"/>
      <c r="AF264" s="1164"/>
      <c r="AG264" s="1164"/>
      <c r="AH264" s="1164"/>
      <c r="AI264" s="1164"/>
      <c r="AJ264" s="1164"/>
      <c r="AK264" s="1164"/>
      <c r="AL264" s="1164"/>
      <c r="AM264" s="1164"/>
      <c r="AN264" s="1164"/>
      <c r="AO264" s="1164"/>
      <c r="AP264" s="1164"/>
      <c r="AQ264" s="1164"/>
      <c r="AR264" s="1164"/>
      <c r="AS264" s="1164"/>
      <c r="AT264" s="1164"/>
      <c r="AU264" s="1164"/>
      <c r="AV264" s="1164"/>
      <c r="AW264" s="1164"/>
      <c r="AX264" s="1164"/>
      <c r="AY264" s="1164"/>
      <c r="AZ264" s="1164"/>
      <c r="BA264" s="1164"/>
      <c r="BB264" s="1164"/>
      <c r="BC264" s="1164"/>
      <c r="BD264" s="1164"/>
      <c r="BE264" s="1164"/>
      <c r="BF264" s="1164"/>
      <c r="BG264" s="1164"/>
      <c r="BH264" s="1164"/>
      <c r="BI264" s="1164"/>
      <c r="BJ264" s="1164"/>
      <c r="BK264" s="1164"/>
      <c r="BL264" s="1164"/>
      <c r="BM264" s="1164"/>
      <c r="BN264" s="1164"/>
      <c r="BO264" s="1164"/>
      <c r="BP264" s="1164"/>
      <c r="BQ264" s="1164"/>
      <c r="BR264" s="1164"/>
      <c r="BS264" s="1164"/>
      <c r="BT264" s="1164"/>
      <c r="BU264" s="1164"/>
      <c r="BV264" s="1164"/>
      <c r="BW264" s="1164"/>
      <c r="BX264" s="1164"/>
      <c r="BY264" s="1164"/>
      <c r="BZ264" s="1164"/>
      <c r="CA264" s="1164"/>
      <c r="CB264" s="1164"/>
      <c r="CC264" s="1164"/>
      <c r="CD264" s="1164"/>
      <c r="CE264" s="1164"/>
      <c r="CF264" s="1164"/>
      <c r="CG264" s="1164"/>
      <c r="CH264" s="1164"/>
      <c r="CI264" s="1164"/>
      <c r="CJ264" s="1164"/>
      <c r="CK264" s="1167">
        <f t="shared" si="275"/>
        <v>0</v>
      </c>
      <c r="CL264" s="1168">
        <f t="shared" si="275"/>
        <v>0</v>
      </c>
    </row>
    <row r="265" spans="1:90" hidden="1" outlineLevel="1">
      <c r="A265" s="1035" t="s">
        <v>780</v>
      </c>
      <c r="B265" s="946"/>
      <c r="C265" s="946"/>
      <c r="D265" s="946"/>
      <c r="E265" s="946"/>
      <c r="F265" s="946"/>
      <c r="G265" s="946"/>
      <c r="H265" s="946"/>
      <c r="I265" s="946"/>
      <c r="J265" s="946"/>
      <c r="K265" s="946"/>
      <c r="L265" s="946"/>
      <c r="M265" s="946"/>
      <c r="N265" s="946"/>
      <c r="O265" s="946"/>
      <c r="P265" s="1164"/>
      <c r="Q265" s="1164"/>
      <c r="R265" s="1788"/>
      <c r="S265" s="1164"/>
      <c r="T265" s="949"/>
      <c r="U265" s="949"/>
      <c r="V265" s="949"/>
      <c r="W265" s="949"/>
      <c r="X265" s="1165"/>
      <c r="Y265" s="1166"/>
      <c r="Z265" s="1164"/>
      <c r="AA265" s="1164"/>
      <c r="AB265" s="1164"/>
      <c r="AC265" s="1164"/>
      <c r="AD265" s="1164"/>
      <c r="AE265" s="1164"/>
      <c r="AF265" s="1164"/>
      <c r="AG265" s="1164"/>
      <c r="AH265" s="1164"/>
      <c r="AI265" s="1164"/>
      <c r="AJ265" s="1164"/>
      <c r="AK265" s="1164"/>
      <c r="AL265" s="1164"/>
      <c r="AM265" s="1164"/>
      <c r="AN265" s="1164"/>
      <c r="AO265" s="1164"/>
      <c r="AP265" s="1164"/>
      <c r="AQ265" s="1164"/>
      <c r="AR265" s="1164"/>
      <c r="AS265" s="1164"/>
      <c r="AT265" s="1164"/>
      <c r="AU265" s="1164"/>
      <c r="AV265" s="1164"/>
      <c r="AW265" s="1164"/>
      <c r="AX265" s="1164"/>
      <c r="AY265" s="1164"/>
      <c r="AZ265" s="1164"/>
      <c r="BA265" s="1164"/>
      <c r="BB265" s="1164"/>
      <c r="BC265" s="1164"/>
      <c r="BD265" s="1164"/>
      <c r="BE265" s="1164"/>
      <c r="BF265" s="1164"/>
      <c r="BG265" s="1164"/>
      <c r="BH265" s="1164"/>
      <c r="BI265" s="1164"/>
      <c r="BJ265" s="1164"/>
      <c r="BK265" s="1164"/>
      <c r="BL265" s="1164"/>
      <c r="BM265" s="1164"/>
      <c r="BN265" s="1164"/>
      <c r="BO265" s="1164"/>
      <c r="BP265" s="1164"/>
      <c r="BQ265" s="1164"/>
      <c r="BR265" s="1164"/>
      <c r="BS265" s="1164"/>
      <c r="BT265" s="1164"/>
      <c r="BU265" s="1164"/>
      <c r="BV265" s="1164"/>
      <c r="BW265" s="1164"/>
      <c r="BX265" s="1164"/>
      <c r="BY265" s="1164"/>
      <c r="BZ265" s="1164"/>
      <c r="CA265" s="1164"/>
      <c r="CB265" s="1164"/>
      <c r="CC265" s="1164"/>
      <c r="CD265" s="1164"/>
      <c r="CE265" s="1164"/>
      <c r="CF265" s="1164"/>
      <c r="CG265" s="1164"/>
      <c r="CH265" s="1164"/>
      <c r="CI265" s="1164"/>
      <c r="CJ265" s="1164"/>
      <c r="CK265" s="1167">
        <f t="shared" si="275"/>
        <v>0</v>
      </c>
      <c r="CL265" s="1168">
        <f t="shared" si="275"/>
        <v>0</v>
      </c>
    </row>
    <row r="266" spans="1:90" collapsed="1"/>
  </sheetData>
  <mergeCells count="1">
    <mergeCell ref="N192:O192"/>
  </mergeCells>
  <phoneticPr fontId="83" type="noConversion"/>
  <conditionalFormatting sqref="A104">
    <cfRule type="expression" dxfId="9" priority="1" stopIfTrue="1">
      <formula>$A$129=1</formula>
    </cfRule>
  </conditionalFormatting>
  <conditionalFormatting sqref="A105">
    <cfRule type="expression" dxfId="8" priority="2" stopIfTrue="1">
      <formula>$A$129=2</formula>
    </cfRule>
  </conditionalFormatting>
  <conditionalFormatting sqref="A106">
    <cfRule type="expression" dxfId="7" priority="3" stopIfTrue="1">
      <formula>$A$129=3</formula>
    </cfRule>
  </conditionalFormatting>
  <conditionalFormatting sqref="A107">
    <cfRule type="expression" dxfId="6" priority="4" stopIfTrue="1">
      <formula>$A$129=4</formula>
    </cfRule>
  </conditionalFormatting>
  <conditionalFormatting sqref="A108">
    <cfRule type="expression" dxfId="5" priority="5" stopIfTrue="1">
      <formula>$A$129=5</formula>
    </cfRule>
  </conditionalFormatting>
  <pageMargins left="0.25" right="0.25" top="0.25" bottom="0.25" header="0.5" footer="0.5"/>
  <pageSetup scale="68" orientation="landscape" r:id="rId1"/>
  <headerFooter alignWithMargins="0"/>
  <rowBreaks count="2" manualBreakCount="2">
    <brk id="83" max="88" man="1"/>
    <brk id="166" max="88" man="1"/>
  </rowBreaks>
  <ignoredErrors>
    <ignoredError sqref="R10 O15:O16 O12 O10 R12 O19 O21" formula="1"/>
    <ignoredError sqref="N37:O38 N27:O29 N46:O48 N34:O34 N43:O4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9951" r:id="rId4" name="Drop Down 15">
              <controlPr defaultSize="0" autoLine="0" autoPict="0">
                <anchor moveWithCells="1">
                  <from>
                    <xdr:col>0</xdr:col>
                    <xdr:colOff>57150</xdr:colOff>
                    <xdr:row>3</xdr:row>
                    <xdr:rowOff>9525</xdr:rowOff>
                  </from>
                  <to>
                    <xdr:col>0</xdr:col>
                    <xdr:colOff>1943100</xdr:colOff>
                    <xdr:row>3</xdr:row>
                    <xdr:rowOff>209550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tabColor indexed="56"/>
  </sheetPr>
  <dimension ref="A1:CX87"/>
  <sheetViews>
    <sheetView showGridLines="0" zoomScale="85" zoomScaleNormal="85" workbookViewId="0">
      <pane xSplit="9" ySplit="7" topLeftCell="J22" activePane="bottomRight" state="frozen"/>
      <selection activeCell="Q95" sqref="Q95"/>
      <selection pane="topRight" activeCell="Q95" sqref="Q95"/>
      <selection pane="bottomLeft" activeCell="Q95" sqref="Q95"/>
      <selection pane="bottomRight" activeCell="O56" sqref="O56"/>
    </sheetView>
  </sheetViews>
  <sheetFormatPr defaultColWidth="8" defaultRowHeight="12.75" outlineLevelRow="1" outlineLevelCol="1"/>
  <cols>
    <col min="1" max="1" width="32.42578125" customWidth="1"/>
    <col min="2" max="6" width="8" customWidth="1" outlineLevel="1"/>
    <col min="7" max="7" width="8.28515625" customWidth="1" outlineLevel="1"/>
    <col min="8" max="8" width="8.140625" customWidth="1" outlineLevel="1"/>
    <col min="9" max="9" width="8.42578125" customWidth="1" outlineLevel="1"/>
    <col min="10" max="10" width="9.5703125" customWidth="1" outlineLevel="1" collapsed="1"/>
    <col min="11" max="14" width="9.5703125" customWidth="1" outlineLevel="1"/>
    <col min="15" max="15" width="8.42578125" customWidth="1" outlineLevel="1"/>
    <col min="16" max="16" width="8" customWidth="1" outlineLevel="1"/>
    <col min="17" max="17" width="8" customWidth="1"/>
    <col min="18" max="18" width="9.7109375" bestFit="1" customWidth="1"/>
    <col min="19" max="20" width="8.5703125" hidden="1" customWidth="1"/>
    <col min="21" max="21" width="0" hidden="1" customWidth="1"/>
    <col min="22" max="22" width="9.140625" hidden="1" customWidth="1"/>
    <col min="23" max="23" width="3.28515625" customWidth="1"/>
    <col min="24" max="25" width="3.5703125" customWidth="1"/>
    <col min="26" max="26" width="3.7109375" customWidth="1" outlineLevel="1"/>
    <col min="27" max="32" width="8" customWidth="1" outlineLevel="1"/>
    <col min="33" max="33" width="0.140625" customWidth="1" outlineLevel="1"/>
    <col min="34" max="53" width="8" customWidth="1" outlineLevel="1"/>
    <col min="54" max="57" width="9" customWidth="1" outlineLevel="1"/>
    <col min="58" max="58" width="9" customWidth="1" outlineLevel="1" collapsed="1"/>
    <col min="59" max="61" width="9" customWidth="1" outlineLevel="1"/>
    <col min="62" max="62" width="9" customWidth="1" outlineLevel="1" collapsed="1"/>
    <col min="63" max="65" width="9" customWidth="1" outlineLevel="1"/>
    <col min="66" max="69" width="9.5703125" customWidth="1" outlineLevel="1"/>
    <col min="70" max="75" width="8" customWidth="1" outlineLevel="1"/>
    <col min="76" max="77" width="8.42578125" customWidth="1" outlineLevel="1"/>
    <col min="78" max="79" width="8" customWidth="1" outlineLevel="1"/>
    <col min="80" max="81" width="9.140625" customWidth="1" outlineLevel="1"/>
    <col min="82" max="85" width="8" customWidth="1"/>
    <col min="86" max="86" width="8.140625" customWidth="1"/>
  </cols>
  <sheetData>
    <row r="1" spans="1:102">
      <c r="A1" s="942" t="s">
        <v>590</v>
      </c>
      <c r="B1" s="1170"/>
      <c r="C1" s="1170"/>
      <c r="D1" s="1170"/>
      <c r="E1" s="1170"/>
      <c r="F1" s="1170"/>
      <c r="G1" s="1170"/>
      <c r="H1" s="1170"/>
      <c r="I1" s="1170"/>
      <c r="J1" s="1401"/>
      <c r="K1" s="1401"/>
      <c r="L1" s="1401"/>
      <c r="M1" s="1401"/>
      <c r="N1" s="1401"/>
      <c r="O1" s="1401"/>
      <c r="P1" s="1401"/>
      <c r="Q1" s="946"/>
      <c r="R1" s="946"/>
      <c r="S1" s="946"/>
      <c r="T1" s="946"/>
      <c r="U1" s="946"/>
      <c r="V1" s="946"/>
      <c r="W1" s="946"/>
      <c r="X1" s="946"/>
      <c r="Y1" s="946"/>
      <c r="Z1" s="946"/>
      <c r="AA1" s="946"/>
      <c r="AB1" s="946"/>
      <c r="AC1" s="946"/>
      <c r="AD1" s="946"/>
      <c r="AE1" s="946"/>
      <c r="AF1" s="946"/>
      <c r="AG1" s="946"/>
      <c r="AH1" s="946"/>
      <c r="AI1" s="946"/>
      <c r="AJ1" s="946"/>
      <c r="AK1" s="946"/>
      <c r="AL1" s="946"/>
      <c r="AM1" s="946"/>
      <c r="AN1" s="946"/>
      <c r="AO1" s="946"/>
      <c r="AP1" s="946"/>
      <c r="AQ1" s="946"/>
      <c r="AR1" s="946"/>
      <c r="AS1" s="946"/>
      <c r="AT1" s="946"/>
      <c r="AU1" s="946"/>
      <c r="AV1" s="946"/>
      <c r="AW1" s="946"/>
      <c r="AX1" s="946"/>
      <c r="AY1" s="946"/>
      <c r="AZ1" s="946"/>
      <c r="BA1" s="946"/>
      <c r="BB1" s="946"/>
      <c r="BC1" s="946"/>
      <c r="BD1" s="946"/>
      <c r="BE1" s="946"/>
      <c r="BF1" s="946"/>
      <c r="BG1" s="946"/>
      <c r="BH1" s="946"/>
      <c r="BI1" s="946"/>
      <c r="BJ1" s="946"/>
      <c r="BK1" s="946"/>
      <c r="BL1" s="946"/>
      <c r="BM1" s="946"/>
      <c r="BN1" s="946"/>
      <c r="BO1" s="946"/>
      <c r="BP1" s="946"/>
      <c r="BQ1" s="946"/>
      <c r="BR1" s="946"/>
      <c r="BS1" s="946"/>
      <c r="BT1" s="946"/>
      <c r="BU1" s="946"/>
      <c r="BV1" s="946"/>
      <c r="BW1" s="946"/>
      <c r="BX1" s="946"/>
      <c r="BY1" s="946"/>
      <c r="BZ1" s="946"/>
      <c r="CA1" s="946"/>
      <c r="CB1" s="946"/>
      <c r="CC1" s="946"/>
      <c r="CD1" s="946"/>
      <c r="CE1" s="946"/>
      <c r="CF1" s="946"/>
      <c r="CG1" s="946"/>
      <c r="CH1" s="946"/>
      <c r="CI1" s="946"/>
      <c r="CJ1" s="946"/>
      <c r="CK1" s="946"/>
      <c r="CL1" s="946"/>
      <c r="CM1" s="946"/>
      <c r="CN1" s="946"/>
      <c r="CO1" s="946"/>
      <c r="CP1" s="946"/>
      <c r="CQ1" s="946"/>
      <c r="CR1" s="946"/>
      <c r="CS1" s="946"/>
      <c r="CT1" s="946"/>
      <c r="CU1" s="1403"/>
      <c r="CV1" s="4174" t="s">
        <v>731</v>
      </c>
      <c r="CW1" s="4174"/>
      <c r="CX1" s="4174"/>
    </row>
    <row r="2" spans="1:102" ht="12.75" customHeight="1">
      <c r="A2" s="942" t="s">
        <v>986</v>
      </c>
      <c r="B2" s="1170"/>
      <c r="C2" s="1170"/>
      <c r="D2" s="1170"/>
      <c r="E2" s="1170"/>
      <c r="F2" s="1170"/>
      <c r="G2" s="1170"/>
      <c r="H2" s="1170"/>
      <c r="I2" s="1170"/>
      <c r="J2" s="1401"/>
      <c r="K2" s="1401"/>
      <c r="L2" s="1401"/>
      <c r="M2" s="1401"/>
      <c r="N2" s="1401"/>
      <c r="O2" s="1401"/>
      <c r="P2" s="1401"/>
      <c r="Q2" s="1401"/>
      <c r="R2" s="1401"/>
      <c r="S2" s="1401"/>
      <c r="T2" s="1401"/>
      <c r="U2" s="1401"/>
      <c r="V2" s="1401"/>
      <c r="W2" s="1401"/>
      <c r="X2" s="1401"/>
      <c r="Y2" s="1401"/>
      <c r="Z2" s="1401"/>
      <c r="AA2" s="1401"/>
      <c r="AB2" s="1401"/>
      <c r="AC2" s="1401"/>
      <c r="AD2" s="1401"/>
      <c r="AE2" s="1401"/>
      <c r="AF2" s="1401"/>
      <c r="AG2" s="1401"/>
      <c r="AH2" s="1401"/>
      <c r="AI2" s="1401"/>
      <c r="AJ2" s="1401"/>
      <c r="AK2" s="1401"/>
      <c r="AL2" s="1401"/>
      <c r="AM2" s="1401"/>
      <c r="AN2" s="1401"/>
      <c r="AO2" s="1401"/>
      <c r="AP2" s="1401"/>
      <c r="AQ2" s="1401"/>
      <c r="AR2" s="1401"/>
      <c r="AS2" s="1401"/>
      <c r="AT2" s="1401"/>
      <c r="AU2" s="1401"/>
      <c r="AV2" s="1401"/>
      <c r="AW2" s="1401"/>
      <c r="AX2" s="1401"/>
      <c r="AY2" s="1401"/>
      <c r="AZ2" s="1401"/>
      <c r="BA2" s="1401"/>
      <c r="BB2" s="1401"/>
      <c r="BC2" s="1401"/>
      <c r="BD2" s="1401"/>
      <c r="BE2" s="1401"/>
      <c r="BF2" s="1401"/>
      <c r="BG2" s="1401"/>
      <c r="BH2" s="1401"/>
      <c r="BI2" s="1401"/>
      <c r="BJ2" s="1401"/>
      <c r="BK2" s="1401"/>
      <c r="BL2" s="1401"/>
      <c r="BM2" s="1401"/>
      <c r="BN2" s="1401"/>
      <c r="BO2" s="1401"/>
      <c r="BP2" s="1401"/>
      <c r="BQ2" s="1401"/>
      <c r="BR2" s="1401"/>
      <c r="BS2" s="1401"/>
      <c r="BT2" s="1401"/>
      <c r="BU2" s="1401"/>
      <c r="BV2" s="1401"/>
      <c r="BW2" s="1401"/>
      <c r="BX2" s="1401"/>
      <c r="BY2" s="1401"/>
      <c r="BZ2" s="1401"/>
      <c r="CA2" s="1401"/>
      <c r="CB2" s="1401"/>
      <c r="CC2" s="1401"/>
      <c r="CD2" s="1401"/>
      <c r="CE2" s="1401"/>
      <c r="CF2" s="1401"/>
      <c r="CG2" s="1401"/>
      <c r="CH2" s="1401"/>
      <c r="CI2" s="1401"/>
      <c r="CJ2" s="1401"/>
      <c r="CK2" s="1401"/>
      <c r="CL2" s="1401"/>
      <c r="CM2" s="1401"/>
      <c r="CN2" s="1401"/>
      <c r="CO2" s="1401"/>
      <c r="CP2" s="1401"/>
      <c r="CQ2" s="1401"/>
      <c r="CR2" s="1401"/>
      <c r="CS2" s="1401"/>
      <c r="CT2" s="946"/>
      <c r="CU2" s="1403"/>
      <c r="CV2" s="4174"/>
      <c r="CW2" s="4174"/>
      <c r="CX2" s="4174"/>
    </row>
    <row r="3" spans="1:102" ht="12.75" customHeight="1">
      <c r="A3" s="950" t="s">
        <v>32</v>
      </c>
      <c r="B3" s="1170"/>
      <c r="C3" s="1170"/>
      <c r="D3" s="1170"/>
      <c r="E3" s="1170"/>
      <c r="F3" s="1170"/>
      <c r="G3" s="1170"/>
      <c r="H3" s="1170"/>
      <c r="I3" s="1170"/>
      <c r="J3" s="1401"/>
      <c r="K3" s="1401"/>
      <c r="L3" s="1401"/>
      <c r="M3" s="1401"/>
      <c r="N3" s="1401"/>
      <c r="O3" s="1401"/>
      <c r="P3" s="1401"/>
      <c r="Q3" s="946"/>
      <c r="R3" s="946"/>
      <c r="S3" s="946"/>
      <c r="T3" s="946"/>
      <c r="U3" s="946"/>
      <c r="V3" s="946"/>
      <c r="W3" s="946"/>
      <c r="X3" s="946"/>
      <c r="Y3" s="946"/>
      <c r="Z3" s="946"/>
      <c r="AA3" s="946"/>
      <c r="AB3" s="946"/>
      <c r="AC3" s="946"/>
      <c r="AD3" s="946"/>
      <c r="AE3" s="946"/>
      <c r="AF3" s="946"/>
      <c r="AG3" s="946"/>
      <c r="AH3" s="946"/>
      <c r="AI3" s="946"/>
      <c r="AJ3" s="946"/>
      <c r="AK3" s="946"/>
      <c r="AL3" s="946"/>
      <c r="AM3" s="946"/>
      <c r="AN3" s="946"/>
      <c r="AO3" s="946"/>
      <c r="AP3" s="946"/>
      <c r="AQ3" s="946"/>
      <c r="AR3" s="946"/>
      <c r="AS3" s="946"/>
      <c r="AT3" s="946"/>
      <c r="AU3" s="946"/>
      <c r="AV3" s="946"/>
      <c r="AW3" s="946"/>
      <c r="AX3" s="946"/>
      <c r="AY3" s="946"/>
      <c r="AZ3" s="946"/>
      <c r="BA3" s="946"/>
      <c r="BB3" s="946"/>
      <c r="BC3" s="946"/>
      <c r="BD3" s="946"/>
      <c r="BE3" s="946"/>
      <c r="BF3" s="946"/>
      <c r="BG3" s="946"/>
      <c r="BH3" s="946"/>
      <c r="BI3" s="946"/>
      <c r="BJ3" s="946"/>
      <c r="BK3" s="946"/>
      <c r="BL3" s="946"/>
      <c r="BM3" s="946"/>
      <c r="BN3" s="946"/>
      <c r="BO3" s="946"/>
      <c r="BP3" s="946"/>
      <c r="BQ3" s="946"/>
      <c r="BR3" s="946"/>
      <c r="BS3" s="946"/>
      <c r="BT3" s="946"/>
      <c r="BU3" s="946"/>
      <c r="BV3" s="946"/>
      <c r="BW3" s="946"/>
      <c r="BX3" s="946"/>
      <c r="BY3" s="946"/>
      <c r="BZ3" s="946"/>
      <c r="CA3" s="946"/>
      <c r="CB3" s="946"/>
      <c r="CC3" s="946"/>
      <c r="CD3" s="946"/>
      <c r="CE3" s="946"/>
      <c r="CF3" s="946"/>
      <c r="CG3" s="946"/>
      <c r="CH3" s="946"/>
      <c r="CI3" s="946"/>
      <c r="CJ3" s="946"/>
      <c r="CK3" s="946"/>
      <c r="CL3" s="946"/>
      <c r="CM3" s="946"/>
      <c r="CN3" s="946"/>
      <c r="CO3" s="946"/>
      <c r="CP3" s="946"/>
      <c r="CQ3" s="946"/>
      <c r="CR3" s="946"/>
      <c r="CS3" s="946"/>
      <c r="CT3" s="946"/>
      <c r="CU3" s="1403"/>
      <c r="CV3" s="1404">
        <v>1</v>
      </c>
      <c r="CW3" s="1405"/>
      <c r="CX3" s="1406">
        <v>2</v>
      </c>
    </row>
    <row r="4" spans="1:102" ht="20.25" customHeight="1">
      <c r="A4" s="942"/>
      <c r="B4" s="1170"/>
      <c r="C4" s="1170"/>
      <c r="D4" s="1170"/>
      <c r="E4" s="1170"/>
      <c r="F4" s="1170"/>
      <c r="G4" s="1170"/>
      <c r="H4" s="1170"/>
      <c r="I4" s="1170"/>
      <c r="J4" s="1401"/>
      <c r="K4" s="1401"/>
      <c r="L4" s="1401"/>
      <c r="M4" s="1401"/>
      <c r="N4" s="1401"/>
      <c r="O4" s="1401"/>
      <c r="P4" s="1401"/>
      <c r="Q4" s="946"/>
      <c r="R4" s="946"/>
      <c r="S4" s="946"/>
      <c r="T4" s="946"/>
      <c r="U4" s="946"/>
      <c r="V4" s="946"/>
      <c r="W4" s="946"/>
      <c r="X4" s="1401"/>
      <c r="Y4" s="1401"/>
      <c r="Z4" s="946"/>
      <c r="AA4" s="946"/>
      <c r="AB4" s="946"/>
      <c r="AC4" s="946"/>
      <c r="AD4" s="946"/>
      <c r="AE4" s="946"/>
      <c r="AF4" s="946"/>
      <c r="AG4" s="946"/>
      <c r="AH4" s="946"/>
      <c r="AI4" s="946"/>
      <c r="AJ4" s="946"/>
      <c r="AK4" s="946"/>
      <c r="AL4" s="946"/>
      <c r="AM4" s="946"/>
      <c r="AN4" s="946"/>
      <c r="AO4" s="946"/>
      <c r="AP4" s="946"/>
      <c r="AQ4" s="946"/>
      <c r="AR4" s="946"/>
      <c r="AS4" s="946"/>
      <c r="AT4" s="946"/>
      <c r="AU4" s="946"/>
      <c r="AV4" s="946"/>
      <c r="AW4" s="946"/>
      <c r="AX4" s="946"/>
      <c r="AY4" s="946"/>
      <c r="AZ4" s="946"/>
      <c r="BA4" s="946"/>
      <c r="BB4" s="946"/>
      <c r="BC4" s="946"/>
      <c r="BD4" s="946"/>
      <c r="BE4" s="946"/>
      <c r="BF4" s="946"/>
      <c r="BG4" s="946"/>
      <c r="BH4" s="946"/>
      <c r="BI4" s="946"/>
      <c r="BJ4" s="946"/>
      <c r="BK4" s="946"/>
      <c r="BL4" s="946"/>
      <c r="BM4" s="946"/>
      <c r="BN4" s="946"/>
      <c r="BO4" s="946"/>
      <c r="BP4" s="946"/>
      <c r="BQ4" s="946"/>
      <c r="BR4" s="946"/>
      <c r="BS4" s="946"/>
      <c r="BT4" s="946"/>
      <c r="BU4" s="946"/>
      <c r="BV4" s="946"/>
      <c r="BW4" s="946"/>
      <c r="BX4" s="946"/>
      <c r="BY4" s="946"/>
      <c r="BZ4" s="946"/>
      <c r="CA4" s="946"/>
      <c r="CB4" s="946"/>
      <c r="CC4" s="946"/>
      <c r="CD4" s="946"/>
      <c r="CE4" s="946"/>
      <c r="CF4" s="946"/>
      <c r="CG4" s="946"/>
      <c r="CH4" s="946"/>
      <c r="CI4" s="946"/>
      <c r="CJ4" s="946"/>
      <c r="CK4" s="946"/>
      <c r="CL4" s="946"/>
      <c r="CM4" s="946"/>
      <c r="CN4" s="946"/>
      <c r="CO4" s="946"/>
      <c r="CP4" s="946"/>
      <c r="CQ4" s="946"/>
      <c r="CR4" s="946"/>
      <c r="CS4" s="946"/>
      <c r="CT4" s="946"/>
      <c r="CU4" s="1403"/>
      <c r="CV4" s="1407" t="s">
        <v>732</v>
      </c>
      <c r="CW4" s="1408"/>
      <c r="CX4" s="1409"/>
    </row>
    <row r="5" spans="1:102">
      <c r="A5" s="1410"/>
      <c r="B5" s="1410"/>
      <c r="C5" s="1410"/>
      <c r="D5" s="1411"/>
      <c r="E5" s="1411"/>
      <c r="F5" s="1411"/>
      <c r="G5" s="1411"/>
      <c r="H5" s="1411">
        <f>Q_IS!H5</f>
        <v>2000</v>
      </c>
      <c r="I5" s="1411">
        <f>Q_IS!I5</f>
        <v>2001</v>
      </c>
      <c r="J5" s="1411">
        <f>Q_IS!J5</f>
        <v>2002</v>
      </c>
      <c r="K5" s="1411">
        <f>Q_IS!K5</f>
        <v>2003</v>
      </c>
      <c r="L5" s="1411">
        <f>Q_IS!L5</f>
        <v>2004</v>
      </c>
      <c r="M5" s="1411">
        <f>Q_IS!M5</f>
        <v>2005</v>
      </c>
      <c r="N5" s="1411">
        <f>Q_IS!N5</f>
        <v>2006</v>
      </c>
      <c r="O5" s="1411">
        <f>Q_IS!O5</f>
        <v>2007</v>
      </c>
      <c r="P5" s="1411">
        <f>Q_IS!P5</f>
        <v>2008</v>
      </c>
      <c r="Q5" s="955">
        <f>Q_IS!Q5</f>
        <v>2009</v>
      </c>
      <c r="R5" s="956">
        <f>Q_IS!R5</f>
        <v>2010</v>
      </c>
      <c r="S5" s="957">
        <f>Q_IS!S5</f>
        <v>2011</v>
      </c>
      <c r="T5" s="946"/>
      <c r="U5" s="946"/>
      <c r="V5" s="946"/>
      <c r="W5" s="946"/>
      <c r="X5" s="946"/>
      <c r="Y5" s="946"/>
      <c r="Z5" s="1410"/>
      <c r="AA5" s="1410"/>
      <c r="AB5" s="1410"/>
      <c r="AC5" s="1410"/>
      <c r="AD5" s="1410"/>
      <c r="AE5" s="1410"/>
      <c r="AF5" s="1410"/>
      <c r="AG5" s="1410"/>
      <c r="AH5" s="1410"/>
      <c r="AI5" s="1411"/>
      <c r="AJ5" s="1411"/>
      <c r="AK5" s="1411"/>
      <c r="AL5" s="1411"/>
      <c r="AM5" s="1411"/>
      <c r="AN5" s="1411"/>
      <c r="AO5" s="1411"/>
      <c r="AP5" s="1411"/>
      <c r="AQ5" s="1411"/>
      <c r="AR5" s="1411"/>
      <c r="AS5" s="1411"/>
      <c r="AT5" s="1411"/>
      <c r="AU5" s="1411"/>
      <c r="AV5" s="1411"/>
      <c r="AW5" s="1411"/>
      <c r="AX5" s="1411"/>
      <c r="AY5" s="1411"/>
      <c r="AZ5" s="1411"/>
      <c r="BA5" s="1411"/>
      <c r="BB5" s="1411" t="str">
        <f>Q_IS!BB5</f>
        <v>1Q02</v>
      </c>
      <c r="BC5" s="1411" t="str">
        <f>Q_IS!BC5</f>
        <v>2Q02</v>
      </c>
      <c r="BD5" s="1411" t="str">
        <f>Q_IS!BD5</f>
        <v>3Q02</v>
      </c>
      <c r="BE5" s="1411" t="str">
        <f>Q_IS!BE5</f>
        <v>4Q02</v>
      </c>
      <c r="BF5" s="1411" t="str">
        <f>Q_IS!BF5</f>
        <v>1Q03</v>
      </c>
      <c r="BG5" s="1411" t="str">
        <f>Q_IS!BG5</f>
        <v>2Q03</v>
      </c>
      <c r="BH5" s="1411" t="str">
        <f>Q_IS!BH5</f>
        <v>3Q03</v>
      </c>
      <c r="BI5" s="1411" t="str">
        <f>Q_IS!BI5</f>
        <v>4Q03</v>
      </c>
      <c r="BJ5" s="1411" t="str">
        <f>Q_IS!BJ5</f>
        <v>1Q04</v>
      </c>
      <c r="BK5" s="1411" t="str">
        <f>Q_IS!BK5</f>
        <v>2Q04</v>
      </c>
      <c r="BL5" s="1411" t="str">
        <f>Q_IS!BL5</f>
        <v>3Q04</v>
      </c>
      <c r="BM5" s="1411" t="str">
        <f>Q_IS!BM5</f>
        <v>4Q04</v>
      </c>
      <c r="BN5" s="1412" t="str">
        <f>Q_IS!BN5</f>
        <v>1Q05</v>
      </c>
      <c r="BO5" s="1411" t="str">
        <f>Q_IS!BO5</f>
        <v>2Q05</v>
      </c>
      <c r="BP5" s="1411" t="str">
        <f>Q_IS!BP5</f>
        <v>3Q05</v>
      </c>
      <c r="BQ5" s="1411" t="str">
        <f>Q_IS!BQ5</f>
        <v>4Q05</v>
      </c>
      <c r="BR5" s="1412" t="str">
        <f>Q_IS!BR5</f>
        <v>1Q06</v>
      </c>
      <c r="BS5" s="1411" t="str">
        <f>Q_IS!BS5</f>
        <v>2Q06</v>
      </c>
      <c r="BT5" s="1411" t="str">
        <f>Q_IS!BT5</f>
        <v>3Q06</v>
      </c>
      <c r="BU5" s="1411" t="str">
        <f>Q_IS!BU5</f>
        <v>4Q06</v>
      </c>
      <c r="BV5" s="1412" t="str">
        <f>Q_IS!BV5</f>
        <v>1Q07</v>
      </c>
      <c r="BW5" s="1411" t="str">
        <f>Q_IS!BW5</f>
        <v>2Q07</v>
      </c>
      <c r="BX5" s="1411" t="str">
        <f>Q_IS!BX5</f>
        <v>3Q07</v>
      </c>
      <c r="BY5" s="1411" t="str">
        <f>Q_IS!BY5</f>
        <v>4Q07</v>
      </c>
      <c r="BZ5" s="1412" t="str">
        <f>Q_IS!BZ5</f>
        <v>1Q08</v>
      </c>
      <c r="CA5" s="1411" t="str">
        <f>Q_IS!CA5</f>
        <v>2Q08</v>
      </c>
      <c r="CB5" s="1411" t="str">
        <f>Q_IS!CB5</f>
        <v>3Q08</v>
      </c>
      <c r="CC5" s="1411" t="str">
        <f>Q_IS!CC5</f>
        <v>4Q08</v>
      </c>
      <c r="CD5" s="1412" t="str">
        <f>Q_IS!CD5</f>
        <v>1Q09</v>
      </c>
      <c r="CE5" s="1411" t="str">
        <f>Q_IS!CE5</f>
        <v>2Q09</v>
      </c>
      <c r="CF5" s="1411" t="str">
        <f>Q_IS!CF5</f>
        <v>3Q09</v>
      </c>
      <c r="CG5" s="1411" t="str">
        <f>Q_IS!CG5</f>
        <v>4Q09</v>
      </c>
      <c r="CH5" s="1412" t="str">
        <f>Q_IS!CH5</f>
        <v>1Q10</v>
      </c>
      <c r="CI5" s="1411" t="str">
        <f>Q_IS!CI5</f>
        <v>2Q10</v>
      </c>
      <c r="CJ5" s="1411" t="str">
        <f>Q_IS!CJ5</f>
        <v>3Q10</v>
      </c>
      <c r="CK5" s="1411" t="str">
        <f>Q_IS!CK5</f>
        <v>4Q10</v>
      </c>
      <c r="CL5" s="1412" t="str">
        <f>Q_IS!CL5</f>
        <v>1Q11</v>
      </c>
      <c r="CM5" s="946"/>
      <c r="CN5" s="946"/>
      <c r="CO5" s="946"/>
      <c r="CP5" s="946"/>
      <c r="CQ5" s="946"/>
      <c r="CR5" s="946"/>
      <c r="CS5" s="946"/>
      <c r="CT5" s="946"/>
      <c r="CU5" s="1403"/>
      <c r="CV5" s="1407" t="s">
        <v>735</v>
      </c>
      <c r="CW5" s="1408"/>
      <c r="CX5" s="1409"/>
    </row>
    <row r="6" spans="1:102" ht="12.75" customHeight="1" thickBot="1">
      <c r="A6" s="1191" t="s">
        <v>33</v>
      </c>
      <c r="B6" s="1192"/>
      <c r="C6" s="1192"/>
      <c r="D6" s="1193"/>
      <c r="E6" s="1194"/>
      <c r="F6" s="1194"/>
      <c r="G6" s="1194"/>
      <c r="H6" s="1194"/>
      <c r="I6" s="1194"/>
      <c r="J6" s="1194">
        <f>Q_IS!J6</f>
        <v>-0.61</v>
      </c>
      <c r="K6" s="1194">
        <f>Q_IS!K6</f>
        <v>-0.47</v>
      </c>
      <c r="L6" s="1194">
        <f>Q_IS!L6</f>
        <v>-0.54</v>
      </c>
      <c r="M6" s="1194">
        <f>Q_IS!M6</f>
        <v>-0.24</v>
      </c>
      <c r="N6" s="1194">
        <f>Q_IS!N6</f>
        <v>0.27</v>
      </c>
      <c r="O6" s="1195">
        <f>Q_IS!O6</f>
        <v>0.53</v>
      </c>
      <c r="P6" s="1413">
        <f>Q_IS!P6</f>
        <v>0.40816275123599982</v>
      </c>
      <c r="Q6" s="1413">
        <f ca="1">Q_IS!Q6</f>
        <v>0.38468923639072683</v>
      </c>
      <c r="R6" s="1414">
        <f ca="1">Q_IS!R6</f>
        <v>0.43299616319624257</v>
      </c>
      <c r="S6" s="1415">
        <f ca="1">Q_IS!S6</f>
        <v>0.12801266161598529</v>
      </c>
      <c r="T6" s="946"/>
      <c r="U6" s="946"/>
      <c r="V6" s="946"/>
      <c r="W6" s="946"/>
      <c r="X6" s="1401"/>
      <c r="Y6" s="1401"/>
      <c r="Z6" s="1192"/>
      <c r="AA6" s="1192"/>
      <c r="AB6" s="1192"/>
      <c r="AC6" s="1192"/>
      <c r="AD6" s="1192"/>
      <c r="AE6" s="1192"/>
      <c r="AF6" s="1192"/>
      <c r="AG6" s="1192"/>
      <c r="AH6" s="1192"/>
      <c r="AI6" s="1194"/>
      <c r="AJ6" s="1194"/>
      <c r="AK6" s="1194"/>
      <c r="AL6" s="1194"/>
      <c r="AM6" s="1194"/>
      <c r="AN6" s="1194"/>
      <c r="AO6" s="1194"/>
      <c r="AP6" s="1194"/>
      <c r="AQ6" s="1194"/>
      <c r="AR6" s="1194"/>
      <c r="AS6" s="1194"/>
      <c r="AT6" s="1194"/>
      <c r="AU6" s="1194"/>
      <c r="AV6" s="1194"/>
      <c r="AW6" s="1194"/>
      <c r="AX6" s="1194"/>
      <c r="AY6" s="1194"/>
      <c r="AZ6" s="1194"/>
      <c r="BA6" s="1194"/>
      <c r="BB6" s="1194">
        <f>Q_IS!BB6</f>
        <v>-0.32</v>
      </c>
      <c r="BC6" s="1194">
        <f>Q_IS!BC6</f>
        <v>-0.34</v>
      </c>
      <c r="BD6" s="1194">
        <f>Q_IS!BD6</f>
        <v>-7.0000000000000007E-2</v>
      </c>
      <c r="BE6" s="1194">
        <f>Q_IS!BE6</f>
        <v>0.02</v>
      </c>
      <c r="BF6" s="1194">
        <f>Q_IS!BF6</f>
        <v>-0.06</v>
      </c>
      <c r="BG6" s="1194">
        <f>Q_IS!BG6</f>
        <v>-0.09</v>
      </c>
      <c r="BH6" s="1194">
        <f>Q_IS!BH6</f>
        <v>-0.13</v>
      </c>
      <c r="BI6" s="1194">
        <f>Q_IS!BI6</f>
        <v>-0.19</v>
      </c>
      <c r="BJ6" s="1194">
        <f>Q_IS!BJ6</f>
        <v>-0.17</v>
      </c>
      <c r="BK6" s="1194">
        <f>Q_IS!BK6</f>
        <v>-0.16</v>
      </c>
      <c r="BL6" s="1194">
        <f>Q_IS!BL6</f>
        <v>-0.15</v>
      </c>
      <c r="BM6" s="1194">
        <f>Q_IS!BM6</f>
        <v>-0.06</v>
      </c>
      <c r="BN6" s="1197">
        <f>Q_IS!BN6</f>
        <v>-0.1</v>
      </c>
      <c r="BO6" s="1194">
        <f>Q_IS!BO6</f>
        <v>-7.0000000000000007E-2</v>
      </c>
      <c r="BP6" s="1194">
        <f>Q_IS!BP6</f>
        <v>-0.06</v>
      </c>
      <c r="BQ6" s="1194">
        <f>Q_IS!BQ6</f>
        <v>0</v>
      </c>
      <c r="BR6" s="1197">
        <f>Q_IS!BR6</f>
        <v>0.06</v>
      </c>
      <c r="BS6" s="1194">
        <f>Q_IS!BS6</f>
        <v>0.06</v>
      </c>
      <c r="BT6" s="1194">
        <f>Q_IS!BT6</f>
        <v>7.0000000000000007E-2</v>
      </c>
      <c r="BU6" s="1194">
        <f>Q_IS!BU6</f>
        <v>0.08</v>
      </c>
      <c r="BV6" s="1197">
        <f>Q_IS!BV6</f>
        <v>0.14000000000000001</v>
      </c>
      <c r="BW6" s="1194">
        <f>Q_IS!BW6</f>
        <v>0.13</v>
      </c>
      <c r="BX6" s="1194">
        <f>Q_IS!BX6</f>
        <v>0.13</v>
      </c>
      <c r="BY6" s="1194">
        <f>Q_IS!BY6</f>
        <v>0.13</v>
      </c>
      <c r="BZ6" s="1197">
        <f>Q_IS!BZ6</f>
        <v>0.10037786187269136</v>
      </c>
      <c r="CA6" s="1194">
        <f>Q_IS!CA6</f>
        <v>0.10430032533678403</v>
      </c>
      <c r="CB6" s="1194">
        <f>Q_IS!CB6</f>
        <v>9.6146159434454953E-2</v>
      </c>
      <c r="CC6" s="1194">
        <f>Q_IS!CC6</f>
        <v>0.11109906842633852</v>
      </c>
      <c r="CD6" s="1197">
        <f>Q_IS!CD6</f>
        <v>0.12945110855144826</v>
      </c>
      <c r="CE6" s="1194">
        <f>Q_IS!CE6</f>
        <v>8.2889764739344202E-2</v>
      </c>
      <c r="CF6" s="1194">
        <f>Q_IS!CF6</f>
        <v>8.9142088814086876E-2</v>
      </c>
      <c r="CG6" s="1194">
        <f>Q_IS!CG6</f>
        <v>8.2299216936899872E-2</v>
      </c>
      <c r="CH6" s="1197">
        <f>Q_IS!CH6</f>
        <v>0.10494105743055815</v>
      </c>
      <c r="CI6" s="1194">
        <f>Q_IS!CI6</f>
        <v>0.1016185738315709</v>
      </c>
      <c r="CJ6" s="1194">
        <f>Q_IS!CJ6</f>
        <v>0.10598991873835976</v>
      </c>
      <c r="CK6" s="1194">
        <f>Q_IS!CK6</f>
        <v>0.11504541584940808</v>
      </c>
      <c r="CL6" s="1197">
        <f>Q_IS!CL6</f>
        <v>0.1238927786841348</v>
      </c>
      <c r="CM6" s="946"/>
      <c r="CN6" s="946"/>
      <c r="CO6" s="946"/>
      <c r="CP6" s="946"/>
      <c r="CQ6" s="946"/>
      <c r="CR6" s="946"/>
      <c r="CS6" s="946"/>
      <c r="CT6" s="946"/>
      <c r="CU6" s="1406"/>
      <c r="CV6" s="1416" t="s">
        <v>736</v>
      </c>
      <c r="CW6" s="1417"/>
      <c r="CX6" s="1418"/>
    </row>
    <row r="7" spans="1:102" ht="12.75" customHeight="1">
      <c r="A7" s="967" t="s">
        <v>34</v>
      </c>
      <c r="B7" s="968"/>
      <c r="C7" s="968"/>
      <c r="D7" s="969"/>
      <c r="E7" s="969"/>
      <c r="F7" s="970"/>
      <c r="G7" s="970"/>
      <c r="H7" s="970"/>
      <c r="I7" s="970"/>
      <c r="J7" s="970"/>
      <c r="K7" s="970"/>
      <c r="L7" s="970"/>
      <c r="M7" s="970">
        <f>Q_IS!M7</f>
        <v>-0.55555555555555558</v>
      </c>
      <c r="N7" s="970">
        <f>Q_IS!N7</f>
        <v>-2.125</v>
      </c>
      <c r="O7" s="970">
        <f>Q_IS!O7</f>
        <v>0.96296296296296302</v>
      </c>
      <c r="P7" s="971">
        <f>Q_IS!P7</f>
        <v>-0.22988160144150982</v>
      </c>
      <c r="Q7" s="971">
        <f ca="1">Q_IS!Q7</f>
        <v>-5.7510183803373582E-2</v>
      </c>
      <c r="R7" s="972">
        <f ca="1">Q_IS!R7</f>
        <v>0.125573897670614</v>
      </c>
      <c r="S7" s="971">
        <f ca="1">Q_IS!S7</f>
        <v>-0.70435612946074211</v>
      </c>
      <c r="T7" s="946"/>
      <c r="U7" s="946"/>
      <c r="V7" s="946"/>
      <c r="W7" s="946"/>
      <c r="X7" s="946"/>
      <c r="Y7" s="946"/>
      <c r="Z7" s="968"/>
      <c r="AA7" s="968"/>
      <c r="AB7" s="968"/>
      <c r="AC7" s="968"/>
      <c r="AD7" s="968"/>
      <c r="AE7" s="968"/>
      <c r="AF7" s="968"/>
      <c r="AG7" s="968"/>
      <c r="AH7" s="969"/>
      <c r="AI7" s="969"/>
      <c r="AJ7" s="969"/>
      <c r="AK7" s="969"/>
      <c r="AL7" s="973"/>
      <c r="AM7" s="973"/>
      <c r="AN7" s="973"/>
      <c r="AO7" s="973"/>
      <c r="AP7" s="970"/>
      <c r="AQ7" s="970"/>
      <c r="AR7" s="970"/>
      <c r="AS7" s="970"/>
      <c r="AT7" s="970"/>
      <c r="AU7" s="970"/>
      <c r="AV7" s="970"/>
      <c r="AW7" s="970"/>
      <c r="AX7" s="970"/>
      <c r="AY7" s="970"/>
      <c r="AZ7" s="970"/>
      <c r="BA7" s="970"/>
      <c r="BB7" s="970"/>
      <c r="BC7" s="970"/>
      <c r="BD7" s="970"/>
      <c r="BE7" s="970"/>
      <c r="BF7" s="970">
        <f>BF6/BB6-1</f>
        <v>-0.8125</v>
      </c>
      <c r="BG7" s="970">
        <f>BG6/BC6-1</f>
        <v>-0.73529411764705888</v>
      </c>
      <c r="BH7" s="970">
        <f>BH6/BD6-1</f>
        <v>0.85714285714285698</v>
      </c>
      <c r="BI7" s="970">
        <f>BI6/BE6-1</f>
        <v>-10.5</v>
      </c>
      <c r="BJ7" s="970"/>
      <c r="BK7" s="970"/>
      <c r="BL7" s="970"/>
      <c r="BM7" s="970"/>
      <c r="BN7" s="974">
        <f>Q_IS!BN7</f>
        <v>-0.41176470588235292</v>
      </c>
      <c r="BO7" s="970">
        <f>Q_IS!BO7</f>
        <v>-0.5625</v>
      </c>
      <c r="BP7" s="970">
        <f>Q_IS!BP7</f>
        <v>-0.6</v>
      </c>
      <c r="BQ7" s="970">
        <f>Q_IS!BQ7</f>
        <v>-1</v>
      </c>
      <c r="BR7" s="974">
        <f>Q_IS!BR7</f>
        <v>-1.6</v>
      </c>
      <c r="BS7" s="970">
        <f>Q_IS!BS7</f>
        <v>-1.857142857142857</v>
      </c>
      <c r="BT7" s="970">
        <f>Q_IS!BT7</f>
        <v>-2.166666666666667</v>
      </c>
      <c r="BU7" s="970" t="str">
        <f>Q_IS!BU7</f>
        <v>NM</v>
      </c>
      <c r="BV7" s="974">
        <f>Q_IS!BV7</f>
        <v>1.3333333333333335</v>
      </c>
      <c r="BW7" s="970">
        <f>Q_IS!BW7</f>
        <v>1.166666666666667</v>
      </c>
      <c r="BX7" s="970">
        <f>Q_IS!BX7</f>
        <v>0.85714285714285698</v>
      </c>
      <c r="BY7" s="970">
        <f>Q_IS!BY7</f>
        <v>0.625</v>
      </c>
      <c r="BZ7" s="974">
        <f>Q_IS!BZ7</f>
        <v>-0.2830152723379189</v>
      </c>
      <c r="CA7" s="970">
        <f>Q_IS!CA7</f>
        <v>-0.19768980510166134</v>
      </c>
      <c r="CB7" s="970">
        <f>Q_IS!CB7</f>
        <v>-0.26041415819650038</v>
      </c>
      <c r="CC7" s="970">
        <f>Q_IS!CC7</f>
        <v>-0.14539178133585762</v>
      </c>
      <c r="CD7" s="974">
        <f>Q_IS!CD7</f>
        <v>0.28963803508417341</v>
      </c>
      <c r="CE7" s="970">
        <f>Q_IS!CE7</f>
        <v>-0.20527798478389669</v>
      </c>
      <c r="CF7" s="970">
        <f>Q_IS!CF7</f>
        <v>-7.2848158070660252E-2</v>
      </c>
      <c r="CG7" s="970">
        <f>Q_IS!CG7</f>
        <v>-0.25922675948028917</v>
      </c>
      <c r="CH7" s="974">
        <f>Q_IS!CH7</f>
        <v>-0.18933828682624976</v>
      </c>
      <c r="CI7" s="970">
        <f>Q_IS!CI7</f>
        <v>0.22594839243568199</v>
      </c>
      <c r="CJ7" s="970">
        <f>Q_IS!CJ7</f>
        <v>0.18899972110155971</v>
      </c>
      <c r="CK7" s="970">
        <f>Q_IS!CK7</f>
        <v>0.39789198647680024</v>
      </c>
      <c r="CL7" s="974">
        <f>Q_IS!CL7</f>
        <v>0.1805939611969074</v>
      </c>
      <c r="CM7" s="946"/>
      <c r="CN7" s="946"/>
      <c r="CO7" s="946"/>
      <c r="CP7" s="946"/>
      <c r="CQ7" s="946"/>
      <c r="CR7" s="946"/>
      <c r="CS7" s="946"/>
      <c r="CT7" s="946"/>
      <c r="CU7" s="1403"/>
      <c r="CV7" s="1419"/>
      <c r="CW7" s="1419"/>
      <c r="CX7" s="1419"/>
    </row>
    <row r="8" spans="1:102" ht="12.75" customHeight="1">
      <c r="A8" s="1205" t="s">
        <v>183</v>
      </c>
      <c r="B8" s="1205"/>
      <c r="C8" s="1206"/>
      <c r="D8" s="1206"/>
      <c r="E8" s="1206"/>
      <c r="F8" s="1206"/>
      <c r="G8" s="1206"/>
      <c r="H8" s="1206"/>
      <c r="I8" s="1206"/>
      <c r="J8" s="1206"/>
      <c r="K8" s="1206"/>
      <c r="L8" s="1206"/>
      <c r="M8" s="1206"/>
      <c r="N8" s="1206"/>
      <c r="O8" s="1207"/>
      <c r="P8" s="1207"/>
      <c r="Q8" s="1207"/>
      <c r="R8" s="1208"/>
      <c r="S8" s="1206"/>
      <c r="T8" s="946"/>
      <c r="U8" s="946"/>
      <c r="V8" s="946"/>
      <c r="W8" s="946"/>
      <c r="X8" s="1401"/>
      <c r="Y8" s="1401"/>
      <c r="Z8" s="1206"/>
      <c r="AA8" s="1206"/>
      <c r="AB8" s="1206"/>
      <c r="AC8" s="1206"/>
      <c r="AD8" s="1206"/>
      <c r="AE8" s="1206"/>
      <c r="AF8" s="1206"/>
      <c r="AG8" s="1206"/>
      <c r="AH8" s="1206"/>
      <c r="AI8" s="1206"/>
      <c r="AJ8" s="1206"/>
      <c r="AK8" s="1206"/>
      <c r="AL8" s="1206"/>
      <c r="AM8" s="1206"/>
      <c r="AN8" s="1206"/>
      <c r="AO8" s="1206"/>
      <c r="AP8" s="1206"/>
      <c r="AQ8" s="1206"/>
      <c r="AR8" s="1206"/>
      <c r="AS8" s="1206"/>
      <c r="AT8" s="1206"/>
      <c r="AU8" s="1206"/>
      <c r="AV8" s="1206"/>
      <c r="AW8" s="1206"/>
      <c r="AX8" s="1206"/>
      <c r="AY8" s="1206"/>
      <c r="AZ8" s="1206"/>
      <c r="BA8" s="1206"/>
      <c r="BB8" s="1206"/>
      <c r="BC8" s="1206"/>
      <c r="BD8" s="1206"/>
      <c r="BE8" s="1206"/>
      <c r="BF8" s="1206"/>
      <c r="BG8" s="1206"/>
      <c r="BH8" s="1206"/>
      <c r="BI8" s="1206"/>
      <c r="BJ8" s="1206"/>
      <c r="BK8" s="1206"/>
      <c r="BL8" s="1206"/>
      <c r="BM8" s="1206"/>
      <c r="BN8" s="1365"/>
      <c r="BO8" s="1206"/>
      <c r="BP8" s="1206"/>
      <c r="BQ8" s="1206"/>
      <c r="BR8" s="1365"/>
      <c r="BS8" s="1206"/>
      <c r="BT8" s="1206"/>
      <c r="BU8" s="1206"/>
      <c r="BV8" s="1420"/>
      <c r="BW8" s="1421"/>
      <c r="BX8" s="1421"/>
      <c r="BY8" s="1421"/>
      <c r="BZ8" s="1420"/>
      <c r="CA8" s="1421"/>
      <c r="CB8" s="1421"/>
      <c r="CC8" s="1421"/>
      <c r="CD8" s="1420"/>
      <c r="CE8" s="1421"/>
      <c r="CF8" s="1421"/>
      <c r="CG8" s="1421"/>
      <c r="CH8" s="1420"/>
      <c r="CI8" s="1421"/>
      <c r="CJ8" s="1421"/>
      <c r="CK8" s="1421"/>
      <c r="CL8" s="1420"/>
      <c r="CM8" s="946"/>
      <c r="CN8" s="946"/>
      <c r="CO8" s="946"/>
      <c r="CP8" s="946"/>
      <c r="CQ8" s="946"/>
      <c r="CR8" s="946"/>
      <c r="CS8" s="946"/>
      <c r="CT8" s="946"/>
      <c r="CU8" s="1403"/>
      <c r="CV8" s="1403"/>
      <c r="CW8" s="1405"/>
      <c r="CX8" s="1405"/>
    </row>
    <row r="9" spans="1:102" ht="12.75" customHeight="1">
      <c r="A9" s="1213" t="s">
        <v>184</v>
      </c>
      <c r="B9" s="1213"/>
      <c r="C9" s="1213"/>
      <c r="D9" s="1213"/>
      <c r="E9" s="1382"/>
      <c r="F9" s="1214"/>
      <c r="G9" s="1214"/>
      <c r="H9" s="1214"/>
      <c r="I9" s="1214"/>
      <c r="J9" s="1214">
        <f>Q_IS!J52</f>
        <v>3268</v>
      </c>
      <c r="K9" s="1214">
        <f>Q_IS!K52</f>
        <v>2739</v>
      </c>
      <c r="L9" s="1214">
        <f>SUM(BJ9:BM9)</f>
        <v>2627</v>
      </c>
      <c r="M9" s="1214">
        <f>SUM(BN9:BQ9)</f>
        <v>2612</v>
      </c>
      <c r="N9" s="1214">
        <f>SUM(BR9:BU9)</f>
        <v>2381</v>
      </c>
      <c r="O9" s="1216">
        <f>SUM(BV9:BY9)</f>
        <v>2231</v>
      </c>
      <c r="P9" s="1216">
        <f>SUM(BZ9:CC9)</f>
        <v>2120</v>
      </c>
      <c r="Q9" s="1216">
        <f>SUM(CD9:CG9)</f>
        <v>2071</v>
      </c>
      <c r="R9" s="1217">
        <f>SUM(CH9:CK9)</f>
        <v>1949</v>
      </c>
      <c r="S9" s="1262">
        <f>SUM(CL9:CO9)</f>
        <v>475</v>
      </c>
      <c r="T9" s="946"/>
      <c r="U9" s="946"/>
      <c r="V9" s="946"/>
      <c r="W9" s="946"/>
      <c r="X9" s="946"/>
      <c r="Y9" s="946"/>
      <c r="Z9" s="1214"/>
      <c r="AA9" s="1214"/>
      <c r="AB9" s="1214"/>
      <c r="AC9" s="1214"/>
      <c r="AD9" s="1214"/>
      <c r="AE9" s="1214"/>
      <c r="AF9" s="1214"/>
      <c r="AG9" s="1214"/>
      <c r="AH9" s="1214"/>
      <c r="AI9" s="1214"/>
      <c r="AJ9" s="1214"/>
      <c r="AK9" s="1214"/>
      <c r="AL9" s="1214"/>
      <c r="AM9" s="1214"/>
      <c r="AN9" s="1214"/>
      <c r="AO9" s="1214"/>
      <c r="AP9" s="1214"/>
      <c r="AQ9" s="1214"/>
      <c r="AR9" s="1214"/>
      <c r="AS9" s="1214"/>
      <c r="AT9" s="1214"/>
      <c r="AU9" s="1214"/>
      <c r="AV9" s="1214"/>
      <c r="AW9" s="1214"/>
      <c r="AX9" s="1214"/>
      <c r="AY9" s="1214"/>
      <c r="AZ9" s="1214"/>
      <c r="BA9" s="1214"/>
      <c r="BB9" s="1214">
        <v>941</v>
      </c>
      <c r="BC9" s="1214">
        <v>940</v>
      </c>
      <c r="BD9" s="1214">
        <v>692</v>
      </c>
      <c r="BE9" s="1214">
        <v>802</v>
      </c>
      <c r="BF9" s="1214">
        <v>675</v>
      </c>
      <c r="BG9" s="1214">
        <v>677</v>
      </c>
      <c r="BH9" s="1214">
        <v>677</v>
      </c>
      <c r="BI9" s="1214">
        <v>710</v>
      </c>
      <c r="BJ9" s="1214">
        <v>654</v>
      </c>
      <c r="BK9" s="1214">
        <v>661</v>
      </c>
      <c r="BL9" s="1214">
        <v>659</v>
      </c>
      <c r="BM9" s="1214">
        <v>653</v>
      </c>
      <c r="BN9" s="1218">
        <v>653</v>
      </c>
      <c r="BO9" s="1214">
        <v>649</v>
      </c>
      <c r="BP9" s="1214">
        <v>659</v>
      </c>
      <c r="BQ9" s="1214">
        <v>651</v>
      </c>
      <c r="BR9" s="1218">
        <v>588</v>
      </c>
      <c r="BS9" s="1214">
        <v>592</v>
      </c>
      <c r="BT9" s="1214">
        <v>594</v>
      </c>
      <c r="BU9" s="1214">
        <v>607</v>
      </c>
      <c r="BV9" s="1218">
        <v>555</v>
      </c>
      <c r="BW9" s="1214">
        <v>558</v>
      </c>
      <c r="BX9" s="1214">
        <v>562</v>
      </c>
      <c r="BY9" s="1214">
        <v>556</v>
      </c>
      <c r="BZ9" s="1252">
        <v>522</v>
      </c>
      <c r="CA9" s="1254">
        <v>523</v>
      </c>
      <c r="CB9" s="1254">
        <v>537</v>
      </c>
      <c r="CC9" s="1254">
        <v>538</v>
      </c>
      <c r="CD9" s="1252">
        <v>514</v>
      </c>
      <c r="CE9" s="1254">
        <v>518</v>
      </c>
      <c r="CF9" s="1253">
        <v>520</v>
      </c>
      <c r="CG9" s="1254">
        <v>519</v>
      </c>
      <c r="CH9" s="1252">
        <v>491</v>
      </c>
      <c r="CI9" s="1253">
        <v>485</v>
      </c>
      <c r="CJ9" s="1253">
        <v>490</v>
      </c>
      <c r="CK9" s="1253">
        <f>1949-SUM(CH9:CJ9)</f>
        <v>483</v>
      </c>
      <c r="CL9" s="1252">
        <v>475</v>
      </c>
      <c r="CM9" s="946"/>
      <c r="CN9" s="946"/>
      <c r="CO9" s="946"/>
      <c r="CP9" s="946"/>
      <c r="CQ9" s="946"/>
      <c r="CR9" s="946"/>
      <c r="CS9" s="946"/>
      <c r="CT9" s="946"/>
      <c r="CU9" s="1403"/>
      <c r="CV9" s="1403"/>
      <c r="CW9" s="1403"/>
      <c r="CX9" s="1403"/>
    </row>
    <row r="10" spans="1:102" ht="12.75" customHeight="1">
      <c r="A10" s="1225" t="s">
        <v>34</v>
      </c>
      <c r="B10" s="1198"/>
      <c r="C10" s="1198"/>
      <c r="D10" s="1198"/>
      <c r="E10" s="1198"/>
      <c r="F10" s="1198"/>
      <c r="G10" s="1227"/>
      <c r="H10" s="1227"/>
      <c r="I10" s="1227"/>
      <c r="J10" s="1227"/>
      <c r="K10" s="1227">
        <f t="shared" ref="K10:S10" si="0">K9/J9-1</f>
        <v>-0.16187270501835982</v>
      </c>
      <c r="L10" s="1227">
        <f t="shared" si="0"/>
        <v>-4.0890836071558967E-2</v>
      </c>
      <c r="M10" s="1227">
        <f t="shared" si="0"/>
        <v>-5.7099352874000475E-3</v>
      </c>
      <c r="N10" s="1227">
        <f t="shared" si="0"/>
        <v>-8.8437978560490071E-2</v>
      </c>
      <c r="O10" s="1229">
        <f t="shared" si="0"/>
        <v>-6.2998740025199451E-2</v>
      </c>
      <c r="P10" s="1229">
        <f>P9/O9-1</f>
        <v>-4.9753473778574642E-2</v>
      </c>
      <c r="Q10" s="1229">
        <f>Q9/P9-1</f>
        <v>-2.3113207547169834E-2</v>
      </c>
      <c r="R10" s="1230">
        <f t="shared" si="0"/>
        <v>-5.8908739739256366E-2</v>
      </c>
      <c r="S10" s="1241">
        <f t="shared" si="0"/>
        <v>-0.75628527449974348</v>
      </c>
      <c r="T10" s="946"/>
      <c r="U10" s="946"/>
      <c r="V10" s="946"/>
      <c r="W10" s="946"/>
      <c r="X10" s="1401"/>
      <c r="Y10" s="1401"/>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31">
        <f t="shared" ref="BN10:CC10" si="1">BN9/BJ9-1</f>
        <v>-1.5290519877675379E-3</v>
      </c>
      <c r="BO10" s="1227">
        <f t="shared" si="1"/>
        <v>-1.8154311649016597E-2</v>
      </c>
      <c r="BP10" s="1227">
        <f t="shared" si="1"/>
        <v>0</v>
      </c>
      <c r="BQ10" s="1227">
        <f t="shared" si="1"/>
        <v>-3.0627871362940429E-3</v>
      </c>
      <c r="BR10" s="1231">
        <f t="shared" si="1"/>
        <v>-9.9540581929555949E-2</v>
      </c>
      <c r="BS10" s="1227">
        <f t="shared" si="1"/>
        <v>-8.7827426810477616E-2</v>
      </c>
      <c r="BT10" s="1227">
        <f t="shared" si="1"/>
        <v>-9.8634294385432475E-2</v>
      </c>
      <c r="BU10" s="1227">
        <f t="shared" si="1"/>
        <v>-6.7588325652841785E-2</v>
      </c>
      <c r="BV10" s="1231">
        <f t="shared" si="1"/>
        <v>-5.6122448979591844E-2</v>
      </c>
      <c r="BW10" s="1227">
        <f t="shared" si="1"/>
        <v>-5.7432432432432456E-2</v>
      </c>
      <c r="BX10" s="1227">
        <f t="shared" si="1"/>
        <v>-5.3872053872053849E-2</v>
      </c>
      <c r="BY10" s="1227">
        <f t="shared" si="1"/>
        <v>-8.4019769357495888E-2</v>
      </c>
      <c r="BZ10" s="1231">
        <f t="shared" si="1"/>
        <v>-5.9459459459459407E-2</v>
      </c>
      <c r="CA10" s="1229">
        <f t="shared" si="1"/>
        <v>-6.2724014336917544E-2</v>
      </c>
      <c r="CB10" s="1229">
        <f t="shared" si="1"/>
        <v>-4.4483985765124578E-2</v>
      </c>
      <c r="CC10" s="1227">
        <f t="shared" si="1"/>
        <v>-3.2374100719424481E-2</v>
      </c>
      <c r="CD10" s="1231">
        <f t="shared" ref="CD10:CK10" si="2">CD9/BZ9-1</f>
        <v>-1.5325670498084309E-2</v>
      </c>
      <c r="CE10" s="1227">
        <f t="shared" si="2"/>
        <v>-9.5602294455067183E-3</v>
      </c>
      <c r="CF10" s="1227">
        <f t="shared" si="2"/>
        <v>-3.1657355679702071E-2</v>
      </c>
      <c r="CG10" s="1227">
        <f t="shared" si="2"/>
        <v>-3.5315985130111471E-2</v>
      </c>
      <c r="CH10" s="1231">
        <f t="shared" si="2"/>
        <v>-4.4747081712062209E-2</v>
      </c>
      <c r="CI10" s="1229">
        <f t="shared" si="2"/>
        <v>-6.370656370656369E-2</v>
      </c>
      <c r="CJ10" s="1227">
        <f t="shared" si="2"/>
        <v>-5.7692307692307709E-2</v>
      </c>
      <c r="CK10" s="1227">
        <f t="shared" si="2"/>
        <v>-6.9364161849710948E-2</v>
      </c>
      <c r="CL10" s="1231">
        <f>CL9/CH9-1</f>
        <v>-3.258655804480648E-2</v>
      </c>
      <c r="CM10" s="946"/>
      <c r="CN10" s="946"/>
      <c r="CO10" s="946"/>
      <c r="CP10" s="946"/>
      <c r="CQ10" s="946"/>
      <c r="CR10" s="946"/>
      <c r="CS10" s="946"/>
      <c r="CT10" s="946"/>
      <c r="CU10" s="1403"/>
      <c r="CV10" s="1403"/>
      <c r="CW10" s="1403"/>
      <c r="CX10" s="1403"/>
    </row>
    <row r="11" spans="1:102" ht="13.5" customHeight="1">
      <c r="A11" s="1225"/>
      <c r="B11" s="1198"/>
      <c r="C11" s="1198"/>
      <c r="D11" s="1198"/>
      <c r="E11" s="1198"/>
      <c r="F11" s="1198"/>
      <c r="G11" s="1307"/>
      <c r="H11" s="1226"/>
      <c r="I11" s="1226"/>
      <c r="J11" s="1226"/>
      <c r="K11" s="1226"/>
      <c r="L11" s="1226"/>
      <c r="M11" s="1226"/>
      <c r="N11" s="1226"/>
      <c r="O11" s="1179"/>
      <c r="P11" s="1179"/>
      <c r="Q11" s="1179"/>
      <c r="R11" s="1263"/>
      <c r="S11" s="1266"/>
      <c r="T11" s="946"/>
      <c r="U11" s="946"/>
      <c r="V11" s="946"/>
      <c r="W11" s="946"/>
      <c r="X11" s="946"/>
      <c r="Y11" s="946"/>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307"/>
      <c r="AX11" s="1307"/>
      <c r="AY11" s="1307"/>
      <c r="AZ11" s="1422"/>
      <c r="BA11" s="1422"/>
      <c r="BB11" s="1422"/>
      <c r="BC11" s="1422"/>
      <c r="BD11" s="1422"/>
      <c r="BE11" s="1422"/>
      <c r="BF11" s="1422"/>
      <c r="BG11" s="1422"/>
      <c r="BH11" s="1422"/>
      <c r="BI11" s="1422"/>
      <c r="BJ11" s="1422"/>
      <c r="BK11" s="1422"/>
      <c r="BL11" s="1422"/>
      <c r="BM11" s="1422"/>
      <c r="BN11" s="1423"/>
      <c r="BO11" s="1422"/>
      <c r="BP11" s="1422"/>
      <c r="BQ11" s="1422"/>
      <c r="BR11" s="1423"/>
      <c r="BS11" s="1422"/>
      <c r="BT11" s="1422"/>
      <c r="BU11" s="1422"/>
      <c r="BV11" s="1423"/>
      <c r="BW11" s="1422"/>
      <c r="BX11" s="1422"/>
      <c r="BY11" s="1422"/>
      <c r="BZ11" s="1423"/>
      <c r="CA11" s="1424"/>
      <c r="CB11" s="1424"/>
      <c r="CC11" s="1422"/>
      <c r="CD11" s="1423"/>
      <c r="CE11" s="1422"/>
      <c r="CF11" s="1422"/>
      <c r="CG11" s="1422"/>
      <c r="CH11" s="1423"/>
      <c r="CI11" s="1422"/>
      <c r="CJ11" s="1422"/>
      <c r="CK11" s="1422"/>
      <c r="CL11" s="1423"/>
      <c r="CM11" s="946"/>
      <c r="CN11" s="946"/>
      <c r="CO11" s="946"/>
      <c r="CP11" s="946"/>
      <c r="CQ11" s="946"/>
      <c r="CR11" s="946"/>
      <c r="CS11" s="946"/>
      <c r="CT11" s="946"/>
      <c r="CU11" s="1403"/>
      <c r="CV11" s="1403"/>
      <c r="CW11" s="1403"/>
      <c r="CX11" s="1403"/>
    </row>
    <row r="12" spans="1:102" ht="12.75" customHeight="1">
      <c r="A12" s="1213" t="s">
        <v>185</v>
      </c>
      <c r="B12" s="1213"/>
      <c r="C12" s="1213"/>
      <c r="D12" s="1213"/>
      <c r="E12" s="1213"/>
      <c r="F12" s="1213"/>
      <c r="G12" s="1213"/>
      <c r="H12" s="1214"/>
      <c r="I12" s="1214"/>
      <c r="J12" s="1214">
        <f>Q_IS!J55</f>
        <v>579</v>
      </c>
      <c r="K12" s="1214">
        <f>SUM(BF12:BI12)</f>
        <v>428</v>
      </c>
      <c r="L12" s="1214">
        <f>SUM(BJ12:BM12)</f>
        <v>497</v>
      </c>
      <c r="M12" s="1214">
        <f>SUM(BN12:BQ12)</f>
        <v>453</v>
      </c>
      <c r="N12" s="1214">
        <f>SUM(BR12:BU12)</f>
        <v>389</v>
      </c>
      <c r="O12" s="1216">
        <f>SUM(BV12:BY12)</f>
        <v>228</v>
      </c>
      <c r="P12" s="1216">
        <f>-P17</f>
        <v>234</v>
      </c>
      <c r="Q12" s="1216">
        <f>-Q17</f>
        <v>240</v>
      </c>
      <c r="R12" s="1217">
        <f>-R17</f>
        <v>251</v>
      </c>
      <c r="S12" s="1262">
        <f>-S17</f>
        <v>58</v>
      </c>
      <c r="T12" s="946"/>
      <c r="U12" s="946"/>
      <c r="V12" s="946"/>
      <c r="W12" s="946"/>
      <c r="X12" s="1401"/>
      <c r="Y12" s="1401"/>
      <c r="Z12" s="1213"/>
      <c r="AA12" s="1213"/>
      <c r="AB12" s="1213"/>
      <c r="AC12" s="1213"/>
      <c r="AD12" s="1213"/>
      <c r="AE12" s="1213"/>
      <c r="AF12" s="1213"/>
      <c r="AG12" s="1213"/>
      <c r="AH12" s="1213"/>
      <c r="AI12" s="1213"/>
      <c r="AJ12" s="1213"/>
      <c r="AK12" s="1213"/>
      <c r="AL12" s="1213"/>
      <c r="AM12" s="1213"/>
      <c r="AN12" s="1213"/>
      <c r="AO12" s="1213"/>
      <c r="AP12" s="1213"/>
      <c r="AQ12" s="1213"/>
      <c r="AR12" s="1213"/>
      <c r="AS12" s="1213"/>
      <c r="AT12" s="1213"/>
      <c r="AU12" s="1214"/>
      <c r="AV12" s="1213"/>
      <c r="AW12" s="1213"/>
      <c r="AX12" s="1214"/>
      <c r="AY12" s="1214"/>
      <c r="AZ12" s="1214"/>
      <c r="BA12" s="1425"/>
      <c r="BB12" s="1214">
        <f>Q_IS!BB55</f>
        <v>173</v>
      </c>
      <c r="BC12" s="1214">
        <f>Q_IS!BC55</f>
        <v>192</v>
      </c>
      <c r="BD12" s="1214">
        <f>Q_IS!BD55</f>
        <v>104</v>
      </c>
      <c r="BE12" s="1214">
        <f>Q_IS!BE55</f>
        <v>8</v>
      </c>
      <c r="BF12" s="1214">
        <f>Q_IS!BF55</f>
        <v>109</v>
      </c>
      <c r="BG12" s="1214">
        <f>Q_IS!BG55</f>
        <v>112</v>
      </c>
      <c r="BH12" s="1214">
        <f>Q_IS!BH55</f>
        <v>119</v>
      </c>
      <c r="BI12" s="1214">
        <f>Q_IS!BI55</f>
        <v>88</v>
      </c>
      <c r="BJ12" s="1214">
        <f>Q_IS!BJ55</f>
        <v>123</v>
      </c>
      <c r="BK12" s="1214">
        <f>Q_IS!BK55</f>
        <v>124</v>
      </c>
      <c r="BL12" s="1214">
        <f>Q_IS!BL55</f>
        <v>120</v>
      </c>
      <c r="BM12" s="1214">
        <f>Q_IS!BM55</f>
        <v>130</v>
      </c>
      <c r="BN12" s="1218">
        <v>121</v>
      </c>
      <c r="BO12" s="1214">
        <v>116</v>
      </c>
      <c r="BP12" s="1214">
        <v>109</v>
      </c>
      <c r="BQ12" s="1214">
        <v>107</v>
      </c>
      <c r="BR12" s="1218">
        <v>103</v>
      </c>
      <c r="BS12" s="1214">
        <v>101</v>
      </c>
      <c r="BT12" s="1214">
        <v>97</v>
      </c>
      <c r="BU12" s="1214">
        <v>88</v>
      </c>
      <c r="BV12" s="1218">
        <v>57</v>
      </c>
      <c r="BW12" s="1214">
        <v>57</v>
      </c>
      <c r="BX12" s="1214">
        <v>57</v>
      </c>
      <c r="BY12" s="1214">
        <v>57</v>
      </c>
      <c r="BZ12" s="1252">
        <v>54</v>
      </c>
      <c r="CA12" s="1254">
        <v>55</v>
      </c>
      <c r="CB12" s="1254">
        <v>62</v>
      </c>
      <c r="CC12" s="1254">
        <v>63</v>
      </c>
      <c r="CD12" s="1252">
        <v>59</v>
      </c>
      <c r="CE12" s="1254">
        <v>60</v>
      </c>
      <c r="CF12" s="1253">
        <v>61</v>
      </c>
      <c r="CG12" s="1254">
        <v>60</v>
      </c>
      <c r="CH12" s="1252">
        <v>54</v>
      </c>
      <c r="CI12" s="1253">
        <v>63</v>
      </c>
      <c r="CJ12" s="1253">
        <v>62</v>
      </c>
      <c r="CK12" s="1253">
        <f>251-SUM(CH12:CJ12)</f>
        <v>72</v>
      </c>
      <c r="CL12" s="1252">
        <v>58</v>
      </c>
      <c r="CM12" s="946"/>
      <c r="CN12" s="946"/>
      <c r="CO12" s="946"/>
      <c r="CP12" s="946"/>
      <c r="CQ12" s="946"/>
      <c r="CR12" s="946"/>
      <c r="CS12" s="946"/>
      <c r="CT12" s="946"/>
      <c r="CU12" s="1403"/>
      <c r="CV12" s="1403"/>
      <c r="CW12" s="1403"/>
      <c r="CX12" s="1403"/>
    </row>
    <row r="13" spans="1:102" ht="12.75" customHeight="1">
      <c r="A13" s="1225" t="s">
        <v>993</v>
      </c>
      <c r="B13" s="1198"/>
      <c r="C13" s="1198"/>
      <c r="D13" s="1198"/>
      <c r="E13" s="1198"/>
      <c r="F13" s="1198"/>
      <c r="G13" s="1227"/>
      <c r="H13" s="1227"/>
      <c r="I13" s="1227"/>
      <c r="J13" s="1227"/>
      <c r="K13" s="1227">
        <f t="shared" ref="K13:S13" si="3">K12/J12-1</f>
        <v>-0.26079447322970639</v>
      </c>
      <c r="L13" s="1227">
        <f t="shared" si="3"/>
        <v>0.16121495327102808</v>
      </c>
      <c r="M13" s="1227">
        <f t="shared" si="3"/>
        <v>-8.8531187122736443E-2</v>
      </c>
      <c r="N13" s="1227">
        <f t="shared" si="3"/>
        <v>-0.14128035320088306</v>
      </c>
      <c r="O13" s="1229">
        <f t="shared" si="3"/>
        <v>-0.41388174807197942</v>
      </c>
      <c r="P13" s="1229">
        <f>P12/O12-1</f>
        <v>2.6315789473684292E-2</v>
      </c>
      <c r="Q13" s="1229">
        <f>Q12/P12-1</f>
        <v>2.564102564102555E-2</v>
      </c>
      <c r="R13" s="1230">
        <f t="shared" si="3"/>
        <v>4.5833333333333393E-2</v>
      </c>
      <c r="S13" s="1241">
        <f t="shared" si="3"/>
        <v>-0.7689243027888446</v>
      </c>
      <c r="T13" s="946"/>
      <c r="U13" s="946"/>
      <c r="V13" s="946"/>
      <c r="W13" s="946"/>
      <c r="X13" s="946"/>
      <c r="Y13" s="946"/>
      <c r="Z13" s="1198"/>
      <c r="AA13" s="1198"/>
      <c r="AB13" s="1198"/>
      <c r="AC13" s="1198"/>
      <c r="AD13" s="1198"/>
      <c r="AE13" s="1198"/>
      <c r="AF13" s="1198"/>
      <c r="AG13" s="1198"/>
      <c r="AH13" s="1198"/>
      <c r="AI13" s="1198"/>
      <c r="AJ13" s="1198"/>
      <c r="AK13" s="1198"/>
      <c r="AL13" s="1198"/>
      <c r="AM13" s="1198"/>
      <c r="AN13" s="1198"/>
      <c r="AO13" s="1198"/>
      <c r="AP13" s="1198"/>
      <c r="AQ13" s="1198"/>
      <c r="AR13" s="1198"/>
      <c r="AS13" s="1198"/>
      <c r="AT13" s="1227"/>
      <c r="AU13" s="1227"/>
      <c r="AV13" s="1227"/>
      <c r="AW13" s="1227"/>
      <c r="AX13" s="1227"/>
      <c r="AY13" s="1227"/>
      <c r="AZ13" s="1227"/>
      <c r="BA13" s="1227"/>
      <c r="BB13" s="1227"/>
      <c r="BC13" s="1227"/>
      <c r="BD13" s="1227"/>
      <c r="BE13" s="1227"/>
      <c r="BF13" s="1227">
        <f t="shared" ref="BF13:CC13" si="4">BF12/BB12-1</f>
        <v>-0.36994219653179194</v>
      </c>
      <c r="BG13" s="1227">
        <f t="shared" si="4"/>
        <v>-0.41666666666666663</v>
      </c>
      <c r="BH13" s="1227">
        <f t="shared" si="4"/>
        <v>0.14423076923076916</v>
      </c>
      <c r="BI13" s="1227">
        <f t="shared" si="4"/>
        <v>10</v>
      </c>
      <c r="BJ13" s="1227">
        <f t="shared" si="4"/>
        <v>0.12844036697247696</v>
      </c>
      <c r="BK13" s="1227">
        <f t="shared" si="4"/>
        <v>0.10714285714285721</v>
      </c>
      <c r="BL13" s="1227">
        <f t="shared" si="4"/>
        <v>8.4033613445377853E-3</v>
      </c>
      <c r="BM13" s="1227">
        <f t="shared" si="4"/>
        <v>0.47727272727272729</v>
      </c>
      <c r="BN13" s="1231">
        <f t="shared" si="4"/>
        <v>-1.6260162601625994E-2</v>
      </c>
      <c r="BO13" s="1227">
        <f t="shared" si="4"/>
        <v>-6.4516129032258118E-2</v>
      </c>
      <c r="BP13" s="1227">
        <f t="shared" si="4"/>
        <v>-9.1666666666666674E-2</v>
      </c>
      <c r="BQ13" s="1227">
        <f t="shared" si="4"/>
        <v>-0.17692307692307696</v>
      </c>
      <c r="BR13" s="1231">
        <f t="shared" si="4"/>
        <v>-0.14876033057851235</v>
      </c>
      <c r="BS13" s="1227">
        <f t="shared" si="4"/>
        <v>-0.12931034482758619</v>
      </c>
      <c r="BT13" s="1227">
        <f t="shared" si="4"/>
        <v>-0.11009174311926606</v>
      </c>
      <c r="BU13" s="1227">
        <f t="shared" si="4"/>
        <v>-0.17757009345794394</v>
      </c>
      <c r="BV13" s="1231">
        <f t="shared" si="4"/>
        <v>-0.44660194174757284</v>
      </c>
      <c r="BW13" s="1227">
        <f t="shared" si="4"/>
        <v>-0.4356435643564357</v>
      </c>
      <c r="BX13" s="1227">
        <f t="shared" si="4"/>
        <v>-0.41237113402061853</v>
      </c>
      <c r="BY13" s="1227">
        <f t="shared" si="4"/>
        <v>-0.35227272727272729</v>
      </c>
      <c r="BZ13" s="1231">
        <f t="shared" si="4"/>
        <v>-5.2631578947368474E-2</v>
      </c>
      <c r="CA13" s="1229">
        <f t="shared" si="4"/>
        <v>-3.5087719298245612E-2</v>
      </c>
      <c r="CB13" s="1229">
        <f t="shared" si="4"/>
        <v>8.7719298245614086E-2</v>
      </c>
      <c r="CC13" s="1227">
        <f t="shared" si="4"/>
        <v>0.10526315789473695</v>
      </c>
      <c r="CD13" s="1231">
        <f t="shared" ref="CD13:CL13" si="5">CD12/BZ12-1</f>
        <v>9.259259259259256E-2</v>
      </c>
      <c r="CE13" s="1229">
        <f t="shared" si="5"/>
        <v>9.0909090909090828E-2</v>
      </c>
      <c r="CF13" s="1227">
        <f t="shared" si="5"/>
        <v>-1.6129032258064502E-2</v>
      </c>
      <c r="CG13" s="1227">
        <f t="shared" si="5"/>
        <v>-4.7619047619047672E-2</v>
      </c>
      <c r="CH13" s="1231">
        <f t="shared" si="5"/>
        <v>-8.4745762711864403E-2</v>
      </c>
      <c r="CI13" s="1229">
        <f t="shared" si="5"/>
        <v>5.0000000000000044E-2</v>
      </c>
      <c r="CJ13" s="1227">
        <f t="shared" si="5"/>
        <v>1.6393442622950838E-2</v>
      </c>
      <c r="CK13" s="1227">
        <f t="shared" si="5"/>
        <v>0.19999999999999996</v>
      </c>
      <c r="CL13" s="1231">
        <f t="shared" si="5"/>
        <v>7.4074074074074181E-2</v>
      </c>
      <c r="CM13" s="946"/>
      <c r="CN13" s="946"/>
      <c r="CO13" s="946"/>
      <c r="CP13" s="946"/>
      <c r="CQ13" s="946"/>
      <c r="CR13" s="946"/>
      <c r="CS13" s="946"/>
      <c r="CT13" s="946"/>
      <c r="CU13" s="946"/>
      <c r="CV13" s="946"/>
      <c r="CW13" s="946"/>
      <c r="CX13" s="946"/>
    </row>
    <row r="14" spans="1:102" ht="13.5" customHeight="1">
      <c r="A14" s="1225" t="s">
        <v>186</v>
      </c>
      <c r="B14" s="1198"/>
      <c r="C14" s="1198"/>
      <c r="D14" s="1198"/>
      <c r="E14" s="1198"/>
      <c r="F14" s="1198"/>
      <c r="G14" s="1307"/>
      <c r="H14" s="1226"/>
      <c r="I14" s="1226"/>
      <c r="J14" s="1226">
        <f t="shared" ref="J14:S14" si="6">J12-I12</f>
        <v>579</v>
      </c>
      <c r="K14" s="1226">
        <f t="shared" si="6"/>
        <v>-151</v>
      </c>
      <c r="L14" s="1226">
        <f t="shared" si="6"/>
        <v>69</v>
      </c>
      <c r="M14" s="1226">
        <f t="shared" si="6"/>
        <v>-44</v>
      </c>
      <c r="N14" s="1226">
        <f t="shared" si="6"/>
        <v>-64</v>
      </c>
      <c r="O14" s="1179">
        <f t="shared" si="6"/>
        <v>-161</v>
      </c>
      <c r="P14" s="1179">
        <f>P12-O12</f>
        <v>6</v>
      </c>
      <c r="Q14" s="1179">
        <f>Q12-P12</f>
        <v>6</v>
      </c>
      <c r="R14" s="1263">
        <f t="shared" si="6"/>
        <v>11</v>
      </c>
      <c r="S14" s="1266">
        <f t="shared" si="6"/>
        <v>-193</v>
      </c>
      <c r="T14" s="946"/>
      <c r="U14" s="946"/>
      <c r="V14" s="946"/>
      <c r="W14" s="946"/>
      <c r="X14" s="1401"/>
      <c r="Y14" s="1401"/>
      <c r="Z14" s="1198"/>
      <c r="AA14" s="1198"/>
      <c r="AB14" s="1198"/>
      <c r="AC14" s="1198"/>
      <c r="AD14" s="1198"/>
      <c r="AE14" s="1198"/>
      <c r="AF14" s="1198"/>
      <c r="AG14" s="1198"/>
      <c r="AH14" s="1198"/>
      <c r="AI14" s="1198"/>
      <c r="AJ14" s="1198"/>
      <c r="AK14" s="1198"/>
      <c r="AL14" s="1198"/>
      <c r="AM14" s="1198"/>
      <c r="AN14" s="1198"/>
      <c r="AO14" s="1198"/>
      <c r="AP14" s="1198"/>
      <c r="AQ14" s="1198"/>
      <c r="AR14" s="1198"/>
      <c r="AS14" s="1198"/>
      <c r="AT14" s="1198"/>
      <c r="AU14" s="1198"/>
      <c r="AV14" s="1198"/>
      <c r="AW14" s="1307"/>
      <c r="AX14" s="1307"/>
      <c r="AY14" s="1307"/>
      <c r="AZ14" s="1307"/>
      <c r="BA14" s="1307"/>
      <c r="BB14" s="1307"/>
      <c r="BC14" s="1307">
        <f t="shared" ref="BC14:CE14" si="7">BC12-BB12</f>
        <v>19</v>
      </c>
      <c r="BD14" s="1307">
        <f t="shared" si="7"/>
        <v>-88</v>
      </c>
      <c r="BE14" s="1307">
        <f t="shared" si="7"/>
        <v>-96</v>
      </c>
      <c r="BF14" s="1307">
        <f t="shared" si="7"/>
        <v>101</v>
      </c>
      <c r="BG14" s="1307">
        <f t="shared" si="7"/>
        <v>3</v>
      </c>
      <c r="BH14" s="1307">
        <f t="shared" si="7"/>
        <v>7</v>
      </c>
      <c r="BI14" s="1307">
        <f t="shared" si="7"/>
        <v>-31</v>
      </c>
      <c r="BJ14" s="1307">
        <f t="shared" si="7"/>
        <v>35</v>
      </c>
      <c r="BK14" s="1307">
        <f t="shared" si="7"/>
        <v>1</v>
      </c>
      <c r="BL14" s="1307">
        <f t="shared" si="7"/>
        <v>-4</v>
      </c>
      <c r="BM14" s="1307">
        <f t="shared" si="7"/>
        <v>10</v>
      </c>
      <c r="BN14" s="1426">
        <f t="shared" si="7"/>
        <v>-9</v>
      </c>
      <c r="BO14" s="1307">
        <f t="shared" si="7"/>
        <v>-5</v>
      </c>
      <c r="BP14" s="1307">
        <f t="shared" si="7"/>
        <v>-7</v>
      </c>
      <c r="BQ14" s="1307">
        <f t="shared" si="7"/>
        <v>-2</v>
      </c>
      <c r="BR14" s="1426">
        <f t="shared" si="7"/>
        <v>-4</v>
      </c>
      <c r="BS14" s="1307">
        <f t="shared" si="7"/>
        <v>-2</v>
      </c>
      <c r="BT14" s="1307">
        <f t="shared" si="7"/>
        <v>-4</v>
      </c>
      <c r="BU14" s="1307">
        <f t="shared" si="7"/>
        <v>-9</v>
      </c>
      <c r="BV14" s="1426">
        <f t="shared" si="7"/>
        <v>-31</v>
      </c>
      <c r="BW14" s="1307">
        <f t="shared" si="7"/>
        <v>0</v>
      </c>
      <c r="BX14" s="1307">
        <f t="shared" si="7"/>
        <v>0</v>
      </c>
      <c r="BY14" s="1307">
        <f t="shared" si="7"/>
        <v>0</v>
      </c>
      <c r="BZ14" s="1426">
        <f t="shared" si="7"/>
        <v>-3</v>
      </c>
      <c r="CA14" s="1308">
        <f t="shared" si="7"/>
        <v>1</v>
      </c>
      <c r="CB14" s="1307">
        <f t="shared" si="7"/>
        <v>7</v>
      </c>
      <c r="CC14" s="1307">
        <f t="shared" si="7"/>
        <v>1</v>
      </c>
      <c r="CD14" s="1426">
        <f t="shared" si="7"/>
        <v>-4</v>
      </c>
      <c r="CE14" s="1308">
        <f t="shared" si="7"/>
        <v>1</v>
      </c>
      <c r="CF14" s="1307">
        <f t="shared" ref="CF14:CL14" si="8">CF12-CE12</f>
        <v>1</v>
      </c>
      <c r="CG14" s="1307">
        <f t="shared" si="8"/>
        <v>-1</v>
      </c>
      <c r="CH14" s="1426">
        <f t="shared" si="8"/>
        <v>-6</v>
      </c>
      <c r="CI14" s="1308">
        <f t="shared" si="8"/>
        <v>9</v>
      </c>
      <c r="CJ14" s="1307">
        <f t="shared" si="8"/>
        <v>-1</v>
      </c>
      <c r="CK14" s="1307">
        <f t="shared" si="8"/>
        <v>10</v>
      </c>
      <c r="CL14" s="1426">
        <f t="shared" si="8"/>
        <v>-14</v>
      </c>
      <c r="CM14" s="946"/>
      <c r="CN14" s="946"/>
      <c r="CO14" s="946"/>
      <c r="CP14" s="946"/>
      <c r="CQ14" s="946"/>
      <c r="CR14" s="946"/>
      <c r="CS14" s="946"/>
      <c r="CT14" s="946"/>
      <c r="CU14" s="946"/>
      <c r="CV14" s="946"/>
      <c r="CW14" s="946"/>
      <c r="CX14" s="946"/>
    </row>
    <row r="15" spans="1:102" ht="13.5" customHeight="1">
      <c r="A15" s="1225"/>
      <c r="B15" s="1198"/>
      <c r="C15" s="1198"/>
      <c r="D15" s="1198"/>
      <c r="E15" s="1198"/>
      <c r="F15" s="1198"/>
      <c r="G15" s="1307"/>
      <c r="H15" s="1226"/>
      <c r="I15" s="1226"/>
      <c r="J15" s="1226"/>
      <c r="K15" s="1226"/>
      <c r="L15" s="1226"/>
      <c r="M15" s="1226"/>
      <c r="N15" s="1226"/>
      <c r="O15" s="1179"/>
      <c r="P15" s="1179"/>
      <c r="Q15" s="1179"/>
      <c r="R15" s="1263"/>
      <c r="S15" s="1266"/>
      <c r="T15" s="946"/>
      <c r="U15" s="946"/>
      <c r="V15" s="946"/>
      <c r="W15" s="946"/>
      <c r="X15" s="946"/>
      <c r="Y15" s="946"/>
      <c r="Z15" s="1198"/>
      <c r="AA15" s="1198"/>
      <c r="AB15" s="1198"/>
      <c r="AC15" s="1198"/>
      <c r="AD15" s="1198"/>
      <c r="AE15" s="1198"/>
      <c r="AF15" s="1198"/>
      <c r="AG15" s="1198"/>
      <c r="AH15" s="1198"/>
      <c r="AI15" s="1198"/>
      <c r="AJ15" s="1198"/>
      <c r="AK15" s="1198"/>
      <c r="AL15" s="1198"/>
      <c r="AM15" s="1198"/>
      <c r="AN15" s="1198"/>
      <c r="AO15" s="1198"/>
      <c r="AP15" s="1198"/>
      <c r="AQ15" s="1198"/>
      <c r="AR15" s="1198"/>
      <c r="AS15" s="1198"/>
      <c r="AT15" s="1198"/>
      <c r="AU15" s="1198"/>
      <c r="AV15" s="1198"/>
      <c r="AW15" s="1307"/>
      <c r="AX15" s="1307"/>
      <c r="AY15" s="1307"/>
      <c r="AZ15" s="1307"/>
      <c r="BA15" s="1307"/>
      <c r="BB15" s="1307"/>
      <c r="BC15" s="1307"/>
      <c r="BD15" s="1307"/>
      <c r="BE15" s="1307"/>
      <c r="BF15" s="1307"/>
      <c r="BG15" s="1307"/>
      <c r="BH15" s="1307"/>
      <c r="BI15" s="1307"/>
      <c r="BJ15" s="1307"/>
      <c r="BK15" s="1307"/>
      <c r="BL15" s="1307"/>
      <c r="BM15" s="1307"/>
      <c r="BN15" s="1426"/>
      <c r="BO15" s="1307"/>
      <c r="BP15" s="1307"/>
      <c r="BQ15" s="1307"/>
      <c r="BR15" s="1426"/>
      <c r="BS15" s="1307"/>
      <c r="BT15" s="1307"/>
      <c r="BU15" s="1427"/>
      <c r="BV15" s="1428"/>
      <c r="BW15" s="1427"/>
      <c r="BX15" s="1427"/>
      <c r="BY15" s="1427"/>
      <c r="BZ15" s="1428"/>
      <c r="CA15" s="1427"/>
      <c r="CB15" s="1427"/>
      <c r="CC15" s="1427"/>
      <c r="CD15" s="1428"/>
      <c r="CE15" s="1427"/>
      <c r="CF15" s="1427"/>
      <c r="CG15" s="1427"/>
      <c r="CH15" s="1428"/>
      <c r="CI15" s="1427"/>
      <c r="CJ15" s="1427"/>
      <c r="CK15" s="1427"/>
      <c r="CL15" s="1428"/>
      <c r="CM15" s="946"/>
      <c r="CN15" s="946"/>
      <c r="CO15" s="946"/>
      <c r="CP15" s="946"/>
      <c r="CQ15" s="946"/>
      <c r="CR15" s="946"/>
      <c r="CS15" s="946"/>
      <c r="CT15" s="946"/>
      <c r="CU15" s="946"/>
      <c r="CV15" s="946"/>
      <c r="CW15" s="946"/>
      <c r="CX15" s="946"/>
    </row>
    <row r="16" spans="1:102" ht="13.5" customHeight="1">
      <c r="A16" s="1198" t="s">
        <v>646</v>
      </c>
      <c r="B16" s="1198"/>
      <c r="C16" s="1198"/>
      <c r="D16" s="1198"/>
      <c r="E16" s="1198"/>
      <c r="F16" s="1198"/>
      <c r="G16" s="1307"/>
      <c r="H16" s="1226"/>
      <c r="I16" s="1226"/>
      <c r="J16" s="1226"/>
      <c r="K16" s="1226"/>
      <c r="L16" s="1226">
        <f t="shared" ref="L16:S16" si="9">K19</f>
        <v>1549</v>
      </c>
      <c r="M16" s="1226">
        <f t="shared" si="9"/>
        <v>1179</v>
      </c>
      <c r="N16" s="1226">
        <f t="shared" si="9"/>
        <v>1007</v>
      </c>
      <c r="O16" s="1179">
        <f t="shared" si="9"/>
        <v>891</v>
      </c>
      <c r="P16" s="1179">
        <f t="shared" si="9"/>
        <v>853</v>
      </c>
      <c r="Q16" s="1179">
        <f t="shared" si="9"/>
        <v>875</v>
      </c>
      <c r="R16" s="1263">
        <f t="shared" si="9"/>
        <v>911</v>
      </c>
      <c r="S16" s="1266">
        <f t="shared" si="9"/>
        <v>888</v>
      </c>
      <c r="T16" s="946"/>
      <c r="U16" s="946"/>
      <c r="V16" s="946"/>
      <c r="W16" s="946"/>
      <c r="X16" s="1401"/>
      <c r="Y16" s="1401"/>
      <c r="Z16" s="1198"/>
      <c r="AA16" s="1198"/>
      <c r="AB16" s="1198"/>
      <c r="AC16" s="1198"/>
      <c r="AD16" s="1198"/>
      <c r="AE16" s="1198"/>
      <c r="AF16" s="1198"/>
      <c r="AG16" s="1198"/>
      <c r="AH16" s="1198"/>
      <c r="AI16" s="1198"/>
      <c r="AJ16" s="1198"/>
      <c r="AK16" s="1198"/>
      <c r="AL16" s="1198"/>
      <c r="AM16" s="1198"/>
      <c r="AN16" s="1198"/>
      <c r="AO16" s="1198"/>
      <c r="AP16" s="1198"/>
      <c r="AQ16" s="1198"/>
      <c r="AR16" s="1198"/>
      <c r="AS16" s="1198"/>
      <c r="AT16" s="1198"/>
      <c r="AU16" s="1198"/>
      <c r="AV16" s="1198"/>
      <c r="AW16" s="1307"/>
      <c r="AX16" s="1307"/>
      <c r="AY16" s="1307"/>
      <c r="AZ16" s="1307"/>
      <c r="BA16" s="1307"/>
      <c r="BB16" s="1307"/>
      <c r="BC16" s="1307"/>
      <c r="BD16" s="1307"/>
      <c r="BE16" s="1307"/>
      <c r="BF16" s="1307"/>
      <c r="BG16" s="1307"/>
      <c r="BH16" s="1307"/>
      <c r="BI16" s="1307"/>
      <c r="BJ16" s="1307"/>
      <c r="BK16" s="1223">
        <f t="shared" ref="BK16:CG16" si="10">BJ19</f>
        <v>1532</v>
      </c>
      <c r="BL16" s="1223">
        <f t="shared" si="10"/>
        <v>1346</v>
      </c>
      <c r="BM16" s="1223">
        <f t="shared" si="10"/>
        <v>1216</v>
      </c>
      <c r="BN16" s="1429">
        <f t="shared" si="10"/>
        <v>1179</v>
      </c>
      <c r="BO16" s="1223">
        <f t="shared" si="10"/>
        <v>1112</v>
      </c>
      <c r="BP16" s="1223">
        <f t="shared" si="10"/>
        <v>1073</v>
      </c>
      <c r="BQ16" s="1223">
        <f t="shared" si="10"/>
        <v>1035</v>
      </c>
      <c r="BR16" s="1429">
        <f t="shared" si="10"/>
        <v>1007</v>
      </c>
      <c r="BS16" s="1223">
        <f t="shared" si="10"/>
        <v>971</v>
      </c>
      <c r="BT16" s="1223">
        <f t="shared" si="10"/>
        <v>929</v>
      </c>
      <c r="BU16" s="1223">
        <f t="shared" si="10"/>
        <v>943</v>
      </c>
      <c r="BV16" s="1429">
        <f t="shared" si="10"/>
        <v>891</v>
      </c>
      <c r="BW16" s="1223">
        <f t="shared" si="10"/>
        <v>812</v>
      </c>
      <c r="BX16" s="1223">
        <f t="shared" si="10"/>
        <v>817</v>
      </c>
      <c r="BY16" s="1223">
        <f t="shared" si="10"/>
        <v>824</v>
      </c>
      <c r="BZ16" s="1429">
        <f>BY19</f>
        <v>853</v>
      </c>
      <c r="CA16" s="1223">
        <f t="shared" si="10"/>
        <v>868</v>
      </c>
      <c r="CB16" s="1223">
        <f t="shared" si="10"/>
        <v>862</v>
      </c>
      <c r="CC16" s="1223">
        <f t="shared" si="10"/>
        <v>864</v>
      </c>
      <c r="CD16" s="1429">
        <f>CC19</f>
        <v>875</v>
      </c>
      <c r="CE16" s="1223">
        <f t="shared" si="10"/>
        <v>880</v>
      </c>
      <c r="CF16" s="1223">
        <f t="shared" si="10"/>
        <v>885</v>
      </c>
      <c r="CG16" s="1223">
        <f t="shared" si="10"/>
        <v>888</v>
      </c>
      <c r="CH16" s="1429">
        <f>CG19</f>
        <v>911</v>
      </c>
      <c r="CI16" s="1223">
        <f>CH19</f>
        <v>912</v>
      </c>
      <c r="CJ16" s="1223">
        <f>CI19</f>
        <v>917</v>
      </c>
      <c r="CK16" s="1223">
        <f>CJ19</f>
        <v>923</v>
      </c>
      <c r="CL16" s="1429">
        <f>CK19</f>
        <v>888</v>
      </c>
      <c r="CM16" s="946"/>
      <c r="CN16" s="946"/>
      <c r="CO16" s="946"/>
      <c r="CP16" s="946"/>
      <c r="CQ16" s="946"/>
      <c r="CR16" s="946"/>
      <c r="CS16" s="946"/>
      <c r="CT16" s="946"/>
      <c r="CU16" s="1403"/>
      <c r="CV16" s="946"/>
      <c r="CW16" s="946"/>
      <c r="CX16" s="946"/>
    </row>
    <row r="17" spans="1:102" ht="13.5" customHeight="1">
      <c r="A17" s="1198" t="s">
        <v>647</v>
      </c>
      <c r="B17" s="1198"/>
      <c r="C17" s="1198"/>
      <c r="D17" s="1198"/>
      <c r="E17" s="1198"/>
      <c r="F17" s="1198"/>
      <c r="G17" s="1307"/>
      <c r="H17" s="1226"/>
      <c r="I17" s="1226"/>
      <c r="J17" s="1226"/>
      <c r="K17" s="1226"/>
      <c r="L17" s="1223">
        <f>SUM(BJ17:BM17)</f>
        <v>-497</v>
      </c>
      <c r="M17" s="1223">
        <f>SUM(BN17:BQ17)</f>
        <v>-453</v>
      </c>
      <c r="N17" s="1223">
        <f>SUM(BR17:BU17)</f>
        <v>-389</v>
      </c>
      <c r="O17" s="948">
        <f>SUM(BV17:BY17)</f>
        <v>-228</v>
      </c>
      <c r="P17" s="948">
        <f>SUM(BZ17:CC17)</f>
        <v>-234</v>
      </c>
      <c r="Q17" s="948">
        <f>SUM(CD17:CG17)</f>
        <v>-240</v>
      </c>
      <c r="R17" s="985">
        <f>SUM(CH17:CK17)</f>
        <v>-251</v>
      </c>
      <c r="S17" s="991">
        <f>SUM(CL17:CO17)</f>
        <v>-58</v>
      </c>
      <c r="T17" s="946"/>
      <c r="U17" s="946"/>
      <c r="V17" s="946"/>
      <c r="W17" s="946"/>
      <c r="X17" s="946"/>
      <c r="Y17" s="946"/>
      <c r="Z17" s="1198"/>
      <c r="AA17" s="1198"/>
      <c r="AB17" s="1198"/>
      <c r="AC17" s="1198"/>
      <c r="AD17" s="1198"/>
      <c r="AE17" s="1198"/>
      <c r="AF17" s="1198"/>
      <c r="AG17" s="1198"/>
      <c r="AH17" s="1198"/>
      <c r="AI17" s="1198"/>
      <c r="AJ17" s="1198"/>
      <c r="AK17" s="1198"/>
      <c r="AL17" s="1198"/>
      <c r="AM17" s="1198"/>
      <c r="AN17" s="1198"/>
      <c r="AO17" s="1198"/>
      <c r="AP17" s="1198"/>
      <c r="AQ17" s="1198"/>
      <c r="AR17" s="1198"/>
      <c r="AS17" s="1198"/>
      <c r="AT17" s="1198"/>
      <c r="AU17" s="1198"/>
      <c r="AV17" s="1198"/>
      <c r="AW17" s="1307"/>
      <c r="AX17" s="1307"/>
      <c r="AY17" s="1307"/>
      <c r="AZ17" s="1307"/>
      <c r="BA17" s="1307"/>
      <c r="BB17" s="1307"/>
      <c r="BC17" s="1307"/>
      <c r="BD17" s="1307"/>
      <c r="BE17" s="1307"/>
      <c r="BF17" s="1307"/>
      <c r="BG17" s="1307"/>
      <c r="BH17" s="1307"/>
      <c r="BI17" s="1307"/>
      <c r="BJ17" s="1223">
        <v>-123</v>
      </c>
      <c r="BK17" s="1223">
        <v>-124</v>
      </c>
      <c r="BL17" s="1223">
        <v>-120</v>
      </c>
      <c r="BM17" s="1223">
        <v>-130</v>
      </c>
      <c r="BN17" s="1429">
        <v>-121</v>
      </c>
      <c r="BO17" s="1223">
        <v>-116</v>
      </c>
      <c r="BP17" s="1223">
        <v>-109</v>
      </c>
      <c r="BQ17" s="1223">
        <v>-107</v>
      </c>
      <c r="BR17" s="1429">
        <v>-103</v>
      </c>
      <c r="BS17" s="1223">
        <v>-101</v>
      </c>
      <c r="BT17" s="1223">
        <v>-97</v>
      </c>
      <c r="BU17" s="1223">
        <v>-88</v>
      </c>
      <c r="BV17" s="1429">
        <v>-57</v>
      </c>
      <c r="BW17" s="1223">
        <v>-57</v>
      </c>
      <c r="BX17" s="1223">
        <v>-57</v>
      </c>
      <c r="BY17" s="1223">
        <v>-57</v>
      </c>
      <c r="BZ17" s="1429">
        <f t="shared" ref="BZ17:CE17" si="11">-BZ12</f>
        <v>-54</v>
      </c>
      <c r="CA17" s="1223">
        <f t="shared" si="11"/>
        <v>-55</v>
      </c>
      <c r="CB17" s="1223">
        <f t="shared" si="11"/>
        <v>-62</v>
      </c>
      <c r="CC17" s="1223">
        <f t="shared" si="11"/>
        <v>-63</v>
      </c>
      <c r="CD17" s="1429">
        <f t="shared" si="11"/>
        <v>-59</v>
      </c>
      <c r="CE17" s="1223">
        <f t="shared" si="11"/>
        <v>-60</v>
      </c>
      <c r="CF17" s="1223">
        <f t="shared" ref="CF17:CK17" si="12">-CF12</f>
        <v>-61</v>
      </c>
      <c r="CG17" s="1223">
        <f t="shared" si="12"/>
        <v>-60</v>
      </c>
      <c r="CH17" s="1429">
        <f t="shared" si="12"/>
        <v>-54</v>
      </c>
      <c r="CI17" s="948">
        <f t="shared" si="12"/>
        <v>-63</v>
      </c>
      <c r="CJ17" s="948">
        <f t="shared" si="12"/>
        <v>-62</v>
      </c>
      <c r="CK17" s="948">
        <f t="shared" si="12"/>
        <v>-72</v>
      </c>
      <c r="CL17" s="1429">
        <f>-CL12</f>
        <v>-58</v>
      </c>
      <c r="CM17" s="946"/>
      <c r="CN17" s="946"/>
      <c r="CO17" s="946"/>
      <c r="CP17" s="946"/>
      <c r="CQ17" s="946"/>
      <c r="CR17" s="946"/>
      <c r="CS17" s="946"/>
      <c r="CT17" s="946"/>
      <c r="CU17" s="946"/>
      <c r="CV17" s="946"/>
      <c r="CW17" s="946"/>
      <c r="CX17" s="946"/>
    </row>
    <row r="18" spans="1:102" ht="13.5" customHeight="1">
      <c r="A18" s="1198" t="s">
        <v>648</v>
      </c>
      <c r="B18" s="1198"/>
      <c r="C18" s="1198"/>
      <c r="D18" s="1198"/>
      <c r="E18" s="1198"/>
      <c r="F18" s="1198"/>
      <c r="G18" s="1307"/>
      <c r="H18" s="1226"/>
      <c r="I18" s="1226"/>
      <c r="J18" s="1226"/>
      <c r="K18" s="1226"/>
      <c r="L18" s="1244">
        <f>L19-L16-L17</f>
        <v>127</v>
      </c>
      <c r="M18" s="1244">
        <f>M19-M16-M17</f>
        <v>281</v>
      </c>
      <c r="N18" s="1430">
        <f>SUM(BR18:BU18)</f>
        <v>273</v>
      </c>
      <c r="O18" s="1430">
        <f>SUM(BV18:BY18)</f>
        <v>190</v>
      </c>
      <c r="P18" s="1430">
        <f>SUM(BZ18:CC18)</f>
        <v>256</v>
      </c>
      <c r="Q18" s="1430">
        <f>SUM(CD18:CG18)</f>
        <v>276</v>
      </c>
      <c r="R18" s="1431">
        <f>SUM(CH18:CK18)</f>
        <v>228</v>
      </c>
      <c r="S18" s="1063">
        <f>SUM(CL18:CO18)</f>
        <v>57</v>
      </c>
      <c r="T18" s="946"/>
      <c r="U18" s="946"/>
      <c r="V18" s="946"/>
      <c r="W18" s="946"/>
      <c r="X18" s="1401"/>
      <c r="Y18" s="1401"/>
      <c r="Z18" s="1198"/>
      <c r="AA18" s="1198"/>
      <c r="AB18" s="1198"/>
      <c r="AC18" s="1198"/>
      <c r="AD18" s="1198"/>
      <c r="AE18" s="1198"/>
      <c r="AF18" s="1198"/>
      <c r="AG18" s="1198"/>
      <c r="AH18" s="1198"/>
      <c r="AI18" s="1198"/>
      <c r="AJ18" s="1198"/>
      <c r="AK18" s="1198"/>
      <c r="AL18" s="1198"/>
      <c r="AM18" s="1198"/>
      <c r="AN18" s="1198"/>
      <c r="AO18" s="1198"/>
      <c r="AP18" s="1198"/>
      <c r="AQ18" s="1198"/>
      <c r="AR18" s="1198"/>
      <c r="AS18" s="1198"/>
      <c r="AT18" s="1198"/>
      <c r="AU18" s="1198"/>
      <c r="AV18" s="1198"/>
      <c r="AW18" s="1307"/>
      <c r="AX18" s="1307"/>
      <c r="AY18" s="1307"/>
      <c r="AZ18" s="1307"/>
      <c r="BA18" s="1307"/>
      <c r="BB18" s="1307"/>
      <c r="BC18" s="1307"/>
      <c r="BD18" s="1307"/>
      <c r="BE18" s="1307"/>
      <c r="BF18" s="1307"/>
      <c r="BG18" s="1307"/>
      <c r="BH18" s="1307"/>
      <c r="BI18" s="1307"/>
      <c r="BJ18" s="1432"/>
      <c r="BK18" s="1430">
        <f t="shared" ref="BK18:BX18" si="13">BK19-BK16-BK17</f>
        <v>-62</v>
      </c>
      <c r="BL18" s="1430">
        <f t="shared" si="13"/>
        <v>-10</v>
      </c>
      <c r="BM18" s="1430">
        <f t="shared" si="13"/>
        <v>93</v>
      </c>
      <c r="BN18" s="1433">
        <f t="shared" si="13"/>
        <v>54</v>
      </c>
      <c r="BO18" s="1430">
        <f t="shared" si="13"/>
        <v>77</v>
      </c>
      <c r="BP18" s="1430">
        <f t="shared" si="13"/>
        <v>71</v>
      </c>
      <c r="BQ18" s="1430">
        <f t="shared" si="13"/>
        <v>79</v>
      </c>
      <c r="BR18" s="1433">
        <f t="shared" si="13"/>
        <v>67</v>
      </c>
      <c r="BS18" s="1430">
        <f t="shared" si="13"/>
        <v>59</v>
      </c>
      <c r="BT18" s="1430">
        <f t="shared" si="13"/>
        <v>111</v>
      </c>
      <c r="BU18" s="1430">
        <f t="shared" si="13"/>
        <v>36</v>
      </c>
      <c r="BV18" s="1433">
        <f t="shared" si="13"/>
        <v>-22</v>
      </c>
      <c r="BW18" s="1430">
        <f t="shared" si="13"/>
        <v>62</v>
      </c>
      <c r="BX18" s="1430">
        <f t="shared" si="13"/>
        <v>64</v>
      </c>
      <c r="BY18" s="1430">
        <f t="shared" ref="BY18:CF18" si="14">BY19-BY16-BY17</f>
        <v>86</v>
      </c>
      <c r="BZ18" s="1433">
        <f t="shared" si="14"/>
        <v>69</v>
      </c>
      <c r="CA18" s="1430">
        <f t="shared" si="14"/>
        <v>49</v>
      </c>
      <c r="CB18" s="1430">
        <f t="shared" si="14"/>
        <v>64</v>
      </c>
      <c r="CC18" s="1430">
        <f t="shared" si="14"/>
        <v>74</v>
      </c>
      <c r="CD18" s="1433">
        <f>CD19-CD16-CD17</f>
        <v>64</v>
      </c>
      <c r="CE18" s="1430">
        <f t="shared" si="14"/>
        <v>65</v>
      </c>
      <c r="CF18" s="1430">
        <f t="shared" si="14"/>
        <v>64</v>
      </c>
      <c r="CG18" s="1430">
        <f t="shared" ref="CG18:CL18" si="15">CG19-CG16-CG17</f>
        <v>83</v>
      </c>
      <c r="CH18" s="1433">
        <f t="shared" si="15"/>
        <v>55</v>
      </c>
      <c r="CI18" s="1430">
        <f t="shared" si="15"/>
        <v>68</v>
      </c>
      <c r="CJ18" s="1430">
        <f t="shared" si="15"/>
        <v>68</v>
      </c>
      <c r="CK18" s="1430">
        <f t="shared" si="15"/>
        <v>37</v>
      </c>
      <c r="CL18" s="1433">
        <f t="shared" si="15"/>
        <v>57</v>
      </c>
      <c r="CM18" s="946"/>
      <c r="CN18" s="946"/>
      <c r="CO18" s="946"/>
      <c r="CP18" s="946"/>
      <c r="CQ18" s="946"/>
      <c r="CR18" s="946"/>
      <c r="CS18" s="946"/>
      <c r="CT18" s="946"/>
      <c r="CU18" s="1403"/>
      <c r="CV18" s="946"/>
      <c r="CW18" s="946"/>
      <c r="CX18" s="946"/>
    </row>
    <row r="19" spans="1:102" ht="13.5" customHeight="1">
      <c r="A19" s="1198" t="s">
        <v>649</v>
      </c>
      <c r="B19" s="1198"/>
      <c r="C19" s="1198"/>
      <c r="D19" s="1198"/>
      <c r="E19" s="1198"/>
      <c r="F19" s="1198"/>
      <c r="G19" s="1307"/>
      <c r="H19" s="1226"/>
      <c r="I19" s="1226"/>
      <c r="J19" s="1226"/>
      <c r="K19" s="1223">
        <f>Q_BS!K25</f>
        <v>1549</v>
      </c>
      <c r="L19" s="1223">
        <f>Q_BS!L25</f>
        <v>1179</v>
      </c>
      <c r="M19" s="1223">
        <f>Q_BS!M25</f>
        <v>1007</v>
      </c>
      <c r="N19" s="1226">
        <f t="shared" ref="N19:S19" si="16">SUM(N16:N18)</f>
        <v>891</v>
      </c>
      <c r="O19" s="1179">
        <f t="shared" si="16"/>
        <v>853</v>
      </c>
      <c r="P19" s="1179">
        <f t="shared" si="16"/>
        <v>875</v>
      </c>
      <c r="Q19" s="1179">
        <f t="shared" si="16"/>
        <v>911</v>
      </c>
      <c r="R19" s="1263">
        <f t="shared" si="16"/>
        <v>888</v>
      </c>
      <c r="S19" s="1266">
        <f t="shared" si="16"/>
        <v>887</v>
      </c>
      <c r="T19" s="946"/>
      <c r="U19" s="946"/>
      <c r="V19" s="946"/>
      <c r="W19" s="946"/>
      <c r="X19" s="946"/>
      <c r="Y19" s="946"/>
      <c r="Z19" s="1198"/>
      <c r="AA19" s="1198"/>
      <c r="AB19" s="1198"/>
      <c r="AC19" s="1198"/>
      <c r="AD19" s="1198"/>
      <c r="AE19" s="1198"/>
      <c r="AF19" s="1198"/>
      <c r="AG19" s="1198"/>
      <c r="AH19" s="1198"/>
      <c r="AI19" s="1198"/>
      <c r="AJ19" s="1198"/>
      <c r="AK19" s="1198"/>
      <c r="AL19" s="1198"/>
      <c r="AM19" s="1198"/>
      <c r="AN19" s="1198"/>
      <c r="AO19" s="1198"/>
      <c r="AP19" s="1198"/>
      <c r="AQ19" s="1198"/>
      <c r="AR19" s="1198"/>
      <c r="AS19" s="1198"/>
      <c r="AT19" s="1198"/>
      <c r="AU19" s="1198"/>
      <c r="AV19" s="1198"/>
      <c r="AW19" s="1307"/>
      <c r="AX19" s="1307"/>
      <c r="AY19" s="1307"/>
      <c r="AZ19" s="1307"/>
      <c r="BA19" s="1307"/>
      <c r="BB19" s="1307"/>
      <c r="BC19" s="1307"/>
      <c r="BD19" s="1307"/>
      <c r="BE19" s="1307"/>
      <c r="BF19" s="1307"/>
      <c r="BG19" s="1307"/>
      <c r="BH19" s="1307"/>
      <c r="BI19" s="1307"/>
      <c r="BJ19" s="1223">
        <f>Q_BS!BJ25</f>
        <v>1532</v>
      </c>
      <c r="BK19" s="1223">
        <f>Q_BS!BK25</f>
        <v>1346</v>
      </c>
      <c r="BL19" s="1223">
        <f>Q_BS!BL25</f>
        <v>1216</v>
      </c>
      <c r="BM19" s="1223">
        <f>Q_BS!BM25</f>
        <v>1179</v>
      </c>
      <c r="BN19" s="1429">
        <f>Q_BS!BN25</f>
        <v>1112</v>
      </c>
      <c r="BO19" s="1223">
        <f>Q_BS!BO25</f>
        <v>1073</v>
      </c>
      <c r="BP19" s="1223">
        <f>Q_BS!BP25</f>
        <v>1035</v>
      </c>
      <c r="BQ19" s="1223">
        <f>Q_BS!BQ25</f>
        <v>1007</v>
      </c>
      <c r="BR19" s="1429">
        <f>Q_BS!BR25</f>
        <v>971</v>
      </c>
      <c r="BS19" s="1223">
        <f>Q_BS!BS25</f>
        <v>929</v>
      </c>
      <c r="BT19" s="1223">
        <f>Q_BS!BT25</f>
        <v>943</v>
      </c>
      <c r="BU19" s="1223">
        <f>Q_BS!BU25</f>
        <v>891</v>
      </c>
      <c r="BV19" s="1429">
        <f>Q_BS!BV25</f>
        <v>812</v>
      </c>
      <c r="BW19" s="1223">
        <f>Q_BS!BW25</f>
        <v>817</v>
      </c>
      <c r="BX19" s="1223">
        <f>Q_BS!BX25</f>
        <v>824</v>
      </c>
      <c r="BY19" s="1223">
        <f>Q_BS!BY25</f>
        <v>853</v>
      </c>
      <c r="BZ19" s="1434">
        <f>Q_BS!BZ25</f>
        <v>868</v>
      </c>
      <c r="CA19" s="1223">
        <f>Q_BS!CA25</f>
        <v>862</v>
      </c>
      <c r="CB19" s="1223">
        <f>Q_BS!CB25</f>
        <v>864</v>
      </c>
      <c r="CC19" s="1223">
        <f>Q_BS!CC25</f>
        <v>875</v>
      </c>
      <c r="CD19" s="1429">
        <f>Q_BS!CD25</f>
        <v>880</v>
      </c>
      <c r="CE19" s="1223">
        <f>Q_BS!CE25</f>
        <v>885</v>
      </c>
      <c r="CF19" s="1223">
        <f>Q_BS!CF25</f>
        <v>888</v>
      </c>
      <c r="CG19" s="1223">
        <f>Q_BS!CG25</f>
        <v>911</v>
      </c>
      <c r="CH19" s="1429">
        <f>Q_BS!CH25</f>
        <v>912</v>
      </c>
      <c r="CI19" s="948">
        <f>Q_BS!CI25</f>
        <v>917</v>
      </c>
      <c r="CJ19" s="948">
        <f>Q_BS!CJ25</f>
        <v>923</v>
      </c>
      <c r="CK19" s="948">
        <f>Q_BS!CK25</f>
        <v>888</v>
      </c>
      <c r="CL19" s="1429">
        <f>Q_BS!CL25</f>
        <v>887</v>
      </c>
      <c r="CM19" s="946"/>
      <c r="CN19" s="946"/>
      <c r="CO19" s="946"/>
      <c r="CP19" s="946"/>
      <c r="CQ19" s="946"/>
      <c r="CR19" s="946"/>
      <c r="CS19" s="946"/>
      <c r="CT19" s="946"/>
      <c r="CU19" s="1403"/>
      <c r="CV19" s="946"/>
      <c r="CW19" s="946"/>
      <c r="CX19" s="946"/>
    </row>
    <row r="20" spans="1:102" ht="13.5" customHeight="1">
      <c r="A20" s="1198"/>
      <c r="B20" s="1198"/>
      <c r="C20" s="1198"/>
      <c r="D20" s="1198"/>
      <c r="E20" s="1198"/>
      <c r="F20" s="1198"/>
      <c r="G20" s="1307"/>
      <c r="H20" s="1226"/>
      <c r="I20" s="1226"/>
      <c r="J20" s="1226"/>
      <c r="K20" s="1226"/>
      <c r="L20" s="1435">
        <f t="shared" ref="L20:Q20" si="17">L16/L17</f>
        <v>-3.1167002012072436</v>
      </c>
      <c r="M20" s="1435">
        <f t="shared" si="17"/>
        <v>-2.6026490066225167</v>
      </c>
      <c r="N20" s="1435">
        <f t="shared" si="17"/>
        <v>-2.5886889460154241</v>
      </c>
      <c r="O20" s="1436">
        <f t="shared" si="17"/>
        <v>-3.9078947368421053</v>
      </c>
      <c r="P20" s="1436">
        <f t="shared" si="17"/>
        <v>-3.6452991452991452</v>
      </c>
      <c r="Q20" s="1436">
        <f t="shared" si="17"/>
        <v>-3.6458333333333335</v>
      </c>
      <c r="R20" s="1437">
        <f>R16/R17</f>
        <v>-3.6294820717131473</v>
      </c>
      <c r="S20" s="1438">
        <f>S16/S17</f>
        <v>-15.310344827586206</v>
      </c>
      <c r="T20" s="946"/>
      <c r="U20" s="946"/>
      <c r="V20" s="946"/>
      <c r="W20" s="946"/>
      <c r="X20" s="1401"/>
      <c r="Y20" s="1401"/>
      <c r="Z20" s="1198"/>
      <c r="AA20" s="1198"/>
      <c r="AB20" s="1198"/>
      <c r="AC20" s="1198"/>
      <c r="AD20" s="1198"/>
      <c r="AE20" s="1198"/>
      <c r="AF20" s="1198"/>
      <c r="AG20" s="1198"/>
      <c r="AH20" s="1198"/>
      <c r="AI20" s="1198"/>
      <c r="AJ20" s="1198"/>
      <c r="AK20" s="1198"/>
      <c r="AL20" s="1198"/>
      <c r="AM20" s="1198"/>
      <c r="AN20" s="1198"/>
      <c r="AO20" s="1198"/>
      <c r="AP20" s="1198"/>
      <c r="AQ20" s="1198"/>
      <c r="AR20" s="1198"/>
      <c r="AS20" s="1198"/>
      <c r="AT20" s="1198"/>
      <c r="AU20" s="1198"/>
      <c r="AV20" s="1198"/>
      <c r="AW20" s="1307"/>
      <c r="AX20" s="1307"/>
      <c r="AY20" s="1307"/>
      <c r="AZ20" s="1307"/>
      <c r="BA20" s="1307"/>
      <c r="BB20" s="1307"/>
      <c r="BC20" s="1307"/>
      <c r="BD20" s="1307"/>
      <c r="BE20" s="1307"/>
      <c r="BF20" s="1307"/>
      <c r="BG20" s="1307"/>
      <c r="BH20" s="1307"/>
      <c r="BI20" s="1307"/>
      <c r="BJ20" s="1307"/>
      <c r="BK20" s="1435">
        <f t="shared" ref="BK20:BX20" si="18">BK16/(BK17*4)</f>
        <v>-3.088709677419355</v>
      </c>
      <c r="BL20" s="1435">
        <f t="shared" si="18"/>
        <v>-2.8041666666666667</v>
      </c>
      <c r="BM20" s="1435">
        <f t="shared" si="18"/>
        <v>-2.3384615384615386</v>
      </c>
      <c r="BN20" s="1439">
        <f t="shared" si="18"/>
        <v>-2.4359504132231407</v>
      </c>
      <c r="BO20" s="1435">
        <f t="shared" si="18"/>
        <v>-2.396551724137931</v>
      </c>
      <c r="BP20" s="1435">
        <f t="shared" si="18"/>
        <v>-2.4610091743119265</v>
      </c>
      <c r="BQ20" s="1435">
        <f t="shared" si="18"/>
        <v>-2.4182242990654204</v>
      </c>
      <c r="BR20" s="1439">
        <f t="shared" si="18"/>
        <v>-2.4441747572815533</v>
      </c>
      <c r="BS20" s="1435">
        <f t="shared" si="18"/>
        <v>-2.4034653465346536</v>
      </c>
      <c r="BT20" s="1435">
        <f t="shared" si="18"/>
        <v>-2.3943298969072164</v>
      </c>
      <c r="BU20" s="1435">
        <f t="shared" si="18"/>
        <v>-2.6789772727272729</v>
      </c>
      <c r="BV20" s="1439">
        <f t="shared" si="18"/>
        <v>-3.9078947368421053</v>
      </c>
      <c r="BW20" s="1435">
        <f t="shared" si="18"/>
        <v>-3.5614035087719298</v>
      </c>
      <c r="BX20" s="1435">
        <f t="shared" si="18"/>
        <v>-3.5833333333333335</v>
      </c>
      <c r="BY20" s="1435">
        <f t="shared" ref="BY20:CD20" si="19">BY16/(BY17*4)</f>
        <v>-3.6140350877192984</v>
      </c>
      <c r="BZ20" s="1439">
        <f t="shared" si="19"/>
        <v>-3.949074074074074</v>
      </c>
      <c r="CA20" s="1435">
        <f t="shared" si="19"/>
        <v>-3.9454545454545453</v>
      </c>
      <c r="CB20" s="1435">
        <f t="shared" si="19"/>
        <v>-3.475806451612903</v>
      </c>
      <c r="CC20" s="1435">
        <f t="shared" si="19"/>
        <v>-3.4285714285714284</v>
      </c>
      <c r="CD20" s="1439">
        <f t="shared" si="19"/>
        <v>-3.7076271186440679</v>
      </c>
      <c r="CE20" s="1435">
        <f t="shared" ref="CE20:CJ20" si="20">CE16/(CE17*4)</f>
        <v>-3.6666666666666665</v>
      </c>
      <c r="CF20" s="1435">
        <f t="shared" si="20"/>
        <v>-3.627049180327869</v>
      </c>
      <c r="CG20" s="1435">
        <f t="shared" si="20"/>
        <v>-3.7</v>
      </c>
      <c r="CH20" s="1439">
        <f t="shared" si="20"/>
        <v>-4.2175925925925926</v>
      </c>
      <c r="CI20" s="1436">
        <f t="shared" si="20"/>
        <v>-3.6190476190476191</v>
      </c>
      <c r="CJ20" s="1436">
        <f t="shared" si="20"/>
        <v>-3.6975806451612905</v>
      </c>
      <c r="CK20" s="1436">
        <f>CK16/(CK17*4)</f>
        <v>-3.2048611111111112</v>
      </c>
      <c r="CL20" s="1439">
        <f>CL16/(CL17*4)</f>
        <v>-3.8275862068965516</v>
      </c>
      <c r="CM20" s="946"/>
      <c r="CN20" s="946"/>
      <c r="CO20" s="946"/>
      <c r="CP20" s="946"/>
      <c r="CQ20" s="946"/>
      <c r="CR20" s="946"/>
      <c r="CS20" s="946"/>
      <c r="CT20" s="946"/>
      <c r="CU20" s="1403"/>
      <c r="CV20" s="946"/>
      <c r="CW20" s="946"/>
      <c r="CX20" s="946"/>
    </row>
    <row r="21" spans="1:102" ht="12.75" customHeight="1">
      <c r="A21" s="1205" t="s">
        <v>187</v>
      </c>
      <c r="B21" s="1206"/>
      <c r="C21" s="1206"/>
      <c r="D21" s="1206"/>
      <c r="E21" s="1206"/>
      <c r="F21" s="1206"/>
      <c r="G21" s="1206"/>
      <c r="H21" s="1206"/>
      <c r="I21" s="1206"/>
      <c r="J21" s="1206"/>
      <c r="K21" s="1206"/>
      <c r="L21" s="1206"/>
      <c r="M21" s="1206"/>
      <c r="N21" s="1206"/>
      <c r="O21" s="1207"/>
      <c r="P21" s="1207"/>
      <c r="Q21" s="1207"/>
      <c r="R21" s="1208"/>
      <c r="S21" s="1206"/>
      <c r="T21" s="946"/>
      <c r="U21" s="946"/>
      <c r="V21" s="946"/>
      <c r="W21" s="946"/>
      <c r="X21" s="946"/>
      <c r="Y21" s="946"/>
      <c r="Z21" s="1206"/>
      <c r="AA21" s="1206"/>
      <c r="AB21" s="1206"/>
      <c r="AC21" s="1206"/>
      <c r="AD21" s="1206"/>
      <c r="AE21" s="1206"/>
      <c r="AF21" s="1206"/>
      <c r="AG21" s="1206"/>
      <c r="AH21" s="1206"/>
      <c r="AI21" s="1206"/>
      <c r="AJ21" s="1206"/>
      <c r="AK21" s="1206"/>
      <c r="AL21" s="1206"/>
      <c r="AM21" s="1206"/>
      <c r="AN21" s="1206"/>
      <c r="AO21" s="1206"/>
      <c r="AP21" s="1206"/>
      <c r="AQ21" s="1206"/>
      <c r="AR21" s="1206"/>
      <c r="AS21" s="1206"/>
      <c r="AT21" s="1206"/>
      <c r="AU21" s="1206"/>
      <c r="AV21" s="1206"/>
      <c r="AW21" s="1206"/>
      <c r="AX21" s="1206"/>
      <c r="AY21" s="1206"/>
      <c r="AZ21" s="1206"/>
      <c r="BA21" s="1206"/>
      <c r="BB21" s="1206"/>
      <c r="BC21" s="1206"/>
      <c r="BD21" s="1206"/>
      <c r="BE21" s="1206"/>
      <c r="BF21" s="1206"/>
      <c r="BG21" s="1206"/>
      <c r="BH21" s="1206"/>
      <c r="BI21" s="1206"/>
      <c r="BJ21" s="1206"/>
      <c r="BK21" s="1206"/>
      <c r="BL21" s="1206"/>
      <c r="BM21" s="1206"/>
      <c r="BN21" s="1365"/>
      <c r="BO21" s="1206"/>
      <c r="BP21" s="1206"/>
      <c r="BQ21" s="1206"/>
      <c r="BR21" s="1365"/>
      <c r="BS21" s="1206"/>
      <c r="BT21" s="1206"/>
      <c r="BU21" s="1206"/>
      <c r="BV21" s="1365"/>
      <c r="BW21" s="1206"/>
      <c r="BX21" s="1206"/>
      <c r="BY21" s="1206"/>
      <c r="BZ21" s="1365"/>
      <c r="CA21" s="1206"/>
      <c r="CB21" s="1206"/>
      <c r="CC21" s="1206"/>
      <c r="CD21" s="1365"/>
      <c r="CE21" s="1206"/>
      <c r="CF21" s="1206"/>
      <c r="CG21" s="1206"/>
      <c r="CH21" s="1365"/>
      <c r="CI21" s="1206"/>
      <c r="CJ21" s="1206"/>
      <c r="CK21" s="1206"/>
      <c r="CL21" s="1365"/>
      <c r="CM21" s="946"/>
      <c r="CN21" s="946"/>
      <c r="CO21" s="946"/>
      <c r="CP21" s="946"/>
      <c r="CQ21" s="946"/>
      <c r="CR21" s="946"/>
      <c r="CS21" s="946"/>
      <c r="CT21" s="946"/>
      <c r="CU21" s="946"/>
      <c r="CV21" s="946"/>
      <c r="CW21" s="946"/>
      <c r="CX21" s="946"/>
    </row>
    <row r="22" spans="1:102" ht="13.5" customHeight="1">
      <c r="A22" s="1198"/>
      <c r="B22" s="1198"/>
      <c r="C22" s="1198"/>
      <c r="D22" s="1198"/>
      <c r="E22" s="1198"/>
      <c r="F22" s="1198"/>
      <c r="G22" s="1307"/>
      <c r="H22" s="1226"/>
      <c r="I22" s="1226"/>
      <c r="J22" s="1226"/>
      <c r="K22" s="1226"/>
      <c r="L22" s="1226"/>
      <c r="M22" s="1226"/>
      <c r="N22" s="1226"/>
      <c r="O22" s="1179"/>
      <c r="P22" s="1179"/>
      <c r="Q22" s="1179"/>
      <c r="R22" s="1263"/>
      <c r="S22" s="1226"/>
      <c r="T22" s="946"/>
      <c r="U22" s="946"/>
      <c r="V22" s="946"/>
      <c r="W22" s="946"/>
      <c r="X22" s="1401"/>
      <c r="Y22" s="1401"/>
      <c r="Z22" s="1198"/>
      <c r="AA22" s="1198"/>
      <c r="AB22" s="1198"/>
      <c r="AC22" s="1198"/>
      <c r="AD22" s="1198"/>
      <c r="AE22" s="1198"/>
      <c r="AF22" s="1198"/>
      <c r="AG22" s="1198"/>
      <c r="AH22" s="1198"/>
      <c r="AI22" s="1198"/>
      <c r="AJ22" s="1198"/>
      <c r="AK22" s="1198"/>
      <c r="AL22" s="1198"/>
      <c r="AM22" s="1198"/>
      <c r="AN22" s="1198"/>
      <c r="AO22" s="1198"/>
      <c r="AP22" s="1198"/>
      <c r="AQ22" s="1198"/>
      <c r="AR22" s="1198"/>
      <c r="AS22" s="1198"/>
      <c r="AT22" s="1198"/>
      <c r="AU22" s="1198"/>
      <c r="AV22" s="1198"/>
      <c r="AW22" s="1307"/>
      <c r="AX22" s="1307"/>
      <c r="AY22" s="1307"/>
      <c r="AZ22" s="1307"/>
      <c r="BA22" s="1307"/>
      <c r="BB22" s="1307"/>
      <c r="BC22" s="1307"/>
      <c r="BD22" s="1307"/>
      <c r="BE22" s="1307"/>
      <c r="BF22" s="1307"/>
      <c r="BG22" s="1307"/>
      <c r="BH22" s="1307"/>
      <c r="BI22" s="1307"/>
      <c r="BJ22" s="1307"/>
      <c r="BK22" s="1307"/>
      <c r="BL22" s="1307"/>
      <c r="BM22" s="1307"/>
      <c r="BN22" s="1428"/>
      <c r="BO22" s="1427"/>
      <c r="BP22" s="1427"/>
      <c r="BQ22" s="1427"/>
      <c r="BR22" s="1428"/>
      <c r="BS22" s="1427"/>
      <c r="BT22" s="1427"/>
      <c r="BU22" s="1427"/>
      <c r="BV22" s="1428"/>
      <c r="BW22" s="1427"/>
      <c r="BX22" s="1440"/>
      <c r="BY22" s="1440"/>
      <c r="BZ22" s="1441"/>
      <c r="CA22" s="1441"/>
      <c r="CB22" s="1441"/>
      <c r="CC22" s="1427"/>
      <c r="CD22" s="1428"/>
      <c r="CE22" s="1427"/>
      <c r="CF22" s="1427"/>
      <c r="CG22" s="1427"/>
      <c r="CH22" s="1428"/>
      <c r="CI22" s="1427"/>
      <c r="CJ22" s="1427"/>
      <c r="CK22" s="1427"/>
      <c r="CL22" s="1428"/>
      <c r="CM22" s="946"/>
      <c r="CN22" s="946"/>
      <c r="CO22" s="946"/>
      <c r="CP22" s="946"/>
      <c r="CQ22" s="946"/>
      <c r="CR22" s="946"/>
      <c r="CS22" s="946"/>
      <c r="CT22" s="946"/>
      <c r="CU22" s="946"/>
      <c r="CV22" s="946"/>
      <c r="CW22" s="946"/>
      <c r="CX22" s="946"/>
    </row>
    <row r="23" spans="1:102" ht="13.5" customHeight="1">
      <c r="A23" s="1198" t="s">
        <v>826</v>
      </c>
      <c r="B23" s="1198"/>
      <c r="C23" s="1198"/>
      <c r="D23" s="1198"/>
      <c r="E23" s="1198"/>
      <c r="F23" s="1198"/>
      <c r="G23" s="1307"/>
      <c r="H23" s="1226"/>
      <c r="I23" s="1226"/>
      <c r="J23" s="1226"/>
      <c r="K23" s="1226"/>
      <c r="L23" s="1223">
        <f>BM23</f>
        <v>45428</v>
      </c>
      <c r="M23" s="1223">
        <f>BQ23</f>
        <v>45954</v>
      </c>
      <c r="N23" s="1223">
        <f>BU23</f>
        <v>46374</v>
      </c>
      <c r="O23" s="948">
        <f>BY23</f>
        <v>46646</v>
      </c>
      <c r="P23" s="1179">
        <f>CC23</f>
        <v>46770</v>
      </c>
      <c r="Q23" s="1179">
        <f>CG23</f>
        <v>46600</v>
      </c>
      <c r="R23" s="1263">
        <f>+CK23</f>
        <v>47407</v>
      </c>
      <c r="S23" s="1266">
        <f>+CO23</f>
        <v>0</v>
      </c>
      <c r="T23" s="946"/>
      <c r="U23" s="946"/>
      <c r="V23" s="946"/>
      <c r="W23" s="946"/>
      <c r="X23" s="946"/>
      <c r="Y23" s="946"/>
      <c r="Z23" s="1198"/>
      <c r="AA23" s="1198"/>
      <c r="AB23" s="1198"/>
      <c r="AC23" s="1198"/>
      <c r="AD23" s="1198"/>
      <c r="AE23" s="1198"/>
      <c r="AF23" s="1198"/>
      <c r="AG23" s="1198"/>
      <c r="AH23" s="1198"/>
      <c r="AI23" s="1198"/>
      <c r="AJ23" s="1198"/>
      <c r="AK23" s="1198"/>
      <c r="AL23" s="1198"/>
      <c r="AM23" s="1198"/>
      <c r="AN23" s="1198"/>
      <c r="AO23" s="1198"/>
      <c r="AP23" s="1198"/>
      <c r="AQ23" s="1198"/>
      <c r="AR23" s="1198"/>
      <c r="AS23" s="1198"/>
      <c r="AT23" s="1198"/>
      <c r="AU23" s="1198"/>
      <c r="AV23" s="1198"/>
      <c r="AW23" s="1307"/>
      <c r="AX23" s="1307"/>
      <c r="AY23" s="1307"/>
      <c r="AZ23" s="1307"/>
      <c r="BA23" s="1307"/>
      <c r="BB23" s="1307"/>
      <c r="BC23" s="1307"/>
      <c r="BD23" s="1307"/>
      <c r="BE23" s="1307"/>
      <c r="BF23" s="1307"/>
      <c r="BG23" s="1307"/>
      <c r="BH23" s="1307"/>
      <c r="BI23" s="1442">
        <v>45094</v>
      </c>
      <c r="BJ23" s="1223">
        <f>BJ25+BJ24</f>
        <v>45578.5</v>
      </c>
      <c r="BK23" s="1223">
        <f>BK25+BK24</f>
        <v>46095</v>
      </c>
      <c r="BL23" s="1223">
        <f>BL25+BL24</f>
        <v>45855</v>
      </c>
      <c r="BM23" s="1442">
        <v>45428</v>
      </c>
      <c r="BN23" s="1429">
        <f>BN25+BN24</f>
        <v>45495.5</v>
      </c>
      <c r="BO23" s="1223">
        <f>BO25+BO24</f>
        <v>45601</v>
      </c>
      <c r="BP23" s="1223">
        <f>BP25+BP24</f>
        <v>45712</v>
      </c>
      <c r="BQ23" s="1442">
        <v>45954</v>
      </c>
      <c r="BR23" s="1429">
        <f t="shared" ref="BR23:BX23" si="21">BR24+BR25</f>
        <v>46073</v>
      </c>
      <c r="BS23" s="1223">
        <f t="shared" si="21"/>
        <v>46216</v>
      </c>
      <c r="BT23" s="1223">
        <f t="shared" si="21"/>
        <v>46528</v>
      </c>
      <c r="BU23" s="1223">
        <f t="shared" si="21"/>
        <v>46374</v>
      </c>
      <c r="BV23" s="1429">
        <f t="shared" si="21"/>
        <v>46182</v>
      </c>
      <c r="BW23" s="1223">
        <f t="shared" si="21"/>
        <v>46429</v>
      </c>
      <c r="BX23" s="1223">
        <f t="shared" si="21"/>
        <v>46599</v>
      </c>
      <c r="BY23" s="1223">
        <f t="shared" ref="BY23:CK23" si="22">BY24+BY25</f>
        <v>46646</v>
      </c>
      <c r="BZ23" s="1429">
        <f t="shared" si="22"/>
        <v>46675</v>
      </c>
      <c r="CA23" s="1223">
        <f t="shared" si="22"/>
        <v>46972</v>
      </c>
      <c r="CB23" s="1223">
        <f t="shared" si="22"/>
        <v>47184</v>
      </c>
      <c r="CC23" s="1223">
        <f t="shared" si="22"/>
        <v>46770</v>
      </c>
      <c r="CD23" s="1429">
        <f t="shared" si="22"/>
        <v>46624</v>
      </c>
      <c r="CE23" s="948">
        <f t="shared" si="22"/>
        <v>46635</v>
      </c>
      <c r="CF23" s="948">
        <f t="shared" si="22"/>
        <v>46560</v>
      </c>
      <c r="CG23" s="948">
        <f>CG24+CG25</f>
        <v>46600</v>
      </c>
      <c r="CH23" s="1429">
        <f t="shared" si="22"/>
        <v>46676</v>
      </c>
      <c r="CI23" s="948">
        <f t="shared" si="22"/>
        <v>46782</v>
      </c>
      <c r="CJ23" s="948">
        <f t="shared" si="22"/>
        <v>47060</v>
      </c>
      <c r="CK23" s="948">
        <f t="shared" si="22"/>
        <v>47407</v>
      </c>
      <c r="CL23" s="1429">
        <f>CL24+CL25</f>
        <v>47551</v>
      </c>
      <c r="CM23" s="946"/>
      <c r="CN23" s="946"/>
      <c r="CO23" s="946"/>
      <c r="CP23" s="946"/>
      <c r="CQ23" s="946"/>
      <c r="CR23" s="946"/>
      <c r="CS23" s="946"/>
      <c r="CT23" s="946"/>
      <c r="CU23" s="946"/>
      <c r="CV23" s="946"/>
      <c r="CW23" s="946"/>
      <c r="CX23" s="946"/>
    </row>
    <row r="24" spans="1:102" ht="13.5" customHeight="1">
      <c r="A24" s="1198" t="s">
        <v>188</v>
      </c>
      <c r="B24" s="1198"/>
      <c r="C24" s="1198"/>
      <c r="D24" s="1198"/>
      <c r="E24" s="1198"/>
      <c r="F24" s="1198"/>
      <c r="G24" s="1307"/>
      <c r="H24" s="1226"/>
      <c r="I24" s="1226"/>
      <c r="J24" s="1226"/>
      <c r="K24" s="1226"/>
      <c r="L24" s="1430">
        <f>BM24</f>
        <v>28575</v>
      </c>
      <c r="M24" s="1430">
        <f>BQ24</f>
        <v>30386</v>
      </c>
      <c r="N24" s="1430">
        <f>BU24</f>
        <v>31795</v>
      </c>
      <c r="O24" s="1430">
        <f>BY24</f>
        <v>32975</v>
      </c>
      <c r="P24" s="1244">
        <f>CC24</f>
        <v>33725</v>
      </c>
      <c r="Q24" s="1244">
        <f>CG24</f>
        <v>34301</v>
      </c>
      <c r="R24" s="1443">
        <f>+CK24</f>
        <v>35550</v>
      </c>
      <c r="S24" s="1444">
        <f>+CO24</f>
        <v>0</v>
      </c>
      <c r="T24" s="946"/>
      <c r="U24" s="946"/>
      <c r="V24" s="946"/>
      <c r="W24" s="946"/>
      <c r="X24" s="1401"/>
      <c r="Y24" s="1401"/>
      <c r="Z24" s="1198"/>
      <c r="AA24" s="1198"/>
      <c r="AB24" s="1198"/>
      <c r="AC24" s="1198"/>
      <c r="AD24" s="1198"/>
      <c r="AE24" s="1198"/>
      <c r="AF24" s="1198"/>
      <c r="AG24" s="1198"/>
      <c r="AH24" s="1198"/>
      <c r="AI24" s="1198"/>
      <c r="AJ24" s="1198"/>
      <c r="AK24" s="1198"/>
      <c r="AL24" s="1198"/>
      <c r="AM24" s="1198"/>
      <c r="AN24" s="1198"/>
      <c r="AO24" s="1198"/>
      <c r="AP24" s="1198"/>
      <c r="AQ24" s="1198"/>
      <c r="AR24" s="1198"/>
      <c r="AS24" s="1198"/>
      <c r="AT24" s="1198"/>
      <c r="AU24" s="1198"/>
      <c r="AV24" s="1198"/>
      <c r="AW24" s="1307"/>
      <c r="AX24" s="1307"/>
      <c r="AY24" s="1307"/>
      <c r="AZ24" s="1307"/>
      <c r="BA24" s="1307"/>
      <c r="BB24" s="1307"/>
      <c r="BC24" s="1307"/>
      <c r="BD24" s="1307"/>
      <c r="BE24" s="1307"/>
      <c r="BF24" s="1307"/>
      <c r="BG24" s="1307"/>
      <c r="BH24" s="1307"/>
      <c r="BI24" s="1445">
        <v>26945</v>
      </c>
      <c r="BJ24" s="1446">
        <f>AVERAGE(BI24,BK24)</f>
        <v>27772.5</v>
      </c>
      <c r="BK24" s="1445">
        <v>28600</v>
      </c>
      <c r="BL24" s="1445">
        <v>28600</v>
      </c>
      <c r="BM24" s="1445">
        <v>28575</v>
      </c>
      <c r="BN24" s="1447">
        <f>AVERAGE(BM24,BO24)</f>
        <v>29037.5</v>
      </c>
      <c r="BO24" s="1445">
        <v>29500</v>
      </c>
      <c r="BP24" s="1445">
        <v>29900</v>
      </c>
      <c r="BQ24" s="1445">
        <v>30386</v>
      </c>
      <c r="BR24" s="1448">
        <v>30800</v>
      </c>
      <c r="BS24" s="1445">
        <v>31200</v>
      </c>
      <c r="BT24" s="1445">
        <v>31700</v>
      </c>
      <c r="BU24" s="1445">
        <v>31795</v>
      </c>
      <c r="BV24" s="1448">
        <v>31908</v>
      </c>
      <c r="BW24" s="1445">
        <v>32353</v>
      </c>
      <c r="BX24" s="1445">
        <v>32750</v>
      </c>
      <c r="BY24" s="1445">
        <v>32975</v>
      </c>
      <c r="BZ24" s="1448">
        <v>33176</v>
      </c>
      <c r="CA24" s="1445">
        <v>33522</v>
      </c>
      <c r="CB24" s="1445">
        <v>33883</v>
      </c>
      <c r="CC24" s="1445">
        <v>33725</v>
      </c>
      <c r="CD24" s="1448">
        <v>33808</v>
      </c>
      <c r="CE24" s="1445">
        <v>34013</v>
      </c>
      <c r="CF24" s="1445">
        <v>34161</v>
      </c>
      <c r="CG24" s="1445">
        <v>34301</v>
      </c>
      <c r="CH24" s="1448">
        <v>34598</v>
      </c>
      <c r="CI24" s="1445">
        <v>34853</v>
      </c>
      <c r="CJ24" s="1445">
        <v>35230</v>
      </c>
      <c r="CK24" s="1445">
        <v>35550</v>
      </c>
      <c r="CL24" s="1448">
        <v>35886</v>
      </c>
      <c r="CM24" s="946"/>
      <c r="CN24" s="946"/>
      <c r="CO24" s="946"/>
      <c r="CP24" s="946"/>
      <c r="CQ24" s="946"/>
      <c r="CR24" s="946"/>
      <c r="CS24" s="946"/>
      <c r="CT24" s="946"/>
      <c r="CU24" s="946"/>
      <c r="CV24" s="946"/>
      <c r="CW24" s="946"/>
      <c r="CX24" s="946"/>
    </row>
    <row r="25" spans="1:102" ht="13.5" customHeight="1">
      <c r="A25" s="1198" t="s">
        <v>189</v>
      </c>
      <c r="B25" s="1198"/>
      <c r="C25" s="1198"/>
      <c r="D25" s="1198"/>
      <c r="E25" s="1198"/>
      <c r="F25" s="1198"/>
      <c r="G25" s="1307"/>
      <c r="H25" s="1226"/>
      <c r="I25" s="1226"/>
      <c r="J25" s="1226"/>
      <c r="K25" s="1226"/>
      <c r="L25" s="1223">
        <f>BM25</f>
        <v>16853</v>
      </c>
      <c r="M25" s="1223">
        <f>BQ25</f>
        <v>15568</v>
      </c>
      <c r="N25" s="1223">
        <f>BU25</f>
        <v>14579</v>
      </c>
      <c r="O25" s="948">
        <f>BY25</f>
        <v>13671</v>
      </c>
      <c r="P25" s="1179">
        <f>P23-P24</f>
        <v>13045</v>
      </c>
      <c r="Q25" s="1179">
        <f>Q23-Q24</f>
        <v>12299</v>
      </c>
      <c r="R25" s="1263">
        <f>R23-R24</f>
        <v>11857</v>
      </c>
      <c r="S25" s="1266">
        <f>S23-S24</f>
        <v>0</v>
      </c>
      <c r="T25" s="946"/>
      <c r="U25" s="946"/>
      <c r="V25" s="946"/>
      <c r="W25" s="946"/>
      <c r="X25" s="946"/>
      <c r="Y25" s="946"/>
      <c r="Z25" s="1198"/>
      <c r="AA25" s="1198"/>
      <c r="AB25" s="1198"/>
      <c r="AC25" s="1198"/>
      <c r="AD25" s="1198"/>
      <c r="AE25" s="1198"/>
      <c r="AF25" s="1198"/>
      <c r="AG25" s="1198"/>
      <c r="AH25" s="1198"/>
      <c r="AI25" s="1198"/>
      <c r="AJ25" s="1198"/>
      <c r="AK25" s="1198"/>
      <c r="AL25" s="1198"/>
      <c r="AM25" s="1198"/>
      <c r="AN25" s="1198"/>
      <c r="AO25" s="1198"/>
      <c r="AP25" s="1198"/>
      <c r="AQ25" s="1198"/>
      <c r="AR25" s="1198"/>
      <c r="AS25" s="1198"/>
      <c r="AT25" s="1198"/>
      <c r="AU25" s="1198"/>
      <c r="AV25" s="1198"/>
      <c r="AW25" s="1307"/>
      <c r="AX25" s="1307"/>
      <c r="AY25" s="1307"/>
      <c r="AZ25" s="1307"/>
      <c r="BA25" s="1307"/>
      <c r="BB25" s="1307"/>
      <c r="BC25" s="1307"/>
      <c r="BD25" s="1307"/>
      <c r="BE25" s="1307"/>
      <c r="BF25" s="1307"/>
      <c r="BG25" s="1307"/>
      <c r="BH25" s="1307"/>
      <c r="BI25" s="948">
        <f>+Q_BS!BI20</f>
        <v>18149</v>
      </c>
      <c r="BJ25" s="948">
        <f>+Q_BS!BJ20</f>
        <v>17806</v>
      </c>
      <c r="BK25" s="948">
        <f>+Q_BS!BK20</f>
        <v>17495</v>
      </c>
      <c r="BL25" s="948">
        <f>+Q_BS!BL20</f>
        <v>17255</v>
      </c>
      <c r="BM25" s="948">
        <f>+Q_BS!BM20</f>
        <v>16853</v>
      </c>
      <c r="BN25" s="948">
        <f>+Q_BS!BN20</f>
        <v>16458</v>
      </c>
      <c r="BO25" s="948">
        <f>+Q_BS!BO20</f>
        <v>16101</v>
      </c>
      <c r="BP25" s="948">
        <f>+Q_BS!BP20</f>
        <v>15812</v>
      </c>
      <c r="BQ25" s="948">
        <f>+Q_BS!BQ20</f>
        <v>15568</v>
      </c>
      <c r="BR25" s="948">
        <f>+Q_BS!BR20</f>
        <v>15273</v>
      </c>
      <c r="BS25" s="948">
        <f>+Q_BS!BS20</f>
        <v>15016</v>
      </c>
      <c r="BT25" s="948">
        <f>+Q_BS!BT20</f>
        <v>14828</v>
      </c>
      <c r="BU25" s="948">
        <f>+Q_BS!BU20</f>
        <v>14579</v>
      </c>
      <c r="BV25" s="948">
        <f>+Q_BS!BV20</f>
        <v>14274</v>
      </c>
      <c r="BW25" s="948">
        <f>+Q_BS!BW20</f>
        <v>14076</v>
      </c>
      <c r="BX25" s="948">
        <f>+Q_BS!BX20</f>
        <v>13849</v>
      </c>
      <c r="BY25" s="948">
        <f>+Q_BS!BY20</f>
        <v>13671</v>
      </c>
      <c r="BZ25" s="948">
        <f>+Q_BS!BZ20</f>
        <v>13499</v>
      </c>
      <c r="CA25" s="948">
        <f>+Q_BS!CA20</f>
        <v>13450</v>
      </c>
      <c r="CB25" s="948">
        <f>+Q_BS!CB20</f>
        <v>13301</v>
      </c>
      <c r="CC25" s="948">
        <f>+Q_BS!CC20</f>
        <v>13045</v>
      </c>
      <c r="CD25" s="948">
        <f>+Q_BS!CD20</f>
        <v>12816</v>
      </c>
      <c r="CE25" s="948">
        <f>+Q_BS!CE20</f>
        <v>12622</v>
      </c>
      <c r="CF25" s="948">
        <f>+Q_BS!CF20</f>
        <v>12399</v>
      </c>
      <c r="CG25" s="948">
        <f>+Q_BS!CG20</f>
        <v>12299</v>
      </c>
      <c r="CH25" s="948">
        <f>+Q_BS!CH20</f>
        <v>12078</v>
      </c>
      <c r="CI25" s="948">
        <f>+Q_BS!CI20</f>
        <v>11929</v>
      </c>
      <c r="CJ25" s="948">
        <f>+Q_BS!CJ20</f>
        <v>11830</v>
      </c>
      <c r="CK25" s="948">
        <f>+Q_BS!CK20</f>
        <v>11857</v>
      </c>
      <c r="CL25" s="1434">
        <f>+Q_BS!CL20</f>
        <v>11665</v>
      </c>
      <c r="CM25" s="946"/>
      <c r="CN25" s="946"/>
      <c r="CO25" s="946"/>
      <c r="CP25" s="946"/>
      <c r="CQ25" s="946"/>
      <c r="CR25" s="946"/>
      <c r="CS25" s="946"/>
      <c r="CT25" s="946"/>
      <c r="CU25" s="946"/>
      <c r="CV25" s="946"/>
      <c r="CW25" s="946"/>
      <c r="CX25" s="946"/>
    </row>
    <row r="26" spans="1:102" ht="13.5" customHeight="1">
      <c r="A26" s="1198"/>
      <c r="B26" s="1198"/>
      <c r="C26" s="1198"/>
      <c r="D26" s="1198"/>
      <c r="E26" s="1198"/>
      <c r="F26" s="1198"/>
      <c r="G26" s="1307"/>
      <c r="H26" s="1226"/>
      <c r="I26" s="1226"/>
      <c r="J26" s="1226"/>
      <c r="K26" s="1226"/>
      <c r="L26" s="1427"/>
      <c r="M26" s="1427"/>
      <c r="N26" s="1427"/>
      <c r="O26" s="1449"/>
      <c r="P26" s="1179"/>
      <c r="Q26" s="1179"/>
      <c r="R26" s="1263"/>
      <c r="S26" s="1266"/>
      <c r="T26" s="946"/>
      <c r="U26" s="946"/>
      <c r="V26" s="946"/>
      <c r="W26" s="946"/>
      <c r="X26" s="1401"/>
      <c r="Y26" s="1401"/>
      <c r="Z26" s="1198"/>
      <c r="AA26" s="1198"/>
      <c r="AB26" s="1198"/>
      <c r="AC26" s="1198"/>
      <c r="AD26" s="1198"/>
      <c r="AE26" s="1198"/>
      <c r="AF26" s="1198"/>
      <c r="AG26" s="1198"/>
      <c r="AH26" s="1198"/>
      <c r="AI26" s="1198"/>
      <c r="AJ26" s="1198"/>
      <c r="AK26" s="1198"/>
      <c r="AL26" s="1198"/>
      <c r="AM26" s="1198"/>
      <c r="AN26" s="1198"/>
      <c r="AO26" s="1198"/>
      <c r="AP26" s="1198"/>
      <c r="AQ26" s="1198"/>
      <c r="AR26" s="1198"/>
      <c r="AS26" s="1198"/>
      <c r="AT26" s="1198"/>
      <c r="AU26" s="1198"/>
      <c r="AV26" s="1198"/>
      <c r="AW26" s="1307"/>
      <c r="AX26" s="1307"/>
      <c r="AY26" s="1307"/>
      <c r="AZ26" s="1307"/>
      <c r="BA26" s="1307"/>
      <c r="BB26" s="1307"/>
      <c r="BC26" s="1307"/>
      <c r="BD26" s="1307"/>
      <c r="BE26" s="1307"/>
      <c r="BF26" s="1307"/>
      <c r="BG26" s="1307"/>
      <c r="BH26" s="1307"/>
      <c r="BI26" s="1307"/>
      <c r="BJ26" s="1307"/>
      <c r="BK26" s="1307"/>
      <c r="BL26" s="1307"/>
      <c r="BM26" s="1307"/>
      <c r="BN26" s="1428"/>
      <c r="BO26" s="1427"/>
      <c r="BP26" s="1427"/>
      <c r="BQ26" s="1450"/>
      <c r="BR26" s="1428"/>
      <c r="BS26" s="1427"/>
      <c r="BT26" s="1427"/>
      <c r="BU26" s="1427"/>
      <c r="BV26" s="1428"/>
      <c r="BW26" s="1427"/>
      <c r="BX26" s="1427"/>
      <c r="BY26" s="1427"/>
      <c r="BZ26" s="1428"/>
      <c r="CA26" s="1427"/>
      <c r="CB26" s="1427"/>
      <c r="CC26" s="1427"/>
      <c r="CD26" s="1428"/>
      <c r="CE26" s="1427"/>
      <c r="CF26" s="1427"/>
      <c r="CG26" s="1427"/>
      <c r="CH26" s="1428"/>
      <c r="CI26" s="1427"/>
      <c r="CJ26" s="1427"/>
      <c r="CK26" s="1427"/>
      <c r="CL26" s="1428"/>
      <c r="CM26" s="946"/>
      <c r="CN26" s="946"/>
      <c r="CO26" s="946"/>
      <c r="CP26" s="946"/>
      <c r="CQ26" s="946"/>
      <c r="CR26" s="946"/>
      <c r="CS26" s="946"/>
      <c r="CT26" s="946"/>
      <c r="CU26" s="946"/>
      <c r="CV26" s="946"/>
      <c r="CW26" s="946"/>
      <c r="CX26" s="946"/>
    </row>
    <row r="27" spans="1:102" ht="13.5" customHeight="1">
      <c r="A27" s="1198" t="s">
        <v>190</v>
      </c>
      <c r="B27" s="1198"/>
      <c r="C27" s="1198"/>
      <c r="D27" s="1198"/>
      <c r="E27" s="1198"/>
      <c r="F27" s="1198"/>
      <c r="G27" s="1307"/>
      <c r="H27" s="1226"/>
      <c r="I27" s="1226"/>
      <c r="J27" s="1226"/>
      <c r="K27" s="1226"/>
      <c r="L27" s="1223">
        <f>BJ27</f>
        <v>45094</v>
      </c>
      <c r="M27" s="1223">
        <f>BN27</f>
        <v>45428</v>
      </c>
      <c r="N27" s="1223">
        <f>BR27</f>
        <v>45954</v>
      </c>
      <c r="O27" s="948">
        <f>BV27</f>
        <v>46374</v>
      </c>
      <c r="P27" s="984">
        <f>BZ27</f>
        <v>46646</v>
      </c>
      <c r="Q27" s="984">
        <f>CD27</f>
        <v>46770</v>
      </c>
      <c r="R27" s="985">
        <f>+CH27</f>
        <v>46600</v>
      </c>
      <c r="S27" s="991">
        <f>CL27</f>
        <v>47407</v>
      </c>
      <c r="T27" s="946"/>
      <c r="U27" s="946"/>
      <c r="V27" s="946"/>
      <c r="W27" s="946"/>
      <c r="X27" s="946"/>
      <c r="Y27" s="946"/>
      <c r="Z27" s="1198"/>
      <c r="AA27" s="1198"/>
      <c r="AB27" s="1198"/>
      <c r="AC27" s="1198"/>
      <c r="AD27" s="1198"/>
      <c r="AE27" s="1198"/>
      <c r="AF27" s="1198"/>
      <c r="AG27" s="1198"/>
      <c r="AH27" s="1198"/>
      <c r="AI27" s="1198"/>
      <c r="AJ27" s="1198"/>
      <c r="AK27" s="1198"/>
      <c r="AL27" s="1198"/>
      <c r="AM27" s="1198"/>
      <c r="AN27" s="1198"/>
      <c r="AO27" s="1198"/>
      <c r="AP27" s="1198"/>
      <c r="AQ27" s="1198"/>
      <c r="AR27" s="1198"/>
      <c r="AS27" s="1198"/>
      <c r="AT27" s="1198"/>
      <c r="AU27" s="1198"/>
      <c r="AV27" s="1198"/>
      <c r="AW27" s="1307"/>
      <c r="AX27" s="1307"/>
      <c r="AY27" s="1307"/>
      <c r="AZ27" s="1307"/>
      <c r="BA27" s="1307"/>
      <c r="BB27" s="1307"/>
      <c r="BC27" s="1307"/>
      <c r="BD27" s="1307"/>
      <c r="BE27" s="1307"/>
      <c r="BF27" s="1307"/>
      <c r="BG27" s="1307"/>
      <c r="BH27" s="1307"/>
      <c r="BI27" s="1223"/>
      <c r="BJ27" s="1223">
        <f t="shared" ref="BJ27:BX27" si="23">BI31</f>
        <v>45094</v>
      </c>
      <c r="BK27" s="1223">
        <f t="shared" si="23"/>
        <v>45578.5</v>
      </c>
      <c r="BL27" s="1223">
        <f t="shared" si="23"/>
        <v>46095</v>
      </c>
      <c r="BM27" s="1223">
        <f t="shared" si="23"/>
        <v>45855</v>
      </c>
      <c r="BN27" s="1429">
        <f t="shared" si="23"/>
        <v>45428</v>
      </c>
      <c r="BO27" s="1223">
        <f t="shared" si="23"/>
        <v>45495.5</v>
      </c>
      <c r="BP27" s="1223">
        <f t="shared" si="23"/>
        <v>45601</v>
      </c>
      <c r="BQ27" s="1223">
        <f t="shared" si="23"/>
        <v>45712</v>
      </c>
      <c r="BR27" s="1429">
        <f t="shared" si="23"/>
        <v>45954</v>
      </c>
      <c r="BS27" s="1223">
        <f t="shared" si="23"/>
        <v>46073</v>
      </c>
      <c r="BT27" s="1223">
        <f t="shared" si="23"/>
        <v>46216</v>
      </c>
      <c r="BU27" s="1223">
        <f t="shared" si="23"/>
        <v>46528</v>
      </c>
      <c r="BV27" s="1429">
        <f t="shared" si="23"/>
        <v>46374</v>
      </c>
      <c r="BW27" s="1223">
        <f t="shared" si="23"/>
        <v>46182</v>
      </c>
      <c r="BX27" s="1223">
        <f t="shared" si="23"/>
        <v>46429</v>
      </c>
      <c r="BY27" s="1223">
        <f t="shared" ref="BY27:CL27" si="24">BX31</f>
        <v>46599</v>
      </c>
      <c r="BZ27" s="1429">
        <f t="shared" si="24"/>
        <v>46646</v>
      </c>
      <c r="CA27" s="1223">
        <f t="shared" si="24"/>
        <v>46675</v>
      </c>
      <c r="CB27" s="1223">
        <f t="shared" si="24"/>
        <v>46972</v>
      </c>
      <c r="CC27" s="1223">
        <f t="shared" si="24"/>
        <v>47184</v>
      </c>
      <c r="CD27" s="1429">
        <f t="shared" si="24"/>
        <v>46770</v>
      </c>
      <c r="CE27" s="1223">
        <f t="shared" si="24"/>
        <v>46624</v>
      </c>
      <c r="CF27" s="1223">
        <f t="shared" si="24"/>
        <v>46635</v>
      </c>
      <c r="CG27" s="1223">
        <f>CF31</f>
        <v>46560</v>
      </c>
      <c r="CH27" s="1429">
        <f>CG31</f>
        <v>46600</v>
      </c>
      <c r="CI27" s="1223">
        <f t="shared" si="24"/>
        <v>46676</v>
      </c>
      <c r="CJ27" s="1223">
        <f t="shared" si="24"/>
        <v>46782</v>
      </c>
      <c r="CK27" s="1223">
        <f t="shared" si="24"/>
        <v>47060</v>
      </c>
      <c r="CL27" s="1429">
        <f t="shared" si="24"/>
        <v>47407</v>
      </c>
      <c r="CM27" s="946"/>
      <c r="CN27" s="946"/>
      <c r="CO27" s="946"/>
      <c r="CP27" s="946"/>
      <c r="CQ27" s="946"/>
      <c r="CR27" s="946"/>
      <c r="CS27" s="946"/>
      <c r="CT27" s="946"/>
      <c r="CU27" s="946"/>
      <c r="CV27" s="946"/>
      <c r="CW27" s="946"/>
      <c r="CX27" s="946"/>
    </row>
    <row r="28" spans="1:102" ht="13.5" customHeight="1">
      <c r="A28" s="1198" t="s">
        <v>191</v>
      </c>
      <c r="B28" s="1198"/>
      <c r="C28" s="1198"/>
      <c r="D28" s="1198"/>
      <c r="E28" s="1198"/>
      <c r="F28" s="1198"/>
      <c r="G28" s="1307"/>
      <c r="H28" s="1226"/>
      <c r="I28" s="1226"/>
      <c r="J28" s="1226"/>
      <c r="K28" s="1226"/>
      <c r="L28" s="1223">
        <f>SUM(BJ28:BM28)</f>
        <v>1734</v>
      </c>
      <c r="M28" s="1223">
        <f>SUM(BN28:BQ28)</f>
        <v>1613</v>
      </c>
      <c r="N28" s="1223">
        <f>SUM(BR28:BU28)</f>
        <v>1632</v>
      </c>
      <c r="O28" s="948">
        <f>SUM(BV28:BY28)</f>
        <v>1669</v>
      </c>
      <c r="P28" s="1179">
        <f>SUM(BZ28:CC28)</f>
        <v>1777</v>
      </c>
      <c r="Q28" s="1179">
        <f>SUM(CD28:CG28)</f>
        <v>1409</v>
      </c>
      <c r="R28" s="1263">
        <f>SUM(CH28:CK28)</f>
        <v>1488</v>
      </c>
      <c r="S28" s="1266">
        <f>SUM(CL28:CO28)</f>
        <v>410</v>
      </c>
      <c r="T28" s="946"/>
      <c r="U28" s="946"/>
      <c r="V28" s="946"/>
      <c r="W28" s="946"/>
      <c r="X28" s="1401"/>
      <c r="Y28" s="1401"/>
      <c r="Z28" s="1198"/>
      <c r="AA28" s="1198"/>
      <c r="AB28" s="1198"/>
      <c r="AC28" s="1198"/>
      <c r="AD28" s="1198"/>
      <c r="AE28" s="1198"/>
      <c r="AF28" s="1198"/>
      <c r="AG28" s="1198"/>
      <c r="AH28" s="1198"/>
      <c r="AI28" s="1198"/>
      <c r="AJ28" s="1198"/>
      <c r="AK28" s="1198"/>
      <c r="AL28" s="1198"/>
      <c r="AM28" s="1198"/>
      <c r="AN28" s="1198"/>
      <c r="AO28" s="1198"/>
      <c r="AP28" s="1198"/>
      <c r="AQ28" s="1198"/>
      <c r="AR28" s="1198"/>
      <c r="AS28" s="1198"/>
      <c r="AT28" s="1198"/>
      <c r="AU28" s="1198"/>
      <c r="AV28" s="1198"/>
      <c r="AW28" s="1307"/>
      <c r="AX28" s="1307"/>
      <c r="AY28" s="1307"/>
      <c r="AZ28" s="1307"/>
      <c r="BA28" s="1307"/>
      <c r="BB28" s="1307"/>
      <c r="BC28" s="1307"/>
      <c r="BD28" s="1307"/>
      <c r="BE28" s="1307"/>
      <c r="BF28" s="1307"/>
      <c r="BG28" s="1307"/>
      <c r="BH28" s="1307"/>
      <c r="BI28" s="1223"/>
      <c r="BJ28" s="1223">
        <f t="shared" ref="BJ28:BZ28" si="25">BJ56</f>
        <v>456</v>
      </c>
      <c r="BK28" s="1223">
        <f t="shared" si="25"/>
        <v>488</v>
      </c>
      <c r="BL28" s="1223">
        <f t="shared" si="25"/>
        <v>418</v>
      </c>
      <c r="BM28" s="1223">
        <f t="shared" si="25"/>
        <v>372</v>
      </c>
      <c r="BN28" s="1429">
        <f t="shared" si="25"/>
        <v>313</v>
      </c>
      <c r="BO28" s="1223">
        <f t="shared" si="25"/>
        <v>352</v>
      </c>
      <c r="BP28" s="1223">
        <f t="shared" si="25"/>
        <v>445</v>
      </c>
      <c r="BQ28" s="1223">
        <f t="shared" si="25"/>
        <v>503</v>
      </c>
      <c r="BR28" s="1429">
        <f t="shared" si="25"/>
        <v>390</v>
      </c>
      <c r="BS28" s="1223">
        <f t="shared" si="25"/>
        <v>442</v>
      </c>
      <c r="BT28" s="1223">
        <f t="shared" si="25"/>
        <v>394</v>
      </c>
      <c r="BU28" s="1223">
        <f t="shared" si="25"/>
        <v>406</v>
      </c>
      <c r="BV28" s="1429">
        <f t="shared" si="25"/>
        <v>318</v>
      </c>
      <c r="BW28" s="1223">
        <f t="shared" si="25"/>
        <v>426</v>
      </c>
      <c r="BX28" s="1223">
        <f t="shared" si="25"/>
        <v>420</v>
      </c>
      <c r="BY28" s="1223">
        <f>BY56</f>
        <v>505</v>
      </c>
      <c r="BZ28" s="1429">
        <f t="shared" si="25"/>
        <v>416</v>
      </c>
      <c r="CA28" s="1223">
        <f t="shared" ref="CA28:CI28" si="26">CA56</f>
        <v>534</v>
      </c>
      <c r="CB28" s="1223">
        <f t="shared" si="26"/>
        <v>466</v>
      </c>
      <c r="CC28" s="1223">
        <f t="shared" si="26"/>
        <v>361</v>
      </c>
      <c r="CD28" s="1429">
        <f t="shared" si="26"/>
        <v>334</v>
      </c>
      <c r="CE28" s="1223">
        <f t="shared" si="26"/>
        <v>348</v>
      </c>
      <c r="CF28" s="1223">
        <f t="shared" si="26"/>
        <v>341</v>
      </c>
      <c r="CG28" s="1223">
        <f>CG56</f>
        <v>386</v>
      </c>
      <c r="CH28" s="1429">
        <f>CH56</f>
        <v>387</v>
      </c>
      <c r="CI28" s="1223">
        <f t="shared" si="26"/>
        <v>330</v>
      </c>
      <c r="CJ28" s="1223">
        <f>CJ56</f>
        <v>373</v>
      </c>
      <c r="CK28" s="1223">
        <f>CK56</f>
        <v>398</v>
      </c>
      <c r="CL28" s="1429">
        <f>CL56</f>
        <v>410</v>
      </c>
      <c r="CM28" s="946"/>
      <c r="CN28" s="946"/>
      <c r="CO28" s="946"/>
      <c r="CP28" s="946"/>
      <c r="CQ28" s="946"/>
      <c r="CR28" s="946"/>
      <c r="CS28" s="946"/>
      <c r="CT28" s="946"/>
      <c r="CU28" s="946"/>
      <c r="CV28" s="946"/>
      <c r="CW28" s="946"/>
      <c r="CX28" s="946"/>
    </row>
    <row r="29" spans="1:102" ht="13.5" customHeight="1">
      <c r="A29" s="1198" t="s">
        <v>10</v>
      </c>
      <c r="B29" s="1198"/>
      <c r="C29" s="1198"/>
      <c r="D29" s="1198"/>
      <c r="E29" s="1198"/>
      <c r="F29" s="1198"/>
      <c r="G29" s="1307"/>
      <c r="H29" s="1226"/>
      <c r="I29" s="1226"/>
      <c r="J29" s="1226"/>
      <c r="K29" s="1226"/>
      <c r="L29" s="1223">
        <f>SUM(BJ29:BM29)</f>
        <v>-1400</v>
      </c>
      <c r="M29" s="1223">
        <f>SUM(BN29:BQ29)</f>
        <v>-1087</v>
      </c>
      <c r="N29" s="1223">
        <f>SUM(BR29:BU29)</f>
        <v>-1212</v>
      </c>
      <c r="O29" s="948">
        <f>SUM(BV29:BY29)</f>
        <v>-1397</v>
      </c>
      <c r="P29" s="948">
        <f>SUM(BZ29:CC29)</f>
        <v>-1653</v>
      </c>
      <c r="Q29" s="948">
        <f>SUM(CD29:CG29)</f>
        <v>-1579</v>
      </c>
      <c r="R29" s="985">
        <f>SUM(CH29:CK29)</f>
        <v>-681</v>
      </c>
      <c r="S29" s="991">
        <f>SUM(CL29:CO29)</f>
        <v>-266</v>
      </c>
      <c r="T29" s="946"/>
      <c r="U29" s="946"/>
      <c r="V29" s="946"/>
      <c r="W29" s="946"/>
      <c r="X29" s="946"/>
      <c r="Y29" s="946"/>
      <c r="Z29" s="1198"/>
      <c r="AA29" s="1198"/>
      <c r="AB29" s="1198"/>
      <c r="AC29" s="1198"/>
      <c r="AD29" s="1198"/>
      <c r="AE29" s="1198"/>
      <c r="AF29" s="1198"/>
      <c r="AG29" s="1198"/>
      <c r="AH29" s="1198"/>
      <c r="AI29" s="1198"/>
      <c r="AJ29" s="1198"/>
      <c r="AK29" s="1198"/>
      <c r="AL29" s="1198"/>
      <c r="AM29" s="1198"/>
      <c r="AN29" s="1198"/>
      <c r="AO29" s="1198"/>
      <c r="AP29" s="1198"/>
      <c r="AQ29" s="1198"/>
      <c r="AR29" s="1198"/>
      <c r="AS29" s="1198"/>
      <c r="AT29" s="1198"/>
      <c r="AU29" s="1198"/>
      <c r="AV29" s="1198"/>
      <c r="AW29" s="1307"/>
      <c r="AX29" s="1307"/>
      <c r="AY29" s="1307"/>
      <c r="AZ29" s="1307"/>
      <c r="BA29" s="1307"/>
      <c r="BB29" s="1307"/>
      <c r="BC29" s="1307"/>
      <c r="BD29" s="1307"/>
      <c r="BE29" s="1307"/>
      <c r="BF29" s="1307"/>
      <c r="BG29" s="1307"/>
      <c r="BH29" s="1307"/>
      <c r="BI29" s="1223"/>
      <c r="BJ29" s="1223">
        <f t="shared" ref="BJ29:BX29" si="27">BJ31-BJ30-BJ28-BJ27</f>
        <v>28.5</v>
      </c>
      <c r="BK29" s="1223">
        <f t="shared" si="27"/>
        <v>28.5</v>
      </c>
      <c r="BL29" s="1223">
        <f t="shared" si="27"/>
        <v>-658</v>
      </c>
      <c r="BM29" s="1223">
        <f t="shared" si="27"/>
        <v>-799</v>
      </c>
      <c r="BN29" s="1429">
        <f t="shared" si="27"/>
        <v>-245.5</v>
      </c>
      <c r="BO29" s="1223">
        <f t="shared" si="27"/>
        <v>-246.5</v>
      </c>
      <c r="BP29" s="1223">
        <f t="shared" si="27"/>
        <v>-334</v>
      </c>
      <c r="BQ29" s="1223">
        <f t="shared" si="27"/>
        <v>-261</v>
      </c>
      <c r="BR29" s="1429">
        <f t="shared" si="27"/>
        <v>-271</v>
      </c>
      <c r="BS29" s="1223">
        <f t="shared" si="27"/>
        <v>-299</v>
      </c>
      <c r="BT29" s="1223">
        <f t="shared" si="27"/>
        <v>-82</v>
      </c>
      <c r="BU29" s="1223">
        <f t="shared" si="27"/>
        <v>-560</v>
      </c>
      <c r="BV29" s="1429">
        <f t="shared" si="27"/>
        <v>-510</v>
      </c>
      <c r="BW29" s="1223">
        <f t="shared" si="27"/>
        <v>-179</v>
      </c>
      <c r="BX29" s="1223">
        <f t="shared" si="27"/>
        <v>-250</v>
      </c>
      <c r="BY29" s="1223">
        <f t="shared" ref="BY29:CF29" si="28">BY31-BY30-BY28-BY27</f>
        <v>-458</v>
      </c>
      <c r="BZ29" s="1429">
        <f t="shared" si="28"/>
        <v>-387</v>
      </c>
      <c r="CA29" s="1223">
        <f t="shared" si="28"/>
        <v>-237</v>
      </c>
      <c r="CB29" s="1223">
        <f t="shared" si="28"/>
        <v>-254</v>
      </c>
      <c r="CC29" s="1223">
        <f t="shared" si="28"/>
        <v>-775</v>
      </c>
      <c r="CD29" s="1429">
        <f t="shared" si="28"/>
        <v>-480</v>
      </c>
      <c r="CE29" s="1223">
        <f t="shared" si="28"/>
        <v>-337</v>
      </c>
      <c r="CF29" s="1223">
        <f t="shared" si="28"/>
        <v>-416</v>
      </c>
      <c r="CG29" s="1223">
        <f t="shared" ref="CG29:CL29" si="29">CG31-CG30-CG28-CG27</f>
        <v>-346</v>
      </c>
      <c r="CH29" s="1429">
        <f t="shared" si="29"/>
        <v>-311</v>
      </c>
      <c r="CI29" s="948">
        <f t="shared" si="29"/>
        <v>-224</v>
      </c>
      <c r="CJ29" s="948">
        <f t="shared" si="29"/>
        <v>-95</v>
      </c>
      <c r="CK29" s="948">
        <f t="shared" si="29"/>
        <v>-51</v>
      </c>
      <c r="CL29" s="1429">
        <f t="shared" si="29"/>
        <v>-266</v>
      </c>
      <c r="CM29" s="946"/>
      <c r="CN29" s="946"/>
      <c r="CO29" s="946"/>
      <c r="CP29" s="946"/>
      <c r="CQ29" s="946"/>
      <c r="CR29" s="946"/>
      <c r="CS29" s="946"/>
      <c r="CT29" s="946"/>
      <c r="CU29" s="946"/>
      <c r="CV29" s="946"/>
      <c r="CW29" s="946"/>
      <c r="CX29" s="946"/>
    </row>
    <row r="30" spans="1:102" ht="13.5" customHeight="1">
      <c r="A30" s="1198" t="s">
        <v>192</v>
      </c>
      <c r="B30" s="1198"/>
      <c r="C30" s="1198"/>
      <c r="D30" s="1198"/>
      <c r="E30" s="1198"/>
      <c r="F30" s="1198"/>
      <c r="G30" s="1307"/>
      <c r="H30" s="1226"/>
      <c r="I30" s="1226"/>
      <c r="J30" s="1226"/>
      <c r="K30" s="1226"/>
      <c r="L30" s="1430">
        <f>SUM(BJ30:BM30)</f>
        <v>0</v>
      </c>
      <c r="M30" s="1430">
        <f>SUM(BN30:BQ30)</f>
        <v>0</v>
      </c>
      <c r="N30" s="1430">
        <f>SUM(BR30:BU30)</f>
        <v>0</v>
      </c>
      <c r="O30" s="1430">
        <f>SUM(BV30:BY30)</f>
        <v>0</v>
      </c>
      <c r="P30" s="1430">
        <f>SUM(BZ30:CC30)</f>
        <v>0</v>
      </c>
      <c r="Q30" s="1244"/>
      <c r="R30" s="1443"/>
      <c r="S30" s="1444"/>
      <c r="T30" s="946"/>
      <c r="U30" s="946"/>
      <c r="V30" s="946"/>
      <c r="W30" s="946"/>
      <c r="X30" s="1401"/>
      <c r="Y30" s="1401"/>
      <c r="Z30" s="1198"/>
      <c r="AA30" s="1198"/>
      <c r="AB30" s="1198"/>
      <c r="AC30" s="1198"/>
      <c r="AD30" s="1198"/>
      <c r="AE30" s="1198"/>
      <c r="AF30" s="1198"/>
      <c r="AG30" s="1198"/>
      <c r="AH30" s="1198"/>
      <c r="AI30" s="1198"/>
      <c r="AJ30" s="1198"/>
      <c r="AK30" s="1198"/>
      <c r="AL30" s="1198"/>
      <c r="AM30" s="1198"/>
      <c r="AN30" s="1198"/>
      <c r="AO30" s="1198"/>
      <c r="AP30" s="1198"/>
      <c r="AQ30" s="1198"/>
      <c r="AR30" s="1198"/>
      <c r="AS30" s="1198"/>
      <c r="AT30" s="1198"/>
      <c r="AU30" s="1198"/>
      <c r="AV30" s="1198"/>
      <c r="AW30" s="1307"/>
      <c r="AX30" s="1307"/>
      <c r="AY30" s="1307"/>
      <c r="AZ30" s="1307"/>
      <c r="BA30" s="1307"/>
      <c r="BB30" s="1307"/>
      <c r="BC30" s="1307"/>
      <c r="BD30" s="1307"/>
      <c r="BE30" s="1307"/>
      <c r="BF30" s="1307"/>
      <c r="BG30" s="1307"/>
      <c r="BH30" s="1307"/>
      <c r="BI30" s="1430"/>
      <c r="BJ30" s="1430"/>
      <c r="BK30" s="1430"/>
      <c r="BL30" s="1430"/>
      <c r="BM30" s="1430"/>
      <c r="BN30" s="1433"/>
      <c r="BO30" s="1430"/>
      <c r="BP30" s="1430"/>
      <c r="BQ30" s="1430"/>
      <c r="BR30" s="1433"/>
      <c r="BS30" s="1430"/>
      <c r="BT30" s="1430"/>
      <c r="BU30" s="1430"/>
      <c r="BV30" s="1433"/>
      <c r="BW30" s="1430"/>
      <c r="BX30" s="1430"/>
      <c r="BY30" s="1430"/>
      <c r="BZ30" s="1451"/>
      <c r="CA30" s="1430"/>
      <c r="CB30" s="1430"/>
      <c r="CC30" s="1430"/>
      <c r="CD30" s="1433"/>
      <c r="CE30" s="1430"/>
      <c r="CF30" s="1430"/>
      <c r="CG30" s="1430"/>
      <c r="CH30" s="1451"/>
      <c r="CI30" s="1452"/>
      <c r="CJ30" s="1452"/>
      <c r="CK30" s="1452"/>
      <c r="CL30" s="1451"/>
      <c r="CM30" s="946"/>
      <c r="CN30" s="946"/>
      <c r="CO30" s="946"/>
      <c r="CP30" s="946"/>
      <c r="CQ30" s="946"/>
      <c r="CR30" s="946"/>
      <c r="CS30" s="946"/>
      <c r="CT30" s="946"/>
      <c r="CU30" s="946"/>
      <c r="CV30" s="946"/>
      <c r="CW30" s="946"/>
      <c r="CX30" s="946"/>
    </row>
    <row r="31" spans="1:102" ht="13.5" customHeight="1">
      <c r="A31" s="1198" t="s">
        <v>193</v>
      </c>
      <c r="B31" s="1198"/>
      <c r="C31" s="1198"/>
      <c r="D31" s="1198"/>
      <c r="E31" s="1198"/>
      <c r="F31" s="1198"/>
      <c r="G31" s="1307"/>
      <c r="H31" s="1226"/>
      <c r="I31" s="1226"/>
      <c r="J31" s="1226"/>
      <c r="K31" s="1223">
        <f>BI31</f>
        <v>45094</v>
      </c>
      <c r="L31" s="1223">
        <f>BM31</f>
        <v>45428</v>
      </c>
      <c r="M31" s="1223">
        <f>BQ31</f>
        <v>45954</v>
      </c>
      <c r="N31" s="1223">
        <f>BU31</f>
        <v>46374</v>
      </c>
      <c r="O31" s="948">
        <f>BY31</f>
        <v>46646</v>
      </c>
      <c r="P31" s="1179">
        <f>CC31</f>
        <v>46770</v>
      </c>
      <c r="Q31" s="1179">
        <f>CG31</f>
        <v>46600</v>
      </c>
      <c r="R31" s="1263">
        <f>+CK31</f>
        <v>47407</v>
      </c>
      <c r="S31" s="1266">
        <f>CO31</f>
        <v>0</v>
      </c>
      <c r="T31" s="946"/>
      <c r="U31" s="946"/>
      <c r="V31" s="946"/>
      <c r="W31" s="946"/>
      <c r="X31" s="946"/>
      <c r="Y31" s="946"/>
      <c r="Z31" s="1198"/>
      <c r="AA31" s="1198"/>
      <c r="AB31" s="1198"/>
      <c r="AC31" s="1198"/>
      <c r="AD31" s="1198"/>
      <c r="AE31" s="1198"/>
      <c r="AF31" s="1198"/>
      <c r="AG31" s="1198"/>
      <c r="AH31" s="1198"/>
      <c r="AI31" s="1198"/>
      <c r="AJ31" s="1198"/>
      <c r="AK31" s="1198"/>
      <c r="AL31" s="1198"/>
      <c r="AM31" s="1198"/>
      <c r="AN31" s="1198"/>
      <c r="AO31" s="1198"/>
      <c r="AP31" s="1198"/>
      <c r="AQ31" s="1198"/>
      <c r="AR31" s="1198"/>
      <c r="AS31" s="1198"/>
      <c r="AT31" s="1198"/>
      <c r="AU31" s="1198"/>
      <c r="AV31" s="1198"/>
      <c r="AW31" s="1307"/>
      <c r="AX31" s="1307"/>
      <c r="AY31" s="1307"/>
      <c r="AZ31" s="1307"/>
      <c r="BA31" s="1307"/>
      <c r="BB31" s="1307"/>
      <c r="BC31" s="1307"/>
      <c r="BD31" s="1307"/>
      <c r="BE31" s="1307"/>
      <c r="BF31" s="1307"/>
      <c r="BG31" s="1307"/>
      <c r="BH31" s="1307"/>
      <c r="BI31" s="1223">
        <f t="shared" ref="BI31:BX31" si="30">BI23</f>
        <v>45094</v>
      </c>
      <c r="BJ31" s="1223">
        <f t="shared" si="30"/>
        <v>45578.5</v>
      </c>
      <c r="BK31" s="1223">
        <f t="shared" si="30"/>
        <v>46095</v>
      </c>
      <c r="BL31" s="1223">
        <f t="shared" si="30"/>
        <v>45855</v>
      </c>
      <c r="BM31" s="1223">
        <f t="shared" si="30"/>
        <v>45428</v>
      </c>
      <c r="BN31" s="1429">
        <f t="shared" si="30"/>
        <v>45495.5</v>
      </c>
      <c r="BO31" s="1223">
        <f t="shared" si="30"/>
        <v>45601</v>
      </c>
      <c r="BP31" s="1223">
        <f t="shared" si="30"/>
        <v>45712</v>
      </c>
      <c r="BQ31" s="1223">
        <f t="shared" si="30"/>
        <v>45954</v>
      </c>
      <c r="BR31" s="1429">
        <f t="shared" si="30"/>
        <v>46073</v>
      </c>
      <c r="BS31" s="1223">
        <f t="shared" si="30"/>
        <v>46216</v>
      </c>
      <c r="BT31" s="1223">
        <f t="shared" si="30"/>
        <v>46528</v>
      </c>
      <c r="BU31" s="1223">
        <f t="shared" si="30"/>
        <v>46374</v>
      </c>
      <c r="BV31" s="1429">
        <f t="shared" si="30"/>
        <v>46182</v>
      </c>
      <c r="BW31" s="1223">
        <f t="shared" si="30"/>
        <v>46429</v>
      </c>
      <c r="BX31" s="1223">
        <f t="shared" si="30"/>
        <v>46599</v>
      </c>
      <c r="BY31" s="1223">
        <f t="shared" ref="BY31:CD31" si="31">BY23</f>
        <v>46646</v>
      </c>
      <c r="BZ31" s="1429">
        <f t="shared" si="31"/>
        <v>46675</v>
      </c>
      <c r="CA31" s="1223">
        <f t="shared" si="31"/>
        <v>46972</v>
      </c>
      <c r="CB31" s="1223">
        <f t="shared" si="31"/>
        <v>47184</v>
      </c>
      <c r="CC31" s="1223">
        <f t="shared" si="31"/>
        <v>46770</v>
      </c>
      <c r="CD31" s="1429">
        <f t="shared" si="31"/>
        <v>46624</v>
      </c>
      <c r="CE31" s="1223">
        <f t="shared" ref="CE31:CJ31" si="32">CE23</f>
        <v>46635</v>
      </c>
      <c r="CF31" s="1223">
        <f t="shared" si="32"/>
        <v>46560</v>
      </c>
      <c r="CG31" s="1223">
        <f t="shared" si="32"/>
        <v>46600</v>
      </c>
      <c r="CH31" s="1429">
        <f t="shared" si="32"/>
        <v>46676</v>
      </c>
      <c r="CI31" s="948">
        <f t="shared" si="32"/>
        <v>46782</v>
      </c>
      <c r="CJ31" s="948">
        <f t="shared" si="32"/>
        <v>47060</v>
      </c>
      <c r="CK31" s="948">
        <f>CK23</f>
        <v>47407</v>
      </c>
      <c r="CL31" s="1429">
        <f>CL23</f>
        <v>47551</v>
      </c>
      <c r="CM31" s="946"/>
      <c r="CN31" s="946"/>
      <c r="CO31" s="946"/>
      <c r="CP31" s="946"/>
      <c r="CQ31" s="946"/>
      <c r="CR31" s="946"/>
      <c r="CS31" s="946"/>
      <c r="CT31" s="946"/>
      <c r="CU31" s="946"/>
      <c r="CV31" s="946"/>
      <c r="CW31" s="946"/>
      <c r="CX31" s="946"/>
    </row>
    <row r="32" spans="1:102" ht="13.5" customHeight="1">
      <c r="A32" s="1198" t="s">
        <v>194</v>
      </c>
      <c r="B32" s="1198"/>
      <c r="C32" s="1198"/>
      <c r="D32" s="1198"/>
      <c r="E32" s="1198"/>
      <c r="F32" s="1198"/>
      <c r="G32" s="1307"/>
      <c r="H32" s="1226"/>
      <c r="I32" s="1226"/>
      <c r="J32" s="1226"/>
      <c r="K32" s="1226"/>
      <c r="L32" s="1223">
        <f t="shared" ref="L32:S32" si="33">AVERAGE(K31:L31)</f>
        <v>45261</v>
      </c>
      <c r="M32" s="1223">
        <f t="shared" si="33"/>
        <v>45691</v>
      </c>
      <c r="N32" s="1223">
        <f t="shared" si="33"/>
        <v>46164</v>
      </c>
      <c r="O32" s="948">
        <f t="shared" si="33"/>
        <v>46510</v>
      </c>
      <c r="P32" s="948">
        <f t="shared" si="33"/>
        <v>46708</v>
      </c>
      <c r="Q32" s="948">
        <f t="shared" si="33"/>
        <v>46685</v>
      </c>
      <c r="R32" s="985">
        <f t="shared" si="33"/>
        <v>47003.5</v>
      </c>
      <c r="S32" s="991">
        <f t="shared" si="33"/>
        <v>23703.5</v>
      </c>
      <c r="T32" s="946"/>
      <c r="U32" s="946"/>
      <c r="V32" s="946"/>
      <c r="W32" s="946"/>
      <c r="X32" s="1401"/>
      <c r="Y32" s="1401"/>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307"/>
      <c r="AX32" s="1307"/>
      <c r="AY32" s="1307"/>
      <c r="AZ32" s="1307"/>
      <c r="BA32" s="1307"/>
      <c r="BB32" s="1307"/>
      <c r="BC32" s="1307"/>
      <c r="BD32" s="1307"/>
      <c r="BE32" s="1307"/>
      <c r="BF32" s="1307"/>
      <c r="BG32" s="1307"/>
      <c r="BH32" s="1307"/>
      <c r="BI32" s="1223"/>
      <c r="BJ32" s="1223">
        <f t="shared" ref="BJ32:CC32" si="34">AVERAGE(BI31:BJ31)</f>
        <v>45336.25</v>
      </c>
      <c r="BK32" s="1223">
        <f t="shared" si="34"/>
        <v>45836.75</v>
      </c>
      <c r="BL32" s="1223">
        <f t="shared" si="34"/>
        <v>45975</v>
      </c>
      <c r="BM32" s="1223">
        <f t="shared" si="34"/>
        <v>45641.5</v>
      </c>
      <c r="BN32" s="1429">
        <f t="shared" si="34"/>
        <v>45461.75</v>
      </c>
      <c r="BO32" s="1223">
        <f t="shared" si="34"/>
        <v>45548.25</v>
      </c>
      <c r="BP32" s="1223">
        <f t="shared" si="34"/>
        <v>45656.5</v>
      </c>
      <c r="BQ32" s="1223">
        <f t="shared" si="34"/>
        <v>45833</v>
      </c>
      <c r="BR32" s="1429">
        <f t="shared" si="34"/>
        <v>46013.5</v>
      </c>
      <c r="BS32" s="1223">
        <f t="shared" si="34"/>
        <v>46144.5</v>
      </c>
      <c r="BT32" s="1223">
        <f t="shared" si="34"/>
        <v>46372</v>
      </c>
      <c r="BU32" s="1223">
        <f t="shared" si="34"/>
        <v>46451</v>
      </c>
      <c r="BV32" s="1429">
        <f t="shared" si="34"/>
        <v>46278</v>
      </c>
      <c r="BW32" s="1223">
        <f t="shared" si="34"/>
        <v>46305.5</v>
      </c>
      <c r="BX32" s="1223">
        <f t="shared" si="34"/>
        <v>46514</v>
      </c>
      <c r="BY32" s="1223">
        <f t="shared" si="34"/>
        <v>46622.5</v>
      </c>
      <c r="BZ32" s="1429">
        <f t="shared" si="34"/>
        <v>46660.5</v>
      </c>
      <c r="CA32" s="1223">
        <f t="shared" si="34"/>
        <v>46823.5</v>
      </c>
      <c r="CB32" s="1223">
        <f t="shared" si="34"/>
        <v>47078</v>
      </c>
      <c r="CC32" s="1223">
        <f t="shared" si="34"/>
        <v>46977</v>
      </c>
      <c r="CD32" s="1429">
        <f t="shared" ref="CD32:CL32" si="35">AVERAGE(CC31:CD31)</f>
        <v>46697</v>
      </c>
      <c r="CE32" s="1223">
        <f t="shared" si="35"/>
        <v>46629.5</v>
      </c>
      <c r="CF32" s="1223">
        <f t="shared" si="35"/>
        <v>46597.5</v>
      </c>
      <c r="CG32" s="1223">
        <f t="shared" si="35"/>
        <v>46580</v>
      </c>
      <c r="CH32" s="1429">
        <f t="shared" si="35"/>
        <v>46638</v>
      </c>
      <c r="CI32" s="1223">
        <f t="shared" si="35"/>
        <v>46729</v>
      </c>
      <c r="CJ32" s="1223">
        <f t="shared" si="35"/>
        <v>46921</v>
      </c>
      <c r="CK32" s="1223">
        <f t="shared" si="35"/>
        <v>47233.5</v>
      </c>
      <c r="CL32" s="1429">
        <f t="shared" si="35"/>
        <v>47479</v>
      </c>
      <c r="CM32" s="946"/>
      <c r="CN32" s="946"/>
      <c r="CO32" s="946"/>
      <c r="CP32" s="946"/>
      <c r="CQ32" s="946"/>
      <c r="CR32" s="946"/>
      <c r="CS32" s="946"/>
      <c r="CT32" s="946"/>
      <c r="CU32" s="946"/>
      <c r="CV32" s="946"/>
      <c r="CW32" s="946"/>
      <c r="CX32" s="946"/>
    </row>
    <row r="33" spans="1:102" ht="13.5" customHeight="1">
      <c r="A33" s="1198"/>
      <c r="B33" s="1198"/>
      <c r="C33" s="1198"/>
      <c r="D33" s="1198"/>
      <c r="E33" s="1198"/>
      <c r="F33" s="1198"/>
      <c r="G33" s="1307"/>
      <c r="H33" s="1226"/>
      <c r="I33" s="1226"/>
      <c r="J33" s="1226"/>
      <c r="K33" s="1226"/>
      <c r="L33" s="1226"/>
      <c r="M33" s="1226"/>
      <c r="N33" s="1226"/>
      <c r="O33" s="1179"/>
      <c r="P33" s="1179"/>
      <c r="Q33" s="1179"/>
      <c r="R33" s="1263"/>
      <c r="S33" s="1266"/>
      <c r="T33" s="946"/>
      <c r="U33" s="946"/>
      <c r="V33" s="946"/>
      <c r="W33" s="946"/>
      <c r="X33" s="946"/>
      <c r="Y33" s="946"/>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307"/>
      <c r="AX33" s="1307"/>
      <c r="AY33" s="1307"/>
      <c r="AZ33" s="1307"/>
      <c r="BA33" s="1307"/>
      <c r="BB33" s="1307"/>
      <c r="BC33" s="1307"/>
      <c r="BD33" s="1307"/>
      <c r="BE33" s="1307"/>
      <c r="BF33" s="1307"/>
      <c r="BG33" s="1307"/>
      <c r="BH33" s="1307"/>
      <c r="BI33" s="948"/>
      <c r="BJ33" s="948"/>
      <c r="BK33" s="948"/>
      <c r="BL33" s="948"/>
      <c r="BM33" s="948"/>
      <c r="BN33" s="1429"/>
      <c r="BO33" s="948"/>
      <c r="BP33" s="948"/>
      <c r="BQ33" s="948"/>
      <c r="BR33" s="1429"/>
      <c r="BS33" s="1223"/>
      <c r="BT33" s="1427"/>
      <c r="BU33" s="1427"/>
      <c r="BV33" s="1428"/>
      <c r="BW33" s="1427"/>
      <c r="BX33" s="1427"/>
      <c r="BY33" s="1427"/>
      <c r="BZ33" s="1428"/>
      <c r="CA33" s="1427"/>
      <c r="CB33" s="1427"/>
      <c r="CC33" s="1427"/>
      <c r="CD33" s="1428"/>
      <c r="CE33" s="1427"/>
      <c r="CF33" s="1427"/>
      <c r="CG33" s="1427"/>
      <c r="CH33" s="1428"/>
      <c r="CI33" s="1427"/>
      <c r="CJ33" s="1427"/>
      <c r="CK33" s="1427"/>
      <c r="CL33" s="1428"/>
      <c r="CM33" s="946"/>
      <c r="CN33" s="946"/>
      <c r="CO33" s="946"/>
      <c r="CP33" s="946"/>
      <c r="CQ33" s="946"/>
      <c r="CR33" s="946"/>
      <c r="CS33" s="946"/>
      <c r="CT33" s="946"/>
      <c r="CU33" s="946"/>
      <c r="CV33" s="946"/>
      <c r="CW33" s="946"/>
      <c r="CX33" s="946"/>
    </row>
    <row r="34" spans="1:102" ht="13.5" customHeight="1">
      <c r="A34" s="1198" t="s">
        <v>195</v>
      </c>
      <c r="B34" s="1198"/>
      <c r="C34" s="1198"/>
      <c r="D34" s="1198"/>
      <c r="E34" s="1198"/>
      <c r="F34" s="1198"/>
      <c r="G34" s="1307"/>
      <c r="H34" s="1226"/>
      <c r="I34" s="1226"/>
      <c r="J34" s="1226"/>
      <c r="K34" s="1226"/>
      <c r="L34" s="1055">
        <f t="shared" ref="L34:S34" si="36">L28/L32</f>
        <v>3.8311128786372377E-2</v>
      </c>
      <c r="M34" s="1055">
        <f t="shared" si="36"/>
        <v>3.5302357138167255E-2</v>
      </c>
      <c r="N34" s="1055">
        <f t="shared" si="36"/>
        <v>3.5352222511047568E-2</v>
      </c>
      <c r="O34" s="1056">
        <f t="shared" si="36"/>
        <v>3.5884755966458827E-2</v>
      </c>
      <c r="P34" s="1056">
        <f t="shared" si="36"/>
        <v>3.8044874539693414E-2</v>
      </c>
      <c r="Q34" s="1056">
        <f t="shared" si="36"/>
        <v>3.0181000321302345E-2</v>
      </c>
      <c r="R34" s="1057">
        <f t="shared" si="36"/>
        <v>3.1657217015754149E-2</v>
      </c>
      <c r="S34" s="1008">
        <f t="shared" si="36"/>
        <v>1.7297023646296962E-2</v>
      </c>
      <c r="T34" s="946"/>
      <c r="U34" s="946"/>
      <c r="V34" s="946"/>
      <c r="W34" s="946"/>
      <c r="X34" s="1401"/>
      <c r="Y34" s="1401"/>
      <c r="Z34" s="1198"/>
      <c r="AA34" s="1198"/>
      <c r="AB34" s="1198"/>
      <c r="AC34" s="1198"/>
      <c r="AD34" s="1198"/>
      <c r="AE34" s="1198"/>
      <c r="AF34" s="1198"/>
      <c r="AG34" s="1198"/>
      <c r="AH34" s="1198"/>
      <c r="AI34" s="1198"/>
      <c r="AJ34" s="1198"/>
      <c r="AK34" s="1198"/>
      <c r="AL34" s="1198"/>
      <c r="AM34" s="1198"/>
      <c r="AN34" s="1198"/>
      <c r="AO34" s="1198"/>
      <c r="AP34" s="1198"/>
      <c r="AQ34" s="1198"/>
      <c r="AR34" s="1198"/>
      <c r="AS34" s="1198"/>
      <c r="AT34" s="1198"/>
      <c r="AU34" s="1198"/>
      <c r="AV34" s="1198"/>
      <c r="AW34" s="1307"/>
      <c r="AX34" s="1307"/>
      <c r="AY34" s="1307"/>
      <c r="AZ34" s="1307"/>
      <c r="BA34" s="1307"/>
      <c r="BB34" s="1307"/>
      <c r="BC34" s="1307"/>
      <c r="BD34" s="1307"/>
      <c r="BE34" s="1307"/>
      <c r="BF34" s="1307"/>
      <c r="BG34" s="1307"/>
      <c r="BH34" s="1307"/>
      <c r="BI34" s="1223"/>
      <c r="BJ34" s="1055">
        <f t="shared" ref="BJ34:BZ34" si="37">BJ28/BJ32</f>
        <v>1.0058176404091649E-2</v>
      </c>
      <c r="BK34" s="1055">
        <f t="shared" si="37"/>
        <v>1.0646479080650351E-2</v>
      </c>
      <c r="BL34" s="1055">
        <f t="shared" si="37"/>
        <v>9.0918977705274611E-3</v>
      </c>
      <c r="BM34" s="1055">
        <f t="shared" si="37"/>
        <v>8.1504770877381325E-3</v>
      </c>
      <c r="BN34" s="1058">
        <f t="shared" si="37"/>
        <v>6.8849087419643983E-3</v>
      </c>
      <c r="BO34" s="1055">
        <f t="shared" si="37"/>
        <v>7.7280685866087063E-3</v>
      </c>
      <c r="BP34" s="1055">
        <f t="shared" si="37"/>
        <v>9.7466954321947588E-3</v>
      </c>
      <c r="BQ34" s="1055">
        <f t="shared" si="37"/>
        <v>1.0974625270001964E-2</v>
      </c>
      <c r="BR34" s="1058">
        <f t="shared" si="37"/>
        <v>8.4757734143240566E-3</v>
      </c>
      <c r="BS34" s="1055">
        <f t="shared" si="37"/>
        <v>9.5786063344493935E-3</v>
      </c>
      <c r="BT34" s="1055">
        <f t="shared" si="37"/>
        <v>8.4965065125506764E-3</v>
      </c>
      <c r="BU34" s="1055">
        <f t="shared" si="37"/>
        <v>8.7403931024089901E-3</v>
      </c>
      <c r="BV34" s="1058">
        <f t="shared" si="37"/>
        <v>6.8715156229741991E-3</v>
      </c>
      <c r="BW34" s="1055">
        <f t="shared" si="37"/>
        <v>9.1997710855082002E-3</v>
      </c>
      <c r="BX34" s="1055">
        <f t="shared" si="37"/>
        <v>9.0295394934858317E-3</v>
      </c>
      <c r="BY34" s="1055">
        <f>BY28/BY32</f>
        <v>1.0831679982840903E-2</v>
      </c>
      <c r="BZ34" s="1058">
        <f t="shared" si="37"/>
        <v>8.9154638291488522E-3</v>
      </c>
      <c r="CA34" s="1055">
        <f t="shared" ref="CA34:CI34" si="38">CA28/CA32</f>
        <v>1.1404529776714684E-2</v>
      </c>
      <c r="CB34" s="1055">
        <f t="shared" si="38"/>
        <v>9.8984663749522063E-3</v>
      </c>
      <c r="CC34" s="1055">
        <f t="shared" si="38"/>
        <v>7.6846116184515825E-3</v>
      </c>
      <c r="CD34" s="1058">
        <f t="shared" si="38"/>
        <v>7.152493736214318E-3</v>
      </c>
      <c r="CE34" s="1055">
        <f t="shared" si="38"/>
        <v>7.4630866725999634E-3</v>
      </c>
      <c r="CF34" s="1055">
        <f t="shared" si="38"/>
        <v>7.3179891625087179E-3</v>
      </c>
      <c r="CG34" s="1055">
        <f>CG28/CG32</f>
        <v>8.2868183769858311E-3</v>
      </c>
      <c r="CH34" s="1058">
        <f>CH28/CH32</f>
        <v>8.2979544577383244E-3</v>
      </c>
      <c r="CI34" s="1055">
        <f t="shared" si="38"/>
        <v>7.0619957628025422E-3</v>
      </c>
      <c r="CJ34" s="1055">
        <f>CJ28/CJ32</f>
        <v>7.9495321924085167E-3</v>
      </c>
      <c r="CK34" s="1055">
        <f>CK28/CK32</f>
        <v>8.4262229138217584E-3</v>
      </c>
      <c r="CL34" s="1058">
        <f>CL28/CL32</f>
        <v>8.6353967016996984E-3</v>
      </c>
      <c r="CM34" s="946"/>
      <c r="CN34" s="946"/>
      <c r="CO34" s="946"/>
      <c r="CP34" s="946"/>
      <c r="CQ34" s="946"/>
      <c r="CR34" s="946"/>
      <c r="CS34" s="946"/>
      <c r="CT34" s="946"/>
      <c r="CU34" s="946"/>
      <c r="CV34" s="946"/>
      <c r="CW34" s="946"/>
      <c r="CX34" s="946"/>
    </row>
    <row r="35" spans="1:102" ht="13.5" customHeight="1">
      <c r="A35" s="1198" t="s">
        <v>196</v>
      </c>
      <c r="B35" s="1198"/>
      <c r="C35" s="1198"/>
      <c r="D35" s="1198"/>
      <c r="E35" s="1198"/>
      <c r="F35" s="1198"/>
      <c r="G35" s="1307"/>
      <c r="H35" s="1226"/>
      <c r="I35" s="1226"/>
      <c r="J35" s="1226"/>
      <c r="K35" s="1226"/>
      <c r="L35" s="1055">
        <f t="shared" ref="L35:Q35" si="39">L29/L27</f>
        <v>-3.1046258925799441E-2</v>
      </c>
      <c r="M35" s="1055">
        <f t="shared" si="39"/>
        <v>-2.392797393677908E-2</v>
      </c>
      <c r="N35" s="1055">
        <f t="shared" si="39"/>
        <v>-2.6374200287243764E-2</v>
      </c>
      <c r="O35" s="1056">
        <f t="shared" si="39"/>
        <v>-3.0124638806227629E-2</v>
      </c>
      <c r="P35" s="1056">
        <f t="shared" si="39"/>
        <v>-3.5437122154096813E-2</v>
      </c>
      <c r="Q35" s="1056">
        <f t="shared" si="39"/>
        <v>-3.3760957878982256E-2</v>
      </c>
      <c r="R35" s="1057">
        <f>R29/R27</f>
        <v>-1.46137339055794E-2</v>
      </c>
      <c r="S35" s="1008">
        <f>S29/S27</f>
        <v>-5.6109857194085264E-3</v>
      </c>
      <c r="T35" s="946"/>
      <c r="U35" s="946"/>
      <c r="V35" s="946"/>
      <c r="W35" s="946"/>
      <c r="X35" s="946"/>
      <c r="Y35" s="946"/>
      <c r="Z35" s="1198"/>
      <c r="AA35" s="1198"/>
      <c r="AB35" s="1198"/>
      <c r="AC35" s="1198"/>
      <c r="AD35" s="1198"/>
      <c r="AE35" s="1198"/>
      <c r="AF35" s="1198"/>
      <c r="AG35" s="1198"/>
      <c r="AH35" s="1198"/>
      <c r="AI35" s="1198"/>
      <c r="AJ35" s="1198"/>
      <c r="AK35" s="1198"/>
      <c r="AL35" s="1198"/>
      <c r="AM35" s="1198"/>
      <c r="AN35" s="1198"/>
      <c r="AO35" s="1198"/>
      <c r="AP35" s="1198"/>
      <c r="AQ35" s="1198"/>
      <c r="AR35" s="1198"/>
      <c r="AS35" s="1198"/>
      <c r="AT35" s="1198"/>
      <c r="AU35" s="1198"/>
      <c r="AV35" s="1198"/>
      <c r="AW35" s="1307"/>
      <c r="AX35" s="1307"/>
      <c r="AY35" s="1307"/>
      <c r="AZ35" s="1307"/>
      <c r="BA35" s="1307"/>
      <c r="BB35" s="1307"/>
      <c r="BC35" s="1307"/>
      <c r="BD35" s="1307"/>
      <c r="BE35" s="1307"/>
      <c r="BF35" s="1307"/>
      <c r="BG35" s="1307"/>
      <c r="BH35" s="1307"/>
      <c r="BI35" s="1223"/>
      <c r="BJ35" s="1055">
        <f t="shared" ref="BJ35:BX35" si="40">BJ29/BJ27</f>
        <v>6.3201312813234573E-4</v>
      </c>
      <c r="BK35" s="1055">
        <f t="shared" si="40"/>
        <v>6.2529482102307004E-4</v>
      </c>
      <c r="BL35" s="1055">
        <f t="shared" si="40"/>
        <v>-1.4274867122247532E-2</v>
      </c>
      <c r="BM35" s="1055">
        <f t="shared" si="40"/>
        <v>-1.7424490240976993E-2</v>
      </c>
      <c r="BN35" s="1058">
        <f t="shared" si="40"/>
        <v>-5.4041560271198379E-3</v>
      </c>
      <c r="BO35" s="1055">
        <f t="shared" si="40"/>
        <v>-5.4181182754338341E-3</v>
      </c>
      <c r="BP35" s="1055">
        <f t="shared" si="40"/>
        <v>-7.3244007806846341E-3</v>
      </c>
      <c r="BQ35" s="1055">
        <f t="shared" si="40"/>
        <v>-5.7096604830241511E-3</v>
      </c>
      <c r="BR35" s="1058">
        <f t="shared" si="40"/>
        <v>-5.8972015493754621E-3</v>
      </c>
      <c r="BS35" s="1055">
        <f t="shared" si="40"/>
        <v>-6.4897011264732057E-3</v>
      </c>
      <c r="BT35" s="1055">
        <f t="shared" si="40"/>
        <v>-1.7742773065604984E-3</v>
      </c>
      <c r="BU35" s="1055">
        <f t="shared" si="40"/>
        <v>-1.2035763411279229E-2</v>
      </c>
      <c r="BV35" s="1058">
        <f t="shared" si="40"/>
        <v>-1.0997541725967137E-2</v>
      </c>
      <c r="BW35" s="1055">
        <f t="shared" si="40"/>
        <v>-3.875968992248062E-3</v>
      </c>
      <c r="BX35" s="1055">
        <f t="shared" si="40"/>
        <v>-5.3845656809321761E-3</v>
      </c>
      <c r="BY35" s="1055">
        <f t="shared" ref="BY35:CD35" si="41">BY29/BY27</f>
        <v>-9.8285370930706675E-3</v>
      </c>
      <c r="BZ35" s="1058">
        <f t="shared" si="41"/>
        <v>-8.2965313210135918E-3</v>
      </c>
      <c r="CA35" s="1055">
        <f t="shared" si="41"/>
        <v>-5.0776647027316549E-3</v>
      </c>
      <c r="CB35" s="1055">
        <f t="shared" si="41"/>
        <v>-5.4074767946861958E-3</v>
      </c>
      <c r="CC35" s="1055">
        <f t="shared" si="41"/>
        <v>-1.642505934214988E-2</v>
      </c>
      <c r="CD35" s="1058">
        <f t="shared" si="41"/>
        <v>-1.0262989095574085E-2</v>
      </c>
      <c r="CE35" s="1055">
        <f t="shared" ref="CE35:CJ35" si="42">CE29/CE27</f>
        <v>-7.2280370624571034E-3</v>
      </c>
      <c r="CF35" s="1055">
        <f t="shared" si="42"/>
        <v>-8.9203388013294731E-3</v>
      </c>
      <c r="CG35" s="1055">
        <f t="shared" si="42"/>
        <v>-7.4312714776632299E-3</v>
      </c>
      <c r="CH35" s="1058">
        <f t="shared" si="42"/>
        <v>-6.6738197424892707E-3</v>
      </c>
      <c r="CI35" s="1056">
        <f t="shared" si="42"/>
        <v>-4.7990401919616073E-3</v>
      </c>
      <c r="CJ35" s="1056">
        <f t="shared" si="42"/>
        <v>-2.0306955666709418E-3</v>
      </c>
      <c r="CK35" s="1056">
        <f>CK29/CK27</f>
        <v>-1.0837229069273267E-3</v>
      </c>
      <c r="CL35" s="1058">
        <f>CL29/CL27</f>
        <v>-5.6109857194085264E-3</v>
      </c>
      <c r="CM35" s="946"/>
      <c r="CN35" s="946"/>
      <c r="CO35" s="946"/>
      <c r="CP35" s="946"/>
      <c r="CQ35" s="946"/>
      <c r="CR35" s="946"/>
      <c r="CS35" s="946"/>
      <c r="CT35" s="946"/>
      <c r="CU35" s="946"/>
      <c r="CV35" s="946"/>
      <c r="CW35" s="946"/>
      <c r="CX35" s="946"/>
    </row>
    <row r="36" spans="1:102" ht="13.5" customHeight="1">
      <c r="A36" s="1198"/>
      <c r="B36" s="1198"/>
      <c r="C36" s="1198"/>
      <c r="D36" s="1198"/>
      <c r="E36" s="1198"/>
      <c r="F36" s="1198"/>
      <c r="G36" s="1307"/>
      <c r="H36" s="1226"/>
      <c r="I36" s="1226"/>
      <c r="J36" s="1226"/>
      <c r="K36" s="1226"/>
      <c r="L36" s="1226"/>
      <c r="M36" s="1226"/>
      <c r="N36" s="1226"/>
      <c r="O36" s="1179"/>
      <c r="P36" s="1179"/>
      <c r="Q36" s="1179"/>
      <c r="R36" s="1263"/>
      <c r="S36" s="1266"/>
      <c r="T36" s="946"/>
      <c r="U36" s="946"/>
      <c r="V36" s="946"/>
      <c r="W36" s="946"/>
      <c r="X36" s="1401"/>
      <c r="Y36" s="1401"/>
      <c r="Z36" s="1198"/>
      <c r="AA36" s="1198"/>
      <c r="AB36" s="1198"/>
      <c r="AC36" s="1198"/>
      <c r="AD36" s="1198"/>
      <c r="AE36" s="1198"/>
      <c r="AF36" s="1198"/>
      <c r="AG36" s="1198"/>
      <c r="AH36" s="1198"/>
      <c r="AI36" s="1198"/>
      <c r="AJ36" s="1198"/>
      <c r="AK36" s="1198"/>
      <c r="AL36" s="1198"/>
      <c r="AM36" s="1198"/>
      <c r="AN36" s="1198"/>
      <c r="AO36" s="1198"/>
      <c r="AP36" s="1198"/>
      <c r="AQ36" s="1198"/>
      <c r="AR36" s="1198"/>
      <c r="AS36" s="1198"/>
      <c r="AT36" s="1198"/>
      <c r="AU36" s="1198"/>
      <c r="AV36" s="1198"/>
      <c r="AW36" s="1307"/>
      <c r="AX36" s="1307"/>
      <c r="AY36" s="1307"/>
      <c r="AZ36" s="1307"/>
      <c r="BA36" s="1307"/>
      <c r="BB36" s="1307"/>
      <c r="BC36" s="1307"/>
      <c r="BD36" s="1307"/>
      <c r="BE36" s="1307"/>
      <c r="BF36" s="1307"/>
      <c r="BG36" s="1307"/>
      <c r="BH36" s="1307"/>
      <c r="BI36" s="948"/>
      <c r="BJ36" s="948"/>
      <c r="BK36" s="948"/>
      <c r="BL36" s="948"/>
      <c r="BM36" s="948"/>
      <c r="BN36" s="1429"/>
      <c r="BO36" s="948"/>
      <c r="BP36" s="948"/>
      <c r="BQ36" s="948"/>
      <c r="BR36" s="1429"/>
      <c r="BS36" s="948"/>
      <c r="BT36" s="948"/>
      <c r="BU36" s="948"/>
      <c r="BV36" s="1429"/>
      <c r="BW36" s="1427"/>
      <c r="BX36" s="1427"/>
      <c r="BY36" s="1427"/>
      <c r="BZ36" s="1428"/>
      <c r="CA36" s="1427"/>
      <c r="CB36" s="1427"/>
      <c r="CC36" s="1427"/>
      <c r="CD36" s="1428"/>
      <c r="CE36" s="1427"/>
      <c r="CF36" s="1427"/>
      <c r="CG36" s="1427"/>
      <c r="CH36" s="1428"/>
      <c r="CI36" s="1427"/>
      <c r="CJ36" s="1427"/>
      <c r="CK36" s="1427"/>
      <c r="CL36" s="1428"/>
      <c r="CM36" s="946"/>
      <c r="CN36" s="946"/>
      <c r="CO36" s="946"/>
      <c r="CP36" s="946"/>
      <c r="CQ36" s="946"/>
      <c r="CR36" s="946"/>
      <c r="CS36" s="946"/>
      <c r="CT36" s="946"/>
      <c r="CU36" s="946"/>
      <c r="CV36" s="946"/>
      <c r="CW36" s="946"/>
      <c r="CX36" s="946"/>
    </row>
    <row r="37" spans="1:102" ht="13.5" customHeight="1">
      <c r="A37" s="1198" t="s">
        <v>197</v>
      </c>
      <c r="B37" s="1198"/>
      <c r="C37" s="1198"/>
      <c r="D37" s="1198"/>
      <c r="E37" s="1198"/>
      <c r="F37" s="1198"/>
      <c r="G37" s="1307"/>
      <c r="H37" s="1226"/>
      <c r="I37" s="1226"/>
      <c r="J37" s="1226"/>
      <c r="K37" s="1226"/>
      <c r="L37" s="1223">
        <f>BJ37</f>
        <v>26945</v>
      </c>
      <c r="M37" s="1223">
        <f>BN37</f>
        <v>28575</v>
      </c>
      <c r="N37" s="1223">
        <f>BR37</f>
        <v>30386</v>
      </c>
      <c r="O37" s="948">
        <f>BV37</f>
        <v>31795</v>
      </c>
      <c r="P37" s="1453">
        <f>BZ37</f>
        <v>32975</v>
      </c>
      <c r="Q37" s="1453">
        <f>CD37</f>
        <v>33725</v>
      </c>
      <c r="R37" s="1263">
        <f>+CK37</f>
        <v>35230</v>
      </c>
      <c r="S37" s="1266">
        <f>CL37</f>
        <v>35550</v>
      </c>
      <c r="T37" s="946"/>
      <c r="U37" s="946"/>
      <c r="V37" s="946"/>
      <c r="W37" s="946"/>
      <c r="X37" s="946"/>
      <c r="Y37" s="946"/>
      <c r="Z37" s="1198"/>
      <c r="AA37" s="1198"/>
      <c r="AB37" s="1198"/>
      <c r="AC37" s="1198"/>
      <c r="AD37" s="1198"/>
      <c r="AE37" s="1198"/>
      <c r="AF37" s="1198"/>
      <c r="AG37" s="1198"/>
      <c r="AH37" s="1198"/>
      <c r="AI37" s="1198"/>
      <c r="AJ37" s="1198"/>
      <c r="AK37" s="1198"/>
      <c r="AL37" s="1198"/>
      <c r="AM37" s="1198"/>
      <c r="AN37" s="1198"/>
      <c r="AO37" s="1198"/>
      <c r="AP37" s="1198"/>
      <c r="AQ37" s="1198"/>
      <c r="AR37" s="1198"/>
      <c r="AS37" s="1198"/>
      <c r="AT37" s="1198"/>
      <c r="AU37" s="1198"/>
      <c r="AV37" s="1198"/>
      <c r="AW37" s="1307"/>
      <c r="AX37" s="1307"/>
      <c r="AY37" s="1307"/>
      <c r="AZ37" s="1307"/>
      <c r="BA37" s="1307"/>
      <c r="BB37" s="1307"/>
      <c r="BC37" s="1307"/>
      <c r="BD37" s="1307"/>
      <c r="BE37" s="1307"/>
      <c r="BF37" s="1307"/>
      <c r="BG37" s="1307"/>
      <c r="BH37" s="1307"/>
      <c r="BI37" s="1223"/>
      <c r="BJ37" s="1223">
        <f t="shared" ref="BJ37:CF37" si="43">BI41</f>
        <v>26945</v>
      </c>
      <c r="BK37" s="1223">
        <f t="shared" si="43"/>
        <v>27772.5</v>
      </c>
      <c r="BL37" s="1223">
        <f t="shared" si="43"/>
        <v>28600</v>
      </c>
      <c r="BM37" s="1223">
        <f t="shared" si="43"/>
        <v>28600</v>
      </c>
      <c r="BN37" s="1429">
        <f t="shared" si="43"/>
        <v>28575</v>
      </c>
      <c r="BO37" s="1223">
        <f t="shared" si="43"/>
        <v>29037.5</v>
      </c>
      <c r="BP37" s="1223">
        <f t="shared" si="43"/>
        <v>29500</v>
      </c>
      <c r="BQ37" s="1223">
        <f t="shared" si="43"/>
        <v>29900</v>
      </c>
      <c r="BR37" s="1429">
        <f t="shared" si="43"/>
        <v>30386</v>
      </c>
      <c r="BS37" s="1223">
        <f t="shared" si="43"/>
        <v>30800</v>
      </c>
      <c r="BT37" s="1223">
        <f t="shared" si="43"/>
        <v>31200</v>
      </c>
      <c r="BU37" s="1223">
        <f t="shared" si="43"/>
        <v>31700</v>
      </c>
      <c r="BV37" s="1429">
        <f t="shared" si="43"/>
        <v>31795</v>
      </c>
      <c r="BW37" s="1223">
        <f t="shared" si="43"/>
        <v>31908</v>
      </c>
      <c r="BX37" s="1223">
        <f t="shared" si="43"/>
        <v>32353</v>
      </c>
      <c r="BY37" s="1223">
        <f t="shared" si="43"/>
        <v>32750</v>
      </c>
      <c r="BZ37" s="1429">
        <f t="shared" si="43"/>
        <v>32975</v>
      </c>
      <c r="CA37" s="1223">
        <f t="shared" si="43"/>
        <v>33176</v>
      </c>
      <c r="CB37" s="1223">
        <f t="shared" si="43"/>
        <v>33522</v>
      </c>
      <c r="CC37" s="1223">
        <f t="shared" si="43"/>
        <v>33883</v>
      </c>
      <c r="CD37" s="1429">
        <f t="shared" si="43"/>
        <v>33725</v>
      </c>
      <c r="CE37" s="1223">
        <f t="shared" si="43"/>
        <v>33808</v>
      </c>
      <c r="CF37" s="1223">
        <f t="shared" si="43"/>
        <v>34013</v>
      </c>
      <c r="CG37" s="1223">
        <f t="shared" ref="CG37:CL37" si="44">CF41</f>
        <v>34161</v>
      </c>
      <c r="CH37" s="1429">
        <f t="shared" si="44"/>
        <v>34301</v>
      </c>
      <c r="CI37" s="1223">
        <f t="shared" si="44"/>
        <v>34598</v>
      </c>
      <c r="CJ37" s="1223">
        <f t="shared" si="44"/>
        <v>34853</v>
      </c>
      <c r="CK37" s="1223">
        <f t="shared" si="44"/>
        <v>35230</v>
      </c>
      <c r="CL37" s="1429">
        <f t="shared" si="44"/>
        <v>35550</v>
      </c>
      <c r="CM37" s="946"/>
      <c r="CN37" s="946"/>
      <c r="CO37" s="946"/>
      <c r="CP37" s="946"/>
      <c r="CQ37" s="946"/>
      <c r="CR37" s="946"/>
      <c r="CS37" s="946"/>
      <c r="CT37" s="946"/>
      <c r="CU37" s="946"/>
      <c r="CV37" s="946"/>
      <c r="CW37" s="946"/>
      <c r="CX37" s="946"/>
    </row>
    <row r="38" spans="1:102" ht="13.5" customHeight="1">
      <c r="A38" s="1213" t="s">
        <v>198</v>
      </c>
      <c r="B38" s="1213"/>
      <c r="C38" s="1213"/>
      <c r="D38" s="1213"/>
      <c r="E38" s="1213"/>
      <c r="F38" s="1213"/>
      <c r="G38" s="1382"/>
      <c r="H38" s="1214"/>
      <c r="I38" s="1214"/>
      <c r="J38" s="1214"/>
      <c r="K38" s="1214"/>
      <c r="L38" s="153">
        <f>SUM(BJ38:BM38)</f>
        <v>2627</v>
      </c>
      <c r="M38" s="153">
        <f>SUM(BN38:BQ38)</f>
        <v>2612</v>
      </c>
      <c r="N38" s="153">
        <f>SUM(BR38:BU38)</f>
        <v>2381</v>
      </c>
      <c r="O38" s="916">
        <f>SUM(BV38:BY38)</f>
        <v>2231</v>
      </c>
      <c r="P38" s="1216">
        <f>SUM(BZ38:CC38)</f>
        <v>2120</v>
      </c>
      <c r="Q38" s="1216">
        <f>SUM(CD38:CG38)</f>
        <v>2071</v>
      </c>
      <c r="R38" s="1217">
        <f>SUM(CH38:CK38)</f>
        <v>1949</v>
      </c>
      <c r="S38" s="1262">
        <f>SUM(CL38:CO38)</f>
        <v>475</v>
      </c>
      <c r="T38" s="946"/>
      <c r="U38" s="946"/>
      <c r="V38" s="946"/>
      <c r="W38" s="946"/>
      <c r="X38" s="1401"/>
      <c r="Y38" s="1401"/>
      <c r="Z38" s="1213"/>
      <c r="AA38" s="1213"/>
      <c r="AB38" s="1213"/>
      <c r="AC38" s="1213"/>
      <c r="AD38" s="1213"/>
      <c r="AE38" s="1213"/>
      <c r="AF38" s="1213"/>
      <c r="AG38" s="1213"/>
      <c r="AH38" s="1213"/>
      <c r="AI38" s="1213"/>
      <c r="AJ38" s="1213"/>
      <c r="AK38" s="1213"/>
      <c r="AL38" s="1213"/>
      <c r="AM38" s="1213"/>
      <c r="AN38" s="1213"/>
      <c r="AO38" s="1213"/>
      <c r="AP38" s="1213"/>
      <c r="AQ38" s="1213"/>
      <c r="AR38" s="1213"/>
      <c r="AS38" s="1213"/>
      <c r="AT38" s="1213"/>
      <c r="AU38" s="1213"/>
      <c r="AV38" s="1213"/>
      <c r="AW38" s="1382"/>
      <c r="AX38" s="1382"/>
      <c r="AY38" s="1382"/>
      <c r="AZ38" s="1382"/>
      <c r="BA38" s="1382"/>
      <c r="BB38" s="1382"/>
      <c r="BC38" s="1382"/>
      <c r="BD38" s="1382"/>
      <c r="BE38" s="1382"/>
      <c r="BF38" s="1382"/>
      <c r="BG38" s="1382"/>
      <c r="BH38" s="1382"/>
      <c r="BI38" s="153"/>
      <c r="BJ38" s="153">
        <f t="shared" ref="BJ38:BX38" si="45">BJ9</f>
        <v>654</v>
      </c>
      <c r="BK38" s="153">
        <f t="shared" si="45"/>
        <v>661</v>
      </c>
      <c r="BL38" s="153">
        <f t="shared" si="45"/>
        <v>659</v>
      </c>
      <c r="BM38" s="153">
        <f t="shared" si="45"/>
        <v>653</v>
      </c>
      <c r="BN38" s="154">
        <f t="shared" si="45"/>
        <v>653</v>
      </c>
      <c r="BO38" s="153">
        <f t="shared" si="45"/>
        <v>649</v>
      </c>
      <c r="BP38" s="153">
        <f t="shared" si="45"/>
        <v>659</v>
      </c>
      <c r="BQ38" s="153">
        <f t="shared" si="45"/>
        <v>651</v>
      </c>
      <c r="BR38" s="154">
        <f t="shared" si="45"/>
        <v>588</v>
      </c>
      <c r="BS38" s="153">
        <f t="shared" si="45"/>
        <v>592</v>
      </c>
      <c r="BT38" s="153">
        <f t="shared" si="45"/>
        <v>594</v>
      </c>
      <c r="BU38" s="153">
        <f t="shared" si="45"/>
        <v>607</v>
      </c>
      <c r="BV38" s="154">
        <f t="shared" si="45"/>
        <v>555</v>
      </c>
      <c r="BW38" s="153">
        <f t="shared" si="45"/>
        <v>558</v>
      </c>
      <c r="BX38" s="153">
        <f t="shared" si="45"/>
        <v>562</v>
      </c>
      <c r="BY38" s="153">
        <f t="shared" ref="BY38:CD38" si="46">BY9</f>
        <v>556</v>
      </c>
      <c r="BZ38" s="154">
        <f t="shared" si="46"/>
        <v>522</v>
      </c>
      <c r="CA38" s="153">
        <f t="shared" si="46"/>
        <v>523</v>
      </c>
      <c r="CB38" s="153">
        <f t="shared" si="46"/>
        <v>537</v>
      </c>
      <c r="CC38" s="153">
        <f t="shared" si="46"/>
        <v>538</v>
      </c>
      <c r="CD38" s="154">
        <f t="shared" si="46"/>
        <v>514</v>
      </c>
      <c r="CE38" s="153">
        <f t="shared" ref="CE38:CJ38" si="47">CE9</f>
        <v>518</v>
      </c>
      <c r="CF38" s="153">
        <f t="shared" si="47"/>
        <v>520</v>
      </c>
      <c r="CG38" s="153">
        <f t="shared" si="47"/>
        <v>519</v>
      </c>
      <c r="CH38" s="154">
        <f t="shared" si="47"/>
        <v>491</v>
      </c>
      <c r="CI38" s="916">
        <f t="shared" si="47"/>
        <v>485</v>
      </c>
      <c r="CJ38" s="916">
        <f t="shared" si="47"/>
        <v>490</v>
      </c>
      <c r="CK38" s="916">
        <f>CK9</f>
        <v>483</v>
      </c>
      <c r="CL38" s="154">
        <f>CL9</f>
        <v>475</v>
      </c>
      <c r="CM38" s="946"/>
      <c r="CN38" s="946"/>
      <c r="CO38" s="946"/>
      <c r="CP38" s="946"/>
      <c r="CQ38" s="946"/>
      <c r="CR38" s="946"/>
      <c r="CS38" s="946"/>
      <c r="CT38" s="946"/>
      <c r="CU38" s="946"/>
      <c r="CV38" s="946"/>
      <c r="CW38" s="946"/>
      <c r="CX38" s="946"/>
    </row>
    <row r="39" spans="1:102" ht="13.5" customHeight="1">
      <c r="A39" s="1198" t="s">
        <v>10</v>
      </c>
      <c r="B39" s="1198"/>
      <c r="C39" s="1198"/>
      <c r="D39" s="1198"/>
      <c r="E39" s="1198"/>
      <c r="F39" s="1198"/>
      <c r="G39" s="1307"/>
      <c r="H39" s="1226"/>
      <c r="I39" s="1226"/>
      <c r="J39" s="1226"/>
      <c r="K39" s="1226"/>
      <c r="L39" s="1223">
        <f>SUM(BJ39:BM39)</f>
        <v>-997</v>
      </c>
      <c r="M39" s="1223">
        <f>SUM(BN39:BQ39)</f>
        <v>-801</v>
      </c>
      <c r="N39" s="1223">
        <f>SUM(BR39:BU39)</f>
        <v>-972</v>
      </c>
      <c r="O39" s="948">
        <f>SUM(BV39:BY39)</f>
        <v>-1051</v>
      </c>
      <c r="P39" s="948">
        <f>SUM(BZ39:CC39)</f>
        <v>-1370</v>
      </c>
      <c r="Q39" s="948">
        <f>Q29</f>
        <v>-1579</v>
      </c>
      <c r="R39" s="985">
        <f>R29</f>
        <v>-681</v>
      </c>
      <c r="S39" s="991">
        <f>S29</f>
        <v>-266</v>
      </c>
      <c r="T39" s="946"/>
      <c r="U39" s="946"/>
      <c r="V39" s="946"/>
      <c r="W39" s="946"/>
      <c r="X39" s="946"/>
      <c r="Y39" s="946"/>
      <c r="Z39" s="1198"/>
      <c r="AA39" s="1198"/>
      <c r="AB39" s="1198"/>
      <c r="AC39" s="1198"/>
      <c r="AD39" s="1198"/>
      <c r="AE39" s="1198"/>
      <c r="AF39" s="1198"/>
      <c r="AG39" s="1198"/>
      <c r="AH39" s="1198"/>
      <c r="AI39" s="1198"/>
      <c r="AJ39" s="1198"/>
      <c r="AK39" s="1198"/>
      <c r="AL39" s="1198"/>
      <c r="AM39" s="1198"/>
      <c r="AN39" s="1198"/>
      <c r="AO39" s="1198"/>
      <c r="AP39" s="1198"/>
      <c r="AQ39" s="1198"/>
      <c r="AR39" s="1198"/>
      <c r="AS39" s="1198"/>
      <c r="AT39" s="1198"/>
      <c r="AU39" s="1198"/>
      <c r="AV39" s="1198"/>
      <c r="AW39" s="1307"/>
      <c r="AX39" s="1307"/>
      <c r="AY39" s="1307"/>
      <c r="AZ39" s="1307"/>
      <c r="BA39" s="1307"/>
      <c r="BB39" s="1307"/>
      <c r="BC39" s="1307"/>
      <c r="BD39" s="1307"/>
      <c r="BE39" s="1307"/>
      <c r="BF39" s="1307"/>
      <c r="BG39" s="1307"/>
      <c r="BH39" s="1307"/>
      <c r="BI39" s="1223"/>
      <c r="BJ39" s="1223">
        <f t="shared" ref="BJ39:BX39" si="48">BJ41-BJ40-BJ38-BJ37</f>
        <v>173.5</v>
      </c>
      <c r="BK39" s="1223">
        <f t="shared" si="48"/>
        <v>166.5</v>
      </c>
      <c r="BL39" s="1223">
        <f t="shared" si="48"/>
        <v>-659</v>
      </c>
      <c r="BM39" s="1223">
        <f t="shared" si="48"/>
        <v>-678</v>
      </c>
      <c r="BN39" s="1429">
        <f t="shared" si="48"/>
        <v>-190.5</v>
      </c>
      <c r="BO39" s="1223">
        <f t="shared" si="48"/>
        <v>-186.5</v>
      </c>
      <c r="BP39" s="1223">
        <f t="shared" si="48"/>
        <v>-259</v>
      </c>
      <c r="BQ39" s="1223">
        <f t="shared" si="48"/>
        <v>-165</v>
      </c>
      <c r="BR39" s="1429">
        <f t="shared" si="48"/>
        <v>-174</v>
      </c>
      <c r="BS39" s="1223">
        <f t="shared" si="48"/>
        <v>-192</v>
      </c>
      <c r="BT39" s="1223">
        <f t="shared" si="48"/>
        <v>-94</v>
      </c>
      <c r="BU39" s="1223">
        <f t="shared" si="48"/>
        <v>-512</v>
      </c>
      <c r="BV39" s="1429">
        <f t="shared" si="48"/>
        <v>-442</v>
      </c>
      <c r="BW39" s="1223">
        <f t="shared" si="48"/>
        <v>-113</v>
      </c>
      <c r="BX39" s="1223">
        <f t="shared" si="48"/>
        <v>-165</v>
      </c>
      <c r="BY39" s="1223">
        <f t="shared" ref="BY39:CF39" si="49">BY41-BY40-BY38-BY37</f>
        <v>-331</v>
      </c>
      <c r="BZ39" s="1429">
        <f t="shared" si="49"/>
        <v>-321</v>
      </c>
      <c r="CA39" s="1223">
        <f t="shared" si="49"/>
        <v>-177</v>
      </c>
      <c r="CB39" s="1223">
        <f t="shared" si="49"/>
        <v>-176</v>
      </c>
      <c r="CC39" s="1223">
        <f t="shared" si="49"/>
        <v>-696</v>
      </c>
      <c r="CD39" s="1429">
        <f t="shared" si="49"/>
        <v>-431</v>
      </c>
      <c r="CE39" s="1223">
        <f t="shared" si="49"/>
        <v>-313</v>
      </c>
      <c r="CF39" s="1223">
        <f t="shared" si="49"/>
        <v>-372</v>
      </c>
      <c r="CG39" s="1223">
        <f>CG41-CG40-CG38-CG37</f>
        <v>-379</v>
      </c>
      <c r="CH39" s="1429">
        <f>CH29</f>
        <v>-311</v>
      </c>
      <c r="CI39" s="1223">
        <f>CI29</f>
        <v>-224</v>
      </c>
      <c r="CJ39" s="1223">
        <f>CJ29</f>
        <v>-95</v>
      </c>
      <c r="CK39" s="1223">
        <f>CK29</f>
        <v>-51</v>
      </c>
      <c r="CL39" s="1429">
        <f>CL29</f>
        <v>-266</v>
      </c>
      <c r="CM39" s="946"/>
      <c r="CN39" s="946"/>
      <c r="CO39" s="946"/>
      <c r="CP39" s="946"/>
      <c r="CQ39" s="946"/>
      <c r="CR39" s="946"/>
      <c r="CS39" s="946"/>
      <c r="CT39" s="946"/>
      <c r="CU39" s="946"/>
      <c r="CV39" s="946"/>
      <c r="CW39" s="946"/>
      <c r="CX39" s="946"/>
    </row>
    <row r="40" spans="1:102" ht="13.5" customHeight="1">
      <c r="A40" s="1198" t="s">
        <v>199</v>
      </c>
      <c r="B40" s="1198"/>
      <c r="C40" s="1198"/>
      <c r="D40" s="1198"/>
      <c r="E40" s="1198"/>
      <c r="F40" s="1198"/>
      <c r="G40" s="1307"/>
      <c r="H40" s="1226"/>
      <c r="I40" s="1226"/>
      <c r="J40" s="1226"/>
      <c r="K40" s="1226"/>
      <c r="L40" s="1430">
        <f>SUM(BJ40:BM40)</f>
        <v>0</v>
      </c>
      <c r="M40" s="1430">
        <f>SUM(BN40:BQ40)</f>
        <v>0</v>
      </c>
      <c r="N40" s="1430">
        <f>SUM(BR40:BU40)</f>
        <v>0</v>
      </c>
      <c r="O40" s="1430">
        <f>SUM(BV40:BY40)</f>
        <v>0</v>
      </c>
      <c r="P40" s="1244"/>
      <c r="Q40" s="1244"/>
      <c r="R40" s="1443"/>
      <c r="S40" s="1444"/>
      <c r="T40" s="946"/>
      <c r="U40" s="946"/>
      <c r="V40" s="946"/>
      <c r="W40" s="946"/>
      <c r="X40" s="1401"/>
      <c r="Y40" s="1401"/>
      <c r="Z40" s="1198"/>
      <c r="AA40" s="1198"/>
      <c r="AB40" s="1198"/>
      <c r="AC40" s="1198"/>
      <c r="AD40" s="1198"/>
      <c r="AE40" s="1198"/>
      <c r="AF40" s="1198"/>
      <c r="AG40" s="1198"/>
      <c r="AH40" s="1198"/>
      <c r="AI40" s="1198"/>
      <c r="AJ40" s="1198"/>
      <c r="AK40" s="1198"/>
      <c r="AL40" s="1198"/>
      <c r="AM40" s="1198"/>
      <c r="AN40" s="1198"/>
      <c r="AO40" s="1198"/>
      <c r="AP40" s="1198"/>
      <c r="AQ40" s="1198"/>
      <c r="AR40" s="1198"/>
      <c r="AS40" s="1198"/>
      <c r="AT40" s="1198"/>
      <c r="AU40" s="1198"/>
      <c r="AV40" s="1198"/>
      <c r="AW40" s="1307"/>
      <c r="AX40" s="1307"/>
      <c r="AY40" s="1307"/>
      <c r="AZ40" s="1307"/>
      <c r="BA40" s="1307"/>
      <c r="BB40" s="1307"/>
      <c r="BC40" s="1307"/>
      <c r="BD40" s="1307"/>
      <c r="BE40" s="1307"/>
      <c r="BF40" s="1307"/>
      <c r="BG40" s="1307"/>
      <c r="BH40" s="1307"/>
      <c r="BI40" s="1432"/>
      <c r="BJ40" s="1432"/>
      <c r="BK40" s="1432"/>
      <c r="BL40" s="1432"/>
      <c r="BM40" s="1432"/>
      <c r="BN40" s="1451"/>
      <c r="BO40" s="1452"/>
      <c r="BP40" s="1452"/>
      <c r="BQ40" s="1452"/>
      <c r="BR40" s="1451"/>
      <c r="BS40" s="1452"/>
      <c r="BT40" s="1452"/>
      <c r="BU40" s="1452"/>
      <c r="BV40" s="1451"/>
      <c r="BW40" s="1452"/>
      <c r="BX40" s="1452"/>
      <c r="BY40" s="1452"/>
      <c r="BZ40" s="1451"/>
      <c r="CA40" s="1452"/>
      <c r="CB40" s="1452"/>
      <c r="CC40" s="1452"/>
      <c r="CD40" s="1451"/>
      <c r="CE40" s="1452"/>
      <c r="CF40" s="1452"/>
      <c r="CG40" s="1452"/>
      <c r="CH40" s="1451"/>
      <c r="CI40" s="1452"/>
      <c r="CJ40" s="1452"/>
      <c r="CK40" s="1452"/>
      <c r="CL40" s="1451"/>
      <c r="CM40" s="946"/>
      <c r="CN40" s="946"/>
      <c r="CO40" s="946"/>
      <c r="CP40" s="946"/>
      <c r="CQ40" s="946"/>
      <c r="CR40" s="946"/>
      <c r="CS40" s="946"/>
      <c r="CT40" s="946"/>
      <c r="CU40" s="946"/>
      <c r="CV40" s="946"/>
      <c r="CW40" s="946"/>
      <c r="CX40" s="946"/>
    </row>
    <row r="41" spans="1:102" ht="13.5" customHeight="1">
      <c r="A41" s="1198" t="s">
        <v>200</v>
      </c>
      <c r="B41" s="1198"/>
      <c r="C41" s="1198"/>
      <c r="D41" s="1198"/>
      <c r="E41" s="1198"/>
      <c r="F41" s="1198"/>
      <c r="G41" s="1307"/>
      <c r="H41" s="1226"/>
      <c r="I41" s="1226"/>
      <c r="J41" s="1226"/>
      <c r="K41" s="1226"/>
      <c r="L41" s="1223">
        <f>BM41</f>
        <v>28575</v>
      </c>
      <c r="M41" s="1223">
        <f>BQ41</f>
        <v>30386</v>
      </c>
      <c r="N41" s="1223">
        <f>BU41</f>
        <v>31795</v>
      </c>
      <c r="O41" s="948">
        <f>BY41</f>
        <v>32975</v>
      </c>
      <c r="P41" s="1179">
        <f>CC41</f>
        <v>33725</v>
      </c>
      <c r="Q41" s="1179">
        <f>CG41</f>
        <v>34301</v>
      </c>
      <c r="R41" s="1263">
        <f>+CK41</f>
        <v>35550</v>
      </c>
      <c r="S41" s="1266">
        <f>+CO41</f>
        <v>0</v>
      </c>
      <c r="T41" s="946"/>
      <c r="U41" s="946"/>
      <c r="V41" s="946"/>
      <c r="W41" s="946"/>
      <c r="X41" s="946"/>
      <c r="Y41" s="946"/>
      <c r="Z41" s="1198"/>
      <c r="AA41" s="1198"/>
      <c r="AB41" s="1198"/>
      <c r="AC41" s="1198"/>
      <c r="AD41" s="1198"/>
      <c r="AE41" s="1198"/>
      <c r="AF41" s="1198"/>
      <c r="AG41" s="1198"/>
      <c r="AH41" s="1198"/>
      <c r="AI41" s="1198"/>
      <c r="AJ41" s="1198"/>
      <c r="AK41" s="1198"/>
      <c r="AL41" s="1198"/>
      <c r="AM41" s="1198"/>
      <c r="AN41" s="1198"/>
      <c r="AO41" s="1198"/>
      <c r="AP41" s="1198"/>
      <c r="AQ41" s="1198"/>
      <c r="AR41" s="1198"/>
      <c r="AS41" s="1198"/>
      <c r="AT41" s="1198"/>
      <c r="AU41" s="1198"/>
      <c r="AV41" s="1198"/>
      <c r="AW41" s="1307"/>
      <c r="AX41" s="1307"/>
      <c r="AY41" s="1307"/>
      <c r="AZ41" s="1307"/>
      <c r="BA41" s="1307"/>
      <c r="BB41" s="1307"/>
      <c r="BC41" s="1307"/>
      <c r="BD41" s="1307"/>
      <c r="BE41" s="1307"/>
      <c r="BF41" s="1307"/>
      <c r="BG41" s="1307"/>
      <c r="BH41" s="1307"/>
      <c r="BI41" s="1223">
        <f t="shared" ref="BI41:BX41" si="50">BI24</f>
        <v>26945</v>
      </c>
      <c r="BJ41" s="1223">
        <f t="shared" si="50"/>
        <v>27772.5</v>
      </c>
      <c r="BK41" s="1223">
        <f t="shared" si="50"/>
        <v>28600</v>
      </c>
      <c r="BL41" s="1223">
        <f t="shared" si="50"/>
        <v>28600</v>
      </c>
      <c r="BM41" s="1223">
        <f t="shared" si="50"/>
        <v>28575</v>
      </c>
      <c r="BN41" s="1429">
        <f t="shared" si="50"/>
        <v>29037.5</v>
      </c>
      <c r="BO41" s="1223">
        <f t="shared" si="50"/>
        <v>29500</v>
      </c>
      <c r="BP41" s="1223">
        <f t="shared" si="50"/>
        <v>29900</v>
      </c>
      <c r="BQ41" s="1223">
        <f t="shared" si="50"/>
        <v>30386</v>
      </c>
      <c r="BR41" s="1429">
        <f t="shared" si="50"/>
        <v>30800</v>
      </c>
      <c r="BS41" s="1223">
        <f t="shared" si="50"/>
        <v>31200</v>
      </c>
      <c r="BT41" s="1223">
        <f t="shared" si="50"/>
        <v>31700</v>
      </c>
      <c r="BU41" s="1223">
        <f t="shared" si="50"/>
        <v>31795</v>
      </c>
      <c r="BV41" s="1429">
        <f t="shared" si="50"/>
        <v>31908</v>
      </c>
      <c r="BW41" s="1223">
        <f t="shared" si="50"/>
        <v>32353</v>
      </c>
      <c r="BX41" s="1223">
        <f t="shared" si="50"/>
        <v>32750</v>
      </c>
      <c r="BY41" s="1223">
        <f t="shared" ref="BY41:CD41" si="51">BY24</f>
        <v>32975</v>
      </c>
      <c r="BZ41" s="1429">
        <f t="shared" si="51"/>
        <v>33176</v>
      </c>
      <c r="CA41" s="1223">
        <f t="shared" si="51"/>
        <v>33522</v>
      </c>
      <c r="CB41" s="1223">
        <f t="shared" si="51"/>
        <v>33883</v>
      </c>
      <c r="CC41" s="1223">
        <f t="shared" si="51"/>
        <v>33725</v>
      </c>
      <c r="CD41" s="1429">
        <f t="shared" si="51"/>
        <v>33808</v>
      </c>
      <c r="CE41" s="1223">
        <f t="shared" ref="CE41:CJ41" si="52">CE24</f>
        <v>34013</v>
      </c>
      <c r="CF41" s="1223">
        <f t="shared" si="52"/>
        <v>34161</v>
      </c>
      <c r="CG41" s="1223">
        <f t="shared" si="52"/>
        <v>34301</v>
      </c>
      <c r="CH41" s="1429">
        <f t="shared" si="52"/>
        <v>34598</v>
      </c>
      <c r="CI41" s="948">
        <f t="shared" si="52"/>
        <v>34853</v>
      </c>
      <c r="CJ41" s="948">
        <f t="shared" si="52"/>
        <v>35230</v>
      </c>
      <c r="CK41" s="948">
        <f>CK24</f>
        <v>35550</v>
      </c>
      <c r="CL41" s="1429">
        <f>CL24</f>
        <v>35886</v>
      </c>
      <c r="CM41" s="946"/>
      <c r="CN41" s="946"/>
      <c r="CO41" s="946"/>
      <c r="CP41" s="946"/>
      <c r="CQ41" s="946"/>
      <c r="CR41" s="946"/>
      <c r="CS41" s="946"/>
      <c r="CT41" s="946"/>
      <c r="CU41" s="946"/>
      <c r="CV41" s="946"/>
      <c r="CW41" s="946"/>
      <c r="CX41" s="946"/>
    </row>
    <row r="42" spans="1:102" ht="13.5" customHeight="1">
      <c r="A42" s="1198" t="s">
        <v>201</v>
      </c>
      <c r="B42" s="1198"/>
      <c r="C42" s="1198"/>
      <c r="D42" s="1198"/>
      <c r="E42" s="1198"/>
      <c r="F42" s="1198"/>
      <c r="G42" s="1307"/>
      <c r="H42" s="1226"/>
      <c r="I42" s="1226"/>
      <c r="J42" s="1226"/>
      <c r="K42" s="1226"/>
      <c r="L42" s="1223"/>
      <c r="M42" s="1223">
        <f t="shared" ref="M42:S42" si="53">AVERAGE(L41:M41)</f>
        <v>29480.5</v>
      </c>
      <c r="N42" s="1223">
        <f t="shared" si="53"/>
        <v>31090.5</v>
      </c>
      <c r="O42" s="948">
        <f t="shared" si="53"/>
        <v>32385</v>
      </c>
      <c r="P42" s="948">
        <f t="shared" si="53"/>
        <v>33350</v>
      </c>
      <c r="Q42" s="948">
        <f t="shared" si="53"/>
        <v>34013</v>
      </c>
      <c r="R42" s="985">
        <f t="shared" si="53"/>
        <v>34925.5</v>
      </c>
      <c r="S42" s="991">
        <f t="shared" si="53"/>
        <v>17775</v>
      </c>
      <c r="T42" s="946"/>
      <c r="U42" s="946"/>
      <c r="V42" s="946"/>
      <c r="W42" s="946"/>
      <c r="X42" s="1401"/>
      <c r="Y42" s="1401"/>
      <c r="Z42" s="1198"/>
      <c r="AA42" s="1198"/>
      <c r="AB42" s="1198"/>
      <c r="AC42" s="1198"/>
      <c r="AD42" s="1198"/>
      <c r="AE42" s="1198"/>
      <c r="AF42" s="1198"/>
      <c r="AG42" s="1198"/>
      <c r="AH42" s="1198"/>
      <c r="AI42" s="1198"/>
      <c r="AJ42" s="1198"/>
      <c r="AK42" s="1198"/>
      <c r="AL42" s="1198"/>
      <c r="AM42" s="1198"/>
      <c r="AN42" s="1198"/>
      <c r="AO42" s="1198"/>
      <c r="AP42" s="1198"/>
      <c r="AQ42" s="1198"/>
      <c r="AR42" s="1198"/>
      <c r="AS42" s="1198"/>
      <c r="AT42" s="1198"/>
      <c r="AU42" s="1198"/>
      <c r="AV42" s="1198"/>
      <c r="AW42" s="1307"/>
      <c r="AX42" s="1307"/>
      <c r="AY42" s="1307"/>
      <c r="AZ42" s="1307"/>
      <c r="BA42" s="1307"/>
      <c r="BB42" s="1307"/>
      <c r="BC42" s="1307"/>
      <c r="BD42" s="1307"/>
      <c r="BE42" s="1307"/>
      <c r="BF42" s="1307"/>
      <c r="BG42" s="1307"/>
      <c r="BH42" s="1307"/>
      <c r="BI42" s="1307"/>
      <c r="BJ42" s="1223">
        <f t="shared" ref="BJ42:CG42" si="54">AVERAGE(BI41:BJ41)</f>
        <v>27358.75</v>
      </c>
      <c r="BK42" s="1223">
        <f t="shared" si="54"/>
        <v>28186.25</v>
      </c>
      <c r="BL42" s="1223">
        <f t="shared" si="54"/>
        <v>28600</v>
      </c>
      <c r="BM42" s="1223">
        <f t="shared" si="54"/>
        <v>28587.5</v>
      </c>
      <c r="BN42" s="1429">
        <f t="shared" si="54"/>
        <v>28806.25</v>
      </c>
      <c r="BO42" s="1223">
        <f t="shared" si="54"/>
        <v>29268.75</v>
      </c>
      <c r="BP42" s="1223">
        <f t="shared" si="54"/>
        <v>29700</v>
      </c>
      <c r="BQ42" s="1223">
        <f t="shared" si="54"/>
        <v>30143</v>
      </c>
      <c r="BR42" s="1429">
        <f t="shared" si="54"/>
        <v>30593</v>
      </c>
      <c r="BS42" s="1223">
        <f t="shared" si="54"/>
        <v>31000</v>
      </c>
      <c r="BT42" s="1223">
        <f t="shared" si="54"/>
        <v>31450</v>
      </c>
      <c r="BU42" s="1223">
        <f t="shared" si="54"/>
        <v>31747.5</v>
      </c>
      <c r="BV42" s="1429">
        <f t="shared" si="54"/>
        <v>31851.5</v>
      </c>
      <c r="BW42" s="1223">
        <f t="shared" si="54"/>
        <v>32130.5</v>
      </c>
      <c r="BX42" s="1223">
        <f t="shared" si="54"/>
        <v>32551.5</v>
      </c>
      <c r="BY42" s="1223">
        <f t="shared" si="54"/>
        <v>32862.5</v>
      </c>
      <c r="BZ42" s="1429">
        <f t="shared" si="54"/>
        <v>33075.5</v>
      </c>
      <c r="CA42" s="1223">
        <f t="shared" si="54"/>
        <v>33349</v>
      </c>
      <c r="CB42" s="1223">
        <f t="shared" si="54"/>
        <v>33702.5</v>
      </c>
      <c r="CC42" s="1223">
        <f t="shared" si="54"/>
        <v>33804</v>
      </c>
      <c r="CD42" s="1429">
        <f t="shared" si="54"/>
        <v>33766.5</v>
      </c>
      <c r="CE42" s="1223">
        <f t="shared" si="54"/>
        <v>33910.5</v>
      </c>
      <c r="CF42" s="1223">
        <f t="shared" si="54"/>
        <v>34087</v>
      </c>
      <c r="CG42" s="1223">
        <f t="shared" si="54"/>
        <v>34231</v>
      </c>
      <c r="CH42" s="1429">
        <f>AVERAGE(CG41:CH41)</f>
        <v>34449.5</v>
      </c>
      <c r="CI42" s="1223">
        <f>AVERAGE(CH41:CI41)</f>
        <v>34725.5</v>
      </c>
      <c r="CJ42" s="1223">
        <f>AVERAGE(CI41:CJ41)</f>
        <v>35041.5</v>
      </c>
      <c r="CK42" s="1223">
        <f>AVERAGE(CJ41:CK41)</f>
        <v>35390</v>
      </c>
      <c r="CL42" s="1429">
        <f>AVERAGE(CK41:CL41)</f>
        <v>35718</v>
      </c>
      <c r="CM42" s="946"/>
      <c r="CN42" s="946"/>
      <c r="CO42" s="946"/>
      <c r="CP42" s="946"/>
      <c r="CQ42" s="946"/>
      <c r="CR42" s="946"/>
      <c r="CS42" s="946"/>
      <c r="CT42" s="946"/>
      <c r="CU42" s="946"/>
      <c r="CV42" s="946"/>
      <c r="CW42" s="946"/>
      <c r="CX42" s="946"/>
    </row>
    <row r="43" spans="1:102" ht="13.5" customHeight="1">
      <c r="A43" s="1198"/>
      <c r="B43" s="1198"/>
      <c r="C43" s="1198"/>
      <c r="D43" s="1198"/>
      <c r="E43" s="1198"/>
      <c r="F43" s="1198"/>
      <c r="G43" s="1307"/>
      <c r="H43" s="1226"/>
      <c r="I43" s="1226"/>
      <c r="J43" s="1226"/>
      <c r="K43" s="1226"/>
      <c r="L43" s="1307"/>
      <c r="M43" s="1307"/>
      <c r="N43" s="1307"/>
      <c r="O43" s="1308"/>
      <c r="P43" s="1179"/>
      <c r="Q43" s="1179"/>
      <c r="R43" s="1263"/>
      <c r="S43" s="1266"/>
      <c r="T43" s="946"/>
      <c r="U43" s="946"/>
      <c r="V43" s="946"/>
      <c r="W43" s="946"/>
      <c r="X43" s="946"/>
      <c r="Y43" s="946"/>
      <c r="Z43" s="1198"/>
      <c r="AA43" s="1198"/>
      <c r="AB43" s="1198"/>
      <c r="AC43" s="1198"/>
      <c r="AD43" s="1198"/>
      <c r="AE43" s="1198"/>
      <c r="AF43" s="1198"/>
      <c r="AG43" s="1198"/>
      <c r="AH43" s="1198"/>
      <c r="AI43" s="1198"/>
      <c r="AJ43" s="1198"/>
      <c r="AK43" s="1198"/>
      <c r="AL43" s="1198"/>
      <c r="AM43" s="1198"/>
      <c r="AN43" s="1198"/>
      <c r="AO43" s="1198"/>
      <c r="AP43" s="1198"/>
      <c r="AQ43" s="1198"/>
      <c r="AR43" s="1198"/>
      <c r="AS43" s="1198"/>
      <c r="AT43" s="1198"/>
      <c r="AU43" s="1198"/>
      <c r="AV43" s="1198"/>
      <c r="AW43" s="1307"/>
      <c r="AX43" s="1307"/>
      <c r="AY43" s="1307"/>
      <c r="AZ43" s="1307"/>
      <c r="BA43" s="1307"/>
      <c r="BB43" s="1307"/>
      <c r="BC43" s="1307"/>
      <c r="BD43" s="1307"/>
      <c r="BE43" s="1307"/>
      <c r="BF43" s="1307"/>
      <c r="BG43" s="1307"/>
      <c r="BH43" s="1307"/>
      <c r="BI43" s="1307"/>
      <c r="BJ43" s="1307"/>
      <c r="BK43" s="1307"/>
      <c r="BL43" s="1307"/>
      <c r="BM43" s="1307"/>
      <c r="BN43" s="1428"/>
      <c r="BO43" s="1427"/>
      <c r="BP43" s="1427"/>
      <c r="BQ43" s="1427"/>
      <c r="BR43" s="1428"/>
      <c r="BS43" s="1427"/>
      <c r="BT43" s="1427"/>
      <c r="BU43" s="1427"/>
      <c r="BV43" s="1428"/>
      <c r="BW43" s="1427"/>
      <c r="BX43" s="1427"/>
      <c r="BY43" s="1427"/>
      <c r="BZ43" s="1428"/>
      <c r="CA43" s="1427"/>
      <c r="CB43" s="1427"/>
      <c r="CC43" s="1427"/>
      <c r="CD43" s="1428"/>
      <c r="CE43" s="1427"/>
      <c r="CF43" s="1427"/>
      <c r="CG43" s="1427"/>
      <c r="CH43" s="1428"/>
      <c r="CI43" s="1427"/>
      <c r="CJ43" s="1427"/>
      <c r="CK43" s="1427"/>
      <c r="CL43" s="1428"/>
      <c r="CM43" s="946"/>
      <c r="CN43" s="946"/>
      <c r="CO43" s="946"/>
      <c r="CP43" s="946"/>
      <c r="CQ43" s="946"/>
      <c r="CR43" s="946"/>
      <c r="CS43" s="946"/>
      <c r="CT43" s="946"/>
      <c r="CU43" s="946"/>
      <c r="CV43" s="946"/>
      <c r="CW43" s="946"/>
      <c r="CX43" s="946"/>
    </row>
    <row r="44" spans="1:102" ht="13.5" customHeight="1">
      <c r="A44" s="1198" t="s">
        <v>202</v>
      </c>
      <c r="B44" s="1198"/>
      <c r="C44" s="1198"/>
      <c r="D44" s="1198"/>
      <c r="E44" s="1198"/>
      <c r="F44" s="1198"/>
      <c r="G44" s="1307"/>
      <c r="H44" s="1226"/>
      <c r="I44" s="1226"/>
      <c r="J44" s="1226"/>
      <c r="K44" s="1226"/>
      <c r="L44" s="1055">
        <f t="shared" ref="L44:S44" si="55">L38/L32</f>
        <v>5.8041139170588368E-2</v>
      </c>
      <c r="M44" s="1055">
        <f t="shared" si="55"/>
        <v>5.7166619246678776E-2</v>
      </c>
      <c r="N44" s="1055">
        <f t="shared" si="55"/>
        <v>5.1576986396326144E-2</v>
      </c>
      <c r="O44" s="1056">
        <f t="shared" si="55"/>
        <v>4.7968178886261016E-2</v>
      </c>
      <c r="P44" s="1056">
        <f t="shared" si="55"/>
        <v>4.5388370300590904E-2</v>
      </c>
      <c r="Q44" s="1056">
        <f t="shared" si="55"/>
        <v>4.4361143836350009E-2</v>
      </c>
      <c r="R44" s="1057">
        <f t="shared" si="55"/>
        <v>4.1464997287436044E-2</v>
      </c>
      <c r="S44" s="1008">
        <f t="shared" si="55"/>
        <v>2.0039234712173309E-2</v>
      </c>
      <c r="T44" s="946"/>
      <c r="U44" s="946"/>
      <c r="V44" s="946"/>
      <c r="W44" s="946"/>
      <c r="X44" s="1401"/>
      <c r="Y44" s="1401"/>
      <c r="Z44" s="1198"/>
      <c r="AA44" s="1198"/>
      <c r="AB44" s="1198"/>
      <c r="AC44" s="1198"/>
      <c r="AD44" s="1198"/>
      <c r="AE44" s="1198"/>
      <c r="AF44" s="1198"/>
      <c r="AG44" s="1198"/>
      <c r="AH44" s="1198"/>
      <c r="AI44" s="1198"/>
      <c r="AJ44" s="1198"/>
      <c r="AK44" s="1198"/>
      <c r="AL44" s="1198"/>
      <c r="AM44" s="1198"/>
      <c r="AN44" s="1198"/>
      <c r="AO44" s="1198"/>
      <c r="AP44" s="1198"/>
      <c r="AQ44" s="1198"/>
      <c r="AR44" s="1198"/>
      <c r="AS44" s="1198"/>
      <c r="AT44" s="1198"/>
      <c r="AU44" s="1198"/>
      <c r="AV44" s="1198"/>
      <c r="AW44" s="1307"/>
      <c r="AX44" s="1307"/>
      <c r="AY44" s="1307"/>
      <c r="AZ44" s="1307"/>
      <c r="BA44" s="1307"/>
      <c r="BB44" s="1307"/>
      <c r="BC44" s="1307"/>
      <c r="BD44" s="1307"/>
      <c r="BE44" s="1307"/>
      <c r="BF44" s="1307"/>
      <c r="BG44" s="1307"/>
      <c r="BH44" s="1307"/>
      <c r="BI44" s="1307"/>
      <c r="BJ44" s="1055">
        <f t="shared" ref="BJ44:BZ44" si="56">BJ38/BJ32</f>
        <v>1.4425542474289338E-2</v>
      </c>
      <c r="BK44" s="1055">
        <f t="shared" si="56"/>
        <v>1.4420743180962873E-2</v>
      </c>
      <c r="BL44" s="1055">
        <f t="shared" si="56"/>
        <v>1.4333877107123437E-2</v>
      </c>
      <c r="BM44" s="1055">
        <f t="shared" si="56"/>
        <v>1.4307154672830648E-2</v>
      </c>
      <c r="BN44" s="1058">
        <f t="shared" si="56"/>
        <v>1.4363723349849049E-2</v>
      </c>
      <c r="BO44" s="1055">
        <f t="shared" si="56"/>
        <v>1.4248626456559802E-2</v>
      </c>
      <c r="BP44" s="1055">
        <f t="shared" si="56"/>
        <v>1.4433870314194035E-2</v>
      </c>
      <c r="BQ44" s="1055">
        <f t="shared" si="56"/>
        <v>1.420373966356119E-2</v>
      </c>
      <c r="BR44" s="1058">
        <f t="shared" si="56"/>
        <v>1.2778858378519348E-2</v>
      </c>
      <c r="BS44" s="1055">
        <f t="shared" si="56"/>
        <v>1.2829264592746697E-2</v>
      </c>
      <c r="BT44" s="1055">
        <f t="shared" si="56"/>
        <v>1.2809453980850514E-2</v>
      </c>
      <c r="BU44" s="1055">
        <f t="shared" si="56"/>
        <v>1.3067533529956299E-2</v>
      </c>
      <c r="BV44" s="1058">
        <f t="shared" si="56"/>
        <v>1.1992739530662518E-2</v>
      </c>
      <c r="BW44" s="1055">
        <f t="shared" si="56"/>
        <v>1.2050404379609334E-2</v>
      </c>
      <c r="BX44" s="1055">
        <f t="shared" si="56"/>
        <v>1.208238379842628E-2</v>
      </c>
      <c r="BY44" s="1055">
        <f>BY38/BY32</f>
        <v>1.1925572416751568E-2</v>
      </c>
      <c r="BZ44" s="1058">
        <f t="shared" si="56"/>
        <v>1.1187192593306973E-2</v>
      </c>
      <c r="CA44" s="1055">
        <f t="shared" ref="CA44:CI44" si="57">CA38/CA32</f>
        <v>1.1169605006033295E-2</v>
      </c>
      <c r="CB44" s="1055">
        <f t="shared" si="57"/>
        <v>1.1406601809762522E-2</v>
      </c>
      <c r="CC44" s="1055">
        <f t="shared" si="57"/>
        <v>1.1452412882900142E-2</v>
      </c>
      <c r="CD44" s="1058">
        <f t="shared" si="57"/>
        <v>1.100713107908431E-2</v>
      </c>
      <c r="CE44" s="1055">
        <f t="shared" si="57"/>
        <v>1.1108847403467762E-2</v>
      </c>
      <c r="CF44" s="1055">
        <f t="shared" si="57"/>
        <v>1.1159396963356404E-2</v>
      </c>
      <c r="CG44" s="1055">
        <f>CG38/CG32</f>
        <v>1.1142121082009446E-2</v>
      </c>
      <c r="CH44" s="1058">
        <f>CH38/CH32</f>
        <v>1.0527895707363094E-2</v>
      </c>
      <c r="CI44" s="1055">
        <f t="shared" si="57"/>
        <v>1.0378993772603736E-2</v>
      </c>
      <c r="CJ44" s="1055">
        <f>CJ38/CJ32</f>
        <v>1.0443085185737729E-2</v>
      </c>
      <c r="CK44" s="1055">
        <f>CK38/CK32</f>
        <v>1.0225793134110324E-2</v>
      </c>
      <c r="CL44" s="1058">
        <f>CL38/CL32</f>
        <v>1.0004423008066725E-2</v>
      </c>
      <c r="CM44" s="946"/>
      <c r="CN44" s="946"/>
      <c r="CO44" s="946"/>
      <c r="CP44" s="946"/>
      <c r="CQ44" s="946"/>
      <c r="CR44" s="946"/>
      <c r="CS44" s="946"/>
      <c r="CT44" s="946"/>
      <c r="CU44" s="946"/>
      <c r="CV44" s="946"/>
      <c r="CW44" s="946"/>
      <c r="CX44" s="946"/>
    </row>
    <row r="45" spans="1:102" ht="13.5" customHeight="1">
      <c r="A45" s="1198" t="s">
        <v>203</v>
      </c>
      <c r="B45" s="1198"/>
      <c r="C45" s="1198"/>
      <c r="D45" s="1198"/>
      <c r="E45" s="1198"/>
      <c r="F45" s="1198"/>
      <c r="G45" s="1307"/>
      <c r="H45" s="1226"/>
      <c r="I45" s="1226"/>
      <c r="J45" s="1226"/>
      <c r="K45" s="1226"/>
      <c r="L45" s="1055">
        <f t="shared" ref="L45:S45" si="58">L29/L32</f>
        <v>-3.0931707209297186E-2</v>
      </c>
      <c r="M45" s="1055">
        <f t="shared" si="58"/>
        <v>-2.3790243155107131E-2</v>
      </c>
      <c r="N45" s="1055">
        <f t="shared" si="58"/>
        <v>-2.6254224070704445E-2</v>
      </c>
      <c r="O45" s="1056">
        <f t="shared" si="58"/>
        <v>-3.0036551279294776E-2</v>
      </c>
      <c r="P45" s="1056">
        <f t="shared" si="58"/>
        <v>-3.5390083069281493E-2</v>
      </c>
      <c r="Q45" s="1056">
        <f t="shared" si="58"/>
        <v>-3.3822426903716396E-2</v>
      </c>
      <c r="R45" s="1057">
        <f t="shared" si="58"/>
        <v>-1.4488282787451998E-2</v>
      </c>
      <c r="S45" s="1008">
        <f t="shared" si="58"/>
        <v>-1.1221971438817053E-2</v>
      </c>
      <c r="T45" s="946"/>
      <c r="U45" s="946"/>
      <c r="V45" s="946"/>
      <c r="W45" s="946"/>
      <c r="X45" s="946"/>
      <c r="Y45" s="946"/>
      <c r="Z45" s="1198"/>
      <c r="AA45" s="1198"/>
      <c r="AB45" s="1198"/>
      <c r="AC45" s="1198"/>
      <c r="AD45" s="1198"/>
      <c r="AE45" s="1198"/>
      <c r="AF45" s="1198"/>
      <c r="AG45" s="1198"/>
      <c r="AH45" s="1198"/>
      <c r="AI45" s="1198"/>
      <c r="AJ45" s="1198"/>
      <c r="AK45" s="1198"/>
      <c r="AL45" s="1198"/>
      <c r="AM45" s="1198"/>
      <c r="AN45" s="1198"/>
      <c r="AO45" s="1198"/>
      <c r="AP45" s="1198"/>
      <c r="AQ45" s="1198"/>
      <c r="AR45" s="1198"/>
      <c r="AS45" s="1198"/>
      <c r="AT45" s="1198"/>
      <c r="AU45" s="1198"/>
      <c r="AV45" s="1198"/>
      <c r="AW45" s="1307"/>
      <c r="AX45" s="1307"/>
      <c r="AY45" s="1307"/>
      <c r="AZ45" s="1307"/>
      <c r="BA45" s="1307"/>
      <c r="BB45" s="1307"/>
      <c r="BC45" s="1307"/>
      <c r="BD45" s="1307"/>
      <c r="BE45" s="1307"/>
      <c r="BF45" s="1307"/>
      <c r="BG45" s="1307"/>
      <c r="BH45" s="1307"/>
      <c r="BI45" s="1307"/>
      <c r="BJ45" s="1055">
        <f t="shared" ref="BJ45:BZ45" si="59">BJ29/BJ32</f>
        <v>6.2863602525572808E-4</v>
      </c>
      <c r="BK45" s="1055">
        <f t="shared" si="59"/>
        <v>6.2177183155437508E-4</v>
      </c>
      <c r="BL45" s="1055">
        <f t="shared" si="59"/>
        <v>-1.4312126155519304E-2</v>
      </c>
      <c r="BM45" s="1055">
        <f t="shared" si="59"/>
        <v>-1.7505997830921421E-2</v>
      </c>
      <c r="BN45" s="1058">
        <f t="shared" si="59"/>
        <v>-5.4001440771637692E-3</v>
      </c>
      <c r="BO45" s="1055">
        <f t="shared" si="59"/>
        <v>-5.4118434846563805E-3</v>
      </c>
      <c r="BP45" s="1055">
        <f t="shared" si="59"/>
        <v>-7.3154972457371899E-3</v>
      </c>
      <c r="BQ45" s="1055">
        <f t="shared" si="59"/>
        <v>-5.6945868697226886E-3</v>
      </c>
      <c r="BR45" s="1058">
        <f t="shared" si="59"/>
        <v>-5.8895758853379984E-3</v>
      </c>
      <c r="BS45" s="1055">
        <f t="shared" si="59"/>
        <v>-6.4796454615392947E-3</v>
      </c>
      <c r="BT45" s="1055">
        <f t="shared" si="59"/>
        <v>-1.7683084620029328E-3</v>
      </c>
      <c r="BU45" s="1055">
        <f t="shared" si="59"/>
        <v>-1.2055714624012399E-2</v>
      </c>
      <c r="BV45" s="1058">
        <f t="shared" si="59"/>
        <v>-1.1020355244392583E-2</v>
      </c>
      <c r="BW45" s="1055">
        <f t="shared" si="59"/>
        <v>-3.8656315124553239E-3</v>
      </c>
      <c r="BX45" s="1055">
        <f t="shared" si="59"/>
        <v>-5.3747258889796619E-3</v>
      </c>
      <c r="BY45" s="1055">
        <f>BY29/BY32</f>
        <v>-9.8235830339428384E-3</v>
      </c>
      <c r="BZ45" s="1058">
        <f t="shared" si="59"/>
        <v>-8.2939531295206873E-3</v>
      </c>
      <c r="CA45" s="1055">
        <f t="shared" ref="CA45:CI45" si="60">CA29/CA32</f>
        <v>-5.0615609683171909E-3</v>
      </c>
      <c r="CB45" s="1055">
        <f t="shared" si="60"/>
        <v>-5.3953014146735203E-3</v>
      </c>
      <c r="CC45" s="1055">
        <f t="shared" si="60"/>
        <v>-1.6497434914958385E-2</v>
      </c>
      <c r="CD45" s="1058">
        <f t="shared" si="60"/>
        <v>-1.0279032914319978E-2</v>
      </c>
      <c r="CE45" s="1055">
        <f t="shared" si="60"/>
        <v>-7.2271845076614591E-3</v>
      </c>
      <c r="CF45" s="1055">
        <f t="shared" si="60"/>
        <v>-8.9275175706851218E-3</v>
      </c>
      <c r="CG45" s="1055">
        <f>CG29/CG32</f>
        <v>-7.4280807213396305E-3</v>
      </c>
      <c r="CH45" s="1058">
        <f>CH29/CH32</f>
        <v>-6.6683820060894549E-3</v>
      </c>
      <c r="CI45" s="1055">
        <f t="shared" si="60"/>
        <v>-4.7935971238417261E-3</v>
      </c>
      <c r="CJ45" s="1055">
        <f>CJ29/CJ32</f>
        <v>-2.0246797809083351E-3</v>
      </c>
      <c r="CK45" s="1055">
        <f>CK29/CK32</f>
        <v>-1.0797421321731399E-3</v>
      </c>
      <c r="CL45" s="1058">
        <f>CL29/CL32</f>
        <v>-5.6024768845173659E-3</v>
      </c>
      <c r="CM45" s="946"/>
      <c r="CN45" s="946"/>
      <c r="CO45" s="946"/>
      <c r="CP45" s="946"/>
      <c r="CQ45" s="946"/>
      <c r="CR45" s="946"/>
      <c r="CS45" s="946"/>
      <c r="CT45" s="946"/>
      <c r="CU45" s="946"/>
      <c r="CV45" s="946"/>
      <c r="CW45" s="946"/>
      <c r="CX45" s="946"/>
    </row>
    <row r="46" spans="1:102" ht="13.5" customHeight="1">
      <c r="A46" s="1198" t="s">
        <v>204</v>
      </c>
      <c r="B46" s="1198"/>
      <c r="C46" s="1198"/>
      <c r="D46" s="1198"/>
      <c r="E46" s="1198"/>
      <c r="F46" s="1198"/>
      <c r="G46" s="1307"/>
      <c r="H46" s="1226"/>
      <c r="I46" s="1226"/>
      <c r="J46" s="1226"/>
      <c r="K46" s="1226"/>
      <c r="L46" s="1055">
        <f t="shared" ref="L46:S46" si="61">L38/L28</f>
        <v>1.5149942329873125</v>
      </c>
      <c r="M46" s="1055">
        <f t="shared" si="61"/>
        <v>1.6193428394296343</v>
      </c>
      <c r="N46" s="1055">
        <f t="shared" si="61"/>
        <v>1.4589460784313726</v>
      </c>
      <c r="O46" s="1056">
        <f t="shared" si="61"/>
        <v>1.3367285799880169</v>
      </c>
      <c r="P46" s="1056">
        <f t="shared" ref="P46:R47" si="62">P38/P28</f>
        <v>1.193021947101857</v>
      </c>
      <c r="Q46" s="1056">
        <f t="shared" si="62"/>
        <v>1.4698367636621719</v>
      </c>
      <c r="R46" s="1057">
        <f t="shared" si="62"/>
        <v>1.3098118279569892</v>
      </c>
      <c r="S46" s="1008">
        <f t="shared" si="61"/>
        <v>1.1585365853658536</v>
      </c>
      <c r="T46" s="946"/>
      <c r="U46" s="946"/>
      <c r="V46" s="946"/>
      <c r="W46" s="946"/>
      <c r="X46" s="1401"/>
      <c r="Y46" s="1401"/>
      <c r="Z46" s="1198"/>
      <c r="AA46" s="1198"/>
      <c r="AB46" s="1198"/>
      <c r="AC46" s="1198"/>
      <c r="AD46" s="1198"/>
      <c r="AE46" s="1198"/>
      <c r="AF46" s="1198"/>
      <c r="AG46" s="1198"/>
      <c r="AH46" s="1198"/>
      <c r="AI46" s="1198"/>
      <c r="AJ46" s="1198"/>
      <c r="AK46" s="1198"/>
      <c r="AL46" s="1198"/>
      <c r="AM46" s="1198"/>
      <c r="AN46" s="1198"/>
      <c r="AO46" s="1198"/>
      <c r="AP46" s="1198"/>
      <c r="AQ46" s="1198"/>
      <c r="AR46" s="1198"/>
      <c r="AS46" s="1198"/>
      <c r="AT46" s="1198"/>
      <c r="AU46" s="1198"/>
      <c r="AV46" s="1198"/>
      <c r="AW46" s="1307"/>
      <c r="AX46" s="1307"/>
      <c r="AY46" s="1307"/>
      <c r="AZ46" s="1307"/>
      <c r="BA46" s="1307"/>
      <c r="BB46" s="1307"/>
      <c r="BC46" s="1307"/>
      <c r="BD46" s="1307"/>
      <c r="BE46" s="1307"/>
      <c r="BF46" s="1307"/>
      <c r="BG46" s="1307"/>
      <c r="BH46" s="1307"/>
      <c r="BI46" s="1307"/>
      <c r="BJ46" s="1055">
        <f t="shared" ref="BJ46:BZ46" si="63">BJ38/BJ28</f>
        <v>1.4342105263157894</v>
      </c>
      <c r="BK46" s="1055">
        <f t="shared" si="63"/>
        <v>1.3545081967213115</v>
      </c>
      <c r="BL46" s="1055">
        <f t="shared" si="63"/>
        <v>1.5765550239234449</v>
      </c>
      <c r="BM46" s="1055">
        <f t="shared" si="63"/>
        <v>1.7553763440860215</v>
      </c>
      <c r="BN46" s="1058">
        <f t="shared" si="63"/>
        <v>2.0862619808306708</v>
      </c>
      <c r="BO46" s="1055">
        <f t="shared" si="63"/>
        <v>1.84375</v>
      </c>
      <c r="BP46" s="1055">
        <f t="shared" si="63"/>
        <v>1.4808988764044944</v>
      </c>
      <c r="BQ46" s="1055">
        <f t="shared" si="63"/>
        <v>1.294234592445328</v>
      </c>
      <c r="BR46" s="1058">
        <f t="shared" si="63"/>
        <v>1.5076923076923077</v>
      </c>
      <c r="BS46" s="1055">
        <f t="shared" si="63"/>
        <v>1.339366515837104</v>
      </c>
      <c r="BT46" s="1055">
        <f t="shared" si="63"/>
        <v>1.5076142131979695</v>
      </c>
      <c r="BU46" s="1055">
        <f t="shared" si="63"/>
        <v>1.4950738916256157</v>
      </c>
      <c r="BV46" s="1058">
        <f t="shared" si="63"/>
        <v>1.7452830188679245</v>
      </c>
      <c r="BW46" s="1055">
        <f t="shared" si="63"/>
        <v>1.3098591549295775</v>
      </c>
      <c r="BX46" s="1055">
        <f t="shared" si="63"/>
        <v>1.338095238095238</v>
      </c>
      <c r="BY46" s="1055">
        <f>BY38/BY28</f>
        <v>1.1009900990099011</v>
      </c>
      <c r="BZ46" s="1058">
        <f t="shared" si="63"/>
        <v>1.2548076923076923</v>
      </c>
      <c r="CA46" s="1055">
        <f t="shared" ref="CA46:CC47" si="64">CA38/CA28</f>
        <v>0.97940074906367036</v>
      </c>
      <c r="CB46" s="1055">
        <f t="shared" si="64"/>
        <v>1.1523605150214593</v>
      </c>
      <c r="CC46" s="1055">
        <f t="shared" si="64"/>
        <v>1.4903047091412742</v>
      </c>
      <c r="CD46" s="1058">
        <f t="shared" ref="CD46:CF47" si="65">CD38/CD28</f>
        <v>1.5389221556886228</v>
      </c>
      <c r="CE46" s="1055">
        <f t="shared" si="65"/>
        <v>1.4885057471264367</v>
      </c>
      <c r="CF46" s="1055">
        <f t="shared" si="65"/>
        <v>1.5249266862170088</v>
      </c>
      <c r="CG46" s="1055">
        <f t="shared" ref="CG46:CK47" si="66">CG38/CG28</f>
        <v>1.3445595854922279</v>
      </c>
      <c r="CH46" s="1058">
        <f t="shared" si="66"/>
        <v>1.2687338501291989</v>
      </c>
      <c r="CI46" s="1055">
        <f t="shared" si="66"/>
        <v>1.4696969696969697</v>
      </c>
      <c r="CJ46" s="1055">
        <f t="shared" si="66"/>
        <v>1.3136729222520107</v>
      </c>
      <c r="CK46" s="1055">
        <f t="shared" si="66"/>
        <v>1.2135678391959799</v>
      </c>
      <c r="CL46" s="1058">
        <f>CL38/CL28</f>
        <v>1.1585365853658536</v>
      </c>
      <c r="CM46" s="946"/>
      <c r="CN46" s="946"/>
      <c r="CO46" s="946"/>
      <c r="CP46" s="946"/>
      <c r="CQ46" s="946"/>
      <c r="CR46" s="946"/>
      <c r="CS46" s="946"/>
      <c r="CT46" s="946"/>
      <c r="CU46" s="946"/>
      <c r="CV46" s="946"/>
      <c r="CW46" s="946"/>
      <c r="CX46" s="946"/>
    </row>
    <row r="47" spans="1:102" ht="13.5" customHeight="1">
      <c r="A47" s="1198" t="s">
        <v>205</v>
      </c>
      <c r="B47" s="1198"/>
      <c r="C47" s="1198"/>
      <c r="D47" s="1198"/>
      <c r="E47" s="1198"/>
      <c r="F47" s="1198"/>
      <c r="G47" s="1307"/>
      <c r="H47" s="1226"/>
      <c r="I47" s="1226"/>
      <c r="J47" s="1226"/>
      <c r="K47" s="1226"/>
      <c r="L47" s="1055">
        <f t="shared" ref="L47:S47" si="67">L39/L29</f>
        <v>0.71214285714285719</v>
      </c>
      <c r="M47" s="1055">
        <f t="shared" si="67"/>
        <v>0.7368905243790248</v>
      </c>
      <c r="N47" s="1055">
        <f t="shared" si="67"/>
        <v>0.80198019801980203</v>
      </c>
      <c r="O47" s="1056">
        <f t="shared" si="67"/>
        <v>0.75232641374373654</v>
      </c>
      <c r="P47" s="1056">
        <f t="shared" si="62"/>
        <v>0.8287961282516636</v>
      </c>
      <c r="Q47" s="1056">
        <f t="shared" si="62"/>
        <v>1</v>
      </c>
      <c r="R47" s="1057">
        <f t="shared" si="62"/>
        <v>1</v>
      </c>
      <c r="S47" s="1008">
        <f t="shared" si="67"/>
        <v>1</v>
      </c>
      <c r="T47" s="946"/>
      <c r="U47" s="946"/>
      <c r="V47" s="946"/>
      <c r="W47" s="946"/>
      <c r="X47" s="946"/>
      <c r="Y47" s="946"/>
      <c r="Z47" s="1198"/>
      <c r="AA47" s="1198"/>
      <c r="AB47" s="1198"/>
      <c r="AC47" s="1198"/>
      <c r="AD47" s="1198"/>
      <c r="AE47" s="1198"/>
      <c r="AF47" s="1198"/>
      <c r="AG47" s="1198"/>
      <c r="AH47" s="1198"/>
      <c r="AI47" s="1198"/>
      <c r="AJ47" s="1198"/>
      <c r="AK47" s="1198"/>
      <c r="AL47" s="1198"/>
      <c r="AM47" s="1198"/>
      <c r="AN47" s="1198"/>
      <c r="AO47" s="1198"/>
      <c r="AP47" s="1198"/>
      <c r="AQ47" s="1198"/>
      <c r="AR47" s="1198"/>
      <c r="AS47" s="1198"/>
      <c r="AT47" s="1198"/>
      <c r="AU47" s="1198"/>
      <c r="AV47" s="1198"/>
      <c r="AW47" s="1307"/>
      <c r="AX47" s="1307"/>
      <c r="AY47" s="1307"/>
      <c r="AZ47" s="1307"/>
      <c r="BA47" s="1307"/>
      <c r="BB47" s="1307"/>
      <c r="BC47" s="1307"/>
      <c r="BD47" s="1307"/>
      <c r="BE47" s="1307"/>
      <c r="BF47" s="1307"/>
      <c r="BG47" s="1307"/>
      <c r="BH47" s="1307"/>
      <c r="BI47" s="1307"/>
      <c r="BJ47" s="1055">
        <f t="shared" ref="BJ47:BZ47" si="68">BJ39/BJ29</f>
        <v>6.0877192982456139</v>
      </c>
      <c r="BK47" s="1055">
        <f t="shared" si="68"/>
        <v>5.8421052631578947</v>
      </c>
      <c r="BL47" s="1055">
        <f t="shared" si="68"/>
        <v>1.0015197568389058</v>
      </c>
      <c r="BM47" s="1055">
        <f t="shared" si="68"/>
        <v>0.84856070087609514</v>
      </c>
      <c r="BN47" s="1058">
        <f t="shared" si="68"/>
        <v>0.77596741344195519</v>
      </c>
      <c r="BO47" s="1055">
        <f t="shared" si="68"/>
        <v>0.7565922920892495</v>
      </c>
      <c r="BP47" s="1055">
        <f t="shared" si="68"/>
        <v>0.77544910179640714</v>
      </c>
      <c r="BQ47" s="1055">
        <f t="shared" si="68"/>
        <v>0.63218390804597702</v>
      </c>
      <c r="BR47" s="1058">
        <f t="shared" si="68"/>
        <v>0.64206642066420661</v>
      </c>
      <c r="BS47" s="1055">
        <f t="shared" si="68"/>
        <v>0.64214046822742477</v>
      </c>
      <c r="BT47" s="1055">
        <f t="shared" si="68"/>
        <v>1.1463414634146341</v>
      </c>
      <c r="BU47" s="1055">
        <f t="shared" si="68"/>
        <v>0.91428571428571426</v>
      </c>
      <c r="BV47" s="1058">
        <f t="shared" si="68"/>
        <v>0.8666666666666667</v>
      </c>
      <c r="BW47" s="1055">
        <f t="shared" si="68"/>
        <v>0.63128491620111726</v>
      </c>
      <c r="BX47" s="1055">
        <f t="shared" si="68"/>
        <v>0.66</v>
      </c>
      <c r="BY47" s="1055">
        <f>BY39/BY29</f>
        <v>0.72270742358078599</v>
      </c>
      <c r="BZ47" s="1058">
        <f t="shared" si="68"/>
        <v>0.8294573643410853</v>
      </c>
      <c r="CA47" s="1055">
        <f t="shared" si="64"/>
        <v>0.74683544303797467</v>
      </c>
      <c r="CB47" s="1055">
        <f t="shared" si="64"/>
        <v>0.69291338582677164</v>
      </c>
      <c r="CC47" s="1055">
        <f t="shared" si="64"/>
        <v>0.89806451612903226</v>
      </c>
      <c r="CD47" s="1058">
        <f t="shared" si="65"/>
        <v>0.8979166666666667</v>
      </c>
      <c r="CE47" s="1055">
        <f t="shared" si="65"/>
        <v>0.92878338278931749</v>
      </c>
      <c r="CF47" s="1055">
        <f t="shared" si="65"/>
        <v>0.89423076923076927</v>
      </c>
      <c r="CG47" s="1055">
        <f t="shared" si="66"/>
        <v>1.0953757225433527</v>
      </c>
      <c r="CH47" s="1058">
        <f t="shared" si="66"/>
        <v>1</v>
      </c>
      <c r="CI47" s="1055">
        <f t="shared" si="66"/>
        <v>1</v>
      </c>
      <c r="CJ47" s="1055">
        <f t="shared" si="66"/>
        <v>1</v>
      </c>
      <c r="CK47" s="1055">
        <f t="shared" si="66"/>
        <v>1</v>
      </c>
      <c r="CL47" s="1058">
        <f>CL39/CL29</f>
        <v>1</v>
      </c>
      <c r="CM47" s="946"/>
      <c r="CN47" s="946"/>
      <c r="CO47" s="946"/>
      <c r="CP47" s="946"/>
      <c r="CQ47" s="946"/>
      <c r="CR47" s="946"/>
      <c r="CS47" s="946"/>
      <c r="CT47" s="946"/>
      <c r="CU47" s="946"/>
      <c r="CV47" s="946"/>
      <c r="CW47" s="946"/>
      <c r="CX47" s="946"/>
    </row>
    <row r="48" spans="1:102" ht="13.5" customHeight="1">
      <c r="A48" s="1198" t="s">
        <v>206</v>
      </c>
      <c r="B48" s="1198"/>
      <c r="C48" s="1198"/>
      <c r="D48" s="1198"/>
      <c r="E48" s="1198"/>
      <c r="F48" s="1198"/>
      <c r="G48" s="1307"/>
      <c r="H48" s="1226"/>
      <c r="I48" s="1226"/>
      <c r="J48" s="1226"/>
      <c r="K48" s="1226"/>
      <c r="L48" s="1435">
        <f t="shared" ref="L48:Q48" si="69">L32/(L38)</f>
        <v>17.22915873620099</v>
      </c>
      <c r="M48" s="1435">
        <f t="shared" si="69"/>
        <v>17.492725880551301</v>
      </c>
      <c r="N48" s="1435">
        <f t="shared" si="69"/>
        <v>19.388492230155396</v>
      </c>
      <c r="O48" s="1436">
        <f t="shared" si="69"/>
        <v>20.847153742716269</v>
      </c>
      <c r="P48" s="1436">
        <f t="shared" si="69"/>
        <v>22.032075471698114</v>
      </c>
      <c r="Q48" s="1436">
        <f t="shared" si="69"/>
        <v>22.54225012071463</v>
      </c>
      <c r="R48" s="1437">
        <f>R32/(R38)</f>
        <v>24.116726526423808</v>
      </c>
      <c r="S48" s="1438">
        <f>S32/(S38)</f>
        <v>49.902105263157893</v>
      </c>
      <c r="T48" s="946"/>
      <c r="U48" s="946"/>
      <c r="V48" s="946"/>
      <c r="W48" s="946"/>
      <c r="X48" s="1401"/>
      <c r="Y48" s="1401"/>
      <c r="Z48" s="1198"/>
      <c r="AA48" s="1198"/>
      <c r="AB48" s="1198"/>
      <c r="AC48" s="1198"/>
      <c r="AD48" s="1198"/>
      <c r="AE48" s="1198"/>
      <c r="AF48" s="1198"/>
      <c r="AG48" s="1198"/>
      <c r="AH48" s="1198"/>
      <c r="AI48" s="1198"/>
      <c r="AJ48" s="1198"/>
      <c r="AK48" s="1198"/>
      <c r="AL48" s="1198"/>
      <c r="AM48" s="1198"/>
      <c r="AN48" s="1198"/>
      <c r="AO48" s="1198"/>
      <c r="AP48" s="1198"/>
      <c r="AQ48" s="1198"/>
      <c r="AR48" s="1198"/>
      <c r="AS48" s="1198"/>
      <c r="AT48" s="1198"/>
      <c r="AU48" s="1198"/>
      <c r="AV48" s="1198"/>
      <c r="AW48" s="1307"/>
      <c r="AX48" s="1307"/>
      <c r="AY48" s="1307"/>
      <c r="AZ48" s="1307"/>
      <c r="BA48" s="1307"/>
      <c r="BB48" s="1307"/>
      <c r="BC48" s="1307"/>
      <c r="BD48" s="1307"/>
      <c r="BE48" s="1307"/>
      <c r="BF48" s="1307"/>
      <c r="BG48" s="1307"/>
      <c r="BH48" s="1307"/>
      <c r="BI48" s="1307"/>
      <c r="BJ48" s="1435">
        <f t="shared" ref="BJ48:BX48" si="70">BJ32/(BJ38*4)</f>
        <v>17.330370795107033</v>
      </c>
      <c r="BK48" s="1435">
        <f t="shared" si="70"/>
        <v>17.336138426626324</v>
      </c>
      <c r="BL48" s="1435">
        <f t="shared" si="70"/>
        <v>17.441198786039454</v>
      </c>
      <c r="BM48" s="1435">
        <f t="shared" si="70"/>
        <v>17.473774885145481</v>
      </c>
      <c r="BN48" s="1439">
        <f t="shared" si="70"/>
        <v>17.404957886676875</v>
      </c>
      <c r="BO48" s="1435">
        <f t="shared" si="70"/>
        <v>17.545550847457626</v>
      </c>
      <c r="BP48" s="1435">
        <f t="shared" si="70"/>
        <v>17.3203717754173</v>
      </c>
      <c r="BQ48" s="1435">
        <f t="shared" si="70"/>
        <v>17.600998463901689</v>
      </c>
      <c r="BR48" s="1439">
        <f t="shared" si="70"/>
        <v>19.563562925170068</v>
      </c>
      <c r="BS48" s="1435">
        <f t="shared" si="70"/>
        <v>19.486697635135137</v>
      </c>
      <c r="BT48" s="1435">
        <f t="shared" si="70"/>
        <v>19.516835016835017</v>
      </c>
      <c r="BU48" s="1435">
        <f t="shared" si="70"/>
        <v>19.131383855024712</v>
      </c>
      <c r="BV48" s="1439">
        <f t="shared" si="70"/>
        <v>20.845945945945946</v>
      </c>
      <c r="BW48" s="1435">
        <f t="shared" si="70"/>
        <v>20.746191756272403</v>
      </c>
      <c r="BX48" s="1435">
        <f t="shared" si="70"/>
        <v>20.691281138790035</v>
      </c>
      <c r="BY48" s="1435">
        <f t="shared" ref="BY48:CD48" si="71">BY32/(BY38*4)</f>
        <v>20.963354316546763</v>
      </c>
      <c r="BZ48" s="1439">
        <f t="shared" si="71"/>
        <v>22.34698275862069</v>
      </c>
      <c r="CA48" s="1435">
        <f t="shared" si="71"/>
        <v>22.38217017208413</v>
      </c>
      <c r="CB48" s="1435">
        <f t="shared" si="71"/>
        <v>21.917132216014899</v>
      </c>
      <c r="CC48" s="1435">
        <f t="shared" si="71"/>
        <v>21.829460966542751</v>
      </c>
      <c r="CD48" s="1439">
        <f t="shared" si="71"/>
        <v>22.712548638132297</v>
      </c>
      <c r="CE48" s="1435">
        <f t="shared" ref="CE48:CJ48" si="72">CE32/(CE38*4)</f>
        <v>22.504584942084943</v>
      </c>
      <c r="CF48" s="1435">
        <f t="shared" si="72"/>
        <v>22.40264423076923</v>
      </c>
      <c r="CG48" s="1435">
        <f t="shared" si="72"/>
        <v>22.437379576107901</v>
      </c>
      <c r="CH48" s="1439">
        <f t="shared" si="72"/>
        <v>23.746435845213849</v>
      </c>
      <c r="CI48" s="1436">
        <f t="shared" si="72"/>
        <v>24.087113402061856</v>
      </c>
      <c r="CJ48" s="1436">
        <f t="shared" si="72"/>
        <v>23.939285714285713</v>
      </c>
      <c r="CK48" s="1436">
        <f>CK32/(CK38*4)</f>
        <v>24.447981366459626</v>
      </c>
      <c r="CL48" s="1439">
        <f>CL32/(CL38*4)</f>
        <v>24.988947368421051</v>
      </c>
      <c r="CM48" s="946"/>
      <c r="CN48" s="946"/>
      <c r="CO48" s="946"/>
      <c r="CP48" s="946"/>
      <c r="CQ48" s="946"/>
      <c r="CR48" s="946"/>
      <c r="CS48" s="946"/>
      <c r="CT48" s="946"/>
      <c r="CU48" s="946"/>
      <c r="CV48" s="946"/>
      <c r="CW48" s="946"/>
      <c r="CX48" s="946"/>
    </row>
    <row r="49" spans="1:102" ht="13.5" customHeight="1">
      <c r="A49" s="1454" t="s">
        <v>78</v>
      </c>
      <c r="B49" s="1198"/>
      <c r="C49" s="1198"/>
      <c r="D49" s="1198"/>
      <c r="E49" s="1198"/>
      <c r="F49" s="1198"/>
      <c r="G49" s="1307"/>
      <c r="H49" s="1226"/>
      <c r="I49" s="1226"/>
      <c r="J49" s="1226"/>
      <c r="K49" s="1226"/>
      <c r="L49" s="1435"/>
      <c r="M49" s="1435"/>
      <c r="N49" s="1435"/>
      <c r="O49" s="1436"/>
      <c r="P49" s="1436"/>
      <c r="Q49" s="1436"/>
      <c r="R49" s="1437"/>
      <c r="S49" s="1438">
        <f>+CO49</f>
        <v>0</v>
      </c>
      <c r="T49" s="946"/>
      <c r="U49" s="946"/>
      <c r="V49" s="946"/>
      <c r="W49" s="946"/>
      <c r="X49" s="946"/>
      <c r="Y49" s="946"/>
      <c r="Z49" s="1455"/>
      <c r="AA49" s="1455"/>
      <c r="AB49" s="1455"/>
      <c r="AC49" s="1455"/>
      <c r="AD49" s="1455"/>
      <c r="AE49" s="1455"/>
      <c r="AF49" s="1455"/>
      <c r="AG49" s="1455"/>
      <c r="AH49" s="1455"/>
      <c r="AI49" s="1455"/>
      <c r="AJ49" s="1455"/>
      <c r="AK49" s="1455"/>
      <c r="AL49" s="1455"/>
      <c r="AM49" s="1455"/>
      <c r="AN49" s="1455"/>
      <c r="AO49" s="1455"/>
      <c r="AP49" s="1455"/>
      <c r="AQ49" s="1455"/>
      <c r="AR49" s="1455"/>
      <c r="AS49" s="1455"/>
      <c r="AT49" s="1455"/>
      <c r="AU49" s="1455"/>
      <c r="AV49" s="1455"/>
      <c r="AW49" s="1456"/>
      <c r="AX49" s="1456"/>
      <c r="AY49" s="1456"/>
      <c r="AZ49" s="1456"/>
      <c r="BA49" s="1456"/>
      <c r="BB49" s="1456"/>
      <c r="BC49" s="1456"/>
      <c r="BD49" s="1456"/>
      <c r="BE49" s="1456"/>
      <c r="BF49" s="1456"/>
      <c r="BG49" s="1456"/>
      <c r="BH49" s="1456"/>
      <c r="BI49" s="1456"/>
      <c r="BJ49" s="1457"/>
      <c r="BK49" s="1457"/>
      <c r="BL49" s="1457"/>
      <c r="BM49" s="1457"/>
      <c r="BN49" s="1458"/>
      <c r="BO49" s="1457"/>
      <c r="BP49" s="1457"/>
      <c r="BQ49" s="1457"/>
      <c r="BR49" s="1458"/>
      <c r="BS49" s="1457"/>
      <c r="BT49" s="1457"/>
      <c r="BU49" s="1457"/>
      <c r="BV49" s="1458"/>
      <c r="BW49" s="1457"/>
      <c r="BX49" s="1457"/>
      <c r="BY49" s="1457"/>
      <c r="BZ49" s="1458"/>
      <c r="CA49" s="1457"/>
      <c r="CB49" s="1457"/>
      <c r="CC49" s="1457"/>
      <c r="CD49" s="1458"/>
      <c r="CE49" s="1457"/>
      <c r="CF49" s="1457"/>
      <c r="CG49" s="1457"/>
      <c r="CH49" s="1458"/>
      <c r="CI49" s="1459"/>
      <c r="CJ49" s="1459"/>
      <c r="CK49" s="1459"/>
      <c r="CL49" s="1458"/>
      <c r="CM49" s="946"/>
      <c r="CN49" s="946"/>
      <c r="CO49" s="946"/>
      <c r="CP49" s="946"/>
      <c r="CQ49" s="946"/>
      <c r="CR49" s="946"/>
      <c r="CS49" s="946"/>
      <c r="CT49" s="946"/>
      <c r="CU49" s="946"/>
      <c r="CV49" s="946"/>
      <c r="CW49" s="946"/>
      <c r="CX49" s="946"/>
    </row>
    <row r="50" spans="1:102" ht="13.5" customHeight="1">
      <c r="A50" s="1454" t="s">
        <v>79</v>
      </c>
      <c r="B50" s="1198"/>
      <c r="C50" s="1198"/>
      <c r="D50" s="1198"/>
      <c r="E50" s="1198"/>
      <c r="F50" s="1198"/>
      <c r="G50" s="1307"/>
      <c r="H50" s="1226"/>
      <c r="I50" s="1226"/>
      <c r="J50" s="1226"/>
      <c r="K50" s="1226"/>
      <c r="L50" s="1435"/>
      <c r="M50" s="1435"/>
      <c r="N50" s="1435"/>
      <c r="O50" s="1436"/>
      <c r="P50" s="1436"/>
      <c r="Q50" s="1436"/>
      <c r="R50" s="1437"/>
      <c r="S50" s="1438">
        <f>+CO50</f>
        <v>0</v>
      </c>
      <c r="T50" s="946"/>
      <c r="U50" s="946"/>
      <c r="V50" s="946"/>
      <c r="W50" s="946"/>
      <c r="X50" s="1401"/>
      <c r="Y50" s="1401"/>
      <c r="Z50" s="1455"/>
      <c r="AA50" s="1455"/>
      <c r="AB50" s="1455"/>
      <c r="AC50" s="1455"/>
      <c r="AD50" s="1455"/>
      <c r="AE50" s="1455"/>
      <c r="AF50" s="1455"/>
      <c r="AG50" s="1455"/>
      <c r="AH50" s="1455"/>
      <c r="AI50" s="1455"/>
      <c r="AJ50" s="1455"/>
      <c r="AK50" s="1455"/>
      <c r="AL50" s="1455"/>
      <c r="AM50" s="1455"/>
      <c r="AN50" s="1455"/>
      <c r="AO50" s="1455"/>
      <c r="AP50" s="1455"/>
      <c r="AQ50" s="1455"/>
      <c r="AR50" s="1455"/>
      <c r="AS50" s="1455"/>
      <c r="AT50" s="1455"/>
      <c r="AU50" s="1455"/>
      <c r="AV50" s="1455"/>
      <c r="AW50" s="1456"/>
      <c r="AX50" s="1456"/>
      <c r="AY50" s="1456"/>
      <c r="AZ50" s="1456"/>
      <c r="BA50" s="1456"/>
      <c r="BB50" s="1456"/>
      <c r="BC50" s="1456"/>
      <c r="BD50" s="1456"/>
      <c r="BE50" s="1456"/>
      <c r="BF50" s="1456"/>
      <c r="BG50" s="1456"/>
      <c r="BH50" s="1456"/>
      <c r="BI50" s="1456"/>
      <c r="BJ50" s="1457"/>
      <c r="BK50" s="1457"/>
      <c r="BL50" s="1457"/>
      <c r="BM50" s="1457"/>
      <c r="BN50" s="1458"/>
      <c r="BO50" s="1457"/>
      <c r="BP50" s="1457"/>
      <c r="BQ50" s="1457"/>
      <c r="BR50" s="1458"/>
      <c r="BS50" s="1457"/>
      <c r="BT50" s="1457"/>
      <c r="BU50" s="1457"/>
      <c r="BV50" s="1458"/>
      <c r="BW50" s="1457"/>
      <c r="BX50" s="1457"/>
      <c r="BY50" s="1457"/>
      <c r="BZ50" s="1458"/>
      <c r="CA50" s="1457"/>
      <c r="CB50" s="1457"/>
      <c r="CC50" s="1457"/>
      <c r="CD50" s="1458"/>
      <c r="CE50" s="1457"/>
      <c r="CF50" s="1457"/>
      <c r="CG50" s="1457"/>
      <c r="CH50" s="1458"/>
      <c r="CI50" s="1459"/>
      <c r="CJ50" s="1459"/>
      <c r="CK50" s="1459"/>
      <c r="CL50" s="1458"/>
      <c r="CM50" s="946"/>
      <c r="CN50" s="946"/>
      <c r="CO50" s="946"/>
      <c r="CP50" s="946"/>
      <c r="CQ50" s="946"/>
      <c r="CR50" s="946"/>
      <c r="CS50" s="946"/>
      <c r="CT50" s="946"/>
      <c r="CU50" s="946"/>
      <c r="CV50" s="946"/>
      <c r="CW50" s="946"/>
      <c r="CX50" s="946"/>
    </row>
    <row r="51" spans="1:102" ht="13.5" customHeight="1">
      <c r="A51" s="1454" t="s">
        <v>80</v>
      </c>
      <c r="B51" s="1198"/>
      <c r="C51" s="1198"/>
      <c r="D51" s="1198"/>
      <c r="E51" s="1198"/>
      <c r="F51" s="1198"/>
      <c r="G51" s="1307"/>
      <c r="H51" s="1226"/>
      <c r="I51" s="1226"/>
      <c r="J51" s="1226"/>
      <c r="K51" s="1226"/>
      <c r="L51" s="1435"/>
      <c r="M51" s="1435"/>
      <c r="N51" s="1435"/>
      <c r="O51" s="1436"/>
      <c r="P51" s="1436"/>
      <c r="Q51" s="1436"/>
      <c r="R51" s="1437"/>
      <c r="S51" s="1438">
        <f>+CO51</f>
        <v>0</v>
      </c>
      <c r="T51" s="946"/>
      <c r="U51" s="946"/>
      <c r="V51" s="946"/>
      <c r="W51" s="946"/>
      <c r="X51" s="946"/>
      <c r="Y51" s="946"/>
      <c r="Z51" s="1455"/>
      <c r="AA51" s="1455"/>
      <c r="AB51" s="1455"/>
      <c r="AC51" s="1455"/>
      <c r="AD51" s="1455"/>
      <c r="AE51" s="1455"/>
      <c r="AF51" s="1455"/>
      <c r="AG51" s="1455"/>
      <c r="AH51" s="1455"/>
      <c r="AI51" s="1455"/>
      <c r="AJ51" s="1455"/>
      <c r="AK51" s="1455"/>
      <c r="AL51" s="1455"/>
      <c r="AM51" s="1455"/>
      <c r="AN51" s="1455"/>
      <c r="AO51" s="1455"/>
      <c r="AP51" s="1455"/>
      <c r="AQ51" s="1455"/>
      <c r="AR51" s="1455"/>
      <c r="AS51" s="1455"/>
      <c r="AT51" s="1455"/>
      <c r="AU51" s="1455"/>
      <c r="AV51" s="1455"/>
      <c r="AW51" s="1456"/>
      <c r="AX51" s="1456"/>
      <c r="AY51" s="1456"/>
      <c r="AZ51" s="1456"/>
      <c r="BA51" s="1456"/>
      <c r="BB51" s="1456"/>
      <c r="BC51" s="1456"/>
      <c r="BD51" s="1456"/>
      <c r="BE51" s="1456"/>
      <c r="BF51" s="1456"/>
      <c r="BG51" s="1456"/>
      <c r="BH51" s="1456"/>
      <c r="BI51" s="1456"/>
      <c r="BJ51" s="1457"/>
      <c r="BK51" s="1457"/>
      <c r="BL51" s="1457"/>
      <c r="BM51" s="1457"/>
      <c r="BN51" s="1458"/>
      <c r="BO51" s="1457"/>
      <c r="BP51" s="1457"/>
      <c r="BQ51" s="1457"/>
      <c r="BR51" s="1458"/>
      <c r="BS51" s="1457"/>
      <c r="BT51" s="1457"/>
      <c r="BU51" s="1457"/>
      <c r="BV51" s="1458"/>
      <c r="BW51" s="1457"/>
      <c r="BX51" s="1457"/>
      <c r="BY51" s="1457"/>
      <c r="BZ51" s="1458"/>
      <c r="CA51" s="1457"/>
      <c r="CB51" s="1457"/>
      <c r="CC51" s="1457"/>
      <c r="CD51" s="1458"/>
      <c r="CE51" s="1457"/>
      <c r="CF51" s="1457"/>
      <c r="CG51" s="1457"/>
      <c r="CH51" s="1458"/>
      <c r="CI51" s="1459"/>
      <c r="CJ51" s="1459"/>
      <c r="CK51" s="1459"/>
      <c r="CL51" s="1458"/>
      <c r="CM51" s="946"/>
      <c r="CN51" s="946"/>
      <c r="CO51" s="946"/>
      <c r="CP51" s="946"/>
      <c r="CQ51" s="946"/>
      <c r="CR51" s="946"/>
      <c r="CS51" s="946"/>
      <c r="CT51" s="946"/>
      <c r="CU51" s="946"/>
      <c r="CV51" s="946"/>
      <c r="CW51" s="946"/>
      <c r="CX51" s="946"/>
    </row>
    <row r="52" spans="1:102" ht="13.5" customHeight="1">
      <c r="A52" s="1454" t="s">
        <v>81</v>
      </c>
      <c r="B52" s="1198"/>
      <c r="C52" s="1198"/>
      <c r="D52" s="1198"/>
      <c r="E52" s="1198"/>
      <c r="F52" s="1198"/>
      <c r="G52" s="1307"/>
      <c r="H52" s="1226"/>
      <c r="I52" s="1226"/>
      <c r="J52" s="1226"/>
      <c r="K52" s="1226"/>
      <c r="L52" s="1435"/>
      <c r="M52" s="1435"/>
      <c r="N52" s="1435"/>
      <c r="O52" s="1436"/>
      <c r="P52" s="1436"/>
      <c r="Q52" s="1436"/>
      <c r="R52" s="1437"/>
      <c r="S52" s="1438">
        <f>+CO52</f>
        <v>0</v>
      </c>
      <c r="T52" s="946"/>
      <c r="U52" s="946"/>
      <c r="V52" s="946"/>
      <c r="W52" s="946"/>
      <c r="X52" s="1401"/>
      <c r="Y52" s="1401"/>
      <c r="Z52" s="1455"/>
      <c r="AA52" s="1455"/>
      <c r="AB52" s="1455"/>
      <c r="AC52" s="1455"/>
      <c r="AD52" s="1455"/>
      <c r="AE52" s="1455"/>
      <c r="AF52" s="1455"/>
      <c r="AG52" s="1455"/>
      <c r="AH52" s="1455"/>
      <c r="AI52" s="1455"/>
      <c r="AJ52" s="1455"/>
      <c r="AK52" s="1455"/>
      <c r="AL52" s="1455"/>
      <c r="AM52" s="1455"/>
      <c r="AN52" s="1455"/>
      <c r="AO52" s="1455"/>
      <c r="AP52" s="1455"/>
      <c r="AQ52" s="1455"/>
      <c r="AR52" s="1455"/>
      <c r="AS52" s="1455"/>
      <c r="AT52" s="1455"/>
      <c r="AU52" s="1455"/>
      <c r="AV52" s="1455"/>
      <c r="AW52" s="1456"/>
      <c r="AX52" s="1456"/>
      <c r="AY52" s="1456"/>
      <c r="AZ52" s="1456"/>
      <c r="BA52" s="1456"/>
      <c r="BB52" s="1456"/>
      <c r="BC52" s="1456"/>
      <c r="BD52" s="1456"/>
      <c r="BE52" s="1456"/>
      <c r="BF52" s="1456"/>
      <c r="BG52" s="1456"/>
      <c r="BH52" s="1456"/>
      <c r="BI52" s="1456"/>
      <c r="BJ52" s="1457"/>
      <c r="BK52" s="1457"/>
      <c r="BL52" s="1457"/>
      <c r="BM52" s="1457"/>
      <c r="BN52" s="1458"/>
      <c r="BO52" s="1457"/>
      <c r="BP52" s="1457"/>
      <c r="BQ52" s="1457"/>
      <c r="BR52" s="1458"/>
      <c r="BS52" s="1457"/>
      <c r="BT52" s="1457"/>
      <c r="BU52" s="1457"/>
      <c r="BV52" s="1458"/>
      <c r="BW52" s="1457"/>
      <c r="BX52" s="1457"/>
      <c r="BY52" s="1457"/>
      <c r="BZ52" s="1458"/>
      <c r="CA52" s="1457"/>
      <c r="CB52" s="1457"/>
      <c r="CC52" s="1457"/>
      <c r="CD52" s="1458"/>
      <c r="CE52" s="1457"/>
      <c r="CF52" s="1457"/>
      <c r="CG52" s="1457"/>
      <c r="CH52" s="1458"/>
      <c r="CI52" s="1459"/>
      <c r="CJ52" s="1459"/>
      <c r="CK52" s="1459"/>
      <c r="CL52" s="1458"/>
      <c r="CM52" s="946"/>
      <c r="CN52" s="946"/>
      <c r="CO52" s="946"/>
      <c r="CP52" s="946"/>
      <c r="CQ52" s="946"/>
      <c r="CR52" s="946"/>
      <c r="CS52" s="946"/>
      <c r="CT52" s="946"/>
      <c r="CU52" s="946"/>
      <c r="CV52" s="946"/>
      <c r="CW52" s="946"/>
      <c r="CX52" s="946"/>
    </row>
    <row r="53" spans="1:102" ht="13.5" customHeight="1">
      <c r="A53" s="1454" t="s">
        <v>82</v>
      </c>
      <c r="B53" s="1198"/>
      <c r="C53" s="1198"/>
      <c r="D53" s="1198"/>
      <c r="E53" s="1198"/>
      <c r="F53" s="1198"/>
      <c r="G53" s="1307"/>
      <c r="H53" s="1226"/>
      <c r="I53" s="1226"/>
      <c r="J53" s="1226"/>
      <c r="K53" s="1226"/>
      <c r="L53" s="1435"/>
      <c r="M53" s="1435"/>
      <c r="N53" s="1435"/>
      <c r="O53" s="1436"/>
      <c r="P53" s="1436"/>
      <c r="Q53" s="1436"/>
      <c r="R53" s="1437"/>
      <c r="S53" s="1438">
        <f>+CO53</f>
        <v>0</v>
      </c>
      <c r="T53" s="946"/>
      <c r="U53" s="946"/>
      <c r="V53" s="946"/>
      <c r="W53" s="946"/>
      <c r="X53" s="946"/>
      <c r="Y53" s="946"/>
      <c r="Z53" s="1455"/>
      <c r="AA53" s="1455"/>
      <c r="AB53" s="1455"/>
      <c r="AC53" s="1455"/>
      <c r="AD53" s="1455"/>
      <c r="AE53" s="1455"/>
      <c r="AF53" s="1455"/>
      <c r="AG53" s="1455"/>
      <c r="AH53" s="1455"/>
      <c r="AI53" s="1455"/>
      <c r="AJ53" s="1455"/>
      <c r="AK53" s="1455"/>
      <c r="AL53" s="1455"/>
      <c r="AM53" s="1455"/>
      <c r="AN53" s="1455"/>
      <c r="AO53" s="1455"/>
      <c r="AP53" s="1455"/>
      <c r="AQ53" s="1455"/>
      <c r="AR53" s="1455"/>
      <c r="AS53" s="1455"/>
      <c r="AT53" s="1455"/>
      <c r="AU53" s="1455"/>
      <c r="AV53" s="1455"/>
      <c r="AW53" s="1456"/>
      <c r="AX53" s="1456"/>
      <c r="AY53" s="1456"/>
      <c r="AZ53" s="1456"/>
      <c r="BA53" s="1456"/>
      <c r="BB53" s="1456"/>
      <c r="BC53" s="1456"/>
      <c r="BD53" s="1456"/>
      <c r="BE53" s="1456"/>
      <c r="BF53" s="1456"/>
      <c r="BG53" s="1456"/>
      <c r="BH53" s="1456"/>
      <c r="BI53" s="1456"/>
      <c r="BJ53" s="1457"/>
      <c r="BK53" s="1457"/>
      <c r="BL53" s="1457"/>
      <c r="BM53" s="1457"/>
      <c r="BN53" s="1458"/>
      <c r="BO53" s="1457"/>
      <c r="BP53" s="1457"/>
      <c r="BQ53" s="1457"/>
      <c r="BR53" s="1458"/>
      <c r="BS53" s="1457"/>
      <c r="BT53" s="1457"/>
      <c r="BU53" s="1457"/>
      <c r="BV53" s="1458"/>
      <c r="BW53" s="1457"/>
      <c r="BX53" s="1457"/>
      <c r="BY53" s="1457"/>
      <c r="BZ53" s="1458"/>
      <c r="CA53" s="1457"/>
      <c r="CB53" s="1457"/>
      <c r="CC53" s="1457"/>
      <c r="CD53" s="1458"/>
      <c r="CE53" s="1457"/>
      <c r="CF53" s="1457"/>
      <c r="CG53" s="1457"/>
      <c r="CH53" s="1458"/>
      <c r="CI53" s="1459"/>
      <c r="CJ53" s="1459"/>
      <c r="CK53" s="1459"/>
      <c r="CL53" s="1458"/>
      <c r="CM53" s="946"/>
      <c r="CN53" s="946"/>
      <c r="CO53" s="946"/>
      <c r="CP53" s="946"/>
      <c r="CQ53" s="946"/>
      <c r="CR53" s="946"/>
      <c r="CS53" s="946"/>
      <c r="CT53" s="946"/>
      <c r="CU53" s="946"/>
      <c r="CV53" s="946"/>
      <c r="CW53" s="946"/>
      <c r="CX53" s="946"/>
    </row>
    <row r="54" spans="1:102" ht="13.5" customHeight="1">
      <c r="A54" s="1427"/>
      <c r="B54" s="1198"/>
      <c r="C54" s="1198"/>
      <c r="D54" s="1198"/>
      <c r="E54" s="1198"/>
      <c r="F54" s="1198"/>
      <c r="G54" s="1307"/>
      <c r="H54" s="1226"/>
      <c r="I54" s="1226"/>
      <c r="J54" s="1226"/>
      <c r="K54" s="1226"/>
      <c r="L54" s="1226"/>
      <c r="M54" s="1226"/>
      <c r="N54" s="1226"/>
      <c r="O54" s="1179"/>
      <c r="P54" s="1179"/>
      <c r="Q54" s="1179"/>
      <c r="R54" s="1263"/>
      <c r="S54" s="1266"/>
      <c r="T54" s="946"/>
      <c r="U54" s="946"/>
      <c r="V54" s="946"/>
      <c r="W54" s="946"/>
      <c r="X54" s="1401"/>
      <c r="Y54" s="1401"/>
      <c r="Z54" s="1198"/>
      <c r="AA54" s="1198"/>
      <c r="AB54" s="1198"/>
      <c r="AC54" s="1198"/>
      <c r="AD54" s="1198"/>
      <c r="AE54" s="1198"/>
      <c r="AF54" s="1198"/>
      <c r="AG54" s="1198"/>
      <c r="AH54" s="1198"/>
      <c r="AI54" s="1198"/>
      <c r="AJ54" s="1198"/>
      <c r="AK54" s="1198"/>
      <c r="AL54" s="1198"/>
      <c r="AM54" s="1198"/>
      <c r="AN54" s="1198"/>
      <c r="AO54" s="1198"/>
      <c r="AP54" s="1198"/>
      <c r="AQ54" s="1198"/>
      <c r="AR54" s="1198"/>
      <c r="AS54" s="1198"/>
      <c r="AT54" s="1198"/>
      <c r="AU54" s="1198"/>
      <c r="AV54" s="1198"/>
      <c r="AW54" s="1307"/>
      <c r="AX54" s="1307"/>
      <c r="AY54" s="1307"/>
      <c r="AZ54" s="1307"/>
      <c r="BA54" s="1307"/>
      <c r="BB54" s="1307"/>
      <c r="BC54" s="1307"/>
      <c r="BD54" s="1307"/>
      <c r="BE54" s="1307"/>
      <c r="BF54" s="1307"/>
      <c r="BG54" s="1307"/>
      <c r="BH54" s="1307"/>
      <c r="BI54" s="1307"/>
      <c r="BJ54" s="1307"/>
      <c r="BK54" s="1307"/>
      <c r="BL54" s="1307"/>
      <c r="BM54" s="1307"/>
      <c r="BN54" s="1428"/>
      <c r="BO54" s="1427"/>
      <c r="BP54" s="1427"/>
      <c r="BQ54" s="1427"/>
      <c r="BR54" s="1428"/>
      <c r="BS54" s="1427"/>
      <c r="BT54" s="1427"/>
      <c r="BU54" s="1427"/>
      <c r="BV54" s="1428"/>
      <c r="BW54" s="1427"/>
      <c r="BX54" s="1427"/>
      <c r="BY54" s="1427"/>
      <c r="BZ54" s="1428"/>
      <c r="CA54" s="1427"/>
      <c r="CB54" s="1427"/>
      <c r="CC54" s="1427"/>
      <c r="CD54" s="1428"/>
      <c r="CE54" s="1427"/>
      <c r="CF54" s="1427"/>
      <c r="CG54" s="1427"/>
      <c r="CH54" s="1428"/>
      <c r="CI54" s="1427"/>
      <c r="CJ54" s="1427"/>
      <c r="CK54" s="1427"/>
      <c r="CL54" s="1428"/>
      <c r="CM54" s="946"/>
      <c r="CN54" s="946"/>
      <c r="CO54" s="946"/>
      <c r="CP54" s="946"/>
      <c r="CQ54" s="946"/>
      <c r="CR54" s="946"/>
      <c r="CS54" s="946"/>
      <c r="CT54" s="946"/>
      <c r="CU54" s="946"/>
      <c r="CV54" s="946"/>
      <c r="CW54" s="946"/>
      <c r="CX54" s="946"/>
    </row>
    <row r="55" spans="1:102" ht="12.75" customHeight="1">
      <c r="A55" s="1205" t="s">
        <v>207</v>
      </c>
      <c r="B55" s="1206"/>
      <c r="C55" s="1206"/>
      <c r="D55" s="1206"/>
      <c r="E55" s="1206"/>
      <c r="F55" s="1206"/>
      <c r="G55" s="1206"/>
      <c r="H55" s="1206"/>
      <c r="I55" s="1206"/>
      <c r="J55" s="1206"/>
      <c r="K55" s="1206"/>
      <c r="L55" s="1206"/>
      <c r="M55" s="1206"/>
      <c r="N55" s="1206"/>
      <c r="O55" s="1207"/>
      <c r="P55" s="1207"/>
      <c r="Q55" s="1207"/>
      <c r="R55" s="1208"/>
      <c r="S55" s="1206"/>
      <c r="T55" s="946"/>
      <c r="U55" s="946"/>
      <c r="V55" s="946"/>
      <c r="W55" s="946"/>
      <c r="X55" s="946"/>
      <c r="Y55" s="946"/>
      <c r="Z55" s="1206"/>
      <c r="AA55" s="1206"/>
      <c r="AB55" s="1206"/>
      <c r="AC55" s="1206"/>
      <c r="AD55" s="1206"/>
      <c r="AE55" s="1206"/>
      <c r="AF55" s="1206"/>
      <c r="AG55" s="1206"/>
      <c r="AH55" s="1206"/>
      <c r="AI55" s="1206"/>
      <c r="AJ55" s="1206"/>
      <c r="AK55" s="1206"/>
      <c r="AL55" s="1206"/>
      <c r="AM55" s="1206"/>
      <c r="AN55" s="1206"/>
      <c r="AO55" s="1206"/>
      <c r="AP55" s="1206"/>
      <c r="AQ55" s="1206"/>
      <c r="AR55" s="1206"/>
      <c r="AS55" s="1206"/>
      <c r="AT55" s="1206"/>
      <c r="AU55" s="1206"/>
      <c r="AV55" s="1206"/>
      <c r="AW55" s="1206"/>
      <c r="AX55" s="1206"/>
      <c r="AY55" s="1206"/>
      <c r="AZ55" s="1206"/>
      <c r="BA55" s="1206"/>
      <c r="BB55" s="1206"/>
      <c r="BC55" s="1206"/>
      <c r="BD55" s="1206"/>
      <c r="BE55" s="1206"/>
      <c r="BF55" s="1206"/>
      <c r="BG55" s="1206"/>
      <c r="BH55" s="1206"/>
      <c r="BI55" s="1206"/>
      <c r="BJ55" s="1206"/>
      <c r="BK55" s="1206"/>
      <c r="BL55" s="1206"/>
      <c r="BM55" s="1206"/>
      <c r="BN55" s="1365"/>
      <c r="BO55" s="1206"/>
      <c r="BP55" s="1206"/>
      <c r="BQ55" s="1206"/>
      <c r="BR55" s="1365"/>
      <c r="BS55" s="1206"/>
      <c r="BT55" s="1206"/>
      <c r="BU55" s="1206"/>
      <c r="BV55" s="1365"/>
      <c r="BW55" s="1206"/>
      <c r="BX55" s="1206"/>
      <c r="BY55" s="1206"/>
      <c r="BZ55" s="1365"/>
      <c r="CA55" s="1206"/>
      <c r="CB55" s="1206"/>
      <c r="CC55" s="1206"/>
      <c r="CD55" s="1365"/>
      <c r="CE55" s="1206"/>
      <c r="CF55" s="1206"/>
      <c r="CG55" s="1206"/>
      <c r="CH55" s="1365"/>
      <c r="CI55" s="1206"/>
      <c r="CJ55" s="1206"/>
      <c r="CK55" s="1206"/>
      <c r="CL55" s="1365"/>
      <c r="CM55" s="946"/>
      <c r="CN55" s="946"/>
      <c r="CO55" s="946"/>
      <c r="CP55" s="946"/>
      <c r="CQ55" s="946"/>
      <c r="CR55" s="946"/>
      <c r="CS55" s="946"/>
      <c r="CT55" s="946"/>
      <c r="CU55" s="946"/>
      <c r="CV55" s="946"/>
      <c r="CW55" s="946"/>
      <c r="CX55" s="946"/>
    </row>
    <row r="56" spans="1:102" ht="12.75" customHeight="1">
      <c r="A56" s="1213" t="s">
        <v>1149</v>
      </c>
      <c r="B56" s="1213"/>
      <c r="C56" s="1213"/>
      <c r="D56" s="1213"/>
      <c r="E56" s="1213"/>
      <c r="F56" s="1213"/>
      <c r="G56" s="1213"/>
      <c r="H56" s="1214">
        <f t="shared" ref="H56:M56" si="73">H76</f>
        <v>7417</v>
      </c>
      <c r="I56" s="1214">
        <f t="shared" si="73"/>
        <v>8423</v>
      </c>
      <c r="J56" s="1214">
        <f t="shared" si="73"/>
        <v>2791</v>
      </c>
      <c r="K56" s="1214">
        <f t="shared" si="73"/>
        <v>2127</v>
      </c>
      <c r="L56" s="1214">
        <f t="shared" si="73"/>
        <v>1731</v>
      </c>
      <c r="M56" s="1214">
        <f t="shared" si="73"/>
        <v>1613</v>
      </c>
      <c r="N56" s="1214">
        <f>SUM(BR56:BU56)</f>
        <v>1632</v>
      </c>
      <c r="O56" s="1216">
        <f>SUM(BV56:BY56)</f>
        <v>1669</v>
      </c>
      <c r="P56" s="1216">
        <f>SUM(BZ56:CC56)</f>
        <v>1777</v>
      </c>
      <c r="Q56" s="1216">
        <f>SUM(CD56:CG56)</f>
        <v>1409</v>
      </c>
      <c r="R56" s="1217">
        <f>SUM(CH56:CK56)</f>
        <v>1488</v>
      </c>
      <c r="S56" s="1262">
        <f>SUM(CL56:CO56)</f>
        <v>410</v>
      </c>
      <c r="T56" s="946"/>
      <c r="U56" s="946"/>
      <c r="V56" s="946"/>
      <c r="W56" s="946"/>
      <c r="X56" s="1401"/>
      <c r="Y56" s="1401"/>
      <c r="Z56" s="1213"/>
      <c r="AA56" s="1213"/>
      <c r="AB56" s="1213"/>
      <c r="AC56" s="1213"/>
      <c r="AD56" s="1213"/>
      <c r="AE56" s="1213"/>
      <c r="AF56" s="1213"/>
      <c r="AG56" s="1213"/>
      <c r="AH56" s="1213"/>
      <c r="AI56" s="1213"/>
      <c r="AJ56" s="1213"/>
      <c r="AK56" s="1213"/>
      <c r="AL56" s="1213"/>
      <c r="AM56" s="1213"/>
      <c r="AN56" s="1213"/>
      <c r="AO56" s="1213"/>
      <c r="AP56" s="1213"/>
      <c r="AQ56" s="1213"/>
      <c r="AR56" s="1213"/>
      <c r="AS56" s="1213"/>
      <c r="AT56" s="1213"/>
      <c r="AU56" s="1214"/>
      <c r="AV56" s="1213"/>
      <c r="AW56" s="1213"/>
      <c r="AX56" s="1214"/>
      <c r="AY56" s="1214"/>
      <c r="AZ56" s="1214"/>
      <c r="BA56" s="1425"/>
      <c r="BB56" s="1214">
        <v>1196</v>
      </c>
      <c r="BC56" s="1214">
        <v>618</v>
      </c>
      <c r="BD56" s="1214">
        <v>504</v>
      </c>
      <c r="BE56" s="1214">
        <v>446</v>
      </c>
      <c r="BF56" s="1214">
        <v>429</v>
      </c>
      <c r="BG56" s="1214">
        <v>539</v>
      </c>
      <c r="BH56" s="1214">
        <v>540</v>
      </c>
      <c r="BI56" s="1214">
        <v>619</v>
      </c>
      <c r="BJ56" s="1214">
        <v>456</v>
      </c>
      <c r="BK56" s="1214">
        <v>488</v>
      </c>
      <c r="BL56" s="1214">
        <v>418</v>
      </c>
      <c r="BM56" s="1214">
        <v>372</v>
      </c>
      <c r="BN56" s="1218">
        <v>313</v>
      </c>
      <c r="BO56" s="1214">
        <v>352</v>
      </c>
      <c r="BP56" s="1214">
        <v>445</v>
      </c>
      <c r="BQ56" s="1214">
        <v>503</v>
      </c>
      <c r="BR56" s="1218">
        <v>390</v>
      </c>
      <c r="BS56" s="1214">
        <v>442</v>
      </c>
      <c r="BT56" s="1214">
        <v>394</v>
      </c>
      <c r="BU56" s="1214">
        <v>406</v>
      </c>
      <c r="BV56" s="1218">
        <v>318</v>
      </c>
      <c r="BW56" s="1214">
        <v>426</v>
      </c>
      <c r="BX56" s="1214">
        <v>420</v>
      </c>
      <c r="BY56" s="1214">
        <v>505</v>
      </c>
      <c r="BZ56" s="1252">
        <v>416</v>
      </c>
      <c r="CA56" s="1254">
        <v>534</v>
      </c>
      <c r="CB56" s="1254">
        <v>466</v>
      </c>
      <c r="CC56" s="1254">
        <v>361</v>
      </c>
      <c r="CD56" s="1252">
        <v>334</v>
      </c>
      <c r="CE56" s="1254">
        <v>348</v>
      </c>
      <c r="CF56" s="1254">
        <v>341</v>
      </c>
      <c r="CG56" s="1254">
        <v>386</v>
      </c>
      <c r="CH56" s="1252">
        <v>387</v>
      </c>
      <c r="CI56" s="1253">
        <v>330</v>
      </c>
      <c r="CJ56" s="1253">
        <v>373</v>
      </c>
      <c r="CK56" s="1254">
        <v>398</v>
      </c>
      <c r="CL56" s="1252">
        <v>410</v>
      </c>
      <c r="CM56" s="946"/>
      <c r="CN56" s="946"/>
      <c r="CO56" s="946"/>
      <c r="CP56" s="946"/>
      <c r="CQ56" s="946"/>
      <c r="CR56" s="946"/>
      <c r="CS56" s="946"/>
      <c r="CT56" s="946"/>
      <c r="CU56" s="1403"/>
      <c r="CV56" s="946"/>
      <c r="CW56" s="946"/>
      <c r="CX56" s="946"/>
    </row>
    <row r="57" spans="1:102" ht="12.75" customHeight="1">
      <c r="A57" s="1225" t="s">
        <v>993</v>
      </c>
      <c r="B57" s="1198"/>
      <c r="C57" s="1198"/>
      <c r="D57" s="1198"/>
      <c r="E57" s="1198"/>
      <c r="F57" s="1198"/>
      <c r="G57" s="1198"/>
      <c r="H57" s="1198"/>
      <c r="I57" s="1227">
        <f t="shared" ref="I57:O57" si="74">I56/H56-1</f>
        <v>0.13563435351220177</v>
      </c>
      <c r="J57" s="1227">
        <f t="shared" si="74"/>
        <v>-0.66864537575685623</v>
      </c>
      <c r="K57" s="1227">
        <f t="shared" si="74"/>
        <v>-0.23790756001433178</v>
      </c>
      <c r="L57" s="1227">
        <f t="shared" si="74"/>
        <v>-0.18617771509167846</v>
      </c>
      <c r="M57" s="1227">
        <f t="shared" si="74"/>
        <v>-6.8168688619295259E-2</v>
      </c>
      <c r="N57" s="1227">
        <f t="shared" si="74"/>
        <v>1.1779293242405453E-2</v>
      </c>
      <c r="O57" s="1229">
        <f t="shared" si="74"/>
        <v>2.2671568627451011E-2</v>
      </c>
      <c r="P57" s="1229">
        <f>P56/O56-1</f>
        <v>6.4709406830437466E-2</v>
      </c>
      <c r="Q57" s="1229">
        <f>Q56/P56-1</f>
        <v>-0.20709060213843555</v>
      </c>
      <c r="R57" s="1230">
        <f>R56/Q56-1</f>
        <v>5.6068133427963129E-2</v>
      </c>
      <c r="S57" s="1227">
        <f>S56/R56-1</f>
        <v>-0.72446236559139787</v>
      </c>
      <c r="T57" s="946"/>
      <c r="U57" s="946"/>
      <c r="V57" s="946"/>
      <c r="W57" s="946"/>
      <c r="X57" s="946"/>
      <c r="Y57" s="946"/>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226"/>
      <c r="AV57" s="1198"/>
      <c r="AW57" s="1198"/>
      <c r="AX57" s="1226"/>
      <c r="AY57" s="1226"/>
      <c r="AZ57" s="1226"/>
      <c r="BA57" s="1338"/>
      <c r="BB57" s="1226"/>
      <c r="BC57" s="1226"/>
      <c r="BD57" s="1226"/>
      <c r="BE57" s="1226"/>
      <c r="BF57" s="1227">
        <f t="shared" ref="BF57:CG57" si="75">BF56/BB56-1</f>
        <v>-0.64130434782608692</v>
      </c>
      <c r="BG57" s="1227">
        <f t="shared" si="75"/>
        <v>-0.12783171521035597</v>
      </c>
      <c r="BH57" s="1227">
        <f t="shared" si="75"/>
        <v>7.1428571428571397E-2</v>
      </c>
      <c r="BI57" s="1227">
        <f t="shared" si="75"/>
        <v>0.38789237668161425</v>
      </c>
      <c r="BJ57" s="1227">
        <f t="shared" si="75"/>
        <v>6.2937062937062915E-2</v>
      </c>
      <c r="BK57" s="1227">
        <f t="shared" si="75"/>
        <v>-9.4619666048237461E-2</v>
      </c>
      <c r="BL57" s="1227">
        <f t="shared" si="75"/>
        <v>-0.22592592592592597</v>
      </c>
      <c r="BM57" s="1227">
        <f t="shared" si="75"/>
        <v>-0.39903069466882068</v>
      </c>
      <c r="BN57" s="1231">
        <f t="shared" si="75"/>
        <v>-0.31359649122807021</v>
      </c>
      <c r="BO57" s="1227">
        <f t="shared" si="75"/>
        <v>-0.27868852459016391</v>
      </c>
      <c r="BP57" s="1227">
        <f t="shared" si="75"/>
        <v>6.4593301435406758E-2</v>
      </c>
      <c r="BQ57" s="1227">
        <f t="shared" si="75"/>
        <v>0.35215053763440851</v>
      </c>
      <c r="BR57" s="1231">
        <f t="shared" si="75"/>
        <v>0.2460063897763578</v>
      </c>
      <c r="BS57" s="1227">
        <f t="shared" si="75"/>
        <v>0.25568181818181812</v>
      </c>
      <c r="BT57" s="1227">
        <f t="shared" si="75"/>
        <v>-0.11460674157303374</v>
      </c>
      <c r="BU57" s="1227">
        <f t="shared" si="75"/>
        <v>-0.19284294234592447</v>
      </c>
      <c r="BV57" s="1231">
        <f t="shared" si="75"/>
        <v>-0.18461538461538463</v>
      </c>
      <c r="BW57" s="1227">
        <f t="shared" si="75"/>
        <v>-3.6199095022624417E-2</v>
      </c>
      <c r="BX57" s="1227">
        <f t="shared" si="75"/>
        <v>6.5989847715736127E-2</v>
      </c>
      <c r="BY57" s="1227">
        <f t="shared" si="75"/>
        <v>0.2438423645320198</v>
      </c>
      <c r="BZ57" s="1231">
        <f t="shared" si="75"/>
        <v>0.30817610062893075</v>
      </c>
      <c r="CA57" s="1227">
        <f t="shared" si="75"/>
        <v>0.25352112676056349</v>
      </c>
      <c r="CB57" s="1227">
        <f t="shared" si="75"/>
        <v>0.10952380952380958</v>
      </c>
      <c r="CC57" s="1227">
        <f t="shared" si="75"/>
        <v>-0.28514851485148518</v>
      </c>
      <c r="CD57" s="1231">
        <f t="shared" si="75"/>
        <v>-0.19711538461538458</v>
      </c>
      <c r="CE57" s="1229">
        <f t="shared" si="75"/>
        <v>-0.348314606741573</v>
      </c>
      <c r="CF57" s="1229">
        <f t="shared" si="75"/>
        <v>-0.26824034334763946</v>
      </c>
      <c r="CG57" s="1227">
        <f t="shared" si="75"/>
        <v>6.9252077562326875E-2</v>
      </c>
      <c r="CH57" s="1231">
        <f>CH56/CD56-1</f>
        <v>0.15868263473053901</v>
      </c>
      <c r="CI57" s="1229">
        <f>CI56/CE56-1</f>
        <v>-5.1724137931034475E-2</v>
      </c>
      <c r="CJ57" s="1229">
        <f>CJ56/CF56-1</f>
        <v>9.384164222873892E-2</v>
      </c>
      <c r="CK57" s="1229">
        <f>CK56/CG56-1</f>
        <v>3.1088082901554515E-2</v>
      </c>
      <c r="CL57" s="1231">
        <f>CL56/CH56-1</f>
        <v>5.9431524547803649E-2</v>
      </c>
      <c r="CM57" s="946"/>
      <c r="CN57" s="946"/>
      <c r="CO57" s="946"/>
      <c r="CP57" s="946"/>
      <c r="CQ57" s="946"/>
      <c r="CR57" s="946"/>
      <c r="CS57" s="946"/>
      <c r="CT57" s="946"/>
      <c r="CU57" s="946"/>
      <c r="CV57" s="946"/>
      <c r="CW57" s="946"/>
      <c r="CX57" s="946"/>
    </row>
    <row r="58" spans="1:102" ht="12.75" customHeight="1">
      <c r="A58" s="1225" t="s">
        <v>208</v>
      </c>
      <c r="B58" s="1198"/>
      <c r="C58" s="1198"/>
      <c r="D58" s="1198"/>
      <c r="E58" s="1198"/>
      <c r="F58" s="1198"/>
      <c r="G58" s="1198"/>
      <c r="H58" s="1227"/>
      <c r="I58" s="1227"/>
      <c r="J58" s="1227">
        <f>J56/Q_IS!J$34</f>
        <v>0.18157569448962332</v>
      </c>
      <c r="K58" s="1227">
        <f>K56/Q_IS!K$34</f>
        <v>0.14886618141097424</v>
      </c>
      <c r="L58" s="1227">
        <f>L56/Q_IS!L$34</f>
        <v>0.12535303063219638</v>
      </c>
      <c r="M58" s="1227">
        <f>M56/Q_IS!M$34</f>
        <v>0.11601812558440625</v>
      </c>
      <c r="N58" s="1227">
        <f>N56/Q_IS!N$34</f>
        <v>0.11721611721611722</v>
      </c>
      <c r="O58" s="1229">
        <f>O56/Q_IS!O$34</f>
        <v>0.12113514298156482</v>
      </c>
      <c r="P58" s="1229">
        <f>P56/Q_IS!P$34</f>
        <v>0.13187384044526901</v>
      </c>
      <c r="Q58" s="1229">
        <f>Q56/Q_IS!Q$34</f>
        <v>0.11445049143042807</v>
      </c>
      <c r="R58" s="1230">
        <f>R56/Q_IS!R$34</f>
        <v>0.1268542199488491</v>
      </c>
      <c r="S58" s="1227">
        <f>S56/Q_IS!S$34</f>
        <v>0.14406184118060436</v>
      </c>
      <c r="T58" s="946"/>
      <c r="U58" s="946"/>
      <c r="V58" s="946"/>
      <c r="W58" s="946"/>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226"/>
      <c r="AV58" s="1198"/>
      <c r="AW58" s="1198"/>
      <c r="AX58" s="1226"/>
      <c r="AY58" s="1226"/>
      <c r="AZ58" s="1226"/>
      <c r="BA58" s="1338"/>
      <c r="BB58" s="1227">
        <f>BB56/Q_IS!BB$34</f>
        <v>0.30027617373838816</v>
      </c>
      <c r="BC58" s="1227">
        <f>BC56/Q_IS!BC$34</f>
        <v>0.15801585272308871</v>
      </c>
      <c r="BD58" s="1227">
        <f>BD56/Q_IS!BD$34</f>
        <v>0.13361611876988336</v>
      </c>
      <c r="BE58" s="1227">
        <f>BE56/Q_IS!BE$34</f>
        <v>0.12037786774628879</v>
      </c>
      <c r="BF58" s="1227">
        <f>BF56/Q_IS!BF$34</f>
        <v>0.1183774834437086</v>
      </c>
      <c r="BG58" s="1227">
        <f>BG56/Q_IS!BG$34</f>
        <v>0.14988876529477196</v>
      </c>
      <c r="BH58" s="1227">
        <f>BH56/Q_IS!BH$34</f>
        <v>0.15126050420168066</v>
      </c>
      <c r="BI58" s="1227">
        <f>BI56/Q_IS!BI$34</f>
        <v>0.17695826186392224</v>
      </c>
      <c r="BJ58" s="1227">
        <f>BJ56/Q_IS!BJ$34</f>
        <v>0.13099683998850906</v>
      </c>
      <c r="BK58" s="1227">
        <f>BK56/Q_IS!BK$34</f>
        <v>0.14177803602556652</v>
      </c>
      <c r="BL58" s="1227">
        <f>BL56/Q_IS!BL$34</f>
        <v>0.12119454914467961</v>
      </c>
      <c r="BM58" s="1227">
        <f>BM56/Q_IS!BM$34</f>
        <v>0.10823392493453593</v>
      </c>
      <c r="BN58" s="1231">
        <f>BN56/Q_IS!BN$34</f>
        <v>9.0750942302116555E-2</v>
      </c>
      <c r="BO58" s="1227">
        <f>BO56/Q_IS!BO$34</f>
        <v>0.10144092219020173</v>
      </c>
      <c r="BP58" s="1227">
        <f>BP56/Q_IS!BP$34</f>
        <v>0.12699771689497716</v>
      </c>
      <c r="BQ58" s="1227">
        <f>BQ56/Q_IS!BQ$34</f>
        <v>0.14454022988505746</v>
      </c>
      <c r="BR58" s="1231">
        <f>BR56/Q_IS!BR$34</f>
        <v>0.11219792865362485</v>
      </c>
      <c r="BS58" s="1227">
        <f>BS56/Q_IS!BS$34</f>
        <v>0.12730414746543778</v>
      </c>
      <c r="BT58" s="1227">
        <f>BT56/Q_IS!BT$34</f>
        <v>0.11299110983653571</v>
      </c>
      <c r="BU58" s="1227">
        <f>BU56/Q_IS!BU$34</f>
        <v>0.11639908256880734</v>
      </c>
      <c r="BV58" s="1231">
        <f>BV56/Q_IS!BV$34</f>
        <v>9.2280905397562396E-2</v>
      </c>
      <c r="BW58" s="1227">
        <f>BW56/Q_IS!BW$34</f>
        <v>0.12301472711521802</v>
      </c>
      <c r="BX58" s="1227">
        <f>BX56/Q_IS!BX$34</f>
        <v>0.12230634828188701</v>
      </c>
      <c r="BY58" s="1227">
        <f>BY56/Q_IS!BY$34</f>
        <v>0.14701601164483261</v>
      </c>
      <c r="BZ58" s="1231">
        <f>BZ56/Q_IS!BZ$34</f>
        <v>0.12238893792291851</v>
      </c>
      <c r="CA58" s="1227">
        <f>CA56/Q_IS!CA$34</f>
        <v>0.15789473684210525</v>
      </c>
      <c r="CB58" s="1227">
        <f>CB56/Q_IS!CB$34</f>
        <v>0.1379106244451021</v>
      </c>
      <c r="CC58" s="1227">
        <f>CC56/Q_IS!CC$34</f>
        <v>0.10889894419306184</v>
      </c>
      <c r="CD58" s="1231">
        <f>CD56/Q_IS!CD$34</f>
        <v>0.10526315789473684</v>
      </c>
      <c r="CE58" s="1229">
        <f>CE56/Q_IS!CE$34</f>
        <v>0.11262135922330097</v>
      </c>
      <c r="CF58" s="1229">
        <f>CF56/Q_IS!CF$34</f>
        <v>0.11165684348395546</v>
      </c>
      <c r="CG58" s="1227">
        <f>CG56/Q_IS!CG$34</f>
        <v>0.12892451569806279</v>
      </c>
      <c r="CH58" s="1231">
        <f>CH56/Q_IS!CH$34</f>
        <v>0.13047875927174646</v>
      </c>
      <c r="CI58" s="1229">
        <f>CI56/Q_IS!CI$34</f>
        <v>0.11262798634812286</v>
      </c>
      <c r="CJ58" s="1229">
        <f>CJ56/Q_IS!CJ$34</f>
        <v>0.12708688245315161</v>
      </c>
      <c r="CK58" s="1229">
        <f>CK56/Q_IS!CK$34</f>
        <v>0.1372887202483615</v>
      </c>
      <c r="CL58" s="1231">
        <f>CL56/Q_IS!CL$34</f>
        <v>0.14406184118060436</v>
      </c>
      <c r="CM58" s="946"/>
      <c r="CN58" s="946"/>
      <c r="CO58" s="946"/>
      <c r="CP58" s="946"/>
      <c r="CQ58" s="946"/>
      <c r="CR58" s="946"/>
      <c r="CS58" s="946"/>
      <c r="CT58" s="946"/>
      <c r="CU58" s="946"/>
      <c r="CV58" s="946"/>
      <c r="CW58" s="946"/>
      <c r="CX58" s="946"/>
    </row>
    <row r="59" spans="1:102" ht="13.5" customHeight="1">
      <c r="A59" s="1225" t="s">
        <v>209</v>
      </c>
      <c r="B59" s="1198"/>
      <c r="C59" s="1198"/>
      <c r="D59" s="1198"/>
      <c r="E59" s="1198"/>
      <c r="F59" s="1198"/>
      <c r="G59" s="1460"/>
      <c r="H59" s="1460"/>
      <c r="I59" s="1460"/>
      <c r="J59" s="1460">
        <f t="shared" ref="J59:O59" si="76">J56/J9</f>
        <v>0.85403916768665855</v>
      </c>
      <c r="K59" s="1460">
        <f t="shared" si="76"/>
        <v>0.77656078860898137</v>
      </c>
      <c r="L59" s="1460">
        <f t="shared" si="76"/>
        <v>0.65892653216596875</v>
      </c>
      <c r="M59" s="1460">
        <f t="shared" si="76"/>
        <v>0.61753445635528326</v>
      </c>
      <c r="N59" s="1460">
        <f t="shared" si="76"/>
        <v>0.68542629147417056</v>
      </c>
      <c r="O59" s="1461">
        <f t="shared" si="76"/>
        <v>0.74809502465262212</v>
      </c>
      <c r="P59" s="1176">
        <f>P56/P9</f>
        <v>0.83820754716981127</v>
      </c>
      <c r="Q59" s="1176">
        <f>Q56/Q9</f>
        <v>0.68034765813616616</v>
      </c>
      <c r="R59" s="1462">
        <f>R56/R9</f>
        <v>0.76346844535659308</v>
      </c>
      <c r="S59" s="1338">
        <f>S56/S9</f>
        <v>0.86315789473684212</v>
      </c>
      <c r="T59" s="946"/>
      <c r="U59" s="946"/>
      <c r="V59" s="946"/>
      <c r="W59" s="946"/>
      <c r="X59" s="1198"/>
      <c r="Y59" s="1198"/>
      <c r="Z59" s="1198"/>
      <c r="AA59" s="1198"/>
      <c r="AB59" s="1198"/>
      <c r="AC59" s="1198"/>
      <c r="AD59" s="1198"/>
      <c r="AE59" s="1198"/>
      <c r="AF59" s="1198"/>
      <c r="AG59" s="1198"/>
      <c r="AH59" s="1198"/>
      <c r="AI59" s="1198"/>
      <c r="AJ59" s="1198"/>
      <c r="AK59" s="1198"/>
      <c r="AL59" s="1198"/>
      <c r="AM59" s="1198"/>
      <c r="AN59" s="1198"/>
      <c r="AO59" s="1198"/>
      <c r="AP59" s="1198"/>
      <c r="AQ59" s="1198"/>
      <c r="AR59" s="1460"/>
      <c r="AS59" s="1460"/>
      <c r="AT59" s="1460"/>
      <c r="AU59" s="1460"/>
      <c r="AV59" s="1460"/>
      <c r="AW59" s="1460"/>
      <c r="AX59" s="1460"/>
      <c r="AY59" s="1460"/>
      <c r="AZ59" s="1460"/>
      <c r="BA59" s="1460"/>
      <c r="BB59" s="1460">
        <f t="shared" ref="BB59:BZ59" si="77">BB56/BB9</f>
        <v>1.2709883103081827</v>
      </c>
      <c r="BC59" s="1460">
        <f t="shared" si="77"/>
        <v>0.6574468085106383</v>
      </c>
      <c r="BD59" s="1460">
        <f t="shared" si="77"/>
        <v>0.72832369942196529</v>
      </c>
      <c r="BE59" s="1460">
        <f t="shared" si="77"/>
        <v>0.55610972568578554</v>
      </c>
      <c r="BF59" s="1460">
        <f t="shared" si="77"/>
        <v>0.63555555555555554</v>
      </c>
      <c r="BG59" s="1460">
        <f t="shared" si="77"/>
        <v>0.79615952732644013</v>
      </c>
      <c r="BH59" s="1460">
        <f t="shared" si="77"/>
        <v>0.79763663220088621</v>
      </c>
      <c r="BI59" s="1460">
        <f t="shared" si="77"/>
        <v>0.87183098591549291</v>
      </c>
      <c r="BJ59" s="1460">
        <f t="shared" si="77"/>
        <v>0.69724770642201839</v>
      </c>
      <c r="BK59" s="1460">
        <f t="shared" si="77"/>
        <v>0.73827534039334342</v>
      </c>
      <c r="BL59" s="1460">
        <f t="shared" si="77"/>
        <v>0.63429438543247341</v>
      </c>
      <c r="BM59" s="1460">
        <f t="shared" si="77"/>
        <v>0.56967840735068909</v>
      </c>
      <c r="BN59" s="1463">
        <f t="shared" si="77"/>
        <v>0.47932618683001532</v>
      </c>
      <c r="BO59" s="1460">
        <f t="shared" si="77"/>
        <v>0.5423728813559322</v>
      </c>
      <c r="BP59" s="1460">
        <f t="shared" si="77"/>
        <v>0.67526555386949927</v>
      </c>
      <c r="BQ59" s="1460">
        <f t="shared" si="77"/>
        <v>0.77265745007680486</v>
      </c>
      <c r="BR59" s="1463">
        <f t="shared" si="77"/>
        <v>0.66326530612244894</v>
      </c>
      <c r="BS59" s="1460">
        <f t="shared" si="77"/>
        <v>0.7466216216216216</v>
      </c>
      <c r="BT59" s="1460">
        <f t="shared" si="77"/>
        <v>0.66329966329966328</v>
      </c>
      <c r="BU59" s="1460">
        <f t="shared" si="77"/>
        <v>0.66886326194398682</v>
      </c>
      <c r="BV59" s="1464">
        <f t="shared" si="77"/>
        <v>0.572972972972973</v>
      </c>
      <c r="BW59" s="1338">
        <f t="shared" si="77"/>
        <v>0.76344086021505375</v>
      </c>
      <c r="BX59" s="1338">
        <f t="shared" si="77"/>
        <v>0.74733096085409256</v>
      </c>
      <c r="BY59" s="1338">
        <f>BY56/BY9</f>
        <v>0.90827338129496404</v>
      </c>
      <c r="BZ59" s="1464">
        <f t="shared" si="77"/>
        <v>0.79693486590038309</v>
      </c>
      <c r="CA59" s="1338">
        <f t="shared" ref="CA59:CF59" si="78">CA56/CA9</f>
        <v>1.0210325047801148</v>
      </c>
      <c r="CB59" s="1338">
        <f t="shared" si="78"/>
        <v>0.86778398510242083</v>
      </c>
      <c r="CC59" s="1338">
        <f t="shared" si="78"/>
        <v>0.67100371747211895</v>
      </c>
      <c r="CD59" s="1464">
        <f t="shared" si="78"/>
        <v>0.64980544747081714</v>
      </c>
      <c r="CE59" s="1176">
        <f t="shared" si="78"/>
        <v>0.6718146718146718</v>
      </c>
      <c r="CF59" s="1176">
        <f t="shared" si="78"/>
        <v>0.65576923076923077</v>
      </c>
      <c r="CG59" s="1338">
        <f t="shared" ref="CG59:CL59" si="79">CG56/CG9</f>
        <v>0.74373795761078998</v>
      </c>
      <c r="CH59" s="1464">
        <f t="shared" si="79"/>
        <v>0.78818737270875761</v>
      </c>
      <c r="CI59" s="1176">
        <f t="shared" si="79"/>
        <v>0.68041237113402064</v>
      </c>
      <c r="CJ59" s="1176">
        <f t="shared" si="79"/>
        <v>0.76122448979591839</v>
      </c>
      <c r="CK59" s="1176">
        <f t="shared" si="79"/>
        <v>0.82401656314699789</v>
      </c>
      <c r="CL59" s="1464">
        <f t="shared" si="79"/>
        <v>0.86315789473684212</v>
      </c>
      <c r="CM59" s="946"/>
      <c r="CN59" s="946"/>
      <c r="CO59" s="946"/>
      <c r="CP59" s="946"/>
      <c r="CQ59" s="946"/>
      <c r="CR59" s="946"/>
      <c r="CS59" s="946"/>
      <c r="CT59" s="946"/>
      <c r="CU59" s="946"/>
      <c r="CV59" s="946"/>
      <c r="CW59" s="946"/>
      <c r="CX59" s="946"/>
    </row>
    <row r="60" spans="1:102" ht="13.5" customHeight="1">
      <c r="A60" s="1242"/>
      <c r="B60" s="1243"/>
      <c r="C60" s="1243"/>
      <c r="D60" s="1243"/>
      <c r="E60" s="1243"/>
      <c r="F60" s="1243"/>
      <c r="G60" s="1465"/>
      <c r="H60" s="1465"/>
      <c r="I60" s="1465"/>
      <c r="J60" s="1465"/>
      <c r="K60" s="1465"/>
      <c r="L60" s="1465"/>
      <c r="M60" s="1465"/>
      <c r="N60" s="1465"/>
      <c r="O60" s="1465"/>
      <c r="P60" s="1465"/>
      <c r="Q60" s="1465"/>
      <c r="R60" s="1466"/>
      <c r="S60" s="1465"/>
      <c r="T60" s="946"/>
      <c r="U60" s="946"/>
      <c r="V60" s="946"/>
      <c r="W60" s="946"/>
      <c r="X60" s="1198"/>
      <c r="Y60" s="1198"/>
      <c r="Z60" s="1243"/>
      <c r="AA60" s="1243"/>
      <c r="AB60" s="1243"/>
      <c r="AC60" s="1243"/>
      <c r="AD60" s="1243"/>
      <c r="AE60" s="1243"/>
      <c r="AF60" s="1243"/>
      <c r="AG60" s="1243"/>
      <c r="AH60" s="1243"/>
      <c r="AI60" s="1243"/>
      <c r="AJ60" s="1243"/>
      <c r="AK60" s="1243"/>
      <c r="AL60" s="1243"/>
      <c r="AM60" s="1243"/>
      <c r="AN60" s="1243"/>
      <c r="AO60" s="1243"/>
      <c r="AP60" s="1243"/>
      <c r="AQ60" s="1243"/>
      <c r="AR60" s="1465"/>
      <c r="AS60" s="1465"/>
      <c r="AT60" s="1465"/>
      <c r="AU60" s="1465"/>
      <c r="AV60" s="1465"/>
      <c r="AW60" s="1465"/>
      <c r="AX60" s="1465"/>
      <c r="AY60" s="1465"/>
      <c r="AZ60" s="1465"/>
      <c r="BA60" s="1465"/>
      <c r="BB60" s="1465"/>
      <c r="BC60" s="1465"/>
      <c r="BD60" s="1465"/>
      <c r="BE60" s="1465"/>
      <c r="BF60" s="1465"/>
      <c r="BG60" s="1465"/>
      <c r="BH60" s="1465"/>
      <c r="BI60" s="1465"/>
      <c r="BJ60" s="1465"/>
      <c r="BK60" s="1465"/>
      <c r="BL60" s="1465"/>
      <c r="BM60" s="1465"/>
      <c r="BN60" s="1451"/>
      <c r="BO60" s="1452"/>
      <c r="BP60" s="1452"/>
      <c r="BQ60" s="1467"/>
      <c r="BR60" s="1468"/>
      <c r="BS60" s="1467"/>
      <c r="BT60" s="1467"/>
      <c r="BU60" s="1467"/>
      <c r="BV60" s="1468"/>
      <c r="BW60" s="1467"/>
      <c r="BX60" s="1467"/>
      <c r="BY60" s="1467"/>
      <c r="BZ60" s="1468"/>
      <c r="CA60" s="1467"/>
      <c r="CB60" s="1467"/>
      <c r="CC60" s="1467"/>
      <c r="CD60" s="1468"/>
      <c r="CE60" s="1467"/>
      <c r="CF60" s="1467"/>
      <c r="CG60" s="1467"/>
      <c r="CH60" s="1468"/>
      <c r="CI60" s="1467"/>
      <c r="CJ60" s="1467"/>
      <c r="CK60" s="1467"/>
      <c r="CL60" s="1468"/>
      <c r="CM60" s="946"/>
      <c r="CN60" s="946"/>
      <c r="CO60" s="946"/>
      <c r="CP60" s="946"/>
      <c r="CQ60" s="946"/>
      <c r="CR60" s="946"/>
      <c r="CS60" s="946"/>
      <c r="CT60" s="946"/>
      <c r="CU60" s="946"/>
      <c r="CV60" s="946"/>
      <c r="CW60" s="946"/>
      <c r="CX60" s="946"/>
    </row>
    <row r="61" spans="1:102" ht="15" hidden="1" customHeight="1" outlineLevel="1">
      <c r="A61" s="1469" t="s">
        <v>210</v>
      </c>
      <c r="B61" s="1469"/>
      <c r="C61" s="1469"/>
      <c r="D61" s="1469"/>
      <c r="E61" s="1469"/>
      <c r="F61" s="1469"/>
      <c r="G61" s="1470"/>
      <c r="H61" s="1470">
        <v>6037</v>
      </c>
      <c r="I61" s="1470">
        <v>7146</v>
      </c>
      <c r="J61" s="1470">
        <v>1833</v>
      </c>
      <c r="K61" s="1470">
        <f>SUM(BF61:BI61)</f>
        <v>1560</v>
      </c>
      <c r="L61" s="1470">
        <f>SUM(BJ61:BM61)</f>
        <v>1351</v>
      </c>
      <c r="M61" s="1470">
        <f>SUM(BN61:BQ61)</f>
        <v>1248</v>
      </c>
      <c r="N61" s="1470">
        <f>SUM(BR61:BU61)</f>
        <v>1314</v>
      </c>
      <c r="O61" s="1471">
        <f>SUM(BV61:BY61)</f>
        <v>1263</v>
      </c>
      <c r="P61" s="1470" t="e">
        <f>SUM(BZ61:CC61)</f>
        <v>#REF!</v>
      </c>
      <c r="Q61" s="1470" t="e">
        <v>#REF!</v>
      </c>
      <c r="R61" s="1470" t="e">
        <v>#REF!</v>
      </c>
      <c r="S61" s="1470" t="e">
        <v>#REF!</v>
      </c>
      <c r="T61" s="946"/>
      <c r="U61" s="946"/>
      <c r="V61" s="946"/>
      <c r="W61" s="946"/>
      <c r="X61" s="1198"/>
      <c r="Y61" s="1198"/>
      <c r="Z61" s="1470"/>
      <c r="AA61" s="1470"/>
      <c r="AB61" s="1470"/>
      <c r="AC61" s="1470"/>
      <c r="AD61" s="1470"/>
      <c r="AE61" s="1470"/>
      <c r="AF61" s="1470"/>
      <c r="AG61" s="1470"/>
      <c r="AH61" s="1470"/>
      <c r="AI61" s="1470"/>
      <c r="AJ61" s="1470"/>
      <c r="AK61" s="1470"/>
      <c r="AL61" s="1470"/>
      <c r="AM61" s="1470"/>
      <c r="AN61" s="1470"/>
      <c r="AO61" s="1470"/>
      <c r="AP61" s="1470"/>
      <c r="AQ61" s="1470"/>
      <c r="AR61" s="1470"/>
      <c r="AS61" s="1470"/>
      <c r="AT61" s="1470"/>
      <c r="AU61" s="1470"/>
      <c r="AV61" s="1470"/>
      <c r="AW61" s="1470"/>
      <c r="AX61" s="1470"/>
      <c r="AY61" s="1470"/>
      <c r="AZ61" s="1470"/>
      <c r="BA61" s="1470"/>
      <c r="BB61" s="1470">
        <v>698</v>
      </c>
      <c r="BC61" s="1470">
        <f>1150-BB61</f>
        <v>452</v>
      </c>
      <c r="BD61" s="1470">
        <f>1450-BB61-BC61</f>
        <v>300</v>
      </c>
      <c r="BE61" s="1470">
        <f>1833-BD61-BC61-BB61</f>
        <v>383</v>
      </c>
      <c r="BF61" s="1472">
        <v>333</v>
      </c>
      <c r="BG61" s="1472">
        <f>722-BF61</f>
        <v>389</v>
      </c>
      <c r="BH61" s="1472">
        <v>403</v>
      </c>
      <c r="BI61" s="1472">
        <f>1560-BF61-BG61-BH61</f>
        <v>435</v>
      </c>
      <c r="BJ61" s="1472">
        <v>377</v>
      </c>
      <c r="BK61" s="1472">
        <v>386</v>
      </c>
      <c r="BL61" s="1472">
        <v>326</v>
      </c>
      <c r="BM61" s="1472">
        <f>1351-BJ61-BK61-BL61</f>
        <v>262</v>
      </c>
      <c r="BN61" s="1473">
        <v>255</v>
      </c>
      <c r="BO61" s="1472">
        <v>253</v>
      </c>
      <c r="BP61" s="1472">
        <v>345</v>
      </c>
      <c r="BQ61" s="1472">
        <f>1248-SUM(BN61:BP61)</f>
        <v>395</v>
      </c>
      <c r="BR61" s="1473">
        <v>322</v>
      </c>
      <c r="BS61" s="1472">
        <v>364</v>
      </c>
      <c r="BT61" s="1472">
        <v>321</v>
      </c>
      <c r="BU61" s="1472">
        <f>1314-BR61-BS61-BT61</f>
        <v>307</v>
      </c>
      <c r="BV61" s="1473">
        <v>263</v>
      </c>
      <c r="BW61" s="1472">
        <v>350</v>
      </c>
      <c r="BX61" s="1472">
        <v>325</v>
      </c>
      <c r="BY61" s="1472">
        <v>325</v>
      </c>
      <c r="BZ61" s="1474">
        <v>350.73389968175638</v>
      </c>
      <c r="CA61" s="1470">
        <v>370.74210847775817</v>
      </c>
      <c r="CB61" s="1470" t="e">
        <v>#REF!</v>
      </c>
      <c r="CC61" s="1470" t="e">
        <v>#REF!</v>
      </c>
      <c r="CD61" s="1262"/>
      <c r="CE61" s="1262"/>
      <c r="CF61" s="1262"/>
      <c r="CG61" s="1262"/>
      <c r="CH61" s="1402"/>
      <c r="CI61" s="1240"/>
      <c r="CJ61" s="1475">
        <f>+O61-SUM(BV61:BY61)</f>
        <v>0</v>
      </c>
      <c r="CK61" s="1427"/>
      <c r="CL61" s="1427"/>
      <c r="CM61" s="946"/>
      <c r="CN61" s="946"/>
      <c r="CO61" s="946"/>
      <c r="CP61" s="946"/>
      <c r="CQ61" s="946"/>
      <c r="CR61" s="946"/>
      <c r="CS61" s="946"/>
      <c r="CT61" s="946"/>
      <c r="CU61" s="946"/>
      <c r="CV61" s="946"/>
      <c r="CW61" s="946"/>
      <c r="CX61" s="946"/>
    </row>
    <row r="62" spans="1:102" ht="13.5" hidden="1" customHeight="1" outlineLevel="1">
      <c r="A62" s="1225" t="s">
        <v>211</v>
      </c>
      <c r="B62" s="1198"/>
      <c r="C62" s="1198"/>
      <c r="D62" s="1198"/>
      <c r="E62" s="1198"/>
      <c r="F62" s="1198"/>
      <c r="G62" s="1338"/>
      <c r="H62" s="1227">
        <f t="shared" ref="H62:S62" si="80">H61/H$76</f>
        <v>0.81394094647431581</v>
      </c>
      <c r="I62" s="1227">
        <f t="shared" si="80"/>
        <v>0.84839130950967589</v>
      </c>
      <c r="J62" s="1227">
        <f t="shared" si="80"/>
        <v>0.65675385166606948</v>
      </c>
      <c r="K62" s="1227">
        <f t="shared" si="80"/>
        <v>0.7334273624823695</v>
      </c>
      <c r="L62" s="1227">
        <f t="shared" si="80"/>
        <v>0.78047371461582904</v>
      </c>
      <c r="M62" s="1227">
        <f t="shared" si="80"/>
        <v>0.77371357718536893</v>
      </c>
      <c r="N62" s="1227">
        <f t="shared" si="80"/>
        <v>0.80514705882352944</v>
      </c>
      <c r="O62" s="1230">
        <f t="shared" si="80"/>
        <v>0.75674056321150385</v>
      </c>
      <c r="P62" s="1227" t="e">
        <f t="shared" si="80"/>
        <v>#REF!</v>
      </c>
      <c r="Q62" s="1227" t="e">
        <f t="shared" si="80"/>
        <v>#REF!</v>
      </c>
      <c r="R62" s="1227" t="e">
        <f t="shared" si="80"/>
        <v>#REF!</v>
      </c>
      <c r="S62" s="1227" t="e">
        <f t="shared" si="80"/>
        <v>#REF!</v>
      </c>
      <c r="T62" s="946"/>
      <c r="U62" s="946"/>
      <c r="V62" s="946"/>
      <c r="W62" s="946"/>
      <c r="X62" s="1198"/>
      <c r="Y62" s="1198"/>
      <c r="Z62" s="1227"/>
      <c r="AA62" s="1227"/>
      <c r="AB62" s="1227"/>
      <c r="AC62" s="1227"/>
      <c r="AD62" s="1227"/>
      <c r="AE62" s="1227"/>
      <c r="AF62" s="1227"/>
      <c r="AG62" s="1227"/>
      <c r="AH62" s="1227"/>
      <c r="AI62" s="1227"/>
      <c r="AJ62" s="1227"/>
      <c r="AK62" s="1227"/>
      <c r="AL62" s="1227"/>
      <c r="AM62" s="1227"/>
      <c r="AN62" s="1227"/>
      <c r="AO62" s="1227"/>
      <c r="AP62" s="1227"/>
      <c r="AQ62" s="1227"/>
      <c r="AR62" s="1227"/>
      <c r="AS62" s="1227"/>
      <c r="AT62" s="1227"/>
      <c r="AU62" s="1227"/>
      <c r="AV62" s="1227"/>
      <c r="AW62" s="1227"/>
      <c r="AX62" s="1227"/>
      <c r="AY62" s="1227"/>
      <c r="AZ62" s="1227"/>
      <c r="BA62" s="1227"/>
      <c r="BB62" s="1227">
        <f t="shared" ref="BB62:CC62" si="81">BB61/BB$76</f>
        <v>0.59303313508920985</v>
      </c>
      <c r="BC62" s="1227">
        <f t="shared" si="81"/>
        <v>0.72668810289389063</v>
      </c>
      <c r="BD62" s="1227">
        <f t="shared" si="81"/>
        <v>0.69930069930069927</v>
      </c>
      <c r="BE62" s="1227">
        <f t="shared" si="81"/>
        <v>0.68028419182948485</v>
      </c>
      <c r="BF62" s="1227">
        <f t="shared" si="81"/>
        <v>0.77622377622377625</v>
      </c>
      <c r="BG62" s="1227">
        <f t="shared" si="81"/>
        <v>0.72170686456400746</v>
      </c>
      <c r="BH62" s="1227">
        <f t="shared" si="81"/>
        <v>0.74629629629629635</v>
      </c>
      <c r="BI62" s="1227">
        <f t="shared" si="81"/>
        <v>0.7027463651050081</v>
      </c>
      <c r="BJ62" s="1227">
        <f t="shared" si="81"/>
        <v>0.82675438596491224</v>
      </c>
      <c r="BK62" s="1227">
        <f t="shared" si="81"/>
        <v>0.79098360655737709</v>
      </c>
      <c r="BL62" s="1227">
        <f t="shared" si="81"/>
        <v>0.77990430622009566</v>
      </c>
      <c r="BM62" s="1227">
        <f t="shared" si="81"/>
        <v>0.71002710027100269</v>
      </c>
      <c r="BN62" s="1231">
        <f t="shared" si="81"/>
        <v>0.81469648562300323</v>
      </c>
      <c r="BO62" s="1227">
        <f t="shared" si="81"/>
        <v>0.71875</v>
      </c>
      <c r="BP62" s="1227">
        <f t="shared" si="81"/>
        <v>0.7752808988764045</v>
      </c>
      <c r="BQ62" s="1227">
        <f t="shared" si="81"/>
        <v>0.78528827037773363</v>
      </c>
      <c r="BR62" s="1231">
        <f t="shared" si="81"/>
        <v>0.82564102564102559</v>
      </c>
      <c r="BS62" s="1227">
        <f t="shared" si="81"/>
        <v>0.82352941176470584</v>
      </c>
      <c r="BT62" s="1227">
        <f t="shared" si="81"/>
        <v>0.81472081218274117</v>
      </c>
      <c r="BU62" s="1227">
        <f t="shared" si="81"/>
        <v>0.75615763546798032</v>
      </c>
      <c r="BV62" s="1231">
        <f t="shared" si="81"/>
        <v>0.82704402515723274</v>
      </c>
      <c r="BW62" s="1227">
        <f t="shared" si="81"/>
        <v>0.82159624413145538</v>
      </c>
      <c r="BX62" s="1227">
        <f t="shared" si="81"/>
        <v>0.77380952380952384</v>
      </c>
      <c r="BY62" s="1227">
        <f t="shared" si="81"/>
        <v>0.64356435643564358</v>
      </c>
      <c r="BZ62" s="1231">
        <f t="shared" si="81"/>
        <v>0.84311033577345285</v>
      </c>
      <c r="CA62" s="1227">
        <f t="shared" si="81"/>
        <v>0.83659833133590278</v>
      </c>
      <c r="CB62" s="1227" t="e">
        <f t="shared" si="81"/>
        <v>#REF!</v>
      </c>
      <c r="CC62" s="1227" t="e">
        <f t="shared" si="81"/>
        <v>#REF!</v>
      </c>
      <c r="CD62" s="1241"/>
      <c r="CE62" s="1241"/>
      <c r="CF62" s="1241"/>
      <c r="CG62" s="1241"/>
      <c r="CH62" s="1402"/>
      <c r="CI62" s="1290"/>
      <c r="CJ62" s="1427"/>
      <c r="CK62" s="1427"/>
      <c r="CL62" s="1427"/>
      <c r="CM62" s="946"/>
      <c r="CN62" s="946"/>
      <c r="CO62" s="946"/>
      <c r="CP62" s="946"/>
      <c r="CQ62" s="946"/>
      <c r="CR62" s="946"/>
      <c r="CS62" s="946"/>
      <c r="CT62" s="946"/>
      <c r="CU62" s="946"/>
      <c r="CV62" s="946"/>
      <c r="CW62" s="946"/>
      <c r="CX62" s="946"/>
    </row>
    <row r="63" spans="1:102" ht="13.5" hidden="1" customHeight="1" outlineLevel="1">
      <c r="A63" s="1225" t="s">
        <v>993</v>
      </c>
      <c r="B63" s="1198"/>
      <c r="C63" s="1198"/>
      <c r="D63" s="1198"/>
      <c r="E63" s="1198"/>
      <c r="F63" s="1198"/>
      <c r="G63" s="1338"/>
      <c r="H63" s="1227"/>
      <c r="I63" s="1227">
        <f t="shared" ref="I63:S63" si="82">I61/H61-1</f>
        <v>0.18370051350008287</v>
      </c>
      <c r="J63" s="1227">
        <f t="shared" si="82"/>
        <v>-0.74349286314021823</v>
      </c>
      <c r="K63" s="1227">
        <f t="shared" si="82"/>
        <v>-0.14893617021276595</v>
      </c>
      <c r="L63" s="1227">
        <f t="shared" si="82"/>
        <v>-0.13397435897435894</v>
      </c>
      <c r="M63" s="1227">
        <f t="shared" si="82"/>
        <v>-7.6239822353811992E-2</v>
      </c>
      <c r="N63" s="1227">
        <f t="shared" si="82"/>
        <v>5.2884615384615419E-2</v>
      </c>
      <c r="O63" s="1230">
        <f t="shared" si="82"/>
        <v>-3.8812785388127824E-2</v>
      </c>
      <c r="P63" s="1227" t="e">
        <f t="shared" si="82"/>
        <v>#REF!</v>
      </c>
      <c r="Q63" s="1227" t="e">
        <f t="shared" si="82"/>
        <v>#REF!</v>
      </c>
      <c r="R63" s="1227" t="e">
        <f t="shared" si="82"/>
        <v>#REF!</v>
      </c>
      <c r="S63" s="1227" t="e">
        <f t="shared" si="82"/>
        <v>#REF!</v>
      </c>
      <c r="T63" s="946"/>
      <c r="U63" s="946"/>
      <c r="V63" s="946"/>
      <c r="W63" s="946"/>
      <c r="X63" s="1198"/>
      <c r="Y63" s="1198"/>
      <c r="Z63" s="1227"/>
      <c r="AA63" s="1227"/>
      <c r="AB63" s="1227"/>
      <c r="AC63" s="1227"/>
      <c r="AD63" s="1227"/>
      <c r="AE63" s="1227"/>
      <c r="AF63" s="1227"/>
      <c r="AG63" s="1227"/>
      <c r="AH63" s="1227"/>
      <c r="AI63" s="122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f t="shared" ref="BF63:CC63" si="83">BF61/BB61-1</f>
        <v>-0.52292263610315182</v>
      </c>
      <c r="BG63" s="1227">
        <f t="shared" si="83"/>
        <v>-0.13938053097345138</v>
      </c>
      <c r="BH63" s="1227">
        <f t="shared" si="83"/>
        <v>0.34333333333333327</v>
      </c>
      <c r="BI63" s="1227">
        <f t="shared" si="83"/>
        <v>0.13577023498694518</v>
      </c>
      <c r="BJ63" s="1227">
        <f t="shared" si="83"/>
        <v>0.13213213213213204</v>
      </c>
      <c r="BK63" s="1227">
        <f t="shared" si="83"/>
        <v>-7.7120822622107621E-3</v>
      </c>
      <c r="BL63" s="1227">
        <f t="shared" si="83"/>
        <v>-0.19106699751861045</v>
      </c>
      <c r="BM63" s="1227">
        <f t="shared" si="83"/>
        <v>-0.39770114942528734</v>
      </c>
      <c r="BN63" s="1231">
        <f t="shared" si="83"/>
        <v>-0.32360742705570289</v>
      </c>
      <c r="BO63" s="1227">
        <f t="shared" si="83"/>
        <v>-0.34455958549222798</v>
      </c>
      <c r="BP63" s="1227">
        <f t="shared" si="83"/>
        <v>5.8282208588957163E-2</v>
      </c>
      <c r="BQ63" s="1227">
        <f t="shared" si="83"/>
        <v>0.50763358778625944</v>
      </c>
      <c r="BR63" s="1231">
        <f t="shared" si="83"/>
        <v>0.26274509803921564</v>
      </c>
      <c r="BS63" s="1227">
        <f t="shared" si="83"/>
        <v>0.43873517786561256</v>
      </c>
      <c r="BT63" s="1227">
        <f t="shared" si="83"/>
        <v>-6.956521739130439E-2</v>
      </c>
      <c r="BU63" s="1227">
        <f t="shared" si="83"/>
        <v>-0.22278481012658224</v>
      </c>
      <c r="BV63" s="1231">
        <f t="shared" si="83"/>
        <v>-0.18322981366459623</v>
      </c>
      <c r="BW63" s="1227">
        <f t="shared" si="83"/>
        <v>-3.8461538461538436E-2</v>
      </c>
      <c r="BX63" s="1227">
        <f t="shared" si="83"/>
        <v>1.2461059190031154E-2</v>
      </c>
      <c r="BY63" s="1227">
        <f t="shared" si="83"/>
        <v>5.8631921824104261E-2</v>
      </c>
      <c r="BZ63" s="1231">
        <f t="shared" si="83"/>
        <v>0.33358897217397865</v>
      </c>
      <c r="CA63" s="1227">
        <f t="shared" si="83"/>
        <v>5.926316707930912E-2</v>
      </c>
      <c r="CB63" s="1227" t="e">
        <f t="shared" si="83"/>
        <v>#REF!</v>
      </c>
      <c r="CC63" s="1227" t="e">
        <f t="shared" si="83"/>
        <v>#REF!</v>
      </c>
      <c r="CD63" s="1241"/>
      <c r="CE63" s="1241"/>
      <c r="CF63" s="1241"/>
      <c r="CG63" s="1241"/>
      <c r="CH63" s="1402"/>
      <c r="CI63" s="1290"/>
      <c r="CJ63" s="1427"/>
      <c r="CK63" s="1427"/>
      <c r="CL63" s="1427"/>
      <c r="CM63" s="946"/>
      <c r="CN63" s="946"/>
      <c r="CO63" s="946"/>
      <c r="CP63" s="946"/>
      <c r="CQ63" s="946"/>
      <c r="CR63" s="946"/>
      <c r="CS63" s="946"/>
      <c r="CT63" s="946"/>
      <c r="CU63" s="946"/>
      <c r="CV63" s="946"/>
      <c r="CW63" s="946"/>
      <c r="CX63" s="946"/>
    </row>
    <row r="64" spans="1:102" ht="13.5" hidden="1" customHeight="1" outlineLevel="1">
      <c r="A64" s="1225" t="s">
        <v>212</v>
      </c>
      <c r="B64" s="1198"/>
      <c r="C64" s="1198"/>
      <c r="D64" s="1198"/>
      <c r="E64" s="1198"/>
      <c r="F64" s="1198"/>
      <c r="G64" s="1338"/>
      <c r="H64" s="1227">
        <v>0.44146252285191956</v>
      </c>
      <c r="I64" s="1227">
        <v>0.45219262165411633</v>
      </c>
      <c r="J64" s="1227">
        <v>0.12524769388452339</v>
      </c>
      <c r="K64" s="1227">
        <v>0.11428571428571428</v>
      </c>
      <c r="L64" s="1227">
        <v>0.10188536953242835</v>
      </c>
      <c r="M64" s="1227">
        <v>9.3546210928715984E-2</v>
      </c>
      <c r="N64" s="1227">
        <v>9.858943577430973E-2</v>
      </c>
      <c r="O64" s="1230">
        <v>9.5812471552116529E-2</v>
      </c>
      <c r="P64" s="1227" t="e">
        <v>#REF!</v>
      </c>
      <c r="Q64" s="1255" t="e">
        <f>P64</f>
        <v>#REF!</v>
      </c>
      <c r="R64" s="1255" t="e">
        <f>Q64</f>
        <v>#REF!</v>
      </c>
      <c r="S64" s="1255" t="e">
        <f>R64</f>
        <v>#REF!</v>
      </c>
      <c r="T64" s="946"/>
      <c r="U64" s="946"/>
      <c r="V64" s="946"/>
      <c r="W64" s="946"/>
      <c r="X64" s="1198"/>
      <c r="Y64" s="1198"/>
      <c r="Z64" s="1227"/>
      <c r="AA64" s="1227"/>
      <c r="AB64" s="1227"/>
      <c r="AC64" s="1227"/>
      <c r="AD64" s="1227"/>
      <c r="AE64" s="1227"/>
      <c r="AF64" s="1227"/>
      <c r="AG64" s="1227"/>
      <c r="AH64" s="1227"/>
      <c r="AI64" s="1227"/>
      <c r="AJ64" s="1227"/>
      <c r="AK64" s="1227"/>
      <c r="AL64" s="1227"/>
      <c r="AM64" s="1227"/>
      <c r="AN64" s="1227"/>
      <c r="AO64" s="1227"/>
      <c r="AP64" s="1227"/>
      <c r="AQ64" s="1227"/>
      <c r="AR64" s="1227"/>
      <c r="AS64" s="1227"/>
      <c r="AT64" s="1227"/>
      <c r="AU64" s="1227"/>
      <c r="AV64" s="1227"/>
      <c r="AW64" s="1227"/>
      <c r="AX64" s="1227"/>
      <c r="AY64" s="1227"/>
      <c r="AZ64" s="1227"/>
      <c r="BA64" s="1227"/>
      <c r="BB64" s="1227">
        <v>0.18450964842717421</v>
      </c>
      <c r="BC64" s="1227">
        <v>0.12153804786232858</v>
      </c>
      <c r="BD64" s="1227">
        <v>8.3728718950600051E-2</v>
      </c>
      <c r="BE64" s="1227">
        <v>0.10788732394366198</v>
      </c>
      <c r="BF64" s="1227">
        <v>9.6214966772609073E-2</v>
      </c>
      <c r="BG64" s="1227">
        <v>0.11324599708879185</v>
      </c>
      <c r="BH64" s="1227">
        <v>0.11828588200763135</v>
      </c>
      <c r="BI64" s="1227">
        <v>0.1299671347475351</v>
      </c>
      <c r="BJ64" s="1227">
        <v>0.11280670257330939</v>
      </c>
      <c r="BK64" s="1227">
        <v>0.11675741076830005</v>
      </c>
      <c r="BL64" s="1227">
        <v>9.8548972188633621E-2</v>
      </c>
      <c r="BM64" s="1227">
        <v>7.9297820823244547E-2</v>
      </c>
      <c r="BN64" s="1231">
        <v>7.6946288473144234E-2</v>
      </c>
      <c r="BO64" s="1227">
        <v>7.5953167217051934E-2</v>
      </c>
      <c r="BP64" s="1227">
        <v>0.10258697591436218</v>
      </c>
      <c r="BQ64" s="1227">
        <v>0.11851185118511851</v>
      </c>
      <c r="BR64" s="1231">
        <v>9.6783889389840699E-2</v>
      </c>
      <c r="BS64" s="1227">
        <v>0.10963855421686747</v>
      </c>
      <c r="BT64" s="1227">
        <v>9.6021537541130728E-2</v>
      </c>
      <c r="BU64" s="1227">
        <v>9.1971240263630918E-2</v>
      </c>
      <c r="BV64" s="1231">
        <v>7.9745300181928436E-2</v>
      </c>
      <c r="BW64" s="1227">
        <v>0.10561255280627641</v>
      </c>
      <c r="BX64" s="1227">
        <v>9.9024984765386959E-2</v>
      </c>
      <c r="BY64" s="1227">
        <v>9.8844282238442827E-2</v>
      </c>
      <c r="BZ64" s="1476">
        <v>0.108</v>
      </c>
      <c r="CA64" s="1477">
        <v>0.114</v>
      </c>
      <c r="CB64" s="1477" t="e">
        <f>CHOOSE(Case,CB65,CB66,CB67)</f>
        <v>#NAME?</v>
      </c>
      <c r="CC64" s="1477" t="e">
        <f>CHOOSE(Case,CC65,CC66,CC67)</f>
        <v>#NAME?</v>
      </c>
      <c r="CD64" s="1478"/>
      <c r="CE64" s="1478"/>
      <c r="CF64" s="1478"/>
      <c r="CG64" s="1478"/>
      <c r="CH64" s="1402"/>
      <c r="CI64" s="1290"/>
      <c r="CJ64" s="1427"/>
      <c r="CK64" s="1427"/>
      <c r="CL64" s="1427"/>
      <c r="CM64" s="946"/>
      <c r="CN64" s="946"/>
      <c r="CO64" s="946"/>
      <c r="CP64" s="946"/>
      <c r="CQ64" s="946"/>
      <c r="CR64" s="946"/>
      <c r="CS64" s="946"/>
      <c r="CT64" s="946"/>
      <c r="CU64" s="946"/>
      <c r="CV64" s="946"/>
      <c r="CW64" s="946"/>
      <c r="CX64" s="946"/>
    </row>
    <row r="65" spans="1:102" ht="13.5" hidden="1" customHeight="1" outlineLevel="1">
      <c r="A65" s="1479" t="s">
        <v>778</v>
      </c>
      <c r="B65" s="1480"/>
      <c r="C65" s="1480"/>
      <c r="D65" s="1480"/>
      <c r="E65" s="1480"/>
      <c r="F65" s="1480"/>
      <c r="G65" s="1481"/>
      <c r="H65" s="1481"/>
      <c r="I65" s="1482"/>
      <c r="J65" s="1483"/>
      <c r="K65" s="1483"/>
      <c r="L65" s="1483"/>
      <c r="M65" s="1483"/>
      <c r="N65" s="1483"/>
      <c r="O65" s="1484"/>
      <c r="P65" s="1485"/>
      <c r="Q65" s="1485"/>
      <c r="R65" s="1485"/>
      <c r="S65" s="1485"/>
      <c r="T65" s="946"/>
      <c r="U65" s="946"/>
      <c r="V65" s="946"/>
      <c r="W65" s="946"/>
      <c r="X65" s="1198"/>
      <c r="Y65" s="1198"/>
      <c r="Z65" s="1227"/>
      <c r="AA65" s="1227"/>
      <c r="AB65" s="1227"/>
      <c r="AC65" s="1227"/>
      <c r="AD65" s="1227"/>
      <c r="AE65" s="1227"/>
      <c r="AF65" s="1227"/>
      <c r="AG65" s="1227"/>
      <c r="AH65" s="1227"/>
      <c r="AI65" s="122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31"/>
      <c r="BO65" s="1227"/>
      <c r="BP65" s="1227"/>
      <c r="BQ65" s="1227"/>
      <c r="BR65" s="1231"/>
      <c r="BS65" s="1227"/>
      <c r="BT65" s="1255"/>
      <c r="BU65" s="1255"/>
      <c r="BV65" s="1486"/>
      <c r="BW65" s="1255"/>
      <c r="BX65" s="1255"/>
      <c r="BY65" s="1255"/>
      <c r="BZ65" s="1487">
        <v>0.11600000000000001</v>
      </c>
      <c r="CA65" s="1485">
        <v>0.11799999999999999</v>
      </c>
      <c r="CB65" s="1485">
        <v>0.12</v>
      </c>
      <c r="CC65" s="1485">
        <v>0.124</v>
      </c>
      <c r="CD65" s="1488"/>
      <c r="CE65" s="1488"/>
      <c r="CF65" s="1488"/>
      <c r="CG65" s="1488"/>
      <c r="CH65" s="1402"/>
      <c r="CI65" s="1290"/>
      <c r="CJ65" s="1427"/>
      <c r="CK65" s="1427"/>
      <c r="CL65" s="1427"/>
      <c r="CM65" s="946"/>
      <c r="CN65" s="946"/>
      <c r="CO65" s="946"/>
      <c r="CP65" s="946"/>
      <c r="CQ65" s="946"/>
      <c r="CR65" s="946"/>
      <c r="CS65" s="946"/>
      <c r="CT65" s="946"/>
      <c r="CU65" s="946"/>
      <c r="CV65" s="946"/>
      <c r="CW65" s="946"/>
      <c r="CX65" s="946"/>
    </row>
    <row r="66" spans="1:102" ht="13.5" hidden="1" customHeight="1" outlineLevel="1">
      <c r="A66" s="1489" t="s">
        <v>779</v>
      </c>
      <c r="B66" s="1490"/>
      <c r="C66" s="1490"/>
      <c r="D66" s="1490"/>
      <c r="E66" s="1490"/>
      <c r="F66" s="1490"/>
      <c r="G66" s="1491"/>
      <c r="H66" s="1491"/>
      <c r="I66" s="1492"/>
      <c r="J66" s="1493"/>
      <c r="K66" s="1493"/>
      <c r="L66" s="1493"/>
      <c r="M66" s="1493"/>
      <c r="N66" s="1493"/>
      <c r="O66" s="1494"/>
      <c r="P66" s="1256"/>
      <c r="Q66" s="1256"/>
      <c r="R66" s="1256"/>
      <c r="S66" s="1256"/>
      <c r="T66" s="946"/>
      <c r="U66" s="946"/>
      <c r="V66" s="946"/>
      <c r="W66" s="946"/>
      <c r="X66" s="1198"/>
      <c r="Y66" s="1198"/>
      <c r="Z66" s="1227"/>
      <c r="AA66" s="1227"/>
      <c r="AB66" s="1227"/>
      <c r="AC66" s="1227"/>
      <c r="AD66" s="1227"/>
      <c r="AE66" s="1227"/>
      <c r="AF66" s="1227"/>
      <c r="AG66" s="1227"/>
      <c r="AH66" s="1227"/>
      <c r="AI66" s="122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31"/>
      <c r="BO66" s="1227"/>
      <c r="BP66" s="1227"/>
      <c r="BQ66" s="1227"/>
      <c r="BR66" s="1231"/>
      <c r="BS66" s="1227"/>
      <c r="BT66" s="1255"/>
      <c r="BU66" s="1255"/>
      <c r="BV66" s="1486"/>
      <c r="BW66" s="1255"/>
      <c r="BX66" s="1255"/>
      <c r="BY66" s="1255"/>
      <c r="BZ66" s="1257">
        <f>BZ65-0.5%</f>
        <v>0.111</v>
      </c>
      <c r="CA66" s="1256">
        <f>CA65-0.5%</f>
        <v>0.11299999999999999</v>
      </c>
      <c r="CB66" s="1256">
        <f>CB65-0.5%</f>
        <v>0.11499999999999999</v>
      </c>
      <c r="CC66" s="1256">
        <f>CC65-0.5%</f>
        <v>0.11899999999999999</v>
      </c>
      <c r="CD66" s="1495"/>
      <c r="CE66" s="1495"/>
      <c r="CF66" s="1495"/>
      <c r="CG66" s="1495"/>
      <c r="CH66" s="1402"/>
      <c r="CI66" s="1290"/>
      <c r="CJ66" s="1427"/>
      <c r="CK66" s="1427"/>
      <c r="CL66" s="1427"/>
      <c r="CM66" s="946"/>
      <c r="CN66" s="946"/>
      <c r="CO66" s="946"/>
      <c r="CP66" s="946"/>
      <c r="CQ66" s="946"/>
      <c r="CR66" s="946"/>
      <c r="CS66" s="946"/>
      <c r="CT66" s="946"/>
      <c r="CU66" s="946"/>
      <c r="CV66" s="946"/>
      <c r="CW66" s="946"/>
      <c r="CX66" s="946"/>
    </row>
    <row r="67" spans="1:102" ht="13.5" hidden="1" customHeight="1" outlineLevel="1">
      <c r="A67" s="1496" t="s">
        <v>780</v>
      </c>
      <c r="B67" s="1497"/>
      <c r="C67" s="1497"/>
      <c r="D67" s="1497"/>
      <c r="E67" s="1497"/>
      <c r="F67" s="1497"/>
      <c r="G67" s="1498"/>
      <c r="H67" s="1498"/>
      <c r="I67" s="1499"/>
      <c r="J67" s="1500"/>
      <c r="K67" s="1500"/>
      <c r="L67" s="1500"/>
      <c r="M67" s="1500"/>
      <c r="N67" s="1500"/>
      <c r="O67" s="1501"/>
      <c r="P67" s="1502"/>
      <c r="Q67" s="1502"/>
      <c r="R67" s="1502"/>
      <c r="S67" s="1502"/>
      <c r="T67" s="946"/>
      <c r="U67" s="946"/>
      <c r="V67" s="946"/>
      <c r="W67" s="946"/>
      <c r="X67" s="1198"/>
      <c r="Y67" s="1198"/>
      <c r="Z67" s="1227"/>
      <c r="AA67" s="1227"/>
      <c r="AB67" s="1227"/>
      <c r="AC67" s="1227"/>
      <c r="AD67" s="1227"/>
      <c r="AE67" s="1227"/>
      <c r="AF67" s="1227"/>
      <c r="AG67" s="1227"/>
      <c r="AH67" s="1227"/>
      <c r="AI67" s="122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31"/>
      <c r="BO67" s="1227"/>
      <c r="BP67" s="1227"/>
      <c r="BQ67" s="1227"/>
      <c r="BR67" s="1231"/>
      <c r="BS67" s="1227"/>
      <c r="BT67" s="1255"/>
      <c r="BU67" s="1255"/>
      <c r="BV67" s="1486"/>
      <c r="BW67" s="1255"/>
      <c r="BX67" s="1255"/>
      <c r="BY67" s="1255"/>
      <c r="BZ67" s="1503">
        <f>BZ65+0.5%</f>
        <v>0.12100000000000001</v>
      </c>
      <c r="CA67" s="1502">
        <f>CA65+0.5%</f>
        <v>0.123</v>
      </c>
      <c r="CB67" s="1502">
        <f>CB65+0.5%</f>
        <v>0.125</v>
      </c>
      <c r="CC67" s="1502">
        <f>CC65+0.5%</f>
        <v>0.129</v>
      </c>
      <c r="CD67" s="1488"/>
      <c r="CE67" s="1488"/>
      <c r="CF67" s="1488"/>
      <c r="CG67" s="1488"/>
      <c r="CH67" s="1402"/>
      <c r="CI67" s="1290"/>
      <c r="CJ67" s="1427"/>
      <c r="CK67" s="1427"/>
      <c r="CL67" s="1427"/>
      <c r="CM67" s="946"/>
      <c r="CN67" s="946"/>
      <c r="CO67" s="946"/>
      <c r="CP67" s="946"/>
      <c r="CQ67" s="946"/>
      <c r="CR67" s="946"/>
      <c r="CS67" s="946"/>
      <c r="CT67" s="946"/>
      <c r="CU67" s="946"/>
      <c r="CV67" s="946"/>
      <c r="CW67" s="946"/>
      <c r="CX67" s="946"/>
    </row>
    <row r="68" spans="1:102" ht="15" hidden="1" customHeight="1" outlineLevel="1">
      <c r="A68" s="1469" t="s">
        <v>213</v>
      </c>
      <c r="B68" s="1469"/>
      <c r="C68" s="1469"/>
      <c r="D68" s="1469"/>
      <c r="E68" s="1469"/>
      <c r="F68" s="1469"/>
      <c r="G68" s="1470"/>
      <c r="H68" s="1470">
        <v>321</v>
      </c>
      <c r="I68" s="1470">
        <v>310</v>
      </c>
      <c r="J68" s="1470">
        <v>55</v>
      </c>
      <c r="K68" s="1470">
        <f>SUM(BF68:BI68)</f>
        <v>13</v>
      </c>
      <c r="L68" s="1470">
        <f>SUM(BJ68:BM68)</f>
        <v>5</v>
      </c>
      <c r="M68" s="1470">
        <f>SUM(BN68:BQ68)</f>
        <v>2</v>
      </c>
      <c r="N68" s="1470">
        <f>SUM(BR68:BU68)</f>
        <v>1</v>
      </c>
      <c r="O68" s="1471">
        <f>SUM(BV68:BY68)</f>
        <v>3</v>
      </c>
      <c r="P68" s="1470">
        <f>SUM(BZ68:CC68)</f>
        <v>1.67534823</v>
      </c>
      <c r="Q68" s="1470">
        <v>1.6978006356010291</v>
      </c>
      <c r="R68" s="1470">
        <v>1.7512072971638912</v>
      </c>
      <c r="S68" s="1470">
        <v>1.8259734440642921</v>
      </c>
      <c r="T68" s="946"/>
      <c r="U68" s="946"/>
      <c r="V68" s="946"/>
      <c r="W68" s="946"/>
      <c r="X68" s="1198"/>
      <c r="Y68" s="1198"/>
      <c r="Z68" s="1470"/>
      <c r="AA68" s="1470"/>
      <c r="AB68" s="1470"/>
      <c r="AC68" s="1470"/>
      <c r="AD68" s="1470"/>
      <c r="AE68" s="1470"/>
      <c r="AF68" s="1470"/>
      <c r="AG68" s="1470"/>
      <c r="AH68" s="1470"/>
      <c r="AI68" s="1470"/>
      <c r="AJ68" s="1470"/>
      <c r="AK68" s="1470"/>
      <c r="AL68" s="1470"/>
      <c r="AM68" s="1470"/>
      <c r="AN68" s="1470"/>
      <c r="AO68" s="1470"/>
      <c r="AP68" s="1470"/>
      <c r="AQ68" s="1470"/>
      <c r="AR68" s="1470"/>
      <c r="AS68" s="1470"/>
      <c r="AT68" s="1470"/>
      <c r="AU68" s="1470"/>
      <c r="AV68" s="1470"/>
      <c r="AW68" s="1470"/>
      <c r="AX68" s="1470"/>
      <c r="AY68" s="1470"/>
      <c r="AZ68" s="1470"/>
      <c r="BA68" s="1470"/>
      <c r="BB68" s="1470">
        <v>30</v>
      </c>
      <c r="BC68" s="1470">
        <f>42-BB68</f>
        <v>12</v>
      </c>
      <c r="BD68" s="1470">
        <f>48-BB68-BC68</f>
        <v>6</v>
      </c>
      <c r="BE68" s="1470">
        <f>55-BD68-BC68-BB68</f>
        <v>7</v>
      </c>
      <c r="BF68" s="1472">
        <v>11</v>
      </c>
      <c r="BG68" s="1472">
        <f>11-BF68</f>
        <v>0</v>
      </c>
      <c r="BH68" s="1472">
        <v>0</v>
      </c>
      <c r="BI68" s="1472">
        <f>13-BF68-BG68-BH68</f>
        <v>2</v>
      </c>
      <c r="BJ68" s="1472">
        <v>0</v>
      </c>
      <c r="BK68" s="1472">
        <v>1</v>
      </c>
      <c r="BL68" s="1472">
        <v>2</v>
      </c>
      <c r="BM68" s="1472">
        <f>5-BJ68-BK68-BL68</f>
        <v>2</v>
      </c>
      <c r="BN68" s="1473">
        <v>1</v>
      </c>
      <c r="BO68" s="1472">
        <v>1</v>
      </c>
      <c r="BP68" s="1472">
        <v>0</v>
      </c>
      <c r="BQ68" s="1472">
        <f>2-SUM(BN68:BP68)</f>
        <v>0</v>
      </c>
      <c r="BR68" s="1473">
        <v>0</v>
      </c>
      <c r="BS68" s="1472">
        <v>0</v>
      </c>
      <c r="BT68" s="1472">
        <v>0</v>
      </c>
      <c r="BU68" s="1472">
        <f>1-SUM(BR68:BT68)</f>
        <v>1</v>
      </c>
      <c r="BV68" s="1473">
        <v>1</v>
      </c>
      <c r="BW68" s="1472">
        <v>0</v>
      </c>
      <c r="BX68" s="1472">
        <v>1</v>
      </c>
      <c r="BY68" s="1472">
        <v>1</v>
      </c>
      <c r="BZ68" s="1474">
        <v>0.41910225000000007</v>
      </c>
      <c r="CA68" s="1470">
        <v>0.412144395</v>
      </c>
      <c r="CB68" s="1470">
        <v>0.4201029</v>
      </c>
      <c r="CC68" s="1470">
        <v>0.42399868500000004</v>
      </c>
      <c r="CD68" s="1262"/>
      <c r="CE68" s="1262"/>
      <c r="CF68" s="1262"/>
      <c r="CG68" s="1262"/>
      <c r="CH68" s="1402"/>
      <c r="CI68" s="1240"/>
      <c r="CJ68" s="1475">
        <f>+O68-SUM(BV68:BY68)</f>
        <v>0</v>
      </c>
      <c r="CK68" s="1427"/>
      <c r="CL68" s="1427"/>
      <c r="CM68" s="946"/>
      <c r="CN68" s="946"/>
      <c r="CO68" s="946"/>
      <c r="CP68" s="946"/>
      <c r="CQ68" s="946"/>
      <c r="CR68" s="946"/>
      <c r="CS68" s="946"/>
      <c r="CT68" s="946"/>
      <c r="CU68" s="946"/>
      <c r="CV68" s="946"/>
      <c r="CW68" s="946"/>
      <c r="CX68" s="946"/>
    </row>
    <row r="69" spans="1:102" ht="13.5" hidden="1" customHeight="1" outlineLevel="1">
      <c r="A69" s="1225" t="s">
        <v>211</v>
      </c>
      <c r="B69" s="1198"/>
      <c r="C69" s="1198"/>
      <c r="D69" s="1198"/>
      <c r="E69" s="1198"/>
      <c r="F69" s="1198"/>
      <c r="G69" s="1338"/>
      <c r="H69" s="1227">
        <f t="shared" ref="H69:S69" si="84">H68/H$76</f>
        <v>4.3278953754887418E-2</v>
      </c>
      <c r="I69" s="1227">
        <f t="shared" si="84"/>
        <v>3.6803989077525821E-2</v>
      </c>
      <c r="J69" s="1227">
        <f t="shared" si="84"/>
        <v>1.9706198495163023E-2</v>
      </c>
      <c r="K69" s="1227">
        <f t="shared" si="84"/>
        <v>6.1118946873530795E-3</v>
      </c>
      <c r="L69" s="1227">
        <f t="shared" si="84"/>
        <v>2.8885037550548816E-3</v>
      </c>
      <c r="M69" s="1227">
        <f t="shared" si="84"/>
        <v>1.2399256044637321E-3</v>
      </c>
      <c r="N69" s="1227">
        <f t="shared" si="84"/>
        <v>6.1274509803921568E-4</v>
      </c>
      <c r="O69" s="1230">
        <f t="shared" si="84"/>
        <v>1.7974835230677051E-3</v>
      </c>
      <c r="P69" s="1227" t="e">
        <f t="shared" si="84"/>
        <v>#REF!</v>
      </c>
      <c r="Q69" s="1227" t="e">
        <f t="shared" si="84"/>
        <v>#REF!</v>
      </c>
      <c r="R69" s="1227" t="e">
        <f t="shared" si="84"/>
        <v>#REF!</v>
      </c>
      <c r="S69" s="1227" t="e">
        <f t="shared" si="84"/>
        <v>#REF!</v>
      </c>
      <c r="T69" s="946"/>
      <c r="U69" s="946"/>
      <c r="V69" s="946"/>
      <c r="W69" s="946"/>
      <c r="X69" s="1198"/>
      <c r="Y69" s="1198"/>
      <c r="Z69" s="1227"/>
      <c r="AA69" s="1227"/>
      <c r="AB69" s="1227"/>
      <c r="AC69" s="1227"/>
      <c r="AD69" s="1227"/>
      <c r="AE69" s="1227"/>
      <c r="AF69" s="1227"/>
      <c r="AG69" s="1227"/>
      <c r="AH69" s="1227"/>
      <c r="AI69" s="1227"/>
      <c r="AJ69" s="1227"/>
      <c r="AK69" s="1227"/>
      <c r="AL69" s="1227"/>
      <c r="AM69" s="1227"/>
      <c r="AN69" s="1227"/>
      <c r="AO69" s="1227"/>
      <c r="AP69" s="1227"/>
      <c r="AQ69" s="1227"/>
      <c r="AR69" s="1227"/>
      <c r="AS69" s="1227"/>
      <c r="AT69" s="1227"/>
      <c r="AU69" s="1227"/>
      <c r="AV69" s="1227"/>
      <c r="AW69" s="1227"/>
      <c r="AX69" s="1227"/>
      <c r="AY69" s="1227"/>
      <c r="AZ69" s="1227"/>
      <c r="BA69" s="1227"/>
      <c r="BB69" s="1227">
        <f t="shared" ref="BB69:CC69" si="85">BB68/BB$76</f>
        <v>2.5488530161427356E-2</v>
      </c>
      <c r="BC69" s="1227">
        <f t="shared" si="85"/>
        <v>1.9292604501607719E-2</v>
      </c>
      <c r="BD69" s="1227">
        <f t="shared" si="85"/>
        <v>1.3986013986013986E-2</v>
      </c>
      <c r="BE69" s="1227">
        <f t="shared" si="85"/>
        <v>1.2433392539964476E-2</v>
      </c>
      <c r="BF69" s="1227">
        <f t="shared" si="85"/>
        <v>2.564102564102564E-2</v>
      </c>
      <c r="BG69" s="1227">
        <f t="shared" si="85"/>
        <v>0</v>
      </c>
      <c r="BH69" s="1227">
        <f t="shared" si="85"/>
        <v>0</v>
      </c>
      <c r="BI69" s="1227">
        <f t="shared" si="85"/>
        <v>3.2310177705977385E-3</v>
      </c>
      <c r="BJ69" s="1227">
        <f t="shared" si="85"/>
        <v>0</v>
      </c>
      <c r="BK69" s="1227">
        <f t="shared" si="85"/>
        <v>2.0491803278688526E-3</v>
      </c>
      <c r="BL69" s="1227">
        <f t="shared" si="85"/>
        <v>4.7846889952153108E-3</v>
      </c>
      <c r="BM69" s="1227">
        <f t="shared" si="85"/>
        <v>5.4200542005420054E-3</v>
      </c>
      <c r="BN69" s="1231">
        <f t="shared" si="85"/>
        <v>3.1948881789137379E-3</v>
      </c>
      <c r="BO69" s="1227">
        <f t="shared" si="85"/>
        <v>2.840909090909091E-3</v>
      </c>
      <c r="BP69" s="1227">
        <f t="shared" si="85"/>
        <v>0</v>
      </c>
      <c r="BQ69" s="1227">
        <f t="shared" si="85"/>
        <v>0</v>
      </c>
      <c r="BR69" s="1231">
        <f t="shared" si="85"/>
        <v>0</v>
      </c>
      <c r="BS69" s="1227">
        <f t="shared" si="85"/>
        <v>0</v>
      </c>
      <c r="BT69" s="1227">
        <f t="shared" si="85"/>
        <v>0</v>
      </c>
      <c r="BU69" s="1227">
        <f t="shared" si="85"/>
        <v>2.4630541871921183E-3</v>
      </c>
      <c r="BV69" s="1231">
        <f t="shared" si="85"/>
        <v>3.1446540880503146E-3</v>
      </c>
      <c r="BW69" s="1227">
        <f t="shared" si="85"/>
        <v>0</v>
      </c>
      <c r="BX69" s="1227">
        <f t="shared" si="85"/>
        <v>2.3809523809523812E-3</v>
      </c>
      <c r="BY69" s="1227">
        <f t="shared" si="85"/>
        <v>1.9801980198019802E-3</v>
      </c>
      <c r="BZ69" s="1231">
        <f t="shared" si="85"/>
        <v>1.0074573317307694E-3</v>
      </c>
      <c r="CA69" s="1227">
        <f t="shared" si="85"/>
        <v>9.3002468627631128E-4</v>
      </c>
      <c r="CB69" s="1227" t="e">
        <f t="shared" si="85"/>
        <v>#REF!</v>
      </c>
      <c r="CC69" s="1227" t="e">
        <f t="shared" si="85"/>
        <v>#REF!</v>
      </c>
      <c r="CD69" s="1227"/>
      <c r="CE69" s="1227"/>
      <c r="CF69" s="1227"/>
      <c r="CG69" s="1227"/>
      <c r="CH69" s="1402"/>
      <c r="CI69" s="1290"/>
      <c r="CJ69" s="1427"/>
      <c r="CK69" s="1427"/>
      <c r="CL69" s="1427"/>
      <c r="CM69" s="946"/>
      <c r="CN69" s="946"/>
      <c r="CO69" s="946"/>
      <c r="CP69" s="946"/>
      <c r="CQ69" s="946"/>
      <c r="CR69" s="946"/>
      <c r="CS69" s="946"/>
      <c r="CT69" s="946"/>
      <c r="CU69" s="946"/>
      <c r="CV69" s="946"/>
      <c r="CW69" s="946"/>
      <c r="CX69" s="946"/>
    </row>
    <row r="70" spans="1:102" ht="13.5" hidden="1" customHeight="1" outlineLevel="1">
      <c r="A70" s="1225" t="s">
        <v>993</v>
      </c>
      <c r="B70" s="1198"/>
      <c r="C70" s="1198"/>
      <c r="D70" s="1198"/>
      <c r="E70" s="1198"/>
      <c r="F70" s="1198"/>
      <c r="G70" s="1338"/>
      <c r="H70" s="1227"/>
      <c r="I70" s="1227">
        <f>I68/H68-1</f>
        <v>-3.4267912772585674E-2</v>
      </c>
      <c r="J70" s="1227">
        <f>J68/I68-1</f>
        <v>-0.82258064516129026</v>
      </c>
      <c r="K70" s="1227">
        <f>K68/J68-1</f>
        <v>-0.76363636363636367</v>
      </c>
      <c r="L70" s="1227">
        <f>L68/K68-1</f>
        <v>-0.61538461538461542</v>
      </c>
      <c r="M70" s="1227"/>
      <c r="N70" s="1227">
        <f t="shared" ref="N70:S70" si="86">N68/M68-1</f>
        <v>-0.5</v>
      </c>
      <c r="O70" s="1230">
        <f t="shared" si="86"/>
        <v>2</v>
      </c>
      <c r="P70" s="1227">
        <f t="shared" si="86"/>
        <v>-0.44155058999999997</v>
      </c>
      <c r="Q70" s="1227">
        <f t="shared" si="86"/>
        <v>1.3401635074416163E-2</v>
      </c>
      <c r="R70" s="1227">
        <f t="shared" si="86"/>
        <v>3.1456379767437204E-2</v>
      </c>
      <c r="S70" s="1227">
        <f t="shared" si="86"/>
        <v>4.2694058562618986E-2</v>
      </c>
      <c r="T70" s="946"/>
      <c r="U70" s="946"/>
      <c r="V70" s="946"/>
      <c r="W70" s="946"/>
      <c r="X70" s="1198"/>
      <c r="Y70" s="1198"/>
      <c r="Z70" s="1227"/>
      <c r="AA70" s="1227"/>
      <c r="AB70" s="1227"/>
      <c r="AC70" s="1227"/>
      <c r="AD70" s="1227"/>
      <c r="AE70" s="1227"/>
      <c r="AF70" s="1227"/>
      <c r="AG70" s="1227"/>
      <c r="AH70" s="1227"/>
      <c r="AI70" s="1227"/>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f>BF68/BB68-1</f>
        <v>-0.6333333333333333</v>
      </c>
      <c r="BG70" s="1227">
        <f>BG68/BC68-1</f>
        <v>-1</v>
      </c>
      <c r="BH70" s="1227">
        <f>BH68/BD68-1</f>
        <v>-1</v>
      </c>
      <c r="BI70" s="1227">
        <f>BI68/BE68-1</f>
        <v>-0.7142857142857143</v>
      </c>
      <c r="BJ70" s="1227">
        <f>BJ68/BF68-1</f>
        <v>-1</v>
      </c>
      <c r="BK70" s="1227"/>
      <c r="BL70" s="1227"/>
      <c r="BM70" s="1227"/>
      <c r="BN70" s="1231"/>
      <c r="BO70" s="1227"/>
      <c r="BP70" s="1227"/>
      <c r="BQ70" s="1227"/>
      <c r="BR70" s="1231"/>
      <c r="BS70" s="1227"/>
      <c r="BT70" s="1227"/>
      <c r="BU70" s="1227"/>
      <c r="BV70" s="1231"/>
      <c r="BW70" s="1227"/>
      <c r="BX70" s="1227"/>
      <c r="BY70" s="1227"/>
      <c r="BZ70" s="1231"/>
      <c r="CA70" s="1227"/>
      <c r="CB70" s="1227"/>
      <c r="CC70" s="1227"/>
      <c r="CD70" s="1227"/>
      <c r="CE70" s="1227"/>
      <c r="CF70" s="1227"/>
      <c r="CG70" s="1227"/>
      <c r="CH70" s="1402"/>
      <c r="CI70" s="1290"/>
      <c r="CJ70" s="1427"/>
      <c r="CK70" s="1427"/>
      <c r="CL70" s="1427"/>
      <c r="CM70" s="946"/>
      <c r="CN70" s="946"/>
      <c r="CO70" s="946"/>
      <c r="CP70" s="946"/>
      <c r="CQ70" s="946"/>
      <c r="CR70" s="946"/>
      <c r="CS70" s="946"/>
      <c r="CT70" s="946"/>
      <c r="CU70" s="946"/>
      <c r="CV70" s="946"/>
      <c r="CW70" s="946"/>
      <c r="CX70" s="946"/>
    </row>
    <row r="71" spans="1:102" ht="13.5" hidden="1" customHeight="1" outlineLevel="1">
      <c r="A71" s="1225" t="s">
        <v>212</v>
      </c>
      <c r="B71" s="1198"/>
      <c r="C71" s="1198"/>
      <c r="D71" s="1198"/>
      <c r="E71" s="1198"/>
      <c r="F71" s="1198"/>
      <c r="G71" s="1338"/>
      <c r="H71" s="1227"/>
      <c r="I71" s="1227"/>
      <c r="J71" s="1227">
        <v>7.9250720461095103E-2</v>
      </c>
      <c r="K71" s="1227">
        <v>2.1885521885521887E-2</v>
      </c>
      <c r="L71" s="1227">
        <v>9.8039215686274508E-3</v>
      </c>
      <c r="M71" s="1227">
        <v>3.838771593090211E-3</v>
      </c>
      <c r="N71" s="1227">
        <v>1.7953321364452424E-3</v>
      </c>
      <c r="O71" s="1230">
        <v>5.3571428571428572E-3</v>
      </c>
      <c r="P71" s="1227">
        <v>2.9999999999999996E-3</v>
      </c>
      <c r="Q71" s="1255">
        <f>P71</f>
        <v>2.9999999999999996E-3</v>
      </c>
      <c r="R71" s="1255">
        <f>Q71</f>
        <v>2.9999999999999996E-3</v>
      </c>
      <c r="S71" s="1255">
        <f>R71</f>
        <v>2.9999999999999996E-3</v>
      </c>
      <c r="T71" s="946"/>
      <c r="U71" s="946"/>
      <c r="V71" s="946"/>
      <c r="W71" s="946"/>
      <c r="X71" s="1198"/>
      <c r="Y71" s="1198"/>
      <c r="Z71" s="1227"/>
      <c r="AA71" s="1227"/>
      <c r="AB71" s="1227"/>
      <c r="AC71" s="1227"/>
      <c r="AD71" s="1227"/>
      <c r="AE71" s="1227"/>
      <c r="AF71" s="1227"/>
      <c r="AG71" s="1227"/>
      <c r="AH71" s="1227"/>
      <c r="AI71" s="1227"/>
      <c r="AJ71" s="1227"/>
      <c r="AK71" s="1227"/>
      <c r="AL71" s="1227"/>
      <c r="AM71" s="1227"/>
      <c r="AN71" s="1227"/>
      <c r="AO71" s="1227"/>
      <c r="AP71" s="1227"/>
      <c r="AQ71" s="1227"/>
      <c r="AR71" s="1227"/>
      <c r="AS71" s="1227"/>
      <c r="AT71" s="1227"/>
      <c r="AU71" s="1227"/>
      <c r="AV71" s="1227"/>
      <c r="AW71" s="1227"/>
      <c r="AX71" s="1227"/>
      <c r="AY71" s="1227"/>
      <c r="AZ71" s="1227"/>
      <c r="BA71" s="1227"/>
      <c r="BB71" s="1227">
        <v>0.15957446808510639</v>
      </c>
      <c r="BC71" s="1227">
        <v>6.5573770491803282E-2</v>
      </c>
      <c r="BD71" s="1227">
        <v>3.3519553072625698E-2</v>
      </c>
      <c r="BE71" s="1227">
        <v>4.8611111111111112E-2</v>
      </c>
      <c r="BF71" s="1227">
        <v>7.2847682119205295E-2</v>
      </c>
      <c r="BG71" s="1227">
        <v>0</v>
      </c>
      <c r="BH71" s="1227">
        <v>0</v>
      </c>
      <c r="BI71" s="1227">
        <v>1.4492753623188406E-2</v>
      </c>
      <c r="BJ71" s="1227">
        <v>0</v>
      </c>
      <c r="BK71" s="1227">
        <v>7.8125E-3</v>
      </c>
      <c r="BL71" s="1227">
        <v>1.5151515151515152E-2</v>
      </c>
      <c r="BM71" s="1227">
        <v>1.6129032258064516E-2</v>
      </c>
      <c r="BN71" s="1231">
        <v>8.0645161290322578E-3</v>
      </c>
      <c r="BO71" s="1227">
        <v>7.6923076923076927E-3</v>
      </c>
      <c r="BP71" s="1227">
        <v>0</v>
      </c>
      <c r="BQ71" s="1227">
        <v>0</v>
      </c>
      <c r="BR71" s="1231">
        <v>0</v>
      </c>
      <c r="BS71" s="1227">
        <v>0</v>
      </c>
      <c r="BT71" s="1227">
        <v>0</v>
      </c>
      <c r="BU71" s="1227">
        <v>7.0921985815602835E-3</v>
      </c>
      <c r="BV71" s="1231">
        <v>7.1942446043165471E-3</v>
      </c>
      <c r="BW71" s="1227">
        <v>0</v>
      </c>
      <c r="BX71" s="1227">
        <v>6.9444444444444441E-3</v>
      </c>
      <c r="BY71" s="1227">
        <v>7.246376811594203E-3</v>
      </c>
      <c r="BZ71" s="1486">
        <v>3.0000000000000001E-3</v>
      </c>
      <c r="CA71" s="1255">
        <v>3.0000000000000001E-3</v>
      </c>
      <c r="CB71" s="1255">
        <v>3.0000000000000001E-3</v>
      </c>
      <c r="CC71" s="1255">
        <v>3.0000000000000001E-3</v>
      </c>
      <c r="CD71" s="1255"/>
      <c r="CE71" s="1255"/>
      <c r="CF71" s="1255"/>
      <c r="CG71" s="1255"/>
      <c r="CH71" s="1402"/>
      <c r="CI71" s="1290"/>
      <c r="CJ71" s="1427"/>
      <c r="CK71" s="1427"/>
      <c r="CL71" s="1427"/>
      <c r="CM71" s="946"/>
      <c r="CN71" s="946"/>
      <c r="CO71" s="946"/>
      <c r="CP71" s="946"/>
      <c r="CQ71" s="946"/>
      <c r="CR71" s="946"/>
      <c r="CS71" s="946"/>
      <c r="CT71" s="946"/>
      <c r="CU71" s="946"/>
      <c r="CV71" s="946"/>
      <c r="CW71" s="946"/>
      <c r="CX71" s="946"/>
    </row>
    <row r="72" spans="1:102" ht="15" hidden="1" customHeight="1" outlineLevel="1">
      <c r="A72" s="1213" t="s">
        <v>214</v>
      </c>
      <c r="B72" s="1213"/>
      <c r="C72" s="1213"/>
      <c r="D72" s="1213"/>
      <c r="E72" s="1213"/>
      <c r="F72" s="1213"/>
      <c r="G72" s="1214"/>
      <c r="H72" s="1214">
        <v>1059</v>
      </c>
      <c r="I72" s="1214">
        <v>967</v>
      </c>
      <c r="J72" s="1214">
        <v>903</v>
      </c>
      <c r="K72" s="1214">
        <f>SUM(BF72:BI72)</f>
        <v>554</v>
      </c>
      <c r="L72" s="1214">
        <f>SUM(BJ72:BM72)</f>
        <v>375</v>
      </c>
      <c r="M72" s="1214">
        <f>SUM(BN72:BQ72)</f>
        <v>363</v>
      </c>
      <c r="N72" s="1214">
        <f>SUM(BR72:BU72)</f>
        <v>317</v>
      </c>
      <c r="O72" s="1217">
        <f>SUM(BV72:BY72)</f>
        <v>403</v>
      </c>
      <c r="P72" s="1214">
        <f>SUM(BZ72:CC72)</f>
        <v>286</v>
      </c>
      <c r="Q72" s="1253">
        <f>+P72*(1+Q74)</f>
        <v>283.14</v>
      </c>
      <c r="R72" s="1253">
        <f>+Q72*(1+R74)</f>
        <v>280.30859999999996</v>
      </c>
      <c r="S72" s="1253">
        <f>+R72*(1+S74)</f>
        <v>277.50551399999995</v>
      </c>
      <c r="T72" s="946"/>
      <c r="U72" s="946"/>
      <c r="V72" s="946"/>
      <c r="W72" s="946"/>
      <c r="X72" s="1198"/>
      <c r="Y72" s="1198"/>
      <c r="Z72" s="1214"/>
      <c r="AA72" s="1214"/>
      <c r="AB72" s="1214"/>
      <c r="AC72" s="1214"/>
      <c r="AD72" s="1214"/>
      <c r="AE72" s="1214"/>
      <c r="AF72" s="1214"/>
      <c r="AG72" s="1214"/>
      <c r="AH72" s="1214"/>
      <c r="AI72" s="1214"/>
      <c r="AJ72" s="1214"/>
      <c r="AK72" s="1214"/>
      <c r="AL72" s="1214"/>
      <c r="AM72" s="1214"/>
      <c r="AN72" s="1214"/>
      <c r="AO72" s="1214"/>
      <c r="AP72" s="1214"/>
      <c r="AQ72" s="1214"/>
      <c r="AR72" s="1214"/>
      <c r="AS72" s="1214"/>
      <c r="AT72" s="1214"/>
      <c r="AU72" s="1214"/>
      <c r="AV72" s="1214"/>
      <c r="AW72" s="1214"/>
      <c r="AX72" s="1214"/>
      <c r="AY72" s="1214"/>
      <c r="AZ72" s="1214"/>
      <c r="BA72" s="1214"/>
      <c r="BB72" s="1214">
        <v>449</v>
      </c>
      <c r="BC72" s="1214">
        <f>607-BB72</f>
        <v>158</v>
      </c>
      <c r="BD72" s="1214">
        <f>730-BB72-BC72</f>
        <v>123</v>
      </c>
      <c r="BE72" s="1214">
        <f>903-BD72-BC72-BB72</f>
        <v>173</v>
      </c>
      <c r="BF72" s="1214">
        <f t="shared" ref="BF72:BL72" si="87">BF76-BF61-BF68</f>
        <v>85</v>
      </c>
      <c r="BG72" s="1214">
        <f t="shared" si="87"/>
        <v>150</v>
      </c>
      <c r="BH72" s="1214">
        <f t="shared" si="87"/>
        <v>137</v>
      </c>
      <c r="BI72" s="1214">
        <f t="shared" si="87"/>
        <v>182</v>
      </c>
      <c r="BJ72" s="1214">
        <f t="shared" si="87"/>
        <v>79</v>
      </c>
      <c r="BK72" s="1214">
        <f t="shared" si="87"/>
        <v>101</v>
      </c>
      <c r="BL72" s="1214">
        <f t="shared" si="87"/>
        <v>90</v>
      </c>
      <c r="BM72" s="1214">
        <f>375-BJ72-BK72-BL72</f>
        <v>105</v>
      </c>
      <c r="BN72" s="1252">
        <v>57</v>
      </c>
      <c r="BO72" s="1214">
        <f t="shared" ref="BO72:BX72" si="88">BO76-BO61-BO68</f>
        <v>98</v>
      </c>
      <c r="BP72" s="1214">
        <f t="shared" si="88"/>
        <v>100</v>
      </c>
      <c r="BQ72" s="1214">
        <f t="shared" si="88"/>
        <v>108</v>
      </c>
      <c r="BR72" s="1218">
        <f t="shared" si="88"/>
        <v>68</v>
      </c>
      <c r="BS72" s="1214">
        <f t="shared" si="88"/>
        <v>78</v>
      </c>
      <c r="BT72" s="1214">
        <f t="shared" si="88"/>
        <v>73</v>
      </c>
      <c r="BU72" s="1214">
        <f t="shared" si="88"/>
        <v>98</v>
      </c>
      <c r="BV72" s="1218">
        <f t="shared" si="88"/>
        <v>54</v>
      </c>
      <c r="BW72" s="1214">
        <f t="shared" si="88"/>
        <v>76</v>
      </c>
      <c r="BX72" s="1214">
        <f t="shared" si="88"/>
        <v>94</v>
      </c>
      <c r="BY72" s="1214">
        <f>BY76-BY61-BY68</f>
        <v>179</v>
      </c>
      <c r="BZ72" s="1252">
        <v>72</v>
      </c>
      <c r="CA72" s="1253">
        <f>BZ72</f>
        <v>72</v>
      </c>
      <c r="CB72" s="1253">
        <v>71</v>
      </c>
      <c r="CC72" s="1253">
        <f>CB72</f>
        <v>71</v>
      </c>
      <c r="CD72" s="1253"/>
      <c r="CE72" s="1253"/>
      <c r="CF72" s="1253"/>
      <c r="CG72" s="1253"/>
      <c r="CH72" s="1402"/>
      <c r="CI72" s="1240"/>
      <c r="CJ72" s="1427">
        <f>+O72-SUM(BV72:BY72)</f>
        <v>0</v>
      </c>
      <c r="CK72" s="1427"/>
      <c r="CL72" s="1427"/>
      <c r="CM72" s="946"/>
      <c r="CN72" s="946"/>
      <c r="CO72" s="946"/>
      <c r="CP72" s="946"/>
      <c r="CQ72" s="946"/>
      <c r="CR72" s="946"/>
      <c r="CS72" s="946"/>
      <c r="CT72" s="946"/>
      <c r="CU72" s="946"/>
      <c r="CV72" s="946"/>
      <c r="CW72" s="946"/>
      <c r="CX72" s="946"/>
    </row>
    <row r="73" spans="1:102" ht="13.5" hidden="1" customHeight="1" outlineLevel="1">
      <c r="A73" s="1225" t="s">
        <v>211</v>
      </c>
      <c r="B73" s="1198"/>
      <c r="C73" s="1198"/>
      <c r="D73" s="1198"/>
      <c r="E73" s="1198"/>
      <c r="F73" s="1198"/>
      <c r="G73" s="1338"/>
      <c r="H73" s="1227">
        <f t="shared" ref="H73:S73" si="89">H72/H$76</f>
        <v>0.14278009977079681</v>
      </c>
      <c r="I73" s="1227">
        <f t="shared" si="89"/>
        <v>0.11480470141279829</v>
      </c>
      <c r="J73" s="1227">
        <f t="shared" si="89"/>
        <v>0.32353994983876749</v>
      </c>
      <c r="K73" s="1227">
        <f t="shared" si="89"/>
        <v>0.26046074283027737</v>
      </c>
      <c r="L73" s="1227">
        <f t="shared" si="89"/>
        <v>0.21663778162911612</v>
      </c>
      <c r="M73" s="1227">
        <f t="shared" si="89"/>
        <v>0.2250464972101674</v>
      </c>
      <c r="N73" s="1227">
        <f t="shared" si="89"/>
        <v>0.19424019607843138</v>
      </c>
      <c r="O73" s="1230">
        <f t="shared" si="89"/>
        <v>0.24146195326542841</v>
      </c>
      <c r="P73" s="1227" t="e">
        <f t="shared" si="89"/>
        <v>#REF!</v>
      </c>
      <c r="Q73" s="1227" t="e">
        <f t="shared" si="89"/>
        <v>#REF!</v>
      </c>
      <c r="R73" s="1227" t="e">
        <f t="shared" si="89"/>
        <v>#REF!</v>
      </c>
      <c r="S73" s="1227" t="e">
        <f t="shared" si="89"/>
        <v>#REF!</v>
      </c>
      <c r="T73" s="946"/>
      <c r="U73" s="946"/>
      <c r="V73" s="946"/>
      <c r="W73" s="946"/>
      <c r="X73" s="1198"/>
      <c r="Y73" s="1198"/>
      <c r="Z73" s="1227"/>
      <c r="AA73" s="1227"/>
      <c r="AB73" s="1227"/>
      <c r="AC73" s="1227"/>
      <c r="AD73" s="1227"/>
      <c r="AE73" s="1227"/>
      <c r="AF73" s="1227"/>
      <c r="AG73" s="1227"/>
      <c r="AH73" s="1227"/>
      <c r="AI73" s="1227"/>
      <c r="AJ73" s="1227"/>
      <c r="AK73" s="1227"/>
      <c r="AL73" s="1227"/>
      <c r="AM73" s="1227"/>
      <c r="AN73" s="1227"/>
      <c r="AO73" s="1227"/>
      <c r="AP73" s="1227"/>
      <c r="AQ73" s="1227"/>
      <c r="AR73" s="1227"/>
      <c r="AS73" s="1227"/>
      <c r="AT73" s="1227"/>
      <c r="AU73" s="1227"/>
      <c r="AV73" s="1227"/>
      <c r="AW73" s="1227"/>
      <c r="AX73" s="1227"/>
      <c r="AY73" s="1227"/>
      <c r="AZ73" s="1227"/>
      <c r="BA73" s="1227"/>
      <c r="BB73" s="1227">
        <f t="shared" ref="BB73:CC73" si="90">BB72/BB$76</f>
        <v>0.38147833474936277</v>
      </c>
      <c r="BC73" s="1227">
        <f t="shared" si="90"/>
        <v>0.25401929260450162</v>
      </c>
      <c r="BD73" s="1227">
        <f t="shared" si="90"/>
        <v>0.28671328671328672</v>
      </c>
      <c r="BE73" s="1227">
        <f t="shared" si="90"/>
        <v>0.30728241563055064</v>
      </c>
      <c r="BF73" s="1227">
        <f t="shared" si="90"/>
        <v>0.19813519813519814</v>
      </c>
      <c r="BG73" s="1227">
        <f t="shared" si="90"/>
        <v>0.2782931354359926</v>
      </c>
      <c r="BH73" s="1227">
        <f t="shared" si="90"/>
        <v>0.25370370370370371</v>
      </c>
      <c r="BI73" s="1227">
        <f t="shared" si="90"/>
        <v>0.2940226171243942</v>
      </c>
      <c r="BJ73" s="1227">
        <f t="shared" si="90"/>
        <v>0.17324561403508773</v>
      </c>
      <c r="BK73" s="1227">
        <f t="shared" si="90"/>
        <v>0.20696721311475411</v>
      </c>
      <c r="BL73" s="1227">
        <f t="shared" si="90"/>
        <v>0.21531100478468901</v>
      </c>
      <c r="BM73" s="1227">
        <f t="shared" si="90"/>
        <v>0.28455284552845528</v>
      </c>
      <c r="BN73" s="1231">
        <f t="shared" si="90"/>
        <v>0.18210862619808307</v>
      </c>
      <c r="BO73" s="1227">
        <f t="shared" si="90"/>
        <v>0.27840909090909088</v>
      </c>
      <c r="BP73" s="1227">
        <f t="shared" si="90"/>
        <v>0.2247191011235955</v>
      </c>
      <c r="BQ73" s="1227">
        <f t="shared" si="90"/>
        <v>0.2147117296222664</v>
      </c>
      <c r="BR73" s="1231">
        <f t="shared" si="90"/>
        <v>0.17435897435897435</v>
      </c>
      <c r="BS73" s="1227">
        <f t="shared" si="90"/>
        <v>0.17647058823529413</v>
      </c>
      <c r="BT73" s="1227">
        <f t="shared" si="90"/>
        <v>0.18527918781725888</v>
      </c>
      <c r="BU73" s="1227">
        <f t="shared" si="90"/>
        <v>0.2413793103448276</v>
      </c>
      <c r="BV73" s="1231">
        <f t="shared" si="90"/>
        <v>0.16981132075471697</v>
      </c>
      <c r="BW73" s="1227">
        <f t="shared" si="90"/>
        <v>0.17840375586854459</v>
      </c>
      <c r="BX73" s="1227">
        <f t="shared" si="90"/>
        <v>0.22380952380952382</v>
      </c>
      <c r="BY73" s="1227">
        <f t="shared" si="90"/>
        <v>0.35445544554455444</v>
      </c>
      <c r="BZ73" s="1231">
        <f t="shared" si="90"/>
        <v>0.17307692307692307</v>
      </c>
      <c r="CA73" s="1227">
        <f t="shared" si="90"/>
        <v>0.16247164397782096</v>
      </c>
      <c r="CB73" s="1227" t="e">
        <f t="shared" si="90"/>
        <v>#REF!</v>
      </c>
      <c r="CC73" s="1227" t="e">
        <f t="shared" si="90"/>
        <v>#REF!</v>
      </c>
      <c r="CD73" s="1227"/>
      <c r="CE73" s="1227"/>
      <c r="CF73" s="1227"/>
      <c r="CG73" s="1227"/>
      <c r="CH73" s="1402"/>
      <c r="CI73" s="1290"/>
      <c r="CJ73" s="1427"/>
      <c r="CK73" s="1427"/>
      <c r="CL73" s="1427"/>
      <c r="CM73" s="946"/>
      <c r="CN73" s="946"/>
      <c r="CO73" s="946"/>
      <c r="CP73" s="946"/>
      <c r="CQ73" s="946"/>
      <c r="CR73" s="946"/>
      <c r="CS73" s="946"/>
      <c r="CT73" s="946"/>
      <c r="CU73" s="946"/>
      <c r="CV73" s="946"/>
      <c r="CW73" s="946"/>
      <c r="CX73" s="946"/>
    </row>
    <row r="74" spans="1:102" ht="13.5" hidden="1" customHeight="1" outlineLevel="1">
      <c r="A74" s="1225" t="s">
        <v>993</v>
      </c>
      <c r="B74" s="1198"/>
      <c r="C74" s="1198"/>
      <c r="D74" s="1198"/>
      <c r="E74" s="1198"/>
      <c r="F74" s="1198"/>
      <c r="G74" s="1338"/>
      <c r="H74" s="1227"/>
      <c r="I74" s="1227">
        <f t="shared" ref="I74:P74" si="91">I72/H72-1</f>
        <v>-8.6874409820585474E-2</v>
      </c>
      <c r="J74" s="1227">
        <f t="shared" si="91"/>
        <v>-6.6184074457083741E-2</v>
      </c>
      <c r="K74" s="1227">
        <f t="shared" si="91"/>
        <v>-0.38648947951273538</v>
      </c>
      <c r="L74" s="1227">
        <f t="shared" si="91"/>
        <v>-0.32310469314079426</v>
      </c>
      <c r="M74" s="1227">
        <f t="shared" si="91"/>
        <v>-3.2000000000000028E-2</v>
      </c>
      <c r="N74" s="1227">
        <f t="shared" si="91"/>
        <v>-0.1267217630853994</v>
      </c>
      <c r="O74" s="1230">
        <f t="shared" si="91"/>
        <v>0.27129337539432186</v>
      </c>
      <c r="P74" s="1227">
        <f t="shared" si="91"/>
        <v>-0.29032258064516125</v>
      </c>
      <c r="Q74" s="1255">
        <v>-0.01</v>
      </c>
      <c r="R74" s="1255">
        <v>-0.01</v>
      </c>
      <c r="S74" s="1255">
        <v>-0.01</v>
      </c>
      <c r="T74" s="946"/>
      <c r="U74" s="946"/>
      <c r="V74" s="946"/>
      <c r="W74" s="946"/>
      <c r="X74" s="1198"/>
      <c r="Y74" s="1198"/>
      <c r="Z74" s="1227"/>
      <c r="AA74" s="1227"/>
      <c r="AB74" s="1227"/>
      <c r="AC74" s="1227"/>
      <c r="AD74" s="1227"/>
      <c r="AE74" s="1227"/>
      <c r="AF74" s="1227"/>
      <c r="AG74" s="1227"/>
      <c r="AH74" s="1227"/>
      <c r="AI74" s="1227"/>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f t="shared" ref="BF74:CC74" si="92">BF72/BB72-1</f>
        <v>-0.81069042316258355</v>
      </c>
      <c r="BG74" s="1227">
        <f t="shared" si="92"/>
        <v>-5.0632911392405111E-2</v>
      </c>
      <c r="BH74" s="1227">
        <f t="shared" si="92"/>
        <v>0.11382113821138207</v>
      </c>
      <c r="BI74" s="1227">
        <f t="shared" si="92"/>
        <v>5.2023121387283267E-2</v>
      </c>
      <c r="BJ74" s="1227">
        <f t="shared" si="92"/>
        <v>-7.0588235294117618E-2</v>
      </c>
      <c r="BK74" s="1227">
        <f t="shared" si="92"/>
        <v>-0.32666666666666666</v>
      </c>
      <c r="BL74" s="1227">
        <f t="shared" si="92"/>
        <v>-0.34306569343065696</v>
      </c>
      <c r="BM74" s="1227">
        <f t="shared" si="92"/>
        <v>-0.42307692307692313</v>
      </c>
      <c r="BN74" s="1231">
        <f t="shared" si="92"/>
        <v>-0.27848101265822789</v>
      </c>
      <c r="BO74" s="1227">
        <f t="shared" si="92"/>
        <v>-2.9702970297029729E-2</v>
      </c>
      <c r="BP74" s="1227">
        <f t="shared" si="92"/>
        <v>0.11111111111111116</v>
      </c>
      <c r="BQ74" s="1227">
        <f t="shared" si="92"/>
        <v>2.857142857142847E-2</v>
      </c>
      <c r="BR74" s="1231">
        <f t="shared" si="92"/>
        <v>0.19298245614035081</v>
      </c>
      <c r="BS74" s="1227">
        <f t="shared" si="92"/>
        <v>-0.20408163265306123</v>
      </c>
      <c r="BT74" s="1227">
        <f t="shared" si="92"/>
        <v>-0.27</v>
      </c>
      <c r="BU74" s="1227">
        <f t="shared" si="92"/>
        <v>-9.259259259259256E-2</v>
      </c>
      <c r="BV74" s="1231">
        <f t="shared" si="92"/>
        <v>-0.20588235294117652</v>
      </c>
      <c r="BW74" s="1227">
        <f t="shared" si="92"/>
        <v>-2.5641025641025661E-2</v>
      </c>
      <c r="BX74" s="1227">
        <f t="shared" si="92"/>
        <v>0.28767123287671237</v>
      </c>
      <c r="BY74" s="1227">
        <f t="shared" si="92"/>
        <v>0.82653061224489788</v>
      </c>
      <c r="BZ74" s="1231">
        <f t="shared" si="92"/>
        <v>0.33333333333333326</v>
      </c>
      <c r="CA74" s="1227">
        <f t="shared" si="92"/>
        <v>-5.2631578947368474E-2</v>
      </c>
      <c r="CB74" s="1227">
        <f t="shared" si="92"/>
        <v>-0.24468085106382975</v>
      </c>
      <c r="CC74" s="1227">
        <f t="shared" si="92"/>
        <v>-0.6033519553072626</v>
      </c>
      <c r="CD74" s="1227"/>
      <c r="CE74" s="1227"/>
      <c r="CF74" s="1227"/>
      <c r="CG74" s="1227"/>
      <c r="CH74" s="1402"/>
      <c r="CI74" s="1290"/>
      <c r="CJ74" s="1427"/>
      <c r="CK74" s="1427"/>
      <c r="CL74" s="1427"/>
      <c r="CM74" s="946"/>
      <c r="CN74" s="946"/>
      <c r="CO74" s="946"/>
      <c r="CP74" s="946"/>
      <c r="CQ74" s="946"/>
      <c r="CR74" s="946"/>
      <c r="CS74" s="946"/>
      <c r="CT74" s="946"/>
      <c r="CU74" s="946"/>
      <c r="CV74" s="946"/>
      <c r="CW74" s="946"/>
      <c r="CX74" s="946"/>
    </row>
    <row r="75" spans="1:102" ht="13.5" hidden="1" customHeight="1" outlineLevel="1">
      <c r="A75" s="1225" t="s">
        <v>212</v>
      </c>
      <c r="B75" s="1198"/>
      <c r="C75" s="1198"/>
      <c r="D75" s="1198"/>
      <c r="E75" s="1198"/>
      <c r="F75" s="1198"/>
      <c r="G75" s="1338"/>
      <c r="H75" s="1227">
        <v>20.764705882352942</v>
      </c>
      <c r="I75" s="1227">
        <v>24.794871794871796</v>
      </c>
      <c r="J75" s="1227">
        <v>21.5</v>
      </c>
      <c r="K75" s="1227">
        <v>12.590909090909092</v>
      </c>
      <c r="L75" s="1227">
        <v>9.615384615384615</v>
      </c>
      <c r="M75" s="1227">
        <v>8.8536585365853657</v>
      </c>
      <c r="N75" s="1227">
        <v>8.3421052631578956</v>
      </c>
      <c r="O75" s="1230">
        <v>11.194444444444445</v>
      </c>
      <c r="P75" s="1227">
        <v>7.9444444444444446</v>
      </c>
      <c r="Q75" s="1227">
        <v>7.7871287128712865</v>
      </c>
      <c r="R75" s="1227">
        <v>7.5580955154338945</v>
      </c>
      <c r="S75" s="1227">
        <v>7.2645772429898594</v>
      </c>
      <c r="T75" s="946"/>
      <c r="U75" s="946"/>
      <c r="V75" s="946"/>
      <c r="W75" s="946"/>
      <c r="X75" s="1198"/>
      <c r="Y75" s="1198"/>
      <c r="Z75" s="1227"/>
      <c r="AA75" s="1227"/>
      <c r="AB75" s="1227"/>
      <c r="AC75" s="1227"/>
      <c r="AD75" s="1227"/>
      <c r="AE75" s="1227"/>
      <c r="AF75" s="1227"/>
      <c r="AG75" s="1227"/>
      <c r="AH75" s="1227"/>
      <c r="AI75" s="1227"/>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v>12.3</v>
      </c>
      <c r="BE75" s="1227">
        <v>15.727272727272727</v>
      </c>
      <c r="BF75" s="1227">
        <v>8.5</v>
      </c>
      <c r="BG75" s="1227">
        <v>13.636363636363637</v>
      </c>
      <c r="BH75" s="1227">
        <v>11.416666666666666</v>
      </c>
      <c r="BI75" s="1227">
        <v>22.75</v>
      </c>
      <c r="BJ75" s="1227">
        <v>7.1818181818181817</v>
      </c>
      <c r="BK75" s="1227">
        <v>7.7692307692307692</v>
      </c>
      <c r="BL75" s="1227">
        <v>6.9230769230769234</v>
      </c>
      <c r="BM75" s="1227">
        <v>13.125</v>
      </c>
      <c r="BN75" s="1231">
        <v>6.333333333333333</v>
      </c>
      <c r="BO75" s="1227">
        <v>10.888888888888889</v>
      </c>
      <c r="BP75" s="1227">
        <v>9.0909090909090917</v>
      </c>
      <c r="BQ75" s="1227">
        <v>12</v>
      </c>
      <c r="BR75" s="1231">
        <v>5.666666666666667</v>
      </c>
      <c r="BS75" s="1227">
        <v>8.6666666666666661</v>
      </c>
      <c r="BT75" s="1227">
        <v>7.3</v>
      </c>
      <c r="BU75" s="1227">
        <v>9.8000000000000007</v>
      </c>
      <c r="BV75" s="1231">
        <v>6</v>
      </c>
      <c r="BW75" s="1227">
        <v>8.4444444444444446</v>
      </c>
      <c r="BX75" s="1227">
        <v>10.444444444444445</v>
      </c>
      <c r="BY75" s="1227">
        <v>17.899999999999999</v>
      </c>
      <c r="BZ75" s="1231">
        <v>9</v>
      </c>
      <c r="CA75" s="1227">
        <v>8</v>
      </c>
      <c r="CB75" s="1227">
        <v>7.8888888888888893</v>
      </c>
      <c r="CC75" s="1227">
        <v>7.8888888888888893</v>
      </c>
      <c r="CD75" s="1227"/>
      <c r="CE75" s="1227"/>
      <c r="CF75" s="1227"/>
      <c r="CG75" s="1227"/>
      <c r="CH75" s="1402"/>
      <c r="CI75" s="1290"/>
      <c r="CJ75" s="1427"/>
      <c r="CK75" s="1427"/>
      <c r="CL75" s="1427"/>
      <c r="CM75" s="946"/>
      <c r="CN75" s="946"/>
      <c r="CO75" s="946"/>
      <c r="CP75" s="946"/>
      <c r="CQ75" s="946"/>
      <c r="CR75" s="946"/>
      <c r="CS75" s="946"/>
      <c r="CT75" s="946"/>
      <c r="CU75" s="946"/>
      <c r="CV75" s="946"/>
      <c r="CW75" s="946"/>
      <c r="CX75" s="946"/>
    </row>
    <row r="76" spans="1:102" ht="15" hidden="1" customHeight="1" outlineLevel="1">
      <c r="A76" s="1213" t="s">
        <v>701</v>
      </c>
      <c r="B76" s="1213"/>
      <c r="C76" s="1213"/>
      <c r="D76" s="1213"/>
      <c r="E76" s="1213"/>
      <c r="F76" s="1213"/>
      <c r="G76" s="1214"/>
      <c r="H76" s="1214">
        <f>H72+H68+H61</f>
        <v>7417</v>
      </c>
      <c r="I76" s="1214">
        <f>I72+I68+I61</f>
        <v>8423</v>
      </c>
      <c r="J76" s="1214">
        <f>J72+J68+J61</f>
        <v>2791</v>
      </c>
      <c r="K76" s="1214">
        <f>SUM(BF76:BI76)</f>
        <v>2127</v>
      </c>
      <c r="L76" s="1214">
        <f>SUM(BJ76:BM76)</f>
        <v>1731</v>
      </c>
      <c r="M76" s="1214">
        <f>SUM(BN76:BQ76)</f>
        <v>1613</v>
      </c>
      <c r="N76" s="1214">
        <f t="shared" ref="N76:S76" si="93">N61+N68+N72</f>
        <v>1632</v>
      </c>
      <c r="O76" s="1217">
        <f t="shared" si="93"/>
        <v>1669</v>
      </c>
      <c r="P76" s="1214" t="e">
        <f t="shared" si="93"/>
        <v>#REF!</v>
      </c>
      <c r="Q76" s="1214" t="e">
        <f t="shared" si="93"/>
        <v>#REF!</v>
      </c>
      <c r="R76" s="1214" t="e">
        <f t="shared" si="93"/>
        <v>#REF!</v>
      </c>
      <c r="S76" s="1214" t="e">
        <f t="shared" si="93"/>
        <v>#REF!</v>
      </c>
      <c r="T76" s="946"/>
      <c r="U76" s="946"/>
      <c r="V76" s="946"/>
      <c r="W76" s="946"/>
      <c r="X76" s="1198"/>
      <c r="Y76" s="1198"/>
      <c r="Z76" s="1214"/>
      <c r="AA76" s="1214"/>
      <c r="AB76" s="1214"/>
      <c r="AC76" s="1214"/>
      <c r="AD76" s="1214"/>
      <c r="AE76" s="1214"/>
      <c r="AF76" s="1214"/>
      <c r="AG76" s="1214"/>
      <c r="AH76" s="1214"/>
      <c r="AI76" s="1214"/>
      <c r="AJ76" s="1214"/>
      <c r="AK76" s="1214"/>
      <c r="AL76" s="1214"/>
      <c r="AM76" s="1214"/>
      <c r="AN76" s="1214"/>
      <c r="AO76" s="1214"/>
      <c r="AP76" s="1214"/>
      <c r="AQ76" s="1214"/>
      <c r="AR76" s="1214"/>
      <c r="AS76" s="1214"/>
      <c r="AT76" s="1214"/>
      <c r="AU76" s="1214"/>
      <c r="AV76" s="1214"/>
      <c r="AW76" s="1214"/>
      <c r="AX76" s="1214"/>
      <c r="AY76" s="1214"/>
      <c r="AZ76" s="1214"/>
      <c r="BA76" s="1214"/>
      <c r="BB76" s="1214">
        <f>BB72+BB68+BB61</f>
        <v>1177</v>
      </c>
      <c r="BC76" s="1214">
        <f>BC72+BC68+BC61</f>
        <v>622</v>
      </c>
      <c r="BD76" s="1214">
        <f>BD72+BD68+BD61</f>
        <v>429</v>
      </c>
      <c r="BE76" s="1214">
        <f>BE72+BE68+BE61</f>
        <v>563</v>
      </c>
      <c r="BF76" s="1214">
        <f t="shared" ref="BF76:BL76" si="94">BF56</f>
        <v>429</v>
      </c>
      <c r="BG76" s="1214">
        <f t="shared" si="94"/>
        <v>539</v>
      </c>
      <c r="BH76" s="1214">
        <f t="shared" si="94"/>
        <v>540</v>
      </c>
      <c r="BI76" s="1214">
        <f t="shared" si="94"/>
        <v>619</v>
      </c>
      <c r="BJ76" s="1214">
        <f t="shared" si="94"/>
        <v>456</v>
      </c>
      <c r="BK76" s="1214">
        <f t="shared" si="94"/>
        <v>488</v>
      </c>
      <c r="BL76" s="1214">
        <f t="shared" si="94"/>
        <v>418</v>
      </c>
      <c r="BM76" s="1214">
        <f>BM61+BM68+BM72</f>
        <v>369</v>
      </c>
      <c r="BN76" s="1218">
        <f t="shared" ref="BN76:BX76" si="95">BN56</f>
        <v>313</v>
      </c>
      <c r="BO76" s="1214">
        <f t="shared" si="95"/>
        <v>352</v>
      </c>
      <c r="BP76" s="1214">
        <f t="shared" si="95"/>
        <v>445</v>
      </c>
      <c r="BQ76" s="1214">
        <f t="shared" si="95"/>
        <v>503</v>
      </c>
      <c r="BR76" s="1218">
        <f t="shared" si="95"/>
        <v>390</v>
      </c>
      <c r="BS76" s="1214">
        <f t="shared" si="95"/>
        <v>442</v>
      </c>
      <c r="BT76" s="1214">
        <f t="shared" si="95"/>
        <v>394</v>
      </c>
      <c r="BU76" s="1214">
        <f t="shared" si="95"/>
        <v>406</v>
      </c>
      <c r="BV76" s="1218">
        <f t="shared" si="95"/>
        <v>318</v>
      </c>
      <c r="BW76" s="1214">
        <f t="shared" si="95"/>
        <v>426</v>
      </c>
      <c r="BX76" s="1214">
        <f t="shared" si="95"/>
        <v>420</v>
      </c>
      <c r="BY76" s="1214">
        <f>BY56</f>
        <v>505</v>
      </c>
      <c r="BZ76" s="1218">
        <f>BZ56</f>
        <v>416</v>
      </c>
      <c r="CA76" s="1214">
        <f>CA61+CA68+CA72</f>
        <v>443.15425287275815</v>
      </c>
      <c r="CB76" s="1214" t="e">
        <f>CB61+CB68+CB72</f>
        <v>#REF!</v>
      </c>
      <c r="CC76" s="1214" t="e">
        <f>CC61+CC68+CC72</f>
        <v>#REF!</v>
      </c>
      <c r="CD76" s="1214"/>
      <c r="CE76" s="1214"/>
      <c r="CF76" s="1214"/>
      <c r="CG76" s="1214"/>
      <c r="CH76" s="1402"/>
      <c r="CI76" s="1240"/>
      <c r="CJ76" s="1427">
        <f>+O76-SUM(BV76:BY76)</f>
        <v>0</v>
      </c>
      <c r="CK76" s="1427"/>
      <c r="CL76" s="1427"/>
      <c r="CM76" s="946"/>
      <c r="CN76" s="946"/>
      <c r="CO76" s="946"/>
      <c r="CP76" s="946"/>
      <c r="CQ76" s="946"/>
      <c r="CR76" s="946"/>
      <c r="CS76" s="946"/>
      <c r="CT76" s="946"/>
      <c r="CU76" s="946"/>
      <c r="CV76" s="946"/>
      <c r="CW76" s="946"/>
      <c r="CX76" s="946"/>
    </row>
    <row r="77" spans="1:102" ht="13.5" hidden="1" customHeight="1" outlineLevel="1">
      <c r="A77" s="1225" t="s">
        <v>211</v>
      </c>
      <c r="B77" s="1198"/>
      <c r="C77" s="1198"/>
      <c r="D77" s="1198"/>
      <c r="E77" s="1198"/>
      <c r="F77" s="1198"/>
      <c r="G77" s="1338"/>
      <c r="H77" s="1227">
        <f>AVERAGE(G77,I77)</f>
        <v>0.125</v>
      </c>
      <c r="I77" s="1227">
        <v>0.125</v>
      </c>
      <c r="J77" s="1227">
        <v>0.125</v>
      </c>
      <c r="K77" s="1227">
        <v>0.125</v>
      </c>
      <c r="L77" s="1227">
        <v>0.125</v>
      </c>
      <c r="M77" s="1227">
        <f t="shared" ref="M77:S77" si="96">M76/M$76</f>
        <v>1</v>
      </c>
      <c r="N77" s="1227">
        <f t="shared" si="96"/>
        <v>1</v>
      </c>
      <c r="O77" s="1230">
        <f t="shared" si="96"/>
        <v>1</v>
      </c>
      <c r="P77" s="1227" t="e">
        <f t="shared" si="96"/>
        <v>#REF!</v>
      </c>
      <c r="Q77" s="1227" t="e">
        <f t="shared" si="96"/>
        <v>#REF!</v>
      </c>
      <c r="R77" s="1227" t="e">
        <f t="shared" si="96"/>
        <v>#REF!</v>
      </c>
      <c r="S77" s="1227" t="e">
        <f t="shared" si="96"/>
        <v>#REF!</v>
      </c>
      <c r="T77" s="946"/>
      <c r="U77" s="946"/>
      <c r="V77" s="946"/>
      <c r="W77" s="946"/>
      <c r="X77" s="1198"/>
      <c r="Y77" s="1198"/>
      <c r="Z77" s="1227"/>
      <c r="AA77" s="1227"/>
      <c r="AB77" s="1227"/>
      <c r="AC77" s="1227"/>
      <c r="AD77" s="1227"/>
      <c r="AE77" s="1227"/>
      <c r="AF77" s="1227"/>
      <c r="AG77" s="1227"/>
      <c r="AH77" s="1227"/>
      <c r="AI77" s="1227"/>
      <c r="AJ77" s="1227"/>
      <c r="AK77" s="1227"/>
      <c r="AL77" s="1227"/>
      <c r="AM77" s="1227"/>
      <c r="AN77" s="1227"/>
      <c r="AO77" s="1227"/>
      <c r="AP77" s="1227"/>
      <c r="AQ77" s="1227"/>
      <c r="AR77" s="1227"/>
      <c r="AS77" s="1227"/>
      <c r="AT77" s="1227"/>
      <c r="AU77" s="1227"/>
      <c r="AV77" s="1227"/>
      <c r="AW77" s="1227"/>
      <c r="AX77" s="1227"/>
      <c r="AY77" s="1227"/>
      <c r="AZ77" s="1227"/>
      <c r="BA77" s="1227"/>
      <c r="BB77" s="1227">
        <f t="shared" ref="BB77:CC77" si="97">BB76/BB$76</f>
        <v>1</v>
      </c>
      <c r="BC77" s="1227">
        <f t="shared" si="97"/>
        <v>1</v>
      </c>
      <c r="BD77" s="1227">
        <f t="shared" si="97"/>
        <v>1</v>
      </c>
      <c r="BE77" s="1227">
        <f t="shared" si="97"/>
        <v>1</v>
      </c>
      <c r="BF77" s="1227">
        <f t="shared" si="97"/>
        <v>1</v>
      </c>
      <c r="BG77" s="1227">
        <f t="shared" si="97"/>
        <v>1</v>
      </c>
      <c r="BH77" s="1227">
        <f t="shared" si="97"/>
        <v>1</v>
      </c>
      <c r="BI77" s="1227">
        <f t="shared" si="97"/>
        <v>1</v>
      </c>
      <c r="BJ77" s="1227">
        <f t="shared" si="97"/>
        <v>1</v>
      </c>
      <c r="BK77" s="1227">
        <f t="shared" si="97"/>
        <v>1</v>
      </c>
      <c r="BL77" s="1227">
        <f t="shared" si="97"/>
        <v>1</v>
      </c>
      <c r="BM77" s="1227">
        <f t="shared" si="97"/>
        <v>1</v>
      </c>
      <c r="BN77" s="1231">
        <f t="shared" si="97"/>
        <v>1</v>
      </c>
      <c r="BO77" s="1227">
        <f t="shared" si="97"/>
        <v>1</v>
      </c>
      <c r="BP77" s="1227">
        <f t="shared" si="97"/>
        <v>1</v>
      </c>
      <c r="BQ77" s="1227">
        <f t="shared" si="97"/>
        <v>1</v>
      </c>
      <c r="BR77" s="1231">
        <f t="shared" si="97"/>
        <v>1</v>
      </c>
      <c r="BS77" s="1227">
        <f t="shared" si="97"/>
        <v>1</v>
      </c>
      <c r="BT77" s="1227">
        <f t="shared" si="97"/>
        <v>1</v>
      </c>
      <c r="BU77" s="1227">
        <f t="shared" si="97"/>
        <v>1</v>
      </c>
      <c r="BV77" s="1231">
        <f t="shared" si="97"/>
        <v>1</v>
      </c>
      <c r="BW77" s="1227">
        <f t="shared" si="97"/>
        <v>1</v>
      </c>
      <c r="BX77" s="1227">
        <f t="shared" si="97"/>
        <v>1</v>
      </c>
      <c r="BY77" s="1227">
        <f t="shared" si="97"/>
        <v>1</v>
      </c>
      <c r="BZ77" s="1231">
        <f t="shared" si="97"/>
        <v>1</v>
      </c>
      <c r="CA77" s="1227">
        <f t="shared" si="97"/>
        <v>1</v>
      </c>
      <c r="CB77" s="1227" t="e">
        <f t="shared" si="97"/>
        <v>#REF!</v>
      </c>
      <c r="CC77" s="1227" t="e">
        <f t="shared" si="97"/>
        <v>#REF!</v>
      </c>
      <c r="CD77" s="1227"/>
      <c r="CE77" s="1227"/>
      <c r="CF77" s="1227"/>
      <c r="CG77" s="1227"/>
      <c r="CH77" s="1402"/>
      <c r="CI77" s="1290"/>
      <c r="CJ77" s="1427"/>
      <c r="CK77" s="1427"/>
      <c r="CL77" s="1427"/>
      <c r="CM77" s="946"/>
      <c r="CN77" s="946"/>
      <c r="CO77" s="946"/>
      <c r="CP77" s="946"/>
      <c r="CQ77" s="946"/>
      <c r="CR77" s="946"/>
      <c r="CS77" s="946"/>
      <c r="CT77" s="946"/>
      <c r="CU77" s="946"/>
      <c r="CV77" s="946"/>
      <c r="CW77" s="946"/>
      <c r="CX77" s="946"/>
    </row>
    <row r="78" spans="1:102" ht="13.5" hidden="1" customHeight="1" outlineLevel="1">
      <c r="A78" s="1225" t="s">
        <v>993</v>
      </c>
      <c r="B78" s="1198"/>
      <c r="C78" s="1198"/>
      <c r="D78" s="1198"/>
      <c r="E78" s="1198"/>
      <c r="F78" s="1198"/>
      <c r="G78" s="1338"/>
      <c r="H78" s="1227"/>
      <c r="I78" s="1227">
        <f t="shared" ref="I78:S78" si="98">I76/H76-1</f>
        <v>0.13563435351220177</v>
      </c>
      <c r="J78" s="1227">
        <f t="shared" si="98"/>
        <v>-0.66864537575685623</v>
      </c>
      <c r="K78" s="1227">
        <f t="shared" si="98"/>
        <v>-0.23790756001433178</v>
      </c>
      <c r="L78" s="1227">
        <f t="shared" si="98"/>
        <v>-0.18617771509167846</v>
      </c>
      <c r="M78" s="1227">
        <f t="shared" si="98"/>
        <v>-6.8168688619295259E-2</v>
      </c>
      <c r="N78" s="1227">
        <f t="shared" si="98"/>
        <v>1.1779293242405453E-2</v>
      </c>
      <c r="O78" s="1230">
        <f t="shared" si="98"/>
        <v>2.2671568627451011E-2</v>
      </c>
      <c r="P78" s="1227" t="e">
        <f t="shared" si="98"/>
        <v>#REF!</v>
      </c>
      <c r="Q78" s="1227" t="e">
        <f t="shared" si="98"/>
        <v>#REF!</v>
      </c>
      <c r="R78" s="1227" t="e">
        <f t="shared" si="98"/>
        <v>#REF!</v>
      </c>
      <c r="S78" s="1227" t="e">
        <f t="shared" si="98"/>
        <v>#REF!</v>
      </c>
      <c r="T78" s="946"/>
      <c r="U78" s="946"/>
      <c r="V78" s="946"/>
      <c r="W78" s="946"/>
      <c r="X78" s="1198"/>
      <c r="Y78" s="1198"/>
      <c r="Z78" s="1227"/>
      <c r="AA78" s="1227"/>
      <c r="AB78" s="1227"/>
      <c r="AC78" s="1227"/>
      <c r="AD78" s="1227"/>
      <c r="AE78" s="1227"/>
      <c r="AF78" s="1227"/>
      <c r="AG78" s="1227"/>
      <c r="AH78" s="1227"/>
      <c r="AI78" s="1227"/>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f t="shared" ref="BF78:CC78" si="99">BF76/BB76-1</f>
        <v>-0.63551401869158886</v>
      </c>
      <c r="BG78" s="1227">
        <f t="shared" si="99"/>
        <v>-0.13344051446945338</v>
      </c>
      <c r="BH78" s="1227">
        <f t="shared" si="99"/>
        <v>0.25874125874125875</v>
      </c>
      <c r="BI78" s="1227">
        <f t="shared" si="99"/>
        <v>9.9467140319715819E-2</v>
      </c>
      <c r="BJ78" s="1227">
        <f t="shared" si="99"/>
        <v>6.2937062937062915E-2</v>
      </c>
      <c r="BK78" s="1227">
        <f t="shared" si="99"/>
        <v>-9.4619666048237461E-2</v>
      </c>
      <c r="BL78" s="1227">
        <f t="shared" si="99"/>
        <v>-0.22592592592592597</v>
      </c>
      <c r="BM78" s="1227">
        <f t="shared" si="99"/>
        <v>-0.40387722132471726</v>
      </c>
      <c r="BN78" s="1231">
        <f t="shared" si="99"/>
        <v>-0.31359649122807021</v>
      </c>
      <c r="BO78" s="1227">
        <f t="shared" si="99"/>
        <v>-0.27868852459016391</v>
      </c>
      <c r="BP78" s="1227">
        <f t="shared" si="99"/>
        <v>6.4593301435406758E-2</v>
      </c>
      <c r="BQ78" s="1227">
        <f t="shared" si="99"/>
        <v>0.36314363143631434</v>
      </c>
      <c r="BR78" s="1231">
        <f t="shared" si="99"/>
        <v>0.2460063897763578</v>
      </c>
      <c r="BS78" s="1227">
        <f t="shared" si="99"/>
        <v>0.25568181818181812</v>
      </c>
      <c r="BT78" s="1227">
        <f t="shared" si="99"/>
        <v>-0.11460674157303374</v>
      </c>
      <c r="BU78" s="1227">
        <f t="shared" si="99"/>
        <v>-0.19284294234592447</v>
      </c>
      <c r="BV78" s="1231">
        <f t="shared" si="99"/>
        <v>-0.18461538461538463</v>
      </c>
      <c r="BW78" s="1227">
        <f t="shared" si="99"/>
        <v>-3.6199095022624417E-2</v>
      </c>
      <c r="BX78" s="1227">
        <f t="shared" si="99"/>
        <v>6.5989847715736127E-2</v>
      </c>
      <c r="BY78" s="1227">
        <f t="shared" si="99"/>
        <v>0.2438423645320198</v>
      </c>
      <c r="BZ78" s="1231">
        <f t="shared" si="99"/>
        <v>0.30817610062893075</v>
      </c>
      <c r="CA78" s="1227">
        <f t="shared" si="99"/>
        <v>4.0268199231826562E-2</v>
      </c>
      <c r="CB78" s="1227" t="e">
        <f t="shared" si="99"/>
        <v>#REF!</v>
      </c>
      <c r="CC78" s="1227" t="e">
        <f t="shared" si="99"/>
        <v>#REF!</v>
      </c>
      <c r="CD78" s="1227"/>
      <c r="CE78" s="1227"/>
      <c r="CF78" s="1227"/>
      <c r="CG78" s="1227"/>
      <c r="CH78" s="1402"/>
      <c r="CI78" s="1290"/>
      <c r="CJ78" s="1427"/>
      <c r="CK78" s="1427"/>
      <c r="CL78" s="1427"/>
      <c r="CM78" s="946"/>
      <c r="CN78" s="946"/>
      <c r="CO78" s="946"/>
      <c r="CP78" s="946"/>
      <c r="CQ78" s="946"/>
      <c r="CR78" s="946"/>
      <c r="CS78" s="946"/>
      <c r="CT78" s="946"/>
      <c r="CU78" s="946"/>
      <c r="CV78" s="946"/>
      <c r="CW78" s="946"/>
      <c r="CX78" s="946"/>
    </row>
    <row r="79" spans="1:102" ht="13.5" hidden="1" customHeight="1" outlineLevel="1">
      <c r="A79" s="1225" t="s">
        <v>212</v>
      </c>
      <c r="B79" s="1198"/>
      <c r="C79" s="1198"/>
      <c r="D79" s="1198"/>
      <c r="E79" s="1198"/>
      <c r="F79" s="1198"/>
      <c r="G79" s="1338"/>
      <c r="H79" s="1227"/>
      <c r="I79" s="1227"/>
      <c r="J79" s="1227">
        <f>J76/Q_IS!J34</f>
        <v>0.18157569448962332</v>
      </c>
      <c r="K79" s="1227">
        <f>K76/Q_IS!K34</f>
        <v>0.14886618141097424</v>
      </c>
      <c r="L79" s="1227">
        <f>L76/Q_IS!L34</f>
        <v>0.12535303063219638</v>
      </c>
      <c r="M79" s="1227">
        <f>M76/Q_IS!M34</f>
        <v>0.11601812558440625</v>
      </c>
      <c r="N79" s="1227">
        <f>N76/Q_IS!N34</f>
        <v>0.11721611721611722</v>
      </c>
      <c r="O79" s="1230">
        <f>O76/Q_IS!O34</f>
        <v>0.12113514298156482</v>
      </c>
      <c r="P79" s="1227" t="e">
        <f>P76/Q_IS!P34</f>
        <v>#REF!</v>
      </c>
      <c r="Q79" s="1227" t="e">
        <f>Q76/Q_IS!Q34</f>
        <v>#REF!</v>
      </c>
      <c r="R79" s="1227" t="e">
        <f>R76/Q_IS!R34</f>
        <v>#REF!</v>
      </c>
      <c r="S79" s="1227" t="e">
        <f>S76/Q_IS!S34</f>
        <v>#REF!</v>
      </c>
      <c r="T79" s="946"/>
      <c r="U79" s="946"/>
      <c r="V79" s="946"/>
      <c r="W79" s="946"/>
      <c r="X79" s="1198"/>
      <c r="Y79" s="1198"/>
      <c r="Z79" s="1227"/>
      <c r="AA79" s="1227"/>
      <c r="AB79" s="1227"/>
      <c r="AC79" s="1227"/>
      <c r="AD79" s="1227"/>
      <c r="AE79" s="1227"/>
      <c r="AF79" s="1227"/>
      <c r="AG79" s="1227"/>
      <c r="AH79" s="1227"/>
      <c r="AI79" s="1227"/>
      <c r="AJ79" s="1227"/>
      <c r="AK79" s="1227"/>
      <c r="AL79" s="1227"/>
      <c r="AM79" s="1227"/>
      <c r="AN79" s="1227"/>
      <c r="AO79" s="1227"/>
      <c r="AP79" s="1227"/>
      <c r="AQ79" s="1227"/>
      <c r="AR79" s="1227"/>
      <c r="AS79" s="1227"/>
      <c r="AT79" s="1227"/>
      <c r="AU79" s="1227"/>
      <c r="AV79" s="1227"/>
      <c r="AW79" s="1227"/>
      <c r="AX79" s="1227"/>
      <c r="AY79" s="1227"/>
      <c r="AZ79" s="1227"/>
      <c r="BA79" s="1227"/>
      <c r="BB79" s="1227">
        <f>BB76/Q_IS!BB34</f>
        <v>0.29550590007532013</v>
      </c>
      <c r="BC79" s="1227">
        <f>BC76/Q_IS!BC34</f>
        <v>0.1590386090513935</v>
      </c>
      <c r="BD79" s="1227">
        <f>BD76/Q_IS!BD34</f>
        <v>0.11373276776246023</v>
      </c>
      <c r="BE79" s="1227">
        <f>BE76/Q_IS!BE34</f>
        <v>0.15195681511470985</v>
      </c>
      <c r="BF79" s="1227">
        <f>BF76/Q_IS!BF34</f>
        <v>0.1183774834437086</v>
      </c>
      <c r="BG79" s="1227">
        <f>BG76/Q_IS!BG34</f>
        <v>0.14988876529477196</v>
      </c>
      <c r="BH79" s="1227">
        <f>BH76/Q_IS!BH34</f>
        <v>0.15126050420168066</v>
      </c>
      <c r="BI79" s="1227">
        <f>BI76/Q_IS!BI34</f>
        <v>0.17695826186392224</v>
      </c>
      <c r="BJ79" s="1227">
        <f>BJ76/Q_IS!BJ34</f>
        <v>0.13099683998850906</v>
      </c>
      <c r="BK79" s="1227">
        <f>BK76/Q_IS!BK34</f>
        <v>0.14177803602556652</v>
      </c>
      <c r="BL79" s="1227">
        <f>BL76/Q_IS!BL34</f>
        <v>0.12119454914467961</v>
      </c>
      <c r="BM79" s="1227">
        <f>BM76/Q_IS!BM34</f>
        <v>0.1073610707011929</v>
      </c>
      <c r="BN79" s="1231">
        <f>BN76/Q_IS!BN34</f>
        <v>9.0750942302116555E-2</v>
      </c>
      <c r="BO79" s="1227">
        <f>BO76/Q_IS!BO34</f>
        <v>0.10144092219020173</v>
      </c>
      <c r="BP79" s="1227">
        <f>BP76/Q_IS!BP34</f>
        <v>0.12699771689497716</v>
      </c>
      <c r="BQ79" s="1227">
        <f>BQ76/Q_IS!BQ34</f>
        <v>0.14454022988505746</v>
      </c>
      <c r="BR79" s="1231">
        <f>BR76/Q_IS!BR34</f>
        <v>0.11219792865362485</v>
      </c>
      <c r="BS79" s="1227">
        <f>BS76/Q_IS!BS34</f>
        <v>0.12730414746543778</v>
      </c>
      <c r="BT79" s="1227">
        <f>BT76/Q_IS!BT34</f>
        <v>0.11299110983653571</v>
      </c>
      <c r="BU79" s="1227">
        <f>BU76/Q_IS!BU34</f>
        <v>0.11639908256880734</v>
      </c>
      <c r="BV79" s="1231">
        <f>BV76/Q_IS!BV34</f>
        <v>9.2280905397562396E-2</v>
      </c>
      <c r="BW79" s="1227">
        <f>BW76/Q_IS!BW34</f>
        <v>0.12301472711521802</v>
      </c>
      <c r="BX79" s="1227">
        <f>BX76/Q_IS!BX34</f>
        <v>0.12230634828188701</v>
      </c>
      <c r="BY79" s="1227">
        <f>BY76/Q_IS!BY34</f>
        <v>0.14701601164483261</v>
      </c>
      <c r="BZ79" s="1231">
        <f>BZ76/Q_IS!BZ34</f>
        <v>0.12238893792291851</v>
      </c>
      <c r="CA79" s="1227">
        <f>CA76/Q_IS!CA34</f>
        <v>0.13103319126929572</v>
      </c>
      <c r="CB79" s="1227" t="e">
        <f>CB76/Q_IS!CB34</f>
        <v>#REF!</v>
      </c>
      <c r="CC79" s="1227" t="e">
        <f>CC76/Q_IS!CC34</f>
        <v>#REF!</v>
      </c>
      <c r="CD79" s="1227"/>
      <c r="CE79" s="1227"/>
      <c r="CF79" s="1227"/>
      <c r="CG79" s="1227"/>
      <c r="CH79" s="1402"/>
      <c r="CI79" s="1290"/>
      <c r="CJ79" s="1427"/>
      <c r="CK79" s="1427"/>
      <c r="CL79" s="1427"/>
      <c r="CM79" s="946"/>
      <c r="CN79" s="946"/>
      <c r="CO79" s="946"/>
      <c r="CP79" s="946"/>
      <c r="CQ79" s="946"/>
      <c r="CR79" s="946"/>
      <c r="CS79" s="946"/>
      <c r="CT79" s="946"/>
      <c r="CU79" s="946"/>
      <c r="CV79" s="946"/>
      <c r="CW79" s="946"/>
      <c r="CX79" s="946"/>
    </row>
    <row r="80" spans="1:102" ht="13.5" hidden="1" customHeight="1" outlineLevel="1">
      <c r="A80" s="1213" t="s">
        <v>215</v>
      </c>
      <c r="B80" s="1198"/>
      <c r="C80" s="1198"/>
      <c r="D80" s="1198"/>
      <c r="E80" s="1198"/>
      <c r="F80" s="1198"/>
      <c r="G80" s="1338"/>
      <c r="H80" s="1214">
        <v>282</v>
      </c>
      <c r="I80" s="1214">
        <v>381</v>
      </c>
      <c r="J80" s="1214">
        <v>27</v>
      </c>
      <c r="K80" s="1214">
        <f>SUM(BF80:BI80)</f>
        <v>39</v>
      </c>
      <c r="L80" s="1214">
        <f>SUM(BJ80:BM80)</f>
        <v>3</v>
      </c>
      <c r="M80" s="1214">
        <f>SUM(BN80:BQ80)</f>
        <v>3</v>
      </c>
      <c r="N80" s="1214">
        <f>SUM(BR80:BU80)</f>
        <v>3</v>
      </c>
      <c r="O80" s="1217">
        <f>SUM(BV80:BY80)</f>
        <v>2</v>
      </c>
      <c r="P80" s="1253">
        <f>SUM(BZ80:CC80)</f>
        <v>4</v>
      </c>
      <c r="Q80" s="1253">
        <f>P80</f>
        <v>4</v>
      </c>
      <c r="R80" s="1253">
        <f>Q80</f>
        <v>4</v>
      </c>
      <c r="S80" s="1253">
        <f>R80</f>
        <v>4</v>
      </c>
      <c r="T80" s="946"/>
      <c r="U80" s="946"/>
      <c r="V80" s="946"/>
      <c r="W80" s="946"/>
      <c r="X80" s="1198"/>
      <c r="Y80" s="1198"/>
      <c r="Z80" s="1214"/>
      <c r="AA80" s="1214"/>
      <c r="AB80" s="1214"/>
      <c r="AC80" s="1214"/>
      <c r="AD80" s="1214"/>
      <c r="AE80" s="1214"/>
      <c r="AF80" s="1214"/>
      <c r="AG80" s="1214"/>
      <c r="AH80" s="1214"/>
      <c r="AI80" s="1214"/>
      <c r="AJ80" s="1214"/>
      <c r="AK80" s="1214"/>
      <c r="AL80" s="1214"/>
      <c r="AM80" s="1214"/>
      <c r="AN80" s="1214"/>
      <c r="AO80" s="1214"/>
      <c r="AP80" s="1214"/>
      <c r="AQ80" s="1214"/>
      <c r="AR80" s="1214"/>
      <c r="AS80" s="1214"/>
      <c r="AT80" s="1214"/>
      <c r="AU80" s="1214"/>
      <c r="AV80" s="1214"/>
      <c r="AW80" s="1214"/>
      <c r="AX80" s="1214"/>
      <c r="AY80" s="1214"/>
      <c r="AZ80" s="1214"/>
      <c r="BA80" s="1214"/>
      <c r="BB80" s="1214">
        <v>6</v>
      </c>
      <c r="BC80" s="1214">
        <f>29-BB80</f>
        <v>23</v>
      </c>
      <c r="BD80" s="1214">
        <f>25-BB80-BC80</f>
        <v>-4</v>
      </c>
      <c r="BE80" s="1214">
        <f>27-BD80-BC80-BB80</f>
        <v>2</v>
      </c>
      <c r="BF80" s="1253">
        <v>1</v>
      </c>
      <c r="BG80" s="1253">
        <f>34-BF80</f>
        <v>33</v>
      </c>
      <c r="BH80" s="1253">
        <f>37-BF80-BG80</f>
        <v>3</v>
      </c>
      <c r="BI80" s="1253">
        <f>39-BF80-BG80-BH80</f>
        <v>2</v>
      </c>
      <c r="BJ80" s="1253">
        <v>1</v>
      </c>
      <c r="BK80" s="1253">
        <v>2</v>
      </c>
      <c r="BL80" s="1253">
        <v>0</v>
      </c>
      <c r="BM80" s="1504"/>
      <c r="BN80" s="1252">
        <v>0.75</v>
      </c>
      <c r="BO80" s="1253">
        <v>0.75</v>
      </c>
      <c r="BP80" s="1253">
        <v>0.75</v>
      </c>
      <c r="BQ80" s="1253">
        <v>0.75</v>
      </c>
      <c r="BR80" s="1252">
        <v>0.75</v>
      </c>
      <c r="BS80" s="1253">
        <v>0.75</v>
      </c>
      <c r="BT80" s="1253">
        <v>0.75</v>
      </c>
      <c r="BU80" s="1253">
        <v>0.75</v>
      </c>
      <c r="BV80" s="1252">
        <v>1</v>
      </c>
      <c r="BW80" s="1253">
        <v>1</v>
      </c>
      <c r="BX80" s="1253">
        <v>0</v>
      </c>
      <c r="BY80" s="1253">
        <v>0</v>
      </c>
      <c r="BZ80" s="1252">
        <v>1</v>
      </c>
      <c r="CA80" s="1253">
        <f>BZ80</f>
        <v>1</v>
      </c>
      <c r="CB80" s="1253">
        <f>CA80</f>
        <v>1</v>
      </c>
      <c r="CC80" s="1253">
        <f>CB80</f>
        <v>1</v>
      </c>
      <c r="CD80" s="1253"/>
      <c r="CE80" s="1253"/>
      <c r="CF80" s="1253"/>
      <c r="CG80" s="1253"/>
      <c r="CH80" s="1402"/>
      <c r="CI80" s="1240"/>
      <c r="CJ80" s="1427">
        <f>+O80-SUM(BV80:BY80)</f>
        <v>0</v>
      </c>
      <c r="CK80" s="1427"/>
      <c r="CL80" s="1427"/>
      <c r="CM80" s="946"/>
      <c r="CN80" s="946"/>
      <c r="CO80" s="946"/>
      <c r="CP80" s="946"/>
      <c r="CQ80" s="946"/>
      <c r="CR80" s="946"/>
      <c r="CS80" s="946"/>
      <c r="CT80" s="946"/>
      <c r="CU80" s="946"/>
      <c r="CV80" s="946"/>
      <c r="CW80" s="946"/>
      <c r="CX80" s="946"/>
    </row>
    <row r="81" spans="1:102" ht="13.5" hidden="1" customHeight="1" outlineLevel="1">
      <c r="A81" s="1225" t="s">
        <v>211</v>
      </c>
      <c r="B81" s="1198"/>
      <c r="C81" s="1198"/>
      <c r="D81" s="1198"/>
      <c r="E81" s="1198"/>
      <c r="F81" s="1198"/>
      <c r="G81" s="1338"/>
      <c r="H81" s="1227">
        <f>H80/H76</f>
        <v>3.8020763111770259E-2</v>
      </c>
      <c r="I81" s="1227">
        <f>I80/I76</f>
        <v>4.5233289801733349E-2</v>
      </c>
      <c r="J81" s="1227">
        <f>J80/J76</f>
        <v>9.6739519885345755E-3</v>
      </c>
      <c r="K81" s="1227">
        <f>K80/K76</f>
        <v>1.8335684062059238E-2</v>
      </c>
      <c r="L81" s="1227">
        <f>L80/L76</f>
        <v>1.7331022530329288E-3</v>
      </c>
      <c r="M81" s="1227">
        <f t="shared" ref="M81:S81" si="100">M80/M$76</f>
        <v>1.8598884066955983E-3</v>
      </c>
      <c r="N81" s="1227">
        <f t="shared" si="100"/>
        <v>1.838235294117647E-3</v>
      </c>
      <c r="O81" s="1230">
        <f t="shared" si="100"/>
        <v>1.1983223487118035E-3</v>
      </c>
      <c r="P81" s="1227" t="e">
        <f t="shared" si="100"/>
        <v>#REF!</v>
      </c>
      <c r="Q81" s="1227" t="e">
        <f t="shared" si="100"/>
        <v>#REF!</v>
      </c>
      <c r="R81" s="1227" t="e">
        <f t="shared" si="100"/>
        <v>#REF!</v>
      </c>
      <c r="S81" s="1227" t="e">
        <f t="shared" si="100"/>
        <v>#REF!</v>
      </c>
      <c r="T81" s="946"/>
      <c r="U81" s="946"/>
      <c r="V81" s="946"/>
      <c r="W81" s="946"/>
      <c r="X81" s="1198"/>
      <c r="Y81" s="1198"/>
      <c r="Z81" s="1227"/>
      <c r="AA81" s="1227"/>
      <c r="AB81" s="1227"/>
      <c r="AC81" s="1227"/>
      <c r="AD81" s="1227"/>
      <c r="AE81" s="1227"/>
      <c r="AF81" s="1227"/>
      <c r="AG81" s="1227"/>
      <c r="AH81" s="1227"/>
      <c r="AI81" s="1227"/>
      <c r="AJ81" s="1227"/>
      <c r="AK81" s="1227"/>
      <c r="AL81" s="1227"/>
      <c r="AM81" s="1227"/>
      <c r="AN81" s="1227"/>
      <c r="AO81" s="1227"/>
      <c r="AP81" s="1227"/>
      <c r="AQ81" s="1227"/>
      <c r="AR81" s="1227"/>
      <c r="AS81" s="1227"/>
      <c r="AT81" s="1227"/>
      <c r="AU81" s="1227"/>
      <c r="AV81" s="1227"/>
      <c r="AW81" s="1227"/>
      <c r="AX81" s="1227"/>
      <c r="AY81" s="1227"/>
      <c r="AZ81" s="1227"/>
      <c r="BA81" s="1227"/>
      <c r="BB81" s="1227">
        <f t="shared" ref="BB81:CC81" si="101">BB80/BB$76</f>
        <v>5.0977060322854716E-3</v>
      </c>
      <c r="BC81" s="1227">
        <f t="shared" si="101"/>
        <v>3.6977491961414789E-2</v>
      </c>
      <c r="BD81" s="1227">
        <f t="shared" si="101"/>
        <v>-9.324009324009324E-3</v>
      </c>
      <c r="BE81" s="1227">
        <f t="shared" si="101"/>
        <v>3.552397868561279E-3</v>
      </c>
      <c r="BF81" s="1227">
        <f t="shared" si="101"/>
        <v>2.331002331002331E-3</v>
      </c>
      <c r="BG81" s="1227">
        <f t="shared" si="101"/>
        <v>6.1224489795918366E-2</v>
      </c>
      <c r="BH81" s="1227">
        <f t="shared" si="101"/>
        <v>5.5555555555555558E-3</v>
      </c>
      <c r="BI81" s="1227">
        <f t="shared" si="101"/>
        <v>3.2310177705977385E-3</v>
      </c>
      <c r="BJ81" s="1227">
        <f t="shared" si="101"/>
        <v>2.1929824561403508E-3</v>
      </c>
      <c r="BK81" s="1227">
        <f t="shared" si="101"/>
        <v>4.0983606557377051E-3</v>
      </c>
      <c r="BL81" s="1227">
        <f t="shared" si="101"/>
        <v>0</v>
      </c>
      <c r="BM81" s="1227">
        <f t="shared" si="101"/>
        <v>0</v>
      </c>
      <c r="BN81" s="1231">
        <f t="shared" si="101"/>
        <v>2.3961661341853034E-3</v>
      </c>
      <c r="BO81" s="1227">
        <f t="shared" si="101"/>
        <v>2.130681818181818E-3</v>
      </c>
      <c r="BP81" s="1227">
        <f t="shared" si="101"/>
        <v>1.6853932584269663E-3</v>
      </c>
      <c r="BQ81" s="1227">
        <f t="shared" si="101"/>
        <v>1.4910536779324055E-3</v>
      </c>
      <c r="BR81" s="1231">
        <f t="shared" si="101"/>
        <v>1.9230769230769232E-3</v>
      </c>
      <c r="BS81" s="1227">
        <f t="shared" si="101"/>
        <v>1.6968325791855204E-3</v>
      </c>
      <c r="BT81" s="1227">
        <f t="shared" si="101"/>
        <v>1.9035532994923859E-3</v>
      </c>
      <c r="BU81" s="1227">
        <f t="shared" si="101"/>
        <v>1.8472906403940886E-3</v>
      </c>
      <c r="BV81" s="1231">
        <f t="shared" si="101"/>
        <v>3.1446540880503146E-3</v>
      </c>
      <c r="BW81" s="1227">
        <f t="shared" si="101"/>
        <v>2.3474178403755869E-3</v>
      </c>
      <c r="BX81" s="1227">
        <f t="shared" si="101"/>
        <v>0</v>
      </c>
      <c r="BY81" s="1227">
        <f t="shared" si="101"/>
        <v>0</v>
      </c>
      <c r="BZ81" s="1231">
        <f t="shared" si="101"/>
        <v>2.403846153846154E-3</v>
      </c>
      <c r="CA81" s="1227">
        <f t="shared" si="101"/>
        <v>2.2565506108030687E-3</v>
      </c>
      <c r="CB81" s="1227" t="e">
        <f t="shared" si="101"/>
        <v>#REF!</v>
      </c>
      <c r="CC81" s="1227" t="e">
        <f t="shared" si="101"/>
        <v>#REF!</v>
      </c>
      <c r="CD81" s="1227"/>
      <c r="CE81" s="1227"/>
      <c r="CF81" s="1227"/>
      <c r="CG81" s="1227"/>
      <c r="CH81" s="1402"/>
      <c r="CI81" s="1290"/>
      <c r="CJ81" s="1427"/>
      <c r="CK81" s="1427"/>
      <c r="CL81" s="1427"/>
      <c r="CM81" s="946"/>
      <c r="CN81" s="946"/>
      <c r="CO81" s="946"/>
      <c r="CP81" s="946"/>
      <c r="CQ81" s="946"/>
      <c r="CR81" s="946"/>
      <c r="CS81" s="946"/>
      <c r="CT81" s="946"/>
      <c r="CU81" s="946"/>
      <c r="CV81" s="946"/>
      <c r="CW81" s="946"/>
      <c r="CX81" s="946"/>
    </row>
    <row r="82" spans="1:102" ht="13.5" hidden="1" customHeight="1" outlineLevel="1">
      <c r="A82" s="1225" t="s">
        <v>993</v>
      </c>
      <c r="B82" s="1198"/>
      <c r="C82" s="1198"/>
      <c r="D82" s="1198"/>
      <c r="E82" s="1198"/>
      <c r="F82" s="1198"/>
      <c r="G82" s="1338"/>
      <c r="H82" s="1338"/>
      <c r="I82" s="1227">
        <f>I80/H80</f>
        <v>1.3510638297872339</v>
      </c>
      <c r="J82" s="1227">
        <f>J80/I80</f>
        <v>7.0866141732283464E-2</v>
      </c>
      <c r="K82" s="1227">
        <f>K80/J80</f>
        <v>1.4444444444444444</v>
      </c>
      <c r="L82" s="1227">
        <f>L80/K80</f>
        <v>7.6923076923076927E-2</v>
      </c>
      <c r="M82" s="1227"/>
      <c r="N82" s="1227"/>
      <c r="O82" s="1230"/>
      <c r="P82" s="1227"/>
      <c r="Q82" s="1227"/>
      <c r="R82" s="1227"/>
      <c r="S82" s="1227"/>
      <c r="T82" s="946"/>
      <c r="U82" s="946"/>
      <c r="V82" s="946"/>
      <c r="W82" s="946"/>
      <c r="X82" s="1198"/>
      <c r="Y82" s="1198"/>
      <c r="Z82" s="1227"/>
      <c r="AA82" s="1227"/>
      <c r="AB82" s="1227"/>
      <c r="AC82" s="1227"/>
      <c r="AD82" s="1227"/>
      <c r="AE82" s="1227"/>
      <c r="AF82" s="1227"/>
      <c r="AG82" s="1227"/>
      <c r="AH82" s="1227"/>
      <c r="AI82" s="1227"/>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f>BF80/BB80-1</f>
        <v>-0.83333333333333337</v>
      </c>
      <c r="BG82" s="1227">
        <f>BG80/BC80-1</f>
        <v>0.43478260869565211</v>
      </c>
      <c r="BH82" s="1227">
        <f>BH80/BD80-1</f>
        <v>-1.75</v>
      </c>
      <c r="BI82" s="1227">
        <f>BI80/BE80-1</f>
        <v>0</v>
      </c>
      <c r="BJ82" s="1227">
        <f>BJ80/BF80-1</f>
        <v>0</v>
      </c>
      <c r="BK82" s="1227"/>
      <c r="BL82" s="1227"/>
      <c r="BM82" s="1227"/>
      <c r="BN82" s="1428"/>
      <c r="BO82" s="1427"/>
      <c r="BP82" s="1427"/>
      <c r="BQ82" s="1427"/>
      <c r="BR82" s="1428"/>
      <c r="BS82" s="1427"/>
      <c r="BT82" s="1427"/>
      <c r="BU82" s="1427"/>
      <c r="BV82" s="1428"/>
      <c r="BW82" s="1427"/>
      <c r="BX82" s="1427"/>
      <c r="BY82" s="1427"/>
      <c r="BZ82" s="1428"/>
      <c r="CA82" s="1427"/>
      <c r="CB82" s="1427"/>
      <c r="CC82" s="1427"/>
      <c r="CD82" s="1427"/>
      <c r="CE82" s="1427"/>
      <c r="CF82" s="1427"/>
      <c r="CG82" s="1427"/>
      <c r="CH82" s="1402"/>
      <c r="CI82" s="1505"/>
      <c r="CJ82" s="1427"/>
      <c r="CK82" s="1427"/>
      <c r="CL82" s="1427"/>
      <c r="CM82" s="946"/>
      <c r="CN82" s="946"/>
      <c r="CO82" s="946"/>
      <c r="CP82" s="946"/>
      <c r="CQ82" s="946"/>
      <c r="CR82" s="946"/>
      <c r="CS82" s="946"/>
      <c r="CT82" s="946"/>
      <c r="CU82" s="946"/>
      <c r="CV82" s="946"/>
      <c r="CW82" s="946"/>
      <c r="CX82" s="946"/>
    </row>
    <row r="83" spans="1:102" ht="15" hidden="1" customHeight="1" outlineLevel="1">
      <c r="A83" s="1213" t="s">
        <v>216</v>
      </c>
      <c r="B83" s="1213"/>
      <c r="C83" s="1213"/>
      <c r="D83" s="1213"/>
      <c r="E83" s="1213"/>
      <c r="F83" s="1213"/>
      <c r="G83" s="1214"/>
      <c r="H83" s="1214">
        <f>H76-H80</f>
        <v>7135</v>
      </c>
      <c r="I83" s="1214">
        <f>I76-I80</f>
        <v>8042</v>
      </c>
      <c r="J83" s="1214">
        <f>J76-J80</f>
        <v>2764</v>
      </c>
      <c r="K83" s="1214">
        <f>SUM(BF83:BI83)</f>
        <v>2088</v>
      </c>
      <c r="L83" s="1214">
        <f>SUM(BJ83:BM83)</f>
        <v>1728</v>
      </c>
      <c r="M83" s="1214">
        <f>SUM(BN83:BQ83)</f>
        <v>1610</v>
      </c>
      <c r="N83" s="1214">
        <f t="shared" ref="N83:S83" si="102">N76-N80</f>
        <v>1629</v>
      </c>
      <c r="O83" s="1217">
        <f t="shared" si="102"/>
        <v>1667</v>
      </c>
      <c r="P83" s="1214" t="e">
        <f t="shared" si="102"/>
        <v>#REF!</v>
      </c>
      <c r="Q83" s="1214" t="e">
        <f t="shared" si="102"/>
        <v>#REF!</v>
      </c>
      <c r="R83" s="1214" t="e">
        <f t="shared" si="102"/>
        <v>#REF!</v>
      </c>
      <c r="S83" s="1214" t="e">
        <f t="shared" si="102"/>
        <v>#REF!</v>
      </c>
      <c r="T83" s="946"/>
      <c r="U83" s="946"/>
      <c r="V83" s="946"/>
      <c r="W83" s="946"/>
      <c r="X83" s="1198"/>
      <c r="Y83" s="1198"/>
      <c r="Z83" s="1214"/>
      <c r="AA83" s="1214"/>
      <c r="AB83" s="1214"/>
      <c r="AC83" s="1214"/>
      <c r="AD83" s="1214"/>
      <c r="AE83" s="1214"/>
      <c r="AF83" s="1214"/>
      <c r="AG83" s="1214"/>
      <c r="AH83" s="1214"/>
      <c r="AI83" s="1214"/>
      <c r="AJ83" s="1214"/>
      <c r="AK83" s="1214"/>
      <c r="AL83" s="1214"/>
      <c r="AM83" s="1214"/>
      <c r="AN83" s="1214"/>
      <c r="AO83" s="1214"/>
      <c r="AP83" s="1214"/>
      <c r="AQ83" s="1214"/>
      <c r="AR83" s="1214"/>
      <c r="AS83" s="1214"/>
      <c r="AT83" s="1214"/>
      <c r="AU83" s="1214"/>
      <c r="AV83" s="1214"/>
      <c r="AW83" s="1214"/>
      <c r="AX83" s="1214"/>
      <c r="AY83" s="1214"/>
      <c r="AZ83" s="1214"/>
      <c r="BA83" s="1214"/>
      <c r="BB83" s="1214">
        <f t="shared" ref="BB83:CC83" si="103">BB76-BB80</f>
        <v>1171</v>
      </c>
      <c r="BC83" s="1214">
        <f t="shared" si="103"/>
        <v>599</v>
      </c>
      <c r="BD83" s="1214">
        <f t="shared" si="103"/>
        <v>433</v>
      </c>
      <c r="BE83" s="1214">
        <f t="shared" si="103"/>
        <v>561</v>
      </c>
      <c r="BF83" s="1214">
        <f t="shared" si="103"/>
        <v>428</v>
      </c>
      <c r="BG83" s="1214">
        <f t="shared" si="103"/>
        <v>506</v>
      </c>
      <c r="BH83" s="1214">
        <f t="shared" si="103"/>
        <v>537</v>
      </c>
      <c r="BI83" s="1214">
        <f t="shared" si="103"/>
        <v>617</v>
      </c>
      <c r="BJ83" s="1214">
        <f t="shared" si="103"/>
        <v>455</v>
      </c>
      <c r="BK83" s="1214">
        <f t="shared" si="103"/>
        <v>486</v>
      </c>
      <c r="BL83" s="1214">
        <f t="shared" si="103"/>
        <v>418</v>
      </c>
      <c r="BM83" s="1214">
        <f t="shared" si="103"/>
        <v>369</v>
      </c>
      <c r="BN83" s="1218">
        <f t="shared" si="103"/>
        <v>312.25</v>
      </c>
      <c r="BO83" s="1214">
        <f t="shared" si="103"/>
        <v>351.25</v>
      </c>
      <c r="BP83" s="1214">
        <f t="shared" si="103"/>
        <v>444.25</v>
      </c>
      <c r="BQ83" s="1214">
        <f t="shared" si="103"/>
        <v>502.25</v>
      </c>
      <c r="BR83" s="1218">
        <f t="shared" si="103"/>
        <v>389.25</v>
      </c>
      <c r="BS83" s="1214">
        <f t="shared" si="103"/>
        <v>441.25</v>
      </c>
      <c r="BT83" s="1214">
        <f t="shared" si="103"/>
        <v>393.25</v>
      </c>
      <c r="BU83" s="1214">
        <f t="shared" si="103"/>
        <v>405.25</v>
      </c>
      <c r="BV83" s="1218">
        <f t="shared" si="103"/>
        <v>317</v>
      </c>
      <c r="BW83" s="1214">
        <f t="shared" si="103"/>
        <v>425</v>
      </c>
      <c r="BX83" s="1214">
        <f t="shared" si="103"/>
        <v>420</v>
      </c>
      <c r="BY83" s="1214">
        <f>BY76-BY80</f>
        <v>505</v>
      </c>
      <c r="BZ83" s="1214">
        <f t="shared" si="103"/>
        <v>415</v>
      </c>
      <c r="CA83" s="1214">
        <f t="shared" si="103"/>
        <v>442.15425287275815</v>
      </c>
      <c r="CB83" s="1214" t="e">
        <f t="shared" si="103"/>
        <v>#REF!</v>
      </c>
      <c r="CC83" s="1214" t="e">
        <f t="shared" si="103"/>
        <v>#REF!</v>
      </c>
      <c r="CD83" s="1214"/>
      <c r="CE83" s="1214"/>
      <c r="CF83" s="1214"/>
      <c r="CG83" s="1214"/>
      <c r="CH83" s="1402"/>
      <c r="CI83" s="1240"/>
      <c r="CJ83" s="1427">
        <f>+O83-SUM(BV83:BY83)</f>
        <v>0</v>
      </c>
      <c r="CK83" s="1427"/>
      <c r="CL83" s="1427"/>
      <c r="CM83" s="946"/>
      <c r="CN83" s="946"/>
      <c r="CO83" s="946"/>
      <c r="CP83" s="946"/>
      <c r="CQ83" s="946"/>
      <c r="CR83" s="946"/>
      <c r="CS83" s="946"/>
      <c r="CT83" s="946"/>
      <c r="CU83" s="946"/>
      <c r="CV83" s="946"/>
      <c r="CW83" s="946"/>
      <c r="CX83" s="946"/>
    </row>
    <row r="84" spans="1:102" ht="13.5" hidden="1" customHeight="1" outlineLevel="1">
      <c r="A84" s="1225" t="s">
        <v>211</v>
      </c>
      <c r="B84" s="1198"/>
      <c r="C84" s="1198"/>
      <c r="D84" s="1198"/>
      <c r="E84" s="1198"/>
      <c r="F84" s="1198"/>
      <c r="G84" s="1338"/>
      <c r="H84" s="1227">
        <f>AVERAGE(G84,I84)</f>
        <v>0.125</v>
      </c>
      <c r="I84" s="1227">
        <v>0.125</v>
      </c>
      <c r="J84" s="1227">
        <v>0.125</v>
      </c>
      <c r="K84" s="1227">
        <v>0.125</v>
      </c>
      <c r="L84" s="1227">
        <v>0.125</v>
      </c>
      <c r="M84" s="1227">
        <f t="shared" ref="M84:S84" si="104">M83/M$76</f>
        <v>0.9981401115933044</v>
      </c>
      <c r="N84" s="1227">
        <f t="shared" si="104"/>
        <v>0.99816176470588236</v>
      </c>
      <c r="O84" s="1230">
        <f t="shared" si="104"/>
        <v>0.99880167765128824</v>
      </c>
      <c r="P84" s="1227" t="e">
        <f t="shared" si="104"/>
        <v>#REF!</v>
      </c>
      <c r="Q84" s="1227" t="e">
        <f t="shared" si="104"/>
        <v>#REF!</v>
      </c>
      <c r="R84" s="1227" t="e">
        <f t="shared" si="104"/>
        <v>#REF!</v>
      </c>
      <c r="S84" s="1227" t="e">
        <f t="shared" si="104"/>
        <v>#REF!</v>
      </c>
      <c r="T84" s="946"/>
      <c r="U84" s="946"/>
      <c r="V84" s="946"/>
      <c r="W84" s="946"/>
      <c r="X84" s="1198"/>
      <c r="Y84" s="1198"/>
      <c r="Z84" s="1227"/>
      <c r="AA84" s="1227"/>
      <c r="AB84" s="1227"/>
      <c r="AC84" s="1227"/>
      <c r="AD84" s="1227"/>
      <c r="AE84" s="1227"/>
      <c r="AF84" s="1227"/>
      <c r="AG84" s="1227"/>
      <c r="AH84" s="1227"/>
      <c r="AI84" s="1227"/>
      <c r="AJ84" s="1227"/>
      <c r="AK84" s="1227"/>
      <c r="AL84" s="1227"/>
      <c r="AM84" s="1227"/>
      <c r="AN84" s="1227"/>
      <c r="AO84" s="1227"/>
      <c r="AP84" s="1227"/>
      <c r="AQ84" s="1227"/>
      <c r="AR84" s="1227"/>
      <c r="AS84" s="1227"/>
      <c r="AT84" s="1227"/>
      <c r="AU84" s="1227"/>
      <c r="AV84" s="1227"/>
      <c r="AW84" s="1227"/>
      <c r="AX84" s="1227"/>
      <c r="AY84" s="1227"/>
      <c r="AZ84" s="1227"/>
      <c r="BA84" s="1227"/>
      <c r="BB84" s="1227">
        <f t="shared" ref="BB84:CC84" si="105">BB83/BB$76</f>
        <v>0.99490229396771457</v>
      </c>
      <c r="BC84" s="1227">
        <f t="shared" si="105"/>
        <v>0.96302250803858525</v>
      </c>
      <c r="BD84" s="1227">
        <f t="shared" si="105"/>
        <v>1.0093240093240092</v>
      </c>
      <c r="BE84" s="1227">
        <f t="shared" si="105"/>
        <v>0.99644760213143868</v>
      </c>
      <c r="BF84" s="1227">
        <f t="shared" si="105"/>
        <v>0.99766899766899764</v>
      </c>
      <c r="BG84" s="1227">
        <f t="shared" si="105"/>
        <v>0.93877551020408168</v>
      </c>
      <c r="BH84" s="1227">
        <f t="shared" si="105"/>
        <v>0.99444444444444446</v>
      </c>
      <c r="BI84" s="1227">
        <f t="shared" si="105"/>
        <v>0.99676898222940225</v>
      </c>
      <c r="BJ84" s="1227">
        <f t="shared" si="105"/>
        <v>0.9978070175438597</v>
      </c>
      <c r="BK84" s="1227">
        <f t="shared" si="105"/>
        <v>0.99590163934426235</v>
      </c>
      <c r="BL84" s="1227">
        <f t="shared" si="105"/>
        <v>1</v>
      </c>
      <c r="BM84" s="1227">
        <f t="shared" si="105"/>
        <v>1</v>
      </c>
      <c r="BN84" s="1231">
        <f t="shared" si="105"/>
        <v>0.99760383386581475</v>
      </c>
      <c r="BO84" s="1227">
        <f t="shared" si="105"/>
        <v>0.99786931818181823</v>
      </c>
      <c r="BP84" s="1227">
        <f t="shared" si="105"/>
        <v>0.99831460674157302</v>
      </c>
      <c r="BQ84" s="1227">
        <f t="shared" si="105"/>
        <v>0.99850894632206755</v>
      </c>
      <c r="BR84" s="1231">
        <f t="shared" si="105"/>
        <v>0.99807692307692308</v>
      </c>
      <c r="BS84" s="1227">
        <f t="shared" si="105"/>
        <v>0.99830316742081449</v>
      </c>
      <c r="BT84" s="1227">
        <f t="shared" si="105"/>
        <v>0.99809644670050757</v>
      </c>
      <c r="BU84" s="1227">
        <f t="shared" si="105"/>
        <v>0.99815270935960587</v>
      </c>
      <c r="BV84" s="1231">
        <f t="shared" si="105"/>
        <v>0.99685534591194969</v>
      </c>
      <c r="BW84" s="1227">
        <f t="shared" si="105"/>
        <v>0.99765258215962438</v>
      </c>
      <c r="BX84" s="1227">
        <f t="shared" si="105"/>
        <v>1</v>
      </c>
      <c r="BY84" s="1227">
        <f t="shared" si="105"/>
        <v>1</v>
      </c>
      <c r="BZ84" s="1231">
        <f t="shared" si="105"/>
        <v>0.99759615384615385</v>
      </c>
      <c r="CA84" s="1227">
        <f t="shared" si="105"/>
        <v>0.9977434493891969</v>
      </c>
      <c r="CB84" s="1227" t="e">
        <f t="shared" si="105"/>
        <v>#REF!</v>
      </c>
      <c r="CC84" s="1227" t="e">
        <f t="shared" si="105"/>
        <v>#REF!</v>
      </c>
      <c r="CD84" s="1227"/>
      <c r="CE84" s="1227"/>
      <c r="CF84" s="1227"/>
      <c r="CG84" s="1227"/>
      <c r="CH84" s="1402"/>
      <c r="CI84" s="1290"/>
      <c r="CJ84" s="1427"/>
      <c r="CK84" s="1427"/>
      <c r="CL84" s="1427"/>
      <c r="CM84" s="946"/>
      <c r="CN84" s="946"/>
      <c r="CO84" s="946"/>
      <c r="CP84" s="946"/>
      <c r="CQ84" s="946"/>
      <c r="CR84" s="946"/>
      <c r="CS84" s="946"/>
      <c r="CT84" s="946"/>
      <c r="CU84" s="946"/>
      <c r="CV84" s="946"/>
      <c r="CW84" s="946"/>
      <c r="CX84" s="946"/>
    </row>
    <row r="85" spans="1:102" ht="13.5" hidden="1" customHeight="1" outlineLevel="1">
      <c r="A85" s="1225" t="s">
        <v>993</v>
      </c>
      <c r="B85" s="1198"/>
      <c r="C85" s="1198"/>
      <c r="D85" s="1198"/>
      <c r="E85" s="1198"/>
      <c r="F85" s="1198"/>
      <c r="G85" s="1338"/>
      <c r="H85" s="1227"/>
      <c r="I85" s="1227">
        <f t="shared" ref="I85:S85" si="106">I83/H83-1</f>
        <v>0.12711983181499642</v>
      </c>
      <c r="J85" s="1227">
        <f t="shared" si="106"/>
        <v>-0.6563044018900771</v>
      </c>
      <c r="K85" s="1227">
        <f t="shared" si="106"/>
        <v>-0.24457308248914611</v>
      </c>
      <c r="L85" s="1227">
        <f t="shared" si="106"/>
        <v>-0.17241379310344829</v>
      </c>
      <c r="M85" s="1227">
        <f t="shared" si="106"/>
        <v>-6.828703703703709E-2</v>
      </c>
      <c r="N85" s="1227">
        <f t="shared" si="106"/>
        <v>1.1801242236024745E-2</v>
      </c>
      <c r="O85" s="1230">
        <f t="shared" si="106"/>
        <v>2.332719459791277E-2</v>
      </c>
      <c r="P85" s="1227" t="e">
        <f t="shared" si="106"/>
        <v>#REF!</v>
      </c>
      <c r="Q85" s="1227" t="e">
        <f t="shared" si="106"/>
        <v>#REF!</v>
      </c>
      <c r="R85" s="1227" t="e">
        <f t="shared" si="106"/>
        <v>#REF!</v>
      </c>
      <c r="S85" s="1227" t="e">
        <f t="shared" si="106"/>
        <v>#REF!</v>
      </c>
      <c r="T85" s="946"/>
      <c r="U85" s="946"/>
      <c r="V85" s="946"/>
      <c r="W85" s="946"/>
      <c r="X85" s="1198"/>
      <c r="Y85" s="1198"/>
      <c r="Z85" s="1198"/>
      <c r="AA85" s="1198"/>
      <c r="AB85" s="1198"/>
      <c r="AC85" s="1198"/>
      <c r="AD85" s="1198"/>
      <c r="AE85" s="1198"/>
      <c r="AF85" s="1198"/>
      <c r="AG85" s="1198"/>
      <c r="AH85" s="1198"/>
      <c r="AI85" s="1198"/>
      <c r="AJ85" s="1198"/>
      <c r="AK85" s="1198"/>
      <c r="AL85" s="1198"/>
      <c r="AM85" s="1198"/>
      <c r="AN85" s="1198"/>
      <c r="AO85" s="1198"/>
      <c r="AP85" s="1198"/>
      <c r="AQ85" s="1198"/>
      <c r="AR85" s="1198"/>
      <c r="AS85" s="1198"/>
      <c r="AT85" s="1198"/>
      <c r="AU85" s="1198"/>
      <c r="AV85" s="1198"/>
      <c r="AW85" s="1198"/>
      <c r="AX85" s="1198"/>
      <c r="AY85" s="1198"/>
      <c r="AZ85" s="1198"/>
      <c r="BA85" s="1198"/>
      <c r="BB85" s="1227"/>
      <c r="BC85" s="1227"/>
      <c r="BD85" s="1227"/>
      <c r="BE85" s="1227"/>
      <c r="BF85" s="1227">
        <f t="shared" ref="BF85:CC85" si="107">BF83/BB83-1</f>
        <v>-0.63450042698548248</v>
      </c>
      <c r="BG85" s="1227">
        <f t="shared" si="107"/>
        <v>-0.15525876460767951</v>
      </c>
      <c r="BH85" s="1227">
        <f t="shared" si="107"/>
        <v>0.24018475750577362</v>
      </c>
      <c r="BI85" s="1227">
        <f t="shared" si="107"/>
        <v>9.9821746880570439E-2</v>
      </c>
      <c r="BJ85" s="1227">
        <f t="shared" si="107"/>
        <v>6.308411214953269E-2</v>
      </c>
      <c r="BK85" s="1227">
        <f t="shared" si="107"/>
        <v>-3.9525691699604737E-2</v>
      </c>
      <c r="BL85" s="1227">
        <f t="shared" si="107"/>
        <v>-0.22160148975791438</v>
      </c>
      <c r="BM85" s="1227">
        <f t="shared" si="107"/>
        <v>-0.40194489465153971</v>
      </c>
      <c r="BN85" s="1231">
        <f t="shared" si="107"/>
        <v>-0.31373626373626373</v>
      </c>
      <c r="BO85" s="1227">
        <f t="shared" si="107"/>
        <v>-0.27726337448559668</v>
      </c>
      <c r="BP85" s="1227">
        <f t="shared" si="107"/>
        <v>6.2799043062200965E-2</v>
      </c>
      <c r="BQ85" s="1227">
        <f t="shared" si="107"/>
        <v>0.36111111111111116</v>
      </c>
      <c r="BR85" s="1231">
        <f t="shared" si="107"/>
        <v>0.24659727782225782</v>
      </c>
      <c r="BS85" s="1227">
        <f t="shared" si="107"/>
        <v>0.2562277580071175</v>
      </c>
      <c r="BT85" s="1227">
        <f t="shared" si="107"/>
        <v>-0.11480022509848054</v>
      </c>
      <c r="BU85" s="1227">
        <f t="shared" si="107"/>
        <v>-0.1931309109009457</v>
      </c>
      <c r="BV85" s="1231">
        <f t="shared" si="107"/>
        <v>-0.18561335902376364</v>
      </c>
      <c r="BW85" s="1227">
        <f t="shared" si="107"/>
        <v>-3.682719546742208E-2</v>
      </c>
      <c r="BX85" s="1227">
        <f t="shared" si="107"/>
        <v>6.8022886204704314E-2</v>
      </c>
      <c r="BY85" s="1227">
        <f t="shared" si="107"/>
        <v>0.24614435533621215</v>
      </c>
      <c r="BZ85" s="1231">
        <f t="shared" si="107"/>
        <v>0.30914826498422721</v>
      </c>
      <c r="CA85" s="1227">
        <f t="shared" si="107"/>
        <v>4.0362947935901561E-2</v>
      </c>
      <c r="CB85" s="1227" t="e">
        <f t="shared" si="107"/>
        <v>#REF!</v>
      </c>
      <c r="CC85" s="1227" t="e">
        <f t="shared" si="107"/>
        <v>#REF!</v>
      </c>
      <c r="CD85" s="1227"/>
      <c r="CE85" s="1227"/>
      <c r="CF85" s="1227"/>
      <c r="CG85" s="1227"/>
      <c r="CH85" s="1402"/>
      <c r="CI85" s="1290"/>
      <c r="CJ85" s="1427"/>
      <c r="CK85" s="1427"/>
      <c r="CL85" s="1427"/>
      <c r="CM85" s="946"/>
      <c r="CN85" s="946"/>
      <c r="CO85" s="946"/>
      <c r="CP85" s="946"/>
      <c r="CQ85" s="946"/>
      <c r="CR85" s="946"/>
      <c r="CS85" s="946"/>
      <c r="CT85" s="946"/>
      <c r="CU85" s="946"/>
      <c r="CV85" s="946"/>
      <c r="CW85" s="946"/>
      <c r="CX85" s="946"/>
    </row>
    <row r="86" spans="1:102" ht="12.75" hidden="1" customHeight="1" outlineLevel="1">
      <c r="A86" s="1225" t="s">
        <v>793</v>
      </c>
      <c r="B86" s="1198"/>
      <c r="C86" s="1198"/>
      <c r="D86" s="1198"/>
      <c r="E86" s="1198"/>
      <c r="F86" s="1198"/>
      <c r="G86" s="1198"/>
      <c r="H86" s="1198"/>
      <c r="I86" s="1226">
        <f>I83+Q_CFS!I37</f>
        <v>0</v>
      </c>
      <c r="J86" s="1226">
        <f>J83+Q_CFS!J37</f>
        <v>0</v>
      </c>
      <c r="K86" s="1226">
        <f>K83+Q_CFS!K37</f>
        <v>0</v>
      </c>
      <c r="L86" s="1226">
        <f>L76+Q_CFS!L37</f>
        <v>0</v>
      </c>
      <c r="M86" s="1226">
        <f>M76+Q_CFS!M37</f>
        <v>0</v>
      </c>
      <c r="N86" s="1226">
        <f>N76+Q_CFS!N37</f>
        <v>0</v>
      </c>
      <c r="O86" s="1263">
        <f>O76+Q_CFS!O37</f>
        <v>0</v>
      </c>
      <c r="P86" s="1226" t="e">
        <f>P76+Q_CFS!P37</f>
        <v>#REF!</v>
      </c>
      <c r="Q86" s="1226" t="e">
        <f>Q76+Q_CFS!Q37</f>
        <v>#REF!</v>
      </c>
      <c r="R86" s="1226" t="e">
        <f>R76+Q_CFS!R37</f>
        <v>#REF!</v>
      </c>
      <c r="S86" s="1226" t="e">
        <f>S76+Q_CFS!S37</f>
        <v>#REF!</v>
      </c>
      <c r="T86" s="946"/>
      <c r="U86" s="946"/>
      <c r="V86" s="946"/>
      <c r="W86" s="946"/>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427"/>
      <c r="BO86" s="1427"/>
      <c r="BP86" s="1427"/>
      <c r="BQ86" s="1427"/>
      <c r="BR86" s="1427"/>
      <c r="BS86" s="1427"/>
      <c r="BT86" s="1427"/>
      <c r="BU86" s="1427"/>
      <c r="BV86" s="1427"/>
      <c r="BW86" s="1506"/>
      <c r="BX86" s="1506"/>
      <c r="BY86" s="1506"/>
      <c r="BZ86" s="1427"/>
      <c r="CA86" s="1427"/>
      <c r="CB86" s="1427"/>
      <c r="CC86" s="1427"/>
      <c r="CD86" s="1427"/>
      <c r="CE86" s="1427"/>
      <c r="CF86" s="1427"/>
      <c r="CG86" s="1427"/>
      <c r="CH86" s="1402"/>
      <c r="CI86" s="1505"/>
      <c r="CJ86" s="1427"/>
      <c r="CK86" s="1427"/>
      <c r="CL86" s="1427"/>
      <c r="CM86" s="946"/>
      <c r="CN86" s="946"/>
      <c r="CO86" s="946"/>
      <c r="CP86" s="946"/>
      <c r="CQ86" s="946"/>
      <c r="CR86" s="946"/>
      <c r="CS86" s="946"/>
      <c r="CT86" s="946"/>
      <c r="CU86" s="946"/>
      <c r="CV86" s="946"/>
      <c r="CW86" s="946"/>
      <c r="CX86" s="946"/>
    </row>
    <row r="87" spans="1:102" collapsed="1"/>
  </sheetData>
  <mergeCells count="1">
    <mergeCell ref="CV1:CX2"/>
  </mergeCells>
  <phoneticPr fontId="83" type="noConversion"/>
  <conditionalFormatting sqref="A49">
    <cfRule type="expression" dxfId="4" priority="1" stopIfTrue="1">
      <formula>$A$131=1</formula>
    </cfRule>
  </conditionalFormatting>
  <conditionalFormatting sqref="A50">
    <cfRule type="expression" dxfId="3" priority="2" stopIfTrue="1">
      <formula>$A$131=2</formula>
    </cfRule>
  </conditionalFormatting>
  <conditionalFormatting sqref="A51">
    <cfRule type="expression" dxfId="2" priority="3" stopIfTrue="1">
      <formula>$A$131=3</formula>
    </cfRule>
  </conditionalFormatting>
  <conditionalFormatting sqref="A52">
    <cfRule type="expression" dxfId="1" priority="4" stopIfTrue="1">
      <formula>$A$131=4</formula>
    </cfRule>
  </conditionalFormatting>
  <conditionalFormatting sqref="A53">
    <cfRule type="expression" dxfId="0" priority="5" stopIfTrue="1">
      <formula>$A$131=5</formula>
    </cfRule>
  </conditionalFormatting>
  <pageMargins left="0" right="0" top="0.25" bottom="0.5" header="0.5" footer="0.5"/>
  <pageSetup scale="6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93" r:id="rId4" name="Drop Down 9">
              <controlPr defaultSize="0" autoLine="0" autoPict="0">
                <anchor moveWithCells="1">
                  <from>
                    <xdr:col>0</xdr:col>
                    <xdr:colOff>57150</xdr:colOff>
                    <xdr:row>3</xdr:row>
                    <xdr:rowOff>9525</xdr:rowOff>
                  </from>
                  <to>
                    <xdr:col>0</xdr:col>
                    <xdr:colOff>1943100</xdr:colOff>
                    <xdr:row>3</xdr:row>
                    <xdr:rowOff>228600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indexed="51"/>
    <pageSetUpPr fitToPage="1"/>
  </sheetPr>
  <dimension ref="A1:AU139"/>
  <sheetViews>
    <sheetView showGridLines="0" zoomScale="85" workbookViewId="0">
      <pane xSplit="1" ySplit="10" topLeftCell="Z11" activePane="bottomRight" state="frozen"/>
      <selection activeCell="O133" sqref="O133"/>
      <selection pane="topRight" activeCell="O133" sqref="O133"/>
      <selection pane="bottomLeft" activeCell="O133" sqref="O133"/>
      <selection pane="bottomRight" activeCell="AA17" sqref="AA17"/>
    </sheetView>
  </sheetViews>
  <sheetFormatPr defaultRowHeight="12.75" outlineLevelCol="1"/>
  <cols>
    <col min="1" max="1" width="40" customWidth="1"/>
    <col min="2" max="26" width="10" customWidth="1" outlineLevel="1"/>
    <col min="27" max="36" width="10" customWidth="1"/>
    <col min="37" max="38" width="9.7109375" bestFit="1" customWidth="1"/>
    <col min="39" max="39" width="9.28515625" bestFit="1" customWidth="1"/>
    <col min="40" max="47" width="10.85546875" bestFit="1" customWidth="1"/>
  </cols>
  <sheetData>
    <row r="1" spans="1:47">
      <c r="A1" s="364" t="s">
        <v>460</v>
      </c>
      <c r="B1" s="365"/>
      <c r="C1" s="365"/>
      <c r="D1" s="369"/>
      <c r="E1" s="369"/>
      <c r="F1" s="365"/>
      <c r="G1" s="365"/>
      <c r="H1" s="365"/>
      <c r="I1" s="365"/>
      <c r="J1" s="365"/>
      <c r="K1" s="365"/>
      <c r="L1" s="365"/>
      <c r="M1" s="365"/>
      <c r="N1" s="365"/>
      <c r="O1" s="365"/>
      <c r="P1" s="365"/>
      <c r="Q1" s="365"/>
      <c r="R1" s="365"/>
      <c r="S1" s="365"/>
      <c r="T1" s="365"/>
      <c r="U1" s="365"/>
      <c r="V1" s="365"/>
      <c r="W1" s="365"/>
      <c r="X1" s="365"/>
      <c r="Y1" s="365"/>
      <c r="Z1" s="365"/>
      <c r="AA1" s="365"/>
      <c r="AB1" s="365"/>
      <c r="AC1" s="365"/>
      <c r="AD1" s="365"/>
      <c r="AE1" s="365"/>
      <c r="AF1" s="365"/>
      <c r="AG1" s="365"/>
      <c r="AH1" s="365"/>
      <c r="AI1" s="365"/>
      <c r="AJ1" s="365"/>
      <c r="AK1" s="369"/>
      <c r="AL1" s="365"/>
      <c r="AM1" s="365"/>
      <c r="AN1" s="365"/>
      <c r="AO1" s="365"/>
      <c r="AP1" s="365"/>
      <c r="AQ1" s="365"/>
      <c r="AR1" s="365"/>
      <c r="AS1" s="365"/>
      <c r="AT1" s="365"/>
      <c r="AU1" s="365"/>
    </row>
    <row r="2" spans="1:47">
      <c r="A2" s="364" t="s">
        <v>788</v>
      </c>
      <c r="B2" s="365"/>
      <c r="C2" s="365"/>
      <c r="D2" s="369"/>
      <c r="E2" s="369"/>
      <c r="F2" s="365"/>
      <c r="G2" s="365"/>
      <c r="H2" s="365"/>
      <c r="I2" s="365"/>
      <c r="J2" s="365"/>
      <c r="K2" s="365"/>
      <c r="L2" s="365"/>
      <c r="M2" s="365"/>
      <c r="N2" s="365"/>
      <c r="O2" s="365"/>
      <c r="P2" s="365"/>
      <c r="Q2" s="365"/>
      <c r="R2" s="365"/>
      <c r="S2" s="365"/>
      <c r="T2" s="365"/>
      <c r="U2" s="365"/>
      <c r="V2" s="365"/>
      <c r="W2" s="365"/>
      <c r="X2" s="365"/>
      <c r="Y2" s="365"/>
      <c r="Z2" s="365"/>
      <c r="AA2" s="365"/>
      <c r="AB2" s="365"/>
      <c r="AC2" s="365"/>
      <c r="AD2" s="365"/>
      <c r="AE2" s="365"/>
      <c r="AF2" s="365"/>
      <c r="AG2" s="365"/>
      <c r="AH2" s="365"/>
      <c r="AI2" s="365"/>
      <c r="AJ2" s="365"/>
      <c r="AK2" s="369"/>
      <c r="AL2" s="365"/>
      <c r="AM2" s="365"/>
      <c r="AN2" s="365"/>
      <c r="AO2" s="365"/>
      <c r="AP2" s="365"/>
      <c r="AQ2" s="365"/>
      <c r="AR2" s="365"/>
      <c r="AS2" s="365"/>
      <c r="AT2" s="365"/>
      <c r="AU2" s="365"/>
    </row>
    <row r="3" spans="1:47">
      <c r="A3" s="364" t="s">
        <v>986</v>
      </c>
      <c r="B3" s="365"/>
      <c r="C3" s="365"/>
      <c r="D3" s="369"/>
      <c r="E3" s="369"/>
      <c r="F3" s="365"/>
      <c r="G3" s="365"/>
      <c r="H3" s="365"/>
      <c r="I3" s="365"/>
      <c r="J3" s="365"/>
      <c r="K3" s="365"/>
      <c r="L3" s="365"/>
      <c r="M3" s="365"/>
      <c r="N3" s="365"/>
      <c r="O3" s="365"/>
      <c r="P3" s="365"/>
      <c r="Q3" s="365"/>
      <c r="R3" s="365"/>
      <c r="S3" s="365"/>
      <c r="T3" s="365"/>
      <c r="U3" s="365"/>
      <c r="V3" s="365"/>
      <c r="W3" s="365"/>
      <c r="X3" s="365"/>
      <c r="Y3" s="365"/>
      <c r="Z3" s="365"/>
      <c r="AA3" s="476"/>
      <c r="AB3" s="365"/>
      <c r="AC3" s="365"/>
      <c r="AD3" s="365"/>
      <c r="AE3" s="365"/>
      <c r="AF3" s="365"/>
      <c r="AG3" s="365"/>
      <c r="AH3" s="365"/>
      <c r="AI3" s="365"/>
      <c r="AJ3" s="365"/>
      <c r="AK3" s="369"/>
      <c r="AL3" s="365"/>
      <c r="AM3" s="365"/>
      <c r="AN3" s="365"/>
      <c r="AO3" s="365"/>
      <c r="AP3" s="365"/>
      <c r="AQ3" s="365"/>
      <c r="AR3" s="365"/>
      <c r="AS3" s="365"/>
      <c r="AT3" s="365"/>
      <c r="AU3" s="365"/>
    </row>
    <row r="4" spans="1:47">
      <c r="A4" s="365" t="s">
        <v>763</v>
      </c>
      <c r="B4" s="365"/>
      <c r="C4" s="365"/>
      <c r="D4" s="369"/>
      <c r="E4" s="369"/>
      <c r="F4" s="365"/>
      <c r="G4" s="365"/>
      <c r="H4" s="365"/>
      <c r="I4" s="365"/>
      <c r="J4" s="365"/>
      <c r="K4" s="365"/>
      <c r="L4" s="365"/>
      <c r="M4" s="365"/>
      <c r="N4" s="365"/>
      <c r="O4" s="365"/>
      <c r="P4" s="365"/>
      <c r="Q4" s="365"/>
      <c r="R4" s="365"/>
      <c r="S4" s="365"/>
      <c r="T4" s="365"/>
      <c r="U4" s="365"/>
      <c r="V4" s="365"/>
      <c r="W4" s="365"/>
      <c r="X4" s="365"/>
      <c r="Y4" s="365"/>
      <c r="Z4" s="365"/>
      <c r="AA4" s="365"/>
      <c r="AB4" s="365"/>
      <c r="AC4" s="365"/>
      <c r="AD4" s="365"/>
      <c r="AE4" s="365"/>
      <c r="AF4" s="365"/>
      <c r="AG4" s="365"/>
      <c r="AH4" s="365"/>
      <c r="AI4" s="365"/>
      <c r="AJ4" s="365"/>
      <c r="AK4" s="369"/>
      <c r="AL4" s="365"/>
      <c r="AM4" s="365"/>
      <c r="AN4" s="365"/>
      <c r="AO4" s="365"/>
      <c r="AP4" s="365"/>
      <c r="AQ4" s="365"/>
      <c r="AR4" s="365"/>
      <c r="AS4" s="365"/>
      <c r="AT4" s="365"/>
      <c r="AU4" s="365"/>
    </row>
    <row r="5" spans="1:47">
      <c r="A5" s="372"/>
      <c r="B5" s="365"/>
      <c r="C5" s="365"/>
      <c r="D5" s="369"/>
      <c r="E5" s="369"/>
      <c r="F5" s="365"/>
      <c r="G5" s="365"/>
      <c r="H5" s="365"/>
      <c r="I5" s="365"/>
      <c r="J5" s="365"/>
      <c r="K5" s="365"/>
      <c r="L5" s="365"/>
      <c r="M5" s="365"/>
      <c r="N5" s="365"/>
      <c r="O5" s="365"/>
      <c r="P5" s="365"/>
      <c r="Q5" s="365"/>
      <c r="R5" s="365"/>
      <c r="S5" s="365"/>
      <c r="T5" s="365"/>
      <c r="U5" s="365"/>
      <c r="V5" s="365"/>
      <c r="W5" s="365"/>
      <c r="X5" s="365"/>
      <c r="Y5" s="365"/>
      <c r="Z5" s="365"/>
      <c r="AA5" s="365"/>
      <c r="AB5" s="365"/>
      <c r="AC5" s="365"/>
      <c r="AD5" s="365"/>
      <c r="AE5" s="365"/>
      <c r="AF5" s="365"/>
      <c r="AG5" s="365"/>
      <c r="AH5" s="365"/>
      <c r="AI5" s="365"/>
      <c r="AJ5" s="365"/>
      <c r="AK5" s="369"/>
      <c r="AL5" s="365"/>
      <c r="AM5" s="365"/>
      <c r="AN5" s="365"/>
      <c r="AO5" s="365"/>
      <c r="AP5" s="365"/>
      <c r="AQ5" s="365"/>
      <c r="AR5" s="365"/>
      <c r="AS5" s="365"/>
      <c r="AT5" s="365"/>
      <c r="AU5" s="365"/>
    </row>
    <row r="6" spans="1:47">
      <c r="A6" s="365"/>
      <c r="B6" s="365"/>
      <c r="C6" s="365"/>
      <c r="D6" s="369"/>
      <c r="E6" s="369"/>
      <c r="F6" s="365"/>
      <c r="G6" s="365"/>
      <c r="H6" s="365"/>
      <c r="I6" s="365"/>
      <c r="J6" s="365"/>
      <c r="K6" s="365"/>
      <c r="L6" s="365"/>
      <c r="M6" s="365"/>
      <c r="N6" s="365"/>
      <c r="O6" s="365"/>
      <c r="P6" s="365"/>
      <c r="Q6" s="365"/>
      <c r="R6" s="365"/>
      <c r="S6" s="365"/>
      <c r="T6" s="365"/>
      <c r="U6" s="365"/>
      <c r="V6" s="365"/>
      <c r="W6" s="365"/>
      <c r="X6" s="365"/>
      <c r="Y6" s="365"/>
      <c r="Z6" s="365"/>
      <c r="AA6" s="365"/>
      <c r="AB6" s="365"/>
      <c r="AC6" s="365"/>
      <c r="AD6" s="365"/>
      <c r="AE6" s="365"/>
      <c r="AF6" s="365"/>
      <c r="AG6" s="365"/>
      <c r="AH6" s="365"/>
      <c r="AI6" s="365"/>
      <c r="AJ6" s="365"/>
      <c r="AK6" s="369"/>
      <c r="AL6" s="365"/>
      <c r="AM6" s="365"/>
      <c r="AN6" s="365"/>
      <c r="AO6" s="365"/>
      <c r="AP6" s="365"/>
      <c r="AQ6" s="365"/>
      <c r="AR6" s="365"/>
      <c r="AS6" s="365"/>
      <c r="AT6" s="365"/>
      <c r="AU6" s="365"/>
    </row>
    <row r="7" spans="1:47">
      <c r="A7" s="769" t="s">
        <v>853</v>
      </c>
      <c r="B7" s="365"/>
      <c r="C7" s="365"/>
      <c r="D7" s="369"/>
      <c r="E7" s="369"/>
      <c r="F7" s="365"/>
      <c r="G7" s="365"/>
      <c r="H7" s="365"/>
      <c r="I7" s="365"/>
      <c r="J7" s="365"/>
      <c r="K7" s="365"/>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9"/>
      <c r="AL7" s="365"/>
      <c r="AM7" s="365"/>
      <c r="AN7" s="365"/>
      <c r="AO7" s="365"/>
      <c r="AP7" s="365"/>
      <c r="AQ7" s="365"/>
      <c r="AR7" s="365"/>
      <c r="AS7" s="365"/>
      <c r="AT7" s="365"/>
      <c r="AU7" s="365"/>
    </row>
    <row r="8" spans="1:47">
      <c r="A8" s="769" t="s">
        <v>854</v>
      </c>
      <c r="B8" s="365"/>
      <c r="C8" s="365"/>
      <c r="D8" s="369"/>
      <c r="E8" s="369"/>
      <c r="F8" s="365"/>
      <c r="G8" s="365"/>
      <c r="H8" s="365"/>
      <c r="I8" s="365"/>
      <c r="J8" s="365"/>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9"/>
      <c r="AL8" s="365"/>
      <c r="AM8" s="365"/>
      <c r="AN8" s="365"/>
      <c r="AO8" s="365"/>
      <c r="AP8" s="365"/>
      <c r="AQ8" s="365"/>
      <c r="AR8" s="365"/>
      <c r="AS8" s="365"/>
      <c r="AT8" s="365"/>
      <c r="AU8" s="365"/>
    </row>
    <row r="9" spans="1:47">
      <c r="A9" s="769" t="s">
        <v>855</v>
      </c>
      <c r="B9" s="365"/>
      <c r="C9" s="365"/>
      <c r="D9" s="369"/>
      <c r="E9" s="369"/>
      <c r="F9" s="365"/>
      <c r="G9" s="365"/>
      <c r="H9" s="365"/>
      <c r="I9" s="365"/>
      <c r="J9" s="365"/>
      <c r="K9" s="365"/>
      <c r="L9" s="365"/>
      <c r="M9" s="365"/>
      <c r="N9" s="365"/>
      <c r="O9" s="365"/>
      <c r="P9" s="365"/>
      <c r="Q9" s="365"/>
      <c r="R9" s="365"/>
      <c r="S9" s="365"/>
      <c r="T9" s="365"/>
      <c r="U9" s="365"/>
      <c r="V9" s="365"/>
      <c r="W9" s="365"/>
      <c r="X9" s="365"/>
      <c r="Y9" s="365"/>
      <c r="Z9" s="365"/>
      <c r="AA9" s="365"/>
      <c r="AB9" s="365"/>
      <c r="AC9" s="365"/>
      <c r="AD9" s="365"/>
      <c r="AE9" s="365"/>
      <c r="AF9" s="365"/>
      <c r="AG9" s="365"/>
      <c r="AH9" s="365"/>
      <c r="AI9" s="365"/>
      <c r="AJ9" s="365"/>
      <c r="AK9" s="369"/>
      <c r="AL9" s="365"/>
      <c r="AM9" s="365"/>
      <c r="AN9" s="365"/>
      <c r="AO9" s="365"/>
      <c r="AP9" s="365"/>
      <c r="AQ9" s="365"/>
      <c r="AR9" s="365"/>
      <c r="AS9" s="365"/>
      <c r="AT9" s="365"/>
      <c r="AU9" s="365"/>
    </row>
    <row r="10" spans="1:47">
      <c r="A10" s="770" t="s">
        <v>856</v>
      </c>
      <c r="B10" s="771" t="s">
        <v>767</v>
      </c>
      <c r="C10" s="772" t="s">
        <v>768</v>
      </c>
      <c r="D10" s="773" t="s">
        <v>769</v>
      </c>
      <c r="E10" s="773" t="s">
        <v>770</v>
      </c>
      <c r="F10" s="774" t="s">
        <v>771</v>
      </c>
      <c r="G10" s="775" t="s">
        <v>800</v>
      </c>
      <c r="H10" s="773" t="s">
        <v>801</v>
      </c>
      <c r="I10" s="773" t="s">
        <v>802</v>
      </c>
      <c r="J10" s="774" t="s">
        <v>803</v>
      </c>
      <c r="K10" s="775" t="s">
        <v>804</v>
      </c>
      <c r="L10" s="773" t="s">
        <v>805</v>
      </c>
      <c r="M10" s="773" t="s">
        <v>806</v>
      </c>
      <c r="N10" s="774" t="s">
        <v>807</v>
      </c>
      <c r="O10" s="775" t="s">
        <v>808</v>
      </c>
      <c r="P10" s="773" t="s">
        <v>809</v>
      </c>
      <c r="Q10" s="773" t="s">
        <v>810</v>
      </c>
      <c r="R10" s="774" t="s">
        <v>811</v>
      </c>
      <c r="S10" s="775" t="s">
        <v>812</v>
      </c>
      <c r="T10" s="773" t="s">
        <v>813</v>
      </c>
      <c r="U10" s="773" t="s">
        <v>814</v>
      </c>
      <c r="V10" s="774" t="s">
        <v>430</v>
      </c>
      <c r="W10" s="775" t="s">
        <v>431</v>
      </c>
      <c r="X10" s="773" t="s">
        <v>486</v>
      </c>
      <c r="Y10" s="773" t="s">
        <v>493</v>
      </c>
      <c r="Z10" s="774" t="s">
        <v>513</v>
      </c>
      <c r="AA10" s="775" t="s">
        <v>559</v>
      </c>
      <c r="AB10" s="773" t="s">
        <v>730</v>
      </c>
      <c r="AC10" s="773" t="s">
        <v>367</v>
      </c>
      <c r="AD10" s="774" t="s">
        <v>582</v>
      </c>
      <c r="AE10" s="775" t="s">
        <v>371</v>
      </c>
      <c r="AF10" s="773" t="s">
        <v>372</v>
      </c>
      <c r="AG10" s="773" t="s">
        <v>373</v>
      </c>
      <c r="AH10" s="774" t="s">
        <v>374</v>
      </c>
      <c r="AI10" s="775" t="s">
        <v>375</v>
      </c>
      <c r="AJ10" s="773" t="s">
        <v>376</v>
      </c>
      <c r="AK10" s="773" t="s">
        <v>377</v>
      </c>
      <c r="AL10" s="774" t="s">
        <v>378</v>
      </c>
      <c r="AM10" s="365"/>
      <c r="AN10" s="365">
        <v>2008</v>
      </c>
      <c r="AO10" s="365">
        <v>2009</v>
      </c>
      <c r="AP10" s="365">
        <v>2010</v>
      </c>
      <c r="AQ10" s="365">
        <v>2011</v>
      </c>
      <c r="AR10" s="365">
        <v>0</v>
      </c>
      <c r="AS10" s="365">
        <v>0</v>
      </c>
      <c r="AT10" s="365">
        <v>0</v>
      </c>
      <c r="AU10" s="365">
        <v>0</v>
      </c>
    </row>
    <row r="11" spans="1:47">
      <c r="A11" s="372" t="s">
        <v>789</v>
      </c>
      <c r="B11" s="679"/>
      <c r="C11" s="490"/>
      <c r="D11" s="451"/>
      <c r="E11" s="451"/>
      <c r="F11" s="569"/>
      <c r="G11" s="489"/>
      <c r="H11" s="451"/>
      <c r="I11" s="413"/>
      <c r="J11" s="414"/>
      <c r="K11" s="490"/>
      <c r="L11" s="413"/>
      <c r="M11" s="413"/>
      <c r="N11" s="414"/>
      <c r="O11" s="490"/>
      <c r="P11" s="413"/>
      <c r="Q11" s="413"/>
      <c r="R11" s="414"/>
      <c r="S11" s="490"/>
      <c r="T11" s="413"/>
      <c r="U11" s="413"/>
      <c r="V11" s="414"/>
      <c r="W11" s="490"/>
      <c r="X11" s="413"/>
      <c r="Y11" s="413"/>
      <c r="Z11" s="414"/>
      <c r="AA11" s="490"/>
      <c r="AB11" s="413"/>
      <c r="AC11" s="413"/>
      <c r="AD11" s="414"/>
      <c r="AE11" s="490"/>
      <c r="AF11" s="413"/>
      <c r="AG11" s="413"/>
      <c r="AH11" s="414"/>
      <c r="AI11" s="490"/>
      <c r="AJ11" s="413"/>
      <c r="AK11" s="368"/>
      <c r="AL11" s="400"/>
      <c r="AM11" s="365"/>
      <c r="AN11" s="365"/>
      <c r="AO11" s="365"/>
      <c r="AP11" s="365"/>
      <c r="AQ11" s="365"/>
      <c r="AR11" s="365"/>
      <c r="AS11" s="365"/>
      <c r="AT11" s="365"/>
      <c r="AU11" s="365"/>
    </row>
    <row r="12" spans="1:47">
      <c r="A12" s="365"/>
      <c r="B12" s="679"/>
      <c r="C12" s="490"/>
      <c r="D12" s="451"/>
      <c r="E12" s="451"/>
      <c r="F12" s="569"/>
      <c r="G12" s="489"/>
      <c r="H12" s="451"/>
      <c r="I12" s="413"/>
      <c r="J12" s="414"/>
      <c r="K12" s="490"/>
      <c r="L12" s="413"/>
      <c r="M12" s="413"/>
      <c r="N12" s="414"/>
      <c r="O12" s="490"/>
      <c r="P12" s="413"/>
      <c r="Q12" s="413"/>
      <c r="R12" s="414"/>
      <c r="S12" s="490"/>
      <c r="T12" s="413"/>
      <c r="U12" s="413"/>
      <c r="V12" s="414"/>
      <c r="W12" s="490"/>
      <c r="X12" s="413"/>
      <c r="Y12" s="413"/>
      <c r="Z12" s="414"/>
      <c r="AA12" s="490"/>
      <c r="AB12" s="413"/>
      <c r="AC12" s="413"/>
      <c r="AD12" s="414"/>
      <c r="AE12" s="490"/>
      <c r="AF12" s="413"/>
      <c r="AG12" s="413"/>
      <c r="AH12" s="414"/>
      <c r="AI12" s="490"/>
      <c r="AJ12" s="413"/>
      <c r="AK12" s="368"/>
      <c r="AL12" s="400"/>
      <c r="AM12" s="365"/>
      <c r="AN12" s="365"/>
      <c r="AO12" s="365"/>
      <c r="AP12" s="365"/>
      <c r="AQ12" s="365"/>
      <c r="AR12" s="365"/>
      <c r="AS12" s="365"/>
      <c r="AT12" s="365"/>
      <c r="AU12" s="365"/>
    </row>
    <row r="13" spans="1:47">
      <c r="A13" s="142" t="s">
        <v>790</v>
      </c>
      <c r="B13" s="679"/>
      <c r="C13" s="490"/>
      <c r="D13" s="451"/>
      <c r="E13" s="451"/>
      <c r="F13" s="569"/>
      <c r="G13" s="489"/>
      <c r="H13" s="451"/>
      <c r="I13" s="413"/>
      <c r="J13" s="414"/>
      <c r="K13" s="490"/>
      <c r="L13" s="413"/>
      <c r="M13" s="413"/>
      <c r="N13" s="414"/>
      <c r="O13" s="490"/>
      <c r="P13" s="413"/>
      <c r="Q13" s="413"/>
      <c r="R13" s="414"/>
      <c r="S13" s="490"/>
      <c r="T13" s="413"/>
      <c r="U13" s="413"/>
      <c r="V13" s="414"/>
      <c r="W13" s="490"/>
      <c r="X13" s="413"/>
      <c r="Y13" s="413"/>
      <c r="Z13" s="414"/>
      <c r="AA13" s="490"/>
      <c r="AB13" s="413"/>
      <c r="AC13" s="413"/>
      <c r="AD13" s="414"/>
      <c r="AE13" s="490"/>
      <c r="AF13" s="413"/>
      <c r="AG13" s="413"/>
      <c r="AH13" s="414"/>
      <c r="AI13" s="490"/>
      <c r="AJ13" s="413"/>
      <c r="AK13" s="368"/>
      <c r="AL13" s="400"/>
      <c r="AM13" s="365"/>
      <c r="AN13" s="365"/>
      <c r="AO13" s="365"/>
      <c r="AP13" s="365"/>
      <c r="AQ13" s="365"/>
      <c r="AR13" s="365"/>
      <c r="AS13" s="365"/>
      <c r="AT13" s="365"/>
      <c r="AU13" s="365"/>
    </row>
    <row r="14" spans="1:47">
      <c r="A14" s="776" t="s">
        <v>481</v>
      </c>
      <c r="B14" s="777"/>
      <c r="C14" s="778"/>
      <c r="D14" s="149"/>
      <c r="E14" s="149"/>
      <c r="F14" s="779"/>
      <c r="G14" s="778"/>
      <c r="H14" s="149"/>
      <c r="I14" s="149"/>
      <c r="J14" s="779"/>
      <c r="K14" s="778"/>
      <c r="L14" s="149"/>
      <c r="M14" s="149"/>
      <c r="N14" s="779"/>
      <c r="O14" s="778"/>
      <c r="P14" s="149"/>
      <c r="Q14" s="149"/>
      <c r="R14" s="779"/>
      <c r="S14" s="778"/>
      <c r="T14" s="149"/>
      <c r="U14" s="149"/>
      <c r="V14" s="779"/>
      <c r="W14" s="778"/>
      <c r="X14" s="149"/>
      <c r="Y14" s="149"/>
      <c r="Z14" s="779"/>
      <c r="AA14" s="778"/>
      <c r="AB14" s="149"/>
      <c r="AC14" s="149"/>
      <c r="AD14" s="779"/>
      <c r="AE14" s="778"/>
      <c r="AF14" s="149"/>
      <c r="AG14" s="149"/>
      <c r="AH14" s="779"/>
      <c r="AI14" s="778"/>
      <c r="AJ14" s="149"/>
      <c r="AK14" s="368"/>
      <c r="AL14" s="400"/>
      <c r="AM14" s="365"/>
      <c r="AN14" s="365"/>
      <c r="AO14" s="365"/>
      <c r="AP14" s="365"/>
      <c r="AQ14" s="365"/>
      <c r="AR14" s="365"/>
      <c r="AS14" s="365"/>
      <c r="AT14" s="365"/>
      <c r="AU14" s="365"/>
    </row>
    <row r="15" spans="1:47">
      <c r="A15" s="780" t="s">
        <v>857</v>
      </c>
      <c r="B15" s="781">
        <v>220972</v>
      </c>
      <c r="C15" s="782">
        <v>222647</v>
      </c>
      <c r="D15" s="491">
        <v>225869</v>
      </c>
      <c r="E15" s="491">
        <v>229536</v>
      </c>
      <c r="F15" s="783">
        <v>224973</v>
      </c>
      <c r="G15" s="782">
        <v>224500</v>
      </c>
      <c r="H15" s="491">
        <v>221708</v>
      </c>
      <c r="I15" s="491">
        <v>225857</v>
      </c>
      <c r="J15" s="783">
        <v>220207</v>
      </c>
      <c r="K15" s="782">
        <v>1372449</v>
      </c>
      <c r="L15" s="491">
        <v>1339786</v>
      </c>
      <c r="M15" s="491">
        <v>1317180</v>
      </c>
      <c r="N15" s="783">
        <v>1331385</v>
      </c>
      <c r="O15" s="782">
        <v>1293075</v>
      </c>
      <c r="P15" s="491">
        <v>1293677</v>
      </c>
      <c r="Q15" s="491">
        <v>1280862</v>
      </c>
      <c r="R15" s="783">
        <v>1257525</v>
      </c>
      <c r="S15" s="782">
        <v>1244480</v>
      </c>
      <c r="T15" s="491">
        <v>1214101</v>
      </c>
      <c r="U15" s="491">
        <v>1178253</v>
      </c>
      <c r="V15" s="783">
        <v>1152407</v>
      </c>
      <c r="W15" s="782">
        <v>1126018</v>
      </c>
      <c r="X15" s="491">
        <v>1108671</v>
      </c>
      <c r="Y15" s="491">
        <v>849357</v>
      </c>
      <c r="Z15" s="783">
        <v>829738</v>
      </c>
      <c r="AA15" s="782">
        <v>812876</v>
      </c>
      <c r="AB15" s="491">
        <v>790580</v>
      </c>
      <c r="AC15" s="491">
        <v>777367</v>
      </c>
      <c r="AD15" s="783">
        <v>757098</v>
      </c>
      <c r="AE15" s="782">
        <v>745203</v>
      </c>
      <c r="AF15" s="491">
        <v>0</v>
      </c>
      <c r="AG15" s="491">
        <v>0</v>
      </c>
      <c r="AH15" s="783">
        <v>0</v>
      </c>
      <c r="AI15" s="782">
        <v>0</v>
      </c>
      <c r="AJ15" s="491">
        <v>0</v>
      </c>
      <c r="AK15" s="491">
        <v>0</v>
      </c>
      <c r="AL15" s="783">
        <v>0</v>
      </c>
      <c r="AM15" s="365"/>
      <c r="AN15" s="491">
        <v>4789241</v>
      </c>
      <c r="AO15" s="491">
        <v>3358190</v>
      </c>
      <c r="AP15" s="491">
        <v>3137921</v>
      </c>
      <c r="AQ15" s="491">
        <v>745203</v>
      </c>
      <c r="AR15" s="491">
        <v>0</v>
      </c>
      <c r="AS15" s="491">
        <v>0</v>
      </c>
      <c r="AT15" s="491">
        <v>0</v>
      </c>
      <c r="AU15" s="491">
        <v>0</v>
      </c>
    </row>
    <row r="16" spans="1:47">
      <c r="A16" s="780" t="s">
        <v>858</v>
      </c>
      <c r="B16" s="781">
        <v>64182</v>
      </c>
      <c r="C16" s="782">
        <v>65628</v>
      </c>
      <c r="D16" s="491">
        <v>68169</v>
      </c>
      <c r="E16" s="491">
        <v>69992</v>
      </c>
      <c r="F16" s="783">
        <v>72410</v>
      </c>
      <c r="G16" s="782">
        <v>72906</v>
      </c>
      <c r="H16" s="491">
        <v>76049</v>
      </c>
      <c r="I16" s="491">
        <v>88911</v>
      </c>
      <c r="J16" s="783">
        <v>80904</v>
      </c>
      <c r="K16" s="782">
        <v>356054</v>
      </c>
      <c r="L16" s="491">
        <v>363447</v>
      </c>
      <c r="M16" s="491">
        <v>380382</v>
      </c>
      <c r="N16" s="783">
        <v>387337</v>
      </c>
      <c r="O16" s="782">
        <v>409864</v>
      </c>
      <c r="P16" s="491">
        <v>428206</v>
      </c>
      <c r="Q16" s="491">
        <v>468630</v>
      </c>
      <c r="R16" s="783">
        <v>459123</v>
      </c>
      <c r="S16" s="782">
        <v>473772</v>
      </c>
      <c r="T16" s="491">
        <v>484239</v>
      </c>
      <c r="U16" s="491">
        <v>485631</v>
      </c>
      <c r="V16" s="783">
        <v>488731</v>
      </c>
      <c r="W16" s="782">
        <v>495037</v>
      </c>
      <c r="X16" s="491">
        <v>494074.5</v>
      </c>
      <c r="Y16" s="491">
        <v>460213</v>
      </c>
      <c r="Z16" s="783">
        <v>461339</v>
      </c>
      <c r="AA16" s="782">
        <v>467440</v>
      </c>
      <c r="AB16" s="491">
        <v>472999</v>
      </c>
      <c r="AC16" s="491">
        <v>480111</v>
      </c>
      <c r="AD16" s="783">
        <v>488351</v>
      </c>
      <c r="AE16" s="782">
        <v>498078</v>
      </c>
      <c r="AF16" s="491">
        <v>0</v>
      </c>
      <c r="AG16" s="491">
        <v>0</v>
      </c>
      <c r="AH16" s="783">
        <v>0</v>
      </c>
      <c r="AI16" s="782">
        <v>0</v>
      </c>
      <c r="AJ16" s="491">
        <v>0</v>
      </c>
      <c r="AK16" s="491">
        <v>0</v>
      </c>
      <c r="AL16" s="783">
        <v>0</v>
      </c>
      <c r="AM16" s="365"/>
      <c r="AN16" s="491">
        <v>1932373</v>
      </c>
      <c r="AO16" s="491">
        <v>1843104</v>
      </c>
      <c r="AP16" s="491">
        <v>1908901</v>
      </c>
      <c r="AQ16" s="491">
        <v>498078</v>
      </c>
      <c r="AR16" s="491">
        <v>0</v>
      </c>
      <c r="AS16" s="491">
        <v>0</v>
      </c>
      <c r="AT16" s="491">
        <v>0</v>
      </c>
      <c r="AU16" s="491">
        <v>0</v>
      </c>
    </row>
    <row r="17" spans="1:47">
      <c r="A17" s="780" t="s">
        <v>792</v>
      </c>
      <c r="B17" s="781">
        <v>315949</v>
      </c>
      <c r="C17" s="782">
        <v>305429</v>
      </c>
      <c r="D17" s="491">
        <v>309517</v>
      </c>
      <c r="E17" s="491">
        <v>307864</v>
      </c>
      <c r="F17" s="783">
        <v>308851</v>
      </c>
      <c r="G17" s="782">
        <v>297876</v>
      </c>
      <c r="H17" s="491">
        <v>308656</v>
      </c>
      <c r="I17" s="491">
        <v>342317</v>
      </c>
      <c r="J17" s="783">
        <v>319361</v>
      </c>
      <c r="K17" s="782">
        <v>394834</v>
      </c>
      <c r="L17" s="491">
        <v>397898</v>
      </c>
      <c r="M17" s="491">
        <v>402870</v>
      </c>
      <c r="N17" s="783">
        <v>390973</v>
      </c>
      <c r="O17" s="782">
        <v>377916</v>
      </c>
      <c r="P17" s="491">
        <v>399239</v>
      </c>
      <c r="Q17" s="491">
        <v>431814</v>
      </c>
      <c r="R17" s="783">
        <v>405198</v>
      </c>
      <c r="S17" s="782">
        <v>386362</v>
      </c>
      <c r="T17" s="491">
        <v>398233</v>
      </c>
      <c r="U17" s="491">
        <v>394189</v>
      </c>
      <c r="V17" s="783">
        <v>387509</v>
      </c>
      <c r="W17" s="782">
        <v>360502</v>
      </c>
      <c r="X17" s="491">
        <v>356823.5</v>
      </c>
      <c r="Y17" s="491">
        <v>564755</v>
      </c>
      <c r="Z17" s="783">
        <v>548347</v>
      </c>
      <c r="AA17" s="782">
        <v>520110</v>
      </c>
      <c r="AB17" s="491">
        <v>508451</v>
      </c>
      <c r="AC17" s="491">
        <v>489623</v>
      </c>
      <c r="AD17" s="783">
        <v>476528</v>
      </c>
      <c r="AE17" s="782">
        <v>452438</v>
      </c>
      <c r="AF17" s="491">
        <v>0</v>
      </c>
      <c r="AG17" s="491">
        <v>0</v>
      </c>
      <c r="AH17" s="783">
        <v>0</v>
      </c>
      <c r="AI17" s="782">
        <v>0</v>
      </c>
      <c r="AJ17" s="491">
        <v>0</v>
      </c>
      <c r="AK17" s="491">
        <v>0</v>
      </c>
      <c r="AL17" s="783">
        <v>0</v>
      </c>
      <c r="AM17" s="365"/>
      <c r="AN17" s="491">
        <v>1566293</v>
      </c>
      <c r="AO17" s="491">
        <v>2328917</v>
      </c>
      <c r="AP17" s="491">
        <v>1994712</v>
      </c>
      <c r="AQ17" s="491">
        <v>452438</v>
      </c>
      <c r="AR17" s="491">
        <v>0</v>
      </c>
      <c r="AS17" s="491">
        <v>0</v>
      </c>
      <c r="AT17" s="491">
        <v>0</v>
      </c>
      <c r="AU17" s="491">
        <v>0</v>
      </c>
    </row>
    <row r="18" spans="1:47">
      <c r="A18" s="784" t="s">
        <v>877</v>
      </c>
      <c r="B18" s="777">
        <v>601103</v>
      </c>
      <c r="C18" s="778">
        <v>593704</v>
      </c>
      <c r="D18" s="149">
        <v>603555</v>
      </c>
      <c r="E18" s="149">
        <v>607392</v>
      </c>
      <c r="F18" s="779">
        <v>606234</v>
      </c>
      <c r="G18" s="778">
        <v>595282</v>
      </c>
      <c r="H18" s="149">
        <v>606413</v>
      </c>
      <c r="I18" s="149">
        <v>657085</v>
      </c>
      <c r="J18" s="779">
        <v>620472</v>
      </c>
      <c r="K18" s="778">
        <v>2123337</v>
      </c>
      <c r="L18" s="149">
        <v>2101131</v>
      </c>
      <c r="M18" s="149">
        <v>2100432</v>
      </c>
      <c r="N18" s="779">
        <v>2109695</v>
      </c>
      <c r="O18" s="778">
        <v>2080855</v>
      </c>
      <c r="P18" s="149">
        <v>2121122</v>
      </c>
      <c r="Q18" s="149">
        <v>2181306</v>
      </c>
      <c r="R18" s="779">
        <v>2121846</v>
      </c>
      <c r="S18" s="778">
        <v>2104614</v>
      </c>
      <c r="T18" s="149">
        <v>2096573</v>
      </c>
      <c r="U18" s="149">
        <v>2058073</v>
      </c>
      <c r="V18" s="785">
        <v>1976474</v>
      </c>
      <c r="W18" s="786">
        <v>1929597</v>
      </c>
      <c r="X18" s="787">
        <v>1906413</v>
      </c>
      <c r="Y18" s="149">
        <v>1874325</v>
      </c>
      <c r="Z18" s="779">
        <v>1839424</v>
      </c>
      <c r="AA18" s="778">
        <v>1800426</v>
      </c>
      <c r="AB18" s="149">
        <v>1772030</v>
      </c>
      <c r="AC18" s="149">
        <v>1747101</v>
      </c>
      <c r="AD18" s="779">
        <v>1721977</v>
      </c>
      <c r="AE18" s="778">
        <v>1695719</v>
      </c>
      <c r="AF18" s="149">
        <v>0</v>
      </c>
      <c r="AG18" s="149">
        <v>0</v>
      </c>
      <c r="AH18" s="779">
        <v>0</v>
      </c>
      <c r="AI18" s="778">
        <v>0</v>
      </c>
      <c r="AJ18" s="149">
        <v>0</v>
      </c>
      <c r="AK18" s="149">
        <v>0</v>
      </c>
      <c r="AL18" s="779">
        <v>0</v>
      </c>
      <c r="AM18" s="365"/>
      <c r="AN18" s="149">
        <v>8235734</v>
      </c>
      <c r="AO18" s="149">
        <v>7530211</v>
      </c>
      <c r="AP18" s="149">
        <v>7041534</v>
      </c>
      <c r="AQ18" s="149">
        <v>1695719</v>
      </c>
      <c r="AR18" s="149">
        <v>0</v>
      </c>
      <c r="AS18" s="149">
        <v>0</v>
      </c>
      <c r="AT18" s="149">
        <v>0</v>
      </c>
      <c r="AU18" s="149">
        <v>0</v>
      </c>
    </row>
    <row r="19" spans="1:47">
      <c r="A19" s="142"/>
      <c r="B19" s="788"/>
      <c r="C19" s="789"/>
      <c r="D19" s="467"/>
      <c r="E19" s="467"/>
      <c r="F19" s="790"/>
      <c r="G19" s="789"/>
      <c r="H19" s="467"/>
      <c r="I19" s="467"/>
      <c r="J19" s="790"/>
      <c r="K19" s="789"/>
      <c r="L19" s="467"/>
      <c r="M19" s="467"/>
      <c r="N19" s="790"/>
      <c r="O19" s="789"/>
      <c r="P19" s="467"/>
      <c r="Q19" s="467"/>
      <c r="R19" s="790"/>
      <c r="S19" s="789"/>
      <c r="T19" s="467"/>
      <c r="U19" s="467"/>
      <c r="V19" s="414"/>
      <c r="W19" s="490"/>
      <c r="X19" s="413"/>
      <c r="Y19" s="413"/>
      <c r="Z19" s="414"/>
      <c r="AA19" s="490"/>
      <c r="AB19" s="413"/>
      <c r="AC19" s="413"/>
      <c r="AD19" s="414"/>
      <c r="AE19" s="490"/>
      <c r="AF19" s="413"/>
      <c r="AG19" s="413"/>
      <c r="AH19" s="414"/>
      <c r="AI19" s="490"/>
      <c r="AJ19" s="413"/>
      <c r="AK19" s="413"/>
      <c r="AL19" s="414"/>
      <c r="AM19" s="365"/>
      <c r="AN19" s="399"/>
      <c r="AO19" s="399"/>
      <c r="AP19" s="399"/>
      <c r="AQ19" s="399"/>
      <c r="AR19" s="399"/>
      <c r="AS19" s="399"/>
      <c r="AT19" s="399"/>
      <c r="AU19" s="399"/>
    </row>
    <row r="20" spans="1:47">
      <c r="A20" s="791" t="s">
        <v>590</v>
      </c>
      <c r="B20" s="788"/>
      <c r="C20" s="789"/>
      <c r="D20" s="467"/>
      <c r="E20" s="467"/>
      <c r="F20" s="790"/>
      <c r="G20" s="789"/>
      <c r="H20" s="467"/>
      <c r="I20" s="467"/>
      <c r="J20" s="790"/>
      <c r="K20" s="789"/>
      <c r="L20" s="467"/>
      <c r="M20" s="467"/>
      <c r="N20" s="790"/>
      <c r="O20" s="789"/>
      <c r="P20" s="467"/>
      <c r="Q20" s="467"/>
      <c r="R20" s="790"/>
      <c r="S20" s="789"/>
      <c r="T20" s="467"/>
      <c r="U20" s="467"/>
      <c r="V20" s="414"/>
      <c r="W20" s="490"/>
      <c r="X20" s="413"/>
      <c r="Y20" s="413"/>
      <c r="Z20" s="414"/>
      <c r="AA20" s="490"/>
      <c r="AB20" s="413"/>
      <c r="AC20" s="413"/>
      <c r="AD20" s="414"/>
      <c r="AE20" s="490"/>
      <c r="AF20" s="413"/>
      <c r="AG20" s="413"/>
      <c r="AH20" s="414"/>
      <c r="AI20" s="490"/>
      <c r="AJ20" s="413"/>
      <c r="AK20" s="413"/>
      <c r="AL20" s="414"/>
      <c r="AM20" s="365"/>
      <c r="AN20" s="399"/>
      <c r="AO20" s="399"/>
      <c r="AP20" s="399"/>
      <c r="AQ20" s="399"/>
      <c r="AR20" s="399"/>
      <c r="AS20" s="399"/>
      <c r="AT20" s="399"/>
      <c r="AU20" s="399"/>
    </row>
    <row r="21" spans="1:47">
      <c r="A21" s="132" t="s">
        <v>658</v>
      </c>
      <c r="B21" s="788"/>
      <c r="C21" s="789"/>
      <c r="D21" s="467"/>
      <c r="E21" s="467"/>
      <c r="F21" s="790"/>
      <c r="G21" s="789"/>
      <c r="H21" s="467"/>
      <c r="I21" s="467"/>
      <c r="J21" s="790"/>
      <c r="K21" s="789"/>
      <c r="L21" s="467"/>
      <c r="M21" s="467"/>
      <c r="N21" s="790"/>
      <c r="O21" s="789"/>
      <c r="P21" s="467"/>
      <c r="Q21" s="467"/>
      <c r="R21" s="790"/>
      <c r="S21" s="490">
        <v>2115000</v>
      </c>
      <c r="T21" s="413">
        <v>2048000</v>
      </c>
      <c r="U21" s="413">
        <v>2008000</v>
      </c>
      <c r="V21" s="414">
        <v>1932000</v>
      </c>
      <c r="W21" s="490">
        <v>1869000</v>
      </c>
      <c r="X21" s="413">
        <v>1790000</v>
      </c>
      <c r="Y21" s="413">
        <v>1736000</v>
      </c>
      <c r="Z21" s="414">
        <v>1680000</v>
      </c>
      <c r="AA21" s="490">
        <v>1631000</v>
      </c>
      <c r="AB21" s="413">
        <v>1570000</v>
      </c>
      <c r="AC21" s="413">
        <v>1553000</v>
      </c>
      <c r="AD21" s="414">
        <v>1500000</v>
      </c>
      <c r="AE21" s="490">
        <v>1460000</v>
      </c>
      <c r="AF21" s="413">
        <v>0</v>
      </c>
      <c r="AG21" s="413">
        <v>0</v>
      </c>
      <c r="AH21" s="414">
        <v>0</v>
      </c>
      <c r="AI21" s="490">
        <v>0</v>
      </c>
      <c r="AJ21" s="413">
        <v>0</v>
      </c>
      <c r="AK21" s="413">
        <v>0</v>
      </c>
      <c r="AL21" s="414">
        <v>0</v>
      </c>
      <c r="AM21" s="365"/>
      <c r="AN21" s="413">
        <v>8103000</v>
      </c>
      <c r="AO21" s="413">
        <v>7075000</v>
      </c>
      <c r="AP21" s="413">
        <v>6254000</v>
      </c>
      <c r="AQ21" s="413">
        <v>1460000</v>
      </c>
      <c r="AR21" s="413">
        <v>0</v>
      </c>
      <c r="AS21" s="413">
        <v>0</v>
      </c>
      <c r="AT21" s="413">
        <v>0</v>
      </c>
      <c r="AU21" s="413">
        <v>0</v>
      </c>
    </row>
    <row r="22" spans="1:47">
      <c r="A22" s="132" t="s">
        <v>659</v>
      </c>
      <c r="B22" s="788"/>
      <c r="C22" s="789"/>
      <c r="D22" s="467"/>
      <c r="E22" s="467"/>
      <c r="F22" s="790"/>
      <c r="G22" s="789"/>
      <c r="H22" s="467"/>
      <c r="I22" s="467"/>
      <c r="J22" s="790"/>
      <c r="K22" s="789"/>
      <c r="L22" s="467"/>
      <c r="M22" s="467"/>
      <c r="N22" s="790"/>
      <c r="O22" s="789"/>
      <c r="P22" s="467"/>
      <c r="Q22" s="467"/>
      <c r="R22" s="790"/>
      <c r="S22" s="490">
        <v>960000</v>
      </c>
      <c r="T22" s="413">
        <v>985000</v>
      </c>
      <c r="U22" s="413">
        <v>1006000</v>
      </c>
      <c r="V22" s="414">
        <v>1034000</v>
      </c>
      <c r="W22" s="490">
        <v>1047000</v>
      </c>
      <c r="X22" s="413">
        <v>1046000</v>
      </c>
      <c r="Y22" s="413">
        <v>1051000</v>
      </c>
      <c r="Z22" s="414">
        <v>1073000</v>
      </c>
      <c r="AA22" s="490">
        <v>1101000</v>
      </c>
      <c r="AB22" s="413">
        <v>1112000</v>
      </c>
      <c r="AC22" s="413">
        <v>1135000</v>
      </c>
      <c r="AD22" s="414">
        <v>1144000</v>
      </c>
      <c r="AE22" s="490">
        <v>1171000</v>
      </c>
      <c r="AF22" s="413">
        <v>0</v>
      </c>
      <c r="AG22" s="413">
        <v>0</v>
      </c>
      <c r="AH22" s="414">
        <v>0</v>
      </c>
      <c r="AI22" s="490">
        <v>0</v>
      </c>
      <c r="AJ22" s="413">
        <v>0</v>
      </c>
      <c r="AK22" s="413">
        <v>0</v>
      </c>
      <c r="AL22" s="414">
        <v>0</v>
      </c>
      <c r="AM22" s="365"/>
      <c r="AN22" s="413">
        <v>3985000</v>
      </c>
      <c r="AO22" s="413">
        <v>4217000</v>
      </c>
      <c r="AP22" s="413">
        <v>4492000</v>
      </c>
      <c r="AQ22" s="413">
        <v>1171000</v>
      </c>
      <c r="AR22" s="413">
        <v>0</v>
      </c>
      <c r="AS22" s="413">
        <v>0</v>
      </c>
      <c r="AT22" s="413">
        <v>0</v>
      </c>
      <c r="AU22" s="413">
        <v>0</v>
      </c>
    </row>
    <row r="23" spans="1:47">
      <c r="A23" s="132" t="s">
        <v>660</v>
      </c>
      <c r="B23" s="788"/>
      <c r="C23" s="789"/>
      <c r="D23" s="467"/>
      <c r="E23" s="467"/>
      <c r="F23" s="790"/>
      <c r="G23" s="789"/>
      <c r="H23" s="467"/>
      <c r="I23" s="467"/>
      <c r="J23" s="790"/>
      <c r="K23" s="789"/>
      <c r="L23" s="467"/>
      <c r="M23" s="467"/>
      <c r="N23" s="790"/>
      <c r="O23" s="789"/>
      <c r="P23" s="467"/>
      <c r="Q23" s="467"/>
      <c r="R23" s="790"/>
      <c r="S23" s="490">
        <v>116000</v>
      </c>
      <c r="T23" s="413">
        <v>133000</v>
      </c>
      <c r="U23" s="413">
        <v>158000</v>
      </c>
      <c r="V23" s="414">
        <v>163000</v>
      </c>
      <c r="W23" s="490">
        <v>124000</v>
      </c>
      <c r="X23" s="413">
        <v>132000</v>
      </c>
      <c r="Y23" s="413">
        <v>153000</v>
      </c>
      <c r="Z23" s="414">
        <v>148000</v>
      </c>
      <c r="AA23" s="490">
        <v>135000</v>
      </c>
      <c r="AB23" s="413">
        <v>142000</v>
      </c>
      <c r="AC23" s="413">
        <v>157000</v>
      </c>
      <c r="AD23" s="414">
        <v>170000</v>
      </c>
      <c r="AE23" s="490">
        <v>122000</v>
      </c>
      <c r="AF23" s="413">
        <v>0</v>
      </c>
      <c r="AG23" s="413">
        <v>0</v>
      </c>
      <c r="AH23" s="414">
        <v>0</v>
      </c>
      <c r="AI23" s="490">
        <v>0</v>
      </c>
      <c r="AJ23" s="413">
        <v>0</v>
      </c>
      <c r="AK23" s="413">
        <v>0</v>
      </c>
      <c r="AL23" s="414">
        <v>0</v>
      </c>
      <c r="AM23" s="365"/>
      <c r="AN23" s="413">
        <v>570000</v>
      </c>
      <c r="AO23" s="413">
        <v>557000</v>
      </c>
      <c r="AP23" s="413">
        <v>604000</v>
      </c>
      <c r="AQ23" s="413">
        <v>122000</v>
      </c>
      <c r="AR23" s="413">
        <v>0</v>
      </c>
      <c r="AS23" s="413">
        <v>0</v>
      </c>
      <c r="AT23" s="413">
        <v>0</v>
      </c>
      <c r="AU23" s="413">
        <v>0</v>
      </c>
    </row>
    <row r="24" spans="1:47">
      <c r="A24" s="132" t="s">
        <v>661</v>
      </c>
      <c r="B24" s="788"/>
      <c r="C24" s="789"/>
      <c r="D24" s="467"/>
      <c r="E24" s="467"/>
      <c r="F24" s="790"/>
      <c r="G24" s="789"/>
      <c r="H24" s="467"/>
      <c r="I24" s="467"/>
      <c r="J24" s="790"/>
      <c r="K24" s="789"/>
      <c r="L24" s="467"/>
      <c r="M24" s="467"/>
      <c r="N24" s="790"/>
      <c r="O24" s="789"/>
      <c r="P24" s="467"/>
      <c r="Q24" s="467"/>
      <c r="R24" s="790"/>
      <c r="S24" s="490">
        <v>129000</v>
      </c>
      <c r="T24" s="413">
        <v>126000</v>
      </c>
      <c r="U24" s="413">
        <v>116000</v>
      </c>
      <c r="V24" s="414">
        <v>89000</v>
      </c>
      <c r="W24" s="490">
        <v>55000</v>
      </c>
      <c r="X24" s="413">
        <v>33000</v>
      </c>
      <c r="Y24" s="413">
        <v>20000</v>
      </c>
      <c r="Z24" s="414">
        <v>4000</v>
      </c>
      <c r="AA24" s="490">
        <v>0</v>
      </c>
      <c r="AB24" s="413">
        <v>0</v>
      </c>
      <c r="AC24" s="413">
        <v>0</v>
      </c>
      <c r="AD24" s="414">
        <v>0</v>
      </c>
      <c r="AE24" s="490">
        <v>0</v>
      </c>
      <c r="AF24" s="413">
        <v>0</v>
      </c>
      <c r="AG24" s="413">
        <v>0</v>
      </c>
      <c r="AH24" s="414">
        <v>0</v>
      </c>
      <c r="AI24" s="490">
        <v>0</v>
      </c>
      <c r="AJ24" s="413">
        <v>0</v>
      </c>
      <c r="AK24" s="413">
        <v>0</v>
      </c>
      <c r="AL24" s="414">
        <v>0</v>
      </c>
      <c r="AM24" s="365"/>
      <c r="AN24" s="413">
        <v>460000</v>
      </c>
      <c r="AO24" s="413">
        <v>112000</v>
      </c>
      <c r="AP24" s="413">
        <v>0</v>
      </c>
      <c r="AQ24" s="413">
        <v>0</v>
      </c>
      <c r="AR24" s="413">
        <v>0</v>
      </c>
      <c r="AS24" s="413">
        <v>0</v>
      </c>
      <c r="AT24" s="413">
        <v>0</v>
      </c>
      <c r="AU24" s="413">
        <v>0</v>
      </c>
    </row>
    <row r="25" spans="1:47">
      <c r="A25" s="132" t="s">
        <v>662</v>
      </c>
      <c r="B25" s="788"/>
      <c r="C25" s="789"/>
      <c r="D25" s="467"/>
      <c r="E25" s="467"/>
      <c r="F25" s="790"/>
      <c r="G25" s="789"/>
      <c r="H25" s="467"/>
      <c r="I25" s="467"/>
      <c r="J25" s="790"/>
      <c r="K25" s="789"/>
      <c r="L25" s="467"/>
      <c r="M25" s="467"/>
      <c r="N25" s="790"/>
      <c r="O25" s="789"/>
      <c r="P25" s="467"/>
      <c r="Q25" s="467"/>
      <c r="R25" s="790"/>
      <c r="S25" s="490">
        <v>79000</v>
      </c>
      <c r="T25" s="413">
        <v>90000</v>
      </c>
      <c r="U25" s="413">
        <v>91000</v>
      </c>
      <c r="V25" s="414">
        <v>97000</v>
      </c>
      <c r="W25" s="490">
        <v>78000</v>
      </c>
      <c r="X25" s="413">
        <v>89000</v>
      </c>
      <c r="Y25" s="413">
        <v>94000</v>
      </c>
      <c r="Z25" s="414">
        <v>89000</v>
      </c>
      <c r="AA25" s="490">
        <v>99000</v>
      </c>
      <c r="AB25" s="413">
        <v>106000</v>
      </c>
      <c r="AC25" s="413">
        <v>90000</v>
      </c>
      <c r="AD25" s="414">
        <v>85000</v>
      </c>
      <c r="AE25" s="490">
        <v>93000</v>
      </c>
      <c r="AF25" s="413">
        <v>0</v>
      </c>
      <c r="AG25" s="413">
        <v>0</v>
      </c>
      <c r="AH25" s="414">
        <v>0</v>
      </c>
      <c r="AI25" s="490">
        <v>0</v>
      </c>
      <c r="AJ25" s="413">
        <v>0</v>
      </c>
      <c r="AK25" s="413">
        <v>0</v>
      </c>
      <c r="AL25" s="414">
        <v>0</v>
      </c>
      <c r="AM25" s="365"/>
      <c r="AN25" s="413">
        <v>357000</v>
      </c>
      <c r="AO25" s="413">
        <v>350000</v>
      </c>
      <c r="AP25" s="413">
        <v>380000</v>
      </c>
      <c r="AQ25" s="413">
        <v>93000</v>
      </c>
      <c r="AR25" s="413">
        <v>0</v>
      </c>
      <c r="AS25" s="413">
        <v>0</v>
      </c>
      <c r="AT25" s="413">
        <v>0</v>
      </c>
      <c r="AU25" s="413">
        <v>0</v>
      </c>
    </row>
    <row r="26" spans="1:47">
      <c r="A26" s="142" t="s">
        <v>666</v>
      </c>
      <c r="B26" s="788"/>
      <c r="C26" s="789"/>
      <c r="D26" s="467"/>
      <c r="E26" s="467"/>
      <c r="F26" s="790"/>
      <c r="G26" s="789"/>
      <c r="H26" s="467"/>
      <c r="I26" s="467"/>
      <c r="J26" s="790"/>
      <c r="K26" s="789"/>
      <c r="L26" s="467"/>
      <c r="M26" s="467"/>
      <c r="N26" s="790"/>
      <c r="O26" s="789"/>
      <c r="P26" s="467"/>
      <c r="Q26" s="467"/>
      <c r="R26" s="790"/>
      <c r="S26" s="594">
        <v>3399000</v>
      </c>
      <c r="T26" s="582">
        <v>3382000</v>
      </c>
      <c r="U26" s="582">
        <v>3379000</v>
      </c>
      <c r="V26" s="593">
        <v>3315000</v>
      </c>
      <c r="W26" s="594">
        <v>3173000</v>
      </c>
      <c r="X26" s="582">
        <v>3090000</v>
      </c>
      <c r="Y26" s="582">
        <v>3054000</v>
      </c>
      <c r="Z26" s="593">
        <v>2994000</v>
      </c>
      <c r="AA26" s="594">
        <v>2966000</v>
      </c>
      <c r="AB26" s="582">
        <v>2930000</v>
      </c>
      <c r="AC26" s="582">
        <v>2935000</v>
      </c>
      <c r="AD26" s="593">
        <v>2899000</v>
      </c>
      <c r="AE26" s="594">
        <v>2846000</v>
      </c>
      <c r="AF26" s="582">
        <v>0</v>
      </c>
      <c r="AG26" s="582">
        <v>0</v>
      </c>
      <c r="AH26" s="593">
        <v>0</v>
      </c>
      <c r="AI26" s="594">
        <v>0</v>
      </c>
      <c r="AJ26" s="582">
        <v>0</v>
      </c>
      <c r="AK26" s="582">
        <v>0</v>
      </c>
      <c r="AL26" s="593">
        <v>0</v>
      </c>
      <c r="AM26" s="365"/>
      <c r="AN26" s="582">
        <v>13475000</v>
      </c>
      <c r="AO26" s="582">
        <v>12311000</v>
      </c>
      <c r="AP26" s="582">
        <v>11730000</v>
      </c>
      <c r="AQ26" s="582">
        <v>2846000</v>
      </c>
      <c r="AR26" s="582">
        <v>0</v>
      </c>
      <c r="AS26" s="582">
        <v>0</v>
      </c>
      <c r="AT26" s="582">
        <v>0</v>
      </c>
      <c r="AU26" s="582">
        <v>0</v>
      </c>
    </row>
    <row r="27" spans="1:47">
      <c r="A27" s="142"/>
      <c r="B27" s="788"/>
      <c r="C27" s="789"/>
      <c r="D27" s="467"/>
      <c r="E27" s="467"/>
      <c r="F27" s="790"/>
      <c r="G27" s="789"/>
      <c r="H27" s="467"/>
      <c r="I27" s="467"/>
      <c r="J27" s="790"/>
      <c r="K27" s="789"/>
      <c r="L27" s="467"/>
      <c r="M27" s="467"/>
      <c r="N27" s="790"/>
      <c r="O27" s="789"/>
      <c r="P27" s="467"/>
      <c r="Q27" s="467"/>
      <c r="R27" s="790"/>
      <c r="S27" s="789"/>
      <c r="T27" s="467"/>
      <c r="U27" s="467"/>
      <c r="V27" s="414"/>
      <c r="W27" s="490"/>
      <c r="X27" s="413"/>
      <c r="Y27" s="413"/>
      <c r="Z27" s="414"/>
      <c r="AA27" s="490"/>
      <c r="AB27" s="413"/>
      <c r="AC27" s="413"/>
      <c r="AD27" s="414"/>
      <c r="AE27" s="490"/>
      <c r="AF27" s="413"/>
      <c r="AG27" s="413"/>
      <c r="AH27" s="414"/>
      <c r="AI27" s="490"/>
      <c r="AJ27" s="413"/>
      <c r="AK27" s="413"/>
      <c r="AL27" s="414"/>
      <c r="AM27" s="365"/>
      <c r="AN27" s="413"/>
      <c r="AO27" s="413"/>
      <c r="AP27" s="413"/>
      <c r="AQ27" s="413"/>
      <c r="AR27" s="413"/>
      <c r="AS27" s="413"/>
      <c r="AT27" s="413"/>
      <c r="AU27" s="413"/>
    </row>
    <row r="28" spans="1:47">
      <c r="A28" s="792" t="s">
        <v>667</v>
      </c>
      <c r="B28" s="793"/>
      <c r="C28" s="794"/>
      <c r="D28" s="478"/>
      <c r="E28" s="478"/>
      <c r="F28" s="795"/>
      <c r="G28" s="794"/>
      <c r="H28" s="478"/>
      <c r="I28" s="478"/>
      <c r="J28" s="795"/>
      <c r="K28" s="794"/>
      <c r="L28" s="478"/>
      <c r="M28" s="478"/>
      <c r="N28" s="795"/>
      <c r="O28" s="794"/>
      <c r="P28" s="478"/>
      <c r="Q28" s="478"/>
      <c r="R28" s="795"/>
      <c r="S28" s="794"/>
      <c r="T28" s="478"/>
      <c r="U28" s="478"/>
      <c r="V28" s="795"/>
      <c r="W28" s="794"/>
      <c r="X28" s="478"/>
      <c r="Y28" s="478"/>
      <c r="Z28" s="795"/>
      <c r="AA28" s="794"/>
      <c r="AB28" s="478"/>
      <c r="AC28" s="478"/>
      <c r="AD28" s="795"/>
      <c r="AE28" s="794"/>
      <c r="AF28" s="478"/>
      <c r="AG28" s="478"/>
      <c r="AH28" s="795"/>
      <c r="AI28" s="794"/>
      <c r="AJ28" s="478"/>
      <c r="AK28" s="478"/>
      <c r="AL28" s="795"/>
      <c r="AM28" s="369"/>
      <c r="AN28" s="478"/>
      <c r="AO28" s="478"/>
      <c r="AP28" s="478"/>
      <c r="AQ28" s="478"/>
      <c r="AR28" s="478"/>
      <c r="AS28" s="478"/>
      <c r="AT28" s="478"/>
      <c r="AU28" s="478"/>
    </row>
    <row r="29" spans="1:47">
      <c r="A29" s="796" t="s">
        <v>857</v>
      </c>
      <c r="B29" s="797">
        <v>220972</v>
      </c>
      <c r="C29" s="798">
        <v>222647</v>
      </c>
      <c r="D29" s="799">
        <v>225869</v>
      </c>
      <c r="E29" s="799">
        <v>229536</v>
      </c>
      <c r="F29" s="800">
        <v>224973</v>
      </c>
      <c r="G29" s="798">
        <v>224500</v>
      </c>
      <c r="H29" s="799">
        <v>221708</v>
      </c>
      <c r="I29" s="799">
        <v>225857</v>
      </c>
      <c r="J29" s="800">
        <v>220207</v>
      </c>
      <c r="K29" s="798">
        <v>1372449</v>
      </c>
      <c r="L29" s="799">
        <v>1339786</v>
      </c>
      <c r="M29" s="799">
        <v>1317180</v>
      </c>
      <c r="N29" s="800">
        <v>1331385</v>
      </c>
      <c r="O29" s="798">
        <v>1293075</v>
      </c>
      <c r="P29" s="799">
        <v>1293677</v>
      </c>
      <c r="Q29" s="799">
        <v>1280862</v>
      </c>
      <c r="R29" s="800">
        <v>1257525</v>
      </c>
      <c r="S29" s="798">
        <v>3359480</v>
      </c>
      <c r="T29" s="799">
        <v>3262101</v>
      </c>
      <c r="U29" s="799">
        <v>3186253</v>
      </c>
      <c r="V29" s="800">
        <v>3084407</v>
      </c>
      <c r="W29" s="798">
        <v>2995018</v>
      </c>
      <c r="X29" s="799">
        <v>2898671</v>
      </c>
      <c r="Y29" s="799">
        <v>2585357</v>
      </c>
      <c r="Z29" s="800">
        <v>2509738</v>
      </c>
      <c r="AA29" s="798">
        <v>2443876</v>
      </c>
      <c r="AB29" s="799">
        <v>2360580</v>
      </c>
      <c r="AC29" s="799">
        <v>2330367</v>
      </c>
      <c r="AD29" s="800">
        <v>2257098</v>
      </c>
      <c r="AE29" s="798">
        <v>2205203</v>
      </c>
      <c r="AF29" s="799">
        <v>0</v>
      </c>
      <c r="AG29" s="799">
        <v>0</v>
      </c>
      <c r="AH29" s="800">
        <v>0</v>
      </c>
      <c r="AI29" s="798">
        <v>0</v>
      </c>
      <c r="AJ29" s="799">
        <v>0</v>
      </c>
      <c r="AK29" s="799">
        <v>0</v>
      </c>
      <c r="AL29" s="800">
        <v>0</v>
      </c>
      <c r="AM29" s="369"/>
      <c r="AN29" s="799">
        <v>12892241</v>
      </c>
      <c r="AO29" s="799">
        <v>10433190</v>
      </c>
      <c r="AP29" s="799">
        <v>9391921</v>
      </c>
      <c r="AQ29" s="799">
        <v>2205203</v>
      </c>
      <c r="AR29" s="799">
        <v>0</v>
      </c>
      <c r="AS29" s="799">
        <v>0</v>
      </c>
      <c r="AT29" s="799">
        <v>0</v>
      </c>
      <c r="AU29" s="799">
        <v>0</v>
      </c>
    </row>
    <row r="30" spans="1:47">
      <c r="A30" s="796" t="s">
        <v>858</v>
      </c>
      <c r="B30" s="797">
        <v>64182</v>
      </c>
      <c r="C30" s="798">
        <v>65628</v>
      </c>
      <c r="D30" s="799">
        <v>68169</v>
      </c>
      <c r="E30" s="799">
        <v>69992</v>
      </c>
      <c r="F30" s="800">
        <v>72410</v>
      </c>
      <c r="G30" s="798">
        <v>72906</v>
      </c>
      <c r="H30" s="799">
        <v>76049</v>
      </c>
      <c r="I30" s="799">
        <v>88911</v>
      </c>
      <c r="J30" s="800">
        <v>80904</v>
      </c>
      <c r="K30" s="798">
        <v>356054</v>
      </c>
      <c r="L30" s="799">
        <v>363447</v>
      </c>
      <c r="M30" s="799">
        <v>380382</v>
      </c>
      <c r="N30" s="800">
        <v>387337</v>
      </c>
      <c r="O30" s="798">
        <v>409864</v>
      </c>
      <c r="P30" s="799">
        <v>428206</v>
      </c>
      <c r="Q30" s="799">
        <v>468630</v>
      </c>
      <c r="R30" s="800">
        <v>459123</v>
      </c>
      <c r="S30" s="798">
        <v>589772</v>
      </c>
      <c r="T30" s="799">
        <v>617239</v>
      </c>
      <c r="U30" s="799">
        <v>643631</v>
      </c>
      <c r="V30" s="800">
        <v>651731</v>
      </c>
      <c r="W30" s="798">
        <v>619037</v>
      </c>
      <c r="X30" s="799">
        <v>626074.5</v>
      </c>
      <c r="Y30" s="799">
        <v>613213</v>
      </c>
      <c r="Z30" s="800">
        <v>609339</v>
      </c>
      <c r="AA30" s="798">
        <v>602440</v>
      </c>
      <c r="AB30" s="799">
        <v>614999</v>
      </c>
      <c r="AC30" s="799">
        <v>637111</v>
      </c>
      <c r="AD30" s="800">
        <v>658351</v>
      </c>
      <c r="AE30" s="798">
        <v>620078</v>
      </c>
      <c r="AF30" s="799">
        <v>0</v>
      </c>
      <c r="AG30" s="799">
        <v>0</v>
      </c>
      <c r="AH30" s="800">
        <v>0</v>
      </c>
      <c r="AI30" s="798">
        <v>0</v>
      </c>
      <c r="AJ30" s="799">
        <v>0</v>
      </c>
      <c r="AK30" s="799">
        <v>0</v>
      </c>
      <c r="AL30" s="800">
        <v>0</v>
      </c>
      <c r="AM30" s="369"/>
      <c r="AN30" s="799">
        <v>2502373</v>
      </c>
      <c r="AO30" s="799">
        <v>2400104</v>
      </c>
      <c r="AP30" s="799">
        <v>2512901</v>
      </c>
      <c r="AQ30" s="799">
        <v>620078</v>
      </c>
      <c r="AR30" s="799">
        <v>0</v>
      </c>
      <c r="AS30" s="799">
        <v>0</v>
      </c>
      <c r="AT30" s="799">
        <v>0</v>
      </c>
      <c r="AU30" s="799">
        <v>0</v>
      </c>
    </row>
    <row r="31" spans="1:47">
      <c r="A31" s="796" t="s">
        <v>792</v>
      </c>
      <c r="B31" s="797">
        <v>315949</v>
      </c>
      <c r="C31" s="798">
        <v>305429</v>
      </c>
      <c r="D31" s="799">
        <v>309517</v>
      </c>
      <c r="E31" s="799">
        <v>307864</v>
      </c>
      <c r="F31" s="800">
        <v>308851</v>
      </c>
      <c r="G31" s="798">
        <v>297876</v>
      </c>
      <c r="H31" s="799">
        <v>308656</v>
      </c>
      <c r="I31" s="799">
        <v>342317</v>
      </c>
      <c r="J31" s="800">
        <v>319361</v>
      </c>
      <c r="K31" s="798">
        <v>394834</v>
      </c>
      <c r="L31" s="799">
        <v>397898</v>
      </c>
      <c r="M31" s="799">
        <v>402870</v>
      </c>
      <c r="N31" s="800">
        <v>390973</v>
      </c>
      <c r="O31" s="798">
        <v>377916</v>
      </c>
      <c r="P31" s="799">
        <v>399239</v>
      </c>
      <c r="Q31" s="799">
        <v>431814</v>
      </c>
      <c r="R31" s="800">
        <v>405198</v>
      </c>
      <c r="S31" s="798">
        <v>1554362</v>
      </c>
      <c r="T31" s="799">
        <v>1599233</v>
      </c>
      <c r="U31" s="799">
        <v>1607189</v>
      </c>
      <c r="V31" s="800">
        <v>1607509</v>
      </c>
      <c r="W31" s="798">
        <v>1540502</v>
      </c>
      <c r="X31" s="799">
        <v>1524823.5</v>
      </c>
      <c r="Y31" s="799">
        <v>1729755</v>
      </c>
      <c r="Z31" s="800">
        <v>1714347</v>
      </c>
      <c r="AA31" s="798">
        <v>1720110</v>
      </c>
      <c r="AB31" s="799">
        <v>1726451</v>
      </c>
      <c r="AC31" s="799">
        <v>1714623</v>
      </c>
      <c r="AD31" s="800">
        <v>1705528</v>
      </c>
      <c r="AE31" s="798">
        <v>1716438</v>
      </c>
      <c r="AF31" s="799">
        <v>0</v>
      </c>
      <c r="AG31" s="799">
        <v>0</v>
      </c>
      <c r="AH31" s="800">
        <v>0</v>
      </c>
      <c r="AI31" s="798">
        <v>0</v>
      </c>
      <c r="AJ31" s="799">
        <v>0</v>
      </c>
      <c r="AK31" s="799">
        <v>0</v>
      </c>
      <c r="AL31" s="800">
        <v>0</v>
      </c>
      <c r="AM31" s="369"/>
      <c r="AN31" s="799">
        <v>6368293</v>
      </c>
      <c r="AO31" s="799">
        <v>7007917</v>
      </c>
      <c r="AP31" s="799">
        <v>6866712</v>
      </c>
      <c r="AQ31" s="799">
        <v>1716438</v>
      </c>
      <c r="AR31" s="799">
        <v>0</v>
      </c>
      <c r="AS31" s="799">
        <v>0</v>
      </c>
      <c r="AT31" s="799">
        <v>0</v>
      </c>
      <c r="AU31" s="799">
        <v>0</v>
      </c>
    </row>
    <row r="32" spans="1:47">
      <c r="A32" s="801" t="s">
        <v>877</v>
      </c>
      <c r="B32" s="793">
        <v>601103</v>
      </c>
      <c r="C32" s="794">
        <v>593704</v>
      </c>
      <c r="D32" s="478">
        <v>603555</v>
      </c>
      <c r="E32" s="478">
        <v>607392</v>
      </c>
      <c r="F32" s="795">
        <v>606234</v>
      </c>
      <c r="G32" s="794">
        <v>595282</v>
      </c>
      <c r="H32" s="478">
        <v>606413</v>
      </c>
      <c r="I32" s="478">
        <v>657085</v>
      </c>
      <c r="J32" s="795">
        <v>620472</v>
      </c>
      <c r="K32" s="794">
        <v>2123337</v>
      </c>
      <c r="L32" s="478">
        <v>2101131</v>
      </c>
      <c r="M32" s="478">
        <v>2100432</v>
      </c>
      <c r="N32" s="795">
        <v>2109695</v>
      </c>
      <c r="O32" s="794">
        <v>2080855</v>
      </c>
      <c r="P32" s="478">
        <v>2121122</v>
      </c>
      <c r="Q32" s="478">
        <v>2181306</v>
      </c>
      <c r="R32" s="795">
        <v>2121846</v>
      </c>
      <c r="S32" s="794">
        <v>5503614</v>
      </c>
      <c r="T32" s="478">
        <v>5478573</v>
      </c>
      <c r="U32" s="478">
        <v>5437073</v>
      </c>
      <c r="V32" s="785">
        <v>5291474</v>
      </c>
      <c r="W32" s="786">
        <v>5102597</v>
      </c>
      <c r="X32" s="787">
        <v>4996413</v>
      </c>
      <c r="Y32" s="478">
        <v>4928325</v>
      </c>
      <c r="Z32" s="795">
        <v>4833424</v>
      </c>
      <c r="AA32" s="794">
        <v>4766426</v>
      </c>
      <c r="AB32" s="478">
        <v>4702030</v>
      </c>
      <c r="AC32" s="478">
        <v>4682101</v>
      </c>
      <c r="AD32" s="795">
        <v>4620977</v>
      </c>
      <c r="AE32" s="794">
        <v>4541719</v>
      </c>
      <c r="AF32" s="478">
        <v>0</v>
      </c>
      <c r="AG32" s="478">
        <v>0</v>
      </c>
      <c r="AH32" s="795">
        <v>0</v>
      </c>
      <c r="AI32" s="794">
        <v>0</v>
      </c>
      <c r="AJ32" s="478">
        <v>0</v>
      </c>
      <c r="AK32" s="478">
        <v>0</v>
      </c>
      <c r="AL32" s="795">
        <v>0</v>
      </c>
      <c r="AM32" s="369"/>
      <c r="AN32" s="478">
        <v>21762907</v>
      </c>
      <c r="AO32" s="478">
        <v>19841211</v>
      </c>
      <c r="AP32" s="478">
        <v>18771534</v>
      </c>
      <c r="AQ32" s="478">
        <v>4541719</v>
      </c>
      <c r="AR32" s="478">
        <v>0</v>
      </c>
      <c r="AS32" s="478">
        <v>0</v>
      </c>
      <c r="AT32" s="478">
        <v>0</v>
      </c>
      <c r="AU32" s="478">
        <v>0</v>
      </c>
    </row>
    <row r="33" spans="1:47">
      <c r="A33" s="802"/>
      <c r="B33" s="679"/>
      <c r="C33" s="490"/>
      <c r="D33" s="413"/>
      <c r="E33" s="413"/>
      <c r="F33" s="414"/>
      <c r="G33" s="490"/>
      <c r="H33" s="413"/>
      <c r="I33" s="413"/>
      <c r="J33" s="414"/>
      <c r="K33" s="490"/>
      <c r="L33" s="413"/>
      <c r="M33" s="413"/>
      <c r="N33" s="414"/>
      <c r="O33" s="490"/>
      <c r="P33" s="413"/>
      <c r="Q33" s="413"/>
      <c r="R33" s="414"/>
      <c r="S33" s="490"/>
      <c r="T33" s="413"/>
      <c r="U33" s="413"/>
      <c r="V33" s="414"/>
      <c r="W33" s="490"/>
      <c r="X33" s="413"/>
      <c r="Y33" s="413"/>
      <c r="Z33" s="414"/>
      <c r="AA33" s="490"/>
      <c r="AB33" s="413"/>
      <c r="AC33" s="413"/>
      <c r="AD33" s="414"/>
      <c r="AE33" s="490"/>
      <c r="AF33" s="413"/>
      <c r="AG33" s="413"/>
      <c r="AH33" s="414"/>
      <c r="AI33" s="490"/>
      <c r="AJ33" s="413"/>
      <c r="AK33" s="413"/>
      <c r="AL33" s="414"/>
      <c r="AM33" s="365"/>
      <c r="AN33" s="399"/>
      <c r="AO33" s="399"/>
      <c r="AP33" s="399"/>
      <c r="AQ33" s="399"/>
      <c r="AR33" s="399"/>
      <c r="AS33" s="399"/>
      <c r="AT33" s="399"/>
      <c r="AU33" s="399"/>
    </row>
    <row r="34" spans="1:47">
      <c r="A34" s="142" t="s">
        <v>885</v>
      </c>
      <c r="B34" s="679"/>
      <c r="C34" s="490"/>
      <c r="D34" s="451"/>
      <c r="E34" s="451"/>
      <c r="F34" s="569"/>
      <c r="G34" s="489"/>
      <c r="H34" s="451"/>
      <c r="I34" s="451"/>
      <c r="J34" s="569"/>
      <c r="K34" s="489"/>
      <c r="L34" s="451"/>
      <c r="M34" s="413"/>
      <c r="N34" s="414"/>
      <c r="O34" s="490"/>
      <c r="P34" s="413"/>
      <c r="Q34" s="413"/>
      <c r="R34" s="414"/>
      <c r="S34" s="490"/>
      <c r="T34" s="413"/>
      <c r="U34" s="451"/>
      <c r="V34" s="414"/>
      <c r="W34" s="490"/>
      <c r="X34" s="413"/>
      <c r="Y34" s="413"/>
      <c r="Z34" s="414"/>
      <c r="AA34" s="490"/>
      <c r="AB34" s="413"/>
      <c r="AC34" s="413"/>
      <c r="AD34" s="414"/>
      <c r="AE34" s="490"/>
      <c r="AF34" s="413"/>
      <c r="AG34" s="413"/>
      <c r="AH34" s="414"/>
      <c r="AI34" s="490"/>
      <c r="AJ34" s="413"/>
      <c r="AK34" s="413"/>
      <c r="AL34" s="414"/>
      <c r="AM34" s="365"/>
      <c r="AN34" s="399"/>
      <c r="AO34" s="399"/>
      <c r="AP34" s="399"/>
      <c r="AQ34" s="399"/>
      <c r="AR34" s="399"/>
      <c r="AS34" s="399"/>
      <c r="AT34" s="399"/>
      <c r="AU34" s="399"/>
    </row>
    <row r="35" spans="1:47">
      <c r="A35" s="791" t="s">
        <v>481</v>
      </c>
      <c r="B35" s="679"/>
      <c r="C35" s="490"/>
      <c r="D35" s="451"/>
      <c r="E35" s="451"/>
      <c r="F35" s="569"/>
      <c r="G35" s="489"/>
      <c r="H35" s="451"/>
      <c r="I35" s="451"/>
      <c r="J35" s="569"/>
      <c r="K35" s="489"/>
      <c r="L35" s="451"/>
      <c r="M35" s="413"/>
      <c r="N35" s="414"/>
      <c r="O35" s="490"/>
      <c r="P35" s="413"/>
      <c r="Q35" s="413"/>
      <c r="R35" s="414"/>
      <c r="S35" s="490"/>
      <c r="T35" s="413"/>
      <c r="U35" s="451"/>
      <c r="V35" s="414"/>
      <c r="W35" s="490"/>
      <c r="X35" s="413"/>
      <c r="Y35" s="413"/>
      <c r="Z35" s="414"/>
      <c r="AA35" s="490"/>
      <c r="AB35" s="413"/>
      <c r="AC35" s="413"/>
      <c r="AD35" s="414"/>
      <c r="AE35" s="490"/>
      <c r="AF35" s="413"/>
      <c r="AG35" s="413"/>
      <c r="AH35" s="414"/>
      <c r="AI35" s="490"/>
      <c r="AJ35" s="413"/>
      <c r="AK35" s="413"/>
      <c r="AL35" s="414"/>
      <c r="AM35" s="365"/>
      <c r="AN35" s="399"/>
      <c r="AO35" s="399"/>
      <c r="AP35" s="399"/>
      <c r="AQ35" s="399"/>
      <c r="AR35" s="399"/>
      <c r="AS35" s="399"/>
      <c r="AT35" s="399"/>
      <c r="AU35" s="399"/>
    </row>
    <row r="36" spans="1:47">
      <c r="A36" s="132" t="s">
        <v>860</v>
      </c>
      <c r="B36" s="679">
        <v>187197</v>
      </c>
      <c r="C36" s="490">
        <v>181549</v>
      </c>
      <c r="D36" s="413">
        <v>190226</v>
      </c>
      <c r="E36" s="413">
        <v>191000</v>
      </c>
      <c r="F36" s="414">
        <v>192638</v>
      </c>
      <c r="G36" s="490">
        <v>191993</v>
      </c>
      <c r="H36" s="413">
        <v>194873</v>
      </c>
      <c r="I36" s="413">
        <v>216871</v>
      </c>
      <c r="J36" s="414">
        <v>212339</v>
      </c>
      <c r="K36" s="490">
        <v>651849.67055393581</v>
      </c>
      <c r="L36" s="413">
        <v>616466</v>
      </c>
      <c r="M36" s="413">
        <v>681739</v>
      </c>
      <c r="N36" s="414">
        <v>663132</v>
      </c>
      <c r="O36" s="490">
        <v>648531</v>
      </c>
      <c r="P36" s="413">
        <v>653440</v>
      </c>
      <c r="Q36" s="413">
        <v>689463</v>
      </c>
      <c r="R36" s="414">
        <v>664286</v>
      </c>
      <c r="S36" s="490">
        <v>660000</v>
      </c>
      <c r="T36" s="413">
        <v>653000</v>
      </c>
      <c r="U36" s="413">
        <v>694000</v>
      </c>
      <c r="V36" s="414">
        <v>661754.98</v>
      </c>
      <c r="W36" s="490">
        <v>636363.32000000053</v>
      </c>
      <c r="X36" s="413">
        <v>629499.84</v>
      </c>
      <c r="Y36" s="413">
        <v>682643</v>
      </c>
      <c r="Z36" s="414">
        <v>603741</v>
      </c>
      <c r="AA36" s="490">
        <v>606681</v>
      </c>
      <c r="AB36" s="413">
        <v>577622</v>
      </c>
      <c r="AC36" s="413">
        <v>594575</v>
      </c>
      <c r="AD36" s="414">
        <v>586787</v>
      </c>
      <c r="AE36" s="490">
        <v>580333</v>
      </c>
      <c r="AF36" s="413">
        <v>0</v>
      </c>
      <c r="AG36" s="413">
        <v>0</v>
      </c>
      <c r="AH36" s="414">
        <v>0</v>
      </c>
      <c r="AI36" s="490">
        <v>0</v>
      </c>
      <c r="AJ36" s="413">
        <v>0</v>
      </c>
      <c r="AK36" s="413">
        <v>0</v>
      </c>
      <c r="AL36" s="414">
        <v>0</v>
      </c>
      <c r="AM36" s="365"/>
      <c r="AN36" s="413">
        <v>2668754.98</v>
      </c>
      <c r="AO36" s="413">
        <v>2552247.16</v>
      </c>
      <c r="AP36" s="413">
        <v>2365665</v>
      </c>
      <c r="AQ36" s="413">
        <v>580333</v>
      </c>
      <c r="AR36" s="413">
        <v>0</v>
      </c>
      <c r="AS36" s="413">
        <v>0</v>
      </c>
      <c r="AT36" s="413">
        <v>0</v>
      </c>
      <c r="AU36" s="413">
        <v>0</v>
      </c>
    </row>
    <row r="37" spans="1:47">
      <c r="A37" s="132" t="s">
        <v>861</v>
      </c>
      <c r="B37" s="679">
        <v>93952</v>
      </c>
      <c r="C37" s="490">
        <v>101606</v>
      </c>
      <c r="D37" s="413">
        <v>92667</v>
      </c>
      <c r="E37" s="413">
        <v>108153</v>
      </c>
      <c r="F37" s="414">
        <v>94676</v>
      </c>
      <c r="G37" s="490">
        <v>94254</v>
      </c>
      <c r="H37" s="413">
        <v>95206</v>
      </c>
      <c r="I37" s="413">
        <v>99593</v>
      </c>
      <c r="J37" s="414">
        <v>99936</v>
      </c>
      <c r="K37" s="490">
        <v>503258</v>
      </c>
      <c r="L37" s="413">
        <v>493596</v>
      </c>
      <c r="M37" s="413">
        <v>484049</v>
      </c>
      <c r="N37" s="414">
        <v>472524</v>
      </c>
      <c r="O37" s="490">
        <v>495457</v>
      </c>
      <c r="P37" s="413">
        <v>492456</v>
      </c>
      <c r="Q37" s="413">
        <v>505838</v>
      </c>
      <c r="R37" s="414">
        <v>503088</v>
      </c>
      <c r="S37" s="490">
        <v>455000</v>
      </c>
      <c r="T37" s="413">
        <v>477000</v>
      </c>
      <c r="U37" s="413">
        <v>464000</v>
      </c>
      <c r="V37" s="414">
        <v>325939.02</v>
      </c>
      <c r="W37" s="490">
        <v>313432.68</v>
      </c>
      <c r="X37" s="413">
        <v>310052.15999999997</v>
      </c>
      <c r="Y37" s="413">
        <v>261871</v>
      </c>
      <c r="Z37" s="414">
        <v>292091</v>
      </c>
      <c r="AA37" s="490">
        <v>258864</v>
      </c>
      <c r="AB37" s="413">
        <v>272335</v>
      </c>
      <c r="AC37" s="413">
        <v>257235</v>
      </c>
      <c r="AD37" s="414">
        <v>270872</v>
      </c>
      <c r="AE37" s="490">
        <v>247099</v>
      </c>
      <c r="AF37" s="413">
        <v>0</v>
      </c>
      <c r="AG37" s="413">
        <v>0</v>
      </c>
      <c r="AH37" s="414">
        <v>0</v>
      </c>
      <c r="AI37" s="490">
        <v>0</v>
      </c>
      <c r="AJ37" s="413">
        <v>0</v>
      </c>
      <c r="AK37" s="413">
        <v>0</v>
      </c>
      <c r="AL37" s="414">
        <v>0</v>
      </c>
      <c r="AM37" s="365"/>
      <c r="AN37" s="413">
        <v>1721939.02</v>
      </c>
      <c r="AO37" s="413">
        <v>1177446.8400000001</v>
      </c>
      <c r="AP37" s="413">
        <v>1059306</v>
      </c>
      <c r="AQ37" s="413">
        <v>247099</v>
      </c>
      <c r="AR37" s="413">
        <v>0</v>
      </c>
      <c r="AS37" s="413">
        <v>0</v>
      </c>
      <c r="AT37" s="413">
        <v>0</v>
      </c>
      <c r="AU37" s="413">
        <v>0</v>
      </c>
    </row>
    <row r="38" spans="1:47">
      <c r="A38" s="132" t="s">
        <v>862</v>
      </c>
      <c r="B38" s="679">
        <v>127493</v>
      </c>
      <c r="C38" s="490">
        <v>126992</v>
      </c>
      <c r="D38" s="413">
        <v>130751</v>
      </c>
      <c r="E38" s="413">
        <v>127078</v>
      </c>
      <c r="F38" s="414">
        <v>129304</v>
      </c>
      <c r="G38" s="490">
        <v>132175</v>
      </c>
      <c r="H38" s="413">
        <v>130452</v>
      </c>
      <c r="I38" s="413">
        <v>133526</v>
      </c>
      <c r="J38" s="414">
        <v>135778</v>
      </c>
      <c r="K38" s="490">
        <v>397565</v>
      </c>
      <c r="L38" s="413">
        <v>398820</v>
      </c>
      <c r="M38" s="413">
        <v>396840</v>
      </c>
      <c r="N38" s="414">
        <v>394360</v>
      </c>
      <c r="O38" s="490">
        <v>438534</v>
      </c>
      <c r="P38" s="413">
        <v>439061</v>
      </c>
      <c r="Q38" s="413">
        <v>437356</v>
      </c>
      <c r="R38" s="414">
        <v>441304</v>
      </c>
      <c r="S38" s="490">
        <v>427000</v>
      </c>
      <c r="T38" s="413">
        <v>418000</v>
      </c>
      <c r="U38" s="413">
        <v>420000</v>
      </c>
      <c r="V38" s="414">
        <v>381617</v>
      </c>
      <c r="W38" s="490">
        <v>371720</v>
      </c>
      <c r="X38" s="413">
        <v>372404</v>
      </c>
      <c r="Y38" s="413">
        <v>362202</v>
      </c>
      <c r="Z38" s="414">
        <v>356384</v>
      </c>
      <c r="AA38" s="490">
        <v>353162</v>
      </c>
      <c r="AB38" s="413">
        <v>357951</v>
      </c>
      <c r="AC38" s="413">
        <v>357867</v>
      </c>
      <c r="AD38" s="414">
        <v>364573</v>
      </c>
      <c r="AE38" s="490">
        <v>368547</v>
      </c>
      <c r="AF38" s="413">
        <v>0</v>
      </c>
      <c r="AG38" s="413">
        <v>0</v>
      </c>
      <c r="AH38" s="414">
        <v>0</v>
      </c>
      <c r="AI38" s="490">
        <v>0</v>
      </c>
      <c r="AJ38" s="413">
        <v>0</v>
      </c>
      <c r="AK38" s="413">
        <v>0</v>
      </c>
      <c r="AL38" s="414">
        <v>0</v>
      </c>
      <c r="AM38" s="365"/>
      <c r="AN38" s="413">
        <v>1646617</v>
      </c>
      <c r="AO38" s="413">
        <v>1462710</v>
      </c>
      <c r="AP38" s="413">
        <v>1433553</v>
      </c>
      <c r="AQ38" s="413">
        <v>368547</v>
      </c>
      <c r="AR38" s="413">
        <v>0</v>
      </c>
      <c r="AS38" s="413">
        <v>0</v>
      </c>
      <c r="AT38" s="413">
        <v>0</v>
      </c>
      <c r="AU38" s="413">
        <v>0</v>
      </c>
    </row>
    <row r="39" spans="1:47">
      <c r="A39" s="142" t="s">
        <v>886</v>
      </c>
      <c r="B39" s="788">
        <v>408642</v>
      </c>
      <c r="C39" s="789">
        <v>410147</v>
      </c>
      <c r="D39" s="149">
        <v>413644</v>
      </c>
      <c r="E39" s="149">
        <v>426231</v>
      </c>
      <c r="F39" s="779">
        <v>416618</v>
      </c>
      <c r="G39" s="778">
        <v>418422</v>
      </c>
      <c r="H39" s="149">
        <v>420531</v>
      </c>
      <c r="I39" s="149">
        <v>449990</v>
      </c>
      <c r="J39" s="779">
        <v>448053</v>
      </c>
      <c r="K39" s="778">
        <v>1552672.6705539357</v>
      </c>
      <c r="L39" s="149">
        <v>1508882</v>
      </c>
      <c r="M39" s="149">
        <v>1562628</v>
      </c>
      <c r="N39" s="779">
        <v>1530016</v>
      </c>
      <c r="O39" s="778">
        <v>1582522</v>
      </c>
      <c r="P39" s="149">
        <v>1584957</v>
      </c>
      <c r="Q39" s="149">
        <v>1632657</v>
      </c>
      <c r="R39" s="779">
        <v>1608678</v>
      </c>
      <c r="S39" s="778">
        <v>1542000</v>
      </c>
      <c r="T39" s="149">
        <v>1548000</v>
      </c>
      <c r="U39" s="149">
        <v>1578000</v>
      </c>
      <c r="V39" s="779">
        <v>1369311</v>
      </c>
      <c r="W39" s="778">
        <v>1321516</v>
      </c>
      <c r="X39" s="149">
        <v>1311956</v>
      </c>
      <c r="Y39" s="149">
        <v>1306716</v>
      </c>
      <c r="Z39" s="779">
        <v>1252216</v>
      </c>
      <c r="AA39" s="778">
        <v>1218707</v>
      </c>
      <c r="AB39" s="149">
        <v>1207908</v>
      </c>
      <c r="AC39" s="149">
        <v>1209677</v>
      </c>
      <c r="AD39" s="779">
        <v>1222232</v>
      </c>
      <c r="AE39" s="778">
        <v>1195979</v>
      </c>
      <c r="AF39" s="149">
        <v>0</v>
      </c>
      <c r="AG39" s="149">
        <v>0</v>
      </c>
      <c r="AH39" s="779">
        <v>0</v>
      </c>
      <c r="AI39" s="778">
        <v>0</v>
      </c>
      <c r="AJ39" s="149">
        <v>0</v>
      </c>
      <c r="AK39" s="149">
        <v>0</v>
      </c>
      <c r="AL39" s="779">
        <v>0</v>
      </c>
      <c r="AM39" s="365"/>
      <c r="AN39" s="149">
        <v>6037311</v>
      </c>
      <c r="AO39" s="149">
        <v>5192404</v>
      </c>
      <c r="AP39" s="149">
        <v>4858524</v>
      </c>
      <c r="AQ39" s="149">
        <v>1195979</v>
      </c>
      <c r="AR39" s="149">
        <v>0</v>
      </c>
      <c r="AS39" s="149">
        <v>0</v>
      </c>
      <c r="AT39" s="149">
        <v>0</v>
      </c>
      <c r="AU39" s="149">
        <v>0</v>
      </c>
    </row>
    <row r="40" spans="1:47">
      <c r="A40" s="803"/>
      <c r="B40" s="804"/>
      <c r="C40" s="805"/>
      <c r="D40" s="806"/>
      <c r="E40" s="806"/>
      <c r="F40" s="807"/>
      <c r="G40" s="805"/>
      <c r="H40" s="806"/>
      <c r="I40" s="806"/>
      <c r="J40" s="807"/>
      <c r="K40" s="805"/>
      <c r="L40" s="806"/>
      <c r="M40" s="806"/>
      <c r="N40" s="807"/>
      <c r="O40" s="805"/>
      <c r="P40" s="806"/>
      <c r="Q40" s="806"/>
      <c r="R40" s="807"/>
      <c r="S40" s="805"/>
      <c r="T40" s="806"/>
      <c r="U40" s="806"/>
      <c r="V40" s="414"/>
      <c r="W40" s="490"/>
      <c r="X40" s="413"/>
      <c r="Y40" s="413"/>
      <c r="Z40" s="414"/>
      <c r="AA40" s="490"/>
      <c r="AB40" s="413"/>
      <c r="AC40" s="413"/>
      <c r="AD40" s="414"/>
      <c r="AE40" s="490"/>
      <c r="AF40" s="413"/>
      <c r="AG40" s="413"/>
      <c r="AH40" s="414"/>
      <c r="AI40" s="490"/>
      <c r="AJ40" s="413"/>
      <c r="AK40" s="413"/>
      <c r="AL40" s="414"/>
      <c r="AM40" s="365"/>
      <c r="AN40" s="399"/>
      <c r="AO40" s="399"/>
      <c r="AP40" s="399"/>
      <c r="AQ40" s="399"/>
      <c r="AR40" s="399"/>
      <c r="AS40" s="399"/>
      <c r="AT40" s="399"/>
      <c r="AU40" s="399"/>
    </row>
    <row r="41" spans="1:47">
      <c r="A41" s="791" t="s">
        <v>590</v>
      </c>
      <c r="B41" s="804"/>
      <c r="C41" s="805"/>
      <c r="D41" s="806"/>
      <c r="E41" s="806"/>
      <c r="F41" s="807"/>
      <c r="G41" s="805"/>
      <c r="H41" s="806"/>
      <c r="I41" s="806"/>
      <c r="J41" s="807"/>
      <c r="K41" s="805"/>
      <c r="L41" s="806"/>
      <c r="M41" s="806"/>
      <c r="N41" s="807"/>
      <c r="O41" s="805"/>
      <c r="P41" s="806"/>
      <c r="Q41" s="806"/>
      <c r="R41" s="807"/>
      <c r="S41" s="805"/>
      <c r="T41" s="806"/>
      <c r="U41" s="806"/>
      <c r="V41" s="414"/>
      <c r="W41" s="490"/>
      <c r="X41" s="413"/>
      <c r="Y41" s="413"/>
      <c r="Z41" s="414"/>
      <c r="AA41" s="490"/>
      <c r="AB41" s="413"/>
      <c r="AC41" s="413"/>
      <c r="AD41" s="414"/>
      <c r="AE41" s="490"/>
      <c r="AF41" s="413"/>
      <c r="AG41" s="413"/>
      <c r="AH41" s="414"/>
      <c r="AI41" s="490"/>
      <c r="AJ41" s="413"/>
      <c r="AK41" s="413"/>
      <c r="AL41" s="414"/>
      <c r="AM41" s="365"/>
      <c r="AN41" s="399"/>
      <c r="AO41" s="399"/>
      <c r="AP41" s="399"/>
      <c r="AQ41" s="399"/>
      <c r="AR41" s="399"/>
      <c r="AS41" s="399"/>
      <c r="AT41" s="399"/>
      <c r="AU41" s="399"/>
    </row>
    <row r="42" spans="1:47">
      <c r="A42" s="132" t="s">
        <v>668</v>
      </c>
      <c r="B42" s="804"/>
      <c r="C42" s="805"/>
      <c r="D42" s="806"/>
      <c r="E42" s="806"/>
      <c r="F42" s="807"/>
      <c r="G42" s="805"/>
      <c r="H42" s="806"/>
      <c r="I42" s="806"/>
      <c r="J42" s="807"/>
      <c r="K42" s="805"/>
      <c r="L42" s="806"/>
      <c r="M42" s="806"/>
      <c r="N42" s="807"/>
      <c r="O42" s="805"/>
      <c r="P42" s="806"/>
      <c r="Q42" s="806"/>
      <c r="R42" s="807"/>
      <c r="S42" s="490">
        <v>1274000</v>
      </c>
      <c r="T42" s="413">
        <v>1246000</v>
      </c>
      <c r="U42" s="413">
        <v>1330000</v>
      </c>
      <c r="V42" s="414">
        <v>1106000</v>
      </c>
      <c r="W42" s="490">
        <v>1014000</v>
      </c>
      <c r="X42" s="413">
        <v>1028000</v>
      </c>
      <c r="Y42" s="413">
        <v>1013000</v>
      </c>
      <c r="Z42" s="414">
        <v>1017000</v>
      </c>
      <c r="AA42" s="490">
        <v>1247000</v>
      </c>
      <c r="AB42" s="413">
        <v>940000</v>
      </c>
      <c r="AC42" s="413">
        <v>965000</v>
      </c>
      <c r="AD42" s="414">
        <v>943000</v>
      </c>
      <c r="AE42" s="490">
        <v>1178000</v>
      </c>
      <c r="AF42" s="413">
        <v>0</v>
      </c>
      <c r="AG42" s="413">
        <v>0</v>
      </c>
      <c r="AH42" s="414">
        <v>0</v>
      </c>
      <c r="AI42" s="490">
        <v>0</v>
      </c>
      <c r="AJ42" s="413">
        <v>0</v>
      </c>
      <c r="AK42" s="413">
        <v>0</v>
      </c>
      <c r="AL42" s="414">
        <v>0</v>
      </c>
      <c r="AM42" s="365"/>
      <c r="AN42" s="413">
        <v>4956000</v>
      </c>
      <c r="AO42" s="413">
        <v>4072000</v>
      </c>
      <c r="AP42" s="413">
        <v>4095000</v>
      </c>
      <c r="AQ42" s="413">
        <v>1178000</v>
      </c>
      <c r="AR42" s="413">
        <v>0</v>
      </c>
      <c r="AS42" s="413">
        <v>0</v>
      </c>
      <c r="AT42" s="413">
        <v>0</v>
      </c>
      <c r="AU42" s="413">
        <v>0</v>
      </c>
    </row>
    <row r="43" spans="1:47">
      <c r="A43" s="132" t="s">
        <v>861</v>
      </c>
      <c r="B43" s="804"/>
      <c r="C43" s="805"/>
      <c r="D43" s="806"/>
      <c r="E43" s="806"/>
      <c r="F43" s="807"/>
      <c r="G43" s="805"/>
      <c r="H43" s="806"/>
      <c r="I43" s="806"/>
      <c r="J43" s="807"/>
      <c r="K43" s="805"/>
      <c r="L43" s="806"/>
      <c r="M43" s="806"/>
      <c r="N43" s="807"/>
      <c r="O43" s="805"/>
      <c r="P43" s="806"/>
      <c r="Q43" s="806"/>
      <c r="R43" s="807"/>
      <c r="S43" s="490">
        <v>984000</v>
      </c>
      <c r="T43" s="459">
        <v>992000</v>
      </c>
      <c r="U43" s="459">
        <v>966000</v>
      </c>
      <c r="V43" s="649">
        <v>1030000</v>
      </c>
      <c r="W43" s="459">
        <v>1014000</v>
      </c>
      <c r="X43" s="459">
        <v>970000</v>
      </c>
      <c r="Y43" s="459">
        <v>948000</v>
      </c>
      <c r="Z43" s="649">
        <v>892000</v>
      </c>
      <c r="AA43" s="459">
        <v>595000</v>
      </c>
      <c r="AB43" s="413">
        <v>898000</v>
      </c>
      <c r="AC43" s="413">
        <v>850000</v>
      </c>
      <c r="AD43" s="414">
        <v>857000</v>
      </c>
      <c r="AE43" s="459">
        <v>542000</v>
      </c>
      <c r="AF43" s="413">
        <v>0</v>
      </c>
      <c r="AG43" s="413">
        <v>0</v>
      </c>
      <c r="AH43" s="414">
        <v>0</v>
      </c>
      <c r="AI43" s="459">
        <v>0</v>
      </c>
      <c r="AJ43" s="413">
        <v>0</v>
      </c>
      <c r="AK43" s="413">
        <v>0</v>
      </c>
      <c r="AL43" s="414">
        <v>0</v>
      </c>
      <c r="AM43" s="365"/>
      <c r="AN43" s="413">
        <v>3972000</v>
      </c>
      <c r="AO43" s="413">
        <v>3824000</v>
      </c>
      <c r="AP43" s="413">
        <v>3200000</v>
      </c>
      <c r="AQ43" s="413">
        <v>542000</v>
      </c>
      <c r="AR43" s="413">
        <v>0</v>
      </c>
      <c r="AS43" s="413">
        <v>0</v>
      </c>
      <c r="AT43" s="413">
        <v>0</v>
      </c>
      <c r="AU43" s="413">
        <v>0</v>
      </c>
    </row>
    <row r="44" spans="1:47">
      <c r="A44" s="132" t="s">
        <v>862</v>
      </c>
      <c r="B44" s="804"/>
      <c r="C44" s="805"/>
      <c r="D44" s="806"/>
      <c r="E44" s="806"/>
      <c r="F44" s="807"/>
      <c r="G44" s="805"/>
      <c r="H44" s="806"/>
      <c r="I44" s="806"/>
      <c r="J44" s="807"/>
      <c r="K44" s="805"/>
      <c r="L44" s="806"/>
      <c r="M44" s="806"/>
      <c r="N44" s="807"/>
      <c r="O44" s="805"/>
      <c r="P44" s="806"/>
      <c r="Q44" s="806"/>
      <c r="R44" s="807"/>
      <c r="S44" s="490">
        <v>522000</v>
      </c>
      <c r="T44" s="413">
        <v>523000</v>
      </c>
      <c r="U44" s="413">
        <v>537000</v>
      </c>
      <c r="V44" s="414">
        <v>538000</v>
      </c>
      <c r="W44" s="490">
        <v>514000</v>
      </c>
      <c r="X44" s="413">
        <v>518000</v>
      </c>
      <c r="Y44" s="413">
        <v>520000</v>
      </c>
      <c r="Z44" s="414">
        <v>519000</v>
      </c>
      <c r="AA44" s="490">
        <v>491000</v>
      </c>
      <c r="AB44" s="413">
        <v>485000</v>
      </c>
      <c r="AC44" s="413">
        <v>490000</v>
      </c>
      <c r="AD44" s="414">
        <v>483000</v>
      </c>
      <c r="AE44" s="490">
        <v>475000</v>
      </c>
      <c r="AF44" s="413">
        <v>0</v>
      </c>
      <c r="AG44" s="413">
        <v>0</v>
      </c>
      <c r="AH44" s="414">
        <v>0</v>
      </c>
      <c r="AI44" s="490">
        <v>0</v>
      </c>
      <c r="AJ44" s="413">
        <v>0</v>
      </c>
      <c r="AK44" s="413">
        <v>0</v>
      </c>
      <c r="AL44" s="414">
        <v>0</v>
      </c>
      <c r="AM44" s="365"/>
      <c r="AN44" s="413">
        <v>2120000</v>
      </c>
      <c r="AO44" s="413">
        <v>2071000</v>
      </c>
      <c r="AP44" s="413">
        <v>1949000</v>
      </c>
      <c r="AQ44" s="413">
        <v>475000</v>
      </c>
      <c r="AR44" s="413">
        <v>0</v>
      </c>
      <c r="AS44" s="413">
        <v>0</v>
      </c>
      <c r="AT44" s="413">
        <v>0</v>
      </c>
      <c r="AU44" s="413">
        <v>0</v>
      </c>
    </row>
    <row r="45" spans="1:47">
      <c r="A45" s="132" t="s">
        <v>669</v>
      </c>
      <c r="B45" s="804"/>
      <c r="C45" s="805"/>
      <c r="D45" s="806"/>
      <c r="E45" s="806"/>
      <c r="F45" s="807"/>
      <c r="G45" s="805"/>
      <c r="H45" s="806"/>
      <c r="I45" s="806"/>
      <c r="J45" s="807"/>
      <c r="K45" s="805"/>
      <c r="L45" s="806"/>
      <c r="M45" s="806"/>
      <c r="N45" s="807"/>
      <c r="O45" s="805"/>
      <c r="P45" s="806"/>
      <c r="Q45" s="806"/>
      <c r="R45" s="807"/>
      <c r="S45" s="490">
        <v>54000</v>
      </c>
      <c r="T45" s="413">
        <v>55000</v>
      </c>
      <c r="U45" s="413">
        <v>62000</v>
      </c>
      <c r="V45" s="414">
        <v>63000</v>
      </c>
      <c r="W45" s="490">
        <v>59000</v>
      </c>
      <c r="X45" s="413">
        <v>60000</v>
      </c>
      <c r="Y45" s="413">
        <v>61000</v>
      </c>
      <c r="Z45" s="414">
        <v>60000</v>
      </c>
      <c r="AA45" s="490">
        <v>54000</v>
      </c>
      <c r="AB45" s="413">
        <v>63000</v>
      </c>
      <c r="AC45" s="413">
        <v>62000</v>
      </c>
      <c r="AD45" s="414">
        <v>72000</v>
      </c>
      <c r="AE45" s="490">
        <v>58000</v>
      </c>
      <c r="AF45" s="413">
        <v>0</v>
      </c>
      <c r="AG45" s="413">
        <v>0</v>
      </c>
      <c r="AH45" s="414">
        <v>0</v>
      </c>
      <c r="AI45" s="490">
        <v>0</v>
      </c>
      <c r="AJ45" s="413">
        <v>0</v>
      </c>
      <c r="AK45" s="413">
        <v>0</v>
      </c>
      <c r="AL45" s="414">
        <v>0</v>
      </c>
      <c r="AM45" s="365"/>
      <c r="AN45" s="413">
        <v>234000</v>
      </c>
      <c r="AO45" s="413">
        <v>240000</v>
      </c>
      <c r="AP45" s="413">
        <v>251000</v>
      </c>
      <c r="AQ45" s="413">
        <v>58000</v>
      </c>
      <c r="AR45" s="413">
        <v>0</v>
      </c>
      <c r="AS45" s="413">
        <v>0</v>
      </c>
      <c r="AT45" s="413">
        <v>0</v>
      </c>
      <c r="AU45" s="413">
        <v>0</v>
      </c>
    </row>
    <row r="46" spans="1:47">
      <c r="A46" s="142" t="s">
        <v>670</v>
      </c>
      <c r="B46" s="804"/>
      <c r="C46" s="805"/>
      <c r="D46" s="806"/>
      <c r="E46" s="806"/>
      <c r="F46" s="807"/>
      <c r="G46" s="805"/>
      <c r="H46" s="806"/>
      <c r="I46" s="806"/>
      <c r="J46" s="807"/>
      <c r="K46" s="805"/>
      <c r="L46" s="806"/>
      <c r="M46" s="806"/>
      <c r="N46" s="807"/>
      <c r="O46" s="805"/>
      <c r="P46" s="806"/>
      <c r="Q46" s="806"/>
      <c r="R46" s="807"/>
      <c r="S46" s="778">
        <v>2834000</v>
      </c>
      <c r="T46" s="149">
        <v>2816000</v>
      </c>
      <c r="U46" s="149">
        <v>2895000</v>
      </c>
      <c r="V46" s="779">
        <v>2737000</v>
      </c>
      <c r="W46" s="778">
        <v>2601000</v>
      </c>
      <c r="X46" s="149">
        <v>2576000</v>
      </c>
      <c r="Y46" s="149">
        <v>2542000</v>
      </c>
      <c r="Z46" s="779">
        <v>2488000</v>
      </c>
      <c r="AA46" s="778">
        <v>2387000</v>
      </c>
      <c r="AB46" s="149">
        <v>2386000</v>
      </c>
      <c r="AC46" s="149">
        <v>2367000</v>
      </c>
      <c r="AD46" s="779">
        <v>2355000</v>
      </c>
      <c r="AE46" s="778">
        <v>2253000</v>
      </c>
      <c r="AF46" s="149">
        <v>0</v>
      </c>
      <c r="AG46" s="149">
        <v>0</v>
      </c>
      <c r="AH46" s="779">
        <v>0</v>
      </c>
      <c r="AI46" s="778">
        <v>0</v>
      </c>
      <c r="AJ46" s="149">
        <v>0</v>
      </c>
      <c r="AK46" s="149">
        <v>0</v>
      </c>
      <c r="AL46" s="779">
        <v>0</v>
      </c>
      <c r="AM46" s="365"/>
      <c r="AN46" s="149">
        <v>11282000</v>
      </c>
      <c r="AO46" s="149">
        <v>10207000</v>
      </c>
      <c r="AP46" s="149">
        <v>9495000</v>
      </c>
      <c r="AQ46" s="149">
        <v>2253000</v>
      </c>
      <c r="AR46" s="149">
        <v>0</v>
      </c>
      <c r="AS46" s="149">
        <v>0</v>
      </c>
      <c r="AT46" s="149">
        <v>0</v>
      </c>
      <c r="AU46" s="149">
        <v>0</v>
      </c>
    </row>
    <row r="47" spans="1:47">
      <c r="A47" s="803"/>
      <c r="B47" s="804"/>
      <c r="C47" s="805"/>
      <c r="D47" s="806"/>
      <c r="E47" s="806"/>
      <c r="F47" s="807"/>
      <c r="G47" s="805"/>
      <c r="H47" s="806"/>
      <c r="I47" s="806"/>
      <c r="J47" s="807"/>
      <c r="K47" s="805"/>
      <c r="L47" s="806"/>
      <c r="M47" s="806"/>
      <c r="N47" s="807"/>
      <c r="O47" s="805"/>
      <c r="P47" s="806"/>
      <c r="Q47" s="806"/>
      <c r="R47" s="807"/>
      <c r="S47" s="805"/>
      <c r="T47" s="806"/>
      <c r="U47" s="806"/>
      <c r="V47" s="414"/>
      <c r="W47" s="490"/>
      <c r="X47" s="413"/>
      <c r="Y47" s="413"/>
      <c r="Z47" s="414"/>
      <c r="AA47" s="490"/>
      <c r="AB47" s="413"/>
      <c r="AC47" s="413"/>
      <c r="AD47" s="414"/>
      <c r="AE47" s="490"/>
      <c r="AF47" s="413"/>
      <c r="AG47" s="413"/>
      <c r="AH47" s="414"/>
      <c r="AI47" s="490"/>
      <c r="AJ47" s="413"/>
      <c r="AK47" s="413"/>
      <c r="AL47" s="414"/>
      <c r="AM47" s="365"/>
      <c r="AN47" s="399"/>
      <c r="AO47" s="399"/>
      <c r="AP47" s="399"/>
      <c r="AQ47" s="399"/>
      <c r="AR47" s="399"/>
      <c r="AS47" s="399"/>
      <c r="AT47" s="399"/>
      <c r="AU47" s="399"/>
    </row>
    <row r="48" spans="1:47">
      <c r="A48" s="808" t="s">
        <v>671</v>
      </c>
      <c r="B48" s="809"/>
      <c r="C48" s="810"/>
      <c r="D48" s="811"/>
      <c r="E48" s="811"/>
      <c r="F48" s="812"/>
      <c r="G48" s="810"/>
      <c r="H48" s="811"/>
      <c r="I48" s="811"/>
      <c r="J48" s="812"/>
      <c r="K48" s="810"/>
      <c r="L48" s="811"/>
      <c r="M48" s="811"/>
      <c r="N48" s="812"/>
      <c r="O48" s="810"/>
      <c r="P48" s="811"/>
      <c r="Q48" s="811"/>
      <c r="R48" s="812"/>
      <c r="S48" s="810"/>
      <c r="T48" s="811"/>
      <c r="U48" s="811"/>
      <c r="V48" s="812"/>
      <c r="W48" s="810"/>
      <c r="X48" s="811"/>
      <c r="Y48" s="811"/>
      <c r="Z48" s="812"/>
      <c r="AA48" s="810"/>
      <c r="AB48" s="811"/>
      <c r="AC48" s="811"/>
      <c r="AD48" s="812"/>
      <c r="AE48" s="810"/>
      <c r="AF48" s="811"/>
      <c r="AG48" s="811"/>
      <c r="AH48" s="812"/>
      <c r="AI48" s="810"/>
      <c r="AJ48" s="811"/>
      <c r="AK48" s="811"/>
      <c r="AL48" s="812"/>
      <c r="AM48" s="365"/>
      <c r="AN48" s="811"/>
      <c r="AO48" s="811"/>
      <c r="AP48" s="811"/>
      <c r="AQ48" s="811"/>
      <c r="AR48" s="811"/>
      <c r="AS48" s="811"/>
      <c r="AT48" s="811"/>
      <c r="AU48" s="811"/>
    </row>
    <row r="49" spans="1:47">
      <c r="A49" s="801" t="s">
        <v>672</v>
      </c>
      <c r="B49" s="793">
        <v>408642</v>
      </c>
      <c r="C49" s="794">
        <v>410147</v>
      </c>
      <c r="D49" s="478">
        <v>413644</v>
      </c>
      <c r="E49" s="478">
        <v>426231</v>
      </c>
      <c r="F49" s="795">
        <v>416618</v>
      </c>
      <c r="G49" s="794">
        <v>418422</v>
      </c>
      <c r="H49" s="478">
        <v>420531</v>
      </c>
      <c r="I49" s="478">
        <v>449990</v>
      </c>
      <c r="J49" s="795">
        <v>448053</v>
      </c>
      <c r="K49" s="794">
        <v>1552672.6705539357</v>
      </c>
      <c r="L49" s="478">
        <v>1508882</v>
      </c>
      <c r="M49" s="478">
        <v>1562628</v>
      </c>
      <c r="N49" s="795">
        <v>1530016</v>
      </c>
      <c r="O49" s="794">
        <v>1582522</v>
      </c>
      <c r="P49" s="478">
        <v>1584957</v>
      </c>
      <c r="Q49" s="478">
        <v>1632657</v>
      </c>
      <c r="R49" s="795">
        <v>1608678</v>
      </c>
      <c r="S49" s="794">
        <v>4376000</v>
      </c>
      <c r="T49" s="478">
        <v>4364000</v>
      </c>
      <c r="U49" s="478">
        <v>4473000</v>
      </c>
      <c r="V49" s="795">
        <v>4106311</v>
      </c>
      <c r="W49" s="794">
        <v>3922516</v>
      </c>
      <c r="X49" s="478">
        <v>3887956</v>
      </c>
      <c r="Y49" s="478">
        <v>3848716</v>
      </c>
      <c r="Z49" s="795">
        <v>3740216</v>
      </c>
      <c r="AA49" s="794">
        <v>3605707</v>
      </c>
      <c r="AB49" s="478">
        <v>3593908</v>
      </c>
      <c r="AC49" s="478">
        <v>3576677</v>
      </c>
      <c r="AD49" s="795">
        <v>3577232</v>
      </c>
      <c r="AE49" s="794">
        <v>3448979</v>
      </c>
      <c r="AF49" s="478">
        <v>0</v>
      </c>
      <c r="AG49" s="478">
        <v>0</v>
      </c>
      <c r="AH49" s="795">
        <v>0</v>
      </c>
      <c r="AI49" s="794">
        <v>0</v>
      </c>
      <c r="AJ49" s="478">
        <v>0</v>
      </c>
      <c r="AK49" s="478">
        <v>0</v>
      </c>
      <c r="AL49" s="795">
        <v>0</v>
      </c>
      <c r="AM49" s="369"/>
      <c r="AN49" s="478">
        <v>17319311</v>
      </c>
      <c r="AO49" s="478">
        <v>15399404</v>
      </c>
      <c r="AP49" s="478">
        <v>14353524</v>
      </c>
      <c r="AQ49" s="478">
        <v>3448979</v>
      </c>
      <c r="AR49" s="478">
        <v>0</v>
      </c>
      <c r="AS49" s="478">
        <v>0</v>
      </c>
      <c r="AT49" s="478">
        <v>0</v>
      </c>
      <c r="AU49" s="478">
        <v>0</v>
      </c>
    </row>
    <row r="50" spans="1:47">
      <c r="A50" s="802"/>
      <c r="B50" s="679"/>
      <c r="C50" s="490"/>
      <c r="D50" s="451"/>
      <c r="E50" s="451"/>
      <c r="F50" s="569"/>
      <c r="G50" s="489"/>
      <c r="H50" s="451"/>
      <c r="I50" s="451"/>
      <c r="J50" s="569"/>
      <c r="K50" s="489"/>
      <c r="L50" s="451"/>
      <c r="M50" s="413"/>
      <c r="N50" s="414"/>
      <c r="O50" s="490"/>
      <c r="P50" s="413"/>
      <c r="Q50" s="413"/>
      <c r="R50" s="414"/>
      <c r="S50" s="490"/>
      <c r="T50" s="413"/>
      <c r="U50" s="451"/>
      <c r="V50" s="414"/>
      <c r="W50" s="490"/>
      <c r="X50" s="413"/>
      <c r="Y50" s="413"/>
      <c r="Z50" s="414"/>
      <c r="AA50" s="490"/>
      <c r="AB50" s="413"/>
      <c r="AC50" s="413"/>
      <c r="AD50" s="414"/>
      <c r="AE50" s="490"/>
      <c r="AF50" s="413"/>
      <c r="AG50" s="413"/>
      <c r="AH50" s="414"/>
      <c r="AI50" s="490"/>
      <c r="AJ50" s="413"/>
      <c r="AK50" s="413"/>
      <c r="AL50" s="414"/>
      <c r="AM50" s="365"/>
      <c r="AN50" s="413"/>
      <c r="AO50" s="413"/>
      <c r="AP50" s="413"/>
      <c r="AQ50" s="413"/>
      <c r="AR50" s="413"/>
      <c r="AS50" s="413"/>
      <c r="AT50" s="413"/>
      <c r="AU50" s="413"/>
    </row>
    <row r="51" spans="1:47">
      <c r="A51" s="801" t="s">
        <v>891</v>
      </c>
      <c r="B51" s="793">
        <v>192461</v>
      </c>
      <c r="C51" s="794">
        <v>183557</v>
      </c>
      <c r="D51" s="478">
        <v>189911</v>
      </c>
      <c r="E51" s="478">
        <v>181161</v>
      </c>
      <c r="F51" s="795">
        <v>189616</v>
      </c>
      <c r="G51" s="794">
        <v>176860</v>
      </c>
      <c r="H51" s="478">
        <v>185882</v>
      </c>
      <c r="I51" s="478">
        <v>207095</v>
      </c>
      <c r="J51" s="795">
        <v>172419</v>
      </c>
      <c r="K51" s="794">
        <v>570664.32944606431</v>
      </c>
      <c r="L51" s="478">
        <v>592249</v>
      </c>
      <c r="M51" s="478">
        <v>537804</v>
      </c>
      <c r="N51" s="795">
        <v>579679</v>
      </c>
      <c r="O51" s="794">
        <v>498333</v>
      </c>
      <c r="P51" s="478">
        <v>536165</v>
      </c>
      <c r="Q51" s="478">
        <v>548649</v>
      </c>
      <c r="R51" s="795">
        <v>513168</v>
      </c>
      <c r="S51" s="794">
        <v>1127614</v>
      </c>
      <c r="T51" s="478">
        <v>1114573</v>
      </c>
      <c r="U51" s="478">
        <v>964073</v>
      </c>
      <c r="V51" s="795">
        <v>1185163</v>
      </c>
      <c r="W51" s="794">
        <v>1180081</v>
      </c>
      <c r="X51" s="478">
        <v>1108457</v>
      </c>
      <c r="Y51" s="478">
        <v>1079609</v>
      </c>
      <c r="Z51" s="795">
        <v>1093208</v>
      </c>
      <c r="AA51" s="794">
        <v>1160719</v>
      </c>
      <c r="AB51" s="478">
        <v>1108122</v>
      </c>
      <c r="AC51" s="478">
        <v>1105424</v>
      </c>
      <c r="AD51" s="795">
        <v>1043745</v>
      </c>
      <c r="AE51" s="794">
        <v>1092740</v>
      </c>
      <c r="AF51" s="478">
        <v>0</v>
      </c>
      <c r="AG51" s="478">
        <v>0</v>
      </c>
      <c r="AH51" s="795">
        <v>0</v>
      </c>
      <c r="AI51" s="794">
        <v>0</v>
      </c>
      <c r="AJ51" s="478">
        <v>0</v>
      </c>
      <c r="AK51" s="478">
        <v>0</v>
      </c>
      <c r="AL51" s="795">
        <v>0</v>
      </c>
      <c r="AM51" s="365"/>
      <c r="AN51" s="478">
        <v>4443596</v>
      </c>
      <c r="AO51" s="478">
        <v>4441807</v>
      </c>
      <c r="AP51" s="478">
        <v>4418010</v>
      </c>
      <c r="AQ51" s="478">
        <v>1092740</v>
      </c>
      <c r="AR51" s="478">
        <v>0</v>
      </c>
      <c r="AS51" s="478">
        <v>0</v>
      </c>
      <c r="AT51" s="478">
        <v>0</v>
      </c>
      <c r="AU51" s="478">
        <v>0</v>
      </c>
    </row>
    <row r="52" spans="1:47">
      <c r="A52" s="10" t="s">
        <v>892</v>
      </c>
      <c r="B52" s="813">
        <v>0.32017973625152429</v>
      </c>
      <c r="C52" s="11">
        <v>0.3091725843181114</v>
      </c>
      <c r="D52" s="12">
        <v>0.31465400833395463</v>
      </c>
      <c r="E52" s="12">
        <v>0.29826043148411568</v>
      </c>
      <c r="F52" s="359">
        <v>0.31277691452475448</v>
      </c>
      <c r="G52" s="11">
        <v>0.2971028856911514</v>
      </c>
      <c r="H52" s="12">
        <v>0.3065270698352443</v>
      </c>
      <c r="I52" s="12">
        <v>0.31517231408417479</v>
      </c>
      <c r="J52" s="359">
        <v>0.27788361118632265</v>
      </c>
      <c r="K52" s="11">
        <v>0.26875824678139376</v>
      </c>
      <c r="L52" s="12">
        <v>0.28187152538323407</v>
      </c>
      <c r="M52" s="12">
        <v>0.2560444708517105</v>
      </c>
      <c r="N52" s="359">
        <v>0.27476910169479474</v>
      </c>
      <c r="O52" s="11">
        <v>0.23948473103604048</v>
      </c>
      <c r="P52" s="12">
        <v>0.25277423929410942</v>
      </c>
      <c r="Q52" s="12">
        <v>0.25152317006417257</v>
      </c>
      <c r="R52" s="359">
        <v>0.2418497855169508</v>
      </c>
      <c r="S52" s="11">
        <v>0.20488609848001696</v>
      </c>
      <c r="T52" s="12">
        <v>0.20344221022518091</v>
      </c>
      <c r="U52" s="12">
        <v>0.17731470590885942</v>
      </c>
      <c r="V52" s="359">
        <v>0.22397596586508786</v>
      </c>
      <c r="W52" s="11">
        <v>0.2312706647222971</v>
      </c>
      <c r="X52" s="12">
        <v>0.22185055558857925</v>
      </c>
      <c r="Y52" s="12">
        <v>0.21906205455200295</v>
      </c>
      <c r="Z52" s="359">
        <v>0.22617672275389042</v>
      </c>
      <c r="AA52" s="11">
        <v>0.24351977771185371</v>
      </c>
      <c r="AB52" s="12">
        <v>0.23566884941184976</v>
      </c>
      <c r="AC52" s="12">
        <v>0.23609571856736966</v>
      </c>
      <c r="AD52" s="359">
        <v>0.22587106579409505</v>
      </c>
      <c r="AE52" s="11">
        <v>0.24060053032783402</v>
      </c>
      <c r="AF52" s="12"/>
      <c r="AG52" s="12"/>
      <c r="AH52" s="359"/>
      <c r="AI52" s="11"/>
      <c r="AJ52" s="12"/>
      <c r="AK52" s="12"/>
      <c r="AL52" s="359"/>
      <c r="AM52" s="424"/>
      <c r="AN52" s="12">
        <v>0.2041820975479057</v>
      </c>
      <c r="AO52" s="12">
        <v>0.22386773670215995</v>
      </c>
      <c r="AP52" s="12">
        <v>0.23535689731057674</v>
      </c>
      <c r="AQ52" s="12">
        <v>0.24060053032783402</v>
      </c>
      <c r="AR52" s="12"/>
      <c r="AS52" s="12"/>
      <c r="AT52" s="12"/>
      <c r="AU52" s="12"/>
    </row>
    <row r="53" spans="1:47">
      <c r="A53" s="802"/>
      <c r="B53" s="679"/>
      <c r="C53" s="490"/>
      <c r="D53" s="451"/>
      <c r="E53" s="451"/>
      <c r="F53" s="569"/>
      <c r="G53" s="489"/>
      <c r="H53" s="451"/>
      <c r="I53" s="451"/>
      <c r="J53" s="569"/>
      <c r="K53" s="489"/>
      <c r="L53" s="451"/>
      <c r="M53" s="413"/>
      <c r="N53" s="414"/>
      <c r="O53" s="490"/>
      <c r="P53" s="413"/>
      <c r="Q53" s="413"/>
      <c r="R53" s="414"/>
      <c r="S53" s="490"/>
      <c r="T53" s="413"/>
      <c r="U53" s="451"/>
      <c r="V53" s="569"/>
      <c r="W53" s="489"/>
      <c r="X53" s="451"/>
      <c r="Y53" s="451"/>
      <c r="Z53" s="569"/>
      <c r="AA53" s="489"/>
      <c r="AB53" s="451"/>
      <c r="AC53" s="451"/>
      <c r="AD53" s="569"/>
      <c r="AE53" s="489"/>
      <c r="AF53" s="451"/>
      <c r="AG53" s="451"/>
      <c r="AH53" s="569"/>
      <c r="AI53" s="489"/>
      <c r="AJ53" s="451"/>
      <c r="AK53" s="451"/>
      <c r="AL53" s="569"/>
      <c r="AM53" s="365"/>
      <c r="AN53" s="451"/>
      <c r="AO53" s="451"/>
      <c r="AP53" s="451"/>
      <c r="AQ53" s="451"/>
      <c r="AR53" s="451"/>
      <c r="AS53" s="451"/>
      <c r="AT53" s="451"/>
      <c r="AU53" s="451"/>
    </row>
    <row r="54" spans="1:47">
      <c r="A54" s="801" t="s">
        <v>894</v>
      </c>
      <c r="B54" s="793">
        <v>319954</v>
      </c>
      <c r="C54" s="794">
        <v>310549</v>
      </c>
      <c r="D54" s="478">
        <v>320662</v>
      </c>
      <c r="E54" s="478">
        <v>308239</v>
      </c>
      <c r="F54" s="795">
        <v>318920</v>
      </c>
      <c r="G54" s="794">
        <v>309035</v>
      </c>
      <c r="H54" s="478">
        <v>316334</v>
      </c>
      <c r="I54" s="478">
        <v>340621</v>
      </c>
      <c r="J54" s="795">
        <v>308197</v>
      </c>
      <c r="K54" s="794">
        <v>968229.32944606431</v>
      </c>
      <c r="L54" s="478">
        <v>991069</v>
      </c>
      <c r="M54" s="478">
        <v>934644</v>
      </c>
      <c r="N54" s="795">
        <v>974039</v>
      </c>
      <c r="O54" s="794">
        <v>936867</v>
      </c>
      <c r="P54" s="478">
        <v>975226</v>
      </c>
      <c r="Q54" s="478">
        <v>986005</v>
      </c>
      <c r="R54" s="795">
        <v>954472</v>
      </c>
      <c r="S54" s="794">
        <v>2076614</v>
      </c>
      <c r="T54" s="478">
        <v>2055573</v>
      </c>
      <c r="U54" s="478">
        <v>1921073</v>
      </c>
      <c r="V54" s="795">
        <v>2104780</v>
      </c>
      <c r="W54" s="794">
        <v>2065801</v>
      </c>
      <c r="X54" s="478">
        <v>1998861</v>
      </c>
      <c r="Y54" s="478">
        <v>1961811</v>
      </c>
      <c r="Z54" s="795">
        <v>1968592</v>
      </c>
      <c r="AA54" s="794">
        <v>2004881</v>
      </c>
      <c r="AB54" s="478">
        <v>1951073</v>
      </c>
      <c r="AC54" s="478">
        <v>1953291</v>
      </c>
      <c r="AD54" s="795">
        <v>1891318</v>
      </c>
      <c r="AE54" s="794">
        <v>1936287</v>
      </c>
      <c r="AF54" s="478">
        <v>0</v>
      </c>
      <c r="AG54" s="478">
        <v>0</v>
      </c>
      <c r="AH54" s="795">
        <v>0</v>
      </c>
      <c r="AI54" s="794">
        <v>0</v>
      </c>
      <c r="AJ54" s="478">
        <v>0</v>
      </c>
      <c r="AK54" s="478">
        <v>0</v>
      </c>
      <c r="AL54" s="795">
        <v>0</v>
      </c>
      <c r="AM54" s="365"/>
      <c r="AN54" s="478">
        <v>8210213</v>
      </c>
      <c r="AO54" s="478">
        <v>7975517</v>
      </c>
      <c r="AP54" s="478">
        <v>7800563</v>
      </c>
      <c r="AQ54" s="478">
        <v>1936287</v>
      </c>
      <c r="AR54" s="478">
        <v>0</v>
      </c>
      <c r="AS54" s="478">
        <v>0</v>
      </c>
      <c r="AT54" s="478">
        <v>0</v>
      </c>
      <c r="AU54" s="478">
        <v>0</v>
      </c>
    </row>
    <row r="55" spans="1:47">
      <c r="A55" s="10" t="s">
        <v>863</v>
      </c>
      <c r="B55" s="813">
        <v>0.53227816197889544</v>
      </c>
      <c r="C55" s="11">
        <v>0.52307041892929806</v>
      </c>
      <c r="D55" s="12">
        <v>0.53128878064136653</v>
      </c>
      <c r="E55" s="12">
        <v>0.50747951899267685</v>
      </c>
      <c r="F55" s="359">
        <v>0.52606749209051296</v>
      </c>
      <c r="G55" s="11">
        <v>0.51914050819611546</v>
      </c>
      <c r="H55" s="12">
        <v>0.52164778789372923</v>
      </c>
      <c r="I55" s="12">
        <v>0.51838194449728725</v>
      </c>
      <c r="J55" s="359">
        <v>0.49671379208086747</v>
      </c>
      <c r="K55" s="11">
        <v>0.45599418719028789</v>
      </c>
      <c r="L55" s="12">
        <v>0.47168358374608721</v>
      </c>
      <c r="M55" s="12">
        <v>0.44497703329600768</v>
      </c>
      <c r="N55" s="359">
        <v>0.46169659595344353</v>
      </c>
      <c r="O55" s="11">
        <v>0.45023175569657664</v>
      </c>
      <c r="P55" s="12">
        <v>0.45976893361155086</v>
      </c>
      <c r="Q55" s="12">
        <v>0.45202507121880192</v>
      </c>
      <c r="R55" s="359">
        <v>0.44983094908867088</v>
      </c>
      <c r="S55" s="11">
        <v>0.37731824942664949</v>
      </c>
      <c r="T55" s="12">
        <v>0.37520226526141021</v>
      </c>
      <c r="U55" s="12">
        <v>0.35332852805176607</v>
      </c>
      <c r="V55" s="359">
        <v>0.39776818330771352</v>
      </c>
      <c r="W55" s="11">
        <v>0.40485286217978789</v>
      </c>
      <c r="X55" s="12">
        <v>0.40005920247185328</v>
      </c>
      <c r="Y55" s="12">
        <v>0.39806851212125821</v>
      </c>
      <c r="Z55" s="359">
        <v>0.40728725640456953</v>
      </c>
      <c r="AA55" s="11">
        <v>0.42062564277720876</v>
      </c>
      <c r="AB55" s="12">
        <v>0.41494269496366465</v>
      </c>
      <c r="AC55" s="12">
        <v>0.41718258533935942</v>
      </c>
      <c r="AD55" s="359">
        <v>0.40928963723472328</v>
      </c>
      <c r="AE55" s="11">
        <v>0.426333509404699</v>
      </c>
      <c r="AF55" s="12"/>
      <c r="AG55" s="12"/>
      <c r="AH55" s="359"/>
      <c r="AI55" s="11"/>
      <c r="AJ55" s="12"/>
      <c r="AK55" s="12"/>
      <c r="AL55" s="359"/>
      <c r="AM55" s="424"/>
      <c r="AN55" s="12">
        <v>0.37725718351872756</v>
      </c>
      <c r="AO55" s="12">
        <v>0.40196724887407326</v>
      </c>
      <c r="AP55" s="12">
        <v>0.41555277261836993</v>
      </c>
      <c r="AQ55" s="12">
        <v>0.426333509404699</v>
      </c>
      <c r="AR55" s="12"/>
      <c r="AS55" s="12"/>
      <c r="AT55" s="12"/>
      <c r="AU55" s="12"/>
    </row>
    <row r="56" spans="1:47">
      <c r="A56" s="365"/>
      <c r="B56" s="679"/>
      <c r="C56" s="490"/>
      <c r="D56" s="451"/>
      <c r="E56" s="451"/>
      <c r="F56" s="569"/>
      <c r="G56" s="489"/>
      <c r="H56" s="451"/>
      <c r="I56" s="451"/>
      <c r="J56" s="569"/>
      <c r="K56" s="489"/>
      <c r="L56" s="451"/>
      <c r="M56" s="413"/>
      <c r="N56" s="414"/>
      <c r="O56" s="490"/>
      <c r="P56" s="413"/>
      <c r="Q56" s="413"/>
      <c r="R56" s="414"/>
      <c r="S56" s="490"/>
      <c r="T56" s="413"/>
      <c r="U56" s="451"/>
      <c r="V56" s="414"/>
      <c r="W56" s="490"/>
      <c r="X56" s="413"/>
      <c r="Y56" s="413"/>
      <c r="Z56" s="414"/>
      <c r="AA56" s="490"/>
      <c r="AB56" s="413"/>
      <c r="AC56" s="413"/>
      <c r="AD56" s="414"/>
      <c r="AE56" s="490"/>
      <c r="AF56" s="413"/>
      <c r="AG56" s="413"/>
      <c r="AH56" s="414"/>
      <c r="AI56" s="490"/>
      <c r="AJ56" s="413"/>
      <c r="AK56" s="413"/>
      <c r="AL56" s="414"/>
      <c r="AM56" s="365"/>
      <c r="AN56" s="399"/>
      <c r="AO56" s="399"/>
      <c r="AP56" s="399"/>
      <c r="AQ56" s="399"/>
      <c r="AR56" s="399"/>
      <c r="AS56" s="399"/>
      <c r="AT56" s="399"/>
      <c r="AU56" s="399"/>
    </row>
    <row r="57" spans="1:47">
      <c r="A57" s="142" t="s">
        <v>864</v>
      </c>
      <c r="B57" s="814"/>
      <c r="C57" s="815"/>
      <c r="D57" s="491"/>
      <c r="E57" s="491"/>
      <c r="F57" s="783"/>
      <c r="G57" s="782"/>
      <c r="H57" s="491"/>
      <c r="I57" s="491"/>
      <c r="J57" s="783"/>
      <c r="K57" s="782"/>
      <c r="L57" s="491"/>
      <c r="M57" s="413"/>
      <c r="N57" s="414"/>
      <c r="O57" s="490"/>
      <c r="P57" s="413"/>
      <c r="Q57" s="413"/>
      <c r="R57" s="414"/>
      <c r="S57" s="490"/>
      <c r="T57" s="413"/>
      <c r="U57" s="451"/>
      <c r="V57" s="414"/>
      <c r="W57" s="490"/>
      <c r="X57" s="413"/>
      <c r="Y57" s="413"/>
      <c r="Z57" s="414"/>
      <c r="AA57" s="490"/>
      <c r="AB57" s="413"/>
      <c r="AC57" s="413"/>
      <c r="AD57" s="414"/>
      <c r="AE57" s="490"/>
      <c r="AF57" s="413"/>
      <c r="AG57" s="413"/>
      <c r="AH57" s="414"/>
      <c r="AI57" s="490"/>
      <c r="AJ57" s="413"/>
      <c r="AK57" s="413"/>
      <c r="AL57" s="414"/>
      <c r="AM57" s="365"/>
      <c r="AN57" s="399"/>
      <c r="AO57" s="399"/>
      <c r="AP57" s="399"/>
      <c r="AQ57" s="399"/>
      <c r="AR57" s="399"/>
      <c r="AS57" s="399"/>
      <c r="AT57" s="399"/>
      <c r="AU57" s="399"/>
    </row>
    <row r="58" spans="1:47">
      <c r="A58" s="776" t="s">
        <v>481</v>
      </c>
      <c r="B58" s="814"/>
      <c r="C58" s="815"/>
      <c r="D58" s="491"/>
      <c r="E58" s="491"/>
      <c r="F58" s="783"/>
      <c r="G58" s="782"/>
      <c r="H58" s="491"/>
      <c r="I58" s="491"/>
      <c r="J58" s="783"/>
      <c r="K58" s="782"/>
      <c r="L58" s="491"/>
      <c r="M58" s="413"/>
      <c r="N58" s="414"/>
      <c r="O58" s="490"/>
      <c r="P58" s="413"/>
      <c r="Q58" s="413"/>
      <c r="R58" s="414"/>
      <c r="S58" s="490"/>
      <c r="T58" s="413"/>
      <c r="U58" s="451"/>
      <c r="V58" s="414"/>
      <c r="W58" s="490"/>
      <c r="X58" s="413"/>
      <c r="Y58" s="413"/>
      <c r="Z58" s="414"/>
      <c r="AA58" s="490"/>
      <c r="AB58" s="413"/>
      <c r="AC58" s="413"/>
      <c r="AD58" s="414"/>
      <c r="AE58" s="490"/>
      <c r="AF58" s="413"/>
      <c r="AG58" s="413"/>
      <c r="AH58" s="414"/>
      <c r="AI58" s="490"/>
      <c r="AJ58" s="413"/>
      <c r="AK58" s="413"/>
      <c r="AL58" s="414"/>
      <c r="AM58" s="365"/>
      <c r="AN58" s="399"/>
      <c r="AO58" s="399"/>
      <c r="AP58" s="399"/>
      <c r="AQ58" s="399"/>
      <c r="AR58" s="399"/>
      <c r="AS58" s="399"/>
      <c r="AT58" s="399"/>
      <c r="AU58" s="399"/>
    </row>
    <row r="59" spans="1:47">
      <c r="A59" s="132" t="s">
        <v>865</v>
      </c>
      <c r="B59" s="679">
        <v>-53342</v>
      </c>
      <c r="C59" s="490">
        <v>-52543</v>
      </c>
      <c r="D59" s="413">
        <v>-53089</v>
      </c>
      <c r="E59" s="413">
        <v>-52174</v>
      </c>
      <c r="F59" s="414">
        <v>-53245</v>
      </c>
      <c r="G59" s="490">
        <v>-51429</v>
      </c>
      <c r="H59" s="413">
        <v>-49647</v>
      </c>
      <c r="I59" s="413">
        <v>-49904</v>
      </c>
      <c r="J59" s="414">
        <v>-49625</v>
      </c>
      <c r="K59" s="490">
        <v>-173992.25</v>
      </c>
      <c r="L59" s="413">
        <v>-171407.75</v>
      </c>
      <c r="M59" s="413">
        <v>-163857</v>
      </c>
      <c r="N59" s="414">
        <v>-168375</v>
      </c>
      <c r="O59" s="490">
        <v>-174461</v>
      </c>
      <c r="P59" s="413">
        <v>-187167</v>
      </c>
      <c r="Q59" s="413">
        <v>-181676</v>
      </c>
      <c r="R59" s="414">
        <v>-175602</v>
      </c>
      <c r="S59" s="490">
        <v>-154000</v>
      </c>
      <c r="T59" s="413">
        <v>-150000</v>
      </c>
      <c r="U59" s="413">
        <v>-149000</v>
      </c>
      <c r="V59" s="414">
        <v>-151644</v>
      </c>
      <c r="W59" s="490">
        <v>-144380</v>
      </c>
      <c r="X59" s="413">
        <v>-140289</v>
      </c>
      <c r="Y59" s="413">
        <v>-143322</v>
      </c>
      <c r="Z59" s="414">
        <v>-144142</v>
      </c>
      <c r="AA59" s="490">
        <v>-142225</v>
      </c>
      <c r="AB59" s="413">
        <v>-143249</v>
      </c>
      <c r="AC59" s="413">
        <v>-139594</v>
      </c>
      <c r="AD59" s="414">
        <v>-132410</v>
      </c>
      <c r="AE59" s="490">
        <v>-131545</v>
      </c>
      <c r="AF59" s="413">
        <v>0</v>
      </c>
      <c r="AG59" s="413">
        <v>0</v>
      </c>
      <c r="AH59" s="414">
        <v>0</v>
      </c>
      <c r="AI59" s="490">
        <v>0</v>
      </c>
      <c r="AJ59" s="413">
        <v>0</v>
      </c>
      <c r="AK59" s="413">
        <v>0</v>
      </c>
      <c r="AL59" s="414">
        <v>0</v>
      </c>
      <c r="AM59" s="365"/>
      <c r="AN59" s="413">
        <v>-604644</v>
      </c>
      <c r="AO59" s="413">
        <v>-572133</v>
      </c>
      <c r="AP59" s="413">
        <v>-557478</v>
      </c>
      <c r="AQ59" s="413">
        <v>-131545</v>
      </c>
      <c r="AR59" s="413">
        <v>0</v>
      </c>
      <c r="AS59" s="413">
        <v>0</v>
      </c>
      <c r="AT59" s="413">
        <v>0</v>
      </c>
      <c r="AU59" s="413">
        <v>0</v>
      </c>
    </row>
    <row r="60" spans="1:47">
      <c r="A60" s="132" t="s">
        <v>867</v>
      </c>
      <c r="B60" s="679">
        <v>1453</v>
      </c>
      <c r="C60" s="490">
        <v>4363</v>
      </c>
      <c r="D60" s="413">
        <v>-1685</v>
      </c>
      <c r="E60" s="413">
        <v>2607</v>
      </c>
      <c r="F60" s="414">
        <v>1685</v>
      </c>
      <c r="G60" s="490">
        <v>4422</v>
      </c>
      <c r="H60" s="413">
        <v>1944</v>
      </c>
      <c r="I60" s="413">
        <v>3485</v>
      </c>
      <c r="J60" s="414">
        <v>7570</v>
      </c>
      <c r="K60" s="490">
        <v>7758.0458467343315</v>
      </c>
      <c r="L60" s="413">
        <v>9720.1640416254759</v>
      </c>
      <c r="M60" s="413">
        <v>7818</v>
      </c>
      <c r="N60" s="414">
        <v>3409</v>
      </c>
      <c r="O60" s="490">
        <v>5290</v>
      </c>
      <c r="P60" s="413">
        <v>8080</v>
      </c>
      <c r="Q60" s="413">
        <v>6324</v>
      </c>
      <c r="R60" s="414">
        <v>9433</v>
      </c>
      <c r="S60" s="490">
        <v>10000</v>
      </c>
      <c r="T60" s="413">
        <v>14000</v>
      </c>
      <c r="U60" s="413">
        <v>5000</v>
      </c>
      <c r="V60" s="414">
        <v>6366</v>
      </c>
      <c r="W60" s="490">
        <v>6022</v>
      </c>
      <c r="X60" s="413">
        <v>6195</v>
      </c>
      <c r="Y60" s="413">
        <v>9362</v>
      </c>
      <c r="Z60" s="414">
        <v>8614</v>
      </c>
      <c r="AA60" s="490">
        <v>10500</v>
      </c>
      <c r="AB60" s="413">
        <v>7308</v>
      </c>
      <c r="AC60" s="413">
        <v>6911</v>
      </c>
      <c r="AD60" s="414">
        <v>4900</v>
      </c>
      <c r="AE60" s="490">
        <v>6480</v>
      </c>
      <c r="AF60" s="413">
        <v>0</v>
      </c>
      <c r="AG60" s="413">
        <v>0</v>
      </c>
      <c r="AH60" s="414">
        <v>0</v>
      </c>
      <c r="AI60" s="490">
        <v>0</v>
      </c>
      <c r="AJ60" s="413">
        <v>0</v>
      </c>
      <c r="AK60" s="413">
        <v>0</v>
      </c>
      <c r="AL60" s="414">
        <v>0</v>
      </c>
      <c r="AM60" s="365"/>
      <c r="AN60" s="413">
        <v>35366</v>
      </c>
      <c r="AO60" s="413">
        <v>30193</v>
      </c>
      <c r="AP60" s="413">
        <v>29619</v>
      </c>
      <c r="AQ60" s="413">
        <v>6480</v>
      </c>
      <c r="AR60" s="413">
        <v>0</v>
      </c>
      <c r="AS60" s="413">
        <v>0</v>
      </c>
      <c r="AT60" s="413">
        <v>0</v>
      </c>
      <c r="AU60" s="413">
        <v>0</v>
      </c>
    </row>
    <row r="61" spans="1:47">
      <c r="A61" s="816"/>
      <c r="B61" s="777"/>
      <c r="C61" s="778"/>
      <c r="D61" s="149"/>
      <c r="E61" s="149"/>
      <c r="F61" s="779"/>
      <c r="G61" s="778"/>
      <c r="H61" s="149"/>
      <c r="I61" s="149"/>
      <c r="J61" s="779"/>
      <c r="K61" s="778"/>
      <c r="L61" s="149"/>
      <c r="M61" s="149"/>
      <c r="N61" s="779"/>
      <c r="O61" s="778"/>
      <c r="P61" s="149"/>
      <c r="Q61" s="149"/>
      <c r="R61" s="779"/>
      <c r="S61" s="778"/>
      <c r="T61" s="149"/>
      <c r="U61" s="149"/>
      <c r="V61" s="779"/>
      <c r="W61" s="778"/>
      <c r="X61" s="149"/>
      <c r="Y61" s="149"/>
      <c r="Z61" s="779"/>
      <c r="AA61" s="778"/>
      <c r="AB61" s="149"/>
      <c r="AC61" s="149"/>
      <c r="AD61" s="779"/>
      <c r="AE61" s="778"/>
      <c r="AF61" s="149"/>
      <c r="AG61" s="149"/>
      <c r="AH61" s="779"/>
      <c r="AI61" s="778"/>
      <c r="AJ61" s="149"/>
      <c r="AK61" s="149"/>
      <c r="AL61" s="779"/>
      <c r="AM61" s="369"/>
      <c r="AN61" s="368"/>
      <c r="AO61" s="368"/>
      <c r="AP61" s="368"/>
      <c r="AQ61" s="368"/>
      <c r="AR61" s="368"/>
      <c r="AS61" s="368"/>
      <c r="AT61" s="368"/>
      <c r="AU61" s="368"/>
    </row>
    <row r="62" spans="1:47">
      <c r="A62" s="817" t="s">
        <v>590</v>
      </c>
      <c r="B62" s="777"/>
      <c r="C62" s="778"/>
      <c r="D62" s="149"/>
      <c r="E62" s="149"/>
      <c r="F62" s="779"/>
      <c r="G62" s="778"/>
      <c r="H62" s="149"/>
      <c r="I62" s="149"/>
      <c r="J62" s="779"/>
      <c r="K62" s="778"/>
      <c r="L62" s="149"/>
      <c r="M62" s="149"/>
      <c r="N62" s="779"/>
      <c r="O62" s="778"/>
      <c r="P62" s="149"/>
      <c r="Q62" s="149"/>
      <c r="R62" s="779"/>
      <c r="S62" s="778"/>
      <c r="T62" s="149"/>
      <c r="U62" s="149"/>
      <c r="V62" s="779"/>
      <c r="W62" s="778"/>
      <c r="X62" s="149"/>
      <c r="Y62" s="149"/>
      <c r="Z62" s="779"/>
      <c r="AA62" s="778"/>
      <c r="AB62" s="149"/>
      <c r="AC62" s="149"/>
      <c r="AD62" s="779"/>
      <c r="AE62" s="778"/>
      <c r="AF62" s="149"/>
      <c r="AG62" s="149"/>
      <c r="AH62" s="779"/>
      <c r="AI62" s="778"/>
      <c r="AJ62" s="149"/>
      <c r="AK62" s="149"/>
      <c r="AL62" s="779"/>
      <c r="AM62" s="369"/>
      <c r="AN62" s="368"/>
      <c r="AO62" s="368"/>
      <c r="AP62" s="368"/>
      <c r="AQ62" s="368"/>
      <c r="AR62" s="368"/>
      <c r="AS62" s="368"/>
      <c r="AT62" s="368"/>
      <c r="AU62" s="368"/>
    </row>
    <row r="63" spans="1:47">
      <c r="A63" s="132" t="s">
        <v>865</v>
      </c>
      <c r="B63" s="777"/>
      <c r="C63" s="778"/>
      <c r="D63" s="149"/>
      <c r="E63" s="149"/>
      <c r="F63" s="779"/>
      <c r="G63" s="778"/>
      <c r="H63" s="149"/>
      <c r="I63" s="149"/>
      <c r="J63" s="779"/>
      <c r="K63" s="778"/>
      <c r="L63" s="149"/>
      <c r="M63" s="149"/>
      <c r="N63" s="779"/>
      <c r="O63" s="778"/>
      <c r="P63" s="149"/>
      <c r="Q63" s="149"/>
      <c r="R63" s="779"/>
      <c r="S63" s="490">
        <v>-272000</v>
      </c>
      <c r="T63" s="413">
        <v>-270000</v>
      </c>
      <c r="U63" s="413">
        <v>-263000</v>
      </c>
      <c r="V63" s="414">
        <v>-264000</v>
      </c>
      <c r="W63" s="490">
        <v>-260000</v>
      </c>
      <c r="X63" s="413">
        <v>-276000</v>
      </c>
      <c r="Y63" s="413">
        <v>-274000</v>
      </c>
      <c r="Z63" s="414">
        <v>-279000</v>
      </c>
      <c r="AA63" s="490">
        <v>-279000</v>
      </c>
      <c r="AB63" s="413">
        <v>-265000</v>
      </c>
      <c r="AC63" s="413">
        <v>-255000</v>
      </c>
      <c r="AD63" s="414">
        <v>-240000</v>
      </c>
      <c r="AE63" s="490">
        <v>-227000</v>
      </c>
      <c r="AF63" s="413">
        <v>0</v>
      </c>
      <c r="AG63" s="413">
        <v>0</v>
      </c>
      <c r="AH63" s="414">
        <v>0</v>
      </c>
      <c r="AI63" s="490">
        <v>0</v>
      </c>
      <c r="AJ63" s="413">
        <v>0</v>
      </c>
      <c r="AK63" s="413">
        <v>0</v>
      </c>
      <c r="AL63" s="414">
        <v>0</v>
      </c>
      <c r="AM63" s="369"/>
      <c r="AN63" s="413">
        <v>-1069000</v>
      </c>
      <c r="AO63" s="413">
        <v>-1089000</v>
      </c>
      <c r="AP63" s="413">
        <v>-1039000</v>
      </c>
      <c r="AQ63" s="413">
        <v>-227000</v>
      </c>
      <c r="AR63" s="413">
        <v>0</v>
      </c>
      <c r="AS63" s="413">
        <v>0</v>
      </c>
      <c r="AT63" s="413">
        <v>0</v>
      </c>
      <c r="AU63" s="413">
        <v>0</v>
      </c>
    </row>
    <row r="64" spans="1:47">
      <c r="A64" s="132" t="s">
        <v>673</v>
      </c>
      <c r="B64" s="777"/>
      <c r="C64" s="778"/>
      <c r="D64" s="149"/>
      <c r="E64" s="149"/>
      <c r="F64" s="779"/>
      <c r="G64" s="778"/>
      <c r="H64" s="149"/>
      <c r="I64" s="149"/>
      <c r="J64" s="779"/>
      <c r="K64" s="778"/>
      <c r="L64" s="149"/>
      <c r="M64" s="149"/>
      <c r="N64" s="779"/>
      <c r="O64" s="778"/>
      <c r="P64" s="149"/>
      <c r="Q64" s="149"/>
      <c r="R64" s="779"/>
      <c r="S64" s="490">
        <v>-3000</v>
      </c>
      <c r="T64" s="413">
        <v>4000</v>
      </c>
      <c r="U64" s="413">
        <v>27000</v>
      </c>
      <c r="V64" s="413">
        <v>-5000</v>
      </c>
      <c r="W64" s="490">
        <v>9000</v>
      </c>
      <c r="X64" s="413">
        <v>2000</v>
      </c>
      <c r="Y64" s="413">
        <v>0</v>
      </c>
      <c r="Z64" s="413">
        <v>6000</v>
      </c>
      <c r="AA64" s="490">
        <v>0</v>
      </c>
      <c r="AB64" s="413">
        <v>1000</v>
      </c>
      <c r="AC64" s="413">
        <v>5000</v>
      </c>
      <c r="AD64" s="414">
        <v>-1000</v>
      </c>
      <c r="AE64" s="490">
        <v>5000</v>
      </c>
      <c r="AF64" s="413">
        <v>0</v>
      </c>
      <c r="AG64" s="413">
        <v>0</v>
      </c>
      <c r="AH64" s="414">
        <v>0</v>
      </c>
      <c r="AI64" s="490">
        <v>0</v>
      </c>
      <c r="AJ64" s="413">
        <v>0</v>
      </c>
      <c r="AK64" s="413">
        <v>0</v>
      </c>
      <c r="AL64" s="414">
        <v>0</v>
      </c>
      <c r="AM64" s="369"/>
      <c r="AN64" s="413">
        <v>23000</v>
      </c>
      <c r="AO64" s="413">
        <v>17000</v>
      </c>
      <c r="AP64" s="413">
        <v>5000</v>
      </c>
      <c r="AQ64" s="413">
        <v>5000</v>
      </c>
      <c r="AR64" s="413">
        <v>0</v>
      </c>
      <c r="AS64" s="413">
        <v>0</v>
      </c>
      <c r="AT64" s="413">
        <v>0</v>
      </c>
      <c r="AU64" s="413">
        <v>0</v>
      </c>
    </row>
    <row r="65" spans="1:47">
      <c r="A65" s="132"/>
      <c r="B65" s="777"/>
      <c r="C65" s="778"/>
      <c r="D65" s="149"/>
      <c r="E65" s="149"/>
      <c r="F65" s="779"/>
      <c r="G65" s="778"/>
      <c r="H65" s="149"/>
      <c r="I65" s="149"/>
      <c r="J65" s="779"/>
      <c r="K65" s="778"/>
      <c r="L65" s="149"/>
      <c r="M65" s="149"/>
      <c r="N65" s="779"/>
      <c r="O65" s="778"/>
      <c r="P65" s="149"/>
      <c r="Q65" s="149"/>
      <c r="R65" s="779"/>
      <c r="S65" s="778"/>
      <c r="T65" s="149"/>
      <c r="U65" s="149"/>
      <c r="V65" s="779"/>
      <c r="W65" s="778"/>
      <c r="X65" s="149"/>
      <c r="Y65" s="149"/>
      <c r="Z65" s="779"/>
      <c r="AA65" s="778"/>
      <c r="AB65" s="149"/>
      <c r="AC65" s="149"/>
      <c r="AD65" s="779"/>
      <c r="AE65" s="778"/>
      <c r="AF65" s="149"/>
      <c r="AG65" s="149"/>
      <c r="AH65" s="779"/>
      <c r="AI65" s="778"/>
      <c r="AJ65" s="149"/>
      <c r="AK65" s="149"/>
      <c r="AL65" s="779"/>
      <c r="AM65" s="369"/>
      <c r="AN65" s="368"/>
      <c r="AO65" s="368"/>
      <c r="AP65" s="368"/>
      <c r="AQ65" s="368"/>
      <c r="AR65" s="368"/>
      <c r="AS65" s="368"/>
      <c r="AT65" s="368"/>
      <c r="AU65" s="368"/>
    </row>
    <row r="66" spans="1:47">
      <c r="A66" s="818" t="s">
        <v>674</v>
      </c>
      <c r="B66" s="793"/>
      <c r="C66" s="794"/>
      <c r="D66" s="478"/>
      <c r="E66" s="478"/>
      <c r="F66" s="795"/>
      <c r="G66" s="794"/>
      <c r="H66" s="478"/>
      <c r="I66" s="478"/>
      <c r="J66" s="795"/>
      <c r="K66" s="794"/>
      <c r="L66" s="478"/>
      <c r="M66" s="478"/>
      <c r="N66" s="795"/>
      <c r="O66" s="794"/>
      <c r="P66" s="478"/>
      <c r="Q66" s="478"/>
      <c r="R66" s="795"/>
      <c r="S66" s="794"/>
      <c r="T66" s="478"/>
      <c r="U66" s="478"/>
      <c r="V66" s="795"/>
      <c r="W66" s="794"/>
      <c r="X66" s="478"/>
      <c r="Y66" s="478"/>
      <c r="Z66" s="795"/>
      <c r="AA66" s="794"/>
      <c r="AB66" s="478"/>
      <c r="AC66" s="478"/>
      <c r="AD66" s="795"/>
      <c r="AE66" s="794"/>
      <c r="AF66" s="478"/>
      <c r="AG66" s="478"/>
      <c r="AH66" s="795"/>
      <c r="AI66" s="794"/>
      <c r="AJ66" s="478"/>
      <c r="AK66" s="478"/>
      <c r="AL66" s="795"/>
      <c r="AM66" s="369"/>
      <c r="AN66" s="478"/>
      <c r="AO66" s="478"/>
      <c r="AP66" s="478"/>
      <c r="AQ66" s="478"/>
      <c r="AR66" s="478"/>
      <c r="AS66" s="478"/>
      <c r="AT66" s="478"/>
      <c r="AU66" s="478"/>
    </row>
    <row r="67" spans="1:47">
      <c r="A67" s="819" t="s">
        <v>896</v>
      </c>
      <c r="B67" s="793">
        <v>-51889</v>
      </c>
      <c r="C67" s="794">
        <v>-48180</v>
      </c>
      <c r="D67" s="478">
        <v>-54774</v>
      </c>
      <c r="E67" s="478">
        <v>-49567</v>
      </c>
      <c r="F67" s="795">
        <v>-51560</v>
      </c>
      <c r="G67" s="794">
        <v>-47007</v>
      </c>
      <c r="H67" s="478">
        <v>-47703</v>
      </c>
      <c r="I67" s="478">
        <v>-46419</v>
      </c>
      <c r="J67" s="795">
        <v>-42055</v>
      </c>
      <c r="K67" s="794">
        <v>-166234.20415326566</v>
      </c>
      <c r="L67" s="478">
        <v>-161687.58595837452</v>
      </c>
      <c r="M67" s="478">
        <v>-156039</v>
      </c>
      <c r="N67" s="795">
        <v>-164966</v>
      </c>
      <c r="O67" s="794">
        <v>-169171</v>
      </c>
      <c r="P67" s="478">
        <v>-179087</v>
      </c>
      <c r="Q67" s="478">
        <v>-175352</v>
      </c>
      <c r="R67" s="795">
        <v>-166169</v>
      </c>
      <c r="S67" s="794">
        <v>-419000</v>
      </c>
      <c r="T67" s="478">
        <v>-402000</v>
      </c>
      <c r="U67" s="478">
        <v>-380000</v>
      </c>
      <c r="V67" s="795">
        <v>-414278</v>
      </c>
      <c r="W67" s="794">
        <v>-389358</v>
      </c>
      <c r="X67" s="478">
        <v>-408094</v>
      </c>
      <c r="Y67" s="478">
        <v>-407960</v>
      </c>
      <c r="Z67" s="795">
        <v>-408528</v>
      </c>
      <c r="AA67" s="794">
        <v>-410725</v>
      </c>
      <c r="AB67" s="478">
        <v>-399941</v>
      </c>
      <c r="AC67" s="478">
        <v>-382683</v>
      </c>
      <c r="AD67" s="795">
        <v>-368510</v>
      </c>
      <c r="AE67" s="794">
        <v>-347065</v>
      </c>
      <c r="AF67" s="478">
        <v>0</v>
      </c>
      <c r="AG67" s="478">
        <v>0</v>
      </c>
      <c r="AH67" s="795">
        <v>0</v>
      </c>
      <c r="AI67" s="794">
        <v>0</v>
      </c>
      <c r="AJ67" s="478">
        <v>0</v>
      </c>
      <c r="AK67" s="478">
        <v>0</v>
      </c>
      <c r="AL67" s="795">
        <v>0</v>
      </c>
      <c r="AM67" s="369"/>
      <c r="AN67" s="478">
        <v>-1615278</v>
      </c>
      <c r="AO67" s="478">
        <v>-1613940</v>
      </c>
      <c r="AP67" s="478">
        <v>-1561859</v>
      </c>
      <c r="AQ67" s="478">
        <v>-347065</v>
      </c>
      <c r="AR67" s="478">
        <v>0</v>
      </c>
      <c r="AS67" s="478">
        <v>0</v>
      </c>
      <c r="AT67" s="478">
        <v>0</v>
      </c>
      <c r="AU67" s="478">
        <v>0</v>
      </c>
    </row>
    <row r="68" spans="1:47">
      <c r="A68" s="816"/>
      <c r="B68" s="777"/>
      <c r="C68" s="778"/>
      <c r="D68" s="149"/>
      <c r="E68" s="149"/>
      <c r="F68" s="779"/>
      <c r="G68" s="778"/>
      <c r="H68" s="149"/>
      <c r="I68" s="149"/>
      <c r="J68" s="779"/>
      <c r="K68" s="778"/>
      <c r="L68" s="149"/>
      <c r="M68" s="149"/>
      <c r="N68" s="779"/>
      <c r="O68" s="778"/>
      <c r="P68" s="149"/>
      <c r="Q68" s="149"/>
      <c r="R68" s="779"/>
      <c r="S68" s="778"/>
      <c r="T68" s="149"/>
      <c r="U68" s="149"/>
      <c r="V68" s="779"/>
      <c r="W68" s="778"/>
      <c r="X68" s="149"/>
      <c r="Y68" s="149"/>
      <c r="Z68" s="779"/>
      <c r="AA68" s="778"/>
      <c r="AB68" s="149"/>
      <c r="AC68" s="149"/>
      <c r="AD68" s="779"/>
      <c r="AE68" s="778"/>
      <c r="AF68" s="149"/>
      <c r="AG68" s="149"/>
      <c r="AH68" s="779"/>
      <c r="AI68" s="778"/>
      <c r="AJ68" s="149"/>
      <c r="AK68" s="149"/>
      <c r="AL68" s="779"/>
      <c r="AM68" s="369"/>
      <c r="AN68" s="149"/>
      <c r="AO68" s="149"/>
      <c r="AP68" s="149"/>
      <c r="AQ68" s="149"/>
      <c r="AR68" s="149"/>
      <c r="AS68" s="149"/>
      <c r="AT68" s="149"/>
      <c r="AU68" s="149"/>
    </row>
    <row r="69" spans="1:47">
      <c r="A69" s="801" t="s">
        <v>868</v>
      </c>
      <c r="B69" s="820">
        <v>140572</v>
      </c>
      <c r="C69" s="821">
        <v>135377</v>
      </c>
      <c r="D69" s="653">
        <v>135137</v>
      </c>
      <c r="E69" s="653">
        <v>131594</v>
      </c>
      <c r="F69" s="654">
        <v>138056</v>
      </c>
      <c r="G69" s="821">
        <v>129853</v>
      </c>
      <c r="H69" s="653">
        <v>138179</v>
      </c>
      <c r="I69" s="653">
        <v>160676</v>
      </c>
      <c r="J69" s="654">
        <v>130364</v>
      </c>
      <c r="K69" s="821">
        <v>404430.12529279862</v>
      </c>
      <c r="L69" s="653">
        <v>430561.41404162545</v>
      </c>
      <c r="M69" s="653">
        <v>381765</v>
      </c>
      <c r="N69" s="654">
        <v>414713</v>
      </c>
      <c r="O69" s="821">
        <v>329162</v>
      </c>
      <c r="P69" s="653">
        <v>357078</v>
      </c>
      <c r="Q69" s="653">
        <v>373297</v>
      </c>
      <c r="R69" s="654">
        <v>346999</v>
      </c>
      <c r="S69" s="821">
        <v>708614</v>
      </c>
      <c r="T69" s="653">
        <v>712573</v>
      </c>
      <c r="U69" s="653">
        <v>584073</v>
      </c>
      <c r="V69" s="654">
        <v>770885</v>
      </c>
      <c r="W69" s="821">
        <v>790722.99999999907</v>
      </c>
      <c r="X69" s="653">
        <v>700363</v>
      </c>
      <c r="Y69" s="653">
        <v>671649</v>
      </c>
      <c r="Z69" s="654">
        <v>684680</v>
      </c>
      <c r="AA69" s="821">
        <v>749994</v>
      </c>
      <c r="AB69" s="653">
        <v>708181</v>
      </c>
      <c r="AC69" s="653">
        <v>722741</v>
      </c>
      <c r="AD69" s="654">
        <v>675235</v>
      </c>
      <c r="AE69" s="821">
        <v>745675</v>
      </c>
      <c r="AF69" s="653">
        <v>0</v>
      </c>
      <c r="AG69" s="653">
        <v>0</v>
      </c>
      <c r="AH69" s="654">
        <v>0</v>
      </c>
      <c r="AI69" s="821">
        <v>0</v>
      </c>
      <c r="AJ69" s="653">
        <v>0</v>
      </c>
      <c r="AK69" s="653">
        <v>0</v>
      </c>
      <c r="AL69" s="654">
        <v>0</v>
      </c>
      <c r="AM69" s="365"/>
      <c r="AN69" s="653">
        <v>2828318</v>
      </c>
      <c r="AO69" s="653">
        <v>2827867</v>
      </c>
      <c r="AP69" s="653">
        <v>2856151</v>
      </c>
      <c r="AQ69" s="653">
        <v>745675</v>
      </c>
      <c r="AR69" s="653">
        <v>0</v>
      </c>
      <c r="AS69" s="653">
        <v>0</v>
      </c>
      <c r="AT69" s="653">
        <v>0</v>
      </c>
      <c r="AU69" s="653">
        <v>0</v>
      </c>
    </row>
    <row r="70" spans="1:47">
      <c r="A70" s="802"/>
      <c r="B70" s="679"/>
      <c r="C70" s="490"/>
      <c r="D70" s="451"/>
      <c r="E70" s="451"/>
      <c r="F70" s="569"/>
      <c r="G70" s="489"/>
      <c r="H70" s="451"/>
      <c r="I70" s="451"/>
      <c r="J70" s="569"/>
      <c r="K70" s="489"/>
      <c r="L70" s="451"/>
      <c r="M70" s="413"/>
      <c r="N70" s="414"/>
      <c r="O70" s="490"/>
      <c r="P70" s="413"/>
      <c r="Q70" s="413"/>
      <c r="R70" s="414"/>
      <c r="S70" s="490"/>
      <c r="T70" s="413"/>
      <c r="U70" s="451"/>
      <c r="V70" s="414"/>
      <c r="W70" s="490"/>
      <c r="X70" s="413"/>
      <c r="Y70" s="413"/>
      <c r="Z70" s="414"/>
      <c r="AA70" s="490"/>
      <c r="AB70" s="413"/>
      <c r="AC70" s="413"/>
      <c r="AD70" s="414"/>
      <c r="AE70" s="490"/>
      <c r="AF70" s="413"/>
      <c r="AG70" s="413"/>
      <c r="AH70" s="414"/>
      <c r="AI70" s="490"/>
      <c r="AJ70" s="413"/>
      <c r="AK70" s="413"/>
      <c r="AL70" s="414"/>
      <c r="AM70" s="365"/>
      <c r="AN70" s="399"/>
      <c r="AO70" s="399"/>
      <c r="AP70" s="399"/>
      <c r="AQ70" s="399"/>
      <c r="AR70" s="399"/>
      <c r="AS70" s="399"/>
      <c r="AT70" s="399"/>
      <c r="AU70" s="399"/>
    </row>
    <row r="71" spans="1:47">
      <c r="A71" s="776" t="s">
        <v>481</v>
      </c>
      <c r="B71" s="679"/>
      <c r="C71" s="490"/>
      <c r="D71" s="451"/>
      <c r="E71" s="451"/>
      <c r="F71" s="569"/>
      <c r="G71" s="489"/>
      <c r="H71" s="451"/>
      <c r="I71" s="451"/>
      <c r="J71" s="569"/>
      <c r="K71" s="489"/>
      <c r="L71" s="451"/>
      <c r="M71" s="413"/>
      <c r="N71" s="414"/>
      <c r="O71" s="490"/>
      <c r="P71" s="413"/>
      <c r="Q71" s="413"/>
      <c r="R71" s="414"/>
      <c r="S71" s="490"/>
      <c r="T71" s="413"/>
      <c r="U71" s="451"/>
      <c r="V71" s="414"/>
      <c r="W71" s="490"/>
      <c r="X71" s="413"/>
      <c r="Y71" s="413"/>
      <c r="Z71" s="414"/>
      <c r="AA71" s="490"/>
      <c r="AB71" s="413"/>
      <c r="AC71" s="413"/>
      <c r="AD71" s="414"/>
      <c r="AE71" s="490"/>
      <c r="AF71" s="413"/>
      <c r="AG71" s="413"/>
      <c r="AH71" s="414"/>
      <c r="AI71" s="490"/>
      <c r="AJ71" s="413"/>
      <c r="AK71" s="413"/>
      <c r="AL71" s="414"/>
      <c r="AM71" s="365"/>
      <c r="AN71" s="399"/>
      <c r="AO71" s="399"/>
      <c r="AP71" s="399"/>
      <c r="AQ71" s="399"/>
      <c r="AR71" s="399"/>
      <c r="AS71" s="399"/>
      <c r="AT71" s="399"/>
      <c r="AU71" s="399"/>
    </row>
    <row r="72" spans="1:47">
      <c r="A72" s="132" t="s">
        <v>869</v>
      </c>
      <c r="B72" s="679">
        <v>-51305</v>
      </c>
      <c r="C72" s="490">
        <v>-52098</v>
      </c>
      <c r="D72" s="413">
        <v>-51853</v>
      </c>
      <c r="E72" s="413">
        <v>-50459</v>
      </c>
      <c r="F72" s="414">
        <v>-52951</v>
      </c>
      <c r="G72" s="490">
        <v>-49862</v>
      </c>
      <c r="H72" s="413">
        <v>-53061</v>
      </c>
      <c r="I72" s="413">
        <v>-61699</v>
      </c>
      <c r="J72" s="414">
        <v>-48180</v>
      </c>
      <c r="K72" s="490">
        <v>-158610.64435946007</v>
      </c>
      <c r="L72" s="413">
        <v>-168758.85854644206</v>
      </c>
      <c r="M72" s="413">
        <v>-143678</v>
      </c>
      <c r="N72" s="414">
        <v>-141264</v>
      </c>
      <c r="O72" s="490">
        <v>-128292</v>
      </c>
      <c r="P72" s="413">
        <v>-139644</v>
      </c>
      <c r="Q72" s="413">
        <v>-145160</v>
      </c>
      <c r="R72" s="414">
        <v>-104177</v>
      </c>
      <c r="S72" s="490">
        <v>-151000</v>
      </c>
      <c r="T72" s="413">
        <v>-154000</v>
      </c>
      <c r="U72" s="413">
        <v>-124000</v>
      </c>
      <c r="V72" s="414">
        <v>-178367</v>
      </c>
      <c r="W72" s="490">
        <v>-168038</v>
      </c>
      <c r="X72" s="413">
        <v>-172780</v>
      </c>
      <c r="Y72" s="413">
        <v>-164185</v>
      </c>
      <c r="Z72" s="414">
        <v>-164551</v>
      </c>
      <c r="AA72" s="490">
        <v>-170412</v>
      </c>
      <c r="AB72" s="413">
        <v>-162146</v>
      </c>
      <c r="AC72" s="413">
        <v>-153235</v>
      </c>
      <c r="AD72" s="414">
        <v>-139652</v>
      </c>
      <c r="AE72" s="490">
        <v>-141104</v>
      </c>
      <c r="AF72" s="413">
        <v>0</v>
      </c>
      <c r="AG72" s="413">
        <v>0</v>
      </c>
      <c r="AH72" s="414">
        <v>0</v>
      </c>
      <c r="AI72" s="490">
        <v>0</v>
      </c>
      <c r="AJ72" s="413">
        <v>0</v>
      </c>
      <c r="AK72" s="413">
        <v>0</v>
      </c>
      <c r="AL72" s="414">
        <v>0</v>
      </c>
      <c r="AM72" s="365"/>
      <c r="AN72" s="413">
        <v>-607367</v>
      </c>
      <c r="AO72" s="413">
        <v>-669554</v>
      </c>
      <c r="AP72" s="413">
        <v>-625445</v>
      </c>
      <c r="AQ72" s="413">
        <v>-141104</v>
      </c>
      <c r="AR72" s="413">
        <v>0</v>
      </c>
      <c r="AS72" s="413">
        <v>0</v>
      </c>
      <c r="AT72" s="413">
        <v>0</v>
      </c>
      <c r="AU72" s="413">
        <v>0</v>
      </c>
    </row>
    <row r="73" spans="1:47">
      <c r="A73" s="802"/>
      <c r="B73" s="679"/>
      <c r="C73" s="490"/>
      <c r="D73" s="451"/>
      <c r="E73" s="451"/>
      <c r="F73" s="569"/>
      <c r="G73" s="489"/>
      <c r="H73" s="451"/>
      <c r="I73" s="451"/>
      <c r="J73" s="569"/>
      <c r="K73" s="489"/>
      <c r="L73" s="451"/>
      <c r="M73" s="413"/>
      <c r="N73" s="414"/>
      <c r="O73" s="490"/>
      <c r="P73" s="413"/>
      <c r="Q73" s="413"/>
      <c r="R73" s="414"/>
      <c r="S73" s="490"/>
      <c r="T73" s="413"/>
      <c r="U73" s="451"/>
      <c r="V73" s="569"/>
      <c r="W73" s="489"/>
      <c r="X73" s="451"/>
      <c r="Y73" s="451"/>
      <c r="Z73" s="569"/>
      <c r="AA73" s="489"/>
      <c r="AB73" s="451"/>
      <c r="AC73" s="451"/>
      <c r="AD73" s="569"/>
      <c r="AE73" s="489"/>
      <c r="AF73" s="451"/>
      <c r="AG73" s="451"/>
      <c r="AH73" s="569"/>
      <c r="AI73" s="489"/>
      <c r="AJ73" s="451"/>
      <c r="AK73" s="451"/>
      <c r="AL73" s="569"/>
      <c r="AM73" s="365"/>
      <c r="AN73" s="399"/>
      <c r="AO73" s="399"/>
      <c r="AP73" s="399"/>
      <c r="AQ73" s="399"/>
      <c r="AR73" s="399"/>
      <c r="AS73" s="399"/>
      <c r="AT73" s="399"/>
      <c r="AU73" s="399"/>
    </row>
    <row r="74" spans="1:47">
      <c r="A74" s="817" t="s">
        <v>590</v>
      </c>
      <c r="B74" s="679"/>
      <c r="C74" s="490"/>
      <c r="D74" s="451"/>
      <c r="E74" s="451"/>
      <c r="F74" s="569"/>
      <c r="G74" s="489"/>
      <c r="H74" s="451"/>
      <c r="I74" s="451"/>
      <c r="J74" s="569"/>
      <c r="K74" s="489"/>
      <c r="L74" s="451"/>
      <c r="M74" s="413"/>
      <c r="N74" s="414"/>
      <c r="O74" s="490"/>
      <c r="P74" s="413"/>
      <c r="Q74" s="413"/>
      <c r="R74" s="414"/>
      <c r="S74" s="490"/>
      <c r="T74" s="413"/>
      <c r="U74" s="451"/>
      <c r="V74" s="569"/>
      <c r="W74" s="489"/>
      <c r="X74" s="451"/>
      <c r="Y74" s="451"/>
      <c r="Z74" s="569"/>
      <c r="AA74" s="489"/>
      <c r="AB74" s="451"/>
      <c r="AC74" s="451"/>
      <c r="AD74" s="569"/>
      <c r="AE74" s="489"/>
      <c r="AF74" s="451"/>
      <c r="AG74" s="451"/>
      <c r="AH74" s="569"/>
      <c r="AI74" s="489"/>
      <c r="AJ74" s="451"/>
      <c r="AK74" s="451"/>
      <c r="AL74" s="569"/>
      <c r="AM74" s="365"/>
      <c r="AN74" s="399"/>
      <c r="AO74" s="399"/>
      <c r="AP74" s="399"/>
      <c r="AQ74" s="399"/>
      <c r="AR74" s="399"/>
      <c r="AS74" s="399"/>
      <c r="AT74" s="399"/>
      <c r="AU74" s="399"/>
    </row>
    <row r="75" spans="1:47">
      <c r="A75" s="132" t="s">
        <v>869</v>
      </c>
      <c r="B75" s="679"/>
      <c r="C75" s="490"/>
      <c r="D75" s="451"/>
      <c r="E75" s="451"/>
      <c r="F75" s="569"/>
      <c r="G75" s="489"/>
      <c r="H75" s="451"/>
      <c r="I75" s="451"/>
      <c r="J75" s="569"/>
      <c r="K75" s="489"/>
      <c r="L75" s="451"/>
      <c r="M75" s="413"/>
      <c r="N75" s="414"/>
      <c r="O75" s="490"/>
      <c r="P75" s="413"/>
      <c r="Q75" s="413"/>
      <c r="R75" s="414"/>
      <c r="S75" s="490">
        <v>-112415</v>
      </c>
      <c r="T75" s="413">
        <v>-118000</v>
      </c>
      <c r="U75" s="413">
        <v>-83230</v>
      </c>
      <c r="V75" s="414">
        <v>-120391</v>
      </c>
      <c r="W75" s="490">
        <v>-100050</v>
      </c>
      <c r="X75" s="413">
        <v>-97200</v>
      </c>
      <c r="Y75" s="413">
        <v>-84720</v>
      </c>
      <c r="Z75" s="414">
        <v>-91400</v>
      </c>
      <c r="AA75" s="413">
        <v>-117465</v>
      </c>
      <c r="AB75" s="413">
        <v>-101000</v>
      </c>
      <c r="AC75" s="413">
        <v>-134980</v>
      </c>
      <c r="AD75" s="414">
        <v>-103400</v>
      </c>
      <c r="AE75" s="413">
        <v>-151000</v>
      </c>
      <c r="AF75" s="413">
        <v>0</v>
      </c>
      <c r="AG75" s="413">
        <v>0</v>
      </c>
      <c r="AH75" s="414">
        <v>0</v>
      </c>
      <c r="AI75" s="413">
        <v>0</v>
      </c>
      <c r="AJ75" s="413">
        <v>0</v>
      </c>
      <c r="AK75" s="413">
        <v>0</v>
      </c>
      <c r="AL75" s="414">
        <v>0</v>
      </c>
      <c r="AM75" s="365"/>
      <c r="AN75" s="413">
        <v>-434036</v>
      </c>
      <c r="AO75" s="413">
        <v>-373370</v>
      </c>
      <c r="AP75" s="413">
        <v>-456845</v>
      </c>
      <c r="AQ75" s="413">
        <v>-151000</v>
      </c>
      <c r="AR75" s="413">
        <v>0</v>
      </c>
      <c r="AS75" s="413">
        <v>0</v>
      </c>
      <c r="AT75" s="413">
        <v>0</v>
      </c>
      <c r="AU75" s="413">
        <v>0</v>
      </c>
    </row>
    <row r="76" spans="1:47">
      <c r="A76" s="137"/>
      <c r="B76" s="679"/>
      <c r="C76" s="490"/>
      <c r="D76" s="451"/>
      <c r="E76" s="451"/>
      <c r="F76" s="569"/>
      <c r="G76" s="489"/>
      <c r="H76" s="451"/>
      <c r="I76" s="451"/>
      <c r="J76" s="569"/>
      <c r="K76" s="489"/>
      <c r="L76" s="451"/>
      <c r="M76" s="413"/>
      <c r="N76" s="414"/>
      <c r="O76" s="490"/>
      <c r="P76" s="413"/>
      <c r="Q76" s="413"/>
      <c r="R76" s="414"/>
      <c r="S76" s="490"/>
      <c r="T76" s="413"/>
      <c r="U76" s="451"/>
      <c r="V76" s="569"/>
      <c r="W76" s="489"/>
      <c r="X76" s="451"/>
      <c r="Y76" s="451"/>
      <c r="Z76" s="569"/>
      <c r="AA76" s="489"/>
      <c r="AB76" s="451"/>
      <c r="AC76" s="451"/>
      <c r="AD76" s="569"/>
      <c r="AE76" s="489"/>
      <c r="AF76" s="451"/>
      <c r="AG76" s="451"/>
      <c r="AH76" s="569"/>
      <c r="AI76" s="489"/>
      <c r="AJ76" s="451"/>
      <c r="AK76" s="451"/>
      <c r="AL76" s="569"/>
      <c r="AM76" s="365"/>
      <c r="AN76" s="399"/>
      <c r="AO76" s="399"/>
      <c r="AP76" s="399"/>
      <c r="AQ76" s="399"/>
      <c r="AR76" s="399"/>
      <c r="AS76" s="399"/>
      <c r="AT76" s="399"/>
      <c r="AU76" s="399"/>
    </row>
    <row r="77" spans="1:47">
      <c r="A77" s="822" t="s">
        <v>674</v>
      </c>
      <c r="B77" s="823"/>
      <c r="C77" s="824"/>
      <c r="D77" s="510"/>
      <c r="E77" s="510"/>
      <c r="F77" s="511"/>
      <c r="G77" s="824"/>
      <c r="H77" s="510"/>
      <c r="I77" s="510"/>
      <c r="J77" s="511"/>
      <c r="K77" s="824"/>
      <c r="L77" s="510"/>
      <c r="M77" s="510"/>
      <c r="N77" s="511"/>
      <c r="O77" s="824"/>
      <c r="P77" s="510"/>
      <c r="Q77" s="510"/>
      <c r="R77" s="511"/>
      <c r="S77" s="824"/>
      <c r="T77" s="510"/>
      <c r="U77" s="510"/>
      <c r="V77" s="511"/>
      <c r="W77" s="824"/>
      <c r="X77" s="510"/>
      <c r="Y77" s="510"/>
      <c r="Z77" s="511"/>
      <c r="AA77" s="824"/>
      <c r="AB77" s="510"/>
      <c r="AC77" s="510"/>
      <c r="AD77" s="511"/>
      <c r="AE77" s="824"/>
      <c r="AF77" s="510"/>
      <c r="AG77" s="510"/>
      <c r="AH77" s="511"/>
      <c r="AI77" s="824"/>
      <c r="AJ77" s="510"/>
      <c r="AK77" s="510"/>
      <c r="AL77" s="511"/>
      <c r="AM77" s="365"/>
      <c r="AN77" s="510"/>
      <c r="AO77" s="510"/>
      <c r="AP77" s="510"/>
      <c r="AQ77" s="510"/>
      <c r="AR77" s="510"/>
      <c r="AS77" s="510"/>
      <c r="AT77" s="510"/>
      <c r="AU77" s="510"/>
    </row>
    <row r="78" spans="1:47">
      <c r="A78" s="819" t="s">
        <v>869</v>
      </c>
      <c r="B78" s="820">
        <v>-51305</v>
      </c>
      <c r="C78" s="821">
        <v>-52098</v>
      </c>
      <c r="D78" s="653">
        <v>-51853</v>
      </c>
      <c r="E78" s="653">
        <v>-50459</v>
      </c>
      <c r="F78" s="654">
        <v>-52951</v>
      </c>
      <c r="G78" s="821">
        <v>-49862</v>
      </c>
      <c r="H78" s="653">
        <v>-53061</v>
      </c>
      <c r="I78" s="653">
        <v>-61699</v>
      </c>
      <c r="J78" s="654">
        <v>-48180</v>
      </c>
      <c r="K78" s="821">
        <v>-158610.64435946007</v>
      </c>
      <c r="L78" s="653">
        <v>-168758.85854644206</v>
      </c>
      <c r="M78" s="653">
        <v>-143678</v>
      </c>
      <c r="N78" s="654">
        <v>-141264</v>
      </c>
      <c r="O78" s="821">
        <v>-128292</v>
      </c>
      <c r="P78" s="653">
        <v>-139644</v>
      </c>
      <c r="Q78" s="653">
        <v>-145160</v>
      </c>
      <c r="R78" s="654">
        <v>-104177</v>
      </c>
      <c r="S78" s="821">
        <v>-263415</v>
      </c>
      <c r="T78" s="653">
        <v>-272000</v>
      </c>
      <c r="U78" s="653">
        <v>-207230</v>
      </c>
      <c r="V78" s="654">
        <v>-298758</v>
      </c>
      <c r="W78" s="821">
        <v>-268088</v>
      </c>
      <c r="X78" s="653">
        <v>-269980</v>
      </c>
      <c r="Y78" s="653">
        <v>-248905</v>
      </c>
      <c r="Z78" s="654">
        <v>-255951</v>
      </c>
      <c r="AA78" s="821">
        <v>-287877</v>
      </c>
      <c r="AB78" s="653">
        <v>-263146</v>
      </c>
      <c r="AC78" s="653">
        <v>-288215</v>
      </c>
      <c r="AD78" s="654">
        <v>-243052</v>
      </c>
      <c r="AE78" s="821">
        <v>-292104</v>
      </c>
      <c r="AF78" s="653">
        <v>0</v>
      </c>
      <c r="AG78" s="653">
        <v>0</v>
      </c>
      <c r="AH78" s="654">
        <v>0</v>
      </c>
      <c r="AI78" s="821">
        <v>0</v>
      </c>
      <c r="AJ78" s="653">
        <v>0</v>
      </c>
      <c r="AK78" s="653">
        <v>0</v>
      </c>
      <c r="AL78" s="654">
        <v>0</v>
      </c>
      <c r="AM78" s="365"/>
      <c r="AN78" s="653">
        <v>-1041403</v>
      </c>
      <c r="AO78" s="653">
        <v>-1042924</v>
      </c>
      <c r="AP78" s="653">
        <v>-1082290</v>
      </c>
      <c r="AQ78" s="653">
        <v>-292104</v>
      </c>
      <c r="AR78" s="653">
        <v>0</v>
      </c>
      <c r="AS78" s="653">
        <v>0</v>
      </c>
      <c r="AT78" s="653">
        <v>0</v>
      </c>
      <c r="AU78" s="653">
        <v>0</v>
      </c>
    </row>
    <row r="79" spans="1:47">
      <c r="A79" s="825"/>
      <c r="B79" s="583"/>
      <c r="C79" s="610"/>
      <c r="D79" s="499"/>
      <c r="E79" s="499"/>
      <c r="F79" s="608"/>
      <c r="G79" s="610"/>
      <c r="H79" s="499"/>
      <c r="I79" s="499"/>
      <c r="J79" s="608"/>
      <c r="K79" s="610"/>
      <c r="L79" s="499"/>
      <c r="M79" s="499"/>
      <c r="N79" s="608"/>
      <c r="O79" s="610"/>
      <c r="P79" s="499"/>
      <c r="Q79" s="499"/>
      <c r="R79" s="608"/>
      <c r="S79" s="610"/>
      <c r="T79" s="499"/>
      <c r="U79" s="499"/>
      <c r="V79" s="608"/>
      <c r="W79" s="610"/>
      <c r="X79" s="499"/>
      <c r="Y79" s="499"/>
      <c r="Z79" s="608"/>
      <c r="AA79" s="610"/>
      <c r="AB79" s="499"/>
      <c r="AC79" s="499"/>
      <c r="AD79" s="608"/>
      <c r="AE79" s="610"/>
      <c r="AF79" s="499"/>
      <c r="AG79" s="499"/>
      <c r="AH79" s="608"/>
      <c r="AI79" s="610"/>
      <c r="AJ79" s="499"/>
      <c r="AK79" s="499"/>
      <c r="AL79" s="608"/>
      <c r="AM79" s="369"/>
      <c r="AN79" s="368"/>
      <c r="AO79" s="368"/>
      <c r="AP79" s="368"/>
      <c r="AQ79" s="368"/>
      <c r="AR79" s="368"/>
      <c r="AS79" s="368"/>
      <c r="AT79" s="368"/>
      <c r="AU79" s="368"/>
    </row>
    <row r="80" spans="1:47">
      <c r="A80" s="776" t="s">
        <v>675</v>
      </c>
      <c r="B80" s="586">
        <v>89267</v>
      </c>
      <c r="C80" s="489">
        <v>83279</v>
      </c>
      <c r="D80" s="451">
        <v>83284</v>
      </c>
      <c r="E80" s="451">
        <v>81135</v>
      </c>
      <c r="F80" s="569">
        <v>85105</v>
      </c>
      <c r="G80" s="489">
        <v>79991</v>
      </c>
      <c r="H80" s="451">
        <v>85118</v>
      </c>
      <c r="I80" s="451">
        <v>98977</v>
      </c>
      <c r="J80" s="569">
        <v>82184</v>
      </c>
      <c r="K80" s="489">
        <v>245819.48093333855</v>
      </c>
      <c r="L80" s="451">
        <v>261802.55549518339</v>
      </c>
      <c r="M80" s="451">
        <v>238087</v>
      </c>
      <c r="N80" s="569">
        <v>273449</v>
      </c>
      <c r="O80" s="489">
        <v>200870</v>
      </c>
      <c r="P80" s="451">
        <v>217434</v>
      </c>
      <c r="Q80" s="451">
        <v>228137</v>
      </c>
      <c r="R80" s="569">
        <v>242822</v>
      </c>
      <c r="S80" s="489">
        <v>267614</v>
      </c>
      <c r="T80" s="451">
        <v>258573</v>
      </c>
      <c r="U80" s="451">
        <v>212073</v>
      </c>
      <c r="V80" s="569">
        <v>283518</v>
      </c>
      <c r="W80" s="489">
        <v>301684.9999999993</v>
      </c>
      <c r="X80" s="451">
        <v>287583</v>
      </c>
      <c r="Y80" s="451">
        <v>269464</v>
      </c>
      <c r="Z80" s="569">
        <v>287129</v>
      </c>
      <c r="AA80" s="489">
        <v>279582</v>
      </c>
      <c r="AB80" s="451">
        <v>266035</v>
      </c>
      <c r="AC80" s="451">
        <v>251506</v>
      </c>
      <c r="AD80" s="569">
        <v>232583</v>
      </c>
      <c r="AE80" s="489">
        <v>233571</v>
      </c>
      <c r="AF80" s="451">
        <v>0</v>
      </c>
      <c r="AG80" s="451">
        <v>0</v>
      </c>
      <c r="AH80" s="569">
        <v>0</v>
      </c>
      <c r="AI80" s="489">
        <v>0</v>
      </c>
      <c r="AJ80" s="451">
        <v>0</v>
      </c>
      <c r="AK80" s="451">
        <v>0</v>
      </c>
      <c r="AL80" s="569">
        <v>0</v>
      </c>
      <c r="AM80" s="369"/>
      <c r="AN80" s="451">
        <v>1021778</v>
      </c>
      <c r="AO80" s="451">
        <v>1126313</v>
      </c>
      <c r="AP80" s="451">
        <v>1029706</v>
      </c>
      <c r="AQ80" s="451">
        <v>233571</v>
      </c>
      <c r="AR80" s="451">
        <v>0</v>
      </c>
      <c r="AS80" s="451">
        <v>0</v>
      </c>
      <c r="AT80" s="451">
        <v>0</v>
      </c>
      <c r="AU80" s="451">
        <v>0</v>
      </c>
    </row>
    <row r="81" spans="1:47">
      <c r="A81" s="817" t="s">
        <v>676</v>
      </c>
      <c r="B81" s="586">
        <v>0</v>
      </c>
      <c r="C81" s="489">
        <v>0</v>
      </c>
      <c r="D81" s="451">
        <v>0</v>
      </c>
      <c r="E81" s="451">
        <v>0</v>
      </c>
      <c r="F81" s="569">
        <v>0</v>
      </c>
      <c r="G81" s="489">
        <v>0</v>
      </c>
      <c r="H81" s="451">
        <v>0</v>
      </c>
      <c r="I81" s="451">
        <v>0</v>
      </c>
      <c r="J81" s="569">
        <v>0</v>
      </c>
      <c r="K81" s="489">
        <v>0</v>
      </c>
      <c r="L81" s="451">
        <v>0</v>
      </c>
      <c r="M81" s="451">
        <v>0</v>
      </c>
      <c r="N81" s="569">
        <v>0</v>
      </c>
      <c r="O81" s="489">
        <v>0</v>
      </c>
      <c r="P81" s="451">
        <v>0</v>
      </c>
      <c r="Q81" s="451">
        <v>0</v>
      </c>
      <c r="R81" s="569">
        <v>0</v>
      </c>
      <c r="S81" s="489">
        <v>177585</v>
      </c>
      <c r="T81" s="451">
        <v>182000</v>
      </c>
      <c r="U81" s="451">
        <v>164770</v>
      </c>
      <c r="V81" s="569">
        <v>188609</v>
      </c>
      <c r="W81" s="489">
        <v>220950</v>
      </c>
      <c r="X81" s="451">
        <v>142800</v>
      </c>
      <c r="Y81" s="451">
        <v>153280</v>
      </c>
      <c r="Z81" s="569">
        <v>141600</v>
      </c>
      <c r="AA81" s="489">
        <v>182535</v>
      </c>
      <c r="AB81" s="451">
        <v>179000</v>
      </c>
      <c r="AC81" s="451">
        <v>183020</v>
      </c>
      <c r="AD81" s="569">
        <v>199600</v>
      </c>
      <c r="AE81" s="489">
        <v>220000</v>
      </c>
      <c r="AF81" s="451">
        <v>0</v>
      </c>
      <c r="AG81" s="451">
        <v>0</v>
      </c>
      <c r="AH81" s="569">
        <v>0</v>
      </c>
      <c r="AI81" s="489">
        <v>0</v>
      </c>
      <c r="AJ81" s="451">
        <v>0</v>
      </c>
      <c r="AK81" s="451">
        <v>0</v>
      </c>
      <c r="AL81" s="569">
        <v>0</v>
      </c>
      <c r="AM81" s="369"/>
      <c r="AN81" s="451">
        <v>712964</v>
      </c>
      <c r="AO81" s="451">
        <v>658630</v>
      </c>
      <c r="AP81" s="451">
        <v>744155</v>
      </c>
      <c r="AQ81" s="451">
        <v>220000</v>
      </c>
      <c r="AR81" s="451">
        <v>0</v>
      </c>
      <c r="AS81" s="451">
        <v>0</v>
      </c>
      <c r="AT81" s="451">
        <v>0</v>
      </c>
      <c r="AU81" s="451">
        <v>0</v>
      </c>
    </row>
    <row r="82" spans="1:47">
      <c r="A82" s="802"/>
      <c r="B82" s="679"/>
      <c r="C82" s="490"/>
      <c r="D82" s="451"/>
      <c r="E82" s="451"/>
      <c r="F82" s="569"/>
      <c r="G82" s="489"/>
      <c r="H82" s="451"/>
      <c r="I82" s="451"/>
      <c r="J82" s="569"/>
      <c r="K82" s="489"/>
      <c r="L82" s="451"/>
      <c r="M82" s="413"/>
      <c r="N82" s="414"/>
      <c r="O82" s="490"/>
      <c r="P82" s="413"/>
      <c r="Q82" s="413"/>
      <c r="R82" s="414"/>
      <c r="S82" s="490"/>
      <c r="T82" s="413"/>
      <c r="U82" s="451"/>
      <c r="V82" s="569"/>
      <c r="W82" s="489"/>
      <c r="X82" s="451"/>
      <c r="Y82" s="451"/>
      <c r="Z82" s="569"/>
      <c r="AA82" s="489"/>
      <c r="AB82" s="451"/>
      <c r="AC82" s="451"/>
      <c r="AD82" s="569"/>
      <c r="AE82" s="489"/>
      <c r="AF82" s="451"/>
      <c r="AG82" s="451"/>
      <c r="AH82" s="569"/>
      <c r="AI82" s="489"/>
      <c r="AJ82" s="451"/>
      <c r="AK82" s="451"/>
      <c r="AL82" s="569"/>
      <c r="AM82" s="365"/>
      <c r="AN82" s="399"/>
      <c r="AO82" s="399"/>
      <c r="AP82" s="399"/>
      <c r="AQ82" s="399"/>
      <c r="AR82" s="399"/>
      <c r="AS82" s="399"/>
      <c r="AT82" s="399"/>
      <c r="AU82" s="399"/>
    </row>
    <row r="83" spans="1:47">
      <c r="A83" s="801" t="s">
        <v>870</v>
      </c>
      <c r="B83" s="820">
        <v>89267</v>
      </c>
      <c r="C83" s="821">
        <v>83279</v>
      </c>
      <c r="D83" s="653">
        <v>83284</v>
      </c>
      <c r="E83" s="653">
        <v>81135</v>
      </c>
      <c r="F83" s="654">
        <v>85105</v>
      </c>
      <c r="G83" s="821">
        <v>79991</v>
      </c>
      <c r="H83" s="653">
        <v>85118</v>
      </c>
      <c r="I83" s="653">
        <v>98977</v>
      </c>
      <c r="J83" s="654">
        <v>82184</v>
      </c>
      <c r="K83" s="821">
        <v>245819.48093333855</v>
      </c>
      <c r="L83" s="653">
        <v>261802.55549518339</v>
      </c>
      <c r="M83" s="653">
        <v>238087</v>
      </c>
      <c r="N83" s="654">
        <v>273449</v>
      </c>
      <c r="O83" s="821">
        <v>200870</v>
      </c>
      <c r="P83" s="653">
        <v>217434</v>
      </c>
      <c r="Q83" s="653">
        <v>228137</v>
      </c>
      <c r="R83" s="654">
        <v>242822</v>
      </c>
      <c r="S83" s="821">
        <v>445199</v>
      </c>
      <c r="T83" s="653">
        <v>440573</v>
      </c>
      <c r="U83" s="653">
        <v>376843</v>
      </c>
      <c r="V83" s="654">
        <v>472127</v>
      </c>
      <c r="W83" s="821">
        <v>522634.99999999907</v>
      </c>
      <c r="X83" s="653">
        <v>430383</v>
      </c>
      <c r="Y83" s="653">
        <v>422744</v>
      </c>
      <c r="Z83" s="654">
        <v>428729</v>
      </c>
      <c r="AA83" s="821">
        <v>462117</v>
      </c>
      <c r="AB83" s="653">
        <v>445035</v>
      </c>
      <c r="AC83" s="653">
        <v>434526</v>
      </c>
      <c r="AD83" s="654">
        <v>432183</v>
      </c>
      <c r="AE83" s="821">
        <v>453571</v>
      </c>
      <c r="AF83" s="653">
        <v>0</v>
      </c>
      <c r="AG83" s="653">
        <v>0</v>
      </c>
      <c r="AH83" s="654">
        <v>0</v>
      </c>
      <c r="AI83" s="821">
        <v>0</v>
      </c>
      <c r="AJ83" s="653">
        <v>0</v>
      </c>
      <c r="AK83" s="653">
        <v>0</v>
      </c>
      <c r="AL83" s="654">
        <v>0</v>
      </c>
      <c r="AM83" s="365"/>
      <c r="AN83" s="653">
        <v>1786915</v>
      </c>
      <c r="AO83" s="653">
        <v>1784943</v>
      </c>
      <c r="AP83" s="653">
        <v>1773861</v>
      </c>
      <c r="AQ83" s="653">
        <v>453571</v>
      </c>
      <c r="AR83" s="653">
        <v>0</v>
      </c>
      <c r="AS83" s="653">
        <v>0</v>
      </c>
      <c r="AT83" s="653">
        <v>0</v>
      </c>
      <c r="AU83" s="653">
        <v>0</v>
      </c>
    </row>
    <row r="84" spans="1:47">
      <c r="A84" s="802"/>
      <c r="B84" s="679"/>
      <c r="C84" s="490"/>
      <c r="D84" s="413"/>
      <c r="E84" s="413"/>
      <c r="F84" s="414"/>
      <c r="G84" s="490"/>
      <c r="H84" s="413"/>
      <c r="I84" s="413"/>
      <c r="J84" s="414"/>
      <c r="K84" s="490"/>
      <c r="L84" s="413"/>
      <c r="M84" s="413"/>
      <c r="N84" s="414"/>
      <c r="O84" s="490"/>
      <c r="P84" s="413"/>
      <c r="Q84" s="413"/>
      <c r="R84" s="414"/>
      <c r="S84" s="490"/>
      <c r="T84" s="413"/>
      <c r="U84" s="413"/>
      <c r="V84" s="414"/>
      <c r="W84" s="490"/>
      <c r="X84" s="413"/>
      <c r="Y84" s="413"/>
      <c r="Z84" s="414"/>
      <c r="AA84" s="490"/>
      <c r="AB84" s="413"/>
      <c r="AC84" s="413"/>
      <c r="AD84" s="414"/>
      <c r="AE84" s="490"/>
      <c r="AF84" s="413"/>
      <c r="AG84" s="413"/>
      <c r="AH84" s="414"/>
      <c r="AI84" s="490"/>
      <c r="AJ84" s="413"/>
      <c r="AK84" s="413"/>
      <c r="AL84" s="414"/>
      <c r="AM84" s="365"/>
      <c r="AN84" s="399"/>
      <c r="AO84" s="399"/>
      <c r="AP84" s="399"/>
      <c r="AQ84" s="399"/>
      <c r="AR84" s="399"/>
      <c r="AS84" s="399"/>
      <c r="AT84" s="399"/>
      <c r="AU84" s="399"/>
    </row>
    <row r="85" spans="1:47">
      <c r="A85" s="784" t="s">
        <v>796</v>
      </c>
      <c r="B85" s="586"/>
      <c r="C85" s="489"/>
      <c r="D85" s="451"/>
      <c r="E85" s="451"/>
      <c r="F85" s="569"/>
      <c r="G85" s="489"/>
      <c r="H85" s="451"/>
      <c r="I85" s="451"/>
      <c r="J85" s="569"/>
      <c r="K85" s="489"/>
      <c r="L85" s="451"/>
      <c r="M85" s="451"/>
      <c r="N85" s="569"/>
      <c r="O85" s="489"/>
      <c r="P85" s="451"/>
      <c r="Q85" s="451"/>
      <c r="R85" s="569"/>
      <c r="S85" s="489"/>
      <c r="T85" s="451"/>
      <c r="U85" s="451"/>
      <c r="V85" s="569"/>
      <c r="W85" s="489"/>
      <c r="X85" s="451"/>
      <c r="Y85" s="451"/>
      <c r="Z85" s="569"/>
      <c r="AA85" s="489"/>
      <c r="AB85" s="451"/>
      <c r="AC85" s="451"/>
      <c r="AD85" s="569"/>
      <c r="AE85" s="489"/>
      <c r="AF85" s="451"/>
      <c r="AG85" s="451"/>
      <c r="AH85" s="569"/>
      <c r="AI85" s="489"/>
      <c r="AJ85" s="451"/>
      <c r="AK85" s="451"/>
      <c r="AL85" s="569"/>
      <c r="AM85" s="369"/>
      <c r="AN85" s="368"/>
      <c r="AO85" s="368"/>
      <c r="AP85" s="368"/>
      <c r="AQ85" s="368"/>
      <c r="AR85" s="368"/>
      <c r="AS85" s="368"/>
      <c r="AT85" s="368"/>
      <c r="AU85" s="368"/>
    </row>
    <row r="86" spans="1:47">
      <c r="A86" s="776" t="s">
        <v>481</v>
      </c>
      <c r="B86" s="679"/>
      <c r="C86" s="490"/>
      <c r="D86" s="451"/>
      <c r="E86" s="451"/>
      <c r="F86" s="569"/>
      <c r="G86" s="489"/>
      <c r="H86" s="451"/>
      <c r="I86" s="451"/>
      <c r="J86" s="569"/>
      <c r="K86" s="489"/>
      <c r="L86" s="451"/>
      <c r="M86" s="413"/>
      <c r="N86" s="414"/>
      <c r="O86" s="490"/>
      <c r="P86" s="413"/>
      <c r="Q86" s="413"/>
      <c r="R86" s="414"/>
      <c r="S86" s="490"/>
      <c r="T86" s="413"/>
      <c r="U86" s="451"/>
      <c r="V86" s="414"/>
      <c r="W86" s="490"/>
      <c r="X86" s="413"/>
      <c r="Y86" s="413"/>
      <c r="Z86" s="414"/>
      <c r="AA86" s="490"/>
      <c r="AB86" s="413"/>
      <c r="AC86" s="413"/>
      <c r="AD86" s="414"/>
      <c r="AE86" s="490"/>
      <c r="AF86" s="413"/>
      <c r="AG86" s="413"/>
      <c r="AH86" s="414"/>
      <c r="AI86" s="490"/>
      <c r="AJ86" s="413"/>
      <c r="AK86" s="413"/>
      <c r="AL86" s="414"/>
      <c r="AM86" s="365"/>
      <c r="AN86" s="399"/>
      <c r="AO86" s="399"/>
      <c r="AP86" s="399"/>
      <c r="AQ86" s="399"/>
      <c r="AR86" s="399"/>
      <c r="AS86" s="399"/>
      <c r="AT86" s="399"/>
      <c r="AU86" s="399"/>
    </row>
    <row r="87" spans="1:47">
      <c r="A87" s="132" t="s">
        <v>797</v>
      </c>
      <c r="B87" s="679">
        <v>144204</v>
      </c>
      <c r="C87" s="490">
        <v>142585</v>
      </c>
      <c r="D87" s="413">
        <v>138066</v>
      </c>
      <c r="E87" s="413">
        <v>134885</v>
      </c>
      <c r="F87" s="414">
        <v>133324</v>
      </c>
      <c r="G87" s="490">
        <v>132183</v>
      </c>
      <c r="H87" s="413">
        <v>130299</v>
      </c>
      <c r="I87" s="413">
        <v>130150</v>
      </c>
      <c r="J87" s="414">
        <v>130730</v>
      </c>
      <c r="K87" s="490">
        <v>326661</v>
      </c>
      <c r="L87" s="413">
        <v>319708</v>
      </c>
      <c r="M87" s="413">
        <v>319625</v>
      </c>
      <c r="N87" s="414">
        <v>318581</v>
      </c>
      <c r="O87" s="490">
        <v>316805</v>
      </c>
      <c r="P87" s="413">
        <v>316371</v>
      </c>
      <c r="Q87" s="413">
        <v>318736</v>
      </c>
      <c r="R87" s="414">
        <v>317503</v>
      </c>
      <c r="S87" s="490">
        <v>315341</v>
      </c>
      <c r="T87" s="413">
        <v>306100</v>
      </c>
      <c r="U87" s="413">
        <v>296900</v>
      </c>
      <c r="V87" s="414">
        <v>294800</v>
      </c>
      <c r="W87" s="490">
        <v>295300</v>
      </c>
      <c r="X87" s="413">
        <v>296700</v>
      </c>
      <c r="Y87" s="413">
        <v>298133</v>
      </c>
      <c r="Z87" s="414">
        <v>298580</v>
      </c>
      <c r="AA87" s="490">
        <v>299413</v>
      </c>
      <c r="AB87" s="413">
        <v>300058</v>
      </c>
      <c r="AC87" s="413">
        <v>300702</v>
      </c>
      <c r="AD87" s="414">
        <v>302301</v>
      </c>
      <c r="AE87" s="490">
        <v>303832</v>
      </c>
      <c r="AF87" s="413">
        <v>0</v>
      </c>
      <c r="AG87" s="413">
        <v>0</v>
      </c>
      <c r="AH87" s="414">
        <v>0</v>
      </c>
      <c r="AI87" s="490">
        <v>0</v>
      </c>
      <c r="AJ87" s="413">
        <v>0</v>
      </c>
      <c r="AK87" s="413">
        <v>0</v>
      </c>
      <c r="AL87" s="414">
        <v>0</v>
      </c>
      <c r="AM87" s="485"/>
      <c r="AN87" s="413">
        <v>303285.25</v>
      </c>
      <c r="AO87" s="413">
        <v>297178.25</v>
      </c>
      <c r="AP87" s="413">
        <v>300618.5</v>
      </c>
      <c r="AQ87" s="413">
        <v>303832</v>
      </c>
      <c r="AR87" s="413">
        <v>0</v>
      </c>
      <c r="AS87" s="413">
        <v>0</v>
      </c>
      <c r="AT87" s="413">
        <v>0</v>
      </c>
      <c r="AU87" s="413">
        <v>0</v>
      </c>
    </row>
    <row r="88" spans="1:47">
      <c r="A88" s="132" t="s">
        <v>798</v>
      </c>
      <c r="B88" s="679">
        <v>145354</v>
      </c>
      <c r="C88" s="490">
        <v>143347</v>
      </c>
      <c r="D88" s="413">
        <v>138889</v>
      </c>
      <c r="E88" s="413">
        <v>135737</v>
      </c>
      <c r="F88" s="414">
        <v>138368</v>
      </c>
      <c r="G88" s="490">
        <v>137169</v>
      </c>
      <c r="H88" s="413">
        <v>135345</v>
      </c>
      <c r="I88" s="413">
        <v>135916</v>
      </c>
      <c r="J88" s="414">
        <v>135917</v>
      </c>
      <c r="K88" s="490">
        <v>333459</v>
      </c>
      <c r="L88" s="413">
        <v>327136</v>
      </c>
      <c r="M88" s="413">
        <v>326633</v>
      </c>
      <c r="N88" s="414">
        <v>326293</v>
      </c>
      <c r="O88" s="490">
        <v>325096</v>
      </c>
      <c r="P88" s="413">
        <v>324153</v>
      </c>
      <c r="Q88" s="413">
        <v>324819.8</v>
      </c>
      <c r="R88" s="414">
        <v>323943</v>
      </c>
      <c r="S88" s="490">
        <v>317800</v>
      </c>
      <c r="T88" s="413">
        <v>308400</v>
      </c>
      <c r="U88" s="413">
        <v>298000</v>
      </c>
      <c r="V88" s="414">
        <v>294900</v>
      </c>
      <c r="W88" s="490">
        <v>295700</v>
      </c>
      <c r="X88" s="413">
        <v>297261.34999999998</v>
      </c>
      <c r="Y88" s="413">
        <v>298403</v>
      </c>
      <c r="Z88" s="414">
        <v>299300</v>
      </c>
      <c r="AA88" s="490">
        <v>299997</v>
      </c>
      <c r="AB88" s="413">
        <v>300605</v>
      </c>
      <c r="AC88" s="413">
        <v>301386</v>
      </c>
      <c r="AD88" s="414">
        <v>303201</v>
      </c>
      <c r="AE88" s="490">
        <v>304479</v>
      </c>
      <c r="AF88" s="413">
        <v>0</v>
      </c>
      <c r="AG88" s="413">
        <v>0</v>
      </c>
      <c r="AH88" s="414">
        <v>0</v>
      </c>
      <c r="AI88" s="490">
        <v>0</v>
      </c>
      <c r="AJ88" s="413">
        <v>0</v>
      </c>
      <c r="AK88" s="413">
        <v>0</v>
      </c>
      <c r="AL88" s="414">
        <v>0</v>
      </c>
      <c r="AM88" s="485"/>
      <c r="AN88" s="413">
        <v>304775</v>
      </c>
      <c r="AO88" s="413">
        <v>297666.08750000002</v>
      </c>
      <c r="AP88" s="413">
        <v>301297.25</v>
      </c>
      <c r="AQ88" s="413">
        <v>304479</v>
      </c>
      <c r="AR88" s="413">
        <v>0</v>
      </c>
      <c r="AS88" s="413">
        <v>0</v>
      </c>
      <c r="AT88" s="413">
        <v>0</v>
      </c>
      <c r="AU88" s="413">
        <v>0</v>
      </c>
    </row>
    <row r="89" spans="1:47">
      <c r="A89" s="826" t="s">
        <v>1144</v>
      </c>
      <c r="B89" s="820">
        <v>144204</v>
      </c>
      <c r="C89" s="821">
        <v>142585</v>
      </c>
      <c r="D89" s="653">
        <v>138066</v>
      </c>
      <c r="E89" s="653">
        <v>134885</v>
      </c>
      <c r="F89" s="654">
        <v>133324</v>
      </c>
      <c r="G89" s="821">
        <v>132183</v>
      </c>
      <c r="H89" s="653">
        <v>130299</v>
      </c>
      <c r="I89" s="653">
        <v>130150</v>
      </c>
      <c r="J89" s="654">
        <v>130730</v>
      </c>
      <c r="K89" s="821">
        <v>326661</v>
      </c>
      <c r="L89" s="653">
        <v>319708</v>
      </c>
      <c r="M89" s="653">
        <v>319625</v>
      </c>
      <c r="N89" s="654">
        <v>318581</v>
      </c>
      <c r="O89" s="821">
        <v>316805</v>
      </c>
      <c r="P89" s="653">
        <v>316371</v>
      </c>
      <c r="Q89" s="653">
        <v>318736</v>
      </c>
      <c r="R89" s="654">
        <v>317503</v>
      </c>
      <c r="S89" s="821">
        <v>608755.11840000004</v>
      </c>
      <c r="T89" s="653">
        <v>596017.72160000005</v>
      </c>
      <c r="U89" s="653">
        <v>581964.33279999997</v>
      </c>
      <c r="V89" s="654">
        <v>577153.01120000007</v>
      </c>
      <c r="W89" s="821">
        <v>578524.28159999999</v>
      </c>
      <c r="X89" s="653">
        <v>580899.21919999993</v>
      </c>
      <c r="Y89" s="653">
        <v>583002.14559999993</v>
      </c>
      <c r="Z89" s="654">
        <v>583998.7648</v>
      </c>
      <c r="AA89" s="821">
        <v>585479.22719999996</v>
      </c>
      <c r="AB89" s="653">
        <v>586810.79359999998</v>
      </c>
      <c r="AC89" s="653">
        <v>588036.19519999996</v>
      </c>
      <c r="AD89" s="654">
        <v>590999.50879999995</v>
      </c>
      <c r="AE89" s="821">
        <v>596887.1936</v>
      </c>
      <c r="AF89" s="653">
        <v>0</v>
      </c>
      <c r="AG89" s="653">
        <v>0</v>
      </c>
      <c r="AH89" s="654">
        <v>0</v>
      </c>
      <c r="AI89" s="821">
        <v>0</v>
      </c>
      <c r="AJ89" s="653">
        <v>0</v>
      </c>
      <c r="AK89" s="653">
        <v>0</v>
      </c>
      <c r="AL89" s="654">
        <v>0</v>
      </c>
      <c r="AM89" s="485"/>
      <c r="AN89" s="653">
        <v>593531.77799999993</v>
      </c>
      <c r="AO89" s="653">
        <v>580723.85</v>
      </c>
      <c r="AP89" s="653">
        <v>584164.1</v>
      </c>
      <c r="AQ89" s="653">
        <v>587377.6</v>
      </c>
      <c r="AR89" s="653">
        <v>0</v>
      </c>
      <c r="AS89" s="653">
        <v>0</v>
      </c>
      <c r="AT89" s="653">
        <v>0</v>
      </c>
      <c r="AU89" s="653">
        <v>0</v>
      </c>
    </row>
    <row r="90" spans="1:47">
      <c r="A90" s="225"/>
      <c r="B90" s="679"/>
      <c r="C90" s="490"/>
      <c r="D90" s="451"/>
      <c r="E90" s="451"/>
      <c r="F90" s="569"/>
      <c r="G90" s="489"/>
      <c r="H90" s="451"/>
      <c r="I90" s="451"/>
      <c r="J90" s="569"/>
      <c r="K90" s="489"/>
      <c r="L90" s="451"/>
      <c r="M90" s="413"/>
      <c r="N90" s="414"/>
      <c r="O90" s="490"/>
      <c r="P90" s="413"/>
      <c r="Q90" s="413"/>
      <c r="R90" s="414"/>
      <c r="S90" s="490"/>
      <c r="T90" s="413"/>
      <c r="U90" s="413"/>
      <c r="V90" s="414"/>
      <c r="W90" s="490"/>
      <c r="X90" s="413"/>
      <c r="Y90" s="413"/>
      <c r="Z90" s="414"/>
      <c r="AA90" s="490"/>
      <c r="AB90" s="413"/>
      <c r="AC90" s="413"/>
      <c r="AD90" s="414"/>
      <c r="AE90" s="490"/>
      <c r="AF90" s="413"/>
      <c r="AG90" s="413"/>
      <c r="AH90" s="414"/>
      <c r="AI90" s="490"/>
      <c r="AJ90" s="413"/>
      <c r="AK90" s="413"/>
      <c r="AL90" s="414"/>
      <c r="AM90" s="485"/>
      <c r="AN90" s="408"/>
      <c r="AO90" s="408"/>
      <c r="AP90" s="408"/>
      <c r="AQ90" s="408"/>
      <c r="AR90" s="408"/>
      <c r="AS90" s="408"/>
      <c r="AT90" s="408"/>
      <c r="AU90" s="408"/>
    </row>
    <row r="91" spans="1:47">
      <c r="A91" s="827" t="s">
        <v>590</v>
      </c>
      <c r="B91" s="679"/>
      <c r="C91" s="490"/>
      <c r="D91" s="451"/>
      <c r="E91" s="451"/>
      <c r="F91" s="569"/>
      <c r="G91" s="489"/>
      <c r="H91" s="451"/>
      <c r="I91" s="451"/>
      <c r="J91" s="569"/>
      <c r="K91" s="489"/>
      <c r="L91" s="451"/>
      <c r="M91" s="413"/>
      <c r="N91" s="414"/>
      <c r="O91" s="490"/>
      <c r="P91" s="413"/>
      <c r="Q91" s="413"/>
      <c r="R91" s="414"/>
      <c r="S91" s="490"/>
      <c r="T91" s="413"/>
      <c r="U91" s="413"/>
      <c r="V91" s="414"/>
      <c r="W91" s="490"/>
      <c r="X91" s="413"/>
      <c r="Y91" s="413"/>
      <c r="Z91" s="414"/>
      <c r="AA91" s="490"/>
      <c r="AB91" s="413"/>
      <c r="AC91" s="413"/>
      <c r="AD91" s="414"/>
      <c r="AE91" s="490"/>
      <c r="AF91" s="413"/>
      <c r="AG91" s="413"/>
      <c r="AH91" s="414"/>
      <c r="AI91" s="490"/>
      <c r="AJ91" s="413"/>
      <c r="AK91" s="413"/>
      <c r="AL91" s="414"/>
      <c r="AM91" s="485"/>
      <c r="AN91" s="408"/>
      <c r="AO91" s="408"/>
      <c r="AP91" s="408"/>
      <c r="AQ91" s="408"/>
      <c r="AR91" s="408"/>
      <c r="AS91" s="408"/>
      <c r="AT91" s="408"/>
      <c r="AU91" s="408"/>
    </row>
    <row r="92" spans="1:47">
      <c r="A92" s="132" t="s">
        <v>797</v>
      </c>
      <c r="B92" s="679"/>
      <c r="C92" s="490"/>
      <c r="D92" s="413"/>
      <c r="E92" s="413"/>
      <c r="F92" s="414"/>
      <c r="G92" s="490"/>
      <c r="H92" s="413"/>
      <c r="I92" s="413"/>
      <c r="J92" s="414"/>
      <c r="K92" s="490"/>
      <c r="L92" s="413"/>
      <c r="M92" s="413"/>
      <c r="N92" s="414"/>
      <c r="O92" s="490"/>
      <c r="P92" s="413"/>
      <c r="Q92" s="413"/>
      <c r="R92" s="569"/>
      <c r="S92" s="490">
        <v>1763306</v>
      </c>
      <c r="T92" s="413">
        <v>1742294</v>
      </c>
      <c r="U92" s="413">
        <v>1713127</v>
      </c>
      <c r="V92" s="414">
        <v>1696833</v>
      </c>
      <c r="W92" s="490">
        <v>1702069</v>
      </c>
      <c r="X92" s="413">
        <v>1707928</v>
      </c>
      <c r="Y92" s="413">
        <v>1711954</v>
      </c>
      <c r="Z92" s="414">
        <v>1715257</v>
      </c>
      <c r="AA92" s="490">
        <v>1719148</v>
      </c>
      <c r="AB92" s="413">
        <v>1723274</v>
      </c>
      <c r="AC92" s="413">
        <v>1726768</v>
      </c>
      <c r="AD92" s="414">
        <v>1734967</v>
      </c>
      <c r="AE92" s="490">
        <v>1761149</v>
      </c>
      <c r="AF92" s="413">
        <v>0</v>
      </c>
      <c r="AG92" s="413">
        <v>0</v>
      </c>
      <c r="AH92" s="414">
        <v>0</v>
      </c>
      <c r="AI92" s="490">
        <v>0</v>
      </c>
      <c r="AJ92" s="413">
        <v>0</v>
      </c>
      <c r="AK92" s="413">
        <v>0</v>
      </c>
      <c r="AL92" s="414">
        <v>0</v>
      </c>
      <c r="AM92" s="485"/>
      <c r="AN92" s="413">
        <v>1744270</v>
      </c>
      <c r="AO92" s="413">
        <v>1704000</v>
      </c>
      <c r="AP92" s="413">
        <v>1704000</v>
      </c>
      <c r="AQ92" s="413">
        <v>1704000</v>
      </c>
      <c r="AR92" s="413">
        <v>0</v>
      </c>
      <c r="AS92" s="413">
        <v>0</v>
      </c>
      <c r="AT92" s="413">
        <v>0</v>
      </c>
      <c r="AU92" s="413">
        <v>0</v>
      </c>
    </row>
    <row r="93" spans="1:47">
      <c r="A93" s="132" t="s">
        <v>798</v>
      </c>
      <c r="B93" s="679"/>
      <c r="C93" s="490"/>
      <c r="D93" s="413"/>
      <c r="E93" s="413"/>
      <c r="F93" s="414"/>
      <c r="G93" s="490"/>
      <c r="H93" s="413"/>
      <c r="I93" s="413"/>
      <c r="J93" s="414"/>
      <c r="K93" s="490"/>
      <c r="L93" s="413"/>
      <c r="M93" s="413"/>
      <c r="N93" s="414"/>
      <c r="O93" s="490"/>
      <c r="P93" s="413"/>
      <c r="Q93" s="413"/>
      <c r="R93" s="569"/>
      <c r="S93" s="490">
        <v>1769165</v>
      </c>
      <c r="T93" s="413">
        <v>1744961</v>
      </c>
      <c r="U93" s="413">
        <v>1713745</v>
      </c>
      <c r="V93" s="414">
        <v>1697665</v>
      </c>
      <c r="W93" s="490">
        <v>1706822</v>
      </c>
      <c r="X93" s="413">
        <v>1722770</v>
      </c>
      <c r="Y93" s="413">
        <v>1719502</v>
      </c>
      <c r="Z93" s="414">
        <v>1720551</v>
      </c>
      <c r="AA93" s="490">
        <v>1739405</v>
      </c>
      <c r="AB93" s="413">
        <v>1761489</v>
      </c>
      <c r="AC93" s="413">
        <v>1726768</v>
      </c>
      <c r="AD93" s="414">
        <v>1734967</v>
      </c>
      <c r="AE93" s="490">
        <v>1775729</v>
      </c>
      <c r="AF93" s="413">
        <v>0</v>
      </c>
      <c r="AG93" s="413">
        <v>0</v>
      </c>
      <c r="AH93" s="414">
        <v>0</v>
      </c>
      <c r="AI93" s="490">
        <v>0</v>
      </c>
      <c r="AJ93" s="413">
        <v>0</v>
      </c>
      <c r="AK93" s="413">
        <v>0</v>
      </c>
      <c r="AL93" s="414">
        <v>0</v>
      </c>
      <c r="AM93" s="485"/>
      <c r="AN93" s="413">
        <v>1746764</v>
      </c>
      <c r="AO93" s="413">
        <v>1712109.25</v>
      </c>
      <c r="AP93" s="413">
        <v>1718618</v>
      </c>
      <c r="AQ93" s="413">
        <v>1718580</v>
      </c>
      <c r="AR93" s="413">
        <v>0</v>
      </c>
      <c r="AS93" s="413">
        <v>0</v>
      </c>
      <c r="AT93" s="413">
        <v>0</v>
      </c>
      <c r="AU93" s="413">
        <v>0</v>
      </c>
    </row>
    <row r="94" spans="1:47">
      <c r="A94" s="826" t="s">
        <v>677</v>
      </c>
      <c r="B94" s="820">
        <v>145354</v>
      </c>
      <c r="C94" s="821">
        <v>143347</v>
      </c>
      <c r="D94" s="653">
        <v>138889</v>
      </c>
      <c r="E94" s="653">
        <v>135737</v>
      </c>
      <c r="F94" s="654">
        <v>138368</v>
      </c>
      <c r="G94" s="821">
        <v>137169</v>
      </c>
      <c r="H94" s="653">
        <v>135345</v>
      </c>
      <c r="I94" s="653">
        <v>135916</v>
      </c>
      <c r="J94" s="654">
        <v>135917</v>
      </c>
      <c r="K94" s="821">
        <v>333459</v>
      </c>
      <c r="L94" s="653">
        <v>327136</v>
      </c>
      <c r="M94" s="653">
        <v>326633</v>
      </c>
      <c r="N94" s="654">
        <v>326293</v>
      </c>
      <c r="O94" s="821">
        <v>325096</v>
      </c>
      <c r="P94" s="653">
        <v>324153</v>
      </c>
      <c r="Q94" s="653">
        <v>324819.8</v>
      </c>
      <c r="R94" s="654">
        <v>323943</v>
      </c>
      <c r="S94" s="821">
        <v>612189.05599999998</v>
      </c>
      <c r="T94" s="653">
        <v>598761.51040000003</v>
      </c>
      <c r="U94" s="653">
        <v>583167.16800000006</v>
      </c>
      <c r="V94" s="654">
        <v>577391.45600000001</v>
      </c>
      <c r="W94" s="821">
        <v>579715.18079999997</v>
      </c>
      <c r="X94" s="653">
        <v>583930.27799999993</v>
      </c>
      <c r="Y94" s="653">
        <v>584528.13280000002</v>
      </c>
      <c r="Z94" s="654">
        <v>585599.68640000001</v>
      </c>
      <c r="AA94" s="821">
        <v>589433.99199999997</v>
      </c>
      <c r="AB94" s="653">
        <v>593716.7696</v>
      </c>
      <c r="AC94" s="653">
        <v>588720.19519999996</v>
      </c>
      <c r="AD94" s="654">
        <v>591899.50879999995</v>
      </c>
      <c r="AE94" s="821">
        <v>599960.30559999996</v>
      </c>
      <c r="AF94" s="653">
        <v>0</v>
      </c>
      <c r="AG94" s="653">
        <v>0</v>
      </c>
      <c r="AH94" s="654">
        <v>0</v>
      </c>
      <c r="AI94" s="821">
        <v>0</v>
      </c>
      <c r="AJ94" s="653">
        <v>0</v>
      </c>
      <c r="AK94" s="653">
        <v>0</v>
      </c>
      <c r="AL94" s="654">
        <v>0</v>
      </c>
      <c r="AM94" s="485"/>
      <c r="AN94" s="653">
        <v>595436.52960000001</v>
      </c>
      <c r="AO94" s="653">
        <v>582561.06670000008</v>
      </c>
      <c r="AP94" s="653">
        <v>587275.28520000004</v>
      </c>
      <c r="AQ94" s="653">
        <v>590450.71200000006</v>
      </c>
      <c r="AR94" s="653">
        <v>0</v>
      </c>
      <c r="AS94" s="653">
        <v>0</v>
      </c>
      <c r="AT94" s="653">
        <v>0</v>
      </c>
      <c r="AU94" s="653">
        <v>0</v>
      </c>
    </row>
    <row r="95" spans="1:47">
      <c r="A95" s="225"/>
      <c r="B95" s="679"/>
      <c r="C95" s="490"/>
      <c r="D95" s="413"/>
      <c r="E95" s="413"/>
      <c r="F95" s="414"/>
      <c r="G95" s="490"/>
      <c r="H95" s="413"/>
      <c r="I95" s="413"/>
      <c r="J95" s="414"/>
      <c r="K95" s="490"/>
      <c r="L95" s="413"/>
      <c r="M95" s="413"/>
      <c r="N95" s="414"/>
      <c r="O95" s="490"/>
      <c r="P95" s="413"/>
      <c r="Q95" s="413"/>
      <c r="R95" s="414"/>
      <c r="S95" s="490"/>
      <c r="T95" s="413"/>
      <c r="U95" s="413"/>
      <c r="V95" s="414"/>
      <c r="W95" s="490"/>
      <c r="X95" s="413"/>
      <c r="Y95" s="413"/>
      <c r="Z95" s="414"/>
      <c r="AA95" s="490"/>
      <c r="AB95" s="413"/>
      <c r="AC95" s="413"/>
      <c r="AD95" s="414"/>
      <c r="AE95" s="490"/>
      <c r="AF95" s="413"/>
      <c r="AG95" s="413"/>
      <c r="AH95" s="414"/>
      <c r="AI95" s="490"/>
      <c r="AJ95" s="413"/>
      <c r="AK95" s="413"/>
      <c r="AL95" s="414"/>
      <c r="AM95" s="485"/>
      <c r="AN95" s="413"/>
      <c r="AO95" s="413"/>
      <c r="AP95" s="413"/>
      <c r="AQ95" s="413"/>
      <c r="AR95" s="413"/>
      <c r="AS95" s="413"/>
      <c r="AT95" s="413"/>
      <c r="AU95" s="413"/>
    </row>
    <row r="96" spans="1:47">
      <c r="A96" s="828" t="s">
        <v>871</v>
      </c>
      <c r="B96" s="829">
        <v>0.61413514591961693</v>
      </c>
      <c r="C96" s="830">
        <v>0.58096088512490673</v>
      </c>
      <c r="D96" s="831">
        <v>0.59964432028454373</v>
      </c>
      <c r="E96" s="831">
        <v>0.59773679984086869</v>
      </c>
      <c r="F96" s="832">
        <v>0.61506273126734501</v>
      </c>
      <c r="G96" s="830">
        <v>0.58315654411711104</v>
      </c>
      <c r="H96" s="831">
        <v>0.62889652369869598</v>
      </c>
      <c r="I96" s="831">
        <v>0.72822184290296943</v>
      </c>
      <c r="J96" s="832">
        <v>0.60466314000456156</v>
      </c>
      <c r="K96" s="830">
        <v>0.73718052574181103</v>
      </c>
      <c r="L96" s="831">
        <v>0.80028659485713405</v>
      </c>
      <c r="M96" s="831">
        <v>0.72891287775576874</v>
      </c>
      <c r="N96" s="832">
        <v>0.83804739911674475</v>
      </c>
      <c r="O96" s="830">
        <v>0.61787902650294069</v>
      </c>
      <c r="P96" s="831">
        <v>0.67077583733607282</v>
      </c>
      <c r="Q96" s="831">
        <v>0.70234942574313497</v>
      </c>
      <c r="R96" s="832">
        <v>0.74958248827725871</v>
      </c>
      <c r="S96" s="830">
        <v>0.72722469576457116</v>
      </c>
      <c r="T96" s="831">
        <v>0.73580714916975398</v>
      </c>
      <c r="U96" s="831">
        <v>0.64620064482093742</v>
      </c>
      <c r="V96" s="832">
        <v>0.81768961957067821</v>
      </c>
      <c r="W96" s="830">
        <v>0.90153754345154302</v>
      </c>
      <c r="X96" s="831">
        <v>0.73704518538427299</v>
      </c>
      <c r="Y96" s="831">
        <v>0.72322267531414863</v>
      </c>
      <c r="Z96" s="832">
        <v>0.73211958605311167</v>
      </c>
      <c r="AA96" s="830">
        <v>0.7840012728685658</v>
      </c>
      <c r="AB96" s="831">
        <v>0.74957458301174451</v>
      </c>
      <c r="AC96" s="831">
        <v>0.73808577239716211</v>
      </c>
      <c r="AD96" s="832">
        <v>0.73016279549918095</v>
      </c>
      <c r="AE96" s="830">
        <v>0.75600168172192495</v>
      </c>
      <c r="AF96" s="831"/>
      <c r="AG96" s="831"/>
      <c r="AH96" s="832"/>
      <c r="AI96" s="830"/>
      <c r="AJ96" s="831"/>
      <c r="AK96" s="831"/>
      <c r="AL96" s="832"/>
      <c r="AM96" s="833"/>
      <c r="AN96" s="831">
        <v>3.0010167518617084</v>
      </c>
      <c r="AO96" s="831">
        <v>3.0639586165808561</v>
      </c>
      <c r="AP96" s="831">
        <v>3.0204931906778629</v>
      </c>
      <c r="AQ96" s="831">
        <v>0.76817758160311944</v>
      </c>
      <c r="AR96" s="831"/>
      <c r="AS96" s="831"/>
      <c r="AT96" s="831"/>
      <c r="AU96" s="831"/>
    </row>
    <row r="97" spans="1:47">
      <c r="A97" s="834" t="s">
        <v>678</v>
      </c>
      <c r="B97" s="835"/>
      <c r="C97" s="836">
        <v>-5.4017850981373905E-2</v>
      </c>
      <c r="D97" s="837">
        <v>3.2159540578398982E-2</v>
      </c>
      <c r="E97" s="837">
        <v>-3.1810864860186694E-3</v>
      </c>
      <c r="F97" s="838">
        <v>2.8985887151483425E-2</v>
      </c>
      <c r="G97" s="836">
        <v>-5.1874687781018447E-2</v>
      </c>
      <c r="H97" s="837">
        <v>7.8435164696358584E-2</v>
      </c>
      <c r="I97" s="837">
        <v>0.15793586935433623</v>
      </c>
      <c r="J97" s="838">
        <v>-0.16967178903320979</v>
      </c>
      <c r="K97" s="836">
        <v>0.21915902751447658</v>
      </c>
      <c r="L97" s="837">
        <v>8.5604634023423998E-2</v>
      </c>
      <c r="M97" s="837">
        <v>-8.9185196353447349E-2</v>
      </c>
      <c r="N97" s="838">
        <v>0.14972231207793651</v>
      </c>
      <c r="O97" s="836">
        <v>-0.26271589512222016</v>
      </c>
      <c r="P97" s="837">
        <v>8.56103032538853E-2</v>
      </c>
      <c r="Q97" s="837">
        <v>4.7070253055706113E-2</v>
      </c>
      <c r="R97" s="838">
        <v>6.725009062853271E-2</v>
      </c>
      <c r="S97" s="836">
        <v>-2.9826994176547217E-2</v>
      </c>
      <c r="T97" s="837">
        <v>1.1801652852506006E-2</v>
      </c>
      <c r="U97" s="837">
        <v>-0.12177987730878104</v>
      </c>
      <c r="V97" s="838">
        <v>0.26538038320475588</v>
      </c>
      <c r="W97" s="836">
        <v>0.10254248295935131</v>
      </c>
      <c r="X97" s="837">
        <v>-0.18245757956735764</v>
      </c>
      <c r="Y97" s="837">
        <v>-1.8753952056436929E-2</v>
      </c>
      <c r="Z97" s="838">
        <v>1.2301758562946574E-2</v>
      </c>
      <c r="AA97" s="701"/>
      <c r="AB97" s="595"/>
      <c r="AC97" s="595"/>
      <c r="AD97" s="702"/>
      <c r="AE97" s="701"/>
      <c r="AF97" s="595"/>
      <c r="AG97" s="595"/>
      <c r="AH97" s="702"/>
      <c r="AI97" s="701"/>
      <c r="AJ97" s="595"/>
      <c r="AK97" s="595"/>
      <c r="AL97" s="702"/>
      <c r="AM97" s="839"/>
      <c r="AN97" s="840"/>
      <c r="AO97" s="840"/>
      <c r="AP97" s="840"/>
      <c r="AQ97" s="840"/>
      <c r="AR97" s="840"/>
      <c r="AS97" s="840"/>
      <c r="AT97" s="839"/>
      <c r="AU97" s="839"/>
    </row>
    <row r="98" spans="1:47">
      <c r="A98" s="132"/>
      <c r="B98" s="679"/>
      <c r="C98" s="490"/>
      <c r="D98" s="451"/>
      <c r="E98" s="451"/>
      <c r="F98" s="569"/>
      <c r="G98" s="489"/>
      <c r="H98" s="451"/>
      <c r="I98" s="451"/>
      <c r="J98" s="569"/>
      <c r="K98" s="489"/>
      <c r="L98" s="451"/>
      <c r="M98" s="413"/>
      <c r="N98" s="414"/>
      <c r="O98" s="490"/>
      <c r="P98" s="413"/>
      <c r="Q98" s="413"/>
      <c r="R98" s="414"/>
      <c r="S98" s="490"/>
      <c r="T98" s="413"/>
      <c r="U98" s="451"/>
      <c r="V98" s="414"/>
      <c r="W98" s="490"/>
      <c r="X98" s="413"/>
      <c r="Y98" s="413"/>
      <c r="Z98" s="414"/>
      <c r="AA98" s="490"/>
      <c r="AB98" s="413"/>
      <c r="AC98" s="413"/>
      <c r="AD98" s="414"/>
      <c r="AE98" s="490"/>
      <c r="AF98" s="413"/>
      <c r="AG98" s="413"/>
      <c r="AH98" s="414"/>
      <c r="AI98" s="490"/>
      <c r="AJ98" s="413"/>
      <c r="AK98" s="413"/>
      <c r="AL98" s="414"/>
      <c r="AM98" s="365"/>
      <c r="AN98" s="365"/>
      <c r="AO98" s="365"/>
      <c r="AP98" s="365"/>
      <c r="AQ98" s="365"/>
      <c r="AR98" s="365"/>
      <c r="AS98" s="365"/>
      <c r="AT98" s="365"/>
      <c r="AU98" s="365"/>
    </row>
    <row r="99" spans="1:47">
      <c r="A99" s="365"/>
      <c r="B99" s="679"/>
      <c r="C99" s="490"/>
      <c r="D99" s="413"/>
      <c r="E99" s="413"/>
      <c r="F99" s="414"/>
      <c r="G99" s="490"/>
      <c r="H99" s="413"/>
      <c r="I99" s="413"/>
      <c r="J99" s="414"/>
      <c r="K99" s="490"/>
      <c r="L99" s="413"/>
      <c r="M99" s="413"/>
      <c r="N99" s="414"/>
      <c r="O99" s="490"/>
      <c r="P99" s="413"/>
      <c r="Q99" s="413"/>
      <c r="R99" s="414"/>
      <c r="S99" s="490"/>
      <c r="T99" s="413"/>
      <c r="U99" s="413"/>
      <c r="V99" s="414"/>
      <c r="W99" s="490"/>
      <c r="X99" s="413"/>
      <c r="Y99" s="413"/>
      <c r="Z99" s="414"/>
      <c r="AA99" s="490"/>
      <c r="AB99" s="413"/>
      <c r="AC99" s="413"/>
      <c r="AD99" s="414"/>
      <c r="AE99" s="490"/>
      <c r="AF99" s="413"/>
      <c r="AG99" s="413"/>
      <c r="AH99" s="414"/>
      <c r="AI99" s="490"/>
      <c r="AJ99" s="413"/>
      <c r="AK99" s="413"/>
      <c r="AL99" s="414"/>
      <c r="AM99" s="841"/>
      <c r="AN99" s="841"/>
      <c r="AO99" s="841"/>
      <c r="AP99" s="841"/>
      <c r="AQ99" s="841"/>
      <c r="AR99" s="841"/>
      <c r="AS99" s="841"/>
      <c r="AT99" s="841"/>
      <c r="AU99" s="841"/>
    </row>
    <row r="100" spans="1:47">
      <c r="A100" s="776" t="s">
        <v>481</v>
      </c>
      <c r="B100" s="679"/>
      <c r="C100" s="490"/>
      <c r="D100" s="413"/>
      <c r="E100" s="413"/>
      <c r="F100" s="414"/>
      <c r="G100" s="490"/>
      <c r="H100" s="413"/>
      <c r="I100" s="413"/>
      <c r="J100" s="414"/>
      <c r="K100" s="490"/>
      <c r="L100" s="413"/>
      <c r="M100" s="413"/>
      <c r="N100" s="414"/>
      <c r="O100" s="490"/>
      <c r="P100" s="413"/>
      <c r="Q100" s="413"/>
      <c r="R100" s="414"/>
      <c r="S100" s="490"/>
      <c r="T100" s="413"/>
      <c r="U100" s="413"/>
      <c r="V100" s="414"/>
      <c r="W100" s="490"/>
      <c r="X100" s="413"/>
      <c r="Y100" s="413"/>
      <c r="Z100" s="414"/>
      <c r="AA100" s="490"/>
      <c r="AB100" s="413"/>
      <c r="AC100" s="413"/>
      <c r="AD100" s="414"/>
      <c r="AE100" s="490"/>
      <c r="AF100" s="413"/>
      <c r="AG100" s="413"/>
      <c r="AH100" s="414"/>
      <c r="AI100" s="490"/>
      <c r="AJ100" s="413"/>
      <c r="AK100" s="413"/>
      <c r="AL100" s="414"/>
      <c r="AM100" s="365"/>
      <c r="AN100" s="365"/>
      <c r="AO100" s="365"/>
      <c r="AP100" s="365"/>
      <c r="AQ100" s="365"/>
      <c r="AR100" s="365"/>
      <c r="AS100" s="365"/>
      <c r="AT100" s="365"/>
      <c r="AU100" s="365"/>
    </row>
    <row r="101" spans="1:47">
      <c r="A101" s="132" t="s">
        <v>1142</v>
      </c>
      <c r="B101" s="586">
        <v>7931.22</v>
      </c>
      <c r="C101" s="489">
        <v>8198.6375000000007</v>
      </c>
      <c r="D101" s="451">
        <v>7938.7950000000001</v>
      </c>
      <c r="E101" s="451">
        <v>7755.8875000000007</v>
      </c>
      <c r="F101" s="569">
        <v>7666.13</v>
      </c>
      <c r="G101" s="489">
        <v>7930.98</v>
      </c>
      <c r="H101" s="451">
        <v>7817.94</v>
      </c>
      <c r="I101" s="451">
        <v>7809</v>
      </c>
      <c r="J101" s="569">
        <v>7843.8</v>
      </c>
      <c r="K101" s="489">
        <v>7649.625</v>
      </c>
      <c r="L101" s="451">
        <v>7215.0625</v>
      </c>
      <c r="M101" s="451">
        <v>82201.3125</v>
      </c>
      <c r="N101" s="569">
        <v>82101.8125</v>
      </c>
      <c r="O101" s="489">
        <v>101092.015</v>
      </c>
      <c r="P101" s="451">
        <v>101921.325</v>
      </c>
      <c r="Q101" s="451">
        <v>102584.74</v>
      </c>
      <c r="R101" s="569">
        <v>102710.52</v>
      </c>
      <c r="S101" s="489">
        <v>220738.7</v>
      </c>
      <c r="T101" s="451">
        <v>214270</v>
      </c>
      <c r="U101" s="451">
        <v>207830</v>
      </c>
      <c r="V101" s="569">
        <v>206360</v>
      </c>
      <c r="W101" s="489">
        <v>206710</v>
      </c>
      <c r="X101" s="451">
        <v>207690</v>
      </c>
      <c r="Y101" s="451">
        <v>208693.1</v>
      </c>
      <c r="Z101" s="569">
        <v>209006</v>
      </c>
      <c r="AA101" s="489">
        <v>217074.42499999999</v>
      </c>
      <c r="AB101" s="451">
        <v>217542.05</v>
      </c>
      <c r="AC101" s="451">
        <v>218008.95</v>
      </c>
      <c r="AD101" s="569">
        <v>219168.22499999998</v>
      </c>
      <c r="AE101" s="489">
        <v>220278.2</v>
      </c>
      <c r="AF101" s="451">
        <v>0</v>
      </c>
      <c r="AG101" s="451">
        <v>0</v>
      </c>
      <c r="AH101" s="569">
        <v>0</v>
      </c>
      <c r="AI101" s="489">
        <v>0</v>
      </c>
      <c r="AJ101" s="451">
        <v>0</v>
      </c>
      <c r="AK101" s="451">
        <v>0</v>
      </c>
      <c r="AL101" s="569">
        <v>0</v>
      </c>
      <c r="AM101" s="369"/>
      <c r="AN101" s="451">
        <v>849198.7</v>
      </c>
      <c r="AO101" s="451">
        <v>832099.1</v>
      </c>
      <c r="AP101" s="451">
        <v>871793.65</v>
      </c>
      <c r="AQ101" s="451">
        <v>220278.2</v>
      </c>
      <c r="AR101" s="451">
        <v>0</v>
      </c>
      <c r="AS101" s="451">
        <v>0</v>
      </c>
      <c r="AT101" s="451">
        <v>0</v>
      </c>
      <c r="AU101" s="451">
        <v>0</v>
      </c>
    </row>
    <row r="102" spans="1:47">
      <c r="A102" s="817" t="s">
        <v>590</v>
      </c>
      <c r="B102" s="679"/>
      <c r="C102" s="490"/>
      <c r="D102" s="451"/>
      <c r="E102" s="451"/>
      <c r="F102" s="414"/>
      <c r="G102" s="490"/>
      <c r="H102" s="413"/>
      <c r="I102" s="413"/>
      <c r="J102" s="414"/>
      <c r="K102" s="490"/>
      <c r="L102" s="413"/>
      <c r="M102" s="451"/>
      <c r="N102" s="569"/>
      <c r="O102" s="489"/>
      <c r="P102" s="451"/>
      <c r="Q102" s="451"/>
      <c r="R102" s="569"/>
      <c r="S102" s="489"/>
      <c r="T102" s="451"/>
      <c r="U102" s="451"/>
      <c r="V102" s="414"/>
      <c r="W102" s="490"/>
      <c r="X102" s="573"/>
      <c r="Y102" s="573"/>
      <c r="Z102" s="574"/>
      <c r="AA102" s="567"/>
      <c r="AB102" s="573"/>
      <c r="AC102" s="573"/>
      <c r="AD102" s="574"/>
      <c r="AE102" s="567"/>
      <c r="AF102" s="573"/>
      <c r="AG102" s="573"/>
      <c r="AH102" s="574"/>
      <c r="AI102" s="567"/>
      <c r="AJ102" s="573"/>
      <c r="AK102" s="573"/>
      <c r="AL102" s="574"/>
      <c r="AM102" s="365"/>
      <c r="AN102" s="399"/>
      <c r="AO102" s="399"/>
      <c r="AP102" s="399"/>
      <c r="AQ102" s="399"/>
      <c r="AR102" s="399"/>
      <c r="AS102" s="399"/>
      <c r="AT102" s="399"/>
      <c r="AU102" s="399"/>
    </row>
    <row r="103" spans="1:47">
      <c r="A103" s="132" t="s">
        <v>1142</v>
      </c>
      <c r="B103" s="586"/>
      <c r="C103" s="489"/>
      <c r="D103" s="451"/>
      <c r="E103" s="451"/>
      <c r="F103" s="569"/>
      <c r="G103" s="489"/>
      <c r="H103" s="451"/>
      <c r="I103" s="451"/>
      <c r="J103" s="569"/>
      <c r="K103" s="489"/>
      <c r="L103" s="451"/>
      <c r="M103" s="451"/>
      <c r="N103" s="569"/>
      <c r="O103" s="489"/>
      <c r="P103" s="451"/>
      <c r="Q103" s="451"/>
      <c r="R103" s="569"/>
      <c r="S103" s="489">
        <v>142000</v>
      </c>
      <c r="T103" s="451">
        <v>139596.88</v>
      </c>
      <c r="U103" s="451">
        <v>137099.6</v>
      </c>
      <c r="V103" s="569">
        <v>135813.20000000001</v>
      </c>
      <c r="W103" s="489">
        <v>136545.76</v>
      </c>
      <c r="X103" s="451">
        <v>137821.6</v>
      </c>
      <c r="Y103" s="451">
        <v>137560.16</v>
      </c>
      <c r="Z103" s="569">
        <v>137644.07999999999</v>
      </c>
      <c r="AA103" s="489">
        <v>139152.4</v>
      </c>
      <c r="AB103" s="451">
        <v>140919.12</v>
      </c>
      <c r="AC103" s="451">
        <v>138141.44</v>
      </c>
      <c r="AD103" s="569">
        <v>138797.35999999999</v>
      </c>
      <c r="AE103" s="489">
        <v>142058.32</v>
      </c>
      <c r="AF103" s="451">
        <v>0</v>
      </c>
      <c r="AG103" s="451">
        <v>0</v>
      </c>
      <c r="AH103" s="569">
        <v>0</v>
      </c>
      <c r="AI103" s="489">
        <v>0</v>
      </c>
      <c r="AJ103" s="451">
        <v>0</v>
      </c>
      <c r="AK103" s="451">
        <v>0</v>
      </c>
      <c r="AL103" s="569">
        <v>0</v>
      </c>
      <c r="AM103" s="369"/>
      <c r="AN103" s="451">
        <v>558964.47999999998</v>
      </c>
      <c r="AO103" s="451">
        <v>547874.96</v>
      </c>
      <c r="AP103" s="451">
        <v>549957.76</v>
      </c>
      <c r="AQ103" s="451">
        <v>549945.59999999998</v>
      </c>
      <c r="AR103" s="451">
        <v>0</v>
      </c>
      <c r="AS103" s="451">
        <v>0</v>
      </c>
      <c r="AT103" s="451">
        <v>0</v>
      </c>
      <c r="AU103" s="451">
        <v>0</v>
      </c>
    </row>
    <row r="104" spans="1:47" ht="13.5" thickBot="1">
      <c r="A104" s="600" t="s">
        <v>1143</v>
      </c>
      <c r="B104" s="820">
        <v>7931.22</v>
      </c>
      <c r="C104" s="821">
        <v>8198.6375000000007</v>
      </c>
      <c r="D104" s="653">
        <v>7938.7950000000001</v>
      </c>
      <c r="E104" s="653">
        <v>7755.8875000000007</v>
      </c>
      <c r="F104" s="654">
        <v>7666.13</v>
      </c>
      <c r="G104" s="821">
        <v>7930.98</v>
      </c>
      <c r="H104" s="653">
        <v>7817.94</v>
      </c>
      <c r="I104" s="653">
        <v>7809</v>
      </c>
      <c r="J104" s="654">
        <v>7843.8</v>
      </c>
      <c r="K104" s="821">
        <v>7649.625</v>
      </c>
      <c r="L104" s="653">
        <v>7215.0625</v>
      </c>
      <c r="M104" s="653">
        <v>82201.3125</v>
      </c>
      <c r="N104" s="654">
        <v>82101.8125</v>
      </c>
      <c r="O104" s="821">
        <v>101092.015</v>
      </c>
      <c r="P104" s="653">
        <v>101921.325</v>
      </c>
      <c r="Q104" s="653">
        <v>102584.74</v>
      </c>
      <c r="R104" s="654">
        <v>102710.52</v>
      </c>
      <c r="S104" s="821">
        <v>362738.7</v>
      </c>
      <c r="T104" s="653">
        <v>353866.88</v>
      </c>
      <c r="U104" s="653">
        <v>344929.6</v>
      </c>
      <c r="V104" s="654">
        <v>342173.2</v>
      </c>
      <c r="W104" s="821">
        <v>343255.76</v>
      </c>
      <c r="X104" s="653">
        <v>345511.6</v>
      </c>
      <c r="Y104" s="653">
        <v>346253.26</v>
      </c>
      <c r="Z104" s="654">
        <v>346650.08</v>
      </c>
      <c r="AA104" s="821">
        <v>356226.82499999995</v>
      </c>
      <c r="AB104" s="653">
        <v>358461.17</v>
      </c>
      <c r="AC104" s="653">
        <v>356150.39</v>
      </c>
      <c r="AD104" s="654">
        <v>357965.58499999996</v>
      </c>
      <c r="AE104" s="821">
        <v>362336.52</v>
      </c>
      <c r="AF104" s="653">
        <v>0</v>
      </c>
      <c r="AG104" s="653">
        <v>0</v>
      </c>
      <c r="AH104" s="654">
        <v>0</v>
      </c>
      <c r="AI104" s="821">
        <v>0</v>
      </c>
      <c r="AJ104" s="653">
        <v>0</v>
      </c>
      <c r="AK104" s="653">
        <v>0</v>
      </c>
      <c r="AL104" s="654">
        <v>0</v>
      </c>
      <c r="AM104" s="365"/>
      <c r="AN104" s="653">
        <v>1408163.18</v>
      </c>
      <c r="AO104" s="653">
        <v>1379974.06</v>
      </c>
      <c r="AP104" s="653">
        <v>1421751.41</v>
      </c>
      <c r="AQ104" s="653">
        <v>770223.8</v>
      </c>
      <c r="AR104" s="653">
        <v>0</v>
      </c>
      <c r="AS104" s="653">
        <v>0</v>
      </c>
      <c r="AT104" s="653">
        <v>0</v>
      </c>
      <c r="AU104" s="653">
        <v>0</v>
      </c>
    </row>
    <row r="105" spans="1:47" ht="13.5" thickBot="1">
      <c r="A105" s="365"/>
      <c r="B105" s="679"/>
      <c r="C105" s="490"/>
      <c r="D105" s="451"/>
      <c r="E105" s="451"/>
      <c r="F105" s="414"/>
      <c r="G105" s="490"/>
      <c r="H105" s="413"/>
      <c r="I105" s="413"/>
      <c r="J105" s="414"/>
      <c r="K105" s="490"/>
      <c r="L105" s="413"/>
      <c r="M105" s="413"/>
      <c r="N105" s="414"/>
      <c r="O105" s="490"/>
      <c r="P105" s="413"/>
      <c r="Q105" s="413"/>
      <c r="R105" s="414"/>
      <c r="S105" s="490"/>
      <c r="T105" s="413"/>
      <c r="U105" s="413"/>
      <c r="V105" s="414"/>
      <c r="W105" s="490"/>
      <c r="X105" s="413"/>
      <c r="Y105" s="413"/>
      <c r="Z105" s="414"/>
      <c r="AA105" s="490"/>
      <c r="AB105" s="413"/>
      <c r="AC105" s="413"/>
      <c r="AD105" s="414"/>
      <c r="AE105" s="490"/>
      <c r="AF105" s="413"/>
      <c r="AG105" s="413"/>
      <c r="AH105" s="414"/>
      <c r="AI105" s="490"/>
      <c r="AJ105" s="413"/>
      <c r="AK105" s="413"/>
      <c r="AL105" s="414"/>
      <c r="AM105" s="842"/>
      <c r="AN105" s="409"/>
      <c r="AO105" s="409"/>
      <c r="AP105" s="409"/>
      <c r="AQ105" s="409"/>
      <c r="AR105" s="409"/>
      <c r="AS105" s="409"/>
      <c r="AT105" s="409"/>
      <c r="AU105" s="409"/>
    </row>
    <row r="106" spans="1:47" ht="13.5" thickBot="1">
      <c r="A106" s="364" t="s">
        <v>467</v>
      </c>
      <c r="B106" s="679"/>
      <c r="C106" s="490"/>
      <c r="D106" s="451"/>
      <c r="E106" s="451"/>
      <c r="F106" s="414"/>
      <c r="G106" s="490"/>
      <c r="H106" s="413"/>
      <c r="I106" s="413"/>
      <c r="J106" s="414"/>
      <c r="K106" s="490"/>
      <c r="L106" s="413"/>
      <c r="M106" s="413"/>
      <c r="N106" s="414"/>
      <c r="O106" s="490"/>
      <c r="P106" s="413"/>
      <c r="Q106" s="413"/>
      <c r="R106" s="414"/>
      <c r="S106" s="490"/>
      <c r="T106" s="413"/>
      <c r="U106" s="413"/>
      <c r="V106" s="414"/>
      <c r="W106" s="490"/>
      <c r="X106" s="413"/>
      <c r="Y106" s="413"/>
      <c r="Z106" s="414"/>
      <c r="AA106" s="490"/>
      <c r="AB106" s="413"/>
      <c r="AC106" s="413"/>
      <c r="AD106" s="414"/>
      <c r="AE106" s="490"/>
      <c r="AF106" s="413"/>
      <c r="AG106" s="413"/>
      <c r="AH106" s="414"/>
      <c r="AI106" s="490"/>
      <c r="AJ106" s="413"/>
      <c r="AK106" s="413"/>
      <c r="AL106" s="414"/>
      <c r="AM106" s="842"/>
      <c r="AN106" s="399"/>
      <c r="AO106" s="399"/>
      <c r="AP106" s="399"/>
      <c r="AQ106" s="399"/>
      <c r="AR106" s="399"/>
      <c r="AS106" s="399"/>
      <c r="AT106" s="399"/>
      <c r="AU106" s="399"/>
    </row>
    <row r="107" spans="1:47">
      <c r="A107" s="776" t="s">
        <v>481</v>
      </c>
      <c r="B107" s="586">
        <v>0</v>
      </c>
      <c r="C107" s="489">
        <v>0</v>
      </c>
      <c r="D107" s="451">
        <v>0</v>
      </c>
      <c r="E107" s="451">
        <v>0</v>
      </c>
      <c r="F107" s="569">
        <v>0</v>
      </c>
      <c r="G107" s="489">
        <v>132183</v>
      </c>
      <c r="H107" s="451">
        <v>130299</v>
      </c>
      <c r="I107" s="451">
        <v>130150</v>
      </c>
      <c r="J107" s="569">
        <v>130730</v>
      </c>
      <c r="K107" s="489">
        <v>326661</v>
      </c>
      <c r="L107" s="451">
        <v>319708</v>
      </c>
      <c r="M107" s="451">
        <v>319625</v>
      </c>
      <c r="N107" s="569">
        <v>318581</v>
      </c>
      <c r="O107" s="489">
        <v>316805</v>
      </c>
      <c r="P107" s="451">
        <v>316371</v>
      </c>
      <c r="Q107" s="451">
        <v>318736</v>
      </c>
      <c r="R107" s="569">
        <v>317503</v>
      </c>
      <c r="S107" s="489">
        <v>315341</v>
      </c>
      <c r="T107" s="451">
        <v>306100</v>
      </c>
      <c r="U107" s="451">
        <v>296900</v>
      </c>
      <c r="V107" s="569">
        <v>294800</v>
      </c>
      <c r="W107" s="489">
        <v>295300</v>
      </c>
      <c r="X107" s="451">
        <v>296700</v>
      </c>
      <c r="Y107" s="451">
        <v>298133</v>
      </c>
      <c r="Z107" s="569">
        <v>298580</v>
      </c>
      <c r="AA107" s="489">
        <v>298543.09674160142</v>
      </c>
      <c r="AB107" s="451">
        <v>298909.3255872695</v>
      </c>
      <c r="AC107" s="451">
        <v>299592.65471078554</v>
      </c>
      <c r="AD107" s="569">
        <v>301453.07400858804</v>
      </c>
      <c r="AE107" s="489">
        <v>301554.81687294773</v>
      </c>
      <c r="AF107" s="451">
        <v>0</v>
      </c>
      <c r="AG107" s="451">
        <v>0</v>
      </c>
      <c r="AH107" s="569">
        <v>0</v>
      </c>
      <c r="AI107" s="489">
        <v>0</v>
      </c>
      <c r="AJ107" s="451">
        <v>0</v>
      </c>
      <c r="AK107" s="451">
        <v>0</v>
      </c>
      <c r="AL107" s="569">
        <v>0</v>
      </c>
      <c r="AM107" s="843"/>
      <c r="AN107" s="451">
        <v>294800</v>
      </c>
      <c r="AO107" s="451">
        <v>298580</v>
      </c>
      <c r="AP107" s="451">
        <v>301453.07400858804</v>
      </c>
      <c r="AQ107" s="451">
        <v>301554.81687294773</v>
      </c>
      <c r="AR107" s="451">
        <v>0</v>
      </c>
      <c r="AS107" s="451">
        <v>0</v>
      </c>
      <c r="AT107" s="451">
        <v>0</v>
      </c>
      <c r="AU107" s="451">
        <v>0</v>
      </c>
    </row>
    <row r="108" spans="1:47">
      <c r="A108" s="817" t="s">
        <v>590</v>
      </c>
      <c r="B108" s="679"/>
      <c r="C108" s="490"/>
      <c r="D108" s="451"/>
      <c r="E108" s="451"/>
      <c r="F108" s="414"/>
      <c r="G108" s="490"/>
      <c r="H108" s="413"/>
      <c r="I108" s="413"/>
      <c r="J108" s="414"/>
      <c r="K108" s="490"/>
      <c r="L108" s="413"/>
      <c r="M108" s="413"/>
      <c r="N108" s="414"/>
      <c r="O108" s="490"/>
      <c r="P108" s="413"/>
      <c r="Q108" s="413"/>
      <c r="R108" s="414"/>
      <c r="S108" s="489">
        <v>1753082.9939999999</v>
      </c>
      <c r="T108" s="451">
        <v>1734678.42</v>
      </c>
      <c r="U108" s="451">
        <v>1688710.203</v>
      </c>
      <c r="V108" s="569">
        <v>1704000</v>
      </c>
      <c r="W108" s="489">
        <v>1704000</v>
      </c>
      <c r="X108" s="451">
        <v>1704000</v>
      </c>
      <c r="Y108" s="451">
        <v>1704000</v>
      </c>
      <c r="Z108" s="569">
        <v>1704000</v>
      </c>
      <c r="AA108" s="489">
        <v>1704000</v>
      </c>
      <c r="AB108" s="451">
        <v>1704000</v>
      </c>
      <c r="AC108" s="451">
        <v>1704000</v>
      </c>
      <c r="AD108" s="569">
        <v>1704000</v>
      </c>
      <c r="AE108" s="489">
        <v>1704000</v>
      </c>
      <c r="AF108" s="451">
        <v>0</v>
      </c>
      <c r="AG108" s="451">
        <v>0</v>
      </c>
      <c r="AH108" s="569">
        <v>0</v>
      </c>
      <c r="AI108" s="489">
        <v>0</v>
      </c>
      <c r="AJ108" s="451">
        <v>0</v>
      </c>
      <c r="AK108" s="451">
        <v>0</v>
      </c>
      <c r="AL108" s="569">
        <v>0</v>
      </c>
      <c r="AM108" s="365"/>
      <c r="AN108" s="451">
        <v>1704000</v>
      </c>
      <c r="AO108" s="451">
        <v>1704000</v>
      </c>
      <c r="AP108" s="451">
        <v>1704000</v>
      </c>
      <c r="AQ108" s="451">
        <v>1704000</v>
      </c>
      <c r="AR108" s="451">
        <v>0</v>
      </c>
      <c r="AS108" s="451">
        <v>0</v>
      </c>
      <c r="AT108" s="451">
        <v>0</v>
      </c>
      <c r="AU108" s="451">
        <v>0</v>
      </c>
    </row>
    <row r="109" spans="1:47">
      <c r="A109" s="600" t="s">
        <v>1143</v>
      </c>
      <c r="B109" s="820">
        <v>0</v>
      </c>
      <c r="C109" s="821">
        <v>0</v>
      </c>
      <c r="D109" s="653">
        <v>0</v>
      </c>
      <c r="E109" s="653">
        <v>0</v>
      </c>
      <c r="F109" s="654">
        <v>0</v>
      </c>
      <c r="G109" s="821">
        <v>132183</v>
      </c>
      <c r="H109" s="653">
        <v>130299</v>
      </c>
      <c r="I109" s="653">
        <v>130150</v>
      </c>
      <c r="J109" s="654">
        <v>130730</v>
      </c>
      <c r="K109" s="821">
        <v>326661</v>
      </c>
      <c r="L109" s="653">
        <v>319708</v>
      </c>
      <c r="M109" s="653">
        <v>319625</v>
      </c>
      <c r="N109" s="654">
        <v>318581</v>
      </c>
      <c r="O109" s="821">
        <v>316805</v>
      </c>
      <c r="P109" s="653">
        <v>316371</v>
      </c>
      <c r="Q109" s="653">
        <v>318736</v>
      </c>
      <c r="R109" s="654">
        <v>317503</v>
      </c>
      <c r="S109" s="821">
        <v>607054.01020159991</v>
      </c>
      <c r="T109" s="653">
        <v>594750.48908800003</v>
      </c>
      <c r="U109" s="653">
        <v>577901.37777919997</v>
      </c>
      <c r="V109" s="654">
        <v>578345.6</v>
      </c>
      <c r="W109" s="821">
        <v>578845.6</v>
      </c>
      <c r="X109" s="653">
        <v>580245.6</v>
      </c>
      <c r="Y109" s="653">
        <v>581678.6</v>
      </c>
      <c r="Z109" s="654">
        <v>582125.6</v>
      </c>
      <c r="AA109" s="821">
        <v>582088.69674160145</v>
      </c>
      <c r="AB109" s="653">
        <v>582454.92558726948</v>
      </c>
      <c r="AC109" s="653">
        <v>583138.25471078558</v>
      </c>
      <c r="AD109" s="654">
        <v>584998.67400858807</v>
      </c>
      <c r="AE109" s="821">
        <v>585100.41687294771</v>
      </c>
      <c r="AF109" s="653">
        <v>0</v>
      </c>
      <c r="AG109" s="653">
        <v>0</v>
      </c>
      <c r="AH109" s="654">
        <v>0</v>
      </c>
      <c r="AI109" s="821">
        <v>0</v>
      </c>
      <c r="AJ109" s="653">
        <v>0</v>
      </c>
      <c r="AK109" s="653">
        <v>0</v>
      </c>
      <c r="AL109" s="654">
        <v>0</v>
      </c>
      <c r="AM109" s="365"/>
      <c r="AN109" s="653">
        <v>578345.6</v>
      </c>
      <c r="AO109" s="653">
        <v>582125.6</v>
      </c>
      <c r="AP109" s="653">
        <v>584998.67400858807</v>
      </c>
      <c r="AQ109" s="653">
        <v>585100.41687294771</v>
      </c>
      <c r="AR109" s="653">
        <v>0</v>
      </c>
      <c r="AS109" s="653">
        <v>0</v>
      </c>
      <c r="AT109" s="653">
        <v>0</v>
      </c>
      <c r="AU109" s="653">
        <v>0</v>
      </c>
    </row>
    <row r="110" spans="1:47">
      <c r="A110" s="365"/>
      <c r="B110" s="679"/>
      <c r="C110" s="490"/>
      <c r="D110" s="451"/>
      <c r="E110" s="451"/>
      <c r="F110" s="414"/>
      <c r="G110" s="490"/>
      <c r="H110" s="413"/>
      <c r="I110" s="413"/>
      <c r="J110" s="414"/>
      <c r="K110" s="490"/>
      <c r="L110" s="413"/>
      <c r="M110" s="413"/>
      <c r="N110" s="414"/>
      <c r="O110" s="490"/>
      <c r="P110" s="413"/>
      <c r="Q110" s="413"/>
      <c r="R110" s="414"/>
      <c r="S110" s="490"/>
      <c r="T110" s="413"/>
      <c r="U110" s="413"/>
      <c r="V110" s="414"/>
      <c r="W110" s="490"/>
      <c r="X110" s="413"/>
      <c r="Y110" s="413"/>
      <c r="Z110" s="414"/>
      <c r="AA110" s="490"/>
      <c r="AB110" s="413"/>
      <c r="AC110" s="413"/>
      <c r="AD110" s="414"/>
      <c r="AE110" s="490"/>
      <c r="AF110" s="413"/>
      <c r="AG110" s="413"/>
      <c r="AH110" s="414"/>
      <c r="AI110" s="490"/>
      <c r="AJ110" s="413"/>
      <c r="AK110" s="413"/>
      <c r="AL110" s="414"/>
      <c r="AM110" s="365"/>
      <c r="AN110" s="365"/>
      <c r="AO110" s="365"/>
      <c r="AP110" s="365"/>
      <c r="AQ110" s="365"/>
      <c r="AR110" s="365"/>
      <c r="AS110" s="365"/>
      <c r="AT110" s="365"/>
      <c r="AU110" s="365"/>
    </row>
    <row r="111" spans="1:47">
      <c r="A111" s="365"/>
      <c r="B111" s="679"/>
      <c r="C111" s="490"/>
      <c r="D111" s="451"/>
      <c r="E111" s="451"/>
      <c r="F111" s="414"/>
      <c r="G111" s="490"/>
      <c r="H111" s="413"/>
      <c r="I111" s="413"/>
      <c r="J111" s="414"/>
      <c r="K111" s="490"/>
      <c r="L111" s="413"/>
      <c r="M111" s="413"/>
      <c r="N111" s="414"/>
      <c r="O111" s="490"/>
      <c r="P111" s="413"/>
      <c r="Q111" s="413"/>
      <c r="R111" s="414"/>
      <c r="S111" s="490"/>
      <c r="T111" s="413"/>
      <c r="U111" s="413"/>
      <c r="V111" s="414"/>
      <c r="W111" s="490"/>
      <c r="X111" s="413"/>
      <c r="Y111" s="413"/>
      <c r="Z111" s="414"/>
      <c r="AA111" s="490"/>
      <c r="AB111" s="413"/>
      <c r="AC111" s="413"/>
      <c r="AD111" s="414"/>
      <c r="AE111" s="490"/>
      <c r="AF111" s="413"/>
      <c r="AG111" s="413"/>
      <c r="AH111" s="414"/>
      <c r="AI111" s="490"/>
      <c r="AJ111" s="413"/>
      <c r="AK111" s="413"/>
      <c r="AL111" s="414"/>
      <c r="AM111" s="365"/>
      <c r="AN111" s="365"/>
      <c r="AO111" s="365"/>
      <c r="AP111" s="365"/>
      <c r="AQ111" s="365"/>
      <c r="AR111" s="365"/>
      <c r="AS111" s="365"/>
      <c r="AT111" s="365"/>
      <c r="AU111" s="365"/>
    </row>
    <row r="112" spans="1:47">
      <c r="A112" s="400" t="s">
        <v>468</v>
      </c>
      <c r="B112" s="679"/>
      <c r="C112" s="490"/>
      <c r="D112" s="451"/>
      <c r="E112" s="451"/>
      <c r="F112" s="414"/>
      <c r="G112" s="490"/>
      <c r="H112" s="413"/>
      <c r="I112" s="413"/>
      <c r="J112" s="414"/>
      <c r="K112" s="490"/>
      <c r="L112" s="413"/>
      <c r="M112" s="413"/>
      <c r="N112" s="414"/>
      <c r="O112" s="490"/>
      <c r="P112" s="413"/>
      <c r="Q112" s="413"/>
      <c r="R112" s="414"/>
      <c r="S112" s="490"/>
      <c r="T112" s="413"/>
      <c r="U112" s="413"/>
      <c r="V112" s="414"/>
      <c r="W112" s="490"/>
      <c r="X112" s="413"/>
      <c r="Y112" s="413"/>
      <c r="Z112" s="414"/>
      <c r="AA112" s="490"/>
      <c r="AB112" s="413"/>
      <c r="AC112" s="413"/>
      <c r="AD112" s="414"/>
      <c r="AE112" s="490"/>
      <c r="AF112" s="413"/>
      <c r="AG112" s="413"/>
      <c r="AH112" s="414"/>
      <c r="AI112" s="490"/>
      <c r="AJ112" s="413"/>
      <c r="AK112" s="413"/>
      <c r="AL112" s="414"/>
      <c r="AM112" s="365"/>
      <c r="AN112" s="365"/>
      <c r="AO112" s="365"/>
      <c r="AP112" s="365"/>
      <c r="AQ112" s="365"/>
      <c r="AR112" s="365"/>
      <c r="AS112" s="365"/>
      <c r="AT112" s="365"/>
      <c r="AU112" s="365"/>
    </row>
    <row r="113" spans="1:47">
      <c r="A113" s="844" t="s">
        <v>481</v>
      </c>
      <c r="B113" s="569"/>
      <c r="C113" s="489"/>
      <c r="D113" s="451"/>
      <c r="E113" s="451"/>
      <c r="F113" s="569"/>
      <c r="G113" s="489"/>
      <c r="H113" s="451"/>
      <c r="I113" s="451"/>
      <c r="J113" s="569"/>
      <c r="K113" s="489"/>
      <c r="L113" s="451"/>
      <c r="M113" s="451"/>
      <c r="N113" s="569"/>
      <c r="O113" s="489"/>
      <c r="P113" s="451"/>
      <c r="Q113" s="451"/>
      <c r="R113" s="569"/>
      <c r="S113" s="489"/>
      <c r="T113" s="451"/>
      <c r="U113" s="451"/>
      <c r="V113" s="569"/>
      <c r="W113" s="489"/>
      <c r="X113" s="451"/>
      <c r="Y113" s="451"/>
      <c r="Z113" s="569"/>
      <c r="AA113" s="489"/>
      <c r="AB113" s="451"/>
      <c r="AC113" s="451"/>
      <c r="AD113" s="569"/>
      <c r="AE113" s="489"/>
      <c r="AF113" s="451"/>
      <c r="AG113" s="451"/>
      <c r="AH113" s="569"/>
      <c r="AI113" s="489"/>
      <c r="AJ113" s="451"/>
      <c r="AK113" s="451"/>
      <c r="AL113" s="569"/>
      <c r="AM113" s="369"/>
      <c r="AN113" s="369"/>
      <c r="AO113" s="369"/>
      <c r="AP113" s="369"/>
      <c r="AQ113" s="369"/>
      <c r="AR113" s="369"/>
      <c r="AS113" s="369"/>
      <c r="AT113" s="369"/>
      <c r="AU113" s="369"/>
    </row>
    <row r="114" spans="1:47">
      <c r="A114" s="779" t="s">
        <v>1021</v>
      </c>
      <c r="B114" s="608"/>
      <c r="C114" s="610"/>
      <c r="D114" s="499"/>
      <c r="E114" s="499"/>
      <c r="F114" s="608"/>
      <c r="G114" s="610"/>
      <c r="H114" s="499"/>
      <c r="I114" s="499"/>
      <c r="J114" s="608"/>
      <c r="K114" s="610">
        <v>243.21415148727428</v>
      </c>
      <c r="L114" s="499">
        <v>340.6085554951834</v>
      </c>
      <c r="M114" s="499">
        <v>236.483</v>
      </c>
      <c r="N114" s="499">
        <v>266.233</v>
      </c>
      <c r="O114" s="610">
        <v>237.87</v>
      </c>
      <c r="P114" s="499">
        <v>254.434</v>
      </c>
      <c r="Q114" s="499">
        <v>265.137</v>
      </c>
      <c r="R114" s="499">
        <v>279.822</v>
      </c>
      <c r="S114" s="610">
        <v>300.76</v>
      </c>
      <c r="T114" s="499">
        <v>298.16699999999997</v>
      </c>
      <c r="U114" s="499">
        <v>244.733</v>
      </c>
      <c r="V114" s="499">
        <v>291.072</v>
      </c>
      <c r="W114" s="610">
        <v>241.154</v>
      </c>
      <c r="X114" s="499">
        <v>287.28500000000003</v>
      </c>
      <c r="Y114" s="499">
        <v>269.05200000000019</v>
      </c>
      <c r="Z114" s="499">
        <v>286.6880000000001</v>
      </c>
      <c r="AA114" s="610">
        <v>252.95699999999999</v>
      </c>
      <c r="AB114" s="499"/>
      <c r="AC114" s="499"/>
      <c r="AD114" s="608"/>
      <c r="AE114" s="610"/>
      <c r="AF114" s="499"/>
      <c r="AG114" s="499"/>
      <c r="AH114" s="608"/>
      <c r="AI114" s="610"/>
      <c r="AJ114" s="499"/>
      <c r="AK114" s="499"/>
      <c r="AL114" s="608"/>
      <c r="AM114" s="385"/>
      <c r="AN114" s="385"/>
      <c r="AO114" s="385"/>
      <c r="AP114" s="385"/>
      <c r="AQ114" s="385"/>
      <c r="AR114" s="385"/>
      <c r="AS114" s="385"/>
      <c r="AT114" s="385"/>
      <c r="AU114" s="385"/>
    </row>
    <row r="115" spans="1:47">
      <c r="A115" s="617" t="s">
        <v>1026</v>
      </c>
      <c r="B115" s="569"/>
      <c r="C115" s="489"/>
      <c r="D115" s="451"/>
      <c r="E115" s="451"/>
      <c r="F115" s="569"/>
      <c r="G115" s="489"/>
      <c r="H115" s="451"/>
      <c r="I115" s="451"/>
      <c r="J115" s="569"/>
      <c r="K115" s="489">
        <v>0</v>
      </c>
      <c r="L115" s="451">
        <v>0</v>
      </c>
      <c r="M115" s="451">
        <v>0</v>
      </c>
      <c r="N115" s="451">
        <v>0</v>
      </c>
      <c r="O115" s="489">
        <v>0</v>
      </c>
      <c r="P115" s="451">
        <v>0</v>
      </c>
      <c r="Q115" s="451">
        <v>0</v>
      </c>
      <c r="R115" s="451">
        <v>0</v>
      </c>
      <c r="S115" s="489">
        <v>0</v>
      </c>
      <c r="T115" s="451">
        <v>0</v>
      </c>
      <c r="U115" s="451">
        <v>0</v>
      </c>
      <c r="V115" s="451">
        <v>0</v>
      </c>
      <c r="W115" s="489">
        <v>0</v>
      </c>
      <c r="X115" s="451">
        <v>0</v>
      </c>
      <c r="Y115" s="451">
        <v>0</v>
      </c>
      <c r="Z115" s="451">
        <v>0</v>
      </c>
      <c r="AA115" s="489">
        <v>0</v>
      </c>
      <c r="AB115" s="451"/>
      <c r="AC115" s="451"/>
      <c r="AD115" s="569"/>
      <c r="AE115" s="489"/>
      <c r="AF115" s="451"/>
      <c r="AG115" s="451"/>
      <c r="AH115" s="569"/>
      <c r="AI115" s="489"/>
      <c r="AJ115" s="451"/>
      <c r="AK115" s="451"/>
      <c r="AL115" s="569"/>
      <c r="AM115" s="369"/>
      <c r="AN115" s="369"/>
      <c r="AO115" s="369"/>
      <c r="AP115" s="369"/>
      <c r="AQ115" s="369"/>
      <c r="AR115" s="369"/>
      <c r="AS115" s="369"/>
      <c r="AT115" s="369"/>
      <c r="AU115" s="369"/>
    </row>
    <row r="116" spans="1:47">
      <c r="A116" s="617" t="s">
        <v>1027</v>
      </c>
      <c r="B116" s="569"/>
      <c r="C116" s="489"/>
      <c r="D116" s="451"/>
      <c r="E116" s="451"/>
      <c r="F116" s="569"/>
      <c r="G116" s="489"/>
      <c r="H116" s="451"/>
      <c r="I116" s="451"/>
      <c r="J116" s="569"/>
      <c r="K116" s="489">
        <v>0</v>
      </c>
      <c r="L116" s="451">
        <v>0</v>
      </c>
      <c r="M116" s="451">
        <v>0</v>
      </c>
      <c r="N116" s="451">
        <v>0</v>
      </c>
      <c r="O116" s="489">
        <v>0</v>
      </c>
      <c r="P116" s="451">
        <v>0</v>
      </c>
      <c r="Q116" s="451">
        <v>0</v>
      </c>
      <c r="R116" s="451">
        <v>0</v>
      </c>
      <c r="S116" s="489">
        <v>0</v>
      </c>
      <c r="T116" s="451">
        <v>0</v>
      </c>
      <c r="U116" s="451">
        <v>0</v>
      </c>
      <c r="V116" s="451">
        <v>-19.734000000000002</v>
      </c>
      <c r="W116" s="489">
        <v>0</v>
      </c>
      <c r="X116" s="451">
        <v>0</v>
      </c>
      <c r="Y116" s="451">
        <v>0</v>
      </c>
      <c r="Z116" s="451">
        <v>0</v>
      </c>
      <c r="AA116" s="489">
        <v>0</v>
      </c>
      <c r="AB116" s="451"/>
      <c r="AC116" s="451"/>
      <c r="AD116" s="569"/>
      <c r="AE116" s="489"/>
      <c r="AF116" s="451"/>
      <c r="AG116" s="451"/>
      <c r="AH116" s="569"/>
      <c r="AI116" s="489"/>
      <c r="AJ116" s="451"/>
      <c r="AK116" s="451"/>
      <c r="AL116" s="569"/>
      <c r="AM116" s="365"/>
      <c r="AN116" s="365"/>
      <c r="AO116" s="365"/>
      <c r="AP116" s="365"/>
      <c r="AQ116" s="365"/>
      <c r="AR116" s="365"/>
      <c r="AS116" s="365"/>
      <c r="AT116" s="365"/>
      <c r="AU116" s="365"/>
    </row>
    <row r="117" spans="1:47">
      <c r="A117" s="617" t="s">
        <v>1028</v>
      </c>
      <c r="B117" s="569"/>
      <c r="C117" s="489"/>
      <c r="D117" s="451"/>
      <c r="E117" s="451"/>
      <c r="F117" s="569"/>
      <c r="G117" s="489"/>
      <c r="H117" s="451"/>
      <c r="I117" s="451"/>
      <c r="J117" s="569"/>
      <c r="K117" s="489">
        <v>0</v>
      </c>
      <c r="L117" s="451">
        <v>-78.805999999999997</v>
      </c>
      <c r="M117" s="451">
        <v>0</v>
      </c>
      <c r="N117" s="451">
        <v>0</v>
      </c>
      <c r="O117" s="489">
        <v>0</v>
      </c>
      <c r="P117" s="451">
        <v>0</v>
      </c>
      <c r="Q117" s="451">
        <v>0</v>
      </c>
      <c r="R117" s="451">
        <v>0</v>
      </c>
      <c r="S117" s="489">
        <v>0</v>
      </c>
      <c r="T117" s="451">
        <v>0</v>
      </c>
      <c r="U117" s="451">
        <v>0</v>
      </c>
      <c r="V117" s="451">
        <v>0</v>
      </c>
      <c r="W117" s="489">
        <v>0</v>
      </c>
      <c r="X117" s="451">
        <v>0</v>
      </c>
      <c r="Y117" s="451">
        <v>0</v>
      </c>
      <c r="Z117" s="451">
        <v>0</v>
      </c>
      <c r="AA117" s="489">
        <v>0</v>
      </c>
      <c r="AB117" s="451"/>
      <c r="AC117" s="451"/>
      <c r="AD117" s="569"/>
      <c r="AE117" s="489"/>
      <c r="AF117" s="451"/>
      <c r="AG117" s="451"/>
      <c r="AH117" s="569"/>
      <c r="AI117" s="489"/>
      <c r="AJ117" s="451"/>
      <c r="AK117" s="451"/>
      <c r="AL117" s="569"/>
      <c r="AM117" s="365"/>
      <c r="AN117" s="365"/>
      <c r="AO117" s="365"/>
      <c r="AP117" s="365"/>
      <c r="AQ117" s="365"/>
      <c r="AR117" s="365"/>
      <c r="AS117" s="365"/>
      <c r="AT117" s="365"/>
      <c r="AU117" s="365"/>
    </row>
    <row r="118" spans="1:47">
      <c r="A118" s="617" t="s">
        <v>1029</v>
      </c>
      <c r="B118" s="569"/>
      <c r="C118" s="489"/>
      <c r="D118" s="451"/>
      <c r="E118" s="451"/>
      <c r="F118" s="569"/>
      <c r="G118" s="489"/>
      <c r="H118" s="451"/>
      <c r="I118" s="451"/>
      <c r="J118" s="569"/>
      <c r="K118" s="489">
        <v>0</v>
      </c>
      <c r="L118" s="451">
        <v>0</v>
      </c>
      <c r="M118" s="451">
        <v>0</v>
      </c>
      <c r="N118" s="451">
        <v>0</v>
      </c>
      <c r="O118" s="489">
        <v>0</v>
      </c>
      <c r="P118" s="451">
        <v>0</v>
      </c>
      <c r="Q118" s="451">
        <v>0</v>
      </c>
      <c r="R118" s="451">
        <v>0</v>
      </c>
      <c r="S118" s="489">
        <v>0</v>
      </c>
      <c r="T118" s="451">
        <v>0</v>
      </c>
      <c r="U118" s="451">
        <v>0</v>
      </c>
      <c r="V118" s="451">
        <v>0</v>
      </c>
      <c r="W118" s="489">
        <v>0</v>
      </c>
      <c r="X118" s="451">
        <v>0</v>
      </c>
      <c r="Y118" s="451">
        <v>0</v>
      </c>
      <c r="Z118" s="451">
        <v>0</v>
      </c>
      <c r="AA118" s="489">
        <v>0</v>
      </c>
      <c r="AB118" s="451"/>
      <c r="AC118" s="451"/>
      <c r="AD118" s="569"/>
      <c r="AE118" s="489"/>
      <c r="AF118" s="451"/>
      <c r="AG118" s="451"/>
      <c r="AH118" s="569"/>
      <c r="AI118" s="489"/>
      <c r="AJ118" s="451"/>
      <c r="AK118" s="451"/>
      <c r="AL118" s="569"/>
      <c r="AM118" s="365"/>
      <c r="AN118" s="365"/>
      <c r="AO118" s="365"/>
      <c r="AP118" s="365"/>
      <c r="AQ118" s="365"/>
      <c r="AR118" s="365"/>
      <c r="AS118" s="365"/>
      <c r="AT118" s="365"/>
      <c r="AU118" s="365"/>
    </row>
    <row r="119" spans="1:47">
      <c r="A119" s="617" t="s">
        <v>1030</v>
      </c>
      <c r="B119" s="569"/>
      <c r="C119" s="489"/>
      <c r="D119" s="451"/>
      <c r="E119" s="451"/>
      <c r="F119" s="569"/>
      <c r="G119" s="489"/>
      <c r="H119" s="451"/>
      <c r="I119" s="451"/>
      <c r="J119" s="569"/>
      <c r="K119" s="489">
        <v>0</v>
      </c>
      <c r="L119" s="451">
        <v>0</v>
      </c>
      <c r="M119" s="451">
        <v>0</v>
      </c>
      <c r="N119" s="451">
        <v>7.2160000000000002</v>
      </c>
      <c r="O119" s="489">
        <v>0</v>
      </c>
      <c r="P119" s="451">
        <v>0</v>
      </c>
      <c r="Q119" s="451">
        <v>0</v>
      </c>
      <c r="R119" s="451">
        <v>0</v>
      </c>
      <c r="S119" s="489">
        <v>0</v>
      </c>
      <c r="T119" s="451">
        <v>0</v>
      </c>
      <c r="U119" s="451">
        <v>0</v>
      </c>
      <c r="V119" s="451">
        <v>0</v>
      </c>
      <c r="W119" s="489">
        <v>0</v>
      </c>
      <c r="X119" s="451">
        <v>0</v>
      </c>
      <c r="Y119" s="451">
        <v>0</v>
      </c>
      <c r="Z119" s="451">
        <v>0</v>
      </c>
      <c r="AA119" s="489">
        <v>0</v>
      </c>
      <c r="AB119" s="451"/>
      <c r="AC119" s="451"/>
      <c r="AD119" s="569"/>
      <c r="AE119" s="489"/>
      <c r="AF119" s="451"/>
      <c r="AG119" s="451"/>
      <c r="AH119" s="569"/>
      <c r="AI119" s="489"/>
      <c r="AJ119" s="451"/>
      <c r="AK119" s="451"/>
      <c r="AL119" s="569"/>
      <c r="AM119" s="365"/>
      <c r="AN119" s="365"/>
      <c r="AO119" s="365"/>
      <c r="AP119" s="365"/>
      <c r="AQ119" s="365"/>
      <c r="AR119" s="365"/>
      <c r="AS119" s="365"/>
      <c r="AT119" s="365"/>
      <c r="AU119" s="365"/>
    </row>
    <row r="120" spans="1:47">
      <c r="A120" s="617" t="s">
        <v>1031</v>
      </c>
      <c r="B120" s="569"/>
      <c r="C120" s="489"/>
      <c r="D120" s="451"/>
      <c r="E120" s="451"/>
      <c r="F120" s="569"/>
      <c r="G120" s="489"/>
      <c r="H120" s="451"/>
      <c r="I120" s="451"/>
      <c r="J120" s="569"/>
      <c r="K120" s="489">
        <v>0</v>
      </c>
      <c r="L120" s="451">
        <v>0</v>
      </c>
      <c r="M120" s="451">
        <v>0</v>
      </c>
      <c r="N120" s="451">
        <v>0</v>
      </c>
      <c r="O120" s="489">
        <v>0</v>
      </c>
      <c r="P120" s="451">
        <v>0</v>
      </c>
      <c r="Q120" s="451">
        <v>0</v>
      </c>
      <c r="R120" s="451">
        <v>0</v>
      </c>
      <c r="S120" s="489">
        <v>0</v>
      </c>
      <c r="T120" s="451">
        <v>0</v>
      </c>
      <c r="U120" s="451">
        <v>0</v>
      </c>
      <c r="V120" s="451">
        <v>0</v>
      </c>
      <c r="W120" s="489">
        <v>0</v>
      </c>
      <c r="X120" s="451">
        <v>0</v>
      </c>
      <c r="Y120" s="451">
        <v>0</v>
      </c>
      <c r="Z120" s="451">
        <v>0</v>
      </c>
      <c r="AA120" s="489">
        <v>0</v>
      </c>
      <c r="AB120" s="451"/>
      <c r="AC120" s="451"/>
      <c r="AD120" s="569"/>
      <c r="AE120" s="489"/>
      <c r="AF120" s="451"/>
      <c r="AG120" s="451"/>
      <c r="AH120" s="569"/>
      <c r="AI120" s="489"/>
      <c r="AJ120" s="451"/>
      <c r="AK120" s="451"/>
      <c r="AL120" s="569"/>
      <c r="AM120" s="365"/>
      <c r="AN120" s="365"/>
      <c r="AO120" s="365"/>
      <c r="AP120" s="365"/>
      <c r="AQ120" s="365"/>
      <c r="AR120" s="365"/>
      <c r="AS120" s="365"/>
      <c r="AT120" s="365"/>
      <c r="AU120" s="365"/>
    </row>
    <row r="121" spans="1:47">
      <c r="A121" s="617" t="s">
        <v>1032</v>
      </c>
      <c r="B121" s="569"/>
      <c r="C121" s="489"/>
      <c r="D121" s="451"/>
      <c r="E121" s="451"/>
      <c r="F121" s="569"/>
      <c r="G121" s="489"/>
      <c r="H121" s="451"/>
      <c r="I121" s="451"/>
      <c r="J121" s="569"/>
      <c r="K121" s="489">
        <v>2.996</v>
      </c>
      <c r="L121" s="451">
        <v>0</v>
      </c>
      <c r="M121" s="451">
        <v>1.6040000000000001</v>
      </c>
      <c r="N121" s="451">
        <v>0</v>
      </c>
      <c r="O121" s="489">
        <v>0</v>
      </c>
      <c r="P121" s="451">
        <v>0</v>
      </c>
      <c r="Q121" s="451">
        <v>0</v>
      </c>
      <c r="R121" s="451">
        <v>0</v>
      </c>
      <c r="S121" s="489">
        <v>0</v>
      </c>
      <c r="T121" s="451">
        <v>0</v>
      </c>
      <c r="U121" s="451">
        <v>0</v>
      </c>
      <c r="V121" s="451">
        <v>6.7060000000000004</v>
      </c>
      <c r="W121" s="489">
        <v>14.744</v>
      </c>
      <c r="X121" s="451">
        <v>0</v>
      </c>
      <c r="Y121" s="451">
        <v>0</v>
      </c>
      <c r="Z121" s="451">
        <v>0</v>
      </c>
      <c r="AA121" s="489">
        <v>0</v>
      </c>
      <c r="AB121" s="451"/>
      <c r="AC121" s="451"/>
      <c r="AD121" s="569"/>
      <c r="AE121" s="489"/>
      <c r="AF121" s="451"/>
      <c r="AG121" s="451"/>
      <c r="AH121" s="569"/>
      <c r="AI121" s="489"/>
      <c r="AJ121" s="451"/>
      <c r="AK121" s="451"/>
      <c r="AL121" s="569"/>
      <c r="AM121" s="365"/>
      <c r="AN121" s="365"/>
      <c r="AO121" s="365"/>
      <c r="AP121" s="365"/>
      <c r="AQ121" s="365"/>
      <c r="AR121" s="365"/>
      <c r="AS121" s="365"/>
      <c r="AT121" s="365"/>
      <c r="AU121" s="365"/>
    </row>
    <row r="122" spans="1:47">
      <c r="A122" s="617" t="s">
        <v>1033</v>
      </c>
      <c r="B122" s="569"/>
      <c r="C122" s="489"/>
      <c r="D122" s="451"/>
      <c r="E122" s="451"/>
      <c r="F122" s="569"/>
      <c r="G122" s="489"/>
      <c r="H122" s="451"/>
      <c r="I122" s="451"/>
      <c r="J122" s="569"/>
      <c r="K122" s="489">
        <v>-33.799999999999997</v>
      </c>
      <c r="L122" s="451">
        <v>-24.7</v>
      </c>
      <c r="M122" s="451">
        <v>-16.25</v>
      </c>
      <c r="N122" s="451">
        <v>-9.75</v>
      </c>
      <c r="O122" s="489">
        <v>-5.85</v>
      </c>
      <c r="P122" s="451">
        <v>-14.95</v>
      </c>
      <c r="Q122" s="451">
        <v>-13.65</v>
      </c>
      <c r="R122" s="451">
        <v>49.4</v>
      </c>
      <c r="S122" s="489">
        <v>-2.589</v>
      </c>
      <c r="T122" s="451">
        <v>-1.0049999999999999</v>
      </c>
      <c r="U122" s="451">
        <v>-2.0030000000000001</v>
      </c>
      <c r="V122" s="451">
        <v>0</v>
      </c>
      <c r="W122" s="489">
        <v>26</v>
      </c>
      <c r="X122" s="451">
        <v>0</v>
      </c>
      <c r="Y122" s="451">
        <v>0</v>
      </c>
      <c r="Z122" s="451">
        <v>0</v>
      </c>
      <c r="AA122" s="489">
        <v>0</v>
      </c>
      <c r="AB122" s="451"/>
      <c r="AC122" s="451"/>
      <c r="AD122" s="569"/>
      <c r="AE122" s="489"/>
      <c r="AF122" s="451"/>
      <c r="AG122" s="451"/>
      <c r="AH122" s="569"/>
      <c r="AI122" s="489"/>
      <c r="AJ122" s="451"/>
      <c r="AK122" s="451"/>
      <c r="AL122" s="569"/>
      <c r="AM122" s="365"/>
      <c r="AN122" s="365"/>
      <c r="AO122" s="365"/>
      <c r="AP122" s="365"/>
      <c r="AQ122" s="365"/>
      <c r="AR122" s="365"/>
      <c r="AS122" s="365"/>
      <c r="AT122" s="365"/>
      <c r="AU122" s="365"/>
    </row>
    <row r="123" spans="1:47">
      <c r="A123" s="845" t="s">
        <v>1034</v>
      </c>
      <c r="B123" s="608"/>
      <c r="C123" s="610"/>
      <c r="D123" s="499"/>
      <c r="E123" s="499"/>
      <c r="F123" s="608"/>
      <c r="G123" s="610"/>
      <c r="H123" s="499"/>
      <c r="I123" s="499"/>
      <c r="J123" s="608"/>
      <c r="K123" s="610">
        <v>-30.804000000000006</v>
      </c>
      <c r="L123" s="499">
        <v>-103.506</v>
      </c>
      <c r="M123" s="499">
        <v>-14.646000000000001</v>
      </c>
      <c r="N123" s="499">
        <v>-2.5339999999999998</v>
      </c>
      <c r="O123" s="610">
        <v>-5.85</v>
      </c>
      <c r="P123" s="499">
        <v>-14.95</v>
      </c>
      <c r="Q123" s="499">
        <v>-13.65</v>
      </c>
      <c r="R123" s="499">
        <v>49.4</v>
      </c>
      <c r="S123" s="610">
        <v>-2.589</v>
      </c>
      <c r="T123" s="499">
        <v>-1.0049999999999999</v>
      </c>
      <c r="U123" s="499">
        <v>-2.0030000000000001</v>
      </c>
      <c r="V123" s="499">
        <v>-13.028000000000002</v>
      </c>
      <c r="W123" s="610">
        <v>40.744</v>
      </c>
      <c r="X123" s="499">
        <v>0</v>
      </c>
      <c r="Y123" s="499">
        <v>0</v>
      </c>
      <c r="Z123" s="499">
        <v>0</v>
      </c>
      <c r="AA123" s="610">
        <v>0</v>
      </c>
      <c r="AB123" s="499"/>
      <c r="AC123" s="499"/>
      <c r="AD123" s="608"/>
      <c r="AE123" s="610"/>
      <c r="AF123" s="499"/>
      <c r="AG123" s="499"/>
      <c r="AH123" s="608"/>
      <c r="AI123" s="610"/>
      <c r="AJ123" s="499"/>
      <c r="AK123" s="499"/>
      <c r="AL123" s="608"/>
      <c r="AM123" s="385"/>
      <c r="AN123" s="385"/>
      <c r="AO123" s="385"/>
      <c r="AP123" s="385"/>
      <c r="AQ123" s="385"/>
      <c r="AR123" s="385"/>
      <c r="AS123" s="385"/>
      <c r="AT123" s="385"/>
      <c r="AU123" s="385"/>
    </row>
    <row r="124" spans="1:47">
      <c r="A124" s="608" t="s">
        <v>1035</v>
      </c>
      <c r="B124" s="608"/>
      <c r="C124" s="610"/>
      <c r="D124" s="499"/>
      <c r="E124" s="499"/>
      <c r="F124" s="608"/>
      <c r="G124" s="610"/>
      <c r="H124" s="499"/>
      <c r="I124" s="499"/>
      <c r="J124" s="608"/>
      <c r="K124" s="610">
        <v>212.41015148727428</v>
      </c>
      <c r="L124" s="499">
        <v>237.1025554951834</v>
      </c>
      <c r="M124" s="499">
        <v>221.83699999999999</v>
      </c>
      <c r="N124" s="499">
        <v>263.69900000000001</v>
      </c>
      <c r="O124" s="610">
        <v>232.02</v>
      </c>
      <c r="P124" s="499">
        <v>239.48400000000001</v>
      </c>
      <c r="Q124" s="499">
        <v>251.48699999999999</v>
      </c>
      <c r="R124" s="499">
        <v>329.22199999999998</v>
      </c>
      <c r="S124" s="610">
        <v>298.17099999999999</v>
      </c>
      <c r="T124" s="499">
        <v>297.16199999999998</v>
      </c>
      <c r="U124" s="499">
        <v>242.73</v>
      </c>
      <c r="V124" s="499">
        <v>278.04399999999998</v>
      </c>
      <c r="W124" s="610">
        <v>281.89800000000002</v>
      </c>
      <c r="X124" s="499">
        <v>287.28500000000003</v>
      </c>
      <c r="Y124" s="499">
        <v>269.05200000000019</v>
      </c>
      <c r="Z124" s="499">
        <v>286.6880000000001</v>
      </c>
      <c r="AA124" s="610">
        <v>252.95699999999999</v>
      </c>
      <c r="AB124" s="499"/>
      <c r="AC124" s="499"/>
      <c r="AD124" s="608"/>
      <c r="AE124" s="610"/>
      <c r="AF124" s="499"/>
      <c r="AG124" s="499"/>
      <c r="AH124" s="608"/>
      <c r="AI124" s="610"/>
      <c r="AJ124" s="499"/>
      <c r="AK124" s="499"/>
      <c r="AL124" s="608"/>
      <c r="AM124" s="385"/>
      <c r="AN124" s="385"/>
      <c r="AO124" s="385"/>
      <c r="AP124" s="385"/>
      <c r="AQ124" s="385"/>
      <c r="AR124" s="385"/>
      <c r="AS124" s="385"/>
      <c r="AT124" s="385"/>
      <c r="AU124" s="385"/>
    </row>
    <row r="125" spans="1:47">
      <c r="A125" s="702" t="s">
        <v>795</v>
      </c>
      <c r="B125" s="702"/>
      <c r="C125" s="701"/>
      <c r="D125" s="595"/>
      <c r="E125" s="595"/>
      <c r="F125" s="702"/>
      <c r="G125" s="701"/>
      <c r="H125" s="595"/>
      <c r="I125" s="595"/>
      <c r="J125" s="702"/>
      <c r="K125" s="701">
        <v>33.409329446064078</v>
      </c>
      <c r="L125" s="595">
        <v>24.700000000000074</v>
      </c>
      <c r="M125" s="595">
        <v>16.249999999999886</v>
      </c>
      <c r="N125" s="595">
        <v>9.7500000000000568</v>
      </c>
      <c r="O125" s="701">
        <v>-31.14999999999992</v>
      </c>
      <c r="P125" s="595">
        <v>-22.050000000000324</v>
      </c>
      <c r="Q125" s="595">
        <v>-23.349999999999852</v>
      </c>
      <c r="R125" s="595">
        <v>-86.399999999999864</v>
      </c>
      <c r="S125" s="701">
        <v>-30.55699999999996</v>
      </c>
      <c r="T125" s="595">
        <v>-38.589000000000112</v>
      </c>
      <c r="U125" s="595">
        <v>-30.657000000000153</v>
      </c>
      <c r="V125" s="595">
        <v>5.4740000000000464</v>
      </c>
      <c r="W125" s="701">
        <v>19.786999999999125</v>
      </c>
      <c r="X125" s="595">
        <v>0.29800000000000182</v>
      </c>
      <c r="Y125" s="595">
        <v>0.41199999999997772</v>
      </c>
      <c r="Z125" s="595">
        <v>0.44099999999997408</v>
      </c>
      <c r="AA125" s="701">
        <v>26.624999999999773</v>
      </c>
      <c r="AB125" s="595"/>
      <c r="AC125" s="595"/>
      <c r="AD125" s="702"/>
      <c r="AE125" s="701"/>
      <c r="AF125" s="595"/>
      <c r="AG125" s="595"/>
      <c r="AH125" s="702"/>
      <c r="AI125" s="701"/>
      <c r="AJ125" s="595"/>
      <c r="AK125" s="595"/>
      <c r="AL125" s="702"/>
      <c r="AM125" s="703"/>
      <c r="AN125" s="703"/>
      <c r="AO125" s="703"/>
      <c r="AP125" s="703"/>
      <c r="AQ125" s="703"/>
      <c r="AR125" s="703"/>
      <c r="AS125" s="703"/>
      <c r="AT125" s="703"/>
      <c r="AU125" s="703"/>
    </row>
    <row r="126" spans="1:47">
      <c r="A126" s="412"/>
      <c r="B126" s="569"/>
      <c r="C126" s="489"/>
      <c r="D126" s="451"/>
      <c r="E126" s="451"/>
      <c r="F126" s="569"/>
      <c r="G126" s="489"/>
      <c r="H126" s="451"/>
      <c r="I126" s="451"/>
      <c r="J126" s="569"/>
      <c r="K126" s="489"/>
      <c r="L126" s="451"/>
      <c r="M126" s="451"/>
      <c r="N126" s="569"/>
      <c r="O126" s="489"/>
      <c r="P126" s="451"/>
      <c r="Q126" s="451"/>
      <c r="R126" s="569"/>
      <c r="S126" s="489"/>
      <c r="T126" s="451"/>
      <c r="U126" s="451"/>
      <c r="V126" s="569"/>
      <c r="W126" s="489"/>
      <c r="X126" s="451"/>
      <c r="Y126" s="451"/>
      <c r="Z126" s="569"/>
      <c r="AA126" s="489"/>
      <c r="AB126" s="451"/>
      <c r="AC126" s="451"/>
      <c r="AD126" s="569"/>
      <c r="AE126" s="489"/>
      <c r="AF126" s="451"/>
      <c r="AG126" s="451"/>
      <c r="AH126" s="569"/>
      <c r="AI126" s="489"/>
      <c r="AJ126" s="451"/>
      <c r="AK126" s="451"/>
      <c r="AL126" s="569"/>
      <c r="AM126" s="365"/>
      <c r="AN126" s="365"/>
      <c r="AO126" s="365"/>
      <c r="AP126" s="365"/>
      <c r="AQ126" s="365"/>
      <c r="AR126" s="365"/>
      <c r="AS126" s="365"/>
      <c r="AT126" s="365"/>
      <c r="AU126" s="365"/>
    </row>
    <row r="127" spans="1:47">
      <c r="A127" s="846" t="s">
        <v>590</v>
      </c>
      <c r="B127" s="569"/>
      <c r="C127" s="489"/>
      <c r="D127" s="451"/>
      <c r="E127" s="451"/>
      <c r="F127" s="569"/>
      <c r="G127" s="489"/>
      <c r="H127" s="451"/>
      <c r="I127" s="451"/>
      <c r="J127" s="569"/>
      <c r="K127" s="489"/>
      <c r="L127" s="451"/>
      <c r="M127" s="451"/>
      <c r="N127" s="569"/>
      <c r="O127" s="489"/>
      <c r="P127" s="451"/>
      <c r="Q127" s="451"/>
      <c r="R127" s="569"/>
      <c r="S127" s="489"/>
      <c r="T127" s="451"/>
      <c r="U127" s="451"/>
      <c r="V127" s="569"/>
      <c r="W127" s="489"/>
      <c r="X127" s="451"/>
      <c r="Y127" s="451"/>
      <c r="Z127" s="569"/>
      <c r="AA127" s="489"/>
      <c r="AB127" s="451"/>
      <c r="AC127" s="451"/>
      <c r="AD127" s="569"/>
      <c r="AE127" s="489"/>
      <c r="AF127" s="451"/>
      <c r="AG127" s="451"/>
      <c r="AH127" s="569"/>
      <c r="AI127" s="489"/>
      <c r="AJ127" s="451"/>
      <c r="AK127" s="451"/>
      <c r="AL127" s="569"/>
      <c r="AM127" s="365"/>
      <c r="AN127" s="365"/>
      <c r="AO127" s="365"/>
      <c r="AP127" s="365"/>
      <c r="AQ127" s="365"/>
      <c r="AR127" s="365"/>
      <c r="AS127" s="365"/>
      <c r="AT127" s="365"/>
      <c r="AU127" s="365"/>
    </row>
    <row r="128" spans="1:47">
      <c r="A128" s="652" t="s">
        <v>1021</v>
      </c>
      <c r="B128" s="608"/>
      <c r="C128" s="610"/>
      <c r="D128" s="499"/>
      <c r="E128" s="499"/>
      <c r="F128" s="608"/>
      <c r="G128" s="610"/>
      <c r="H128" s="499"/>
      <c r="I128" s="499"/>
      <c r="J128" s="608"/>
      <c r="K128" s="610"/>
      <c r="L128" s="499"/>
      <c r="M128" s="499"/>
      <c r="N128" s="608"/>
      <c r="O128" s="610"/>
      <c r="P128" s="499"/>
      <c r="Q128" s="499"/>
      <c r="R128" s="608"/>
      <c r="S128" s="610">
        <v>150</v>
      </c>
      <c r="T128" s="499">
        <v>195</v>
      </c>
      <c r="U128" s="499">
        <v>151</v>
      </c>
      <c r="V128" s="499">
        <v>185</v>
      </c>
      <c r="W128" s="610">
        <v>206</v>
      </c>
      <c r="X128" s="499">
        <v>212</v>
      </c>
      <c r="Y128" s="499">
        <v>136</v>
      </c>
      <c r="Z128" s="499">
        <v>108</v>
      </c>
      <c r="AA128" s="610">
        <v>38</v>
      </c>
      <c r="AB128" s="499"/>
      <c r="AC128" s="499"/>
      <c r="AD128" s="608"/>
      <c r="AE128" s="610"/>
      <c r="AF128" s="499"/>
      <c r="AG128" s="499"/>
      <c r="AH128" s="608"/>
      <c r="AI128" s="610"/>
      <c r="AJ128" s="499"/>
      <c r="AK128" s="499"/>
      <c r="AL128" s="608"/>
      <c r="AM128" s="385"/>
      <c r="AN128" s="385"/>
      <c r="AO128" s="385"/>
      <c r="AP128" s="385"/>
      <c r="AQ128" s="385"/>
      <c r="AR128" s="385"/>
      <c r="AS128" s="385"/>
      <c r="AT128" s="385"/>
      <c r="AU128" s="385"/>
    </row>
    <row r="129" spans="1:47">
      <c r="A129" s="780" t="s">
        <v>564</v>
      </c>
      <c r="B129" s="586"/>
      <c r="C129" s="489"/>
      <c r="D129" s="451"/>
      <c r="E129" s="451"/>
      <c r="F129" s="569"/>
      <c r="G129" s="489"/>
      <c r="H129" s="451"/>
      <c r="I129" s="451"/>
      <c r="J129" s="569"/>
      <c r="K129" s="489"/>
      <c r="L129" s="451"/>
      <c r="M129" s="451"/>
      <c r="N129" s="569"/>
      <c r="O129" s="489"/>
      <c r="P129" s="451"/>
      <c r="Q129" s="451"/>
      <c r="R129" s="569"/>
      <c r="S129" s="489">
        <v>0</v>
      </c>
      <c r="T129" s="451">
        <v>0</v>
      </c>
      <c r="U129" s="451">
        <v>0</v>
      </c>
      <c r="V129" s="451">
        <v>0</v>
      </c>
      <c r="W129" s="489">
        <v>0</v>
      </c>
      <c r="X129" s="451">
        <v>0</v>
      </c>
      <c r="Y129" s="451">
        <v>0</v>
      </c>
      <c r="Z129" s="451">
        <v>0</v>
      </c>
      <c r="AA129" s="489">
        <v>0</v>
      </c>
      <c r="AB129" s="451"/>
      <c r="AC129" s="451"/>
      <c r="AD129" s="569"/>
      <c r="AE129" s="489"/>
      <c r="AF129" s="451"/>
      <c r="AG129" s="451"/>
      <c r="AH129" s="569"/>
      <c r="AI129" s="489"/>
      <c r="AJ129" s="451"/>
      <c r="AK129" s="451"/>
      <c r="AL129" s="569"/>
      <c r="AM129" s="365"/>
      <c r="AN129" s="365"/>
      <c r="AO129" s="365"/>
      <c r="AP129" s="365"/>
      <c r="AQ129" s="365"/>
      <c r="AR129" s="365"/>
      <c r="AS129" s="365"/>
      <c r="AT129" s="365"/>
      <c r="AU129" s="365"/>
    </row>
    <row r="130" spans="1:47">
      <c r="A130" s="780" t="s">
        <v>565</v>
      </c>
      <c r="B130" s="586"/>
      <c r="C130" s="489"/>
      <c r="D130" s="451"/>
      <c r="E130" s="451"/>
      <c r="F130" s="569"/>
      <c r="G130" s="489"/>
      <c r="H130" s="451"/>
      <c r="I130" s="451"/>
      <c r="J130" s="569"/>
      <c r="K130" s="489"/>
      <c r="L130" s="451"/>
      <c r="M130" s="451"/>
      <c r="N130" s="569"/>
      <c r="O130" s="489"/>
      <c r="P130" s="451"/>
      <c r="Q130" s="451"/>
      <c r="R130" s="569"/>
      <c r="S130" s="489">
        <v>-7</v>
      </c>
      <c r="T130" s="451">
        <v>-6</v>
      </c>
      <c r="U130" s="451">
        <v>-6</v>
      </c>
      <c r="V130" s="451">
        <v>-8</v>
      </c>
      <c r="W130" s="489">
        <v>0</v>
      </c>
      <c r="X130" s="451">
        <v>-83</v>
      </c>
      <c r="Y130" s="451">
        <v>0</v>
      </c>
      <c r="Z130" s="451">
        <v>0</v>
      </c>
      <c r="AA130" s="489">
        <v>113</v>
      </c>
      <c r="AB130" s="451"/>
      <c r="AC130" s="451"/>
      <c r="AD130" s="569"/>
      <c r="AE130" s="489"/>
      <c r="AF130" s="451"/>
      <c r="AG130" s="451"/>
      <c r="AH130" s="569"/>
      <c r="AI130" s="489"/>
      <c r="AJ130" s="451"/>
      <c r="AK130" s="451"/>
      <c r="AL130" s="569"/>
      <c r="AM130" s="365"/>
      <c r="AN130" s="365"/>
      <c r="AO130" s="365"/>
      <c r="AP130" s="365"/>
      <c r="AQ130" s="365"/>
      <c r="AR130" s="365"/>
      <c r="AS130" s="365"/>
      <c r="AT130" s="365"/>
      <c r="AU130" s="365"/>
    </row>
    <row r="131" spans="1:47">
      <c r="A131" s="780" t="s">
        <v>566</v>
      </c>
      <c r="B131" s="586"/>
      <c r="C131" s="489"/>
      <c r="D131" s="451"/>
      <c r="E131" s="451"/>
      <c r="F131" s="569"/>
      <c r="G131" s="489"/>
      <c r="H131" s="451"/>
      <c r="I131" s="451"/>
      <c r="J131" s="569"/>
      <c r="K131" s="489"/>
      <c r="L131" s="451"/>
      <c r="M131" s="451"/>
      <c r="N131" s="569"/>
      <c r="O131" s="489"/>
      <c r="P131" s="451"/>
      <c r="Q131" s="451"/>
      <c r="R131" s="569"/>
      <c r="S131" s="489">
        <v>0</v>
      </c>
      <c r="T131" s="451">
        <v>0</v>
      </c>
      <c r="U131" s="451">
        <v>0</v>
      </c>
      <c r="V131" s="451">
        <v>0</v>
      </c>
      <c r="W131" s="489">
        <v>0</v>
      </c>
      <c r="X131" s="451">
        <v>0</v>
      </c>
      <c r="Y131" s="451">
        <v>0</v>
      </c>
      <c r="Z131" s="451">
        <v>0</v>
      </c>
      <c r="AA131" s="489">
        <v>0</v>
      </c>
      <c r="AB131" s="451"/>
      <c r="AC131" s="451"/>
      <c r="AD131" s="569"/>
      <c r="AE131" s="489"/>
      <c r="AF131" s="451"/>
      <c r="AG131" s="451"/>
      <c r="AH131" s="569"/>
      <c r="AI131" s="489"/>
      <c r="AJ131" s="451"/>
      <c r="AK131" s="451"/>
      <c r="AL131" s="569"/>
      <c r="AM131" s="365"/>
      <c r="AN131" s="365"/>
      <c r="AO131" s="365"/>
      <c r="AP131" s="365"/>
      <c r="AQ131" s="365"/>
      <c r="AR131" s="365"/>
      <c r="AS131" s="365"/>
      <c r="AT131" s="365"/>
      <c r="AU131" s="365"/>
    </row>
    <row r="132" spans="1:47">
      <c r="A132" s="780" t="s">
        <v>567</v>
      </c>
      <c r="B132" s="586"/>
      <c r="C132" s="489"/>
      <c r="D132" s="451"/>
      <c r="E132" s="451"/>
      <c r="F132" s="569"/>
      <c r="G132" s="489"/>
      <c r="H132" s="451"/>
      <c r="I132" s="451"/>
      <c r="J132" s="569"/>
      <c r="K132" s="489"/>
      <c r="L132" s="451"/>
      <c r="M132" s="451"/>
      <c r="N132" s="569"/>
      <c r="O132" s="489"/>
      <c r="P132" s="451"/>
      <c r="Q132" s="451"/>
      <c r="R132" s="569"/>
      <c r="S132" s="489">
        <v>0</v>
      </c>
      <c r="T132" s="451">
        <v>0</v>
      </c>
      <c r="U132" s="451">
        <v>0</v>
      </c>
      <c r="V132" s="451">
        <v>0</v>
      </c>
      <c r="W132" s="489">
        <v>0</v>
      </c>
      <c r="X132" s="451">
        <v>0</v>
      </c>
      <c r="Y132" s="451">
        <v>0</v>
      </c>
      <c r="Z132" s="451">
        <v>0</v>
      </c>
      <c r="AA132" s="489">
        <v>0</v>
      </c>
      <c r="AB132" s="451"/>
      <c r="AC132" s="451"/>
      <c r="AD132" s="569"/>
      <c r="AE132" s="489"/>
      <c r="AF132" s="451"/>
      <c r="AG132" s="451"/>
      <c r="AH132" s="569"/>
      <c r="AI132" s="489"/>
      <c r="AJ132" s="451"/>
      <c r="AK132" s="451"/>
      <c r="AL132" s="569"/>
      <c r="AM132" s="365"/>
      <c r="AN132" s="365"/>
      <c r="AO132" s="365"/>
      <c r="AP132" s="365"/>
      <c r="AQ132" s="365"/>
      <c r="AR132" s="365"/>
      <c r="AS132" s="365"/>
      <c r="AT132" s="365"/>
      <c r="AU132" s="365"/>
    </row>
    <row r="133" spans="1:47">
      <c r="A133" s="780" t="s">
        <v>568</v>
      </c>
      <c r="B133" s="586"/>
      <c r="C133" s="489"/>
      <c r="D133" s="451"/>
      <c r="E133" s="451"/>
      <c r="F133" s="569"/>
      <c r="G133" s="489"/>
      <c r="H133" s="451"/>
      <c r="I133" s="451"/>
      <c r="J133" s="569"/>
      <c r="K133" s="489"/>
      <c r="L133" s="451"/>
      <c r="M133" s="451"/>
      <c r="N133" s="569"/>
      <c r="O133" s="489"/>
      <c r="P133" s="451"/>
      <c r="Q133" s="451"/>
      <c r="R133" s="569"/>
      <c r="S133" s="489">
        <v>0</v>
      </c>
      <c r="T133" s="451">
        <v>0</v>
      </c>
      <c r="U133" s="451">
        <v>0</v>
      </c>
      <c r="V133" s="451">
        <v>0</v>
      </c>
      <c r="W133" s="489">
        <v>0</v>
      </c>
      <c r="X133" s="451">
        <v>0</v>
      </c>
      <c r="Y133" s="451">
        <v>0</v>
      </c>
      <c r="Z133" s="451">
        <v>0</v>
      </c>
      <c r="AA133" s="489">
        <v>0</v>
      </c>
      <c r="AB133" s="451"/>
      <c r="AC133" s="451"/>
      <c r="AD133" s="569"/>
      <c r="AE133" s="489"/>
      <c r="AF133" s="451"/>
      <c r="AG133" s="451"/>
      <c r="AH133" s="569"/>
      <c r="AI133" s="489"/>
      <c r="AJ133" s="451"/>
      <c r="AK133" s="451"/>
      <c r="AL133" s="569"/>
      <c r="AM133" s="365"/>
      <c r="AN133" s="365"/>
      <c r="AO133" s="365"/>
      <c r="AP133" s="365"/>
      <c r="AQ133" s="365"/>
      <c r="AR133" s="365"/>
      <c r="AS133" s="365"/>
      <c r="AT133" s="365"/>
      <c r="AU133" s="365"/>
    </row>
    <row r="134" spans="1:47">
      <c r="A134" s="780" t="s">
        <v>569</v>
      </c>
      <c r="B134" s="586"/>
      <c r="C134" s="489"/>
      <c r="D134" s="451"/>
      <c r="E134" s="451"/>
      <c r="F134" s="569"/>
      <c r="G134" s="489"/>
      <c r="H134" s="451"/>
      <c r="I134" s="451"/>
      <c r="J134" s="569"/>
      <c r="K134" s="489"/>
      <c r="L134" s="451"/>
      <c r="M134" s="451"/>
      <c r="N134" s="569"/>
      <c r="O134" s="489"/>
      <c r="P134" s="451"/>
      <c r="Q134" s="451"/>
      <c r="R134" s="569"/>
      <c r="S134" s="489">
        <v>0</v>
      </c>
      <c r="T134" s="451">
        <v>0</v>
      </c>
      <c r="U134" s="451">
        <v>0</v>
      </c>
      <c r="V134" s="451">
        <v>0</v>
      </c>
      <c r="W134" s="489">
        <v>0</v>
      </c>
      <c r="X134" s="451">
        <v>0</v>
      </c>
      <c r="Y134" s="451">
        <v>10.24</v>
      </c>
      <c r="Z134" s="451">
        <v>0</v>
      </c>
      <c r="AA134" s="489">
        <v>0</v>
      </c>
      <c r="AB134" s="451"/>
      <c r="AC134" s="451"/>
      <c r="AD134" s="569"/>
      <c r="AE134" s="489"/>
      <c r="AF134" s="451"/>
      <c r="AG134" s="451"/>
      <c r="AH134" s="569"/>
      <c r="AI134" s="489"/>
      <c r="AJ134" s="451"/>
      <c r="AK134" s="451"/>
      <c r="AL134" s="569"/>
      <c r="AM134" s="365"/>
      <c r="AN134" s="365"/>
      <c r="AO134" s="365"/>
      <c r="AP134" s="365"/>
      <c r="AQ134" s="365"/>
      <c r="AR134" s="365"/>
      <c r="AS134" s="365"/>
      <c r="AT134" s="365"/>
      <c r="AU134" s="365"/>
    </row>
    <row r="135" spans="1:47">
      <c r="A135" s="780" t="s">
        <v>570</v>
      </c>
      <c r="B135" s="586"/>
      <c r="C135" s="489"/>
      <c r="D135" s="451"/>
      <c r="E135" s="451"/>
      <c r="F135" s="569"/>
      <c r="G135" s="489"/>
      <c r="H135" s="451"/>
      <c r="I135" s="451"/>
      <c r="J135" s="569"/>
      <c r="K135" s="489"/>
      <c r="L135" s="451"/>
      <c r="M135" s="451"/>
      <c r="N135" s="569"/>
      <c r="O135" s="489"/>
      <c r="P135" s="451"/>
      <c r="Q135" s="451"/>
      <c r="R135" s="569"/>
      <c r="S135" s="489">
        <v>0</v>
      </c>
      <c r="T135" s="451">
        <v>0</v>
      </c>
      <c r="U135" s="451">
        <v>0</v>
      </c>
      <c r="V135" s="451">
        <v>0</v>
      </c>
      <c r="W135" s="489">
        <v>0</v>
      </c>
      <c r="X135" s="451">
        <v>0</v>
      </c>
      <c r="Y135" s="451">
        <v>0</v>
      </c>
      <c r="Z135" s="451">
        <v>0</v>
      </c>
      <c r="AA135" s="489">
        <v>0</v>
      </c>
      <c r="AB135" s="451"/>
      <c r="AC135" s="451"/>
      <c r="AD135" s="569"/>
      <c r="AE135" s="489"/>
      <c r="AF135" s="451"/>
      <c r="AG135" s="451"/>
      <c r="AH135" s="569"/>
      <c r="AI135" s="489"/>
      <c r="AJ135" s="451"/>
      <c r="AK135" s="451"/>
      <c r="AL135" s="569"/>
      <c r="AM135" s="365"/>
      <c r="AN135" s="365"/>
      <c r="AO135" s="365"/>
      <c r="AP135" s="365"/>
      <c r="AQ135" s="365"/>
      <c r="AR135" s="365"/>
      <c r="AS135" s="365"/>
      <c r="AT135" s="365"/>
      <c r="AU135" s="365"/>
    </row>
    <row r="136" spans="1:47">
      <c r="A136" s="780" t="s">
        <v>679</v>
      </c>
      <c r="B136" s="586"/>
      <c r="C136" s="489"/>
      <c r="D136" s="451"/>
      <c r="E136" s="451"/>
      <c r="F136" s="569"/>
      <c r="G136" s="489"/>
      <c r="H136" s="451"/>
      <c r="I136" s="451"/>
      <c r="J136" s="569"/>
      <c r="K136" s="489"/>
      <c r="L136" s="451"/>
      <c r="M136" s="451"/>
      <c r="N136" s="569"/>
      <c r="O136" s="451"/>
      <c r="P136" s="451"/>
      <c r="Q136" s="451"/>
      <c r="R136" s="569"/>
      <c r="S136" s="451">
        <v>27.585000000000001</v>
      </c>
      <c r="T136" s="451">
        <v>0</v>
      </c>
      <c r="U136" s="451">
        <v>19.77</v>
      </c>
      <c r="V136" s="569">
        <v>11.609</v>
      </c>
      <c r="W136" s="451">
        <v>14.95</v>
      </c>
      <c r="X136" s="451">
        <v>13.8</v>
      </c>
      <c r="Y136" s="451">
        <v>7.04</v>
      </c>
      <c r="Z136" s="451">
        <v>33.6</v>
      </c>
      <c r="AA136" s="489">
        <v>31.535</v>
      </c>
      <c r="AB136" s="451"/>
      <c r="AC136" s="451"/>
      <c r="AD136" s="569"/>
      <c r="AE136" s="489"/>
      <c r="AF136" s="451"/>
      <c r="AG136" s="451"/>
      <c r="AH136" s="569"/>
      <c r="AI136" s="489"/>
      <c r="AJ136" s="451"/>
      <c r="AK136" s="451"/>
      <c r="AL136" s="569"/>
      <c r="AM136" s="365"/>
      <c r="AN136" s="365"/>
      <c r="AO136" s="365"/>
      <c r="AP136" s="365"/>
      <c r="AQ136" s="365"/>
      <c r="AR136" s="365"/>
      <c r="AS136" s="365"/>
      <c r="AT136" s="365"/>
      <c r="AU136" s="365"/>
    </row>
    <row r="137" spans="1:47">
      <c r="A137" s="847" t="s">
        <v>571</v>
      </c>
      <c r="B137" s="608"/>
      <c r="C137" s="499"/>
      <c r="D137" s="499"/>
      <c r="E137" s="499"/>
      <c r="F137" s="608"/>
      <c r="G137" s="499"/>
      <c r="H137" s="499"/>
      <c r="I137" s="499"/>
      <c r="J137" s="608"/>
      <c r="K137" s="499"/>
      <c r="L137" s="499"/>
      <c r="M137" s="499"/>
      <c r="N137" s="608"/>
      <c r="O137" s="499"/>
      <c r="P137" s="499"/>
      <c r="Q137" s="499"/>
      <c r="R137" s="608"/>
      <c r="S137" s="499">
        <v>20.585000000000001</v>
      </c>
      <c r="T137" s="499">
        <v>-6</v>
      </c>
      <c r="U137" s="499">
        <v>13.77</v>
      </c>
      <c r="V137" s="608">
        <v>3.609</v>
      </c>
      <c r="W137" s="499">
        <v>14.95</v>
      </c>
      <c r="X137" s="499">
        <v>-69.2</v>
      </c>
      <c r="Y137" s="499">
        <v>17.28</v>
      </c>
      <c r="Z137" s="608">
        <v>33.6</v>
      </c>
      <c r="AA137" s="499">
        <v>144.535</v>
      </c>
      <c r="AB137" s="499"/>
      <c r="AC137" s="499"/>
      <c r="AD137" s="608"/>
      <c r="AE137" s="610"/>
      <c r="AF137" s="499"/>
      <c r="AG137" s="499"/>
      <c r="AH137" s="608"/>
      <c r="AI137" s="610"/>
      <c r="AJ137" s="499"/>
      <c r="AK137" s="499"/>
      <c r="AL137" s="608"/>
      <c r="AM137" s="427"/>
      <c r="AN137" s="427"/>
      <c r="AO137" s="427"/>
      <c r="AP137" s="427"/>
      <c r="AQ137" s="427"/>
      <c r="AR137" s="427"/>
      <c r="AS137" s="427"/>
      <c r="AT137" s="427"/>
      <c r="AU137" s="427"/>
    </row>
    <row r="138" spans="1:47">
      <c r="A138" s="427" t="s">
        <v>1035</v>
      </c>
      <c r="B138" s="608"/>
      <c r="C138" s="499"/>
      <c r="D138" s="499"/>
      <c r="E138" s="499"/>
      <c r="F138" s="608"/>
      <c r="G138" s="499"/>
      <c r="H138" s="499"/>
      <c r="I138" s="499"/>
      <c r="J138" s="608"/>
      <c r="K138" s="499"/>
      <c r="L138" s="499"/>
      <c r="M138" s="499"/>
      <c r="N138" s="608"/>
      <c r="O138" s="499"/>
      <c r="P138" s="499"/>
      <c r="Q138" s="499"/>
      <c r="R138" s="608"/>
      <c r="S138" s="499">
        <v>170.58500000000001</v>
      </c>
      <c r="T138" s="499">
        <v>189</v>
      </c>
      <c r="U138" s="499">
        <v>164.77</v>
      </c>
      <c r="V138" s="608">
        <v>188.60900000000001</v>
      </c>
      <c r="W138" s="499">
        <v>220.95</v>
      </c>
      <c r="X138" s="499">
        <v>142.80000000000001</v>
      </c>
      <c r="Y138" s="499">
        <v>153.28</v>
      </c>
      <c r="Z138" s="608">
        <v>141.6</v>
      </c>
      <c r="AA138" s="499">
        <v>182.535</v>
      </c>
      <c r="AB138" s="499"/>
      <c r="AC138" s="499"/>
      <c r="AD138" s="608"/>
      <c r="AE138" s="610"/>
      <c r="AF138" s="499"/>
      <c r="AG138" s="499"/>
      <c r="AH138" s="608"/>
      <c r="AI138" s="610"/>
      <c r="AJ138" s="499"/>
      <c r="AK138" s="499"/>
      <c r="AL138" s="608"/>
      <c r="AM138" s="385"/>
      <c r="AN138" s="385"/>
      <c r="AO138" s="385"/>
      <c r="AP138" s="385"/>
      <c r="AQ138" s="385"/>
      <c r="AR138" s="385"/>
      <c r="AS138" s="385"/>
      <c r="AT138" s="385"/>
      <c r="AU138" s="385"/>
    </row>
    <row r="139" spans="1:47">
      <c r="A139" s="698" t="s">
        <v>795</v>
      </c>
      <c r="B139" s="700"/>
      <c r="C139" s="698"/>
      <c r="D139" s="698"/>
      <c r="E139" s="698"/>
      <c r="F139" s="700"/>
      <c r="G139" s="698"/>
      <c r="H139" s="698"/>
      <c r="I139" s="698"/>
      <c r="J139" s="700"/>
      <c r="K139" s="698"/>
      <c r="L139" s="698"/>
      <c r="M139" s="698"/>
      <c r="N139" s="700"/>
      <c r="O139" s="698"/>
      <c r="P139" s="698"/>
      <c r="Q139" s="698"/>
      <c r="R139" s="700"/>
      <c r="S139" s="698">
        <v>7</v>
      </c>
      <c r="T139" s="698">
        <v>-7</v>
      </c>
      <c r="U139" s="698">
        <v>0</v>
      </c>
      <c r="V139" s="700">
        <v>0</v>
      </c>
      <c r="W139" s="698">
        <v>0</v>
      </c>
      <c r="X139" s="698">
        <v>0</v>
      </c>
      <c r="Y139" s="698">
        <v>0</v>
      </c>
      <c r="Z139" s="700">
        <v>0</v>
      </c>
      <c r="AA139" s="698">
        <v>0</v>
      </c>
      <c r="AB139" s="698"/>
      <c r="AC139" s="698"/>
      <c r="AD139" s="700"/>
      <c r="AE139" s="699"/>
      <c r="AF139" s="698"/>
      <c r="AG139" s="698"/>
      <c r="AH139" s="700"/>
      <c r="AI139" s="699"/>
      <c r="AJ139" s="698"/>
      <c r="AK139" s="698"/>
      <c r="AL139" s="700"/>
      <c r="AM139" s="703"/>
      <c r="AN139" s="703"/>
      <c r="AO139" s="703"/>
      <c r="AP139" s="703"/>
      <c r="AQ139" s="703"/>
      <c r="AR139" s="703"/>
      <c r="AS139" s="703"/>
      <c r="AT139" s="703"/>
      <c r="AU139" s="703"/>
    </row>
  </sheetData>
  <phoneticPr fontId="21" type="noConversion"/>
  <pageMargins left="0.75" right="0.75" top="1" bottom="1" header="0.5" footer="0.5"/>
  <pageSetup scale="24" orientation="landscape" horizontalDpi="300" verticalDpi="300"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tabColor indexed="51"/>
  </sheetPr>
  <dimension ref="A1:AV236"/>
  <sheetViews>
    <sheetView showGridLines="0" zoomScale="85" workbookViewId="0">
      <pane xSplit="1" ySplit="8" topLeftCell="Y9" activePane="bottomRight" state="frozen"/>
      <selection activeCell="AH42" sqref="AH42"/>
      <selection pane="topRight" activeCell="AH42" sqref="AH42"/>
      <selection pane="bottomLeft" activeCell="AH42" sqref="AH42"/>
      <selection pane="bottomRight" activeCell="AC17" sqref="AC17"/>
    </sheetView>
  </sheetViews>
  <sheetFormatPr defaultRowHeight="12.75" outlineLevelCol="1"/>
  <cols>
    <col min="1" max="1" width="44.7109375" customWidth="1"/>
    <col min="2" max="26" width="12" customWidth="1" outlineLevel="1"/>
    <col min="27" max="37" width="12" customWidth="1"/>
    <col min="38" max="38" width="11.5703125" bestFit="1" customWidth="1"/>
    <col min="41" max="48" width="11.5703125" bestFit="1" customWidth="1"/>
  </cols>
  <sheetData>
    <row r="1" spans="1:48">
      <c r="A1" s="364" t="s">
        <v>460</v>
      </c>
      <c r="B1" s="365"/>
      <c r="C1" s="365"/>
      <c r="D1" s="365"/>
      <c r="E1" s="365"/>
      <c r="F1" s="365"/>
      <c r="G1" s="365"/>
      <c r="H1" s="365"/>
      <c r="I1" s="365"/>
      <c r="J1" s="365"/>
      <c r="K1" s="365"/>
      <c r="L1" s="365"/>
      <c r="M1" s="365"/>
      <c r="N1" s="365"/>
      <c r="O1" s="365"/>
      <c r="P1" s="365"/>
      <c r="Q1" s="365"/>
      <c r="R1" s="365"/>
      <c r="S1" s="365"/>
      <c r="T1" s="365"/>
      <c r="U1" s="365"/>
      <c r="V1" s="365"/>
      <c r="W1" s="365"/>
      <c r="X1" s="365"/>
      <c r="Y1" s="365"/>
      <c r="Z1" s="365"/>
      <c r="AA1" s="365"/>
      <c r="AB1" s="365"/>
      <c r="AC1" s="365"/>
      <c r="AD1" s="365"/>
      <c r="AE1" s="365"/>
      <c r="AF1" s="365"/>
      <c r="AG1" s="365"/>
      <c r="AH1" s="365"/>
      <c r="AI1" s="365"/>
      <c r="AJ1" s="365"/>
      <c r="AK1" s="365"/>
      <c r="AL1" s="365"/>
      <c r="AM1" s="365"/>
      <c r="AN1" s="365"/>
      <c r="AO1" s="399"/>
      <c r="AP1" s="399"/>
      <c r="AQ1" s="399"/>
      <c r="AR1" s="399"/>
      <c r="AS1" s="399"/>
      <c r="AT1" s="399"/>
      <c r="AU1" s="399"/>
      <c r="AV1" s="399"/>
    </row>
    <row r="2" spans="1:48">
      <c r="A2" s="364" t="s">
        <v>788</v>
      </c>
      <c r="B2" s="365"/>
      <c r="C2" s="365"/>
      <c r="D2" s="365"/>
      <c r="E2" s="365"/>
      <c r="F2" s="365"/>
      <c r="G2" s="365"/>
      <c r="H2" s="365"/>
      <c r="I2" s="365"/>
      <c r="J2" s="365"/>
      <c r="K2" s="365"/>
      <c r="L2" s="365"/>
      <c r="M2" s="365"/>
      <c r="N2" s="365"/>
      <c r="O2" s="476"/>
      <c r="P2" s="476"/>
      <c r="Q2" s="476"/>
      <c r="R2" s="476"/>
      <c r="S2" s="476"/>
      <c r="T2" s="476"/>
      <c r="U2" s="476"/>
      <c r="V2" s="476"/>
      <c r="W2" s="476"/>
      <c r="X2" s="476"/>
      <c r="Y2" s="365"/>
      <c r="Z2" s="365"/>
      <c r="AA2" s="365"/>
      <c r="AB2" s="365"/>
      <c r="AC2" s="365"/>
      <c r="AD2" s="365"/>
      <c r="AE2" s="365"/>
      <c r="AF2" s="365"/>
      <c r="AG2" s="365"/>
      <c r="AH2" s="365"/>
      <c r="AI2" s="365"/>
      <c r="AJ2" s="365"/>
      <c r="AK2" s="365"/>
      <c r="AL2" s="365"/>
      <c r="AM2" s="365"/>
      <c r="AN2" s="365"/>
      <c r="AO2" s="399"/>
      <c r="AP2" s="399"/>
      <c r="AQ2" s="399"/>
      <c r="AR2" s="399"/>
      <c r="AS2" s="399"/>
      <c r="AT2" s="399"/>
      <c r="AU2" s="399"/>
      <c r="AV2" s="399"/>
    </row>
    <row r="3" spans="1:48">
      <c r="A3" s="364" t="s">
        <v>986</v>
      </c>
      <c r="B3" s="365"/>
      <c r="C3" s="365"/>
      <c r="D3" s="365"/>
      <c r="E3" s="365"/>
      <c r="F3" s="365"/>
      <c r="G3" s="365"/>
      <c r="H3" s="365"/>
      <c r="I3" s="365"/>
      <c r="J3" s="365"/>
      <c r="K3" s="365"/>
      <c r="L3" s="365"/>
      <c r="M3" s="365"/>
      <c r="N3" s="365"/>
      <c r="O3" s="365"/>
      <c r="P3" s="365"/>
      <c r="Q3" s="365"/>
      <c r="R3" s="365"/>
      <c r="S3" s="365"/>
      <c r="T3" s="365"/>
      <c r="U3" s="365"/>
      <c r="V3" s="476"/>
      <c r="W3" s="476"/>
      <c r="X3" s="476"/>
      <c r="Y3" s="365"/>
      <c r="Z3" s="365"/>
      <c r="AA3" s="365"/>
      <c r="AB3" s="365"/>
      <c r="AC3" s="365"/>
      <c r="AD3" s="365"/>
      <c r="AE3" s="365"/>
      <c r="AF3" s="365"/>
      <c r="AG3" s="365"/>
      <c r="AH3" s="365"/>
      <c r="AI3" s="365"/>
      <c r="AJ3" s="365"/>
      <c r="AK3" s="365"/>
      <c r="AL3" s="365"/>
      <c r="AM3" s="365"/>
      <c r="AN3" s="365"/>
      <c r="AO3" s="399"/>
      <c r="AP3" s="399"/>
      <c r="AQ3" s="399"/>
      <c r="AR3" s="399"/>
      <c r="AS3" s="399"/>
      <c r="AT3" s="399"/>
      <c r="AU3" s="399"/>
      <c r="AV3" s="399"/>
    </row>
    <row r="4" spans="1:48">
      <c r="A4" s="365" t="s">
        <v>763</v>
      </c>
      <c r="B4" s="365"/>
      <c r="C4" s="365"/>
      <c r="D4" s="365"/>
      <c r="E4" s="365"/>
      <c r="F4" s="365"/>
      <c r="G4" s="365"/>
      <c r="H4" s="365"/>
      <c r="I4" s="365"/>
      <c r="J4" s="365"/>
      <c r="K4" s="365"/>
      <c r="L4" s="365"/>
      <c r="M4" s="365"/>
      <c r="N4" s="365"/>
      <c r="O4" s="365"/>
      <c r="P4" s="365"/>
      <c r="Q4" s="365"/>
      <c r="R4" s="365"/>
      <c r="S4" s="365"/>
      <c r="T4" s="476"/>
      <c r="U4" s="476"/>
      <c r="V4" s="476"/>
      <c r="W4" s="476"/>
      <c r="X4" s="476"/>
      <c r="Y4" s="365"/>
      <c r="Z4" s="365"/>
      <c r="AA4" s="365"/>
      <c r="AB4" s="365"/>
      <c r="AC4" s="365"/>
      <c r="AD4" s="365"/>
      <c r="AE4" s="365"/>
      <c r="AF4" s="365"/>
      <c r="AG4" s="365"/>
      <c r="AH4" s="365"/>
      <c r="AI4" s="365"/>
      <c r="AJ4" s="365"/>
      <c r="AK4" s="365"/>
      <c r="AL4" s="365"/>
      <c r="AM4" s="365"/>
      <c r="AN4" s="365"/>
      <c r="AO4" s="399"/>
      <c r="AP4" s="399"/>
      <c r="AQ4" s="399"/>
      <c r="AR4" s="399"/>
      <c r="AS4" s="399"/>
      <c r="AT4" s="399"/>
      <c r="AU4" s="399"/>
      <c r="AV4" s="399"/>
    </row>
    <row r="5" spans="1:48">
      <c r="A5" s="372"/>
      <c r="B5" s="365"/>
      <c r="C5" s="365"/>
      <c r="D5" s="365"/>
      <c r="E5" s="365"/>
      <c r="F5" s="365"/>
      <c r="G5" s="365"/>
      <c r="H5" s="365"/>
      <c r="I5" s="365"/>
      <c r="J5" s="365"/>
      <c r="K5" s="365"/>
      <c r="L5" s="365"/>
      <c r="M5" s="365"/>
      <c r="N5" s="365"/>
      <c r="O5" s="365"/>
      <c r="P5" s="365"/>
      <c r="Q5" s="365"/>
      <c r="R5" s="365"/>
      <c r="S5" s="365"/>
      <c r="T5" s="365"/>
      <c r="U5" s="365"/>
      <c r="V5" s="365"/>
      <c r="W5" s="365"/>
      <c r="X5" s="365"/>
      <c r="Y5" s="365"/>
      <c r="Z5" s="365"/>
      <c r="AA5" s="365"/>
      <c r="AB5" s="365"/>
      <c r="AC5" s="365"/>
      <c r="AD5" s="365"/>
      <c r="AE5" s="365"/>
      <c r="AF5" s="365"/>
      <c r="AG5" s="365"/>
      <c r="AH5" s="365"/>
      <c r="AI5" s="365"/>
      <c r="AJ5" s="365"/>
      <c r="AK5" s="365"/>
      <c r="AL5" s="365"/>
      <c r="AM5" s="365"/>
      <c r="AN5" s="365"/>
      <c r="AO5" s="399"/>
      <c r="AP5" s="399"/>
      <c r="AQ5" s="399"/>
      <c r="AR5" s="399"/>
      <c r="AS5" s="399"/>
      <c r="AT5" s="399"/>
      <c r="AU5" s="399"/>
      <c r="AV5" s="399"/>
    </row>
    <row r="6" spans="1:48">
      <c r="A6" s="848"/>
      <c r="B6" s="365"/>
      <c r="C6" s="365"/>
      <c r="D6" s="365"/>
      <c r="E6" s="365"/>
      <c r="F6" s="365"/>
      <c r="G6" s="365"/>
      <c r="H6" s="365"/>
      <c r="I6" s="365"/>
      <c r="J6" s="365"/>
      <c r="K6" s="365"/>
      <c r="L6" s="365"/>
      <c r="M6" s="365"/>
      <c r="N6" s="365"/>
      <c r="O6" s="365"/>
      <c r="P6" s="365"/>
      <c r="Q6" s="365"/>
      <c r="R6" s="365"/>
      <c r="S6" s="365"/>
      <c r="T6" s="365"/>
      <c r="U6" s="365"/>
      <c r="V6" s="365"/>
      <c r="W6" s="365"/>
      <c r="X6" s="365"/>
      <c r="Y6" s="365"/>
      <c r="Z6" s="365"/>
      <c r="AA6" s="365"/>
      <c r="AB6" s="365"/>
      <c r="AC6" s="365"/>
      <c r="AD6" s="365"/>
      <c r="AE6" s="365"/>
      <c r="AF6" s="365"/>
      <c r="AG6" s="365"/>
      <c r="AH6" s="365"/>
      <c r="AI6" s="365"/>
      <c r="AJ6" s="365"/>
      <c r="AK6" s="365"/>
      <c r="AL6" s="365"/>
      <c r="AM6" s="365"/>
      <c r="AN6" s="365"/>
      <c r="AO6" s="399"/>
      <c r="AP6" s="399"/>
      <c r="AQ6" s="399"/>
      <c r="AR6" s="399"/>
      <c r="AS6" s="399"/>
      <c r="AT6" s="399"/>
      <c r="AU6" s="399"/>
      <c r="AV6" s="399"/>
    </row>
    <row r="7" spans="1:48">
      <c r="A7" s="849" t="s">
        <v>1113</v>
      </c>
      <c r="B7" s="771" t="s">
        <v>767</v>
      </c>
      <c r="C7" s="850" t="s">
        <v>768</v>
      </c>
      <c r="D7" s="850" t="s">
        <v>769</v>
      </c>
      <c r="E7" s="850" t="s">
        <v>770</v>
      </c>
      <c r="F7" s="851" t="s">
        <v>771</v>
      </c>
      <c r="G7" s="772" t="s">
        <v>800</v>
      </c>
      <c r="H7" s="852" t="s">
        <v>801</v>
      </c>
      <c r="I7" s="852" t="s">
        <v>802</v>
      </c>
      <c r="J7" s="853" t="s">
        <v>803</v>
      </c>
      <c r="K7" s="854" t="s">
        <v>804</v>
      </c>
      <c r="L7" s="852" t="s">
        <v>805</v>
      </c>
      <c r="M7" s="852" t="s">
        <v>806</v>
      </c>
      <c r="N7" s="853" t="s">
        <v>807</v>
      </c>
      <c r="O7" s="854" t="s">
        <v>808</v>
      </c>
      <c r="P7" s="852" t="s">
        <v>809</v>
      </c>
      <c r="Q7" s="852" t="s">
        <v>810</v>
      </c>
      <c r="R7" s="853" t="s">
        <v>811</v>
      </c>
      <c r="S7" s="854" t="s">
        <v>812</v>
      </c>
      <c r="T7" s="852" t="s">
        <v>813</v>
      </c>
      <c r="U7" s="852" t="s">
        <v>814</v>
      </c>
      <c r="V7" s="852" t="s">
        <v>430</v>
      </c>
      <c r="W7" s="855" t="s">
        <v>431</v>
      </c>
      <c r="X7" s="856" t="s">
        <v>486</v>
      </c>
      <c r="Y7" s="856" t="s">
        <v>493</v>
      </c>
      <c r="Z7" s="857" t="s">
        <v>513</v>
      </c>
      <c r="AA7" s="855" t="s">
        <v>559</v>
      </c>
      <c r="AB7" s="856" t="s">
        <v>730</v>
      </c>
      <c r="AC7" s="856" t="s">
        <v>367</v>
      </c>
      <c r="AD7" s="856" t="s">
        <v>582</v>
      </c>
      <c r="AE7" s="775" t="s">
        <v>371</v>
      </c>
      <c r="AF7" s="773" t="s">
        <v>372</v>
      </c>
      <c r="AG7" s="773" t="s">
        <v>373</v>
      </c>
      <c r="AH7" s="774" t="s">
        <v>374</v>
      </c>
      <c r="AI7" s="935" t="s">
        <v>375</v>
      </c>
      <c r="AJ7" s="936" t="s">
        <v>376</v>
      </c>
      <c r="AK7" s="936" t="s">
        <v>377</v>
      </c>
      <c r="AL7" s="937" t="s">
        <v>378</v>
      </c>
      <c r="AM7" s="1795"/>
      <c r="AN7" s="365"/>
      <c r="AO7" s="858" t="s">
        <v>433</v>
      </c>
      <c r="AP7" s="858" t="s">
        <v>512</v>
      </c>
      <c r="AQ7" s="858" t="s">
        <v>583</v>
      </c>
      <c r="AR7" s="858" t="s">
        <v>766</v>
      </c>
      <c r="AS7" s="858">
        <v>0</v>
      </c>
      <c r="AT7" s="858">
        <v>0</v>
      </c>
      <c r="AU7" s="858">
        <v>0</v>
      </c>
      <c r="AV7" s="858">
        <v>0</v>
      </c>
    </row>
    <row r="8" spans="1:48">
      <c r="A8" s="859" t="s">
        <v>815</v>
      </c>
      <c r="B8" s="450"/>
      <c r="C8" s="399"/>
      <c r="D8" s="399"/>
      <c r="E8" s="399"/>
      <c r="F8" s="400"/>
      <c r="G8" s="407"/>
      <c r="H8" s="413"/>
      <c r="I8" s="399"/>
      <c r="J8" s="400"/>
      <c r="K8" s="407"/>
      <c r="L8" s="399"/>
      <c r="M8" s="399"/>
      <c r="N8" s="400"/>
      <c r="O8" s="407"/>
      <c r="P8" s="399"/>
      <c r="Q8" s="399"/>
      <c r="R8" s="400"/>
      <c r="S8" s="411"/>
      <c r="T8" s="368"/>
      <c r="U8" s="399"/>
      <c r="V8" s="400"/>
      <c r="W8" s="407"/>
      <c r="X8" s="399"/>
      <c r="Y8" s="399"/>
      <c r="Z8" s="400"/>
      <c r="AA8" s="407"/>
      <c r="AB8" s="399"/>
      <c r="AC8" s="399"/>
      <c r="AD8" s="399"/>
      <c r="AE8" s="407"/>
      <c r="AF8" s="399"/>
      <c r="AG8" s="399"/>
      <c r="AH8" s="400"/>
      <c r="AI8" s="407"/>
      <c r="AJ8" s="399"/>
      <c r="AK8" s="399"/>
      <c r="AL8" s="400"/>
      <c r="AM8" s="1795"/>
      <c r="AN8" s="365"/>
      <c r="AO8" s="751"/>
      <c r="AP8" s="751"/>
      <c r="AQ8" s="751"/>
      <c r="AR8" s="751"/>
      <c r="AS8" s="751"/>
      <c r="AT8" s="751"/>
      <c r="AU8" s="751"/>
      <c r="AV8" s="751"/>
    </row>
    <row r="9" spans="1:48">
      <c r="A9" s="860" t="s">
        <v>680</v>
      </c>
      <c r="B9" s="679"/>
      <c r="C9" s="413"/>
      <c r="D9" s="413"/>
      <c r="E9" s="413"/>
      <c r="F9" s="414"/>
      <c r="G9" s="490"/>
      <c r="H9" s="413"/>
      <c r="I9" s="413"/>
      <c r="J9" s="414"/>
      <c r="K9" s="490"/>
      <c r="L9" s="413"/>
      <c r="M9" s="413"/>
      <c r="N9" s="414"/>
      <c r="O9" s="490"/>
      <c r="P9" s="413"/>
      <c r="Q9" s="413"/>
      <c r="R9" s="414"/>
      <c r="S9" s="489"/>
      <c r="T9" s="451"/>
      <c r="U9" s="413"/>
      <c r="V9" s="414"/>
      <c r="W9" s="490"/>
      <c r="X9" s="413"/>
      <c r="Y9" s="413"/>
      <c r="Z9" s="414"/>
      <c r="AA9" s="490"/>
      <c r="AB9" s="413"/>
      <c r="AC9" s="413"/>
      <c r="AD9" s="413"/>
      <c r="AE9" s="490"/>
      <c r="AF9" s="413"/>
      <c r="AG9" s="413"/>
      <c r="AH9" s="414"/>
      <c r="AI9" s="490"/>
      <c r="AJ9" s="413"/>
      <c r="AK9" s="413"/>
      <c r="AL9" s="400"/>
      <c r="AM9" s="1795"/>
      <c r="AN9" s="365"/>
      <c r="AO9" s="751"/>
      <c r="AP9" s="751"/>
      <c r="AQ9" s="751"/>
      <c r="AR9" s="751"/>
      <c r="AS9" s="751"/>
      <c r="AT9" s="751"/>
      <c r="AU9" s="751"/>
      <c r="AV9" s="751"/>
    </row>
    <row r="10" spans="1:48">
      <c r="A10" s="861" t="s">
        <v>816</v>
      </c>
      <c r="B10" s="823"/>
      <c r="C10" s="510"/>
      <c r="D10" s="510"/>
      <c r="E10" s="510"/>
      <c r="F10" s="511"/>
      <c r="G10" s="824"/>
      <c r="H10" s="510"/>
      <c r="I10" s="510"/>
      <c r="J10" s="511"/>
      <c r="K10" s="824"/>
      <c r="L10" s="510"/>
      <c r="M10" s="510"/>
      <c r="N10" s="511"/>
      <c r="O10" s="824"/>
      <c r="P10" s="510"/>
      <c r="Q10" s="510"/>
      <c r="R10" s="511"/>
      <c r="S10" s="824"/>
      <c r="T10" s="510"/>
      <c r="U10" s="510"/>
      <c r="V10" s="511"/>
      <c r="W10" s="824"/>
      <c r="X10" s="510"/>
      <c r="Y10" s="510"/>
      <c r="Z10" s="511"/>
      <c r="AA10" s="824"/>
      <c r="AB10" s="510"/>
      <c r="AC10" s="510"/>
      <c r="AD10" s="510"/>
      <c r="AE10" s="824"/>
      <c r="AF10" s="510"/>
      <c r="AG10" s="510"/>
      <c r="AH10" s="511"/>
      <c r="AI10" s="824"/>
      <c r="AJ10" s="510"/>
      <c r="AK10" s="510"/>
      <c r="AL10" s="400"/>
      <c r="AM10" s="1795"/>
      <c r="AN10" s="365"/>
      <c r="AO10" s="751"/>
      <c r="AP10" s="751"/>
      <c r="AQ10" s="751"/>
      <c r="AR10" s="751"/>
      <c r="AS10" s="751"/>
      <c r="AT10" s="751"/>
      <c r="AU10" s="751"/>
      <c r="AV10" s="751"/>
    </row>
    <row r="11" spans="1:48">
      <c r="A11" s="862"/>
      <c r="B11" s="679"/>
      <c r="C11" s="413"/>
      <c r="D11" s="413"/>
      <c r="E11" s="413"/>
      <c r="F11" s="414"/>
      <c r="G11" s="490"/>
      <c r="H11" s="413"/>
      <c r="I11" s="413"/>
      <c r="J11" s="414"/>
      <c r="K11" s="490"/>
      <c r="L11" s="413"/>
      <c r="M11" s="413"/>
      <c r="N11" s="414"/>
      <c r="O11" s="490"/>
      <c r="P11" s="413"/>
      <c r="Q11" s="413"/>
      <c r="R11" s="414"/>
      <c r="S11" s="489"/>
      <c r="T11" s="451"/>
      <c r="U11" s="413"/>
      <c r="V11" s="414"/>
      <c r="W11" s="490"/>
      <c r="X11" s="413"/>
      <c r="Y11" s="451"/>
      <c r="Z11" s="414"/>
      <c r="AA11" s="490"/>
      <c r="AB11" s="413"/>
      <c r="AC11" s="413"/>
      <c r="AD11" s="413"/>
      <c r="AE11" s="490"/>
      <c r="AF11" s="413"/>
      <c r="AG11" s="413"/>
      <c r="AH11" s="414"/>
      <c r="AI11" s="490"/>
      <c r="AJ11" s="413"/>
      <c r="AK11" s="413"/>
      <c r="AL11" s="400"/>
      <c r="AM11" s="1795"/>
      <c r="AN11" s="365"/>
      <c r="AO11" s="751"/>
      <c r="AP11" s="751"/>
      <c r="AQ11" s="751"/>
      <c r="AR11" s="751"/>
      <c r="AS11" s="751"/>
      <c r="AT11" s="751"/>
      <c r="AU11" s="751"/>
      <c r="AV11" s="751"/>
    </row>
    <row r="12" spans="1:48">
      <c r="A12" s="863" t="s">
        <v>818</v>
      </c>
      <c r="B12" s="679">
        <v>203181</v>
      </c>
      <c r="C12" s="413">
        <v>273293</v>
      </c>
      <c r="D12" s="413">
        <v>96386</v>
      </c>
      <c r="E12" s="413">
        <v>168975</v>
      </c>
      <c r="F12" s="414">
        <v>367215</v>
      </c>
      <c r="G12" s="490">
        <v>329331</v>
      </c>
      <c r="H12" s="413">
        <v>300462</v>
      </c>
      <c r="I12" s="413">
        <v>468501</v>
      </c>
      <c r="J12" s="414">
        <v>358846</v>
      </c>
      <c r="K12" s="490">
        <v>458265.55912915507</v>
      </c>
      <c r="L12" s="413">
        <v>51769</v>
      </c>
      <c r="M12" s="413">
        <v>66694</v>
      </c>
      <c r="N12" s="414">
        <v>78668</v>
      </c>
      <c r="O12" s="490">
        <v>809749</v>
      </c>
      <c r="P12" s="413">
        <v>57525</v>
      </c>
      <c r="Q12" s="413">
        <v>68714</v>
      </c>
      <c r="R12" s="414">
        <v>103402</v>
      </c>
      <c r="S12" s="490">
        <v>89539</v>
      </c>
      <c r="T12" s="413">
        <v>113900</v>
      </c>
      <c r="U12" s="413">
        <v>341957</v>
      </c>
      <c r="V12" s="414">
        <v>350327</v>
      </c>
      <c r="W12" s="490">
        <v>175582.99999999919</v>
      </c>
      <c r="X12" s="413">
        <v>60058.999999999061</v>
      </c>
      <c r="Y12" s="413">
        <v>531189</v>
      </c>
      <c r="Z12" s="414">
        <v>161807</v>
      </c>
      <c r="AA12" s="490">
        <v>206490</v>
      </c>
      <c r="AB12" s="413">
        <v>186357</v>
      </c>
      <c r="AC12" s="413">
        <v>243061</v>
      </c>
      <c r="AD12" s="413">
        <v>172943</v>
      </c>
      <c r="AE12" s="490">
        <v>269659</v>
      </c>
      <c r="AF12" s="413">
        <v>0</v>
      </c>
      <c r="AG12" s="413">
        <v>0</v>
      </c>
      <c r="AH12" s="413">
        <v>0</v>
      </c>
      <c r="AI12" s="490">
        <v>0</v>
      </c>
      <c r="AJ12" s="413">
        <v>0</v>
      </c>
      <c r="AK12" s="413">
        <v>0</v>
      </c>
      <c r="AL12" s="413">
        <v>0</v>
      </c>
      <c r="AM12" s="1795">
        <v>0</v>
      </c>
      <c r="AN12" s="365"/>
      <c r="AO12" s="864">
        <v>350327</v>
      </c>
      <c r="AP12" s="864">
        <v>161807.00000000081</v>
      </c>
      <c r="AQ12" s="864">
        <v>172943</v>
      </c>
      <c r="AR12" s="864">
        <v>0</v>
      </c>
      <c r="AS12" s="864">
        <v>0</v>
      </c>
      <c r="AT12" s="864">
        <v>0</v>
      </c>
      <c r="AU12" s="864">
        <v>0</v>
      </c>
      <c r="AV12" s="864">
        <v>0</v>
      </c>
    </row>
    <row r="13" spans="1:48">
      <c r="A13" s="863" t="s">
        <v>819</v>
      </c>
      <c r="B13" s="679">
        <v>236187</v>
      </c>
      <c r="C13" s="413">
        <v>213681</v>
      </c>
      <c r="D13" s="413">
        <v>219694</v>
      </c>
      <c r="E13" s="413">
        <v>242764</v>
      </c>
      <c r="F13" s="414">
        <v>232580</v>
      </c>
      <c r="G13" s="490">
        <v>225693</v>
      </c>
      <c r="H13" s="413">
        <v>228095</v>
      </c>
      <c r="I13" s="413">
        <v>239046</v>
      </c>
      <c r="J13" s="414">
        <v>896714</v>
      </c>
      <c r="K13" s="490">
        <v>854227.85530921817</v>
      </c>
      <c r="L13" s="413">
        <v>888989</v>
      </c>
      <c r="M13" s="413">
        <v>893114</v>
      </c>
      <c r="N13" s="414">
        <v>887346</v>
      </c>
      <c r="O13" s="490">
        <v>840534</v>
      </c>
      <c r="P13" s="413">
        <v>870810</v>
      </c>
      <c r="Q13" s="413">
        <v>905960</v>
      </c>
      <c r="R13" s="414">
        <v>839027</v>
      </c>
      <c r="S13" s="490">
        <v>797507</v>
      </c>
      <c r="T13" s="413">
        <v>813501</v>
      </c>
      <c r="U13" s="413">
        <v>762012</v>
      </c>
      <c r="V13" s="414">
        <v>750292</v>
      </c>
      <c r="W13" s="490">
        <v>638194</v>
      </c>
      <c r="X13" s="413">
        <v>739716.13767467195</v>
      </c>
      <c r="Y13" s="413">
        <v>670732</v>
      </c>
      <c r="Z13" s="414">
        <v>685589</v>
      </c>
      <c r="AA13" s="490">
        <v>670957</v>
      </c>
      <c r="AB13" s="413">
        <v>702030</v>
      </c>
      <c r="AC13" s="413">
        <v>749653</v>
      </c>
      <c r="AD13" s="413">
        <v>713000</v>
      </c>
      <c r="AE13" s="490">
        <v>667842</v>
      </c>
      <c r="AF13" s="413">
        <v>0</v>
      </c>
      <c r="AG13" s="413">
        <v>0</v>
      </c>
      <c r="AH13" s="413">
        <v>0</v>
      </c>
      <c r="AI13" s="490">
        <v>0</v>
      </c>
      <c r="AJ13" s="413">
        <v>0</v>
      </c>
      <c r="AK13" s="413">
        <v>0</v>
      </c>
      <c r="AL13" s="413">
        <v>0</v>
      </c>
      <c r="AM13" s="1795">
        <v>0</v>
      </c>
      <c r="AN13" s="365"/>
      <c r="AO13" s="864">
        <v>750292</v>
      </c>
      <c r="AP13" s="864">
        <v>685589</v>
      </c>
      <c r="AQ13" s="864">
        <v>713000</v>
      </c>
      <c r="AR13" s="864">
        <v>0</v>
      </c>
      <c r="AS13" s="864">
        <v>0</v>
      </c>
      <c r="AT13" s="864">
        <v>0</v>
      </c>
      <c r="AU13" s="864">
        <v>0</v>
      </c>
      <c r="AV13" s="864">
        <v>0</v>
      </c>
    </row>
    <row r="14" spans="1:48">
      <c r="A14" s="863" t="s">
        <v>821</v>
      </c>
      <c r="B14" s="679">
        <v>23571</v>
      </c>
      <c r="C14" s="413">
        <v>26126</v>
      </c>
      <c r="D14" s="413">
        <v>20800</v>
      </c>
      <c r="E14" s="413">
        <v>19097</v>
      </c>
      <c r="F14" s="414">
        <v>20052</v>
      </c>
      <c r="G14" s="490">
        <v>23582</v>
      </c>
      <c r="H14" s="413">
        <v>22800</v>
      </c>
      <c r="I14" s="413">
        <v>20804</v>
      </c>
      <c r="J14" s="414">
        <v>361456</v>
      </c>
      <c r="K14" s="490">
        <v>347551.88640597311</v>
      </c>
      <c r="L14" s="413">
        <v>285494</v>
      </c>
      <c r="M14" s="413">
        <v>321738</v>
      </c>
      <c r="N14" s="414">
        <v>347103</v>
      </c>
      <c r="O14" s="490">
        <v>370580</v>
      </c>
      <c r="P14" s="413">
        <v>358071</v>
      </c>
      <c r="Q14" s="413">
        <v>345206</v>
      </c>
      <c r="R14" s="414">
        <v>335970</v>
      </c>
      <c r="S14" s="490">
        <v>346191</v>
      </c>
      <c r="T14" s="413">
        <v>318915</v>
      </c>
      <c r="U14" s="413">
        <v>333814</v>
      </c>
      <c r="V14" s="414">
        <v>344788</v>
      </c>
      <c r="W14" s="490">
        <v>258206</v>
      </c>
      <c r="X14" s="413">
        <v>289989.28341393312</v>
      </c>
      <c r="Y14" s="413">
        <v>256337</v>
      </c>
      <c r="Z14" s="414">
        <v>276195</v>
      </c>
      <c r="AA14" s="490">
        <v>163540</v>
      </c>
      <c r="AB14" s="413">
        <v>195263</v>
      </c>
      <c r="AC14" s="413">
        <v>234393</v>
      </c>
      <c r="AD14" s="413">
        <v>257000</v>
      </c>
      <c r="AE14" s="490">
        <v>203235</v>
      </c>
      <c r="AF14" s="413">
        <v>0</v>
      </c>
      <c r="AG14" s="413">
        <v>0</v>
      </c>
      <c r="AH14" s="413">
        <v>0</v>
      </c>
      <c r="AI14" s="490">
        <v>0</v>
      </c>
      <c r="AJ14" s="413">
        <v>0</v>
      </c>
      <c r="AK14" s="413">
        <v>0</v>
      </c>
      <c r="AL14" s="413">
        <v>0</v>
      </c>
      <c r="AM14" s="1795">
        <v>0</v>
      </c>
      <c r="AN14" s="365"/>
      <c r="AO14" s="864">
        <v>344788</v>
      </c>
      <c r="AP14" s="864">
        <v>276195</v>
      </c>
      <c r="AQ14" s="864">
        <v>257000</v>
      </c>
      <c r="AR14" s="864">
        <v>0</v>
      </c>
      <c r="AS14" s="864">
        <v>0</v>
      </c>
      <c r="AT14" s="864">
        <v>0</v>
      </c>
      <c r="AU14" s="864">
        <v>0</v>
      </c>
      <c r="AV14" s="864">
        <v>0</v>
      </c>
    </row>
    <row r="15" spans="1:48">
      <c r="A15" s="865" t="s">
        <v>822</v>
      </c>
      <c r="B15" s="682">
        <v>462939</v>
      </c>
      <c r="C15" s="582">
        <v>513100</v>
      </c>
      <c r="D15" s="582">
        <v>336880</v>
      </c>
      <c r="E15" s="582">
        <v>430836</v>
      </c>
      <c r="F15" s="593">
        <v>619847</v>
      </c>
      <c r="G15" s="594">
        <v>578606</v>
      </c>
      <c r="H15" s="582">
        <v>551357</v>
      </c>
      <c r="I15" s="582">
        <v>728351</v>
      </c>
      <c r="J15" s="593">
        <v>1617016</v>
      </c>
      <c r="K15" s="594">
        <v>1660045.3008443462</v>
      </c>
      <c r="L15" s="582">
        <v>1226252</v>
      </c>
      <c r="M15" s="582">
        <v>1281546</v>
      </c>
      <c r="N15" s="593">
        <v>1313117</v>
      </c>
      <c r="O15" s="594">
        <v>2020863</v>
      </c>
      <c r="P15" s="582">
        <v>1286406</v>
      </c>
      <c r="Q15" s="582">
        <v>1319880</v>
      </c>
      <c r="R15" s="593">
        <v>1278399</v>
      </c>
      <c r="S15" s="594">
        <v>1233237</v>
      </c>
      <c r="T15" s="582">
        <v>1246316</v>
      </c>
      <c r="U15" s="582">
        <v>1437783</v>
      </c>
      <c r="V15" s="593">
        <v>1445407</v>
      </c>
      <c r="W15" s="594">
        <v>1071983</v>
      </c>
      <c r="X15" s="582">
        <v>1089764.4210886043</v>
      </c>
      <c r="Y15" s="582">
        <v>1458258</v>
      </c>
      <c r="Z15" s="593">
        <v>1123591</v>
      </c>
      <c r="AA15" s="594">
        <v>1040987</v>
      </c>
      <c r="AB15" s="582">
        <v>1083650</v>
      </c>
      <c r="AC15" s="582">
        <v>1227107</v>
      </c>
      <c r="AD15" s="582">
        <v>1142943</v>
      </c>
      <c r="AE15" s="594">
        <v>1140736</v>
      </c>
      <c r="AF15" s="582">
        <v>0</v>
      </c>
      <c r="AG15" s="582">
        <v>0</v>
      </c>
      <c r="AH15" s="582">
        <v>0</v>
      </c>
      <c r="AI15" s="594">
        <v>0</v>
      </c>
      <c r="AJ15" s="582">
        <v>0</v>
      </c>
      <c r="AK15" s="582">
        <v>0</v>
      </c>
      <c r="AL15" s="582">
        <v>0</v>
      </c>
      <c r="AM15" s="1795"/>
      <c r="AN15" s="365"/>
      <c r="AO15" s="866">
        <v>1445407</v>
      </c>
      <c r="AP15" s="866">
        <v>1123591</v>
      </c>
      <c r="AQ15" s="866">
        <v>1142943</v>
      </c>
      <c r="AR15" s="866">
        <v>0</v>
      </c>
      <c r="AS15" s="866">
        <v>0</v>
      </c>
      <c r="AT15" s="866">
        <v>0</v>
      </c>
      <c r="AU15" s="866">
        <v>0</v>
      </c>
      <c r="AV15" s="866">
        <v>0</v>
      </c>
    </row>
    <row r="16" spans="1:48">
      <c r="A16" s="867"/>
      <c r="B16" s="679"/>
      <c r="C16" s="413"/>
      <c r="D16" s="451"/>
      <c r="E16" s="451"/>
      <c r="F16" s="569"/>
      <c r="G16" s="489"/>
      <c r="H16" s="451"/>
      <c r="I16" s="451"/>
      <c r="J16" s="569"/>
      <c r="K16" s="489"/>
      <c r="L16" s="451"/>
      <c r="M16" s="451"/>
      <c r="N16" s="569"/>
      <c r="O16" s="489"/>
      <c r="P16" s="413"/>
      <c r="Q16" s="413"/>
      <c r="R16" s="414"/>
      <c r="S16" s="490"/>
      <c r="T16" s="413"/>
      <c r="U16" s="413"/>
      <c r="V16" s="414"/>
      <c r="W16" s="490"/>
      <c r="X16" s="413"/>
      <c r="Y16" s="451"/>
      <c r="Z16" s="414"/>
      <c r="AA16" s="490"/>
      <c r="AB16" s="413"/>
      <c r="AC16" s="413"/>
      <c r="AD16" s="413"/>
      <c r="AE16" s="490"/>
      <c r="AF16" s="413"/>
      <c r="AG16" s="413"/>
      <c r="AH16" s="413"/>
      <c r="AI16" s="490"/>
      <c r="AJ16" s="413"/>
      <c r="AK16" s="413"/>
      <c r="AL16" s="413"/>
      <c r="AM16" s="1795"/>
      <c r="AN16" s="365"/>
      <c r="AO16" s="864"/>
      <c r="AP16" s="864"/>
      <c r="AQ16" s="864"/>
      <c r="AR16" s="864"/>
      <c r="AS16" s="864"/>
      <c r="AT16" s="864"/>
      <c r="AU16" s="864"/>
      <c r="AV16" s="864"/>
    </row>
    <row r="17" spans="1:48">
      <c r="A17" s="863" t="s">
        <v>826</v>
      </c>
      <c r="B17" s="679">
        <v>7184155</v>
      </c>
      <c r="C17" s="413">
        <v>7227139</v>
      </c>
      <c r="D17" s="413">
        <v>7254584</v>
      </c>
      <c r="E17" s="413">
        <v>7333871</v>
      </c>
      <c r="F17" s="414">
        <v>7431017</v>
      </c>
      <c r="G17" s="490">
        <v>7496363</v>
      </c>
      <c r="H17" s="413">
        <v>7633844</v>
      </c>
      <c r="I17" s="413">
        <v>7699418</v>
      </c>
      <c r="J17" s="414">
        <v>28241377</v>
      </c>
      <c r="K17" s="490">
        <v>28355887.10013175</v>
      </c>
      <c r="L17" s="413">
        <v>28452529</v>
      </c>
      <c r="M17" s="413">
        <v>28587852</v>
      </c>
      <c r="N17" s="414">
        <v>28698760</v>
      </c>
      <c r="O17" s="490">
        <v>28739996</v>
      </c>
      <c r="P17" s="413">
        <v>29440266</v>
      </c>
      <c r="Q17" s="413">
        <v>29431777</v>
      </c>
      <c r="R17" s="414">
        <v>29468106</v>
      </c>
      <c r="S17" s="490">
        <v>29486712</v>
      </c>
      <c r="T17" s="413">
        <v>29543737.345351413</v>
      </c>
      <c r="U17" s="413">
        <v>29824320</v>
      </c>
      <c r="V17" s="414">
        <v>30125007.831775367</v>
      </c>
      <c r="W17" s="490">
        <v>30102815.655537054</v>
      </c>
      <c r="X17" s="413">
        <v>30323171.655537054</v>
      </c>
      <c r="Y17" s="413">
        <v>15608553</v>
      </c>
      <c r="Z17" s="414">
        <v>15556763</v>
      </c>
      <c r="AA17" s="490">
        <v>15705912</v>
      </c>
      <c r="AB17" s="413">
        <v>15876487</v>
      </c>
      <c r="AC17" s="413">
        <v>16101285</v>
      </c>
      <c r="AD17" s="413">
        <v>16329244</v>
      </c>
      <c r="AE17" s="490">
        <v>16516985</v>
      </c>
      <c r="AF17" s="413">
        <v>0</v>
      </c>
      <c r="AG17" s="413">
        <v>0</v>
      </c>
      <c r="AH17" s="413">
        <v>0</v>
      </c>
      <c r="AI17" s="490">
        <v>0</v>
      </c>
      <c r="AJ17" s="413">
        <v>0</v>
      </c>
      <c r="AK17" s="413">
        <v>0</v>
      </c>
      <c r="AL17" s="413">
        <v>0</v>
      </c>
      <c r="AM17" s="1795">
        <v>0</v>
      </c>
      <c r="AN17" s="365"/>
      <c r="AO17" s="864">
        <v>30125007.831775367</v>
      </c>
      <c r="AP17" s="864">
        <v>15556763</v>
      </c>
      <c r="AQ17" s="864">
        <v>16329244</v>
      </c>
      <c r="AR17" s="864">
        <v>0</v>
      </c>
      <c r="AS17" s="864">
        <v>0</v>
      </c>
      <c r="AT17" s="864">
        <v>0</v>
      </c>
      <c r="AU17" s="864">
        <v>0</v>
      </c>
      <c r="AV17" s="864">
        <v>0</v>
      </c>
    </row>
    <row r="18" spans="1:48">
      <c r="A18" s="863" t="s">
        <v>827</v>
      </c>
      <c r="B18" s="679">
        <v>-3728674</v>
      </c>
      <c r="C18" s="413">
        <v>-3838323</v>
      </c>
      <c r="D18" s="413">
        <v>-3906613</v>
      </c>
      <c r="E18" s="413">
        <v>-3998332</v>
      </c>
      <c r="F18" s="414">
        <v>-4089616</v>
      </c>
      <c r="G18" s="490">
        <v>-4208514</v>
      </c>
      <c r="H18" s="413">
        <v>-4313990</v>
      </c>
      <c r="I18" s="413">
        <v>-4400303</v>
      </c>
      <c r="J18" s="414">
        <v>-16782891</v>
      </c>
      <c r="K18" s="490">
        <v>-17026845.100131754</v>
      </c>
      <c r="L18" s="413">
        <v>-17233522</v>
      </c>
      <c r="M18" s="413">
        <v>-17403812</v>
      </c>
      <c r="N18" s="414">
        <v>-17601483</v>
      </c>
      <c r="O18" s="490">
        <v>-17795439</v>
      </c>
      <c r="P18" s="413">
        <v>-18398716</v>
      </c>
      <c r="Q18" s="413">
        <v>-18525958</v>
      </c>
      <c r="R18" s="414">
        <v>-18611730</v>
      </c>
      <c r="S18" s="490">
        <v>-18794578</v>
      </c>
      <c r="T18" s="413">
        <v>-18986897.345351413</v>
      </c>
      <c r="U18" s="413">
        <v>-19400970</v>
      </c>
      <c r="V18" s="414">
        <v>-19818115.831775367</v>
      </c>
      <c r="W18" s="490">
        <v>-20030245.655537054</v>
      </c>
      <c r="X18" s="413">
        <v>-20381415.667287864</v>
      </c>
      <c r="Y18" s="413">
        <v>-6245366</v>
      </c>
      <c r="Z18" s="414">
        <v>-6459624</v>
      </c>
      <c r="AA18" s="490">
        <v>-6735615</v>
      </c>
      <c r="AB18" s="413">
        <v>-7010016</v>
      </c>
      <c r="AC18" s="413">
        <v>-7299542</v>
      </c>
      <c r="AD18" s="413">
        <v>-7574768</v>
      </c>
      <c r="AE18" s="490">
        <v>-7868405</v>
      </c>
      <c r="AF18" s="413">
        <v>0</v>
      </c>
      <c r="AG18" s="413">
        <v>0</v>
      </c>
      <c r="AH18" s="413">
        <v>0</v>
      </c>
      <c r="AI18" s="490">
        <v>0</v>
      </c>
      <c r="AJ18" s="413">
        <v>0</v>
      </c>
      <c r="AK18" s="413">
        <v>0</v>
      </c>
      <c r="AL18" s="413">
        <v>0</v>
      </c>
      <c r="AM18" s="1795">
        <v>0</v>
      </c>
      <c r="AN18" s="365"/>
      <c r="AO18" s="864">
        <v>-19818115.831775367</v>
      </c>
      <c r="AP18" s="864">
        <v>-6459624</v>
      </c>
      <c r="AQ18" s="864">
        <v>-7574768</v>
      </c>
      <c r="AR18" s="864">
        <v>0</v>
      </c>
      <c r="AS18" s="864">
        <v>0</v>
      </c>
      <c r="AT18" s="864">
        <v>0</v>
      </c>
      <c r="AU18" s="864">
        <v>0</v>
      </c>
      <c r="AV18" s="864">
        <v>0</v>
      </c>
    </row>
    <row r="19" spans="1:48">
      <c r="A19" s="863" t="s">
        <v>941</v>
      </c>
      <c r="B19" s="679">
        <v>3455481</v>
      </c>
      <c r="C19" s="413">
        <v>3388816</v>
      </c>
      <c r="D19" s="413">
        <v>3347971</v>
      </c>
      <c r="E19" s="413">
        <v>3335539</v>
      </c>
      <c r="F19" s="414">
        <v>3341401</v>
      </c>
      <c r="G19" s="490">
        <v>3287849</v>
      </c>
      <c r="H19" s="413">
        <v>3319854</v>
      </c>
      <c r="I19" s="413">
        <v>3299115</v>
      </c>
      <c r="J19" s="414">
        <v>11458486</v>
      </c>
      <c r="K19" s="490">
        <v>11329041.999999996</v>
      </c>
      <c r="L19" s="413">
        <v>11219007</v>
      </c>
      <c r="M19" s="413">
        <v>11184040</v>
      </c>
      <c r="N19" s="414">
        <v>11097277</v>
      </c>
      <c r="O19" s="490">
        <v>10944557</v>
      </c>
      <c r="P19" s="413">
        <v>11041550</v>
      </c>
      <c r="Q19" s="413">
        <v>10905819</v>
      </c>
      <c r="R19" s="414">
        <v>10856376</v>
      </c>
      <c r="S19" s="490">
        <v>10692134</v>
      </c>
      <c r="T19" s="413">
        <v>10556840</v>
      </c>
      <c r="U19" s="413">
        <v>10423350</v>
      </c>
      <c r="V19" s="414">
        <v>10306892</v>
      </c>
      <c r="W19" s="490">
        <v>10072570</v>
      </c>
      <c r="X19" s="413">
        <v>9941755.9882491902</v>
      </c>
      <c r="Y19" s="413">
        <v>9363187</v>
      </c>
      <c r="Z19" s="414">
        <v>9097139</v>
      </c>
      <c r="AA19" s="490">
        <v>8970297</v>
      </c>
      <c r="AB19" s="413">
        <v>8866471</v>
      </c>
      <c r="AC19" s="413">
        <v>8801743</v>
      </c>
      <c r="AD19" s="413">
        <v>8754476</v>
      </c>
      <c r="AE19" s="490">
        <v>8648580</v>
      </c>
      <c r="AF19" s="413">
        <v>0</v>
      </c>
      <c r="AG19" s="413">
        <v>0</v>
      </c>
      <c r="AH19" s="413">
        <v>0</v>
      </c>
      <c r="AI19" s="490">
        <v>0</v>
      </c>
      <c r="AJ19" s="413">
        <v>0</v>
      </c>
      <c r="AK19" s="413">
        <v>0</v>
      </c>
      <c r="AL19" s="413">
        <v>0</v>
      </c>
      <c r="AM19" s="1795">
        <v>0</v>
      </c>
      <c r="AN19" s="365"/>
      <c r="AO19" s="864">
        <v>10306892</v>
      </c>
      <c r="AP19" s="864">
        <v>9097139</v>
      </c>
      <c r="AQ19" s="864">
        <v>8754476</v>
      </c>
      <c r="AR19" s="864">
        <v>0</v>
      </c>
      <c r="AS19" s="864">
        <v>0</v>
      </c>
      <c r="AT19" s="864">
        <v>0</v>
      </c>
      <c r="AU19" s="864">
        <v>0</v>
      </c>
      <c r="AV19" s="864">
        <v>0</v>
      </c>
    </row>
    <row r="20" spans="1:48">
      <c r="A20" s="863" t="s">
        <v>900</v>
      </c>
      <c r="B20" s="814">
        <v>3425001</v>
      </c>
      <c r="C20" s="456">
        <v>3426714</v>
      </c>
      <c r="D20" s="456">
        <v>3426766</v>
      </c>
      <c r="E20" s="456">
        <v>3430302</v>
      </c>
      <c r="F20" s="868">
        <v>3433864</v>
      </c>
      <c r="G20" s="815">
        <v>3433864</v>
      </c>
      <c r="H20" s="456">
        <v>3444198</v>
      </c>
      <c r="I20" s="456">
        <v>3432623</v>
      </c>
      <c r="J20" s="868">
        <v>3459649</v>
      </c>
      <c r="K20" s="815">
        <v>3459649</v>
      </c>
      <c r="L20" s="456">
        <v>3458136</v>
      </c>
      <c r="M20" s="456">
        <v>3458136</v>
      </c>
      <c r="N20" s="868">
        <v>3458136</v>
      </c>
      <c r="O20" s="815">
        <v>3458136</v>
      </c>
      <c r="P20" s="456">
        <v>4026526</v>
      </c>
      <c r="Q20" s="456">
        <v>4024028</v>
      </c>
      <c r="R20" s="868">
        <v>4037916</v>
      </c>
      <c r="S20" s="815">
        <v>4037916</v>
      </c>
      <c r="T20" s="456">
        <v>4037027</v>
      </c>
      <c r="U20" s="456">
        <v>7874027</v>
      </c>
      <c r="V20" s="868">
        <v>7879674</v>
      </c>
      <c r="W20" s="815">
        <v>9615000</v>
      </c>
      <c r="X20" s="456">
        <v>9615000</v>
      </c>
      <c r="Y20" s="456">
        <v>10033994</v>
      </c>
      <c r="Z20" s="868">
        <v>10251758</v>
      </c>
      <c r="AA20" s="815">
        <v>10251758</v>
      </c>
      <c r="AB20" s="456">
        <v>10260640</v>
      </c>
      <c r="AC20" s="456">
        <v>10260640</v>
      </c>
      <c r="AD20" s="456">
        <v>10260640</v>
      </c>
      <c r="AE20" s="815">
        <v>10260640</v>
      </c>
      <c r="AF20" s="456">
        <v>0</v>
      </c>
      <c r="AG20" s="456">
        <v>0</v>
      </c>
      <c r="AH20" s="456">
        <v>0</v>
      </c>
      <c r="AI20" s="815">
        <v>0</v>
      </c>
      <c r="AJ20" s="456">
        <v>0</v>
      </c>
      <c r="AK20" s="456">
        <v>0</v>
      </c>
      <c r="AL20" s="456">
        <v>0</v>
      </c>
      <c r="AM20" s="1795">
        <v>0</v>
      </c>
      <c r="AN20" s="365"/>
      <c r="AO20" s="869">
        <v>7879674</v>
      </c>
      <c r="AP20" s="869">
        <v>10251758</v>
      </c>
      <c r="AQ20" s="869">
        <v>10260640</v>
      </c>
      <c r="AR20" s="869">
        <v>10260640</v>
      </c>
      <c r="AS20" s="869">
        <v>0</v>
      </c>
      <c r="AT20" s="869">
        <v>0</v>
      </c>
      <c r="AU20" s="869">
        <v>0</v>
      </c>
      <c r="AV20" s="869">
        <v>0</v>
      </c>
    </row>
    <row r="21" spans="1:48">
      <c r="A21" s="863" t="s">
        <v>829</v>
      </c>
      <c r="B21" s="679">
        <v>552431</v>
      </c>
      <c r="C21" s="413">
        <v>567875</v>
      </c>
      <c r="D21" s="413">
        <v>572721</v>
      </c>
      <c r="E21" s="413">
        <v>593657</v>
      </c>
      <c r="F21" s="414">
        <v>401841</v>
      </c>
      <c r="G21" s="490">
        <v>402205</v>
      </c>
      <c r="H21" s="413">
        <v>394629</v>
      </c>
      <c r="I21" s="413">
        <v>382447</v>
      </c>
      <c r="J21" s="414">
        <v>700556</v>
      </c>
      <c r="K21" s="490">
        <v>705826.15985997661</v>
      </c>
      <c r="L21" s="413">
        <v>709589</v>
      </c>
      <c r="M21" s="413">
        <v>1399904</v>
      </c>
      <c r="N21" s="414">
        <v>663477</v>
      </c>
      <c r="O21" s="490">
        <v>649555</v>
      </c>
      <c r="P21" s="413">
        <v>810054</v>
      </c>
      <c r="Q21" s="413">
        <v>853923</v>
      </c>
      <c r="R21" s="414">
        <v>912862</v>
      </c>
      <c r="S21" s="490">
        <v>942840</v>
      </c>
      <c r="T21" s="413">
        <v>1033881</v>
      </c>
      <c r="U21" s="413">
        <v>2282742</v>
      </c>
      <c r="V21" s="414">
        <v>2044222</v>
      </c>
      <c r="W21" s="490">
        <v>2219000</v>
      </c>
      <c r="X21" s="413">
        <v>2219000</v>
      </c>
      <c r="Y21" s="413">
        <v>2101624</v>
      </c>
      <c r="Z21" s="414">
        <v>2090241</v>
      </c>
      <c r="AA21" s="490">
        <v>2058502</v>
      </c>
      <c r="AB21" s="413">
        <v>1988823</v>
      </c>
      <c r="AC21" s="413">
        <v>1930720</v>
      </c>
      <c r="AD21" s="413">
        <v>1879853</v>
      </c>
      <c r="AE21" s="490">
        <v>1851502</v>
      </c>
      <c r="AF21" s="413">
        <v>0</v>
      </c>
      <c r="AG21" s="413">
        <v>0</v>
      </c>
      <c r="AH21" s="413">
        <v>0</v>
      </c>
      <c r="AI21" s="490">
        <v>0</v>
      </c>
      <c r="AJ21" s="413">
        <v>0</v>
      </c>
      <c r="AK21" s="413">
        <v>0</v>
      </c>
      <c r="AL21" s="413">
        <v>0</v>
      </c>
      <c r="AM21" s="1795">
        <v>0</v>
      </c>
      <c r="AN21" s="365"/>
      <c r="AO21" s="864">
        <v>2044222</v>
      </c>
      <c r="AP21" s="864">
        <v>2090241</v>
      </c>
      <c r="AQ21" s="864">
        <v>1879853</v>
      </c>
      <c r="AR21" s="864">
        <v>0</v>
      </c>
      <c r="AS21" s="864">
        <v>0</v>
      </c>
      <c r="AT21" s="864">
        <v>0</v>
      </c>
      <c r="AU21" s="864">
        <v>0</v>
      </c>
      <c r="AV21" s="864">
        <v>0</v>
      </c>
    </row>
    <row r="22" spans="1:48">
      <c r="A22" s="865" t="s">
        <v>681</v>
      </c>
      <c r="B22" s="788">
        <v>7432913</v>
      </c>
      <c r="C22" s="467">
        <v>7383405</v>
      </c>
      <c r="D22" s="467">
        <v>7347458</v>
      </c>
      <c r="E22" s="467">
        <v>7359498</v>
      </c>
      <c r="F22" s="790">
        <v>7177106</v>
      </c>
      <c r="G22" s="789">
        <v>7123918</v>
      </c>
      <c r="H22" s="467">
        <v>7158681</v>
      </c>
      <c r="I22" s="467">
        <v>7114185</v>
      </c>
      <c r="J22" s="790">
        <v>15618691</v>
      </c>
      <c r="K22" s="789">
        <v>15494517.159859972</v>
      </c>
      <c r="L22" s="467">
        <v>15386732</v>
      </c>
      <c r="M22" s="467">
        <v>16042080</v>
      </c>
      <c r="N22" s="790">
        <v>15218890</v>
      </c>
      <c r="O22" s="789">
        <v>15052248</v>
      </c>
      <c r="P22" s="467">
        <v>15878130</v>
      </c>
      <c r="Q22" s="467">
        <v>15783770</v>
      </c>
      <c r="R22" s="790">
        <v>15807154</v>
      </c>
      <c r="S22" s="789">
        <v>15672890</v>
      </c>
      <c r="T22" s="467">
        <v>15627748</v>
      </c>
      <c r="U22" s="467">
        <v>20580119</v>
      </c>
      <c r="V22" s="790">
        <v>20230788</v>
      </c>
      <c r="W22" s="789">
        <v>21906570</v>
      </c>
      <c r="X22" s="467">
        <v>21775755.98824919</v>
      </c>
      <c r="Y22" s="467">
        <v>21498805</v>
      </c>
      <c r="Z22" s="790">
        <v>21439138</v>
      </c>
      <c r="AA22" s="789">
        <v>21280557</v>
      </c>
      <c r="AB22" s="467">
        <v>21115934</v>
      </c>
      <c r="AC22" s="467">
        <v>20993103</v>
      </c>
      <c r="AD22" s="467">
        <v>20894969</v>
      </c>
      <c r="AE22" s="789">
        <v>20760722</v>
      </c>
      <c r="AF22" s="467">
        <v>0</v>
      </c>
      <c r="AG22" s="467">
        <v>0</v>
      </c>
      <c r="AH22" s="467">
        <v>0</v>
      </c>
      <c r="AI22" s="789">
        <v>0</v>
      </c>
      <c r="AJ22" s="467">
        <v>0</v>
      </c>
      <c r="AK22" s="467">
        <v>0</v>
      </c>
      <c r="AL22" s="467">
        <v>0</v>
      </c>
      <c r="AM22" s="1795"/>
      <c r="AN22" s="365"/>
      <c r="AO22" s="870">
        <v>20230788</v>
      </c>
      <c r="AP22" s="870">
        <v>21439138</v>
      </c>
      <c r="AQ22" s="870">
        <v>20894969</v>
      </c>
      <c r="AR22" s="870">
        <v>10260640</v>
      </c>
      <c r="AS22" s="870">
        <v>0</v>
      </c>
      <c r="AT22" s="870">
        <v>0</v>
      </c>
      <c r="AU22" s="870">
        <v>0</v>
      </c>
      <c r="AV22" s="870">
        <v>0</v>
      </c>
    </row>
    <row r="23" spans="1:48">
      <c r="A23" s="867"/>
      <c r="B23" s="814"/>
      <c r="C23" s="456"/>
      <c r="D23" s="456"/>
      <c r="E23" s="456"/>
      <c r="F23" s="868"/>
      <c r="G23" s="815"/>
      <c r="H23" s="456"/>
      <c r="I23" s="456"/>
      <c r="J23" s="868"/>
      <c r="K23" s="815"/>
      <c r="L23" s="456"/>
      <c r="M23" s="456"/>
      <c r="N23" s="868"/>
      <c r="O23" s="815"/>
      <c r="P23" s="456"/>
      <c r="Q23" s="456"/>
      <c r="R23" s="868"/>
      <c r="S23" s="815"/>
      <c r="T23" s="456"/>
      <c r="U23" s="456"/>
      <c r="V23" s="868"/>
      <c r="W23" s="815"/>
      <c r="X23" s="456"/>
      <c r="Y23" s="456"/>
      <c r="Z23" s="868"/>
      <c r="AA23" s="815"/>
      <c r="AB23" s="456"/>
      <c r="AC23" s="456"/>
      <c r="AD23" s="456"/>
      <c r="AE23" s="815"/>
      <c r="AF23" s="456"/>
      <c r="AG23" s="456"/>
      <c r="AH23" s="456"/>
      <c r="AI23" s="815"/>
      <c r="AJ23" s="456"/>
      <c r="AK23" s="456"/>
      <c r="AL23" s="456"/>
      <c r="AM23" s="1795"/>
      <c r="AN23" s="365"/>
      <c r="AO23" s="869"/>
      <c r="AP23" s="869"/>
      <c r="AQ23" s="869"/>
      <c r="AR23" s="869"/>
      <c r="AS23" s="869"/>
      <c r="AT23" s="869"/>
      <c r="AU23" s="869"/>
      <c r="AV23" s="869"/>
    </row>
    <row r="24" spans="1:48">
      <c r="A24" s="865" t="s">
        <v>833</v>
      </c>
      <c r="B24" s="788">
        <v>7895852</v>
      </c>
      <c r="C24" s="467">
        <v>7896505</v>
      </c>
      <c r="D24" s="467">
        <v>7684338</v>
      </c>
      <c r="E24" s="467">
        <v>7790334</v>
      </c>
      <c r="F24" s="790">
        <v>7796953</v>
      </c>
      <c r="G24" s="789">
        <v>7702524</v>
      </c>
      <c r="H24" s="467">
        <v>7710038</v>
      </c>
      <c r="I24" s="467">
        <v>7842536</v>
      </c>
      <c r="J24" s="790">
        <v>17235707</v>
      </c>
      <c r="K24" s="789">
        <v>17154562.460704319</v>
      </c>
      <c r="L24" s="467">
        <v>16612984</v>
      </c>
      <c r="M24" s="467">
        <v>17323626</v>
      </c>
      <c r="N24" s="790">
        <v>16532007</v>
      </c>
      <c r="O24" s="789">
        <v>17073111</v>
      </c>
      <c r="P24" s="467">
        <v>17164536</v>
      </c>
      <c r="Q24" s="467">
        <v>17103650</v>
      </c>
      <c r="R24" s="790">
        <v>17085553</v>
      </c>
      <c r="S24" s="789">
        <v>16906127</v>
      </c>
      <c r="T24" s="467">
        <v>16874064</v>
      </c>
      <c r="U24" s="467">
        <v>22017902</v>
      </c>
      <c r="V24" s="790">
        <v>21676195</v>
      </c>
      <c r="W24" s="789">
        <v>22978553</v>
      </c>
      <c r="X24" s="467">
        <v>22865520.409337796</v>
      </c>
      <c r="Y24" s="467">
        <v>22957063</v>
      </c>
      <c r="Z24" s="790">
        <v>22562729</v>
      </c>
      <c r="AA24" s="789">
        <v>22321544</v>
      </c>
      <c r="AB24" s="467">
        <v>22199584</v>
      </c>
      <c r="AC24" s="467">
        <v>22220210</v>
      </c>
      <c r="AD24" s="467">
        <v>22037912</v>
      </c>
      <c r="AE24" s="789">
        <v>21901458</v>
      </c>
      <c r="AF24" s="467">
        <v>0</v>
      </c>
      <c r="AG24" s="467">
        <v>0</v>
      </c>
      <c r="AH24" s="467">
        <v>0</v>
      </c>
      <c r="AI24" s="789">
        <v>0</v>
      </c>
      <c r="AJ24" s="467">
        <v>0</v>
      </c>
      <c r="AK24" s="467">
        <v>0</v>
      </c>
      <c r="AL24" s="467">
        <v>0</v>
      </c>
      <c r="AM24" s="1795"/>
      <c r="AN24" s="365"/>
      <c r="AO24" s="870">
        <v>21676195</v>
      </c>
      <c r="AP24" s="870">
        <v>22562729</v>
      </c>
      <c r="AQ24" s="870">
        <v>22037912</v>
      </c>
      <c r="AR24" s="870">
        <v>10260640</v>
      </c>
      <c r="AS24" s="870">
        <v>0</v>
      </c>
      <c r="AT24" s="870">
        <v>0</v>
      </c>
      <c r="AU24" s="870">
        <v>0</v>
      </c>
      <c r="AV24" s="870">
        <v>0</v>
      </c>
    </row>
    <row r="25" spans="1:48">
      <c r="A25" s="867"/>
      <c r="B25" s="814"/>
      <c r="C25" s="456"/>
      <c r="D25" s="456"/>
      <c r="E25" s="413"/>
      <c r="F25" s="414"/>
      <c r="G25" s="490"/>
      <c r="H25" s="451"/>
      <c r="I25" s="451"/>
      <c r="J25" s="569"/>
      <c r="K25" s="489"/>
      <c r="L25" s="451"/>
      <c r="M25" s="451"/>
      <c r="N25" s="569"/>
      <c r="O25" s="489"/>
      <c r="P25" s="413"/>
      <c r="Q25" s="413"/>
      <c r="R25" s="414"/>
      <c r="S25" s="490"/>
      <c r="T25" s="413"/>
      <c r="U25" s="413"/>
      <c r="V25" s="414"/>
      <c r="W25" s="490"/>
      <c r="X25" s="413"/>
      <c r="Y25" s="451"/>
      <c r="Z25" s="414"/>
      <c r="AA25" s="490"/>
      <c r="AB25" s="413"/>
      <c r="AC25" s="413"/>
      <c r="AD25" s="413"/>
      <c r="AE25" s="490"/>
      <c r="AF25" s="413"/>
      <c r="AG25" s="413"/>
      <c r="AH25" s="413"/>
      <c r="AI25" s="490"/>
      <c r="AJ25" s="413"/>
      <c r="AK25" s="413"/>
      <c r="AL25" s="413"/>
      <c r="AM25" s="1795"/>
      <c r="AN25" s="365"/>
      <c r="AO25" s="864"/>
      <c r="AP25" s="864"/>
      <c r="AQ25" s="864"/>
      <c r="AR25" s="864"/>
      <c r="AS25" s="864"/>
      <c r="AT25" s="864"/>
      <c r="AU25" s="864"/>
      <c r="AV25" s="864"/>
    </row>
    <row r="26" spans="1:48">
      <c r="A26" s="861" t="s">
        <v>834</v>
      </c>
      <c r="B26" s="797"/>
      <c r="C26" s="799"/>
      <c r="D26" s="799"/>
      <c r="E26" s="510"/>
      <c r="F26" s="511"/>
      <c r="G26" s="824"/>
      <c r="H26" s="510"/>
      <c r="I26" s="510"/>
      <c r="J26" s="511"/>
      <c r="K26" s="824"/>
      <c r="L26" s="510"/>
      <c r="M26" s="510"/>
      <c r="N26" s="511"/>
      <c r="O26" s="824"/>
      <c r="P26" s="510"/>
      <c r="Q26" s="510"/>
      <c r="R26" s="511"/>
      <c r="S26" s="824"/>
      <c r="T26" s="510"/>
      <c r="U26" s="510"/>
      <c r="V26" s="511"/>
      <c r="W26" s="824"/>
      <c r="X26" s="510"/>
      <c r="Y26" s="510"/>
      <c r="Z26" s="511"/>
      <c r="AA26" s="824"/>
      <c r="AB26" s="510"/>
      <c r="AC26" s="510"/>
      <c r="AD26" s="510"/>
      <c r="AE26" s="824"/>
      <c r="AF26" s="510"/>
      <c r="AG26" s="510"/>
      <c r="AH26" s="510"/>
      <c r="AI26" s="824"/>
      <c r="AJ26" s="510"/>
      <c r="AK26" s="510"/>
      <c r="AL26" s="510"/>
      <c r="AM26" s="1795"/>
      <c r="AN26" s="365"/>
      <c r="AO26" s="871"/>
      <c r="AP26" s="871"/>
      <c r="AQ26" s="871"/>
      <c r="AR26" s="871"/>
      <c r="AS26" s="871"/>
      <c r="AT26" s="871"/>
      <c r="AU26" s="871"/>
      <c r="AV26" s="871"/>
    </row>
    <row r="27" spans="1:48">
      <c r="A27" s="867"/>
      <c r="B27" s="814"/>
      <c r="C27" s="456"/>
      <c r="D27" s="456"/>
      <c r="E27" s="413"/>
      <c r="F27" s="414"/>
      <c r="G27" s="490"/>
      <c r="H27" s="451"/>
      <c r="I27" s="451"/>
      <c r="J27" s="569"/>
      <c r="K27" s="489"/>
      <c r="L27" s="451"/>
      <c r="M27" s="451"/>
      <c r="N27" s="569"/>
      <c r="O27" s="489"/>
      <c r="P27" s="413"/>
      <c r="Q27" s="413"/>
      <c r="R27" s="414"/>
      <c r="S27" s="490"/>
      <c r="T27" s="413"/>
      <c r="U27" s="413"/>
      <c r="V27" s="414"/>
      <c r="W27" s="490"/>
      <c r="X27" s="413"/>
      <c r="Y27" s="451"/>
      <c r="Z27" s="414"/>
      <c r="AA27" s="490"/>
      <c r="AB27" s="413"/>
      <c r="AC27" s="413"/>
      <c r="AD27" s="413"/>
      <c r="AE27" s="490"/>
      <c r="AF27" s="413"/>
      <c r="AG27" s="413"/>
      <c r="AH27" s="413"/>
      <c r="AI27" s="490"/>
      <c r="AJ27" s="413"/>
      <c r="AK27" s="413"/>
      <c r="AL27" s="413"/>
      <c r="AM27" s="1795"/>
      <c r="AN27" s="365"/>
      <c r="AO27" s="864"/>
      <c r="AP27" s="864"/>
      <c r="AQ27" s="864"/>
      <c r="AR27" s="864"/>
      <c r="AS27" s="864"/>
      <c r="AT27" s="864"/>
      <c r="AU27" s="864"/>
      <c r="AV27" s="864"/>
    </row>
    <row r="28" spans="1:48">
      <c r="A28" s="867" t="s">
        <v>835</v>
      </c>
      <c r="B28" s="814"/>
      <c r="C28" s="456"/>
      <c r="D28" s="456"/>
      <c r="E28" s="413"/>
      <c r="F28" s="414"/>
      <c r="G28" s="490"/>
      <c r="H28" s="451"/>
      <c r="I28" s="451"/>
      <c r="J28" s="569"/>
      <c r="K28" s="489"/>
      <c r="L28" s="451"/>
      <c r="M28" s="451"/>
      <c r="N28" s="569"/>
      <c r="O28" s="489"/>
      <c r="P28" s="413"/>
      <c r="Q28" s="413"/>
      <c r="R28" s="414"/>
      <c r="S28" s="490"/>
      <c r="T28" s="413"/>
      <c r="U28" s="413"/>
      <c r="V28" s="414"/>
      <c r="W28" s="490"/>
      <c r="X28" s="413"/>
      <c r="Y28" s="451"/>
      <c r="Z28" s="414"/>
      <c r="AA28" s="490"/>
      <c r="AB28" s="413"/>
      <c r="AC28" s="413"/>
      <c r="AD28" s="413"/>
      <c r="AE28" s="490"/>
      <c r="AF28" s="413"/>
      <c r="AG28" s="413"/>
      <c r="AH28" s="413"/>
      <c r="AI28" s="490"/>
      <c r="AJ28" s="413"/>
      <c r="AK28" s="413"/>
      <c r="AL28" s="413"/>
      <c r="AM28" s="1795"/>
      <c r="AN28" s="365"/>
      <c r="AO28" s="864"/>
      <c r="AP28" s="864"/>
      <c r="AQ28" s="864"/>
      <c r="AR28" s="864"/>
      <c r="AS28" s="864"/>
      <c r="AT28" s="864"/>
      <c r="AU28" s="864"/>
      <c r="AV28" s="864"/>
    </row>
    <row r="29" spans="1:48">
      <c r="A29" s="863" t="s">
        <v>836</v>
      </c>
      <c r="B29" s="814">
        <v>72453</v>
      </c>
      <c r="C29" s="456">
        <v>172258</v>
      </c>
      <c r="D29" s="456">
        <v>121456</v>
      </c>
      <c r="E29" s="456">
        <v>121156</v>
      </c>
      <c r="F29" s="868">
        <v>249617</v>
      </c>
      <c r="G29" s="815">
        <v>144811</v>
      </c>
      <c r="H29" s="456">
        <v>144135</v>
      </c>
      <c r="I29" s="456">
        <v>334576</v>
      </c>
      <c r="J29" s="868">
        <v>278736</v>
      </c>
      <c r="K29" s="815">
        <v>573456</v>
      </c>
      <c r="L29" s="456">
        <v>383455</v>
      </c>
      <c r="M29" s="456">
        <v>231117</v>
      </c>
      <c r="N29" s="868">
        <v>215012</v>
      </c>
      <c r="O29" s="815">
        <v>397749</v>
      </c>
      <c r="P29" s="456">
        <v>565307</v>
      </c>
      <c r="Q29" s="456">
        <v>353895</v>
      </c>
      <c r="R29" s="868">
        <v>378898</v>
      </c>
      <c r="S29" s="815">
        <v>184444</v>
      </c>
      <c r="T29" s="456">
        <v>127344</v>
      </c>
      <c r="U29" s="456">
        <v>47357</v>
      </c>
      <c r="V29" s="868">
        <v>22407</v>
      </c>
      <c r="W29" s="815">
        <v>22000</v>
      </c>
      <c r="X29" s="456">
        <v>22000</v>
      </c>
      <c r="Y29" s="456">
        <v>769482</v>
      </c>
      <c r="Z29" s="868">
        <v>500065</v>
      </c>
      <c r="AA29" s="815">
        <v>500071</v>
      </c>
      <c r="AB29" s="456">
        <v>496559</v>
      </c>
      <c r="AC29" s="456">
        <v>496552</v>
      </c>
      <c r="AD29" s="456">
        <v>11583</v>
      </c>
      <c r="AE29" s="815">
        <v>11539</v>
      </c>
      <c r="AF29" s="456">
        <v>0</v>
      </c>
      <c r="AG29" s="456">
        <v>0</v>
      </c>
      <c r="AH29" s="456">
        <v>0</v>
      </c>
      <c r="AI29" s="815">
        <v>0</v>
      </c>
      <c r="AJ29" s="456">
        <v>0</v>
      </c>
      <c r="AK29" s="456">
        <v>0</v>
      </c>
      <c r="AL29" s="456">
        <v>0</v>
      </c>
      <c r="AM29" s="1795">
        <v>0</v>
      </c>
      <c r="AN29" s="365"/>
      <c r="AO29" s="869">
        <v>22407</v>
      </c>
      <c r="AP29" s="869">
        <v>500065</v>
      </c>
      <c r="AQ29" s="869">
        <v>11583</v>
      </c>
      <c r="AR29" s="869">
        <v>0</v>
      </c>
      <c r="AS29" s="869">
        <v>0</v>
      </c>
      <c r="AT29" s="869">
        <v>0</v>
      </c>
      <c r="AU29" s="869">
        <v>0</v>
      </c>
      <c r="AV29" s="869">
        <v>0</v>
      </c>
    </row>
    <row r="30" spans="1:48">
      <c r="A30" s="863" t="s">
        <v>837</v>
      </c>
      <c r="B30" s="814">
        <v>113274</v>
      </c>
      <c r="C30" s="456">
        <v>127833</v>
      </c>
      <c r="D30" s="456">
        <v>137886</v>
      </c>
      <c r="E30" s="456">
        <v>144977</v>
      </c>
      <c r="F30" s="868">
        <v>141618</v>
      </c>
      <c r="G30" s="815">
        <v>141524</v>
      </c>
      <c r="H30" s="456">
        <v>141382</v>
      </c>
      <c r="I30" s="456">
        <v>108391</v>
      </c>
      <c r="J30" s="868">
        <v>632444</v>
      </c>
      <c r="K30" s="815">
        <v>619960.64420218044</v>
      </c>
      <c r="L30" s="456">
        <v>538891</v>
      </c>
      <c r="M30" s="456">
        <v>603230</v>
      </c>
      <c r="N30" s="868">
        <v>632350</v>
      </c>
      <c r="O30" s="815">
        <v>573765</v>
      </c>
      <c r="P30" s="456">
        <v>571185</v>
      </c>
      <c r="Q30" s="456">
        <v>504914</v>
      </c>
      <c r="R30" s="868">
        <v>507381</v>
      </c>
      <c r="S30" s="815">
        <v>512308</v>
      </c>
      <c r="T30" s="456">
        <v>451762</v>
      </c>
      <c r="U30" s="456">
        <v>401736</v>
      </c>
      <c r="V30" s="868">
        <v>443086</v>
      </c>
      <c r="W30" s="815">
        <v>370000</v>
      </c>
      <c r="X30" s="456">
        <v>435503.99191130162</v>
      </c>
      <c r="Y30" s="456">
        <v>331695</v>
      </c>
      <c r="Z30" s="868">
        <v>394687</v>
      </c>
      <c r="AA30" s="815">
        <v>334695</v>
      </c>
      <c r="AB30" s="456">
        <v>299066</v>
      </c>
      <c r="AC30" s="456">
        <v>292675</v>
      </c>
      <c r="AD30" s="456">
        <v>299619</v>
      </c>
      <c r="AE30" s="815">
        <v>298687</v>
      </c>
      <c r="AF30" s="456">
        <v>0</v>
      </c>
      <c r="AG30" s="456">
        <v>0</v>
      </c>
      <c r="AH30" s="456">
        <v>0</v>
      </c>
      <c r="AI30" s="815">
        <v>0</v>
      </c>
      <c r="AJ30" s="456">
        <v>0</v>
      </c>
      <c r="AK30" s="456">
        <v>0</v>
      </c>
      <c r="AL30" s="456">
        <v>0</v>
      </c>
      <c r="AM30" s="1795">
        <v>0</v>
      </c>
      <c r="AN30" s="365"/>
      <c r="AO30" s="869">
        <v>443086</v>
      </c>
      <c r="AP30" s="869">
        <v>394687</v>
      </c>
      <c r="AQ30" s="869">
        <v>299619</v>
      </c>
      <c r="AR30" s="869">
        <v>0</v>
      </c>
      <c r="AS30" s="869">
        <v>0</v>
      </c>
      <c r="AT30" s="869">
        <v>0</v>
      </c>
      <c r="AU30" s="869">
        <v>0</v>
      </c>
      <c r="AV30" s="869">
        <v>0</v>
      </c>
    </row>
    <row r="31" spans="1:48">
      <c r="A31" s="863" t="s">
        <v>987</v>
      </c>
      <c r="B31" s="814">
        <v>285656</v>
      </c>
      <c r="C31" s="456">
        <v>310346</v>
      </c>
      <c r="D31" s="456">
        <v>274555</v>
      </c>
      <c r="E31" s="456">
        <v>273953</v>
      </c>
      <c r="F31" s="456">
        <v>300383</v>
      </c>
      <c r="G31" s="815">
        <v>324743</v>
      </c>
      <c r="H31" s="456">
        <v>315781</v>
      </c>
      <c r="I31" s="456">
        <v>364600</v>
      </c>
      <c r="J31" s="868">
        <v>992050</v>
      </c>
      <c r="K31" s="815">
        <v>927673.93359762139</v>
      </c>
      <c r="L31" s="456">
        <v>1068750</v>
      </c>
      <c r="M31" s="456">
        <v>1121863</v>
      </c>
      <c r="N31" s="868">
        <v>1034203</v>
      </c>
      <c r="O31" s="815">
        <v>1215582</v>
      </c>
      <c r="P31" s="456">
        <v>988782</v>
      </c>
      <c r="Q31" s="456">
        <v>1152107</v>
      </c>
      <c r="R31" s="868">
        <v>1048256</v>
      </c>
      <c r="S31" s="815">
        <v>1158281</v>
      </c>
      <c r="T31" s="456">
        <v>991012</v>
      </c>
      <c r="U31" s="456">
        <v>1100620</v>
      </c>
      <c r="V31" s="868">
        <v>888897</v>
      </c>
      <c r="W31" s="815">
        <v>918000</v>
      </c>
      <c r="X31" s="456">
        <v>823988.76692389371</v>
      </c>
      <c r="Y31" s="456">
        <v>1048100</v>
      </c>
      <c r="Z31" s="868">
        <v>812443</v>
      </c>
      <c r="AA31" s="815">
        <v>926297</v>
      </c>
      <c r="AB31" s="456">
        <v>833961</v>
      </c>
      <c r="AC31" s="456">
        <v>860501</v>
      </c>
      <c r="AD31" s="456">
        <v>699840</v>
      </c>
      <c r="AE31" s="815">
        <v>762681</v>
      </c>
      <c r="AF31" s="456">
        <v>0</v>
      </c>
      <c r="AG31" s="456">
        <v>0</v>
      </c>
      <c r="AH31" s="456">
        <v>0</v>
      </c>
      <c r="AI31" s="815">
        <v>0</v>
      </c>
      <c r="AJ31" s="456">
        <v>0</v>
      </c>
      <c r="AK31" s="456">
        <v>0</v>
      </c>
      <c r="AL31" s="456">
        <v>0</v>
      </c>
      <c r="AM31" s="1795">
        <v>0</v>
      </c>
      <c r="AN31" s="365"/>
      <c r="AO31" s="869">
        <v>888897</v>
      </c>
      <c r="AP31" s="869">
        <v>812443</v>
      </c>
      <c r="AQ31" s="869">
        <v>699840</v>
      </c>
      <c r="AR31" s="869">
        <v>0</v>
      </c>
      <c r="AS31" s="869">
        <v>0</v>
      </c>
      <c r="AT31" s="869">
        <v>0</v>
      </c>
      <c r="AU31" s="869">
        <v>0</v>
      </c>
      <c r="AV31" s="869">
        <v>0</v>
      </c>
    </row>
    <row r="32" spans="1:48">
      <c r="A32" s="865" t="s">
        <v>841</v>
      </c>
      <c r="B32" s="788">
        <v>471383</v>
      </c>
      <c r="C32" s="467">
        <v>610437</v>
      </c>
      <c r="D32" s="467">
        <v>533897</v>
      </c>
      <c r="E32" s="467">
        <v>540086</v>
      </c>
      <c r="F32" s="467">
        <v>691618</v>
      </c>
      <c r="G32" s="789">
        <v>611078</v>
      </c>
      <c r="H32" s="467">
        <v>601298</v>
      </c>
      <c r="I32" s="467">
        <v>807567</v>
      </c>
      <c r="J32" s="790">
        <v>1903230</v>
      </c>
      <c r="K32" s="789">
        <v>2121090.5777998017</v>
      </c>
      <c r="L32" s="467">
        <v>1991096</v>
      </c>
      <c r="M32" s="467">
        <v>1956210</v>
      </c>
      <c r="N32" s="790">
        <v>1881565</v>
      </c>
      <c r="O32" s="789">
        <v>2187096</v>
      </c>
      <c r="P32" s="467">
        <v>2125274</v>
      </c>
      <c r="Q32" s="467">
        <v>2010916</v>
      </c>
      <c r="R32" s="790">
        <v>1934535</v>
      </c>
      <c r="S32" s="789">
        <v>1855033</v>
      </c>
      <c r="T32" s="467">
        <v>1570118</v>
      </c>
      <c r="U32" s="467">
        <v>1549713</v>
      </c>
      <c r="V32" s="790">
        <v>1354390</v>
      </c>
      <c r="W32" s="789">
        <v>1310000</v>
      </c>
      <c r="X32" s="467">
        <v>1281492.7588351953</v>
      </c>
      <c r="Y32" s="467">
        <v>2149277</v>
      </c>
      <c r="Z32" s="790">
        <v>1707195</v>
      </c>
      <c r="AA32" s="789">
        <v>1761063</v>
      </c>
      <c r="AB32" s="467">
        <v>1629586</v>
      </c>
      <c r="AC32" s="467">
        <v>1649728</v>
      </c>
      <c r="AD32" s="467">
        <v>1011042</v>
      </c>
      <c r="AE32" s="789">
        <v>1072907</v>
      </c>
      <c r="AF32" s="467">
        <v>0</v>
      </c>
      <c r="AG32" s="467">
        <v>0</v>
      </c>
      <c r="AH32" s="467">
        <v>0</v>
      </c>
      <c r="AI32" s="789">
        <v>0</v>
      </c>
      <c r="AJ32" s="467">
        <v>0</v>
      </c>
      <c r="AK32" s="467">
        <v>0</v>
      </c>
      <c r="AL32" s="467">
        <v>0</v>
      </c>
      <c r="AM32" s="1795"/>
      <c r="AN32" s="365"/>
      <c r="AO32" s="870">
        <v>1354390</v>
      </c>
      <c r="AP32" s="870">
        <v>1707195</v>
      </c>
      <c r="AQ32" s="870">
        <v>1011042</v>
      </c>
      <c r="AR32" s="870">
        <v>0</v>
      </c>
      <c r="AS32" s="870">
        <v>0</v>
      </c>
      <c r="AT32" s="870">
        <v>0</v>
      </c>
      <c r="AU32" s="870">
        <v>0</v>
      </c>
      <c r="AV32" s="870">
        <v>0</v>
      </c>
    </row>
    <row r="33" spans="1:48">
      <c r="A33" s="867"/>
      <c r="B33" s="814"/>
      <c r="C33" s="456"/>
      <c r="D33" s="456"/>
      <c r="E33" s="456"/>
      <c r="F33" s="456"/>
      <c r="G33" s="815"/>
      <c r="H33" s="456"/>
      <c r="I33" s="456"/>
      <c r="J33" s="868"/>
      <c r="K33" s="815"/>
      <c r="L33" s="456"/>
      <c r="M33" s="456"/>
      <c r="N33" s="868"/>
      <c r="O33" s="815"/>
      <c r="P33" s="456"/>
      <c r="Q33" s="456"/>
      <c r="R33" s="868"/>
      <c r="S33" s="815"/>
      <c r="T33" s="456"/>
      <c r="U33" s="456"/>
      <c r="V33" s="868"/>
      <c r="W33" s="815"/>
      <c r="X33" s="456"/>
      <c r="Y33" s="451"/>
      <c r="Z33" s="414"/>
      <c r="AA33" s="490"/>
      <c r="AB33" s="413"/>
      <c r="AC33" s="413"/>
      <c r="AD33" s="413"/>
      <c r="AE33" s="490"/>
      <c r="AF33" s="413"/>
      <c r="AG33" s="413"/>
      <c r="AH33" s="413"/>
      <c r="AI33" s="490"/>
      <c r="AJ33" s="413"/>
      <c r="AK33" s="413"/>
      <c r="AL33" s="413"/>
      <c r="AM33" s="1795"/>
      <c r="AN33" s="365"/>
      <c r="AO33" s="864"/>
      <c r="AP33" s="864"/>
      <c r="AQ33" s="864"/>
      <c r="AR33" s="864"/>
      <c r="AS33" s="864"/>
      <c r="AT33" s="864"/>
      <c r="AU33" s="864"/>
      <c r="AV33" s="864"/>
    </row>
    <row r="34" spans="1:48">
      <c r="A34" s="863" t="s">
        <v>842</v>
      </c>
      <c r="B34" s="814">
        <v>3109302</v>
      </c>
      <c r="C34" s="456">
        <v>3016992</v>
      </c>
      <c r="D34" s="456">
        <v>2883784</v>
      </c>
      <c r="E34" s="456">
        <v>2900964</v>
      </c>
      <c r="F34" s="456">
        <v>2762019</v>
      </c>
      <c r="G34" s="815">
        <v>2694203</v>
      </c>
      <c r="H34" s="456">
        <v>2709399</v>
      </c>
      <c r="I34" s="456">
        <v>2500270</v>
      </c>
      <c r="J34" s="868">
        <v>9624070</v>
      </c>
      <c r="K34" s="815">
        <v>9601859</v>
      </c>
      <c r="L34" s="456">
        <v>8985263</v>
      </c>
      <c r="M34" s="456">
        <v>8923807</v>
      </c>
      <c r="N34" s="868">
        <v>8833852</v>
      </c>
      <c r="O34" s="815">
        <v>8974511</v>
      </c>
      <c r="P34" s="456">
        <v>8804073</v>
      </c>
      <c r="Q34" s="456">
        <v>8521576</v>
      </c>
      <c r="R34" s="868">
        <v>8513357</v>
      </c>
      <c r="S34" s="815">
        <v>8456310</v>
      </c>
      <c r="T34" s="456">
        <v>8904243</v>
      </c>
      <c r="U34" s="456">
        <v>9137266</v>
      </c>
      <c r="V34" s="868">
        <v>9037119</v>
      </c>
      <c r="W34" s="815">
        <v>8120000</v>
      </c>
      <c r="X34" s="456">
        <v>7955936</v>
      </c>
      <c r="Y34" s="456">
        <v>7454515</v>
      </c>
      <c r="Z34" s="868">
        <v>7253653</v>
      </c>
      <c r="AA34" s="815">
        <v>7221018</v>
      </c>
      <c r="AB34" s="456">
        <v>7178646</v>
      </c>
      <c r="AC34" s="456">
        <v>7061744</v>
      </c>
      <c r="AD34" s="456">
        <v>7316004</v>
      </c>
      <c r="AE34" s="815">
        <v>7168251</v>
      </c>
      <c r="AF34" s="456">
        <v>0</v>
      </c>
      <c r="AG34" s="456">
        <v>0</v>
      </c>
      <c r="AH34" s="456">
        <v>0</v>
      </c>
      <c r="AI34" s="815">
        <v>0</v>
      </c>
      <c r="AJ34" s="456">
        <v>0</v>
      </c>
      <c r="AK34" s="456">
        <v>0</v>
      </c>
      <c r="AL34" s="456">
        <v>0</v>
      </c>
      <c r="AM34" s="1795">
        <v>0</v>
      </c>
      <c r="AN34" s="365"/>
      <c r="AO34" s="869">
        <v>9037119</v>
      </c>
      <c r="AP34" s="869">
        <v>7253653</v>
      </c>
      <c r="AQ34" s="869">
        <v>7316004</v>
      </c>
      <c r="AR34" s="869">
        <v>0</v>
      </c>
      <c r="AS34" s="869">
        <v>0</v>
      </c>
      <c r="AT34" s="869">
        <v>0</v>
      </c>
      <c r="AU34" s="869">
        <v>0</v>
      </c>
      <c r="AV34" s="869">
        <v>0</v>
      </c>
    </row>
    <row r="35" spans="1:48">
      <c r="A35" s="863" t="s">
        <v>843</v>
      </c>
      <c r="B35" s="814">
        <v>836651</v>
      </c>
      <c r="C35" s="456">
        <v>854432</v>
      </c>
      <c r="D35" s="456">
        <v>913513</v>
      </c>
      <c r="E35" s="456">
        <v>941539</v>
      </c>
      <c r="F35" s="456">
        <v>933551</v>
      </c>
      <c r="G35" s="815">
        <v>968059</v>
      </c>
      <c r="H35" s="456">
        <v>956234</v>
      </c>
      <c r="I35" s="456">
        <v>979264</v>
      </c>
      <c r="J35" s="868">
        <v>3162134</v>
      </c>
      <c r="K35" s="815">
        <v>3186042.7314172448</v>
      </c>
      <c r="L35" s="456">
        <v>3118065</v>
      </c>
      <c r="M35" s="456">
        <v>3333570</v>
      </c>
      <c r="N35" s="868">
        <v>3093639</v>
      </c>
      <c r="O35" s="815">
        <v>3115274</v>
      </c>
      <c r="P35" s="456">
        <v>3063155</v>
      </c>
      <c r="Q35" s="456">
        <v>3084737</v>
      </c>
      <c r="R35" s="868">
        <v>2964456</v>
      </c>
      <c r="S35" s="815">
        <v>2961800</v>
      </c>
      <c r="T35" s="456">
        <v>2935666</v>
      </c>
      <c r="U35" s="456">
        <v>3146683</v>
      </c>
      <c r="V35" s="868">
        <v>3809446</v>
      </c>
      <c r="W35" s="815">
        <v>4334000</v>
      </c>
      <c r="X35" s="456">
        <v>4334000</v>
      </c>
      <c r="Y35" s="456">
        <v>3989242</v>
      </c>
      <c r="Z35" s="868">
        <v>4135082</v>
      </c>
      <c r="AA35" s="815">
        <v>3838210</v>
      </c>
      <c r="AB35" s="456">
        <v>3840256</v>
      </c>
      <c r="AC35" s="456">
        <v>3902884</v>
      </c>
      <c r="AD35" s="456">
        <v>4063893</v>
      </c>
      <c r="AE35" s="815">
        <v>4001593</v>
      </c>
      <c r="AF35" s="456">
        <v>0</v>
      </c>
      <c r="AG35" s="456">
        <v>0</v>
      </c>
      <c r="AH35" s="456">
        <v>0</v>
      </c>
      <c r="AI35" s="815">
        <v>0</v>
      </c>
      <c r="AJ35" s="456">
        <v>0</v>
      </c>
      <c r="AK35" s="456">
        <v>0</v>
      </c>
      <c r="AL35" s="456">
        <v>0</v>
      </c>
      <c r="AM35" s="1795">
        <v>0</v>
      </c>
      <c r="AN35" s="365"/>
      <c r="AO35" s="869">
        <v>3809446</v>
      </c>
      <c r="AP35" s="869">
        <v>4135082</v>
      </c>
      <c r="AQ35" s="869">
        <v>4063893</v>
      </c>
      <c r="AR35" s="869">
        <v>0</v>
      </c>
      <c r="AS35" s="869">
        <v>0</v>
      </c>
      <c r="AT35" s="869">
        <v>0</v>
      </c>
      <c r="AU35" s="869">
        <v>0</v>
      </c>
      <c r="AV35" s="869">
        <v>0</v>
      </c>
    </row>
    <row r="36" spans="1:48">
      <c r="A36" s="865" t="s">
        <v>682</v>
      </c>
      <c r="B36" s="788">
        <v>3945953</v>
      </c>
      <c r="C36" s="467">
        <v>3871424</v>
      </c>
      <c r="D36" s="467">
        <v>3797297</v>
      </c>
      <c r="E36" s="467">
        <v>3842503</v>
      </c>
      <c r="F36" s="467">
        <v>3695570</v>
      </c>
      <c r="G36" s="789">
        <v>3662262</v>
      </c>
      <c r="H36" s="467">
        <v>3665633</v>
      </c>
      <c r="I36" s="467">
        <v>3479534</v>
      </c>
      <c r="J36" s="790">
        <v>12786204</v>
      </c>
      <c r="K36" s="789">
        <v>12787901.731417244</v>
      </c>
      <c r="L36" s="467">
        <v>12103328</v>
      </c>
      <c r="M36" s="467">
        <v>12257377</v>
      </c>
      <c r="N36" s="790">
        <v>11927491</v>
      </c>
      <c r="O36" s="789">
        <v>12089785</v>
      </c>
      <c r="P36" s="467">
        <v>11867228</v>
      </c>
      <c r="Q36" s="467">
        <v>11606313</v>
      </c>
      <c r="R36" s="790">
        <v>11477813</v>
      </c>
      <c r="S36" s="789">
        <v>11418110</v>
      </c>
      <c r="T36" s="467">
        <v>11839909</v>
      </c>
      <c r="U36" s="467">
        <v>12283949</v>
      </c>
      <c r="V36" s="790">
        <v>12846565</v>
      </c>
      <c r="W36" s="789">
        <v>12454000</v>
      </c>
      <c r="X36" s="467">
        <v>12289936</v>
      </c>
      <c r="Y36" s="467">
        <v>11443757</v>
      </c>
      <c r="Z36" s="790">
        <v>11388735</v>
      </c>
      <c r="AA36" s="789">
        <v>11059228</v>
      </c>
      <c r="AB36" s="467">
        <v>11018902</v>
      </c>
      <c r="AC36" s="467">
        <v>10964628</v>
      </c>
      <c r="AD36" s="467">
        <v>11379897</v>
      </c>
      <c r="AE36" s="789">
        <v>11169844</v>
      </c>
      <c r="AF36" s="467">
        <v>0</v>
      </c>
      <c r="AG36" s="467">
        <v>0</v>
      </c>
      <c r="AH36" s="467">
        <v>0</v>
      </c>
      <c r="AI36" s="789">
        <v>0</v>
      </c>
      <c r="AJ36" s="467">
        <v>0</v>
      </c>
      <c r="AK36" s="467">
        <v>0</v>
      </c>
      <c r="AL36" s="467">
        <v>0</v>
      </c>
      <c r="AM36" s="1795"/>
      <c r="AN36" s="365"/>
      <c r="AO36" s="870">
        <v>12846565</v>
      </c>
      <c r="AP36" s="870">
        <v>11388735</v>
      </c>
      <c r="AQ36" s="870">
        <v>11379897</v>
      </c>
      <c r="AR36" s="870">
        <v>0</v>
      </c>
      <c r="AS36" s="870">
        <v>0</v>
      </c>
      <c r="AT36" s="870">
        <v>0</v>
      </c>
      <c r="AU36" s="870">
        <v>0</v>
      </c>
      <c r="AV36" s="870">
        <v>0</v>
      </c>
    </row>
    <row r="37" spans="1:48">
      <c r="A37" s="863"/>
      <c r="B37" s="814"/>
      <c r="C37" s="456"/>
      <c r="D37" s="456"/>
      <c r="E37" s="456"/>
      <c r="F37" s="456"/>
      <c r="G37" s="815"/>
      <c r="H37" s="456"/>
      <c r="I37" s="456"/>
      <c r="J37" s="868"/>
      <c r="K37" s="815"/>
      <c r="L37" s="456"/>
      <c r="M37" s="456"/>
      <c r="N37" s="868"/>
      <c r="O37" s="815"/>
      <c r="P37" s="456"/>
      <c r="Q37" s="456"/>
      <c r="R37" s="868"/>
      <c r="S37" s="815"/>
      <c r="T37" s="456"/>
      <c r="U37" s="456"/>
      <c r="V37" s="868"/>
      <c r="W37" s="815"/>
      <c r="X37" s="456"/>
      <c r="Y37" s="456"/>
      <c r="Z37" s="868"/>
      <c r="AA37" s="815"/>
      <c r="AB37" s="456"/>
      <c r="AC37" s="456"/>
      <c r="AD37" s="456"/>
      <c r="AE37" s="815"/>
      <c r="AF37" s="456"/>
      <c r="AG37" s="456"/>
      <c r="AH37" s="456"/>
      <c r="AI37" s="815"/>
      <c r="AJ37" s="456"/>
      <c r="AK37" s="456"/>
      <c r="AL37" s="456"/>
      <c r="AM37" s="1795"/>
      <c r="AN37" s="365"/>
      <c r="AO37" s="869"/>
      <c r="AP37" s="869"/>
      <c r="AQ37" s="869"/>
      <c r="AR37" s="869"/>
      <c r="AS37" s="869"/>
      <c r="AT37" s="869"/>
      <c r="AU37" s="869"/>
      <c r="AV37" s="869"/>
    </row>
    <row r="38" spans="1:48">
      <c r="A38" s="865" t="s">
        <v>943</v>
      </c>
      <c r="B38" s="788">
        <v>4417336</v>
      </c>
      <c r="C38" s="467">
        <v>4481861</v>
      </c>
      <c r="D38" s="467">
        <v>4331194</v>
      </c>
      <c r="E38" s="467">
        <v>4382589</v>
      </c>
      <c r="F38" s="467">
        <v>4387188</v>
      </c>
      <c r="G38" s="789">
        <v>4273340</v>
      </c>
      <c r="H38" s="467">
        <v>4266931</v>
      </c>
      <c r="I38" s="467">
        <v>4287101</v>
      </c>
      <c r="J38" s="790">
        <v>14689434</v>
      </c>
      <c r="K38" s="789">
        <v>14908992.309217047</v>
      </c>
      <c r="L38" s="467">
        <v>14094424</v>
      </c>
      <c r="M38" s="467">
        <v>14213587</v>
      </c>
      <c r="N38" s="790">
        <v>13809056</v>
      </c>
      <c r="O38" s="789">
        <v>14276881</v>
      </c>
      <c r="P38" s="467">
        <v>13992502</v>
      </c>
      <c r="Q38" s="467">
        <v>13617229</v>
      </c>
      <c r="R38" s="790">
        <v>13412348</v>
      </c>
      <c r="S38" s="789">
        <v>13273143</v>
      </c>
      <c r="T38" s="467">
        <v>13410027</v>
      </c>
      <c r="U38" s="467">
        <v>13833662</v>
      </c>
      <c r="V38" s="790">
        <v>14200955</v>
      </c>
      <c r="W38" s="789">
        <v>13764000</v>
      </c>
      <c r="X38" s="467">
        <v>13571428.758835195</v>
      </c>
      <c r="Y38" s="467">
        <v>13593034</v>
      </c>
      <c r="Z38" s="790">
        <v>13095930</v>
      </c>
      <c r="AA38" s="789">
        <v>12820291</v>
      </c>
      <c r="AB38" s="467">
        <v>12648488</v>
      </c>
      <c r="AC38" s="467">
        <v>12614356</v>
      </c>
      <c r="AD38" s="467">
        <v>12390939</v>
      </c>
      <c r="AE38" s="789">
        <v>12242751</v>
      </c>
      <c r="AF38" s="467">
        <v>0</v>
      </c>
      <c r="AG38" s="467">
        <v>0</v>
      </c>
      <c r="AH38" s="467">
        <v>0</v>
      </c>
      <c r="AI38" s="789">
        <v>0</v>
      </c>
      <c r="AJ38" s="467">
        <v>0</v>
      </c>
      <c r="AK38" s="467">
        <v>0</v>
      </c>
      <c r="AL38" s="467">
        <v>0</v>
      </c>
      <c r="AM38" s="1795">
        <v>0</v>
      </c>
      <c r="AN38" s="365"/>
      <c r="AO38" s="870">
        <v>14200955</v>
      </c>
      <c r="AP38" s="870">
        <v>13095930</v>
      </c>
      <c r="AQ38" s="870">
        <v>12390939</v>
      </c>
      <c r="AR38" s="870">
        <v>0</v>
      </c>
      <c r="AS38" s="870">
        <v>0</v>
      </c>
      <c r="AT38" s="870">
        <v>0</v>
      </c>
      <c r="AU38" s="870">
        <v>0</v>
      </c>
      <c r="AV38" s="870">
        <v>0</v>
      </c>
    </row>
    <row r="39" spans="1:48">
      <c r="A39" s="865"/>
      <c r="B39" s="814"/>
      <c r="C39" s="456"/>
      <c r="D39" s="456"/>
      <c r="E39" s="456"/>
      <c r="F39" s="456"/>
      <c r="G39" s="815"/>
      <c r="H39" s="456"/>
      <c r="I39" s="456"/>
      <c r="J39" s="868"/>
      <c r="K39" s="815"/>
      <c r="L39" s="456"/>
      <c r="M39" s="456"/>
      <c r="N39" s="868"/>
      <c r="O39" s="815"/>
      <c r="P39" s="456"/>
      <c r="Q39" s="456"/>
      <c r="R39" s="868"/>
      <c r="S39" s="815"/>
      <c r="T39" s="456"/>
      <c r="U39" s="456"/>
      <c r="V39" s="868"/>
      <c r="W39" s="815"/>
      <c r="X39" s="456"/>
      <c r="Y39" s="456"/>
      <c r="Z39" s="868"/>
      <c r="AA39" s="815"/>
      <c r="AB39" s="456"/>
      <c r="AC39" s="456"/>
      <c r="AD39" s="456"/>
      <c r="AE39" s="815"/>
      <c r="AF39" s="456"/>
      <c r="AG39" s="456"/>
      <c r="AH39" s="456"/>
      <c r="AI39" s="815"/>
      <c r="AJ39" s="456"/>
      <c r="AK39" s="456"/>
      <c r="AL39" s="456"/>
      <c r="AM39" s="1795"/>
      <c r="AN39" s="365"/>
      <c r="AO39" s="869"/>
      <c r="AP39" s="869"/>
      <c r="AQ39" s="869"/>
      <c r="AR39" s="869"/>
      <c r="AS39" s="869"/>
      <c r="AT39" s="869"/>
      <c r="AU39" s="869"/>
      <c r="AV39" s="869"/>
    </row>
    <row r="40" spans="1:48">
      <c r="A40" s="865" t="s">
        <v>988</v>
      </c>
      <c r="B40" s="814"/>
      <c r="C40" s="456"/>
      <c r="D40" s="456"/>
      <c r="E40" s="456"/>
      <c r="F40" s="456"/>
      <c r="G40" s="815"/>
      <c r="H40" s="456"/>
      <c r="I40" s="456"/>
      <c r="J40" s="868"/>
      <c r="K40" s="815"/>
      <c r="L40" s="456"/>
      <c r="M40" s="456"/>
      <c r="N40" s="868"/>
      <c r="O40" s="815"/>
      <c r="P40" s="456"/>
      <c r="Q40" s="456"/>
      <c r="R40" s="868"/>
      <c r="S40" s="815"/>
      <c r="T40" s="456"/>
      <c r="U40" s="456"/>
      <c r="V40" s="868"/>
      <c r="W40" s="815"/>
      <c r="X40" s="456"/>
      <c r="Y40" s="456"/>
      <c r="Z40" s="868"/>
      <c r="AA40" s="815"/>
      <c r="AB40" s="456"/>
      <c r="AC40" s="456"/>
      <c r="AD40" s="456"/>
      <c r="AE40" s="815"/>
      <c r="AF40" s="456"/>
      <c r="AG40" s="456"/>
      <c r="AH40" s="456"/>
      <c r="AI40" s="815"/>
      <c r="AJ40" s="456"/>
      <c r="AK40" s="456"/>
      <c r="AL40" s="456"/>
      <c r="AM40" s="1795"/>
      <c r="AN40" s="365"/>
      <c r="AO40" s="869"/>
      <c r="AP40" s="869"/>
      <c r="AQ40" s="869"/>
      <c r="AR40" s="869"/>
      <c r="AS40" s="869"/>
      <c r="AT40" s="869"/>
      <c r="AU40" s="869"/>
      <c r="AV40" s="869"/>
    </row>
    <row r="41" spans="1:48">
      <c r="A41" s="863" t="s">
        <v>845</v>
      </c>
      <c r="B41" s="814">
        <v>144364</v>
      </c>
      <c r="C41" s="456">
        <v>139494</v>
      </c>
      <c r="D41" s="456">
        <v>134993</v>
      </c>
      <c r="E41" s="456">
        <v>134447</v>
      </c>
      <c r="F41" s="456">
        <v>132374</v>
      </c>
      <c r="G41" s="815">
        <v>131272</v>
      </c>
      <c r="H41" s="456">
        <v>129907</v>
      </c>
      <c r="I41" s="456">
        <v>130977</v>
      </c>
      <c r="J41" s="868">
        <v>132074</v>
      </c>
      <c r="K41" s="815">
        <v>116984</v>
      </c>
      <c r="L41" s="456">
        <v>117301</v>
      </c>
      <c r="M41" s="456">
        <v>116400</v>
      </c>
      <c r="N41" s="868">
        <v>114254</v>
      </c>
      <c r="O41" s="815">
        <v>112311</v>
      </c>
      <c r="P41" s="456">
        <v>110201</v>
      </c>
      <c r="Q41" s="456">
        <v>113179</v>
      </c>
      <c r="R41" s="868">
        <v>110492</v>
      </c>
      <c r="S41" s="815">
        <v>108259</v>
      </c>
      <c r="T41" s="456">
        <v>105677</v>
      </c>
      <c r="U41" s="456">
        <v>295121</v>
      </c>
      <c r="V41" s="868">
        <v>295277</v>
      </c>
      <c r="W41" s="815">
        <v>297000</v>
      </c>
      <c r="X41" s="456">
        <v>297000</v>
      </c>
      <c r="Y41" s="456">
        <v>297467</v>
      </c>
      <c r="Z41" s="868">
        <v>299189</v>
      </c>
      <c r="AA41" s="815">
        <v>300162</v>
      </c>
      <c r="AB41" s="456">
        <v>301266</v>
      </c>
      <c r="AC41" s="456">
        <v>302685</v>
      </c>
      <c r="AD41" s="456">
        <v>304948</v>
      </c>
      <c r="AE41" s="815">
        <v>305778</v>
      </c>
      <c r="AF41" s="456">
        <v>0</v>
      </c>
      <c r="AG41" s="456">
        <v>0</v>
      </c>
      <c r="AH41" s="456">
        <v>0</v>
      </c>
      <c r="AI41" s="815">
        <v>0</v>
      </c>
      <c r="AJ41" s="456">
        <v>0</v>
      </c>
      <c r="AK41" s="456">
        <v>0</v>
      </c>
      <c r="AL41" s="456">
        <v>0</v>
      </c>
      <c r="AM41" s="1795">
        <v>0</v>
      </c>
      <c r="AN41" s="365"/>
      <c r="AO41" s="869">
        <v>295277</v>
      </c>
      <c r="AP41" s="869">
        <v>299189</v>
      </c>
      <c r="AQ41" s="869">
        <v>304948</v>
      </c>
      <c r="AR41" s="869">
        <v>0</v>
      </c>
      <c r="AS41" s="869">
        <v>0</v>
      </c>
      <c r="AT41" s="869">
        <v>0</v>
      </c>
      <c r="AU41" s="869">
        <v>0</v>
      </c>
      <c r="AV41" s="869">
        <v>0</v>
      </c>
    </row>
    <row r="42" spans="1:48">
      <c r="A42" s="863" t="s">
        <v>846</v>
      </c>
      <c r="B42" s="814">
        <v>583990</v>
      </c>
      <c r="C42" s="456">
        <v>452725</v>
      </c>
      <c r="D42" s="456">
        <v>318222</v>
      </c>
      <c r="E42" s="456">
        <v>295777</v>
      </c>
      <c r="F42" s="456">
        <v>230180</v>
      </c>
      <c r="G42" s="815">
        <v>183861</v>
      </c>
      <c r="H42" s="456">
        <v>121181</v>
      </c>
      <c r="I42" s="456">
        <v>148153</v>
      </c>
      <c r="J42" s="868">
        <v>-463344</v>
      </c>
      <c r="K42" s="815">
        <v>-497704</v>
      </c>
      <c r="L42" s="456">
        <v>-349412</v>
      </c>
      <c r="M42" s="456">
        <v>-335100</v>
      </c>
      <c r="N42" s="868">
        <v>-382294</v>
      </c>
      <c r="O42" s="815">
        <v>-301779</v>
      </c>
      <c r="P42" s="456">
        <v>-184895</v>
      </c>
      <c r="Q42" s="456">
        <v>-41648</v>
      </c>
      <c r="R42" s="868">
        <v>-132882</v>
      </c>
      <c r="S42" s="815">
        <v>-221743</v>
      </c>
      <c r="T42" s="456">
        <v>-196809</v>
      </c>
      <c r="U42" s="456">
        <v>4819576</v>
      </c>
      <c r="V42" s="868">
        <v>4839197</v>
      </c>
      <c r="W42" s="815">
        <v>5867000</v>
      </c>
      <c r="X42" s="456">
        <v>5867000</v>
      </c>
      <c r="Y42" s="456">
        <v>5959186</v>
      </c>
      <c r="Z42" s="868">
        <v>6014051</v>
      </c>
      <c r="AA42" s="815">
        <v>6021924</v>
      </c>
      <c r="AB42" s="456">
        <v>6048168</v>
      </c>
      <c r="AC42" s="456">
        <v>6087136</v>
      </c>
      <c r="AD42" s="456">
        <v>6174741</v>
      </c>
      <c r="AE42" s="815">
        <v>6194095</v>
      </c>
      <c r="AF42" s="456">
        <v>0</v>
      </c>
      <c r="AG42" s="456">
        <v>0</v>
      </c>
      <c r="AH42" s="456">
        <v>0</v>
      </c>
      <c r="AI42" s="815">
        <v>0</v>
      </c>
      <c r="AJ42" s="456">
        <v>0</v>
      </c>
      <c r="AK42" s="456">
        <v>0</v>
      </c>
      <c r="AL42" s="456">
        <v>0</v>
      </c>
      <c r="AM42" s="1795">
        <v>0</v>
      </c>
      <c r="AN42" s="365"/>
      <c r="AO42" s="869">
        <v>4839197</v>
      </c>
      <c r="AP42" s="869">
        <v>6014051</v>
      </c>
      <c r="AQ42" s="869">
        <v>6174741</v>
      </c>
      <c r="AR42" s="869">
        <v>0</v>
      </c>
      <c r="AS42" s="869">
        <v>0</v>
      </c>
      <c r="AT42" s="869">
        <v>0</v>
      </c>
      <c r="AU42" s="869">
        <v>0</v>
      </c>
      <c r="AV42" s="869">
        <v>0</v>
      </c>
    </row>
    <row r="43" spans="1:48">
      <c r="A43" s="863" t="s">
        <v>945</v>
      </c>
      <c r="B43" s="814">
        <v>0</v>
      </c>
      <c r="C43" s="456">
        <v>0</v>
      </c>
      <c r="D43" s="456">
        <v>0</v>
      </c>
      <c r="E43" s="456">
        <v>0</v>
      </c>
      <c r="F43" s="456">
        <v>0</v>
      </c>
      <c r="G43" s="815">
        <v>0</v>
      </c>
      <c r="H43" s="456">
        <v>0</v>
      </c>
      <c r="I43" s="456">
        <v>0</v>
      </c>
      <c r="J43" s="868">
        <v>0</v>
      </c>
      <c r="K43" s="815">
        <v>0</v>
      </c>
      <c r="L43" s="456">
        <v>0</v>
      </c>
      <c r="M43" s="456">
        <v>0</v>
      </c>
      <c r="N43" s="868">
        <v>0</v>
      </c>
      <c r="O43" s="815">
        <v>-2000</v>
      </c>
      <c r="P43" s="456">
        <v>0</v>
      </c>
      <c r="Q43" s="456">
        <v>0</v>
      </c>
      <c r="R43" s="868">
        <v>0</v>
      </c>
      <c r="S43" s="815">
        <v>-135000</v>
      </c>
      <c r="T43" s="456">
        <v>-401000</v>
      </c>
      <c r="U43" s="456">
        <v>0</v>
      </c>
      <c r="V43" s="868">
        <v>0</v>
      </c>
      <c r="W43" s="815">
        <v>0</v>
      </c>
      <c r="X43" s="456">
        <v>0</v>
      </c>
      <c r="Y43" s="456">
        <v>0</v>
      </c>
      <c r="Z43" s="868">
        <v>0</v>
      </c>
      <c r="AA43" s="815">
        <v>0</v>
      </c>
      <c r="AB43" s="456">
        <v>0</v>
      </c>
      <c r="AC43" s="456">
        <v>0</v>
      </c>
      <c r="AD43" s="456">
        <v>0</v>
      </c>
      <c r="AE43" s="815">
        <v>0</v>
      </c>
      <c r="AF43" s="456">
        <v>0</v>
      </c>
      <c r="AG43" s="456">
        <v>0</v>
      </c>
      <c r="AH43" s="456">
        <v>0</v>
      </c>
      <c r="AI43" s="815">
        <v>0</v>
      </c>
      <c r="AJ43" s="456">
        <v>0</v>
      </c>
      <c r="AK43" s="456">
        <v>0</v>
      </c>
      <c r="AL43" s="456">
        <v>0</v>
      </c>
      <c r="AM43" s="1795">
        <v>0</v>
      </c>
      <c r="AN43" s="365"/>
      <c r="AO43" s="869">
        <v>0</v>
      </c>
      <c r="AP43" s="869">
        <v>0</v>
      </c>
      <c r="AQ43" s="869">
        <v>0</v>
      </c>
      <c r="AR43" s="869">
        <v>0</v>
      </c>
      <c r="AS43" s="869">
        <v>0</v>
      </c>
      <c r="AT43" s="869">
        <v>0</v>
      </c>
      <c r="AU43" s="869">
        <v>0</v>
      </c>
      <c r="AV43" s="869">
        <v>0</v>
      </c>
    </row>
    <row r="44" spans="1:48">
      <c r="A44" s="863" t="s">
        <v>485</v>
      </c>
      <c r="B44" s="814">
        <v>0</v>
      </c>
      <c r="C44" s="456">
        <v>-2763</v>
      </c>
      <c r="D44" s="456">
        <v>-507</v>
      </c>
      <c r="E44" s="456">
        <v>-1237</v>
      </c>
      <c r="F44" s="456">
        <v>-8334</v>
      </c>
      <c r="G44" s="815">
        <v>-13036</v>
      </c>
      <c r="H44" s="456">
        <v>-12304</v>
      </c>
      <c r="I44" s="456">
        <v>-11476</v>
      </c>
      <c r="J44" s="868">
        <v>-480619</v>
      </c>
      <c r="K44" s="815">
        <v>-481782</v>
      </c>
      <c r="L44" s="456">
        <v>-432620</v>
      </c>
      <c r="M44" s="456">
        <v>19647</v>
      </c>
      <c r="N44" s="868">
        <v>-467942</v>
      </c>
      <c r="O44" s="815">
        <v>-464962</v>
      </c>
      <c r="P44" s="456">
        <v>-254911</v>
      </c>
      <c r="Q44" s="456">
        <v>-251590</v>
      </c>
      <c r="R44" s="868">
        <v>-172707</v>
      </c>
      <c r="S44" s="815">
        <v>-173333</v>
      </c>
      <c r="T44" s="456">
        <v>-177011</v>
      </c>
      <c r="U44" s="456">
        <v>-46757</v>
      </c>
      <c r="V44" s="868">
        <v>-897489</v>
      </c>
      <c r="W44" s="815">
        <v>-117000</v>
      </c>
      <c r="X44" s="456">
        <v>-117000</v>
      </c>
      <c r="Y44" s="456">
        <v>-111681</v>
      </c>
      <c r="Z44" s="868">
        <v>-85306</v>
      </c>
      <c r="AA44" s="815">
        <v>-94603</v>
      </c>
      <c r="AB44" s="456">
        <v>-92074</v>
      </c>
      <c r="AC44" s="456">
        <v>-89544</v>
      </c>
      <c r="AD44" s="456">
        <v>-141153</v>
      </c>
      <c r="AE44" s="815">
        <v>-138957</v>
      </c>
      <c r="AF44" s="456">
        <v>0</v>
      </c>
      <c r="AG44" s="456">
        <v>0</v>
      </c>
      <c r="AH44" s="456">
        <v>0</v>
      </c>
      <c r="AI44" s="815">
        <v>0</v>
      </c>
      <c r="AJ44" s="456">
        <v>0</v>
      </c>
      <c r="AK44" s="456">
        <v>0</v>
      </c>
      <c r="AL44" s="456">
        <v>0</v>
      </c>
      <c r="AM44" s="1795">
        <v>0</v>
      </c>
      <c r="AN44" s="365"/>
      <c r="AO44" s="869">
        <v>-897489</v>
      </c>
      <c r="AP44" s="869">
        <v>-85306</v>
      </c>
      <c r="AQ44" s="869">
        <v>-141153</v>
      </c>
      <c r="AR44" s="869">
        <v>0</v>
      </c>
      <c r="AS44" s="869">
        <v>0</v>
      </c>
      <c r="AT44" s="869">
        <v>0</v>
      </c>
      <c r="AU44" s="869">
        <v>0</v>
      </c>
      <c r="AV44" s="869">
        <v>0</v>
      </c>
    </row>
    <row r="45" spans="1:48">
      <c r="A45" s="863" t="s">
        <v>848</v>
      </c>
      <c r="B45" s="814">
        <v>2750162</v>
      </c>
      <c r="C45" s="456">
        <v>2825188</v>
      </c>
      <c r="D45" s="456">
        <v>2900436</v>
      </c>
      <c r="E45" s="456">
        <v>2978758</v>
      </c>
      <c r="F45" s="456">
        <v>3055545</v>
      </c>
      <c r="G45" s="815">
        <v>3127087</v>
      </c>
      <c r="H45" s="456">
        <v>3204323</v>
      </c>
      <c r="I45" s="456">
        <v>3287781</v>
      </c>
      <c r="J45" s="868">
        <v>3358162</v>
      </c>
      <c r="K45" s="815">
        <v>3108072.1514872741</v>
      </c>
      <c r="L45" s="456">
        <v>3183291</v>
      </c>
      <c r="M45" s="456">
        <v>3309092</v>
      </c>
      <c r="N45" s="868">
        <v>3458933</v>
      </c>
      <c r="O45" s="815">
        <v>3452660</v>
      </c>
      <c r="P45" s="456">
        <v>3501639</v>
      </c>
      <c r="Q45" s="456">
        <v>3666480</v>
      </c>
      <c r="R45" s="868">
        <v>3868302</v>
      </c>
      <c r="S45" s="815">
        <v>4054801</v>
      </c>
      <c r="T45" s="456">
        <v>4133180</v>
      </c>
      <c r="U45" s="456">
        <v>3116300</v>
      </c>
      <c r="V45" s="868">
        <v>3238255</v>
      </c>
      <c r="W45" s="815">
        <v>3152150</v>
      </c>
      <c r="X45" s="456">
        <v>3231745</v>
      </c>
      <c r="Y45" s="456">
        <v>3212328</v>
      </c>
      <c r="Z45" s="868">
        <v>3232769</v>
      </c>
      <c r="AA45" s="815">
        <v>3267318</v>
      </c>
      <c r="AB45" s="456">
        <v>3287225</v>
      </c>
      <c r="AC45" s="456">
        <v>3298643</v>
      </c>
      <c r="AD45" s="456">
        <v>3302469</v>
      </c>
      <c r="AE45" s="815">
        <v>3291784</v>
      </c>
      <c r="AF45" s="456">
        <v>0</v>
      </c>
      <c r="AG45" s="456">
        <v>0</v>
      </c>
      <c r="AH45" s="456">
        <v>0</v>
      </c>
      <c r="AI45" s="815">
        <v>0</v>
      </c>
      <c r="AJ45" s="456">
        <v>0</v>
      </c>
      <c r="AK45" s="456">
        <v>0</v>
      </c>
      <c r="AL45" s="456">
        <v>0</v>
      </c>
      <c r="AM45" s="1795">
        <v>0</v>
      </c>
      <c r="AN45" s="365"/>
      <c r="AO45" s="869">
        <v>3238255</v>
      </c>
      <c r="AP45" s="869">
        <v>3232769</v>
      </c>
      <c r="AQ45" s="869">
        <v>3302469</v>
      </c>
      <c r="AR45" s="869">
        <v>0</v>
      </c>
      <c r="AS45" s="869">
        <v>0</v>
      </c>
      <c r="AT45" s="869">
        <v>0</v>
      </c>
      <c r="AU45" s="869">
        <v>0</v>
      </c>
      <c r="AV45" s="869">
        <v>0</v>
      </c>
    </row>
    <row r="46" spans="1:48">
      <c r="A46" s="863" t="s">
        <v>432</v>
      </c>
      <c r="B46" s="814">
        <v>0</v>
      </c>
      <c r="C46" s="456">
        <v>0</v>
      </c>
      <c r="D46" s="456">
        <v>0</v>
      </c>
      <c r="E46" s="456">
        <v>0</v>
      </c>
      <c r="F46" s="456">
        <v>0</v>
      </c>
      <c r="G46" s="815">
        <v>0</v>
      </c>
      <c r="H46" s="456">
        <v>0</v>
      </c>
      <c r="I46" s="456">
        <v>0</v>
      </c>
      <c r="J46" s="868">
        <v>0</v>
      </c>
      <c r="K46" s="815">
        <v>0</v>
      </c>
      <c r="L46" s="456">
        <v>0</v>
      </c>
      <c r="M46" s="456">
        <v>0</v>
      </c>
      <c r="N46" s="868">
        <v>0</v>
      </c>
      <c r="O46" s="815">
        <v>0</v>
      </c>
      <c r="P46" s="456">
        <v>0</v>
      </c>
      <c r="Q46" s="456">
        <v>0</v>
      </c>
      <c r="R46" s="868">
        <v>0</v>
      </c>
      <c r="S46" s="815">
        <v>0</v>
      </c>
      <c r="T46" s="456">
        <v>0</v>
      </c>
      <c r="U46" s="456">
        <v>0</v>
      </c>
      <c r="V46" s="868">
        <v>0</v>
      </c>
      <c r="W46" s="815">
        <v>5000</v>
      </c>
      <c r="X46" s="456">
        <v>5000</v>
      </c>
      <c r="Y46" s="456">
        <v>6729</v>
      </c>
      <c r="Z46" s="868">
        <v>6096</v>
      </c>
      <c r="AA46" s="815">
        <v>6452</v>
      </c>
      <c r="AB46" s="456">
        <v>6511</v>
      </c>
      <c r="AC46" s="456">
        <v>6934</v>
      </c>
      <c r="AD46" s="456">
        <v>6154</v>
      </c>
      <c r="AE46" s="815">
        <v>5907</v>
      </c>
      <c r="AF46" s="456">
        <v>0</v>
      </c>
      <c r="AG46" s="456">
        <v>0</v>
      </c>
      <c r="AH46" s="456">
        <v>0</v>
      </c>
      <c r="AI46" s="815">
        <v>0</v>
      </c>
      <c r="AJ46" s="456">
        <v>0</v>
      </c>
      <c r="AK46" s="456">
        <v>0</v>
      </c>
      <c r="AL46" s="456">
        <v>0</v>
      </c>
      <c r="AM46" s="1795">
        <v>0</v>
      </c>
      <c r="AN46" s="365"/>
      <c r="AO46" s="869">
        <v>0</v>
      </c>
      <c r="AP46" s="869">
        <v>6096</v>
      </c>
      <c r="AQ46" s="869">
        <v>6154</v>
      </c>
      <c r="AR46" s="869">
        <v>0</v>
      </c>
      <c r="AS46" s="869">
        <v>0</v>
      </c>
      <c r="AT46" s="869">
        <v>0</v>
      </c>
      <c r="AU46" s="869">
        <v>0</v>
      </c>
      <c r="AV46" s="869">
        <v>0</v>
      </c>
    </row>
    <row r="47" spans="1:48">
      <c r="A47" s="872" t="s">
        <v>928</v>
      </c>
      <c r="B47" s="788">
        <v>3478516</v>
      </c>
      <c r="C47" s="467">
        <v>3414644</v>
      </c>
      <c r="D47" s="467">
        <v>3353144</v>
      </c>
      <c r="E47" s="467">
        <v>3407745</v>
      </c>
      <c r="F47" s="467">
        <v>3409765</v>
      </c>
      <c r="G47" s="789">
        <v>3429184</v>
      </c>
      <c r="H47" s="467">
        <v>3443107</v>
      </c>
      <c r="I47" s="467">
        <v>3555435</v>
      </c>
      <c r="J47" s="790">
        <v>2546273</v>
      </c>
      <c r="K47" s="789">
        <v>2245570.1514872741</v>
      </c>
      <c r="L47" s="467">
        <v>2518560</v>
      </c>
      <c r="M47" s="467">
        <v>3110039</v>
      </c>
      <c r="N47" s="790">
        <v>2722951</v>
      </c>
      <c r="O47" s="789">
        <v>2796230</v>
      </c>
      <c r="P47" s="467">
        <v>3172034</v>
      </c>
      <c r="Q47" s="467">
        <v>3486421</v>
      </c>
      <c r="R47" s="790">
        <v>3673205</v>
      </c>
      <c r="S47" s="789">
        <v>3632984</v>
      </c>
      <c r="T47" s="467">
        <v>3464037</v>
      </c>
      <c r="U47" s="467">
        <v>8184240</v>
      </c>
      <c r="V47" s="790">
        <v>7475240</v>
      </c>
      <c r="W47" s="789">
        <v>9204150</v>
      </c>
      <c r="X47" s="467">
        <v>9283745</v>
      </c>
      <c r="Y47" s="467">
        <v>9364029</v>
      </c>
      <c r="Z47" s="790">
        <v>9466799</v>
      </c>
      <c r="AA47" s="789">
        <v>9501253</v>
      </c>
      <c r="AB47" s="467">
        <v>9551096</v>
      </c>
      <c r="AC47" s="467">
        <v>9605854</v>
      </c>
      <c r="AD47" s="467">
        <v>9647159</v>
      </c>
      <c r="AE47" s="789">
        <v>9658607</v>
      </c>
      <c r="AF47" s="467">
        <v>0</v>
      </c>
      <c r="AG47" s="467">
        <v>0</v>
      </c>
      <c r="AH47" s="467">
        <v>0</v>
      </c>
      <c r="AI47" s="789">
        <v>0</v>
      </c>
      <c r="AJ47" s="467">
        <v>0</v>
      </c>
      <c r="AK47" s="467">
        <v>0</v>
      </c>
      <c r="AL47" s="467">
        <v>0</v>
      </c>
      <c r="AM47" s="1795">
        <v>0</v>
      </c>
      <c r="AN47" s="365"/>
      <c r="AO47" s="870">
        <v>7475240</v>
      </c>
      <c r="AP47" s="870">
        <v>9466799</v>
      </c>
      <c r="AQ47" s="870">
        <v>9647159</v>
      </c>
      <c r="AR47" s="870">
        <v>0</v>
      </c>
      <c r="AS47" s="870">
        <v>0</v>
      </c>
      <c r="AT47" s="870">
        <v>0</v>
      </c>
      <c r="AU47" s="870">
        <v>0</v>
      </c>
      <c r="AV47" s="870">
        <v>0</v>
      </c>
    </row>
    <row r="48" spans="1:48">
      <c r="A48" s="865"/>
      <c r="B48" s="814"/>
      <c r="C48" s="456"/>
      <c r="D48" s="456"/>
      <c r="E48" s="456"/>
      <c r="F48" s="456"/>
      <c r="G48" s="815"/>
      <c r="H48" s="456"/>
      <c r="I48" s="456"/>
      <c r="J48" s="868"/>
      <c r="K48" s="815"/>
      <c r="L48" s="456"/>
      <c r="M48" s="456"/>
      <c r="N48" s="868"/>
      <c r="O48" s="815"/>
      <c r="P48" s="456"/>
      <c r="Q48" s="456"/>
      <c r="R48" s="868"/>
      <c r="S48" s="815"/>
      <c r="T48" s="456"/>
      <c r="U48" s="456"/>
      <c r="V48" s="868"/>
      <c r="W48" s="815"/>
      <c r="X48" s="456"/>
      <c r="Y48" s="456"/>
      <c r="Z48" s="868"/>
      <c r="AA48" s="815"/>
      <c r="AB48" s="456"/>
      <c r="AC48" s="456"/>
      <c r="AD48" s="456"/>
      <c r="AE48" s="815"/>
      <c r="AF48" s="456"/>
      <c r="AG48" s="456"/>
      <c r="AH48" s="456"/>
      <c r="AI48" s="815"/>
      <c r="AJ48" s="456"/>
      <c r="AK48" s="456"/>
      <c r="AL48" s="456"/>
      <c r="AM48" s="1795"/>
      <c r="AN48" s="365"/>
      <c r="AO48" s="869"/>
      <c r="AP48" s="869"/>
      <c r="AQ48" s="869"/>
      <c r="AR48" s="869"/>
      <c r="AS48" s="869"/>
      <c r="AT48" s="869"/>
      <c r="AU48" s="869"/>
      <c r="AV48" s="869"/>
    </row>
    <row r="49" spans="1:48">
      <c r="A49" s="865" t="s">
        <v>851</v>
      </c>
      <c r="B49" s="788">
        <v>7895852</v>
      </c>
      <c r="C49" s="467">
        <v>7896505</v>
      </c>
      <c r="D49" s="467">
        <v>7684338</v>
      </c>
      <c r="E49" s="467">
        <v>7790334</v>
      </c>
      <c r="F49" s="467">
        <v>7796953</v>
      </c>
      <c r="G49" s="789">
        <v>7702524</v>
      </c>
      <c r="H49" s="467">
        <v>7710038</v>
      </c>
      <c r="I49" s="467">
        <v>7842536</v>
      </c>
      <c r="J49" s="790">
        <v>17235707</v>
      </c>
      <c r="K49" s="789">
        <v>17154562.460704319</v>
      </c>
      <c r="L49" s="467">
        <v>16612984</v>
      </c>
      <c r="M49" s="467">
        <v>17323626</v>
      </c>
      <c r="N49" s="790">
        <v>16532007</v>
      </c>
      <c r="O49" s="789">
        <v>17073111</v>
      </c>
      <c r="P49" s="467">
        <v>17164536</v>
      </c>
      <c r="Q49" s="467">
        <v>17103650</v>
      </c>
      <c r="R49" s="790">
        <v>17085553</v>
      </c>
      <c r="S49" s="789">
        <v>16906127</v>
      </c>
      <c r="T49" s="467">
        <v>16874064</v>
      </c>
      <c r="U49" s="467">
        <v>22017902</v>
      </c>
      <c r="V49" s="790">
        <v>21676195</v>
      </c>
      <c r="W49" s="789">
        <v>22968150</v>
      </c>
      <c r="X49" s="467">
        <v>22855173.758835196</v>
      </c>
      <c r="Y49" s="467">
        <v>22957063</v>
      </c>
      <c r="Z49" s="467">
        <v>22562729</v>
      </c>
      <c r="AA49" s="789">
        <v>22321544</v>
      </c>
      <c r="AB49" s="467">
        <v>22199584</v>
      </c>
      <c r="AC49" s="467">
        <v>22220210</v>
      </c>
      <c r="AD49" s="467">
        <v>22038098</v>
      </c>
      <c r="AE49" s="789">
        <v>21901358</v>
      </c>
      <c r="AF49" s="467">
        <v>0</v>
      </c>
      <c r="AG49" s="467">
        <v>0</v>
      </c>
      <c r="AH49" s="467">
        <v>0</v>
      </c>
      <c r="AI49" s="789">
        <v>0</v>
      </c>
      <c r="AJ49" s="467">
        <v>0</v>
      </c>
      <c r="AK49" s="467">
        <v>0</v>
      </c>
      <c r="AL49" s="467">
        <v>0</v>
      </c>
      <c r="AM49" s="1795">
        <v>0</v>
      </c>
      <c r="AN49" s="365"/>
      <c r="AO49" s="870">
        <v>21676195</v>
      </c>
      <c r="AP49" s="870">
        <v>22562729</v>
      </c>
      <c r="AQ49" s="870">
        <v>22038098</v>
      </c>
      <c r="AR49" s="870">
        <v>0</v>
      </c>
      <c r="AS49" s="870">
        <v>0</v>
      </c>
      <c r="AT49" s="870">
        <v>0</v>
      </c>
      <c r="AU49" s="870">
        <v>0</v>
      </c>
      <c r="AV49" s="870">
        <v>0</v>
      </c>
    </row>
    <row r="50" spans="1:48">
      <c r="A50" s="873" t="s">
        <v>793</v>
      </c>
      <c r="B50" s="874">
        <v>0</v>
      </c>
      <c r="C50" s="875">
        <v>0</v>
      </c>
      <c r="D50" s="875">
        <v>0</v>
      </c>
      <c r="E50" s="875">
        <v>0</v>
      </c>
      <c r="F50" s="875">
        <v>0</v>
      </c>
      <c r="G50" s="876">
        <v>0</v>
      </c>
      <c r="H50" s="875">
        <v>0</v>
      </c>
      <c r="I50" s="875">
        <v>0</v>
      </c>
      <c r="J50" s="877">
        <v>0</v>
      </c>
      <c r="K50" s="876">
        <v>0</v>
      </c>
      <c r="L50" s="875">
        <v>0</v>
      </c>
      <c r="M50" s="875">
        <v>0</v>
      </c>
      <c r="N50" s="877">
        <v>0</v>
      </c>
      <c r="O50" s="876">
        <v>0</v>
      </c>
      <c r="P50" s="875">
        <v>0</v>
      </c>
      <c r="Q50" s="875">
        <v>0</v>
      </c>
      <c r="R50" s="877">
        <v>0</v>
      </c>
      <c r="S50" s="876">
        <v>0</v>
      </c>
      <c r="T50" s="875">
        <v>0</v>
      </c>
      <c r="U50" s="875">
        <v>0</v>
      </c>
      <c r="V50" s="877">
        <v>0</v>
      </c>
      <c r="W50" s="878">
        <v>-10403</v>
      </c>
      <c r="X50" s="879">
        <v>-10346.650502599776</v>
      </c>
      <c r="Y50" s="875">
        <v>0</v>
      </c>
      <c r="Z50" s="875">
        <v>0</v>
      </c>
      <c r="AA50" s="876">
        <v>0</v>
      </c>
      <c r="AB50" s="875">
        <v>0</v>
      </c>
      <c r="AC50" s="875">
        <v>0</v>
      </c>
      <c r="AD50" s="875">
        <v>186</v>
      </c>
      <c r="AE50" s="876">
        <v>-100</v>
      </c>
      <c r="AF50" s="875">
        <v>0</v>
      </c>
      <c r="AG50" s="875">
        <v>0</v>
      </c>
      <c r="AH50" s="875">
        <v>0</v>
      </c>
      <c r="AI50" s="876">
        <v>0</v>
      </c>
      <c r="AJ50" s="875">
        <v>0</v>
      </c>
      <c r="AK50" s="875">
        <v>0</v>
      </c>
      <c r="AL50" s="875">
        <v>0</v>
      </c>
      <c r="AM50" s="1795"/>
      <c r="AN50" s="365"/>
      <c r="AO50" s="880">
        <v>0</v>
      </c>
      <c r="AP50" s="880">
        <v>0</v>
      </c>
      <c r="AQ50" s="880">
        <v>186</v>
      </c>
      <c r="AR50" s="880">
        <v>-10260640</v>
      </c>
      <c r="AS50" s="880">
        <v>0</v>
      </c>
      <c r="AT50" s="880">
        <v>0</v>
      </c>
      <c r="AU50" s="880">
        <v>0</v>
      </c>
      <c r="AV50" s="880">
        <v>0</v>
      </c>
    </row>
    <row r="51" spans="1:48">
      <c r="A51" s="881" t="s">
        <v>852</v>
      </c>
      <c r="B51" s="882">
        <v>3181755</v>
      </c>
      <c r="C51" s="883">
        <v>3189250</v>
      </c>
      <c r="D51" s="883">
        <v>3005240</v>
      </c>
      <c r="E51" s="883">
        <v>3022120</v>
      </c>
      <c r="F51" s="883">
        <v>3011636</v>
      </c>
      <c r="G51" s="884">
        <v>2839014</v>
      </c>
      <c r="H51" s="883">
        <v>2853534</v>
      </c>
      <c r="I51" s="883">
        <v>2834846</v>
      </c>
      <c r="J51" s="885">
        <v>9902806</v>
      </c>
      <c r="K51" s="884">
        <v>10175315</v>
      </c>
      <c r="L51" s="883">
        <v>9368718</v>
      </c>
      <c r="M51" s="883">
        <v>9154924</v>
      </c>
      <c r="N51" s="885">
        <v>9048864</v>
      </c>
      <c r="O51" s="884">
        <v>9372260</v>
      </c>
      <c r="P51" s="883">
        <v>9369380</v>
      </c>
      <c r="Q51" s="883">
        <v>8875471</v>
      </c>
      <c r="R51" s="885">
        <v>8892255</v>
      </c>
      <c r="S51" s="884">
        <v>8640754</v>
      </c>
      <c r="T51" s="883">
        <v>9031587</v>
      </c>
      <c r="U51" s="883">
        <v>9184623</v>
      </c>
      <c r="V51" s="885">
        <v>9059526</v>
      </c>
      <c r="W51" s="884">
        <v>8142000</v>
      </c>
      <c r="X51" s="883">
        <v>7977936</v>
      </c>
      <c r="Y51" s="883"/>
      <c r="Z51" s="883"/>
      <c r="AA51" s="884"/>
      <c r="AB51" s="883"/>
      <c r="AC51" s="883"/>
      <c r="AD51" s="883"/>
      <c r="AE51" s="884"/>
      <c r="AF51" s="883"/>
      <c r="AG51" s="883"/>
      <c r="AH51" s="883"/>
      <c r="AI51" s="884"/>
      <c r="AJ51" s="883"/>
      <c r="AK51" s="883"/>
      <c r="AL51" s="883"/>
      <c r="AM51" s="1795"/>
      <c r="AN51" s="365"/>
      <c r="AO51" s="742"/>
      <c r="AP51" s="742"/>
      <c r="AQ51" s="742"/>
      <c r="AR51" s="742"/>
      <c r="AS51" s="742"/>
      <c r="AT51" s="742"/>
      <c r="AU51" s="742"/>
      <c r="AV51" s="742"/>
    </row>
    <row r="52" spans="1:48">
      <c r="A52" s="505"/>
      <c r="B52" s="414"/>
      <c r="C52" s="476"/>
      <c r="D52" s="476"/>
      <c r="E52" s="476"/>
      <c r="F52" s="476"/>
      <c r="G52" s="490"/>
      <c r="H52" s="476"/>
      <c r="I52" s="476"/>
      <c r="J52" s="476"/>
      <c r="K52" s="490"/>
      <c r="L52" s="476"/>
      <c r="M52" s="476"/>
      <c r="N52" s="476"/>
      <c r="O52" s="490"/>
      <c r="P52" s="476"/>
      <c r="Q52" s="476"/>
      <c r="R52" s="476"/>
      <c r="S52" s="490"/>
      <c r="T52" s="476"/>
      <c r="U52" s="476"/>
      <c r="V52" s="476"/>
      <c r="W52" s="490"/>
      <c r="X52" s="476"/>
      <c r="Y52" s="589"/>
      <c r="Z52" s="476"/>
      <c r="AA52" s="490"/>
      <c r="AB52" s="476"/>
      <c r="AC52" s="476"/>
      <c r="AD52" s="719"/>
      <c r="AE52" s="941"/>
      <c r="AF52" s="719"/>
      <c r="AG52" s="719"/>
      <c r="AH52" s="719"/>
      <c r="AI52" s="941"/>
      <c r="AJ52" s="719"/>
      <c r="AK52" s="719"/>
      <c r="AL52" s="719"/>
      <c r="AM52" s="1795"/>
      <c r="AN52" s="365"/>
      <c r="AO52" s="399"/>
      <c r="AP52" s="399"/>
      <c r="AQ52" s="399"/>
      <c r="AR52" s="399"/>
      <c r="AS52" s="399"/>
      <c r="AT52" s="399"/>
      <c r="AU52" s="399"/>
      <c r="AV52" s="399"/>
    </row>
    <row r="53" spans="1:48">
      <c r="A53" s="848"/>
      <c r="B53" s="414"/>
      <c r="C53" s="476"/>
      <c r="D53" s="476"/>
      <c r="E53" s="476"/>
      <c r="F53" s="476"/>
      <c r="G53" s="490"/>
      <c r="H53" s="476"/>
      <c r="I53" s="476"/>
      <c r="J53" s="476"/>
      <c r="K53" s="490"/>
      <c r="L53" s="476"/>
      <c r="M53" s="476"/>
      <c r="N53" s="476"/>
      <c r="O53" s="490"/>
      <c r="P53" s="476"/>
      <c r="Q53" s="476"/>
      <c r="R53" s="476"/>
      <c r="S53" s="490"/>
      <c r="T53" s="476"/>
      <c r="U53" s="476"/>
      <c r="V53" s="476"/>
      <c r="W53" s="490"/>
      <c r="X53" s="476"/>
      <c r="Y53" s="589"/>
      <c r="Z53" s="476"/>
      <c r="AA53" s="490"/>
      <c r="AB53" s="476"/>
      <c r="AC53" s="476"/>
      <c r="AD53" s="413"/>
      <c r="AE53" s="490"/>
      <c r="AF53" s="413"/>
      <c r="AG53" s="413"/>
      <c r="AH53" s="413"/>
      <c r="AI53" s="490"/>
      <c r="AJ53" s="413"/>
      <c r="AK53" s="413"/>
      <c r="AL53" s="413"/>
      <c r="AM53" s="1795"/>
      <c r="AN53" s="365"/>
      <c r="AO53" s="399"/>
      <c r="AP53" s="399"/>
      <c r="AQ53" s="399"/>
      <c r="AR53" s="399"/>
      <c r="AS53" s="399"/>
      <c r="AT53" s="399"/>
      <c r="AU53" s="399"/>
      <c r="AV53" s="399"/>
    </row>
    <row r="54" spans="1:48">
      <c r="A54" s="770" t="s">
        <v>799</v>
      </c>
      <c r="B54" s="886" t="s">
        <v>767</v>
      </c>
      <c r="C54" s="887" t="s">
        <v>768</v>
      </c>
      <c r="D54" s="887" t="s">
        <v>769</v>
      </c>
      <c r="E54" s="887" t="s">
        <v>770</v>
      </c>
      <c r="F54" s="887" t="s">
        <v>771</v>
      </c>
      <c r="G54" s="888" t="s">
        <v>800</v>
      </c>
      <c r="H54" s="887" t="s">
        <v>801</v>
      </c>
      <c r="I54" s="887" t="s">
        <v>802</v>
      </c>
      <c r="J54" s="887" t="s">
        <v>803</v>
      </c>
      <c r="K54" s="888" t="s">
        <v>804</v>
      </c>
      <c r="L54" s="887" t="s">
        <v>805</v>
      </c>
      <c r="M54" s="887" t="s">
        <v>806</v>
      </c>
      <c r="N54" s="887" t="s">
        <v>807</v>
      </c>
      <c r="O54" s="888" t="s">
        <v>808</v>
      </c>
      <c r="P54" s="887" t="s">
        <v>809</v>
      </c>
      <c r="Q54" s="887" t="s">
        <v>810</v>
      </c>
      <c r="R54" s="887" t="s">
        <v>811</v>
      </c>
      <c r="S54" s="888" t="s">
        <v>812</v>
      </c>
      <c r="T54" s="887" t="s">
        <v>813</v>
      </c>
      <c r="U54" s="887" t="s">
        <v>814</v>
      </c>
      <c r="V54" s="887" t="s">
        <v>430</v>
      </c>
      <c r="W54" s="888" t="s">
        <v>431</v>
      </c>
      <c r="X54" s="887" t="s">
        <v>486</v>
      </c>
      <c r="Y54" s="887" t="s">
        <v>493</v>
      </c>
      <c r="Z54" s="887" t="s">
        <v>513</v>
      </c>
      <c r="AA54" s="888" t="s">
        <v>559</v>
      </c>
      <c r="AB54" s="887" t="s">
        <v>730</v>
      </c>
      <c r="AC54" s="887" t="s">
        <v>510</v>
      </c>
      <c r="AD54" s="887" t="s">
        <v>511</v>
      </c>
      <c r="AE54" s="888" t="s">
        <v>511</v>
      </c>
      <c r="AF54" s="887" t="s">
        <v>511</v>
      </c>
      <c r="AG54" s="887" t="s">
        <v>511</v>
      </c>
      <c r="AH54" s="887" t="s">
        <v>511</v>
      </c>
      <c r="AI54" s="888" t="s">
        <v>511</v>
      </c>
      <c r="AJ54" s="887" t="s">
        <v>511</v>
      </c>
      <c r="AK54" s="887" t="s">
        <v>511</v>
      </c>
      <c r="AL54" s="887" t="s">
        <v>511</v>
      </c>
      <c r="AM54" s="1795"/>
      <c r="AN54" s="369"/>
      <c r="AO54" s="368"/>
      <c r="AP54" s="368"/>
      <c r="AQ54" s="368"/>
      <c r="AR54" s="368"/>
      <c r="AS54" s="368"/>
      <c r="AT54" s="368"/>
      <c r="AU54" s="368"/>
      <c r="AV54" s="368"/>
    </row>
    <row r="55" spans="1:48">
      <c r="A55" s="372" t="s">
        <v>815</v>
      </c>
      <c r="B55" s="414"/>
      <c r="C55" s="476"/>
      <c r="D55" s="476"/>
      <c r="E55" s="476"/>
      <c r="F55" s="476"/>
      <c r="G55" s="490"/>
      <c r="H55" s="476"/>
      <c r="I55" s="476"/>
      <c r="J55" s="476"/>
      <c r="K55" s="490"/>
      <c r="L55" s="476"/>
      <c r="M55" s="476"/>
      <c r="N55" s="476"/>
      <c r="O55" s="490"/>
      <c r="P55" s="476"/>
      <c r="Q55" s="476"/>
      <c r="R55" s="476"/>
      <c r="S55" s="489"/>
      <c r="T55" s="589"/>
      <c r="U55" s="476"/>
      <c r="V55" s="476"/>
      <c r="W55" s="490"/>
      <c r="X55" s="476"/>
      <c r="Y55" s="589"/>
      <c r="Z55" s="476"/>
      <c r="AA55" s="490"/>
      <c r="AB55" s="476"/>
      <c r="AC55" s="476"/>
      <c r="AD55" s="413"/>
      <c r="AE55" s="490"/>
      <c r="AF55" s="413"/>
      <c r="AG55" s="413"/>
      <c r="AH55" s="413"/>
      <c r="AI55" s="490"/>
      <c r="AJ55" s="413"/>
      <c r="AK55" s="413"/>
      <c r="AL55" s="413"/>
      <c r="AM55" s="1795"/>
      <c r="AN55" s="365"/>
      <c r="AO55" s="399"/>
      <c r="AP55" s="399"/>
      <c r="AQ55" s="399"/>
      <c r="AR55" s="399"/>
      <c r="AS55" s="399"/>
      <c r="AT55" s="399"/>
      <c r="AU55" s="399"/>
      <c r="AV55" s="399"/>
    </row>
    <row r="56" spans="1:48">
      <c r="A56" s="848" t="s">
        <v>683</v>
      </c>
      <c r="B56" s="414"/>
      <c r="C56" s="476"/>
      <c r="D56" s="476"/>
      <c r="E56" s="476"/>
      <c r="F56" s="476"/>
      <c r="G56" s="490"/>
      <c r="H56" s="476"/>
      <c r="I56" s="476"/>
      <c r="J56" s="476"/>
      <c r="K56" s="490"/>
      <c r="L56" s="476"/>
      <c r="M56" s="476"/>
      <c r="N56" s="476"/>
      <c r="O56" s="490"/>
      <c r="P56" s="476"/>
      <c r="Q56" s="476"/>
      <c r="R56" s="476"/>
      <c r="S56" s="489"/>
      <c r="T56" s="589"/>
      <c r="U56" s="476"/>
      <c r="V56" s="476"/>
      <c r="W56" s="490"/>
      <c r="X56" s="476"/>
      <c r="Y56" s="589"/>
      <c r="Z56" s="476"/>
      <c r="AA56" s="490"/>
      <c r="AB56" s="476"/>
      <c r="AC56" s="476"/>
      <c r="AD56" s="413"/>
      <c r="AE56" s="490"/>
      <c r="AF56" s="413"/>
      <c r="AG56" s="413"/>
      <c r="AH56" s="413"/>
      <c r="AI56" s="490"/>
      <c r="AJ56" s="413"/>
      <c r="AK56" s="413"/>
      <c r="AL56" s="413"/>
      <c r="AM56" s="1795"/>
      <c r="AN56" s="365"/>
      <c r="AO56" s="399"/>
      <c r="AP56" s="399"/>
      <c r="AQ56" s="399"/>
      <c r="AR56" s="399"/>
      <c r="AS56" s="399"/>
      <c r="AT56" s="399"/>
      <c r="AU56" s="399"/>
      <c r="AV56" s="399"/>
    </row>
    <row r="57" spans="1:48">
      <c r="A57" s="801" t="s">
        <v>816</v>
      </c>
      <c r="B57" s="511"/>
      <c r="C57" s="889"/>
      <c r="D57" s="889"/>
      <c r="E57" s="889"/>
      <c r="F57" s="889"/>
      <c r="G57" s="824"/>
      <c r="H57" s="889"/>
      <c r="I57" s="889"/>
      <c r="J57" s="889"/>
      <c r="K57" s="824"/>
      <c r="L57" s="889"/>
      <c r="M57" s="889"/>
      <c r="N57" s="889"/>
      <c r="O57" s="824"/>
      <c r="P57" s="889"/>
      <c r="Q57" s="889"/>
      <c r="R57" s="889"/>
      <c r="S57" s="824"/>
      <c r="T57" s="889"/>
      <c r="U57" s="889"/>
      <c r="V57" s="889"/>
      <c r="W57" s="824"/>
      <c r="X57" s="889"/>
      <c r="Y57" s="889"/>
      <c r="Z57" s="889"/>
      <c r="AA57" s="824"/>
      <c r="AB57" s="889"/>
      <c r="AC57" s="889"/>
      <c r="AD57" s="510"/>
      <c r="AE57" s="824"/>
      <c r="AF57" s="510"/>
      <c r="AG57" s="510"/>
      <c r="AH57" s="511"/>
      <c r="AI57" s="824"/>
      <c r="AJ57" s="510"/>
      <c r="AK57" s="510"/>
      <c r="AL57" s="511"/>
      <c r="AM57" s="1795"/>
      <c r="AN57" s="365"/>
      <c r="AO57" s="399"/>
      <c r="AP57" s="399"/>
      <c r="AQ57" s="399"/>
      <c r="AR57" s="399"/>
      <c r="AS57" s="399"/>
      <c r="AT57" s="399"/>
      <c r="AU57" s="399"/>
      <c r="AV57" s="399"/>
    </row>
    <row r="58" spans="1:48">
      <c r="A58" s="784"/>
      <c r="B58" s="414"/>
      <c r="C58" s="476"/>
      <c r="D58" s="476"/>
      <c r="E58" s="476"/>
      <c r="F58" s="476"/>
      <c r="G58" s="490"/>
      <c r="H58" s="476"/>
      <c r="I58" s="476"/>
      <c r="J58" s="476"/>
      <c r="K58" s="490"/>
      <c r="L58" s="476"/>
      <c r="M58" s="476"/>
      <c r="N58" s="476"/>
      <c r="O58" s="490"/>
      <c r="P58" s="476"/>
      <c r="Q58" s="476"/>
      <c r="R58" s="476"/>
      <c r="S58" s="489"/>
      <c r="T58" s="589"/>
      <c r="U58" s="476"/>
      <c r="V58" s="476"/>
      <c r="W58" s="490"/>
      <c r="X58" s="476"/>
      <c r="Y58" s="589"/>
      <c r="Z58" s="476"/>
      <c r="AA58" s="490"/>
      <c r="AB58" s="476"/>
      <c r="AC58" s="476"/>
      <c r="AD58" s="413"/>
      <c r="AE58" s="490"/>
      <c r="AF58" s="413"/>
      <c r="AG58" s="413"/>
      <c r="AH58" s="414"/>
      <c r="AI58" s="490"/>
      <c r="AJ58" s="413"/>
      <c r="AK58" s="413"/>
      <c r="AL58" s="414"/>
      <c r="AM58" s="1795"/>
      <c r="AN58" s="365"/>
      <c r="AO58" s="399"/>
      <c r="AP58" s="399"/>
      <c r="AQ58" s="399"/>
      <c r="AR58" s="399"/>
      <c r="AS58" s="399"/>
      <c r="AT58" s="399"/>
      <c r="AU58" s="399"/>
      <c r="AV58" s="399"/>
    </row>
    <row r="59" spans="1:48">
      <c r="A59" s="142" t="s">
        <v>817</v>
      </c>
      <c r="B59" s="414"/>
      <c r="C59" s="476"/>
      <c r="D59" s="476"/>
      <c r="E59" s="476"/>
      <c r="F59" s="476"/>
      <c r="G59" s="490"/>
      <c r="H59" s="476"/>
      <c r="I59" s="476"/>
      <c r="J59" s="476"/>
      <c r="K59" s="490"/>
      <c r="L59" s="476"/>
      <c r="M59" s="476"/>
      <c r="N59" s="476"/>
      <c r="O59" s="490"/>
      <c r="P59" s="476"/>
      <c r="Q59" s="476"/>
      <c r="R59" s="476"/>
      <c r="S59" s="490"/>
      <c r="T59" s="476"/>
      <c r="U59" s="476"/>
      <c r="V59" s="476"/>
      <c r="W59" s="490"/>
      <c r="X59" s="476"/>
      <c r="Y59" s="589"/>
      <c r="Z59" s="476"/>
      <c r="AA59" s="490"/>
      <c r="AB59" s="476"/>
      <c r="AC59" s="476"/>
      <c r="AD59" s="413"/>
      <c r="AE59" s="490"/>
      <c r="AF59" s="413"/>
      <c r="AG59" s="413"/>
      <c r="AH59" s="414"/>
      <c r="AI59" s="490"/>
      <c r="AJ59" s="413"/>
      <c r="AK59" s="413"/>
      <c r="AL59" s="414"/>
      <c r="AM59" s="1795"/>
      <c r="AN59" s="365"/>
      <c r="AO59" s="399"/>
      <c r="AP59" s="399"/>
      <c r="AQ59" s="399"/>
      <c r="AR59" s="399"/>
      <c r="AS59" s="399"/>
      <c r="AT59" s="399"/>
      <c r="AU59" s="399"/>
      <c r="AV59" s="399"/>
    </row>
    <row r="60" spans="1:48">
      <c r="A60" s="606" t="s">
        <v>684</v>
      </c>
      <c r="B60" s="414"/>
      <c r="C60" s="476"/>
      <c r="D60" s="589"/>
      <c r="E60" s="589"/>
      <c r="F60" s="589"/>
      <c r="G60" s="489"/>
      <c r="H60" s="589"/>
      <c r="I60" s="890"/>
      <c r="J60" s="890"/>
      <c r="K60" s="572"/>
      <c r="L60" s="890"/>
      <c r="M60" s="890"/>
      <c r="N60" s="890"/>
      <c r="O60" s="572"/>
      <c r="P60" s="890"/>
      <c r="Q60" s="890"/>
      <c r="R60" s="890"/>
      <c r="S60" s="489">
        <v>634000</v>
      </c>
      <c r="T60" s="451">
        <v>755000</v>
      </c>
      <c r="U60" s="451">
        <v>586000</v>
      </c>
      <c r="V60" s="451">
        <v>565000</v>
      </c>
      <c r="W60" s="489">
        <v>541000</v>
      </c>
      <c r="X60" s="451">
        <v>1796000</v>
      </c>
      <c r="Y60" s="451">
        <v>2074000</v>
      </c>
      <c r="Z60" s="451">
        <v>2406000</v>
      </c>
      <c r="AA60" s="489">
        <v>1196000</v>
      </c>
      <c r="AB60" s="451">
        <v>1118000</v>
      </c>
      <c r="AC60" s="451">
        <v>1967000</v>
      </c>
      <c r="AD60" s="451">
        <v>372000</v>
      </c>
      <c r="AE60" s="489">
        <v>424000</v>
      </c>
      <c r="AF60" s="451">
        <v>0</v>
      </c>
      <c r="AG60" s="451">
        <v>0</v>
      </c>
      <c r="AH60" s="451">
        <v>0</v>
      </c>
      <c r="AI60" s="489">
        <v>0</v>
      </c>
      <c r="AJ60" s="451">
        <v>0</v>
      </c>
      <c r="AK60" s="451">
        <v>0</v>
      </c>
      <c r="AL60" s="451">
        <v>0</v>
      </c>
      <c r="AM60" s="1795"/>
      <c r="AN60" s="365"/>
      <c r="AO60" s="451">
        <v>565000</v>
      </c>
      <c r="AP60" s="451">
        <v>2406000</v>
      </c>
      <c r="AQ60" s="451">
        <v>372000</v>
      </c>
      <c r="AR60" s="451">
        <v>0</v>
      </c>
      <c r="AS60" s="451">
        <v>0</v>
      </c>
      <c r="AT60" s="451">
        <v>0</v>
      </c>
      <c r="AU60" s="451">
        <v>0</v>
      </c>
      <c r="AV60" s="451">
        <v>0</v>
      </c>
    </row>
    <row r="61" spans="1:48">
      <c r="A61" s="606" t="s">
        <v>573</v>
      </c>
      <c r="B61" s="569"/>
      <c r="C61" s="589"/>
      <c r="D61" s="589"/>
      <c r="E61" s="589"/>
      <c r="F61" s="589"/>
      <c r="G61" s="489"/>
      <c r="H61" s="589"/>
      <c r="I61" s="589"/>
      <c r="J61" s="589"/>
      <c r="K61" s="489"/>
      <c r="L61" s="589"/>
      <c r="M61" s="589"/>
      <c r="N61" s="589"/>
      <c r="O61" s="489"/>
      <c r="P61" s="589"/>
      <c r="Q61" s="589"/>
      <c r="R61" s="589"/>
      <c r="S61" s="489">
        <v>0</v>
      </c>
      <c r="T61" s="451">
        <v>0</v>
      </c>
      <c r="U61" s="451">
        <v>0</v>
      </c>
      <c r="V61" s="451">
        <v>0</v>
      </c>
      <c r="W61" s="489">
        <v>0</v>
      </c>
      <c r="X61" s="451">
        <v>0</v>
      </c>
      <c r="Y61" s="451">
        <v>0</v>
      </c>
      <c r="Z61" s="451">
        <v>0</v>
      </c>
      <c r="AA61" s="489">
        <v>656000</v>
      </c>
      <c r="AB61" s="451">
        <v>661000</v>
      </c>
      <c r="AC61" s="451">
        <v>0</v>
      </c>
      <c r="AD61" s="451">
        <v>0</v>
      </c>
      <c r="AE61" s="489">
        <v>0</v>
      </c>
      <c r="AF61" s="451">
        <v>0</v>
      </c>
      <c r="AG61" s="451">
        <v>0</v>
      </c>
      <c r="AH61" s="451">
        <v>0</v>
      </c>
      <c r="AI61" s="489">
        <v>0</v>
      </c>
      <c r="AJ61" s="451">
        <v>0</v>
      </c>
      <c r="AK61" s="451">
        <v>0</v>
      </c>
      <c r="AL61" s="451">
        <v>0</v>
      </c>
      <c r="AM61" s="1795"/>
      <c r="AN61" s="365"/>
      <c r="AO61" s="451">
        <v>0</v>
      </c>
      <c r="AP61" s="451">
        <v>0</v>
      </c>
      <c r="AQ61" s="451">
        <v>0</v>
      </c>
      <c r="AR61" s="451">
        <v>0</v>
      </c>
      <c r="AS61" s="451">
        <v>0</v>
      </c>
      <c r="AT61" s="451">
        <v>0</v>
      </c>
      <c r="AU61" s="451">
        <v>0</v>
      </c>
      <c r="AV61" s="451">
        <v>0</v>
      </c>
    </row>
    <row r="62" spans="1:48">
      <c r="A62" s="606" t="s">
        <v>819</v>
      </c>
      <c r="B62" s="569"/>
      <c r="C62" s="589"/>
      <c r="D62" s="589"/>
      <c r="E62" s="589"/>
      <c r="F62" s="589"/>
      <c r="G62" s="489"/>
      <c r="H62" s="589"/>
      <c r="I62" s="589"/>
      <c r="J62" s="589"/>
      <c r="K62" s="489"/>
      <c r="L62" s="589"/>
      <c r="M62" s="589"/>
      <c r="N62" s="589"/>
      <c r="O62" s="489"/>
      <c r="P62" s="589"/>
      <c r="Q62" s="589"/>
      <c r="R62" s="589"/>
      <c r="S62" s="489">
        <v>1510000</v>
      </c>
      <c r="T62" s="451">
        <v>1561000</v>
      </c>
      <c r="U62" s="451">
        <v>1454000</v>
      </c>
      <c r="V62" s="451">
        <v>1465000</v>
      </c>
      <c r="W62" s="489">
        <v>1360000</v>
      </c>
      <c r="X62" s="451">
        <v>1331000</v>
      </c>
      <c r="Y62" s="451">
        <v>1343000</v>
      </c>
      <c r="Z62" s="451">
        <v>1302000</v>
      </c>
      <c r="AA62" s="489">
        <v>1245000</v>
      </c>
      <c r="AB62" s="451">
        <v>1247000</v>
      </c>
      <c r="AC62" s="451">
        <v>1259000</v>
      </c>
      <c r="AD62" s="451">
        <v>1264000</v>
      </c>
      <c r="AE62" s="489">
        <v>1188000</v>
      </c>
      <c r="AF62" s="451">
        <v>0</v>
      </c>
      <c r="AG62" s="451">
        <v>0</v>
      </c>
      <c r="AH62" s="451">
        <v>0</v>
      </c>
      <c r="AI62" s="489">
        <v>0</v>
      </c>
      <c r="AJ62" s="451">
        <v>0</v>
      </c>
      <c r="AK62" s="451">
        <v>0</v>
      </c>
      <c r="AL62" s="451">
        <v>0</v>
      </c>
      <c r="AM62" s="1795"/>
      <c r="AN62" s="365"/>
      <c r="AO62" s="451">
        <v>1465000</v>
      </c>
      <c r="AP62" s="451">
        <v>1302000</v>
      </c>
      <c r="AQ62" s="451">
        <v>1264000</v>
      </c>
      <c r="AR62" s="451">
        <v>0</v>
      </c>
      <c r="AS62" s="451">
        <v>0</v>
      </c>
      <c r="AT62" s="451">
        <v>0</v>
      </c>
      <c r="AU62" s="451">
        <v>0</v>
      </c>
      <c r="AV62" s="451">
        <v>0</v>
      </c>
    </row>
    <row r="63" spans="1:48">
      <c r="A63" s="606" t="s">
        <v>685</v>
      </c>
      <c r="B63" s="569"/>
      <c r="C63" s="589"/>
      <c r="D63" s="589"/>
      <c r="E63" s="589"/>
      <c r="F63" s="589"/>
      <c r="G63" s="489"/>
      <c r="H63" s="589"/>
      <c r="I63" s="589"/>
      <c r="J63" s="589"/>
      <c r="K63" s="489"/>
      <c r="L63" s="589"/>
      <c r="M63" s="589"/>
      <c r="N63" s="589"/>
      <c r="O63" s="489"/>
      <c r="P63" s="589"/>
      <c r="Q63" s="589"/>
      <c r="R63" s="589"/>
      <c r="S63" s="489">
        <v>0</v>
      </c>
      <c r="T63" s="451">
        <v>0</v>
      </c>
      <c r="U63" s="451">
        <v>0</v>
      </c>
      <c r="V63" s="451">
        <v>0</v>
      </c>
      <c r="W63" s="489">
        <v>0</v>
      </c>
      <c r="X63" s="451">
        <v>0</v>
      </c>
      <c r="Y63" s="451">
        <v>0</v>
      </c>
      <c r="Z63" s="451">
        <v>0</v>
      </c>
      <c r="AA63" s="489">
        <v>0</v>
      </c>
      <c r="AB63" s="451">
        <v>0</v>
      </c>
      <c r="AC63" s="451">
        <v>0</v>
      </c>
      <c r="AD63" s="451">
        <v>0</v>
      </c>
      <c r="AE63" s="489">
        <v>0</v>
      </c>
      <c r="AF63" s="451">
        <v>0</v>
      </c>
      <c r="AG63" s="451">
        <v>0</v>
      </c>
      <c r="AH63" s="451">
        <v>0</v>
      </c>
      <c r="AI63" s="489">
        <v>0</v>
      </c>
      <c r="AJ63" s="451">
        <v>0</v>
      </c>
      <c r="AK63" s="451">
        <v>0</v>
      </c>
      <c r="AL63" s="451">
        <v>0</v>
      </c>
      <c r="AM63" s="1795"/>
      <c r="AN63" s="365"/>
      <c r="AO63" s="451">
        <v>0</v>
      </c>
      <c r="AP63" s="451">
        <v>0</v>
      </c>
      <c r="AQ63" s="451">
        <v>0</v>
      </c>
      <c r="AR63" s="451">
        <v>0</v>
      </c>
      <c r="AS63" s="451">
        <v>0</v>
      </c>
      <c r="AT63" s="451">
        <v>0</v>
      </c>
      <c r="AU63" s="451">
        <v>0</v>
      </c>
      <c r="AV63" s="451">
        <v>0</v>
      </c>
    </row>
    <row r="64" spans="1:48">
      <c r="A64" s="606" t="s">
        <v>574</v>
      </c>
      <c r="B64" s="569"/>
      <c r="C64" s="589"/>
      <c r="D64" s="589"/>
      <c r="E64" s="589"/>
      <c r="F64" s="589"/>
      <c r="G64" s="489"/>
      <c r="H64" s="589"/>
      <c r="I64" s="589"/>
      <c r="J64" s="589"/>
      <c r="K64" s="489"/>
      <c r="L64" s="589"/>
      <c r="M64" s="589"/>
      <c r="N64" s="589"/>
      <c r="O64" s="489"/>
      <c r="P64" s="589"/>
      <c r="Q64" s="589"/>
      <c r="R64" s="589"/>
      <c r="S64" s="489">
        <v>609000</v>
      </c>
      <c r="T64" s="451">
        <v>583000</v>
      </c>
      <c r="U64" s="451">
        <v>577000</v>
      </c>
      <c r="V64" s="451">
        <v>572000</v>
      </c>
      <c r="W64" s="489">
        <v>589000</v>
      </c>
      <c r="X64" s="451">
        <v>576000</v>
      </c>
      <c r="Y64" s="451">
        <v>569000</v>
      </c>
      <c r="Z64" s="451">
        <v>538000</v>
      </c>
      <c r="AA64" s="489">
        <v>527000</v>
      </c>
      <c r="AB64" s="451">
        <v>538000</v>
      </c>
      <c r="AC64" s="451">
        <v>536000</v>
      </c>
      <c r="AD64" s="451">
        <v>234000</v>
      </c>
      <c r="AE64" s="489">
        <v>159000</v>
      </c>
      <c r="AF64" s="451">
        <v>0</v>
      </c>
      <c r="AG64" s="451">
        <v>0</v>
      </c>
      <c r="AH64" s="451">
        <v>0</v>
      </c>
      <c r="AI64" s="489">
        <v>0</v>
      </c>
      <c r="AJ64" s="451">
        <v>0</v>
      </c>
      <c r="AK64" s="451">
        <v>0</v>
      </c>
      <c r="AL64" s="451">
        <v>0</v>
      </c>
      <c r="AM64" s="1795"/>
      <c r="AN64" s="365"/>
      <c r="AO64" s="451">
        <v>572000</v>
      </c>
      <c r="AP64" s="451">
        <v>538000</v>
      </c>
      <c r="AQ64" s="451">
        <v>234000</v>
      </c>
      <c r="AR64" s="451">
        <v>0</v>
      </c>
      <c r="AS64" s="451">
        <v>0</v>
      </c>
      <c r="AT64" s="451">
        <v>0</v>
      </c>
      <c r="AU64" s="451">
        <v>0</v>
      </c>
      <c r="AV64" s="451">
        <v>0</v>
      </c>
    </row>
    <row r="65" spans="1:48">
      <c r="A65" s="606" t="s">
        <v>575</v>
      </c>
      <c r="B65" s="569"/>
      <c r="C65" s="589"/>
      <c r="D65" s="589"/>
      <c r="E65" s="589"/>
      <c r="F65" s="589"/>
      <c r="G65" s="489"/>
      <c r="H65" s="589"/>
      <c r="I65" s="589"/>
      <c r="J65" s="589"/>
      <c r="K65" s="489"/>
      <c r="L65" s="589"/>
      <c r="M65" s="589"/>
      <c r="N65" s="589"/>
      <c r="O65" s="489"/>
      <c r="P65" s="589"/>
      <c r="Q65" s="589"/>
      <c r="R65" s="589"/>
      <c r="S65" s="489">
        <v>415000</v>
      </c>
      <c r="T65" s="451">
        <v>359000</v>
      </c>
      <c r="U65" s="451">
        <v>349000</v>
      </c>
      <c r="V65" s="451">
        <v>368000</v>
      </c>
      <c r="W65" s="489">
        <v>377000</v>
      </c>
      <c r="X65" s="451">
        <v>345000</v>
      </c>
      <c r="Y65" s="451">
        <v>361000</v>
      </c>
      <c r="Z65" s="451">
        <v>368000</v>
      </c>
      <c r="AA65" s="489">
        <v>381000</v>
      </c>
      <c r="AB65" s="451">
        <v>316000</v>
      </c>
      <c r="AC65" s="451">
        <v>323000</v>
      </c>
      <c r="AD65" s="451">
        <v>360000</v>
      </c>
      <c r="AE65" s="489">
        <v>342000</v>
      </c>
      <c r="AF65" s="451">
        <v>0</v>
      </c>
      <c r="AG65" s="451">
        <v>0</v>
      </c>
      <c r="AH65" s="451">
        <v>0</v>
      </c>
      <c r="AI65" s="489">
        <v>0</v>
      </c>
      <c r="AJ65" s="451">
        <v>0</v>
      </c>
      <c r="AK65" s="451">
        <v>0</v>
      </c>
      <c r="AL65" s="451">
        <v>0</v>
      </c>
      <c r="AM65" s="1795"/>
      <c r="AN65" s="365"/>
      <c r="AO65" s="451">
        <v>368000</v>
      </c>
      <c r="AP65" s="451">
        <v>368000</v>
      </c>
      <c r="AQ65" s="451">
        <v>360000</v>
      </c>
      <c r="AR65" s="451">
        <v>0</v>
      </c>
      <c r="AS65" s="451">
        <v>0</v>
      </c>
      <c r="AT65" s="451">
        <v>0</v>
      </c>
      <c r="AU65" s="451">
        <v>0</v>
      </c>
      <c r="AV65" s="451">
        <v>0</v>
      </c>
    </row>
    <row r="66" spans="1:48">
      <c r="A66" s="142" t="s">
        <v>822</v>
      </c>
      <c r="B66" s="790"/>
      <c r="C66" s="141"/>
      <c r="D66" s="891"/>
      <c r="E66" s="891"/>
      <c r="F66" s="891"/>
      <c r="G66" s="778"/>
      <c r="H66" s="891"/>
      <c r="I66" s="891"/>
      <c r="J66" s="891"/>
      <c r="K66" s="778"/>
      <c r="L66" s="891"/>
      <c r="M66" s="891"/>
      <c r="N66" s="891"/>
      <c r="O66" s="778"/>
      <c r="P66" s="891"/>
      <c r="Q66" s="891"/>
      <c r="R66" s="891"/>
      <c r="S66" s="610">
        <v>3168000</v>
      </c>
      <c r="T66" s="499">
        <v>3258000</v>
      </c>
      <c r="U66" s="499">
        <v>2966000</v>
      </c>
      <c r="V66" s="499">
        <v>2970000</v>
      </c>
      <c r="W66" s="610">
        <v>2867000</v>
      </c>
      <c r="X66" s="499">
        <v>4048000</v>
      </c>
      <c r="Y66" s="499">
        <v>4347000</v>
      </c>
      <c r="Z66" s="499">
        <v>4614000</v>
      </c>
      <c r="AA66" s="610">
        <v>4005000</v>
      </c>
      <c r="AB66" s="499">
        <v>3880000</v>
      </c>
      <c r="AC66" s="499">
        <v>4085000</v>
      </c>
      <c r="AD66" s="499">
        <v>2230000</v>
      </c>
      <c r="AE66" s="610">
        <v>2113000</v>
      </c>
      <c r="AF66" s="499">
        <v>0</v>
      </c>
      <c r="AG66" s="499">
        <v>0</v>
      </c>
      <c r="AH66" s="499">
        <v>0</v>
      </c>
      <c r="AI66" s="610">
        <v>0</v>
      </c>
      <c r="AJ66" s="499">
        <v>0</v>
      </c>
      <c r="AK66" s="499">
        <v>0</v>
      </c>
      <c r="AL66" s="499">
        <v>0</v>
      </c>
      <c r="AM66" s="1796"/>
      <c r="AN66" s="364"/>
      <c r="AO66" s="499">
        <v>2970000</v>
      </c>
      <c r="AP66" s="499">
        <v>4614000</v>
      </c>
      <c r="AQ66" s="499">
        <v>2230000</v>
      </c>
      <c r="AR66" s="499">
        <v>0</v>
      </c>
      <c r="AS66" s="499">
        <v>0</v>
      </c>
      <c r="AT66" s="499">
        <v>0</v>
      </c>
      <c r="AU66" s="499">
        <v>0</v>
      </c>
      <c r="AV66" s="499">
        <v>0</v>
      </c>
    </row>
    <row r="67" spans="1:48">
      <c r="A67" s="802"/>
      <c r="B67" s="414"/>
      <c r="C67" s="476"/>
      <c r="D67" s="589"/>
      <c r="E67" s="589"/>
      <c r="F67" s="589"/>
      <c r="G67" s="489"/>
      <c r="H67" s="589"/>
      <c r="I67" s="589"/>
      <c r="J67" s="589"/>
      <c r="K67" s="489"/>
      <c r="L67" s="589"/>
      <c r="M67" s="589"/>
      <c r="N67" s="589"/>
      <c r="O67" s="489"/>
      <c r="P67" s="476"/>
      <c r="Q67" s="476"/>
      <c r="R67" s="476"/>
      <c r="S67" s="490"/>
      <c r="T67" s="413"/>
      <c r="U67" s="413"/>
      <c r="V67" s="413"/>
      <c r="W67" s="490"/>
      <c r="X67" s="413"/>
      <c r="Y67" s="413"/>
      <c r="Z67" s="413"/>
      <c r="AA67" s="490"/>
      <c r="AB67" s="413"/>
      <c r="AC67" s="413"/>
      <c r="AD67" s="413"/>
      <c r="AE67" s="490"/>
      <c r="AF67" s="413"/>
      <c r="AG67" s="413"/>
      <c r="AH67" s="413"/>
      <c r="AI67" s="490"/>
      <c r="AJ67" s="413"/>
      <c r="AK67" s="413"/>
      <c r="AL67" s="413"/>
      <c r="AM67" s="1795"/>
      <c r="AN67" s="365"/>
      <c r="AO67" s="413"/>
      <c r="AP67" s="413"/>
      <c r="AQ67" s="413"/>
      <c r="AR67" s="413"/>
      <c r="AS67" s="413"/>
      <c r="AT67" s="413"/>
      <c r="AU67" s="413"/>
      <c r="AV67" s="413"/>
    </row>
    <row r="68" spans="1:48">
      <c r="A68" s="606" t="s">
        <v>686</v>
      </c>
      <c r="B68" s="414"/>
      <c r="C68" s="476"/>
      <c r="D68" s="589"/>
      <c r="E68" s="589"/>
      <c r="F68" s="589"/>
      <c r="G68" s="489"/>
      <c r="H68" s="589"/>
      <c r="I68" s="589"/>
      <c r="J68" s="589"/>
      <c r="K68" s="489"/>
      <c r="L68" s="589"/>
      <c r="M68" s="589"/>
      <c r="N68" s="589"/>
      <c r="O68" s="489"/>
      <c r="P68" s="476"/>
      <c r="Q68" s="476"/>
      <c r="R68" s="476"/>
      <c r="S68" s="490">
        <v>46675000</v>
      </c>
      <c r="T68" s="413">
        <v>46972000</v>
      </c>
      <c r="U68" s="413">
        <v>47184000</v>
      </c>
      <c r="V68" s="413">
        <v>46770000</v>
      </c>
      <c r="W68" s="490">
        <v>46624000</v>
      </c>
      <c r="X68" s="413">
        <v>46635000</v>
      </c>
      <c r="Y68" s="413">
        <v>46560000</v>
      </c>
      <c r="Z68" s="413">
        <v>46600000</v>
      </c>
      <c r="AA68" s="490">
        <v>46676000</v>
      </c>
      <c r="AB68" s="413">
        <v>46782000</v>
      </c>
      <c r="AC68" s="413">
        <v>47060000</v>
      </c>
      <c r="AD68" s="413">
        <v>47407000</v>
      </c>
      <c r="AE68" s="490">
        <v>47551000</v>
      </c>
      <c r="AF68" s="413">
        <v>0</v>
      </c>
      <c r="AG68" s="413">
        <v>0</v>
      </c>
      <c r="AH68" s="413">
        <v>0</v>
      </c>
      <c r="AI68" s="490">
        <v>0</v>
      </c>
      <c r="AJ68" s="413">
        <v>0</v>
      </c>
      <c r="AK68" s="413">
        <v>0</v>
      </c>
      <c r="AL68" s="413">
        <v>0</v>
      </c>
      <c r="AM68" s="1795"/>
      <c r="AN68" s="365"/>
      <c r="AO68" s="413">
        <v>46770000</v>
      </c>
      <c r="AP68" s="413">
        <v>46600000</v>
      </c>
      <c r="AQ68" s="413">
        <v>47407000</v>
      </c>
      <c r="AR68" s="413">
        <v>0</v>
      </c>
      <c r="AS68" s="413">
        <v>0</v>
      </c>
      <c r="AT68" s="413">
        <v>0</v>
      </c>
      <c r="AU68" s="413">
        <v>0</v>
      </c>
      <c r="AV68" s="413">
        <v>0</v>
      </c>
    </row>
    <row r="69" spans="1:48">
      <c r="A69" s="606" t="s">
        <v>827</v>
      </c>
      <c r="B69" s="414"/>
      <c r="C69" s="476"/>
      <c r="D69" s="589"/>
      <c r="E69" s="589"/>
      <c r="F69" s="589"/>
      <c r="G69" s="489"/>
      <c r="H69" s="589"/>
      <c r="I69" s="589"/>
      <c r="J69" s="589"/>
      <c r="K69" s="489"/>
      <c r="L69" s="589"/>
      <c r="M69" s="589"/>
      <c r="N69" s="589"/>
      <c r="O69" s="489"/>
      <c r="P69" s="476"/>
      <c r="Q69" s="476"/>
      <c r="R69" s="476"/>
      <c r="S69" s="490">
        <v>-33176000</v>
      </c>
      <c r="T69" s="413">
        <v>-33522000</v>
      </c>
      <c r="U69" s="413">
        <v>-33883000</v>
      </c>
      <c r="V69" s="413">
        <v>-33725000</v>
      </c>
      <c r="W69" s="490">
        <v>-33808000</v>
      </c>
      <c r="X69" s="413">
        <v>-34013000</v>
      </c>
      <c r="Y69" s="413">
        <v>-34161000</v>
      </c>
      <c r="Z69" s="413">
        <v>-34301000</v>
      </c>
      <c r="AA69" s="490">
        <v>-34598000</v>
      </c>
      <c r="AB69" s="413">
        <v>-34853000</v>
      </c>
      <c r="AC69" s="413">
        <v>-35230000</v>
      </c>
      <c r="AD69" s="413">
        <v>-35550000</v>
      </c>
      <c r="AE69" s="490">
        <v>-35886000</v>
      </c>
      <c r="AF69" s="413">
        <v>0</v>
      </c>
      <c r="AG69" s="413">
        <v>0</v>
      </c>
      <c r="AH69" s="413">
        <v>0</v>
      </c>
      <c r="AI69" s="490">
        <v>0</v>
      </c>
      <c r="AJ69" s="413">
        <v>0</v>
      </c>
      <c r="AK69" s="413">
        <v>0</v>
      </c>
      <c r="AL69" s="413">
        <v>0</v>
      </c>
      <c r="AM69" s="1795"/>
      <c r="AN69" s="365"/>
      <c r="AO69" s="413">
        <v>-33725000</v>
      </c>
      <c r="AP69" s="413">
        <v>-34301000</v>
      </c>
      <c r="AQ69" s="413">
        <v>-35550000</v>
      </c>
      <c r="AR69" s="413">
        <v>0</v>
      </c>
      <c r="AS69" s="413">
        <v>0</v>
      </c>
      <c r="AT69" s="413">
        <v>0</v>
      </c>
      <c r="AU69" s="413">
        <v>0</v>
      </c>
      <c r="AV69" s="413">
        <v>0</v>
      </c>
    </row>
    <row r="70" spans="1:48">
      <c r="A70" s="606" t="s">
        <v>687</v>
      </c>
      <c r="B70" s="414"/>
      <c r="C70" s="476"/>
      <c r="D70" s="589"/>
      <c r="E70" s="589"/>
      <c r="F70" s="589"/>
      <c r="G70" s="489"/>
      <c r="H70" s="589"/>
      <c r="I70" s="589"/>
      <c r="J70" s="589"/>
      <c r="K70" s="489"/>
      <c r="L70" s="589"/>
      <c r="M70" s="589"/>
      <c r="N70" s="589"/>
      <c r="O70" s="489"/>
      <c r="P70" s="476"/>
      <c r="Q70" s="476"/>
      <c r="R70" s="476"/>
      <c r="S70" s="490">
        <v>13499000</v>
      </c>
      <c r="T70" s="413">
        <v>13450000</v>
      </c>
      <c r="U70" s="413">
        <v>13301000</v>
      </c>
      <c r="V70" s="413">
        <v>13045000</v>
      </c>
      <c r="W70" s="490">
        <v>12816000</v>
      </c>
      <c r="X70" s="413">
        <v>12622000</v>
      </c>
      <c r="Y70" s="413">
        <v>12399000</v>
      </c>
      <c r="Z70" s="413">
        <v>12299000</v>
      </c>
      <c r="AA70" s="490">
        <v>12078000</v>
      </c>
      <c r="AB70" s="413">
        <v>11929000</v>
      </c>
      <c r="AC70" s="413">
        <v>11830000</v>
      </c>
      <c r="AD70" s="413">
        <v>11857000</v>
      </c>
      <c r="AE70" s="490">
        <v>11665000</v>
      </c>
      <c r="AF70" s="413">
        <v>0</v>
      </c>
      <c r="AG70" s="413">
        <v>0</v>
      </c>
      <c r="AH70" s="413">
        <v>0</v>
      </c>
      <c r="AI70" s="490">
        <v>0</v>
      </c>
      <c r="AJ70" s="413">
        <v>0</v>
      </c>
      <c r="AK70" s="413">
        <v>0</v>
      </c>
      <c r="AL70" s="413">
        <v>0</v>
      </c>
      <c r="AM70" s="1795"/>
      <c r="AN70" s="365"/>
      <c r="AO70" s="413">
        <v>13045000</v>
      </c>
      <c r="AP70" s="413">
        <v>12299000</v>
      </c>
      <c r="AQ70" s="413">
        <v>11857000</v>
      </c>
      <c r="AR70" s="413">
        <v>0</v>
      </c>
      <c r="AS70" s="413">
        <v>0</v>
      </c>
      <c r="AT70" s="413">
        <v>0</v>
      </c>
      <c r="AU70" s="413">
        <v>0</v>
      </c>
      <c r="AV70" s="413">
        <v>0</v>
      </c>
    </row>
    <row r="71" spans="1:48">
      <c r="A71" s="606" t="s">
        <v>576</v>
      </c>
      <c r="B71" s="414"/>
      <c r="C71" s="476"/>
      <c r="D71" s="589"/>
      <c r="E71" s="589"/>
      <c r="F71" s="589"/>
      <c r="G71" s="489"/>
      <c r="H71" s="589"/>
      <c r="I71" s="589"/>
      <c r="J71" s="589"/>
      <c r="K71" s="489"/>
      <c r="L71" s="589"/>
      <c r="M71" s="589"/>
      <c r="N71" s="589"/>
      <c r="O71" s="489"/>
      <c r="P71" s="476"/>
      <c r="Q71" s="476"/>
      <c r="R71" s="476"/>
      <c r="S71" s="490">
        <v>0</v>
      </c>
      <c r="T71" s="413">
        <v>0</v>
      </c>
      <c r="U71" s="413">
        <v>0</v>
      </c>
      <c r="V71" s="413">
        <v>0</v>
      </c>
      <c r="W71" s="490">
        <v>0</v>
      </c>
      <c r="X71" s="413">
        <v>0</v>
      </c>
      <c r="Y71" s="413">
        <v>0</v>
      </c>
      <c r="Z71" s="413">
        <v>0</v>
      </c>
      <c r="AA71" s="490">
        <v>0</v>
      </c>
      <c r="AB71" s="413">
        <v>0</v>
      </c>
      <c r="AC71" s="413">
        <v>0</v>
      </c>
      <c r="AD71" s="413">
        <v>0</v>
      </c>
      <c r="AE71" s="490">
        <v>0</v>
      </c>
      <c r="AF71" s="413">
        <v>0</v>
      </c>
      <c r="AG71" s="413">
        <v>0</v>
      </c>
      <c r="AH71" s="413">
        <v>0</v>
      </c>
      <c r="AI71" s="490">
        <v>0</v>
      </c>
      <c r="AJ71" s="413">
        <v>0</v>
      </c>
      <c r="AK71" s="413">
        <v>0</v>
      </c>
      <c r="AL71" s="413">
        <v>0</v>
      </c>
      <c r="AM71" s="1795"/>
      <c r="AN71" s="365"/>
      <c r="AO71" s="413">
        <v>0</v>
      </c>
      <c r="AP71" s="413">
        <v>0</v>
      </c>
      <c r="AQ71" s="413">
        <v>0</v>
      </c>
      <c r="AR71" s="413">
        <v>0</v>
      </c>
      <c r="AS71" s="413">
        <v>0</v>
      </c>
      <c r="AT71" s="413">
        <v>0</v>
      </c>
      <c r="AU71" s="413">
        <v>0</v>
      </c>
      <c r="AV71" s="413">
        <v>0</v>
      </c>
    </row>
    <row r="72" spans="1:48">
      <c r="A72" s="606" t="s">
        <v>579</v>
      </c>
      <c r="B72" s="414"/>
      <c r="C72" s="476"/>
      <c r="D72" s="589"/>
      <c r="E72" s="589"/>
      <c r="F72" s="589"/>
      <c r="G72" s="489"/>
      <c r="H72" s="589"/>
      <c r="I72" s="589"/>
      <c r="J72" s="589"/>
      <c r="K72" s="489"/>
      <c r="L72" s="589"/>
      <c r="M72" s="589"/>
      <c r="N72" s="589"/>
      <c r="O72" s="489"/>
      <c r="P72" s="476"/>
      <c r="Q72" s="476"/>
      <c r="R72" s="476"/>
      <c r="S72" s="490">
        <v>868000</v>
      </c>
      <c r="T72" s="413">
        <v>862000</v>
      </c>
      <c r="U72" s="413">
        <v>864000</v>
      </c>
      <c r="V72" s="413">
        <v>875000</v>
      </c>
      <c r="W72" s="490">
        <v>880000</v>
      </c>
      <c r="X72" s="413">
        <v>885000</v>
      </c>
      <c r="Y72" s="413">
        <v>888000</v>
      </c>
      <c r="Z72" s="413">
        <v>911000</v>
      </c>
      <c r="AA72" s="490">
        <v>912000</v>
      </c>
      <c r="AB72" s="413">
        <v>917000</v>
      </c>
      <c r="AC72" s="413">
        <v>923000</v>
      </c>
      <c r="AD72" s="413">
        <v>888000</v>
      </c>
      <c r="AE72" s="490">
        <v>887000</v>
      </c>
      <c r="AF72" s="413">
        <v>0</v>
      </c>
      <c r="AG72" s="413">
        <v>0</v>
      </c>
      <c r="AH72" s="413">
        <v>0</v>
      </c>
      <c r="AI72" s="490">
        <v>0</v>
      </c>
      <c r="AJ72" s="413">
        <v>0</v>
      </c>
      <c r="AK72" s="413">
        <v>0</v>
      </c>
      <c r="AL72" s="413">
        <v>0</v>
      </c>
      <c r="AM72" s="1795"/>
      <c r="AN72" s="365"/>
      <c r="AO72" s="413">
        <v>875000</v>
      </c>
      <c r="AP72" s="413">
        <v>911000</v>
      </c>
      <c r="AQ72" s="413">
        <v>888000</v>
      </c>
      <c r="AR72" s="413">
        <v>0</v>
      </c>
      <c r="AS72" s="413">
        <v>0</v>
      </c>
      <c r="AT72" s="413">
        <v>0</v>
      </c>
      <c r="AU72" s="413">
        <v>0</v>
      </c>
      <c r="AV72" s="413">
        <v>0</v>
      </c>
    </row>
    <row r="73" spans="1:48">
      <c r="A73" s="606" t="s">
        <v>918</v>
      </c>
      <c r="B73" s="414"/>
      <c r="C73" s="476"/>
      <c r="D73" s="589"/>
      <c r="E73" s="589"/>
      <c r="F73" s="589"/>
      <c r="G73" s="489"/>
      <c r="H73" s="589"/>
      <c r="I73" s="890"/>
      <c r="J73" s="890"/>
      <c r="K73" s="572"/>
      <c r="L73" s="890"/>
      <c r="M73" s="890"/>
      <c r="N73" s="890"/>
      <c r="O73" s="572"/>
      <c r="P73" s="890"/>
      <c r="Q73" s="890"/>
      <c r="R73" s="890"/>
      <c r="S73" s="490">
        <v>1491000</v>
      </c>
      <c r="T73" s="413">
        <v>1404000</v>
      </c>
      <c r="U73" s="413">
        <v>1192000</v>
      </c>
      <c r="V73" s="413">
        <v>2168000</v>
      </c>
      <c r="W73" s="490">
        <v>2051000</v>
      </c>
      <c r="X73" s="413">
        <v>2063000</v>
      </c>
      <c r="Y73" s="413">
        <v>2003000</v>
      </c>
      <c r="Z73" s="413">
        <v>1971000</v>
      </c>
      <c r="AA73" s="490">
        <v>1772000</v>
      </c>
      <c r="AB73" s="413">
        <v>1658000</v>
      </c>
      <c r="AC73" s="413">
        <v>1537000</v>
      </c>
      <c r="AD73" s="413">
        <v>1686000</v>
      </c>
      <c r="AE73" s="490">
        <v>1616000</v>
      </c>
      <c r="AF73" s="413">
        <v>0</v>
      </c>
      <c r="AG73" s="413">
        <v>0</v>
      </c>
      <c r="AH73" s="413">
        <v>0</v>
      </c>
      <c r="AI73" s="490">
        <v>0</v>
      </c>
      <c r="AJ73" s="413">
        <v>0</v>
      </c>
      <c r="AK73" s="413">
        <v>0</v>
      </c>
      <c r="AL73" s="413">
        <v>0</v>
      </c>
      <c r="AM73" s="1795"/>
      <c r="AN73" s="365"/>
      <c r="AO73" s="413">
        <v>2168000</v>
      </c>
      <c r="AP73" s="413">
        <v>1971000</v>
      </c>
      <c r="AQ73" s="413">
        <v>1686000</v>
      </c>
      <c r="AR73" s="413">
        <v>0</v>
      </c>
      <c r="AS73" s="413">
        <v>0</v>
      </c>
      <c r="AT73" s="413">
        <v>0</v>
      </c>
      <c r="AU73" s="413">
        <v>0</v>
      </c>
      <c r="AV73" s="413">
        <v>0</v>
      </c>
    </row>
    <row r="74" spans="1:48">
      <c r="A74" s="606" t="s">
        <v>829</v>
      </c>
      <c r="B74" s="414"/>
      <c r="C74" s="476"/>
      <c r="D74" s="589"/>
      <c r="E74" s="589"/>
      <c r="F74" s="589"/>
      <c r="G74" s="489"/>
      <c r="H74" s="589"/>
      <c r="I74" s="890"/>
      <c r="J74" s="890"/>
      <c r="K74" s="572"/>
      <c r="L74" s="890"/>
      <c r="M74" s="890"/>
      <c r="N74" s="890"/>
      <c r="O74" s="572"/>
      <c r="P74" s="890"/>
      <c r="Q74" s="890"/>
      <c r="R74" s="890"/>
      <c r="S74" s="490">
        <v>2862000</v>
      </c>
      <c r="T74" s="413">
        <v>2869000</v>
      </c>
      <c r="U74" s="413">
        <v>2869000</v>
      </c>
      <c r="V74" s="413">
        <v>1083000</v>
      </c>
      <c r="W74" s="490">
        <v>1097000</v>
      </c>
      <c r="X74" s="413">
        <v>608000</v>
      </c>
      <c r="Y74" s="413">
        <v>588000</v>
      </c>
      <c r="Z74" s="413">
        <v>585000</v>
      </c>
      <c r="AA74" s="490">
        <v>595000</v>
      </c>
      <c r="AB74" s="413">
        <v>575000</v>
      </c>
      <c r="AC74" s="413">
        <v>584000</v>
      </c>
      <c r="AD74" s="413">
        <v>559000</v>
      </c>
      <c r="AE74" s="490">
        <v>568000</v>
      </c>
      <c r="AF74" s="413">
        <v>0</v>
      </c>
      <c r="AG74" s="413">
        <v>0</v>
      </c>
      <c r="AH74" s="413">
        <v>0</v>
      </c>
      <c r="AI74" s="490">
        <v>0</v>
      </c>
      <c r="AJ74" s="413">
        <v>0</v>
      </c>
      <c r="AK74" s="413">
        <v>0</v>
      </c>
      <c r="AL74" s="413">
        <v>0</v>
      </c>
      <c r="AM74" s="1795"/>
      <c r="AN74" s="365"/>
      <c r="AO74" s="413">
        <v>1083000</v>
      </c>
      <c r="AP74" s="413">
        <v>585000</v>
      </c>
      <c r="AQ74" s="413">
        <v>559000</v>
      </c>
      <c r="AR74" s="413">
        <v>0</v>
      </c>
      <c r="AS74" s="413">
        <v>0</v>
      </c>
      <c r="AT74" s="413">
        <v>0</v>
      </c>
      <c r="AU74" s="413">
        <v>0</v>
      </c>
      <c r="AV74" s="413">
        <v>0</v>
      </c>
    </row>
    <row r="75" spans="1:48">
      <c r="A75" s="865" t="s">
        <v>681</v>
      </c>
      <c r="B75" s="790"/>
      <c r="C75" s="141"/>
      <c r="D75" s="891"/>
      <c r="E75" s="891"/>
      <c r="F75" s="891"/>
      <c r="G75" s="778"/>
      <c r="H75" s="891"/>
      <c r="I75" s="891"/>
      <c r="J75" s="891"/>
      <c r="K75" s="778"/>
      <c r="L75" s="891"/>
      <c r="M75" s="891"/>
      <c r="N75" s="891"/>
      <c r="O75" s="778"/>
      <c r="P75" s="891"/>
      <c r="Q75" s="891"/>
      <c r="R75" s="891"/>
      <c r="S75" s="778">
        <v>18720000</v>
      </c>
      <c r="T75" s="149">
        <v>18585000</v>
      </c>
      <c r="U75" s="149">
        <v>18226000</v>
      </c>
      <c r="V75" s="149">
        <v>17171000</v>
      </c>
      <c r="W75" s="778">
        <v>16844000</v>
      </c>
      <c r="X75" s="149">
        <v>16178000</v>
      </c>
      <c r="Y75" s="149">
        <v>15878000</v>
      </c>
      <c r="Z75" s="149">
        <v>15766000</v>
      </c>
      <c r="AA75" s="778">
        <v>15357000</v>
      </c>
      <c r="AB75" s="149">
        <v>15079000</v>
      </c>
      <c r="AC75" s="149">
        <v>14874000</v>
      </c>
      <c r="AD75" s="149">
        <v>14990000</v>
      </c>
      <c r="AE75" s="778">
        <v>14736000</v>
      </c>
      <c r="AF75" s="149">
        <v>0</v>
      </c>
      <c r="AG75" s="149">
        <v>0</v>
      </c>
      <c r="AH75" s="149">
        <v>0</v>
      </c>
      <c r="AI75" s="778">
        <v>0</v>
      </c>
      <c r="AJ75" s="149">
        <v>0</v>
      </c>
      <c r="AK75" s="149">
        <v>0</v>
      </c>
      <c r="AL75" s="149">
        <v>0</v>
      </c>
      <c r="AM75" s="1796"/>
      <c r="AN75" s="364"/>
      <c r="AO75" s="149">
        <v>17171000</v>
      </c>
      <c r="AP75" s="149">
        <v>15766000</v>
      </c>
      <c r="AQ75" s="149">
        <v>14990000</v>
      </c>
      <c r="AR75" s="149">
        <v>0</v>
      </c>
      <c r="AS75" s="149">
        <v>0</v>
      </c>
      <c r="AT75" s="149">
        <v>0</v>
      </c>
      <c r="AU75" s="149">
        <v>0</v>
      </c>
      <c r="AV75" s="149">
        <v>0</v>
      </c>
    </row>
    <row r="76" spans="1:48">
      <c r="A76" s="142"/>
      <c r="B76" s="414"/>
      <c r="C76" s="476"/>
      <c r="D76" s="589"/>
      <c r="E76" s="589"/>
      <c r="F76" s="589"/>
      <c r="G76" s="489"/>
      <c r="H76" s="589"/>
      <c r="I76" s="589"/>
      <c r="J76" s="589"/>
      <c r="K76" s="489"/>
      <c r="L76" s="589"/>
      <c r="M76" s="589"/>
      <c r="N76" s="589"/>
      <c r="O76" s="489"/>
      <c r="P76" s="589"/>
      <c r="Q76" s="589"/>
      <c r="R76" s="589"/>
      <c r="S76" s="489"/>
      <c r="T76" s="451"/>
      <c r="U76" s="451"/>
      <c r="V76" s="451"/>
      <c r="W76" s="489"/>
      <c r="X76" s="451"/>
      <c r="Y76" s="451"/>
      <c r="Z76" s="569"/>
      <c r="AA76" s="451"/>
      <c r="AB76" s="451"/>
      <c r="AC76" s="451"/>
      <c r="AD76" s="451"/>
      <c r="AE76" s="489"/>
      <c r="AF76" s="451"/>
      <c r="AG76" s="451"/>
      <c r="AH76" s="451"/>
      <c r="AI76" s="489"/>
      <c r="AJ76" s="451"/>
      <c r="AK76" s="451"/>
      <c r="AL76" s="451"/>
      <c r="AM76" s="1795"/>
      <c r="AN76" s="365"/>
      <c r="AO76" s="451"/>
      <c r="AP76" s="451"/>
      <c r="AQ76" s="451"/>
      <c r="AR76" s="451"/>
      <c r="AS76" s="451"/>
      <c r="AT76" s="451"/>
      <c r="AU76" s="451"/>
      <c r="AV76" s="451"/>
    </row>
    <row r="77" spans="1:48">
      <c r="A77" s="142" t="s">
        <v>833</v>
      </c>
      <c r="B77" s="790"/>
      <c r="C77" s="141"/>
      <c r="D77" s="891"/>
      <c r="E77" s="891"/>
      <c r="F77" s="891"/>
      <c r="G77" s="778"/>
      <c r="H77" s="891"/>
      <c r="I77" s="891"/>
      <c r="J77" s="891"/>
      <c r="K77" s="778"/>
      <c r="L77" s="891"/>
      <c r="M77" s="891"/>
      <c r="N77" s="891"/>
      <c r="O77" s="778"/>
      <c r="P77" s="891"/>
      <c r="Q77" s="891"/>
      <c r="R77" s="891"/>
      <c r="S77" s="778">
        <v>21888000</v>
      </c>
      <c r="T77" s="149">
        <v>21843000</v>
      </c>
      <c r="U77" s="149">
        <v>21192000</v>
      </c>
      <c r="V77" s="149">
        <v>20141000</v>
      </c>
      <c r="W77" s="778">
        <v>19711000</v>
      </c>
      <c r="X77" s="149">
        <v>20226000</v>
      </c>
      <c r="Y77" s="149">
        <v>20225000</v>
      </c>
      <c r="Z77" s="779">
        <v>20380000</v>
      </c>
      <c r="AA77" s="149">
        <v>19362000</v>
      </c>
      <c r="AB77" s="149">
        <v>18959000</v>
      </c>
      <c r="AC77" s="149">
        <v>18959000</v>
      </c>
      <c r="AD77" s="149">
        <v>17220000</v>
      </c>
      <c r="AE77" s="778">
        <v>16849000</v>
      </c>
      <c r="AF77" s="149">
        <v>0</v>
      </c>
      <c r="AG77" s="149">
        <v>0</v>
      </c>
      <c r="AH77" s="149">
        <v>0</v>
      </c>
      <c r="AI77" s="778">
        <v>0</v>
      </c>
      <c r="AJ77" s="149">
        <v>0</v>
      </c>
      <c r="AK77" s="149">
        <v>0</v>
      </c>
      <c r="AL77" s="149">
        <v>0</v>
      </c>
      <c r="AM77" s="1795"/>
      <c r="AN77" s="365"/>
      <c r="AO77" s="149">
        <v>20141000</v>
      </c>
      <c r="AP77" s="149">
        <v>20380000</v>
      </c>
      <c r="AQ77" s="149">
        <v>17220000</v>
      </c>
      <c r="AR77" s="149">
        <v>0</v>
      </c>
      <c r="AS77" s="149">
        <v>0</v>
      </c>
      <c r="AT77" s="149">
        <v>0</v>
      </c>
      <c r="AU77" s="149">
        <v>0</v>
      </c>
      <c r="AV77" s="149">
        <v>0</v>
      </c>
    </row>
    <row r="78" spans="1:48">
      <c r="A78" s="802"/>
      <c r="B78" s="868"/>
      <c r="C78" s="137"/>
      <c r="D78" s="137"/>
      <c r="E78" s="476"/>
      <c r="F78" s="476"/>
      <c r="G78" s="490"/>
      <c r="H78" s="589"/>
      <c r="I78" s="589"/>
      <c r="J78" s="589"/>
      <c r="K78" s="489"/>
      <c r="L78" s="589"/>
      <c r="M78" s="589"/>
      <c r="N78" s="589"/>
      <c r="O78" s="489"/>
      <c r="P78" s="476"/>
      <c r="Q78" s="476"/>
      <c r="R78" s="476"/>
      <c r="S78" s="490"/>
      <c r="T78" s="476"/>
      <c r="U78" s="476"/>
      <c r="V78" s="414"/>
      <c r="W78" s="413"/>
      <c r="X78" s="589"/>
      <c r="Y78" s="589"/>
      <c r="Z78" s="569"/>
      <c r="AA78" s="589"/>
      <c r="AB78" s="589"/>
      <c r="AC78" s="589"/>
      <c r="AD78" s="451"/>
      <c r="AE78" s="489"/>
      <c r="AF78" s="451"/>
      <c r="AG78" s="451"/>
      <c r="AH78" s="451"/>
      <c r="AI78" s="489"/>
      <c r="AJ78" s="451"/>
      <c r="AK78" s="451"/>
      <c r="AL78" s="451"/>
      <c r="AM78" s="1795"/>
      <c r="AN78" s="365"/>
      <c r="AO78" s="451"/>
      <c r="AP78" s="451"/>
      <c r="AQ78" s="451"/>
      <c r="AR78" s="451"/>
      <c r="AS78" s="451"/>
      <c r="AT78" s="451"/>
      <c r="AU78" s="451"/>
      <c r="AV78" s="451"/>
    </row>
    <row r="79" spans="1:48">
      <c r="A79" s="801" t="s">
        <v>834</v>
      </c>
      <c r="B79" s="800"/>
      <c r="C79" s="892"/>
      <c r="D79" s="892"/>
      <c r="E79" s="889"/>
      <c r="F79" s="889"/>
      <c r="G79" s="824"/>
      <c r="H79" s="889"/>
      <c r="I79" s="889"/>
      <c r="J79" s="889"/>
      <c r="K79" s="824"/>
      <c r="L79" s="889"/>
      <c r="M79" s="889"/>
      <c r="N79" s="889"/>
      <c r="O79" s="824"/>
      <c r="P79" s="889"/>
      <c r="Q79" s="889"/>
      <c r="R79" s="889"/>
      <c r="S79" s="824"/>
      <c r="T79" s="889"/>
      <c r="U79" s="889"/>
      <c r="V79" s="511"/>
      <c r="W79" s="510"/>
      <c r="X79" s="889"/>
      <c r="Y79" s="889"/>
      <c r="Z79" s="511"/>
      <c r="AA79" s="889"/>
      <c r="AB79" s="889"/>
      <c r="AC79" s="889"/>
      <c r="AD79" s="510"/>
      <c r="AE79" s="824"/>
      <c r="AF79" s="510"/>
      <c r="AG79" s="510"/>
      <c r="AH79" s="510"/>
      <c r="AI79" s="824"/>
      <c r="AJ79" s="510"/>
      <c r="AK79" s="510"/>
      <c r="AL79" s="510"/>
      <c r="AM79" s="1795"/>
      <c r="AN79" s="365"/>
      <c r="AO79" s="510"/>
      <c r="AP79" s="510"/>
      <c r="AQ79" s="510"/>
      <c r="AR79" s="510"/>
      <c r="AS79" s="510"/>
      <c r="AT79" s="510"/>
      <c r="AU79" s="510"/>
      <c r="AV79" s="510"/>
    </row>
    <row r="80" spans="1:48">
      <c r="A80" s="802"/>
      <c r="B80" s="868"/>
      <c r="C80" s="137"/>
      <c r="D80" s="137"/>
      <c r="E80" s="476"/>
      <c r="F80" s="476"/>
      <c r="G80" s="490"/>
      <c r="H80" s="589"/>
      <c r="I80" s="589"/>
      <c r="J80" s="589"/>
      <c r="K80" s="489"/>
      <c r="L80" s="589"/>
      <c r="M80" s="589"/>
      <c r="N80" s="589"/>
      <c r="O80" s="489"/>
      <c r="P80" s="476"/>
      <c r="Q80" s="476"/>
      <c r="R80" s="413"/>
      <c r="S80" s="490"/>
      <c r="T80" s="476"/>
      <c r="U80" s="476"/>
      <c r="V80" s="414"/>
      <c r="W80" s="490"/>
      <c r="X80" s="476"/>
      <c r="Y80" s="476"/>
      <c r="Z80" s="414"/>
      <c r="AA80" s="476"/>
      <c r="AB80" s="476"/>
      <c r="AC80" s="476"/>
      <c r="AD80" s="413"/>
      <c r="AE80" s="490"/>
      <c r="AF80" s="413"/>
      <c r="AG80" s="413"/>
      <c r="AH80" s="413"/>
      <c r="AI80" s="490"/>
      <c r="AJ80" s="413"/>
      <c r="AK80" s="413"/>
      <c r="AL80" s="413"/>
      <c r="AM80" s="1795"/>
      <c r="AN80" s="365"/>
      <c r="AO80" s="413"/>
      <c r="AP80" s="413"/>
      <c r="AQ80" s="413"/>
      <c r="AR80" s="413"/>
      <c r="AS80" s="413"/>
      <c r="AT80" s="413"/>
      <c r="AU80" s="413"/>
      <c r="AV80" s="413"/>
    </row>
    <row r="81" spans="1:48">
      <c r="A81" s="142" t="s">
        <v>835</v>
      </c>
      <c r="B81" s="868"/>
      <c r="C81" s="137"/>
      <c r="D81" s="137"/>
      <c r="E81" s="476"/>
      <c r="F81" s="476"/>
      <c r="G81" s="490"/>
      <c r="H81" s="589"/>
      <c r="I81" s="589"/>
      <c r="J81" s="589"/>
      <c r="K81" s="489"/>
      <c r="L81" s="589"/>
      <c r="M81" s="589"/>
      <c r="N81" s="589"/>
      <c r="O81" s="489"/>
      <c r="P81" s="476"/>
      <c r="Q81" s="476"/>
      <c r="R81" s="413"/>
      <c r="S81" s="490"/>
      <c r="T81" s="476"/>
      <c r="U81" s="476"/>
      <c r="V81" s="414"/>
      <c r="W81" s="490"/>
      <c r="X81" s="476"/>
      <c r="Y81" s="476"/>
      <c r="Z81" s="414"/>
      <c r="AA81" s="476"/>
      <c r="AB81" s="476"/>
      <c r="AC81" s="476"/>
      <c r="AD81" s="413"/>
      <c r="AE81" s="490"/>
      <c r="AF81" s="413"/>
      <c r="AG81" s="413"/>
      <c r="AH81" s="413"/>
      <c r="AI81" s="490"/>
      <c r="AJ81" s="413"/>
      <c r="AK81" s="413"/>
      <c r="AL81" s="413"/>
      <c r="AM81" s="1795"/>
      <c r="AN81" s="365"/>
      <c r="AO81" s="413"/>
      <c r="AP81" s="413"/>
      <c r="AQ81" s="413"/>
      <c r="AR81" s="413"/>
      <c r="AS81" s="413"/>
      <c r="AT81" s="413"/>
      <c r="AU81" s="413"/>
      <c r="AV81" s="413"/>
    </row>
    <row r="82" spans="1:48">
      <c r="A82" s="606" t="s">
        <v>688</v>
      </c>
      <c r="B82" s="868"/>
      <c r="C82" s="137"/>
      <c r="D82" s="137"/>
      <c r="E82" s="476"/>
      <c r="F82" s="476"/>
      <c r="G82" s="490"/>
      <c r="H82" s="589"/>
      <c r="I82" s="890"/>
      <c r="J82" s="890"/>
      <c r="K82" s="572"/>
      <c r="L82" s="890"/>
      <c r="M82" s="890"/>
      <c r="N82" s="890"/>
      <c r="O82" s="572"/>
      <c r="P82" s="890"/>
      <c r="Q82" s="890"/>
      <c r="R82" s="622"/>
      <c r="S82" s="489">
        <v>852000</v>
      </c>
      <c r="T82" s="451">
        <v>851000</v>
      </c>
      <c r="U82" s="451">
        <v>1240000</v>
      </c>
      <c r="V82" s="569">
        <v>820000</v>
      </c>
      <c r="W82" s="489">
        <v>587000</v>
      </c>
      <c r="X82" s="451">
        <v>1085000</v>
      </c>
      <c r="Y82" s="451">
        <v>925000</v>
      </c>
      <c r="Z82" s="569">
        <v>2196000</v>
      </c>
      <c r="AA82" s="451">
        <v>2046000</v>
      </c>
      <c r="AB82" s="451">
        <v>1554000</v>
      </c>
      <c r="AC82" s="451">
        <v>2191000</v>
      </c>
      <c r="AD82" s="451">
        <v>1089000</v>
      </c>
      <c r="AE82" s="489">
        <v>2422000</v>
      </c>
      <c r="AF82" s="451">
        <v>0</v>
      </c>
      <c r="AG82" s="451">
        <v>0</v>
      </c>
      <c r="AH82" s="451">
        <v>0</v>
      </c>
      <c r="AI82" s="489">
        <v>0</v>
      </c>
      <c r="AJ82" s="451">
        <v>0</v>
      </c>
      <c r="AK82" s="451">
        <v>0</v>
      </c>
      <c r="AL82" s="451">
        <v>0</v>
      </c>
      <c r="AM82" s="1795"/>
      <c r="AN82" s="365"/>
      <c r="AO82" s="451">
        <v>820000</v>
      </c>
      <c r="AP82" s="451">
        <v>2196000</v>
      </c>
      <c r="AQ82" s="451">
        <v>1089000</v>
      </c>
      <c r="AR82" s="451">
        <v>0</v>
      </c>
      <c r="AS82" s="451">
        <v>0</v>
      </c>
      <c r="AT82" s="451">
        <v>0</v>
      </c>
      <c r="AU82" s="451">
        <v>0</v>
      </c>
      <c r="AV82" s="451">
        <v>0</v>
      </c>
    </row>
    <row r="83" spans="1:48">
      <c r="A83" s="606" t="s">
        <v>837</v>
      </c>
      <c r="B83" s="868"/>
      <c r="C83" s="137"/>
      <c r="D83" s="137"/>
      <c r="E83" s="589"/>
      <c r="F83" s="589"/>
      <c r="G83" s="489"/>
      <c r="H83" s="589"/>
      <c r="I83" s="890"/>
      <c r="J83" s="890"/>
      <c r="K83" s="572"/>
      <c r="L83" s="890"/>
      <c r="M83" s="890"/>
      <c r="N83" s="890"/>
      <c r="O83" s="572"/>
      <c r="P83" s="890"/>
      <c r="Q83" s="890"/>
      <c r="R83" s="622"/>
      <c r="S83" s="489">
        <v>933000</v>
      </c>
      <c r="T83" s="451">
        <v>930000</v>
      </c>
      <c r="U83" s="451">
        <v>933000</v>
      </c>
      <c r="V83" s="569">
        <v>820000</v>
      </c>
      <c r="W83" s="489">
        <v>791000</v>
      </c>
      <c r="X83" s="451">
        <v>767000</v>
      </c>
      <c r="Y83" s="451">
        <v>754000</v>
      </c>
      <c r="Z83" s="569">
        <v>765000</v>
      </c>
      <c r="AA83" s="451">
        <v>658000</v>
      </c>
      <c r="AB83" s="451">
        <v>686000</v>
      </c>
      <c r="AC83" s="451">
        <v>759000</v>
      </c>
      <c r="AD83" s="451">
        <v>1033000</v>
      </c>
      <c r="AE83" s="489">
        <v>908000</v>
      </c>
      <c r="AF83" s="451">
        <v>0</v>
      </c>
      <c r="AG83" s="451">
        <v>0</v>
      </c>
      <c r="AH83" s="451">
        <v>0</v>
      </c>
      <c r="AI83" s="489">
        <v>0</v>
      </c>
      <c r="AJ83" s="451">
        <v>0</v>
      </c>
      <c r="AK83" s="451">
        <v>0</v>
      </c>
      <c r="AL83" s="451">
        <v>0</v>
      </c>
      <c r="AM83" s="1795"/>
      <c r="AN83" s="365"/>
      <c r="AO83" s="451">
        <v>820000</v>
      </c>
      <c r="AP83" s="451">
        <v>765000</v>
      </c>
      <c r="AQ83" s="451">
        <v>1033000</v>
      </c>
      <c r="AR83" s="451">
        <v>0</v>
      </c>
      <c r="AS83" s="451">
        <v>0</v>
      </c>
      <c r="AT83" s="451">
        <v>0</v>
      </c>
      <c r="AU83" s="451">
        <v>0</v>
      </c>
      <c r="AV83" s="451">
        <v>0</v>
      </c>
    </row>
    <row r="84" spans="1:48">
      <c r="A84" s="606" t="s">
        <v>689</v>
      </c>
      <c r="B84" s="868"/>
      <c r="C84" s="137"/>
      <c r="D84" s="137"/>
      <c r="E84" s="589"/>
      <c r="F84" s="589"/>
      <c r="G84" s="489"/>
      <c r="H84" s="589"/>
      <c r="I84" s="890"/>
      <c r="J84" s="890"/>
      <c r="K84" s="572"/>
      <c r="L84" s="890"/>
      <c r="M84" s="890"/>
      <c r="N84" s="890"/>
      <c r="O84" s="572"/>
      <c r="P84" s="890"/>
      <c r="Q84" s="890"/>
      <c r="R84" s="622"/>
      <c r="S84" s="489">
        <v>1546000</v>
      </c>
      <c r="T84" s="451">
        <v>1567000</v>
      </c>
      <c r="U84" s="451">
        <v>1417000</v>
      </c>
      <c r="V84" s="569">
        <v>1641000</v>
      </c>
      <c r="W84" s="489">
        <v>1268000</v>
      </c>
      <c r="X84" s="451">
        <v>1385000</v>
      </c>
      <c r="Y84" s="451">
        <v>1355000</v>
      </c>
      <c r="Z84" s="569">
        <v>1580000</v>
      </c>
      <c r="AA84" s="451">
        <v>1344000</v>
      </c>
      <c r="AB84" s="451">
        <v>1523000</v>
      </c>
      <c r="AC84" s="451">
        <v>1752000</v>
      </c>
      <c r="AD84" s="451">
        <v>1189000</v>
      </c>
      <c r="AE84" s="489">
        <v>1076000</v>
      </c>
      <c r="AF84" s="451">
        <v>0</v>
      </c>
      <c r="AG84" s="451">
        <v>0</v>
      </c>
      <c r="AH84" s="451">
        <v>0</v>
      </c>
      <c r="AI84" s="489">
        <v>0</v>
      </c>
      <c r="AJ84" s="451">
        <v>0</v>
      </c>
      <c r="AK84" s="451">
        <v>0</v>
      </c>
      <c r="AL84" s="451">
        <v>0</v>
      </c>
      <c r="AM84" s="1795"/>
      <c r="AN84" s="365"/>
      <c r="AO84" s="451">
        <v>1641000</v>
      </c>
      <c r="AP84" s="451">
        <v>1580000</v>
      </c>
      <c r="AQ84" s="451">
        <v>1189000</v>
      </c>
      <c r="AR84" s="451">
        <v>0</v>
      </c>
      <c r="AS84" s="451">
        <v>0</v>
      </c>
      <c r="AT84" s="451">
        <v>0</v>
      </c>
      <c r="AU84" s="451">
        <v>0</v>
      </c>
      <c r="AV84" s="451">
        <v>0</v>
      </c>
    </row>
    <row r="85" spans="1:48">
      <c r="A85" s="606" t="s">
        <v>581</v>
      </c>
      <c r="B85" s="868"/>
      <c r="C85" s="137"/>
      <c r="D85" s="137"/>
      <c r="E85" s="589"/>
      <c r="F85" s="589"/>
      <c r="G85" s="489"/>
      <c r="H85" s="589"/>
      <c r="I85" s="890"/>
      <c r="J85" s="890"/>
      <c r="K85" s="572"/>
      <c r="L85" s="890"/>
      <c r="M85" s="890"/>
      <c r="N85" s="890"/>
      <c r="O85" s="572"/>
      <c r="P85" s="890"/>
      <c r="Q85" s="890"/>
      <c r="R85" s="622"/>
      <c r="S85" s="489">
        <v>593000</v>
      </c>
      <c r="T85" s="451">
        <v>585000</v>
      </c>
      <c r="U85" s="451">
        <v>587000</v>
      </c>
      <c r="V85" s="569">
        <v>572000</v>
      </c>
      <c r="W85" s="489">
        <v>565000</v>
      </c>
      <c r="X85" s="451">
        <v>551000</v>
      </c>
      <c r="Y85" s="451">
        <v>547000</v>
      </c>
      <c r="Z85" s="569">
        <v>556000</v>
      </c>
      <c r="AA85" s="451">
        <v>542000</v>
      </c>
      <c r="AB85" s="451">
        <v>541000</v>
      </c>
      <c r="AC85" s="451">
        <v>546000</v>
      </c>
      <c r="AD85" s="451">
        <v>551000</v>
      </c>
      <c r="AE85" s="489">
        <v>535000</v>
      </c>
      <c r="AF85" s="451">
        <v>0</v>
      </c>
      <c r="AG85" s="451">
        <v>0</v>
      </c>
      <c r="AH85" s="451">
        <v>0</v>
      </c>
      <c r="AI85" s="489">
        <v>0</v>
      </c>
      <c r="AJ85" s="451">
        <v>0</v>
      </c>
      <c r="AK85" s="451">
        <v>0</v>
      </c>
      <c r="AL85" s="451">
        <v>0</v>
      </c>
      <c r="AM85" s="1795"/>
      <c r="AN85" s="365"/>
      <c r="AO85" s="451">
        <v>572000</v>
      </c>
      <c r="AP85" s="451">
        <v>556000</v>
      </c>
      <c r="AQ85" s="451">
        <v>551000</v>
      </c>
      <c r="AR85" s="451">
        <v>0</v>
      </c>
      <c r="AS85" s="451">
        <v>0</v>
      </c>
      <c r="AT85" s="451">
        <v>0</v>
      </c>
      <c r="AU85" s="451">
        <v>0</v>
      </c>
      <c r="AV85" s="451">
        <v>0</v>
      </c>
    </row>
    <row r="86" spans="1:48">
      <c r="A86" s="606" t="s">
        <v>690</v>
      </c>
      <c r="B86" s="868"/>
      <c r="C86" s="137"/>
      <c r="D86" s="137"/>
      <c r="E86" s="476"/>
      <c r="F86" s="476"/>
      <c r="G86" s="490"/>
      <c r="H86" s="589"/>
      <c r="I86" s="890"/>
      <c r="J86" s="890"/>
      <c r="K86" s="572"/>
      <c r="L86" s="890"/>
      <c r="M86" s="890"/>
      <c r="N86" s="890"/>
      <c r="O86" s="572"/>
      <c r="P86" s="890"/>
      <c r="Q86" s="890"/>
      <c r="R86" s="622"/>
      <c r="S86" s="489">
        <v>0</v>
      </c>
      <c r="T86" s="451">
        <v>0</v>
      </c>
      <c r="U86" s="451">
        <v>0</v>
      </c>
      <c r="V86" s="569">
        <v>0</v>
      </c>
      <c r="W86" s="489">
        <v>0</v>
      </c>
      <c r="X86" s="451">
        <v>0</v>
      </c>
      <c r="Y86" s="451">
        <v>0</v>
      </c>
      <c r="Z86" s="569">
        <v>0</v>
      </c>
      <c r="AA86" s="451">
        <v>0</v>
      </c>
      <c r="AB86" s="451">
        <v>0</v>
      </c>
      <c r="AC86" s="451">
        <v>0</v>
      </c>
      <c r="AD86" s="451">
        <v>0</v>
      </c>
      <c r="AE86" s="489">
        <v>0</v>
      </c>
      <c r="AF86" s="451">
        <v>0</v>
      </c>
      <c r="AG86" s="451">
        <v>0</v>
      </c>
      <c r="AH86" s="451">
        <v>0</v>
      </c>
      <c r="AI86" s="489">
        <v>0</v>
      </c>
      <c r="AJ86" s="451">
        <v>0</v>
      </c>
      <c r="AK86" s="451">
        <v>0</v>
      </c>
      <c r="AL86" s="451">
        <v>0</v>
      </c>
      <c r="AM86" s="1795"/>
      <c r="AN86" s="365"/>
      <c r="AO86" s="451">
        <v>0</v>
      </c>
      <c r="AP86" s="451">
        <v>0</v>
      </c>
      <c r="AQ86" s="451">
        <v>0</v>
      </c>
      <c r="AR86" s="451">
        <v>0</v>
      </c>
      <c r="AS86" s="451">
        <v>0</v>
      </c>
      <c r="AT86" s="451">
        <v>0</v>
      </c>
      <c r="AU86" s="451">
        <v>0</v>
      </c>
      <c r="AV86" s="451">
        <v>0</v>
      </c>
    </row>
    <row r="87" spans="1:48">
      <c r="A87" s="142" t="s">
        <v>841</v>
      </c>
      <c r="B87" s="868"/>
      <c r="C87" s="137"/>
      <c r="D87" s="137"/>
      <c r="E87" s="476"/>
      <c r="F87" s="476"/>
      <c r="G87" s="490"/>
      <c r="H87" s="589"/>
      <c r="I87" s="585"/>
      <c r="J87" s="585"/>
      <c r="K87" s="610"/>
      <c r="L87" s="585"/>
      <c r="M87" s="585"/>
      <c r="N87" s="585"/>
      <c r="O87" s="610"/>
      <c r="P87" s="585"/>
      <c r="Q87" s="585"/>
      <c r="R87" s="499"/>
      <c r="S87" s="610">
        <v>3924000</v>
      </c>
      <c r="T87" s="499">
        <v>3933000</v>
      </c>
      <c r="U87" s="499">
        <v>4177000</v>
      </c>
      <c r="V87" s="608">
        <v>3853000</v>
      </c>
      <c r="W87" s="610">
        <v>3211000</v>
      </c>
      <c r="X87" s="585">
        <v>3788000</v>
      </c>
      <c r="Y87" s="585">
        <v>3581000</v>
      </c>
      <c r="Z87" s="608">
        <v>5097000</v>
      </c>
      <c r="AA87" s="585">
        <v>4590000</v>
      </c>
      <c r="AB87" s="585">
        <v>4304000</v>
      </c>
      <c r="AC87" s="585">
        <v>5248000</v>
      </c>
      <c r="AD87" s="499">
        <v>3862000</v>
      </c>
      <c r="AE87" s="610">
        <v>4941000</v>
      </c>
      <c r="AF87" s="499">
        <v>0</v>
      </c>
      <c r="AG87" s="499">
        <v>0</v>
      </c>
      <c r="AH87" s="499">
        <v>0</v>
      </c>
      <c r="AI87" s="610">
        <v>0</v>
      </c>
      <c r="AJ87" s="499">
        <v>0</v>
      </c>
      <c r="AK87" s="499">
        <v>0</v>
      </c>
      <c r="AL87" s="499">
        <v>0</v>
      </c>
      <c r="AM87" s="1795"/>
      <c r="AN87" s="365"/>
      <c r="AO87" s="499">
        <v>3853000</v>
      </c>
      <c r="AP87" s="499">
        <v>5097000</v>
      </c>
      <c r="AQ87" s="499">
        <v>3862000</v>
      </c>
      <c r="AR87" s="499">
        <v>0</v>
      </c>
      <c r="AS87" s="499">
        <v>0</v>
      </c>
      <c r="AT87" s="499">
        <v>0</v>
      </c>
      <c r="AU87" s="499">
        <v>0</v>
      </c>
      <c r="AV87" s="499">
        <v>0</v>
      </c>
    </row>
    <row r="88" spans="1:48">
      <c r="A88" s="142"/>
      <c r="B88" s="868"/>
      <c r="C88" s="137"/>
      <c r="D88" s="137"/>
      <c r="E88" s="476"/>
      <c r="F88" s="476"/>
      <c r="G88" s="490"/>
      <c r="H88" s="589"/>
      <c r="I88" s="589"/>
      <c r="J88" s="589"/>
      <c r="K88" s="489"/>
      <c r="L88" s="589"/>
      <c r="M88" s="589"/>
      <c r="N88" s="589"/>
      <c r="O88" s="489"/>
      <c r="P88" s="589"/>
      <c r="Q88" s="589"/>
      <c r="R88" s="451"/>
      <c r="S88" s="489"/>
      <c r="T88" s="451"/>
      <c r="U88" s="451"/>
      <c r="V88" s="569"/>
      <c r="W88" s="489"/>
      <c r="X88" s="451"/>
      <c r="Y88" s="413"/>
      <c r="Z88" s="414"/>
      <c r="AA88" s="476"/>
      <c r="AB88" s="413"/>
      <c r="AC88" s="413"/>
      <c r="AD88" s="413"/>
      <c r="AE88" s="490"/>
      <c r="AF88" s="413"/>
      <c r="AG88" s="413"/>
      <c r="AH88" s="413"/>
      <c r="AI88" s="490"/>
      <c r="AJ88" s="413"/>
      <c r="AK88" s="413"/>
      <c r="AL88" s="413"/>
      <c r="AM88" s="1795"/>
      <c r="AN88" s="365"/>
      <c r="AO88" s="413"/>
      <c r="AP88" s="413"/>
      <c r="AQ88" s="413"/>
      <c r="AR88" s="413"/>
      <c r="AS88" s="413"/>
      <c r="AT88" s="413"/>
      <c r="AU88" s="413"/>
      <c r="AV88" s="413"/>
    </row>
    <row r="89" spans="1:48">
      <c r="A89" s="606" t="s">
        <v>585</v>
      </c>
      <c r="B89" s="868"/>
      <c r="C89" s="137"/>
      <c r="D89" s="137"/>
      <c r="E89" s="476"/>
      <c r="F89" s="476"/>
      <c r="G89" s="490"/>
      <c r="H89" s="589"/>
      <c r="I89" s="589"/>
      <c r="J89" s="589"/>
      <c r="K89" s="489"/>
      <c r="L89" s="589"/>
      <c r="M89" s="589"/>
      <c r="N89" s="589"/>
      <c r="O89" s="489"/>
      <c r="P89" s="589"/>
      <c r="Q89" s="589"/>
      <c r="R89" s="451"/>
      <c r="S89" s="489">
        <v>13261000</v>
      </c>
      <c r="T89" s="451">
        <v>13241000</v>
      </c>
      <c r="U89" s="451">
        <v>12699000</v>
      </c>
      <c r="V89" s="569">
        <v>12735000</v>
      </c>
      <c r="W89" s="489">
        <v>12755000</v>
      </c>
      <c r="X89" s="451">
        <v>13038000</v>
      </c>
      <c r="Y89" s="451">
        <v>13210000</v>
      </c>
      <c r="Z89" s="569">
        <v>12004000</v>
      </c>
      <c r="AA89" s="451">
        <v>11500000</v>
      </c>
      <c r="AB89" s="451">
        <v>11529000</v>
      </c>
      <c r="AC89" s="451">
        <v>10788000</v>
      </c>
      <c r="AD89" s="451">
        <v>10858000</v>
      </c>
      <c r="AE89" s="489">
        <v>9355000</v>
      </c>
      <c r="AF89" s="451">
        <v>0</v>
      </c>
      <c r="AG89" s="451">
        <v>0</v>
      </c>
      <c r="AH89" s="451">
        <v>0</v>
      </c>
      <c r="AI89" s="489">
        <v>0</v>
      </c>
      <c r="AJ89" s="451">
        <v>0</v>
      </c>
      <c r="AK89" s="451">
        <v>0</v>
      </c>
      <c r="AL89" s="451">
        <v>0</v>
      </c>
      <c r="AM89" s="1795"/>
      <c r="AN89" s="365"/>
      <c r="AO89" s="451">
        <v>12735000</v>
      </c>
      <c r="AP89" s="451">
        <v>12004000</v>
      </c>
      <c r="AQ89" s="451">
        <v>10858000</v>
      </c>
      <c r="AR89" s="451">
        <v>0</v>
      </c>
      <c r="AS89" s="451">
        <v>0</v>
      </c>
      <c r="AT89" s="451">
        <v>0</v>
      </c>
      <c r="AU89" s="451">
        <v>0</v>
      </c>
      <c r="AV89" s="451">
        <v>0</v>
      </c>
    </row>
    <row r="90" spans="1:48">
      <c r="A90" s="606" t="s">
        <v>586</v>
      </c>
      <c r="B90" s="868"/>
      <c r="C90" s="137"/>
      <c r="D90" s="137"/>
      <c r="E90" s="476"/>
      <c r="F90" s="476"/>
      <c r="G90" s="490"/>
      <c r="H90" s="589"/>
      <c r="I90" s="589"/>
      <c r="J90" s="589"/>
      <c r="K90" s="489"/>
      <c r="L90" s="589"/>
      <c r="M90" s="589"/>
      <c r="N90" s="589"/>
      <c r="O90" s="489"/>
      <c r="P90" s="589"/>
      <c r="Q90" s="589"/>
      <c r="R90" s="451"/>
      <c r="S90" s="489">
        <v>2180000</v>
      </c>
      <c r="T90" s="451">
        <v>2170000</v>
      </c>
      <c r="U90" s="451">
        <v>2173000</v>
      </c>
      <c r="V90" s="569">
        <v>3232000</v>
      </c>
      <c r="W90" s="489">
        <v>3239000</v>
      </c>
      <c r="X90" s="451">
        <v>3259000</v>
      </c>
      <c r="Y90" s="451">
        <v>3270000</v>
      </c>
      <c r="Z90" s="569">
        <v>3296000</v>
      </c>
      <c r="AA90" s="451">
        <v>3278000</v>
      </c>
      <c r="AB90" s="451">
        <v>3267000</v>
      </c>
      <c r="AC90" s="451">
        <v>3257000</v>
      </c>
      <c r="AD90" s="451">
        <v>2979000</v>
      </c>
      <c r="AE90" s="489">
        <v>2962000</v>
      </c>
      <c r="AF90" s="451">
        <v>0</v>
      </c>
      <c r="AG90" s="451">
        <v>0</v>
      </c>
      <c r="AH90" s="451">
        <v>0</v>
      </c>
      <c r="AI90" s="489">
        <v>0</v>
      </c>
      <c r="AJ90" s="451">
        <v>0</v>
      </c>
      <c r="AK90" s="451">
        <v>0</v>
      </c>
      <c r="AL90" s="451">
        <v>0</v>
      </c>
      <c r="AM90" s="1795"/>
      <c r="AN90" s="365"/>
      <c r="AO90" s="451">
        <v>3232000</v>
      </c>
      <c r="AP90" s="451">
        <v>3296000</v>
      </c>
      <c r="AQ90" s="451">
        <v>2979000</v>
      </c>
      <c r="AR90" s="451">
        <v>0</v>
      </c>
      <c r="AS90" s="451">
        <v>0</v>
      </c>
      <c r="AT90" s="451">
        <v>0</v>
      </c>
      <c r="AU90" s="451">
        <v>0</v>
      </c>
      <c r="AV90" s="451">
        <v>0</v>
      </c>
    </row>
    <row r="91" spans="1:48">
      <c r="A91" s="606" t="s">
        <v>581</v>
      </c>
      <c r="B91" s="868"/>
      <c r="C91" s="137"/>
      <c r="D91" s="137"/>
      <c r="E91" s="476"/>
      <c r="F91" s="476"/>
      <c r="G91" s="490"/>
      <c r="H91" s="589"/>
      <c r="I91" s="589"/>
      <c r="J91" s="589"/>
      <c r="K91" s="489"/>
      <c r="L91" s="589"/>
      <c r="M91" s="589"/>
      <c r="N91" s="589"/>
      <c r="O91" s="489"/>
      <c r="P91" s="589"/>
      <c r="Q91" s="589"/>
      <c r="R91" s="451"/>
      <c r="S91" s="489">
        <v>537000</v>
      </c>
      <c r="T91" s="451">
        <v>537000</v>
      </c>
      <c r="U91" s="451">
        <v>528000</v>
      </c>
      <c r="V91" s="569">
        <v>519000</v>
      </c>
      <c r="W91" s="489">
        <v>515000</v>
      </c>
      <c r="X91" s="451">
        <v>509000</v>
      </c>
      <c r="Y91" s="451">
        <v>502000</v>
      </c>
      <c r="Z91" s="569">
        <v>486000</v>
      </c>
      <c r="AA91" s="451">
        <v>475000</v>
      </c>
      <c r="AB91" s="451">
        <v>465000</v>
      </c>
      <c r="AC91" s="451">
        <v>463000</v>
      </c>
      <c r="AD91" s="451">
        <v>459000</v>
      </c>
      <c r="AE91" s="489">
        <v>447000</v>
      </c>
      <c r="AF91" s="451">
        <v>0</v>
      </c>
      <c r="AG91" s="451">
        <v>0</v>
      </c>
      <c r="AH91" s="451">
        <v>0</v>
      </c>
      <c r="AI91" s="489">
        <v>0</v>
      </c>
      <c r="AJ91" s="451">
        <v>0</v>
      </c>
      <c r="AK91" s="451">
        <v>0</v>
      </c>
      <c r="AL91" s="451">
        <v>0</v>
      </c>
      <c r="AM91" s="1795"/>
      <c r="AN91" s="365"/>
      <c r="AO91" s="451">
        <v>519000</v>
      </c>
      <c r="AP91" s="451">
        <v>486000</v>
      </c>
      <c r="AQ91" s="451">
        <v>459000</v>
      </c>
      <c r="AR91" s="451">
        <v>0</v>
      </c>
      <c r="AS91" s="451">
        <v>0</v>
      </c>
      <c r="AT91" s="451">
        <v>0</v>
      </c>
      <c r="AU91" s="451">
        <v>0</v>
      </c>
      <c r="AV91" s="451">
        <v>0</v>
      </c>
    </row>
    <row r="92" spans="1:48">
      <c r="A92" s="606" t="s">
        <v>691</v>
      </c>
      <c r="B92" s="868"/>
      <c r="C92" s="137"/>
      <c r="D92" s="137"/>
      <c r="E92" s="476"/>
      <c r="F92" s="476"/>
      <c r="G92" s="490"/>
      <c r="H92" s="589"/>
      <c r="I92" s="585"/>
      <c r="J92" s="585"/>
      <c r="K92" s="610"/>
      <c r="L92" s="585"/>
      <c r="M92" s="585"/>
      <c r="N92" s="585"/>
      <c r="O92" s="610"/>
      <c r="P92" s="585"/>
      <c r="Q92" s="585"/>
      <c r="R92" s="499"/>
      <c r="S92" s="489">
        <v>1372000</v>
      </c>
      <c r="T92" s="451">
        <v>1381000</v>
      </c>
      <c r="U92" s="451">
        <v>1199000</v>
      </c>
      <c r="V92" s="569">
        <v>1188000</v>
      </c>
      <c r="W92" s="489">
        <v>1155000</v>
      </c>
      <c r="X92" s="451">
        <v>683000</v>
      </c>
      <c r="Y92" s="451">
        <v>693000</v>
      </c>
      <c r="Z92" s="569">
        <v>675000</v>
      </c>
      <c r="AA92" s="451">
        <v>639000</v>
      </c>
      <c r="AB92" s="451">
        <v>635000</v>
      </c>
      <c r="AC92" s="451">
        <v>628000</v>
      </c>
      <c r="AD92" s="451">
        <v>717000</v>
      </c>
      <c r="AE92" s="489">
        <v>704000</v>
      </c>
      <c r="AF92" s="451">
        <v>0</v>
      </c>
      <c r="AG92" s="451">
        <v>0</v>
      </c>
      <c r="AH92" s="451">
        <v>0</v>
      </c>
      <c r="AI92" s="489">
        <v>0</v>
      </c>
      <c r="AJ92" s="451">
        <v>0</v>
      </c>
      <c r="AK92" s="451">
        <v>0</v>
      </c>
      <c r="AL92" s="451">
        <v>0</v>
      </c>
      <c r="AM92" s="1795"/>
      <c r="AN92" s="365"/>
      <c r="AO92" s="451">
        <v>1188000</v>
      </c>
      <c r="AP92" s="451">
        <v>675000</v>
      </c>
      <c r="AQ92" s="451">
        <v>717000</v>
      </c>
      <c r="AR92" s="451">
        <v>0</v>
      </c>
      <c r="AS92" s="451">
        <v>0</v>
      </c>
      <c r="AT92" s="451">
        <v>0</v>
      </c>
      <c r="AU92" s="451">
        <v>0</v>
      </c>
      <c r="AV92" s="451">
        <v>0</v>
      </c>
    </row>
    <row r="93" spans="1:48">
      <c r="A93" s="865" t="s">
        <v>682</v>
      </c>
      <c r="B93" s="868"/>
      <c r="C93" s="137"/>
      <c r="D93" s="137"/>
      <c r="E93" s="476"/>
      <c r="F93" s="476"/>
      <c r="G93" s="490"/>
      <c r="H93" s="589"/>
      <c r="I93" s="585"/>
      <c r="J93" s="585"/>
      <c r="K93" s="610"/>
      <c r="L93" s="585"/>
      <c r="M93" s="585"/>
      <c r="N93" s="585"/>
      <c r="O93" s="610"/>
      <c r="P93" s="585"/>
      <c r="Q93" s="585"/>
      <c r="R93" s="499"/>
      <c r="S93" s="610">
        <v>17350000</v>
      </c>
      <c r="T93" s="499">
        <v>17329000</v>
      </c>
      <c r="U93" s="499">
        <v>16599000</v>
      </c>
      <c r="V93" s="608">
        <v>17674000</v>
      </c>
      <c r="W93" s="610">
        <v>17664000</v>
      </c>
      <c r="X93" s="499">
        <v>17489000</v>
      </c>
      <c r="Y93" s="499">
        <v>17675000</v>
      </c>
      <c r="Z93" s="608">
        <v>16461000</v>
      </c>
      <c r="AA93" s="499">
        <v>15892000</v>
      </c>
      <c r="AB93" s="499">
        <v>15896000</v>
      </c>
      <c r="AC93" s="499">
        <v>15136000</v>
      </c>
      <c r="AD93" s="499">
        <v>15013000</v>
      </c>
      <c r="AE93" s="610">
        <v>13468000</v>
      </c>
      <c r="AF93" s="499">
        <v>0</v>
      </c>
      <c r="AG93" s="499">
        <v>0</v>
      </c>
      <c r="AH93" s="499">
        <v>0</v>
      </c>
      <c r="AI93" s="610">
        <v>0</v>
      </c>
      <c r="AJ93" s="499">
        <v>0</v>
      </c>
      <c r="AK93" s="499">
        <v>0</v>
      </c>
      <c r="AL93" s="499">
        <v>0</v>
      </c>
      <c r="AM93" s="1795"/>
      <c r="AN93" s="365"/>
      <c r="AO93" s="499">
        <v>17674000</v>
      </c>
      <c r="AP93" s="499">
        <v>16461000</v>
      </c>
      <c r="AQ93" s="499">
        <v>15013000</v>
      </c>
      <c r="AR93" s="499">
        <v>0</v>
      </c>
      <c r="AS93" s="499">
        <v>0</v>
      </c>
      <c r="AT93" s="499">
        <v>0</v>
      </c>
      <c r="AU93" s="499">
        <v>0</v>
      </c>
      <c r="AV93" s="499">
        <v>0</v>
      </c>
    </row>
    <row r="94" spans="1:48">
      <c r="A94" s="606"/>
      <c r="B94" s="868"/>
      <c r="C94" s="137"/>
      <c r="D94" s="137"/>
      <c r="E94" s="476"/>
      <c r="F94" s="476"/>
      <c r="G94" s="490"/>
      <c r="H94" s="589"/>
      <c r="I94" s="585"/>
      <c r="J94" s="585"/>
      <c r="K94" s="610"/>
      <c r="L94" s="585"/>
      <c r="M94" s="585"/>
      <c r="N94" s="585"/>
      <c r="O94" s="610"/>
      <c r="P94" s="585"/>
      <c r="Q94" s="585"/>
      <c r="R94" s="499"/>
      <c r="S94" s="610"/>
      <c r="T94" s="499"/>
      <c r="U94" s="499"/>
      <c r="V94" s="608"/>
      <c r="W94" s="610"/>
      <c r="X94" s="499"/>
      <c r="Y94" s="413"/>
      <c r="Z94" s="414"/>
      <c r="AA94" s="476"/>
      <c r="AB94" s="413"/>
      <c r="AC94" s="413"/>
      <c r="AD94" s="413"/>
      <c r="AE94" s="490"/>
      <c r="AF94" s="413"/>
      <c r="AG94" s="413"/>
      <c r="AH94" s="413"/>
      <c r="AI94" s="490"/>
      <c r="AJ94" s="413"/>
      <c r="AK94" s="413"/>
      <c r="AL94" s="413"/>
      <c r="AM94" s="1795"/>
      <c r="AN94" s="365"/>
      <c r="AO94" s="413"/>
      <c r="AP94" s="413"/>
      <c r="AQ94" s="413"/>
      <c r="AR94" s="413"/>
      <c r="AS94" s="413"/>
      <c r="AT94" s="413"/>
      <c r="AU94" s="413"/>
      <c r="AV94" s="413"/>
    </row>
    <row r="95" spans="1:48">
      <c r="A95" s="142" t="s">
        <v>943</v>
      </c>
      <c r="B95" s="868"/>
      <c r="C95" s="137"/>
      <c r="D95" s="137"/>
      <c r="E95" s="476"/>
      <c r="F95" s="476"/>
      <c r="G95" s="490"/>
      <c r="H95" s="589"/>
      <c r="I95" s="585"/>
      <c r="J95" s="585"/>
      <c r="K95" s="610"/>
      <c r="L95" s="585"/>
      <c r="M95" s="585"/>
      <c r="N95" s="585"/>
      <c r="O95" s="610"/>
      <c r="P95" s="585"/>
      <c r="Q95" s="585"/>
      <c r="R95" s="499"/>
      <c r="S95" s="610">
        <v>21274000</v>
      </c>
      <c r="T95" s="499">
        <v>21262000</v>
      </c>
      <c r="U95" s="499">
        <v>20776000</v>
      </c>
      <c r="V95" s="608">
        <v>21527000</v>
      </c>
      <c r="W95" s="610">
        <v>20875000</v>
      </c>
      <c r="X95" s="499">
        <v>21277000</v>
      </c>
      <c r="Y95" s="499">
        <v>21256000</v>
      </c>
      <c r="Z95" s="608">
        <v>21558000</v>
      </c>
      <c r="AA95" s="499">
        <v>20482000</v>
      </c>
      <c r="AB95" s="499">
        <v>20200000</v>
      </c>
      <c r="AC95" s="499">
        <v>20384000</v>
      </c>
      <c r="AD95" s="499">
        <v>18875000</v>
      </c>
      <c r="AE95" s="610">
        <v>18409000</v>
      </c>
      <c r="AF95" s="499">
        <v>0</v>
      </c>
      <c r="AG95" s="499">
        <v>0</v>
      </c>
      <c r="AH95" s="499">
        <v>0</v>
      </c>
      <c r="AI95" s="610">
        <v>0</v>
      </c>
      <c r="AJ95" s="499">
        <v>0</v>
      </c>
      <c r="AK95" s="499">
        <v>0</v>
      </c>
      <c r="AL95" s="499">
        <v>0</v>
      </c>
      <c r="AM95" s="1795"/>
      <c r="AN95" s="365"/>
      <c r="AO95" s="499">
        <v>21527000</v>
      </c>
      <c r="AP95" s="499">
        <v>21558000</v>
      </c>
      <c r="AQ95" s="499">
        <v>18875000</v>
      </c>
      <c r="AR95" s="499">
        <v>0</v>
      </c>
      <c r="AS95" s="499">
        <v>0</v>
      </c>
      <c r="AT95" s="499">
        <v>0</v>
      </c>
      <c r="AU95" s="499">
        <v>0</v>
      </c>
      <c r="AV95" s="499">
        <v>0</v>
      </c>
    </row>
    <row r="96" spans="1:48">
      <c r="A96" s="606"/>
      <c r="B96" s="868"/>
      <c r="C96" s="137"/>
      <c r="D96" s="137"/>
      <c r="E96" s="476"/>
      <c r="F96" s="476"/>
      <c r="G96" s="490"/>
      <c r="H96" s="589"/>
      <c r="I96" s="585"/>
      <c r="J96" s="585"/>
      <c r="K96" s="610"/>
      <c r="L96" s="585"/>
      <c r="M96" s="585"/>
      <c r="N96" s="585"/>
      <c r="O96" s="610"/>
      <c r="P96" s="585"/>
      <c r="Q96" s="585"/>
      <c r="R96" s="499"/>
      <c r="S96" s="610"/>
      <c r="T96" s="499"/>
      <c r="U96" s="499"/>
      <c r="V96" s="608"/>
      <c r="W96" s="610"/>
      <c r="X96" s="499"/>
      <c r="Y96" s="413"/>
      <c r="Z96" s="413"/>
      <c r="AA96" s="490"/>
      <c r="AB96" s="413"/>
      <c r="AC96" s="413"/>
      <c r="AD96" s="413"/>
      <c r="AE96" s="490"/>
      <c r="AF96" s="413"/>
      <c r="AG96" s="413"/>
      <c r="AH96" s="413"/>
      <c r="AI96" s="490"/>
      <c r="AJ96" s="413"/>
      <c r="AK96" s="413"/>
      <c r="AL96" s="413"/>
      <c r="AM96" s="1795"/>
      <c r="AN96" s="365"/>
      <c r="AO96" s="413"/>
      <c r="AP96" s="413"/>
      <c r="AQ96" s="413"/>
      <c r="AR96" s="413"/>
      <c r="AS96" s="413"/>
      <c r="AT96" s="413"/>
      <c r="AU96" s="413"/>
      <c r="AV96" s="413"/>
    </row>
    <row r="97" spans="1:48">
      <c r="A97" s="142" t="s">
        <v>692</v>
      </c>
      <c r="B97" s="868"/>
      <c r="C97" s="137"/>
      <c r="D97" s="137"/>
      <c r="E97" s="476"/>
      <c r="F97" s="476"/>
      <c r="G97" s="490"/>
      <c r="H97" s="589"/>
      <c r="I97" s="585"/>
      <c r="J97" s="585"/>
      <c r="K97" s="610"/>
      <c r="L97" s="585"/>
      <c r="M97" s="585"/>
      <c r="N97" s="585"/>
      <c r="O97" s="610"/>
      <c r="P97" s="585"/>
      <c r="Q97" s="585"/>
      <c r="R97" s="499"/>
      <c r="S97" s="610"/>
      <c r="T97" s="499"/>
      <c r="U97" s="499"/>
      <c r="V97" s="608"/>
      <c r="W97" s="610"/>
      <c r="X97" s="499"/>
      <c r="Y97" s="413"/>
      <c r="Z97" s="413"/>
      <c r="AA97" s="490"/>
      <c r="AB97" s="413"/>
      <c r="AC97" s="413"/>
      <c r="AD97" s="413"/>
      <c r="AE97" s="490"/>
      <c r="AF97" s="413"/>
      <c r="AG97" s="413"/>
      <c r="AH97" s="413"/>
      <c r="AI97" s="490"/>
      <c r="AJ97" s="413"/>
      <c r="AK97" s="413"/>
      <c r="AL97" s="413"/>
      <c r="AM97" s="1795"/>
      <c r="AN97" s="365"/>
      <c r="AO97" s="413"/>
      <c r="AP97" s="413"/>
      <c r="AQ97" s="413"/>
      <c r="AR97" s="413"/>
      <c r="AS97" s="413"/>
      <c r="AT97" s="413"/>
      <c r="AU97" s="413"/>
      <c r="AV97" s="413"/>
    </row>
    <row r="98" spans="1:48">
      <c r="A98" s="606" t="s">
        <v>845</v>
      </c>
      <c r="B98" s="868"/>
      <c r="C98" s="137"/>
      <c r="D98" s="137"/>
      <c r="E98" s="476"/>
      <c r="F98" s="476"/>
      <c r="G98" s="490"/>
      <c r="H98" s="589"/>
      <c r="I98" s="589"/>
      <c r="J98" s="589"/>
      <c r="K98" s="489"/>
      <c r="L98" s="589"/>
      <c r="M98" s="589"/>
      <c r="N98" s="589"/>
      <c r="O98" s="489"/>
      <c r="P98" s="589"/>
      <c r="Q98" s="589"/>
      <c r="R98" s="451"/>
      <c r="S98" s="489">
        <v>18000</v>
      </c>
      <c r="T98" s="451">
        <v>17000</v>
      </c>
      <c r="U98" s="451">
        <v>17000</v>
      </c>
      <c r="V98" s="569">
        <v>17000</v>
      </c>
      <c r="W98" s="489">
        <v>17000</v>
      </c>
      <c r="X98" s="451">
        <v>17000</v>
      </c>
      <c r="Y98" s="451">
        <v>17000</v>
      </c>
      <c r="Z98" s="451">
        <v>17000</v>
      </c>
      <c r="AA98" s="489">
        <v>17000</v>
      </c>
      <c r="AB98" s="451">
        <v>17000</v>
      </c>
      <c r="AC98" s="451">
        <v>17000</v>
      </c>
      <c r="AD98" s="451">
        <v>18000</v>
      </c>
      <c r="AE98" s="489">
        <v>18000</v>
      </c>
      <c r="AF98" s="451">
        <v>0</v>
      </c>
      <c r="AG98" s="451">
        <v>0</v>
      </c>
      <c r="AH98" s="451">
        <v>0</v>
      </c>
      <c r="AI98" s="489">
        <v>0</v>
      </c>
      <c r="AJ98" s="451">
        <v>0</v>
      </c>
      <c r="AK98" s="451">
        <v>0</v>
      </c>
      <c r="AL98" s="451">
        <v>0</v>
      </c>
      <c r="AM98" s="1795"/>
      <c r="AN98" s="365"/>
      <c r="AO98" s="451">
        <v>17000</v>
      </c>
      <c r="AP98" s="451">
        <v>17000</v>
      </c>
      <c r="AQ98" s="451">
        <v>18000</v>
      </c>
      <c r="AR98" s="451">
        <v>0</v>
      </c>
      <c r="AS98" s="451">
        <v>0</v>
      </c>
      <c r="AT98" s="451">
        <v>0</v>
      </c>
      <c r="AU98" s="451">
        <v>0</v>
      </c>
      <c r="AV98" s="451">
        <v>0</v>
      </c>
    </row>
    <row r="99" spans="1:48">
      <c r="A99" s="606" t="s">
        <v>693</v>
      </c>
      <c r="B99" s="790"/>
      <c r="C99" s="141"/>
      <c r="D99" s="141"/>
      <c r="E99" s="500"/>
      <c r="F99" s="500"/>
      <c r="G99" s="594"/>
      <c r="H99" s="891"/>
      <c r="I99" s="589"/>
      <c r="J99" s="589"/>
      <c r="K99" s="489"/>
      <c r="L99" s="589"/>
      <c r="M99" s="589"/>
      <c r="N99" s="589"/>
      <c r="O99" s="489"/>
      <c r="P99" s="589"/>
      <c r="Q99" s="589"/>
      <c r="R99" s="451"/>
      <c r="S99" s="489">
        <v>42348000</v>
      </c>
      <c r="T99" s="451">
        <v>42287000</v>
      </c>
      <c r="U99" s="451">
        <v>42138000</v>
      </c>
      <c r="V99" s="569">
        <v>42167000</v>
      </c>
      <c r="W99" s="489">
        <v>42190000</v>
      </c>
      <c r="X99" s="451">
        <v>42222000</v>
      </c>
      <c r="Y99" s="451">
        <v>42245000</v>
      </c>
      <c r="Z99" s="451">
        <v>42269000</v>
      </c>
      <c r="AA99" s="489">
        <v>42294000</v>
      </c>
      <c r="AB99" s="451">
        <v>42147000</v>
      </c>
      <c r="AC99" s="451">
        <v>42188000</v>
      </c>
      <c r="AD99" s="451">
        <v>42285000</v>
      </c>
      <c r="AE99" s="489">
        <v>42303000</v>
      </c>
      <c r="AF99" s="451">
        <v>0</v>
      </c>
      <c r="AG99" s="451">
        <v>0</v>
      </c>
      <c r="AH99" s="451">
        <v>0</v>
      </c>
      <c r="AI99" s="489">
        <v>0</v>
      </c>
      <c r="AJ99" s="451">
        <v>0</v>
      </c>
      <c r="AK99" s="451">
        <v>0</v>
      </c>
      <c r="AL99" s="451">
        <v>0</v>
      </c>
      <c r="AM99" s="1795"/>
      <c r="AN99" s="365"/>
      <c r="AO99" s="451">
        <v>42167000</v>
      </c>
      <c r="AP99" s="451">
        <v>42269000</v>
      </c>
      <c r="AQ99" s="451">
        <v>42285000</v>
      </c>
      <c r="AR99" s="451">
        <v>0</v>
      </c>
      <c r="AS99" s="451">
        <v>0</v>
      </c>
      <c r="AT99" s="451">
        <v>0</v>
      </c>
      <c r="AU99" s="451">
        <v>0</v>
      </c>
      <c r="AV99" s="451">
        <v>0</v>
      </c>
    </row>
    <row r="100" spans="1:48">
      <c r="A100" s="606" t="s">
        <v>926</v>
      </c>
      <c r="B100" s="868"/>
      <c r="C100" s="137"/>
      <c r="D100" s="137"/>
      <c r="E100" s="137"/>
      <c r="F100" s="137"/>
      <c r="G100" s="815"/>
      <c r="H100" s="476"/>
      <c r="I100" s="476"/>
      <c r="J100" s="476"/>
      <c r="K100" s="489"/>
      <c r="L100" s="589"/>
      <c r="M100" s="589"/>
      <c r="N100" s="589"/>
      <c r="O100" s="489"/>
      <c r="P100" s="589"/>
      <c r="Q100" s="589"/>
      <c r="R100" s="451"/>
      <c r="S100" s="489">
        <v>-20000</v>
      </c>
      <c r="T100" s="451">
        <v>-20000</v>
      </c>
      <c r="U100" s="451">
        <v>-20000</v>
      </c>
      <c r="V100" s="569">
        <v>-20000</v>
      </c>
      <c r="W100" s="489">
        <v>-22000</v>
      </c>
      <c r="X100" s="451">
        <v>-22000</v>
      </c>
      <c r="Y100" s="451">
        <v>-22000</v>
      </c>
      <c r="Z100" s="451">
        <v>-22000</v>
      </c>
      <c r="AA100" s="489">
        <v>-29000</v>
      </c>
      <c r="AB100" s="451">
        <v>-28000</v>
      </c>
      <c r="AC100" s="451">
        <v>-30000</v>
      </c>
      <c r="AD100" s="451">
        <v>-157000</v>
      </c>
      <c r="AE100" s="489">
        <v>-157000</v>
      </c>
      <c r="AF100" s="451">
        <v>0</v>
      </c>
      <c r="AG100" s="451">
        <v>0</v>
      </c>
      <c r="AH100" s="451">
        <v>0</v>
      </c>
      <c r="AI100" s="489">
        <v>0</v>
      </c>
      <c r="AJ100" s="451">
        <v>0</v>
      </c>
      <c r="AK100" s="451">
        <v>0</v>
      </c>
      <c r="AL100" s="451">
        <v>0</v>
      </c>
      <c r="AM100" s="1795"/>
      <c r="AN100" s="365"/>
      <c r="AO100" s="451">
        <v>-20000</v>
      </c>
      <c r="AP100" s="451">
        <v>-22000</v>
      </c>
      <c r="AQ100" s="451">
        <v>-157000</v>
      </c>
      <c r="AR100" s="451">
        <v>0</v>
      </c>
      <c r="AS100" s="451">
        <v>0</v>
      </c>
      <c r="AT100" s="451">
        <v>0</v>
      </c>
      <c r="AU100" s="451">
        <v>0</v>
      </c>
      <c r="AV100" s="451">
        <v>0</v>
      </c>
    </row>
    <row r="101" spans="1:48">
      <c r="A101" s="606" t="s">
        <v>923</v>
      </c>
      <c r="B101" s="868"/>
      <c r="C101" s="137"/>
      <c r="D101" s="137"/>
      <c r="E101" s="137"/>
      <c r="F101" s="137"/>
      <c r="G101" s="815"/>
      <c r="H101" s="476"/>
      <c r="I101" s="476"/>
      <c r="J101" s="476"/>
      <c r="K101" s="489"/>
      <c r="L101" s="589"/>
      <c r="M101" s="589"/>
      <c r="N101" s="589"/>
      <c r="O101" s="489"/>
      <c r="P101" s="589"/>
      <c r="Q101" s="589"/>
      <c r="R101" s="451"/>
      <c r="S101" s="489">
        <v>-43015000</v>
      </c>
      <c r="T101" s="451">
        <v>-42975000</v>
      </c>
      <c r="U101" s="451">
        <v>-42967000</v>
      </c>
      <c r="V101" s="569">
        <v>-43063000</v>
      </c>
      <c r="W101" s="489">
        <v>-42857000</v>
      </c>
      <c r="X101" s="451">
        <v>-42783000</v>
      </c>
      <c r="Y101" s="451">
        <v>-42784000</v>
      </c>
      <c r="Z101" s="451">
        <v>-42953000</v>
      </c>
      <c r="AA101" s="489">
        <v>-42915000</v>
      </c>
      <c r="AB101" s="451">
        <v>-42896000</v>
      </c>
      <c r="AC101" s="451">
        <v>-43125000</v>
      </c>
      <c r="AD101" s="451">
        <v>-43425000</v>
      </c>
      <c r="AE101" s="489">
        <v>-43355000</v>
      </c>
      <c r="AF101" s="451">
        <v>0</v>
      </c>
      <c r="AG101" s="451">
        <v>0</v>
      </c>
      <c r="AH101" s="451">
        <v>0</v>
      </c>
      <c r="AI101" s="489">
        <v>0</v>
      </c>
      <c r="AJ101" s="451">
        <v>0</v>
      </c>
      <c r="AK101" s="451">
        <v>0</v>
      </c>
      <c r="AL101" s="451">
        <v>0</v>
      </c>
      <c r="AM101" s="1795"/>
      <c r="AN101" s="365"/>
      <c r="AO101" s="451">
        <v>-43063000</v>
      </c>
      <c r="AP101" s="451">
        <v>-42953000</v>
      </c>
      <c r="AQ101" s="451">
        <v>-43425000</v>
      </c>
      <c r="AR101" s="451">
        <v>0</v>
      </c>
      <c r="AS101" s="451">
        <v>0</v>
      </c>
      <c r="AT101" s="451">
        <v>0</v>
      </c>
      <c r="AU101" s="451">
        <v>0</v>
      </c>
      <c r="AV101" s="451">
        <v>0</v>
      </c>
    </row>
    <row r="102" spans="1:48">
      <c r="A102" s="606" t="s">
        <v>694</v>
      </c>
      <c r="B102" s="414"/>
      <c r="C102" s="476"/>
      <c r="D102" s="476"/>
      <c r="E102" s="476"/>
      <c r="F102" s="476"/>
      <c r="G102" s="490"/>
      <c r="H102" s="476"/>
      <c r="I102" s="476"/>
      <c r="J102" s="476"/>
      <c r="K102" s="489"/>
      <c r="L102" s="589"/>
      <c r="M102" s="589"/>
      <c r="N102" s="589"/>
      <c r="O102" s="489"/>
      <c r="P102" s="589"/>
      <c r="Q102" s="589"/>
      <c r="R102" s="451"/>
      <c r="S102" s="489">
        <v>1283000</v>
      </c>
      <c r="T102" s="451">
        <v>1272000</v>
      </c>
      <c r="U102" s="451">
        <v>1248000</v>
      </c>
      <c r="V102" s="569">
        <v>-487000</v>
      </c>
      <c r="W102" s="489">
        <v>-492000</v>
      </c>
      <c r="X102" s="451">
        <v>-485000</v>
      </c>
      <c r="Y102" s="451">
        <v>-487000</v>
      </c>
      <c r="Z102" s="451">
        <v>-489000</v>
      </c>
      <c r="AA102" s="489">
        <v>-487000</v>
      </c>
      <c r="AB102" s="451">
        <v>-481000</v>
      </c>
      <c r="AC102" s="451">
        <v>-475000</v>
      </c>
      <c r="AD102" s="451">
        <v>-376000</v>
      </c>
      <c r="AE102" s="489">
        <v>-369000</v>
      </c>
      <c r="AF102" s="451">
        <v>0</v>
      </c>
      <c r="AG102" s="451">
        <v>0</v>
      </c>
      <c r="AH102" s="451">
        <v>0</v>
      </c>
      <c r="AI102" s="489">
        <v>0</v>
      </c>
      <c r="AJ102" s="451">
        <v>0</v>
      </c>
      <c r="AK102" s="451">
        <v>0</v>
      </c>
      <c r="AL102" s="451">
        <v>0</v>
      </c>
      <c r="AM102" s="1795"/>
      <c r="AN102" s="365"/>
      <c r="AO102" s="451">
        <v>-487000</v>
      </c>
      <c r="AP102" s="451">
        <v>-489000</v>
      </c>
      <c r="AQ102" s="451">
        <v>-376000</v>
      </c>
      <c r="AR102" s="451">
        <v>0</v>
      </c>
      <c r="AS102" s="451">
        <v>0</v>
      </c>
      <c r="AT102" s="451">
        <v>0</v>
      </c>
      <c r="AU102" s="451">
        <v>0</v>
      </c>
      <c r="AV102" s="451">
        <v>0</v>
      </c>
    </row>
    <row r="103" spans="1:48">
      <c r="A103" s="872" t="s">
        <v>928</v>
      </c>
      <c r="B103" s="868"/>
      <c r="C103" s="137"/>
      <c r="D103" s="137"/>
      <c r="E103" s="476"/>
      <c r="F103" s="476"/>
      <c r="G103" s="490"/>
      <c r="H103" s="476"/>
      <c r="I103" s="476"/>
      <c r="J103" s="476"/>
      <c r="K103" s="789"/>
      <c r="L103" s="141"/>
      <c r="M103" s="141"/>
      <c r="N103" s="141"/>
      <c r="O103" s="789"/>
      <c r="P103" s="141"/>
      <c r="Q103" s="141"/>
      <c r="R103" s="467"/>
      <c r="S103" s="789">
        <v>614000</v>
      </c>
      <c r="T103" s="467">
        <v>581000</v>
      </c>
      <c r="U103" s="467">
        <v>416000</v>
      </c>
      <c r="V103" s="790">
        <v>-1386000</v>
      </c>
      <c r="W103" s="789">
        <v>-1164000</v>
      </c>
      <c r="X103" s="467">
        <v>-1051000</v>
      </c>
      <c r="Y103" s="467">
        <v>-1031000</v>
      </c>
      <c r="Z103" s="467">
        <v>-1178000</v>
      </c>
      <c r="AA103" s="789">
        <v>-1120000</v>
      </c>
      <c r="AB103" s="467">
        <v>-1241000</v>
      </c>
      <c r="AC103" s="467">
        <v>-1425000</v>
      </c>
      <c r="AD103" s="467">
        <v>-1655000</v>
      </c>
      <c r="AE103" s="789">
        <v>-1560000</v>
      </c>
      <c r="AF103" s="467">
        <v>0</v>
      </c>
      <c r="AG103" s="467">
        <v>0</v>
      </c>
      <c r="AH103" s="467">
        <v>0</v>
      </c>
      <c r="AI103" s="789">
        <v>0</v>
      </c>
      <c r="AJ103" s="467">
        <v>0</v>
      </c>
      <c r="AK103" s="467">
        <v>0</v>
      </c>
      <c r="AL103" s="467">
        <v>0</v>
      </c>
      <c r="AM103" s="1795"/>
      <c r="AN103" s="365"/>
      <c r="AO103" s="467">
        <v>-1386000</v>
      </c>
      <c r="AP103" s="467">
        <v>-1178000</v>
      </c>
      <c r="AQ103" s="467">
        <v>-1655000</v>
      </c>
      <c r="AR103" s="467">
        <v>0</v>
      </c>
      <c r="AS103" s="467">
        <v>0</v>
      </c>
      <c r="AT103" s="467">
        <v>0</v>
      </c>
      <c r="AU103" s="467">
        <v>0</v>
      </c>
      <c r="AV103" s="467">
        <v>0</v>
      </c>
    </row>
    <row r="104" spans="1:48">
      <c r="A104" s="872"/>
      <c r="B104" s="868"/>
      <c r="C104" s="137"/>
      <c r="D104" s="137"/>
      <c r="E104" s="476"/>
      <c r="F104" s="476"/>
      <c r="G104" s="490"/>
      <c r="H104" s="476"/>
      <c r="I104" s="476"/>
      <c r="J104" s="476"/>
      <c r="K104" s="789"/>
      <c r="L104" s="141"/>
      <c r="M104" s="141"/>
      <c r="N104" s="141"/>
      <c r="O104" s="789"/>
      <c r="P104" s="141"/>
      <c r="Q104" s="141"/>
      <c r="R104" s="467"/>
      <c r="S104" s="789"/>
      <c r="T104" s="467"/>
      <c r="U104" s="467"/>
      <c r="V104" s="790"/>
      <c r="W104" s="789"/>
      <c r="X104" s="467"/>
      <c r="Y104" s="467"/>
      <c r="Z104" s="467"/>
      <c r="AA104" s="789"/>
      <c r="AB104" s="467"/>
      <c r="AC104" s="467"/>
      <c r="AD104" s="467"/>
      <c r="AE104" s="789"/>
      <c r="AF104" s="467"/>
      <c r="AG104" s="467"/>
      <c r="AH104" s="467"/>
      <c r="AI104" s="789"/>
      <c r="AJ104" s="467"/>
      <c r="AK104" s="467"/>
      <c r="AL104" s="467"/>
      <c r="AM104" s="1795"/>
      <c r="AN104" s="365"/>
      <c r="AO104" s="467"/>
      <c r="AP104" s="467"/>
      <c r="AQ104" s="467"/>
      <c r="AR104" s="467"/>
      <c r="AS104" s="467"/>
      <c r="AT104" s="467"/>
      <c r="AU104" s="467"/>
      <c r="AV104" s="467"/>
    </row>
    <row r="105" spans="1:48">
      <c r="A105" s="865" t="s">
        <v>851</v>
      </c>
      <c r="B105" s="868"/>
      <c r="C105" s="137"/>
      <c r="D105" s="137"/>
      <c r="E105" s="476"/>
      <c r="F105" s="476"/>
      <c r="G105" s="490"/>
      <c r="H105" s="476"/>
      <c r="I105" s="476"/>
      <c r="J105" s="476"/>
      <c r="K105" s="893"/>
      <c r="L105" s="894"/>
      <c r="M105" s="894"/>
      <c r="N105" s="894"/>
      <c r="O105" s="893"/>
      <c r="P105" s="894"/>
      <c r="Q105" s="894"/>
      <c r="R105" s="895"/>
      <c r="S105" s="789">
        <v>21888000</v>
      </c>
      <c r="T105" s="467">
        <v>21843000</v>
      </c>
      <c r="U105" s="467">
        <v>21192000</v>
      </c>
      <c r="V105" s="790">
        <v>20141000</v>
      </c>
      <c r="W105" s="789">
        <v>19711000</v>
      </c>
      <c r="X105" s="467">
        <v>20226000</v>
      </c>
      <c r="Y105" s="467">
        <v>20225000</v>
      </c>
      <c r="Z105" s="467">
        <v>20380000</v>
      </c>
      <c r="AA105" s="789">
        <v>19362000</v>
      </c>
      <c r="AB105" s="467">
        <v>18959000</v>
      </c>
      <c r="AC105" s="467">
        <v>18959000</v>
      </c>
      <c r="AD105" s="467">
        <v>17220000</v>
      </c>
      <c r="AE105" s="789">
        <v>16849000</v>
      </c>
      <c r="AF105" s="467">
        <v>0</v>
      </c>
      <c r="AG105" s="467">
        <v>0</v>
      </c>
      <c r="AH105" s="467">
        <v>0</v>
      </c>
      <c r="AI105" s="789">
        <v>0</v>
      </c>
      <c r="AJ105" s="467">
        <v>0</v>
      </c>
      <c r="AK105" s="467">
        <v>0</v>
      </c>
      <c r="AL105" s="467">
        <v>0</v>
      </c>
      <c r="AM105" s="1795"/>
      <c r="AN105" s="365"/>
      <c r="AO105" s="467">
        <v>20141000</v>
      </c>
      <c r="AP105" s="467">
        <v>20380000</v>
      </c>
      <c r="AQ105" s="467">
        <v>17220000</v>
      </c>
      <c r="AR105" s="467">
        <v>0</v>
      </c>
      <c r="AS105" s="467">
        <v>0</v>
      </c>
      <c r="AT105" s="467">
        <v>0</v>
      </c>
      <c r="AU105" s="467">
        <v>0</v>
      </c>
      <c r="AV105" s="467">
        <v>0</v>
      </c>
    </row>
    <row r="106" spans="1:48">
      <c r="A106" s="873" t="s">
        <v>793</v>
      </c>
      <c r="B106" s="807"/>
      <c r="C106" s="896"/>
      <c r="D106" s="896"/>
      <c r="E106" s="897"/>
      <c r="F106" s="897"/>
      <c r="G106" s="898"/>
      <c r="H106" s="897"/>
      <c r="I106" s="897"/>
      <c r="J106" s="897"/>
      <c r="K106" s="805"/>
      <c r="L106" s="896"/>
      <c r="M106" s="896"/>
      <c r="N106" s="896"/>
      <c r="O106" s="805"/>
      <c r="P106" s="896"/>
      <c r="Q106" s="896"/>
      <c r="R106" s="806"/>
      <c r="S106" s="876">
        <v>0</v>
      </c>
      <c r="T106" s="875">
        <v>0</v>
      </c>
      <c r="U106" s="875">
        <v>0</v>
      </c>
      <c r="V106" s="877">
        <v>0</v>
      </c>
      <c r="W106" s="876">
        <v>0</v>
      </c>
      <c r="X106" s="875">
        <v>0</v>
      </c>
      <c r="Y106" s="875">
        <v>0</v>
      </c>
      <c r="Z106" s="875">
        <v>0</v>
      </c>
      <c r="AA106" s="876">
        <v>0</v>
      </c>
      <c r="AB106" s="875">
        <v>0</v>
      </c>
      <c r="AC106" s="875">
        <v>0</v>
      </c>
      <c r="AD106" s="875">
        <v>0</v>
      </c>
      <c r="AE106" s="876">
        <v>0</v>
      </c>
      <c r="AF106" s="875">
        <v>0</v>
      </c>
      <c r="AG106" s="875">
        <v>0</v>
      </c>
      <c r="AH106" s="875">
        <v>0</v>
      </c>
      <c r="AI106" s="876">
        <v>0</v>
      </c>
      <c r="AJ106" s="875">
        <v>0</v>
      </c>
      <c r="AK106" s="875">
        <v>0</v>
      </c>
      <c r="AL106" s="875">
        <v>0</v>
      </c>
      <c r="AM106" s="1797"/>
      <c r="AN106" s="372"/>
      <c r="AO106" s="875">
        <v>0</v>
      </c>
      <c r="AP106" s="875">
        <v>0</v>
      </c>
      <c r="AQ106" s="875">
        <v>0</v>
      </c>
      <c r="AR106" s="875">
        <v>0</v>
      </c>
      <c r="AS106" s="875">
        <v>0</v>
      </c>
      <c r="AT106" s="875">
        <v>0</v>
      </c>
      <c r="AU106" s="875">
        <v>0</v>
      </c>
      <c r="AV106" s="875">
        <v>0</v>
      </c>
    </row>
    <row r="107" spans="1:48">
      <c r="A107" s="802"/>
      <c r="B107" s="868"/>
      <c r="C107" s="137"/>
      <c r="D107" s="137"/>
      <c r="E107" s="476"/>
      <c r="F107" s="476"/>
      <c r="G107" s="490"/>
      <c r="H107" s="476"/>
      <c r="I107" s="476"/>
      <c r="J107" s="476"/>
      <c r="K107" s="490"/>
      <c r="L107" s="476"/>
      <c r="M107" s="476"/>
      <c r="N107" s="476"/>
      <c r="O107" s="490"/>
      <c r="P107" s="476"/>
      <c r="Q107" s="476"/>
      <c r="R107" s="413"/>
      <c r="S107" s="489"/>
      <c r="T107" s="476"/>
      <c r="U107" s="476"/>
      <c r="V107" s="414"/>
      <c r="W107" s="490"/>
      <c r="X107" s="476"/>
      <c r="Y107" s="476"/>
      <c r="Z107" s="413"/>
      <c r="AA107" s="490"/>
      <c r="AB107" s="476"/>
      <c r="AC107" s="476"/>
      <c r="AD107" s="413"/>
      <c r="AE107" s="490"/>
      <c r="AF107" s="413"/>
      <c r="AG107" s="413"/>
      <c r="AH107" s="413"/>
      <c r="AI107" s="490"/>
      <c r="AJ107" s="413"/>
      <c r="AK107" s="413"/>
      <c r="AL107" s="413"/>
      <c r="AM107" s="1795"/>
      <c r="AN107" s="365"/>
      <c r="AO107" s="413"/>
      <c r="AP107" s="413"/>
      <c r="AQ107" s="413"/>
      <c r="AR107" s="413"/>
      <c r="AS107" s="413"/>
      <c r="AT107" s="413"/>
      <c r="AU107" s="413"/>
      <c r="AV107" s="413"/>
    </row>
    <row r="108" spans="1:48">
      <c r="A108" s="899"/>
      <c r="B108" s="800"/>
      <c r="C108" s="892"/>
      <c r="D108" s="892"/>
      <c r="E108" s="889"/>
      <c r="F108" s="889"/>
      <c r="G108" s="824"/>
      <c r="H108" s="889"/>
      <c r="I108" s="889"/>
      <c r="J108" s="889"/>
      <c r="K108" s="824"/>
      <c r="L108" s="889"/>
      <c r="M108" s="889"/>
      <c r="N108" s="889"/>
      <c r="O108" s="824"/>
      <c r="P108" s="889"/>
      <c r="Q108" s="889"/>
      <c r="R108" s="510"/>
      <c r="S108" s="824"/>
      <c r="T108" s="889"/>
      <c r="U108" s="889"/>
      <c r="V108" s="511"/>
      <c r="W108" s="824"/>
      <c r="X108" s="889"/>
      <c r="Y108" s="889"/>
      <c r="Z108" s="510"/>
      <c r="AA108" s="824"/>
      <c r="AB108" s="889"/>
      <c r="AC108" s="889"/>
      <c r="AD108" s="510"/>
      <c r="AE108" s="824"/>
      <c r="AF108" s="510"/>
      <c r="AG108" s="510"/>
      <c r="AH108" s="510"/>
      <c r="AI108" s="824"/>
      <c r="AJ108" s="510"/>
      <c r="AK108" s="510"/>
      <c r="AL108" s="400"/>
      <c r="AM108" s="1795"/>
      <c r="AN108" s="365"/>
      <c r="AO108" s="399"/>
      <c r="AP108" s="399"/>
      <c r="AQ108" s="399"/>
      <c r="AR108" s="399"/>
      <c r="AS108" s="399"/>
      <c r="AT108" s="399"/>
      <c r="AU108" s="399"/>
      <c r="AV108" s="399"/>
    </row>
    <row r="109" spans="1:48">
      <c r="A109" s="142" t="s">
        <v>695</v>
      </c>
      <c r="B109" s="868"/>
      <c r="C109" s="137"/>
      <c r="D109" s="137"/>
      <c r="E109" s="476"/>
      <c r="F109" s="476"/>
      <c r="G109" s="490"/>
      <c r="H109" s="476"/>
      <c r="I109" s="476"/>
      <c r="J109" s="476"/>
      <c r="K109" s="490"/>
      <c r="L109" s="476"/>
      <c r="M109" s="476"/>
      <c r="N109" s="476"/>
      <c r="O109" s="490"/>
      <c r="P109" s="476"/>
      <c r="Q109" s="476"/>
      <c r="R109" s="413"/>
      <c r="S109" s="489"/>
      <c r="T109" s="476"/>
      <c r="U109" s="476"/>
      <c r="V109" s="414"/>
      <c r="W109" s="490"/>
      <c r="X109" s="476"/>
      <c r="Y109" s="476"/>
      <c r="Z109" s="413"/>
      <c r="AA109" s="490"/>
      <c r="AB109" s="476"/>
      <c r="AC109" s="476"/>
      <c r="AD109" s="413"/>
      <c r="AE109" s="490"/>
      <c r="AF109" s="413"/>
      <c r="AG109" s="413"/>
      <c r="AH109" s="413"/>
      <c r="AI109" s="490"/>
      <c r="AJ109" s="413"/>
      <c r="AK109" s="413"/>
      <c r="AL109" s="400"/>
      <c r="AM109" s="1795"/>
      <c r="AN109" s="365"/>
      <c r="AO109" s="399"/>
      <c r="AP109" s="399"/>
      <c r="AQ109" s="399"/>
      <c r="AR109" s="399"/>
      <c r="AS109" s="399"/>
      <c r="AT109" s="399"/>
      <c r="AU109" s="399"/>
      <c r="AV109" s="399"/>
    </row>
    <row r="110" spans="1:48">
      <c r="A110" s="776" t="s">
        <v>481</v>
      </c>
      <c r="B110" s="783"/>
      <c r="C110" s="144"/>
      <c r="D110" s="144"/>
      <c r="E110" s="589"/>
      <c r="F110" s="589"/>
      <c r="G110" s="489"/>
      <c r="H110" s="589"/>
      <c r="I110" s="589"/>
      <c r="J110" s="589"/>
      <c r="K110" s="489"/>
      <c r="L110" s="589"/>
      <c r="M110" s="589"/>
      <c r="N110" s="589"/>
      <c r="O110" s="489"/>
      <c r="P110" s="589"/>
      <c r="Q110" s="589"/>
      <c r="R110" s="451"/>
      <c r="S110" s="489"/>
      <c r="T110" s="589"/>
      <c r="U110" s="589"/>
      <c r="V110" s="569"/>
      <c r="W110" s="489"/>
      <c r="X110" s="589"/>
      <c r="Y110" s="589"/>
      <c r="Z110" s="451"/>
      <c r="AA110" s="489"/>
      <c r="AB110" s="589"/>
      <c r="AC110" s="589"/>
      <c r="AD110" s="451"/>
      <c r="AE110" s="489"/>
      <c r="AF110" s="451"/>
      <c r="AG110" s="451"/>
      <c r="AH110" s="451"/>
      <c r="AI110" s="489"/>
      <c r="AJ110" s="451"/>
      <c r="AK110" s="451"/>
      <c r="AL110" s="412"/>
      <c r="AM110" s="1795"/>
      <c r="AN110" s="369"/>
      <c r="AO110" s="368"/>
      <c r="AP110" s="368"/>
      <c r="AQ110" s="368"/>
      <c r="AR110" s="368"/>
      <c r="AS110" s="368"/>
      <c r="AT110" s="368"/>
      <c r="AU110" s="368"/>
      <c r="AV110" s="368"/>
    </row>
    <row r="111" spans="1:48">
      <c r="A111" s="606" t="s">
        <v>931</v>
      </c>
      <c r="B111" s="414">
        <v>7896740</v>
      </c>
      <c r="C111" s="476">
        <v>7865740</v>
      </c>
      <c r="D111" s="476">
        <v>7769740</v>
      </c>
      <c r="E111" s="476">
        <v>7707740</v>
      </c>
      <c r="F111" s="476">
        <v>7657740</v>
      </c>
      <c r="G111" s="490">
        <v>10104629.781260338</v>
      </c>
      <c r="H111" s="476">
        <v>9968964.5480102766</v>
      </c>
      <c r="I111" s="476">
        <v>9854356.4736842103</v>
      </c>
      <c r="J111" s="476">
        <v>9730160.5</v>
      </c>
      <c r="K111" s="490">
        <v>9465754</v>
      </c>
      <c r="L111" s="476">
        <v>9286153.7200000007</v>
      </c>
      <c r="M111" s="476">
        <v>9129740</v>
      </c>
      <c r="N111" s="476">
        <v>9006740</v>
      </c>
      <c r="O111" s="490">
        <v>8907490</v>
      </c>
      <c r="P111" s="476">
        <v>8727740</v>
      </c>
      <c r="Q111" s="476">
        <v>8563740</v>
      </c>
      <c r="R111" s="476">
        <v>8436740</v>
      </c>
      <c r="S111" s="490">
        <v>8289740</v>
      </c>
      <c r="T111" s="476">
        <v>8109260</v>
      </c>
      <c r="U111" s="476">
        <v>7906660</v>
      </c>
      <c r="V111" s="476">
        <v>7714000</v>
      </c>
      <c r="W111" s="490">
        <v>7543000</v>
      </c>
      <c r="X111" s="476">
        <v>7354800</v>
      </c>
      <c r="Y111" s="476">
        <v>7185000</v>
      </c>
      <c r="Z111" s="476">
        <v>7039000</v>
      </c>
      <c r="AA111" s="490">
        <v>6913000</v>
      </c>
      <c r="AB111" s="476">
        <v>6767000</v>
      </c>
      <c r="AC111" s="476">
        <v>6627000</v>
      </c>
      <c r="AD111" s="476">
        <v>6504000</v>
      </c>
      <c r="AE111" s="490">
        <v>6397000</v>
      </c>
      <c r="AF111" s="476">
        <v>0</v>
      </c>
      <c r="AG111" s="476">
        <v>0</v>
      </c>
      <c r="AH111" s="476">
        <v>0</v>
      </c>
      <c r="AI111" s="490">
        <v>0</v>
      </c>
      <c r="AJ111" s="413">
        <v>0</v>
      </c>
      <c r="AK111" s="413">
        <v>0</v>
      </c>
      <c r="AL111" s="476">
        <v>0</v>
      </c>
      <c r="AM111" s="1795"/>
      <c r="AN111" s="365"/>
      <c r="AO111" s="476">
        <v>7714000</v>
      </c>
      <c r="AP111" s="476">
        <v>7039000</v>
      </c>
      <c r="AQ111" s="476">
        <v>6504000</v>
      </c>
      <c r="AR111" s="476">
        <v>0</v>
      </c>
      <c r="AS111" s="476">
        <v>0</v>
      </c>
      <c r="AT111" s="476">
        <v>0</v>
      </c>
      <c r="AU111" s="476">
        <v>0</v>
      </c>
      <c r="AV111" s="476">
        <v>0</v>
      </c>
    </row>
    <row r="112" spans="1:48" ht="12" customHeight="1">
      <c r="A112" s="606" t="s">
        <v>932</v>
      </c>
      <c r="B112" s="414">
        <v>304000</v>
      </c>
      <c r="C112" s="476">
        <v>349000</v>
      </c>
      <c r="D112" s="476">
        <v>383000</v>
      </c>
      <c r="E112" s="476">
        <v>432000</v>
      </c>
      <c r="F112" s="476">
        <v>674137</v>
      </c>
      <c r="G112" s="490">
        <v>766625</v>
      </c>
      <c r="H112" s="476">
        <v>827674</v>
      </c>
      <c r="I112" s="476">
        <v>902282</v>
      </c>
      <c r="J112" s="476">
        <v>987275</v>
      </c>
      <c r="K112" s="490">
        <v>1111783</v>
      </c>
      <c r="L112" s="476">
        <v>1213294.6000000001</v>
      </c>
      <c r="M112" s="476">
        <v>1325800</v>
      </c>
      <c r="N112" s="476">
        <v>1439710.409679878</v>
      </c>
      <c r="O112" s="490">
        <v>1572053.169921875</v>
      </c>
      <c r="P112" s="476">
        <v>1656000</v>
      </c>
      <c r="Q112" s="476">
        <v>1746000</v>
      </c>
      <c r="R112" s="476">
        <v>1832000</v>
      </c>
      <c r="S112" s="490">
        <v>1926000</v>
      </c>
      <c r="T112" s="476">
        <v>1971000</v>
      </c>
      <c r="U112" s="476">
        <v>2016000</v>
      </c>
      <c r="V112" s="476">
        <v>2053000</v>
      </c>
      <c r="W112" s="490">
        <v>2117000</v>
      </c>
      <c r="X112" s="476">
        <v>2146000</v>
      </c>
      <c r="Y112" s="476">
        <v>2189000</v>
      </c>
      <c r="Z112" s="476">
        <v>2236000</v>
      </c>
      <c r="AA112" s="490">
        <v>2306000</v>
      </c>
      <c r="AB112" s="476">
        <v>2336000</v>
      </c>
      <c r="AC112" s="476">
        <v>2365000</v>
      </c>
      <c r="AD112" s="413">
        <v>2394000</v>
      </c>
      <c r="AE112" s="490">
        <v>2446000</v>
      </c>
      <c r="AF112" s="476">
        <v>0</v>
      </c>
      <c r="AG112" s="476">
        <v>0</v>
      </c>
      <c r="AH112" s="413">
        <v>0</v>
      </c>
      <c r="AI112" s="490">
        <v>0</v>
      </c>
      <c r="AJ112" s="413">
        <v>0</v>
      </c>
      <c r="AK112" s="413">
        <v>0</v>
      </c>
      <c r="AL112" s="414">
        <v>0</v>
      </c>
      <c r="AM112" s="1795"/>
      <c r="AN112" s="365"/>
      <c r="AO112" s="476">
        <v>2053000</v>
      </c>
      <c r="AP112" s="476">
        <v>2236000</v>
      </c>
      <c r="AQ112" s="476">
        <v>2394000</v>
      </c>
      <c r="AR112" s="476">
        <v>0</v>
      </c>
      <c r="AS112" s="476">
        <v>0</v>
      </c>
      <c r="AT112" s="476">
        <v>0</v>
      </c>
      <c r="AU112" s="476">
        <v>0</v>
      </c>
      <c r="AV112" s="476">
        <v>0</v>
      </c>
    </row>
    <row r="113" spans="1:48">
      <c r="A113" s="365"/>
      <c r="B113" s="868"/>
      <c r="C113" s="137"/>
      <c r="D113" s="137"/>
      <c r="E113" s="476"/>
      <c r="F113" s="476"/>
      <c r="G113" s="490"/>
      <c r="H113" s="476"/>
      <c r="I113" s="476"/>
      <c r="J113" s="476"/>
      <c r="K113" s="490"/>
      <c r="L113" s="476"/>
      <c r="M113" s="476"/>
      <c r="N113" s="476"/>
      <c r="O113" s="490"/>
      <c r="P113" s="476"/>
      <c r="Q113" s="476"/>
      <c r="R113" s="476"/>
      <c r="S113" s="489"/>
      <c r="T113" s="476"/>
      <c r="U113" s="476"/>
      <c r="V113" s="476"/>
      <c r="W113" s="490"/>
      <c r="X113" s="476"/>
      <c r="Y113" s="589"/>
      <c r="Z113" s="476"/>
      <c r="AA113" s="490"/>
      <c r="AB113" s="476"/>
      <c r="AC113" s="476"/>
      <c r="AD113" s="476"/>
      <c r="AE113" s="490"/>
      <c r="AF113" s="413"/>
      <c r="AG113" s="413"/>
      <c r="AH113" s="413"/>
      <c r="AI113" s="490"/>
      <c r="AJ113" s="413"/>
      <c r="AK113" s="413"/>
      <c r="AL113" s="400"/>
      <c r="AM113" s="1795"/>
      <c r="AN113" s="365"/>
      <c r="AO113" s="399"/>
      <c r="AP113" s="399"/>
      <c r="AQ113" s="399"/>
      <c r="AR113" s="399"/>
      <c r="AS113" s="399"/>
      <c r="AT113" s="399"/>
      <c r="AU113" s="399"/>
      <c r="AV113" s="399"/>
    </row>
    <row r="114" spans="1:48">
      <c r="A114" s="776" t="s">
        <v>590</v>
      </c>
      <c r="B114" s="783"/>
      <c r="C114" s="144"/>
      <c r="D114" s="144"/>
      <c r="E114" s="589"/>
      <c r="F114" s="589"/>
      <c r="G114" s="489"/>
      <c r="H114" s="589"/>
      <c r="I114" s="589"/>
      <c r="J114" s="589"/>
      <c r="K114" s="489"/>
      <c r="L114" s="589"/>
      <c r="M114" s="589"/>
      <c r="N114" s="589"/>
      <c r="O114" s="489"/>
      <c r="P114" s="589"/>
      <c r="Q114" s="589"/>
      <c r="R114" s="589"/>
      <c r="S114" s="489"/>
      <c r="T114" s="589"/>
      <c r="U114" s="589"/>
      <c r="V114" s="589"/>
      <c r="W114" s="489"/>
      <c r="X114" s="589"/>
      <c r="Y114" s="589"/>
      <c r="Z114" s="589"/>
      <c r="AA114" s="489"/>
      <c r="AB114" s="589"/>
      <c r="AC114" s="589"/>
      <c r="AD114" s="589"/>
      <c r="AE114" s="489"/>
      <c r="AF114" s="451"/>
      <c r="AG114" s="451"/>
      <c r="AH114" s="451"/>
      <c r="AI114" s="489"/>
      <c r="AJ114" s="451"/>
      <c r="AK114" s="451"/>
      <c r="AL114" s="412"/>
      <c r="AM114" s="1795"/>
      <c r="AN114" s="369"/>
      <c r="AO114" s="368"/>
      <c r="AP114" s="368"/>
      <c r="AQ114" s="368"/>
      <c r="AR114" s="368"/>
      <c r="AS114" s="368"/>
      <c r="AT114" s="368"/>
      <c r="AU114" s="368"/>
      <c r="AV114" s="368"/>
    </row>
    <row r="115" spans="1:48">
      <c r="A115" s="606" t="s">
        <v>931</v>
      </c>
      <c r="B115" s="679">
        <v>0</v>
      </c>
      <c r="C115" s="476">
        <v>16050000</v>
      </c>
      <c r="D115" s="476">
        <v>15839000</v>
      </c>
      <c r="E115" s="476">
        <v>15680000</v>
      </c>
      <c r="F115" s="414">
        <v>15522000</v>
      </c>
      <c r="G115" s="476">
        <v>15339000</v>
      </c>
      <c r="H115" s="476">
        <v>15087000</v>
      </c>
      <c r="I115" s="476">
        <v>14933000</v>
      </c>
      <c r="J115" s="476">
        <v>14739000</v>
      </c>
      <c r="K115" s="490">
        <v>14545784</v>
      </c>
      <c r="L115" s="476">
        <v>14283164</v>
      </c>
      <c r="M115" s="476">
        <v>14036590</v>
      </c>
      <c r="N115" s="414">
        <v>13794994.999999998</v>
      </c>
      <c r="O115" s="476">
        <v>13122000</v>
      </c>
      <c r="P115" s="476">
        <v>12840000</v>
      </c>
      <c r="Q115" s="476">
        <v>12580000</v>
      </c>
      <c r="R115" s="476">
        <v>12336000</v>
      </c>
      <c r="S115" s="490">
        <v>12058000</v>
      </c>
      <c r="T115" s="413">
        <v>11750000</v>
      </c>
      <c r="U115" s="413">
        <v>11438000</v>
      </c>
      <c r="V115" s="413">
        <v>11127000</v>
      </c>
      <c r="W115" s="490">
        <v>10800000</v>
      </c>
      <c r="X115" s="413">
        <v>10484000</v>
      </c>
      <c r="Y115" s="413">
        <v>10170000</v>
      </c>
      <c r="Z115" s="413">
        <v>9925000</v>
      </c>
      <c r="AA115" s="490">
        <v>9663000</v>
      </c>
      <c r="AB115" s="413">
        <v>9387000</v>
      </c>
      <c r="AC115" s="413">
        <v>9114000</v>
      </c>
      <c r="AD115" s="413">
        <v>8855000</v>
      </c>
      <c r="AE115" s="490">
        <v>8632000</v>
      </c>
      <c r="AF115" s="413">
        <v>0</v>
      </c>
      <c r="AG115" s="413">
        <v>0</v>
      </c>
      <c r="AH115" s="413">
        <v>0</v>
      </c>
      <c r="AI115" s="490">
        <v>0</v>
      </c>
      <c r="AJ115" s="413">
        <v>0</v>
      </c>
      <c r="AK115" s="413">
        <v>0</v>
      </c>
      <c r="AL115" s="413">
        <v>0</v>
      </c>
      <c r="AM115" s="1795"/>
      <c r="AN115" s="365"/>
      <c r="AO115" s="413">
        <v>11127000</v>
      </c>
      <c r="AP115" s="413">
        <v>9925000</v>
      </c>
      <c r="AQ115" s="413">
        <v>8855000</v>
      </c>
      <c r="AR115" s="413">
        <v>0</v>
      </c>
      <c r="AS115" s="413">
        <v>0</v>
      </c>
      <c r="AT115" s="413">
        <v>0</v>
      </c>
      <c r="AU115" s="413">
        <v>0</v>
      </c>
      <c r="AV115" s="413">
        <v>0</v>
      </c>
    </row>
    <row r="116" spans="1:48">
      <c r="A116" s="606" t="s">
        <v>932</v>
      </c>
      <c r="B116" s="679">
        <v>0</v>
      </c>
      <c r="C116" s="476">
        <v>744000</v>
      </c>
      <c r="D116" s="476">
        <v>853000</v>
      </c>
      <c r="E116" s="476">
        <v>956000</v>
      </c>
      <c r="F116" s="414">
        <v>1037000</v>
      </c>
      <c r="G116" s="476">
        <v>1122000</v>
      </c>
      <c r="H116" s="476">
        <v>1190000</v>
      </c>
      <c r="I116" s="476">
        <v>1340000</v>
      </c>
      <c r="J116" s="476">
        <v>1480000</v>
      </c>
      <c r="K116" s="490">
        <v>1678000</v>
      </c>
      <c r="L116" s="476">
        <v>1798000</v>
      </c>
      <c r="M116" s="476">
        <v>1973000</v>
      </c>
      <c r="N116" s="414">
        <v>2138000</v>
      </c>
      <c r="O116" s="476">
        <v>2114000</v>
      </c>
      <c r="P116" s="476">
        <v>2213000</v>
      </c>
      <c r="Q116" s="476">
        <v>2317000</v>
      </c>
      <c r="R116" s="476">
        <v>2413000</v>
      </c>
      <c r="S116" s="490">
        <v>2515000</v>
      </c>
      <c r="T116" s="413">
        <v>2554000</v>
      </c>
      <c r="U116" s="413">
        <v>2599000</v>
      </c>
      <c r="V116" s="413">
        <v>2652000</v>
      </c>
      <c r="W116" s="490">
        <v>2708000</v>
      </c>
      <c r="X116" s="413">
        <v>2741000</v>
      </c>
      <c r="Y116" s="413">
        <v>2770000</v>
      </c>
      <c r="Z116" s="413">
        <v>2812000</v>
      </c>
      <c r="AA116" s="490">
        <v>2857000</v>
      </c>
      <c r="AB116" s="413">
        <v>2859000</v>
      </c>
      <c r="AC116" s="413">
        <v>2899000</v>
      </c>
      <c r="AD116" s="413">
        <v>2919000</v>
      </c>
      <c r="AE116" s="490">
        <v>2965000</v>
      </c>
      <c r="AF116" s="413">
        <v>0</v>
      </c>
      <c r="AG116" s="413">
        <v>0</v>
      </c>
      <c r="AH116" s="413">
        <v>0</v>
      </c>
      <c r="AI116" s="490">
        <v>0</v>
      </c>
      <c r="AJ116" s="413">
        <v>0</v>
      </c>
      <c r="AK116" s="413">
        <v>0</v>
      </c>
      <c r="AL116" s="414">
        <v>0</v>
      </c>
      <c r="AM116" s="1795"/>
      <c r="AN116" s="365"/>
      <c r="AO116" s="413">
        <v>2652000</v>
      </c>
      <c r="AP116" s="413">
        <v>2812000</v>
      </c>
      <c r="AQ116" s="413">
        <v>2919000</v>
      </c>
      <c r="AR116" s="413">
        <v>0</v>
      </c>
      <c r="AS116" s="413">
        <v>0</v>
      </c>
      <c r="AT116" s="413">
        <v>0</v>
      </c>
      <c r="AU116" s="413">
        <v>0</v>
      </c>
      <c r="AV116" s="413">
        <v>0</v>
      </c>
    </row>
    <row r="117" spans="1:48">
      <c r="A117" s="606" t="s">
        <v>696</v>
      </c>
      <c r="B117" s="679">
        <v>0</v>
      </c>
      <c r="C117" s="137">
        <v>0</v>
      </c>
      <c r="D117" s="137">
        <v>0</v>
      </c>
      <c r="E117" s="476">
        <v>0</v>
      </c>
      <c r="F117" s="414">
        <v>0</v>
      </c>
      <c r="G117" s="137">
        <v>0</v>
      </c>
      <c r="H117" s="137">
        <v>0</v>
      </c>
      <c r="I117" s="476">
        <v>0</v>
      </c>
      <c r="J117" s="476">
        <v>0</v>
      </c>
      <c r="K117" s="490">
        <v>210000</v>
      </c>
      <c r="L117" s="476">
        <v>249000</v>
      </c>
      <c r="M117" s="476">
        <v>338000</v>
      </c>
      <c r="N117" s="414">
        <v>411000</v>
      </c>
      <c r="O117" s="137">
        <v>482000</v>
      </c>
      <c r="P117" s="137">
        <v>553000</v>
      </c>
      <c r="Q117" s="476">
        <v>593000</v>
      </c>
      <c r="R117" s="476">
        <v>652000</v>
      </c>
      <c r="S117" s="490">
        <v>697000</v>
      </c>
      <c r="T117" s="413">
        <v>716000</v>
      </c>
      <c r="U117" s="413">
        <v>756000</v>
      </c>
      <c r="V117" s="413">
        <v>814000</v>
      </c>
      <c r="W117" s="490">
        <v>839000</v>
      </c>
      <c r="X117" s="413">
        <v>857000</v>
      </c>
      <c r="Y117" s="413">
        <v>900000</v>
      </c>
      <c r="Z117" s="413">
        <v>940000</v>
      </c>
      <c r="AA117" s="490">
        <v>951000</v>
      </c>
      <c r="AB117" s="413">
        <v>951000</v>
      </c>
      <c r="AC117" s="413">
        <v>963000</v>
      </c>
      <c r="AD117" s="413">
        <v>1003000</v>
      </c>
      <c r="AE117" s="490">
        <v>1014000</v>
      </c>
      <c r="AF117" s="413">
        <v>0</v>
      </c>
      <c r="AG117" s="413">
        <v>0</v>
      </c>
      <c r="AH117" s="413">
        <v>0</v>
      </c>
      <c r="AI117" s="490">
        <v>0</v>
      </c>
      <c r="AJ117" s="413">
        <v>0</v>
      </c>
      <c r="AK117" s="413">
        <v>0</v>
      </c>
      <c r="AL117" s="413">
        <v>0</v>
      </c>
      <c r="AM117" s="1795"/>
      <c r="AN117" s="365"/>
      <c r="AO117" s="413">
        <v>814000</v>
      </c>
      <c r="AP117" s="413">
        <v>940000</v>
      </c>
      <c r="AQ117" s="413">
        <v>1003000</v>
      </c>
      <c r="AR117" s="413">
        <v>0</v>
      </c>
      <c r="AS117" s="413">
        <v>0</v>
      </c>
      <c r="AT117" s="413">
        <v>0</v>
      </c>
      <c r="AU117" s="413">
        <v>0</v>
      </c>
      <c r="AV117" s="413">
        <v>0</v>
      </c>
    </row>
    <row r="118" spans="1:48">
      <c r="A118" s="606" t="s">
        <v>697</v>
      </c>
      <c r="B118" s="679">
        <v>0</v>
      </c>
      <c r="C118" s="476">
        <v>816000</v>
      </c>
      <c r="D118" s="476">
        <v>814000</v>
      </c>
      <c r="E118" s="476">
        <v>778000</v>
      </c>
      <c r="F118" s="414">
        <v>754000</v>
      </c>
      <c r="G118" s="476">
        <v>743000</v>
      </c>
      <c r="H118" s="476">
        <v>744000</v>
      </c>
      <c r="I118" s="476">
        <v>748000</v>
      </c>
      <c r="J118" s="476">
        <v>770000</v>
      </c>
      <c r="K118" s="490">
        <v>784000</v>
      </c>
      <c r="L118" s="476">
        <v>777000</v>
      </c>
      <c r="M118" s="476">
        <v>781000</v>
      </c>
      <c r="N118" s="414">
        <v>801000</v>
      </c>
      <c r="O118" s="476">
        <v>812000</v>
      </c>
      <c r="P118" s="476">
        <v>806766</v>
      </c>
      <c r="Q118" s="476">
        <v>819009</v>
      </c>
      <c r="R118" s="476">
        <v>823531</v>
      </c>
      <c r="S118" s="490">
        <v>816341</v>
      </c>
      <c r="T118" s="413">
        <v>810594</v>
      </c>
      <c r="U118" s="413">
        <v>707595</v>
      </c>
      <c r="V118" s="413">
        <v>658258</v>
      </c>
      <c r="W118" s="490">
        <v>718046</v>
      </c>
      <c r="X118" s="413">
        <v>737555</v>
      </c>
      <c r="Y118" s="413">
        <v>760420</v>
      </c>
      <c r="Z118" s="413">
        <v>838045</v>
      </c>
      <c r="AA118" s="490">
        <v>922000</v>
      </c>
      <c r="AB118" s="413">
        <v>982000</v>
      </c>
      <c r="AC118" s="413">
        <v>1044000</v>
      </c>
      <c r="AD118" s="413">
        <v>1086000</v>
      </c>
      <c r="AE118" s="490">
        <v>1087000</v>
      </c>
      <c r="AF118" s="413">
        <v>0</v>
      </c>
      <c r="AG118" s="413">
        <v>0</v>
      </c>
      <c r="AH118" s="413">
        <v>0</v>
      </c>
      <c r="AI118" s="490">
        <v>0</v>
      </c>
      <c r="AJ118" s="413">
        <v>0</v>
      </c>
      <c r="AK118" s="413">
        <v>0</v>
      </c>
      <c r="AL118" s="413">
        <v>0</v>
      </c>
      <c r="AM118" s="1795"/>
      <c r="AN118" s="365"/>
      <c r="AO118" s="413">
        <v>658258</v>
      </c>
      <c r="AP118" s="413">
        <v>838045</v>
      </c>
      <c r="AQ118" s="413">
        <v>1086000</v>
      </c>
      <c r="AR118" s="413">
        <v>0</v>
      </c>
      <c r="AS118" s="413">
        <v>0</v>
      </c>
      <c r="AT118" s="413">
        <v>0</v>
      </c>
      <c r="AU118" s="413">
        <v>0</v>
      </c>
      <c r="AV118" s="413">
        <v>0</v>
      </c>
    </row>
    <row r="119" spans="1:48">
      <c r="A119" s="365"/>
      <c r="B119" s="868"/>
      <c r="C119" s="137"/>
      <c r="D119" s="137"/>
      <c r="E119" s="476"/>
      <c r="F119" s="476"/>
      <c r="G119" s="490"/>
      <c r="H119" s="476"/>
      <c r="I119" s="476"/>
      <c r="J119" s="476"/>
      <c r="K119" s="490"/>
      <c r="L119" s="476"/>
      <c r="M119" s="476"/>
      <c r="N119" s="476"/>
      <c r="O119" s="490"/>
      <c r="P119" s="476"/>
      <c r="Q119" s="476"/>
      <c r="R119" s="476"/>
      <c r="S119" s="489"/>
      <c r="T119" s="476"/>
      <c r="U119" s="476"/>
      <c r="V119" s="476"/>
      <c r="W119" s="490"/>
      <c r="X119" s="476"/>
      <c r="Y119" s="589"/>
      <c r="Z119" s="476"/>
      <c r="AA119" s="490"/>
      <c r="AB119" s="476"/>
      <c r="AC119" s="476"/>
      <c r="AD119" s="476"/>
      <c r="AE119" s="490"/>
      <c r="AF119" s="413"/>
      <c r="AG119" s="413"/>
      <c r="AH119" s="413"/>
      <c r="AI119" s="490"/>
      <c r="AJ119" s="413"/>
      <c r="AK119" s="413"/>
      <c r="AL119" s="400"/>
      <c r="AM119" s="1795"/>
      <c r="AN119" s="365"/>
      <c r="AO119" s="476"/>
      <c r="AP119" s="476"/>
      <c r="AQ119" s="476"/>
      <c r="AR119" s="476"/>
      <c r="AS119" s="476"/>
      <c r="AT119" s="476"/>
      <c r="AU119" s="476"/>
      <c r="AV119" s="476"/>
    </row>
    <row r="120" spans="1:48">
      <c r="A120" s="792" t="s">
        <v>667</v>
      </c>
      <c r="B120" s="800"/>
      <c r="C120" s="892"/>
      <c r="D120" s="892"/>
      <c r="E120" s="889"/>
      <c r="F120" s="889"/>
      <c r="G120" s="824"/>
      <c r="H120" s="889"/>
      <c r="I120" s="889"/>
      <c r="J120" s="889"/>
      <c r="K120" s="824"/>
      <c r="L120" s="889"/>
      <c r="M120" s="889"/>
      <c r="N120" s="889"/>
      <c r="O120" s="824"/>
      <c r="P120" s="889"/>
      <c r="Q120" s="889"/>
      <c r="R120" s="889"/>
      <c r="S120" s="824"/>
      <c r="T120" s="889"/>
      <c r="U120" s="889"/>
      <c r="V120" s="889"/>
      <c r="W120" s="824"/>
      <c r="X120" s="889"/>
      <c r="Y120" s="889"/>
      <c r="Z120" s="889"/>
      <c r="AA120" s="824"/>
      <c r="AB120" s="889"/>
      <c r="AC120" s="889"/>
      <c r="AD120" s="889"/>
      <c r="AE120" s="824"/>
      <c r="AF120" s="510"/>
      <c r="AG120" s="510"/>
      <c r="AH120" s="510"/>
      <c r="AI120" s="824"/>
      <c r="AJ120" s="510"/>
      <c r="AK120" s="510"/>
      <c r="AL120" s="400"/>
      <c r="AM120" s="1795"/>
      <c r="AN120" s="365"/>
      <c r="AO120" s="889"/>
      <c r="AP120" s="889"/>
      <c r="AQ120" s="889"/>
      <c r="AR120" s="889"/>
      <c r="AS120" s="889"/>
      <c r="AT120" s="889"/>
      <c r="AU120" s="889"/>
      <c r="AV120" s="889"/>
    </row>
    <row r="121" spans="1:48">
      <c r="A121" s="900" t="s">
        <v>931</v>
      </c>
      <c r="B121" s="511">
        <v>7896740</v>
      </c>
      <c r="C121" s="889">
        <v>23915740</v>
      </c>
      <c r="D121" s="889">
        <v>23608740</v>
      </c>
      <c r="E121" s="889">
        <v>23387740</v>
      </c>
      <c r="F121" s="889">
        <v>23179740</v>
      </c>
      <c r="G121" s="824">
        <v>25443629.781260338</v>
      </c>
      <c r="H121" s="889">
        <v>25055964.548010275</v>
      </c>
      <c r="I121" s="889">
        <v>24787356.47368421</v>
      </c>
      <c r="J121" s="889">
        <v>24469160.5</v>
      </c>
      <c r="K121" s="824">
        <v>24011538</v>
      </c>
      <c r="L121" s="889">
        <v>23569317.719999999</v>
      </c>
      <c r="M121" s="889">
        <v>23166330</v>
      </c>
      <c r="N121" s="889">
        <v>22801735</v>
      </c>
      <c r="O121" s="824">
        <v>22029490</v>
      </c>
      <c r="P121" s="889">
        <v>21567740</v>
      </c>
      <c r="Q121" s="889">
        <v>21143740</v>
      </c>
      <c r="R121" s="889">
        <v>20772740</v>
      </c>
      <c r="S121" s="824">
        <v>20347740</v>
      </c>
      <c r="T121" s="889">
        <v>19859260</v>
      </c>
      <c r="U121" s="889">
        <v>19344660</v>
      </c>
      <c r="V121" s="889">
        <v>18841000</v>
      </c>
      <c r="W121" s="824">
        <v>18343000</v>
      </c>
      <c r="X121" s="889">
        <v>17838800</v>
      </c>
      <c r="Y121" s="889">
        <v>17355000</v>
      </c>
      <c r="Z121" s="889">
        <v>16964000</v>
      </c>
      <c r="AA121" s="824">
        <v>16576000</v>
      </c>
      <c r="AB121" s="889">
        <v>16154000</v>
      </c>
      <c r="AC121" s="889">
        <v>15741000</v>
      </c>
      <c r="AD121" s="889">
        <v>15359000</v>
      </c>
      <c r="AE121" s="824">
        <v>15029000</v>
      </c>
      <c r="AF121" s="510">
        <v>0</v>
      </c>
      <c r="AG121" s="510">
        <v>0</v>
      </c>
      <c r="AH121" s="889">
        <v>0</v>
      </c>
      <c r="AI121" s="824">
        <v>0</v>
      </c>
      <c r="AJ121" s="510">
        <v>0</v>
      </c>
      <c r="AK121" s="510">
        <v>0</v>
      </c>
      <c r="AL121" s="889">
        <v>0</v>
      </c>
      <c r="AM121" s="1795"/>
      <c r="AN121" s="365"/>
      <c r="AO121" s="889">
        <v>18841000</v>
      </c>
      <c r="AP121" s="889">
        <v>16964000</v>
      </c>
      <c r="AQ121" s="889">
        <v>15359000</v>
      </c>
      <c r="AR121" s="889">
        <v>0</v>
      </c>
      <c r="AS121" s="889">
        <v>0</v>
      </c>
      <c r="AT121" s="889">
        <v>0</v>
      </c>
      <c r="AU121" s="889">
        <v>0</v>
      </c>
      <c r="AV121" s="889">
        <v>0</v>
      </c>
    </row>
    <row r="122" spans="1:48">
      <c r="A122" s="900" t="s">
        <v>932</v>
      </c>
      <c r="B122" s="511">
        <v>304000</v>
      </c>
      <c r="C122" s="889">
        <v>1093000</v>
      </c>
      <c r="D122" s="889">
        <v>1236000</v>
      </c>
      <c r="E122" s="889">
        <v>1388000</v>
      </c>
      <c r="F122" s="889">
        <v>1711137</v>
      </c>
      <c r="G122" s="824">
        <v>1888625</v>
      </c>
      <c r="H122" s="889">
        <v>2017674</v>
      </c>
      <c r="I122" s="889">
        <v>2242282</v>
      </c>
      <c r="J122" s="889">
        <v>2467275</v>
      </c>
      <c r="K122" s="824">
        <v>2789783</v>
      </c>
      <c r="L122" s="889">
        <v>3011294.6</v>
      </c>
      <c r="M122" s="889">
        <v>3298800</v>
      </c>
      <c r="N122" s="889">
        <v>3577710.409679878</v>
      </c>
      <c r="O122" s="824">
        <v>3686053.169921875</v>
      </c>
      <c r="P122" s="889">
        <v>3869000</v>
      </c>
      <c r="Q122" s="889">
        <v>4063000</v>
      </c>
      <c r="R122" s="889">
        <v>4245000</v>
      </c>
      <c r="S122" s="824">
        <v>4441000</v>
      </c>
      <c r="T122" s="889">
        <v>4525000</v>
      </c>
      <c r="U122" s="889">
        <v>4615000</v>
      </c>
      <c r="V122" s="889">
        <v>4705000</v>
      </c>
      <c r="W122" s="824">
        <v>4825000</v>
      </c>
      <c r="X122" s="889">
        <v>4887000</v>
      </c>
      <c r="Y122" s="889">
        <v>4959000</v>
      </c>
      <c r="Z122" s="889">
        <v>5048000</v>
      </c>
      <c r="AA122" s="824">
        <v>5163000</v>
      </c>
      <c r="AB122" s="889">
        <v>5195000</v>
      </c>
      <c r="AC122" s="889">
        <v>5264000</v>
      </c>
      <c r="AD122" s="889">
        <v>5313000</v>
      </c>
      <c r="AE122" s="824">
        <v>5411000</v>
      </c>
      <c r="AF122" s="510">
        <v>0</v>
      </c>
      <c r="AG122" s="510">
        <v>0</v>
      </c>
      <c r="AH122" s="889">
        <v>0</v>
      </c>
      <c r="AI122" s="824">
        <v>0</v>
      </c>
      <c r="AJ122" s="510">
        <v>0</v>
      </c>
      <c r="AK122" s="510">
        <v>0</v>
      </c>
      <c r="AL122" s="889">
        <v>0</v>
      </c>
      <c r="AM122" s="1795"/>
      <c r="AN122" s="365"/>
      <c r="AO122" s="889">
        <v>4705000</v>
      </c>
      <c r="AP122" s="889">
        <v>5048000</v>
      </c>
      <c r="AQ122" s="889">
        <v>5313000</v>
      </c>
      <c r="AR122" s="889">
        <v>0</v>
      </c>
      <c r="AS122" s="889">
        <v>0</v>
      </c>
      <c r="AT122" s="889">
        <v>0</v>
      </c>
      <c r="AU122" s="889">
        <v>0</v>
      </c>
      <c r="AV122" s="889">
        <v>0</v>
      </c>
    </row>
    <row r="123" spans="1:48">
      <c r="A123" s="900" t="s">
        <v>696</v>
      </c>
      <c r="B123" s="511">
        <v>0</v>
      </c>
      <c r="C123" s="889">
        <v>0</v>
      </c>
      <c r="D123" s="889">
        <v>0</v>
      </c>
      <c r="E123" s="889">
        <v>0</v>
      </c>
      <c r="F123" s="889">
        <v>0</v>
      </c>
      <c r="G123" s="824">
        <v>0</v>
      </c>
      <c r="H123" s="889">
        <v>0</v>
      </c>
      <c r="I123" s="889">
        <v>0</v>
      </c>
      <c r="J123" s="889">
        <v>0</v>
      </c>
      <c r="K123" s="824">
        <v>210000</v>
      </c>
      <c r="L123" s="889">
        <v>249000</v>
      </c>
      <c r="M123" s="889">
        <v>338000</v>
      </c>
      <c r="N123" s="889">
        <v>411000</v>
      </c>
      <c r="O123" s="824">
        <v>482000</v>
      </c>
      <c r="P123" s="889">
        <v>553000</v>
      </c>
      <c r="Q123" s="889">
        <v>593000</v>
      </c>
      <c r="R123" s="889">
        <v>652000</v>
      </c>
      <c r="S123" s="824">
        <v>697000</v>
      </c>
      <c r="T123" s="889">
        <v>716000</v>
      </c>
      <c r="U123" s="889">
        <v>756000</v>
      </c>
      <c r="V123" s="889">
        <v>814000</v>
      </c>
      <c r="W123" s="824">
        <v>839000</v>
      </c>
      <c r="X123" s="889">
        <v>857000</v>
      </c>
      <c r="Y123" s="889">
        <v>900000</v>
      </c>
      <c r="Z123" s="889">
        <v>940000</v>
      </c>
      <c r="AA123" s="824">
        <v>951000</v>
      </c>
      <c r="AB123" s="889">
        <v>951000</v>
      </c>
      <c r="AC123" s="889">
        <v>963000</v>
      </c>
      <c r="AD123" s="510">
        <v>1003000</v>
      </c>
      <c r="AE123" s="824">
        <v>1014000</v>
      </c>
      <c r="AF123" s="510">
        <v>0</v>
      </c>
      <c r="AG123" s="510">
        <v>0</v>
      </c>
      <c r="AH123" s="510">
        <v>0</v>
      </c>
      <c r="AI123" s="824">
        <v>0</v>
      </c>
      <c r="AJ123" s="510">
        <v>0</v>
      </c>
      <c r="AK123" s="510">
        <v>0</v>
      </c>
      <c r="AL123" s="511">
        <v>0</v>
      </c>
      <c r="AM123" s="1795"/>
      <c r="AN123" s="365"/>
      <c r="AO123" s="889">
        <v>814000</v>
      </c>
      <c r="AP123" s="889">
        <v>940000</v>
      </c>
      <c r="AQ123" s="889">
        <v>1003000</v>
      </c>
      <c r="AR123" s="889">
        <v>0</v>
      </c>
      <c r="AS123" s="889">
        <v>0</v>
      </c>
      <c r="AT123" s="889">
        <v>0</v>
      </c>
      <c r="AU123" s="889">
        <v>0</v>
      </c>
      <c r="AV123" s="889">
        <v>0</v>
      </c>
    </row>
    <row r="124" spans="1:48">
      <c r="A124" s="900" t="s">
        <v>697</v>
      </c>
      <c r="B124" s="511">
        <v>0</v>
      </c>
      <c r="C124" s="889">
        <v>816000</v>
      </c>
      <c r="D124" s="889">
        <v>814000</v>
      </c>
      <c r="E124" s="889">
        <v>778000</v>
      </c>
      <c r="F124" s="889">
        <v>754000</v>
      </c>
      <c r="G124" s="824">
        <v>743000</v>
      </c>
      <c r="H124" s="889">
        <v>744000</v>
      </c>
      <c r="I124" s="889">
        <v>748000</v>
      </c>
      <c r="J124" s="889">
        <v>770000</v>
      </c>
      <c r="K124" s="824">
        <v>784000</v>
      </c>
      <c r="L124" s="889">
        <v>777000</v>
      </c>
      <c r="M124" s="889">
        <v>781000</v>
      </c>
      <c r="N124" s="889">
        <v>801000</v>
      </c>
      <c r="O124" s="824">
        <v>812000</v>
      </c>
      <c r="P124" s="889">
        <v>806766</v>
      </c>
      <c r="Q124" s="889">
        <v>819009</v>
      </c>
      <c r="R124" s="889">
        <v>823531</v>
      </c>
      <c r="S124" s="824">
        <v>816341</v>
      </c>
      <c r="T124" s="889">
        <v>810594</v>
      </c>
      <c r="U124" s="889">
        <v>707595</v>
      </c>
      <c r="V124" s="889">
        <v>658258</v>
      </c>
      <c r="W124" s="824">
        <v>718046</v>
      </c>
      <c r="X124" s="889">
        <v>737555</v>
      </c>
      <c r="Y124" s="889">
        <v>760420</v>
      </c>
      <c r="Z124" s="889">
        <v>838045</v>
      </c>
      <c r="AA124" s="824">
        <v>922000</v>
      </c>
      <c r="AB124" s="889">
        <v>982000</v>
      </c>
      <c r="AC124" s="889">
        <v>1044000</v>
      </c>
      <c r="AD124" s="889">
        <v>1086000</v>
      </c>
      <c r="AE124" s="824">
        <v>1087000</v>
      </c>
      <c r="AF124" s="510">
        <v>0</v>
      </c>
      <c r="AG124" s="510">
        <v>0</v>
      </c>
      <c r="AH124" s="889">
        <v>0</v>
      </c>
      <c r="AI124" s="824">
        <v>0</v>
      </c>
      <c r="AJ124" s="510">
        <v>0</v>
      </c>
      <c r="AK124" s="510">
        <v>0</v>
      </c>
      <c r="AL124" s="889">
        <v>0</v>
      </c>
      <c r="AM124" s="1795"/>
      <c r="AN124" s="365"/>
      <c r="AO124" s="889">
        <v>658258</v>
      </c>
      <c r="AP124" s="889">
        <v>838045</v>
      </c>
      <c r="AQ124" s="889">
        <v>1086000</v>
      </c>
      <c r="AR124" s="889">
        <v>0</v>
      </c>
      <c r="AS124" s="889">
        <v>0</v>
      </c>
      <c r="AT124" s="889">
        <v>0</v>
      </c>
      <c r="AU124" s="889">
        <v>0</v>
      </c>
      <c r="AV124" s="889">
        <v>0</v>
      </c>
    </row>
    <row r="125" spans="1:48">
      <c r="A125" s="365"/>
      <c r="B125" s="868"/>
      <c r="C125" s="137"/>
      <c r="D125" s="137"/>
      <c r="E125" s="476"/>
      <c r="F125" s="476"/>
      <c r="G125" s="490"/>
      <c r="H125" s="476"/>
      <c r="I125" s="476"/>
      <c r="J125" s="476"/>
      <c r="K125" s="490"/>
      <c r="L125" s="476"/>
      <c r="M125" s="476"/>
      <c r="N125" s="476"/>
      <c r="O125" s="490"/>
      <c r="P125" s="476"/>
      <c r="Q125" s="476"/>
      <c r="R125" s="476"/>
      <c r="S125" s="489"/>
      <c r="T125" s="476"/>
      <c r="U125" s="476"/>
      <c r="V125" s="476"/>
      <c r="W125" s="490"/>
      <c r="X125" s="476"/>
      <c r="Y125" s="589"/>
      <c r="Z125" s="476"/>
      <c r="AA125" s="490"/>
      <c r="AB125" s="476"/>
      <c r="AC125" s="476"/>
      <c r="AD125" s="476"/>
      <c r="AE125" s="490"/>
      <c r="AF125" s="413"/>
      <c r="AG125" s="413"/>
      <c r="AH125" s="413"/>
      <c r="AI125" s="490"/>
      <c r="AJ125" s="413"/>
      <c r="AK125" s="413"/>
      <c r="AL125" s="400"/>
      <c r="AM125" s="1795"/>
      <c r="AN125" s="365"/>
      <c r="AO125" s="399"/>
      <c r="AP125" s="399"/>
      <c r="AQ125" s="399"/>
      <c r="AR125" s="399"/>
      <c r="AS125" s="399"/>
      <c r="AT125" s="399"/>
      <c r="AU125" s="399"/>
      <c r="AV125" s="399"/>
    </row>
    <row r="126" spans="1:48">
      <c r="A126" s="142" t="s">
        <v>699</v>
      </c>
      <c r="B126" s="868"/>
      <c r="C126" s="137"/>
      <c r="D126" s="137"/>
      <c r="E126" s="476"/>
      <c r="F126" s="476"/>
      <c r="G126" s="490"/>
      <c r="H126" s="476"/>
      <c r="I126" s="476"/>
      <c r="J126" s="476"/>
      <c r="K126" s="490"/>
      <c r="L126" s="476"/>
      <c r="M126" s="476"/>
      <c r="N126" s="476"/>
      <c r="O126" s="490"/>
      <c r="P126" s="476"/>
      <c r="Q126" s="476"/>
      <c r="R126" s="476"/>
      <c r="S126" s="489"/>
      <c r="T126" s="476"/>
      <c r="U126" s="476"/>
      <c r="V126" s="476"/>
      <c r="W126" s="490"/>
      <c r="X126" s="476"/>
      <c r="Y126" s="589"/>
      <c r="Z126" s="476"/>
      <c r="AA126" s="490"/>
      <c r="AB126" s="476"/>
      <c r="AC126" s="476"/>
      <c r="AD126" s="476"/>
      <c r="AE126" s="490"/>
      <c r="AF126" s="413"/>
      <c r="AG126" s="413"/>
      <c r="AH126" s="413"/>
      <c r="AI126" s="490"/>
      <c r="AJ126" s="413"/>
      <c r="AK126" s="413"/>
      <c r="AL126" s="400"/>
      <c r="AM126" s="1795"/>
      <c r="AN126" s="365"/>
      <c r="AO126" s="399"/>
      <c r="AP126" s="399"/>
      <c r="AQ126" s="399"/>
      <c r="AR126" s="399"/>
      <c r="AS126" s="399"/>
      <c r="AT126" s="399"/>
      <c r="AU126" s="399"/>
      <c r="AV126" s="399"/>
    </row>
    <row r="127" spans="1:48">
      <c r="A127" s="776" t="s">
        <v>481</v>
      </c>
      <c r="B127" s="783"/>
      <c r="C127" s="144"/>
      <c r="D127" s="144"/>
      <c r="E127" s="589"/>
      <c r="F127" s="589"/>
      <c r="G127" s="489"/>
      <c r="H127" s="589"/>
      <c r="I127" s="589"/>
      <c r="J127" s="589"/>
      <c r="K127" s="489"/>
      <c r="L127" s="589"/>
      <c r="M127" s="589"/>
      <c r="N127" s="589"/>
      <c r="O127" s="489"/>
      <c r="P127" s="589"/>
      <c r="Q127" s="589"/>
      <c r="R127" s="589"/>
      <c r="S127" s="489"/>
      <c r="T127" s="589"/>
      <c r="U127" s="589"/>
      <c r="V127" s="589"/>
      <c r="W127" s="489"/>
      <c r="X127" s="589"/>
      <c r="Y127" s="589"/>
      <c r="Z127" s="589"/>
      <c r="AA127" s="489"/>
      <c r="AB127" s="589"/>
      <c r="AC127" s="589"/>
      <c r="AD127" s="589"/>
      <c r="AE127" s="489"/>
      <c r="AF127" s="451"/>
      <c r="AG127" s="451"/>
      <c r="AH127" s="451"/>
      <c r="AI127" s="489"/>
      <c r="AJ127" s="451"/>
      <c r="AK127" s="451"/>
      <c r="AL127" s="412"/>
      <c r="AM127" s="1795"/>
      <c r="AN127" s="369"/>
      <c r="AO127" s="368"/>
      <c r="AP127" s="368"/>
      <c r="AQ127" s="368"/>
      <c r="AR127" s="368"/>
      <c r="AS127" s="368"/>
      <c r="AT127" s="368"/>
      <c r="AU127" s="368"/>
      <c r="AV127" s="368"/>
    </row>
    <row r="128" spans="1:48">
      <c r="A128" s="780" t="s">
        <v>699</v>
      </c>
      <c r="B128" s="783">
        <v>6720</v>
      </c>
      <c r="C128" s="491">
        <v>6800</v>
      </c>
      <c r="D128" s="491">
        <v>6800</v>
      </c>
      <c r="E128" s="491">
        <v>6800</v>
      </c>
      <c r="F128" s="783">
        <v>6800</v>
      </c>
      <c r="G128" s="491">
        <v>21300</v>
      </c>
      <c r="H128" s="491">
        <v>21300</v>
      </c>
      <c r="I128" s="491">
        <v>21300</v>
      </c>
      <c r="J128" s="783">
        <v>21300</v>
      </c>
      <c r="K128" s="491">
        <v>21200</v>
      </c>
      <c r="L128" s="491">
        <v>21200</v>
      </c>
      <c r="M128" s="491">
        <v>21200</v>
      </c>
      <c r="N128" s="783">
        <v>21200</v>
      </c>
      <c r="O128" s="491">
        <v>21100</v>
      </c>
      <c r="P128" s="491">
        <v>21100</v>
      </c>
      <c r="Q128" s="491">
        <v>21100</v>
      </c>
      <c r="R128" s="783">
        <v>21100</v>
      </c>
      <c r="S128" s="491">
        <v>21000</v>
      </c>
      <c r="T128" s="491">
        <v>21000</v>
      </c>
      <c r="U128" s="491">
        <v>21000</v>
      </c>
      <c r="V128" s="783">
        <v>21000</v>
      </c>
      <c r="W128" s="491">
        <v>21000</v>
      </c>
      <c r="X128" s="491">
        <v>21000</v>
      </c>
      <c r="Y128" s="491">
        <v>21000</v>
      </c>
      <c r="Z128" s="783">
        <v>21000</v>
      </c>
      <c r="AA128" s="491">
        <v>21000</v>
      </c>
      <c r="AB128" s="491">
        <v>21000</v>
      </c>
      <c r="AC128" s="491">
        <v>21000</v>
      </c>
      <c r="AD128" s="491">
        <v>21000</v>
      </c>
      <c r="AE128" s="782">
        <v>21000</v>
      </c>
      <c r="AF128" s="491">
        <v>0</v>
      </c>
      <c r="AG128" s="491">
        <v>0</v>
      </c>
      <c r="AH128" s="491">
        <v>0</v>
      </c>
      <c r="AI128" s="782">
        <v>0</v>
      </c>
      <c r="AJ128" s="491">
        <v>0</v>
      </c>
      <c r="AK128" s="491">
        <v>0</v>
      </c>
      <c r="AL128" s="491">
        <v>0</v>
      </c>
      <c r="AM128" s="1795"/>
      <c r="AN128" s="369"/>
      <c r="AO128" s="491">
        <v>21000</v>
      </c>
      <c r="AP128" s="491">
        <v>21000</v>
      </c>
      <c r="AQ128" s="491">
        <v>21000</v>
      </c>
      <c r="AR128" s="491">
        <v>21000</v>
      </c>
      <c r="AS128" s="491">
        <v>0</v>
      </c>
      <c r="AT128" s="491">
        <v>0</v>
      </c>
      <c r="AU128" s="491">
        <v>0</v>
      </c>
      <c r="AV128" s="491">
        <v>0</v>
      </c>
    </row>
    <row r="129" spans="1:48">
      <c r="A129" s="369"/>
      <c r="B129" s="783"/>
      <c r="C129" s="144"/>
      <c r="D129" s="144"/>
      <c r="E129" s="589"/>
      <c r="F129" s="589"/>
      <c r="G129" s="489"/>
      <c r="H129" s="589"/>
      <c r="I129" s="589"/>
      <c r="J129" s="589"/>
      <c r="K129" s="489"/>
      <c r="L129" s="589"/>
      <c r="M129" s="589"/>
      <c r="N129" s="589"/>
      <c r="O129" s="489"/>
      <c r="P129" s="589"/>
      <c r="Q129" s="589"/>
      <c r="R129" s="589"/>
      <c r="S129" s="489"/>
      <c r="T129" s="451"/>
      <c r="U129" s="451"/>
      <c r="V129" s="589"/>
      <c r="W129" s="489"/>
      <c r="X129" s="622"/>
      <c r="Y129" s="451"/>
      <c r="Z129" s="589"/>
      <c r="AA129" s="489"/>
      <c r="AB129" s="451"/>
      <c r="AC129" s="451"/>
      <c r="AD129" s="589"/>
      <c r="AE129" s="489"/>
      <c r="AF129" s="451"/>
      <c r="AG129" s="451"/>
      <c r="AH129" s="589"/>
      <c r="AI129" s="489"/>
      <c r="AJ129" s="451"/>
      <c r="AK129" s="451"/>
      <c r="AL129" s="589"/>
      <c r="AM129" s="1795"/>
      <c r="AN129" s="369"/>
      <c r="AO129" s="368"/>
      <c r="AP129" s="368"/>
      <c r="AQ129" s="368"/>
      <c r="AR129" s="368"/>
      <c r="AS129" s="368"/>
      <c r="AT129" s="368"/>
      <c r="AU129" s="368"/>
      <c r="AV129" s="368"/>
    </row>
    <row r="130" spans="1:48">
      <c r="A130" s="776" t="s">
        <v>590</v>
      </c>
      <c r="B130" s="783"/>
      <c r="C130" s="144"/>
      <c r="D130" s="144"/>
      <c r="E130" s="589"/>
      <c r="F130" s="589"/>
      <c r="G130" s="489"/>
      <c r="H130" s="589"/>
      <c r="I130" s="589"/>
      <c r="J130" s="589"/>
      <c r="K130" s="489"/>
      <c r="L130" s="589"/>
      <c r="M130" s="589"/>
      <c r="N130" s="589"/>
      <c r="O130" s="489"/>
      <c r="P130" s="589"/>
      <c r="Q130" s="589"/>
      <c r="R130" s="589"/>
      <c r="S130" s="489"/>
      <c r="T130" s="451"/>
      <c r="U130" s="451"/>
      <c r="V130" s="589"/>
      <c r="W130" s="489"/>
      <c r="X130" s="622"/>
      <c r="Y130" s="451"/>
      <c r="Z130" s="589"/>
      <c r="AA130" s="489"/>
      <c r="AB130" s="451"/>
      <c r="AC130" s="451"/>
      <c r="AD130" s="589"/>
      <c r="AE130" s="489"/>
      <c r="AF130" s="589"/>
      <c r="AG130" s="589"/>
      <c r="AH130" s="589"/>
      <c r="AI130" s="489"/>
      <c r="AJ130" s="589"/>
      <c r="AK130" s="589"/>
      <c r="AL130" s="589"/>
      <c r="AM130" s="1795"/>
      <c r="AN130" s="369"/>
      <c r="AO130" s="368"/>
      <c r="AP130" s="368"/>
      <c r="AQ130" s="368"/>
      <c r="AR130" s="368"/>
      <c r="AS130" s="368"/>
      <c r="AT130" s="368"/>
      <c r="AU130" s="368"/>
      <c r="AV130" s="368"/>
    </row>
    <row r="131" spans="1:48">
      <c r="A131" s="780" t="s">
        <v>699</v>
      </c>
      <c r="B131" s="783"/>
      <c r="C131" s="144"/>
      <c r="D131" s="144"/>
      <c r="E131" s="144"/>
      <c r="F131" s="144"/>
      <c r="G131" s="782"/>
      <c r="H131" s="144"/>
      <c r="I131" s="144"/>
      <c r="J131" s="144"/>
      <c r="K131" s="782"/>
      <c r="L131" s="144"/>
      <c r="M131" s="144"/>
      <c r="N131" s="144"/>
      <c r="O131" s="782"/>
      <c r="P131" s="144"/>
      <c r="Q131" s="144"/>
      <c r="R131" s="144"/>
      <c r="S131" s="782">
        <v>36519</v>
      </c>
      <c r="T131" s="491">
        <v>35111</v>
      </c>
      <c r="U131" s="491">
        <v>34656</v>
      </c>
      <c r="V131" s="491">
        <v>32937</v>
      </c>
      <c r="W131" s="782">
        <v>32838</v>
      </c>
      <c r="X131" s="491">
        <v>31509</v>
      </c>
      <c r="Y131" s="491">
        <v>31292</v>
      </c>
      <c r="Z131" s="491">
        <v>30138</v>
      </c>
      <c r="AA131" s="491">
        <v>29519</v>
      </c>
      <c r="AB131" s="491">
        <v>29221</v>
      </c>
      <c r="AC131" s="491">
        <v>28535</v>
      </c>
      <c r="AD131" s="491">
        <v>28343</v>
      </c>
      <c r="AE131" s="491">
        <v>28043</v>
      </c>
      <c r="AF131" s="491">
        <v>0</v>
      </c>
      <c r="AG131" s="491">
        <v>0</v>
      </c>
      <c r="AH131" s="491">
        <v>0</v>
      </c>
      <c r="AI131" s="782"/>
      <c r="AJ131" s="491"/>
      <c r="AK131" s="491"/>
      <c r="AL131" s="491"/>
      <c r="AM131" s="1795"/>
      <c r="AN131" s="369"/>
      <c r="AO131" s="607">
        <v>32937</v>
      </c>
      <c r="AP131" s="607">
        <v>30138</v>
      </c>
      <c r="AQ131" s="607">
        <v>28343</v>
      </c>
      <c r="AR131" s="607">
        <v>27349</v>
      </c>
      <c r="AS131" s="607">
        <v>26849</v>
      </c>
      <c r="AT131" s="607">
        <v>0</v>
      </c>
      <c r="AU131" s="607">
        <v>0</v>
      </c>
      <c r="AV131" s="607">
        <v>0</v>
      </c>
    </row>
    <row r="132" spans="1:48">
      <c r="A132" s="369"/>
      <c r="B132" s="783"/>
      <c r="C132" s="144"/>
      <c r="D132" s="144"/>
      <c r="E132" s="589"/>
      <c r="F132" s="589"/>
      <c r="G132" s="489"/>
      <c r="H132" s="589"/>
      <c r="I132" s="589"/>
      <c r="J132" s="589"/>
      <c r="K132" s="489"/>
      <c r="L132" s="589"/>
      <c r="M132" s="589"/>
      <c r="N132" s="589"/>
      <c r="O132" s="489"/>
      <c r="P132" s="589"/>
      <c r="Q132" s="589"/>
      <c r="R132" s="589"/>
      <c r="S132" s="489"/>
      <c r="T132" s="589"/>
      <c r="U132" s="589"/>
      <c r="V132" s="589"/>
      <c r="W132" s="489"/>
      <c r="X132" s="589"/>
      <c r="Y132" s="589"/>
      <c r="Z132" s="589"/>
      <c r="AA132" s="489"/>
      <c r="AB132" s="589"/>
      <c r="AC132" s="589"/>
      <c r="AD132" s="589"/>
      <c r="AE132" s="489"/>
      <c r="AF132" s="589"/>
      <c r="AG132" s="589"/>
      <c r="AH132" s="589"/>
      <c r="AI132" s="489"/>
      <c r="AJ132" s="589"/>
      <c r="AK132" s="589"/>
      <c r="AL132" s="589"/>
      <c r="AM132" s="1795"/>
      <c r="AN132" s="369"/>
      <c r="AO132" s="368"/>
      <c r="AP132" s="368"/>
      <c r="AQ132" s="368"/>
      <c r="AR132" s="368"/>
      <c r="AS132" s="368"/>
      <c r="AT132" s="368"/>
      <c r="AU132" s="368"/>
      <c r="AV132" s="368"/>
    </row>
    <row r="133" spans="1:48">
      <c r="A133" s="792" t="s">
        <v>667</v>
      </c>
      <c r="B133" s="800"/>
      <c r="C133" s="892"/>
      <c r="D133" s="892"/>
      <c r="E133" s="889"/>
      <c r="F133" s="889"/>
      <c r="G133" s="824"/>
      <c r="H133" s="889"/>
      <c r="I133" s="889"/>
      <c r="J133" s="889"/>
      <c r="K133" s="824"/>
      <c r="L133" s="889"/>
      <c r="M133" s="889"/>
      <c r="N133" s="889"/>
      <c r="O133" s="824"/>
      <c r="P133" s="889"/>
      <c r="Q133" s="889"/>
      <c r="R133" s="889"/>
      <c r="S133" s="824"/>
      <c r="T133" s="889"/>
      <c r="U133" s="889"/>
      <c r="V133" s="889"/>
      <c r="W133" s="824"/>
      <c r="X133" s="889"/>
      <c r="Y133" s="889"/>
      <c r="Z133" s="889"/>
      <c r="AA133" s="824"/>
      <c r="AB133" s="889"/>
      <c r="AC133" s="889"/>
      <c r="AD133" s="889"/>
      <c r="AE133" s="824"/>
      <c r="AF133" s="889"/>
      <c r="AG133" s="889"/>
      <c r="AH133" s="889"/>
      <c r="AI133" s="824"/>
      <c r="AJ133" s="889"/>
      <c r="AK133" s="889"/>
      <c r="AL133" s="889"/>
      <c r="AM133" s="1795"/>
      <c r="AN133" s="365"/>
      <c r="AO133" s="889"/>
      <c r="AP133" s="889"/>
      <c r="AQ133" s="889"/>
      <c r="AR133" s="889"/>
      <c r="AS133" s="889"/>
      <c r="AT133" s="889"/>
      <c r="AU133" s="889"/>
      <c r="AV133" s="889"/>
    </row>
    <row r="134" spans="1:48">
      <c r="A134" s="801" t="s">
        <v>700</v>
      </c>
      <c r="B134" s="795">
        <v>6720</v>
      </c>
      <c r="C134" s="295">
        <v>6800</v>
      </c>
      <c r="D134" s="295">
        <v>6800</v>
      </c>
      <c r="E134" s="295">
        <v>6800</v>
      </c>
      <c r="F134" s="295">
        <v>6800</v>
      </c>
      <c r="G134" s="794">
        <v>21300</v>
      </c>
      <c r="H134" s="295">
        <v>21300</v>
      </c>
      <c r="I134" s="295">
        <v>21300</v>
      </c>
      <c r="J134" s="295">
        <v>21300</v>
      </c>
      <c r="K134" s="794">
        <v>21200</v>
      </c>
      <c r="L134" s="295">
        <v>21200</v>
      </c>
      <c r="M134" s="295">
        <v>21200</v>
      </c>
      <c r="N134" s="295">
        <v>21200</v>
      </c>
      <c r="O134" s="794">
        <v>21100</v>
      </c>
      <c r="P134" s="295">
        <v>21100</v>
      </c>
      <c r="Q134" s="295">
        <v>21100</v>
      </c>
      <c r="R134" s="295">
        <v>21100</v>
      </c>
      <c r="S134" s="794">
        <v>57519</v>
      </c>
      <c r="T134" s="295">
        <v>56111</v>
      </c>
      <c r="U134" s="295">
        <v>55656</v>
      </c>
      <c r="V134" s="295">
        <v>53937</v>
      </c>
      <c r="W134" s="794">
        <v>53838</v>
      </c>
      <c r="X134" s="295">
        <v>52509</v>
      </c>
      <c r="Y134" s="295">
        <v>52292</v>
      </c>
      <c r="Z134" s="295">
        <v>51138</v>
      </c>
      <c r="AA134" s="794">
        <v>50519</v>
      </c>
      <c r="AB134" s="295">
        <v>50221</v>
      </c>
      <c r="AC134" s="295">
        <v>49535</v>
      </c>
      <c r="AD134" s="295">
        <v>49343</v>
      </c>
      <c r="AE134" s="794">
        <v>49043</v>
      </c>
      <c r="AF134" s="295">
        <v>0</v>
      </c>
      <c r="AG134" s="1913">
        <v>49250</v>
      </c>
      <c r="AH134" s="295">
        <v>0</v>
      </c>
      <c r="AI134" s="794">
        <v>0</v>
      </c>
      <c r="AJ134" s="295">
        <v>0</v>
      </c>
      <c r="AK134" s="295">
        <v>0</v>
      </c>
      <c r="AL134" s="295">
        <v>0</v>
      </c>
      <c r="AM134" s="1796"/>
      <c r="AN134" s="364"/>
      <c r="AO134" s="295">
        <v>53937</v>
      </c>
      <c r="AP134" s="295">
        <v>51138</v>
      </c>
      <c r="AQ134" s="295">
        <v>49343</v>
      </c>
      <c r="AR134" s="295">
        <v>48349</v>
      </c>
      <c r="AS134" s="295">
        <v>26849</v>
      </c>
      <c r="AT134" s="295">
        <v>0</v>
      </c>
      <c r="AU134" s="295">
        <v>0</v>
      </c>
      <c r="AV134" s="295">
        <v>0</v>
      </c>
    </row>
    <row r="135" spans="1:48">
      <c r="A135" s="365"/>
      <c r="B135" s="868"/>
      <c r="C135" s="137"/>
      <c r="D135" s="137"/>
      <c r="E135" s="476"/>
      <c r="F135" s="476"/>
      <c r="G135" s="490"/>
      <c r="H135" s="476"/>
      <c r="I135" s="476"/>
      <c r="J135" s="476"/>
      <c r="K135" s="490"/>
      <c r="L135" s="476"/>
      <c r="M135" s="476"/>
      <c r="N135" s="476"/>
      <c r="O135" s="490"/>
      <c r="P135" s="476"/>
      <c r="Q135" s="476"/>
      <c r="R135" s="476"/>
      <c r="S135" s="489"/>
      <c r="T135" s="476"/>
      <c r="U135" s="476"/>
      <c r="V135" s="476"/>
      <c r="W135" s="490"/>
      <c r="X135" s="476"/>
      <c r="Y135" s="589"/>
      <c r="Z135" s="476"/>
      <c r="AA135" s="490"/>
      <c r="AB135" s="476"/>
      <c r="AC135" s="476"/>
      <c r="AD135" s="476"/>
      <c r="AE135" s="490"/>
      <c r="AF135" s="476"/>
      <c r="AG135" s="476"/>
      <c r="AH135" s="476"/>
      <c r="AI135" s="490"/>
      <c r="AJ135" s="476"/>
      <c r="AK135" s="476"/>
      <c r="AL135" s="476"/>
      <c r="AM135" s="1795"/>
      <c r="AN135" s="365"/>
      <c r="AO135" s="399"/>
      <c r="AP135" s="399"/>
      <c r="AQ135" s="399"/>
      <c r="AR135" s="399"/>
      <c r="AS135" s="399"/>
      <c r="AT135" s="399"/>
      <c r="AU135" s="399"/>
      <c r="AV135" s="399"/>
    </row>
    <row r="136" spans="1:48">
      <c r="A136" s="365"/>
      <c r="B136" s="868"/>
      <c r="C136" s="137"/>
      <c r="D136" s="137"/>
      <c r="E136" s="476"/>
      <c r="F136" s="476"/>
      <c r="G136" s="490"/>
      <c r="H136" s="476"/>
      <c r="I136" s="476"/>
      <c r="J136" s="476"/>
      <c r="K136" s="490"/>
      <c r="L136" s="476"/>
      <c r="M136" s="476"/>
      <c r="N136" s="476"/>
      <c r="O136" s="490"/>
      <c r="P136" s="476"/>
      <c r="Q136" s="476"/>
      <c r="R136" s="476"/>
      <c r="S136" s="489"/>
      <c r="T136" s="476"/>
      <c r="U136" s="476"/>
      <c r="V136" s="476"/>
      <c r="W136" s="490"/>
      <c r="X136" s="476"/>
      <c r="Y136" s="589"/>
      <c r="Z136" s="476"/>
      <c r="AA136" s="490"/>
      <c r="AB136" s="476"/>
      <c r="AC136" s="476"/>
      <c r="AD136" s="476"/>
      <c r="AE136" s="490"/>
      <c r="AF136" s="476"/>
      <c r="AG136" s="476"/>
      <c r="AH136" s="476"/>
      <c r="AI136" s="490"/>
      <c r="AJ136" s="476"/>
      <c r="AK136" s="476"/>
      <c r="AL136" s="476"/>
      <c r="AM136" s="1795"/>
      <c r="AN136" s="365"/>
      <c r="AO136" s="399"/>
      <c r="AP136" s="399"/>
      <c r="AQ136" s="399"/>
      <c r="AR136" s="399"/>
      <c r="AS136" s="399"/>
      <c r="AT136" s="399"/>
      <c r="AU136" s="399"/>
      <c r="AV136" s="399"/>
    </row>
    <row r="137" spans="1:48">
      <c r="A137" s="142" t="s">
        <v>1038</v>
      </c>
      <c r="B137" s="868"/>
      <c r="C137" s="137"/>
      <c r="D137" s="137"/>
      <c r="E137" s="476"/>
      <c r="F137" s="476"/>
      <c r="G137" s="490"/>
      <c r="H137" s="476"/>
      <c r="I137" s="476"/>
      <c r="J137" s="476"/>
      <c r="K137" s="490"/>
      <c r="L137" s="476"/>
      <c r="M137" s="476"/>
      <c r="N137" s="476"/>
      <c r="O137" s="490"/>
      <c r="P137" s="476"/>
      <c r="Q137" s="476"/>
      <c r="R137" s="476"/>
      <c r="S137" s="489"/>
      <c r="T137" s="476"/>
      <c r="U137" s="476"/>
      <c r="V137" s="476"/>
      <c r="W137" s="490"/>
      <c r="X137" s="476"/>
      <c r="Y137" s="589"/>
      <c r="Z137" s="476"/>
      <c r="AA137" s="490"/>
      <c r="AB137" s="476"/>
      <c r="AC137" s="476"/>
      <c r="AD137" s="476"/>
      <c r="AE137" s="490"/>
      <c r="AF137" s="476"/>
      <c r="AG137" s="476"/>
      <c r="AH137" s="476"/>
      <c r="AI137" s="490"/>
      <c r="AJ137" s="476"/>
      <c r="AK137" s="476"/>
      <c r="AL137" s="476"/>
      <c r="AM137" s="1795"/>
      <c r="AN137" s="365"/>
      <c r="AO137" s="399"/>
      <c r="AP137" s="399"/>
      <c r="AQ137" s="399"/>
      <c r="AR137" s="399"/>
      <c r="AS137" s="399"/>
      <c r="AT137" s="399"/>
      <c r="AU137" s="399"/>
      <c r="AV137" s="399"/>
    </row>
    <row r="138" spans="1:48">
      <c r="A138" s="776" t="s">
        <v>481</v>
      </c>
      <c r="B138" s="783"/>
      <c r="C138" s="144"/>
      <c r="D138" s="144"/>
      <c r="E138" s="589"/>
      <c r="F138" s="589"/>
      <c r="G138" s="489"/>
      <c r="H138" s="589"/>
      <c r="I138" s="589"/>
      <c r="J138" s="589"/>
      <c r="K138" s="489"/>
      <c r="L138" s="589"/>
      <c r="M138" s="589"/>
      <c r="N138" s="589"/>
      <c r="O138" s="489"/>
      <c r="P138" s="589"/>
      <c r="Q138" s="589"/>
      <c r="R138" s="589"/>
      <c r="S138" s="489"/>
      <c r="T138" s="589"/>
      <c r="U138" s="589"/>
      <c r="V138" s="589"/>
      <c r="W138" s="489"/>
      <c r="X138" s="589"/>
      <c r="Y138" s="589"/>
      <c r="Z138" s="589"/>
      <c r="AA138" s="489"/>
      <c r="AB138" s="589"/>
      <c r="AC138" s="589"/>
      <c r="AD138" s="589"/>
      <c r="AE138" s="489"/>
      <c r="AF138" s="589"/>
      <c r="AG138" s="589"/>
      <c r="AH138" s="589"/>
      <c r="AI138" s="489"/>
      <c r="AJ138" s="589"/>
      <c r="AK138" s="589"/>
      <c r="AL138" s="589"/>
      <c r="AM138" s="1795"/>
      <c r="AN138" s="369"/>
      <c r="AO138" s="368"/>
      <c r="AP138" s="368"/>
      <c r="AQ138" s="368"/>
      <c r="AR138" s="368"/>
      <c r="AS138" s="368"/>
      <c r="AT138" s="368"/>
      <c r="AU138" s="368"/>
      <c r="AV138" s="368"/>
    </row>
    <row r="139" spans="1:48">
      <c r="A139" s="780" t="s">
        <v>1038</v>
      </c>
      <c r="B139" s="783">
        <v>121480</v>
      </c>
      <c r="C139" s="144">
        <v>61745</v>
      </c>
      <c r="D139" s="144">
        <v>94269</v>
      </c>
      <c r="E139" s="144">
        <v>97583</v>
      </c>
      <c r="F139" s="144">
        <v>131719</v>
      </c>
      <c r="G139" s="782">
        <v>74903</v>
      </c>
      <c r="H139" s="144">
        <v>102011</v>
      </c>
      <c r="I139" s="144">
        <v>105044</v>
      </c>
      <c r="J139" s="144">
        <v>132914</v>
      </c>
      <c r="K139" s="782">
        <v>264088</v>
      </c>
      <c r="L139" s="144">
        <v>382367</v>
      </c>
      <c r="M139" s="144">
        <v>342579</v>
      </c>
      <c r="N139" s="144">
        <v>315037</v>
      </c>
      <c r="O139" s="782">
        <v>231880</v>
      </c>
      <c r="P139" s="144">
        <v>245976</v>
      </c>
      <c r="Q139" s="144">
        <v>272445</v>
      </c>
      <c r="R139" s="144">
        <v>404744</v>
      </c>
      <c r="S139" s="782">
        <v>231739</v>
      </c>
      <c r="T139" s="144">
        <v>238659</v>
      </c>
      <c r="U139" s="144">
        <v>240606</v>
      </c>
      <c r="V139" s="144">
        <v>250813</v>
      </c>
      <c r="W139" s="782">
        <v>147696</v>
      </c>
      <c r="X139" s="144">
        <v>231105</v>
      </c>
      <c r="Y139" s="144">
        <v>286326</v>
      </c>
      <c r="Z139" s="144">
        <v>337417</v>
      </c>
      <c r="AA139" s="782">
        <v>167180</v>
      </c>
      <c r="AB139" s="144">
        <v>195046</v>
      </c>
      <c r="AC139" s="144">
        <v>237553</v>
      </c>
      <c r="AD139" s="144">
        <v>263990</v>
      </c>
      <c r="AE139" s="782">
        <v>210591</v>
      </c>
      <c r="AF139" s="144">
        <v>0</v>
      </c>
      <c r="AG139" s="144">
        <v>0</v>
      </c>
      <c r="AH139" s="144">
        <v>0</v>
      </c>
      <c r="AI139" s="782">
        <v>0</v>
      </c>
      <c r="AJ139" s="144">
        <v>0</v>
      </c>
      <c r="AK139" s="144">
        <v>0</v>
      </c>
      <c r="AL139" s="144">
        <v>0</v>
      </c>
      <c r="AM139" s="1795"/>
      <c r="AN139" s="369"/>
      <c r="AO139" s="144">
        <v>961817</v>
      </c>
      <c r="AP139" s="144">
        <v>1002544</v>
      </c>
      <c r="AQ139" s="144">
        <v>863769</v>
      </c>
      <c r="AR139" s="144">
        <v>210591</v>
      </c>
      <c r="AS139" s="144">
        <v>0</v>
      </c>
      <c r="AT139" s="144">
        <v>0</v>
      </c>
      <c r="AU139" s="144">
        <v>0</v>
      </c>
      <c r="AV139" s="144">
        <v>0</v>
      </c>
    </row>
    <row r="140" spans="1:48">
      <c r="A140" s="369"/>
      <c r="B140" s="783"/>
      <c r="C140" s="144"/>
      <c r="D140" s="144"/>
      <c r="E140" s="589"/>
      <c r="F140" s="589"/>
      <c r="G140" s="489"/>
      <c r="H140" s="589"/>
      <c r="I140" s="589"/>
      <c r="J140" s="589"/>
      <c r="K140" s="489"/>
      <c r="L140" s="589"/>
      <c r="M140" s="589"/>
      <c r="N140" s="589"/>
      <c r="O140" s="489"/>
      <c r="P140" s="589"/>
      <c r="Q140" s="589"/>
      <c r="R140" s="589"/>
      <c r="S140" s="489"/>
      <c r="T140" s="589"/>
      <c r="U140" s="589"/>
      <c r="V140" s="589"/>
      <c r="W140" s="489"/>
      <c r="X140" s="890"/>
      <c r="Y140" s="589"/>
      <c r="Z140" s="589"/>
      <c r="AA140" s="489"/>
      <c r="AB140" s="589"/>
      <c r="AC140" s="589"/>
      <c r="AD140" s="589"/>
      <c r="AE140" s="489"/>
      <c r="AF140" s="589"/>
      <c r="AG140" s="589"/>
      <c r="AH140" s="589"/>
      <c r="AI140" s="489"/>
      <c r="AJ140" s="589"/>
      <c r="AK140" s="589"/>
      <c r="AL140" s="589"/>
      <c r="AM140" s="1795"/>
      <c r="AN140" s="369"/>
      <c r="AO140" s="368"/>
      <c r="AP140" s="368"/>
      <c r="AQ140" s="368"/>
      <c r="AR140" s="368"/>
      <c r="AS140" s="368"/>
      <c r="AT140" s="368"/>
      <c r="AU140" s="368"/>
      <c r="AV140" s="368"/>
    </row>
    <row r="141" spans="1:48">
      <c r="A141" s="776" t="s">
        <v>590</v>
      </c>
      <c r="B141" s="783"/>
      <c r="C141" s="144"/>
      <c r="D141" s="144"/>
      <c r="E141" s="589"/>
      <c r="F141" s="589"/>
      <c r="G141" s="489"/>
      <c r="H141" s="589"/>
      <c r="I141" s="589"/>
      <c r="J141" s="589"/>
      <c r="K141" s="489"/>
      <c r="L141" s="589"/>
      <c r="M141" s="589"/>
      <c r="N141" s="589"/>
      <c r="O141" s="489"/>
      <c r="P141" s="589"/>
      <c r="Q141" s="589"/>
      <c r="R141" s="589"/>
      <c r="S141" s="489"/>
      <c r="T141" s="589"/>
      <c r="U141" s="589"/>
      <c r="V141" s="589"/>
      <c r="W141" s="489"/>
      <c r="X141" s="890"/>
      <c r="Y141" s="589"/>
      <c r="Z141" s="589"/>
      <c r="AA141" s="489"/>
      <c r="AB141" s="589"/>
      <c r="AC141" s="589"/>
      <c r="AD141" s="589"/>
      <c r="AE141" s="489"/>
      <c r="AF141" s="589"/>
      <c r="AG141" s="589"/>
      <c r="AH141" s="589"/>
      <c r="AI141" s="489"/>
      <c r="AJ141" s="589"/>
      <c r="AK141" s="589"/>
      <c r="AL141" s="589"/>
      <c r="AM141" s="1795"/>
      <c r="AN141" s="369"/>
      <c r="AO141" s="368"/>
      <c r="AP141" s="368"/>
      <c r="AQ141" s="368"/>
      <c r="AR141" s="368"/>
      <c r="AS141" s="368"/>
      <c r="AT141" s="368"/>
      <c r="AU141" s="368"/>
      <c r="AV141" s="368"/>
    </row>
    <row r="142" spans="1:48">
      <c r="A142" s="780" t="s">
        <v>1038</v>
      </c>
      <c r="B142" s="783"/>
      <c r="C142" s="144"/>
      <c r="D142" s="144"/>
      <c r="E142" s="144"/>
      <c r="F142" s="144"/>
      <c r="G142" s="782"/>
      <c r="H142" s="144"/>
      <c r="I142" s="144"/>
      <c r="J142" s="144"/>
      <c r="K142" s="782"/>
      <c r="L142" s="144"/>
      <c r="M142" s="144"/>
      <c r="N142" s="144"/>
      <c r="O142" s="782"/>
      <c r="P142" s="144"/>
      <c r="Q142" s="144"/>
      <c r="R142" s="144"/>
      <c r="S142" s="782">
        <v>416000</v>
      </c>
      <c r="T142" s="491">
        <v>534000</v>
      </c>
      <c r="U142" s="491">
        <v>466000</v>
      </c>
      <c r="V142" s="491">
        <v>361000</v>
      </c>
      <c r="W142" s="782">
        <v>334000</v>
      </c>
      <c r="X142" s="491">
        <v>348000</v>
      </c>
      <c r="Y142" s="491">
        <v>341000</v>
      </c>
      <c r="Z142" s="491">
        <v>386000</v>
      </c>
      <c r="AA142" s="782">
        <v>387000</v>
      </c>
      <c r="AB142" s="491">
        <v>330000</v>
      </c>
      <c r="AC142" s="491">
        <v>373000</v>
      </c>
      <c r="AD142" s="491">
        <v>398000</v>
      </c>
      <c r="AE142" s="782">
        <v>410000</v>
      </c>
      <c r="AF142" s="491">
        <v>0</v>
      </c>
      <c r="AG142" s="491">
        <v>0</v>
      </c>
      <c r="AH142" s="491">
        <v>0</v>
      </c>
      <c r="AI142" s="782">
        <v>0</v>
      </c>
      <c r="AJ142" s="491">
        <v>0</v>
      </c>
      <c r="AK142" s="491">
        <v>0</v>
      </c>
      <c r="AL142" s="491">
        <v>0</v>
      </c>
      <c r="AM142" s="1795"/>
      <c r="AN142" s="369"/>
      <c r="AO142" s="491">
        <v>1777000</v>
      </c>
      <c r="AP142" s="491">
        <v>1409000</v>
      </c>
      <c r="AQ142" s="491">
        <v>1488000</v>
      </c>
      <c r="AR142" s="491">
        <v>410000</v>
      </c>
      <c r="AS142" s="491">
        <v>0</v>
      </c>
      <c r="AT142" s="491">
        <v>0</v>
      </c>
      <c r="AU142" s="491">
        <v>0</v>
      </c>
      <c r="AV142" s="491">
        <v>0</v>
      </c>
    </row>
    <row r="143" spans="1:48">
      <c r="A143" s="369"/>
      <c r="B143" s="783"/>
      <c r="C143" s="144"/>
      <c r="D143" s="144"/>
      <c r="E143" s="589"/>
      <c r="F143" s="589"/>
      <c r="G143" s="489"/>
      <c r="H143" s="589"/>
      <c r="I143" s="589"/>
      <c r="J143" s="589"/>
      <c r="K143" s="489"/>
      <c r="L143" s="589"/>
      <c r="M143" s="589"/>
      <c r="N143" s="589"/>
      <c r="O143" s="489"/>
      <c r="P143" s="589"/>
      <c r="Q143" s="589"/>
      <c r="R143" s="589"/>
      <c r="S143" s="489"/>
      <c r="T143" s="589"/>
      <c r="U143" s="589"/>
      <c r="V143" s="589"/>
      <c r="W143" s="489"/>
      <c r="X143" s="589"/>
      <c r="Y143" s="589"/>
      <c r="Z143" s="589"/>
      <c r="AA143" s="489"/>
      <c r="AB143" s="589"/>
      <c r="AC143" s="589"/>
      <c r="AD143" s="589"/>
      <c r="AE143" s="489"/>
      <c r="AF143" s="589"/>
      <c r="AG143" s="589"/>
      <c r="AH143" s="589"/>
      <c r="AI143" s="489"/>
      <c r="AJ143" s="589"/>
      <c r="AK143" s="589"/>
      <c r="AL143" s="589"/>
      <c r="AM143" s="1795"/>
      <c r="AN143" s="369"/>
      <c r="AO143" s="589"/>
      <c r="AP143" s="589"/>
      <c r="AQ143" s="589"/>
      <c r="AR143" s="589"/>
      <c r="AS143" s="589"/>
      <c r="AT143" s="589"/>
      <c r="AU143" s="589"/>
      <c r="AV143" s="589"/>
    </row>
    <row r="144" spans="1:48">
      <c r="A144" s="792" t="s">
        <v>667</v>
      </c>
      <c r="B144" s="800"/>
      <c r="C144" s="892"/>
      <c r="D144" s="892"/>
      <c r="E144" s="889"/>
      <c r="F144" s="889"/>
      <c r="G144" s="824"/>
      <c r="H144" s="889"/>
      <c r="I144" s="889"/>
      <c r="J144" s="889"/>
      <c r="K144" s="824"/>
      <c r="L144" s="889"/>
      <c r="M144" s="889"/>
      <c r="N144" s="889"/>
      <c r="O144" s="824"/>
      <c r="P144" s="889"/>
      <c r="Q144" s="889"/>
      <c r="R144" s="889"/>
      <c r="S144" s="824"/>
      <c r="T144" s="889"/>
      <c r="U144" s="889"/>
      <c r="V144" s="889"/>
      <c r="W144" s="824"/>
      <c r="X144" s="889"/>
      <c r="Y144" s="889"/>
      <c r="Z144" s="889"/>
      <c r="AA144" s="824"/>
      <c r="AB144" s="889"/>
      <c r="AC144" s="889"/>
      <c r="AD144" s="889"/>
      <c r="AE144" s="824"/>
      <c r="AF144" s="889"/>
      <c r="AG144" s="889"/>
      <c r="AH144" s="889"/>
      <c r="AI144" s="824"/>
      <c r="AJ144" s="889"/>
      <c r="AK144" s="889"/>
      <c r="AL144" s="889"/>
      <c r="AM144" s="1795"/>
      <c r="AN144" s="365"/>
      <c r="AO144" s="889"/>
      <c r="AP144" s="889"/>
      <c r="AQ144" s="889"/>
      <c r="AR144" s="889"/>
      <c r="AS144" s="889"/>
      <c r="AT144" s="889"/>
      <c r="AU144" s="889"/>
      <c r="AV144" s="889"/>
    </row>
    <row r="145" spans="1:48">
      <c r="A145" s="801" t="s">
        <v>701</v>
      </c>
      <c r="B145" s="795">
        <v>121480</v>
      </c>
      <c r="C145" s="295">
        <v>61745</v>
      </c>
      <c r="D145" s="295">
        <v>94269</v>
      </c>
      <c r="E145" s="295">
        <v>97583</v>
      </c>
      <c r="F145" s="295">
        <v>131719</v>
      </c>
      <c r="G145" s="794">
        <v>74903</v>
      </c>
      <c r="H145" s="295">
        <v>102011</v>
      </c>
      <c r="I145" s="295">
        <v>105044</v>
      </c>
      <c r="J145" s="295">
        <v>132914</v>
      </c>
      <c r="K145" s="794">
        <v>264088</v>
      </c>
      <c r="L145" s="295">
        <v>382367</v>
      </c>
      <c r="M145" s="295">
        <v>342579</v>
      </c>
      <c r="N145" s="295">
        <v>315037</v>
      </c>
      <c r="O145" s="794">
        <v>231880</v>
      </c>
      <c r="P145" s="295">
        <v>245976</v>
      </c>
      <c r="Q145" s="295">
        <v>272445</v>
      </c>
      <c r="R145" s="295">
        <v>404744</v>
      </c>
      <c r="S145" s="794">
        <v>647739</v>
      </c>
      <c r="T145" s="295">
        <v>772659</v>
      </c>
      <c r="U145" s="295">
        <v>706606</v>
      </c>
      <c r="V145" s="295">
        <v>611813</v>
      </c>
      <c r="W145" s="794">
        <v>481696</v>
      </c>
      <c r="X145" s="295">
        <v>579105</v>
      </c>
      <c r="Y145" s="295">
        <v>627326</v>
      </c>
      <c r="Z145" s="295">
        <v>723417</v>
      </c>
      <c r="AA145" s="794">
        <v>554180</v>
      </c>
      <c r="AB145" s="295">
        <v>525046</v>
      </c>
      <c r="AC145" s="295">
        <v>610553</v>
      </c>
      <c r="AD145" s="295">
        <v>661990</v>
      </c>
      <c r="AE145" s="794">
        <v>620591</v>
      </c>
      <c r="AF145" s="295">
        <v>0</v>
      </c>
      <c r="AG145" s="295">
        <v>0</v>
      </c>
      <c r="AH145" s="295">
        <v>0</v>
      </c>
      <c r="AI145" s="794">
        <v>0</v>
      </c>
      <c r="AJ145" s="295">
        <v>0</v>
      </c>
      <c r="AK145" s="295">
        <v>0</v>
      </c>
      <c r="AL145" s="295">
        <v>0</v>
      </c>
      <c r="AM145" s="1795"/>
      <c r="AN145" s="364"/>
      <c r="AO145" s="295">
        <v>2738817</v>
      </c>
      <c r="AP145" s="295">
        <v>2411544</v>
      </c>
      <c r="AQ145" s="295">
        <v>2351769</v>
      </c>
      <c r="AR145" s="295">
        <v>620591</v>
      </c>
      <c r="AS145" s="295">
        <v>0</v>
      </c>
      <c r="AT145" s="295">
        <v>0</v>
      </c>
      <c r="AU145" s="295">
        <v>0</v>
      </c>
      <c r="AV145" s="295">
        <v>0</v>
      </c>
    </row>
    <row r="146" spans="1:48">
      <c r="A146" s="365"/>
      <c r="B146" s="868"/>
      <c r="C146" s="137"/>
      <c r="D146" s="137"/>
      <c r="E146" s="476"/>
      <c r="F146" s="476"/>
      <c r="G146" s="490"/>
      <c r="H146" s="476"/>
      <c r="I146" s="476"/>
      <c r="J146" s="476"/>
      <c r="K146" s="490"/>
      <c r="L146" s="476"/>
      <c r="M146" s="476"/>
      <c r="N146" s="476"/>
      <c r="O146" s="490"/>
      <c r="P146" s="476"/>
      <c r="Q146" s="476"/>
      <c r="R146" s="476"/>
      <c r="S146" s="489"/>
      <c r="T146" s="476"/>
      <c r="U146" s="476"/>
      <c r="V146" s="476"/>
      <c r="W146" s="490"/>
      <c r="X146" s="476"/>
      <c r="Y146" s="589"/>
      <c r="Z146" s="476"/>
      <c r="AA146" s="490"/>
      <c r="AB146" s="476"/>
      <c r="AC146" s="476"/>
      <c r="AD146" s="476"/>
      <c r="AE146" s="490"/>
      <c r="AF146" s="476"/>
      <c r="AG146" s="476"/>
      <c r="AH146" s="476"/>
      <c r="AI146" s="490"/>
      <c r="AJ146" s="476"/>
      <c r="AK146" s="476"/>
      <c r="AL146" s="476"/>
      <c r="AM146" s="1795"/>
      <c r="AN146" s="365"/>
      <c r="AO146" s="399"/>
      <c r="AP146" s="399"/>
      <c r="AQ146" s="399"/>
      <c r="AR146" s="399"/>
      <c r="AS146" s="399"/>
      <c r="AT146" s="399"/>
      <c r="AU146" s="399"/>
      <c r="AV146" s="399"/>
    </row>
    <row r="147" spans="1:48">
      <c r="A147" s="365"/>
      <c r="B147" s="868"/>
      <c r="C147" s="137"/>
      <c r="D147" s="137"/>
      <c r="E147" s="476"/>
      <c r="F147" s="476"/>
      <c r="G147" s="490"/>
      <c r="H147" s="476"/>
      <c r="I147" s="476"/>
      <c r="J147" s="476"/>
      <c r="K147" s="490"/>
      <c r="L147" s="476"/>
      <c r="M147" s="476"/>
      <c r="N147" s="476"/>
      <c r="O147" s="490"/>
      <c r="P147" s="476"/>
      <c r="Q147" s="476"/>
      <c r="R147" s="476"/>
      <c r="S147" s="489"/>
      <c r="T147" s="476"/>
      <c r="U147" s="476"/>
      <c r="V147" s="476"/>
      <c r="W147" s="490"/>
      <c r="X147" s="476"/>
      <c r="Y147" s="589"/>
      <c r="Z147" s="476"/>
      <c r="AA147" s="490"/>
      <c r="AB147" s="476"/>
      <c r="AC147" s="476"/>
      <c r="AD147" s="476"/>
      <c r="AE147" s="490"/>
      <c r="AF147" s="476"/>
      <c r="AG147" s="476"/>
      <c r="AH147" s="476"/>
      <c r="AI147" s="490"/>
      <c r="AJ147" s="476"/>
      <c r="AK147" s="476"/>
      <c r="AL147" s="476"/>
      <c r="AM147" s="1795"/>
      <c r="AN147" s="365"/>
      <c r="AO147" s="399"/>
      <c r="AP147" s="399"/>
      <c r="AQ147" s="399"/>
      <c r="AR147" s="399"/>
      <c r="AS147" s="399"/>
      <c r="AT147" s="399"/>
      <c r="AU147" s="399"/>
      <c r="AV147" s="399"/>
    </row>
    <row r="148" spans="1:48">
      <c r="A148" s="848" t="s">
        <v>702</v>
      </c>
      <c r="B148" s="414"/>
      <c r="C148" s="476"/>
      <c r="D148" s="476"/>
      <c r="E148" s="476"/>
      <c r="F148" s="476"/>
      <c r="G148" s="490"/>
      <c r="H148" s="476"/>
      <c r="I148" s="476"/>
      <c r="J148" s="476"/>
      <c r="K148" s="490"/>
      <c r="L148" s="413"/>
      <c r="M148" s="413"/>
      <c r="N148" s="476"/>
      <c r="O148" s="490"/>
      <c r="P148" s="476"/>
      <c r="Q148" s="476"/>
      <c r="R148" s="476"/>
      <c r="S148" s="489"/>
      <c r="T148" s="589"/>
      <c r="U148" s="476"/>
      <c r="V148" s="476"/>
      <c r="W148" s="490"/>
      <c r="X148" s="476"/>
      <c r="Y148" s="589"/>
      <c r="Z148" s="476"/>
      <c r="AA148" s="490"/>
      <c r="AB148" s="476"/>
      <c r="AC148" s="476"/>
      <c r="AD148" s="476"/>
      <c r="AE148" s="490"/>
      <c r="AF148" s="476"/>
      <c r="AG148" s="476"/>
      <c r="AH148" s="476"/>
      <c r="AI148" s="490"/>
      <c r="AJ148" s="476"/>
      <c r="AK148" s="476"/>
      <c r="AL148" s="476"/>
      <c r="AM148" s="1795"/>
      <c r="AN148" s="365"/>
      <c r="AO148" s="399"/>
      <c r="AP148" s="399"/>
      <c r="AQ148" s="399"/>
      <c r="AR148" s="399"/>
      <c r="AS148" s="399"/>
      <c r="AT148" s="399"/>
      <c r="AU148" s="399"/>
      <c r="AV148" s="399"/>
    </row>
    <row r="149" spans="1:48">
      <c r="A149" s="801"/>
      <c r="B149" s="511"/>
      <c r="C149" s="889"/>
      <c r="D149" s="889"/>
      <c r="E149" s="889"/>
      <c r="F149" s="889"/>
      <c r="G149" s="824"/>
      <c r="H149" s="889"/>
      <c r="I149" s="889"/>
      <c r="J149" s="889"/>
      <c r="K149" s="824"/>
      <c r="L149" s="510"/>
      <c r="M149" s="510"/>
      <c r="N149" s="889"/>
      <c r="O149" s="824"/>
      <c r="P149" s="889"/>
      <c r="Q149" s="889"/>
      <c r="R149" s="889"/>
      <c r="S149" s="824"/>
      <c r="T149" s="889"/>
      <c r="U149" s="889"/>
      <c r="V149" s="889"/>
      <c r="W149" s="824"/>
      <c r="X149" s="889"/>
      <c r="Y149" s="889"/>
      <c r="Z149" s="889"/>
      <c r="AA149" s="824"/>
      <c r="AB149" s="889"/>
      <c r="AC149" s="889"/>
      <c r="AD149" s="889"/>
      <c r="AE149" s="824"/>
      <c r="AF149" s="889"/>
      <c r="AG149" s="889"/>
      <c r="AH149" s="889"/>
      <c r="AI149" s="824"/>
      <c r="AJ149" s="889"/>
      <c r="AK149" s="889"/>
      <c r="AL149" s="889"/>
      <c r="AM149" s="1795"/>
      <c r="AN149" s="365"/>
      <c r="AO149" s="399"/>
      <c r="AP149" s="399"/>
      <c r="AQ149" s="399"/>
      <c r="AR149" s="399"/>
      <c r="AS149" s="399"/>
      <c r="AT149" s="399"/>
      <c r="AU149" s="399"/>
      <c r="AV149" s="399"/>
    </row>
    <row r="150" spans="1:48">
      <c r="A150" s="364" t="s">
        <v>1040</v>
      </c>
      <c r="B150" s="414"/>
      <c r="C150" s="476"/>
      <c r="D150" s="476"/>
      <c r="E150" s="476"/>
      <c r="F150" s="476"/>
      <c r="G150" s="490"/>
      <c r="H150" s="476"/>
      <c r="I150" s="476"/>
      <c r="J150" s="476"/>
      <c r="K150" s="490"/>
      <c r="L150" s="413"/>
      <c r="M150" s="413"/>
      <c r="N150" s="476"/>
      <c r="O150" s="490"/>
      <c r="P150" s="413"/>
      <c r="Q150" s="413"/>
      <c r="R150" s="476"/>
      <c r="S150" s="489"/>
      <c r="T150" s="589"/>
      <c r="U150" s="476"/>
      <c r="V150" s="476"/>
      <c r="W150" s="490"/>
      <c r="X150" s="476"/>
      <c r="Y150" s="589"/>
      <c r="Z150" s="476"/>
      <c r="AA150" s="490"/>
      <c r="AB150" s="476"/>
      <c r="AC150" s="476"/>
      <c r="AD150" s="476"/>
      <c r="AE150" s="490"/>
      <c r="AF150" s="476"/>
      <c r="AG150" s="476"/>
      <c r="AH150" s="476"/>
      <c r="AI150" s="490"/>
      <c r="AJ150" s="476"/>
      <c r="AK150" s="476"/>
      <c r="AL150" s="476"/>
      <c r="AM150" s="1795"/>
      <c r="AN150" s="365"/>
      <c r="AO150" s="399"/>
      <c r="AP150" s="399"/>
      <c r="AQ150" s="399"/>
      <c r="AR150" s="399"/>
      <c r="AS150" s="399"/>
      <c r="AT150" s="399"/>
      <c r="AU150" s="399"/>
      <c r="AV150" s="399"/>
    </row>
    <row r="151" spans="1:48">
      <c r="A151" s="369" t="s">
        <v>1041</v>
      </c>
      <c r="B151" s="414">
        <v>82442</v>
      </c>
      <c r="C151" s="413">
        <v>83279</v>
      </c>
      <c r="D151" s="413">
        <v>83284</v>
      </c>
      <c r="E151" s="413">
        <v>86192</v>
      </c>
      <c r="F151" s="414">
        <v>84489</v>
      </c>
      <c r="G151" s="413">
        <v>79616</v>
      </c>
      <c r="H151" s="413">
        <v>85118</v>
      </c>
      <c r="I151" s="413">
        <v>91411</v>
      </c>
      <c r="J151" s="414">
        <v>78334</v>
      </c>
      <c r="K151" s="413">
        <v>243214.15148727424</v>
      </c>
      <c r="L151" s="413">
        <v>340608.55549518339</v>
      </c>
      <c r="M151" s="413">
        <v>236483</v>
      </c>
      <c r="N151" s="414">
        <v>265751</v>
      </c>
      <c r="O151" s="413">
        <v>237870</v>
      </c>
      <c r="P151" s="413">
        <v>288265</v>
      </c>
      <c r="Q151" s="413">
        <v>270202</v>
      </c>
      <c r="R151" s="414">
        <v>305033</v>
      </c>
      <c r="S151" s="413">
        <v>300760</v>
      </c>
      <c r="T151" s="413">
        <v>298167</v>
      </c>
      <c r="U151" s="413">
        <v>244733</v>
      </c>
      <c r="V151" s="414">
        <v>291072</v>
      </c>
      <c r="W151" s="413">
        <v>301458.99999999913</v>
      </c>
      <c r="X151" s="413">
        <v>287285</v>
      </c>
      <c r="Y151" s="413">
        <v>269052</v>
      </c>
      <c r="Z151" s="414">
        <v>286688</v>
      </c>
      <c r="AA151" s="413">
        <v>252957</v>
      </c>
      <c r="AB151" s="413">
        <v>239126</v>
      </c>
      <c r="AC151" s="413">
        <v>231589</v>
      </c>
      <c r="AD151" s="413">
        <v>225462</v>
      </c>
      <c r="AE151" s="490">
        <v>211491</v>
      </c>
      <c r="AF151" s="413">
        <v>0</v>
      </c>
      <c r="AG151" s="413">
        <v>0</v>
      </c>
      <c r="AH151" s="414">
        <v>0</v>
      </c>
      <c r="AI151" s="490">
        <v>0</v>
      </c>
      <c r="AJ151" s="413">
        <v>0</v>
      </c>
      <c r="AK151" s="413">
        <v>0</v>
      </c>
      <c r="AL151" s="414">
        <v>0</v>
      </c>
      <c r="AM151" s="1795"/>
      <c r="AN151" s="365"/>
      <c r="AO151" s="413">
        <v>1134732</v>
      </c>
      <c r="AP151" s="413">
        <v>1144484</v>
      </c>
      <c r="AQ151" s="413">
        <v>949134</v>
      </c>
      <c r="AR151" s="413">
        <v>211491</v>
      </c>
      <c r="AS151" s="413">
        <v>0</v>
      </c>
      <c r="AT151" s="413">
        <v>0</v>
      </c>
      <c r="AU151" s="413">
        <v>0</v>
      </c>
      <c r="AV151" s="413">
        <v>0</v>
      </c>
    </row>
    <row r="152" spans="1:48">
      <c r="A152" s="369" t="s">
        <v>1042</v>
      </c>
      <c r="B152" s="414"/>
      <c r="C152" s="413"/>
      <c r="D152" s="413"/>
      <c r="E152" s="413"/>
      <c r="F152" s="414"/>
      <c r="G152" s="413"/>
      <c r="H152" s="413"/>
      <c r="I152" s="413"/>
      <c r="J152" s="414"/>
      <c r="K152" s="413"/>
      <c r="L152" s="413"/>
      <c r="M152" s="413"/>
      <c r="N152" s="414"/>
      <c r="O152" s="413"/>
      <c r="P152" s="413"/>
      <c r="Q152" s="413"/>
      <c r="R152" s="414"/>
      <c r="S152" s="413"/>
      <c r="T152" s="413"/>
      <c r="U152" s="413"/>
      <c r="V152" s="414"/>
      <c r="W152" s="413"/>
      <c r="X152" s="413"/>
      <c r="Y152" s="413"/>
      <c r="Z152" s="414"/>
      <c r="AA152" s="413"/>
      <c r="AB152" s="413"/>
      <c r="AC152" s="413"/>
      <c r="AD152" s="413"/>
      <c r="AE152" s="490"/>
      <c r="AF152" s="413"/>
      <c r="AG152" s="413"/>
      <c r="AH152" s="414"/>
      <c r="AI152" s="490"/>
      <c r="AJ152" s="413"/>
      <c r="AK152" s="413"/>
      <c r="AL152" s="414"/>
      <c r="AM152" s="1795"/>
      <c r="AN152" s="365"/>
      <c r="AO152" s="413"/>
      <c r="AP152" s="413"/>
      <c r="AQ152" s="413"/>
      <c r="AR152" s="413"/>
      <c r="AS152" s="413"/>
      <c r="AT152" s="413"/>
      <c r="AU152" s="413"/>
      <c r="AV152" s="413"/>
    </row>
    <row r="153" spans="1:48">
      <c r="A153" s="780" t="s">
        <v>1043</v>
      </c>
      <c r="B153" s="414">
        <v>0</v>
      </c>
      <c r="C153" s="413">
        <v>0</v>
      </c>
      <c r="D153" s="413">
        <v>0</v>
      </c>
      <c r="E153" s="413">
        <v>0</v>
      </c>
      <c r="F153" s="414">
        <v>0</v>
      </c>
      <c r="G153" s="413">
        <v>0</v>
      </c>
      <c r="H153" s="413">
        <v>0</v>
      </c>
      <c r="I153" s="413">
        <v>0</v>
      </c>
      <c r="J153" s="414">
        <v>0</v>
      </c>
      <c r="K153" s="413">
        <v>0</v>
      </c>
      <c r="L153" s="413">
        <v>0</v>
      </c>
      <c r="M153" s="413">
        <v>0</v>
      </c>
      <c r="N153" s="414">
        <v>0</v>
      </c>
      <c r="O153" s="413">
        <v>0</v>
      </c>
      <c r="P153" s="413">
        <v>0</v>
      </c>
      <c r="Q153" s="413">
        <v>0</v>
      </c>
      <c r="R153" s="414">
        <v>0</v>
      </c>
      <c r="S153" s="413">
        <v>0</v>
      </c>
      <c r="T153" s="413">
        <v>0</v>
      </c>
      <c r="U153" s="413">
        <v>0</v>
      </c>
      <c r="V153" s="414">
        <v>0</v>
      </c>
      <c r="W153" s="413">
        <v>26000</v>
      </c>
      <c r="X153" s="413">
        <v>0</v>
      </c>
      <c r="Y153" s="413">
        <v>0</v>
      </c>
      <c r="Z153" s="414">
        <v>0</v>
      </c>
      <c r="AA153" s="413">
        <v>0</v>
      </c>
      <c r="AB153" s="413">
        <v>0</v>
      </c>
      <c r="AC153" s="413">
        <v>0</v>
      </c>
      <c r="AD153" s="413">
        <v>0</v>
      </c>
      <c r="AE153" s="490">
        <v>0</v>
      </c>
      <c r="AF153" s="413">
        <v>0</v>
      </c>
      <c r="AG153" s="413">
        <v>0</v>
      </c>
      <c r="AH153" s="414">
        <v>0</v>
      </c>
      <c r="AI153" s="490">
        <v>0</v>
      </c>
      <c r="AJ153" s="413">
        <v>0</v>
      </c>
      <c r="AK153" s="413">
        <v>0</v>
      </c>
      <c r="AL153" s="414">
        <v>0</v>
      </c>
      <c r="AM153" s="1795"/>
      <c r="AN153" s="365"/>
      <c r="AO153" s="413">
        <v>0</v>
      </c>
      <c r="AP153" s="413">
        <v>26000</v>
      </c>
      <c r="AQ153" s="413">
        <v>0</v>
      </c>
      <c r="AR153" s="413">
        <v>0</v>
      </c>
      <c r="AS153" s="413">
        <v>0</v>
      </c>
      <c r="AT153" s="413">
        <v>0</v>
      </c>
      <c r="AU153" s="413">
        <v>0</v>
      </c>
      <c r="AV153" s="413">
        <v>0</v>
      </c>
    </row>
    <row r="154" spans="1:48">
      <c r="A154" s="780" t="s">
        <v>999</v>
      </c>
      <c r="B154" s="414">
        <v>118981</v>
      </c>
      <c r="C154" s="413">
        <v>126992</v>
      </c>
      <c r="D154" s="413">
        <v>130751</v>
      </c>
      <c r="E154" s="413">
        <v>113857</v>
      </c>
      <c r="F154" s="414">
        <v>129304</v>
      </c>
      <c r="G154" s="413">
        <v>132175</v>
      </c>
      <c r="H154" s="413">
        <v>130452</v>
      </c>
      <c r="I154" s="413">
        <v>133526</v>
      </c>
      <c r="J154" s="414">
        <v>135778</v>
      </c>
      <c r="K154" s="413">
        <v>397565</v>
      </c>
      <c r="L154" s="413">
        <v>398820</v>
      </c>
      <c r="M154" s="413">
        <v>396840</v>
      </c>
      <c r="N154" s="414">
        <v>395281</v>
      </c>
      <c r="O154" s="413">
        <v>397784</v>
      </c>
      <c r="P154" s="413">
        <v>398311</v>
      </c>
      <c r="Q154" s="413">
        <v>396606</v>
      </c>
      <c r="R154" s="414">
        <v>563554</v>
      </c>
      <c r="S154" s="413">
        <v>386684</v>
      </c>
      <c r="T154" s="413">
        <v>377954</v>
      </c>
      <c r="U154" s="413">
        <v>380352</v>
      </c>
      <c r="V154" s="414">
        <v>381796</v>
      </c>
      <c r="W154" s="413">
        <v>371720</v>
      </c>
      <c r="X154" s="413">
        <v>372404</v>
      </c>
      <c r="Y154" s="413">
        <v>362202</v>
      </c>
      <c r="Z154" s="414">
        <v>356384</v>
      </c>
      <c r="AA154" s="413">
        <v>353162</v>
      </c>
      <c r="AB154" s="413">
        <v>357951</v>
      </c>
      <c r="AC154" s="413">
        <v>357867</v>
      </c>
      <c r="AD154" s="413">
        <v>364573</v>
      </c>
      <c r="AE154" s="490">
        <v>368547</v>
      </c>
      <c r="AF154" s="413">
        <v>0</v>
      </c>
      <c r="AG154" s="413">
        <v>0</v>
      </c>
      <c r="AH154" s="414">
        <v>0</v>
      </c>
      <c r="AI154" s="490">
        <v>0</v>
      </c>
      <c r="AJ154" s="413">
        <v>0</v>
      </c>
      <c r="AK154" s="413">
        <v>0</v>
      </c>
      <c r="AL154" s="414">
        <v>0</v>
      </c>
      <c r="AM154" s="1795"/>
      <c r="AN154" s="365"/>
      <c r="AO154" s="413">
        <v>1526786</v>
      </c>
      <c r="AP154" s="413">
        <v>1462710</v>
      </c>
      <c r="AQ154" s="413">
        <v>1433553</v>
      </c>
      <c r="AR154" s="413">
        <v>368547</v>
      </c>
      <c r="AS154" s="413">
        <v>0</v>
      </c>
      <c r="AT154" s="413">
        <v>0</v>
      </c>
      <c r="AU154" s="413">
        <v>0</v>
      </c>
      <c r="AV154" s="413">
        <v>0</v>
      </c>
    </row>
    <row r="155" spans="1:48">
      <c r="A155" s="780" t="s">
        <v>1049</v>
      </c>
      <c r="B155" s="414">
        <v>-1265</v>
      </c>
      <c r="C155" s="413">
        <v>-2059</v>
      </c>
      <c r="D155" s="413">
        <v>-2126</v>
      </c>
      <c r="E155" s="413">
        <v>-1929</v>
      </c>
      <c r="F155" s="414">
        <v>-953</v>
      </c>
      <c r="G155" s="413">
        <v>-1313</v>
      </c>
      <c r="H155" s="413">
        <v>-724</v>
      </c>
      <c r="I155" s="413">
        <v>-1270</v>
      </c>
      <c r="J155" s="414">
        <v>-1603</v>
      </c>
      <c r="K155" s="413">
        <v>-2073</v>
      </c>
      <c r="L155" s="413">
        <v>-2076</v>
      </c>
      <c r="M155" s="413">
        <v>-891</v>
      </c>
      <c r="N155" s="414">
        <v>-821</v>
      </c>
      <c r="O155" s="413">
        <v>0</v>
      </c>
      <c r="P155" s="413">
        <v>0</v>
      </c>
      <c r="Q155" s="413">
        <v>0</v>
      </c>
      <c r="R155" s="414">
        <v>-4349</v>
      </c>
      <c r="S155" s="413">
        <v>-3306</v>
      </c>
      <c r="T155" s="413">
        <v>-5389</v>
      </c>
      <c r="U155" s="413">
        <v>491</v>
      </c>
      <c r="V155" s="414">
        <v>-3841</v>
      </c>
      <c r="W155" s="413">
        <v>-635</v>
      </c>
      <c r="X155" s="413">
        <v>323</v>
      </c>
      <c r="Y155" s="413">
        <v>0</v>
      </c>
      <c r="Z155" s="414">
        <v>0</v>
      </c>
      <c r="AA155" s="413">
        <v>-5236</v>
      </c>
      <c r="AB155" s="413">
        <v>-4551</v>
      </c>
      <c r="AC155" s="413">
        <v>9698</v>
      </c>
      <c r="AD155" s="413">
        <v>-250.99999999999943</v>
      </c>
      <c r="AE155" s="490">
        <v>-3822</v>
      </c>
      <c r="AF155" s="413">
        <v>0</v>
      </c>
      <c r="AG155" s="413">
        <v>0</v>
      </c>
      <c r="AH155" s="414">
        <v>0</v>
      </c>
      <c r="AI155" s="490">
        <v>0</v>
      </c>
      <c r="AJ155" s="413">
        <v>0</v>
      </c>
      <c r="AK155" s="413">
        <v>0</v>
      </c>
      <c r="AL155" s="414">
        <v>0</v>
      </c>
      <c r="AM155" s="1795"/>
      <c r="AN155" s="365"/>
      <c r="AO155" s="413">
        <v>-12045</v>
      </c>
      <c r="AP155" s="413">
        <v>-312</v>
      </c>
      <c r="AQ155" s="413">
        <v>-340</v>
      </c>
      <c r="AR155" s="413">
        <v>-3822</v>
      </c>
      <c r="AS155" s="413">
        <v>0</v>
      </c>
      <c r="AT155" s="413">
        <v>0</v>
      </c>
      <c r="AU155" s="413">
        <v>0</v>
      </c>
      <c r="AV155" s="413">
        <v>0</v>
      </c>
    </row>
    <row r="156" spans="1:48">
      <c r="A156" s="780" t="s">
        <v>1050</v>
      </c>
      <c r="B156" s="414">
        <v>0</v>
      </c>
      <c r="C156" s="413">
        <v>0</v>
      </c>
      <c r="D156" s="413">
        <v>0</v>
      </c>
      <c r="E156" s="413">
        <v>0</v>
      </c>
      <c r="F156" s="414">
        <v>0</v>
      </c>
      <c r="G156" s="413">
        <v>0</v>
      </c>
      <c r="H156" s="413">
        <v>0</v>
      </c>
      <c r="I156" s="413">
        <v>0</v>
      </c>
      <c r="J156" s="414">
        <v>0</v>
      </c>
      <c r="K156" s="413">
        <v>0</v>
      </c>
      <c r="L156" s="413">
        <v>0</v>
      </c>
      <c r="M156" s="413">
        <v>0</v>
      </c>
      <c r="N156" s="414">
        <v>0</v>
      </c>
      <c r="O156" s="413">
        <v>0</v>
      </c>
      <c r="P156" s="413">
        <v>0</v>
      </c>
      <c r="Q156" s="413">
        <v>0</v>
      </c>
      <c r="R156" s="414">
        <v>0</v>
      </c>
      <c r="S156" s="413">
        <v>0</v>
      </c>
      <c r="T156" s="413">
        <v>0</v>
      </c>
      <c r="U156" s="413">
        <v>0</v>
      </c>
      <c r="V156" s="414">
        <v>0</v>
      </c>
      <c r="W156" s="413">
        <v>0</v>
      </c>
      <c r="X156" s="413">
        <v>0</v>
      </c>
      <c r="Y156" s="413">
        <v>0</v>
      </c>
      <c r="Z156" s="414">
        <v>0</v>
      </c>
      <c r="AA156" s="413">
        <v>0</v>
      </c>
      <c r="AB156" s="413">
        <v>0</v>
      </c>
      <c r="AC156" s="413">
        <v>0</v>
      </c>
      <c r="AD156" s="413">
        <v>0</v>
      </c>
      <c r="AE156" s="490">
        <v>0</v>
      </c>
      <c r="AF156" s="413">
        <v>0</v>
      </c>
      <c r="AG156" s="413">
        <v>0</v>
      </c>
      <c r="AH156" s="414">
        <v>0</v>
      </c>
      <c r="AI156" s="490">
        <v>0</v>
      </c>
      <c r="AJ156" s="413">
        <v>0</v>
      </c>
      <c r="AK156" s="413">
        <v>0</v>
      </c>
      <c r="AL156" s="414">
        <v>0</v>
      </c>
      <c r="AM156" s="1795"/>
      <c r="AN156" s="365"/>
      <c r="AO156" s="413">
        <v>0</v>
      </c>
      <c r="AP156" s="413">
        <v>0</v>
      </c>
      <c r="AQ156" s="413">
        <v>0</v>
      </c>
      <c r="AR156" s="413">
        <v>0</v>
      </c>
      <c r="AS156" s="413">
        <v>0</v>
      </c>
      <c r="AT156" s="413">
        <v>0</v>
      </c>
      <c r="AU156" s="413">
        <v>0</v>
      </c>
      <c r="AV156" s="413">
        <v>0</v>
      </c>
    </row>
    <row r="157" spans="1:48">
      <c r="A157" s="780" t="s">
        <v>1051</v>
      </c>
      <c r="B157" s="414">
        <v>60684</v>
      </c>
      <c r="C157" s="413">
        <v>26673</v>
      </c>
      <c r="D157" s="413">
        <v>30365</v>
      </c>
      <c r="E157" s="413">
        <v>18370</v>
      </c>
      <c r="F157" s="414">
        <v>-1034</v>
      </c>
      <c r="G157" s="413">
        <v>22141</v>
      </c>
      <c r="H157" s="413">
        <v>3806</v>
      </c>
      <c r="I157" s="413">
        <v>7471</v>
      </c>
      <c r="J157" s="414">
        <v>36112</v>
      </c>
      <c r="K157" s="413">
        <v>9522</v>
      </c>
      <c r="L157" s="413">
        <v>12830</v>
      </c>
      <c r="M157" s="413">
        <v>11361</v>
      </c>
      <c r="N157" s="414">
        <v>15972</v>
      </c>
      <c r="O157" s="413">
        <v>-22629</v>
      </c>
      <c r="P157" s="413">
        <v>634</v>
      </c>
      <c r="Q157" s="413">
        <v>47106</v>
      </c>
      <c r="R157" s="414">
        <v>-67093</v>
      </c>
      <c r="S157" s="413">
        <v>-11643</v>
      </c>
      <c r="T157" s="413">
        <v>4068</v>
      </c>
      <c r="U157" s="413">
        <v>46532</v>
      </c>
      <c r="V157" s="414">
        <v>126561</v>
      </c>
      <c r="W157" s="413">
        <v>96249</v>
      </c>
      <c r="X157" s="413">
        <v>8582</v>
      </c>
      <c r="Y157" s="413">
        <v>12406</v>
      </c>
      <c r="Z157" s="414">
        <v>115713</v>
      </c>
      <c r="AA157" s="413">
        <v>-15369</v>
      </c>
      <c r="AB157" s="413">
        <v>-2098</v>
      </c>
      <c r="AC157" s="413">
        <v>36342</v>
      </c>
      <c r="AD157" s="413">
        <v>112893</v>
      </c>
      <c r="AE157" s="490">
        <v>39660</v>
      </c>
      <c r="AF157" s="413">
        <v>0</v>
      </c>
      <c r="AG157" s="413">
        <v>0</v>
      </c>
      <c r="AH157" s="414">
        <v>0</v>
      </c>
      <c r="AI157" s="490">
        <v>0</v>
      </c>
      <c r="AJ157" s="413">
        <v>0</v>
      </c>
      <c r="AK157" s="413">
        <v>0</v>
      </c>
      <c r="AL157" s="414">
        <v>0</v>
      </c>
      <c r="AM157" s="1795"/>
      <c r="AN157" s="365"/>
      <c r="AO157" s="413">
        <v>165518</v>
      </c>
      <c r="AP157" s="413">
        <v>232950</v>
      </c>
      <c r="AQ157" s="413">
        <v>131768</v>
      </c>
      <c r="AR157" s="413">
        <v>39660</v>
      </c>
      <c r="AS157" s="413">
        <v>0</v>
      </c>
      <c r="AT157" s="413">
        <v>0</v>
      </c>
      <c r="AU157" s="413">
        <v>0</v>
      </c>
      <c r="AV157" s="413">
        <v>0</v>
      </c>
    </row>
    <row r="158" spans="1:48">
      <c r="A158" s="780" t="s">
        <v>1052</v>
      </c>
      <c r="B158" s="414">
        <v>0</v>
      </c>
      <c r="C158" s="413">
        <v>0</v>
      </c>
      <c r="D158" s="413">
        <v>0</v>
      </c>
      <c r="E158" s="413">
        <v>0</v>
      </c>
      <c r="F158" s="414">
        <v>0</v>
      </c>
      <c r="G158" s="413">
        <v>0</v>
      </c>
      <c r="H158" s="413">
        <v>0</v>
      </c>
      <c r="I158" s="413">
        <v>0</v>
      </c>
      <c r="J158" s="414">
        <v>0</v>
      </c>
      <c r="K158" s="413">
        <v>0</v>
      </c>
      <c r="L158" s="413">
        <v>-118649</v>
      </c>
      <c r="M158" s="413">
        <v>0</v>
      </c>
      <c r="N158" s="414">
        <v>0</v>
      </c>
      <c r="O158" s="413">
        <v>39000</v>
      </c>
      <c r="P158" s="413">
        <v>43000</v>
      </c>
      <c r="Q158" s="413">
        <v>45564</v>
      </c>
      <c r="R158" s="414">
        <v>38793</v>
      </c>
      <c r="S158" s="413">
        <v>36865</v>
      </c>
      <c r="T158" s="413">
        <v>42494</v>
      </c>
      <c r="U158" s="413">
        <v>-3811</v>
      </c>
      <c r="V158" s="414">
        <v>0</v>
      </c>
      <c r="W158" s="413">
        <v>40000</v>
      </c>
      <c r="X158" s="413">
        <v>0</v>
      </c>
      <c r="Y158" s="413">
        <v>0</v>
      </c>
      <c r="Z158" s="414">
        <v>0</v>
      </c>
      <c r="AA158" s="413">
        <v>0</v>
      </c>
      <c r="AB158" s="413">
        <v>0</v>
      </c>
      <c r="AC158" s="413">
        <v>0</v>
      </c>
      <c r="AD158" s="413">
        <v>0</v>
      </c>
      <c r="AE158" s="490">
        <v>0</v>
      </c>
      <c r="AF158" s="413">
        <v>0</v>
      </c>
      <c r="AG158" s="413">
        <v>0</v>
      </c>
      <c r="AH158" s="414">
        <v>0</v>
      </c>
      <c r="AI158" s="490">
        <v>0</v>
      </c>
      <c r="AJ158" s="413">
        <v>0</v>
      </c>
      <c r="AK158" s="413">
        <v>0</v>
      </c>
      <c r="AL158" s="414">
        <v>0</v>
      </c>
      <c r="AM158" s="1795"/>
      <c r="AN158" s="365"/>
      <c r="AO158" s="413">
        <v>75548</v>
      </c>
      <c r="AP158" s="413">
        <v>40000</v>
      </c>
      <c r="AQ158" s="413">
        <v>0</v>
      </c>
      <c r="AR158" s="413">
        <v>0</v>
      </c>
      <c r="AS158" s="413">
        <v>0</v>
      </c>
      <c r="AT158" s="413">
        <v>0</v>
      </c>
      <c r="AU158" s="413">
        <v>0</v>
      </c>
      <c r="AV158" s="413">
        <v>0</v>
      </c>
    </row>
    <row r="159" spans="1:48">
      <c r="A159" s="780" t="s">
        <v>1053</v>
      </c>
      <c r="B159" s="414"/>
      <c r="C159" s="413"/>
      <c r="D159" s="413"/>
      <c r="E159" s="413"/>
      <c r="F159" s="414"/>
      <c r="G159" s="413"/>
      <c r="H159" s="413"/>
      <c r="I159" s="413"/>
      <c r="J159" s="414"/>
      <c r="K159" s="413"/>
      <c r="L159" s="413"/>
      <c r="M159" s="413"/>
      <c r="N159" s="414"/>
      <c r="O159" s="413"/>
      <c r="P159" s="413"/>
      <c r="Q159" s="413"/>
      <c r="R159" s="414"/>
      <c r="S159" s="413"/>
      <c r="T159" s="413"/>
      <c r="U159" s="413"/>
      <c r="V159" s="414"/>
      <c r="W159" s="413"/>
      <c r="X159" s="413"/>
      <c r="Y159" s="413"/>
      <c r="Z159" s="414"/>
      <c r="AA159" s="413"/>
      <c r="AB159" s="413"/>
      <c r="AC159" s="413"/>
      <c r="AD159" s="413"/>
      <c r="AE159" s="490"/>
      <c r="AF159" s="413"/>
      <c r="AG159" s="413"/>
      <c r="AH159" s="414"/>
      <c r="AI159" s="490"/>
      <c r="AJ159" s="413"/>
      <c r="AK159" s="413"/>
      <c r="AL159" s="414"/>
      <c r="AM159" s="1795"/>
      <c r="AN159" s="365"/>
      <c r="AO159" s="413"/>
      <c r="AP159" s="413"/>
      <c r="AQ159" s="413"/>
      <c r="AR159" s="413"/>
      <c r="AS159" s="413"/>
      <c r="AT159" s="413"/>
      <c r="AU159" s="413"/>
      <c r="AV159" s="413"/>
    </row>
    <row r="160" spans="1:48">
      <c r="A160" s="901" t="s">
        <v>819</v>
      </c>
      <c r="B160" s="414">
        <v>10157</v>
      </c>
      <c r="C160" s="413">
        <v>22506</v>
      </c>
      <c r="D160" s="413">
        <v>-6518</v>
      </c>
      <c r="E160" s="413">
        <v>-23236</v>
      </c>
      <c r="F160" s="414">
        <v>10185</v>
      </c>
      <c r="G160" s="413">
        <v>6887</v>
      </c>
      <c r="H160" s="413">
        <v>973</v>
      </c>
      <c r="I160" s="413">
        <v>-10127</v>
      </c>
      <c r="J160" s="414">
        <v>-2366</v>
      </c>
      <c r="K160" s="413">
        <v>42486.144690781824</v>
      </c>
      <c r="L160" s="413">
        <v>-34845.144690781832</v>
      </c>
      <c r="M160" s="413">
        <v>-5500</v>
      </c>
      <c r="N160" s="414">
        <v>5768</v>
      </c>
      <c r="O160" s="413">
        <v>29812</v>
      </c>
      <c r="P160" s="413">
        <v>-31496</v>
      </c>
      <c r="Q160" s="413">
        <v>-65329</v>
      </c>
      <c r="R160" s="414">
        <v>7933</v>
      </c>
      <c r="S160" s="413">
        <v>20520</v>
      </c>
      <c r="T160" s="413">
        <v>-44135</v>
      </c>
      <c r="U160" s="413">
        <v>28917</v>
      </c>
      <c r="V160" s="414">
        <v>-18280</v>
      </c>
      <c r="W160" s="413">
        <v>64098</v>
      </c>
      <c r="X160" s="413">
        <v>-4906</v>
      </c>
      <c r="Y160" s="413">
        <v>24921</v>
      </c>
      <c r="Z160" s="414">
        <v>-173223</v>
      </c>
      <c r="AA160" s="413">
        <v>14632</v>
      </c>
      <c r="AB160" s="413">
        <v>-31073</v>
      </c>
      <c r="AC160" s="413">
        <v>-47623</v>
      </c>
      <c r="AD160" s="413">
        <v>-133242</v>
      </c>
      <c r="AE160" s="490">
        <v>44971</v>
      </c>
      <c r="AF160" s="413">
        <v>0</v>
      </c>
      <c r="AG160" s="413">
        <v>0</v>
      </c>
      <c r="AH160" s="414">
        <v>0</v>
      </c>
      <c r="AI160" s="490">
        <v>0</v>
      </c>
      <c r="AJ160" s="413">
        <v>0</v>
      </c>
      <c r="AK160" s="413">
        <v>0</v>
      </c>
      <c r="AL160" s="414">
        <v>0</v>
      </c>
      <c r="AM160" s="1795"/>
      <c r="AN160" s="365"/>
      <c r="AO160" s="413">
        <v>-12978</v>
      </c>
      <c r="AP160" s="413">
        <v>-89110</v>
      </c>
      <c r="AQ160" s="413">
        <v>-197306</v>
      </c>
      <c r="AR160" s="413">
        <v>44971</v>
      </c>
      <c r="AS160" s="413">
        <v>0</v>
      </c>
      <c r="AT160" s="413">
        <v>0</v>
      </c>
      <c r="AU160" s="413">
        <v>0</v>
      </c>
      <c r="AV160" s="413">
        <v>0</v>
      </c>
    </row>
    <row r="161" spans="1:48">
      <c r="A161" s="901" t="s">
        <v>837</v>
      </c>
      <c r="B161" s="414">
        <v>-5960</v>
      </c>
      <c r="C161" s="413">
        <v>14559</v>
      </c>
      <c r="D161" s="413">
        <v>10053</v>
      </c>
      <c r="E161" s="413">
        <v>7130</v>
      </c>
      <c r="F161" s="414">
        <v>-16228</v>
      </c>
      <c r="G161" s="413">
        <v>-94</v>
      </c>
      <c r="H161" s="413">
        <v>-142</v>
      </c>
      <c r="I161" s="413">
        <v>-32991</v>
      </c>
      <c r="J161" s="414">
        <v>0</v>
      </c>
      <c r="K161" s="413">
        <v>-12483.355797819613</v>
      </c>
      <c r="L161" s="413">
        <v>-81069.644202180381</v>
      </c>
      <c r="M161" s="413">
        <v>64339</v>
      </c>
      <c r="N161" s="414">
        <v>29120</v>
      </c>
      <c r="O161" s="413">
        <v>72415</v>
      </c>
      <c r="P161" s="413">
        <v>-217309</v>
      </c>
      <c r="Q161" s="413">
        <v>84729</v>
      </c>
      <c r="R161" s="414">
        <v>-51533</v>
      </c>
      <c r="S161" s="413">
        <v>120927</v>
      </c>
      <c r="T161" s="413">
        <v>-225208</v>
      </c>
      <c r="U161" s="413">
        <v>63974</v>
      </c>
      <c r="V161" s="414">
        <v>-128650</v>
      </c>
      <c r="W161" s="413">
        <v>50132</v>
      </c>
      <c r="X161" s="413">
        <v>14629</v>
      </c>
      <c r="Y161" s="413">
        <v>0</v>
      </c>
      <c r="Z161" s="414">
        <v>0</v>
      </c>
      <c r="AA161" s="413">
        <v>-59992</v>
      </c>
      <c r="AB161" s="413">
        <v>-35629</v>
      </c>
      <c r="AC161" s="413">
        <v>-6391.0000000000127</v>
      </c>
      <c r="AD161" s="413">
        <v>0</v>
      </c>
      <c r="AE161" s="490">
        <v>-932</v>
      </c>
      <c r="AF161" s="413">
        <v>0</v>
      </c>
      <c r="AG161" s="413">
        <v>0</v>
      </c>
      <c r="AH161" s="414">
        <v>0</v>
      </c>
      <c r="AI161" s="490">
        <v>0</v>
      </c>
      <c r="AJ161" s="413">
        <v>0</v>
      </c>
      <c r="AK161" s="413">
        <v>0</v>
      </c>
      <c r="AL161" s="414">
        <v>0</v>
      </c>
      <c r="AM161" s="1795"/>
      <c r="AN161" s="365"/>
      <c r="AO161" s="413">
        <v>-168957</v>
      </c>
      <c r="AP161" s="413">
        <v>64761</v>
      </c>
      <c r="AQ161" s="413">
        <v>-102012</v>
      </c>
      <c r="AR161" s="413">
        <v>-932</v>
      </c>
      <c r="AS161" s="413">
        <v>0</v>
      </c>
      <c r="AT161" s="413">
        <v>0</v>
      </c>
      <c r="AU161" s="413">
        <v>0</v>
      </c>
      <c r="AV161" s="413">
        <v>0</v>
      </c>
    </row>
    <row r="162" spans="1:48">
      <c r="A162" s="901" t="s">
        <v>1054</v>
      </c>
      <c r="B162" s="414">
        <v>29782</v>
      </c>
      <c r="C162" s="413">
        <v>19921</v>
      </c>
      <c r="D162" s="413">
        <v>-25643</v>
      </c>
      <c r="E162" s="413">
        <v>30903</v>
      </c>
      <c r="F162" s="414">
        <v>1859</v>
      </c>
      <c r="G162" s="413">
        <v>36540</v>
      </c>
      <c r="H162" s="413">
        <v>-24356</v>
      </c>
      <c r="I162" s="413">
        <v>63538</v>
      </c>
      <c r="J162" s="414">
        <v>0</v>
      </c>
      <c r="K162" s="413">
        <v>-37072</v>
      </c>
      <c r="L162" s="413">
        <v>8959</v>
      </c>
      <c r="M162" s="413">
        <v>-2740</v>
      </c>
      <c r="N162" s="414">
        <v>-18882</v>
      </c>
      <c r="O162" s="413">
        <v>35695</v>
      </c>
      <c r="P162" s="413">
        <v>-8624</v>
      </c>
      <c r="Q162" s="413">
        <v>22590</v>
      </c>
      <c r="R162" s="414">
        <v>-38057</v>
      </c>
      <c r="S162" s="413">
        <v>9699</v>
      </c>
      <c r="T162" s="413">
        <v>-42328</v>
      </c>
      <c r="U162" s="413">
        <v>7413</v>
      </c>
      <c r="V162" s="414">
        <v>-39562</v>
      </c>
      <c r="W162" s="413">
        <v>19103</v>
      </c>
      <c r="X162" s="413">
        <v>11991</v>
      </c>
      <c r="Y162" s="413">
        <v>0</v>
      </c>
      <c r="Z162" s="414">
        <v>0</v>
      </c>
      <c r="AA162" s="413">
        <v>194274</v>
      </c>
      <c r="AB162" s="413">
        <v>-79329</v>
      </c>
      <c r="AC162" s="413">
        <v>-20128</v>
      </c>
      <c r="AD162" s="413">
        <v>0</v>
      </c>
      <c r="AE162" s="490">
        <v>96352</v>
      </c>
      <c r="AF162" s="413">
        <v>0</v>
      </c>
      <c r="AG162" s="413">
        <v>0</v>
      </c>
      <c r="AH162" s="414">
        <v>0</v>
      </c>
      <c r="AI162" s="490">
        <v>0</v>
      </c>
      <c r="AJ162" s="413">
        <v>0</v>
      </c>
      <c r="AK162" s="413">
        <v>0</v>
      </c>
      <c r="AL162" s="414">
        <v>0</v>
      </c>
      <c r="AM162" s="1795"/>
      <c r="AN162" s="365"/>
      <c r="AO162" s="413">
        <v>-64778</v>
      </c>
      <c r="AP162" s="413">
        <v>31094</v>
      </c>
      <c r="AQ162" s="413">
        <v>94817</v>
      </c>
      <c r="AR162" s="413">
        <v>96352</v>
      </c>
      <c r="AS162" s="413">
        <v>0</v>
      </c>
      <c r="AT162" s="413">
        <v>0</v>
      </c>
      <c r="AU162" s="413">
        <v>0</v>
      </c>
      <c r="AV162" s="413">
        <v>0</v>
      </c>
    </row>
    <row r="163" spans="1:48">
      <c r="A163" s="901" t="s">
        <v>1055</v>
      </c>
      <c r="B163" s="414">
        <v>-1542</v>
      </c>
      <c r="C163" s="413">
        <v>709</v>
      </c>
      <c r="D163" s="413">
        <v>-3317</v>
      </c>
      <c r="E163" s="413">
        <v>-1175</v>
      </c>
      <c r="F163" s="414">
        <v>16614</v>
      </c>
      <c r="G163" s="413">
        <v>-15710</v>
      </c>
      <c r="H163" s="413">
        <v>14856</v>
      </c>
      <c r="I163" s="413">
        <v>-10007</v>
      </c>
      <c r="J163" s="414">
        <v>0</v>
      </c>
      <c r="K163" s="413">
        <v>-13959.577079063511</v>
      </c>
      <c r="L163" s="413">
        <v>59678.577079063514</v>
      </c>
      <c r="M163" s="413">
        <v>76966</v>
      </c>
      <c r="N163" s="414">
        <v>-41416</v>
      </c>
      <c r="O163" s="413">
        <v>-43030</v>
      </c>
      <c r="P163" s="413">
        <v>31372</v>
      </c>
      <c r="Q163" s="413">
        <v>4689</v>
      </c>
      <c r="R163" s="414">
        <v>26751</v>
      </c>
      <c r="S163" s="413">
        <v>-29423</v>
      </c>
      <c r="T163" s="413">
        <v>16922</v>
      </c>
      <c r="U163" s="413">
        <v>-14967</v>
      </c>
      <c r="V163" s="414">
        <v>12856</v>
      </c>
      <c r="W163" s="413">
        <v>-15302</v>
      </c>
      <c r="X163" s="413">
        <v>8877</v>
      </c>
      <c r="Y163" s="413">
        <v>0</v>
      </c>
      <c r="Z163" s="414">
        <v>0</v>
      </c>
      <c r="AA163" s="413">
        <v>27272</v>
      </c>
      <c r="AB163" s="413">
        <v>-51512</v>
      </c>
      <c r="AC163" s="413">
        <v>17103</v>
      </c>
      <c r="AD163" s="413">
        <v>0</v>
      </c>
      <c r="AE163" s="490">
        <v>32237</v>
      </c>
      <c r="AF163" s="413">
        <v>0</v>
      </c>
      <c r="AG163" s="413">
        <v>0</v>
      </c>
      <c r="AH163" s="414">
        <v>0</v>
      </c>
      <c r="AI163" s="490">
        <v>0</v>
      </c>
      <c r="AJ163" s="413">
        <v>0</v>
      </c>
      <c r="AK163" s="413">
        <v>0</v>
      </c>
      <c r="AL163" s="414">
        <v>0</v>
      </c>
      <c r="AM163" s="1795"/>
      <c r="AN163" s="365"/>
      <c r="AO163" s="413">
        <v>-14612</v>
      </c>
      <c r="AP163" s="413">
        <v>-6425</v>
      </c>
      <c r="AQ163" s="413">
        <v>-7137</v>
      </c>
      <c r="AR163" s="413">
        <v>32237</v>
      </c>
      <c r="AS163" s="413">
        <v>0</v>
      </c>
      <c r="AT163" s="413">
        <v>0</v>
      </c>
      <c r="AU163" s="413">
        <v>0</v>
      </c>
      <c r="AV163" s="413">
        <v>0</v>
      </c>
    </row>
    <row r="164" spans="1:48">
      <c r="A164" s="816" t="s">
        <v>1056</v>
      </c>
      <c r="B164" s="414">
        <v>-18446</v>
      </c>
      <c r="C164" s="413">
        <v>-14981</v>
      </c>
      <c r="D164" s="413">
        <v>-6472</v>
      </c>
      <c r="E164" s="413">
        <v>-9717</v>
      </c>
      <c r="F164" s="414">
        <v>-6764</v>
      </c>
      <c r="G164" s="413">
        <v>-2087</v>
      </c>
      <c r="H164" s="413">
        <v>26</v>
      </c>
      <c r="I164" s="413">
        <v>350</v>
      </c>
      <c r="J164" s="414">
        <v>6322</v>
      </c>
      <c r="K164" s="413">
        <v>-1236</v>
      </c>
      <c r="L164" s="413">
        <v>3755</v>
      </c>
      <c r="M164" s="413">
        <v>2375</v>
      </c>
      <c r="N164" s="414">
        <v>4893</v>
      </c>
      <c r="O164" s="413">
        <v>-13369</v>
      </c>
      <c r="P164" s="413">
        <v>12355</v>
      </c>
      <c r="Q164" s="413">
        <v>-72142</v>
      </c>
      <c r="R164" s="414">
        <v>-12907</v>
      </c>
      <c r="S164" s="413">
        <v>-28579</v>
      </c>
      <c r="T164" s="413">
        <v>1354</v>
      </c>
      <c r="U164" s="413">
        <v>-49645</v>
      </c>
      <c r="V164" s="414">
        <v>-69947</v>
      </c>
      <c r="W164" s="413">
        <v>-17085</v>
      </c>
      <c r="X164" s="413">
        <v>804</v>
      </c>
      <c r="Y164" s="413">
        <v>-10760</v>
      </c>
      <c r="Z164" s="414">
        <v>52343</v>
      </c>
      <c r="AA164" s="413">
        <v>-23095</v>
      </c>
      <c r="AB164" s="413">
        <v>5564</v>
      </c>
      <c r="AC164" s="413">
        <v>21833.000000000084</v>
      </c>
      <c r="AD164" s="413">
        <v>-6190.000000000111</v>
      </c>
      <c r="AE164" s="490">
        <v>-14529</v>
      </c>
      <c r="AF164" s="413">
        <v>0</v>
      </c>
      <c r="AG164" s="413">
        <v>0</v>
      </c>
      <c r="AH164" s="414">
        <v>0</v>
      </c>
      <c r="AI164" s="490">
        <v>0</v>
      </c>
      <c r="AJ164" s="413">
        <v>0</v>
      </c>
      <c r="AK164" s="413">
        <v>0</v>
      </c>
      <c r="AL164" s="414">
        <v>0</v>
      </c>
      <c r="AM164" s="1795"/>
      <c r="AN164" s="365"/>
      <c r="AO164" s="413">
        <v>-146817</v>
      </c>
      <c r="AP164" s="413">
        <v>25302</v>
      </c>
      <c r="AQ164" s="413">
        <v>-1888.0000000000266</v>
      </c>
      <c r="AR164" s="413">
        <v>-14529</v>
      </c>
      <c r="AS164" s="413">
        <v>0</v>
      </c>
      <c r="AT164" s="413">
        <v>0</v>
      </c>
      <c r="AU164" s="413">
        <v>0</v>
      </c>
      <c r="AV164" s="413">
        <v>0</v>
      </c>
    </row>
    <row r="165" spans="1:48">
      <c r="A165" s="802" t="s">
        <v>1058</v>
      </c>
      <c r="B165" s="414">
        <v>-35291</v>
      </c>
      <c r="C165" s="413">
        <v>5841</v>
      </c>
      <c r="D165" s="413">
        <v>9541</v>
      </c>
      <c r="E165" s="413">
        <v>12041</v>
      </c>
      <c r="F165" s="414">
        <v>2565</v>
      </c>
      <c r="G165" s="413">
        <v>-1336</v>
      </c>
      <c r="H165" s="413">
        <v>12085</v>
      </c>
      <c r="I165" s="413">
        <v>12555</v>
      </c>
      <c r="J165" s="414">
        <v>-21207</v>
      </c>
      <c r="K165" s="413">
        <v>266.57155726813465</v>
      </c>
      <c r="L165" s="413">
        <v>-98894.571557268137</v>
      </c>
      <c r="M165" s="413">
        <v>-474042</v>
      </c>
      <c r="N165" s="414">
        <v>371545</v>
      </c>
      <c r="O165" s="413">
        <v>5162</v>
      </c>
      <c r="P165" s="413">
        <v>7807</v>
      </c>
      <c r="Q165" s="413">
        <v>19393</v>
      </c>
      <c r="R165" s="414">
        <v>-130572</v>
      </c>
      <c r="S165" s="413">
        <v>20706</v>
      </c>
      <c r="T165" s="413">
        <v>22878</v>
      </c>
      <c r="U165" s="413">
        <v>66257</v>
      </c>
      <c r="V165" s="414">
        <v>9062</v>
      </c>
      <c r="W165" s="413">
        <v>-11119</v>
      </c>
      <c r="X165" s="413">
        <v>13632</v>
      </c>
      <c r="Y165" s="413">
        <v>-56848</v>
      </c>
      <c r="Z165" s="414">
        <v>33302</v>
      </c>
      <c r="AA165" s="413">
        <v>-277142</v>
      </c>
      <c r="AB165" s="413">
        <v>21257</v>
      </c>
      <c r="AC165" s="413">
        <v>0</v>
      </c>
      <c r="AD165" s="413">
        <v>0</v>
      </c>
      <c r="AE165" s="490">
        <v>-104140</v>
      </c>
      <c r="AF165" s="413">
        <v>0</v>
      </c>
      <c r="AG165" s="413">
        <v>0</v>
      </c>
      <c r="AH165" s="414">
        <v>0</v>
      </c>
      <c r="AI165" s="490">
        <v>0</v>
      </c>
      <c r="AJ165" s="413">
        <v>0</v>
      </c>
      <c r="AK165" s="413">
        <v>0</v>
      </c>
      <c r="AL165" s="414">
        <v>0</v>
      </c>
      <c r="AM165" s="1795"/>
      <c r="AN165" s="365"/>
      <c r="AO165" s="413">
        <v>118903</v>
      </c>
      <c r="AP165" s="413">
        <v>-21033</v>
      </c>
      <c r="AQ165" s="413">
        <v>-255885</v>
      </c>
      <c r="AR165" s="413">
        <v>-104140</v>
      </c>
      <c r="AS165" s="413">
        <v>0</v>
      </c>
      <c r="AT165" s="413">
        <v>0</v>
      </c>
      <c r="AU165" s="413">
        <v>0</v>
      </c>
      <c r="AV165" s="413">
        <v>0</v>
      </c>
    </row>
    <row r="166" spans="1:48">
      <c r="A166" s="364" t="s">
        <v>1059</v>
      </c>
      <c r="B166" s="593">
        <v>239542</v>
      </c>
      <c r="C166" s="582">
        <v>283440</v>
      </c>
      <c r="D166" s="582">
        <v>219918</v>
      </c>
      <c r="E166" s="582">
        <v>232436</v>
      </c>
      <c r="F166" s="593">
        <v>220037</v>
      </c>
      <c r="G166" s="582">
        <v>256819</v>
      </c>
      <c r="H166" s="582">
        <v>222094</v>
      </c>
      <c r="I166" s="582">
        <v>254456</v>
      </c>
      <c r="J166" s="593">
        <v>231370</v>
      </c>
      <c r="K166" s="582">
        <v>626229.93485844112</v>
      </c>
      <c r="L166" s="582">
        <v>489116.77212401654</v>
      </c>
      <c r="M166" s="582">
        <v>305191</v>
      </c>
      <c r="N166" s="593">
        <v>1027211</v>
      </c>
      <c r="O166" s="582">
        <v>738710</v>
      </c>
      <c r="P166" s="582">
        <v>524315</v>
      </c>
      <c r="Q166" s="582">
        <v>753408</v>
      </c>
      <c r="R166" s="593">
        <v>637553</v>
      </c>
      <c r="S166" s="582">
        <v>823210</v>
      </c>
      <c r="T166" s="582">
        <v>446777</v>
      </c>
      <c r="U166" s="582">
        <v>770246</v>
      </c>
      <c r="V166" s="593">
        <v>561067</v>
      </c>
      <c r="W166" s="582">
        <v>924619.99999999907</v>
      </c>
      <c r="X166" s="582">
        <v>713621</v>
      </c>
      <c r="Y166" s="582">
        <v>600973</v>
      </c>
      <c r="Z166" s="593">
        <v>671207</v>
      </c>
      <c r="AA166" s="582">
        <v>461463</v>
      </c>
      <c r="AB166" s="582">
        <v>419706</v>
      </c>
      <c r="AC166" s="582">
        <v>600290</v>
      </c>
      <c r="AD166" s="582">
        <v>563245</v>
      </c>
      <c r="AE166" s="594">
        <v>669835</v>
      </c>
      <c r="AF166" s="582">
        <v>0</v>
      </c>
      <c r="AG166" s="582">
        <v>0</v>
      </c>
      <c r="AH166" s="593">
        <v>0</v>
      </c>
      <c r="AI166" s="594">
        <v>0</v>
      </c>
      <c r="AJ166" s="582">
        <v>0</v>
      </c>
      <c r="AK166" s="582">
        <v>0</v>
      </c>
      <c r="AL166" s="593">
        <v>0</v>
      </c>
      <c r="AM166" s="1795"/>
      <c r="AN166" s="365"/>
      <c r="AO166" s="582">
        <v>2601300</v>
      </c>
      <c r="AP166" s="582">
        <v>2910421</v>
      </c>
      <c r="AQ166" s="582">
        <v>2044704</v>
      </c>
      <c r="AR166" s="582">
        <v>669835</v>
      </c>
      <c r="AS166" s="582">
        <v>0</v>
      </c>
      <c r="AT166" s="582">
        <v>0</v>
      </c>
      <c r="AU166" s="582">
        <v>0</v>
      </c>
      <c r="AV166" s="582">
        <v>0</v>
      </c>
    </row>
    <row r="167" spans="1:48">
      <c r="A167" s="142"/>
      <c r="B167" s="414"/>
      <c r="C167" s="476"/>
      <c r="D167" s="413"/>
      <c r="E167" s="413"/>
      <c r="F167" s="589"/>
      <c r="G167" s="490"/>
      <c r="H167" s="451"/>
      <c r="I167" s="413"/>
      <c r="J167" s="476"/>
      <c r="K167" s="490"/>
      <c r="L167" s="413"/>
      <c r="M167" s="413"/>
      <c r="N167" s="476"/>
      <c r="O167" s="490"/>
      <c r="P167" s="413"/>
      <c r="Q167" s="413"/>
      <c r="R167" s="476"/>
      <c r="S167" s="490"/>
      <c r="T167" s="413"/>
      <c r="U167" s="413"/>
      <c r="V167" s="476"/>
      <c r="W167" s="490"/>
      <c r="X167" s="413"/>
      <c r="Y167" s="451"/>
      <c r="Z167" s="589"/>
      <c r="AA167" s="489"/>
      <c r="AB167" s="413"/>
      <c r="AC167" s="413"/>
      <c r="AD167" s="476"/>
      <c r="AE167" s="490"/>
      <c r="AF167" s="413"/>
      <c r="AG167" s="413"/>
      <c r="AH167" s="476"/>
      <c r="AI167" s="490"/>
      <c r="AJ167" s="413"/>
      <c r="AK167" s="413"/>
      <c r="AL167" s="476"/>
      <c r="AM167" s="1795"/>
      <c r="AN167" s="365"/>
      <c r="AO167" s="413"/>
      <c r="AP167" s="413"/>
      <c r="AQ167" s="413"/>
      <c r="AR167" s="413"/>
      <c r="AS167" s="413"/>
      <c r="AT167" s="413"/>
      <c r="AU167" s="413"/>
      <c r="AV167" s="413"/>
    </row>
    <row r="168" spans="1:48">
      <c r="A168" s="364" t="s">
        <v>1060</v>
      </c>
      <c r="B168" s="414"/>
      <c r="C168" s="476"/>
      <c r="D168" s="413"/>
      <c r="E168" s="413"/>
      <c r="F168" s="589"/>
      <c r="G168" s="490"/>
      <c r="H168" s="451"/>
      <c r="I168" s="413"/>
      <c r="J168" s="476"/>
      <c r="K168" s="490"/>
      <c r="L168" s="413"/>
      <c r="M168" s="413"/>
      <c r="N168" s="476"/>
      <c r="O168" s="490"/>
      <c r="P168" s="413"/>
      <c r="Q168" s="413"/>
      <c r="R168" s="476"/>
      <c r="S168" s="490"/>
      <c r="T168" s="413"/>
      <c r="U168" s="413"/>
      <c r="V168" s="476"/>
      <c r="W168" s="490"/>
      <c r="X168" s="413"/>
      <c r="Y168" s="451"/>
      <c r="Z168" s="589"/>
      <c r="AA168" s="489"/>
      <c r="AB168" s="413"/>
      <c r="AC168" s="413"/>
      <c r="AD168" s="476"/>
      <c r="AE168" s="490"/>
      <c r="AF168" s="413"/>
      <c r="AG168" s="413"/>
      <c r="AH168" s="476"/>
      <c r="AI168" s="490"/>
      <c r="AJ168" s="413"/>
      <c r="AK168" s="413"/>
      <c r="AL168" s="476"/>
      <c r="AM168" s="1795"/>
      <c r="AN168" s="365"/>
      <c r="AO168" s="413"/>
      <c r="AP168" s="413"/>
      <c r="AQ168" s="413"/>
      <c r="AR168" s="413"/>
      <c r="AS168" s="413"/>
      <c r="AT168" s="413"/>
      <c r="AU168" s="413"/>
      <c r="AV168" s="413"/>
    </row>
    <row r="169" spans="1:48">
      <c r="A169" s="606" t="s">
        <v>1061</v>
      </c>
      <c r="B169" s="490">
        <v>-48298</v>
      </c>
      <c r="C169" s="490">
        <v>0</v>
      </c>
      <c r="D169" s="413">
        <v>-2000</v>
      </c>
      <c r="E169" s="413">
        <v>0</v>
      </c>
      <c r="F169" s="413">
        <v>0</v>
      </c>
      <c r="G169" s="490">
        <v>0</v>
      </c>
      <c r="H169" s="413">
        <v>-73152</v>
      </c>
      <c r="I169" s="413">
        <v>-2272</v>
      </c>
      <c r="J169" s="413">
        <v>-29</v>
      </c>
      <c r="K169" s="490">
        <v>0</v>
      </c>
      <c r="L169" s="413">
        <v>0</v>
      </c>
      <c r="M169" s="413">
        <v>0</v>
      </c>
      <c r="N169" s="413">
        <v>0</v>
      </c>
      <c r="O169" s="490">
        <v>0</v>
      </c>
      <c r="P169" s="413">
        <v>-307424</v>
      </c>
      <c r="Q169" s="413">
        <v>659</v>
      </c>
      <c r="R169" s="413">
        <v>-40</v>
      </c>
      <c r="S169" s="490">
        <v>-25000</v>
      </c>
      <c r="T169" s="413">
        <v>-123964</v>
      </c>
      <c r="U169" s="413">
        <v>0</v>
      </c>
      <c r="V169" s="413">
        <v>0</v>
      </c>
      <c r="W169" s="490">
        <v>0</v>
      </c>
      <c r="X169" s="413">
        <v>0</v>
      </c>
      <c r="Y169" s="413">
        <v>0</v>
      </c>
      <c r="Z169" s="413">
        <v>0</v>
      </c>
      <c r="AA169" s="490">
        <v>0</v>
      </c>
      <c r="AB169" s="413">
        <v>0</v>
      </c>
      <c r="AC169" s="413">
        <v>0</v>
      </c>
      <c r="AD169" s="413">
        <v>0</v>
      </c>
      <c r="AE169" s="490">
        <v>0</v>
      </c>
      <c r="AF169" s="413">
        <v>0</v>
      </c>
      <c r="AG169" s="413">
        <v>0</v>
      </c>
      <c r="AH169" s="413">
        <v>0</v>
      </c>
      <c r="AI169" s="490">
        <v>0</v>
      </c>
      <c r="AJ169" s="413">
        <v>0</v>
      </c>
      <c r="AK169" s="413">
        <v>0</v>
      </c>
      <c r="AL169" s="413">
        <v>0</v>
      </c>
      <c r="AM169" s="1795"/>
      <c r="AN169" s="365"/>
      <c r="AO169" s="413">
        <v>-148964</v>
      </c>
      <c r="AP169" s="413">
        <v>0</v>
      </c>
      <c r="AQ169" s="413">
        <v>0</v>
      </c>
      <c r="AR169" s="413">
        <v>0</v>
      </c>
      <c r="AS169" s="413">
        <v>0</v>
      </c>
      <c r="AT169" s="413">
        <v>0</v>
      </c>
      <c r="AU169" s="413">
        <v>0</v>
      </c>
      <c r="AV169" s="413">
        <v>0</v>
      </c>
    </row>
    <row r="170" spans="1:48">
      <c r="A170" s="606" t="s">
        <v>1062</v>
      </c>
      <c r="B170" s="490">
        <v>-121480</v>
      </c>
      <c r="C170" s="490">
        <v>-61745</v>
      </c>
      <c r="D170" s="413">
        <v>-94269</v>
      </c>
      <c r="E170" s="413">
        <v>-97583</v>
      </c>
      <c r="F170" s="413">
        <v>-131719</v>
      </c>
      <c r="G170" s="490">
        <v>-74903</v>
      </c>
      <c r="H170" s="413">
        <v>-102011</v>
      </c>
      <c r="I170" s="413">
        <v>-105044</v>
      </c>
      <c r="J170" s="413">
        <v>-132914</v>
      </c>
      <c r="K170" s="490">
        <v>-264088</v>
      </c>
      <c r="L170" s="413">
        <v>-382367</v>
      </c>
      <c r="M170" s="413">
        <v>-342579</v>
      </c>
      <c r="N170" s="413">
        <v>-315037</v>
      </c>
      <c r="O170" s="490">
        <v>-231880</v>
      </c>
      <c r="P170" s="413">
        <v>-245976</v>
      </c>
      <c r="Q170" s="413">
        <v>-272445</v>
      </c>
      <c r="R170" s="413">
        <v>-404744</v>
      </c>
      <c r="S170" s="490">
        <v>-231739</v>
      </c>
      <c r="T170" s="413">
        <v>-238659</v>
      </c>
      <c r="U170" s="413">
        <v>-240606</v>
      </c>
      <c r="V170" s="413">
        <v>-250813</v>
      </c>
      <c r="W170" s="490">
        <v>-147696</v>
      </c>
      <c r="X170" s="413">
        <v>-231105</v>
      </c>
      <c r="Y170" s="413">
        <v>-286326</v>
      </c>
      <c r="Z170" s="413">
        <v>-337417</v>
      </c>
      <c r="AA170" s="490">
        <v>-167180</v>
      </c>
      <c r="AB170" s="413">
        <v>-195046</v>
      </c>
      <c r="AC170" s="413">
        <v>-237553</v>
      </c>
      <c r="AD170" s="413">
        <v>-263990</v>
      </c>
      <c r="AE170" s="490">
        <v>-210591</v>
      </c>
      <c r="AF170" s="413">
        <v>0</v>
      </c>
      <c r="AG170" s="413">
        <v>0</v>
      </c>
      <c r="AH170" s="413">
        <v>0</v>
      </c>
      <c r="AI170" s="490">
        <v>0</v>
      </c>
      <c r="AJ170" s="413">
        <v>0</v>
      </c>
      <c r="AK170" s="413">
        <v>0</v>
      </c>
      <c r="AL170" s="413">
        <v>0</v>
      </c>
      <c r="AM170" s="1795"/>
      <c r="AN170" s="365"/>
      <c r="AO170" s="413">
        <v>-961817</v>
      </c>
      <c r="AP170" s="413">
        <v>-1002544</v>
      </c>
      <c r="AQ170" s="413">
        <v>-863769</v>
      </c>
      <c r="AR170" s="413">
        <v>-210591</v>
      </c>
      <c r="AS170" s="413">
        <v>0</v>
      </c>
      <c r="AT170" s="413">
        <v>0</v>
      </c>
      <c r="AU170" s="413">
        <v>0</v>
      </c>
      <c r="AV170" s="413">
        <v>0</v>
      </c>
    </row>
    <row r="171" spans="1:48">
      <c r="A171" s="606" t="s">
        <v>1063</v>
      </c>
      <c r="B171" s="490">
        <v>0</v>
      </c>
      <c r="C171" s="490">
        <v>0</v>
      </c>
      <c r="D171" s="413">
        <v>0</v>
      </c>
      <c r="E171" s="413">
        <v>0</v>
      </c>
      <c r="F171" s="413">
        <v>0</v>
      </c>
      <c r="G171" s="490">
        <v>0</v>
      </c>
      <c r="H171" s="413">
        <v>0</v>
      </c>
      <c r="I171" s="413">
        <v>0</v>
      </c>
      <c r="J171" s="413">
        <v>0</v>
      </c>
      <c r="K171" s="490">
        <v>0</v>
      </c>
      <c r="L171" s="413">
        <v>128684</v>
      </c>
      <c r="M171" s="413">
        <v>0</v>
      </c>
      <c r="N171" s="413">
        <v>0</v>
      </c>
      <c r="O171" s="490">
        <v>3000</v>
      </c>
      <c r="P171" s="413">
        <v>2000</v>
      </c>
      <c r="Q171" s="413">
        <v>10231</v>
      </c>
      <c r="R171" s="413">
        <v>3000</v>
      </c>
      <c r="S171" s="490">
        <v>4209</v>
      </c>
      <c r="T171" s="413">
        <v>34945</v>
      </c>
      <c r="U171" s="413">
        <v>3791</v>
      </c>
      <c r="V171" s="413">
        <v>1000</v>
      </c>
      <c r="W171" s="490">
        <v>12000</v>
      </c>
      <c r="X171" s="413">
        <v>0</v>
      </c>
      <c r="Y171" s="413">
        <v>0</v>
      </c>
      <c r="Z171" s="413">
        <v>0</v>
      </c>
      <c r="AA171" s="490">
        <v>0</v>
      </c>
      <c r="AB171" s="413">
        <v>0</v>
      </c>
      <c r="AC171" s="413">
        <v>0</v>
      </c>
      <c r="AD171" s="413">
        <v>0</v>
      </c>
      <c r="AE171" s="490">
        <v>0</v>
      </c>
      <c r="AF171" s="413">
        <v>0</v>
      </c>
      <c r="AG171" s="413">
        <v>0</v>
      </c>
      <c r="AH171" s="413">
        <v>0</v>
      </c>
      <c r="AI171" s="490">
        <v>0</v>
      </c>
      <c r="AJ171" s="413">
        <v>0</v>
      </c>
      <c r="AK171" s="413">
        <v>0</v>
      </c>
      <c r="AL171" s="413">
        <v>0</v>
      </c>
      <c r="AM171" s="1795"/>
      <c r="AN171" s="365"/>
      <c r="AO171" s="413">
        <v>43945</v>
      </c>
      <c r="AP171" s="413">
        <v>12000</v>
      </c>
      <c r="AQ171" s="413">
        <v>0</v>
      </c>
      <c r="AR171" s="413">
        <v>0</v>
      </c>
      <c r="AS171" s="413">
        <v>0</v>
      </c>
      <c r="AT171" s="413">
        <v>0</v>
      </c>
      <c r="AU171" s="413">
        <v>0</v>
      </c>
      <c r="AV171" s="413">
        <v>0</v>
      </c>
    </row>
    <row r="172" spans="1:48">
      <c r="A172" s="606" t="s">
        <v>1065</v>
      </c>
      <c r="B172" s="490">
        <v>0</v>
      </c>
      <c r="C172" s="490">
        <v>490</v>
      </c>
      <c r="D172" s="413">
        <v>3743</v>
      </c>
      <c r="E172" s="413">
        <v>2026</v>
      </c>
      <c r="F172" s="413">
        <v>1960</v>
      </c>
      <c r="G172" s="490">
        <v>0</v>
      </c>
      <c r="H172" s="413">
        <v>2339</v>
      </c>
      <c r="I172" s="413">
        <v>0</v>
      </c>
      <c r="J172" s="413">
        <v>0</v>
      </c>
      <c r="K172" s="490">
        <v>-5222</v>
      </c>
      <c r="L172" s="413">
        <v>0</v>
      </c>
      <c r="M172" s="413">
        <v>0</v>
      </c>
      <c r="N172" s="413">
        <v>0</v>
      </c>
      <c r="O172" s="490">
        <v>0</v>
      </c>
      <c r="P172" s="413">
        <v>0</v>
      </c>
      <c r="Q172" s="413">
        <v>0</v>
      </c>
      <c r="R172" s="413">
        <v>-2667</v>
      </c>
      <c r="S172" s="490">
        <v>0</v>
      </c>
      <c r="T172" s="413">
        <v>0</v>
      </c>
      <c r="U172" s="413">
        <v>0</v>
      </c>
      <c r="V172" s="413">
        <v>0</v>
      </c>
      <c r="W172" s="490">
        <v>0</v>
      </c>
      <c r="X172" s="413">
        <v>0</v>
      </c>
      <c r="Y172" s="413">
        <v>0</v>
      </c>
      <c r="Z172" s="413">
        <v>0</v>
      </c>
      <c r="AA172" s="490">
        <v>0</v>
      </c>
      <c r="AB172" s="413">
        <v>0</v>
      </c>
      <c r="AC172" s="413">
        <v>0</v>
      </c>
      <c r="AD172" s="413">
        <v>0</v>
      </c>
      <c r="AE172" s="490">
        <v>0</v>
      </c>
      <c r="AF172" s="413">
        <v>0</v>
      </c>
      <c r="AG172" s="413">
        <v>0</v>
      </c>
      <c r="AH172" s="413">
        <v>0</v>
      </c>
      <c r="AI172" s="490">
        <v>0</v>
      </c>
      <c r="AJ172" s="413">
        <v>0</v>
      </c>
      <c r="AK172" s="413">
        <v>0</v>
      </c>
      <c r="AL172" s="413">
        <v>0</v>
      </c>
      <c r="AM172" s="1795"/>
      <c r="AN172" s="365"/>
      <c r="AO172" s="413">
        <v>0</v>
      </c>
      <c r="AP172" s="413">
        <v>0</v>
      </c>
      <c r="AQ172" s="413">
        <v>0</v>
      </c>
      <c r="AR172" s="413">
        <v>0</v>
      </c>
      <c r="AS172" s="413">
        <v>0</v>
      </c>
      <c r="AT172" s="413">
        <v>0</v>
      </c>
      <c r="AU172" s="413">
        <v>0</v>
      </c>
      <c r="AV172" s="413">
        <v>0</v>
      </c>
    </row>
    <row r="173" spans="1:48">
      <c r="A173" s="606" t="s">
        <v>1058</v>
      </c>
      <c r="B173" s="490">
        <v>3624</v>
      </c>
      <c r="C173" s="490">
        <v>-511</v>
      </c>
      <c r="D173" s="413">
        <v>-2790</v>
      </c>
      <c r="E173" s="413">
        <v>-28067</v>
      </c>
      <c r="F173" s="413">
        <v>-2846</v>
      </c>
      <c r="G173" s="490">
        <v>-2716</v>
      </c>
      <c r="H173" s="413">
        <v>-239</v>
      </c>
      <c r="I173" s="413">
        <v>5886</v>
      </c>
      <c r="J173" s="413">
        <v>3663</v>
      </c>
      <c r="K173" s="490">
        <v>-408</v>
      </c>
      <c r="L173" s="413">
        <v>-888</v>
      </c>
      <c r="M173" s="413">
        <v>-569</v>
      </c>
      <c r="N173" s="413">
        <v>-1257</v>
      </c>
      <c r="O173" s="490">
        <v>15365</v>
      </c>
      <c r="P173" s="413">
        <v>4158</v>
      </c>
      <c r="Q173" s="413">
        <v>-120</v>
      </c>
      <c r="R173" s="413">
        <v>13695</v>
      </c>
      <c r="S173" s="490">
        <v>-16.999999999999904</v>
      </c>
      <c r="T173" s="413">
        <v>147</v>
      </c>
      <c r="U173" s="413">
        <v>14112</v>
      </c>
      <c r="V173" s="413">
        <v>-401</v>
      </c>
      <c r="W173" s="490">
        <v>7128</v>
      </c>
      <c r="X173" s="413">
        <v>82</v>
      </c>
      <c r="Y173" s="413">
        <v>0</v>
      </c>
      <c r="Z173" s="413">
        <v>0</v>
      </c>
      <c r="AA173" s="490">
        <v>-1306</v>
      </c>
      <c r="AB173" s="413">
        <v>3569</v>
      </c>
      <c r="AC173" s="413">
        <v>-347</v>
      </c>
      <c r="AD173" s="413">
        <v>2800</v>
      </c>
      <c r="AE173" s="490">
        <v>2429</v>
      </c>
      <c r="AF173" s="413">
        <v>0</v>
      </c>
      <c r="AG173" s="413">
        <v>0</v>
      </c>
      <c r="AH173" s="413">
        <v>0</v>
      </c>
      <c r="AI173" s="490">
        <v>0</v>
      </c>
      <c r="AJ173" s="413">
        <v>0</v>
      </c>
      <c r="AK173" s="413">
        <v>0</v>
      </c>
      <c r="AL173" s="413">
        <v>0</v>
      </c>
      <c r="AM173" s="1795"/>
      <c r="AN173" s="365"/>
      <c r="AO173" s="413">
        <v>13841</v>
      </c>
      <c r="AP173" s="413">
        <v>7210</v>
      </c>
      <c r="AQ173" s="413">
        <v>4716</v>
      </c>
      <c r="AR173" s="413">
        <v>2429</v>
      </c>
      <c r="AS173" s="413">
        <v>0</v>
      </c>
      <c r="AT173" s="413">
        <v>0</v>
      </c>
      <c r="AU173" s="413">
        <v>0</v>
      </c>
      <c r="AV173" s="413">
        <v>0</v>
      </c>
    </row>
    <row r="174" spans="1:48">
      <c r="A174" s="364" t="s">
        <v>703</v>
      </c>
      <c r="B174" s="594">
        <v>-166154</v>
      </c>
      <c r="C174" s="594">
        <v>-61766</v>
      </c>
      <c r="D174" s="582">
        <v>-95316</v>
      </c>
      <c r="E174" s="582">
        <v>-123624</v>
      </c>
      <c r="F174" s="582">
        <v>-132605</v>
      </c>
      <c r="G174" s="594">
        <v>-77619</v>
      </c>
      <c r="H174" s="582">
        <v>-173063</v>
      </c>
      <c r="I174" s="582">
        <v>-101430</v>
      </c>
      <c r="J174" s="582">
        <v>-129280</v>
      </c>
      <c r="K174" s="594">
        <v>-269718</v>
      </c>
      <c r="L174" s="582">
        <v>-254571</v>
      </c>
      <c r="M174" s="582">
        <v>-343148</v>
      </c>
      <c r="N174" s="582">
        <v>-316294</v>
      </c>
      <c r="O174" s="594">
        <v>-213515</v>
      </c>
      <c r="P174" s="582">
        <v>-547242</v>
      </c>
      <c r="Q174" s="582">
        <v>-261675</v>
      </c>
      <c r="R174" s="582">
        <v>-390756</v>
      </c>
      <c r="S174" s="594">
        <v>-252547</v>
      </c>
      <c r="T174" s="582">
        <v>-327531</v>
      </c>
      <c r="U174" s="582">
        <v>-222703</v>
      </c>
      <c r="V174" s="582">
        <v>-250214</v>
      </c>
      <c r="W174" s="594">
        <v>-128568</v>
      </c>
      <c r="X174" s="582">
        <v>-231023</v>
      </c>
      <c r="Y174" s="582">
        <v>-286326</v>
      </c>
      <c r="Z174" s="582">
        <v>-337417</v>
      </c>
      <c r="AA174" s="594">
        <v>-168486</v>
      </c>
      <c r="AB174" s="582">
        <v>-191477</v>
      </c>
      <c r="AC174" s="582">
        <v>-237900</v>
      </c>
      <c r="AD174" s="582">
        <v>-261190</v>
      </c>
      <c r="AE174" s="594">
        <v>-208162</v>
      </c>
      <c r="AF174" s="582">
        <v>0</v>
      </c>
      <c r="AG174" s="582">
        <v>0</v>
      </c>
      <c r="AH174" s="582">
        <v>0</v>
      </c>
      <c r="AI174" s="594">
        <v>0</v>
      </c>
      <c r="AJ174" s="582">
        <v>0</v>
      </c>
      <c r="AK174" s="582">
        <v>0</v>
      </c>
      <c r="AL174" s="582">
        <v>0</v>
      </c>
      <c r="AM174" s="1795"/>
      <c r="AN174" s="365"/>
      <c r="AO174" s="582">
        <v>-1052995</v>
      </c>
      <c r="AP174" s="582">
        <v>-983334</v>
      </c>
      <c r="AQ174" s="582">
        <v>-859053</v>
      </c>
      <c r="AR174" s="582">
        <v>-208162</v>
      </c>
      <c r="AS174" s="582">
        <v>0</v>
      </c>
      <c r="AT174" s="582">
        <v>0</v>
      </c>
      <c r="AU174" s="582">
        <v>0</v>
      </c>
      <c r="AV174" s="582">
        <v>0</v>
      </c>
    </row>
    <row r="175" spans="1:48">
      <c r="A175" s="802"/>
      <c r="B175" s="414"/>
      <c r="C175" s="476"/>
      <c r="D175" s="413"/>
      <c r="E175" s="413"/>
      <c r="F175" s="589"/>
      <c r="G175" s="490"/>
      <c r="H175" s="451"/>
      <c r="I175" s="413"/>
      <c r="J175" s="476"/>
      <c r="K175" s="490"/>
      <c r="L175" s="413"/>
      <c r="M175" s="413"/>
      <c r="N175" s="476"/>
      <c r="O175" s="490"/>
      <c r="P175" s="413"/>
      <c r="Q175" s="413"/>
      <c r="R175" s="476"/>
      <c r="S175" s="490"/>
      <c r="T175" s="413"/>
      <c r="U175" s="413"/>
      <c r="V175" s="476"/>
      <c r="W175" s="490"/>
      <c r="X175" s="413"/>
      <c r="Y175" s="451"/>
      <c r="Z175" s="589"/>
      <c r="AA175" s="489"/>
      <c r="AB175" s="413"/>
      <c r="AC175" s="413"/>
      <c r="AD175" s="476"/>
      <c r="AE175" s="490"/>
      <c r="AF175" s="413"/>
      <c r="AG175" s="413"/>
      <c r="AH175" s="476"/>
      <c r="AI175" s="490"/>
      <c r="AJ175" s="413"/>
      <c r="AK175" s="413"/>
      <c r="AL175" s="476"/>
      <c r="AM175" s="1795"/>
      <c r="AN175" s="365"/>
      <c r="AO175" s="413"/>
      <c r="AP175" s="413"/>
      <c r="AQ175" s="413"/>
      <c r="AR175" s="413"/>
      <c r="AS175" s="413"/>
      <c r="AT175" s="413"/>
      <c r="AU175" s="413"/>
      <c r="AV175" s="413"/>
    </row>
    <row r="176" spans="1:48">
      <c r="A176" s="364" t="s">
        <v>1073</v>
      </c>
      <c r="B176" s="414"/>
      <c r="C176" s="476"/>
      <c r="D176" s="413"/>
      <c r="E176" s="413"/>
      <c r="F176" s="589"/>
      <c r="G176" s="490"/>
      <c r="H176" s="622"/>
      <c r="I176" s="413"/>
      <c r="J176" s="476"/>
      <c r="K176" s="490"/>
      <c r="L176" s="413"/>
      <c r="M176" s="413"/>
      <c r="N176" s="476"/>
      <c r="O176" s="490"/>
      <c r="P176" s="413"/>
      <c r="Q176" s="413"/>
      <c r="R176" s="476"/>
      <c r="S176" s="490"/>
      <c r="T176" s="413"/>
      <c r="U176" s="413"/>
      <c r="V176" s="476"/>
      <c r="W176" s="490"/>
      <c r="X176" s="413"/>
      <c r="Y176" s="451"/>
      <c r="Z176" s="589"/>
      <c r="AA176" s="489"/>
      <c r="AB176" s="413"/>
      <c r="AC176" s="413"/>
      <c r="AD176" s="476"/>
      <c r="AE176" s="490"/>
      <c r="AF176" s="413"/>
      <c r="AG176" s="413"/>
      <c r="AH176" s="476"/>
      <c r="AI176" s="490"/>
      <c r="AJ176" s="413"/>
      <c r="AK176" s="413"/>
      <c r="AL176" s="476"/>
      <c r="AM176" s="1795"/>
      <c r="AN176" s="365"/>
      <c r="AO176" s="413"/>
      <c r="AP176" s="413"/>
      <c r="AQ176" s="413"/>
      <c r="AR176" s="413"/>
      <c r="AS176" s="413"/>
      <c r="AT176" s="413"/>
      <c r="AU176" s="413"/>
      <c r="AV176" s="413"/>
    </row>
    <row r="177" spans="1:48">
      <c r="A177" s="606" t="s">
        <v>1074</v>
      </c>
      <c r="B177" s="414">
        <v>-26027</v>
      </c>
      <c r="C177" s="413">
        <v>-7029</v>
      </c>
      <c r="D177" s="413">
        <v>-155695</v>
      </c>
      <c r="E177" s="413">
        <v>-5687</v>
      </c>
      <c r="F177" s="414">
        <v>-10982</v>
      </c>
      <c r="G177" s="413">
        <v>-159254</v>
      </c>
      <c r="H177" s="413">
        <v>-8198</v>
      </c>
      <c r="I177" s="413">
        <v>-4468</v>
      </c>
      <c r="J177" s="414">
        <v>-177252</v>
      </c>
      <c r="K177" s="413">
        <v>282998</v>
      </c>
      <c r="L177" s="413">
        <v>-797557</v>
      </c>
      <c r="M177" s="413">
        <v>-231387</v>
      </c>
      <c r="N177" s="414">
        <v>-105049</v>
      </c>
      <c r="O177" s="413">
        <v>336916</v>
      </c>
      <c r="P177" s="413">
        <v>-530208</v>
      </c>
      <c r="Q177" s="413">
        <v>-356213</v>
      </c>
      <c r="R177" s="414">
        <v>1365</v>
      </c>
      <c r="S177" s="413">
        <v>-275058</v>
      </c>
      <c r="T177" s="413">
        <v>390833</v>
      </c>
      <c r="U177" s="413">
        <v>153036</v>
      </c>
      <c r="V177" s="414">
        <v>-125097</v>
      </c>
      <c r="W177" s="413">
        <v>-746976</v>
      </c>
      <c r="X177" s="413">
        <v>-334690</v>
      </c>
      <c r="Y177" s="413">
        <v>246061.00000000061</v>
      </c>
      <c r="Z177" s="414">
        <v>-470279</v>
      </c>
      <c r="AA177" s="413">
        <v>-32629</v>
      </c>
      <c r="AB177" s="413">
        <v>-45884</v>
      </c>
      <c r="AC177" s="413">
        <v>-116909</v>
      </c>
      <c r="AD177" s="413">
        <v>-230709</v>
      </c>
      <c r="AE177" s="490">
        <v>-147797</v>
      </c>
      <c r="AF177" s="413">
        <v>0</v>
      </c>
      <c r="AG177" s="413">
        <v>0</v>
      </c>
      <c r="AH177" s="414">
        <v>0</v>
      </c>
      <c r="AI177" s="490">
        <v>0</v>
      </c>
      <c r="AJ177" s="413">
        <v>0</v>
      </c>
      <c r="AK177" s="413">
        <v>0</v>
      </c>
      <c r="AL177" s="414">
        <v>0</v>
      </c>
      <c r="AM177" s="1795"/>
      <c r="AN177" s="365"/>
      <c r="AO177" s="413">
        <v>143714</v>
      </c>
      <c r="AP177" s="413">
        <v>-1305884</v>
      </c>
      <c r="AQ177" s="413">
        <v>-426131</v>
      </c>
      <c r="AR177" s="413">
        <v>-147797</v>
      </c>
      <c r="AS177" s="413">
        <v>0</v>
      </c>
      <c r="AT177" s="413">
        <v>0</v>
      </c>
      <c r="AU177" s="413">
        <v>0</v>
      </c>
      <c r="AV177" s="413">
        <v>0</v>
      </c>
    </row>
    <row r="178" spans="1:48">
      <c r="A178" s="606" t="s">
        <v>1076</v>
      </c>
      <c r="B178" s="414">
        <v>5069</v>
      </c>
      <c r="C178" s="413">
        <v>-137138</v>
      </c>
      <c r="D178" s="413">
        <v>-139584</v>
      </c>
      <c r="E178" s="413">
        <v>-23473</v>
      </c>
      <c r="F178" s="414">
        <v>-71333</v>
      </c>
      <c r="G178" s="413">
        <v>-48042</v>
      </c>
      <c r="H178" s="413">
        <v>-462201</v>
      </c>
      <c r="I178" s="413">
        <v>27029</v>
      </c>
      <c r="J178" s="414">
        <v>-18171</v>
      </c>
      <c r="K178" s="413">
        <v>-541265</v>
      </c>
      <c r="L178" s="413">
        <v>8583</v>
      </c>
      <c r="M178" s="413">
        <v>-71832</v>
      </c>
      <c r="N178" s="414">
        <v>-99871</v>
      </c>
      <c r="O178" s="413">
        <v>-129009</v>
      </c>
      <c r="P178" s="413">
        <v>-42732</v>
      </c>
      <c r="Q178" s="413">
        <v>-26705</v>
      </c>
      <c r="R178" s="414">
        <v>-103826</v>
      </c>
      <c r="S178" s="413">
        <v>-204282</v>
      </c>
      <c r="T178" s="413">
        <v>-389359</v>
      </c>
      <c r="U178" s="413">
        <v>-239948</v>
      </c>
      <c r="V178" s="414">
        <v>4924</v>
      </c>
      <c r="W178" s="413">
        <v>-78.000000000000071</v>
      </c>
      <c r="X178" s="413">
        <v>3587</v>
      </c>
      <c r="Y178" s="413">
        <v>92652.999999999331</v>
      </c>
      <c r="Z178" s="414">
        <v>56587.000000001353</v>
      </c>
      <c r="AA178" s="413">
        <v>-1461</v>
      </c>
      <c r="AB178" s="413">
        <v>14499</v>
      </c>
      <c r="AC178" s="413">
        <v>27053</v>
      </c>
      <c r="AD178" s="413">
        <v>73654</v>
      </c>
      <c r="AE178" s="490">
        <v>4028</v>
      </c>
      <c r="AF178" s="413">
        <v>0</v>
      </c>
      <c r="AG178" s="413">
        <v>0</v>
      </c>
      <c r="AH178" s="414">
        <v>0</v>
      </c>
      <c r="AI178" s="490">
        <v>0</v>
      </c>
      <c r="AJ178" s="413">
        <v>0</v>
      </c>
      <c r="AK178" s="413">
        <v>0</v>
      </c>
      <c r="AL178" s="414">
        <v>0</v>
      </c>
      <c r="AM178" s="1795"/>
      <c r="AN178" s="365"/>
      <c r="AO178" s="413">
        <v>-828665</v>
      </c>
      <c r="AP178" s="413">
        <v>152749.0000000007</v>
      </c>
      <c r="AQ178" s="413">
        <v>113745</v>
      </c>
      <c r="AR178" s="413">
        <v>4028</v>
      </c>
      <c r="AS178" s="413">
        <v>0</v>
      </c>
      <c r="AT178" s="413">
        <v>0</v>
      </c>
      <c r="AU178" s="413">
        <v>0</v>
      </c>
      <c r="AV178" s="413">
        <v>0</v>
      </c>
    </row>
    <row r="179" spans="1:48">
      <c r="A179" s="606" t="s">
        <v>1077</v>
      </c>
      <c r="B179" s="414">
        <v>-8031</v>
      </c>
      <c r="C179" s="413">
        <v>-8253</v>
      </c>
      <c r="D179" s="413">
        <v>-8036</v>
      </c>
      <c r="E179" s="413">
        <v>-7870</v>
      </c>
      <c r="F179" s="414">
        <v>-7702</v>
      </c>
      <c r="G179" s="413">
        <v>-8074</v>
      </c>
      <c r="H179" s="413">
        <v>-7882</v>
      </c>
      <c r="I179" s="413">
        <v>-7953</v>
      </c>
      <c r="J179" s="414">
        <v>-7953</v>
      </c>
      <c r="K179" s="413">
        <v>-7301</v>
      </c>
      <c r="L179" s="413">
        <v>-7360</v>
      </c>
      <c r="M179" s="413">
        <v>-82315</v>
      </c>
      <c r="N179" s="414">
        <v>-82227</v>
      </c>
      <c r="O179" s="413">
        <v>-11309</v>
      </c>
      <c r="P179" s="413">
        <v>-177171</v>
      </c>
      <c r="Q179" s="413">
        <v>-104361</v>
      </c>
      <c r="R179" s="414">
        <v>-103211</v>
      </c>
      <c r="S179" s="413">
        <v>-114261</v>
      </c>
      <c r="T179" s="413">
        <v>-108085</v>
      </c>
      <c r="U179" s="413">
        <v>-233803</v>
      </c>
      <c r="V179" s="414">
        <v>-168117</v>
      </c>
      <c r="W179" s="413">
        <v>-170373</v>
      </c>
      <c r="X179" s="413">
        <v>-170153</v>
      </c>
      <c r="Y179" s="413">
        <v>-208693.1</v>
      </c>
      <c r="Z179" s="414">
        <v>-209006</v>
      </c>
      <c r="AA179" s="413">
        <v>-218052</v>
      </c>
      <c r="AB179" s="413">
        <v>-218864</v>
      </c>
      <c r="AC179" s="413">
        <v>-219749</v>
      </c>
      <c r="AD179" s="413">
        <v>-221340</v>
      </c>
      <c r="AE179" s="490">
        <v>-221780</v>
      </c>
      <c r="AF179" s="413">
        <v>0</v>
      </c>
      <c r="AG179" s="413">
        <v>0</v>
      </c>
      <c r="AH179" s="414">
        <v>0</v>
      </c>
      <c r="AI179" s="490">
        <v>0</v>
      </c>
      <c r="AJ179" s="413">
        <v>0</v>
      </c>
      <c r="AK179" s="413">
        <v>0</v>
      </c>
      <c r="AL179" s="414">
        <v>0</v>
      </c>
      <c r="AM179" s="1795"/>
      <c r="AN179" s="365"/>
      <c r="AO179" s="413">
        <v>-624266</v>
      </c>
      <c r="AP179" s="413">
        <v>-758225.1</v>
      </c>
      <c r="AQ179" s="413">
        <v>-878005</v>
      </c>
      <c r="AR179" s="413">
        <v>-221780</v>
      </c>
      <c r="AS179" s="413">
        <v>0</v>
      </c>
      <c r="AT179" s="413">
        <v>0</v>
      </c>
      <c r="AU179" s="413">
        <v>0</v>
      </c>
      <c r="AV179" s="413">
        <v>0</v>
      </c>
    </row>
    <row r="180" spans="1:48">
      <c r="A180" s="606" t="s">
        <v>1058</v>
      </c>
      <c r="B180" s="414">
        <v>838</v>
      </c>
      <c r="C180" s="413">
        <v>858</v>
      </c>
      <c r="D180" s="413">
        <v>1806</v>
      </c>
      <c r="E180" s="413">
        <v>807</v>
      </c>
      <c r="F180" s="414">
        <v>825</v>
      </c>
      <c r="G180" s="413">
        <v>-1714</v>
      </c>
      <c r="H180" s="413">
        <v>400381</v>
      </c>
      <c r="I180" s="413">
        <v>405</v>
      </c>
      <c r="J180" s="414">
        <v>-8369</v>
      </c>
      <c r="K180" s="413">
        <v>8475.624270713959</v>
      </c>
      <c r="L180" s="413">
        <v>155291.66874682836</v>
      </c>
      <c r="M180" s="413">
        <v>438416</v>
      </c>
      <c r="N180" s="414">
        <v>-411796</v>
      </c>
      <c r="O180" s="413">
        <v>9288</v>
      </c>
      <c r="P180" s="413">
        <v>20814</v>
      </c>
      <c r="Q180" s="413">
        <v>6735</v>
      </c>
      <c r="R180" s="414">
        <v>-6437</v>
      </c>
      <c r="S180" s="413">
        <v>9075</v>
      </c>
      <c r="T180" s="413">
        <v>11726</v>
      </c>
      <c r="U180" s="413">
        <v>1229</v>
      </c>
      <c r="V180" s="414">
        <v>-14193</v>
      </c>
      <c r="W180" s="413">
        <v>-53369</v>
      </c>
      <c r="X180" s="413">
        <v>-96866</v>
      </c>
      <c r="Y180" s="413">
        <v>26462.100000000759</v>
      </c>
      <c r="Z180" s="414">
        <v>-80474.000000001412</v>
      </c>
      <c r="AA180" s="413">
        <v>3848</v>
      </c>
      <c r="AB180" s="413">
        <v>1887</v>
      </c>
      <c r="AC180" s="413">
        <v>3919</v>
      </c>
      <c r="AD180" s="413">
        <v>6222</v>
      </c>
      <c r="AE180" s="490">
        <v>592</v>
      </c>
      <c r="AF180" s="413">
        <v>0</v>
      </c>
      <c r="AG180" s="413">
        <v>0</v>
      </c>
      <c r="AH180" s="414">
        <v>0</v>
      </c>
      <c r="AI180" s="490">
        <v>0</v>
      </c>
      <c r="AJ180" s="413">
        <v>0</v>
      </c>
      <c r="AK180" s="413">
        <v>0</v>
      </c>
      <c r="AL180" s="414">
        <v>0</v>
      </c>
      <c r="AM180" s="1795"/>
      <c r="AN180" s="365"/>
      <c r="AO180" s="413">
        <v>7837</v>
      </c>
      <c r="AP180" s="413">
        <v>-204246.90000000066</v>
      </c>
      <c r="AQ180" s="413">
        <v>15876</v>
      </c>
      <c r="AR180" s="413">
        <v>592</v>
      </c>
      <c r="AS180" s="413">
        <v>0</v>
      </c>
      <c r="AT180" s="413">
        <v>0</v>
      </c>
      <c r="AU180" s="413">
        <v>0</v>
      </c>
      <c r="AV180" s="413">
        <v>0</v>
      </c>
    </row>
    <row r="181" spans="1:48">
      <c r="A181" s="364" t="s">
        <v>1080</v>
      </c>
      <c r="B181" s="593">
        <v>-28151</v>
      </c>
      <c r="C181" s="582">
        <v>-151562</v>
      </c>
      <c r="D181" s="582">
        <v>-301509</v>
      </c>
      <c r="E181" s="582">
        <v>-36223</v>
      </c>
      <c r="F181" s="593">
        <v>-89192</v>
      </c>
      <c r="G181" s="582">
        <v>-217084</v>
      </c>
      <c r="H181" s="582">
        <v>-77900</v>
      </c>
      <c r="I181" s="582">
        <v>15013</v>
      </c>
      <c r="J181" s="593">
        <v>-211745</v>
      </c>
      <c r="K181" s="582">
        <v>-257092.37572928605</v>
      </c>
      <c r="L181" s="582">
        <v>-641042.33125317167</v>
      </c>
      <c r="M181" s="582">
        <v>52882</v>
      </c>
      <c r="N181" s="593">
        <v>-698943</v>
      </c>
      <c r="O181" s="582">
        <v>205886</v>
      </c>
      <c r="P181" s="582">
        <v>-729297</v>
      </c>
      <c r="Q181" s="582">
        <v>-480544</v>
      </c>
      <c r="R181" s="593">
        <v>-212109</v>
      </c>
      <c r="S181" s="582">
        <v>-584526</v>
      </c>
      <c r="T181" s="582">
        <v>-94885.000000000058</v>
      </c>
      <c r="U181" s="582">
        <v>-319486</v>
      </c>
      <c r="V181" s="593">
        <v>-302483</v>
      </c>
      <c r="W181" s="582">
        <v>-970796</v>
      </c>
      <c r="X181" s="582">
        <v>-598122</v>
      </c>
      <c r="Y181" s="582">
        <v>156483.00000000073</v>
      </c>
      <c r="Z181" s="593">
        <v>-703172</v>
      </c>
      <c r="AA181" s="582">
        <v>-248294</v>
      </c>
      <c r="AB181" s="582">
        <v>-248362</v>
      </c>
      <c r="AC181" s="582">
        <v>-305686</v>
      </c>
      <c r="AD181" s="582">
        <v>-372173</v>
      </c>
      <c r="AE181" s="594">
        <v>-364957</v>
      </c>
      <c r="AF181" s="582">
        <v>0</v>
      </c>
      <c r="AG181" s="582">
        <v>0</v>
      </c>
      <c r="AH181" s="593">
        <v>0</v>
      </c>
      <c r="AI181" s="594">
        <v>0</v>
      </c>
      <c r="AJ181" s="582">
        <v>0</v>
      </c>
      <c r="AK181" s="582">
        <v>0</v>
      </c>
      <c r="AL181" s="593">
        <v>0</v>
      </c>
      <c r="AM181" s="1795"/>
      <c r="AN181" s="365"/>
      <c r="AO181" s="582">
        <v>-1301380</v>
      </c>
      <c r="AP181" s="582">
        <v>-2115607</v>
      </c>
      <c r="AQ181" s="582">
        <v>-1174515</v>
      </c>
      <c r="AR181" s="582">
        <v>-364957</v>
      </c>
      <c r="AS181" s="582">
        <v>0</v>
      </c>
      <c r="AT181" s="582">
        <v>0</v>
      </c>
      <c r="AU181" s="582">
        <v>0</v>
      </c>
      <c r="AV181" s="582">
        <v>0</v>
      </c>
    </row>
    <row r="182" spans="1:48">
      <c r="A182" s="365"/>
      <c r="B182" s="414"/>
      <c r="C182" s="476"/>
      <c r="D182" s="413"/>
      <c r="E182" s="413"/>
      <c r="F182" s="476"/>
      <c r="G182" s="490"/>
      <c r="H182" s="413"/>
      <c r="I182" s="413"/>
      <c r="J182" s="476"/>
      <c r="K182" s="490"/>
      <c r="L182" s="413"/>
      <c r="M182" s="413"/>
      <c r="N182" s="476"/>
      <c r="O182" s="490"/>
      <c r="P182" s="413"/>
      <c r="Q182" s="413"/>
      <c r="R182" s="476"/>
      <c r="S182" s="490"/>
      <c r="T182" s="413"/>
      <c r="U182" s="413"/>
      <c r="V182" s="476"/>
      <c r="W182" s="490"/>
      <c r="X182" s="413"/>
      <c r="Y182" s="451"/>
      <c r="Z182" s="589"/>
      <c r="AA182" s="489"/>
      <c r="AB182" s="413"/>
      <c r="AC182" s="413"/>
      <c r="AD182" s="476"/>
      <c r="AE182" s="490"/>
      <c r="AF182" s="413"/>
      <c r="AG182" s="413"/>
      <c r="AH182" s="476"/>
      <c r="AI182" s="490"/>
      <c r="AJ182" s="413"/>
      <c r="AK182" s="413"/>
      <c r="AL182" s="476"/>
      <c r="AM182" s="1795"/>
      <c r="AN182" s="365"/>
      <c r="AO182" s="413"/>
      <c r="AP182" s="413"/>
      <c r="AQ182" s="413"/>
      <c r="AR182" s="413"/>
      <c r="AS182" s="413"/>
      <c r="AT182" s="413"/>
      <c r="AU182" s="413"/>
      <c r="AV182" s="413"/>
    </row>
    <row r="183" spans="1:48">
      <c r="A183" s="365" t="s">
        <v>1081</v>
      </c>
      <c r="B183" s="414">
        <v>0</v>
      </c>
      <c r="C183" s="413">
        <v>0</v>
      </c>
      <c r="D183" s="413">
        <v>0</v>
      </c>
      <c r="E183" s="413">
        <v>0</v>
      </c>
      <c r="F183" s="414">
        <v>0</v>
      </c>
      <c r="G183" s="413">
        <v>0</v>
      </c>
      <c r="H183" s="413">
        <v>0</v>
      </c>
      <c r="I183" s="413">
        <v>0</v>
      </c>
      <c r="J183" s="414">
        <v>0</v>
      </c>
      <c r="K183" s="413">
        <v>0</v>
      </c>
      <c r="L183" s="413">
        <v>0</v>
      </c>
      <c r="M183" s="413">
        <v>0</v>
      </c>
      <c r="N183" s="414">
        <v>0</v>
      </c>
      <c r="O183" s="413">
        <v>0</v>
      </c>
      <c r="P183" s="413">
        <v>0</v>
      </c>
      <c r="Q183" s="413">
        <v>0</v>
      </c>
      <c r="R183" s="414">
        <v>0</v>
      </c>
      <c r="S183" s="413">
        <v>0</v>
      </c>
      <c r="T183" s="413">
        <v>0</v>
      </c>
      <c r="U183" s="413">
        <v>0</v>
      </c>
      <c r="V183" s="414">
        <v>0</v>
      </c>
      <c r="W183" s="413">
        <v>0</v>
      </c>
      <c r="X183" s="413">
        <v>0</v>
      </c>
      <c r="Y183" s="413">
        <v>0</v>
      </c>
      <c r="Z183" s="414">
        <v>0</v>
      </c>
      <c r="AA183" s="413">
        <v>0</v>
      </c>
      <c r="AB183" s="413">
        <v>0</v>
      </c>
      <c r="AC183" s="413">
        <v>0</v>
      </c>
      <c r="AD183" s="413">
        <v>0</v>
      </c>
      <c r="AE183" s="490">
        <v>0</v>
      </c>
      <c r="AF183" s="413">
        <v>0</v>
      </c>
      <c r="AG183" s="413">
        <v>0</v>
      </c>
      <c r="AH183" s="414">
        <v>0</v>
      </c>
      <c r="AI183" s="490">
        <v>0</v>
      </c>
      <c r="AJ183" s="413">
        <v>0</v>
      </c>
      <c r="AK183" s="413">
        <v>0</v>
      </c>
      <c r="AL183" s="414">
        <v>0</v>
      </c>
      <c r="AM183" s="1795"/>
      <c r="AN183" s="365"/>
      <c r="AO183" s="413">
        <v>0</v>
      </c>
      <c r="AP183" s="413">
        <v>0</v>
      </c>
      <c r="AQ183" s="413">
        <v>0</v>
      </c>
      <c r="AR183" s="413">
        <v>0</v>
      </c>
      <c r="AS183" s="413">
        <v>0</v>
      </c>
      <c r="AT183" s="413">
        <v>0</v>
      </c>
      <c r="AU183" s="413">
        <v>0</v>
      </c>
      <c r="AV183" s="413">
        <v>0</v>
      </c>
    </row>
    <row r="184" spans="1:48">
      <c r="A184" s="365"/>
      <c r="B184" s="414"/>
      <c r="C184" s="476"/>
      <c r="D184" s="413"/>
      <c r="E184" s="413"/>
      <c r="F184" s="476"/>
      <c r="G184" s="490"/>
      <c r="H184" s="413"/>
      <c r="I184" s="413"/>
      <c r="J184" s="476"/>
      <c r="K184" s="490"/>
      <c r="L184" s="413"/>
      <c r="M184" s="413"/>
      <c r="N184" s="476"/>
      <c r="O184" s="490"/>
      <c r="P184" s="413"/>
      <c r="Q184" s="413"/>
      <c r="R184" s="476"/>
      <c r="S184" s="490"/>
      <c r="T184" s="413"/>
      <c r="U184" s="413"/>
      <c r="V184" s="476"/>
      <c r="W184" s="490"/>
      <c r="X184" s="413"/>
      <c r="Y184" s="451"/>
      <c r="Z184" s="589"/>
      <c r="AA184" s="489"/>
      <c r="AB184" s="413"/>
      <c r="AC184" s="413"/>
      <c r="AD184" s="476"/>
      <c r="AE184" s="490"/>
      <c r="AF184" s="413"/>
      <c r="AG184" s="413"/>
      <c r="AH184" s="476"/>
      <c r="AI184" s="490"/>
      <c r="AJ184" s="413"/>
      <c r="AK184" s="413"/>
      <c r="AL184" s="476"/>
      <c r="AM184" s="1795"/>
      <c r="AN184" s="365"/>
      <c r="AO184" s="413"/>
      <c r="AP184" s="413"/>
      <c r="AQ184" s="413"/>
      <c r="AR184" s="413"/>
      <c r="AS184" s="413"/>
      <c r="AT184" s="413"/>
      <c r="AU184" s="413"/>
      <c r="AV184" s="413"/>
    </row>
    <row r="185" spans="1:48">
      <c r="A185" s="364" t="s">
        <v>1082</v>
      </c>
      <c r="B185" s="593">
        <v>45237</v>
      </c>
      <c r="C185" s="582">
        <v>70112</v>
      </c>
      <c r="D185" s="582">
        <v>-176907</v>
      </c>
      <c r="E185" s="582">
        <v>72589</v>
      </c>
      <c r="F185" s="593">
        <v>-1760</v>
      </c>
      <c r="G185" s="582">
        <v>-37884</v>
      </c>
      <c r="H185" s="582">
        <v>-28869</v>
      </c>
      <c r="I185" s="582">
        <v>168039</v>
      </c>
      <c r="J185" s="593">
        <v>-109655</v>
      </c>
      <c r="K185" s="582">
        <v>99419.559129155066</v>
      </c>
      <c r="L185" s="582">
        <v>-406496.55912915512</v>
      </c>
      <c r="M185" s="582">
        <v>14924.999999999942</v>
      </c>
      <c r="N185" s="593">
        <v>11974</v>
      </c>
      <c r="O185" s="582">
        <v>731081</v>
      </c>
      <c r="P185" s="582">
        <v>-752224</v>
      </c>
      <c r="Q185" s="582">
        <v>11189.000000000058</v>
      </c>
      <c r="R185" s="593">
        <v>34688</v>
      </c>
      <c r="S185" s="582">
        <v>-13863</v>
      </c>
      <c r="T185" s="582">
        <v>24360.999999999942</v>
      </c>
      <c r="U185" s="582">
        <v>228057</v>
      </c>
      <c r="V185" s="593">
        <v>8369.9999999999418</v>
      </c>
      <c r="W185" s="582">
        <v>-174744.00000000093</v>
      </c>
      <c r="X185" s="582">
        <v>-115524</v>
      </c>
      <c r="Y185" s="582">
        <v>471130.00000000093</v>
      </c>
      <c r="Z185" s="593">
        <v>-369382</v>
      </c>
      <c r="AA185" s="582">
        <v>44683</v>
      </c>
      <c r="AB185" s="582">
        <v>-20132.999999999884</v>
      </c>
      <c r="AC185" s="582">
        <v>56704.000000000175</v>
      </c>
      <c r="AD185" s="582">
        <v>-70117.999999999884</v>
      </c>
      <c r="AE185" s="594">
        <v>96716</v>
      </c>
      <c r="AF185" s="582">
        <v>0</v>
      </c>
      <c r="AG185" s="582">
        <v>0</v>
      </c>
      <c r="AH185" s="593">
        <v>0</v>
      </c>
      <c r="AI185" s="594">
        <v>0</v>
      </c>
      <c r="AJ185" s="582">
        <v>0</v>
      </c>
      <c r="AK185" s="582">
        <v>0</v>
      </c>
      <c r="AL185" s="593">
        <v>0</v>
      </c>
      <c r="AM185" s="1795"/>
      <c r="AN185" s="365"/>
      <c r="AO185" s="582">
        <v>246925</v>
      </c>
      <c r="AP185" s="582">
        <v>-188520</v>
      </c>
      <c r="AQ185" s="582">
        <v>11136</v>
      </c>
      <c r="AR185" s="582">
        <v>96716</v>
      </c>
      <c r="AS185" s="582">
        <v>0</v>
      </c>
      <c r="AT185" s="582">
        <v>0</v>
      </c>
      <c r="AU185" s="582">
        <v>0</v>
      </c>
      <c r="AV185" s="582">
        <v>0</v>
      </c>
    </row>
    <row r="186" spans="1:48">
      <c r="A186" s="365"/>
      <c r="B186" s="414"/>
      <c r="C186" s="476"/>
      <c r="D186" s="476"/>
      <c r="E186" s="476"/>
      <c r="F186" s="476"/>
      <c r="G186" s="490"/>
      <c r="H186" s="476"/>
      <c r="I186" s="476"/>
      <c r="J186" s="476"/>
      <c r="K186" s="490"/>
      <c r="L186" s="476"/>
      <c r="M186" s="476"/>
      <c r="N186" s="476"/>
      <c r="O186" s="490"/>
      <c r="P186" s="589"/>
      <c r="Q186" s="476"/>
      <c r="R186" s="476"/>
      <c r="S186" s="490"/>
      <c r="T186" s="413"/>
      <c r="U186" s="413"/>
      <c r="V186" s="476"/>
      <c r="W186" s="490"/>
      <c r="X186" s="413"/>
      <c r="Y186" s="451"/>
      <c r="Z186" s="476"/>
      <c r="AA186" s="490"/>
      <c r="AB186" s="413"/>
      <c r="AC186" s="413"/>
      <c r="AD186" s="476"/>
      <c r="AE186" s="490"/>
      <c r="AF186" s="413"/>
      <c r="AG186" s="413"/>
      <c r="AH186" s="476"/>
      <c r="AI186" s="490"/>
      <c r="AJ186" s="413"/>
      <c r="AK186" s="413"/>
      <c r="AL186" s="476"/>
      <c r="AM186" s="1795"/>
      <c r="AN186" s="365"/>
      <c r="AO186" s="413"/>
      <c r="AP186" s="413"/>
      <c r="AQ186" s="413"/>
      <c r="AR186" s="413"/>
      <c r="AS186" s="413"/>
      <c r="AT186" s="413"/>
      <c r="AU186" s="413"/>
      <c r="AV186" s="413"/>
    </row>
    <row r="187" spans="1:48">
      <c r="A187" s="365" t="s">
        <v>1083</v>
      </c>
      <c r="B187" s="414">
        <v>157944</v>
      </c>
      <c r="C187" s="476">
        <v>203181</v>
      </c>
      <c r="D187" s="476">
        <v>273293</v>
      </c>
      <c r="E187" s="476">
        <v>96386</v>
      </c>
      <c r="F187" s="476">
        <v>168975</v>
      </c>
      <c r="G187" s="490">
        <v>167215</v>
      </c>
      <c r="H187" s="476">
        <v>129331</v>
      </c>
      <c r="I187" s="476">
        <v>100462</v>
      </c>
      <c r="J187" s="476">
        <v>268501</v>
      </c>
      <c r="K187" s="623">
        <v>358846</v>
      </c>
      <c r="L187" s="589">
        <v>458265.55912915507</v>
      </c>
      <c r="M187" s="476">
        <v>51768.999999999942</v>
      </c>
      <c r="N187" s="414">
        <v>66693.999999999884</v>
      </c>
      <c r="O187" s="476">
        <v>78667.999999999884</v>
      </c>
      <c r="P187" s="476">
        <v>809749</v>
      </c>
      <c r="Q187" s="476">
        <v>57524.999999999884</v>
      </c>
      <c r="R187" s="476">
        <v>68713.999999999942</v>
      </c>
      <c r="S187" s="490">
        <v>103402</v>
      </c>
      <c r="T187" s="413">
        <v>89538.999999999942</v>
      </c>
      <c r="U187" s="413">
        <v>113900</v>
      </c>
      <c r="V187" s="476">
        <v>341957</v>
      </c>
      <c r="W187" s="490">
        <v>350327</v>
      </c>
      <c r="X187" s="476">
        <v>175582.99999999889</v>
      </c>
      <c r="Y187" s="476">
        <v>60058.999999998894</v>
      </c>
      <c r="Z187" s="476">
        <v>531189</v>
      </c>
      <c r="AA187" s="490">
        <v>161807</v>
      </c>
      <c r="AB187" s="413">
        <v>206490</v>
      </c>
      <c r="AC187" s="413">
        <v>186357</v>
      </c>
      <c r="AD187" s="476">
        <v>243061</v>
      </c>
      <c r="AE187" s="490">
        <v>172943</v>
      </c>
      <c r="AF187" s="413">
        <v>269659</v>
      </c>
      <c r="AG187" s="413">
        <v>269659</v>
      </c>
      <c r="AH187" s="476">
        <v>269659</v>
      </c>
      <c r="AI187" s="490">
        <v>269659</v>
      </c>
      <c r="AJ187" s="413">
        <v>269659</v>
      </c>
      <c r="AK187" s="413">
        <v>269659</v>
      </c>
      <c r="AL187" s="476">
        <v>269659</v>
      </c>
      <c r="AM187" s="1795"/>
      <c r="AN187" s="413">
        <v>0</v>
      </c>
      <c r="AO187" s="413">
        <v>103402</v>
      </c>
      <c r="AP187" s="413">
        <v>350327</v>
      </c>
      <c r="AQ187" s="413">
        <v>161807</v>
      </c>
      <c r="AR187" s="413">
        <v>172943</v>
      </c>
      <c r="AS187" s="413">
        <v>269659</v>
      </c>
      <c r="AT187" s="413">
        <v>269659</v>
      </c>
      <c r="AU187" s="413">
        <v>269659</v>
      </c>
      <c r="AV187" s="413">
        <v>269659</v>
      </c>
    </row>
    <row r="188" spans="1:48">
      <c r="A188" s="364" t="s">
        <v>1084</v>
      </c>
      <c r="B188" s="593">
        <v>203181</v>
      </c>
      <c r="C188" s="500">
        <v>273293</v>
      </c>
      <c r="D188" s="500">
        <v>96386</v>
      </c>
      <c r="E188" s="500">
        <v>168975</v>
      </c>
      <c r="F188" s="500">
        <v>167215</v>
      </c>
      <c r="G188" s="594">
        <v>129331</v>
      </c>
      <c r="H188" s="500">
        <v>100462</v>
      </c>
      <c r="I188" s="500">
        <v>268501</v>
      </c>
      <c r="J188" s="500">
        <v>158846</v>
      </c>
      <c r="K188" s="594">
        <v>458265.55912915507</v>
      </c>
      <c r="L188" s="500">
        <v>51768.999999999942</v>
      </c>
      <c r="M188" s="500">
        <v>66693.999999999884</v>
      </c>
      <c r="N188" s="593">
        <v>78667.999999999884</v>
      </c>
      <c r="O188" s="500">
        <v>809749</v>
      </c>
      <c r="P188" s="500">
        <v>57524.999999999884</v>
      </c>
      <c r="Q188" s="500">
        <v>68713.999999999942</v>
      </c>
      <c r="R188" s="500">
        <v>103402</v>
      </c>
      <c r="S188" s="594">
        <v>89538.999999999942</v>
      </c>
      <c r="T188" s="582">
        <v>113900</v>
      </c>
      <c r="U188" s="582">
        <v>341957</v>
      </c>
      <c r="V188" s="500">
        <v>350327</v>
      </c>
      <c r="W188" s="594">
        <v>175582.99999999889</v>
      </c>
      <c r="X188" s="500">
        <v>60058.999999998894</v>
      </c>
      <c r="Y188" s="500">
        <v>531189</v>
      </c>
      <c r="Z188" s="500">
        <v>161807</v>
      </c>
      <c r="AA188" s="594">
        <v>206490</v>
      </c>
      <c r="AB188" s="582">
        <v>186357</v>
      </c>
      <c r="AC188" s="582">
        <v>243061</v>
      </c>
      <c r="AD188" s="500">
        <v>172943</v>
      </c>
      <c r="AE188" s="594">
        <v>269659</v>
      </c>
      <c r="AF188" s="582">
        <v>269659</v>
      </c>
      <c r="AG188" s="582">
        <v>269659</v>
      </c>
      <c r="AH188" s="500">
        <v>269659</v>
      </c>
      <c r="AI188" s="594">
        <v>269659</v>
      </c>
      <c r="AJ188" s="582">
        <v>269659</v>
      </c>
      <c r="AK188" s="582">
        <v>269659</v>
      </c>
      <c r="AL188" s="500">
        <v>269659</v>
      </c>
      <c r="AM188" s="1795"/>
      <c r="AN188" s="902">
        <v>103402</v>
      </c>
      <c r="AO188" s="582">
        <v>350327</v>
      </c>
      <c r="AP188" s="582">
        <v>161807</v>
      </c>
      <c r="AQ188" s="582">
        <v>172943</v>
      </c>
      <c r="AR188" s="582">
        <v>269659</v>
      </c>
      <c r="AS188" s="582">
        <v>269659</v>
      </c>
      <c r="AT188" s="582">
        <v>269659</v>
      </c>
      <c r="AU188" s="582">
        <v>269659</v>
      </c>
      <c r="AV188" s="582">
        <v>269659</v>
      </c>
    </row>
    <row r="189" spans="1:48">
      <c r="A189" s="364"/>
      <c r="B189" s="790"/>
      <c r="C189" s="141"/>
      <c r="D189" s="141"/>
      <c r="E189" s="141"/>
      <c r="F189" s="141"/>
      <c r="G189" s="789"/>
      <c r="H189" s="141"/>
      <c r="I189" s="141"/>
      <c r="J189" s="141"/>
      <c r="K189" s="789"/>
      <c r="L189" s="141"/>
      <c r="M189" s="141"/>
      <c r="N189" s="790"/>
      <c r="O189" s="582"/>
      <c r="P189" s="141"/>
      <c r="Q189" s="141"/>
      <c r="R189" s="141"/>
      <c r="S189" s="789"/>
      <c r="T189" s="141"/>
      <c r="U189" s="141"/>
      <c r="V189" s="141"/>
      <c r="W189" s="789"/>
      <c r="X189" s="141"/>
      <c r="Y189" s="589"/>
      <c r="Z189" s="476"/>
      <c r="AA189" s="490"/>
      <c r="AB189" s="413"/>
      <c r="AC189" s="413"/>
      <c r="AD189" s="476"/>
      <c r="AE189" s="490"/>
      <c r="AF189" s="413"/>
      <c r="AG189" s="413"/>
      <c r="AH189" s="476"/>
      <c r="AI189" s="490"/>
      <c r="AJ189" s="413"/>
      <c r="AK189" s="413"/>
      <c r="AL189" s="476"/>
      <c r="AM189" s="1795"/>
      <c r="AN189" s="365"/>
      <c r="AO189" s="413"/>
      <c r="AP189" s="413"/>
      <c r="AQ189" s="413"/>
      <c r="AR189" s="413"/>
      <c r="AS189" s="413"/>
      <c r="AT189" s="413"/>
      <c r="AU189" s="413"/>
      <c r="AV189" s="413"/>
    </row>
    <row r="190" spans="1:48">
      <c r="A190" s="372" t="s">
        <v>795</v>
      </c>
      <c r="B190" s="876">
        <v>0</v>
      </c>
      <c r="C190" s="876">
        <v>0</v>
      </c>
      <c r="D190" s="875">
        <v>0</v>
      </c>
      <c r="E190" s="875">
        <v>0</v>
      </c>
      <c r="F190" s="875">
        <v>200000</v>
      </c>
      <c r="G190" s="876">
        <v>200000</v>
      </c>
      <c r="H190" s="875">
        <v>200000</v>
      </c>
      <c r="I190" s="875">
        <v>200000</v>
      </c>
      <c r="J190" s="877">
        <v>200000</v>
      </c>
      <c r="K190" s="875">
        <v>0</v>
      </c>
      <c r="L190" s="875">
        <v>5.8207660913467407E-11</v>
      </c>
      <c r="M190" s="875">
        <v>1.1641532182693481E-10</v>
      </c>
      <c r="N190" s="875">
        <v>1.1641532182693481E-10</v>
      </c>
      <c r="O190" s="876">
        <v>0</v>
      </c>
      <c r="P190" s="875">
        <v>1.1641532182693481E-10</v>
      </c>
      <c r="Q190" s="875">
        <v>0</v>
      </c>
      <c r="R190" s="875">
        <v>0</v>
      </c>
      <c r="S190" s="876">
        <v>0</v>
      </c>
      <c r="T190" s="875">
        <v>1.1641532182693481E-10</v>
      </c>
      <c r="U190" s="875">
        <v>0</v>
      </c>
      <c r="V190" s="875">
        <v>0</v>
      </c>
      <c r="W190" s="876">
        <v>2.9103830456733704E-10</v>
      </c>
      <c r="X190" s="875">
        <v>1.673470251262188E-10</v>
      </c>
      <c r="Y190" s="875">
        <v>0</v>
      </c>
      <c r="Z190" s="875">
        <v>2.3283064365386963E-10</v>
      </c>
      <c r="AA190" s="876">
        <v>2.3283064365386963E-10</v>
      </c>
      <c r="AB190" s="875">
        <v>0</v>
      </c>
      <c r="AC190" s="875">
        <v>0</v>
      </c>
      <c r="AD190" s="875">
        <v>0</v>
      </c>
      <c r="AE190" s="876">
        <v>0</v>
      </c>
      <c r="AF190" s="875">
        <v>-269659</v>
      </c>
      <c r="AG190" s="875">
        <v>-269659</v>
      </c>
      <c r="AH190" s="875">
        <v>-269659</v>
      </c>
      <c r="AI190" s="876">
        <v>-269659</v>
      </c>
      <c r="AJ190" s="875">
        <v>-269659</v>
      </c>
      <c r="AK190" s="875">
        <v>-269659</v>
      </c>
      <c r="AL190" s="875">
        <v>-269659</v>
      </c>
      <c r="AM190" s="1795"/>
      <c r="AN190" s="365"/>
      <c r="AO190" s="875"/>
      <c r="AP190" s="875"/>
      <c r="AQ190" s="875"/>
      <c r="AR190" s="875">
        <v>-269659</v>
      </c>
      <c r="AS190" s="875">
        <v>-269659</v>
      </c>
      <c r="AT190" s="875">
        <v>-269659</v>
      </c>
      <c r="AU190" s="875">
        <v>-269659</v>
      </c>
      <c r="AV190" s="875">
        <v>-269659</v>
      </c>
    </row>
    <row r="191" spans="1:48">
      <c r="A191" s="365"/>
      <c r="B191" s="414"/>
      <c r="C191" s="476"/>
      <c r="D191" s="476"/>
      <c r="E191" s="476"/>
      <c r="F191" s="476"/>
      <c r="G191" s="490"/>
      <c r="H191" s="476"/>
      <c r="I191" s="476"/>
      <c r="J191" s="476"/>
      <c r="K191" s="490"/>
      <c r="L191" s="476"/>
      <c r="M191" s="476"/>
      <c r="N191" s="476"/>
      <c r="O191" s="490"/>
      <c r="P191" s="476"/>
      <c r="Q191" s="476"/>
      <c r="R191" s="476"/>
      <c r="S191" s="490"/>
      <c r="T191" s="476"/>
      <c r="U191" s="476"/>
      <c r="V191" s="476"/>
      <c r="W191" s="490"/>
      <c r="X191" s="476"/>
      <c r="Y191" s="589"/>
      <c r="Z191" s="476"/>
      <c r="AA191" s="490"/>
      <c r="AB191" s="476"/>
      <c r="AC191" s="476"/>
      <c r="AD191" s="476"/>
      <c r="AE191" s="490"/>
      <c r="AF191" s="476"/>
      <c r="AG191" s="476"/>
      <c r="AH191" s="476"/>
      <c r="AI191" s="490"/>
      <c r="AJ191" s="476"/>
      <c r="AK191" s="476"/>
      <c r="AL191" s="476"/>
      <c r="AM191" s="1795"/>
      <c r="AN191" s="365"/>
      <c r="AO191" s="476"/>
      <c r="AP191" s="399"/>
      <c r="AQ191" s="399"/>
      <c r="AR191" s="399"/>
      <c r="AS191" s="399"/>
      <c r="AT191" s="399"/>
      <c r="AU191" s="399"/>
      <c r="AV191" s="399"/>
    </row>
    <row r="192" spans="1:48">
      <c r="A192" s="848" t="s">
        <v>704</v>
      </c>
      <c r="B192" s="414"/>
      <c r="C192" s="476"/>
      <c r="D192" s="476"/>
      <c r="E192" s="476"/>
      <c r="F192" s="476"/>
      <c r="G192" s="490"/>
      <c r="H192" s="476"/>
      <c r="I192" s="476"/>
      <c r="J192" s="476"/>
      <c r="K192" s="490"/>
      <c r="L192" s="476"/>
      <c r="M192" s="476"/>
      <c r="N192" s="476"/>
      <c r="O192" s="490"/>
      <c r="P192" s="476"/>
      <c r="Q192" s="476"/>
      <c r="R192" s="476"/>
      <c r="S192" s="490"/>
      <c r="T192" s="476"/>
      <c r="U192" s="476"/>
      <c r="V192" s="476"/>
      <c r="W192" s="490"/>
      <c r="X192" s="476"/>
      <c r="Y192" s="589"/>
      <c r="Z192" s="476"/>
      <c r="AA192" s="490"/>
      <c r="AB192" s="476"/>
      <c r="AC192" s="476"/>
      <c r="AD192" s="476"/>
      <c r="AE192" s="490"/>
      <c r="AF192" s="476"/>
      <c r="AG192" s="476"/>
      <c r="AH192" s="476"/>
      <c r="AI192" s="490"/>
      <c r="AJ192" s="476"/>
      <c r="AK192" s="476"/>
      <c r="AL192" s="476"/>
      <c r="AM192" s="1795"/>
      <c r="AN192" s="365"/>
      <c r="AO192" s="476"/>
      <c r="AP192" s="399"/>
      <c r="AQ192" s="399"/>
      <c r="AR192" s="399"/>
      <c r="AS192" s="399"/>
      <c r="AT192" s="399"/>
      <c r="AU192" s="399"/>
      <c r="AV192" s="399"/>
    </row>
    <row r="193" spans="1:48">
      <c r="A193" s="801"/>
      <c r="B193" s="795"/>
      <c r="C193" s="295"/>
      <c r="D193" s="295"/>
      <c r="E193" s="295"/>
      <c r="F193" s="295"/>
      <c r="G193" s="794"/>
      <c r="H193" s="295"/>
      <c r="I193" s="295"/>
      <c r="J193" s="295"/>
      <c r="K193" s="794"/>
      <c r="L193" s="295"/>
      <c r="M193" s="295"/>
      <c r="N193" s="295"/>
      <c r="O193" s="794"/>
      <c r="P193" s="295"/>
      <c r="Q193" s="295"/>
      <c r="R193" s="295"/>
      <c r="S193" s="794"/>
      <c r="T193" s="295"/>
      <c r="U193" s="295"/>
      <c r="V193" s="295"/>
      <c r="W193" s="794"/>
      <c r="X193" s="295"/>
      <c r="Y193" s="889"/>
      <c r="Z193" s="889"/>
      <c r="AA193" s="824"/>
      <c r="AB193" s="889"/>
      <c r="AC193" s="889"/>
      <c r="AD193" s="889"/>
      <c r="AE193" s="824"/>
      <c r="AF193" s="889"/>
      <c r="AG193" s="889"/>
      <c r="AH193" s="889"/>
      <c r="AI193" s="824"/>
      <c r="AJ193" s="889"/>
      <c r="AK193" s="889"/>
      <c r="AL193" s="889"/>
      <c r="AM193" s="1795"/>
      <c r="AN193" s="365"/>
      <c r="AO193" s="399"/>
      <c r="AP193" s="399"/>
      <c r="AQ193" s="399"/>
      <c r="AR193" s="399"/>
      <c r="AS193" s="399"/>
      <c r="AT193" s="399"/>
      <c r="AU193" s="399"/>
      <c r="AV193" s="399"/>
    </row>
    <row r="194" spans="1:48">
      <c r="A194" s="365"/>
      <c r="B194" s="414"/>
      <c r="C194" s="476"/>
      <c r="D194" s="476"/>
      <c r="E194" s="476"/>
      <c r="F194" s="476"/>
      <c r="G194" s="490"/>
      <c r="H194" s="476"/>
      <c r="I194" s="476"/>
      <c r="J194" s="476"/>
      <c r="K194" s="490"/>
      <c r="L194" s="476"/>
      <c r="M194" s="476"/>
      <c r="N194" s="476"/>
      <c r="O194" s="490"/>
      <c r="P194" s="476"/>
      <c r="Q194" s="476"/>
      <c r="R194" s="476"/>
      <c r="S194" s="490"/>
      <c r="T194" s="476"/>
      <c r="U194" s="476"/>
      <c r="V194" s="476"/>
      <c r="W194" s="490"/>
      <c r="X194" s="476"/>
      <c r="Y194" s="476"/>
      <c r="Z194" s="476"/>
      <c r="AA194" s="490"/>
      <c r="AB194" s="476"/>
      <c r="AC194" s="476"/>
      <c r="AD194" s="476"/>
      <c r="AE194" s="490"/>
      <c r="AF194" s="476"/>
      <c r="AG194" s="476"/>
      <c r="AH194" s="476"/>
      <c r="AI194" s="490"/>
      <c r="AJ194" s="476"/>
      <c r="AK194" s="476"/>
      <c r="AL194" s="476"/>
      <c r="AM194" s="1795"/>
      <c r="AN194" s="365"/>
      <c r="AO194" s="399"/>
      <c r="AP194" s="399"/>
      <c r="AQ194" s="399"/>
      <c r="AR194" s="399"/>
      <c r="AS194" s="399"/>
      <c r="AT194" s="399"/>
      <c r="AU194" s="399"/>
      <c r="AV194" s="399"/>
    </row>
    <row r="195" spans="1:48">
      <c r="A195" s="364" t="s">
        <v>1114</v>
      </c>
      <c r="B195" s="414"/>
      <c r="C195" s="476"/>
      <c r="D195" s="476"/>
      <c r="E195" s="476"/>
      <c r="F195" s="476"/>
      <c r="G195" s="490"/>
      <c r="H195" s="476"/>
      <c r="I195" s="476"/>
      <c r="J195" s="476"/>
      <c r="K195" s="490"/>
      <c r="L195" s="476"/>
      <c r="M195" s="476"/>
      <c r="N195" s="476"/>
      <c r="O195" s="490"/>
      <c r="P195" s="476"/>
      <c r="Q195" s="476"/>
      <c r="R195" s="476"/>
      <c r="S195" s="490"/>
      <c r="T195" s="476"/>
      <c r="U195" s="476"/>
      <c r="V195" s="476"/>
      <c r="W195" s="490"/>
      <c r="X195" s="476"/>
      <c r="Y195" s="476"/>
      <c r="Z195" s="476"/>
      <c r="AA195" s="490"/>
      <c r="AB195" s="476"/>
      <c r="AC195" s="476"/>
      <c r="AD195" s="476"/>
      <c r="AE195" s="490"/>
      <c r="AF195" s="476"/>
      <c r="AG195" s="476"/>
      <c r="AH195" s="476"/>
      <c r="AI195" s="490"/>
      <c r="AJ195" s="476"/>
      <c r="AK195" s="476"/>
      <c r="AL195" s="476"/>
      <c r="AM195" s="1795"/>
      <c r="AN195" s="365"/>
      <c r="AO195" s="399"/>
      <c r="AP195" s="399"/>
      <c r="AQ195" s="399"/>
      <c r="AR195" s="399"/>
      <c r="AS195" s="399"/>
      <c r="AT195" s="399"/>
      <c r="AU195" s="399"/>
      <c r="AV195" s="399"/>
    </row>
    <row r="196" spans="1:48">
      <c r="A196" s="369" t="s">
        <v>870</v>
      </c>
      <c r="B196" s="903"/>
      <c r="C196" s="904"/>
      <c r="D196" s="904"/>
      <c r="E196" s="904"/>
      <c r="F196" s="904"/>
      <c r="G196" s="905"/>
      <c r="H196" s="904"/>
      <c r="I196" s="904"/>
      <c r="J196" s="904"/>
      <c r="K196" s="815"/>
      <c r="L196" s="137"/>
      <c r="M196" s="137"/>
      <c r="N196" s="868"/>
      <c r="O196" s="456"/>
      <c r="P196" s="137"/>
      <c r="Q196" s="137"/>
      <c r="R196" s="137"/>
      <c r="S196" s="815">
        <v>150000</v>
      </c>
      <c r="T196" s="456">
        <v>195000</v>
      </c>
      <c r="U196" s="456">
        <v>151000</v>
      </c>
      <c r="V196" s="456">
        <v>185000</v>
      </c>
      <c r="W196" s="815">
        <v>206000</v>
      </c>
      <c r="X196" s="456">
        <v>212000</v>
      </c>
      <c r="Y196" s="456">
        <v>136000</v>
      </c>
      <c r="Z196" s="456">
        <v>108000</v>
      </c>
      <c r="AA196" s="815">
        <v>38000</v>
      </c>
      <c r="AB196" s="456">
        <v>158000</v>
      </c>
      <c r="AC196" s="456">
        <v>-90000</v>
      </c>
      <c r="AD196" s="456">
        <v>-161000</v>
      </c>
      <c r="AE196" s="815">
        <v>211000</v>
      </c>
      <c r="AF196" s="456">
        <v>0</v>
      </c>
      <c r="AG196" s="456">
        <v>0</v>
      </c>
      <c r="AH196" s="456">
        <v>0</v>
      </c>
      <c r="AI196" s="815">
        <v>0</v>
      </c>
      <c r="AJ196" s="456">
        <v>0</v>
      </c>
      <c r="AK196" s="456">
        <v>0</v>
      </c>
      <c r="AL196" s="456">
        <v>0</v>
      </c>
      <c r="AM196" s="1795"/>
      <c r="AN196" s="365"/>
      <c r="AO196" s="456">
        <v>681000</v>
      </c>
      <c r="AP196" s="456">
        <v>662000</v>
      </c>
      <c r="AQ196" s="456">
        <v>-55000</v>
      </c>
      <c r="AR196" s="456">
        <v>211000</v>
      </c>
      <c r="AS196" s="456">
        <v>0</v>
      </c>
      <c r="AT196" s="456">
        <v>0</v>
      </c>
      <c r="AU196" s="456">
        <v>0</v>
      </c>
      <c r="AV196" s="456">
        <v>0</v>
      </c>
    </row>
    <row r="197" spans="1:48">
      <c r="A197" s="369" t="s">
        <v>1042</v>
      </c>
      <c r="B197" s="903"/>
      <c r="C197" s="904"/>
      <c r="D197" s="904"/>
      <c r="E197" s="904"/>
      <c r="F197" s="904"/>
      <c r="G197" s="905"/>
      <c r="H197" s="904"/>
      <c r="I197" s="904"/>
      <c r="J197" s="904"/>
      <c r="K197" s="815"/>
      <c r="L197" s="137"/>
      <c r="M197" s="137"/>
      <c r="N197" s="868"/>
      <c r="O197" s="456"/>
      <c r="P197" s="137"/>
      <c r="Q197" s="137"/>
      <c r="R197" s="137"/>
      <c r="S197" s="815"/>
      <c r="T197" s="456"/>
      <c r="U197" s="456"/>
      <c r="V197" s="456"/>
      <c r="W197" s="815"/>
      <c r="X197" s="456"/>
      <c r="Y197" s="456"/>
      <c r="Z197" s="456"/>
      <c r="AA197" s="815"/>
      <c r="AB197" s="456"/>
      <c r="AC197" s="456"/>
      <c r="AD197" s="456"/>
      <c r="AE197" s="815"/>
      <c r="AF197" s="456"/>
      <c r="AG197" s="456"/>
      <c r="AH197" s="456"/>
      <c r="AI197" s="815"/>
      <c r="AJ197" s="456"/>
      <c r="AK197" s="456"/>
      <c r="AL197" s="456"/>
      <c r="AM197" s="1795"/>
      <c r="AN197" s="365"/>
      <c r="AO197" s="456"/>
      <c r="AP197" s="456"/>
      <c r="AQ197" s="456"/>
      <c r="AR197" s="456"/>
      <c r="AS197" s="456"/>
      <c r="AT197" s="456"/>
      <c r="AU197" s="456"/>
      <c r="AV197" s="456"/>
    </row>
    <row r="198" spans="1:48">
      <c r="A198" s="906" t="s">
        <v>705</v>
      </c>
      <c r="B198" s="903"/>
      <c r="C198" s="904"/>
      <c r="D198" s="904"/>
      <c r="E198" s="904"/>
      <c r="F198" s="904"/>
      <c r="G198" s="905"/>
      <c r="H198" s="904"/>
      <c r="I198" s="904"/>
      <c r="J198" s="904"/>
      <c r="K198" s="905"/>
      <c r="L198" s="904"/>
      <c r="M198" s="904"/>
      <c r="N198" s="907"/>
      <c r="O198" s="904"/>
      <c r="P198" s="904"/>
      <c r="Q198" s="904"/>
      <c r="R198" s="904"/>
      <c r="S198" s="815">
        <v>522000</v>
      </c>
      <c r="T198" s="456">
        <v>523000</v>
      </c>
      <c r="U198" s="456">
        <v>537000</v>
      </c>
      <c r="V198" s="456">
        <v>538000</v>
      </c>
      <c r="W198" s="815">
        <v>514000</v>
      </c>
      <c r="X198" s="456">
        <v>518000</v>
      </c>
      <c r="Y198" s="456">
        <v>520000</v>
      </c>
      <c r="Z198" s="456">
        <v>519000</v>
      </c>
      <c r="AA198" s="815">
        <v>483000</v>
      </c>
      <c r="AB198" s="456">
        <v>485000</v>
      </c>
      <c r="AC198" s="456">
        <v>490000</v>
      </c>
      <c r="AD198" s="456">
        <v>491000</v>
      </c>
      <c r="AE198" s="815">
        <v>475000</v>
      </c>
      <c r="AF198" s="456">
        <v>0</v>
      </c>
      <c r="AG198" s="456">
        <v>0</v>
      </c>
      <c r="AH198" s="456">
        <v>0</v>
      </c>
      <c r="AI198" s="815">
        <v>0</v>
      </c>
      <c r="AJ198" s="456">
        <v>0</v>
      </c>
      <c r="AK198" s="456">
        <v>0</v>
      </c>
      <c r="AL198" s="456">
        <v>0</v>
      </c>
      <c r="AM198" s="1795"/>
      <c r="AN198" s="365"/>
      <c r="AO198" s="456">
        <v>2120000</v>
      </c>
      <c r="AP198" s="456">
        <v>2071000</v>
      </c>
      <c r="AQ198" s="456">
        <v>1949000</v>
      </c>
      <c r="AR198" s="456">
        <v>475000</v>
      </c>
      <c r="AS198" s="456">
        <v>0</v>
      </c>
      <c r="AT198" s="456">
        <v>0</v>
      </c>
      <c r="AU198" s="456">
        <v>0</v>
      </c>
      <c r="AV198" s="456">
        <v>0</v>
      </c>
    </row>
    <row r="199" spans="1:48">
      <c r="A199" s="906" t="s">
        <v>647</v>
      </c>
      <c r="B199" s="903"/>
      <c r="C199" s="904"/>
      <c r="D199" s="904"/>
      <c r="E199" s="904"/>
      <c r="F199" s="904"/>
      <c r="G199" s="905"/>
      <c r="H199" s="904"/>
      <c r="I199" s="904"/>
      <c r="J199" s="904"/>
      <c r="K199" s="815"/>
      <c r="L199" s="137"/>
      <c r="M199" s="137"/>
      <c r="N199" s="868"/>
      <c r="O199" s="456"/>
      <c r="P199" s="137"/>
      <c r="Q199" s="137"/>
      <c r="R199" s="137"/>
      <c r="S199" s="815">
        <v>54000</v>
      </c>
      <c r="T199" s="456">
        <v>55000</v>
      </c>
      <c r="U199" s="456">
        <v>62000</v>
      </c>
      <c r="V199" s="456">
        <v>63000</v>
      </c>
      <c r="W199" s="815">
        <v>59000</v>
      </c>
      <c r="X199" s="456">
        <v>60000</v>
      </c>
      <c r="Y199" s="456">
        <v>61000</v>
      </c>
      <c r="Z199" s="456">
        <v>60000</v>
      </c>
      <c r="AA199" s="815">
        <v>62000</v>
      </c>
      <c r="AB199" s="456">
        <v>63000</v>
      </c>
      <c r="AC199" s="456">
        <v>62000</v>
      </c>
      <c r="AD199" s="456">
        <v>64000</v>
      </c>
      <c r="AE199" s="815">
        <v>58000</v>
      </c>
      <c r="AF199" s="456">
        <v>0</v>
      </c>
      <c r="AG199" s="456">
        <v>0</v>
      </c>
      <c r="AH199" s="456">
        <v>0</v>
      </c>
      <c r="AI199" s="815">
        <v>0</v>
      </c>
      <c r="AJ199" s="456">
        <v>0</v>
      </c>
      <c r="AK199" s="456">
        <v>0</v>
      </c>
      <c r="AL199" s="456">
        <v>0</v>
      </c>
      <c r="AM199" s="1795"/>
      <c r="AN199" s="365"/>
      <c r="AO199" s="456">
        <v>234000</v>
      </c>
      <c r="AP199" s="456">
        <v>240000</v>
      </c>
      <c r="AQ199" s="456">
        <v>251000</v>
      </c>
      <c r="AR199" s="456">
        <v>58000</v>
      </c>
      <c r="AS199" s="456">
        <v>0</v>
      </c>
      <c r="AT199" s="456">
        <v>0</v>
      </c>
      <c r="AU199" s="456">
        <v>0</v>
      </c>
      <c r="AV199" s="456">
        <v>0</v>
      </c>
    </row>
    <row r="200" spans="1:48">
      <c r="A200" s="906" t="s">
        <v>636</v>
      </c>
      <c r="B200" s="804"/>
      <c r="C200" s="908"/>
      <c r="D200" s="908"/>
      <c r="E200" s="908"/>
      <c r="F200" s="908"/>
      <c r="G200" s="909"/>
      <c r="H200" s="908"/>
      <c r="I200" s="908"/>
      <c r="J200" s="908"/>
      <c r="K200" s="909"/>
      <c r="L200" s="908"/>
      <c r="M200" s="908"/>
      <c r="N200" s="910"/>
      <c r="O200" s="908"/>
      <c r="P200" s="908"/>
      <c r="Q200" s="908"/>
      <c r="R200" s="908"/>
      <c r="S200" s="815">
        <v>43000</v>
      </c>
      <c r="T200" s="456">
        <v>26000</v>
      </c>
      <c r="U200" s="456">
        <v>54000</v>
      </c>
      <c r="V200" s="456">
        <v>108000</v>
      </c>
      <c r="W200" s="815">
        <v>49000</v>
      </c>
      <c r="X200" s="456">
        <v>35000</v>
      </c>
      <c r="Y200" s="456">
        <v>27000</v>
      </c>
      <c r="Z200" s="456">
        <v>19000</v>
      </c>
      <c r="AA200" s="815">
        <v>22000</v>
      </c>
      <c r="AB200" s="456">
        <v>14000</v>
      </c>
      <c r="AC200" s="456">
        <v>23000</v>
      </c>
      <c r="AD200" s="456">
        <v>27000</v>
      </c>
      <c r="AE200" s="815">
        <v>0</v>
      </c>
      <c r="AF200" s="456">
        <v>0</v>
      </c>
      <c r="AG200" s="456">
        <v>0</v>
      </c>
      <c r="AH200" s="456">
        <v>0</v>
      </c>
      <c r="AI200" s="815">
        <v>0</v>
      </c>
      <c r="AJ200" s="456">
        <v>0</v>
      </c>
      <c r="AK200" s="456">
        <v>0</v>
      </c>
      <c r="AL200" s="456">
        <v>0</v>
      </c>
      <c r="AM200" s="1795"/>
      <c r="AN200" s="365"/>
      <c r="AO200" s="456">
        <v>231000</v>
      </c>
      <c r="AP200" s="456">
        <v>130000</v>
      </c>
      <c r="AQ200" s="456">
        <v>86000</v>
      </c>
      <c r="AR200" s="456">
        <v>0</v>
      </c>
      <c r="AS200" s="456">
        <v>0</v>
      </c>
      <c r="AT200" s="456">
        <v>0</v>
      </c>
      <c r="AU200" s="456">
        <v>0</v>
      </c>
      <c r="AV200" s="456">
        <v>0</v>
      </c>
    </row>
    <row r="201" spans="1:48">
      <c r="A201" s="906" t="s">
        <v>1051</v>
      </c>
      <c r="B201" s="911"/>
      <c r="C201" s="912"/>
      <c r="D201" s="912"/>
      <c r="E201" s="912"/>
      <c r="F201" s="912"/>
      <c r="G201" s="913"/>
      <c r="H201" s="912"/>
      <c r="I201" s="912"/>
      <c r="J201" s="912"/>
      <c r="K201" s="815"/>
      <c r="L201" s="137"/>
      <c r="M201" s="137"/>
      <c r="N201" s="868"/>
      <c r="O201" s="908"/>
      <c r="P201" s="914"/>
      <c r="Q201" s="914"/>
      <c r="R201" s="914"/>
      <c r="S201" s="815">
        <v>98000</v>
      </c>
      <c r="T201" s="456">
        <v>120000</v>
      </c>
      <c r="U201" s="456">
        <v>98000</v>
      </c>
      <c r="V201" s="456">
        <v>39000</v>
      </c>
      <c r="W201" s="815">
        <v>98000</v>
      </c>
      <c r="X201" s="456">
        <v>-6000</v>
      </c>
      <c r="Y201" s="456">
        <v>64000</v>
      </c>
      <c r="Z201" s="456">
        <v>73000</v>
      </c>
      <c r="AA201" s="815">
        <v>205000</v>
      </c>
      <c r="AB201" s="456">
        <v>98000</v>
      </c>
      <c r="AC201" s="456">
        <v>119000</v>
      </c>
      <c r="AD201" s="456">
        <v>86000</v>
      </c>
      <c r="AE201" s="815">
        <v>145000</v>
      </c>
      <c r="AF201" s="456">
        <v>0</v>
      </c>
      <c r="AG201" s="456">
        <v>0</v>
      </c>
      <c r="AH201" s="456">
        <v>0</v>
      </c>
      <c r="AI201" s="815">
        <v>0</v>
      </c>
      <c r="AJ201" s="456">
        <v>0</v>
      </c>
      <c r="AK201" s="456">
        <v>0</v>
      </c>
      <c r="AL201" s="456">
        <v>0</v>
      </c>
      <c r="AM201" s="1795"/>
      <c r="AN201" s="365"/>
      <c r="AO201" s="456">
        <v>355000</v>
      </c>
      <c r="AP201" s="456">
        <v>229000</v>
      </c>
      <c r="AQ201" s="456">
        <v>508000</v>
      </c>
      <c r="AR201" s="456">
        <v>145000</v>
      </c>
      <c r="AS201" s="456">
        <v>0</v>
      </c>
      <c r="AT201" s="456">
        <v>0</v>
      </c>
      <c r="AU201" s="456">
        <v>0</v>
      </c>
      <c r="AV201" s="456">
        <v>0</v>
      </c>
    </row>
    <row r="202" spans="1:48">
      <c r="A202" s="906" t="s">
        <v>637</v>
      </c>
      <c r="B202" s="679"/>
      <c r="C202" s="573"/>
      <c r="D202" s="573"/>
      <c r="E202" s="573"/>
      <c r="F202" s="573"/>
      <c r="G202" s="567"/>
      <c r="H202" s="577"/>
      <c r="I202" s="577"/>
      <c r="J202" s="577"/>
      <c r="K202" s="815"/>
      <c r="L202" s="137"/>
      <c r="M202" s="137"/>
      <c r="N202" s="868"/>
      <c r="O202" s="456"/>
      <c r="P202" s="137"/>
      <c r="Q202" s="137"/>
      <c r="R202" s="137"/>
      <c r="S202" s="815">
        <v>20000</v>
      </c>
      <c r="T202" s="456">
        <v>29000</v>
      </c>
      <c r="U202" s="456">
        <v>32000</v>
      </c>
      <c r="V202" s="456">
        <v>44000</v>
      </c>
      <c r="W202" s="815">
        <v>29000</v>
      </c>
      <c r="X202" s="456">
        <v>36000</v>
      </c>
      <c r="Y202" s="456">
        <v>30000</v>
      </c>
      <c r="Z202" s="456">
        <v>41000</v>
      </c>
      <c r="AA202" s="815">
        <v>35000</v>
      </c>
      <c r="AB202" s="456">
        <v>40000</v>
      </c>
      <c r="AC202" s="456">
        <v>42000</v>
      </c>
      <c r="AD202" s="456">
        <v>70000</v>
      </c>
      <c r="AE202" s="815">
        <v>4000</v>
      </c>
      <c r="AF202" s="456">
        <v>0</v>
      </c>
      <c r="AG202" s="456">
        <v>0</v>
      </c>
      <c r="AH202" s="456">
        <v>0</v>
      </c>
      <c r="AI202" s="815">
        <v>0</v>
      </c>
      <c r="AJ202" s="456">
        <v>0</v>
      </c>
      <c r="AK202" s="456">
        <v>0</v>
      </c>
      <c r="AL202" s="456">
        <v>0</v>
      </c>
      <c r="AM202" s="1795"/>
      <c r="AN202" s="365"/>
      <c r="AO202" s="456">
        <v>125000</v>
      </c>
      <c r="AP202" s="456">
        <v>136000</v>
      </c>
      <c r="AQ202" s="456">
        <v>187000</v>
      </c>
      <c r="AR202" s="456">
        <v>4000</v>
      </c>
      <c r="AS202" s="456">
        <v>0</v>
      </c>
      <c r="AT202" s="456">
        <v>0</v>
      </c>
      <c r="AU202" s="456">
        <v>0</v>
      </c>
      <c r="AV202" s="456">
        <v>0</v>
      </c>
    </row>
    <row r="203" spans="1:48">
      <c r="A203" s="906" t="s">
        <v>706</v>
      </c>
      <c r="B203" s="679"/>
      <c r="C203" s="573"/>
      <c r="D203" s="573"/>
      <c r="E203" s="573"/>
      <c r="F203" s="573"/>
      <c r="G203" s="567"/>
      <c r="H203" s="577"/>
      <c r="I203" s="577"/>
      <c r="J203" s="577"/>
      <c r="K203" s="815"/>
      <c r="L203" s="137"/>
      <c r="M203" s="137"/>
      <c r="N203" s="868"/>
      <c r="O203" s="456"/>
      <c r="P203" s="137"/>
      <c r="Q203" s="137"/>
      <c r="R203" s="137"/>
      <c r="S203" s="815"/>
      <c r="T203" s="456"/>
      <c r="U203" s="456"/>
      <c r="V203" s="456"/>
      <c r="W203" s="815"/>
      <c r="X203" s="456"/>
      <c r="Y203" s="456"/>
      <c r="Z203" s="456"/>
      <c r="AA203" s="815"/>
      <c r="AB203" s="456"/>
      <c r="AC203" s="456"/>
      <c r="AD203" s="456"/>
      <c r="AE203" s="815"/>
      <c r="AF203" s="456"/>
      <c r="AG203" s="456"/>
      <c r="AH203" s="456"/>
      <c r="AI203" s="815"/>
      <c r="AJ203" s="456"/>
      <c r="AK203" s="456"/>
      <c r="AL203" s="456"/>
      <c r="AM203" s="1795"/>
      <c r="AN203" s="365"/>
      <c r="AO203" s="456"/>
      <c r="AP203" s="456"/>
      <c r="AQ203" s="456"/>
      <c r="AR203" s="456"/>
      <c r="AS203" s="456"/>
      <c r="AT203" s="456"/>
      <c r="AU203" s="456"/>
      <c r="AV203" s="456"/>
    </row>
    <row r="204" spans="1:48">
      <c r="A204" s="915" t="s">
        <v>707</v>
      </c>
      <c r="B204" s="679"/>
      <c r="C204" s="573"/>
      <c r="D204" s="573"/>
      <c r="E204" s="573"/>
      <c r="F204" s="573"/>
      <c r="G204" s="567"/>
      <c r="H204" s="577"/>
      <c r="I204" s="577"/>
      <c r="J204" s="577"/>
      <c r="K204" s="815"/>
      <c r="L204" s="137"/>
      <c r="M204" s="137"/>
      <c r="N204" s="868"/>
      <c r="O204" s="456"/>
      <c r="P204" s="137"/>
      <c r="Q204" s="137"/>
      <c r="R204" s="137"/>
      <c r="S204" s="815">
        <v>23000</v>
      </c>
      <c r="T204" s="456">
        <v>-77000</v>
      </c>
      <c r="U204" s="456">
        <v>49000</v>
      </c>
      <c r="V204" s="456">
        <v>-60000</v>
      </c>
      <c r="W204" s="815">
        <v>58000</v>
      </c>
      <c r="X204" s="456">
        <v>-1000</v>
      </c>
      <c r="Y204" s="456">
        <v>-40000</v>
      </c>
      <c r="Z204" s="456">
        <v>18000</v>
      </c>
      <c r="AA204" s="815">
        <v>26000</v>
      </c>
      <c r="AB204" s="456">
        <v>-17000</v>
      </c>
      <c r="AC204" s="456">
        <v>-22000</v>
      </c>
      <c r="AD204" s="456">
        <v>-22000</v>
      </c>
      <c r="AE204" s="815">
        <v>80000</v>
      </c>
      <c r="AF204" s="456">
        <v>0</v>
      </c>
      <c r="AG204" s="456">
        <v>0</v>
      </c>
      <c r="AH204" s="456">
        <v>0</v>
      </c>
      <c r="AI204" s="815">
        <v>0</v>
      </c>
      <c r="AJ204" s="456">
        <v>0</v>
      </c>
      <c r="AK204" s="456">
        <v>0</v>
      </c>
      <c r="AL204" s="456">
        <v>0</v>
      </c>
      <c r="AM204" s="1795"/>
      <c r="AN204" s="365"/>
      <c r="AO204" s="456">
        <v>-65000</v>
      </c>
      <c r="AP204" s="456">
        <v>35000</v>
      </c>
      <c r="AQ204" s="456">
        <v>-35000</v>
      </c>
      <c r="AR204" s="456">
        <v>80000</v>
      </c>
      <c r="AS204" s="456">
        <v>0</v>
      </c>
      <c r="AT204" s="456">
        <v>0</v>
      </c>
      <c r="AU204" s="456">
        <v>0</v>
      </c>
      <c r="AV204" s="456">
        <v>0</v>
      </c>
    </row>
    <row r="205" spans="1:48">
      <c r="A205" s="915" t="s">
        <v>638</v>
      </c>
      <c r="B205" s="679"/>
      <c r="C205" s="573"/>
      <c r="D205" s="573"/>
      <c r="E205" s="573"/>
      <c r="F205" s="573"/>
      <c r="G205" s="567"/>
      <c r="H205" s="577"/>
      <c r="I205" s="577"/>
      <c r="J205" s="577"/>
      <c r="K205" s="815"/>
      <c r="L205" s="137"/>
      <c r="M205" s="137"/>
      <c r="N205" s="868"/>
      <c r="O205" s="456"/>
      <c r="P205" s="137"/>
      <c r="Q205" s="137"/>
      <c r="R205" s="137"/>
      <c r="S205" s="815">
        <v>-5000</v>
      </c>
      <c r="T205" s="456">
        <v>44000</v>
      </c>
      <c r="U205" s="456">
        <v>-4000</v>
      </c>
      <c r="V205" s="456">
        <v>7000</v>
      </c>
      <c r="W205" s="815">
        <v>-28000</v>
      </c>
      <c r="X205" s="456">
        <v>37000</v>
      </c>
      <c r="Y205" s="456">
        <v>-13000</v>
      </c>
      <c r="Z205" s="456">
        <v>-1000</v>
      </c>
      <c r="AA205" s="815">
        <v>22000</v>
      </c>
      <c r="AB205" s="456">
        <v>53000</v>
      </c>
      <c r="AC205" s="456">
        <v>3000</v>
      </c>
      <c r="AD205" s="456">
        <v>-20000</v>
      </c>
      <c r="AE205" s="815">
        <v>0</v>
      </c>
      <c r="AF205" s="456">
        <v>0</v>
      </c>
      <c r="AG205" s="456">
        <v>0</v>
      </c>
      <c r="AH205" s="456">
        <v>0</v>
      </c>
      <c r="AI205" s="815">
        <v>0</v>
      </c>
      <c r="AJ205" s="456">
        <v>0</v>
      </c>
      <c r="AK205" s="456">
        <v>0</v>
      </c>
      <c r="AL205" s="456">
        <v>0</v>
      </c>
      <c r="AM205" s="1795"/>
      <c r="AN205" s="365"/>
      <c r="AO205" s="456">
        <v>42000</v>
      </c>
      <c r="AP205" s="456">
        <v>-5000</v>
      </c>
      <c r="AQ205" s="456">
        <v>58000</v>
      </c>
      <c r="AR205" s="456">
        <v>0</v>
      </c>
      <c r="AS205" s="456">
        <v>0</v>
      </c>
      <c r="AT205" s="456">
        <v>0</v>
      </c>
      <c r="AU205" s="456">
        <v>0</v>
      </c>
      <c r="AV205" s="456">
        <v>0</v>
      </c>
    </row>
    <row r="206" spans="1:48">
      <c r="A206" s="915" t="s">
        <v>708</v>
      </c>
      <c r="B206" s="679"/>
      <c r="C206" s="573"/>
      <c r="D206" s="573"/>
      <c r="E206" s="573"/>
      <c r="F206" s="573"/>
      <c r="G206" s="567"/>
      <c r="H206" s="577"/>
      <c r="I206" s="577"/>
      <c r="J206" s="577"/>
      <c r="K206" s="815"/>
      <c r="L206" s="137"/>
      <c r="M206" s="137"/>
      <c r="N206" s="868"/>
      <c r="O206" s="456"/>
      <c r="P206" s="137"/>
      <c r="Q206" s="137"/>
      <c r="R206" s="137"/>
      <c r="S206" s="815">
        <v>-433000</v>
      </c>
      <c r="T206" s="456">
        <v>58000</v>
      </c>
      <c r="U206" s="456">
        <v>-171000</v>
      </c>
      <c r="V206" s="456">
        <v>16000</v>
      </c>
      <c r="W206" s="815">
        <v>-263000</v>
      </c>
      <c r="X206" s="456">
        <v>90000</v>
      </c>
      <c r="Y206" s="456">
        <v>-36000</v>
      </c>
      <c r="Z206" s="456">
        <v>52000</v>
      </c>
      <c r="AA206" s="815">
        <v>-146000</v>
      </c>
      <c r="AB206" s="456">
        <v>55000</v>
      </c>
      <c r="AC206" s="456">
        <v>56000</v>
      </c>
      <c r="AD206" s="456">
        <v>12000</v>
      </c>
      <c r="AE206" s="815">
        <v>-71000</v>
      </c>
      <c r="AF206" s="456">
        <v>0</v>
      </c>
      <c r="AG206" s="456">
        <v>0</v>
      </c>
      <c r="AH206" s="456">
        <v>0</v>
      </c>
      <c r="AI206" s="815">
        <v>0</v>
      </c>
      <c r="AJ206" s="456">
        <v>0</v>
      </c>
      <c r="AK206" s="456">
        <v>0</v>
      </c>
      <c r="AL206" s="456">
        <v>0</v>
      </c>
      <c r="AM206" s="1795"/>
      <c r="AN206" s="365"/>
      <c r="AO206" s="456">
        <v>-530000</v>
      </c>
      <c r="AP206" s="456">
        <v>-157000</v>
      </c>
      <c r="AQ206" s="456">
        <v>-23000</v>
      </c>
      <c r="AR206" s="456">
        <v>-71000</v>
      </c>
      <c r="AS206" s="456">
        <v>0</v>
      </c>
      <c r="AT206" s="456">
        <v>0</v>
      </c>
      <c r="AU206" s="456">
        <v>0</v>
      </c>
      <c r="AV206" s="456">
        <v>0</v>
      </c>
    </row>
    <row r="207" spans="1:48">
      <c r="A207" s="915" t="s">
        <v>640</v>
      </c>
      <c r="B207" s="679"/>
      <c r="C207" s="573"/>
      <c r="D207" s="573"/>
      <c r="E207" s="573"/>
      <c r="F207" s="573"/>
      <c r="G207" s="567"/>
      <c r="H207" s="577"/>
      <c r="I207" s="577"/>
      <c r="J207" s="577"/>
      <c r="K207" s="815"/>
      <c r="L207" s="137"/>
      <c r="M207" s="137"/>
      <c r="N207" s="868"/>
      <c r="O207" s="456"/>
      <c r="P207" s="137"/>
      <c r="Q207" s="137"/>
      <c r="R207" s="137"/>
      <c r="S207" s="815">
        <v>-9000</v>
      </c>
      <c r="T207" s="456">
        <v>-8000</v>
      </c>
      <c r="U207" s="456">
        <v>-7000</v>
      </c>
      <c r="V207" s="456">
        <v>-24000</v>
      </c>
      <c r="W207" s="815">
        <v>-19000</v>
      </c>
      <c r="X207" s="456">
        <v>-19000</v>
      </c>
      <c r="Y207" s="456">
        <v>-13000</v>
      </c>
      <c r="Z207" s="456">
        <v>-7000</v>
      </c>
      <c r="AA207" s="815">
        <v>-25000</v>
      </c>
      <c r="AB207" s="456">
        <v>-11000</v>
      </c>
      <c r="AC207" s="456">
        <v>3000</v>
      </c>
      <c r="AD207" s="456">
        <v>1000</v>
      </c>
      <c r="AE207" s="815">
        <v>-86000</v>
      </c>
      <c r="AF207" s="456">
        <v>0</v>
      </c>
      <c r="AG207" s="456">
        <v>0</v>
      </c>
      <c r="AH207" s="456">
        <v>0</v>
      </c>
      <c r="AI207" s="815">
        <v>0</v>
      </c>
      <c r="AJ207" s="456">
        <v>0</v>
      </c>
      <c r="AK207" s="456">
        <v>0</v>
      </c>
      <c r="AL207" s="456">
        <v>0</v>
      </c>
      <c r="AM207" s="1795"/>
      <c r="AN207" s="365"/>
      <c r="AO207" s="456">
        <v>-48000</v>
      </c>
      <c r="AP207" s="456">
        <v>-58000</v>
      </c>
      <c r="AQ207" s="456">
        <v>-32000</v>
      </c>
      <c r="AR207" s="456">
        <v>-86000</v>
      </c>
      <c r="AS207" s="456">
        <v>0</v>
      </c>
      <c r="AT207" s="456">
        <v>0</v>
      </c>
      <c r="AU207" s="456">
        <v>0</v>
      </c>
      <c r="AV207" s="456">
        <v>0</v>
      </c>
    </row>
    <row r="208" spans="1:48">
      <c r="A208" s="915" t="s">
        <v>639</v>
      </c>
      <c r="B208" s="490"/>
      <c r="C208" s="567"/>
      <c r="D208" s="573"/>
      <c r="E208" s="573"/>
      <c r="F208" s="573"/>
      <c r="G208" s="567"/>
      <c r="H208" s="577"/>
      <c r="I208" s="577"/>
      <c r="J208" s="577"/>
      <c r="K208" s="815"/>
      <c r="L208" s="137"/>
      <c r="M208" s="137"/>
      <c r="N208" s="868"/>
      <c r="O208" s="456"/>
      <c r="P208" s="137"/>
      <c r="Q208" s="137"/>
      <c r="R208" s="137"/>
      <c r="S208" s="815">
        <v>-82000</v>
      </c>
      <c r="T208" s="456">
        <v>-49000</v>
      </c>
      <c r="U208" s="456">
        <v>-120000</v>
      </c>
      <c r="V208" s="456">
        <v>-8000</v>
      </c>
      <c r="W208" s="815">
        <v>-46000</v>
      </c>
      <c r="X208" s="456">
        <v>43000</v>
      </c>
      <c r="Y208" s="456">
        <v>33000</v>
      </c>
      <c r="Z208" s="456">
        <v>-6000</v>
      </c>
      <c r="AA208" s="815">
        <v>-42000</v>
      </c>
      <c r="AB208" s="456">
        <v>-19000</v>
      </c>
      <c r="AC208" s="456">
        <v>237000</v>
      </c>
      <c r="AD208" s="456">
        <v>255000</v>
      </c>
      <c r="AE208" s="815">
        <v>-39000</v>
      </c>
      <c r="AF208" s="456">
        <v>0</v>
      </c>
      <c r="AG208" s="456">
        <v>0</v>
      </c>
      <c r="AH208" s="456">
        <v>0</v>
      </c>
      <c r="AI208" s="815">
        <v>0</v>
      </c>
      <c r="AJ208" s="456">
        <v>0</v>
      </c>
      <c r="AK208" s="456">
        <v>0</v>
      </c>
      <c r="AL208" s="456">
        <v>0</v>
      </c>
      <c r="AM208" s="1795"/>
      <c r="AN208" s="365"/>
      <c r="AO208" s="456">
        <v>-259000</v>
      </c>
      <c r="AP208" s="456">
        <v>24000</v>
      </c>
      <c r="AQ208" s="456">
        <v>-47000</v>
      </c>
      <c r="AR208" s="456">
        <v>-39000</v>
      </c>
      <c r="AS208" s="456">
        <v>0</v>
      </c>
      <c r="AT208" s="456">
        <v>0</v>
      </c>
      <c r="AU208" s="456">
        <v>0</v>
      </c>
      <c r="AV208" s="456">
        <v>0</v>
      </c>
    </row>
    <row r="209" spans="1:48">
      <c r="A209" s="915" t="s">
        <v>641</v>
      </c>
      <c r="B209" s="490"/>
      <c r="C209" s="567"/>
      <c r="D209" s="573"/>
      <c r="E209" s="573"/>
      <c r="F209" s="573"/>
      <c r="G209" s="567"/>
      <c r="H209" s="577"/>
      <c r="I209" s="577"/>
      <c r="J209" s="577"/>
      <c r="K209" s="815"/>
      <c r="L209" s="137"/>
      <c r="M209" s="137"/>
      <c r="N209" s="868"/>
      <c r="O209" s="456"/>
      <c r="P209" s="137"/>
      <c r="Q209" s="137"/>
      <c r="R209" s="137"/>
      <c r="S209" s="815">
        <v>0</v>
      </c>
      <c r="T209" s="456">
        <v>0</v>
      </c>
      <c r="U209" s="456">
        <v>0</v>
      </c>
      <c r="V209" s="456">
        <v>0</v>
      </c>
      <c r="W209" s="815">
        <v>0</v>
      </c>
      <c r="X209" s="456">
        <v>0</v>
      </c>
      <c r="Y209" s="456">
        <v>0</v>
      </c>
      <c r="Z209" s="456">
        <v>0</v>
      </c>
      <c r="AA209" s="815">
        <v>0</v>
      </c>
      <c r="AB209" s="456">
        <v>0</v>
      </c>
      <c r="AC209" s="456">
        <v>0</v>
      </c>
      <c r="AD209" s="456">
        <v>0</v>
      </c>
      <c r="AE209" s="815">
        <v>0</v>
      </c>
      <c r="AF209" s="456">
        <v>0</v>
      </c>
      <c r="AG209" s="456">
        <v>0</v>
      </c>
      <c r="AH209" s="456">
        <v>0</v>
      </c>
      <c r="AI209" s="815">
        <v>0</v>
      </c>
      <c r="AJ209" s="456">
        <v>0</v>
      </c>
      <c r="AK209" s="456">
        <v>0</v>
      </c>
      <c r="AL209" s="456">
        <v>0</v>
      </c>
      <c r="AM209" s="1795"/>
      <c r="AN209" s="365"/>
      <c r="AO209" s="456">
        <v>0</v>
      </c>
      <c r="AP209" s="456">
        <v>0</v>
      </c>
      <c r="AQ209" s="456">
        <v>0</v>
      </c>
      <c r="AR209" s="456">
        <v>0</v>
      </c>
      <c r="AS209" s="456">
        <v>0</v>
      </c>
      <c r="AT209" s="456">
        <v>0</v>
      </c>
      <c r="AU209" s="456">
        <v>0</v>
      </c>
      <c r="AV209" s="456">
        <v>0</v>
      </c>
    </row>
    <row r="210" spans="1:48">
      <c r="A210" s="916" t="s">
        <v>1125</v>
      </c>
      <c r="B210" s="917"/>
      <c r="C210" s="918"/>
      <c r="D210" s="870"/>
      <c r="E210" s="870"/>
      <c r="F210" s="870"/>
      <c r="G210" s="918"/>
      <c r="H210" s="870"/>
      <c r="I210" s="870"/>
      <c r="J210" s="870"/>
      <c r="K210" s="918"/>
      <c r="L210" s="870"/>
      <c r="M210" s="870"/>
      <c r="N210" s="919"/>
      <c r="O210" s="870"/>
      <c r="P210" s="870"/>
      <c r="Q210" s="870"/>
      <c r="R210" s="919"/>
      <c r="S210" s="870">
        <v>381000</v>
      </c>
      <c r="T210" s="870">
        <v>916000</v>
      </c>
      <c r="U210" s="870">
        <v>681000</v>
      </c>
      <c r="V210" s="870">
        <v>908000</v>
      </c>
      <c r="W210" s="918">
        <v>657000</v>
      </c>
      <c r="X210" s="870">
        <v>1005000</v>
      </c>
      <c r="Y210" s="870">
        <v>769000</v>
      </c>
      <c r="Z210" s="870">
        <v>876000</v>
      </c>
      <c r="AA210" s="918">
        <v>680000</v>
      </c>
      <c r="AB210" s="870">
        <v>919000</v>
      </c>
      <c r="AC210" s="870">
        <v>923000</v>
      </c>
      <c r="AD210" s="870">
        <v>803000</v>
      </c>
      <c r="AE210" s="918">
        <v>777000</v>
      </c>
      <c r="AF210" s="870">
        <v>0</v>
      </c>
      <c r="AG210" s="870">
        <v>0</v>
      </c>
      <c r="AH210" s="870">
        <v>0</v>
      </c>
      <c r="AI210" s="918">
        <v>0</v>
      </c>
      <c r="AJ210" s="870">
        <v>0</v>
      </c>
      <c r="AK210" s="870">
        <v>0</v>
      </c>
      <c r="AL210" s="870">
        <v>0</v>
      </c>
      <c r="AM210" s="1795"/>
      <c r="AN210" s="399"/>
      <c r="AO210" s="870">
        <v>2886000</v>
      </c>
      <c r="AP210" s="870">
        <v>3307000</v>
      </c>
      <c r="AQ210" s="870">
        <v>2847000</v>
      </c>
      <c r="AR210" s="870">
        <v>777000</v>
      </c>
      <c r="AS210" s="870">
        <v>0</v>
      </c>
      <c r="AT210" s="870">
        <v>0</v>
      </c>
      <c r="AU210" s="870">
        <v>0</v>
      </c>
      <c r="AV210" s="870">
        <v>0</v>
      </c>
    </row>
    <row r="211" spans="1:48">
      <c r="A211" s="920"/>
      <c r="B211" s="596"/>
      <c r="C211" s="921"/>
      <c r="D211" s="922"/>
      <c r="E211" s="922"/>
      <c r="F211" s="922"/>
      <c r="G211" s="921"/>
      <c r="H211" s="922"/>
      <c r="I211" s="922"/>
      <c r="J211" s="922"/>
      <c r="K211" s="921"/>
      <c r="L211" s="922"/>
      <c r="M211" s="922"/>
      <c r="N211" s="923"/>
      <c r="O211" s="922"/>
      <c r="P211" s="922"/>
      <c r="Q211" s="922"/>
      <c r="R211" s="923"/>
      <c r="S211" s="922"/>
      <c r="T211" s="922"/>
      <c r="U211" s="922"/>
      <c r="V211" s="922"/>
      <c r="W211" s="921"/>
      <c r="X211" s="922"/>
      <c r="Y211" s="413"/>
      <c r="Z211" s="413"/>
      <c r="AA211" s="490"/>
      <c r="AB211" s="413"/>
      <c r="AC211" s="413"/>
      <c r="AD211" s="413"/>
      <c r="AE211" s="490"/>
      <c r="AF211" s="413"/>
      <c r="AG211" s="413"/>
      <c r="AH211" s="413"/>
      <c r="AI211" s="490"/>
      <c r="AJ211" s="413"/>
      <c r="AK211" s="413"/>
      <c r="AL211" s="413"/>
      <c r="AM211" s="1795"/>
      <c r="AN211" s="399"/>
      <c r="AO211" s="413"/>
      <c r="AP211" s="413"/>
      <c r="AQ211" s="413"/>
      <c r="AR211" s="413"/>
      <c r="AS211" s="413"/>
      <c r="AT211" s="413"/>
      <c r="AU211" s="413"/>
      <c r="AV211" s="413"/>
    </row>
    <row r="212" spans="1:48">
      <c r="A212" s="404" t="s">
        <v>1128</v>
      </c>
      <c r="B212" s="413"/>
      <c r="C212" s="567"/>
      <c r="D212" s="573"/>
      <c r="E212" s="573"/>
      <c r="F212" s="573"/>
      <c r="G212" s="567"/>
      <c r="H212" s="573"/>
      <c r="I212" s="573"/>
      <c r="J212" s="573"/>
      <c r="K212" s="567"/>
      <c r="L212" s="573"/>
      <c r="M212" s="573"/>
      <c r="N212" s="574"/>
      <c r="O212" s="573"/>
      <c r="P212" s="573"/>
      <c r="Q212" s="573"/>
      <c r="R212" s="574"/>
      <c r="S212" s="573"/>
      <c r="T212" s="573"/>
      <c r="U212" s="573"/>
      <c r="V212" s="573"/>
      <c r="W212" s="567"/>
      <c r="X212" s="573"/>
      <c r="Y212" s="413"/>
      <c r="Z212" s="413"/>
      <c r="AA212" s="490"/>
      <c r="AB212" s="413"/>
      <c r="AC212" s="413"/>
      <c r="AD212" s="413"/>
      <c r="AE212" s="490"/>
      <c r="AF212" s="413"/>
      <c r="AG212" s="413"/>
      <c r="AH212" s="413"/>
      <c r="AI212" s="490"/>
      <c r="AJ212" s="413"/>
      <c r="AK212" s="413"/>
      <c r="AL212" s="413"/>
      <c r="AM212" s="1795"/>
      <c r="AN212" s="399"/>
      <c r="AO212" s="413"/>
      <c r="AP212" s="413"/>
      <c r="AQ212" s="413"/>
      <c r="AR212" s="413"/>
      <c r="AS212" s="413"/>
      <c r="AT212" s="413"/>
      <c r="AU212" s="413"/>
      <c r="AV212" s="413"/>
    </row>
    <row r="213" spans="1:48">
      <c r="A213" s="365" t="s">
        <v>709</v>
      </c>
      <c r="B213" s="456"/>
      <c r="C213" s="815"/>
      <c r="D213" s="456"/>
      <c r="E213" s="456"/>
      <c r="F213" s="456"/>
      <c r="G213" s="815"/>
      <c r="H213" s="456"/>
      <c r="I213" s="456"/>
      <c r="J213" s="456"/>
      <c r="K213" s="815"/>
      <c r="L213" s="456"/>
      <c r="M213" s="456"/>
      <c r="N213" s="868"/>
      <c r="O213" s="456"/>
      <c r="P213" s="456"/>
      <c r="Q213" s="456"/>
      <c r="R213" s="868"/>
      <c r="S213" s="456">
        <v>-416000</v>
      </c>
      <c r="T213" s="456">
        <v>-534000</v>
      </c>
      <c r="U213" s="456">
        <v>-466000</v>
      </c>
      <c r="V213" s="456">
        <v>-361000</v>
      </c>
      <c r="W213" s="815">
        <v>-334000</v>
      </c>
      <c r="X213" s="456">
        <v>-348000</v>
      </c>
      <c r="Y213" s="456">
        <v>-341000</v>
      </c>
      <c r="Z213" s="456">
        <v>-386000</v>
      </c>
      <c r="AA213" s="815">
        <v>-387000</v>
      </c>
      <c r="AB213" s="456">
        <v>-330000</v>
      </c>
      <c r="AC213" s="456">
        <v>-373000</v>
      </c>
      <c r="AD213" s="456">
        <v>-398000</v>
      </c>
      <c r="AE213" s="815">
        <v>-410000</v>
      </c>
      <c r="AF213" s="456">
        <v>0</v>
      </c>
      <c r="AG213" s="456">
        <v>0</v>
      </c>
      <c r="AH213" s="456">
        <v>0</v>
      </c>
      <c r="AI213" s="815">
        <v>0</v>
      </c>
      <c r="AJ213" s="456">
        <v>0</v>
      </c>
      <c r="AK213" s="456">
        <v>0</v>
      </c>
      <c r="AL213" s="456">
        <v>0</v>
      </c>
      <c r="AM213" s="1795"/>
      <c r="AN213" s="399"/>
      <c r="AO213" s="456">
        <v>-1777000</v>
      </c>
      <c r="AP213" s="456">
        <v>-1409000</v>
      </c>
      <c r="AQ213" s="456">
        <v>-1488000</v>
      </c>
      <c r="AR213" s="456">
        <v>-410000</v>
      </c>
      <c r="AS213" s="456">
        <v>0</v>
      </c>
      <c r="AT213" s="456">
        <v>0</v>
      </c>
      <c r="AU213" s="456">
        <v>0</v>
      </c>
      <c r="AV213" s="456">
        <v>0</v>
      </c>
    </row>
    <row r="214" spans="1:48">
      <c r="A214" s="365" t="s">
        <v>642</v>
      </c>
      <c r="B214" s="596"/>
      <c r="C214" s="921"/>
      <c r="D214" s="922"/>
      <c r="E214" s="922"/>
      <c r="F214" s="922"/>
      <c r="G214" s="921"/>
      <c r="H214" s="922"/>
      <c r="I214" s="922"/>
      <c r="J214" s="922"/>
      <c r="K214" s="921"/>
      <c r="L214" s="922"/>
      <c r="M214" s="922"/>
      <c r="N214" s="923"/>
      <c r="O214" s="908"/>
      <c r="P214" s="908"/>
      <c r="Q214" s="908"/>
      <c r="R214" s="923"/>
      <c r="S214" s="456">
        <v>31000</v>
      </c>
      <c r="T214" s="456">
        <v>11000</v>
      </c>
      <c r="U214" s="456">
        <v>14000</v>
      </c>
      <c r="V214" s="456">
        <v>9000</v>
      </c>
      <c r="W214" s="815">
        <v>6000</v>
      </c>
      <c r="X214" s="456">
        <v>-1000</v>
      </c>
      <c r="Y214" s="456">
        <v>8000</v>
      </c>
      <c r="Z214" s="456">
        <v>5000</v>
      </c>
      <c r="AA214" s="815">
        <v>0</v>
      </c>
      <c r="AB214" s="456">
        <v>159000</v>
      </c>
      <c r="AC214" s="456">
        <v>784000</v>
      </c>
      <c r="AD214" s="456">
        <v>0</v>
      </c>
      <c r="AE214" s="815">
        <v>0</v>
      </c>
      <c r="AF214" s="456">
        <v>0</v>
      </c>
      <c r="AG214" s="456">
        <v>0</v>
      </c>
      <c r="AH214" s="456">
        <v>0</v>
      </c>
      <c r="AI214" s="815">
        <v>0</v>
      </c>
      <c r="AJ214" s="456">
        <v>0</v>
      </c>
      <c r="AK214" s="456">
        <v>0</v>
      </c>
      <c r="AL214" s="456">
        <v>0</v>
      </c>
      <c r="AM214" s="1795"/>
      <c r="AN214" s="399"/>
      <c r="AO214" s="456">
        <v>65000</v>
      </c>
      <c r="AP214" s="456">
        <v>18000</v>
      </c>
      <c r="AQ214" s="456">
        <v>943000</v>
      </c>
      <c r="AR214" s="456">
        <v>0</v>
      </c>
      <c r="AS214" s="456">
        <v>0</v>
      </c>
      <c r="AT214" s="456">
        <v>0</v>
      </c>
      <c r="AU214" s="456">
        <v>0</v>
      </c>
      <c r="AV214" s="456">
        <v>0</v>
      </c>
    </row>
    <row r="215" spans="1:48">
      <c r="A215" s="365" t="s">
        <v>710</v>
      </c>
      <c r="B215" s="596"/>
      <c r="C215" s="921"/>
      <c r="D215" s="922"/>
      <c r="E215" s="922"/>
      <c r="F215" s="922"/>
      <c r="G215" s="921"/>
      <c r="H215" s="922"/>
      <c r="I215" s="922"/>
      <c r="J215" s="922"/>
      <c r="K215" s="921"/>
      <c r="L215" s="922"/>
      <c r="M215" s="922"/>
      <c r="N215" s="923"/>
      <c r="O215" s="908"/>
      <c r="P215" s="908"/>
      <c r="Q215" s="908"/>
      <c r="R215" s="923"/>
      <c r="S215" s="456">
        <v>0</v>
      </c>
      <c r="T215" s="456">
        <v>0</v>
      </c>
      <c r="U215" s="456">
        <v>0</v>
      </c>
      <c r="V215" s="456">
        <v>0</v>
      </c>
      <c r="W215" s="815">
        <v>0</v>
      </c>
      <c r="X215" s="456">
        <v>0</v>
      </c>
      <c r="Y215" s="456">
        <v>0</v>
      </c>
      <c r="Z215" s="456">
        <v>0</v>
      </c>
      <c r="AA215" s="815">
        <v>-657000</v>
      </c>
      <c r="AB215" s="456">
        <v>-164000</v>
      </c>
      <c r="AC215" s="456">
        <v>-123000</v>
      </c>
      <c r="AD215" s="456">
        <v>0</v>
      </c>
      <c r="AE215" s="815">
        <v>0</v>
      </c>
      <c r="AF215" s="456">
        <v>0</v>
      </c>
      <c r="AG215" s="456">
        <v>0</v>
      </c>
      <c r="AH215" s="456">
        <v>0</v>
      </c>
      <c r="AI215" s="815">
        <v>0</v>
      </c>
      <c r="AJ215" s="456">
        <v>0</v>
      </c>
      <c r="AK215" s="456">
        <v>0</v>
      </c>
      <c r="AL215" s="456">
        <v>0</v>
      </c>
      <c r="AM215" s="1795"/>
      <c r="AN215" s="399"/>
      <c r="AO215" s="456">
        <v>0</v>
      </c>
      <c r="AP215" s="456">
        <v>0</v>
      </c>
      <c r="AQ215" s="456">
        <v>-944000</v>
      </c>
      <c r="AR215" s="456">
        <v>0</v>
      </c>
      <c r="AS215" s="456">
        <v>0</v>
      </c>
      <c r="AT215" s="456">
        <v>0</v>
      </c>
      <c r="AU215" s="456">
        <v>0</v>
      </c>
      <c r="AV215" s="456">
        <v>0</v>
      </c>
    </row>
    <row r="216" spans="1:48">
      <c r="A216" s="365" t="s">
        <v>643</v>
      </c>
      <c r="B216" s="596"/>
      <c r="C216" s="921"/>
      <c r="D216" s="922"/>
      <c r="E216" s="922"/>
      <c r="F216" s="922"/>
      <c r="G216" s="921"/>
      <c r="H216" s="922"/>
      <c r="I216" s="922"/>
      <c r="J216" s="922"/>
      <c r="K216" s="921"/>
      <c r="L216" s="922"/>
      <c r="M216" s="922"/>
      <c r="N216" s="923"/>
      <c r="O216" s="908"/>
      <c r="P216" s="908"/>
      <c r="Q216" s="908"/>
      <c r="R216" s="923"/>
      <c r="S216" s="456">
        <v>0</v>
      </c>
      <c r="T216" s="456">
        <v>0</v>
      </c>
      <c r="U216" s="456">
        <v>0</v>
      </c>
      <c r="V216" s="456">
        <v>0</v>
      </c>
      <c r="W216" s="815">
        <v>0</v>
      </c>
      <c r="X216" s="456">
        <v>0</v>
      </c>
      <c r="Y216" s="456">
        <v>0</v>
      </c>
      <c r="Z216" s="456">
        <v>0</v>
      </c>
      <c r="AA216" s="815">
        <v>0</v>
      </c>
      <c r="AB216" s="456">
        <v>0</v>
      </c>
      <c r="AC216" s="456">
        <v>0</v>
      </c>
      <c r="AD216" s="456">
        <v>0</v>
      </c>
      <c r="AE216" s="815">
        <v>0</v>
      </c>
      <c r="AF216" s="456">
        <v>0</v>
      </c>
      <c r="AG216" s="456">
        <v>0</v>
      </c>
      <c r="AH216" s="456">
        <v>0</v>
      </c>
      <c r="AI216" s="815">
        <v>0</v>
      </c>
      <c r="AJ216" s="456">
        <v>0</v>
      </c>
      <c r="AK216" s="456">
        <v>0</v>
      </c>
      <c r="AL216" s="456">
        <v>0</v>
      </c>
      <c r="AM216" s="1795"/>
      <c r="AN216" s="399"/>
      <c r="AO216" s="456">
        <v>0</v>
      </c>
      <c r="AP216" s="456">
        <v>0</v>
      </c>
      <c r="AQ216" s="456">
        <v>0</v>
      </c>
      <c r="AR216" s="456">
        <v>0</v>
      </c>
      <c r="AS216" s="456">
        <v>0</v>
      </c>
      <c r="AT216" s="456">
        <v>0</v>
      </c>
      <c r="AU216" s="456">
        <v>0</v>
      </c>
      <c r="AV216" s="456">
        <v>0</v>
      </c>
    </row>
    <row r="217" spans="1:48">
      <c r="A217" s="365" t="s">
        <v>792</v>
      </c>
      <c r="B217" s="917"/>
      <c r="C217" s="918"/>
      <c r="D217" s="870"/>
      <c r="E217" s="870"/>
      <c r="F217" s="870"/>
      <c r="G217" s="918"/>
      <c r="H217" s="870"/>
      <c r="I217" s="870"/>
      <c r="J217" s="870"/>
      <c r="K217" s="918"/>
      <c r="L217" s="870"/>
      <c r="M217" s="870"/>
      <c r="N217" s="919"/>
      <c r="O217" s="870"/>
      <c r="P217" s="870"/>
      <c r="Q217" s="870"/>
      <c r="R217" s="919"/>
      <c r="S217" s="456">
        <v>5000</v>
      </c>
      <c r="T217" s="456">
        <v>2000</v>
      </c>
      <c r="U217" s="456">
        <v>10000</v>
      </c>
      <c r="V217" s="456">
        <v>2000</v>
      </c>
      <c r="W217" s="815">
        <v>-8000</v>
      </c>
      <c r="X217" s="456">
        <v>1000</v>
      </c>
      <c r="Y217" s="456">
        <v>1000</v>
      </c>
      <c r="Z217" s="456">
        <v>-9000</v>
      </c>
      <c r="AA217" s="815">
        <v>1000</v>
      </c>
      <c r="AB217" s="456">
        <v>-1000</v>
      </c>
      <c r="AC217" s="456">
        <v>1000</v>
      </c>
      <c r="AD217" s="456">
        <v>0</v>
      </c>
      <c r="AE217" s="815">
        <v>2000</v>
      </c>
      <c r="AF217" s="456">
        <v>0</v>
      </c>
      <c r="AG217" s="456">
        <v>0</v>
      </c>
      <c r="AH217" s="456">
        <v>0</v>
      </c>
      <c r="AI217" s="815">
        <v>0</v>
      </c>
      <c r="AJ217" s="456">
        <v>0</v>
      </c>
      <c r="AK217" s="456">
        <v>0</v>
      </c>
      <c r="AL217" s="456">
        <v>0</v>
      </c>
      <c r="AM217" s="1795"/>
      <c r="AN217" s="399"/>
      <c r="AO217" s="456">
        <v>19000</v>
      </c>
      <c r="AP217" s="456">
        <v>-15000</v>
      </c>
      <c r="AQ217" s="456">
        <v>1000</v>
      </c>
      <c r="AR217" s="456">
        <v>2000</v>
      </c>
      <c r="AS217" s="456">
        <v>0</v>
      </c>
      <c r="AT217" s="456">
        <v>0</v>
      </c>
      <c r="AU217" s="456">
        <v>0</v>
      </c>
      <c r="AV217" s="456">
        <v>0</v>
      </c>
    </row>
    <row r="218" spans="1:48">
      <c r="A218" s="364" t="s">
        <v>711</v>
      </c>
      <c r="B218" s="917"/>
      <c r="C218" s="918"/>
      <c r="D218" s="870"/>
      <c r="E218" s="870"/>
      <c r="F218" s="870"/>
      <c r="G218" s="918"/>
      <c r="H218" s="870"/>
      <c r="I218" s="870"/>
      <c r="J218" s="870"/>
      <c r="K218" s="918"/>
      <c r="L218" s="870"/>
      <c r="M218" s="870"/>
      <c r="N218" s="919"/>
      <c r="O218" s="870"/>
      <c r="P218" s="870"/>
      <c r="Q218" s="870"/>
      <c r="R218" s="919"/>
      <c r="S218" s="870">
        <v>-380000</v>
      </c>
      <c r="T218" s="870">
        <v>-521000</v>
      </c>
      <c r="U218" s="870">
        <v>-442000</v>
      </c>
      <c r="V218" s="870">
        <v>-350000</v>
      </c>
      <c r="W218" s="918">
        <v>-336000</v>
      </c>
      <c r="X218" s="870">
        <v>-348000</v>
      </c>
      <c r="Y218" s="870">
        <v>-332000</v>
      </c>
      <c r="Z218" s="870">
        <v>-390000</v>
      </c>
      <c r="AA218" s="918">
        <v>-1043000</v>
      </c>
      <c r="AB218" s="870">
        <v>-336000</v>
      </c>
      <c r="AC218" s="870">
        <v>289000</v>
      </c>
      <c r="AD218" s="870">
        <v>-398000</v>
      </c>
      <c r="AE218" s="918">
        <v>-408000</v>
      </c>
      <c r="AF218" s="870">
        <v>0</v>
      </c>
      <c r="AG218" s="870">
        <v>0</v>
      </c>
      <c r="AH218" s="870">
        <v>0</v>
      </c>
      <c r="AI218" s="918">
        <v>0</v>
      </c>
      <c r="AJ218" s="870">
        <v>0</v>
      </c>
      <c r="AK218" s="870">
        <v>0</v>
      </c>
      <c r="AL218" s="870">
        <v>0</v>
      </c>
      <c r="AM218" s="1795"/>
      <c r="AN218" s="399"/>
      <c r="AO218" s="870">
        <v>-1693000</v>
      </c>
      <c r="AP218" s="870">
        <v>-1406000</v>
      </c>
      <c r="AQ218" s="870">
        <v>-1488000</v>
      </c>
      <c r="AR218" s="870">
        <v>-408000</v>
      </c>
      <c r="AS218" s="870">
        <v>0</v>
      </c>
      <c r="AT218" s="870">
        <v>0</v>
      </c>
      <c r="AU218" s="870">
        <v>0</v>
      </c>
      <c r="AV218" s="870">
        <v>0</v>
      </c>
    </row>
    <row r="219" spans="1:48">
      <c r="A219" s="272"/>
      <c r="B219" s="413"/>
      <c r="C219" s="490"/>
      <c r="D219" s="413"/>
      <c r="E219" s="413"/>
      <c r="F219" s="413"/>
      <c r="G219" s="490"/>
      <c r="H219" s="413"/>
      <c r="I219" s="413"/>
      <c r="J219" s="413"/>
      <c r="K219" s="490"/>
      <c r="L219" s="413"/>
      <c r="M219" s="413"/>
      <c r="N219" s="414"/>
      <c r="O219" s="413"/>
      <c r="P219" s="413"/>
      <c r="Q219" s="413"/>
      <c r="R219" s="414"/>
      <c r="S219" s="413"/>
      <c r="T219" s="413"/>
      <c r="U219" s="413"/>
      <c r="V219" s="413"/>
      <c r="W219" s="490"/>
      <c r="X219" s="413"/>
      <c r="Y219" s="413"/>
      <c r="Z219" s="413"/>
      <c r="AA219" s="490"/>
      <c r="AB219" s="413"/>
      <c r="AC219" s="413"/>
      <c r="AD219" s="413"/>
      <c r="AE219" s="490"/>
      <c r="AF219" s="413"/>
      <c r="AG219" s="413"/>
      <c r="AH219" s="413"/>
      <c r="AI219" s="490"/>
      <c r="AJ219" s="413"/>
      <c r="AK219" s="413"/>
      <c r="AL219" s="413"/>
      <c r="AM219" s="1795"/>
      <c r="AN219" s="399"/>
      <c r="AO219" s="413"/>
      <c r="AP219" s="413"/>
      <c r="AQ219" s="413"/>
      <c r="AR219" s="413"/>
      <c r="AS219" s="413"/>
      <c r="AT219" s="413"/>
      <c r="AU219" s="413"/>
      <c r="AV219" s="413"/>
    </row>
    <row r="220" spans="1:48">
      <c r="A220" s="924" t="s">
        <v>1132</v>
      </c>
      <c r="B220" s="413"/>
      <c r="C220" s="490"/>
      <c r="D220" s="413"/>
      <c r="E220" s="413"/>
      <c r="F220" s="413"/>
      <c r="G220" s="490"/>
      <c r="H220" s="413"/>
      <c r="I220" s="413"/>
      <c r="J220" s="413"/>
      <c r="K220" s="490"/>
      <c r="L220" s="413"/>
      <c r="M220" s="413"/>
      <c r="N220" s="414"/>
      <c r="O220" s="413"/>
      <c r="P220" s="413"/>
      <c r="Q220" s="413"/>
      <c r="R220" s="414"/>
      <c r="S220" s="413"/>
      <c r="T220" s="413"/>
      <c r="U220" s="413"/>
      <c r="V220" s="413"/>
      <c r="W220" s="490"/>
      <c r="X220" s="413"/>
      <c r="Y220" s="413"/>
      <c r="Z220" s="413"/>
      <c r="AA220" s="490"/>
      <c r="AB220" s="413"/>
      <c r="AC220" s="413"/>
      <c r="AD220" s="413"/>
      <c r="AE220" s="490"/>
      <c r="AF220" s="413"/>
      <c r="AG220" s="413"/>
      <c r="AH220" s="413"/>
      <c r="AI220" s="490"/>
      <c r="AJ220" s="413"/>
      <c r="AK220" s="413"/>
      <c r="AL220" s="413"/>
      <c r="AM220" s="1795"/>
      <c r="AN220" s="399"/>
      <c r="AO220" s="413"/>
      <c r="AP220" s="413"/>
      <c r="AQ220" s="413"/>
      <c r="AR220" s="413"/>
      <c r="AS220" s="413"/>
      <c r="AT220" s="413"/>
      <c r="AU220" s="413"/>
      <c r="AV220" s="413"/>
    </row>
    <row r="221" spans="1:48">
      <c r="A221" s="365" t="s">
        <v>712</v>
      </c>
      <c r="B221" s="596"/>
      <c r="C221" s="815"/>
      <c r="D221" s="456"/>
      <c r="E221" s="456"/>
      <c r="F221" s="456"/>
      <c r="G221" s="815"/>
      <c r="H221" s="456"/>
      <c r="I221" s="456"/>
      <c r="J221" s="456"/>
      <c r="K221" s="815"/>
      <c r="L221" s="456"/>
      <c r="M221" s="456"/>
      <c r="N221" s="868"/>
      <c r="O221" s="908"/>
      <c r="P221" s="908"/>
      <c r="Q221" s="908"/>
      <c r="R221" s="910"/>
      <c r="S221" s="456">
        <v>0</v>
      </c>
      <c r="T221" s="456">
        <v>0</v>
      </c>
      <c r="U221" s="456">
        <v>0</v>
      </c>
      <c r="V221" s="456">
        <v>0</v>
      </c>
      <c r="W221" s="815">
        <v>0</v>
      </c>
      <c r="X221" s="456">
        <v>738000</v>
      </c>
      <c r="Y221" s="456">
        <v>532000</v>
      </c>
      <c r="Z221" s="456">
        <v>0</v>
      </c>
      <c r="AA221" s="815">
        <v>775000</v>
      </c>
      <c r="AB221" s="456">
        <v>0</v>
      </c>
      <c r="AC221" s="456">
        <v>0</v>
      </c>
      <c r="AD221" s="456">
        <v>0</v>
      </c>
      <c r="AE221" s="815">
        <v>0</v>
      </c>
      <c r="AF221" s="456">
        <v>0</v>
      </c>
      <c r="AG221" s="456">
        <v>0</v>
      </c>
      <c r="AH221" s="456">
        <v>0</v>
      </c>
      <c r="AI221" s="815">
        <v>0</v>
      </c>
      <c r="AJ221" s="456">
        <v>0</v>
      </c>
      <c r="AK221" s="456">
        <v>0</v>
      </c>
      <c r="AL221" s="456">
        <v>0</v>
      </c>
      <c r="AM221" s="1795"/>
      <c r="AN221" s="399"/>
      <c r="AO221" s="456">
        <v>0</v>
      </c>
      <c r="AP221" s="456">
        <v>1270000</v>
      </c>
      <c r="AQ221" s="456">
        <v>775000</v>
      </c>
      <c r="AR221" s="456">
        <v>0</v>
      </c>
      <c r="AS221" s="456">
        <v>0</v>
      </c>
      <c r="AT221" s="456">
        <v>0</v>
      </c>
      <c r="AU221" s="456">
        <v>0</v>
      </c>
      <c r="AV221" s="456">
        <v>0</v>
      </c>
    </row>
    <row r="222" spans="1:48">
      <c r="A222" s="365" t="s">
        <v>713</v>
      </c>
      <c r="B222" s="596"/>
      <c r="C222" s="815"/>
      <c r="D222" s="456"/>
      <c r="E222" s="456"/>
      <c r="F222" s="456"/>
      <c r="G222" s="815"/>
      <c r="H222" s="456"/>
      <c r="I222" s="456"/>
      <c r="J222" s="456"/>
      <c r="K222" s="815"/>
      <c r="L222" s="456"/>
      <c r="M222" s="456"/>
      <c r="N222" s="868"/>
      <c r="O222" s="908"/>
      <c r="P222" s="908"/>
      <c r="Q222" s="908"/>
      <c r="R222" s="868"/>
      <c r="S222" s="456">
        <v>-9000</v>
      </c>
      <c r="T222" s="456">
        <v>-14000</v>
      </c>
      <c r="U222" s="456">
        <v>-182000</v>
      </c>
      <c r="V222" s="456">
        <v>-426000</v>
      </c>
      <c r="W222" s="815">
        <v>-239000</v>
      </c>
      <c r="X222" s="456">
        <v>-9000</v>
      </c>
      <c r="Y222" s="456">
        <v>-571000</v>
      </c>
      <c r="Z222" s="456">
        <v>-8000</v>
      </c>
      <c r="AA222" s="815">
        <v>-1495000</v>
      </c>
      <c r="AB222" s="456">
        <v>-510000</v>
      </c>
      <c r="AC222" s="456">
        <v>-232000</v>
      </c>
      <c r="AD222" s="456">
        <v>-1142000</v>
      </c>
      <c r="AE222" s="815">
        <v>-203000</v>
      </c>
      <c r="AF222" s="456">
        <v>0</v>
      </c>
      <c r="AG222" s="456">
        <v>0</v>
      </c>
      <c r="AH222" s="456">
        <v>0</v>
      </c>
      <c r="AI222" s="815">
        <v>0</v>
      </c>
      <c r="AJ222" s="456">
        <v>0</v>
      </c>
      <c r="AK222" s="456">
        <v>0</v>
      </c>
      <c r="AL222" s="456">
        <v>0</v>
      </c>
      <c r="AM222" s="1795"/>
      <c r="AN222" s="399"/>
      <c r="AO222" s="456">
        <v>-631000</v>
      </c>
      <c r="AP222" s="456">
        <v>-827000</v>
      </c>
      <c r="AQ222" s="456">
        <v>-3379000</v>
      </c>
      <c r="AR222" s="456">
        <v>-203000</v>
      </c>
      <c r="AS222" s="456">
        <v>0</v>
      </c>
      <c r="AT222" s="456">
        <v>0</v>
      </c>
      <c r="AU222" s="456">
        <v>0</v>
      </c>
      <c r="AV222" s="456">
        <v>0</v>
      </c>
    </row>
    <row r="223" spans="1:48">
      <c r="A223" s="365" t="s">
        <v>714</v>
      </c>
      <c r="B223" s="596"/>
      <c r="C223" s="815"/>
      <c r="D223" s="456"/>
      <c r="E223" s="456"/>
      <c r="F223" s="456"/>
      <c r="G223" s="815"/>
      <c r="H223" s="456"/>
      <c r="I223" s="456"/>
      <c r="J223" s="456"/>
      <c r="K223" s="815"/>
      <c r="L223" s="456"/>
      <c r="M223" s="456"/>
      <c r="N223" s="868"/>
      <c r="O223" s="908"/>
      <c r="P223" s="908"/>
      <c r="Q223" s="908"/>
      <c r="R223" s="868"/>
      <c r="S223" s="456">
        <v>0</v>
      </c>
      <c r="T223" s="456">
        <v>0</v>
      </c>
      <c r="U223" s="456">
        <v>0</v>
      </c>
      <c r="V223" s="456">
        <v>0</v>
      </c>
      <c r="W223" s="815">
        <v>0</v>
      </c>
      <c r="X223" s="456">
        <v>0</v>
      </c>
      <c r="Y223" s="456">
        <v>0</v>
      </c>
      <c r="Z223" s="456">
        <v>0</v>
      </c>
      <c r="AA223" s="815">
        <v>0</v>
      </c>
      <c r="AB223" s="456">
        <v>0</v>
      </c>
      <c r="AC223" s="456">
        <v>0</v>
      </c>
      <c r="AD223" s="456">
        <v>0</v>
      </c>
      <c r="AE223" s="815">
        <v>0</v>
      </c>
      <c r="AF223" s="456">
        <v>0</v>
      </c>
      <c r="AG223" s="456">
        <v>0</v>
      </c>
      <c r="AH223" s="456">
        <v>0</v>
      </c>
      <c r="AI223" s="815">
        <v>0</v>
      </c>
      <c r="AJ223" s="456">
        <v>0</v>
      </c>
      <c r="AK223" s="456">
        <v>0</v>
      </c>
      <c r="AL223" s="456">
        <v>0</v>
      </c>
      <c r="AM223" s="1795"/>
      <c r="AN223" s="399"/>
      <c r="AO223" s="456">
        <v>0</v>
      </c>
      <c r="AP223" s="456">
        <v>0</v>
      </c>
      <c r="AQ223" s="456">
        <v>0</v>
      </c>
      <c r="AR223" s="456">
        <v>0</v>
      </c>
      <c r="AS223" s="456">
        <v>0</v>
      </c>
      <c r="AT223" s="456">
        <v>0</v>
      </c>
      <c r="AU223" s="456">
        <v>0</v>
      </c>
      <c r="AV223" s="456">
        <v>0</v>
      </c>
    </row>
    <row r="224" spans="1:48">
      <c r="A224" s="365" t="s">
        <v>715</v>
      </c>
      <c r="B224" s="596"/>
      <c r="C224" s="815"/>
      <c r="D224" s="456"/>
      <c r="E224" s="456"/>
      <c r="F224" s="456"/>
      <c r="G224" s="815"/>
      <c r="H224" s="456"/>
      <c r="I224" s="456"/>
      <c r="J224" s="456"/>
      <c r="K224" s="815"/>
      <c r="L224" s="456"/>
      <c r="M224" s="456"/>
      <c r="N224" s="868"/>
      <c r="O224" s="908"/>
      <c r="P224" s="908"/>
      <c r="Q224" s="908"/>
      <c r="R224" s="868"/>
      <c r="S224" s="456">
        <v>5000</v>
      </c>
      <c r="T224" s="456">
        <v>12000</v>
      </c>
      <c r="U224" s="456">
        <v>14000</v>
      </c>
      <c r="V224" s="456">
        <v>11000</v>
      </c>
      <c r="W224" s="815">
        <v>16000</v>
      </c>
      <c r="X224" s="456">
        <v>18000</v>
      </c>
      <c r="Y224" s="456">
        <v>11000</v>
      </c>
      <c r="Z224" s="456">
        <v>12000</v>
      </c>
      <c r="AA224" s="815">
        <v>11000</v>
      </c>
      <c r="AB224" s="456">
        <v>6000</v>
      </c>
      <c r="AC224" s="456">
        <v>24000</v>
      </c>
      <c r="AD224" s="456">
        <v>26000</v>
      </c>
      <c r="AE224" s="815">
        <v>14000</v>
      </c>
      <c r="AF224" s="456">
        <v>0</v>
      </c>
      <c r="AG224" s="456">
        <v>0</v>
      </c>
      <c r="AH224" s="456">
        <v>0</v>
      </c>
      <c r="AI224" s="815">
        <v>0</v>
      </c>
      <c r="AJ224" s="456">
        <v>0</v>
      </c>
      <c r="AK224" s="456">
        <v>0</v>
      </c>
      <c r="AL224" s="456">
        <v>0</v>
      </c>
      <c r="AM224" s="1795"/>
      <c r="AN224" s="399"/>
      <c r="AO224" s="456">
        <v>42000</v>
      </c>
      <c r="AP224" s="456">
        <v>57000</v>
      </c>
      <c r="AQ224" s="456">
        <v>67000</v>
      </c>
      <c r="AR224" s="456">
        <v>14000</v>
      </c>
      <c r="AS224" s="456">
        <v>0</v>
      </c>
      <c r="AT224" s="456">
        <v>0</v>
      </c>
      <c r="AU224" s="456">
        <v>0</v>
      </c>
      <c r="AV224" s="456">
        <v>0</v>
      </c>
    </row>
    <row r="225" spans="1:48">
      <c r="A225" s="365" t="s">
        <v>716</v>
      </c>
      <c r="B225" s="596"/>
      <c r="C225" s="815"/>
      <c r="D225" s="456"/>
      <c r="E225" s="456"/>
      <c r="F225" s="456"/>
      <c r="G225" s="815"/>
      <c r="H225" s="456"/>
      <c r="I225" s="456"/>
      <c r="J225" s="456"/>
      <c r="K225" s="815"/>
      <c r="L225" s="456"/>
      <c r="M225" s="456"/>
      <c r="N225" s="868"/>
      <c r="O225" s="908"/>
      <c r="P225" s="908"/>
      <c r="Q225" s="908"/>
      <c r="R225" s="868"/>
      <c r="S225" s="456">
        <v>-169000</v>
      </c>
      <c r="T225" s="456">
        <v>-89000</v>
      </c>
      <c r="U225" s="456">
        <v>-162000</v>
      </c>
      <c r="V225" s="456">
        <v>0</v>
      </c>
      <c r="W225" s="815">
        <v>0</v>
      </c>
      <c r="X225" s="456">
        <v>0</v>
      </c>
      <c r="Y225" s="456">
        <v>0</v>
      </c>
      <c r="Z225" s="456">
        <v>0</v>
      </c>
      <c r="AA225" s="815">
        <v>0</v>
      </c>
      <c r="AB225" s="456">
        <v>0</v>
      </c>
      <c r="AC225" s="456">
        <v>0</v>
      </c>
      <c r="AD225" s="456">
        <v>0</v>
      </c>
      <c r="AE225" s="815">
        <v>0</v>
      </c>
      <c r="AF225" s="456">
        <v>0</v>
      </c>
      <c r="AG225" s="456">
        <v>0</v>
      </c>
      <c r="AH225" s="456">
        <v>0</v>
      </c>
      <c r="AI225" s="815">
        <v>0</v>
      </c>
      <c r="AJ225" s="456">
        <v>0</v>
      </c>
      <c r="AK225" s="456">
        <v>0</v>
      </c>
      <c r="AL225" s="456">
        <v>0</v>
      </c>
      <c r="AM225" s="1795"/>
      <c r="AN225" s="399"/>
      <c r="AO225" s="456">
        <v>-420000</v>
      </c>
      <c r="AP225" s="456">
        <v>0</v>
      </c>
      <c r="AQ225" s="456">
        <v>0</v>
      </c>
      <c r="AR225" s="456">
        <v>0</v>
      </c>
      <c r="AS225" s="456">
        <v>0</v>
      </c>
      <c r="AT225" s="456">
        <v>0</v>
      </c>
      <c r="AU225" s="456">
        <v>0</v>
      </c>
      <c r="AV225" s="456">
        <v>0</v>
      </c>
    </row>
    <row r="226" spans="1:48">
      <c r="A226" s="365" t="s">
        <v>1142</v>
      </c>
      <c r="B226" s="413"/>
      <c r="C226" s="815"/>
      <c r="D226" s="456"/>
      <c r="E226" s="456"/>
      <c r="F226" s="456"/>
      <c r="G226" s="815"/>
      <c r="H226" s="456"/>
      <c r="I226" s="456"/>
      <c r="J226" s="456"/>
      <c r="K226" s="815"/>
      <c r="L226" s="456"/>
      <c r="M226" s="456"/>
      <c r="N226" s="868"/>
      <c r="O226" s="908"/>
      <c r="P226" s="908"/>
      <c r="Q226" s="908"/>
      <c r="R226" s="910"/>
      <c r="S226" s="456">
        <v>-142000</v>
      </c>
      <c r="T226" s="456">
        <v>-140000</v>
      </c>
      <c r="U226" s="456">
        <v>-150000</v>
      </c>
      <c r="V226" s="456">
        <v>-136000</v>
      </c>
      <c r="W226" s="815">
        <v>-137000</v>
      </c>
      <c r="X226" s="456">
        <v>-137000</v>
      </c>
      <c r="Y226" s="456">
        <v>-138000</v>
      </c>
      <c r="Z226" s="456">
        <v>-139000</v>
      </c>
      <c r="AA226" s="815">
        <v>-138000</v>
      </c>
      <c r="AB226" s="456">
        <v>-139000</v>
      </c>
      <c r="AC226" s="456">
        <v>-139000</v>
      </c>
      <c r="AD226" s="456">
        <v>-139000</v>
      </c>
      <c r="AE226" s="815">
        <v>-141000</v>
      </c>
      <c r="AF226" s="456">
        <v>0</v>
      </c>
      <c r="AG226" s="456">
        <v>0</v>
      </c>
      <c r="AH226" s="456">
        <v>0</v>
      </c>
      <c r="AI226" s="815">
        <v>0</v>
      </c>
      <c r="AJ226" s="456">
        <v>0</v>
      </c>
      <c r="AK226" s="456">
        <v>0</v>
      </c>
      <c r="AL226" s="456">
        <v>0</v>
      </c>
      <c r="AM226" s="1795"/>
      <c r="AN226" s="399"/>
      <c r="AO226" s="456">
        <v>-568000</v>
      </c>
      <c r="AP226" s="456">
        <v>-551000</v>
      </c>
      <c r="AQ226" s="456">
        <v>-555000</v>
      </c>
      <c r="AR226" s="456">
        <v>-141000</v>
      </c>
      <c r="AS226" s="456">
        <v>0</v>
      </c>
      <c r="AT226" s="456">
        <v>0</v>
      </c>
      <c r="AU226" s="456">
        <v>0</v>
      </c>
      <c r="AV226" s="456">
        <v>0</v>
      </c>
    </row>
    <row r="227" spans="1:48">
      <c r="A227" s="365" t="s">
        <v>644</v>
      </c>
      <c r="B227" s="413"/>
      <c r="C227" s="815"/>
      <c r="D227" s="908"/>
      <c r="E227" s="908"/>
      <c r="F227" s="925"/>
      <c r="G227" s="815"/>
      <c r="H227" s="908"/>
      <c r="I227" s="908"/>
      <c r="J227" s="925"/>
      <c r="K227" s="815"/>
      <c r="L227" s="908"/>
      <c r="M227" s="908"/>
      <c r="N227" s="926"/>
      <c r="O227" s="925"/>
      <c r="P227" s="925"/>
      <c r="Q227" s="925"/>
      <c r="R227" s="926"/>
      <c r="S227" s="456">
        <v>0</v>
      </c>
      <c r="T227" s="456">
        <v>0</v>
      </c>
      <c r="U227" s="456">
        <v>0</v>
      </c>
      <c r="V227" s="456">
        <v>0</v>
      </c>
      <c r="W227" s="815">
        <v>0</v>
      </c>
      <c r="X227" s="456">
        <v>0</v>
      </c>
      <c r="Y227" s="456">
        <v>0</v>
      </c>
      <c r="Z227" s="456">
        <v>0</v>
      </c>
      <c r="AA227" s="815">
        <v>0</v>
      </c>
      <c r="AB227" s="456">
        <v>0</v>
      </c>
      <c r="AC227" s="456">
        <v>0</v>
      </c>
      <c r="AD227" s="456">
        <v>0</v>
      </c>
      <c r="AE227" s="815">
        <v>0</v>
      </c>
      <c r="AF227" s="456">
        <v>0</v>
      </c>
      <c r="AG227" s="456">
        <v>0</v>
      </c>
      <c r="AH227" s="456">
        <v>0</v>
      </c>
      <c r="AI227" s="815">
        <v>0</v>
      </c>
      <c r="AJ227" s="456">
        <v>0</v>
      </c>
      <c r="AK227" s="456">
        <v>0</v>
      </c>
      <c r="AL227" s="456">
        <v>0</v>
      </c>
      <c r="AM227" s="1795"/>
      <c r="AN227" s="399"/>
      <c r="AO227" s="456">
        <v>0</v>
      </c>
      <c r="AP227" s="456">
        <v>0</v>
      </c>
      <c r="AQ227" s="456">
        <v>0</v>
      </c>
      <c r="AR227" s="456">
        <v>0</v>
      </c>
      <c r="AS227" s="456">
        <v>0</v>
      </c>
      <c r="AT227" s="456">
        <v>0</v>
      </c>
      <c r="AU227" s="456">
        <v>0</v>
      </c>
      <c r="AV227" s="456">
        <v>0</v>
      </c>
    </row>
    <row r="228" spans="1:48">
      <c r="A228" s="365" t="s">
        <v>792</v>
      </c>
      <c r="B228" s="582"/>
      <c r="C228" s="909"/>
      <c r="D228" s="908"/>
      <c r="E228" s="908"/>
      <c r="F228" s="908"/>
      <c r="G228" s="909"/>
      <c r="H228" s="908"/>
      <c r="I228" s="908"/>
      <c r="J228" s="908"/>
      <c r="K228" s="909"/>
      <c r="L228" s="908"/>
      <c r="M228" s="908"/>
      <c r="N228" s="910"/>
      <c r="O228" s="908"/>
      <c r="P228" s="908"/>
      <c r="Q228" s="908"/>
      <c r="R228" s="910"/>
      <c r="S228" s="456">
        <v>39000</v>
      </c>
      <c r="T228" s="456">
        <v>-36000</v>
      </c>
      <c r="U228" s="456">
        <v>64000</v>
      </c>
      <c r="V228" s="456">
        <v>-28000</v>
      </c>
      <c r="W228" s="815">
        <v>15000</v>
      </c>
      <c r="X228" s="456">
        <v>-12000</v>
      </c>
      <c r="Y228" s="456">
        <v>7000</v>
      </c>
      <c r="Z228" s="456">
        <v>-19000</v>
      </c>
      <c r="AA228" s="815">
        <v>-42000</v>
      </c>
      <c r="AB228" s="456">
        <v>-18000</v>
      </c>
      <c r="AC228" s="456">
        <v>-16000</v>
      </c>
      <c r="AD228" s="456">
        <v>-745000</v>
      </c>
      <c r="AE228" s="815">
        <v>13000</v>
      </c>
      <c r="AF228" s="456">
        <v>0</v>
      </c>
      <c r="AG228" s="456">
        <v>0</v>
      </c>
      <c r="AH228" s="456">
        <v>0</v>
      </c>
      <c r="AI228" s="815">
        <v>0</v>
      </c>
      <c r="AJ228" s="456">
        <v>0</v>
      </c>
      <c r="AK228" s="456">
        <v>0</v>
      </c>
      <c r="AL228" s="456">
        <v>0</v>
      </c>
      <c r="AM228" s="1795"/>
      <c r="AN228" s="399"/>
      <c r="AO228" s="456">
        <v>39000</v>
      </c>
      <c r="AP228" s="456">
        <v>-9000</v>
      </c>
      <c r="AQ228" s="456">
        <v>-821000</v>
      </c>
      <c r="AR228" s="456">
        <v>13000</v>
      </c>
      <c r="AS228" s="456">
        <v>0</v>
      </c>
      <c r="AT228" s="456">
        <v>0</v>
      </c>
      <c r="AU228" s="456">
        <v>0</v>
      </c>
      <c r="AV228" s="456">
        <v>0</v>
      </c>
    </row>
    <row r="229" spans="1:48">
      <c r="A229" s="364" t="s">
        <v>717</v>
      </c>
      <c r="B229" s="596"/>
      <c r="C229" s="918"/>
      <c r="D229" s="870"/>
      <c r="E229" s="870"/>
      <c r="F229" s="870"/>
      <c r="G229" s="918"/>
      <c r="H229" s="870"/>
      <c r="I229" s="870"/>
      <c r="J229" s="870"/>
      <c r="K229" s="918"/>
      <c r="L229" s="870"/>
      <c r="M229" s="870"/>
      <c r="N229" s="919"/>
      <c r="O229" s="870"/>
      <c r="P229" s="870"/>
      <c r="Q229" s="870"/>
      <c r="R229" s="919"/>
      <c r="S229" s="870">
        <v>-276000</v>
      </c>
      <c r="T229" s="870">
        <v>-267000</v>
      </c>
      <c r="U229" s="870">
        <v>-416000</v>
      </c>
      <c r="V229" s="870">
        <v>-579000</v>
      </c>
      <c r="W229" s="918">
        <v>-345000</v>
      </c>
      <c r="X229" s="870">
        <v>598000</v>
      </c>
      <c r="Y229" s="870">
        <v>-159000</v>
      </c>
      <c r="Z229" s="870">
        <v>-154000</v>
      </c>
      <c r="AA229" s="918">
        <v>-889000</v>
      </c>
      <c r="AB229" s="870">
        <v>-661000</v>
      </c>
      <c r="AC229" s="870">
        <v>-363000</v>
      </c>
      <c r="AD229" s="870">
        <v>-2000000</v>
      </c>
      <c r="AE229" s="918">
        <v>-317000</v>
      </c>
      <c r="AF229" s="870">
        <v>0</v>
      </c>
      <c r="AG229" s="870">
        <v>0</v>
      </c>
      <c r="AH229" s="870">
        <v>0</v>
      </c>
      <c r="AI229" s="918">
        <v>0</v>
      </c>
      <c r="AJ229" s="870">
        <v>0</v>
      </c>
      <c r="AK229" s="870">
        <v>0</v>
      </c>
      <c r="AL229" s="870">
        <v>0</v>
      </c>
      <c r="AM229" s="1795"/>
      <c r="AN229" s="399"/>
      <c r="AO229" s="870">
        <v>-1538000</v>
      </c>
      <c r="AP229" s="870">
        <v>-60000</v>
      </c>
      <c r="AQ229" s="870">
        <v>-3913000</v>
      </c>
      <c r="AR229" s="870">
        <v>-317000</v>
      </c>
      <c r="AS229" s="870">
        <v>0</v>
      </c>
      <c r="AT229" s="870">
        <v>0</v>
      </c>
      <c r="AU229" s="870">
        <v>0</v>
      </c>
      <c r="AV229" s="870">
        <v>0</v>
      </c>
    </row>
    <row r="230" spans="1:48">
      <c r="A230" s="916"/>
      <c r="B230" s="917"/>
      <c r="C230" s="927"/>
      <c r="D230" s="917"/>
      <c r="E230" s="917"/>
      <c r="F230" s="917"/>
      <c r="G230" s="927"/>
      <c r="H230" s="917"/>
      <c r="I230" s="917"/>
      <c r="J230" s="917"/>
      <c r="K230" s="927"/>
      <c r="L230" s="917"/>
      <c r="M230" s="917"/>
      <c r="N230" s="928"/>
      <c r="O230" s="917"/>
      <c r="P230" s="917"/>
      <c r="Q230" s="917"/>
      <c r="R230" s="928"/>
      <c r="S230" s="870"/>
      <c r="T230" s="917"/>
      <c r="U230" s="917"/>
      <c r="V230" s="917"/>
      <c r="W230" s="927"/>
      <c r="X230" s="917"/>
      <c r="Y230" s="413"/>
      <c r="Z230" s="413"/>
      <c r="AA230" s="490"/>
      <c r="AB230" s="413"/>
      <c r="AC230" s="413"/>
      <c r="AD230" s="413"/>
      <c r="AE230" s="490"/>
      <c r="AF230" s="413"/>
      <c r="AG230" s="413"/>
      <c r="AH230" s="413"/>
      <c r="AI230" s="490"/>
      <c r="AJ230" s="413"/>
      <c r="AK230" s="413"/>
      <c r="AL230" s="413"/>
      <c r="AM230" s="1795"/>
      <c r="AN230" s="399"/>
      <c r="AO230" s="413"/>
      <c r="AP230" s="413"/>
      <c r="AQ230" s="413"/>
      <c r="AR230" s="413"/>
      <c r="AS230" s="413"/>
      <c r="AT230" s="413"/>
      <c r="AU230" s="413"/>
      <c r="AV230" s="413"/>
    </row>
    <row r="231" spans="1:48">
      <c r="A231" s="364" t="s">
        <v>1138</v>
      </c>
      <c r="B231" s="413"/>
      <c r="C231" s="789"/>
      <c r="D231" s="467"/>
      <c r="E231" s="467"/>
      <c r="F231" s="467"/>
      <c r="G231" s="789"/>
      <c r="H231" s="467"/>
      <c r="I231" s="467"/>
      <c r="J231" s="467"/>
      <c r="K231" s="789"/>
      <c r="L231" s="467"/>
      <c r="M231" s="467"/>
      <c r="N231" s="790"/>
      <c r="O231" s="467"/>
      <c r="P231" s="467"/>
      <c r="Q231" s="467"/>
      <c r="R231" s="790"/>
      <c r="S231" s="467">
        <v>-275000</v>
      </c>
      <c r="T231" s="467">
        <v>128000</v>
      </c>
      <c r="U231" s="467">
        <v>-177000</v>
      </c>
      <c r="V231" s="467">
        <v>-21000</v>
      </c>
      <c r="W231" s="789">
        <v>-24000</v>
      </c>
      <c r="X231" s="467">
        <v>1255000</v>
      </c>
      <c r="Y231" s="467">
        <v>278000</v>
      </c>
      <c r="Z231" s="467">
        <v>332000</v>
      </c>
      <c r="AA231" s="789">
        <v>-1252000</v>
      </c>
      <c r="AB231" s="467">
        <v>-78000</v>
      </c>
      <c r="AC231" s="467">
        <v>849000</v>
      </c>
      <c r="AD231" s="467">
        <v>-1595000</v>
      </c>
      <c r="AE231" s="789">
        <v>52000</v>
      </c>
      <c r="AF231" s="467">
        <v>0</v>
      </c>
      <c r="AG231" s="467">
        <v>0</v>
      </c>
      <c r="AH231" s="467">
        <v>0</v>
      </c>
      <c r="AI231" s="789">
        <v>0</v>
      </c>
      <c r="AJ231" s="467">
        <v>0</v>
      </c>
      <c r="AK231" s="467">
        <v>0</v>
      </c>
      <c r="AL231" s="467">
        <v>0</v>
      </c>
      <c r="AM231" s="1795"/>
      <c r="AN231" s="399"/>
      <c r="AO231" s="467">
        <v>-345000</v>
      </c>
      <c r="AP231" s="467">
        <v>1841000</v>
      </c>
      <c r="AQ231" s="467">
        <v>-2554000</v>
      </c>
      <c r="AR231" s="467">
        <v>52000</v>
      </c>
      <c r="AS231" s="467">
        <v>0</v>
      </c>
      <c r="AT231" s="467">
        <v>0</v>
      </c>
      <c r="AU231" s="467">
        <v>0</v>
      </c>
      <c r="AV231" s="467">
        <v>0</v>
      </c>
    </row>
    <row r="232" spans="1:48">
      <c r="A232" s="364"/>
      <c r="B232" s="413"/>
      <c r="C232" s="789"/>
      <c r="D232" s="467"/>
      <c r="E232" s="467"/>
      <c r="F232" s="467"/>
      <c r="G232" s="789"/>
      <c r="H232" s="467"/>
      <c r="I232" s="467"/>
      <c r="J232" s="467"/>
      <c r="K232" s="789"/>
      <c r="L232" s="467"/>
      <c r="M232" s="467"/>
      <c r="N232" s="790"/>
      <c r="O232" s="467"/>
      <c r="P232" s="467"/>
      <c r="Q232" s="467"/>
      <c r="R232" s="790"/>
      <c r="S232" s="467"/>
      <c r="T232" s="467"/>
      <c r="U232" s="467"/>
      <c r="V232" s="467"/>
      <c r="W232" s="789"/>
      <c r="X232" s="467"/>
      <c r="Y232" s="467"/>
      <c r="Z232" s="467"/>
      <c r="AA232" s="789"/>
      <c r="AB232" s="467"/>
      <c r="AC232" s="467"/>
      <c r="AD232" s="467"/>
      <c r="AE232" s="789"/>
      <c r="AF232" s="467"/>
      <c r="AG232" s="467"/>
      <c r="AH232" s="467"/>
      <c r="AI232" s="789"/>
      <c r="AJ232" s="467"/>
      <c r="AK232" s="467"/>
      <c r="AL232" s="467"/>
      <c r="AM232" s="1795"/>
      <c r="AN232" s="399"/>
      <c r="AO232" s="467"/>
      <c r="AP232" s="467"/>
      <c r="AQ232" s="467"/>
      <c r="AR232" s="467"/>
      <c r="AS232" s="467"/>
      <c r="AT232" s="467"/>
      <c r="AU232" s="467"/>
      <c r="AV232" s="467"/>
    </row>
    <row r="233" spans="1:48">
      <c r="A233" s="365" t="s">
        <v>1139</v>
      </c>
      <c r="B233" s="413"/>
      <c r="C233" s="815"/>
      <c r="D233" s="456"/>
      <c r="E233" s="456"/>
      <c r="F233" s="456"/>
      <c r="G233" s="815"/>
      <c r="H233" s="456"/>
      <c r="I233" s="456"/>
      <c r="J233" s="456"/>
      <c r="K233" s="815"/>
      <c r="L233" s="456"/>
      <c r="M233" s="456"/>
      <c r="N233" s="868"/>
      <c r="O233" s="456"/>
      <c r="P233" s="456"/>
      <c r="Q233" s="456"/>
      <c r="R233" s="868"/>
      <c r="S233" s="456">
        <v>910000</v>
      </c>
      <c r="T233" s="456">
        <v>635000</v>
      </c>
      <c r="U233" s="456">
        <v>763000</v>
      </c>
      <c r="V233" s="456">
        <v>586000</v>
      </c>
      <c r="W233" s="815">
        <v>565000</v>
      </c>
      <c r="X233" s="456">
        <v>541000</v>
      </c>
      <c r="Y233" s="456">
        <v>1796000</v>
      </c>
      <c r="Z233" s="456">
        <v>2074000</v>
      </c>
      <c r="AA233" s="815">
        <v>2406000</v>
      </c>
      <c r="AB233" s="456">
        <v>1154000</v>
      </c>
      <c r="AC233" s="456">
        <v>1076000</v>
      </c>
      <c r="AD233" s="456">
        <v>1925000</v>
      </c>
      <c r="AE233" s="815">
        <v>330000</v>
      </c>
      <c r="AF233" s="456">
        <v>382000</v>
      </c>
      <c r="AG233" s="456">
        <v>382000</v>
      </c>
      <c r="AH233" s="456">
        <v>382000</v>
      </c>
      <c r="AI233" s="815">
        <v>382000</v>
      </c>
      <c r="AJ233" s="456">
        <v>382000</v>
      </c>
      <c r="AK233" s="456">
        <v>382000</v>
      </c>
      <c r="AL233" s="456">
        <v>382000</v>
      </c>
      <c r="AM233" s="1795"/>
      <c r="AN233" s="399"/>
      <c r="AO233" s="456">
        <v>0</v>
      </c>
      <c r="AP233" s="456">
        <v>-345000</v>
      </c>
      <c r="AQ233" s="456">
        <v>1496000</v>
      </c>
      <c r="AR233" s="456">
        <v>-1058000</v>
      </c>
      <c r="AS233" s="456">
        <v>-1006000</v>
      </c>
      <c r="AT233" s="456">
        <v>-1006000</v>
      </c>
      <c r="AU233" s="456">
        <v>-1006000</v>
      </c>
      <c r="AV233" s="456">
        <v>-1006000</v>
      </c>
    </row>
    <row r="234" spans="1:48">
      <c r="A234" s="404" t="s">
        <v>1140</v>
      </c>
      <c r="B234" s="870"/>
      <c r="C234" s="918"/>
      <c r="D234" s="870"/>
      <c r="E234" s="870"/>
      <c r="F234" s="870"/>
      <c r="G234" s="918"/>
      <c r="H234" s="870"/>
      <c r="I234" s="870"/>
      <c r="J234" s="870"/>
      <c r="K234" s="918"/>
      <c r="L234" s="870"/>
      <c r="M234" s="870"/>
      <c r="N234" s="919"/>
      <c r="O234" s="870"/>
      <c r="P234" s="870"/>
      <c r="Q234" s="870"/>
      <c r="R234" s="919"/>
      <c r="S234" s="870">
        <v>635000</v>
      </c>
      <c r="T234" s="870">
        <v>763000</v>
      </c>
      <c r="U234" s="870">
        <v>586000</v>
      </c>
      <c r="V234" s="870">
        <v>565000</v>
      </c>
      <c r="W234" s="918">
        <v>541000</v>
      </c>
      <c r="X234" s="870">
        <v>1796000</v>
      </c>
      <c r="Y234" s="870">
        <v>2074000</v>
      </c>
      <c r="Z234" s="870">
        <v>2406000</v>
      </c>
      <c r="AA234" s="918">
        <v>1154000</v>
      </c>
      <c r="AB234" s="870">
        <v>1076000</v>
      </c>
      <c r="AC234" s="870">
        <v>1925000</v>
      </c>
      <c r="AD234" s="870">
        <v>330000</v>
      </c>
      <c r="AE234" s="918">
        <v>382000</v>
      </c>
      <c r="AF234" s="870">
        <v>382000</v>
      </c>
      <c r="AG234" s="870">
        <v>382000</v>
      </c>
      <c r="AH234" s="919">
        <v>382000</v>
      </c>
      <c r="AI234" s="918">
        <v>382000</v>
      </c>
      <c r="AJ234" s="870">
        <v>382000</v>
      </c>
      <c r="AK234" s="870">
        <v>382000</v>
      </c>
      <c r="AL234" s="919">
        <v>382000</v>
      </c>
      <c r="AM234" s="1795"/>
      <c r="AN234" s="399"/>
      <c r="AO234" s="870">
        <v>-345000</v>
      </c>
      <c r="AP234" s="870">
        <v>1496000</v>
      </c>
      <c r="AQ234" s="870">
        <v>-1058000</v>
      </c>
      <c r="AR234" s="870">
        <v>-1006000</v>
      </c>
      <c r="AS234" s="870">
        <v>-1006000</v>
      </c>
      <c r="AT234" s="870">
        <v>-1006000</v>
      </c>
      <c r="AU234" s="870">
        <v>-1006000</v>
      </c>
      <c r="AV234" s="870">
        <v>-1006000</v>
      </c>
    </row>
    <row r="235" spans="1:48">
      <c r="A235" s="404"/>
      <c r="B235" s="870"/>
      <c r="C235" s="918"/>
      <c r="D235" s="870"/>
      <c r="E235" s="870"/>
      <c r="F235" s="870"/>
      <c r="G235" s="918"/>
      <c r="H235" s="870"/>
      <c r="I235" s="870"/>
      <c r="J235" s="870"/>
      <c r="K235" s="918"/>
      <c r="L235" s="870"/>
      <c r="M235" s="870"/>
      <c r="N235" s="919"/>
      <c r="O235" s="870"/>
      <c r="P235" s="870"/>
      <c r="Q235" s="870"/>
      <c r="R235" s="919"/>
      <c r="S235" s="870"/>
      <c r="T235" s="870"/>
      <c r="U235" s="870"/>
      <c r="V235" s="870"/>
      <c r="W235" s="918"/>
      <c r="X235" s="870"/>
      <c r="Y235" s="870"/>
      <c r="Z235" s="870"/>
      <c r="AA235" s="918"/>
      <c r="AB235" s="870"/>
      <c r="AC235" s="870"/>
      <c r="AD235" s="870"/>
      <c r="AE235" s="918"/>
      <c r="AF235" s="870"/>
      <c r="AG235" s="870"/>
      <c r="AH235" s="870"/>
      <c r="AI235" s="918"/>
      <c r="AJ235" s="870"/>
      <c r="AK235" s="870"/>
      <c r="AL235" s="400"/>
      <c r="AM235" s="1795"/>
      <c r="AN235" s="399"/>
      <c r="AO235" s="870"/>
      <c r="AP235" s="870"/>
      <c r="AQ235" s="870"/>
      <c r="AR235" s="870"/>
      <c r="AS235" s="870"/>
      <c r="AT235" s="870"/>
      <c r="AU235" s="870"/>
      <c r="AV235" s="870"/>
    </row>
    <row r="236" spans="1:48">
      <c r="A236" s="929" t="s">
        <v>795</v>
      </c>
      <c r="B236" s="746"/>
      <c r="C236" s="930"/>
      <c r="D236" s="931"/>
      <c r="E236" s="931"/>
      <c r="F236" s="931"/>
      <c r="G236" s="930"/>
      <c r="H236" s="931"/>
      <c r="I236" s="931"/>
      <c r="J236" s="931"/>
      <c r="K236" s="930"/>
      <c r="L236" s="931"/>
      <c r="M236" s="931"/>
      <c r="N236" s="932"/>
      <c r="O236" s="931"/>
      <c r="P236" s="931"/>
      <c r="Q236" s="931"/>
      <c r="R236" s="932"/>
      <c r="S236" s="933">
        <v>1000</v>
      </c>
      <c r="T236" s="934">
        <v>8000</v>
      </c>
      <c r="U236" s="934">
        <v>0</v>
      </c>
      <c r="V236" s="934">
        <v>0</v>
      </c>
      <c r="W236" s="933">
        <v>0</v>
      </c>
      <c r="X236" s="934">
        <v>0</v>
      </c>
      <c r="Y236" s="934">
        <v>0</v>
      </c>
      <c r="Z236" s="934">
        <v>0</v>
      </c>
      <c r="AA236" s="933">
        <v>-42000</v>
      </c>
      <c r="AB236" s="934">
        <v>-42000</v>
      </c>
      <c r="AC236" s="934">
        <v>-42000</v>
      </c>
      <c r="AD236" s="931"/>
      <c r="AE236" s="930"/>
      <c r="AF236" s="931"/>
      <c r="AG236" s="931"/>
      <c r="AH236" s="932"/>
      <c r="AI236" s="930"/>
      <c r="AJ236" s="931"/>
      <c r="AK236" s="931"/>
      <c r="AL236" s="432"/>
      <c r="AM236" s="1795"/>
      <c r="AN236" s="399"/>
      <c r="AO236" s="456"/>
      <c r="AP236" s="456"/>
      <c r="AQ236" s="456"/>
      <c r="AR236" s="456"/>
      <c r="AS236" s="456"/>
      <c r="AT236" s="456"/>
      <c r="AU236" s="456"/>
      <c r="AV236" s="456"/>
    </row>
  </sheetData>
  <phoneticPr fontId="21" type="noConversion"/>
  <pageMargins left="0.75" right="0.75" top="1" bottom="1" header="0.5" footer="0.5"/>
  <pageSetup orientation="portrait" horizontalDpi="300" verticalDpi="300"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Y246"/>
  <sheetViews>
    <sheetView showGridLines="0" topLeftCell="A36" zoomScaleNormal="100" workbookViewId="0">
      <selection activeCell="L69" sqref="L69"/>
    </sheetView>
  </sheetViews>
  <sheetFormatPr defaultRowHeight="12.75" outlineLevelRow="1" outlineLevelCol="1"/>
  <cols>
    <col min="1" max="1" width="1.28515625" style="3153" customWidth="1"/>
    <col min="2" max="2" width="6.85546875" style="3152" customWidth="1"/>
    <col min="3" max="3" width="45.28515625" style="3152" customWidth="1"/>
    <col min="4" max="4" width="9" style="3152" customWidth="1" outlineLevel="1"/>
    <col min="5" max="5" width="10" style="3152" customWidth="1" outlineLevel="1"/>
    <col min="6" max="6" width="10.85546875" style="3152" customWidth="1" outlineLevel="1"/>
    <col min="7" max="7" width="10.7109375" style="3152" customWidth="1" outlineLevel="1"/>
    <col min="8" max="14" width="10.140625" style="3151" customWidth="1"/>
    <col min="15" max="20" width="10.140625" style="3151" customWidth="1" outlineLevel="1"/>
    <col min="21" max="21" width="3.85546875" style="3150" customWidth="1"/>
    <col min="22" max="22" width="9.140625" style="3150"/>
    <col min="23" max="23" width="9.140625" style="3147" customWidth="1"/>
    <col min="24" max="27" width="9.140625" style="3147"/>
    <col min="28" max="28" width="41.140625" bestFit="1" customWidth="1"/>
    <col min="29" max="29" width="12.5703125" bestFit="1" customWidth="1"/>
    <col min="30" max="31" width="11.28515625" bestFit="1" customWidth="1"/>
    <col min="32" max="32" width="18.140625" bestFit="1" customWidth="1"/>
    <col min="33" max="33" width="10.28515625" bestFit="1" customWidth="1"/>
    <col min="34" max="34" width="9.42578125" style="3147" hidden="1" customWidth="1"/>
    <col min="35" max="39" width="9.140625" style="3147" hidden="1" customWidth="1"/>
    <col min="40" max="40" width="108.5703125" style="3149" hidden="1" customWidth="1" outlineLevel="1"/>
    <col min="41" max="41" width="9.140625" style="3147" collapsed="1"/>
    <col min="42" max="42" width="34.42578125" style="3147" customWidth="1"/>
    <col min="43" max="43" width="9.140625" style="3147"/>
    <col min="44" max="44" width="10.42578125" style="3147" customWidth="1"/>
    <col min="45" max="47" width="9.140625" style="3147"/>
    <col min="48" max="48" width="18.28515625" style="3147" customWidth="1"/>
    <col min="49" max="50" width="9.140625" style="3147"/>
    <col min="51" max="51" width="16.85546875" style="3147" customWidth="1"/>
    <col min="52" max="52" width="13.5703125" style="3147" customWidth="1"/>
    <col min="53" max="53" width="9.42578125" style="3147" customWidth="1"/>
    <col min="54" max="54" width="8.7109375" style="3147" customWidth="1"/>
    <col min="55" max="55" width="9.140625" style="3147"/>
    <col min="56" max="56" width="7.5703125" style="3147" bestFit="1" customWidth="1"/>
    <col min="57" max="58" width="9.140625" style="3147"/>
    <col min="59" max="59" width="11.7109375" style="3148" bestFit="1" customWidth="1"/>
    <col min="60" max="61" width="9.140625" style="3147"/>
    <col min="62" max="62" width="13.28515625" style="3147" bestFit="1" customWidth="1"/>
    <col min="63" max="80" width="9.140625" style="3147"/>
    <col min="81" max="81" width="20.5703125" style="3147" customWidth="1"/>
    <col min="82" max="88" width="10.5703125" style="3147" bestFit="1" customWidth="1"/>
    <col min="89" max="16384" width="9.140625" style="3147"/>
  </cols>
  <sheetData>
    <row r="1" spans="1:88" ht="15" customHeight="1">
      <c r="A1" s="4178"/>
      <c r="B1" s="3287"/>
      <c r="C1" s="3172" t="s">
        <v>1546</v>
      </c>
      <c r="D1" s="3172"/>
      <c r="E1" s="3172"/>
      <c r="F1" s="3172"/>
      <c r="G1" s="3172"/>
      <c r="H1" s="3289" t="s">
        <v>454</v>
      </c>
      <c r="I1" s="3150"/>
      <c r="J1" s="3150"/>
      <c r="K1" s="3150">
        <f>IF(OR(ISERROR($J$2),$J$2="NA",$J$2="N/A"),2,1)</f>
        <v>1</v>
      </c>
      <c r="L1" s="3150"/>
      <c r="M1" s="3150"/>
      <c r="N1" s="3150"/>
      <c r="O1" s="3150"/>
      <c r="P1" s="3150"/>
      <c r="Q1" s="3150"/>
      <c r="R1" s="3150"/>
      <c r="S1" s="3150"/>
      <c r="T1" s="3150"/>
      <c r="V1" s="3147"/>
    </row>
    <row r="2" spans="1:88" ht="17.25" customHeight="1">
      <c r="A2" s="4178"/>
      <c r="B2" s="3287"/>
      <c r="C2" s="3172" t="s">
        <v>1545</v>
      </c>
      <c r="D2" s="3172"/>
      <c r="E2" s="3172"/>
      <c r="F2" s="3172"/>
      <c r="G2" s="3172"/>
      <c r="H2" s="3286" t="s">
        <v>1544</v>
      </c>
      <c r="I2" s="3150"/>
      <c r="J2" s="3285">
        <v>2185046</v>
      </c>
      <c r="K2" s="3236"/>
      <c r="L2" s="3236"/>
      <c r="M2" s="3236"/>
      <c r="N2" s="3236"/>
      <c r="O2" s="3236"/>
      <c r="P2" s="3236"/>
      <c r="Q2" s="3236"/>
      <c r="R2" s="3236"/>
      <c r="S2" s="3236"/>
      <c r="T2" s="3236"/>
      <c r="V2" s="3147"/>
    </row>
    <row r="3" spans="1:88" ht="18.75" hidden="1" customHeight="1" outlineLevel="1">
      <c r="A3" s="3288"/>
      <c r="B3" s="3287"/>
      <c r="C3" s="3172" t="s">
        <v>1543</v>
      </c>
      <c r="D3" s="3172"/>
      <c r="E3" s="3172"/>
      <c r="F3" s="3172"/>
      <c r="G3" s="3172"/>
      <c r="H3" s="3286">
        <f>IF(OR(ISERROR($J$2),$J$2="NA",$J$2="N/A"),$J$3,J2)</f>
        <v>2185046</v>
      </c>
      <c r="I3" s="3150"/>
      <c r="J3" s="3285">
        <f>_xll.ThomsonONEAddinShim.SpreadsheetFormulas.TF($H$1,"TF.SEDOL7()")</f>
        <v>2185046</v>
      </c>
      <c r="K3" s="3150"/>
      <c r="L3" s="3150"/>
      <c r="M3" s="3150"/>
      <c r="N3" s="3150"/>
      <c r="O3" s="3150"/>
      <c r="P3" s="3150"/>
      <c r="Q3" s="3150"/>
      <c r="R3" s="3150"/>
      <c r="S3" s="3150"/>
      <c r="T3" s="3150"/>
      <c r="V3" s="3147"/>
      <c r="CD3" s="3284"/>
      <c r="CE3" s="3284"/>
      <c r="CF3" s="3284"/>
      <c r="CG3" s="3284"/>
      <c r="CH3" s="3284"/>
      <c r="CI3" s="3284">
        <f>IF(CI27&lt;&gt;"",CI38,"")</f>
        <v>2018</v>
      </c>
      <c r="CJ3" s="3284">
        <f>IF(CJ27&lt;&gt;"",CJ38,"")</f>
        <v>2019</v>
      </c>
    </row>
    <row r="4" spans="1:88" s="3148" customFormat="1" collapsed="1">
      <c r="A4" s="3162"/>
      <c r="B4" s="3237"/>
      <c r="C4" s="3283"/>
      <c r="D4" s="3283"/>
      <c r="E4" s="3283"/>
      <c r="F4" s="3283"/>
      <c r="G4" s="3283"/>
      <c r="H4" s="3236"/>
      <c r="I4" s="3236"/>
      <c r="J4" s="3236"/>
      <c r="K4" s="3236"/>
      <c r="L4" s="3236"/>
      <c r="M4" s="3236"/>
      <c r="N4" s="3236"/>
      <c r="O4" s="3236"/>
      <c r="P4" s="3236"/>
      <c r="Q4" s="3236"/>
      <c r="R4" s="3236"/>
      <c r="S4" s="3236"/>
      <c r="T4" s="3236"/>
      <c r="U4" s="3236"/>
      <c r="AB4"/>
      <c r="AC4"/>
      <c r="AD4"/>
      <c r="AE4"/>
      <c r="AF4"/>
      <c r="AG4"/>
      <c r="AN4" s="3156"/>
      <c r="AY4" s="3282"/>
      <c r="AZ4" s="3282"/>
      <c r="BA4" s="3282"/>
      <c r="BB4" s="3282"/>
    </row>
    <row r="5" spans="1:88" customFormat="1" ht="12.75" customHeight="1" outlineLevel="1"/>
    <row r="6" spans="1:88">
      <c r="A6" s="3162"/>
      <c r="B6" s="3172" t="s">
        <v>1542</v>
      </c>
      <c r="C6" s="3172" t="s">
        <v>1541</v>
      </c>
      <c r="D6" s="3171">
        <v>2009</v>
      </c>
      <c r="E6" s="3171">
        <v>2010</v>
      </c>
      <c r="F6" s="3171">
        <v>2011</v>
      </c>
      <c r="G6" s="3171">
        <v>2012</v>
      </c>
      <c r="H6" s="3171">
        <v>2013</v>
      </c>
      <c r="I6" s="3171">
        <v>2014</v>
      </c>
      <c r="J6" s="3171">
        <v>2015</v>
      </c>
      <c r="K6" s="3192">
        <v>2016</v>
      </c>
      <c r="L6" s="3192">
        <v>2017</v>
      </c>
      <c r="M6" s="3192">
        <v>2018</v>
      </c>
      <c r="N6" s="3192">
        <v>2019</v>
      </c>
      <c r="O6" s="3192">
        <v>2020</v>
      </c>
      <c r="P6" s="3192">
        <v>2021</v>
      </c>
      <c r="Q6" s="3192">
        <v>2022</v>
      </c>
      <c r="R6" s="3192">
        <v>2023</v>
      </c>
      <c r="S6" s="3192">
        <v>2024</v>
      </c>
      <c r="T6" s="3192">
        <v>2025</v>
      </c>
      <c r="V6" s="3147"/>
      <c r="AY6" s="3243"/>
      <c r="AZ6" s="3243"/>
      <c r="BA6" s="3243"/>
      <c r="BB6" s="3243"/>
      <c r="BG6" s="3221">
        <f>VALUE(RIGHT(BG7,4))</f>
        <v>2016</v>
      </c>
    </row>
    <row r="7" spans="1:88" ht="7.5" customHeight="1">
      <c r="A7" s="3162"/>
      <c r="C7" s="3175"/>
      <c r="D7" s="3175"/>
      <c r="E7" s="3175"/>
      <c r="F7" s="3175"/>
      <c r="G7" s="3175"/>
      <c r="H7" s="3170"/>
      <c r="I7" s="3170"/>
      <c r="J7" s="3208"/>
      <c r="K7" s="3208"/>
      <c r="L7" s="3208"/>
      <c r="M7" s="3208"/>
      <c r="N7" s="3208"/>
      <c r="O7" s="3208"/>
      <c r="P7" s="3208"/>
      <c r="Q7" s="3208"/>
      <c r="R7" s="3208"/>
      <c r="S7" s="3208"/>
      <c r="T7" s="3208"/>
      <c r="V7" s="3147"/>
      <c r="BG7" s="3148" t="str">
        <f>IF($AZ$19="NA","NA",(MONTH($AZ$19)&amp;"/"&amp;YEAR($AZ$19)))</f>
        <v>12/2016</v>
      </c>
    </row>
    <row r="8" spans="1:88">
      <c r="A8" s="3162"/>
      <c r="C8" s="3150" t="s">
        <v>1540</v>
      </c>
      <c r="D8" s="3263">
        <v>6.7500000000000004E-2</v>
      </c>
      <c r="E8" s="3263">
        <v>5.2499999999999998E-2</v>
      </c>
      <c r="F8" s="3263">
        <v>4.6799999999999994E-2</v>
      </c>
      <c r="G8" s="3263">
        <v>3.7249999999999998E-2</v>
      </c>
      <c r="H8" s="3263">
        <v>4.6500000000000007E-2</v>
      </c>
      <c r="I8" s="3263">
        <v>3.7999999999999999E-2</v>
      </c>
      <c r="J8" s="3263">
        <v>3.7999999999999999E-2</v>
      </c>
      <c r="K8" s="3263">
        <v>0.04</v>
      </c>
      <c r="L8" s="3263">
        <v>3.7999999999999999E-2</v>
      </c>
      <c r="M8" s="3268">
        <f t="shared" ref="M8:T8" si="0">+L8</f>
        <v>3.7999999999999999E-2</v>
      </c>
      <c r="N8" s="3268">
        <f t="shared" si="0"/>
        <v>3.7999999999999999E-2</v>
      </c>
      <c r="O8" s="3268">
        <f t="shared" si="0"/>
        <v>3.7999999999999999E-2</v>
      </c>
      <c r="P8" s="3268">
        <f t="shared" si="0"/>
        <v>3.7999999999999999E-2</v>
      </c>
      <c r="Q8" s="3268">
        <f t="shared" si="0"/>
        <v>3.7999999999999999E-2</v>
      </c>
      <c r="R8" s="3268">
        <f t="shared" si="0"/>
        <v>3.7999999999999999E-2</v>
      </c>
      <c r="S8" s="3268">
        <f t="shared" si="0"/>
        <v>3.7999999999999999E-2</v>
      </c>
      <c r="T8" s="3268">
        <f t="shared" si="0"/>
        <v>3.7999999999999999E-2</v>
      </c>
      <c r="V8" s="3147"/>
      <c r="AN8" s="3264" t="s">
        <v>1539</v>
      </c>
      <c r="AY8" s="3243"/>
      <c r="AZ8" s="3281"/>
      <c r="BA8" s="3281"/>
      <c r="BB8" s="3243"/>
      <c r="BG8" s="3261">
        <f>_xll.ThomsonONEAddinShim.SpreadsheetFormulas.TF(Sedol,$AN8,"dataDir=across",trSdate,trEdate)</f>
        <v>5.2999999999999999E-2</v>
      </c>
      <c r="BH8" s="3264">
        <v>4.6799999999999994E-2</v>
      </c>
      <c r="BI8" s="3269">
        <v>3.7249999999999998E-2</v>
      </c>
      <c r="BJ8" s="3269">
        <v>4.6500000000000007E-2</v>
      </c>
      <c r="BK8" s="3269">
        <v>3.7999999999999999E-2</v>
      </c>
      <c r="BL8" s="3269">
        <v>0.04</v>
      </c>
      <c r="BM8" s="3269">
        <v>0</v>
      </c>
      <c r="BN8" s="3269">
        <v>3.7999999999999999E-2</v>
      </c>
    </row>
    <row r="9" spans="1:88" ht="12.75" hidden="1" customHeight="1" outlineLevel="1">
      <c r="A9" s="3162"/>
      <c r="C9" s="3150" t="s">
        <v>1538</v>
      </c>
      <c r="D9" s="3280">
        <v>0.1</v>
      </c>
      <c r="E9" s="3280">
        <v>0.1</v>
      </c>
      <c r="F9" s="3280">
        <v>0.1</v>
      </c>
      <c r="G9" s="3280">
        <v>0.1</v>
      </c>
      <c r="H9" s="3280">
        <v>0.1</v>
      </c>
      <c r="I9" s="3280">
        <v>0.1</v>
      </c>
      <c r="J9" s="3280">
        <v>0.1</v>
      </c>
      <c r="K9" s="3280">
        <v>0.1</v>
      </c>
      <c r="L9" s="3280">
        <v>0.1</v>
      </c>
      <c r="M9" s="3279">
        <f t="shared" ref="M9:T9" si="1">+L9</f>
        <v>0.1</v>
      </c>
      <c r="N9" s="3279">
        <f t="shared" si="1"/>
        <v>0.1</v>
      </c>
      <c r="O9" s="3279">
        <f t="shared" si="1"/>
        <v>0.1</v>
      </c>
      <c r="P9" s="3279">
        <f t="shared" si="1"/>
        <v>0.1</v>
      </c>
      <c r="Q9" s="3279">
        <f t="shared" si="1"/>
        <v>0.1</v>
      </c>
      <c r="R9" s="3279">
        <f t="shared" si="1"/>
        <v>0.1</v>
      </c>
      <c r="S9" s="3279">
        <f t="shared" si="1"/>
        <v>0.1</v>
      </c>
      <c r="T9" s="3279">
        <f t="shared" si="1"/>
        <v>0.1</v>
      </c>
      <c r="V9" s="3147"/>
      <c r="AZ9" s="3150"/>
      <c r="BA9" s="3250"/>
      <c r="BB9" s="3250"/>
      <c r="BC9" s="3250"/>
      <c r="BD9" s="3250"/>
      <c r="BG9" s="3278"/>
      <c r="BH9" s="3149"/>
    </row>
    <row r="10" spans="1:88" ht="12.75" hidden="1" customHeight="1" outlineLevel="1">
      <c r="A10" s="3162"/>
      <c r="C10" s="3150" t="s">
        <v>1537</v>
      </c>
      <c r="D10" s="3273">
        <v>10</v>
      </c>
      <c r="E10" s="3273">
        <v>10</v>
      </c>
      <c r="F10" s="3273">
        <v>10</v>
      </c>
      <c r="G10" s="3273">
        <v>10</v>
      </c>
      <c r="H10" s="3273">
        <v>10</v>
      </c>
      <c r="I10" s="3273">
        <v>10</v>
      </c>
      <c r="J10" s="3273">
        <v>10</v>
      </c>
      <c r="K10" s="3273">
        <v>10</v>
      </c>
      <c r="L10" s="3273">
        <v>10</v>
      </c>
      <c r="M10" s="3277">
        <f t="shared" ref="M10:T10" si="2">+L10</f>
        <v>10</v>
      </c>
      <c r="N10" s="3277">
        <f t="shared" si="2"/>
        <v>10</v>
      </c>
      <c r="O10" s="3277">
        <f t="shared" si="2"/>
        <v>10</v>
      </c>
      <c r="P10" s="3277">
        <f t="shared" si="2"/>
        <v>10</v>
      </c>
      <c r="Q10" s="3277">
        <f t="shared" si="2"/>
        <v>10</v>
      </c>
      <c r="R10" s="3277">
        <f t="shared" si="2"/>
        <v>10</v>
      </c>
      <c r="S10" s="3277">
        <f t="shared" si="2"/>
        <v>10</v>
      </c>
      <c r="T10" s="3277">
        <f t="shared" si="2"/>
        <v>10</v>
      </c>
      <c r="V10" s="3147"/>
      <c r="AY10" s="3276" t="s">
        <v>1536</v>
      </c>
      <c r="AZ10" s="3275"/>
      <c r="BA10" s="3274"/>
      <c r="BB10" s="3250"/>
      <c r="BC10" s="3250"/>
      <c r="BD10" s="3250"/>
      <c r="BG10" s="3273"/>
      <c r="BH10" s="3149"/>
    </row>
    <row r="11" spans="1:88" collapsed="1">
      <c r="A11" s="3162"/>
      <c r="C11" s="3150" t="s">
        <v>528</v>
      </c>
      <c r="D11" s="3263">
        <v>8.3800000000000013E-2</v>
      </c>
      <c r="E11" s="3263">
        <v>8.3800000000000013E-2</v>
      </c>
      <c r="F11" s="3263">
        <v>7.7499999999999999E-2</v>
      </c>
      <c r="G11" s="3263">
        <v>7.4999999999999997E-2</v>
      </c>
      <c r="H11" s="3263">
        <v>7.4999999999999997E-2</v>
      </c>
      <c r="I11" s="3263">
        <v>7.4999999999999997E-2</v>
      </c>
      <c r="J11" s="3263">
        <v>7.4999999999999997E-2</v>
      </c>
      <c r="K11" s="3263">
        <v>7.0000000000000007E-2</v>
      </c>
      <c r="L11" s="3263">
        <v>6.5000000000000002E-2</v>
      </c>
      <c r="M11" s="3268">
        <f t="shared" ref="M11:T11" si="3">+L11</f>
        <v>6.5000000000000002E-2</v>
      </c>
      <c r="N11" s="3268">
        <f t="shared" si="3"/>
        <v>6.5000000000000002E-2</v>
      </c>
      <c r="O11" s="3268">
        <f t="shared" si="3"/>
        <v>6.5000000000000002E-2</v>
      </c>
      <c r="P11" s="3268">
        <f t="shared" si="3"/>
        <v>6.5000000000000002E-2</v>
      </c>
      <c r="Q11" s="3268">
        <f t="shared" si="3"/>
        <v>6.5000000000000002E-2</v>
      </c>
      <c r="R11" s="3268">
        <f t="shared" si="3"/>
        <v>6.5000000000000002E-2</v>
      </c>
      <c r="S11" s="3268">
        <f t="shared" si="3"/>
        <v>6.5000000000000002E-2</v>
      </c>
      <c r="T11" s="3268">
        <f t="shared" si="3"/>
        <v>6.5000000000000002E-2</v>
      </c>
      <c r="V11" s="3147"/>
      <c r="AN11" s="3264" t="s">
        <v>1535</v>
      </c>
      <c r="AY11" s="3272" t="s">
        <v>1534</v>
      </c>
      <c r="AZ11" s="3271" t="str">
        <f>$AZ$16-1&amp;"FY"</f>
        <v>-8FY</v>
      </c>
      <c r="BA11" s="3247"/>
      <c r="BB11" s="3250"/>
      <c r="BC11" s="3270"/>
      <c r="BD11" s="3250"/>
      <c r="BG11" s="3261">
        <f>_xll.ThomsonONEAddinShim.SpreadsheetFormulas.TF(Sedol,$AN11,"dataDir=across",trSdate,trEdate)</f>
        <v>8.4000000000000005E-2</v>
      </c>
      <c r="BH11" s="3264">
        <v>7.7499999999999999E-2</v>
      </c>
      <c r="BI11" s="3269">
        <v>7.4999999999999997E-2</v>
      </c>
      <c r="BJ11" s="3269">
        <v>7.4999999999999997E-2</v>
      </c>
      <c r="BK11" s="3269">
        <v>7.4999999999999997E-2</v>
      </c>
      <c r="BL11" s="3269">
        <v>7.4999999999999997E-2</v>
      </c>
      <c r="BM11" s="3269">
        <v>7.0000000000000007E-2</v>
      </c>
      <c r="BN11" s="3269">
        <v>6.5000000000000002E-2</v>
      </c>
    </row>
    <row r="12" spans="1:88">
      <c r="A12" s="3162"/>
      <c r="C12" s="3150" t="s">
        <v>529</v>
      </c>
      <c r="D12" s="3263">
        <f t="shared" ref="D12:K12" si="4">IF(ISNUMBER(D38/D37),D38/D37,0)</f>
        <v>1.3430774027151886</v>
      </c>
      <c r="E12" s="3263">
        <f t="shared" si="4"/>
        <v>0.14992331597978201</v>
      </c>
      <c r="F12" s="3263">
        <f t="shared" si="4"/>
        <v>0.12835391596007256</v>
      </c>
      <c r="G12" s="3263">
        <f t="shared" si="4"/>
        <v>3.0472320975114273E-3</v>
      </c>
      <c r="H12" s="3263">
        <f t="shared" si="4"/>
        <v>6.5741417092768442E-2</v>
      </c>
      <c r="I12" s="3263">
        <f t="shared" si="4"/>
        <v>0.11121010853717804</v>
      </c>
      <c r="J12" s="3263">
        <f t="shared" si="4"/>
        <v>1.2807254792777027E-2</v>
      </c>
      <c r="K12" s="3263">
        <f t="shared" si="4"/>
        <v>6.8099710982658962E-2</v>
      </c>
      <c r="L12" s="3263">
        <f t="shared" ref="L12" si="5">IF(ISNUMBER(L38/L37),L38/L37,0)</f>
        <v>0.11990451707675358</v>
      </c>
      <c r="M12" s="3268">
        <f t="shared" ref="M12:T12" si="6">+M11</f>
        <v>6.5000000000000002E-2</v>
      </c>
      <c r="N12" s="3268">
        <f t="shared" si="6"/>
        <v>6.5000000000000002E-2</v>
      </c>
      <c r="O12" s="3268">
        <f t="shared" si="6"/>
        <v>6.5000000000000002E-2</v>
      </c>
      <c r="P12" s="3268">
        <f t="shared" si="6"/>
        <v>6.5000000000000002E-2</v>
      </c>
      <c r="Q12" s="3268">
        <f t="shared" si="6"/>
        <v>6.5000000000000002E-2</v>
      </c>
      <c r="R12" s="3268">
        <f t="shared" si="6"/>
        <v>6.5000000000000002E-2</v>
      </c>
      <c r="S12" s="3268">
        <f t="shared" si="6"/>
        <v>6.5000000000000002E-2</v>
      </c>
      <c r="T12" s="3268">
        <f t="shared" si="6"/>
        <v>6.5000000000000002E-2</v>
      </c>
      <c r="V12" s="3147"/>
      <c r="AN12" s="3264"/>
      <c r="AY12" s="3254" t="s">
        <v>1533</v>
      </c>
      <c r="AZ12" s="3267" t="str">
        <f>$AZ$16&amp;"FY"</f>
        <v>-7FY</v>
      </c>
      <c r="BA12" s="3266" t="str">
        <f>($AZ$15-3)&amp;"FY"</f>
        <v>-3FY</v>
      </c>
      <c r="BB12" s="3265"/>
      <c r="BC12" s="3250"/>
      <c r="BD12" s="3250"/>
      <c r="BG12" s="3261"/>
      <c r="BH12" s="3264"/>
    </row>
    <row r="13" spans="1:88">
      <c r="A13" s="3162"/>
      <c r="C13" s="3150" t="s">
        <v>530</v>
      </c>
      <c r="D13" s="3263">
        <v>0.35</v>
      </c>
      <c r="E13" s="3263">
        <v>0.35</v>
      </c>
      <c r="F13" s="3263">
        <v>0.35</v>
      </c>
      <c r="G13" s="3263">
        <v>0.35</v>
      </c>
      <c r="H13" s="3263">
        <v>0.35</v>
      </c>
      <c r="I13" s="3263">
        <v>0.35</v>
      </c>
      <c r="J13" s="3263">
        <v>0.35</v>
      </c>
      <c r="K13" s="3263">
        <v>0.35</v>
      </c>
      <c r="L13" s="3263">
        <v>0.35</v>
      </c>
      <c r="M13" s="3262">
        <v>0.21</v>
      </c>
      <c r="N13" s="3262">
        <v>0.21</v>
      </c>
      <c r="O13" s="3262">
        <v>0.21</v>
      </c>
      <c r="P13" s="3262">
        <v>0.21</v>
      </c>
      <c r="Q13" s="3262">
        <v>0.21</v>
      </c>
      <c r="R13" s="3262">
        <v>0.21</v>
      </c>
      <c r="S13" s="3262">
        <v>0.21</v>
      </c>
      <c r="T13" s="3262">
        <v>0.21</v>
      </c>
      <c r="V13" s="3147"/>
      <c r="AY13" s="3254" t="s">
        <v>1532</v>
      </c>
      <c r="AZ13" s="3257" t="str">
        <f>$AZ$15&amp;"FY"</f>
        <v>0FY</v>
      </c>
      <c r="BA13" s="3247"/>
      <c r="BB13" s="3250"/>
      <c r="BC13" s="3250"/>
      <c r="BD13" s="3250"/>
      <c r="BG13" s="3261"/>
      <c r="BH13" s="3149"/>
    </row>
    <row r="14" spans="1:88" ht="7.5" customHeight="1">
      <c r="A14" s="3162"/>
      <c r="C14" s="3175"/>
      <c r="D14" s="3175"/>
      <c r="E14" s="3175"/>
      <c r="F14" s="3175"/>
      <c r="G14" s="3175"/>
      <c r="H14" s="3170"/>
      <c r="I14" s="3170"/>
      <c r="J14" s="3208"/>
      <c r="K14" s="3208"/>
      <c r="L14" s="3208"/>
      <c r="M14" s="3208"/>
      <c r="N14" s="3208"/>
      <c r="O14" s="3208"/>
      <c r="P14" s="3208"/>
      <c r="Q14" s="3208"/>
      <c r="R14" s="3208"/>
      <c r="S14" s="3208"/>
      <c r="T14" s="3208"/>
      <c r="V14" s="3147"/>
      <c r="AY14" s="3260"/>
      <c r="AZ14" s="3259"/>
      <c r="BA14" s="3258"/>
      <c r="BG14" s="3197"/>
      <c r="BH14" s="3149"/>
    </row>
    <row r="15" spans="1:88">
      <c r="A15" s="3162"/>
      <c r="B15" s="3172" t="s">
        <v>1531</v>
      </c>
      <c r="C15" s="3172" t="s">
        <v>1530</v>
      </c>
      <c r="D15" s="3192">
        <f t="shared" ref="D15:T15" si="7">+D6</f>
        <v>2009</v>
      </c>
      <c r="E15" s="3192">
        <f t="shared" si="7"/>
        <v>2010</v>
      </c>
      <c r="F15" s="3192">
        <f t="shared" si="7"/>
        <v>2011</v>
      </c>
      <c r="G15" s="3192">
        <f t="shared" si="7"/>
        <v>2012</v>
      </c>
      <c r="H15" s="3192">
        <f t="shared" si="7"/>
        <v>2013</v>
      </c>
      <c r="I15" s="3192">
        <f t="shared" si="7"/>
        <v>2014</v>
      </c>
      <c r="J15" s="3192">
        <f t="shared" si="7"/>
        <v>2015</v>
      </c>
      <c r="K15" s="3192">
        <f t="shared" si="7"/>
        <v>2016</v>
      </c>
      <c r="L15" s="3192">
        <f t="shared" ref="L15" si="8">+L6</f>
        <v>2017</v>
      </c>
      <c r="M15" s="3192">
        <f t="shared" si="7"/>
        <v>2018</v>
      </c>
      <c r="N15" s="3192">
        <f t="shared" si="7"/>
        <v>2019</v>
      </c>
      <c r="O15" s="3192">
        <f t="shared" si="7"/>
        <v>2020</v>
      </c>
      <c r="P15" s="3192">
        <f t="shared" si="7"/>
        <v>2021</v>
      </c>
      <c r="Q15" s="3192">
        <f t="shared" si="7"/>
        <v>2022</v>
      </c>
      <c r="R15" s="3192">
        <f t="shared" si="7"/>
        <v>2023</v>
      </c>
      <c r="S15" s="3192">
        <f t="shared" si="7"/>
        <v>2024</v>
      </c>
      <c r="T15" s="3192">
        <f t="shared" si="7"/>
        <v>2025</v>
      </c>
      <c r="V15" s="3147"/>
      <c r="AY15" s="3254" t="s">
        <v>1529</v>
      </c>
      <c r="AZ15" s="3257">
        <f>IF(ISERROR($AZ$18-YEAR($AZ$19)),0,$AZ$18-YEAR($AZ$19))</f>
        <v>0</v>
      </c>
      <c r="BA15" s="3247"/>
      <c r="BB15" s="3250"/>
      <c r="BC15" s="3250"/>
      <c r="BD15" s="3250"/>
      <c r="BG15" s="3256"/>
      <c r="BH15" s="3149"/>
    </row>
    <row r="16" spans="1:88" ht="11.25" customHeight="1">
      <c r="A16" s="3162"/>
      <c r="C16" s="3175"/>
      <c r="D16" s="3175"/>
      <c r="E16" s="3175"/>
      <c r="F16" s="3175"/>
      <c r="G16" s="3175"/>
      <c r="H16" s="3240"/>
      <c r="I16" s="3240"/>
      <c r="J16" s="3193"/>
      <c r="K16" s="3193"/>
      <c r="L16" s="3193"/>
      <c r="M16" s="3193"/>
      <c r="N16" s="3193"/>
      <c r="O16" s="3193"/>
      <c r="P16" s="3193"/>
      <c r="Q16" s="3193"/>
      <c r="R16" s="3193"/>
      <c r="S16" s="3193"/>
      <c r="T16" s="3193"/>
      <c r="V16" s="3147"/>
      <c r="AY16" s="3254" t="s">
        <v>1528</v>
      </c>
      <c r="AZ16" s="3255">
        <f>AZ15-7</f>
        <v>-7</v>
      </c>
      <c r="BA16" s="3247"/>
      <c r="BB16" s="3250"/>
      <c r="BC16" s="3250"/>
      <c r="BD16" s="3250"/>
      <c r="BG16" s="3197"/>
      <c r="BH16" s="3149"/>
    </row>
    <row r="17" spans="1:100" ht="15" customHeight="1">
      <c r="A17" s="3162"/>
      <c r="B17" s="3201" t="s">
        <v>1482</v>
      </c>
      <c r="C17" s="3200" t="s">
        <v>531</v>
      </c>
      <c r="D17" s="3199"/>
      <c r="E17" s="3199"/>
      <c r="F17" s="3199"/>
      <c r="G17" s="3199"/>
      <c r="H17" s="3193"/>
      <c r="I17" s="3193"/>
      <c r="J17" s="3193"/>
      <c r="K17" s="3193"/>
      <c r="L17" s="3193"/>
      <c r="M17" s="3193"/>
      <c r="N17" s="3193"/>
      <c r="O17" s="3193"/>
      <c r="P17" s="3193"/>
      <c r="Q17" s="3193"/>
      <c r="R17" s="3193"/>
      <c r="S17" s="3193"/>
      <c r="T17" s="3193"/>
      <c r="V17" s="3147"/>
      <c r="AY17" s="3254" t="s">
        <v>1527</v>
      </c>
      <c r="AZ17" s="3253">
        <v>12</v>
      </c>
      <c r="BA17" s="3252">
        <v>12</v>
      </c>
      <c r="BB17" s="3250"/>
      <c r="BC17" s="3251"/>
      <c r="BD17" s="3250"/>
      <c r="BG17" s="3198"/>
      <c r="BH17" s="3149"/>
    </row>
    <row r="18" spans="1:100" ht="10.5" customHeight="1">
      <c r="A18" s="3162"/>
      <c r="C18" s="3175"/>
      <c r="D18" s="3175"/>
      <c r="E18" s="3175"/>
      <c r="F18" s="3175"/>
      <c r="G18" s="3175"/>
      <c r="H18" s="3170"/>
      <c r="I18" s="3170"/>
      <c r="J18" s="3208"/>
      <c r="K18" s="3208"/>
      <c r="L18" s="3208"/>
      <c r="M18" s="3208"/>
      <c r="N18" s="3208"/>
      <c r="O18" s="3208"/>
      <c r="P18" s="3208"/>
      <c r="Q18" s="3208"/>
      <c r="R18" s="3208"/>
      <c r="S18" s="3208"/>
      <c r="T18" s="3208"/>
      <c r="V18" s="3147"/>
      <c r="AY18" s="3249" t="s">
        <v>1526</v>
      </c>
      <c r="AZ18" s="3248">
        <v>2016</v>
      </c>
      <c r="BA18" s="3247">
        <v>2016</v>
      </c>
      <c r="BG18" s="3197"/>
      <c r="BH18" s="3149"/>
    </row>
    <row r="19" spans="1:100" hidden="1" outlineLevel="1">
      <c r="A19" s="3162"/>
      <c r="C19" s="3150" t="s">
        <v>1474</v>
      </c>
      <c r="D19" s="3170">
        <v>36.222999999999999</v>
      </c>
      <c r="E19" s="3170">
        <v>61.155999999999999</v>
      </c>
      <c r="F19" s="3170">
        <v>70</v>
      </c>
      <c r="G19" s="3170">
        <v>87</v>
      </c>
      <c r="H19" s="3170">
        <v>91</v>
      </c>
      <c r="I19" s="3170">
        <v>77</v>
      </c>
      <c r="J19" s="3170">
        <v>83</v>
      </c>
      <c r="K19" s="3170">
        <v>64</v>
      </c>
      <c r="L19" s="3170">
        <v>64</v>
      </c>
      <c r="M19" s="3208">
        <f t="shared" ref="M19:T19" si="9">L19+L19*(-(L8-K8))*L9*100</f>
        <v>65.28</v>
      </c>
      <c r="N19" s="3208">
        <f t="shared" si="9"/>
        <v>65.28</v>
      </c>
      <c r="O19" s="3208">
        <f t="shared" si="9"/>
        <v>65.28</v>
      </c>
      <c r="P19" s="3208">
        <f t="shared" si="9"/>
        <v>65.28</v>
      </c>
      <c r="Q19" s="3208">
        <f t="shared" si="9"/>
        <v>65.28</v>
      </c>
      <c r="R19" s="3208">
        <f t="shared" si="9"/>
        <v>65.28</v>
      </c>
      <c r="S19" s="3208">
        <f t="shared" si="9"/>
        <v>65.28</v>
      </c>
      <c r="T19" s="3208">
        <f t="shared" si="9"/>
        <v>65.28</v>
      </c>
      <c r="V19" s="3147"/>
      <c r="AN19" s="3242" t="s">
        <v>1525</v>
      </c>
      <c r="AY19" s="3246" t="s">
        <v>1524</v>
      </c>
      <c r="AZ19" s="3245">
        <v>42735</v>
      </c>
      <c r="BA19" s="3244" t="str">
        <f>_xll.ThomsonONEAddinShim.SpreadsheetFormulas.TF(Sedol,"TF.FN.FiscalYearEndDate(period=FY0)")</f>
        <v>######</v>
      </c>
      <c r="BB19" s="3243"/>
      <c r="BG19" s="3215">
        <f>_xll.ThomsonONEAddinShim.SpreadsheetFormulas.TF(Sedol,$AN19,"dataDir=across",trSdate,trEdate,Currency_ISOcode)</f>
        <v>61</v>
      </c>
      <c r="BH19" s="3241">
        <v>70</v>
      </c>
      <c r="BI19" s="3209">
        <v>87</v>
      </c>
      <c r="BJ19" s="3209">
        <v>91</v>
      </c>
      <c r="BK19" s="3209">
        <v>77</v>
      </c>
      <c r="BL19" s="3209">
        <v>83</v>
      </c>
      <c r="BM19" s="3209">
        <v>64</v>
      </c>
      <c r="BN19" s="3209">
        <v>63</v>
      </c>
    </row>
    <row r="20" spans="1:100" hidden="1" outlineLevel="1">
      <c r="A20" s="3162"/>
      <c r="C20" s="3150" t="s">
        <v>1523</v>
      </c>
      <c r="D20" s="3170">
        <v>0</v>
      </c>
      <c r="E20" s="3170">
        <v>0</v>
      </c>
      <c r="F20" s="3170">
        <v>2</v>
      </c>
      <c r="G20" s="3170">
        <v>4</v>
      </c>
      <c r="H20" s="3170">
        <v>5</v>
      </c>
      <c r="I20" s="3170">
        <v>5</v>
      </c>
      <c r="J20" s="3170">
        <v>5</v>
      </c>
      <c r="K20" s="3170">
        <v>-8</v>
      </c>
      <c r="L20" s="3170">
        <v>-8</v>
      </c>
      <c r="M20" s="3208">
        <f t="shared" ref="M20:T20" si="10">+L20</f>
        <v>-8</v>
      </c>
      <c r="N20" s="3208">
        <f t="shared" si="10"/>
        <v>-8</v>
      </c>
      <c r="O20" s="3208">
        <f t="shared" si="10"/>
        <v>-8</v>
      </c>
      <c r="P20" s="3208">
        <f t="shared" si="10"/>
        <v>-8</v>
      </c>
      <c r="Q20" s="3208">
        <f t="shared" si="10"/>
        <v>-8</v>
      </c>
      <c r="R20" s="3208">
        <f t="shared" si="10"/>
        <v>-8</v>
      </c>
      <c r="S20" s="3208">
        <f t="shared" si="10"/>
        <v>-8</v>
      </c>
      <c r="T20" s="3208">
        <f t="shared" si="10"/>
        <v>-8</v>
      </c>
      <c r="V20" s="3147"/>
      <c r="AN20" s="3229" t="s">
        <v>1522</v>
      </c>
      <c r="AY20" s="3214" t="s">
        <v>1520</v>
      </c>
      <c r="BG20" s="3215">
        <f>_xll.ThomsonONEAddinShim.SpreadsheetFormulas.TF(Sedol,$AN20,"dataDir=across",trSdate,trEdate,Currency_ISOcode)</f>
        <v>0</v>
      </c>
      <c r="BH20" s="3227">
        <v>2</v>
      </c>
      <c r="BI20" s="3209">
        <v>4</v>
      </c>
      <c r="BJ20" s="3209">
        <v>5</v>
      </c>
      <c r="BK20" s="3209">
        <v>5</v>
      </c>
      <c r="BL20" s="3209">
        <v>5</v>
      </c>
      <c r="BM20" s="3209">
        <v>-8</v>
      </c>
      <c r="BN20" s="3209">
        <v>-8</v>
      </c>
    </row>
    <row r="21" spans="1:100" hidden="1" outlineLevel="1">
      <c r="A21" s="3162"/>
      <c r="C21" s="3150" t="s">
        <v>1501</v>
      </c>
      <c r="D21" s="3170">
        <v>134.898</v>
      </c>
      <c r="E21" s="3170">
        <v>245.75299999999999</v>
      </c>
      <c r="F21" s="3170">
        <v>560</v>
      </c>
      <c r="G21" s="3170">
        <v>625</v>
      </c>
      <c r="H21" s="3170">
        <v>544</v>
      </c>
      <c r="I21" s="3170">
        <v>602</v>
      </c>
      <c r="J21" s="3170">
        <v>568</v>
      </c>
      <c r="K21" s="3170">
        <v>427</v>
      </c>
      <c r="L21" s="3170">
        <v>427</v>
      </c>
      <c r="M21" s="3208">
        <f t="shared" ref="M21:T21" si="11">+L35*L8</f>
        <v>498.63599999999997</v>
      </c>
      <c r="N21" s="3208">
        <f t="shared" si="11"/>
        <v>473.02080800000005</v>
      </c>
      <c r="O21" s="3208">
        <f t="shared" si="11"/>
        <v>446.43223870400004</v>
      </c>
      <c r="P21" s="3208">
        <f t="shared" si="11"/>
        <v>418.83330377475204</v>
      </c>
      <c r="Q21" s="3208">
        <f t="shared" si="11"/>
        <v>390.18560931819263</v>
      </c>
      <c r="R21" s="3208">
        <f t="shared" si="11"/>
        <v>360.44930247228399</v>
      </c>
      <c r="S21" s="3208">
        <f t="shared" si="11"/>
        <v>329.58301596623079</v>
      </c>
      <c r="T21" s="3208">
        <f t="shared" si="11"/>
        <v>297.54381057294756</v>
      </c>
      <c r="V21" s="3147"/>
      <c r="AN21" s="3242" t="s">
        <v>1521</v>
      </c>
      <c r="AY21" s="3149" t="s">
        <v>1520</v>
      </c>
      <c r="AZ21" s="3149">
        <f>MATCH($AY$20,AY21:AY22,0)</f>
        <v>1</v>
      </c>
      <c r="BA21" s="3149"/>
      <c r="BG21" s="3215">
        <f>_xll.ThomsonONEAddinShim.SpreadsheetFormulas.TF(Sedol,$AN21,"dataDir=across",trSdate,trEdate,Currency_ISOcode)</f>
        <v>246</v>
      </c>
      <c r="BH21" s="3241">
        <v>560</v>
      </c>
      <c r="BI21" s="3209">
        <v>625</v>
      </c>
      <c r="BJ21" s="3209">
        <v>544</v>
      </c>
      <c r="BK21" s="3209">
        <v>602</v>
      </c>
      <c r="BL21" s="3209">
        <v>568</v>
      </c>
      <c r="BM21" s="3209">
        <v>427</v>
      </c>
      <c r="BN21" s="3209">
        <v>411</v>
      </c>
    </row>
    <row r="22" spans="1:100" hidden="1" outlineLevel="1">
      <c r="A22" s="3162"/>
      <c r="C22" s="3150" t="s">
        <v>1519</v>
      </c>
      <c r="D22" s="3170">
        <v>-127.613</v>
      </c>
      <c r="E22" s="3170">
        <v>-283.02600000000001</v>
      </c>
      <c r="F22" s="3170">
        <v>-709</v>
      </c>
      <c r="G22" s="3170">
        <v>-847</v>
      </c>
      <c r="H22" s="3170">
        <v>-896</v>
      </c>
      <c r="I22" s="3170">
        <v>-891</v>
      </c>
      <c r="J22" s="3170">
        <v>-898</v>
      </c>
      <c r="K22" s="3170">
        <v>-732</v>
      </c>
      <c r="L22" s="3170">
        <v>-732</v>
      </c>
      <c r="M22" s="3208">
        <f t="shared" ref="M22:T22" si="12">-L42*M11</f>
        <v>-718.9</v>
      </c>
      <c r="N22" s="3208">
        <f t="shared" si="12"/>
        <v>-691.86974999999995</v>
      </c>
      <c r="O22" s="3208">
        <f t="shared" si="12"/>
        <v>-663.08253375000004</v>
      </c>
      <c r="P22" s="3208">
        <f t="shared" si="12"/>
        <v>-632.42414844374991</v>
      </c>
      <c r="Q22" s="3208">
        <f t="shared" si="12"/>
        <v>-599.77296809259371</v>
      </c>
      <c r="R22" s="3208">
        <f t="shared" si="12"/>
        <v>-564.99946101861224</v>
      </c>
      <c r="S22" s="3208">
        <f t="shared" si="12"/>
        <v>-527.96567598482193</v>
      </c>
      <c r="T22" s="3208">
        <f t="shared" si="12"/>
        <v>-488.5246949238354</v>
      </c>
      <c r="V22" s="3147"/>
      <c r="AN22" s="3229" t="s">
        <v>1518</v>
      </c>
      <c r="AY22" s="3156" t="s">
        <v>1517</v>
      </c>
      <c r="AZ22" s="3156"/>
      <c r="BA22" s="3156"/>
      <c r="BB22" s="3156"/>
      <c r="BG22" s="3215" t="str">
        <f>_xll.ThomsonONEAddinShim.SpreadsheetFormulas.TF(Sedol,$AN22,"dataDir=across",trSdate,trEdate,Currency_ISOcode)</f>
        <v>(283)</v>
      </c>
      <c r="BH22" s="3227">
        <v>-709</v>
      </c>
      <c r="BI22" s="3209">
        <v>-847</v>
      </c>
      <c r="BJ22" s="3209">
        <v>-896</v>
      </c>
      <c r="BK22" s="3209">
        <v>-891</v>
      </c>
      <c r="BL22" s="3209">
        <v>-898</v>
      </c>
      <c r="BM22" s="3209">
        <v>-732</v>
      </c>
      <c r="BN22" s="3209">
        <v>-666</v>
      </c>
    </row>
    <row r="23" spans="1:100" s="3148" customFormat="1" ht="12.75" hidden="1" customHeight="1" outlineLevel="1">
      <c r="A23" s="3162"/>
      <c r="B23" s="3237"/>
      <c r="C23" s="3236" t="s">
        <v>1516</v>
      </c>
      <c r="D23" s="3240">
        <f t="shared" ref="D23:K23" si="13">IF(ISNUMBER(D26-SUM(D19:D22)),D26-SUM(D19:D22),0)</f>
        <v>48.78100000000002</v>
      </c>
      <c r="E23" s="3240">
        <f t="shared" si="13"/>
        <v>-2.1429999999999829</v>
      </c>
      <c r="F23" s="3240">
        <f t="shared" si="13"/>
        <v>14</v>
      </c>
      <c r="G23" s="3240">
        <f t="shared" si="13"/>
        <v>35</v>
      </c>
      <c r="H23" s="3239">
        <f t="shared" si="13"/>
        <v>84</v>
      </c>
      <c r="I23" s="3239">
        <f t="shared" si="13"/>
        <v>-41</v>
      </c>
      <c r="J23" s="3239">
        <f t="shared" si="13"/>
        <v>161</v>
      </c>
      <c r="K23" s="3239">
        <f t="shared" si="13"/>
        <v>188</v>
      </c>
      <c r="L23" s="3239">
        <f t="shared" ref="L23" si="14">IF(ISNUMBER(L26-SUM(L19:L22)),L26-SUM(L19:L22),0)</f>
        <v>254</v>
      </c>
      <c r="M23" s="3170">
        <f t="shared" ref="M23:T23" si="15">((M32+(-M22-L42*M12)))</f>
        <v>0</v>
      </c>
      <c r="N23" s="3170">
        <f t="shared" si="15"/>
        <v>0</v>
      </c>
      <c r="O23" s="3170">
        <f t="shared" si="15"/>
        <v>0</v>
      </c>
      <c r="P23" s="3170">
        <f t="shared" si="15"/>
        <v>0</v>
      </c>
      <c r="Q23" s="3170">
        <f t="shared" si="15"/>
        <v>0</v>
      </c>
      <c r="R23" s="3170">
        <f t="shared" si="15"/>
        <v>0</v>
      </c>
      <c r="S23" s="3170">
        <f t="shared" si="15"/>
        <v>0</v>
      </c>
      <c r="T23" s="3170">
        <f t="shared" si="15"/>
        <v>0</v>
      </c>
      <c r="U23" s="292"/>
      <c r="V23" s="3144"/>
      <c r="W23" s="3144"/>
      <c r="AB23"/>
      <c r="AC23"/>
      <c r="AD23"/>
      <c r="AE23"/>
      <c r="AF23"/>
      <c r="AG23"/>
      <c r="AN23" s="3229"/>
      <c r="AV23" s="3238" t="s">
        <v>1514</v>
      </c>
      <c r="BG23" s="3221"/>
      <c r="BH23" s="3229"/>
    </row>
    <row r="24" spans="1:100" s="3148" customFormat="1" outlineLevel="1">
      <c r="A24" s="3162"/>
      <c r="B24" s="3237"/>
      <c r="C24" s="3236" t="s">
        <v>1515</v>
      </c>
      <c r="D24" s="3170">
        <f t="shared" ref="D24:K24" si="16">IF(ISERROR(D26-SUM(D19:D22)),0,D26-SUM(D19:D22))</f>
        <v>48.78100000000002</v>
      </c>
      <c r="E24" s="3170">
        <f t="shared" si="16"/>
        <v>-2.1429999999999829</v>
      </c>
      <c r="F24" s="3170">
        <f t="shared" si="16"/>
        <v>14</v>
      </c>
      <c r="G24" s="3170">
        <f t="shared" si="16"/>
        <v>35</v>
      </c>
      <c r="H24" s="3170">
        <f t="shared" si="16"/>
        <v>84</v>
      </c>
      <c r="I24" s="3170">
        <f t="shared" si="16"/>
        <v>-41</v>
      </c>
      <c r="J24" s="3170">
        <f t="shared" si="16"/>
        <v>161</v>
      </c>
      <c r="K24" s="3170">
        <f t="shared" si="16"/>
        <v>188</v>
      </c>
      <c r="L24" s="3170">
        <f t="shared" ref="L24" si="17">IF(ISERROR(L26-SUM(L19:L22)),0,L26-SUM(L19:L22))</f>
        <v>254</v>
      </c>
      <c r="M24" s="3170">
        <f t="shared" ref="M24:T24" si="18">L24+((L32+(-L22-K42*L12))/L10)</f>
        <v>217.1</v>
      </c>
      <c r="N24" s="3170">
        <f t="shared" si="18"/>
        <v>217.1</v>
      </c>
      <c r="O24" s="3170">
        <f t="shared" si="18"/>
        <v>217.1</v>
      </c>
      <c r="P24" s="3170">
        <f t="shared" si="18"/>
        <v>217.1</v>
      </c>
      <c r="Q24" s="3170">
        <f t="shared" si="18"/>
        <v>217.1</v>
      </c>
      <c r="R24" s="3170">
        <f t="shared" si="18"/>
        <v>217.1</v>
      </c>
      <c r="S24" s="3170">
        <f t="shared" si="18"/>
        <v>217.1</v>
      </c>
      <c r="T24" s="3170">
        <f t="shared" si="18"/>
        <v>217.1</v>
      </c>
      <c r="U24" s="3150">
        <v>0</v>
      </c>
      <c r="V24" s="3150" t="b">
        <v>0</v>
      </c>
      <c r="AB24"/>
      <c r="AC24"/>
      <c r="AD24"/>
      <c r="AE24"/>
      <c r="AF24"/>
      <c r="AG24"/>
      <c r="AN24" s="3229"/>
      <c r="AV24" s="3148" t="s">
        <v>1514</v>
      </c>
      <c r="BG24" s="3215"/>
      <c r="BH24" s="3229"/>
    </row>
    <row r="25" spans="1:100">
      <c r="A25" s="3162"/>
      <c r="C25" s="3196" t="s">
        <v>1513</v>
      </c>
      <c r="D25" s="3169">
        <f t="shared" ref="D25:T25" si="19">CHOOSE(dropDown,SUM(D19:D22)+D24,SUM(D19:D23))</f>
        <v>92.289000000000001</v>
      </c>
      <c r="E25" s="3169">
        <f t="shared" si="19"/>
        <v>21.74</v>
      </c>
      <c r="F25" s="3169">
        <f t="shared" si="19"/>
        <v>-63</v>
      </c>
      <c r="G25" s="3169">
        <f t="shared" si="19"/>
        <v>-96</v>
      </c>
      <c r="H25" s="3169">
        <f t="shared" si="19"/>
        <v>-172</v>
      </c>
      <c r="I25" s="3169">
        <f t="shared" si="19"/>
        <v>-248</v>
      </c>
      <c r="J25" s="3169">
        <f t="shared" si="19"/>
        <v>-81</v>
      </c>
      <c r="K25" s="3169">
        <f t="shared" si="19"/>
        <v>-61</v>
      </c>
      <c r="L25" s="3169">
        <f t="shared" ref="L25" si="20">CHOOSE(dropDown,SUM(L19:L22)+L24,SUM(L19:L23))</f>
        <v>5</v>
      </c>
      <c r="M25" s="3235">
        <f t="shared" si="19"/>
        <v>54.115999999999957</v>
      </c>
      <c r="N25" s="3235">
        <f t="shared" si="19"/>
        <v>55.531058000000115</v>
      </c>
      <c r="O25" s="3235">
        <f t="shared" si="19"/>
        <v>57.72970495399997</v>
      </c>
      <c r="P25" s="3235">
        <f t="shared" si="19"/>
        <v>60.789155331002092</v>
      </c>
      <c r="Q25" s="3235">
        <f t="shared" si="19"/>
        <v>64.792641225598885</v>
      </c>
      <c r="R25" s="3235">
        <f t="shared" si="19"/>
        <v>69.829841453671719</v>
      </c>
      <c r="S25" s="3235">
        <f t="shared" si="19"/>
        <v>75.997339981408885</v>
      </c>
      <c r="T25" s="3235">
        <f t="shared" si="19"/>
        <v>83.399115649112133</v>
      </c>
      <c r="V25" s="3147"/>
      <c r="AN25" s="3229"/>
      <c r="AV25" s="3234" t="s">
        <v>532</v>
      </c>
      <c r="AW25" s="3193">
        <v>6</v>
      </c>
      <c r="AX25" s="3150" t="str">
        <f>"ISO4217:"&amp;Pension!$AQ$186</f>
        <v>ISO4217:USD</v>
      </c>
      <c r="AY25" s="3150" t="b">
        <v>1</v>
      </c>
      <c r="AZ25" s="3150" t="b">
        <v>0</v>
      </c>
      <c r="BG25" s="3220"/>
      <c r="BH25" s="3229"/>
    </row>
    <row r="26" spans="1:100">
      <c r="A26" s="3162"/>
      <c r="C26" s="3175"/>
      <c r="D26" s="3231">
        <v>92.289000000000001</v>
      </c>
      <c r="E26" s="3233">
        <v>21.74</v>
      </c>
      <c r="F26" s="3233">
        <v>-63</v>
      </c>
      <c r="G26" s="3233">
        <v>-96</v>
      </c>
      <c r="H26" s="3232">
        <v>-172</v>
      </c>
      <c r="I26" s="3231">
        <v>-248</v>
      </c>
      <c r="J26" s="3230">
        <v>-81</v>
      </c>
      <c r="K26" s="3230">
        <v>-61</v>
      </c>
      <c r="L26" s="3230">
        <v>5</v>
      </c>
      <c r="M26" s="3230"/>
      <c r="N26" s="3230"/>
      <c r="O26" s="3230"/>
      <c r="P26" s="3230"/>
      <c r="Q26" s="3230"/>
      <c r="R26" s="3230"/>
      <c r="S26" s="3230"/>
      <c r="T26" s="3230"/>
      <c r="V26" s="3147"/>
      <c r="AN26" s="3229" t="s">
        <v>1512</v>
      </c>
      <c r="BG26" s="3228">
        <f>_xll.ThomsonONEAddinShim.SpreadsheetFormulas.TF(Sedol,$AN26,"dataDir=across",trSdate,trEdate,Currency_ISOcode)</f>
        <v>22</v>
      </c>
      <c r="BH26" s="3227">
        <v>-63</v>
      </c>
      <c r="BI26" s="3209">
        <v>-96</v>
      </c>
      <c r="BJ26" s="3209">
        <v>-172</v>
      </c>
      <c r="BK26" s="3209">
        <v>-248</v>
      </c>
      <c r="BL26" s="3209">
        <v>-81</v>
      </c>
      <c r="BM26" s="3209">
        <v>-61</v>
      </c>
      <c r="BN26" s="3209">
        <v>5</v>
      </c>
      <c r="CC26" s="3219" t="s">
        <v>1511</v>
      </c>
      <c r="CD26" s="3147">
        <f>CD38</f>
        <v>2013</v>
      </c>
      <c r="CE26" s="3147">
        <f>CE38</f>
        <v>2014</v>
      </c>
      <c r="CF26" s="3147">
        <f>CF38</f>
        <v>2015</v>
      </c>
      <c r="CG26" s="3147">
        <f>CG38</f>
        <v>2016</v>
      </c>
    </row>
    <row r="27" spans="1:100">
      <c r="A27" s="3162"/>
      <c r="B27" s="3201" t="s">
        <v>1480</v>
      </c>
      <c r="C27" s="3200" t="s">
        <v>533</v>
      </c>
      <c r="D27" s="3199"/>
      <c r="E27" s="3199"/>
      <c r="F27" s="3199"/>
      <c r="G27" s="3199"/>
      <c r="H27" s="3170"/>
      <c r="I27" s="3170"/>
      <c r="J27" s="3208"/>
      <c r="K27" s="3208"/>
      <c r="L27" s="3208"/>
      <c r="M27" s="3208"/>
      <c r="N27" s="3208"/>
      <c r="O27" s="3208"/>
      <c r="P27" s="3208"/>
      <c r="Q27" s="3208"/>
      <c r="R27" s="3208"/>
      <c r="S27" s="3208"/>
      <c r="T27" s="3208"/>
      <c r="V27" s="3147"/>
      <c r="BG27" s="3198"/>
      <c r="BH27" s="3149"/>
      <c r="CC27" s="3148" t="s">
        <v>1510</v>
      </c>
      <c r="CD27" s="3226">
        <v>0.30690100000000003</v>
      </c>
      <c r="CE27" s="3226">
        <v>0.30260120000000001</v>
      </c>
      <c r="CF27" s="3226">
        <v>0.24431</v>
      </c>
      <c r="CG27" s="3226">
        <v>0</v>
      </c>
      <c r="CH27" s="3214">
        <f>_xll.ThomsonONEAddinShim.SpreadsheetFormulas.TF(Sedol,$CV27,"dataDir=across",$BA$12,trEdate)</f>
        <v>0.30260120000000001</v>
      </c>
      <c r="CI27" s="3225">
        <v>0.24431</v>
      </c>
      <c r="CJ27" s="3225">
        <v>0</v>
      </c>
      <c r="CK27" s="3225">
        <v>0</v>
      </c>
      <c r="CV27" s="3211" t="s">
        <v>1509</v>
      </c>
    </row>
    <row r="28" spans="1:100" ht="7.5" customHeight="1">
      <c r="A28" s="3162"/>
      <c r="C28" s="3175"/>
      <c r="D28" s="3175"/>
      <c r="E28" s="3175"/>
      <c r="F28" s="3175"/>
      <c r="G28" s="3175"/>
      <c r="H28" s="3170"/>
      <c r="I28" s="3170"/>
      <c r="J28" s="3208"/>
      <c r="K28" s="3208"/>
      <c r="L28" s="3208"/>
      <c r="M28" s="3208"/>
      <c r="N28" s="3208"/>
      <c r="O28" s="3208"/>
      <c r="P28" s="3208"/>
      <c r="Q28" s="3208"/>
      <c r="R28" s="3208"/>
      <c r="S28" s="3208"/>
      <c r="T28" s="3208"/>
      <c r="V28" s="3147"/>
      <c r="BG28" s="3197"/>
      <c r="BH28" s="3149"/>
      <c r="CC28" s="3148" t="s">
        <v>1508</v>
      </c>
      <c r="CD28" s="3226">
        <v>0.463227</v>
      </c>
      <c r="CE28" s="3226">
        <v>0.45939069999999999</v>
      </c>
      <c r="CF28" s="3226">
        <v>0.26065749999999999</v>
      </c>
      <c r="CG28" s="3226">
        <v>0</v>
      </c>
      <c r="CH28" s="3214">
        <f>_xll.ThomsonONEAddinShim.SpreadsheetFormulas.TF(Sedol,$CV28,"dataDir=across",$BA$12,trEdate)</f>
        <v>0.45939069999999999</v>
      </c>
      <c r="CI28" s="3225">
        <v>0.26065749999999999</v>
      </c>
      <c r="CJ28" s="3225">
        <v>0</v>
      </c>
      <c r="CK28" s="3225">
        <v>0</v>
      </c>
      <c r="CV28" s="3211" t="s">
        <v>1507</v>
      </c>
    </row>
    <row r="29" spans="1:100" outlineLevel="1">
      <c r="A29" s="3162"/>
      <c r="C29" s="3150" t="s">
        <v>534</v>
      </c>
      <c r="D29" s="3170">
        <v>462.70100000000002</v>
      </c>
      <c r="E29" s="3170">
        <f t="shared" ref="E29:K29" si="21">D35</f>
        <v>4181.5820000000003</v>
      </c>
      <c r="F29" s="3170">
        <f t="shared" si="21"/>
        <v>4533.9690000000001</v>
      </c>
      <c r="G29" s="3170">
        <f t="shared" si="21"/>
        <v>13596</v>
      </c>
      <c r="H29" s="3170">
        <f t="shared" si="21"/>
        <v>14881</v>
      </c>
      <c r="I29" s="3170">
        <f t="shared" si="21"/>
        <v>13401</v>
      </c>
      <c r="J29" s="3170">
        <f t="shared" si="21"/>
        <v>15042</v>
      </c>
      <c r="K29" s="3170">
        <f t="shared" si="21"/>
        <v>13349</v>
      </c>
      <c r="L29" s="3170">
        <f t="shared" ref="L29" si="22">K35</f>
        <v>13301</v>
      </c>
      <c r="M29" s="3170">
        <f t="shared" ref="M29:T29" si="23">+L35</f>
        <v>13122</v>
      </c>
      <c r="N29" s="3170">
        <f t="shared" si="23"/>
        <v>12447.916000000001</v>
      </c>
      <c r="O29" s="3170">
        <f t="shared" si="23"/>
        <v>11748.216808000001</v>
      </c>
      <c r="P29" s="3170">
        <f t="shared" si="23"/>
        <v>11021.929046704001</v>
      </c>
      <c r="Q29" s="3170">
        <f t="shared" si="23"/>
        <v>10268.042350478754</v>
      </c>
      <c r="R29" s="3170">
        <f t="shared" si="23"/>
        <v>9485.507959796947</v>
      </c>
      <c r="S29" s="3170">
        <f t="shared" si="23"/>
        <v>8673.237262269231</v>
      </c>
      <c r="T29" s="3170">
        <f t="shared" si="23"/>
        <v>7830.1002782354626</v>
      </c>
      <c r="V29" s="3147"/>
      <c r="AN29" s="3211" t="s">
        <v>1506</v>
      </c>
      <c r="BG29" s="3215">
        <f>_xll.ThomsonONEAddinShim.SpreadsheetFormulas.TF(Sedol,$AN29,,$AZ$11,Currency_ISOcode)</f>
        <v>4182</v>
      </c>
      <c r="BH29" s="3211"/>
      <c r="CC29" s="3148" t="s">
        <v>1505</v>
      </c>
      <c r="CD29" s="3226">
        <v>4.6249800000000001E-2</v>
      </c>
      <c r="CE29" s="3226">
        <v>5.5604199999999999E-2</v>
      </c>
      <c r="CF29" s="3226">
        <v>0</v>
      </c>
      <c r="CG29" s="3226">
        <v>0</v>
      </c>
      <c r="CH29" s="3214">
        <f>_xll.ThomsonONEAddinShim.SpreadsheetFormulas.TF(Sedol,$CV29,"dataDir=across",$BA$12,trEdate)</f>
        <v>5.5604199999999999E-2</v>
      </c>
      <c r="CI29" s="3225">
        <v>0</v>
      </c>
      <c r="CJ29" s="3225">
        <v>0</v>
      </c>
      <c r="CK29" s="3225">
        <v>0</v>
      </c>
      <c r="CV29" s="3211" t="s">
        <v>1504</v>
      </c>
    </row>
    <row r="30" spans="1:100" outlineLevel="1">
      <c r="A30" s="3162"/>
      <c r="C30" s="3150" t="s">
        <v>1474</v>
      </c>
      <c r="D30" s="3170">
        <f t="shared" ref="D30:K30" si="24">D19</f>
        <v>36.222999999999999</v>
      </c>
      <c r="E30" s="3170">
        <f t="shared" si="24"/>
        <v>61.155999999999999</v>
      </c>
      <c r="F30" s="3170">
        <f t="shared" si="24"/>
        <v>70</v>
      </c>
      <c r="G30" s="3170">
        <f t="shared" si="24"/>
        <v>87</v>
      </c>
      <c r="H30" s="3170">
        <f t="shared" si="24"/>
        <v>91</v>
      </c>
      <c r="I30" s="3170">
        <f t="shared" si="24"/>
        <v>77</v>
      </c>
      <c r="J30" s="3170">
        <f t="shared" si="24"/>
        <v>83</v>
      </c>
      <c r="K30" s="3170">
        <f t="shared" si="24"/>
        <v>64</v>
      </c>
      <c r="L30" s="3170">
        <f t="shared" ref="L30" si="25">L19</f>
        <v>64</v>
      </c>
      <c r="M30" s="3170">
        <f t="shared" ref="M30:T30" si="26">+M19</f>
        <v>65.28</v>
      </c>
      <c r="N30" s="3170">
        <f t="shared" si="26"/>
        <v>65.28</v>
      </c>
      <c r="O30" s="3170">
        <f t="shared" si="26"/>
        <v>65.28</v>
      </c>
      <c r="P30" s="3170">
        <f t="shared" si="26"/>
        <v>65.28</v>
      </c>
      <c r="Q30" s="3170">
        <f t="shared" si="26"/>
        <v>65.28</v>
      </c>
      <c r="R30" s="3170">
        <f t="shared" si="26"/>
        <v>65.28</v>
      </c>
      <c r="S30" s="3170">
        <f t="shared" si="26"/>
        <v>65.28</v>
      </c>
      <c r="T30" s="3170">
        <f t="shared" si="26"/>
        <v>65.28</v>
      </c>
      <c r="V30" s="3147"/>
      <c r="BG30" s="3215"/>
      <c r="BH30" s="3149"/>
      <c r="CC30" s="3148" t="s">
        <v>1503</v>
      </c>
      <c r="CD30" s="3226">
        <v>0.18362220000000001</v>
      </c>
      <c r="CE30" s="3226">
        <v>0.18240390000000001</v>
      </c>
      <c r="CF30" s="3226">
        <v>0.49503249999999999</v>
      </c>
      <c r="CG30" s="3226">
        <v>0</v>
      </c>
      <c r="CH30" s="3214">
        <f>_xll.ThomsonONEAddinShim.SpreadsheetFormulas.TF(Sedol,$CV30,"dataDir=across",$BA$12,trEdate)</f>
        <v>0.18240390000000001</v>
      </c>
      <c r="CI30" s="3225">
        <v>0.49503249999999999</v>
      </c>
      <c r="CJ30" s="3225">
        <v>0</v>
      </c>
      <c r="CK30" s="3225">
        <v>0</v>
      </c>
      <c r="CV30" s="3211" t="s">
        <v>1502</v>
      </c>
    </row>
    <row r="31" spans="1:100" outlineLevel="1">
      <c r="A31" s="3162"/>
      <c r="C31" s="3150" t="s">
        <v>1501</v>
      </c>
      <c r="D31" s="3170">
        <f t="shared" ref="D31:K31" si="27">D21</f>
        <v>134.898</v>
      </c>
      <c r="E31" s="3170">
        <f t="shared" si="27"/>
        <v>245.75299999999999</v>
      </c>
      <c r="F31" s="3170">
        <f t="shared" si="27"/>
        <v>560</v>
      </c>
      <c r="G31" s="3170">
        <f t="shared" si="27"/>
        <v>625</v>
      </c>
      <c r="H31" s="3170">
        <f t="shared" si="27"/>
        <v>544</v>
      </c>
      <c r="I31" s="3170">
        <f t="shared" si="27"/>
        <v>602</v>
      </c>
      <c r="J31" s="3170">
        <f t="shared" si="27"/>
        <v>568</v>
      </c>
      <c r="K31" s="3170">
        <f t="shared" si="27"/>
        <v>427</v>
      </c>
      <c r="L31" s="3170">
        <f t="shared" ref="L31" si="28">L21</f>
        <v>427</v>
      </c>
      <c r="M31" s="3170">
        <f t="shared" ref="M31:T31" si="29">+M21</f>
        <v>498.63599999999997</v>
      </c>
      <c r="N31" s="3170">
        <f t="shared" si="29"/>
        <v>473.02080800000005</v>
      </c>
      <c r="O31" s="3170">
        <f t="shared" si="29"/>
        <v>446.43223870400004</v>
      </c>
      <c r="P31" s="3170">
        <f t="shared" si="29"/>
        <v>418.83330377475204</v>
      </c>
      <c r="Q31" s="3170">
        <f t="shared" si="29"/>
        <v>390.18560931819263</v>
      </c>
      <c r="R31" s="3170">
        <f t="shared" si="29"/>
        <v>360.44930247228399</v>
      </c>
      <c r="S31" s="3170">
        <f t="shared" si="29"/>
        <v>329.58301596623079</v>
      </c>
      <c r="T31" s="3170">
        <f t="shared" si="29"/>
        <v>297.54381057294756</v>
      </c>
      <c r="V31" s="3147"/>
      <c r="BG31" s="3215"/>
      <c r="BH31" s="3149"/>
      <c r="CC31" s="3219" t="s">
        <v>1143</v>
      </c>
      <c r="CD31" s="3224">
        <f>SUM(CD27:CD30)</f>
        <v>1</v>
      </c>
      <c r="CE31" s="3224">
        <f>SUM(CE27:CE30)</f>
        <v>1</v>
      </c>
      <c r="CF31" s="3224">
        <f>SUM(CF27:CF30)</f>
        <v>1</v>
      </c>
      <c r="CG31" s="3224">
        <f>SUM(CG27:CG30)</f>
        <v>0</v>
      </c>
      <c r="CH31" s="3224"/>
      <c r="CI31" s="3224"/>
      <c r="CJ31" s="3224"/>
      <c r="CK31" s="3224"/>
    </row>
    <row r="32" spans="1:100" outlineLevel="1">
      <c r="A32" s="3162"/>
      <c r="C32" s="3150" t="s">
        <v>1500</v>
      </c>
      <c r="D32" s="3222"/>
      <c r="E32" s="3222"/>
      <c r="F32" s="3222"/>
      <c r="G32" s="3222"/>
      <c r="H32" s="3222"/>
      <c r="I32" s="3222">
        <v>22</v>
      </c>
      <c r="J32" s="3222">
        <v>161</v>
      </c>
      <c r="K32" s="3217">
        <v>175</v>
      </c>
      <c r="L32" s="3217">
        <v>205</v>
      </c>
      <c r="M32" s="3170">
        <f t="shared" ref="M32:T32" si="30">L35*(-(M8-L8))*M9</f>
        <v>0</v>
      </c>
      <c r="N32" s="3170">
        <f t="shared" si="30"/>
        <v>0</v>
      </c>
      <c r="O32" s="3170">
        <f t="shared" si="30"/>
        <v>0</v>
      </c>
      <c r="P32" s="3170">
        <f t="shared" si="30"/>
        <v>0</v>
      </c>
      <c r="Q32" s="3170">
        <f t="shared" si="30"/>
        <v>0</v>
      </c>
      <c r="R32" s="3170">
        <f t="shared" si="30"/>
        <v>0</v>
      </c>
      <c r="S32" s="3170">
        <f t="shared" si="30"/>
        <v>0</v>
      </c>
      <c r="T32" s="3170">
        <f t="shared" si="30"/>
        <v>0</v>
      </c>
      <c r="V32" s="3147"/>
      <c r="BG32" s="3170"/>
      <c r="BH32" s="3149"/>
      <c r="CH32" s="3223"/>
      <c r="CI32" s="3223"/>
      <c r="CJ32" s="3223"/>
    </row>
    <row r="33" spans="1:103" outlineLevel="1">
      <c r="A33" s="3162"/>
      <c r="C33" s="3150" t="s">
        <v>1492</v>
      </c>
      <c r="D33" s="3222"/>
      <c r="E33" s="3222"/>
      <c r="F33" s="3222"/>
      <c r="G33" s="3222"/>
      <c r="H33" s="3222"/>
      <c r="I33" s="3222">
        <v>-845</v>
      </c>
      <c r="J33" s="3217">
        <v>-1438</v>
      </c>
      <c r="K33" s="3217">
        <v>-1034</v>
      </c>
      <c r="L33" s="3217">
        <v>-1238</v>
      </c>
      <c r="M33" s="3170">
        <f t="shared" ref="M33:T33" si="31">+L33</f>
        <v>-1238</v>
      </c>
      <c r="N33" s="3170">
        <f t="shared" si="31"/>
        <v>-1238</v>
      </c>
      <c r="O33" s="3170">
        <f t="shared" si="31"/>
        <v>-1238</v>
      </c>
      <c r="P33" s="3170">
        <f t="shared" si="31"/>
        <v>-1238</v>
      </c>
      <c r="Q33" s="3170">
        <f t="shared" si="31"/>
        <v>-1238</v>
      </c>
      <c r="R33" s="3170">
        <f t="shared" si="31"/>
        <v>-1238</v>
      </c>
      <c r="S33" s="3170">
        <f t="shared" si="31"/>
        <v>-1238</v>
      </c>
      <c r="T33" s="3170">
        <f t="shared" si="31"/>
        <v>-1238</v>
      </c>
      <c r="V33" s="3147"/>
      <c r="AR33" s="3148"/>
      <c r="BG33" s="3170"/>
      <c r="BH33" s="3149"/>
    </row>
    <row r="34" spans="1:103" outlineLevel="1">
      <c r="A34" s="3162"/>
      <c r="C34" s="3150" t="s">
        <v>1499</v>
      </c>
      <c r="D34" s="3170">
        <f t="shared" ref="D34:K34" si="32">IF(ISNUMBER(D35-SUM(D29:D33)),D35-SUM(D29:D33),0)</f>
        <v>3547.76</v>
      </c>
      <c r="E34" s="3170">
        <f t="shared" si="32"/>
        <v>45.478000000000065</v>
      </c>
      <c r="F34" s="3170">
        <f t="shared" si="32"/>
        <v>8432.030999999999</v>
      </c>
      <c r="G34" s="3170">
        <f t="shared" si="32"/>
        <v>573</v>
      </c>
      <c r="H34" s="3170">
        <f t="shared" si="32"/>
        <v>-2115</v>
      </c>
      <c r="I34" s="3170">
        <f t="shared" si="32"/>
        <v>1785</v>
      </c>
      <c r="J34" s="3170">
        <f t="shared" si="32"/>
        <v>-1067</v>
      </c>
      <c r="K34" s="3170">
        <f t="shared" si="32"/>
        <v>320</v>
      </c>
      <c r="L34" s="3170">
        <f t="shared" ref="L34" si="33">IF(ISNUMBER(L35-SUM(L29:L33)),L35-SUM(L29:L33),0)</f>
        <v>363</v>
      </c>
      <c r="M34" s="3170">
        <v>0</v>
      </c>
      <c r="N34" s="3170">
        <v>0</v>
      </c>
      <c r="O34" s="3170">
        <v>0</v>
      </c>
      <c r="P34" s="3170">
        <v>0</v>
      </c>
      <c r="Q34" s="3170">
        <v>0</v>
      </c>
      <c r="R34" s="3170">
        <v>0</v>
      </c>
      <c r="S34" s="3170">
        <v>0</v>
      </c>
      <c r="T34" s="3170">
        <v>0</v>
      </c>
      <c r="V34" s="3147"/>
      <c r="BG34" s="3215"/>
      <c r="BH34" s="3149"/>
    </row>
    <row r="35" spans="1:103">
      <c r="A35" s="3162"/>
      <c r="C35" s="3196" t="s">
        <v>535</v>
      </c>
      <c r="D35" s="3169">
        <v>4181.5820000000003</v>
      </c>
      <c r="E35" s="3169">
        <v>4533.9690000000001</v>
      </c>
      <c r="F35" s="3169">
        <v>13596</v>
      </c>
      <c r="G35" s="3169">
        <v>14881</v>
      </c>
      <c r="H35" s="3212">
        <v>13401</v>
      </c>
      <c r="I35" s="3212">
        <v>15042</v>
      </c>
      <c r="J35" s="3212">
        <v>13349</v>
      </c>
      <c r="K35" s="3212">
        <v>13301</v>
      </c>
      <c r="L35" s="3212">
        <v>13122</v>
      </c>
      <c r="M35" s="3169">
        <f t="shared" ref="M35:T35" si="34">SUM(M29:M34)</f>
        <v>12447.916000000001</v>
      </c>
      <c r="N35" s="3169">
        <f t="shared" si="34"/>
        <v>11748.216808000001</v>
      </c>
      <c r="O35" s="3169">
        <f t="shared" si="34"/>
        <v>11021.929046704001</v>
      </c>
      <c r="P35" s="3169">
        <f t="shared" si="34"/>
        <v>10268.042350478754</v>
      </c>
      <c r="Q35" s="3169">
        <f t="shared" si="34"/>
        <v>9485.507959796947</v>
      </c>
      <c r="R35" s="3169">
        <f t="shared" si="34"/>
        <v>8673.237262269231</v>
      </c>
      <c r="S35" s="3169">
        <f t="shared" si="34"/>
        <v>7830.1002782354626</v>
      </c>
      <c r="T35" s="3169">
        <f t="shared" si="34"/>
        <v>6954.9240888084096</v>
      </c>
      <c r="U35" s="3185"/>
      <c r="V35" s="3147"/>
      <c r="AN35" s="3211" t="s">
        <v>1498</v>
      </c>
      <c r="BG35" s="3220">
        <f>_xll.ThomsonONEAddinShim.SpreadsheetFormulas.TF(Sedol,$AN35,"dataDir=across",trSdate,trEdate,Currency_ISOcode)</f>
        <v>4534</v>
      </c>
      <c r="BH35" s="3210">
        <v>13596</v>
      </c>
      <c r="BI35" s="3209">
        <v>14881</v>
      </c>
      <c r="BJ35" s="3209">
        <v>13401</v>
      </c>
      <c r="BK35" s="3209">
        <v>15042</v>
      </c>
      <c r="BL35" s="3209">
        <v>13349</v>
      </c>
      <c r="BM35" s="3209">
        <v>13301</v>
      </c>
      <c r="BN35" s="3209">
        <v>13122</v>
      </c>
    </row>
    <row r="36" spans="1:103">
      <c r="A36" s="3162"/>
      <c r="C36" s="3175"/>
      <c r="D36" s="3175"/>
      <c r="E36" s="3175"/>
      <c r="F36" s="3175"/>
      <c r="G36" s="3175"/>
      <c r="H36" s="3170"/>
      <c r="I36" s="3170"/>
      <c r="J36" s="3208"/>
      <c r="K36" s="3208"/>
      <c r="L36" s="3208"/>
      <c r="M36" s="3208"/>
      <c r="N36" s="3208"/>
      <c r="O36" s="3208"/>
      <c r="P36" s="3208"/>
      <c r="Q36" s="3208"/>
      <c r="R36" s="3208"/>
      <c r="S36" s="3208"/>
      <c r="T36" s="3208"/>
      <c r="V36" s="3147"/>
      <c r="BG36" s="3197"/>
      <c r="BH36" s="3149"/>
    </row>
    <row r="37" spans="1:103" outlineLevel="1">
      <c r="A37" s="3162"/>
      <c r="C37" s="3150" t="s">
        <v>536</v>
      </c>
      <c r="D37" s="3170">
        <v>352.83</v>
      </c>
      <c r="E37" s="3170">
        <f t="shared" ref="E37:K37" si="35">D42</f>
        <v>3219.7060000000001</v>
      </c>
      <c r="F37" s="3170">
        <f t="shared" si="35"/>
        <v>3731.8690000000001</v>
      </c>
      <c r="G37" s="3170">
        <f t="shared" si="35"/>
        <v>11814</v>
      </c>
      <c r="H37" s="3170">
        <f t="shared" si="35"/>
        <v>12321</v>
      </c>
      <c r="I37" s="3170">
        <f t="shared" si="35"/>
        <v>12346</v>
      </c>
      <c r="J37" s="3170">
        <f t="shared" si="35"/>
        <v>12571</v>
      </c>
      <c r="K37" s="3170">
        <f t="shared" si="35"/>
        <v>11072</v>
      </c>
      <c r="L37" s="3170">
        <f t="shared" ref="L37" si="36">K42</f>
        <v>10892</v>
      </c>
      <c r="M37" s="3170">
        <f t="shared" ref="M37:T37" si="37">+L42</f>
        <v>11060</v>
      </c>
      <c r="N37" s="3170">
        <f t="shared" si="37"/>
        <v>10644.15</v>
      </c>
      <c r="O37" s="3170">
        <f t="shared" si="37"/>
        <v>10201.269749999999</v>
      </c>
      <c r="P37" s="3170">
        <f t="shared" si="37"/>
        <v>9729.6022837499986</v>
      </c>
      <c r="Q37" s="3170">
        <f t="shared" si="37"/>
        <v>9227.2764321937484</v>
      </c>
      <c r="R37" s="3170">
        <f t="shared" si="37"/>
        <v>8692.2994002863416</v>
      </c>
      <c r="S37" s="3170">
        <f t="shared" si="37"/>
        <v>8122.5488613049529</v>
      </c>
      <c r="T37" s="3170">
        <f t="shared" si="37"/>
        <v>7515.764537289775</v>
      </c>
      <c r="V37" s="3147"/>
      <c r="AN37" s="3211" t="s">
        <v>1497</v>
      </c>
      <c r="BG37" s="3215">
        <f>_xll.ThomsonONEAddinShim.SpreadsheetFormulas.TF(Sedol,$AN37,,$AZ$11,Currency_ISOcode)</f>
        <v>3220</v>
      </c>
      <c r="BH37" s="3211"/>
    </row>
    <row r="38" spans="1:103" outlineLevel="1">
      <c r="A38" s="3162"/>
      <c r="C38" s="3150" t="s">
        <v>1496</v>
      </c>
      <c r="D38" s="3170">
        <v>473.87799999999999</v>
      </c>
      <c r="E38" s="3165">
        <v>482.709</v>
      </c>
      <c r="F38" s="3165">
        <v>479</v>
      </c>
      <c r="G38" s="3165">
        <v>36</v>
      </c>
      <c r="H38" s="3165">
        <v>810</v>
      </c>
      <c r="I38" s="3170">
        <v>1373</v>
      </c>
      <c r="J38" s="3208">
        <v>161</v>
      </c>
      <c r="K38" s="3208">
        <v>754</v>
      </c>
      <c r="L38" s="3208">
        <v>1306</v>
      </c>
      <c r="M38" s="3208">
        <f t="shared" ref="M38:T38" si="38">IF(ISERROR(((L42+0.5*M39)*M12)),"",((L42+0.5*M39)*M12))</f>
        <v>722.15</v>
      </c>
      <c r="N38" s="3208">
        <f t="shared" si="38"/>
        <v>695.11974999999995</v>
      </c>
      <c r="O38" s="3208">
        <f t="shared" si="38"/>
        <v>666.33253375000004</v>
      </c>
      <c r="P38" s="3208">
        <f t="shared" si="38"/>
        <v>635.67414844374991</v>
      </c>
      <c r="Q38" s="3208">
        <f t="shared" si="38"/>
        <v>603.02296809259371</v>
      </c>
      <c r="R38" s="3208">
        <f t="shared" si="38"/>
        <v>568.24946101861224</v>
      </c>
      <c r="S38" s="3208">
        <f t="shared" si="38"/>
        <v>531.21567598482193</v>
      </c>
      <c r="T38" s="3208">
        <f t="shared" si="38"/>
        <v>491.7746949238354</v>
      </c>
      <c r="U38" s="3185"/>
      <c r="V38" s="3147"/>
      <c r="AN38" s="3211" t="s">
        <v>1495</v>
      </c>
      <c r="AR38" s="3148"/>
      <c r="BG38" s="3215">
        <f>_xll.ThomsonONEAddinShim.SpreadsheetFormulas.TF(Sedol,$AN38,"dataDir=across",trSdate,trEdate,Currency_ISOcode)</f>
        <v>483</v>
      </c>
      <c r="BH38" s="3210">
        <v>479</v>
      </c>
      <c r="BI38" s="3209">
        <v>36</v>
      </c>
      <c r="BJ38" s="3209">
        <v>810</v>
      </c>
      <c r="BK38" s="3209">
        <v>1373</v>
      </c>
      <c r="BL38" s="3209">
        <v>161</v>
      </c>
      <c r="BM38" s="3209">
        <v>754</v>
      </c>
      <c r="BN38" s="3209">
        <v>1306</v>
      </c>
      <c r="CC38" s="3219" t="s">
        <v>1494</v>
      </c>
      <c r="CD38" s="3218">
        <f t="shared" ref="CD38:CJ38" si="39">H6</f>
        <v>2013</v>
      </c>
      <c r="CE38" s="3218">
        <f t="shared" si="39"/>
        <v>2014</v>
      </c>
      <c r="CF38" s="3218">
        <f t="shared" si="39"/>
        <v>2015</v>
      </c>
      <c r="CG38" s="3218">
        <f t="shared" si="39"/>
        <v>2016</v>
      </c>
      <c r="CH38" s="3218">
        <f t="shared" si="39"/>
        <v>2017</v>
      </c>
      <c r="CI38" s="3218">
        <f t="shared" si="39"/>
        <v>2018</v>
      </c>
      <c r="CJ38" s="3218">
        <f t="shared" si="39"/>
        <v>2019</v>
      </c>
      <c r="CK38" s="3218"/>
      <c r="CL38" s="3218"/>
      <c r="CM38" s="3218"/>
      <c r="CN38" s="3218"/>
      <c r="CO38" s="3218"/>
      <c r="CP38" s="3218"/>
      <c r="CQ38" s="3218"/>
      <c r="CR38" s="3218"/>
      <c r="CS38" s="3218"/>
      <c r="CT38" s="3218"/>
      <c r="CU38" s="3218"/>
      <c r="CV38" s="3218"/>
      <c r="CW38" s="3218"/>
      <c r="CX38" s="3218"/>
      <c r="CY38" s="3218"/>
    </row>
    <row r="39" spans="1:103" outlineLevel="1">
      <c r="A39" s="3162"/>
      <c r="C39" s="3150" t="s">
        <v>1493</v>
      </c>
      <c r="D39" s="3217"/>
      <c r="E39" s="3217"/>
      <c r="F39" s="3217"/>
      <c r="G39" s="3217"/>
      <c r="H39" s="3217"/>
      <c r="I39" s="3217">
        <v>157</v>
      </c>
      <c r="J39" s="3217">
        <v>100</v>
      </c>
      <c r="K39" s="3217">
        <v>100</v>
      </c>
      <c r="L39" s="3217">
        <v>100</v>
      </c>
      <c r="M39" s="3170">
        <f t="shared" ref="M39:T39" si="40">IF(ISERROR(AVERAGE(J39:L39)),"",(AVERAGE(J39:L39)))</f>
        <v>100</v>
      </c>
      <c r="N39" s="3170">
        <f t="shared" si="40"/>
        <v>100</v>
      </c>
      <c r="O39" s="3170">
        <f t="shared" si="40"/>
        <v>100</v>
      </c>
      <c r="P39" s="3170">
        <f t="shared" si="40"/>
        <v>100</v>
      </c>
      <c r="Q39" s="3170">
        <f t="shared" si="40"/>
        <v>100</v>
      </c>
      <c r="R39" s="3170">
        <f t="shared" si="40"/>
        <v>100</v>
      </c>
      <c r="S39" s="3170">
        <f t="shared" si="40"/>
        <v>100</v>
      </c>
      <c r="T39" s="3170">
        <f t="shared" si="40"/>
        <v>100</v>
      </c>
      <c r="V39" s="3147"/>
      <c r="BG39" s="3170"/>
      <c r="BH39" s="3149"/>
      <c r="CD39" s="3216"/>
      <c r="CE39" s="3216"/>
      <c r="CF39" s="3216"/>
      <c r="CG39" s="3216"/>
      <c r="CH39" s="3216"/>
      <c r="CI39" s="3216"/>
      <c r="CJ39" s="3216"/>
      <c r="CK39" s="3216"/>
    </row>
    <row r="40" spans="1:103" outlineLevel="1">
      <c r="A40" s="3162"/>
      <c r="C40" s="3150" t="s">
        <v>1492</v>
      </c>
      <c r="D40" s="3170">
        <f t="shared" ref="D40:T40" si="41">D33</f>
        <v>0</v>
      </c>
      <c r="E40" s="3170">
        <f t="shared" si="41"/>
        <v>0</v>
      </c>
      <c r="F40" s="3170">
        <f t="shared" si="41"/>
        <v>0</v>
      </c>
      <c r="G40" s="3170">
        <f t="shared" si="41"/>
        <v>0</v>
      </c>
      <c r="H40" s="3170">
        <f t="shared" si="41"/>
        <v>0</v>
      </c>
      <c r="I40" s="3170">
        <f t="shared" si="41"/>
        <v>-845</v>
      </c>
      <c r="J40" s="3170">
        <f t="shared" si="41"/>
        <v>-1438</v>
      </c>
      <c r="K40" s="3170">
        <f t="shared" si="41"/>
        <v>-1034</v>
      </c>
      <c r="L40" s="3170">
        <f t="shared" ref="L40" si="42">L33</f>
        <v>-1238</v>
      </c>
      <c r="M40" s="3170">
        <f t="shared" si="41"/>
        <v>-1238</v>
      </c>
      <c r="N40" s="3170">
        <f t="shared" si="41"/>
        <v>-1238</v>
      </c>
      <c r="O40" s="3170">
        <f t="shared" si="41"/>
        <v>-1238</v>
      </c>
      <c r="P40" s="3170">
        <f t="shared" si="41"/>
        <v>-1238</v>
      </c>
      <c r="Q40" s="3170">
        <f t="shared" si="41"/>
        <v>-1238</v>
      </c>
      <c r="R40" s="3170">
        <f t="shared" si="41"/>
        <v>-1238</v>
      </c>
      <c r="S40" s="3170">
        <f t="shared" si="41"/>
        <v>-1238</v>
      </c>
      <c r="T40" s="3170">
        <f t="shared" si="41"/>
        <v>-1238</v>
      </c>
      <c r="V40" s="3147"/>
      <c r="AR40" s="3148"/>
      <c r="BG40" s="3215"/>
      <c r="BH40" s="3149"/>
      <c r="CB40" s="3214"/>
      <c r="CC40" s="3147" t="s">
        <v>1491</v>
      </c>
      <c r="CD40" s="3213">
        <v>18825.597112363517</v>
      </c>
      <c r="CE40" s="3213">
        <v>22588.516123810557</v>
      </c>
      <c r="CF40" s="3213">
        <v>13812.94686161664</v>
      </c>
      <c r="CG40" s="3213">
        <v>13000.28955570992</v>
      </c>
      <c r="CH40" s="3213">
        <v>14949.642172872</v>
      </c>
      <c r="CI40" s="3213">
        <v>14949.642172872</v>
      </c>
      <c r="CJ40" s="3213">
        <v>14949.642172872</v>
      </c>
      <c r="CK40" s="3213"/>
      <c r="CL40" s="3213"/>
      <c r="CM40" s="3213"/>
      <c r="CN40" s="3213"/>
      <c r="CO40" s="3213"/>
      <c r="CP40" s="3213"/>
      <c r="CQ40" s="3213"/>
      <c r="CR40" s="3213"/>
      <c r="CS40" s="3213"/>
      <c r="CT40" s="3213"/>
      <c r="CU40" s="3213"/>
      <c r="CV40" s="3213"/>
      <c r="CW40" s="3213"/>
      <c r="CX40" s="3213"/>
      <c r="CY40" s="3213"/>
    </row>
    <row r="41" spans="1:103" outlineLevel="1">
      <c r="A41" s="3162"/>
      <c r="C41" s="3150" t="s">
        <v>792</v>
      </c>
      <c r="D41" s="3170">
        <f t="shared" ref="D41:K41" si="43">IF(ISNUMBER(D42-SUM(D37:D40)),D42-SUM(D37:D40),0)</f>
        <v>2392.998</v>
      </c>
      <c r="E41" s="3170">
        <f t="shared" si="43"/>
        <v>29.454000000000178</v>
      </c>
      <c r="F41" s="3170">
        <f t="shared" si="43"/>
        <v>7603.1309999999994</v>
      </c>
      <c r="G41" s="3170">
        <f t="shared" si="43"/>
        <v>471</v>
      </c>
      <c r="H41" s="3170">
        <f t="shared" si="43"/>
        <v>-785</v>
      </c>
      <c r="I41" s="3170">
        <f t="shared" si="43"/>
        <v>-460</v>
      </c>
      <c r="J41" s="3170">
        <f t="shared" si="43"/>
        <v>-322</v>
      </c>
      <c r="K41" s="3170">
        <f t="shared" si="43"/>
        <v>0</v>
      </c>
      <c r="L41" s="3170">
        <f t="shared" ref="L41" si="44">IF(ISNUMBER(L42-SUM(L37:L40)),L42-SUM(L37:L40),0)</f>
        <v>0</v>
      </c>
      <c r="M41" s="3170">
        <v>0</v>
      </c>
      <c r="N41" s="3170">
        <v>0</v>
      </c>
      <c r="O41" s="3170">
        <v>0</v>
      </c>
      <c r="P41" s="3170">
        <v>0</v>
      </c>
      <c r="Q41" s="3170">
        <v>0</v>
      </c>
      <c r="R41" s="3170">
        <v>0</v>
      </c>
      <c r="S41" s="3170">
        <v>0</v>
      </c>
      <c r="T41" s="3170">
        <v>0</v>
      </c>
      <c r="V41" s="3147"/>
      <c r="BG41" s="3170"/>
      <c r="BH41" s="3149"/>
      <c r="CC41" s="3147" t="s">
        <v>538</v>
      </c>
      <c r="CD41" s="3213">
        <f t="shared" ref="CD41:CJ41" si="45">H44</f>
        <v>1055</v>
      </c>
      <c r="CE41" s="3213">
        <f t="shared" si="45"/>
        <v>2471</v>
      </c>
      <c r="CF41" s="3213">
        <f t="shared" si="45"/>
        <v>2277</v>
      </c>
      <c r="CG41" s="3213">
        <f t="shared" si="45"/>
        <v>2409</v>
      </c>
      <c r="CH41" s="3213">
        <f t="shared" si="45"/>
        <v>2062</v>
      </c>
      <c r="CI41" s="3213">
        <f t="shared" si="45"/>
        <v>1803.7660000000014</v>
      </c>
      <c r="CJ41" s="3213">
        <f t="shared" si="45"/>
        <v>1546.9470580000016</v>
      </c>
      <c r="CK41" s="3213"/>
      <c r="CL41" s="3213"/>
      <c r="CM41" s="3213"/>
      <c r="CN41" s="3213"/>
      <c r="CO41" s="3213"/>
      <c r="CP41" s="3213"/>
      <c r="CQ41" s="3213"/>
      <c r="CR41" s="3213"/>
      <c r="CS41" s="3213"/>
      <c r="CT41" s="3213"/>
      <c r="CU41" s="3213"/>
      <c r="CV41" s="3213"/>
      <c r="CW41" s="3213"/>
      <c r="CX41" s="3213"/>
      <c r="CY41" s="3213"/>
    </row>
    <row r="42" spans="1:103">
      <c r="A42" s="3162"/>
      <c r="C42" s="3196" t="s">
        <v>537</v>
      </c>
      <c r="D42" s="3169">
        <v>3219.7060000000001</v>
      </c>
      <c r="E42" s="3169">
        <v>3731.8690000000001</v>
      </c>
      <c r="F42" s="3169">
        <v>11814</v>
      </c>
      <c r="G42" s="3169">
        <v>12321</v>
      </c>
      <c r="H42" s="3212">
        <v>12346</v>
      </c>
      <c r="I42" s="3212">
        <v>12571</v>
      </c>
      <c r="J42" s="3212">
        <v>11072</v>
      </c>
      <c r="K42" s="3212">
        <v>10892</v>
      </c>
      <c r="L42" s="3212">
        <v>11060</v>
      </c>
      <c r="M42" s="3169">
        <f t="shared" ref="M42:T42" si="46">SUM(M37:M41)</f>
        <v>10644.15</v>
      </c>
      <c r="N42" s="3169">
        <f t="shared" si="46"/>
        <v>10201.269749999999</v>
      </c>
      <c r="O42" s="3169">
        <f t="shared" si="46"/>
        <v>9729.6022837499986</v>
      </c>
      <c r="P42" s="3169">
        <f t="shared" si="46"/>
        <v>9227.2764321937484</v>
      </c>
      <c r="Q42" s="3169">
        <f t="shared" si="46"/>
        <v>8692.2994002863416</v>
      </c>
      <c r="R42" s="3169">
        <f t="shared" si="46"/>
        <v>8122.5488613049529</v>
      </c>
      <c r="S42" s="3169">
        <f t="shared" si="46"/>
        <v>7515.764537289775</v>
      </c>
      <c r="T42" s="3169">
        <f t="shared" si="46"/>
        <v>6869.5392322136104</v>
      </c>
      <c r="U42" s="3185"/>
      <c r="V42" s="3147"/>
      <c r="AN42" s="3211" t="s">
        <v>1490</v>
      </c>
      <c r="BG42" s="3169">
        <f>_xll.ThomsonONEAddinShim.SpreadsheetFormulas.TF(Sedol,$AN42,"dataDir=across",trSdate,trEdate,Currency_ISOcode)</f>
        <v>3732</v>
      </c>
      <c r="BH42" s="3210">
        <v>11814</v>
      </c>
      <c r="BI42" s="3209">
        <v>12321</v>
      </c>
      <c r="BJ42" s="3209">
        <v>12346</v>
      </c>
      <c r="BK42" s="3209">
        <v>12571</v>
      </c>
      <c r="BL42" s="3209">
        <v>11072</v>
      </c>
      <c r="BM42" s="3209">
        <v>10892</v>
      </c>
      <c r="BN42" s="3209">
        <v>11060</v>
      </c>
      <c r="CC42" s="3147" t="s">
        <v>1489</v>
      </c>
      <c r="CD42" s="3207">
        <f t="shared" ref="CD42:CJ42" si="47">IF(ISNUMBER(CD41/CD40),CD41/CD40,NA())</f>
        <v>5.6040719117862119E-2</v>
      </c>
      <c r="CE42" s="3207">
        <f t="shared" si="47"/>
        <v>0.10939186914519447</v>
      </c>
      <c r="CF42" s="3207">
        <f t="shared" si="47"/>
        <v>0.16484534566098408</v>
      </c>
      <c r="CG42" s="3207">
        <f t="shared" si="47"/>
        <v>0.18530356494574626</v>
      </c>
      <c r="CH42" s="3207">
        <f t="shared" si="47"/>
        <v>0.13792972274224446</v>
      </c>
      <c r="CI42" s="3207">
        <f t="shared" si="47"/>
        <v>0.12065613204262246</v>
      </c>
      <c r="CJ42" s="3207">
        <f t="shared" si="47"/>
        <v>0.1034771963175902</v>
      </c>
      <c r="CK42" s="3207"/>
      <c r="CL42" s="3207"/>
      <c r="CM42" s="3207"/>
      <c r="CN42" s="3207"/>
      <c r="CO42" s="3207"/>
      <c r="CP42" s="3207"/>
      <c r="CQ42" s="3207"/>
      <c r="CR42" s="3207"/>
      <c r="CS42" s="3207"/>
      <c r="CT42" s="3207"/>
      <c r="CU42" s="3207"/>
      <c r="CV42" s="3207"/>
      <c r="CW42" s="3207"/>
      <c r="CX42" s="3207"/>
      <c r="CY42" s="3207"/>
    </row>
    <row r="43" spans="1:103">
      <c r="A43" s="3162"/>
      <c r="C43" s="3175"/>
      <c r="D43" s="3175"/>
      <c r="E43" s="3175"/>
      <c r="F43" s="3175"/>
      <c r="G43" s="3175"/>
      <c r="H43" s="3170"/>
      <c r="I43" s="3170"/>
      <c r="J43" s="3208"/>
      <c r="K43" s="3208"/>
      <c r="L43" s="3208"/>
      <c r="M43" s="3208"/>
      <c r="N43" s="3208"/>
      <c r="O43" s="3208"/>
      <c r="P43" s="3208"/>
      <c r="Q43" s="3208"/>
      <c r="R43" s="3208"/>
      <c r="S43" s="3208"/>
      <c r="T43" s="3208"/>
      <c r="V43" s="3147"/>
      <c r="BG43" s="3197"/>
      <c r="BH43" s="3149"/>
      <c r="CC43" s="3147" t="s">
        <v>1488</v>
      </c>
      <c r="CD43" s="3207">
        <f t="shared" ref="CD43:CJ43" si="48">IF(ISNUMBER(H45),H45,NA())</f>
        <v>0.92127453175136187</v>
      </c>
      <c r="CE43" s="3207">
        <f t="shared" si="48"/>
        <v>0.83572663209679565</v>
      </c>
      <c r="CF43" s="3207">
        <f t="shared" si="48"/>
        <v>0.82942542512547757</v>
      </c>
      <c r="CG43" s="3207">
        <f t="shared" si="48"/>
        <v>0.81888579806029627</v>
      </c>
      <c r="CH43" s="3207">
        <f t="shared" si="48"/>
        <v>0.84285932022557541</v>
      </c>
      <c r="CI43" s="3207">
        <f t="shared" si="48"/>
        <v>0.85509494119336915</v>
      </c>
      <c r="CJ43" s="3207">
        <f t="shared" si="48"/>
        <v>0.86832494809368843</v>
      </c>
      <c r="CK43" s="3207"/>
      <c r="CL43" s="3207"/>
      <c r="CM43" s="3207"/>
      <c r="CN43" s="3207"/>
      <c r="CO43" s="3207"/>
      <c r="CP43" s="3207"/>
      <c r="CQ43" s="3207"/>
      <c r="CR43" s="3207"/>
      <c r="CS43" s="3207"/>
      <c r="CT43" s="3207"/>
      <c r="CU43" s="3207"/>
      <c r="CV43" s="3207"/>
      <c r="CW43" s="3207"/>
      <c r="CX43" s="3207"/>
      <c r="CY43" s="3207"/>
    </row>
    <row r="44" spans="1:103">
      <c r="A44" s="3162"/>
      <c r="C44" s="3196" t="s">
        <v>538</v>
      </c>
      <c r="D44" s="3169">
        <f t="shared" ref="D44:T44" si="49">IF(ISERROR(D35-D42),0,D35-D42)</f>
        <v>961.8760000000002</v>
      </c>
      <c r="E44" s="3169">
        <f t="shared" si="49"/>
        <v>802.09999999999991</v>
      </c>
      <c r="F44" s="3169">
        <f t="shared" si="49"/>
        <v>1782</v>
      </c>
      <c r="G44" s="3169">
        <f t="shared" si="49"/>
        <v>2560</v>
      </c>
      <c r="H44" s="3169">
        <f t="shared" si="49"/>
        <v>1055</v>
      </c>
      <c r="I44" s="3169">
        <f t="shared" si="49"/>
        <v>2471</v>
      </c>
      <c r="J44" s="3169">
        <f t="shared" si="49"/>
        <v>2277</v>
      </c>
      <c r="K44" s="3169">
        <f t="shared" si="49"/>
        <v>2409</v>
      </c>
      <c r="L44" s="3169">
        <f t="shared" ref="L44" si="50">IF(ISERROR(L35-L42),0,L35-L42)</f>
        <v>2062</v>
      </c>
      <c r="M44" s="3169">
        <f t="shared" si="49"/>
        <v>1803.7660000000014</v>
      </c>
      <c r="N44" s="3169">
        <f t="shared" si="49"/>
        <v>1546.9470580000016</v>
      </c>
      <c r="O44" s="3169">
        <f t="shared" si="49"/>
        <v>1292.3267629540023</v>
      </c>
      <c r="P44" s="3169">
        <f t="shared" si="49"/>
        <v>1040.7659182850057</v>
      </c>
      <c r="Q44" s="3169">
        <f t="shared" si="49"/>
        <v>793.20855951060548</v>
      </c>
      <c r="R44" s="3169">
        <f t="shared" si="49"/>
        <v>550.68840096427812</v>
      </c>
      <c r="S44" s="3169">
        <f t="shared" si="49"/>
        <v>314.33574094568758</v>
      </c>
      <c r="T44" s="3169">
        <f t="shared" si="49"/>
        <v>85.384856594799203</v>
      </c>
      <c r="V44" s="3147"/>
      <c r="BG44" s="3169"/>
      <c r="BH44" s="3149"/>
      <c r="CD44" s="3206">
        <f>_xll.ThomsonONEAddinShim.SpreadsheetFormulas.TF($H$3,"TF.PR.MarketCap(sdate=#1,curn=#2,scale=6)",,CD$38,$AQ$184)</f>
        <v>18826</v>
      </c>
      <c r="CE44" s="3206">
        <f>_xll.ThomsonONEAddinShim.SpreadsheetFormulas.TF($H$3,"TF.PR.MarketCap(sdate=#1,curn=#2,scale=6)",,CE$38,$AQ$184)</f>
        <v>22589</v>
      </c>
      <c r="CF44" s="3206">
        <f>_xll.ThomsonONEAddinShim.SpreadsheetFormulas.TF($H$3,"TF.PR.MarketCap(sdate=#1,curn=#2,scale=6)",,CF$38,$AQ$184)</f>
        <v>13813</v>
      </c>
      <c r="CG44" s="3206">
        <f>_xll.ThomsonONEAddinShim.SpreadsheetFormulas.TF($H$3,"TF.PR.MarketCap(sdate=#1,curn=#2,scale=6)",,CG$38,$AQ$184)</f>
        <v>13000</v>
      </c>
      <c r="CH44" s="3206">
        <f>_xll.ThomsonONEAddinShim.SpreadsheetFormulas.TF($H$3,"TF.PR.MarketCap(sdate=#1,curn=#2,scale=6)",,CH$38,$AQ$184)</f>
        <v>13000</v>
      </c>
      <c r="CI44" s="3206">
        <f>_xll.ThomsonONEAddinShim.SpreadsheetFormulas.TF($H$3,"TF.PR.MarketCap(sdate=#1,curn=#2,scale=6)",,CI$38,$AQ$184)</f>
        <v>19193</v>
      </c>
      <c r="CJ44" s="3206">
        <f>_xll.ThomsonONEAddinShim.SpreadsheetFormulas.TF($H$3,"TF.PR.MarketCap(sdate=#1,curn=#2,scale=6)",,CJ$38,$AQ$184)</f>
        <v>19193</v>
      </c>
    </row>
    <row r="45" spans="1:103">
      <c r="A45" s="3162"/>
      <c r="C45" s="3196" t="s">
        <v>540</v>
      </c>
      <c r="D45" s="3205">
        <f t="shared" ref="D45:T45" si="51">IF(ISERROR(D42/D35),"NA",D42/D35)</f>
        <v>0.76997318239843193</v>
      </c>
      <c r="E45" s="3205">
        <f t="shared" si="51"/>
        <v>0.82309098275705017</v>
      </c>
      <c r="F45" s="3205">
        <f t="shared" si="51"/>
        <v>0.8689320388349514</v>
      </c>
      <c r="G45" s="3205">
        <f t="shared" si="51"/>
        <v>0.82796855050063844</v>
      </c>
      <c r="H45" s="3205">
        <f t="shared" si="51"/>
        <v>0.92127453175136187</v>
      </c>
      <c r="I45" s="3205">
        <f t="shared" si="51"/>
        <v>0.83572663209679565</v>
      </c>
      <c r="J45" s="3205">
        <f t="shared" si="51"/>
        <v>0.82942542512547757</v>
      </c>
      <c r="K45" s="3205">
        <f t="shared" si="51"/>
        <v>0.81888579806029627</v>
      </c>
      <c r="L45" s="3205">
        <f t="shared" ref="L45" si="52">IF(ISERROR(L42/L35),"NA",L42/L35)</f>
        <v>0.84285932022557541</v>
      </c>
      <c r="M45" s="3205">
        <f t="shared" si="51"/>
        <v>0.85509494119336915</v>
      </c>
      <c r="N45" s="3205">
        <f t="shared" si="51"/>
        <v>0.86832494809368843</v>
      </c>
      <c r="O45" s="3205">
        <f t="shared" si="51"/>
        <v>0.88274949353439547</v>
      </c>
      <c r="P45" s="3205">
        <f t="shared" si="51"/>
        <v>0.89864027798478263</v>
      </c>
      <c r="Q45" s="3205">
        <f t="shared" si="51"/>
        <v>0.9163767968070331</v>
      </c>
      <c r="R45" s="3205">
        <f t="shared" si="51"/>
        <v>0.93650716747252938</v>
      </c>
      <c r="S45" s="3205">
        <f t="shared" si="51"/>
        <v>0.95985546419891776</v>
      </c>
      <c r="T45" s="3205">
        <f t="shared" si="51"/>
        <v>0.98772310732590207</v>
      </c>
      <c r="V45" s="3147"/>
      <c r="BG45" s="3204"/>
      <c r="BH45" s="3149"/>
      <c r="CD45" s="3203"/>
      <c r="CE45" s="3203"/>
      <c r="CF45" s="3203"/>
      <c r="CG45" s="3203"/>
      <c r="CH45" s="3203"/>
      <c r="CI45" s="3203"/>
      <c r="CJ45" s="3203"/>
    </row>
    <row r="46" spans="1:103" ht="12.75" customHeight="1">
      <c r="A46" s="3162"/>
      <c r="C46" s="3175"/>
      <c r="D46" s="3175"/>
      <c r="E46" s="3175"/>
      <c r="F46" s="3175"/>
      <c r="G46" s="3175"/>
      <c r="H46" s="3202"/>
      <c r="I46" s="3202"/>
      <c r="J46" s="3202"/>
      <c r="K46" s="3202"/>
      <c r="L46" s="3202"/>
      <c r="M46" s="3202"/>
      <c r="N46" s="3202"/>
      <c r="O46" s="3202"/>
      <c r="P46" s="3202"/>
      <c r="Q46" s="3202"/>
      <c r="R46" s="3202"/>
      <c r="S46" s="3202"/>
      <c r="T46" s="3202"/>
      <c r="V46" s="3147"/>
      <c r="BG46" s="3197"/>
      <c r="BH46" s="3149"/>
    </row>
    <row r="47" spans="1:103">
      <c r="A47" s="3162"/>
      <c r="C47" s="3196" t="s">
        <v>541</v>
      </c>
      <c r="D47" s="3169">
        <f>IF(ISERROR(D44*D13),0,D44*D13)</f>
        <v>336.65660000000003</v>
      </c>
      <c r="E47" s="3169">
        <f t="shared" ref="E47:T47" si="53">+D47+(E44-D44)*E13</f>
        <v>280.7349999999999</v>
      </c>
      <c r="F47" s="3169">
        <f t="shared" si="53"/>
        <v>623.69999999999993</v>
      </c>
      <c r="G47" s="3169">
        <f t="shared" si="53"/>
        <v>895.99999999999989</v>
      </c>
      <c r="H47" s="3169">
        <f t="shared" si="53"/>
        <v>369.24999999999989</v>
      </c>
      <c r="I47" s="3169">
        <f t="shared" si="53"/>
        <v>864.84999999999991</v>
      </c>
      <c r="J47" s="3169">
        <f t="shared" si="53"/>
        <v>796.94999999999993</v>
      </c>
      <c r="K47" s="3169">
        <f t="shared" si="53"/>
        <v>843.15</v>
      </c>
      <c r="L47" s="3169">
        <f t="shared" ref="L47" si="54">+K47+(L44-K44)*L13</f>
        <v>721.7</v>
      </c>
      <c r="M47" s="3169">
        <f t="shared" si="53"/>
        <v>667.47086000000036</v>
      </c>
      <c r="N47" s="3169">
        <f t="shared" si="53"/>
        <v>613.53888218000043</v>
      </c>
      <c r="O47" s="3169">
        <f t="shared" si="53"/>
        <v>560.06862022034056</v>
      </c>
      <c r="P47" s="3169">
        <f t="shared" si="53"/>
        <v>507.24084283985127</v>
      </c>
      <c r="Q47" s="3169">
        <f t="shared" si="53"/>
        <v>455.2537974972272</v>
      </c>
      <c r="R47" s="3169">
        <f t="shared" si="53"/>
        <v>404.32456420249844</v>
      </c>
      <c r="S47" s="3169">
        <f t="shared" si="53"/>
        <v>354.69050559859443</v>
      </c>
      <c r="T47" s="3169">
        <f t="shared" si="53"/>
        <v>306.61081988490787</v>
      </c>
      <c r="V47" s="3147"/>
      <c r="BG47" s="3169"/>
      <c r="BH47" s="3149"/>
    </row>
    <row r="48" spans="1:103">
      <c r="A48" s="3162"/>
      <c r="C48" s="3175"/>
      <c r="D48" s="3175"/>
      <c r="E48" s="3175"/>
      <c r="F48" s="3175"/>
      <c r="G48" s="3175"/>
      <c r="H48" s="3188"/>
      <c r="I48" s="3188"/>
      <c r="J48" s="3165"/>
      <c r="K48" s="3165"/>
      <c r="L48" s="3165"/>
      <c r="M48" s="3165"/>
      <c r="N48" s="3165"/>
      <c r="O48" s="3165"/>
      <c r="P48" s="3165"/>
      <c r="Q48" s="3165"/>
      <c r="R48" s="3165"/>
      <c r="S48" s="3165"/>
      <c r="T48" s="3165"/>
      <c r="V48" s="3147"/>
      <c r="BG48" s="3197"/>
      <c r="BH48" s="3149"/>
    </row>
    <row r="49" spans="1:60">
      <c r="A49" s="3162"/>
      <c r="B49" s="3201" t="s">
        <v>1487</v>
      </c>
      <c r="C49" s="3200" t="s">
        <v>542</v>
      </c>
      <c r="D49" s="3199"/>
      <c r="E49" s="3199"/>
      <c r="F49" s="3199"/>
      <c r="G49" s="3199"/>
      <c r="H49" s="3188"/>
      <c r="I49" s="3188"/>
      <c r="J49" s="3165"/>
      <c r="K49" s="3165"/>
      <c r="L49" s="3165"/>
      <c r="M49" s="3165"/>
      <c r="N49" s="3165"/>
      <c r="O49" s="3165"/>
      <c r="P49" s="3165"/>
      <c r="Q49" s="3165"/>
      <c r="R49" s="3165"/>
      <c r="S49" s="3165"/>
      <c r="T49" s="3165"/>
      <c r="V49" s="3147"/>
      <c r="BG49" s="3198"/>
      <c r="BH49" s="3149"/>
    </row>
    <row r="50" spans="1:60" ht="7.5" customHeight="1">
      <c r="A50" s="3162"/>
      <c r="C50" s="3175"/>
      <c r="D50" s="3175"/>
      <c r="E50" s="3175"/>
      <c r="F50" s="3175"/>
      <c r="G50" s="3175"/>
      <c r="H50" s="3188"/>
      <c r="I50" s="3188"/>
      <c r="J50" s="3165"/>
      <c r="K50" s="3165"/>
      <c r="L50" s="3165"/>
      <c r="M50" s="3165"/>
      <c r="N50" s="3165"/>
      <c r="O50" s="3165"/>
      <c r="P50" s="3165"/>
      <c r="Q50" s="3165"/>
      <c r="R50" s="3165"/>
      <c r="S50" s="3165"/>
      <c r="T50" s="3165"/>
      <c r="V50" s="3147"/>
      <c r="BG50" s="3197"/>
      <c r="BH50" s="3149"/>
    </row>
    <row r="51" spans="1:60">
      <c r="A51" s="3162"/>
      <c r="C51" s="3196" t="s">
        <v>1486</v>
      </c>
      <c r="D51" s="3195">
        <f t="shared" ref="D51:T51" si="55">+D25*(1-D13)</f>
        <v>59.987850000000002</v>
      </c>
      <c r="E51" s="3195">
        <f t="shared" si="55"/>
        <v>14.131</v>
      </c>
      <c r="F51" s="3195">
        <f t="shared" si="55"/>
        <v>-40.950000000000003</v>
      </c>
      <c r="G51" s="3195">
        <f t="shared" si="55"/>
        <v>-62.400000000000006</v>
      </c>
      <c r="H51" s="3195">
        <f t="shared" si="55"/>
        <v>-111.8</v>
      </c>
      <c r="I51" s="3195">
        <f t="shared" si="55"/>
        <v>-161.20000000000002</v>
      </c>
      <c r="J51" s="3195">
        <f t="shared" si="55"/>
        <v>-52.65</v>
      </c>
      <c r="K51" s="3195">
        <f t="shared" si="55"/>
        <v>-39.65</v>
      </c>
      <c r="L51" s="3195">
        <f t="shared" ref="L51" si="56">+L25*(1-L13)</f>
        <v>3.25</v>
      </c>
      <c r="M51" s="3195">
        <f t="shared" si="55"/>
        <v>42.751639999999966</v>
      </c>
      <c r="N51" s="3195">
        <f t="shared" si="55"/>
        <v>43.869535820000095</v>
      </c>
      <c r="O51" s="3195">
        <f t="shared" si="55"/>
        <v>45.606466913659979</v>
      </c>
      <c r="P51" s="3195">
        <f t="shared" si="55"/>
        <v>48.023432711491658</v>
      </c>
      <c r="Q51" s="3195">
        <f t="shared" si="55"/>
        <v>51.186186568223121</v>
      </c>
      <c r="R51" s="3195">
        <f t="shared" si="55"/>
        <v>55.165574748400658</v>
      </c>
      <c r="S51" s="3195">
        <f t="shared" si="55"/>
        <v>60.037898585313023</v>
      </c>
      <c r="T51" s="3195">
        <f t="shared" si="55"/>
        <v>65.885301362798586</v>
      </c>
      <c r="V51" s="3147"/>
      <c r="BG51" s="3194"/>
      <c r="BH51" s="3149"/>
    </row>
    <row r="52" spans="1:60">
      <c r="A52" s="3162"/>
      <c r="C52" s="3196" t="s">
        <v>543</v>
      </c>
      <c r="D52" s="3195">
        <f t="shared" ref="D52:T52" si="57">IF(ISERROR(-D39*(1-D13)),0,(-D39*(1-D13)))</f>
        <v>0</v>
      </c>
      <c r="E52" s="3195">
        <f t="shared" si="57"/>
        <v>0</v>
      </c>
      <c r="F52" s="3195">
        <f t="shared" si="57"/>
        <v>0</v>
      </c>
      <c r="G52" s="3195">
        <f t="shared" si="57"/>
        <v>0</v>
      </c>
      <c r="H52" s="3195">
        <f t="shared" si="57"/>
        <v>0</v>
      </c>
      <c r="I52" s="3195">
        <f t="shared" si="57"/>
        <v>-102.05</v>
      </c>
      <c r="J52" s="3195">
        <f t="shared" si="57"/>
        <v>-65</v>
      </c>
      <c r="K52" s="3195">
        <f t="shared" si="57"/>
        <v>-65</v>
      </c>
      <c r="L52" s="3195">
        <f t="shared" ref="L52" si="58">IF(ISERROR(-L39*(1-L13)),0,(-L39*(1-L13)))</f>
        <v>-65</v>
      </c>
      <c r="M52" s="3195">
        <f t="shared" si="57"/>
        <v>-79</v>
      </c>
      <c r="N52" s="3195">
        <f t="shared" si="57"/>
        <v>-79</v>
      </c>
      <c r="O52" s="3195">
        <f t="shared" si="57"/>
        <v>-79</v>
      </c>
      <c r="P52" s="3195">
        <f t="shared" si="57"/>
        <v>-79</v>
      </c>
      <c r="Q52" s="3195">
        <f t="shared" si="57"/>
        <v>-79</v>
      </c>
      <c r="R52" s="3195">
        <f t="shared" si="57"/>
        <v>-79</v>
      </c>
      <c r="S52" s="3195">
        <f t="shared" si="57"/>
        <v>-79</v>
      </c>
      <c r="T52" s="3195">
        <f t="shared" si="57"/>
        <v>-79</v>
      </c>
      <c r="V52" s="3147"/>
      <c r="BG52" s="3194"/>
      <c r="BH52" s="3149"/>
    </row>
    <row r="53" spans="1:60" ht="7.5" customHeight="1">
      <c r="A53" s="3162"/>
      <c r="C53" s="3175"/>
      <c r="D53" s="3175"/>
      <c r="E53" s="3175"/>
      <c r="F53" s="3175"/>
      <c r="G53" s="3175"/>
      <c r="H53" s="3193"/>
      <c r="I53" s="3193"/>
      <c r="J53" s="3193"/>
      <c r="K53" s="3193"/>
      <c r="L53" s="3193"/>
      <c r="M53" s="3193"/>
      <c r="N53" s="3193"/>
      <c r="O53" s="3193"/>
      <c r="P53" s="3193"/>
      <c r="Q53" s="3193"/>
      <c r="R53" s="3193"/>
      <c r="S53" s="3193"/>
      <c r="T53" s="3193"/>
      <c r="V53" s="3147"/>
      <c r="BH53" s="3149"/>
    </row>
    <row r="54" spans="1:60" ht="12" customHeight="1">
      <c r="A54" s="3162"/>
      <c r="B54" s="3172" t="s">
        <v>1485</v>
      </c>
      <c r="C54" s="3172" t="s">
        <v>1484</v>
      </c>
      <c r="D54" s="3192">
        <f t="shared" ref="D54:T54" si="59">+D15</f>
        <v>2009</v>
      </c>
      <c r="E54" s="3192">
        <f t="shared" si="59"/>
        <v>2010</v>
      </c>
      <c r="F54" s="3192">
        <f t="shared" si="59"/>
        <v>2011</v>
      </c>
      <c r="G54" s="3192">
        <f t="shared" si="59"/>
        <v>2012</v>
      </c>
      <c r="H54" s="3192">
        <f t="shared" si="59"/>
        <v>2013</v>
      </c>
      <c r="I54" s="3192">
        <f t="shared" si="59"/>
        <v>2014</v>
      </c>
      <c r="J54" s="3192">
        <f t="shared" si="59"/>
        <v>2015</v>
      </c>
      <c r="K54" s="3192">
        <f t="shared" si="59"/>
        <v>2016</v>
      </c>
      <c r="L54" s="3192">
        <f t="shared" ref="L54" si="60">+L15</f>
        <v>2017</v>
      </c>
      <c r="M54" s="3192">
        <f t="shared" si="59"/>
        <v>2018</v>
      </c>
      <c r="N54" s="3192">
        <f t="shared" si="59"/>
        <v>2019</v>
      </c>
      <c r="O54" s="3192">
        <f t="shared" si="59"/>
        <v>2020</v>
      </c>
      <c r="P54" s="3192">
        <f t="shared" si="59"/>
        <v>2021</v>
      </c>
      <c r="Q54" s="3192">
        <f t="shared" si="59"/>
        <v>2022</v>
      </c>
      <c r="R54" s="3192">
        <f t="shared" si="59"/>
        <v>2023</v>
      </c>
      <c r="S54" s="3192">
        <f t="shared" si="59"/>
        <v>2024</v>
      </c>
      <c r="T54" s="3192">
        <f t="shared" si="59"/>
        <v>2025</v>
      </c>
      <c r="V54" s="3147"/>
      <c r="BH54" s="3149"/>
    </row>
    <row r="55" spans="1:60" s="253" customFormat="1" ht="27.75" customHeight="1">
      <c r="A55" s="3162"/>
      <c r="B55" s="2624"/>
      <c r="C55" s="4177" t="s">
        <v>1483</v>
      </c>
      <c r="D55" s="4177"/>
      <c r="E55" s="4177"/>
      <c r="F55" s="4177"/>
      <c r="G55" s="4177"/>
      <c r="H55" s="4177"/>
      <c r="I55" s="4177"/>
      <c r="J55" s="4177"/>
      <c r="K55" s="4177"/>
      <c r="L55" s="4177"/>
      <c r="M55" s="4177"/>
      <c r="N55" s="4177"/>
      <c r="O55" s="4177"/>
      <c r="P55" s="4177"/>
      <c r="Q55" s="4177"/>
      <c r="R55" s="4177"/>
      <c r="S55" s="4177"/>
      <c r="T55" s="4177"/>
      <c r="U55" s="3150"/>
      <c r="V55" s="3147"/>
      <c r="W55" s="3147"/>
      <c r="X55" s="3147"/>
      <c r="AB55"/>
      <c r="AC55"/>
      <c r="AD55"/>
      <c r="AE55"/>
      <c r="AF55"/>
      <c r="AG55"/>
      <c r="AN55" s="3184"/>
      <c r="BG55" s="59"/>
      <c r="BH55" s="3184"/>
    </row>
    <row r="56" spans="1:60" s="253" customFormat="1">
      <c r="A56" s="3162"/>
      <c r="B56" s="2624"/>
      <c r="C56" s="3191"/>
      <c r="D56" s="3191"/>
      <c r="E56" s="3191"/>
      <c r="F56" s="3191"/>
      <c r="G56" s="3191"/>
      <c r="H56" s="3191"/>
      <c r="I56" s="3191"/>
      <c r="J56" s="3191"/>
      <c r="K56" s="3191"/>
      <c r="L56" s="3191"/>
      <c r="M56" s="3191"/>
      <c r="N56" s="3191"/>
      <c r="O56" s="3191"/>
      <c r="P56" s="3191"/>
      <c r="Q56" s="3191"/>
      <c r="R56" s="3191"/>
      <c r="S56" s="3191"/>
      <c r="T56" s="3191"/>
      <c r="U56" s="3150"/>
      <c r="V56" s="3147"/>
      <c r="W56" s="3147"/>
      <c r="X56" s="3147"/>
      <c r="AB56"/>
      <c r="AC56"/>
      <c r="AD56"/>
      <c r="AE56"/>
      <c r="AF56"/>
      <c r="AG56"/>
      <c r="AN56" s="3184"/>
      <c r="BG56" s="59"/>
      <c r="BH56" s="3184"/>
    </row>
    <row r="57" spans="1:60" s="253" customFormat="1">
      <c r="A57" s="3162"/>
      <c r="B57" s="3190" t="s">
        <v>1482</v>
      </c>
      <c r="C57" s="3164" t="s">
        <v>544</v>
      </c>
      <c r="D57" s="3189"/>
      <c r="E57" s="3189"/>
      <c r="F57" s="3189"/>
      <c r="G57" s="3189"/>
      <c r="H57" s="3187"/>
      <c r="I57" s="3187"/>
      <c r="J57" s="3187"/>
      <c r="K57" s="3187"/>
      <c r="L57" s="3187"/>
      <c r="M57" s="3187"/>
      <c r="N57" s="3187"/>
      <c r="O57" s="3187"/>
      <c r="P57" s="3187"/>
      <c r="Q57" s="3187"/>
      <c r="R57" s="3187"/>
      <c r="S57" s="3187"/>
      <c r="T57" s="3187"/>
      <c r="U57" s="3150"/>
      <c r="V57" s="3147"/>
      <c r="W57" s="3147"/>
      <c r="X57" s="3147"/>
      <c r="AB57"/>
      <c r="AC57"/>
      <c r="AD57"/>
      <c r="AE57"/>
      <c r="AF57"/>
      <c r="AG57"/>
      <c r="AN57" s="3184"/>
      <c r="BG57" s="59"/>
      <c r="BH57" s="3184"/>
    </row>
    <row r="58" spans="1:60" ht="7.5" customHeight="1">
      <c r="A58" s="3162"/>
      <c r="C58" s="3175"/>
      <c r="D58" s="3175"/>
      <c r="E58" s="3175"/>
      <c r="F58" s="3175"/>
      <c r="G58" s="3175"/>
      <c r="H58" s="3188"/>
      <c r="I58" s="3188"/>
      <c r="J58" s="3165"/>
      <c r="K58" s="3165"/>
      <c r="L58" s="3165"/>
      <c r="M58" s="3165"/>
      <c r="N58" s="3165"/>
      <c r="O58" s="3165"/>
      <c r="P58" s="3165"/>
      <c r="Q58" s="3165"/>
      <c r="R58" s="3165"/>
      <c r="S58" s="3165"/>
      <c r="T58" s="3165"/>
      <c r="V58" s="3147"/>
      <c r="BH58" s="3149"/>
    </row>
    <row r="59" spans="1:60" s="253" customFormat="1" ht="15.75" customHeight="1">
      <c r="A59" s="3162"/>
      <c r="B59" s="2624"/>
      <c r="C59" s="3187" t="s">
        <v>545</v>
      </c>
      <c r="D59" s="3187"/>
      <c r="E59" s="3187"/>
      <c r="F59" s="3187"/>
      <c r="G59" s="3187"/>
      <c r="H59" s="3187"/>
      <c r="I59" s="3187"/>
      <c r="J59" s="3187"/>
      <c r="K59" s="3187"/>
      <c r="L59" s="3170">
        <f t="shared" ref="L59:T59" si="61">+L52</f>
        <v>-65</v>
      </c>
      <c r="M59" s="3170">
        <f t="shared" si="61"/>
        <v>-79</v>
      </c>
      <c r="N59" s="3170">
        <f t="shared" si="61"/>
        <v>-79</v>
      </c>
      <c r="O59" s="3170">
        <f t="shared" si="61"/>
        <v>-79</v>
      </c>
      <c r="P59" s="3170">
        <f t="shared" si="61"/>
        <v>-79</v>
      </c>
      <c r="Q59" s="3170">
        <f t="shared" si="61"/>
        <v>-79</v>
      </c>
      <c r="R59" s="3170">
        <f t="shared" si="61"/>
        <v>-79</v>
      </c>
      <c r="S59" s="3170">
        <f t="shared" si="61"/>
        <v>-79</v>
      </c>
      <c r="T59" s="3170">
        <f t="shared" si="61"/>
        <v>-79</v>
      </c>
      <c r="U59" s="3150"/>
      <c r="V59" s="3147"/>
      <c r="W59" s="3147"/>
      <c r="X59" s="3147"/>
      <c r="AB59"/>
      <c r="AC59"/>
      <c r="AD59"/>
      <c r="AE59"/>
      <c r="AF59"/>
      <c r="AG59"/>
      <c r="AN59" s="3184"/>
      <c r="BG59" s="59"/>
      <c r="BH59" s="3184"/>
    </row>
    <row r="60" spans="1:60" s="253" customFormat="1" ht="15.75" customHeight="1">
      <c r="A60" s="3162"/>
      <c r="B60" s="2624"/>
      <c r="C60" s="3187" t="s">
        <v>1481</v>
      </c>
      <c r="D60" s="3187"/>
      <c r="E60" s="3187"/>
      <c r="F60" s="3187"/>
      <c r="G60" s="3187"/>
      <c r="H60" s="3187"/>
      <c r="I60" s="3187"/>
      <c r="J60" s="3187"/>
      <c r="K60" s="3187"/>
      <c r="L60" s="3170">
        <f t="shared" ref="L60:T60" si="62">L25*(1-L13)</f>
        <v>3.25</v>
      </c>
      <c r="M60" s="3170">
        <f t="shared" si="62"/>
        <v>42.751639999999966</v>
      </c>
      <c r="N60" s="3170">
        <f t="shared" si="62"/>
        <v>43.869535820000095</v>
      </c>
      <c r="O60" s="3170">
        <f t="shared" si="62"/>
        <v>45.606466913659979</v>
      </c>
      <c r="P60" s="3170">
        <f t="shared" si="62"/>
        <v>48.023432711491658</v>
      </c>
      <c r="Q60" s="3170">
        <f t="shared" si="62"/>
        <v>51.186186568223121</v>
      </c>
      <c r="R60" s="3170">
        <f t="shared" si="62"/>
        <v>55.165574748400658</v>
      </c>
      <c r="S60" s="3170">
        <f t="shared" si="62"/>
        <v>60.037898585313023</v>
      </c>
      <c r="T60" s="3170">
        <f t="shared" si="62"/>
        <v>65.885301362798586</v>
      </c>
      <c r="U60" s="3150"/>
      <c r="V60" s="3147"/>
      <c r="W60" s="3147"/>
      <c r="X60" s="3147"/>
      <c r="AB60"/>
      <c r="AC60"/>
      <c r="AD60"/>
      <c r="AE60"/>
      <c r="AF60"/>
      <c r="AG60"/>
      <c r="AN60" s="3184"/>
      <c r="BG60" s="59"/>
      <c r="BH60" s="3184"/>
    </row>
    <row r="61" spans="1:60" s="253" customFormat="1" ht="15.75" customHeight="1">
      <c r="A61" s="3162"/>
      <c r="B61" s="2624"/>
      <c r="C61" s="3187" t="s">
        <v>546</v>
      </c>
      <c r="D61" s="3187"/>
      <c r="E61" s="3187"/>
      <c r="F61" s="3187"/>
      <c r="G61" s="3187"/>
      <c r="H61" s="3187"/>
      <c r="I61" s="3187"/>
      <c r="J61" s="3187"/>
      <c r="K61" s="3187"/>
      <c r="L61" s="3170">
        <f t="shared" ref="L61:T61" si="63">L47-K47</f>
        <v>-121.44999999999993</v>
      </c>
      <c r="M61" s="3170">
        <f t="shared" si="63"/>
        <v>-54.229139999999688</v>
      </c>
      <c r="N61" s="3170">
        <f t="shared" si="63"/>
        <v>-53.931977819999929</v>
      </c>
      <c r="O61" s="3170">
        <f t="shared" si="63"/>
        <v>-53.470261959659865</v>
      </c>
      <c r="P61" s="3170">
        <f t="shared" si="63"/>
        <v>-52.827777380489295</v>
      </c>
      <c r="Q61" s="3170">
        <f t="shared" si="63"/>
        <v>-51.987045342624072</v>
      </c>
      <c r="R61" s="3170">
        <f t="shared" si="63"/>
        <v>-50.92923329472876</v>
      </c>
      <c r="S61" s="3170">
        <f t="shared" si="63"/>
        <v>-49.634058603904009</v>
      </c>
      <c r="T61" s="3170">
        <f t="shared" si="63"/>
        <v>-48.079685713686558</v>
      </c>
      <c r="U61" s="3150"/>
      <c r="V61" s="3147"/>
      <c r="W61" s="3147"/>
      <c r="X61" s="3147"/>
      <c r="AB61"/>
      <c r="AC61"/>
      <c r="AD61"/>
      <c r="AE61"/>
      <c r="AF61"/>
      <c r="AG61"/>
      <c r="AN61" s="3184"/>
      <c r="BG61" s="59"/>
      <c r="BH61" s="3184"/>
    </row>
    <row r="62" spans="1:60" s="253" customFormat="1" ht="15.75" customHeight="1">
      <c r="A62" s="3162"/>
      <c r="B62" s="2624"/>
      <c r="C62" s="3186" t="s">
        <v>547</v>
      </c>
      <c r="D62" s="3186"/>
      <c r="E62" s="3186"/>
      <c r="F62" s="3186"/>
      <c r="G62" s="3186"/>
      <c r="H62" s="3186"/>
      <c r="I62" s="3186"/>
      <c r="J62" s="3186"/>
      <c r="K62" s="3186"/>
      <c r="L62" s="3169">
        <f t="shared" ref="L62:T62" si="64">SUM(L59:L61)</f>
        <v>-183.19999999999993</v>
      </c>
      <c r="M62" s="3169">
        <f t="shared" si="64"/>
        <v>-90.477499999999722</v>
      </c>
      <c r="N62" s="3169">
        <f t="shared" si="64"/>
        <v>-89.062441999999834</v>
      </c>
      <c r="O62" s="3169">
        <f t="shared" si="64"/>
        <v>-86.863795045999893</v>
      </c>
      <c r="P62" s="3169">
        <f t="shared" si="64"/>
        <v>-83.804344668997629</v>
      </c>
      <c r="Q62" s="3169">
        <f t="shared" si="64"/>
        <v>-79.80085877440095</v>
      </c>
      <c r="R62" s="3169">
        <f t="shared" si="64"/>
        <v>-74.763658546328102</v>
      </c>
      <c r="S62" s="3169">
        <f t="shared" si="64"/>
        <v>-68.596160018590979</v>
      </c>
      <c r="T62" s="3169">
        <f t="shared" si="64"/>
        <v>-61.194384350887972</v>
      </c>
      <c r="U62" s="3185"/>
      <c r="V62" s="3147"/>
      <c r="W62" s="3147"/>
      <c r="X62" s="3147"/>
      <c r="AB62"/>
      <c r="AC62"/>
      <c r="AD62"/>
      <c r="AE62"/>
      <c r="AF62"/>
      <c r="AG62"/>
      <c r="AN62" s="3184"/>
      <c r="BG62" s="59"/>
      <c r="BH62" s="3184"/>
    </row>
    <row r="63" spans="1:60">
      <c r="A63" s="3162"/>
      <c r="C63" s="3175"/>
      <c r="D63" s="3175"/>
      <c r="E63" s="3175"/>
      <c r="F63" s="3175"/>
      <c r="G63" s="3175"/>
      <c r="H63" s="3188"/>
      <c r="I63" s="3188"/>
      <c r="J63" s="3188"/>
      <c r="K63" s="3188"/>
      <c r="L63" s="3165"/>
      <c r="M63" s="3165"/>
      <c r="N63" s="3165"/>
      <c r="O63" s="3165"/>
      <c r="P63" s="3165"/>
      <c r="Q63" s="3165"/>
      <c r="R63" s="3165"/>
      <c r="S63" s="3165"/>
      <c r="T63" s="3165"/>
      <c r="V63" s="3147"/>
      <c r="BH63" s="3149"/>
    </row>
    <row r="64" spans="1:60" s="253" customFormat="1">
      <c r="A64" s="3162"/>
      <c r="B64" s="3190" t="s">
        <v>1480</v>
      </c>
      <c r="C64" s="3164" t="s">
        <v>548</v>
      </c>
      <c r="D64" s="3189"/>
      <c r="E64" s="3189"/>
      <c r="F64" s="3189"/>
      <c r="G64" s="3189"/>
      <c r="H64" s="3187"/>
      <c r="I64" s="3187"/>
      <c r="J64" s="3187"/>
      <c r="K64" s="3187"/>
      <c r="L64" s="3170"/>
      <c r="M64" s="3170"/>
      <c r="N64" s="3170"/>
      <c r="O64" s="3170"/>
      <c r="P64" s="3170"/>
      <c r="Q64" s="3170"/>
      <c r="R64" s="3170"/>
      <c r="S64" s="3170"/>
      <c r="T64" s="3170"/>
      <c r="U64" s="3150"/>
      <c r="V64" s="3147"/>
      <c r="W64" s="3147"/>
      <c r="X64" s="3147"/>
      <c r="AB64"/>
      <c r="AC64"/>
      <c r="AD64"/>
      <c r="AE64"/>
      <c r="AF64"/>
      <c r="AG64"/>
      <c r="AN64" s="3184"/>
      <c r="BG64" s="59"/>
      <c r="BH64" s="3184"/>
    </row>
    <row r="65" spans="1:60" ht="7.5" customHeight="1">
      <c r="A65" s="3162"/>
      <c r="C65" s="3175"/>
      <c r="D65" s="3175"/>
      <c r="E65" s="3175"/>
      <c r="F65" s="3175"/>
      <c r="G65" s="3175"/>
      <c r="H65" s="3188"/>
      <c r="I65" s="3188"/>
      <c r="J65" s="3188"/>
      <c r="K65" s="3188"/>
      <c r="L65" s="3165"/>
      <c r="M65" s="3165"/>
      <c r="N65" s="3165"/>
      <c r="O65" s="3165"/>
      <c r="P65" s="3165"/>
      <c r="Q65" s="3165"/>
      <c r="R65" s="3165"/>
      <c r="S65" s="3165"/>
      <c r="T65" s="3165"/>
      <c r="V65" s="3147"/>
      <c r="BH65" s="3149"/>
    </row>
    <row r="66" spans="1:60" s="253" customFormat="1" ht="15.75" customHeight="1">
      <c r="A66" s="3162"/>
      <c r="B66" s="2624"/>
      <c r="C66" s="3187" t="s">
        <v>1479</v>
      </c>
      <c r="D66" s="3187"/>
      <c r="E66" s="3187"/>
      <c r="F66" s="3187"/>
      <c r="G66" s="3187"/>
      <c r="H66" s="3187"/>
      <c r="I66" s="3187"/>
      <c r="J66" s="3187"/>
      <c r="K66" s="3187"/>
      <c r="L66" s="3170">
        <f t="shared" ref="L66:T66" si="65">L44-K44</f>
        <v>-347</v>
      </c>
      <c r="M66" s="3170">
        <f t="shared" si="65"/>
        <v>-258.23399999999856</v>
      </c>
      <c r="N66" s="3170">
        <f t="shared" si="65"/>
        <v>-256.81894199999988</v>
      </c>
      <c r="O66" s="3170">
        <f t="shared" si="65"/>
        <v>-254.62029504599923</v>
      </c>
      <c r="P66" s="3170">
        <f t="shared" si="65"/>
        <v>-251.56084466899665</v>
      </c>
      <c r="Q66" s="3170">
        <f t="shared" si="65"/>
        <v>-247.5573587744002</v>
      </c>
      <c r="R66" s="3170">
        <f t="shared" si="65"/>
        <v>-242.52015854632737</v>
      </c>
      <c r="S66" s="3170">
        <f t="shared" si="65"/>
        <v>-236.35266001859054</v>
      </c>
      <c r="T66" s="3170">
        <f t="shared" si="65"/>
        <v>-228.95088435088837</v>
      </c>
      <c r="U66" s="3150"/>
      <c r="V66" s="3147"/>
      <c r="W66" s="3147"/>
      <c r="X66" s="3147"/>
      <c r="AB66"/>
      <c r="AC66"/>
      <c r="AD66"/>
      <c r="AE66"/>
      <c r="AF66"/>
      <c r="AG66"/>
      <c r="AN66" s="3184"/>
      <c r="BG66" s="59"/>
      <c r="BH66" s="3184"/>
    </row>
    <row r="67" spans="1:60" s="253" customFormat="1" ht="15.75" customHeight="1">
      <c r="A67" s="3162"/>
      <c r="B67" s="2624"/>
      <c r="C67" s="3187" t="s">
        <v>549</v>
      </c>
      <c r="D67" s="3187"/>
      <c r="E67" s="3187"/>
      <c r="F67" s="3187"/>
      <c r="G67" s="3187"/>
      <c r="H67" s="3187"/>
      <c r="I67" s="3187"/>
      <c r="J67" s="3187"/>
      <c r="K67" s="3187"/>
      <c r="L67" s="3170">
        <f t="shared" ref="L67:T67" si="66">CHOOSE(dropDown,IF(ISERROR((L22+L38)*(1-L13)+(-L32*(1-L13))+((L24+L20)*(1-L13))),0,(L22+L38)*(1-L13)+(-L32*(1-L13))+((L24+L20)*(1-L13))),IF(ISERROR((L22+L38)*(1-L13)+(-L32*(1-L13))+((L23+L20)*(1-L13))),0,(L22+L38)*(1-L13)+(-L32*(1-L13))+((L23+L20)*(1-L13))))</f>
        <v>399.75</v>
      </c>
      <c r="M67" s="3170">
        <f t="shared" si="66"/>
        <v>167.75649999999999</v>
      </c>
      <c r="N67" s="3170">
        <f t="shared" si="66"/>
        <v>167.75649999999999</v>
      </c>
      <c r="O67" s="3170">
        <f t="shared" si="66"/>
        <v>167.75649999999999</v>
      </c>
      <c r="P67" s="3170">
        <f t="shared" si="66"/>
        <v>167.75649999999999</v>
      </c>
      <c r="Q67" s="3170">
        <f t="shared" si="66"/>
        <v>167.75649999999999</v>
      </c>
      <c r="R67" s="3170">
        <f t="shared" si="66"/>
        <v>167.75649999999999</v>
      </c>
      <c r="S67" s="3170">
        <f t="shared" si="66"/>
        <v>167.75649999999999</v>
      </c>
      <c r="T67" s="3170">
        <f t="shared" si="66"/>
        <v>167.75649999999999</v>
      </c>
      <c r="U67" s="3150"/>
      <c r="V67" s="3147"/>
      <c r="W67" s="3147"/>
      <c r="X67" s="3147"/>
      <c r="AB67"/>
      <c r="AC67"/>
      <c r="AD67"/>
      <c r="AE67"/>
      <c r="AF67"/>
      <c r="AG67"/>
      <c r="AN67" s="3184"/>
      <c r="BG67" s="59"/>
      <c r="BH67" s="3184"/>
    </row>
    <row r="68" spans="1:60" s="253" customFormat="1" ht="15.75" customHeight="1">
      <c r="A68" s="3162"/>
      <c r="B68" s="2624"/>
      <c r="C68" s="3186" t="s">
        <v>550</v>
      </c>
      <c r="D68" s="3186"/>
      <c r="E68" s="3186"/>
      <c r="F68" s="3186"/>
      <c r="G68" s="3186"/>
      <c r="H68" s="3186"/>
      <c r="I68" s="3186"/>
      <c r="J68" s="3186"/>
      <c r="K68" s="3186"/>
      <c r="L68" s="3169">
        <f t="shared" ref="L68:T68" si="67">SUM(L66:L67)</f>
        <v>52.75</v>
      </c>
      <c r="M68" s="3169">
        <f t="shared" si="67"/>
        <v>-90.477499999998571</v>
      </c>
      <c r="N68" s="3169">
        <f t="shared" si="67"/>
        <v>-89.062441999999891</v>
      </c>
      <c r="O68" s="3169">
        <f t="shared" si="67"/>
        <v>-86.86379504599924</v>
      </c>
      <c r="P68" s="3169">
        <f t="shared" si="67"/>
        <v>-83.804344668996663</v>
      </c>
      <c r="Q68" s="3169">
        <f t="shared" si="67"/>
        <v>-79.800858774400211</v>
      </c>
      <c r="R68" s="3169">
        <f t="shared" si="67"/>
        <v>-74.763658546327378</v>
      </c>
      <c r="S68" s="3169">
        <f t="shared" si="67"/>
        <v>-68.596160018590552</v>
      </c>
      <c r="T68" s="3169">
        <f t="shared" si="67"/>
        <v>-61.194384350888384</v>
      </c>
      <c r="U68" s="3185"/>
      <c r="V68" s="3147"/>
      <c r="W68" s="3147"/>
      <c r="X68" s="3147"/>
      <c r="AB68"/>
      <c r="AC68"/>
      <c r="AD68"/>
      <c r="AE68"/>
      <c r="AF68"/>
      <c r="AG68"/>
      <c r="AN68" s="3184"/>
      <c r="BG68" s="59"/>
      <c r="BH68" s="3184"/>
    </row>
    <row r="69" spans="1:60" s="3155" customFormat="1" ht="24.75" customHeight="1">
      <c r="A69" s="3162"/>
      <c r="B69" s="3181"/>
      <c r="C69" s="3183" t="s">
        <v>795</v>
      </c>
      <c r="D69" s="3180"/>
      <c r="E69" s="3180"/>
      <c r="F69" s="3180"/>
      <c r="G69" s="3180"/>
      <c r="H69" s="3179"/>
      <c r="I69" s="3179"/>
      <c r="J69" s="3179"/>
      <c r="K69" s="3179"/>
      <c r="L69" s="3182">
        <f t="shared" ref="L69:T69" si="68">ROUND(L62-L68,0)</f>
        <v>-236</v>
      </c>
      <c r="M69" s="3182">
        <f t="shared" si="68"/>
        <v>0</v>
      </c>
      <c r="N69" s="3182">
        <f t="shared" si="68"/>
        <v>0</v>
      </c>
      <c r="O69" s="3182">
        <f t="shared" si="68"/>
        <v>0</v>
      </c>
      <c r="P69" s="3182">
        <f t="shared" si="68"/>
        <v>0</v>
      </c>
      <c r="Q69" s="3182">
        <f t="shared" si="68"/>
        <v>0</v>
      </c>
      <c r="R69" s="3182">
        <f t="shared" si="68"/>
        <v>0</v>
      </c>
      <c r="S69" s="3182">
        <f t="shared" si="68"/>
        <v>0</v>
      </c>
      <c r="T69" s="3182">
        <f t="shared" si="68"/>
        <v>0</v>
      </c>
      <c r="U69" s="4175" t="str">
        <f>IF(AND(L69&lt;&gt;0,M69&lt;&gt;0,T69&lt;&gt;0),"Check Failing? : Have you not updated Company Contributions on row 39?","")</f>
        <v/>
      </c>
      <c r="V69" s="4176"/>
      <c r="W69" s="4176"/>
      <c r="X69" s="4176"/>
      <c r="Y69" s="4176"/>
      <c r="AB69"/>
      <c r="AC69"/>
      <c r="AD69"/>
      <c r="AE69"/>
      <c r="AF69"/>
      <c r="AG69"/>
      <c r="BG69" s="3176"/>
    </row>
    <row r="70" spans="1:60" s="3155" customFormat="1">
      <c r="A70" s="3162"/>
      <c r="B70" s="3181"/>
      <c r="C70" s="3180"/>
      <c r="D70" s="3180"/>
      <c r="E70" s="3180"/>
      <c r="F70" s="3180"/>
      <c r="G70" s="3180"/>
      <c r="H70" s="3179"/>
      <c r="I70" s="3179"/>
      <c r="J70" s="3179"/>
      <c r="K70" s="3179"/>
      <c r="L70" s="3178"/>
      <c r="M70" s="3178"/>
      <c r="N70" s="3178"/>
      <c r="O70" s="3178"/>
      <c r="P70" s="3178"/>
      <c r="Q70" s="3178"/>
      <c r="R70" s="3178"/>
      <c r="S70" s="3178"/>
      <c r="T70" s="3178"/>
      <c r="U70" s="3177"/>
      <c r="AB70"/>
      <c r="AC70"/>
      <c r="AD70"/>
      <c r="AE70"/>
      <c r="AF70"/>
      <c r="AG70"/>
      <c r="BG70" s="3176"/>
    </row>
    <row r="71" spans="1:60">
      <c r="A71" s="3162"/>
      <c r="B71" s="3172" t="s">
        <v>1478</v>
      </c>
      <c r="C71" s="3172" t="s">
        <v>1477</v>
      </c>
      <c r="D71" s="3172"/>
      <c r="E71" s="3172"/>
      <c r="F71" s="3172"/>
      <c r="G71" s="3172"/>
      <c r="H71" s="3172"/>
      <c r="I71" s="3172"/>
      <c r="J71" s="3172"/>
      <c r="K71" s="3172"/>
      <c r="L71" s="3172"/>
      <c r="M71" s="3172"/>
      <c r="N71" s="3172"/>
      <c r="O71" s="3172"/>
      <c r="P71" s="3172"/>
      <c r="Q71" s="3172"/>
      <c r="R71" s="3172"/>
      <c r="S71" s="3172"/>
      <c r="T71" s="3172"/>
      <c r="V71" s="3147"/>
      <c r="BH71" s="3149"/>
    </row>
    <row r="72" spans="1:60" ht="7.5" customHeight="1">
      <c r="A72" s="3162"/>
      <c r="C72" s="3175"/>
      <c r="D72" s="3175"/>
      <c r="E72" s="3175"/>
      <c r="F72" s="3175"/>
      <c r="G72" s="3175"/>
      <c r="V72" s="3147"/>
      <c r="BH72" s="3149"/>
    </row>
    <row r="73" spans="1:60">
      <c r="A73" s="3162"/>
      <c r="C73" s="3174" t="s">
        <v>1476</v>
      </c>
      <c r="D73" s="3173"/>
      <c r="E73" s="3173"/>
      <c r="F73" s="3173"/>
      <c r="G73" s="3173"/>
      <c r="V73" s="3147"/>
      <c r="BH73" s="3149"/>
    </row>
    <row r="74" spans="1:60">
      <c r="A74" s="3162"/>
      <c r="V74" s="3147"/>
      <c r="BH74" s="3149"/>
    </row>
    <row r="75" spans="1:60">
      <c r="A75" s="3162"/>
      <c r="V75" s="3147"/>
      <c r="BH75" s="3149"/>
    </row>
    <row r="76" spans="1:60">
      <c r="A76" s="3162"/>
      <c r="V76" s="3147"/>
      <c r="BH76" s="3149"/>
    </row>
    <row r="77" spans="1:60">
      <c r="A77" s="3162"/>
      <c r="V77" s="3147"/>
      <c r="BH77" s="3149"/>
    </row>
    <row r="78" spans="1:60">
      <c r="A78" s="3162"/>
      <c r="V78" s="3147"/>
      <c r="BH78" s="3149"/>
    </row>
    <row r="79" spans="1:60">
      <c r="A79" s="3162"/>
      <c r="V79" s="3147"/>
      <c r="BH79" s="3149"/>
    </row>
    <row r="80" spans="1:60">
      <c r="A80" s="3162"/>
      <c r="V80" s="3147"/>
      <c r="BH80" s="3149"/>
    </row>
    <row r="81" spans="1:60">
      <c r="A81" s="3162"/>
      <c r="V81" s="3147"/>
      <c r="BH81" s="3149"/>
    </row>
    <row r="82" spans="1:60">
      <c r="A82" s="3162"/>
      <c r="V82" s="3147"/>
      <c r="BH82" s="3149"/>
    </row>
    <row r="83" spans="1:60">
      <c r="A83" s="3162"/>
      <c r="V83" s="3147"/>
      <c r="BH83" s="3149"/>
    </row>
    <row r="84" spans="1:60">
      <c r="A84" s="3162"/>
      <c r="V84" s="3147"/>
      <c r="BH84" s="3149"/>
    </row>
    <row r="85" spans="1:60">
      <c r="A85" s="3162"/>
      <c r="BH85" s="3149"/>
    </row>
    <row r="86" spans="1:60">
      <c r="A86" s="3162"/>
      <c r="BH86" s="3149"/>
    </row>
    <row r="87" spans="1:60" hidden="1" outlineLevel="1">
      <c r="A87" s="3162"/>
      <c r="B87" s="3172"/>
      <c r="C87" s="3172" t="s">
        <v>1475</v>
      </c>
      <c r="D87" s="3171">
        <f t="shared" ref="D87:T87" si="69">+D6</f>
        <v>2009</v>
      </c>
      <c r="E87" s="3171">
        <f t="shared" si="69"/>
        <v>2010</v>
      </c>
      <c r="F87" s="3171">
        <f t="shared" si="69"/>
        <v>2011</v>
      </c>
      <c r="G87" s="3171">
        <f t="shared" si="69"/>
        <v>2012</v>
      </c>
      <c r="H87" s="3171">
        <f t="shared" si="69"/>
        <v>2013</v>
      </c>
      <c r="I87" s="3171">
        <f t="shared" si="69"/>
        <v>2014</v>
      </c>
      <c r="J87" s="3171">
        <f t="shared" si="69"/>
        <v>2015</v>
      </c>
      <c r="K87" s="3171">
        <f t="shared" si="69"/>
        <v>2016</v>
      </c>
      <c r="L87" s="3171">
        <f t="shared" si="69"/>
        <v>2017</v>
      </c>
      <c r="M87" s="3171">
        <f t="shared" si="69"/>
        <v>2018</v>
      </c>
      <c r="N87" s="3171">
        <f t="shared" si="69"/>
        <v>2019</v>
      </c>
      <c r="O87" s="3171">
        <f t="shared" si="69"/>
        <v>2020</v>
      </c>
      <c r="P87" s="3171">
        <f t="shared" si="69"/>
        <v>2021</v>
      </c>
      <c r="Q87" s="3171">
        <f t="shared" si="69"/>
        <v>2022</v>
      </c>
      <c r="R87" s="3171">
        <f t="shared" si="69"/>
        <v>2023</v>
      </c>
      <c r="S87" s="3171">
        <f t="shared" si="69"/>
        <v>2024</v>
      </c>
      <c r="T87" s="3171">
        <f t="shared" si="69"/>
        <v>2025</v>
      </c>
      <c r="BH87" s="3149"/>
    </row>
    <row r="88" spans="1:60" hidden="1" outlineLevel="1">
      <c r="A88" s="3162"/>
      <c r="BH88" s="3149"/>
    </row>
    <row r="89" spans="1:60" hidden="1" outlineLevel="1">
      <c r="A89" s="3162"/>
      <c r="C89" s="3150" t="s">
        <v>1474</v>
      </c>
      <c r="D89" s="3170">
        <f t="shared" ref="D89:T89" si="70">+D19</f>
        <v>36.222999999999999</v>
      </c>
      <c r="E89" s="3170">
        <f t="shared" si="70"/>
        <v>61.155999999999999</v>
      </c>
      <c r="F89" s="3170">
        <f t="shared" si="70"/>
        <v>70</v>
      </c>
      <c r="G89" s="3170">
        <f t="shared" si="70"/>
        <v>87</v>
      </c>
      <c r="H89" s="3170">
        <f t="shared" si="70"/>
        <v>91</v>
      </c>
      <c r="I89" s="3170">
        <f t="shared" si="70"/>
        <v>77</v>
      </c>
      <c r="J89" s="3170">
        <f t="shared" si="70"/>
        <v>83</v>
      </c>
      <c r="K89" s="3170">
        <f t="shared" si="70"/>
        <v>64</v>
      </c>
      <c r="L89" s="3170">
        <f t="shared" si="70"/>
        <v>64</v>
      </c>
      <c r="M89" s="3170">
        <f t="shared" si="70"/>
        <v>65.28</v>
      </c>
      <c r="N89" s="3170">
        <f t="shared" si="70"/>
        <v>65.28</v>
      </c>
      <c r="O89" s="3170">
        <f t="shared" si="70"/>
        <v>65.28</v>
      </c>
      <c r="P89" s="3170">
        <f t="shared" si="70"/>
        <v>65.28</v>
      </c>
      <c r="Q89" s="3170">
        <f t="shared" si="70"/>
        <v>65.28</v>
      </c>
      <c r="R89" s="3170">
        <f t="shared" si="70"/>
        <v>65.28</v>
      </c>
      <c r="S89" s="3170">
        <f t="shared" si="70"/>
        <v>65.28</v>
      </c>
      <c r="T89" s="3170">
        <f t="shared" si="70"/>
        <v>65.28</v>
      </c>
      <c r="BH89" s="3149"/>
    </row>
    <row r="90" spans="1:60" hidden="1" outlineLevel="1">
      <c r="A90" s="3162"/>
      <c r="C90" s="3150" t="s">
        <v>1473</v>
      </c>
      <c r="D90" s="3170"/>
      <c r="E90" s="3170">
        <f t="shared" ref="E90:T90" si="71">+D44*D8</f>
        <v>64.926630000000017</v>
      </c>
      <c r="F90" s="3170">
        <f t="shared" si="71"/>
        <v>42.110249999999994</v>
      </c>
      <c r="G90" s="3170">
        <f t="shared" si="71"/>
        <v>83.397599999999997</v>
      </c>
      <c r="H90" s="3170">
        <f t="shared" si="71"/>
        <v>95.36</v>
      </c>
      <c r="I90" s="3170">
        <f t="shared" si="71"/>
        <v>49.057500000000005</v>
      </c>
      <c r="J90" s="3170">
        <f t="shared" si="71"/>
        <v>93.897999999999996</v>
      </c>
      <c r="K90" s="3170">
        <f t="shared" si="71"/>
        <v>86.525999999999996</v>
      </c>
      <c r="L90" s="3170">
        <f t="shared" si="71"/>
        <v>96.36</v>
      </c>
      <c r="M90" s="3170">
        <f t="shared" si="71"/>
        <v>78.355999999999995</v>
      </c>
      <c r="N90" s="3170">
        <f t="shared" si="71"/>
        <v>68.543108000000046</v>
      </c>
      <c r="O90" s="3170">
        <f t="shared" si="71"/>
        <v>58.78398820400006</v>
      </c>
      <c r="P90" s="3170">
        <f t="shared" si="71"/>
        <v>49.108416992252089</v>
      </c>
      <c r="Q90" s="3170">
        <f t="shared" si="71"/>
        <v>39.549104894830215</v>
      </c>
      <c r="R90" s="3170">
        <f t="shared" si="71"/>
        <v>30.141925261403006</v>
      </c>
      <c r="S90" s="3170">
        <f t="shared" si="71"/>
        <v>20.926159236642569</v>
      </c>
      <c r="T90" s="3170">
        <f t="shared" si="71"/>
        <v>11.944758155936128</v>
      </c>
      <c r="BH90" s="3149"/>
    </row>
    <row r="91" spans="1:60" hidden="1" outlineLevel="1">
      <c r="A91" s="3162"/>
      <c r="C91" s="3164" t="s">
        <v>1472</v>
      </c>
      <c r="D91" s="3169">
        <f t="shared" ref="D91:T91" si="72">SUM(D89:D90)</f>
        <v>36.222999999999999</v>
      </c>
      <c r="E91" s="3169">
        <f t="shared" si="72"/>
        <v>126.08263000000002</v>
      </c>
      <c r="F91" s="3169">
        <f t="shared" si="72"/>
        <v>112.11024999999999</v>
      </c>
      <c r="G91" s="3169">
        <f t="shared" si="72"/>
        <v>170.39760000000001</v>
      </c>
      <c r="H91" s="3169">
        <f t="shared" si="72"/>
        <v>186.36</v>
      </c>
      <c r="I91" s="3169">
        <f t="shared" si="72"/>
        <v>126.0575</v>
      </c>
      <c r="J91" s="3169">
        <f t="shared" si="72"/>
        <v>176.898</v>
      </c>
      <c r="K91" s="3169">
        <f t="shared" si="72"/>
        <v>150.52600000000001</v>
      </c>
      <c r="L91" s="3169">
        <f t="shared" si="72"/>
        <v>160.36000000000001</v>
      </c>
      <c r="M91" s="3169">
        <f t="shared" si="72"/>
        <v>143.636</v>
      </c>
      <c r="N91" s="3169">
        <f t="shared" si="72"/>
        <v>133.82310800000005</v>
      </c>
      <c r="O91" s="3169">
        <f t="shared" si="72"/>
        <v>124.06398820400005</v>
      </c>
      <c r="P91" s="3169">
        <f t="shared" si="72"/>
        <v>114.38841699225209</v>
      </c>
      <c r="Q91" s="3169">
        <f t="shared" si="72"/>
        <v>104.82910489483021</v>
      </c>
      <c r="R91" s="3169">
        <f t="shared" si="72"/>
        <v>95.421925261403004</v>
      </c>
      <c r="S91" s="3169">
        <f t="shared" si="72"/>
        <v>86.206159236642577</v>
      </c>
      <c r="T91" s="3169">
        <f t="shared" si="72"/>
        <v>77.224758155936129</v>
      </c>
      <c r="BH91" s="3149"/>
    </row>
    <row r="92" spans="1:60" hidden="1" outlineLevel="1">
      <c r="A92" s="3162"/>
      <c r="C92" s="3164"/>
      <c r="D92" s="3150"/>
      <c r="E92" s="3150"/>
      <c r="F92" s="3150"/>
      <c r="G92" s="3150"/>
      <c r="BH92" s="3149"/>
    </row>
    <row r="93" spans="1:60" hidden="1" outlineLevel="1">
      <c r="A93" s="3162"/>
      <c r="C93" s="3164" t="str">
        <f t="shared" ref="C93:T93" si="73">+C25</f>
        <v>GAAP Pension Expense / (Benefit)</v>
      </c>
      <c r="D93" s="3168">
        <f t="shared" si="73"/>
        <v>92.289000000000001</v>
      </c>
      <c r="E93" s="3168">
        <f t="shared" si="73"/>
        <v>21.74</v>
      </c>
      <c r="F93" s="3168">
        <f t="shared" si="73"/>
        <v>-63</v>
      </c>
      <c r="G93" s="3168">
        <f t="shared" si="73"/>
        <v>-96</v>
      </c>
      <c r="H93" s="3168">
        <f t="shared" si="73"/>
        <v>-172</v>
      </c>
      <c r="I93" s="3168">
        <f t="shared" si="73"/>
        <v>-248</v>
      </c>
      <c r="J93" s="3168">
        <f t="shared" si="73"/>
        <v>-81</v>
      </c>
      <c r="K93" s="3168">
        <f t="shared" si="73"/>
        <v>-61</v>
      </c>
      <c r="L93" s="3168">
        <f t="shared" si="73"/>
        <v>5</v>
      </c>
      <c r="M93" s="3168">
        <f t="shared" si="73"/>
        <v>54.115999999999957</v>
      </c>
      <c r="N93" s="3168">
        <f t="shared" si="73"/>
        <v>55.531058000000115</v>
      </c>
      <c r="O93" s="3168">
        <f t="shared" si="73"/>
        <v>57.72970495399997</v>
      </c>
      <c r="P93" s="3168">
        <f t="shared" si="73"/>
        <v>60.789155331002092</v>
      </c>
      <c r="Q93" s="3168">
        <f t="shared" si="73"/>
        <v>64.792641225598885</v>
      </c>
      <c r="R93" s="3168">
        <f t="shared" si="73"/>
        <v>69.829841453671719</v>
      </c>
      <c r="S93" s="3168">
        <f t="shared" si="73"/>
        <v>75.997339981408885</v>
      </c>
      <c r="T93" s="3168">
        <f t="shared" si="73"/>
        <v>83.399115649112133</v>
      </c>
      <c r="BH93" s="3149"/>
    </row>
    <row r="94" spans="1:60" hidden="1" outlineLevel="1">
      <c r="A94" s="3162"/>
      <c r="C94" s="3164"/>
      <c r="D94" s="3150"/>
      <c r="E94" s="3150"/>
      <c r="F94" s="3150"/>
      <c r="G94" s="3150"/>
      <c r="BH94" s="3149"/>
    </row>
    <row r="95" spans="1:60" hidden="1" outlineLevel="1">
      <c r="A95" s="3162"/>
      <c r="C95" s="3164" t="s">
        <v>474</v>
      </c>
      <c r="D95" s="3168">
        <f t="shared" ref="D95:T95" si="74">+D93-D91</f>
        <v>56.066000000000003</v>
      </c>
      <c r="E95" s="3168">
        <f t="shared" si="74"/>
        <v>-104.34263000000003</v>
      </c>
      <c r="F95" s="3168">
        <f t="shared" si="74"/>
        <v>-175.11025000000001</v>
      </c>
      <c r="G95" s="3168">
        <f t="shared" si="74"/>
        <v>-266.39760000000001</v>
      </c>
      <c r="H95" s="3168">
        <f t="shared" si="74"/>
        <v>-358.36</v>
      </c>
      <c r="I95" s="3168">
        <f t="shared" si="74"/>
        <v>-374.0575</v>
      </c>
      <c r="J95" s="3168">
        <f t="shared" si="74"/>
        <v>-257.89800000000002</v>
      </c>
      <c r="K95" s="3168">
        <f t="shared" si="74"/>
        <v>-211.52600000000001</v>
      </c>
      <c r="L95" s="3168">
        <f t="shared" si="74"/>
        <v>-155.36000000000001</v>
      </c>
      <c r="M95" s="3168">
        <f t="shared" si="74"/>
        <v>-89.520000000000039</v>
      </c>
      <c r="N95" s="3168">
        <f t="shared" si="74"/>
        <v>-78.292049999999932</v>
      </c>
      <c r="O95" s="3168">
        <f t="shared" si="74"/>
        <v>-66.334283250000084</v>
      </c>
      <c r="P95" s="3168">
        <f t="shared" si="74"/>
        <v>-53.599261661249997</v>
      </c>
      <c r="Q95" s="3168">
        <f t="shared" si="74"/>
        <v>-40.036463669231324</v>
      </c>
      <c r="R95" s="3168">
        <f t="shared" si="74"/>
        <v>-25.592083807731285</v>
      </c>
      <c r="S95" s="3168">
        <f t="shared" si="74"/>
        <v>-10.208819255233692</v>
      </c>
      <c r="T95" s="3168">
        <f t="shared" si="74"/>
        <v>6.1743574931760037</v>
      </c>
      <c r="BH95" s="3149"/>
    </row>
    <row r="96" spans="1:60" hidden="1" outlineLevel="1">
      <c r="A96" s="3162"/>
      <c r="C96" s="3164"/>
      <c r="D96" s="3150"/>
      <c r="E96" s="3150"/>
      <c r="F96" s="3150"/>
      <c r="G96" s="3150"/>
      <c r="BH96" s="3149"/>
    </row>
    <row r="97" spans="1:60" hidden="1" outlineLevel="1">
      <c r="A97" s="3162"/>
      <c r="C97" s="3150" t="s">
        <v>1471</v>
      </c>
      <c r="D97" s="3165" t="s">
        <v>446</v>
      </c>
      <c r="E97" s="3165" t="s">
        <v>446</v>
      </c>
      <c r="F97" s="3165" t="s">
        <v>446</v>
      </c>
      <c r="G97" s="3165" t="s">
        <v>446</v>
      </c>
      <c r="H97" s="3167">
        <v>601.91125</v>
      </c>
      <c r="I97" s="3167">
        <v>569.37199999999996</v>
      </c>
      <c r="J97" s="3167">
        <v>555.09349999999995</v>
      </c>
      <c r="K97" s="3167">
        <v>540.68475000000001</v>
      </c>
      <c r="L97" s="3166">
        <v>542.27200000000005</v>
      </c>
      <c r="M97" s="3166">
        <v>533.56838125276704</v>
      </c>
      <c r="N97" s="3166">
        <v>529.14164375830001</v>
      </c>
      <c r="O97" s="3166">
        <v>524.714906263834</v>
      </c>
      <c r="P97" s="3166">
        <v>522.50153751660002</v>
      </c>
      <c r="Q97" s="3165" t="s">
        <v>446</v>
      </c>
      <c r="R97" s="3165" t="s">
        <v>446</v>
      </c>
      <c r="S97" s="3165" t="s">
        <v>446</v>
      </c>
      <c r="T97" s="3165" t="s">
        <v>446</v>
      </c>
      <c r="BH97" s="3149"/>
    </row>
    <row r="98" spans="1:60" hidden="1" outlineLevel="1">
      <c r="A98" s="3162"/>
      <c r="C98" s="3164"/>
      <c r="D98" s="3150"/>
      <c r="E98" s="3150"/>
      <c r="F98" s="3150"/>
      <c r="G98" s="3150"/>
      <c r="BH98" s="3149"/>
    </row>
    <row r="99" spans="1:60" hidden="1" outlineLevel="1">
      <c r="A99" s="3162"/>
      <c r="C99" s="3164" t="s">
        <v>1470</v>
      </c>
      <c r="D99" s="3163" t="str">
        <f t="shared" ref="D99:T99" si="75">IF(ISERROR(D95/D97),"NA",(D95/D97))</f>
        <v>NA</v>
      </c>
      <c r="E99" s="3163" t="str">
        <f t="shared" si="75"/>
        <v>NA</v>
      </c>
      <c r="F99" s="3163" t="str">
        <f t="shared" si="75"/>
        <v>NA</v>
      </c>
      <c r="G99" s="3163" t="str">
        <f t="shared" si="75"/>
        <v>NA</v>
      </c>
      <c r="H99" s="3163">
        <f t="shared" si="75"/>
        <v>-0.59537016462144543</v>
      </c>
      <c r="I99" s="3163">
        <f t="shared" si="75"/>
        <v>-0.65696504218683049</v>
      </c>
      <c r="J99" s="3163">
        <f t="shared" si="75"/>
        <v>-0.46460281015720784</v>
      </c>
      <c r="K99" s="3163">
        <f t="shared" si="75"/>
        <v>-0.39121872773367478</v>
      </c>
      <c r="L99" s="3163">
        <f t="shared" si="75"/>
        <v>-0.2864982886816948</v>
      </c>
      <c r="M99" s="3163">
        <f t="shared" si="75"/>
        <v>-0.16777605859967887</v>
      </c>
      <c r="N99" s="3163">
        <f t="shared" si="75"/>
        <v>-0.14796047697913184</v>
      </c>
      <c r="O99" s="3163">
        <f t="shared" si="75"/>
        <v>-0.12641966610463756</v>
      </c>
      <c r="P99" s="3163">
        <f t="shared" si="75"/>
        <v>-0.1025820171094657</v>
      </c>
      <c r="Q99" s="3163" t="str">
        <f t="shared" si="75"/>
        <v>NA</v>
      </c>
      <c r="R99" s="3163" t="str">
        <f t="shared" si="75"/>
        <v>NA</v>
      </c>
      <c r="S99" s="3163" t="str">
        <f t="shared" si="75"/>
        <v>NA</v>
      </c>
      <c r="T99" s="3163" t="str">
        <f t="shared" si="75"/>
        <v>NA</v>
      </c>
      <c r="BH99" s="3149"/>
    </row>
    <row r="100" spans="1:60" hidden="1" outlineLevel="1">
      <c r="A100" s="3162"/>
      <c r="D100" s="3150"/>
      <c r="E100" s="3150"/>
      <c r="F100" s="3150"/>
      <c r="G100" s="3150"/>
      <c r="BH100" s="3149"/>
    </row>
    <row r="101" spans="1:60" collapsed="1">
      <c r="BH101" s="3149"/>
    </row>
    <row r="102" spans="1:60">
      <c r="BH102" s="3149"/>
    </row>
    <row r="103" spans="1:60">
      <c r="BH103" s="3149"/>
    </row>
    <row r="104" spans="1:60">
      <c r="BH104" s="3149"/>
    </row>
    <row r="105" spans="1:60">
      <c r="BH105" s="3149"/>
    </row>
    <row r="106" spans="1:60">
      <c r="BH106" s="3149"/>
    </row>
    <row r="107" spans="1:60">
      <c r="BH107" s="3149"/>
    </row>
    <row r="108" spans="1:60">
      <c r="BH108" s="3149"/>
    </row>
    <row r="109" spans="1:60">
      <c r="BH109" s="3149"/>
    </row>
    <row r="110" spans="1:60">
      <c r="BH110" s="3149"/>
    </row>
    <row r="111" spans="1:60">
      <c r="BH111" s="3149"/>
    </row>
    <row r="112" spans="1:60">
      <c r="BH112" s="3149"/>
    </row>
    <row r="113" spans="60:60">
      <c r="BH113" s="3149"/>
    </row>
    <row r="114" spans="60:60">
      <c r="BH114" s="3149"/>
    </row>
    <row r="115" spans="60:60">
      <c r="BH115" s="3149"/>
    </row>
    <row r="116" spans="60:60">
      <c r="BH116" s="3149"/>
    </row>
    <row r="117" spans="60:60">
      <c r="BH117" s="3149"/>
    </row>
    <row r="118" spans="60:60">
      <c r="BH118" s="3149"/>
    </row>
    <row r="119" spans="60:60">
      <c r="BH119" s="3149"/>
    </row>
    <row r="120" spans="60:60">
      <c r="BH120" s="3149"/>
    </row>
    <row r="121" spans="60:60">
      <c r="BH121" s="3149"/>
    </row>
    <row r="122" spans="60:60">
      <c r="BH122" s="3149"/>
    </row>
    <row r="123" spans="60:60">
      <c r="BH123" s="3149"/>
    </row>
    <row r="124" spans="60:60">
      <c r="BH124" s="3149"/>
    </row>
    <row r="125" spans="60:60">
      <c r="BH125" s="3149"/>
    </row>
    <row r="126" spans="60:60">
      <c r="BH126" s="3149"/>
    </row>
    <row r="127" spans="60:60">
      <c r="BH127" s="3149"/>
    </row>
    <row r="128" spans="60:60">
      <c r="BH128" s="3149"/>
    </row>
    <row r="129" spans="60:60">
      <c r="BH129" s="3149"/>
    </row>
    <row r="130" spans="60:60">
      <c r="BH130" s="3149"/>
    </row>
    <row r="131" spans="60:60">
      <c r="BH131" s="3149"/>
    </row>
    <row r="132" spans="60:60">
      <c r="BH132" s="3149"/>
    </row>
    <row r="133" spans="60:60">
      <c r="BH133" s="3149"/>
    </row>
    <row r="134" spans="60:60">
      <c r="BH134" s="3149"/>
    </row>
    <row r="135" spans="60:60">
      <c r="BH135" s="3149"/>
    </row>
    <row r="136" spans="60:60">
      <c r="BH136" s="3149"/>
    </row>
    <row r="137" spans="60:60">
      <c r="BH137" s="3149"/>
    </row>
    <row r="138" spans="60:60">
      <c r="BH138" s="3149"/>
    </row>
    <row r="139" spans="60:60">
      <c r="BH139" s="3149"/>
    </row>
    <row r="140" spans="60:60">
      <c r="BH140" s="3149"/>
    </row>
    <row r="141" spans="60:60">
      <c r="BH141" s="3149"/>
    </row>
    <row r="142" spans="60:60">
      <c r="BH142" s="3149"/>
    </row>
    <row r="143" spans="60:60">
      <c r="BH143" s="3149"/>
    </row>
    <row r="144" spans="60:60">
      <c r="BH144" s="3149"/>
    </row>
    <row r="145" spans="60:60">
      <c r="BH145" s="3149"/>
    </row>
    <row r="146" spans="60:60">
      <c r="BH146" s="3149"/>
    </row>
    <row r="147" spans="60:60">
      <c r="BH147" s="3149"/>
    </row>
    <row r="148" spans="60:60">
      <c r="BH148" s="3149"/>
    </row>
    <row r="149" spans="60:60">
      <c r="BH149" s="3149"/>
    </row>
    <row r="150" spans="60:60">
      <c r="BH150" s="3149"/>
    </row>
    <row r="151" spans="60:60">
      <c r="BH151" s="3149"/>
    </row>
    <row r="152" spans="60:60">
      <c r="BH152" s="3149"/>
    </row>
    <row r="153" spans="60:60">
      <c r="BH153" s="3149"/>
    </row>
    <row r="154" spans="60:60">
      <c r="BH154" s="3149"/>
    </row>
    <row r="155" spans="60:60">
      <c r="BH155" s="3149"/>
    </row>
    <row r="156" spans="60:60">
      <c r="BH156" s="3149"/>
    </row>
    <row r="157" spans="60:60">
      <c r="BH157" s="3149"/>
    </row>
    <row r="158" spans="60:60">
      <c r="BH158" s="3149"/>
    </row>
    <row r="159" spans="60:60">
      <c r="BH159" s="3149"/>
    </row>
    <row r="160" spans="60:60">
      <c r="BH160" s="3149"/>
    </row>
    <row r="161" spans="60:60">
      <c r="BH161" s="3149"/>
    </row>
    <row r="162" spans="60:60">
      <c r="BH162" s="3149"/>
    </row>
    <row r="163" spans="60:60">
      <c r="BH163" s="3149"/>
    </row>
    <row r="164" spans="60:60">
      <c r="BH164" s="3149"/>
    </row>
    <row r="165" spans="60:60">
      <c r="BH165" s="3149"/>
    </row>
    <row r="166" spans="60:60">
      <c r="BH166" s="3149"/>
    </row>
    <row r="167" spans="60:60">
      <c r="BH167" s="3149"/>
    </row>
    <row r="168" spans="60:60">
      <c r="BH168" s="3149"/>
    </row>
    <row r="169" spans="60:60">
      <c r="BH169" s="3149"/>
    </row>
    <row r="170" spans="60:60">
      <c r="BH170" s="3149"/>
    </row>
    <row r="171" spans="60:60">
      <c r="BH171" s="3149"/>
    </row>
    <row r="172" spans="60:60">
      <c r="BH172" s="3149"/>
    </row>
    <row r="173" spans="60:60">
      <c r="BH173" s="3149"/>
    </row>
    <row r="174" spans="60:60">
      <c r="BH174" s="3149"/>
    </row>
    <row r="175" spans="60:60">
      <c r="BH175" s="3149"/>
    </row>
    <row r="176" spans="60:60">
      <c r="BH176" s="3149"/>
    </row>
    <row r="177" spans="40:60">
      <c r="BH177" s="3149"/>
    </row>
    <row r="178" spans="40:60">
      <c r="BH178" s="3149"/>
    </row>
    <row r="179" spans="40:60">
      <c r="BH179" s="3149"/>
    </row>
    <row r="180" spans="40:60">
      <c r="BH180" s="3149"/>
    </row>
    <row r="181" spans="40:60">
      <c r="BH181" s="3149"/>
    </row>
    <row r="182" spans="40:60">
      <c r="AQ182" s="3161" t="str">
        <f>IF(AND(AQ183="GBP",CODE(RIGHT(AQ183,1))=112),"BPN",AQ183)</f>
        <v>USD</v>
      </c>
      <c r="BH182" s="3149"/>
    </row>
    <row r="183" spans="40:60">
      <c r="AP183" s="3160" t="s">
        <v>1469</v>
      </c>
      <c r="AQ183" s="3161" t="s">
        <v>453</v>
      </c>
      <c r="BH183" s="3149"/>
    </row>
    <row r="184" spans="40:60">
      <c r="AP184" s="3160" t="s">
        <v>1468</v>
      </c>
      <c r="AQ184" s="3157" t="s">
        <v>453</v>
      </c>
      <c r="BH184" s="3149"/>
    </row>
    <row r="185" spans="40:60">
      <c r="AQ185" s="3159"/>
      <c r="BH185" s="3149"/>
    </row>
    <row r="186" spans="40:60">
      <c r="AQ186" s="3157" t="str">
        <f>AQ184</f>
        <v>USD</v>
      </c>
      <c r="AR186" s="3147" t="str">
        <f>VLOOKUP(Currency_ISOcode,$AQ$190:$AR$246,2,0)</f>
        <v>$</v>
      </c>
      <c r="AS186" s="3147" t="str">
        <f>"OPEB in "&amp;$AR$186&amp;" mn"</f>
        <v>OPEB in $ mn</v>
      </c>
      <c r="BH186" s="3149"/>
    </row>
    <row r="187" spans="40:60">
      <c r="AQ187" s="3159"/>
      <c r="BH187" s="3149"/>
    </row>
    <row r="188" spans="40:60">
      <c r="AQ188" s="3159"/>
      <c r="BH188" s="3149"/>
    </row>
    <row r="189" spans="40:60">
      <c r="AP189" s="3158">
        <f>IF(ISERROR(MATCH($AQ$182,$AQ$190:$AQ$246,FALSE)),57,MATCH($AQ$182,$AQ$190:$AQ$246,FALSE))</f>
        <v>54</v>
      </c>
      <c r="AQ189" s="3157" t="str">
        <f>VLOOKUP($AR$189,$AN$190:$AQ$246,4,FALSE)</f>
        <v>USD</v>
      </c>
      <c r="AR189" s="3147">
        <v>54</v>
      </c>
      <c r="BH189" s="3149"/>
    </row>
    <row r="190" spans="40:60">
      <c r="AN190" s="3156">
        <v>1</v>
      </c>
      <c r="AO190" s="3154" t="s">
        <v>1307</v>
      </c>
      <c r="AP190" s="3154" t="s">
        <v>1308</v>
      </c>
      <c r="AQ190" s="3154" t="s">
        <v>1308</v>
      </c>
      <c r="AR190" s="3147" t="str">
        <f t="shared" ref="AR190:AR221" si="76">AP190</f>
        <v>AED</v>
      </c>
      <c r="BH190" s="3156"/>
    </row>
    <row r="191" spans="40:60">
      <c r="AN191" s="3156">
        <v>2</v>
      </c>
      <c r="AO191" s="3154" t="s">
        <v>1309</v>
      </c>
      <c r="AP191" s="3154" t="s">
        <v>1310</v>
      </c>
      <c r="AQ191" s="3154" t="s">
        <v>1311</v>
      </c>
      <c r="AR191" s="3147" t="str">
        <f t="shared" si="76"/>
        <v>Ar$</v>
      </c>
    </row>
    <row r="192" spans="40:60">
      <c r="AN192" s="3156">
        <v>3</v>
      </c>
      <c r="AO192" s="3154" t="s">
        <v>1312</v>
      </c>
      <c r="AP192" s="3154" t="s">
        <v>1313</v>
      </c>
      <c r="AQ192" s="3154" t="s">
        <v>1314</v>
      </c>
      <c r="AR192" s="3147" t="str">
        <f t="shared" si="76"/>
        <v>A$</v>
      </c>
    </row>
    <row r="193" spans="40:44">
      <c r="AN193" s="3156">
        <v>4</v>
      </c>
      <c r="AO193" s="3154" t="s">
        <v>1315</v>
      </c>
      <c r="AP193" s="3154" t="s">
        <v>1316</v>
      </c>
      <c r="AQ193" s="3154" t="s">
        <v>1316</v>
      </c>
      <c r="AR193" s="3147" t="str">
        <f t="shared" si="76"/>
        <v>BGL</v>
      </c>
    </row>
    <row r="194" spans="40:44">
      <c r="AN194" s="3156">
        <v>5</v>
      </c>
      <c r="AO194" s="3154" t="s">
        <v>1317</v>
      </c>
      <c r="AP194" s="3154" t="s">
        <v>1318</v>
      </c>
      <c r="AQ194" s="3154" t="s">
        <v>1318</v>
      </c>
      <c r="AR194" s="3147" t="str">
        <f t="shared" si="76"/>
        <v>BMD</v>
      </c>
    </row>
    <row r="195" spans="40:44">
      <c r="AN195" s="3156">
        <v>6</v>
      </c>
      <c r="AO195" s="3154" t="s">
        <v>1319</v>
      </c>
      <c r="AP195" s="3154" t="s">
        <v>1320</v>
      </c>
      <c r="AQ195" s="3154" t="s">
        <v>1321</v>
      </c>
      <c r="AR195" s="3147" t="str">
        <f t="shared" si="76"/>
        <v>R$</v>
      </c>
    </row>
    <row r="196" spans="40:44">
      <c r="AN196" s="3156">
        <v>7</v>
      </c>
      <c r="AO196" s="3154" t="s">
        <v>1322</v>
      </c>
      <c r="AP196" s="3154" t="s">
        <v>1323</v>
      </c>
      <c r="AQ196" s="3154" t="s">
        <v>1324</v>
      </c>
      <c r="AR196" s="3147" t="str">
        <f t="shared" si="76"/>
        <v>C$</v>
      </c>
    </row>
    <row r="197" spans="40:44">
      <c r="AN197" s="3156">
        <v>8</v>
      </c>
      <c r="AO197" s="3154" t="s">
        <v>1325</v>
      </c>
      <c r="AP197" s="3154" t="s">
        <v>1326</v>
      </c>
      <c r="AQ197" s="3154" t="s">
        <v>1327</v>
      </c>
      <c r="AR197" s="3147" t="str">
        <f t="shared" si="76"/>
        <v>SFr</v>
      </c>
    </row>
    <row r="198" spans="40:44">
      <c r="AN198" s="3156">
        <v>9</v>
      </c>
      <c r="AO198" s="3154" t="s">
        <v>1328</v>
      </c>
      <c r="AP198" s="3154" t="s">
        <v>1329</v>
      </c>
      <c r="AQ198" s="3154" t="s">
        <v>1329</v>
      </c>
      <c r="AR198" s="3147" t="str">
        <f t="shared" si="76"/>
        <v>CLP</v>
      </c>
    </row>
    <row r="199" spans="40:44">
      <c r="AN199" s="3156">
        <v>10</v>
      </c>
      <c r="AO199" s="3154" t="s">
        <v>1330</v>
      </c>
      <c r="AP199" s="3154" t="s">
        <v>1331</v>
      </c>
      <c r="AQ199" s="3154" t="s">
        <v>1332</v>
      </c>
      <c r="AR199" s="3147" t="str">
        <f t="shared" si="76"/>
        <v>Rmb</v>
      </c>
    </row>
    <row r="200" spans="40:44">
      <c r="AN200" s="3156">
        <v>11</v>
      </c>
      <c r="AO200" s="3154" t="s">
        <v>1333</v>
      </c>
      <c r="AP200" s="3154" t="s">
        <v>1334</v>
      </c>
      <c r="AQ200" s="3154" t="s">
        <v>1334</v>
      </c>
      <c r="AR200" s="3147" t="str">
        <f t="shared" si="76"/>
        <v>COP</v>
      </c>
    </row>
    <row r="201" spans="40:44">
      <c r="AN201" s="3156">
        <v>12</v>
      </c>
      <c r="AO201" s="3154" t="s">
        <v>1335</v>
      </c>
      <c r="AP201" s="3154" t="s">
        <v>1336</v>
      </c>
      <c r="AQ201" s="3154" t="s">
        <v>1337</v>
      </c>
      <c r="AR201" s="3147" t="str">
        <f t="shared" si="76"/>
        <v>Kcs</v>
      </c>
    </row>
    <row r="202" spans="40:44">
      <c r="AN202" s="3156">
        <v>13</v>
      </c>
      <c r="AO202" s="3154" t="s">
        <v>1338</v>
      </c>
      <c r="AP202" s="3154" t="s">
        <v>1339</v>
      </c>
      <c r="AQ202" s="3154" t="s">
        <v>1340</v>
      </c>
      <c r="AR202" s="3147" t="str">
        <f t="shared" si="76"/>
        <v>DKr</v>
      </c>
    </row>
    <row r="203" spans="40:44">
      <c r="AN203" s="3156">
        <v>14</v>
      </c>
      <c r="AO203" s="3154" t="s">
        <v>1341</v>
      </c>
      <c r="AP203" s="3154" t="s">
        <v>1342</v>
      </c>
      <c r="AQ203" s="3154" t="s">
        <v>1342</v>
      </c>
      <c r="AR203" s="3147" t="str">
        <f t="shared" si="76"/>
        <v>DZD</v>
      </c>
    </row>
    <row r="204" spans="40:44">
      <c r="AN204" s="3156">
        <v>15</v>
      </c>
      <c r="AO204" s="3154" t="s">
        <v>1343</v>
      </c>
      <c r="AP204" s="3154" t="s">
        <v>1344</v>
      </c>
      <c r="AQ204" s="3154" t="s">
        <v>1344</v>
      </c>
      <c r="AR204" s="3147" t="str">
        <f t="shared" si="76"/>
        <v>EGP</v>
      </c>
    </row>
    <row r="205" spans="40:44">
      <c r="AN205" s="3156">
        <v>16</v>
      </c>
      <c r="AO205" s="3154" t="s">
        <v>1345</v>
      </c>
      <c r="AP205" s="3154" t="s">
        <v>1346</v>
      </c>
      <c r="AQ205" s="3154" t="s">
        <v>1347</v>
      </c>
      <c r="AR205" s="3147" t="str">
        <f t="shared" si="76"/>
        <v>€</v>
      </c>
    </row>
    <row r="206" spans="40:44">
      <c r="AN206" s="3156">
        <v>17</v>
      </c>
      <c r="AO206" s="3154" t="s">
        <v>1348</v>
      </c>
      <c r="AP206" s="3154" t="s">
        <v>1349</v>
      </c>
      <c r="AQ206" s="3154" t="s">
        <v>1350</v>
      </c>
      <c r="AR206" s="3147" t="str">
        <f t="shared" si="76"/>
        <v>p</v>
      </c>
    </row>
    <row r="207" spans="40:44">
      <c r="AN207" s="3156">
        <v>18</v>
      </c>
      <c r="AO207" s="3154" t="s">
        <v>1351</v>
      </c>
      <c r="AP207" s="3154" t="s">
        <v>1352</v>
      </c>
      <c r="AQ207" s="3154" t="s">
        <v>1353</v>
      </c>
      <c r="AR207" s="3147" t="str">
        <f t="shared" si="76"/>
        <v>₤</v>
      </c>
    </row>
    <row r="208" spans="40:44">
      <c r="AN208" s="3156">
        <v>19</v>
      </c>
      <c r="AO208" s="3154" t="s">
        <v>1354</v>
      </c>
      <c r="AP208" s="3154" t="s">
        <v>1355</v>
      </c>
      <c r="AQ208" s="3154" t="s">
        <v>1356</v>
      </c>
      <c r="AR208" s="3147" t="str">
        <f t="shared" si="76"/>
        <v>HK$</v>
      </c>
    </row>
    <row r="209" spans="40:44">
      <c r="AN209" s="3156">
        <v>20</v>
      </c>
      <c r="AO209" s="3154" t="s">
        <v>1357</v>
      </c>
      <c r="AP209" s="3154" t="s">
        <v>1358</v>
      </c>
      <c r="AQ209" s="3154" t="s">
        <v>1359</v>
      </c>
      <c r="AR209" s="3147" t="str">
        <f t="shared" si="76"/>
        <v>Ft</v>
      </c>
    </row>
    <row r="210" spans="40:44">
      <c r="AN210" s="3156">
        <v>21</v>
      </c>
      <c r="AO210" s="3154" t="s">
        <v>1360</v>
      </c>
      <c r="AP210" s="3154" t="s">
        <v>1361</v>
      </c>
      <c r="AQ210" s="3154" t="s">
        <v>1362</v>
      </c>
      <c r="AR210" s="3147" t="str">
        <f t="shared" si="76"/>
        <v>Rp</v>
      </c>
    </row>
    <row r="211" spans="40:44">
      <c r="AN211" s="3156">
        <v>22</v>
      </c>
      <c r="AO211" s="3154" t="s">
        <v>1363</v>
      </c>
      <c r="AP211" s="3154" t="s">
        <v>1364</v>
      </c>
      <c r="AQ211" s="3154" t="s">
        <v>1364</v>
      </c>
      <c r="AR211" s="3147" t="str">
        <f t="shared" si="76"/>
        <v>ILS</v>
      </c>
    </row>
    <row r="212" spans="40:44">
      <c r="AN212" s="3156">
        <v>23</v>
      </c>
      <c r="AO212" s="3154" t="s">
        <v>1365</v>
      </c>
      <c r="AP212" s="3154" t="s">
        <v>1366</v>
      </c>
      <c r="AQ212" s="3154" t="s">
        <v>1367</v>
      </c>
      <c r="AR212" s="3147" t="str">
        <f t="shared" si="76"/>
        <v>Rs.</v>
      </c>
    </row>
    <row r="213" spans="40:44">
      <c r="AN213" s="3156">
        <v>24</v>
      </c>
      <c r="AO213" s="3154" t="s">
        <v>1368</v>
      </c>
      <c r="AP213" s="3154" t="s">
        <v>1369</v>
      </c>
      <c r="AQ213" s="3154" t="s">
        <v>1369</v>
      </c>
      <c r="AR213" s="3147" t="str">
        <f t="shared" si="76"/>
        <v>IQD</v>
      </c>
    </row>
    <row r="214" spans="40:44">
      <c r="AN214" s="3156">
        <v>25</v>
      </c>
      <c r="AO214" s="3154" t="s">
        <v>1370</v>
      </c>
      <c r="AP214" s="3154" t="s">
        <v>1371</v>
      </c>
      <c r="AQ214" s="3154" t="s">
        <v>1371</v>
      </c>
      <c r="AR214" s="3147" t="str">
        <f t="shared" si="76"/>
        <v>IRR</v>
      </c>
    </row>
    <row r="215" spans="40:44">
      <c r="AN215" s="3156">
        <v>26</v>
      </c>
      <c r="AO215" s="3154" t="s">
        <v>1372</v>
      </c>
      <c r="AP215" s="3154" t="s">
        <v>1373</v>
      </c>
      <c r="AQ215" s="3154" t="s">
        <v>1374</v>
      </c>
      <c r="AR215" s="3147" t="str">
        <f t="shared" si="76"/>
        <v>kr</v>
      </c>
    </row>
    <row r="216" spans="40:44">
      <c r="AN216" s="3156">
        <v>27</v>
      </c>
      <c r="AO216" s="3154" t="s">
        <v>1375</v>
      </c>
      <c r="AP216" s="3154" t="s">
        <v>1376</v>
      </c>
      <c r="AQ216" s="3154" t="s">
        <v>1376</v>
      </c>
      <c r="AR216" s="3147" t="str">
        <f t="shared" si="76"/>
        <v>JMD</v>
      </c>
    </row>
    <row r="217" spans="40:44">
      <c r="AN217" s="3156">
        <v>28</v>
      </c>
      <c r="AO217" s="3154" t="s">
        <v>1377</v>
      </c>
      <c r="AP217" s="3154" t="s">
        <v>1378</v>
      </c>
      <c r="AQ217" s="3154" t="s">
        <v>1379</v>
      </c>
      <c r="AR217" s="3147" t="str">
        <f t="shared" si="76"/>
        <v>¥</v>
      </c>
    </row>
    <row r="218" spans="40:44">
      <c r="AN218" s="3156">
        <v>29</v>
      </c>
      <c r="AO218" s="3154" t="s">
        <v>1380</v>
      </c>
      <c r="AP218" s="3154" t="s">
        <v>1381</v>
      </c>
      <c r="AQ218" s="3154" t="s">
        <v>1381</v>
      </c>
      <c r="AR218" s="3147" t="str">
        <f t="shared" si="76"/>
        <v>KES</v>
      </c>
    </row>
    <row r="219" spans="40:44">
      <c r="AN219" s="3156">
        <v>30</v>
      </c>
      <c r="AO219" s="3154" t="s">
        <v>1382</v>
      </c>
      <c r="AP219" s="3154" t="s">
        <v>1383</v>
      </c>
      <c r="AQ219" s="3154" t="s">
        <v>1384</v>
      </c>
      <c r="AR219" s="3147" t="str">
        <f t="shared" si="76"/>
        <v>₩</v>
      </c>
    </row>
    <row r="220" spans="40:44">
      <c r="AN220" s="3156">
        <v>31</v>
      </c>
      <c r="AO220" s="3154" t="s">
        <v>1385</v>
      </c>
      <c r="AP220" s="3154" t="s">
        <v>1386</v>
      </c>
      <c r="AQ220" s="3154" t="s">
        <v>1386</v>
      </c>
      <c r="AR220" s="3147" t="str">
        <f t="shared" si="76"/>
        <v>KWD</v>
      </c>
    </row>
    <row r="221" spans="40:44">
      <c r="AN221" s="3156">
        <v>32</v>
      </c>
      <c r="AO221" s="3154" t="s">
        <v>1387</v>
      </c>
      <c r="AP221" s="3154" t="s">
        <v>1388</v>
      </c>
      <c r="AQ221" s="3154" t="s">
        <v>1388</v>
      </c>
      <c r="AR221" s="3147" t="str">
        <f t="shared" si="76"/>
        <v>KYD</v>
      </c>
    </row>
    <row r="222" spans="40:44">
      <c r="AN222" s="3156">
        <v>33</v>
      </c>
      <c r="AO222" s="3154" t="s">
        <v>1389</v>
      </c>
      <c r="AP222" s="3154" t="s">
        <v>1390</v>
      </c>
      <c r="AQ222" s="3154" t="s">
        <v>1390</v>
      </c>
      <c r="AR222" s="3147" t="str">
        <f t="shared" ref="AR222:AR245" si="77">AP222</f>
        <v>LKR</v>
      </c>
    </row>
    <row r="223" spans="40:44">
      <c r="AN223" s="3156">
        <v>34</v>
      </c>
      <c r="AO223" s="3154" t="s">
        <v>1391</v>
      </c>
      <c r="AP223" s="3154" t="s">
        <v>1392</v>
      </c>
      <c r="AQ223" s="3154" t="s">
        <v>1392</v>
      </c>
      <c r="AR223" s="3147" t="str">
        <f t="shared" si="77"/>
        <v>MAD</v>
      </c>
    </row>
    <row r="224" spans="40:44">
      <c r="AN224" s="3156">
        <v>35</v>
      </c>
      <c r="AO224" s="3154" t="s">
        <v>1393</v>
      </c>
      <c r="AP224" s="3154" t="s">
        <v>1394</v>
      </c>
      <c r="AQ224" s="3154" t="s">
        <v>1395</v>
      </c>
      <c r="AR224" s="3147" t="str">
        <f t="shared" si="77"/>
        <v>M$</v>
      </c>
    </row>
    <row r="225" spans="40:44">
      <c r="AN225" s="3156">
        <v>36</v>
      </c>
      <c r="AO225" s="3154" t="s">
        <v>1396</v>
      </c>
      <c r="AP225" s="3154" t="s">
        <v>1397</v>
      </c>
      <c r="AQ225" s="3154" t="s">
        <v>1398</v>
      </c>
      <c r="AR225" s="3147" t="str">
        <f t="shared" si="77"/>
        <v>RM</v>
      </c>
    </row>
    <row r="226" spans="40:44">
      <c r="AN226" s="3156">
        <v>37</v>
      </c>
      <c r="AO226" s="3154" t="s">
        <v>1399</v>
      </c>
      <c r="AP226" s="3154" t="s">
        <v>1400</v>
      </c>
      <c r="AQ226" s="3154" t="s">
        <v>1401</v>
      </c>
      <c r="AR226" s="3147" t="str">
        <f t="shared" si="77"/>
        <v>NKr</v>
      </c>
    </row>
    <row r="227" spans="40:44">
      <c r="AN227" s="3156">
        <v>38</v>
      </c>
      <c r="AO227" s="3154" t="s">
        <v>1402</v>
      </c>
      <c r="AP227" s="3154" t="s">
        <v>1403</v>
      </c>
      <c r="AQ227" s="3154" t="s">
        <v>1404</v>
      </c>
      <c r="AR227" s="3147" t="str">
        <f t="shared" si="77"/>
        <v>NZ$</v>
      </c>
    </row>
    <row r="228" spans="40:44">
      <c r="AN228" s="3156">
        <v>39</v>
      </c>
      <c r="AO228" s="3154" t="s">
        <v>1405</v>
      </c>
      <c r="AP228" s="3154" t="s">
        <v>1406</v>
      </c>
      <c r="AQ228" s="3154" t="s">
        <v>1406</v>
      </c>
      <c r="AR228" s="3147" t="str">
        <f t="shared" si="77"/>
        <v>OMR</v>
      </c>
    </row>
    <row r="229" spans="40:44">
      <c r="AN229" s="3156">
        <v>40</v>
      </c>
      <c r="AO229" s="3154" t="s">
        <v>1407</v>
      </c>
      <c r="AP229" s="3154" t="s">
        <v>1408</v>
      </c>
      <c r="AQ229" s="3154" t="s">
        <v>1408</v>
      </c>
      <c r="AR229" s="3147" t="str">
        <f t="shared" si="77"/>
        <v>PAB</v>
      </c>
    </row>
    <row r="230" spans="40:44">
      <c r="AN230" s="3156">
        <v>41</v>
      </c>
      <c r="AO230" s="3154" t="s">
        <v>1409</v>
      </c>
      <c r="AP230" s="3154" t="s">
        <v>1410</v>
      </c>
      <c r="AQ230" s="3154" t="s">
        <v>1410</v>
      </c>
      <c r="AR230" s="3147" t="str">
        <f t="shared" si="77"/>
        <v>PEN</v>
      </c>
    </row>
    <row r="231" spans="40:44">
      <c r="AN231" s="3156">
        <v>42</v>
      </c>
      <c r="AO231" s="3154" t="s">
        <v>1411</v>
      </c>
      <c r="AP231" s="3154" t="s">
        <v>1412</v>
      </c>
      <c r="AQ231" s="3154" t="s">
        <v>1413</v>
      </c>
      <c r="AR231" s="3147" t="str">
        <f t="shared" si="77"/>
        <v>PP</v>
      </c>
    </row>
    <row r="232" spans="40:44">
      <c r="AN232" s="3156">
        <v>43</v>
      </c>
      <c r="AO232" s="3154" t="s">
        <v>1414</v>
      </c>
      <c r="AP232" s="3154" t="s">
        <v>1366</v>
      </c>
      <c r="AQ232" s="3154" t="s">
        <v>1415</v>
      </c>
      <c r="AR232" s="3147" t="str">
        <f t="shared" si="77"/>
        <v>Rs.</v>
      </c>
    </row>
    <row r="233" spans="40:44">
      <c r="AN233" s="3156">
        <v>44</v>
      </c>
      <c r="AO233" s="3154" t="s">
        <v>1416</v>
      </c>
      <c r="AP233" s="3154" t="s">
        <v>1417</v>
      </c>
      <c r="AQ233" s="3154" t="s">
        <v>1418</v>
      </c>
      <c r="AR233" s="3147" t="str">
        <f t="shared" si="77"/>
        <v>zł</v>
      </c>
    </row>
    <row r="234" spans="40:44">
      <c r="AN234" s="3156">
        <v>45</v>
      </c>
      <c r="AO234" s="3154" t="s">
        <v>1419</v>
      </c>
      <c r="AP234" s="3154" t="s">
        <v>1420</v>
      </c>
      <c r="AQ234" s="3154" t="s">
        <v>1420</v>
      </c>
      <c r="AR234" s="3147" t="str">
        <f t="shared" si="77"/>
        <v>RUB</v>
      </c>
    </row>
    <row r="235" spans="40:44">
      <c r="AN235" s="3156">
        <v>46</v>
      </c>
      <c r="AO235" s="3154" t="s">
        <v>1421</v>
      </c>
      <c r="AP235" s="3154" t="s">
        <v>1422</v>
      </c>
      <c r="AQ235" s="3154" t="s">
        <v>1422</v>
      </c>
      <c r="AR235" s="3147" t="str">
        <f t="shared" si="77"/>
        <v>SAR</v>
      </c>
    </row>
    <row r="236" spans="40:44">
      <c r="AN236" s="3156">
        <v>47</v>
      </c>
      <c r="AO236" s="3154" t="s">
        <v>1423</v>
      </c>
      <c r="AP236" s="3154" t="s">
        <v>1424</v>
      </c>
      <c r="AQ236" s="3154" t="s">
        <v>1425</v>
      </c>
      <c r="AR236" s="3147" t="str">
        <f t="shared" si="77"/>
        <v>SKr</v>
      </c>
    </row>
    <row r="237" spans="40:44">
      <c r="AN237" s="3156">
        <v>48</v>
      </c>
      <c r="AO237" s="3154" t="s">
        <v>1426</v>
      </c>
      <c r="AP237" s="3154" t="s">
        <v>1427</v>
      </c>
      <c r="AQ237" s="3154" t="s">
        <v>1428</v>
      </c>
      <c r="AR237" s="3147" t="str">
        <f t="shared" si="77"/>
        <v>S$</v>
      </c>
    </row>
    <row r="238" spans="40:44">
      <c r="AN238" s="3156">
        <v>49</v>
      </c>
      <c r="AO238" s="3154" t="s">
        <v>1429</v>
      </c>
      <c r="AP238" s="3154" t="s">
        <v>1430</v>
      </c>
      <c r="AQ238" s="3154" t="s">
        <v>1431</v>
      </c>
      <c r="AR238" s="3147" t="str">
        <f t="shared" si="77"/>
        <v>Bt</v>
      </c>
    </row>
    <row r="239" spans="40:44">
      <c r="AN239" s="3156">
        <v>50</v>
      </c>
      <c r="AO239" s="3154" t="s">
        <v>1432</v>
      </c>
      <c r="AP239" s="3154" t="s">
        <v>1433</v>
      </c>
      <c r="AQ239" s="3154" t="s">
        <v>1433</v>
      </c>
      <c r="AR239" s="3147" t="str">
        <f t="shared" si="77"/>
        <v>TND</v>
      </c>
    </row>
    <row r="240" spans="40:44">
      <c r="AN240" s="3156">
        <v>51</v>
      </c>
      <c r="AO240" s="3154" t="s">
        <v>1434</v>
      </c>
      <c r="AP240" s="3154" t="s">
        <v>1467</v>
      </c>
      <c r="AQ240" s="3154" t="s">
        <v>1435</v>
      </c>
      <c r="AR240" s="3147" t="str">
        <f t="shared" si="77"/>
        <v>YTL</v>
      </c>
    </row>
    <row r="241" spans="40:44">
      <c r="AN241" s="3156">
        <v>52</v>
      </c>
      <c r="AO241" s="3154" t="s">
        <v>1436</v>
      </c>
      <c r="AP241" s="3154" t="s">
        <v>1437</v>
      </c>
      <c r="AQ241" s="3154" t="s">
        <v>1438</v>
      </c>
      <c r="AR241" s="3147" t="str">
        <f t="shared" si="77"/>
        <v>NT$</v>
      </c>
    </row>
    <row r="242" spans="40:44">
      <c r="AN242" s="3156">
        <v>53</v>
      </c>
      <c r="AO242" s="3154" t="s">
        <v>1439</v>
      </c>
      <c r="AP242" s="3154" t="s">
        <v>1440</v>
      </c>
      <c r="AQ242" s="3154" t="s">
        <v>1440</v>
      </c>
      <c r="AR242" s="3147" t="str">
        <f t="shared" si="77"/>
        <v>UAH</v>
      </c>
    </row>
    <row r="243" spans="40:44">
      <c r="AN243" s="3156">
        <v>54</v>
      </c>
      <c r="AO243" s="3154" t="s">
        <v>1304</v>
      </c>
      <c r="AP243" s="3154" t="s">
        <v>13</v>
      </c>
      <c r="AQ243" s="3154" t="s">
        <v>453</v>
      </c>
      <c r="AR243" s="3147" t="str">
        <f t="shared" si="77"/>
        <v>$</v>
      </c>
    </row>
    <row r="244" spans="40:44">
      <c r="AN244" s="3156">
        <v>55</v>
      </c>
      <c r="AO244" s="3154" t="s">
        <v>1441</v>
      </c>
      <c r="AP244" s="3154" t="s">
        <v>1442</v>
      </c>
      <c r="AQ244" s="3154" t="s">
        <v>1442</v>
      </c>
      <c r="AR244" s="3147" t="str">
        <f t="shared" si="77"/>
        <v>VEB</v>
      </c>
    </row>
    <row r="245" spans="40:44">
      <c r="AN245" s="3156">
        <v>56</v>
      </c>
      <c r="AO245" s="3154" t="s">
        <v>1443</v>
      </c>
      <c r="AP245" s="3154" t="s">
        <v>1444</v>
      </c>
      <c r="AQ245" s="3154" t="s">
        <v>1444</v>
      </c>
      <c r="AR245" s="3147" t="str">
        <f t="shared" si="77"/>
        <v>ZAR</v>
      </c>
    </row>
    <row r="246" spans="40:44">
      <c r="AN246" s="3156">
        <v>57</v>
      </c>
      <c r="AO246" s="3154" t="s">
        <v>1466</v>
      </c>
      <c r="AP246" s="3155"/>
      <c r="AQ246" s="3154" t="s">
        <v>446</v>
      </c>
      <c r="AR246" s="3147" t="s">
        <v>446</v>
      </c>
    </row>
  </sheetData>
  <mergeCells count="3">
    <mergeCell ref="U69:Y69"/>
    <mergeCell ref="C55:T55"/>
    <mergeCell ref="A1:A2"/>
  </mergeCells>
  <pageMargins left="0.75" right="0.75" top="1" bottom="1" header="0.5" footer="0.5"/>
  <pageSetup scale="69" orientation="landscape" r:id="rId1"/>
  <headerFooter alignWithMargins="0"/>
  <rowBreaks count="1" manualBreakCount="1">
    <brk id="53" max="16383" man="1"/>
  </rowBreaks>
  <colBreaks count="1" manualBreakCount="1">
    <brk id="25" max="1048575" man="1"/>
  </colBreaks>
  <drawing r:id="rId2"/>
  <legacyDrawing r:id="rId3"/>
  <controls>
    <mc:AlternateContent xmlns:mc="http://schemas.openxmlformats.org/markup-compatibility/2006">
      <mc:Choice Requires="x14">
        <control shapeId="32313379" r:id="rId4" name="ComboBox1">
          <controlPr defaultSize="0" autoLine="0" linkedCell="AY20" listFillRange="AY21:AY22" r:id="rId5">
            <anchor moveWithCells="1">
              <from>
                <xdr:col>10</xdr:col>
                <xdr:colOff>476250</xdr:colOff>
                <xdr:row>0</xdr:row>
                <xdr:rowOff>85725</xdr:rowOff>
              </from>
              <to>
                <xdr:col>13</xdr:col>
                <xdr:colOff>657225</xdr:colOff>
                <xdr:row>1</xdr:row>
                <xdr:rowOff>171450</xdr:rowOff>
              </to>
            </anchor>
          </controlPr>
        </control>
      </mc:Choice>
      <mc:Fallback>
        <control shapeId="32313379" r:id="rId4" name="ComboBox1"/>
      </mc:Fallback>
    </mc:AlternateContent>
    <mc:AlternateContent xmlns:mc="http://schemas.openxmlformats.org/markup-compatibility/2006">
      <mc:Choice Requires="x14">
        <control shapeId="32313378" r:id="rId6" name="CommandButton2">
          <controlPr defaultSize="0" autoLine="0" r:id="rId7">
            <anchor moveWithCells="1">
              <from>
                <xdr:col>23</xdr:col>
                <xdr:colOff>76200</xdr:colOff>
                <xdr:row>0</xdr:row>
                <xdr:rowOff>57150</xdr:rowOff>
              </from>
              <to>
                <xdr:col>26</xdr:col>
                <xdr:colOff>0</xdr:colOff>
                <xdr:row>1</xdr:row>
                <xdr:rowOff>133350</xdr:rowOff>
              </to>
            </anchor>
          </controlPr>
        </control>
      </mc:Choice>
      <mc:Fallback>
        <control shapeId="32313378" r:id="rId6" name="CommandButton2"/>
      </mc:Fallback>
    </mc:AlternateContent>
    <mc:AlternateContent xmlns:mc="http://schemas.openxmlformats.org/markup-compatibility/2006">
      <mc:Choice Requires="x14">
        <control shapeId="32313377" r:id="rId8" name="CommandButton1">
          <controlPr defaultSize="0" autoLine="0" r:id="rId9">
            <anchor moveWithCells="1">
              <from>
                <xdr:col>20</xdr:col>
                <xdr:colOff>209550</xdr:colOff>
                <xdr:row>0</xdr:row>
                <xdr:rowOff>66675</xdr:rowOff>
              </from>
              <to>
                <xdr:col>22</xdr:col>
                <xdr:colOff>180975</xdr:colOff>
                <xdr:row>1</xdr:row>
                <xdr:rowOff>133350</xdr:rowOff>
              </to>
            </anchor>
          </controlPr>
        </control>
      </mc:Choice>
      <mc:Fallback>
        <control shapeId="32313377" r:id="rId8" name="CommandButton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M246"/>
  <sheetViews>
    <sheetView showGridLines="0" topLeftCell="A14" workbookViewId="0">
      <selection activeCell="L54" sqref="L54"/>
    </sheetView>
  </sheetViews>
  <sheetFormatPr defaultRowHeight="12.75" outlineLevelRow="1" outlineLevelCol="1"/>
  <cols>
    <col min="1" max="1" width="1.28515625" style="3153" customWidth="1"/>
    <col min="2" max="2" width="7" style="3292" customWidth="1"/>
    <col min="3" max="3" width="45.42578125" style="3292" customWidth="1"/>
    <col min="4" max="4" width="10.42578125" style="3292" customWidth="1" outlineLevel="1"/>
    <col min="5" max="5" width="12.42578125" style="3292" customWidth="1" outlineLevel="1"/>
    <col min="6" max="6" width="11.42578125" style="3292" customWidth="1" outlineLevel="1"/>
    <col min="7" max="7" width="13.42578125" style="3292" customWidth="1" outlineLevel="1"/>
    <col min="8" max="13" width="10.140625" style="3290" customWidth="1"/>
    <col min="14" max="14" width="10.140625" style="3291" customWidth="1"/>
    <col min="15" max="18" width="10.140625" style="3290" customWidth="1" outlineLevel="1"/>
    <col min="19" max="20" width="10.140625" style="3151" customWidth="1" outlineLevel="1"/>
    <col min="21" max="21" width="4.5703125" style="3150" customWidth="1"/>
    <col min="22" max="22" width="19.140625" style="3147" customWidth="1"/>
    <col min="23" max="27" width="9.140625" style="3147"/>
    <col min="28" max="28" width="41.140625" bestFit="1" customWidth="1"/>
    <col min="29" max="29" width="12.5703125" bestFit="1" customWidth="1"/>
    <col min="30" max="31" width="11.28515625" bestFit="1" customWidth="1"/>
    <col min="32" max="32" width="18.140625" bestFit="1" customWidth="1"/>
    <col min="33" max="33" width="10.28515625" bestFit="1" customWidth="1"/>
    <col min="34" max="34" width="9.42578125" style="3147" hidden="1" customWidth="1"/>
    <col min="35" max="39" width="9.140625" style="3147" hidden="1" customWidth="1"/>
    <col min="40" max="40" width="108.5703125" style="3149" hidden="1" customWidth="1" outlineLevel="1"/>
    <col min="41" max="41" width="9.140625" style="3147" collapsed="1"/>
    <col min="42" max="42" width="34.42578125" style="3147" customWidth="1"/>
    <col min="43" max="43" width="9.140625" style="3147"/>
    <col min="44" max="44" width="10.42578125" style="3147" customWidth="1"/>
    <col min="45" max="47" width="9.140625" style="3147"/>
    <col min="48" max="48" width="24.85546875" style="3147" customWidth="1"/>
    <col min="49" max="50" width="9.140625" style="3147"/>
    <col min="51" max="51" width="16.85546875" style="3147" customWidth="1"/>
    <col min="52" max="52" width="8" style="3147" customWidth="1"/>
    <col min="53" max="53" width="7.5703125" style="3147" bestFit="1" customWidth="1"/>
    <col min="54" max="54" width="8.7109375" style="3147" customWidth="1"/>
    <col min="55" max="55" width="9.140625" style="3147"/>
    <col min="56" max="56" width="7.5703125" style="3147" bestFit="1" customWidth="1"/>
    <col min="57" max="58" width="9.140625" style="3147"/>
    <col min="59" max="59" width="9.140625" style="3148"/>
    <col min="60" max="61" width="9.140625" style="3147"/>
    <col min="62" max="62" width="13.28515625" style="3147" bestFit="1" customWidth="1"/>
    <col min="63" max="80" width="9.140625" style="3147"/>
    <col min="81" max="81" width="13.28515625" style="3147" bestFit="1" customWidth="1"/>
    <col min="82" max="82" width="10.5703125" style="3147" bestFit="1" customWidth="1"/>
    <col min="83" max="16384" width="9.140625" style="3147"/>
  </cols>
  <sheetData>
    <row r="1" spans="1:88" ht="12.75" customHeight="1">
      <c r="A1" s="4178"/>
      <c r="B1" s="3287"/>
      <c r="C1" s="3172" t="s">
        <v>1546</v>
      </c>
      <c r="D1" s="3172"/>
      <c r="E1" s="3172"/>
      <c r="F1" s="3172"/>
      <c r="G1" s="3172"/>
      <c r="H1" s="3289" t="str">
        <f>Pension!$H$1</f>
        <v>CTL.N</v>
      </c>
      <c r="I1" s="3150"/>
      <c r="J1" s="3150"/>
      <c r="K1" s="3150"/>
      <c r="L1" s="3150"/>
      <c r="M1" s="3150"/>
      <c r="N1" s="3150"/>
      <c r="O1" s="3150"/>
      <c r="P1" s="3150"/>
      <c r="Q1" s="3150"/>
      <c r="R1" s="3150"/>
      <c r="S1" s="3150"/>
      <c r="T1" s="3150"/>
    </row>
    <row r="2" spans="1:88" ht="15" customHeight="1">
      <c r="A2" s="4178"/>
      <c r="B2" s="3287"/>
      <c r="C2" s="3172" t="s">
        <v>1545</v>
      </c>
      <c r="D2" s="3172"/>
      <c r="E2" s="3172"/>
      <c r="F2" s="3172"/>
      <c r="G2" s="3172"/>
      <c r="H2" s="3286" t="str">
        <f>Pension!H2</f>
        <v>Centurylink Inc</v>
      </c>
      <c r="I2" s="3150"/>
      <c r="J2" s="3150"/>
      <c r="K2" s="3236"/>
      <c r="L2" s="3236"/>
      <c r="M2" s="3236"/>
      <c r="N2" s="3236"/>
      <c r="O2" s="3236"/>
      <c r="P2" s="3236"/>
      <c r="Q2" s="3236"/>
      <c r="R2" s="3236"/>
      <c r="S2" s="3236"/>
      <c r="T2" s="3236"/>
    </row>
    <row r="3" spans="1:88" ht="12.75" hidden="1" customHeight="1" outlineLevel="1">
      <c r="A3" s="3288"/>
      <c r="B3" s="3287"/>
      <c r="C3" s="3172" t="s">
        <v>1543</v>
      </c>
      <c r="D3" s="3312"/>
      <c r="E3" s="3312"/>
      <c r="F3" s="3312"/>
      <c r="G3" s="3312"/>
      <c r="H3" s="3311">
        <f>Sedol</f>
        <v>2185046</v>
      </c>
      <c r="I3" s="3150"/>
      <c r="J3" s="3150"/>
      <c r="K3" s="3150"/>
      <c r="L3" s="3150"/>
      <c r="M3" s="3150"/>
      <c r="N3" s="3150"/>
      <c r="O3" s="3150"/>
      <c r="P3" s="3150"/>
      <c r="Q3" s="3150"/>
      <c r="R3" s="3150"/>
      <c r="S3" s="3150"/>
      <c r="T3" s="3150"/>
      <c r="CD3" s="3284"/>
      <c r="CE3" s="3284"/>
      <c r="CF3" s="3284"/>
      <c r="CG3" s="3284"/>
      <c r="CH3" s="3284"/>
      <c r="CI3" s="3284"/>
      <c r="CJ3" s="3284"/>
    </row>
    <row r="4" spans="1:88" s="3148" customFormat="1" collapsed="1">
      <c r="A4" s="3162"/>
      <c r="B4" s="3237"/>
      <c r="C4" s="3283"/>
      <c r="D4" s="3283"/>
      <c r="E4" s="3283"/>
      <c r="F4" s="3283"/>
      <c r="G4" s="3283"/>
      <c r="H4" s="3236"/>
      <c r="I4" s="3236"/>
      <c r="J4" s="3236"/>
      <c r="K4" s="3236"/>
      <c r="L4" s="3236"/>
      <c r="M4" s="3236"/>
      <c r="N4" s="3236"/>
      <c r="O4" s="3236"/>
      <c r="P4" s="3236"/>
      <c r="Q4" s="3236"/>
      <c r="R4" s="3236"/>
      <c r="S4" s="3236"/>
      <c r="T4" s="3236"/>
      <c r="U4" s="3236"/>
      <c r="AB4"/>
      <c r="AC4"/>
      <c r="AD4"/>
      <c r="AE4"/>
      <c r="AF4"/>
      <c r="AG4"/>
      <c r="AN4" s="3156"/>
      <c r="AY4" s="3282"/>
      <c r="AZ4" s="3282"/>
      <c r="BA4" s="3282"/>
      <c r="BB4" s="3282"/>
    </row>
    <row r="5" spans="1:88" customFormat="1" ht="12.75" customHeight="1" outlineLevel="1"/>
    <row r="6" spans="1:88">
      <c r="A6" s="3162"/>
      <c r="B6" s="3172" t="s">
        <v>1542</v>
      </c>
      <c r="C6" s="3172" t="s">
        <v>1541</v>
      </c>
      <c r="D6" s="3192">
        <f t="shared" ref="D6:J6" si="0">E6-1</f>
        <v>2009</v>
      </c>
      <c r="E6" s="3192">
        <f t="shared" si="0"/>
        <v>2010</v>
      </c>
      <c r="F6" s="3192">
        <f t="shared" si="0"/>
        <v>2011</v>
      </c>
      <c r="G6" s="3192">
        <f t="shared" si="0"/>
        <v>2012</v>
      </c>
      <c r="H6" s="3192">
        <f t="shared" si="0"/>
        <v>2013</v>
      </c>
      <c r="I6" s="3192">
        <f t="shared" si="0"/>
        <v>2014</v>
      </c>
      <c r="J6" s="3192">
        <f t="shared" si="0"/>
        <v>2015</v>
      </c>
      <c r="K6" s="3171">
        <f>Pension!K6</f>
        <v>2016</v>
      </c>
      <c r="L6" s="3171">
        <f>Pension!L6</f>
        <v>2017</v>
      </c>
      <c r="M6" s="3192">
        <f t="shared" ref="M6:T6" si="1">L6+1</f>
        <v>2018</v>
      </c>
      <c r="N6" s="3192">
        <f t="shared" si="1"/>
        <v>2019</v>
      </c>
      <c r="O6" s="3192">
        <f t="shared" si="1"/>
        <v>2020</v>
      </c>
      <c r="P6" s="3192">
        <f t="shared" si="1"/>
        <v>2021</v>
      </c>
      <c r="Q6" s="3192">
        <f t="shared" si="1"/>
        <v>2022</v>
      </c>
      <c r="R6" s="3192">
        <f t="shared" si="1"/>
        <v>2023</v>
      </c>
      <c r="S6" s="3192">
        <f t="shared" si="1"/>
        <v>2024</v>
      </c>
      <c r="T6" s="3192">
        <f t="shared" si="1"/>
        <v>2025</v>
      </c>
      <c r="X6" s="3150"/>
      <c r="Y6" s="3150"/>
      <c r="AY6" s="3243"/>
      <c r="AZ6" s="3243"/>
      <c r="BA6" s="3243"/>
      <c r="BB6" s="3243"/>
      <c r="BG6" s="3221">
        <f>Pension!BG6</f>
        <v>2016</v>
      </c>
    </row>
    <row r="7" spans="1:88" ht="7.5" customHeight="1">
      <c r="A7" s="3162"/>
      <c r="B7" s="3152"/>
      <c r="C7" s="3175"/>
      <c r="D7" s="3175"/>
      <c r="E7" s="3175"/>
      <c r="F7" s="3175"/>
      <c r="G7" s="3175"/>
      <c r="H7" s="3170"/>
      <c r="I7" s="3170"/>
      <c r="J7" s="3208"/>
      <c r="K7" s="3208"/>
      <c r="L7" s="3208"/>
      <c r="M7" s="3208"/>
      <c r="N7" s="3208"/>
      <c r="O7" s="3208"/>
      <c r="P7" s="3208"/>
      <c r="Q7" s="3208"/>
      <c r="R7" s="3208"/>
      <c r="S7" s="3208"/>
      <c r="T7" s="3208"/>
      <c r="X7" s="3150"/>
      <c r="Y7" s="3150"/>
      <c r="BG7" s="3221" t="str">
        <f>Pension!BG7</f>
        <v>12/2016</v>
      </c>
    </row>
    <row r="8" spans="1:88">
      <c r="A8" s="3162"/>
      <c r="B8" s="3152"/>
      <c r="C8" s="3150" t="s">
        <v>551</v>
      </c>
      <c r="D8" s="3263">
        <v>6.4000000000000001E-2</v>
      </c>
      <c r="E8" s="3263">
        <v>5.7000000000000002E-2</v>
      </c>
      <c r="F8" s="3263">
        <v>5.2999999999999999E-2</v>
      </c>
      <c r="G8" s="3263">
        <v>4.5999999999999999E-2</v>
      </c>
      <c r="H8" s="3263">
        <v>3.6000000000000004E-2</v>
      </c>
      <c r="I8" s="3263">
        <v>3.7999999999999999E-2</v>
      </c>
      <c r="J8" s="3263">
        <v>3.7999999999999999E-2</v>
      </c>
      <c r="K8" s="3263">
        <v>4.1500000000000002E-2</v>
      </c>
      <c r="L8" s="3263">
        <v>4.1500000000000002E-2</v>
      </c>
      <c r="M8" s="3268">
        <f t="shared" ref="M8:T8" si="2">+L8</f>
        <v>4.1500000000000002E-2</v>
      </c>
      <c r="N8" s="3268">
        <f t="shared" si="2"/>
        <v>4.1500000000000002E-2</v>
      </c>
      <c r="O8" s="3268">
        <f t="shared" si="2"/>
        <v>4.1500000000000002E-2</v>
      </c>
      <c r="P8" s="3268">
        <f t="shared" si="2"/>
        <v>4.1500000000000002E-2</v>
      </c>
      <c r="Q8" s="3268">
        <f t="shared" si="2"/>
        <v>4.1500000000000002E-2</v>
      </c>
      <c r="R8" s="3268">
        <f t="shared" si="2"/>
        <v>4.1500000000000002E-2</v>
      </c>
      <c r="S8" s="3268">
        <f t="shared" si="2"/>
        <v>4.1500000000000002E-2</v>
      </c>
      <c r="T8" s="3268">
        <f t="shared" si="2"/>
        <v>4.1500000000000002E-2</v>
      </c>
      <c r="U8" s="3309"/>
      <c r="AN8" s="3264" t="s">
        <v>1565</v>
      </c>
      <c r="AY8" s="3243"/>
      <c r="AZ8" s="3281"/>
      <c r="BA8" s="3281"/>
      <c r="BB8" s="3243"/>
      <c r="BG8" s="3261">
        <f>_xll.ThomsonONEAddinShim.SpreadsheetFormulas.TF(Sedol,$AN8,"dataDir=across",trSdate,trEdate)</f>
        <v>5.7000000000000002E-2</v>
      </c>
      <c r="BH8" s="3269">
        <v>5.2999999999999999E-2</v>
      </c>
      <c r="BI8" s="3269">
        <v>4.5999999999999999E-2</v>
      </c>
      <c r="BJ8" s="3269">
        <v>3.6000000000000004E-2</v>
      </c>
      <c r="BK8" s="3269">
        <v>3.7999999999999999E-2</v>
      </c>
      <c r="BL8" s="3269">
        <v>3.7999999999999999E-2</v>
      </c>
      <c r="BM8" s="3269">
        <v>4.1500000000000002E-2</v>
      </c>
      <c r="BN8" s="3269">
        <v>3.9E-2</v>
      </c>
    </row>
    <row r="9" spans="1:88" ht="12.75" hidden="1" customHeight="1" outlineLevel="1">
      <c r="A9" s="3162"/>
      <c r="B9" s="3152"/>
      <c r="C9" s="3150" t="s">
        <v>1538</v>
      </c>
      <c r="D9" s="3280">
        <f>Pension!D9</f>
        <v>0.1</v>
      </c>
      <c r="E9" s="3280">
        <f>Pension!E9</f>
        <v>0.1</v>
      </c>
      <c r="F9" s="3280">
        <f>Pension!F9</f>
        <v>0.1</v>
      </c>
      <c r="G9" s="3280">
        <f>Pension!G9</f>
        <v>0.1</v>
      </c>
      <c r="H9" s="3280">
        <f>Pension!H9</f>
        <v>0.1</v>
      </c>
      <c r="I9" s="3280">
        <f>Pension!I9</f>
        <v>0.1</v>
      </c>
      <c r="J9" s="3280">
        <f>Pension!J9</f>
        <v>0.1</v>
      </c>
      <c r="K9" s="3280">
        <f>Pension!K9</f>
        <v>0.1</v>
      </c>
      <c r="L9" s="3280">
        <f>Pension!L9</f>
        <v>0.1</v>
      </c>
      <c r="M9" s="3279">
        <f t="shared" ref="M9:T9" si="3">+L9</f>
        <v>0.1</v>
      </c>
      <c r="N9" s="3279">
        <f t="shared" si="3"/>
        <v>0.1</v>
      </c>
      <c r="O9" s="3279">
        <f t="shared" si="3"/>
        <v>0.1</v>
      </c>
      <c r="P9" s="3279">
        <f t="shared" si="3"/>
        <v>0.1</v>
      </c>
      <c r="Q9" s="3279">
        <f t="shared" si="3"/>
        <v>0.1</v>
      </c>
      <c r="R9" s="3279">
        <f t="shared" si="3"/>
        <v>0.1</v>
      </c>
      <c r="S9" s="3279">
        <f t="shared" si="3"/>
        <v>0.1</v>
      </c>
      <c r="T9" s="3279">
        <f t="shared" si="3"/>
        <v>0.1</v>
      </c>
      <c r="AZ9" s="3150"/>
      <c r="BA9" s="3250"/>
      <c r="BB9" s="3250"/>
      <c r="BC9" s="3250"/>
      <c r="BD9" s="3250"/>
      <c r="BG9" s="3278"/>
    </row>
    <row r="10" spans="1:88" ht="12.75" hidden="1" customHeight="1" outlineLevel="1">
      <c r="A10" s="3162"/>
      <c r="B10" s="3152"/>
      <c r="C10" s="3150" t="s">
        <v>1537</v>
      </c>
      <c r="D10" s="3273">
        <f>Pension!D10</f>
        <v>10</v>
      </c>
      <c r="E10" s="3273">
        <f>Pension!E10</f>
        <v>10</v>
      </c>
      <c r="F10" s="3273">
        <f>Pension!F10</f>
        <v>10</v>
      </c>
      <c r="G10" s="3273">
        <f>Pension!G10</f>
        <v>10</v>
      </c>
      <c r="H10" s="3273">
        <f>Pension!H10</f>
        <v>10</v>
      </c>
      <c r="I10" s="3273">
        <f>Pension!I10</f>
        <v>10</v>
      </c>
      <c r="J10" s="3273">
        <f>Pension!J10</f>
        <v>10</v>
      </c>
      <c r="K10" s="3273">
        <f>Pension!K10</f>
        <v>10</v>
      </c>
      <c r="L10" s="3273">
        <f>Pension!L10</f>
        <v>10</v>
      </c>
      <c r="M10" s="3277">
        <v>10</v>
      </c>
      <c r="N10" s="3277">
        <v>10</v>
      </c>
      <c r="O10" s="3277">
        <v>10</v>
      </c>
      <c r="P10" s="3277">
        <v>10</v>
      </c>
      <c r="Q10" s="3277">
        <v>10</v>
      </c>
      <c r="R10" s="3277">
        <v>10</v>
      </c>
      <c r="S10" s="3277">
        <v>10</v>
      </c>
      <c r="T10" s="3277">
        <v>10</v>
      </c>
      <c r="AY10" s="3272"/>
      <c r="AZ10" s="3310"/>
      <c r="BA10" s="3250"/>
      <c r="BB10" s="3250"/>
      <c r="BC10" s="3250"/>
      <c r="BD10" s="3250"/>
      <c r="BG10" s="3273">
        <f>Pension!BG10</f>
        <v>0</v>
      </c>
    </row>
    <row r="11" spans="1:88" collapsed="1">
      <c r="A11" s="3162"/>
      <c r="B11" s="3152"/>
      <c r="C11" s="3150" t="s">
        <v>528</v>
      </c>
      <c r="D11" s="3263">
        <v>8.3800000000000013E-2</v>
      </c>
      <c r="E11" s="3263">
        <v>7.2499999999999995E-2</v>
      </c>
      <c r="F11" s="3263">
        <v>7.2499999999999995E-2</v>
      </c>
      <c r="G11" s="3263">
        <v>6.7500000000000004E-2</v>
      </c>
      <c r="H11" s="3263">
        <v>7.2999999999999995E-2</v>
      </c>
      <c r="I11" s="3263">
        <v>7.4999999999999997E-2</v>
      </c>
      <c r="J11" s="3263">
        <v>7.4999999999999997E-2</v>
      </c>
      <c r="K11" s="3263">
        <v>7.0000000000000007E-2</v>
      </c>
      <c r="L11" s="3263">
        <v>7.0000000000000007E-2</v>
      </c>
      <c r="M11" s="3268">
        <f t="shared" ref="M11:T11" si="4">+L11</f>
        <v>7.0000000000000007E-2</v>
      </c>
      <c r="N11" s="3268">
        <f t="shared" si="4"/>
        <v>7.0000000000000007E-2</v>
      </c>
      <c r="O11" s="3268">
        <f t="shared" si="4"/>
        <v>7.0000000000000007E-2</v>
      </c>
      <c r="P11" s="3268">
        <f t="shared" si="4"/>
        <v>7.0000000000000007E-2</v>
      </c>
      <c r="Q11" s="3268">
        <f t="shared" si="4"/>
        <v>7.0000000000000007E-2</v>
      </c>
      <c r="R11" s="3268">
        <f t="shared" si="4"/>
        <v>7.0000000000000007E-2</v>
      </c>
      <c r="S11" s="3268">
        <f t="shared" si="4"/>
        <v>7.0000000000000007E-2</v>
      </c>
      <c r="T11" s="3268">
        <f t="shared" si="4"/>
        <v>7.0000000000000007E-2</v>
      </c>
      <c r="U11" s="3309"/>
      <c r="AN11" s="3264" t="s">
        <v>1564</v>
      </c>
      <c r="AY11" s="3250"/>
      <c r="AZ11" s="3308"/>
      <c r="BA11" s="3250"/>
      <c r="BB11" s="3250"/>
      <c r="BC11" s="3270"/>
      <c r="BD11" s="3250"/>
      <c r="BG11" s="3261">
        <f>_xll.ThomsonONEAddinShim.SpreadsheetFormulas.TF(Sedol,$AN11,"dataDir=across",trSdate,trEdate)</f>
        <v>7.2999999999999995E-2</v>
      </c>
      <c r="BH11" s="3269">
        <v>7.2499999999999995E-2</v>
      </c>
      <c r="BI11" s="3269">
        <v>6.7500000000000004E-2</v>
      </c>
      <c r="BJ11" s="3269">
        <v>7.2999999999999995E-2</v>
      </c>
      <c r="BK11" s="3269">
        <v>7.4999999999999997E-2</v>
      </c>
      <c r="BL11" s="3269">
        <v>7.4999999999999997E-2</v>
      </c>
      <c r="BM11" s="3269">
        <v>7.0000000000000007E-2</v>
      </c>
      <c r="BN11" s="3269">
        <v>0.05</v>
      </c>
    </row>
    <row r="12" spans="1:88">
      <c r="A12" s="3162"/>
      <c r="B12" s="3152"/>
      <c r="C12" s="3150" t="s">
        <v>529</v>
      </c>
      <c r="D12" s="3263">
        <f t="shared" ref="D12:K12" si="5">IF(ISNUMBER(D38/D37),D38/D37,0)</f>
        <v>0.3811365664980661</v>
      </c>
      <c r="E12" s="3263">
        <f t="shared" si="5"/>
        <v>0.10322445561139029</v>
      </c>
      <c r="F12" s="3263">
        <f t="shared" si="5"/>
        <v>7.4330099973984459E-2</v>
      </c>
      <c r="G12" s="3263">
        <f t="shared" si="5"/>
        <v>2.886002886002886E-3</v>
      </c>
      <c r="H12" s="3263">
        <f t="shared" si="5"/>
        <v>7.1884984025559109E-2</v>
      </c>
      <c r="I12" s="3263">
        <f t="shared" si="5"/>
        <v>6.9158878504672894E-2</v>
      </c>
      <c r="J12" s="3263">
        <f t="shared" si="5"/>
        <v>8.4985835694051E-3</v>
      </c>
      <c r="K12" s="3263">
        <f t="shared" si="5"/>
        <v>2.5906735751295335E-2</v>
      </c>
      <c r="L12" s="3263">
        <f t="shared" ref="L12" si="6">IF(ISNUMBER(L38/L37),L38/L37,0)</f>
        <v>1.8867924528301886E-2</v>
      </c>
      <c r="M12" s="3268">
        <f t="shared" ref="M12:T12" si="7">+M11</f>
        <v>7.0000000000000007E-2</v>
      </c>
      <c r="N12" s="3268">
        <f t="shared" si="7"/>
        <v>7.0000000000000007E-2</v>
      </c>
      <c r="O12" s="3268">
        <f t="shared" si="7"/>
        <v>7.0000000000000007E-2</v>
      </c>
      <c r="P12" s="3268">
        <f t="shared" si="7"/>
        <v>7.0000000000000007E-2</v>
      </c>
      <c r="Q12" s="3268">
        <f t="shared" si="7"/>
        <v>7.0000000000000007E-2</v>
      </c>
      <c r="R12" s="3268">
        <f t="shared" si="7"/>
        <v>7.0000000000000007E-2</v>
      </c>
      <c r="S12" s="3268">
        <f t="shared" si="7"/>
        <v>7.0000000000000007E-2</v>
      </c>
      <c r="T12" s="3268">
        <f t="shared" si="7"/>
        <v>7.0000000000000007E-2</v>
      </c>
      <c r="AN12" s="3264"/>
      <c r="AY12" s="3250"/>
      <c r="AZ12" s="3308"/>
      <c r="BA12" s="3250"/>
      <c r="BB12" s="3265"/>
      <c r="BC12" s="3250"/>
      <c r="BD12" s="3250"/>
      <c r="BG12" s="3278"/>
    </row>
    <row r="13" spans="1:88">
      <c r="A13" s="3162"/>
      <c r="B13" s="3152"/>
      <c r="C13" s="3150" t="s">
        <v>530</v>
      </c>
      <c r="D13" s="3263">
        <f>Pension!D13</f>
        <v>0.35</v>
      </c>
      <c r="E13" s="3263">
        <f>Pension!E13</f>
        <v>0.35</v>
      </c>
      <c r="F13" s="3263">
        <f>Pension!F13</f>
        <v>0.35</v>
      </c>
      <c r="G13" s="3263">
        <f>Pension!G13</f>
        <v>0.35</v>
      </c>
      <c r="H13" s="3263">
        <f>Pension!H13</f>
        <v>0.35</v>
      </c>
      <c r="I13" s="3263">
        <f>Pension!I13</f>
        <v>0.35</v>
      </c>
      <c r="J13" s="3263">
        <f>Pension!J13</f>
        <v>0.35</v>
      </c>
      <c r="K13" s="3263">
        <f>Pension!K13</f>
        <v>0.35</v>
      </c>
      <c r="L13" s="3263">
        <f>Pension!L13</f>
        <v>0.35</v>
      </c>
      <c r="M13" s="3262">
        <f>Pension!M13</f>
        <v>0.21</v>
      </c>
      <c r="N13" s="3262">
        <f>Pension!N13</f>
        <v>0.21</v>
      </c>
      <c r="O13" s="3262">
        <f>Pension!O13</f>
        <v>0.21</v>
      </c>
      <c r="P13" s="3262">
        <f>Pension!P13</f>
        <v>0.21</v>
      </c>
      <c r="Q13" s="3262">
        <f>Pension!Q13</f>
        <v>0.21</v>
      </c>
      <c r="R13" s="3262">
        <f>Pension!R13</f>
        <v>0.21</v>
      </c>
      <c r="S13" s="3262">
        <f>Pension!S13</f>
        <v>0.21</v>
      </c>
      <c r="T13" s="3262">
        <f>Pension!T13</f>
        <v>0.21</v>
      </c>
      <c r="AY13" s="3250"/>
      <c r="AZ13" s="3307"/>
      <c r="BA13" s="3250"/>
      <c r="BB13" s="3250"/>
      <c r="BC13" s="3250"/>
      <c r="BD13" s="3250"/>
      <c r="BG13" s="3261"/>
    </row>
    <row r="14" spans="1:88" ht="7.5" customHeight="1">
      <c r="A14" s="3162"/>
      <c r="B14" s="3152"/>
      <c r="C14" s="3175"/>
      <c r="D14" s="3175"/>
      <c r="E14" s="3175"/>
      <c r="F14" s="3175"/>
      <c r="G14" s="3175"/>
      <c r="H14" s="3170"/>
      <c r="I14" s="3170"/>
      <c r="J14" s="3208"/>
      <c r="K14" s="3208"/>
      <c r="L14" s="3208"/>
      <c r="M14" s="3208"/>
      <c r="N14" s="3208"/>
      <c r="O14" s="3208"/>
      <c r="P14" s="3208"/>
      <c r="Q14" s="3208"/>
      <c r="R14" s="3208"/>
      <c r="S14" s="3208"/>
      <c r="T14" s="3208"/>
      <c r="AY14" s="3150"/>
      <c r="AZ14" s="3150"/>
      <c r="BG14" s="3197"/>
    </row>
    <row r="15" spans="1:88">
      <c r="A15" s="3162"/>
      <c r="B15" s="3172" t="s">
        <v>1531</v>
      </c>
      <c r="C15" s="3172" t="s">
        <v>1530</v>
      </c>
      <c r="D15" s="3192">
        <f t="shared" ref="D15:T15" si="8">+D6</f>
        <v>2009</v>
      </c>
      <c r="E15" s="3192">
        <f t="shared" si="8"/>
        <v>2010</v>
      </c>
      <c r="F15" s="3192">
        <f t="shared" si="8"/>
        <v>2011</v>
      </c>
      <c r="G15" s="3192">
        <f t="shared" si="8"/>
        <v>2012</v>
      </c>
      <c r="H15" s="3192">
        <f t="shared" si="8"/>
        <v>2013</v>
      </c>
      <c r="I15" s="3192">
        <f t="shared" si="8"/>
        <v>2014</v>
      </c>
      <c r="J15" s="3192">
        <f t="shared" si="8"/>
        <v>2015</v>
      </c>
      <c r="K15" s="3192">
        <f t="shared" si="8"/>
        <v>2016</v>
      </c>
      <c r="L15" s="3192">
        <f t="shared" ref="L15" si="9">+L6</f>
        <v>2017</v>
      </c>
      <c r="M15" s="3192">
        <f t="shared" si="8"/>
        <v>2018</v>
      </c>
      <c r="N15" s="3192">
        <f t="shared" si="8"/>
        <v>2019</v>
      </c>
      <c r="O15" s="3192">
        <f t="shared" si="8"/>
        <v>2020</v>
      </c>
      <c r="P15" s="3192">
        <f t="shared" si="8"/>
        <v>2021</v>
      </c>
      <c r="Q15" s="3192">
        <f t="shared" si="8"/>
        <v>2022</v>
      </c>
      <c r="R15" s="3192">
        <f t="shared" si="8"/>
        <v>2023</v>
      </c>
      <c r="S15" s="3192">
        <f t="shared" si="8"/>
        <v>2024</v>
      </c>
      <c r="T15" s="3192">
        <f t="shared" si="8"/>
        <v>2025</v>
      </c>
      <c r="AY15" s="3250"/>
      <c r="AZ15" s="3307"/>
      <c r="BA15" s="3250"/>
      <c r="BB15" s="3250"/>
      <c r="BC15" s="3250"/>
      <c r="BD15" s="3250"/>
      <c r="BG15" s="3256"/>
    </row>
    <row r="16" spans="1:88" ht="11.25" customHeight="1">
      <c r="A16" s="3162"/>
      <c r="B16" s="3152"/>
      <c r="C16" s="3175"/>
      <c r="D16" s="3175"/>
      <c r="E16" s="3175"/>
      <c r="F16" s="3175"/>
      <c r="G16" s="3175"/>
      <c r="H16" s="3240"/>
      <c r="I16" s="3240"/>
      <c r="J16" s="3193"/>
      <c r="K16" s="3193"/>
      <c r="L16" s="3193"/>
      <c r="M16" s="3193"/>
      <c r="N16" s="3193"/>
      <c r="O16" s="3193"/>
      <c r="P16" s="3193"/>
      <c r="Q16" s="3193"/>
      <c r="R16" s="3193"/>
      <c r="S16" s="3193"/>
      <c r="T16" s="3193"/>
      <c r="AY16" s="3250"/>
      <c r="AZ16" s="3304"/>
      <c r="BA16" s="3250"/>
      <c r="BB16" s="3250"/>
      <c r="BC16" s="3250"/>
      <c r="BD16" s="3250"/>
      <c r="BG16" s="3197"/>
    </row>
    <row r="17" spans="1:91" ht="15" customHeight="1">
      <c r="A17" s="3162"/>
      <c r="B17" s="3201" t="s">
        <v>1482</v>
      </c>
      <c r="C17" s="3200" t="s">
        <v>531</v>
      </c>
      <c r="D17" s="3199"/>
      <c r="E17" s="3199"/>
      <c r="F17" s="3199"/>
      <c r="G17" s="3199"/>
      <c r="H17" s="3193"/>
      <c r="I17" s="3193"/>
      <c r="J17" s="3193"/>
      <c r="K17" s="3193"/>
      <c r="L17" s="3193"/>
      <c r="M17" s="3193"/>
      <c r="N17" s="3193"/>
      <c r="O17" s="3193"/>
      <c r="P17" s="3193"/>
      <c r="Q17" s="3193"/>
      <c r="R17" s="3193"/>
      <c r="S17" s="3193"/>
      <c r="T17" s="3193"/>
      <c r="AY17" s="3250"/>
      <c r="AZ17" s="3306"/>
      <c r="BA17" s="3250"/>
      <c r="BB17" s="3250"/>
      <c r="BC17" s="3251"/>
      <c r="BD17" s="3250"/>
      <c r="BG17" s="3198"/>
    </row>
    <row r="18" spans="1:91" ht="7.5" customHeight="1">
      <c r="A18" s="3162"/>
      <c r="B18" s="3152"/>
      <c r="C18" s="3175"/>
      <c r="D18" s="3175"/>
      <c r="E18" s="3175"/>
      <c r="F18" s="3175"/>
      <c r="G18" s="3175"/>
      <c r="H18" s="3170"/>
      <c r="I18" s="3170"/>
      <c r="J18" s="3208"/>
      <c r="K18" s="3208"/>
      <c r="L18" s="3208"/>
      <c r="M18" s="3208"/>
      <c r="N18" s="3208"/>
      <c r="O18" s="3208"/>
      <c r="P18" s="3208"/>
      <c r="Q18" s="3208"/>
      <c r="R18" s="3208"/>
      <c r="S18" s="3208"/>
      <c r="T18" s="3208"/>
      <c r="AY18" s="3305" t="s">
        <v>1520</v>
      </c>
      <c r="AZ18" s="3304"/>
      <c r="BG18" s="3197"/>
    </row>
    <row r="19" spans="1:91" outlineLevel="1">
      <c r="A19" s="3162"/>
      <c r="B19" s="3152"/>
      <c r="C19" s="3150" t="s">
        <v>1474</v>
      </c>
      <c r="D19" s="3170">
        <v>8.7639999999999993</v>
      </c>
      <c r="E19" s="3170">
        <v>14.68</v>
      </c>
      <c r="F19" s="3170">
        <v>18</v>
      </c>
      <c r="G19" s="3170">
        <v>22</v>
      </c>
      <c r="H19" s="3170">
        <v>24</v>
      </c>
      <c r="I19" s="3170">
        <v>22</v>
      </c>
      <c r="J19" s="3170">
        <v>24</v>
      </c>
      <c r="K19" s="3170">
        <v>19</v>
      </c>
      <c r="L19" s="3170">
        <v>18</v>
      </c>
      <c r="M19" s="3208">
        <f t="shared" ref="M19:T19" si="10">L19+L19*(-(L8-K8))*L9*100</f>
        <v>18</v>
      </c>
      <c r="N19" s="3208">
        <f t="shared" si="10"/>
        <v>18</v>
      </c>
      <c r="O19" s="3208">
        <f t="shared" si="10"/>
        <v>18</v>
      </c>
      <c r="P19" s="3208">
        <f t="shared" si="10"/>
        <v>18</v>
      </c>
      <c r="Q19" s="3208">
        <f t="shared" si="10"/>
        <v>18</v>
      </c>
      <c r="R19" s="3208">
        <f t="shared" si="10"/>
        <v>18</v>
      </c>
      <c r="S19" s="3208">
        <f t="shared" si="10"/>
        <v>18</v>
      </c>
      <c r="T19" s="3208">
        <f t="shared" si="10"/>
        <v>18</v>
      </c>
      <c r="U19" s="3185"/>
      <c r="AN19" s="3242" t="s">
        <v>1563</v>
      </c>
      <c r="AY19" s="3303" t="s">
        <v>1520</v>
      </c>
      <c r="AZ19" s="3304"/>
      <c r="BA19" s="3243"/>
      <c r="BB19" s="3243"/>
      <c r="BG19" s="3215">
        <f>_xll.ThomsonONEAddinShim.SpreadsheetFormulas.TF(Sedol,$AN19,"dataDir=across",trSdate,trEdate,Currency_ISOcode)</f>
        <v>15</v>
      </c>
      <c r="BH19" s="3209">
        <v>18</v>
      </c>
      <c r="BI19" s="3209">
        <v>22</v>
      </c>
      <c r="BJ19" s="3209">
        <v>24</v>
      </c>
      <c r="BK19" s="3209">
        <v>22</v>
      </c>
      <c r="BL19" s="3209">
        <v>24</v>
      </c>
      <c r="BM19" s="3209">
        <v>19</v>
      </c>
      <c r="BN19" s="3209">
        <v>18</v>
      </c>
    </row>
    <row r="20" spans="1:91" outlineLevel="1">
      <c r="A20" s="3162"/>
      <c r="B20" s="3152"/>
      <c r="C20" s="3150" t="s">
        <v>1523</v>
      </c>
      <c r="D20" s="3170">
        <v>-3.5459999999999998</v>
      </c>
      <c r="E20" s="3170">
        <v>-3.4329999999999998</v>
      </c>
      <c r="F20" s="3170">
        <v>-2</v>
      </c>
      <c r="G20" s="3170">
        <v>0</v>
      </c>
      <c r="H20" s="3170">
        <v>0</v>
      </c>
      <c r="I20" s="3170">
        <v>20</v>
      </c>
      <c r="J20" s="3170">
        <v>19</v>
      </c>
      <c r="K20" s="3170">
        <v>20</v>
      </c>
      <c r="L20" s="3170">
        <v>20</v>
      </c>
      <c r="M20" s="3208">
        <f t="shared" ref="M20:T20" si="11">+L20</f>
        <v>20</v>
      </c>
      <c r="N20" s="3208">
        <f t="shared" si="11"/>
        <v>20</v>
      </c>
      <c r="O20" s="3208">
        <f t="shared" si="11"/>
        <v>20</v>
      </c>
      <c r="P20" s="3208">
        <f t="shared" si="11"/>
        <v>20</v>
      </c>
      <c r="Q20" s="3208">
        <f t="shared" si="11"/>
        <v>20</v>
      </c>
      <c r="R20" s="3208">
        <f t="shared" si="11"/>
        <v>20</v>
      </c>
      <c r="S20" s="3208">
        <f t="shared" si="11"/>
        <v>20</v>
      </c>
      <c r="T20" s="3208">
        <f t="shared" si="11"/>
        <v>20</v>
      </c>
      <c r="U20" s="3185"/>
      <c r="AN20" s="3229" t="s">
        <v>1562</v>
      </c>
      <c r="AY20" s="3303" t="s">
        <v>1517</v>
      </c>
      <c r="BG20" s="3215" t="str">
        <f>_xll.ThomsonONEAddinShim.SpreadsheetFormulas.TF(Sedol,$AN20,"dataDir=across",trSdate,trEdate,Currency_ISOcode)</f>
        <v>(3)</v>
      </c>
      <c r="BH20" s="3209">
        <v>-2</v>
      </c>
      <c r="BI20" s="3209">
        <v>0</v>
      </c>
      <c r="BJ20" s="3209">
        <v>0</v>
      </c>
      <c r="BK20" s="3209">
        <v>20</v>
      </c>
      <c r="BL20" s="3209">
        <v>19</v>
      </c>
      <c r="BM20" s="3209">
        <v>20</v>
      </c>
      <c r="BN20" s="3209">
        <v>20</v>
      </c>
    </row>
    <row r="21" spans="1:91" outlineLevel="1">
      <c r="A21" s="3162"/>
      <c r="B21" s="3152"/>
      <c r="C21" s="3150" t="s">
        <v>1501</v>
      </c>
      <c r="D21" s="3170">
        <v>26.693000000000001</v>
      </c>
      <c r="E21" s="3170">
        <v>32.118000000000002</v>
      </c>
      <c r="F21" s="3170">
        <v>152</v>
      </c>
      <c r="G21" s="3170">
        <v>173</v>
      </c>
      <c r="H21" s="3170">
        <v>140</v>
      </c>
      <c r="I21" s="3170">
        <v>159</v>
      </c>
      <c r="J21" s="3170">
        <v>140</v>
      </c>
      <c r="K21" s="3170">
        <v>111</v>
      </c>
      <c r="L21" s="3170">
        <v>100</v>
      </c>
      <c r="M21" s="3208">
        <f t="shared" ref="M21:T21" si="12">+L35*L8</f>
        <v>140.0625</v>
      </c>
      <c r="N21" s="3208">
        <f t="shared" si="12"/>
        <v>146.62209375</v>
      </c>
      <c r="O21" s="3208">
        <f t="shared" si="12"/>
        <v>153.45391064062503</v>
      </c>
      <c r="P21" s="3208">
        <f t="shared" si="12"/>
        <v>160.56924793221097</v>
      </c>
      <c r="Q21" s="3208">
        <f t="shared" si="12"/>
        <v>167.97987172139773</v>
      </c>
      <c r="R21" s="3208">
        <f t="shared" si="12"/>
        <v>175.69803639783572</v>
      </c>
      <c r="S21" s="3208">
        <f t="shared" si="12"/>
        <v>183.73650490834592</v>
      </c>
      <c r="T21" s="3208">
        <f t="shared" si="12"/>
        <v>192.10856986204226</v>
      </c>
      <c r="U21" s="3185"/>
      <c r="AN21" s="3242" t="s">
        <v>1561</v>
      </c>
      <c r="AY21" s="3276" t="s">
        <v>1560</v>
      </c>
      <c r="AZ21" s="3275">
        <f>MATCH($AY$18,AY19:AY20,0)</f>
        <v>1</v>
      </c>
      <c r="BA21" s="3149"/>
      <c r="BG21" s="3215">
        <f>_xll.ThomsonONEAddinShim.SpreadsheetFormulas.TF(Sedol,$AN21,"dataDir=across",trSdate,trEdate,Currency_ISOcode)</f>
        <v>32</v>
      </c>
      <c r="BH21" s="3209">
        <v>152</v>
      </c>
      <c r="BI21" s="3209">
        <v>173</v>
      </c>
      <c r="BJ21" s="3209">
        <v>140</v>
      </c>
      <c r="BK21" s="3209">
        <v>159</v>
      </c>
      <c r="BL21" s="3209">
        <v>140</v>
      </c>
      <c r="BM21" s="3209">
        <v>111</v>
      </c>
      <c r="BN21" s="3209">
        <v>100</v>
      </c>
    </row>
    <row r="22" spans="1:91" outlineLevel="1">
      <c r="A22" s="3162"/>
      <c r="B22" s="3152"/>
      <c r="C22" s="3150" t="s">
        <v>1519</v>
      </c>
      <c r="D22" s="3170">
        <v>-2.3860000000000001</v>
      </c>
      <c r="E22" s="3170">
        <v>-3.4350000000000001</v>
      </c>
      <c r="F22" s="3170">
        <v>-41</v>
      </c>
      <c r="G22" s="3170">
        <v>-45</v>
      </c>
      <c r="H22" s="3170">
        <v>-39</v>
      </c>
      <c r="I22" s="3170">
        <v>-33</v>
      </c>
      <c r="J22" s="3170">
        <v>-21</v>
      </c>
      <c r="K22" s="3170">
        <v>-7</v>
      </c>
      <c r="L22" s="3170">
        <v>-2</v>
      </c>
      <c r="M22" s="3208">
        <f t="shared" ref="M22:T22" si="13">-L42*M11</f>
        <v>-1.61</v>
      </c>
      <c r="N22" s="3208">
        <f t="shared" si="13"/>
        <v>-1.7227000000000001</v>
      </c>
      <c r="O22" s="3208">
        <f t="shared" si="13"/>
        <v>-1.8432890000000002</v>
      </c>
      <c r="P22" s="3208">
        <f t="shared" si="13"/>
        <v>-1.9723192300000001</v>
      </c>
      <c r="Q22" s="3208">
        <f t="shared" si="13"/>
        <v>-2.1103815761</v>
      </c>
      <c r="R22" s="3208">
        <f t="shared" si="13"/>
        <v>-2.2581082864269999</v>
      </c>
      <c r="S22" s="3208">
        <f t="shared" si="13"/>
        <v>-2.4161758664768902</v>
      </c>
      <c r="T22" s="3208">
        <f t="shared" si="13"/>
        <v>-2.5853081771302726</v>
      </c>
      <c r="U22" s="3185"/>
      <c r="AN22" s="3229" t="s">
        <v>1559</v>
      </c>
      <c r="AY22" s="3156"/>
      <c r="AZ22" s="3156"/>
      <c r="BA22" s="3156"/>
      <c r="BB22" s="3156"/>
      <c r="BG22" s="3215" t="str">
        <f>_xll.ThomsonONEAddinShim.SpreadsheetFormulas.TF(Sedol,$AN22,"dataDir=across",trSdate,trEdate,Currency_ISOcode)</f>
        <v>(3)</v>
      </c>
      <c r="BH22" s="3209">
        <v>-41</v>
      </c>
      <c r="BI22" s="3209">
        <v>-45</v>
      </c>
      <c r="BJ22" s="3209">
        <v>-39</v>
      </c>
      <c r="BK22" s="3209">
        <v>-33</v>
      </c>
      <c r="BL22" s="3209">
        <v>-21</v>
      </c>
      <c r="BM22" s="3209">
        <v>-7</v>
      </c>
      <c r="BN22" s="3209">
        <v>-2</v>
      </c>
    </row>
    <row r="23" spans="1:91" s="3148" customFormat="1" ht="12.75" hidden="1" customHeight="1" outlineLevel="1">
      <c r="A23" s="3162"/>
      <c r="B23" s="3237"/>
      <c r="C23" s="3236" t="s">
        <v>1516</v>
      </c>
      <c r="D23" s="3240">
        <f t="shared" ref="D23:K23" si="14">IF(ISNUMBER(D26-SUM(D19:D22)),D26-SUM(D19:D22),0)</f>
        <v>-3.5527136788005009E-15</v>
      </c>
      <c r="E23" s="3240">
        <f t="shared" si="14"/>
        <v>0.94200000000000017</v>
      </c>
      <c r="F23" s="3240">
        <f t="shared" si="14"/>
        <v>0</v>
      </c>
      <c r="G23" s="3240">
        <f t="shared" si="14"/>
        <v>0</v>
      </c>
      <c r="H23" s="3239">
        <f t="shared" si="14"/>
        <v>4</v>
      </c>
      <c r="I23" s="3239">
        <f t="shared" si="14"/>
        <v>0</v>
      </c>
      <c r="J23" s="3239">
        <f t="shared" si="14"/>
        <v>0</v>
      </c>
      <c r="K23" s="3239">
        <f t="shared" si="14"/>
        <v>3</v>
      </c>
      <c r="L23" s="3239">
        <f t="shared" ref="L23" si="15">IF(ISNUMBER(L26-SUM(L19:L22)),L26-SUM(L19:L22),0)</f>
        <v>0</v>
      </c>
      <c r="M23" s="3170">
        <f t="shared" ref="M23:T23" si="16">((M32+(-M22-L42*M12)))</f>
        <v>0</v>
      </c>
      <c r="N23" s="3170">
        <f t="shared" si="16"/>
        <v>0</v>
      </c>
      <c r="O23" s="3170">
        <f t="shared" si="16"/>
        <v>0</v>
      </c>
      <c r="P23" s="3170">
        <f t="shared" si="16"/>
        <v>0</v>
      </c>
      <c r="Q23" s="3170">
        <f t="shared" si="16"/>
        <v>0</v>
      </c>
      <c r="R23" s="3170">
        <f t="shared" si="16"/>
        <v>0</v>
      </c>
      <c r="S23" s="3170">
        <f t="shared" si="16"/>
        <v>0</v>
      </c>
      <c r="T23" s="3170">
        <f t="shared" si="16"/>
        <v>0</v>
      </c>
      <c r="U23" s="292"/>
      <c r="V23" s="3144"/>
      <c r="AB23"/>
      <c r="AC23"/>
      <c r="AD23"/>
      <c r="AE23"/>
      <c r="AF23"/>
      <c r="AG23"/>
      <c r="AN23" s="3229"/>
      <c r="BG23" s="3215"/>
    </row>
    <row r="24" spans="1:91" s="3148" customFormat="1" ht="12.75" customHeight="1" outlineLevel="1">
      <c r="A24" s="3162"/>
      <c r="B24" s="3237"/>
      <c r="C24" s="3236" t="s">
        <v>1515</v>
      </c>
      <c r="D24" s="3170">
        <f t="shared" ref="D24:K24" si="17">IF(ISNUMBER(D26-SUM(D19:D22)),D26-SUM(D19:D22),0)</f>
        <v>-3.5527136788005009E-15</v>
      </c>
      <c r="E24" s="3170">
        <f t="shared" si="17"/>
        <v>0.94200000000000017</v>
      </c>
      <c r="F24" s="3170">
        <f t="shared" si="17"/>
        <v>0</v>
      </c>
      <c r="G24" s="3170">
        <f t="shared" si="17"/>
        <v>0</v>
      </c>
      <c r="H24" s="3170">
        <f t="shared" si="17"/>
        <v>4</v>
      </c>
      <c r="I24" s="3170">
        <f t="shared" si="17"/>
        <v>0</v>
      </c>
      <c r="J24" s="3170">
        <f t="shared" si="17"/>
        <v>0</v>
      </c>
      <c r="K24" s="3170">
        <f t="shared" si="17"/>
        <v>3</v>
      </c>
      <c r="L24" s="3170">
        <v>0</v>
      </c>
      <c r="M24" s="3170">
        <f t="shared" ref="M24:T24" si="18">L24+((L32+(-L22-K42*L12))/L10)</f>
        <v>0.1</v>
      </c>
      <c r="N24" s="3170">
        <f t="shared" si="18"/>
        <v>0.1</v>
      </c>
      <c r="O24" s="3170">
        <f t="shared" si="18"/>
        <v>0.1</v>
      </c>
      <c r="P24" s="3170">
        <f t="shared" si="18"/>
        <v>0.1</v>
      </c>
      <c r="Q24" s="3170">
        <f t="shared" si="18"/>
        <v>0.1</v>
      </c>
      <c r="R24" s="3170">
        <f t="shared" si="18"/>
        <v>0.1</v>
      </c>
      <c r="S24" s="3170">
        <f t="shared" si="18"/>
        <v>0.1</v>
      </c>
      <c r="T24" s="3170">
        <f t="shared" si="18"/>
        <v>0.1</v>
      </c>
      <c r="U24" s="3150"/>
      <c r="V24" s="3150" t="b">
        <v>0</v>
      </c>
      <c r="AB24"/>
      <c r="AC24"/>
      <c r="AD24"/>
      <c r="AE24"/>
      <c r="AF24"/>
      <c r="AG24"/>
      <c r="AN24" s="3229"/>
      <c r="AV24" s="3238" t="s">
        <v>1514</v>
      </c>
      <c r="BG24" s="3215"/>
    </row>
    <row r="25" spans="1:91">
      <c r="A25" s="3162"/>
      <c r="B25" s="3152"/>
      <c r="C25" s="3196" t="s">
        <v>553</v>
      </c>
      <c r="D25" s="3169">
        <f t="shared" ref="D25:T25" si="19">CHOOSE(dropDown2,SUM(D19:D22)+D24,SUM(D19:D23))</f>
        <v>29.524999999999999</v>
      </c>
      <c r="E25" s="3169">
        <f t="shared" si="19"/>
        <v>40.872</v>
      </c>
      <c r="F25" s="3169">
        <f t="shared" si="19"/>
        <v>127</v>
      </c>
      <c r="G25" s="3169">
        <f t="shared" si="19"/>
        <v>150</v>
      </c>
      <c r="H25" s="3169">
        <f t="shared" si="19"/>
        <v>129</v>
      </c>
      <c r="I25" s="3169">
        <f t="shared" si="19"/>
        <v>168</v>
      </c>
      <c r="J25" s="3169">
        <f t="shared" si="19"/>
        <v>162</v>
      </c>
      <c r="K25" s="3169">
        <f t="shared" si="19"/>
        <v>146</v>
      </c>
      <c r="L25" s="3169">
        <f t="shared" ref="L25" si="20">CHOOSE(dropDown2,SUM(L19:L22)+L24,SUM(L19:L23))</f>
        <v>136</v>
      </c>
      <c r="M25" s="3235">
        <f t="shared" si="19"/>
        <v>176.55249999999998</v>
      </c>
      <c r="N25" s="3235">
        <f t="shared" si="19"/>
        <v>182.99939375</v>
      </c>
      <c r="O25" s="3235">
        <f t="shared" si="19"/>
        <v>189.71062164062502</v>
      </c>
      <c r="P25" s="3235">
        <f t="shared" si="19"/>
        <v>196.69692870221095</v>
      </c>
      <c r="Q25" s="3235">
        <f t="shared" si="19"/>
        <v>203.96949014529773</v>
      </c>
      <c r="R25" s="3235">
        <f t="shared" si="19"/>
        <v>211.53992811140873</v>
      </c>
      <c r="S25" s="3235">
        <f t="shared" si="19"/>
        <v>219.42032904186902</v>
      </c>
      <c r="T25" s="3235">
        <f t="shared" si="19"/>
        <v>227.62326168491197</v>
      </c>
      <c r="AN25" s="3229"/>
      <c r="AV25" s="3234" t="s">
        <v>552</v>
      </c>
      <c r="AW25" s="3193">
        <v>6</v>
      </c>
      <c r="AX25" s="3150" t="str">
        <f>"ISO4217:"&amp;Pension!$AQ$186</f>
        <v>ISO4217:USD</v>
      </c>
      <c r="AY25" s="3150" t="b">
        <v>1</v>
      </c>
      <c r="AZ25" s="3150" t="b">
        <v>0</v>
      </c>
      <c r="BG25" s="3169"/>
    </row>
    <row r="26" spans="1:91">
      <c r="A26" s="3162"/>
      <c r="B26" s="3152"/>
      <c r="C26" s="3175"/>
      <c r="D26" s="3231">
        <v>29.524999999999999</v>
      </c>
      <c r="E26" s="3233">
        <v>40.872</v>
      </c>
      <c r="F26" s="3233">
        <v>127</v>
      </c>
      <c r="G26" s="3233">
        <v>150</v>
      </c>
      <c r="H26" s="3232">
        <v>129</v>
      </c>
      <c r="I26" s="3231">
        <v>168</v>
      </c>
      <c r="J26" s="3230">
        <v>162</v>
      </c>
      <c r="K26" s="3230">
        <v>146</v>
      </c>
      <c r="L26" s="3230">
        <v>136</v>
      </c>
      <c r="M26" s="3230"/>
      <c r="N26" s="3230"/>
      <c r="O26" s="3230"/>
      <c r="P26" s="3230"/>
      <c r="Q26" s="3230"/>
      <c r="R26" s="3230"/>
      <c r="S26" s="3230"/>
      <c r="T26" s="3230"/>
      <c r="U26" s="3185"/>
      <c r="AN26" s="3229" t="s">
        <v>1558</v>
      </c>
      <c r="BG26" s="3228">
        <f>_xll.ThomsonONEAddinShim.SpreadsheetFormulas.TF(Sedol,$AN26,"dataDir=across",trSdate,trEdate,Currency_ISOcode)</f>
        <v>41</v>
      </c>
      <c r="BH26" s="3209">
        <v>127</v>
      </c>
      <c r="BI26" s="3209">
        <v>150</v>
      </c>
      <c r="BJ26" s="3209">
        <v>129</v>
      </c>
      <c r="BK26" s="3209">
        <v>168</v>
      </c>
      <c r="BL26" s="3209">
        <v>162</v>
      </c>
      <c r="BM26" s="3209">
        <v>146</v>
      </c>
      <c r="BN26" s="3209">
        <v>136</v>
      </c>
      <c r="CC26" s="3219"/>
    </row>
    <row r="27" spans="1:91">
      <c r="A27" s="3162"/>
      <c r="B27" s="3201" t="s">
        <v>1480</v>
      </c>
      <c r="C27" s="3200" t="s">
        <v>533</v>
      </c>
      <c r="D27" s="3199"/>
      <c r="E27" s="3199"/>
      <c r="F27" s="3199"/>
      <c r="G27" s="3199"/>
      <c r="H27" s="3170"/>
      <c r="I27" s="3170"/>
      <c r="J27" s="3208"/>
      <c r="K27" s="3208"/>
      <c r="L27" s="3208"/>
      <c r="M27" s="3208"/>
      <c r="N27" s="3208"/>
      <c r="O27" s="3208"/>
      <c r="P27" s="3208"/>
      <c r="Q27" s="3208"/>
      <c r="R27" s="3208"/>
      <c r="S27" s="3208"/>
      <c r="T27" s="3208"/>
      <c r="BG27" s="3198"/>
      <c r="CC27" s="3148"/>
      <c r="CD27" s="3226"/>
      <c r="CE27" s="3223"/>
      <c r="CF27" s="3223"/>
      <c r="CG27" s="3223"/>
      <c r="CH27" s="3223"/>
      <c r="CI27" s="3223"/>
      <c r="CJ27" s="3223"/>
      <c r="CM27" s="3211"/>
    </row>
    <row r="28" spans="1:91" ht="7.5" customHeight="1">
      <c r="A28" s="3162"/>
      <c r="B28" s="3152"/>
      <c r="C28" s="3175"/>
      <c r="D28" s="3175"/>
      <c r="E28" s="3175"/>
      <c r="F28" s="3175"/>
      <c r="G28" s="3175"/>
      <c r="H28" s="3170"/>
      <c r="I28" s="3170"/>
      <c r="J28" s="3208"/>
      <c r="K28" s="3208"/>
      <c r="L28" s="3208"/>
      <c r="M28" s="3208"/>
      <c r="N28" s="3208"/>
      <c r="O28" s="3208"/>
      <c r="P28" s="3208"/>
      <c r="Q28" s="3208"/>
      <c r="R28" s="3208"/>
      <c r="S28" s="3208"/>
      <c r="T28" s="3208"/>
      <c r="BG28" s="3197"/>
      <c r="CC28" s="3148"/>
      <c r="CD28" s="3226"/>
      <c r="CE28" s="3223"/>
      <c r="CF28" s="3223"/>
      <c r="CG28" s="3223"/>
      <c r="CH28" s="3223"/>
      <c r="CI28" s="3223"/>
      <c r="CJ28" s="3223"/>
      <c r="CM28" s="3211"/>
    </row>
    <row r="29" spans="1:91" outlineLevel="1">
      <c r="A29" s="3162"/>
      <c r="B29" s="3152"/>
      <c r="C29" s="3150" t="s">
        <v>534</v>
      </c>
      <c r="D29" s="3170">
        <v>292.887</v>
      </c>
      <c r="E29" s="3170">
        <f t="shared" ref="E29:K29" si="21">D35</f>
        <v>582.34500000000003</v>
      </c>
      <c r="F29" s="3170">
        <f t="shared" si="21"/>
        <v>557.721</v>
      </c>
      <c r="G29" s="3170">
        <f t="shared" si="21"/>
        <v>3930</v>
      </c>
      <c r="H29" s="3170">
        <f t="shared" si="21"/>
        <v>4075</v>
      </c>
      <c r="I29" s="3170">
        <f t="shared" si="21"/>
        <v>3688</v>
      </c>
      <c r="J29" s="3170">
        <f t="shared" si="21"/>
        <v>3830</v>
      </c>
      <c r="K29" s="3170">
        <f t="shared" si="21"/>
        <v>3567</v>
      </c>
      <c r="L29" s="3170">
        <f t="shared" ref="L29" si="22">K35</f>
        <v>3413</v>
      </c>
      <c r="M29" s="3170">
        <f t="shared" ref="M29:T29" si="23">+L35</f>
        <v>3375</v>
      </c>
      <c r="N29" s="3170">
        <f t="shared" si="23"/>
        <v>3533.0625</v>
      </c>
      <c r="O29" s="3170">
        <f t="shared" si="23"/>
        <v>3697.6845937500002</v>
      </c>
      <c r="P29" s="3170">
        <f t="shared" si="23"/>
        <v>3869.1385043906253</v>
      </c>
      <c r="Q29" s="3170">
        <f t="shared" si="23"/>
        <v>4047.7077523228363</v>
      </c>
      <c r="R29" s="3170">
        <f t="shared" si="23"/>
        <v>4233.6876240442343</v>
      </c>
      <c r="S29" s="3170">
        <f t="shared" si="23"/>
        <v>4427.3856604420698</v>
      </c>
      <c r="T29" s="3170">
        <f t="shared" si="23"/>
        <v>4629.1221653504153</v>
      </c>
      <c r="AN29" s="3211" t="s">
        <v>1557</v>
      </c>
      <c r="BG29" s="3215">
        <f>_xll.ThomsonONEAddinShim.SpreadsheetFormulas.TF(Sedol,$AN29,,Pension!$AZ$11,Currency_ISOcode)</f>
        <v>582</v>
      </c>
      <c r="CC29" s="3148"/>
      <c r="CD29" s="3226"/>
      <c r="CE29" s="3223"/>
      <c r="CF29" s="3223"/>
      <c r="CG29" s="3223"/>
      <c r="CH29" s="3223"/>
      <c r="CI29" s="3223"/>
      <c r="CJ29" s="3223"/>
      <c r="CM29" s="3211"/>
    </row>
    <row r="30" spans="1:91" outlineLevel="1">
      <c r="A30" s="3162"/>
      <c r="B30" s="3152"/>
      <c r="C30" s="3150" t="s">
        <v>1474</v>
      </c>
      <c r="D30" s="3170">
        <f t="shared" ref="D30:K30" si="24">D19</f>
        <v>8.7639999999999993</v>
      </c>
      <c r="E30" s="3170">
        <f t="shared" si="24"/>
        <v>14.68</v>
      </c>
      <c r="F30" s="3170">
        <f t="shared" si="24"/>
        <v>18</v>
      </c>
      <c r="G30" s="3170">
        <f t="shared" si="24"/>
        <v>22</v>
      </c>
      <c r="H30" s="3170">
        <f t="shared" si="24"/>
        <v>24</v>
      </c>
      <c r="I30" s="3170">
        <f t="shared" si="24"/>
        <v>22</v>
      </c>
      <c r="J30" s="3170">
        <f t="shared" si="24"/>
        <v>24</v>
      </c>
      <c r="K30" s="3170">
        <f t="shared" si="24"/>
        <v>19</v>
      </c>
      <c r="L30" s="3170">
        <f t="shared" ref="L30" si="25">L19</f>
        <v>18</v>
      </c>
      <c r="M30" s="3170">
        <f t="shared" ref="M30:T30" si="26">+M19</f>
        <v>18</v>
      </c>
      <c r="N30" s="3170">
        <f t="shared" si="26"/>
        <v>18</v>
      </c>
      <c r="O30" s="3170">
        <f t="shared" si="26"/>
        <v>18</v>
      </c>
      <c r="P30" s="3170">
        <f t="shared" si="26"/>
        <v>18</v>
      </c>
      <c r="Q30" s="3170">
        <f t="shared" si="26"/>
        <v>18</v>
      </c>
      <c r="R30" s="3170">
        <f t="shared" si="26"/>
        <v>18</v>
      </c>
      <c r="S30" s="3170">
        <f t="shared" si="26"/>
        <v>18</v>
      </c>
      <c r="T30" s="3170">
        <f t="shared" si="26"/>
        <v>18</v>
      </c>
      <c r="BG30" s="3215"/>
      <c r="CC30" s="3148"/>
      <c r="CD30" s="3226"/>
      <c r="CE30" s="3223"/>
      <c r="CF30" s="3223"/>
      <c r="CG30" s="3223"/>
      <c r="CH30" s="3223"/>
      <c r="CI30" s="3223"/>
      <c r="CJ30" s="3223"/>
      <c r="CM30" s="3211"/>
    </row>
    <row r="31" spans="1:91" outlineLevel="1">
      <c r="A31" s="3162"/>
      <c r="B31" s="3152"/>
      <c r="C31" s="3150" t="s">
        <v>1501</v>
      </c>
      <c r="D31" s="3170">
        <f t="shared" ref="D31:K31" si="27">D21</f>
        <v>26.693000000000001</v>
      </c>
      <c r="E31" s="3170">
        <f t="shared" si="27"/>
        <v>32.118000000000002</v>
      </c>
      <c r="F31" s="3170">
        <f t="shared" si="27"/>
        <v>152</v>
      </c>
      <c r="G31" s="3170">
        <f t="shared" si="27"/>
        <v>173</v>
      </c>
      <c r="H31" s="3170">
        <f t="shared" si="27"/>
        <v>140</v>
      </c>
      <c r="I31" s="3170">
        <f t="shared" si="27"/>
        <v>159</v>
      </c>
      <c r="J31" s="3170">
        <f t="shared" si="27"/>
        <v>140</v>
      </c>
      <c r="K31" s="3170">
        <f t="shared" si="27"/>
        <v>111</v>
      </c>
      <c r="L31" s="3170">
        <f t="shared" ref="L31" si="28">L21</f>
        <v>100</v>
      </c>
      <c r="M31" s="3170">
        <f t="shared" ref="M31:T31" si="29">+M21</f>
        <v>140.0625</v>
      </c>
      <c r="N31" s="3170">
        <f t="shared" si="29"/>
        <v>146.62209375</v>
      </c>
      <c r="O31" s="3170">
        <f t="shared" si="29"/>
        <v>153.45391064062503</v>
      </c>
      <c r="P31" s="3170">
        <f t="shared" si="29"/>
        <v>160.56924793221097</v>
      </c>
      <c r="Q31" s="3170">
        <f t="shared" si="29"/>
        <v>167.97987172139773</v>
      </c>
      <c r="R31" s="3170">
        <f t="shared" si="29"/>
        <v>175.69803639783572</v>
      </c>
      <c r="S31" s="3170">
        <f t="shared" si="29"/>
        <v>183.73650490834592</v>
      </c>
      <c r="T31" s="3170">
        <f t="shared" si="29"/>
        <v>192.10856986204226</v>
      </c>
      <c r="BG31" s="3215"/>
      <c r="CC31" s="3148"/>
      <c r="CD31" s="3226"/>
      <c r="CE31" s="3223"/>
      <c r="CF31" s="3223"/>
      <c r="CG31" s="3223"/>
      <c r="CH31" s="3223"/>
      <c r="CI31" s="3223"/>
      <c r="CJ31" s="3223"/>
      <c r="CM31" s="3211"/>
    </row>
    <row r="32" spans="1:91" outlineLevel="1">
      <c r="A32" s="3162"/>
      <c r="B32" s="3152"/>
      <c r="C32" s="3150" t="s">
        <v>1500</v>
      </c>
      <c r="D32" s="3217"/>
      <c r="E32" s="3217"/>
      <c r="F32" s="3217"/>
      <c r="G32" s="3217"/>
      <c r="H32" s="3217"/>
      <c r="I32" s="3217"/>
      <c r="J32" s="3217"/>
      <c r="K32" s="3217"/>
      <c r="L32" s="3217"/>
      <c r="M32" s="3170">
        <f t="shared" ref="M32:T32" si="30">L35*(-(M8-L8))*M9*100</f>
        <v>0</v>
      </c>
      <c r="N32" s="3170">
        <f t="shared" si="30"/>
        <v>0</v>
      </c>
      <c r="O32" s="3170">
        <f t="shared" si="30"/>
        <v>0</v>
      </c>
      <c r="P32" s="3170">
        <f t="shared" si="30"/>
        <v>0</v>
      </c>
      <c r="Q32" s="3170">
        <f t="shared" si="30"/>
        <v>0</v>
      </c>
      <c r="R32" s="3170">
        <f t="shared" si="30"/>
        <v>0</v>
      </c>
      <c r="S32" s="3170">
        <f t="shared" si="30"/>
        <v>0</v>
      </c>
      <c r="T32" s="3170">
        <f t="shared" si="30"/>
        <v>0</v>
      </c>
      <c r="BG32" s="3170"/>
      <c r="CC32" s="3219"/>
      <c r="CD32" s="3223"/>
      <c r="CE32" s="3223"/>
      <c r="CF32" s="3223"/>
      <c r="CG32" s="3223"/>
      <c r="CH32" s="3223"/>
      <c r="CI32" s="3223"/>
      <c r="CJ32" s="3223"/>
    </row>
    <row r="33" spans="1:91" outlineLevel="1">
      <c r="A33" s="3162"/>
      <c r="B33" s="3152"/>
      <c r="C33" s="3150" t="s">
        <v>1492</v>
      </c>
      <c r="D33" s="3217"/>
      <c r="E33" s="3217"/>
      <c r="F33" s="3217"/>
      <c r="G33" s="3217"/>
      <c r="H33" s="3217"/>
      <c r="I33" s="3217"/>
      <c r="J33" s="3217"/>
      <c r="K33" s="3217"/>
      <c r="L33" s="3217"/>
      <c r="M33" s="3170">
        <f t="shared" ref="M33:T33" si="31">+L33</f>
        <v>0</v>
      </c>
      <c r="N33" s="3170">
        <f t="shared" si="31"/>
        <v>0</v>
      </c>
      <c r="O33" s="3170">
        <f t="shared" si="31"/>
        <v>0</v>
      </c>
      <c r="P33" s="3170">
        <f t="shared" si="31"/>
        <v>0</v>
      </c>
      <c r="Q33" s="3170">
        <f t="shared" si="31"/>
        <v>0</v>
      </c>
      <c r="R33" s="3170">
        <f t="shared" si="31"/>
        <v>0</v>
      </c>
      <c r="S33" s="3170">
        <f t="shared" si="31"/>
        <v>0</v>
      </c>
      <c r="T33" s="3170">
        <f t="shared" si="31"/>
        <v>0</v>
      </c>
      <c r="AR33" s="3148"/>
      <c r="BG33" s="3170"/>
    </row>
    <row r="34" spans="1:91" outlineLevel="1">
      <c r="A34" s="3162"/>
      <c r="B34" s="3152"/>
      <c r="C34" s="3150" t="s">
        <v>1499</v>
      </c>
      <c r="D34" s="3170">
        <f t="shared" ref="D34:K34" si="32">IF(ISNUMBER(D35-SUM(D29:D31)),D35-SUM(D29:D31),0)</f>
        <v>254.00100000000003</v>
      </c>
      <c r="E34" s="3170">
        <f t="shared" si="32"/>
        <v>-71.422000000000025</v>
      </c>
      <c r="F34" s="3170">
        <f t="shared" si="32"/>
        <v>3202.279</v>
      </c>
      <c r="G34" s="3170">
        <f t="shared" si="32"/>
        <v>-50</v>
      </c>
      <c r="H34" s="3170">
        <f t="shared" si="32"/>
        <v>-551</v>
      </c>
      <c r="I34" s="3170">
        <f t="shared" si="32"/>
        <v>-39</v>
      </c>
      <c r="J34" s="3170">
        <f t="shared" si="32"/>
        <v>-427</v>
      </c>
      <c r="K34" s="3170">
        <f t="shared" si="32"/>
        <v>-284</v>
      </c>
      <c r="L34" s="3170">
        <f t="shared" ref="L34" si="33">IF(ISNUMBER(L35-SUM(L29:L31)),L35-SUM(L29:L31),0)</f>
        <v>-156</v>
      </c>
      <c r="M34" s="3170">
        <v>0</v>
      </c>
      <c r="N34" s="3170">
        <v>0</v>
      </c>
      <c r="O34" s="3170">
        <v>0</v>
      </c>
      <c r="P34" s="3170">
        <v>0</v>
      </c>
      <c r="Q34" s="3170">
        <v>0</v>
      </c>
      <c r="R34" s="3170">
        <v>0</v>
      </c>
      <c r="S34" s="3170">
        <v>0</v>
      </c>
      <c r="T34" s="3170">
        <v>0</v>
      </c>
      <c r="BG34" s="3215"/>
    </row>
    <row r="35" spans="1:91">
      <c r="A35" s="3162"/>
      <c r="B35" s="3152"/>
      <c r="C35" s="3196" t="s">
        <v>535</v>
      </c>
      <c r="D35" s="3169">
        <v>582.34500000000003</v>
      </c>
      <c r="E35" s="3169">
        <v>557.721</v>
      </c>
      <c r="F35" s="3169">
        <v>3930</v>
      </c>
      <c r="G35" s="3169">
        <v>4075</v>
      </c>
      <c r="H35" s="3169">
        <v>3688</v>
      </c>
      <c r="I35" s="3169">
        <v>3830</v>
      </c>
      <c r="J35" s="3169">
        <v>3567</v>
      </c>
      <c r="K35" s="3169">
        <v>3413</v>
      </c>
      <c r="L35" s="3169">
        <v>3375</v>
      </c>
      <c r="M35" s="3169">
        <f t="shared" ref="M35:T35" si="34">SUM(M29:M34)</f>
        <v>3533.0625</v>
      </c>
      <c r="N35" s="3169">
        <f t="shared" si="34"/>
        <v>3697.6845937500002</v>
      </c>
      <c r="O35" s="3169">
        <f t="shared" si="34"/>
        <v>3869.1385043906253</v>
      </c>
      <c r="P35" s="3169">
        <f t="shared" si="34"/>
        <v>4047.7077523228363</v>
      </c>
      <c r="Q35" s="3169">
        <f t="shared" si="34"/>
        <v>4233.6876240442343</v>
      </c>
      <c r="R35" s="3169">
        <f t="shared" si="34"/>
        <v>4427.3856604420698</v>
      </c>
      <c r="S35" s="3169">
        <f t="shared" si="34"/>
        <v>4629.1221653504153</v>
      </c>
      <c r="T35" s="3169">
        <f t="shared" si="34"/>
        <v>4839.2307352124571</v>
      </c>
      <c r="U35" s="3185"/>
      <c r="AN35" s="3211" t="s">
        <v>1556</v>
      </c>
      <c r="BG35" s="3220">
        <f>_xll.ThomsonONEAddinShim.SpreadsheetFormulas.TF(Sedol,$AN35,"dataDir=across",trSdate,trEdate,Currency_ISOcode)</f>
        <v>558</v>
      </c>
      <c r="BH35" s="3209">
        <v>3930</v>
      </c>
      <c r="BI35" s="3209">
        <v>4075</v>
      </c>
      <c r="BJ35" s="3209">
        <v>3688</v>
      </c>
      <c r="BK35" s="3209">
        <v>3830</v>
      </c>
      <c r="BL35" s="3209">
        <v>3567</v>
      </c>
      <c r="BM35" s="3209">
        <v>3413</v>
      </c>
      <c r="BN35" s="3209">
        <v>3375</v>
      </c>
    </row>
    <row r="36" spans="1:91">
      <c r="A36" s="3162"/>
      <c r="B36" s="3152"/>
      <c r="C36" s="3175"/>
      <c r="D36" s="3175"/>
      <c r="E36" s="3175"/>
      <c r="F36" s="3175"/>
      <c r="G36" s="3175"/>
      <c r="H36" s="3170"/>
      <c r="I36" s="3170"/>
      <c r="J36" s="3208"/>
      <c r="K36" s="3208"/>
      <c r="L36" s="3208"/>
      <c r="M36" s="3208"/>
      <c r="N36" s="3208"/>
      <c r="O36" s="3208"/>
      <c r="P36" s="3208"/>
      <c r="Q36" s="3208"/>
      <c r="R36" s="3208"/>
      <c r="S36" s="3208"/>
      <c r="T36" s="3208"/>
      <c r="BG36" s="3197"/>
    </row>
    <row r="37" spans="1:91" outlineLevel="1">
      <c r="A37" s="3162"/>
      <c r="B37" s="3152"/>
      <c r="C37" s="3150" t="s">
        <v>536</v>
      </c>
      <c r="D37" s="3170">
        <v>16.805</v>
      </c>
      <c r="E37" s="3170">
        <f t="shared" ref="E37:K37" si="35">D42</f>
        <v>57.311999999999998</v>
      </c>
      <c r="F37" s="3170">
        <f t="shared" si="35"/>
        <v>53.814</v>
      </c>
      <c r="G37" s="3170">
        <f t="shared" si="35"/>
        <v>693</v>
      </c>
      <c r="H37" s="3170">
        <f t="shared" si="35"/>
        <v>626</v>
      </c>
      <c r="I37" s="3170">
        <f t="shared" si="35"/>
        <v>535</v>
      </c>
      <c r="J37" s="3170">
        <f t="shared" si="35"/>
        <v>353</v>
      </c>
      <c r="K37" s="3170">
        <f t="shared" si="35"/>
        <v>193</v>
      </c>
      <c r="L37" s="3170">
        <f t="shared" ref="L37" si="36">K42</f>
        <v>53</v>
      </c>
      <c r="M37" s="3170">
        <f t="shared" ref="M37:T37" si="37">+L42</f>
        <v>23</v>
      </c>
      <c r="N37" s="3170">
        <f t="shared" si="37"/>
        <v>24.61</v>
      </c>
      <c r="O37" s="3170">
        <f t="shared" si="37"/>
        <v>26.332699999999999</v>
      </c>
      <c r="P37" s="3170">
        <f t="shared" si="37"/>
        <v>28.175988999999998</v>
      </c>
      <c r="Q37" s="3170">
        <f t="shared" si="37"/>
        <v>30.148308229999998</v>
      </c>
      <c r="R37" s="3170">
        <f t="shared" si="37"/>
        <v>32.258689806099994</v>
      </c>
      <c r="S37" s="3170">
        <f t="shared" si="37"/>
        <v>34.516798092526997</v>
      </c>
      <c r="T37" s="3170">
        <f t="shared" si="37"/>
        <v>36.932973959003888</v>
      </c>
      <c r="AN37" s="3211" t="s">
        <v>1555</v>
      </c>
      <c r="BG37" s="3215">
        <f>_xll.ThomsonONEAddinShim.SpreadsheetFormulas.TF(Sedol,$AN37,,Pension!$AZ$11,Currency_ISOcode)</f>
        <v>57</v>
      </c>
    </row>
    <row r="38" spans="1:91" outlineLevel="1">
      <c r="A38" s="3162"/>
      <c r="B38" s="3152"/>
      <c r="C38" s="3150" t="s">
        <v>1496</v>
      </c>
      <c r="D38" s="3170">
        <v>6.4050000000000002</v>
      </c>
      <c r="E38" s="3165">
        <v>5.9160000000000004</v>
      </c>
      <c r="F38" s="3165">
        <v>4</v>
      </c>
      <c r="G38" s="3165">
        <v>2</v>
      </c>
      <c r="H38" s="3165">
        <v>45</v>
      </c>
      <c r="I38" s="3170">
        <v>37</v>
      </c>
      <c r="J38" s="3208">
        <v>3</v>
      </c>
      <c r="K38" s="3208">
        <v>5</v>
      </c>
      <c r="L38" s="3208">
        <v>1</v>
      </c>
      <c r="M38" s="3208">
        <f t="shared" ref="M38:T38" si="38">IF(ISERROR(((L42+0.5*M39)*M12)),"",((L42+0.5*M39)*M12))</f>
        <v>1.61</v>
      </c>
      <c r="N38" s="3208">
        <f t="shared" si="38"/>
        <v>1.7227000000000001</v>
      </c>
      <c r="O38" s="3208">
        <f t="shared" si="38"/>
        <v>1.8432890000000002</v>
      </c>
      <c r="P38" s="3208">
        <f t="shared" si="38"/>
        <v>1.9723192300000001</v>
      </c>
      <c r="Q38" s="3208">
        <f t="shared" si="38"/>
        <v>2.1103815761</v>
      </c>
      <c r="R38" s="3208">
        <f t="shared" si="38"/>
        <v>2.2581082864269999</v>
      </c>
      <c r="S38" s="3208">
        <f t="shared" si="38"/>
        <v>2.4161758664768902</v>
      </c>
      <c r="T38" s="3208">
        <f t="shared" si="38"/>
        <v>2.5853081771302726</v>
      </c>
      <c r="U38" s="3185"/>
      <c r="AN38" s="3211" t="s">
        <v>1554</v>
      </c>
      <c r="AR38" s="3148"/>
      <c r="BG38" s="3215">
        <f>_xll.ThomsonONEAddinShim.SpreadsheetFormulas.TF(Sedol,$AN38,"dataDir=across",trSdate,trEdate,Currency_ISOcode)</f>
        <v>6</v>
      </c>
      <c r="BH38" s="3209">
        <v>4</v>
      </c>
      <c r="BI38" s="3209">
        <v>2</v>
      </c>
      <c r="BJ38" s="3209">
        <v>45</v>
      </c>
      <c r="BK38" s="3209">
        <v>37</v>
      </c>
      <c r="BL38" s="3209">
        <v>3</v>
      </c>
      <c r="BM38" s="3209">
        <v>5</v>
      </c>
      <c r="BN38" s="3209">
        <v>1</v>
      </c>
      <c r="CC38" s="3148"/>
      <c r="CD38" s="3302">
        <f t="shared" ref="CD38:CJ38" si="39">H6</f>
        <v>2013</v>
      </c>
      <c r="CE38" s="3302">
        <f t="shared" si="39"/>
        <v>2014</v>
      </c>
      <c r="CF38" s="3302">
        <f t="shared" si="39"/>
        <v>2015</v>
      </c>
      <c r="CG38" s="3302">
        <f t="shared" si="39"/>
        <v>2016</v>
      </c>
      <c r="CH38" s="3302">
        <f t="shared" si="39"/>
        <v>2017</v>
      </c>
      <c r="CI38" s="3302">
        <f t="shared" si="39"/>
        <v>2018</v>
      </c>
      <c r="CJ38" s="3302">
        <f t="shared" si="39"/>
        <v>2019</v>
      </c>
      <c r="CK38" s="3301"/>
      <c r="CL38" s="3301"/>
      <c r="CM38" s="3301"/>
    </row>
    <row r="39" spans="1:91" outlineLevel="1">
      <c r="A39" s="3162"/>
      <c r="B39" s="3152"/>
      <c r="C39" s="3150" t="s">
        <v>1493</v>
      </c>
      <c r="D39" s="3217"/>
      <c r="E39" s="3217"/>
      <c r="F39" s="3217"/>
      <c r="G39" s="3217"/>
      <c r="H39" s="3217"/>
      <c r="I39" s="3217"/>
      <c r="J39" s="3217"/>
      <c r="K39" s="3217"/>
      <c r="L39" s="3217"/>
      <c r="M39" s="3222"/>
      <c r="N39" s="3222"/>
      <c r="O39" s="3222"/>
      <c r="P39" s="3222"/>
      <c r="Q39" s="3222"/>
      <c r="R39" s="3222"/>
      <c r="S39" s="3222"/>
      <c r="T39" s="3222"/>
      <c r="BG39" s="3170"/>
      <c r="CE39" s="3216"/>
      <c r="CF39" s="3216"/>
      <c r="CG39" s="3216"/>
      <c r="CH39" s="3216"/>
      <c r="CI39" s="3216"/>
      <c r="CJ39" s="3216"/>
    </row>
    <row r="40" spans="1:91" outlineLevel="1">
      <c r="A40" s="3162"/>
      <c r="B40" s="3152"/>
      <c r="C40" s="3150" t="s">
        <v>1492</v>
      </c>
      <c r="D40" s="3170">
        <f t="shared" ref="D40:K40" si="40">D33</f>
        <v>0</v>
      </c>
      <c r="E40" s="3170">
        <f t="shared" si="40"/>
        <v>0</v>
      </c>
      <c r="F40" s="3170">
        <f t="shared" si="40"/>
        <v>0</v>
      </c>
      <c r="G40" s="3170">
        <f t="shared" si="40"/>
        <v>0</v>
      </c>
      <c r="H40" s="3170">
        <f t="shared" si="40"/>
        <v>0</v>
      </c>
      <c r="I40" s="3170">
        <f t="shared" si="40"/>
        <v>0</v>
      </c>
      <c r="J40" s="3170">
        <f t="shared" si="40"/>
        <v>0</v>
      </c>
      <c r="K40" s="3170">
        <f t="shared" si="40"/>
        <v>0</v>
      </c>
      <c r="L40" s="3170">
        <f t="shared" ref="L40" si="41">L33</f>
        <v>0</v>
      </c>
      <c r="M40" s="3217"/>
      <c r="N40" s="3217"/>
      <c r="O40" s="3217"/>
      <c r="P40" s="3217"/>
      <c r="Q40" s="3217"/>
      <c r="R40" s="3217"/>
      <c r="S40" s="3217"/>
      <c r="T40" s="3217"/>
      <c r="AR40" s="3148"/>
      <c r="BG40" s="3215"/>
      <c r="CC40" s="3147" t="str">
        <f>Pension!CC40</f>
        <v>Market cap</v>
      </c>
      <c r="CD40" s="3213">
        <f>Pension!CD40</f>
        <v>18825.597112363517</v>
      </c>
      <c r="CE40" s="3213">
        <f>Pension!CE40</f>
        <v>22588.516123810557</v>
      </c>
      <c r="CF40" s="3213">
        <f>Pension!CF40</f>
        <v>13812.94686161664</v>
      </c>
      <c r="CG40" s="3213">
        <f>Pension!CG40</f>
        <v>13000.28955570992</v>
      </c>
      <c r="CH40" s="3213">
        <f>Pension!CH40</f>
        <v>14949.642172872</v>
      </c>
      <c r="CI40" s="3213">
        <f>Pension!CI40</f>
        <v>14949.642172872</v>
      </c>
      <c r="CJ40" s="3213">
        <f>Pension!CJ40</f>
        <v>14949.642172872</v>
      </c>
    </row>
    <row r="41" spans="1:91" outlineLevel="1">
      <c r="A41" s="3162"/>
      <c r="B41" s="3152"/>
      <c r="C41" s="3150" t="s">
        <v>792</v>
      </c>
      <c r="D41" s="3170">
        <f t="shared" ref="D41:K41" si="42">IF(ISNUMBER(D42-SUM(D37:D40)),D42-SUM(D37:D40),0)</f>
        <v>34.101999999999997</v>
      </c>
      <c r="E41" s="3170">
        <f t="shared" si="42"/>
        <v>-9.4139999999999944</v>
      </c>
      <c r="F41" s="3170">
        <f t="shared" si="42"/>
        <v>635.18600000000004</v>
      </c>
      <c r="G41" s="3170">
        <f t="shared" si="42"/>
        <v>-69</v>
      </c>
      <c r="H41" s="3170">
        <f t="shared" si="42"/>
        <v>-136</v>
      </c>
      <c r="I41" s="3170">
        <f t="shared" si="42"/>
        <v>-219</v>
      </c>
      <c r="J41" s="3170">
        <f t="shared" si="42"/>
        <v>-163</v>
      </c>
      <c r="K41" s="3170">
        <f t="shared" si="42"/>
        <v>-145</v>
      </c>
      <c r="L41" s="3170">
        <f t="shared" ref="L41" si="43">IF(ISNUMBER(L42-SUM(L37:L40)),L42-SUM(L37:L40),0)</f>
        <v>-31</v>
      </c>
      <c r="M41" s="3170">
        <v>0</v>
      </c>
      <c r="N41" s="3170">
        <v>0</v>
      </c>
      <c r="O41" s="3170">
        <v>0</v>
      </c>
      <c r="P41" s="3170">
        <v>0</v>
      </c>
      <c r="Q41" s="3170">
        <v>0</v>
      </c>
      <c r="R41" s="3170">
        <v>0</v>
      </c>
      <c r="S41" s="3170">
        <v>0</v>
      </c>
      <c r="T41" s="3170">
        <v>0</v>
      </c>
      <c r="BG41" s="3170"/>
      <c r="CC41" s="3147" t="s">
        <v>1553</v>
      </c>
      <c r="CD41" s="3269">
        <f t="shared" ref="CD41:CJ41" si="44">IF(ISERROR(H35/CD40),NA(),H35/CD40)</f>
        <v>0.19590348066983457</v>
      </c>
      <c r="CE41" s="3269">
        <f t="shared" si="44"/>
        <v>0.16955518366090441</v>
      </c>
      <c r="CF41" s="3269">
        <f t="shared" si="44"/>
        <v>0.25823598944783932</v>
      </c>
      <c r="CG41" s="3269">
        <f t="shared" si="44"/>
        <v>0.26253261401404399</v>
      </c>
      <c r="CH41" s="3269">
        <f t="shared" si="44"/>
        <v>0.22575791185988123</v>
      </c>
      <c r="CI41" s="3269">
        <f t="shared" si="44"/>
        <v>0.23633090739865231</v>
      </c>
      <c r="CJ41" s="3269">
        <f t="shared" si="44"/>
        <v>0.24734268225228243</v>
      </c>
    </row>
    <row r="42" spans="1:91">
      <c r="A42" s="3162"/>
      <c r="B42" s="3152"/>
      <c r="C42" s="3196" t="s">
        <v>537</v>
      </c>
      <c r="D42" s="3169">
        <v>57.311999999999998</v>
      </c>
      <c r="E42" s="3169">
        <v>53.814</v>
      </c>
      <c r="F42" s="3169">
        <v>693</v>
      </c>
      <c r="G42" s="3169">
        <v>626</v>
      </c>
      <c r="H42" s="3169">
        <v>535</v>
      </c>
      <c r="I42" s="3169">
        <v>353</v>
      </c>
      <c r="J42" s="3169">
        <v>193</v>
      </c>
      <c r="K42" s="3169">
        <v>53</v>
      </c>
      <c r="L42" s="3169">
        <v>23</v>
      </c>
      <c r="M42" s="3169">
        <f t="shared" ref="M42:T42" si="45">SUM(M37:M41)</f>
        <v>24.61</v>
      </c>
      <c r="N42" s="3169">
        <f t="shared" si="45"/>
        <v>26.332699999999999</v>
      </c>
      <c r="O42" s="3169">
        <f t="shared" si="45"/>
        <v>28.175988999999998</v>
      </c>
      <c r="P42" s="3169">
        <f t="shared" si="45"/>
        <v>30.148308229999998</v>
      </c>
      <c r="Q42" s="3169">
        <f t="shared" si="45"/>
        <v>32.258689806099994</v>
      </c>
      <c r="R42" s="3169">
        <f t="shared" si="45"/>
        <v>34.516798092526997</v>
      </c>
      <c r="S42" s="3169">
        <f t="shared" si="45"/>
        <v>36.932973959003888</v>
      </c>
      <c r="T42" s="3169">
        <f t="shared" si="45"/>
        <v>39.518282136134161</v>
      </c>
      <c r="U42" s="3185"/>
      <c r="AN42" s="3211" t="s">
        <v>1552</v>
      </c>
      <c r="BG42" s="3169">
        <f>_xll.ThomsonONEAddinShim.SpreadsheetFormulas.TF(Sedol,$AN42,"dataDir=across",trSdate,trEdate,Currency_ISOcode)</f>
        <v>54</v>
      </c>
      <c r="BH42" s="3209">
        <v>693</v>
      </c>
      <c r="BI42" s="3209">
        <v>626</v>
      </c>
      <c r="BJ42" s="3209">
        <v>535</v>
      </c>
      <c r="BK42" s="3209">
        <v>353</v>
      </c>
      <c r="BL42" s="3209">
        <v>193</v>
      </c>
      <c r="BM42" s="3209">
        <v>53</v>
      </c>
      <c r="BN42" s="3209">
        <v>23</v>
      </c>
      <c r="CC42" s="3147" t="s">
        <v>1551</v>
      </c>
      <c r="CD42" s="3300">
        <f t="shared" ref="CD42:CJ42" si="46">H35</f>
        <v>3688</v>
      </c>
      <c r="CE42" s="3300">
        <f t="shared" si="46"/>
        <v>3830</v>
      </c>
      <c r="CF42" s="3300">
        <f t="shared" si="46"/>
        <v>3567</v>
      </c>
      <c r="CG42" s="3300">
        <f t="shared" si="46"/>
        <v>3413</v>
      </c>
      <c r="CH42" s="3300">
        <f t="shared" si="46"/>
        <v>3375</v>
      </c>
      <c r="CI42" s="3300">
        <f t="shared" si="46"/>
        <v>3533.0625</v>
      </c>
      <c r="CJ42" s="3300">
        <f t="shared" si="46"/>
        <v>3697.6845937500002</v>
      </c>
    </row>
    <row r="43" spans="1:91">
      <c r="A43" s="3162"/>
      <c r="B43" s="3152"/>
      <c r="C43" s="3175"/>
      <c r="D43" s="3175"/>
      <c r="E43" s="3175"/>
      <c r="F43" s="3175"/>
      <c r="G43" s="3175"/>
      <c r="H43" s="3170"/>
      <c r="I43" s="3170"/>
      <c r="J43" s="3208"/>
      <c r="K43" s="3208"/>
      <c r="L43" s="3208"/>
      <c r="M43" s="3208"/>
      <c r="N43" s="3208"/>
      <c r="O43" s="3208"/>
      <c r="P43" s="3208"/>
      <c r="Q43" s="3208"/>
      <c r="R43" s="3208"/>
      <c r="S43" s="3208"/>
      <c r="T43" s="3208"/>
      <c r="BG43" s="3197"/>
    </row>
    <row r="44" spans="1:91">
      <c r="A44" s="3162"/>
      <c r="B44" s="3152"/>
      <c r="C44" s="3196" t="s">
        <v>538</v>
      </c>
      <c r="D44" s="3169">
        <f t="shared" ref="D44:T44" si="47">IF(ISERROR(D35-D42),0,D35-D42)</f>
        <v>525.03300000000002</v>
      </c>
      <c r="E44" s="3169">
        <f t="shared" si="47"/>
        <v>503.90699999999998</v>
      </c>
      <c r="F44" s="3169">
        <f t="shared" si="47"/>
        <v>3237</v>
      </c>
      <c r="G44" s="3169">
        <f t="shared" si="47"/>
        <v>3449</v>
      </c>
      <c r="H44" s="3169">
        <f t="shared" si="47"/>
        <v>3153</v>
      </c>
      <c r="I44" s="3169">
        <f t="shared" si="47"/>
        <v>3477</v>
      </c>
      <c r="J44" s="3169">
        <f t="shared" si="47"/>
        <v>3374</v>
      </c>
      <c r="K44" s="3169">
        <f t="shared" si="47"/>
        <v>3360</v>
      </c>
      <c r="L44" s="3169">
        <f t="shared" ref="L44" si="48">IF(ISERROR(L35-L42),0,L35-L42)</f>
        <v>3352</v>
      </c>
      <c r="M44" s="3169">
        <f t="shared" si="47"/>
        <v>3508.4524999999999</v>
      </c>
      <c r="N44" s="3169">
        <f t="shared" si="47"/>
        <v>3671.3518937500003</v>
      </c>
      <c r="O44" s="3169">
        <f t="shared" si="47"/>
        <v>3840.9625153906254</v>
      </c>
      <c r="P44" s="3169">
        <f t="shared" si="47"/>
        <v>4017.5594440928362</v>
      </c>
      <c r="Q44" s="3169">
        <f t="shared" si="47"/>
        <v>4201.4289342381344</v>
      </c>
      <c r="R44" s="3169">
        <f t="shared" si="47"/>
        <v>4392.8688623495427</v>
      </c>
      <c r="S44" s="3169">
        <f t="shared" si="47"/>
        <v>4592.1891913914114</v>
      </c>
      <c r="T44" s="3169">
        <f t="shared" si="47"/>
        <v>4799.7124530763231</v>
      </c>
      <c r="BG44" s="3169"/>
    </row>
    <row r="45" spans="1:91">
      <c r="A45" s="3162"/>
      <c r="B45" s="3152"/>
      <c r="C45" s="3196" t="s">
        <v>540</v>
      </c>
      <c r="D45" s="3205">
        <f t="shared" ref="D45:T45" si="49">IF(ISERROR(D42/D35),"NA",D42/D35)</f>
        <v>9.841588748937484E-2</v>
      </c>
      <c r="E45" s="3205">
        <f t="shared" si="49"/>
        <v>9.6489104767437481E-2</v>
      </c>
      <c r="F45" s="3205">
        <f t="shared" si="49"/>
        <v>0.17633587786259541</v>
      </c>
      <c r="G45" s="3205">
        <f t="shared" si="49"/>
        <v>0.1536196319018405</v>
      </c>
      <c r="H45" s="3205">
        <f t="shared" si="49"/>
        <v>0.1450650759219089</v>
      </c>
      <c r="I45" s="3205">
        <f t="shared" si="49"/>
        <v>9.2167101827676234E-2</v>
      </c>
      <c r="J45" s="3205">
        <f t="shared" si="49"/>
        <v>5.4107092795065884E-2</v>
      </c>
      <c r="K45" s="3205">
        <f t="shared" si="49"/>
        <v>1.5528860240257838E-2</v>
      </c>
      <c r="L45" s="3205">
        <f t="shared" ref="L45" si="50">IF(ISERROR(L42/L35),"NA",L42/L35)</f>
        <v>6.8148148148148152E-3</v>
      </c>
      <c r="M45" s="3205">
        <f t="shared" si="49"/>
        <v>6.9656282616002404E-3</v>
      </c>
      <c r="N45" s="3205">
        <f t="shared" si="49"/>
        <v>7.1214024161251515E-3</v>
      </c>
      <c r="O45" s="3205">
        <f t="shared" si="49"/>
        <v>7.2822384021730985E-3</v>
      </c>
      <c r="P45" s="3205">
        <f t="shared" si="49"/>
        <v>7.4482423323914502E-3</v>
      </c>
      <c r="Q45" s="3205">
        <f t="shared" si="49"/>
        <v>7.6195252627743112E-3</v>
      </c>
      <c r="R45" s="3205">
        <f t="shared" si="49"/>
        <v>7.7962031636251289E-3</v>
      </c>
      <c r="S45" s="3205">
        <f t="shared" si="49"/>
        <v>7.978396905454781E-3</v>
      </c>
      <c r="T45" s="3205">
        <f t="shared" si="49"/>
        <v>8.1662322584829562E-3</v>
      </c>
      <c r="BG45" s="3204"/>
    </row>
    <row r="46" spans="1:91" ht="12.75" customHeight="1">
      <c r="A46" s="3162"/>
      <c r="B46" s="3152"/>
      <c r="C46" s="3175"/>
      <c r="D46" s="3175"/>
      <c r="E46" s="3175"/>
      <c r="F46" s="3175"/>
      <c r="G46" s="3175"/>
      <c r="H46" s="3202"/>
      <c r="I46" s="3202"/>
      <c r="J46" s="3202"/>
      <c r="K46" s="3202"/>
      <c r="L46" s="3202"/>
      <c r="M46" s="3202"/>
      <c r="N46" s="3202"/>
      <c r="O46" s="3202"/>
      <c r="P46" s="3202"/>
      <c r="Q46" s="3202"/>
      <c r="R46" s="3202"/>
      <c r="S46" s="3202"/>
      <c r="T46" s="3202"/>
      <c r="BG46" s="3197"/>
    </row>
    <row r="47" spans="1:91">
      <c r="A47" s="3162"/>
      <c r="B47" s="3152"/>
      <c r="C47" s="3196" t="s">
        <v>554</v>
      </c>
      <c r="D47" s="3169">
        <f>IF(ISERROR(D44*D13),0,D44*D13)</f>
        <v>183.76155</v>
      </c>
      <c r="E47" s="3169">
        <f t="shared" ref="E47:T47" si="51">+D47+(E44-D44)*E13</f>
        <v>176.36744999999999</v>
      </c>
      <c r="F47" s="3169">
        <f t="shared" si="51"/>
        <v>1132.9499999999998</v>
      </c>
      <c r="G47" s="3169">
        <f t="shared" si="51"/>
        <v>1207.1499999999999</v>
      </c>
      <c r="H47" s="3169">
        <f t="shared" si="51"/>
        <v>1103.55</v>
      </c>
      <c r="I47" s="3169">
        <f t="shared" si="51"/>
        <v>1216.95</v>
      </c>
      <c r="J47" s="3169">
        <f t="shared" si="51"/>
        <v>1180.9000000000001</v>
      </c>
      <c r="K47" s="3169">
        <f t="shared" si="51"/>
        <v>1176</v>
      </c>
      <c r="L47" s="3169">
        <f t="shared" ref="L47" si="52">+K47+(L44-K44)*L13</f>
        <v>1173.2</v>
      </c>
      <c r="M47" s="3169">
        <f t="shared" si="51"/>
        <v>1206.0550250000001</v>
      </c>
      <c r="N47" s="3169">
        <f t="shared" si="51"/>
        <v>1240.2638976875003</v>
      </c>
      <c r="O47" s="3169">
        <f t="shared" si="51"/>
        <v>1275.8821282320316</v>
      </c>
      <c r="P47" s="3169">
        <f t="shared" si="51"/>
        <v>1312.9674832594958</v>
      </c>
      <c r="Q47" s="3169">
        <f t="shared" si="51"/>
        <v>1351.5800761900084</v>
      </c>
      <c r="R47" s="3169">
        <f t="shared" si="51"/>
        <v>1391.7824610934042</v>
      </c>
      <c r="S47" s="3169">
        <f t="shared" si="51"/>
        <v>1433.6397301921966</v>
      </c>
      <c r="T47" s="3169">
        <f t="shared" si="51"/>
        <v>1477.219615146028</v>
      </c>
      <c r="BG47" s="3169"/>
    </row>
    <row r="48" spans="1:91">
      <c r="A48" s="3162"/>
      <c r="B48" s="3152"/>
      <c r="C48" s="3175"/>
      <c r="D48" s="3175"/>
      <c r="E48" s="3175"/>
      <c r="F48" s="3175"/>
      <c r="G48" s="3175"/>
      <c r="H48" s="3188"/>
      <c r="I48" s="3188"/>
      <c r="J48" s="3165"/>
      <c r="K48" s="3165"/>
      <c r="L48" s="3165"/>
      <c r="M48" s="3165"/>
      <c r="N48" s="3165"/>
      <c r="O48" s="3165"/>
      <c r="P48" s="3165"/>
      <c r="Q48" s="3165"/>
      <c r="R48" s="3165"/>
      <c r="S48" s="3165"/>
      <c r="T48" s="3165"/>
      <c r="BG48" s="3197"/>
    </row>
    <row r="49" spans="1:59">
      <c r="A49" s="3162"/>
      <c r="B49" s="3201" t="s">
        <v>1487</v>
      </c>
      <c r="C49" s="3200" t="s">
        <v>542</v>
      </c>
      <c r="D49" s="3199"/>
      <c r="E49" s="3199"/>
      <c r="F49" s="3199"/>
      <c r="G49" s="3199"/>
      <c r="H49" s="3188"/>
      <c r="I49" s="3188"/>
      <c r="J49" s="3165"/>
      <c r="K49" s="3165"/>
      <c r="L49" s="3165"/>
      <c r="M49" s="3165"/>
      <c r="N49" s="3165"/>
      <c r="O49" s="3165"/>
      <c r="P49" s="3165"/>
      <c r="Q49" s="3165"/>
      <c r="R49" s="3165"/>
      <c r="S49" s="3165"/>
      <c r="T49" s="3165"/>
      <c r="BG49" s="3198"/>
    </row>
    <row r="50" spans="1:59" ht="7.5" customHeight="1">
      <c r="A50" s="3162"/>
      <c r="B50" s="3152"/>
      <c r="C50" s="3175"/>
      <c r="D50" s="3175"/>
      <c r="E50" s="3175"/>
      <c r="F50" s="3175"/>
      <c r="G50" s="3175"/>
      <c r="H50" s="3188"/>
      <c r="I50" s="3188"/>
      <c r="J50" s="3165"/>
      <c r="K50" s="3165"/>
      <c r="L50" s="3165"/>
      <c r="M50" s="3165"/>
      <c r="N50" s="3165"/>
      <c r="O50" s="3165"/>
      <c r="P50" s="3165"/>
      <c r="Q50" s="3165"/>
      <c r="R50" s="3165"/>
      <c r="S50" s="3165"/>
      <c r="T50" s="3165"/>
      <c r="BG50" s="3197"/>
    </row>
    <row r="51" spans="1:59">
      <c r="A51" s="3162"/>
      <c r="B51" s="3152"/>
      <c r="C51" s="3196" t="s">
        <v>1550</v>
      </c>
      <c r="D51" s="3195">
        <f t="shared" ref="D51:T51" si="53">+D25*(1-D13)</f>
        <v>19.19125</v>
      </c>
      <c r="E51" s="3195">
        <f t="shared" si="53"/>
        <v>26.566800000000001</v>
      </c>
      <c r="F51" s="3195">
        <f t="shared" si="53"/>
        <v>82.55</v>
      </c>
      <c r="G51" s="3195">
        <f t="shared" si="53"/>
        <v>97.5</v>
      </c>
      <c r="H51" s="3195">
        <f t="shared" si="53"/>
        <v>83.850000000000009</v>
      </c>
      <c r="I51" s="3195">
        <f t="shared" si="53"/>
        <v>109.2</v>
      </c>
      <c r="J51" s="3195">
        <f t="shared" si="53"/>
        <v>105.3</v>
      </c>
      <c r="K51" s="3195">
        <f t="shared" si="53"/>
        <v>94.9</v>
      </c>
      <c r="L51" s="3195">
        <f t="shared" ref="L51" si="54">+L25*(1-L13)</f>
        <v>88.4</v>
      </c>
      <c r="M51" s="3195">
        <f t="shared" si="53"/>
        <v>139.47647499999999</v>
      </c>
      <c r="N51" s="3195">
        <f t="shared" si="53"/>
        <v>144.5695210625</v>
      </c>
      <c r="O51" s="3195">
        <f t="shared" si="53"/>
        <v>149.87139109609376</v>
      </c>
      <c r="P51" s="3195">
        <f t="shared" si="53"/>
        <v>155.39057367474666</v>
      </c>
      <c r="Q51" s="3195">
        <f t="shared" si="53"/>
        <v>161.13589721478522</v>
      </c>
      <c r="R51" s="3195">
        <f t="shared" si="53"/>
        <v>167.1165432080129</v>
      </c>
      <c r="S51" s="3195">
        <f t="shared" si="53"/>
        <v>173.34205994307655</v>
      </c>
      <c r="T51" s="3195">
        <f t="shared" si="53"/>
        <v>179.82237673108045</v>
      </c>
      <c r="BG51" s="3194"/>
    </row>
    <row r="52" spans="1:59">
      <c r="A52" s="3162"/>
      <c r="B52" s="3152"/>
      <c r="C52" s="3196" t="s">
        <v>555</v>
      </c>
      <c r="D52" s="3195">
        <f t="shared" ref="D52:T52" si="55">IF(ISERROR(-D39*(1-D13)),0,(-D39*(1-D13)))</f>
        <v>0</v>
      </c>
      <c r="E52" s="3195">
        <f t="shared" si="55"/>
        <v>0</v>
      </c>
      <c r="F52" s="3195">
        <f t="shared" si="55"/>
        <v>0</v>
      </c>
      <c r="G52" s="3195">
        <f t="shared" si="55"/>
        <v>0</v>
      </c>
      <c r="H52" s="3195">
        <f t="shared" si="55"/>
        <v>0</v>
      </c>
      <c r="I52" s="3195">
        <f t="shared" si="55"/>
        <v>0</v>
      </c>
      <c r="J52" s="3195">
        <f t="shared" si="55"/>
        <v>0</v>
      </c>
      <c r="K52" s="3195">
        <f t="shared" si="55"/>
        <v>0</v>
      </c>
      <c r="L52" s="3195">
        <f t="shared" ref="L52" si="56">IF(ISERROR(-L39*(1-L13)),0,(-L39*(1-L13)))</f>
        <v>0</v>
      </c>
      <c r="M52" s="3195">
        <f t="shared" si="55"/>
        <v>0</v>
      </c>
      <c r="N52" s="3195">
        <f t="shared" si="55"/>
        <v>0</v>
      </c>
      <c r="O52" s="3195">
        <f t="shared" si="55"/>
        <v>0</v>
      </c>
      <c r="P52" s="3195">
        <f t="shared" si="55"/>
        <v>0</v>
      </c>
      <c r="Q52" s="3195">
        <f t="shared" si="55"/>
        <v>0</v>
      </c>
      <c r="R52" s="3195">
        <f t="shared" si="55"/>
        <v>0</v>
      </c>
      <c r="S52" s="3195">
        <f t="shared" si="55"/>
        <v>0</v>
      </c>
      <c r="T52" s="3195">
        <f t="shared" si="55"/>
        <v>0</v>
      </c>
      <c r="BG52" s="3194"/>
    </row>
    <row r="53" spans="1:59" ht="7.5" customHeight="1">
      <c r="A53" s="3162"/>
      <c r="B53" s="3152"/>
      <c r="C53" s="3175"/>
      <c r="D53" s="3175"/>
      <c r="E53" s="3175"/>
      <c r="F53" s="3175"/>
      <c r="G53" s="3175"/>
      <c r="H53" s="3193"/>
      <c r="I53" s="3193"/>
      <c r="J53" s="3193"/>
      <c r="K53" s="3193"/>
      <c r="L53" s="3193"/>
      <c r="M53" s="3193"/>
      <c r="N53" s="3193"/>
      <c r="O53" s="3193"/>
      <c r="P53" s="3193"/>
      <c r="Q53" s="3193"/>
      <c r="R53" s="3193"/>
      <c r="S53" s="3193"/>
      <c r="T53" s="3193"/>
    </row>
    <row r="54" spans="1:59">
      <c r="A54" s="3162"/>
      <c r="B54" s="3172" t="s">
        <v>1485</v>
      </c>
      <c r="C54" s="3172" t="s">
        <v>1484</v>
      </c>
      <c r="D54" s="3192">
        <f t="shared" ref="D54:T54" si="57">+D15</f>
        <v>2009</v>
      </c>
      <c r="E54" s="3192">
        <f t="shared" si="57"/>
        <v>2010</v>
      </c>
      <c r="F54" s="3192">
        <f t="shared" si="57"/>
        <v>2011</v>
      </c>
      <c r="G54" s="3192">
        <f t="shared" si="57"/>
        <v>2012</v>
      </c>
      <c r="H54" s="3192">
        <f t="shared" si="57"/>
        <v>2013</v>
      </c>
      <c r="I54" s="3192">
        <f t="shared" si="57"/>
        <v>2014</v>
      </c>
      <c r="J54" s="3192">
        <f t="shared" si="57"/>
        <v>2015</v>
      </c>
      <c r="K54" s="3192">
        <f t="shared" si="57"/>
        <v>2016</v>
      </c>
      <c r="L54" s="3192">
        <f t="shared" si="57"/>
        <v>2017</v>
      </c>
      <c r="M54" s="3192">
        <f t="shared" si="57"/>
        <v>2018</v>
      </c>
      <c r="N54" s="3192">
        <f t="shared" si="57"/>
        <v>2019</v>
      </c>
      <c r="O54" s="3192">
        <f t="shared" si="57"/>
        <v>2020</v>
      </c>
      <c r="P54" s="3192">
        <f t="shared" si="57"/>
        <v>2021</v>
      </c>
      <c r="Q54" s="3192">
        <f t="shared" si="57"/>
        <v>2022</v>
      </c>
      <c r="R54" s="3192">
        <f t="shared" si="57"/>
        <v>2023</v>
      </c>
      <c r="S54" s="3192">
        <f t="shared" si="57"/>
        <v>2024</v>
      </c>
      <c r="T54" s="3192">
        <f t="shared" si="57"/>
        <v>2025</v>
      </c>
    </row>
    <row r="55" spans="1:59" s="253" customFormat="1" ht="27.75" customHeight="1">
      <c r="A55" s="3162"/>
      <c r="B55" s="2624"/>
      <c r="C55" s="4177" t="s">
        <v>1483</v>
      </c>
      <c r="D55" s="4177"/>
      <c r="E55" s="4177"/>
      <c r="F55" s="4177"/>
      <c r="G55" s="4177"/>
      <c r="H55" s="4177"/>
      <c r="I55" s="4177"/>
      <c r="J55" s="4177"/>
      <c r="K55" s="4177"/>
      <c r="L55" s="4177"/>
      <c r="M55" s="4177"/>
      <c r="N55" s="4177"/>
      <c r="O55" s="4177"/>
      <c r="P55" s="4177"/>
      <c r="Q55" s="4177"/>
      <c r="R55" s="4177"/>
      <c r="S55" s="4177"/>
      <c r="T55" s="4177"/>
      <c r="U55" s="3150"/>
      <c r="V55" s="3147"/>
      <c r="W55" s="3147"/>
      <c r="X55" s="3147"/>
      <c r="AB55"/>
      <c r="AC55"/>
      <c r="AD55"/>
      <c r="AE55"/>
      <c r="AF55"/>
      <c r="AG55"/>
      <c r="AN55" s="3184"/>
      <c r="BG55" s="59"/>
    </row>
    <row r="56" spans="1:59" s="253" customFormat="1">
      <c r="A56" s="3162"/>
      <c r="B56" s="2624"/>
      <c r="C56" s="3191"/>
      <c r="D56" s="3191"/>
      <c r="E56" s="3191"/>
      <c r="F56" s="3191"/>
      <c r="G56" s="3191"/>
      <c r="H56" s="3191"/>
      <c r="I56" s="3191"/>
      <c r="J56" s="3191"/>
      <c r="K56" s="3191"/>
      <c r="L56" s="3191"/>
      <c r="M56" s="3191"/>
      <c r="N56" s="3191"/>
      <c r="O56" s="3191"/>
      <c r="P56" s="3191"/>
      <c r="Q56" s="3191"/>
      <c r="R56" s="3191"/>
      <c r="S56" s="3191"/>
      <c r="T56" s="3191"/>
      <c r="U56" s="3150"/>
      <c r="V56" s="3147"/>
      <c r="W56" s="3147"/>
      <c r="X56" s="3147"/>
      <c r="AB56"/>
      <c r="AC56"/>
      <c r="AD56"/>
      <c r="AE56"/>
      <c r="AF56"/>
      <c r="AG56"/>
      <c r="AN56" s="3184"/>
      <c r="BG56" s="59"/>
    </row>
    <row r="57" spans="1:59" s="253" customFormat="1">
      <c r="A57" s="3162"/>
      <c r="B57" s="3190" t="s">
        <v>1482</v>
      </c>
      <c r="C57" s="3164" t="s">
        <v>544</v>
      </c>
      <c r="D57" s="3189"/>
      <c r="E57" s="3189"/>
      <c r="F57" s="3189"/>
      <c r="G57" s="3189"/>
      <c r="H57" s="3187"/>
      <c r="I57" s="3187"/>
      <c r="J57" s="3187"/>
      <c r="K57" s="3187"/>
      <c r="L57" s="3187"/>
      <c r="M57" s="3187"/>
      <c r="N57" s="3187"/>
      <c r="O57" s="3187"/>
      <c r="P57" s="3187"/>
      <c r="Q57" s="3187"/>
      <c r="R57" s="3187"/>
      <c r="S57" s="3187"/>
      <c r="T57" s="3187"/>
      <c r="U57" s="3150"/>
      <c r="V57" s="3147"/>
      <c r="W57" s="3147"/>
      <c r="X57" s="3147"/>
      <c r="AB57"/>
      <c r="AC57"/>
      <c r="AD57"/>
      <c r="AE57"/>
      <c r="AF57"/>
      <c r="AG57"/>
      <c r="AN57" s="3184"/>
      <c r="BG57" s="59"/>
    </row>
    <row r="58" spans="1:59" ht="7.5" customHeight="1">
      <c r="A58" s="3162"/>
      <c r="B58" s="3152"/>
      <c r="C58" s="3175"/>
      <c r="D58" s="3175"/>
      <c r="E58" s="3175"/>
      <c r="F58" s="3175"/>
      <c r="G58" s="3175"/>
      <c r="H58" s="3188"/>
      <c r="I58" s="3188"/>
      <c r="J58" s="3165"/>
      <c r="K58" s="3165"/>
      <c r="L58" s="3165"/>
      <c r="M58" s="3165"/>
      <c r="N58" s="3165"/>
      <c r="O58" s="3165"/>
      <c r="P58" s="3165"/>
      <c r="Q58" s="3165"/>
      <c r="R58" s="3165"/>
      <c r="S58" s="3165"/>
      <c r="T58" s="3165"/>
    </row>
    <row r="59" spans="1:59" s="253" customFormat="1" ht="15.75" customHeight="1">
      <c r="A59" s="3162"/>
      <c r="B59" s="2624"/>
      <c r="C59" s="3187" t="s">
        <v>1549</v>
      </c>
      <c r="D59" s="3187"/>
      <c r="E59" s="3187"/>
      <c r="F59" s="3187"/>
      <c r="G59" s="3187"/>
      <c r="H59" s="3187"/>
      <c r="I59" s="3187"/>
      <c r="J59" s="3187"/>
      <c r="K59" s="3187"/>
      <c r="L59" s="3187"/>
      <c r="M59" s="3170">
        <f t="shared" ref="M59:T59" si="58">IF(ISERROR((-M39-M40+M33)*(1-M13)),0,((-M39-M40+M33)*(1-M13)))</f>
        <v>0</v>
      </c>
      <c r="N59" s="3170">
        <f t="shared" si="58"/>
        <v>0</v>
      </c>
      <c r="O59" s="3170">
        <f t="shared" si="58"/>
        <v>0</v>
      </c>
      <c r="P59" s="3170">
        <f t="shared" si="58"/>
        <v>0</v>
      </c>
      <c r="Q59" s="3170">
        <f t="shared" si="58"/>
        <v>0</v>
      </c>
      <c r="R59" s="3170">
        <f t="shared" si="58"/>
        <v>0</v>
      </c>
      <c r="S59" s="3170">
        <f t="shared" si="58"/>
        <v>0</v>
      </c>
      <c r="T59" s="3170">
        <f t="shared" si="58"/>
        <v>0</v>
      </c>
      <c r="U59" s="3150"/>
      <c r="V59" s="3147"/>
      <c r="W59" s="3147"/>
      <c r="X59" s="3147"/>
      <c r="AB59"/>
      <c r="AC59"/>
      <c r="AD59"/>
      <c r="AE59"/>
      <c r="AF59"/>
      <c r="AG59"/>
      <c r="AN59" s="3184"/>
      <c r="BG59" s="59"/>
    </row>
    <row r="60" spans="1:59" s="253" customFormat="1" ht="15.75" customHeight="1">
      <c r="A60" s="3162"/>
      <c r="B60" s="2624"/>
      <c r="C60" s="3187" t="s">
        <v>1548</v>
      </c>
      <c r="D60" s="3187"/>
      <c r="E60" s="3187"/>
      <c r="F60" s="3187"/>
      <c r="G60" s="3187"/>
      <c r="H60" s="3187"/>
      <c r="I60" s="3187"/>
      <c r="J60" s="3187"/>
      <c r="K60" s="3187"/>
      <c r="L60" s="3187"/>
      <c r="M60" s="3170">
        <f t="shared" ref="M60:T60" si="59">M25*(1-M13)</f>
        <v>139.47647499999999</v>
      </c>
      <c r="N60" s="3170">
        <f t="shared" si="59"/>
        <v>144.5695210625</v>
      </c>
      <c r="O60" s="3170">
        <f t="shared" si="59"/>
        <v>149.87139109609376</v>
      </c>
      <c r="P60" s="3170">
        <f t="shared" si="59"/>
        <v>155.39057367474666</v>
      </c>
      <c r="Q60" s="3170">
        <f t="shared" si="59"/>
        <v>161.13589721478522</v>
      </c>
      <c r="R60" s="3170">
        <f t="shared" si="59"/>
        <v>167.1165432080129</v>
      </c>
      <c r="S60" s="3170">
        <f t="shared" si="59"/>
        <v>173.34205994307655</v>
      </c>
      <c r="T60" s="3170">
        <f t="shared" si="59"/>
        <v>179.82237673108045</v>
      </c>
      <c r="U60" s="3150"/>
      <c r="V60" s="3147"/>
      <c r="W60" s="3147"/>
      <c r="X60" s="3147"/>
      <c r="AB60"/>
      <c r="AC60"/>
      <c r="AD60"/>
      <c r="AE60"/>
      <c r="AF60"/>
      <c r="AG60"/>
      <c r="AN60" s="3184"/>
      <c r="BG60" s="59"/>
    </row>
    <row r="61" spans="1:59" s="253" customFormat="1" ht="15.75" customHeight="1">
      <c r="A61" s="3162"/>
      <c r="B61" s="2624"/>
      <c r="C61" s="3187" t="s">
        <v>546</v>
      </c>
      <c r="D61" s="3187"/>
      <c r="E61" s="3187"/>
      <c r="F61" s="3187"/>
      <c r="G61" s="3187"/>
      <c r="H61" s="3187"/>
      <c r="I61" s="3187"/>
      <c r="J61" s="3187"/>
      <c r="K61" s="3187"/>
      <c r="L61" s="3187"/>
      <c r="M61" s="3170">
        <f t="shared" ref="M61:T61" si="60">M47-L47</f>
        <v>32.855025000000069</v>
      </c>
      <c r="N61" s="3170">
        <f t="shared" si="60"/>
        <v>34.208872687500161</v>
      </c>
      <c r="O61" s="3170">
        <f t="shared" si="60"/>
        <v>35.618230544531343</v>
      </c>
      <c r="P61" s="3170">
        <f t="shared" si="60"/>
        <v>37.085355027464175</v>
      </c>
      <c r="Q61" s="3170">
        <f t="shared" si="60"/>
        <v>38.612592930512619</v>
      </c>
      <c r="R61" s="3170">
        <f t="shared" si="60"/>
        <v>40.202384903395796</v>
      </c>
      <c r="S61" s="3170">
        <f t="shared" si="60"/>
        <v>41.857269098792358</v>
      </c>
      <c r="T61" s="3170">
        <f t="shared" si="60"/>
        <v>43.579884953831424</v>
      </c>
      <c r="U61" s="3150"/>
      <c r="V61" s="3147"/>
      <c r="W61" s="3147"/>
      <c r="X61" s="3147"/>
      <c r="AB61"/>
      <c r="AC61"/>
      <c r="AD61"/>
      <c r="AE61"/>
      <c r="AF61"/>
      <c r="AG61"/>
      <c r="AN61" s="3184"/>
      <c r="BG61" s="59"/>
    </row>
    <row r="62" spans="1:59" s="253" customFormat="1" ht="15.75" customHeight="1">
      <c r="A62" s="3162"/>
      <c r="B62" s="2624"/>
      <c r="C62" s="3186" t="s">
        <v>547</v>
      </c>
      <c r="D62" s="3186"/>
      <c r="E62" s="3186"/>
      <c r="F62" s="3186"/>
      <c r="G62" s="3186"/>
      <c r="H62" s="3186"/>
      <c r="I62" s="3186"/>
      <c r="J62" s="3186"/>
      <c r="K62" s="3186"/>
      <c r="L62" s="3186"/>
      <c r="M62" s="3169">
        <f t="shared" ref="M62:T62" si="61">SUM(M59:M61)</f>
        <v>172.33150000000006</v>
      </c>
      <c r="N62" s="3169">
        <f t="shared" si="61"/>
        <v>178.77839375000016</v>
      </c>
      <c r="O62" s="3169">
        <f t="shared" si="61"/>
        <v>185.4896216406251</v>
      </c>
      <c r="P62" s="3169">
        <f t="shared" si="61"/>
        <v>192.47592870221084</v>
      </c>
      <c r="Q62" s="3169">
        <f t="shared" si="61"/>
        <v>199.74849014529784</v>
      </c>
      <c r="R62" s="3169">
        <f t="shared" si="61"/>
        <v>207.3189281114087</v>
      </c>
      <c r="S62" s="3169">
        <f t="shared" si="61"/>
        <v>215.19932904186891</v>
      </c>
      <c r="T62" s="3169">
        <f t="shared" si="61"/>
        <v>223.40226168491188</v>
      </c>
      <c r="U62" s="3185"/>
      <c r="V62" s="3147"/>
      <c r="W62" s="3147"/>
      <c r="X62" s="3147"/>
      <c r="AB62"/>
      <c r="AC62"/>
      <c r="AD62"/>
      <c r="AE62"/>
      <c r="AF62"/>
      <c r="AG62"/>
      <c r="AN62" s="3184"/>
      <c r="BG62" s="59"/>
    </row>
    <row r="63" spans="1:59">
      <c r="A63" s="3162"/>
      <c r="B63" s="3152"/>
      <c r="C63" s="3175"/>
      <c r="D63" s="3175"/>
      <c r="E63" s="3175"/>
      <c r="F63" s="3175"/>
      <c r="G63" s="3175"/>
      <c r="H63" s="3188"/>
      <c r="I63" s="3188"/>
      <c r="J63" s="3165"/>
      <c r="K63" s="3165"/>
      <c r="L63" s="3165"/>
      <c r="M63" s="3165"/>
      <c r="N63" s="3165"/>
      <c r="O63" s="3165"/>
      <c r="P63" s="3165"/>
      <c r="Q63" s="3165"/>
      <c r="R63" s="3165"/>
      <c r="S63" s="3165"/>
      <c r="T63" s="3165"/>
    </row>
    <row r="64" spans="1:59" s="253" customFormat="1">
      <c r="A64" s="3162"/>
      <c r="B64" s="3190" t="s">
        <v>1480</v>
      </c>
      <c r="C64" s="3164" t="s">
        <v>548</v>
      </c>
      <c r="D64" s="3189"/>
      <c r="E64" s="3189"/>
      <c r="F64" s="3189"/>
      <c r="G64" s="3189"/>
      <c r="H64" s="3187"/>
      <c r="I64" s="3187"/>
      <c r="J64" s="3187"/>
      <c r="K64" s="3187"/>
      <c r="L64" s="3187"/>
      <c r="M64" s="3170"/>
      <c r="N64" s="3170"/>
      <c r="O64" s="3170"/>
      <c r="P64" s="3170"/>
      <c r="Q64" s="3170"/>
      <c r="R64" s="3170"/>
      <c r="S64" s="3170"/>
      <c r="T64" s="3170"/>
      <c r="U64" s="3150"/>
      <c r="V64" s="3147"/>
      <c r="W64" s="3147"/>
      <c r="X64" s="3147"/>
      <c r="AB64"/>
      <c r="AC64"/>
      <c r="AD64"/>
      <c r="AE64"/>
      <c r="AF64"/>
      <c r="AG64"/>
      <c r="AN64" s="3184"/>
      <c r="BG64" s="59"/>
    </row>
    <row r="65" spans="1:59" ht="7.5" customHeight="1">
      <c r="A65" s="3162"/>
      <c r="B65" s="3152"/>
      <c r="C65" s="3175"/>
      <c r="D65" s="3175"/>
      <c r="E65" s="3175"/>
      <c r="F65" s="3175"/>
      <c r="G65" s="3175"/>
      <c r="H65" s="3188"/>
      <c r="I65" s="3188"/>
      <c r="J65" s="3165"/>
      <c r="K65" s="3165"/>
      <c r="L65" s="3165"/>
      <c r="M65" s="3165"/>
      <c r="N65" s="3165"/>
      <c r="O65" s="3165"/>
      <c r="P65" s="3165"/>
      <c r="Q65" s="3165"/>
      <c r="R65" s="3165"/>
      <c r="S65" s="3165"/>
      <c r="T65" s="3165"/>
    </row>
    <row r="66" spans="1:59" s="253" customFormat="1" ht="15.75" customHeight="1">
      <c r="A66" s="3162"/>
      <c r="B66" s="2624"/>
      <c r="C66" s="3187" t="s">
        <v>1547</v>
      </c>
      <c r="D66" s="3187"/>
      <c r="E66" s="3187"/>
      <c r="F66" s="3187"/>
      <c r="G66" s="3187"/>
      <c r="H66" s="3187"/>
      <c r="I66" s="3187"/>
      <c r="J66" s="3187"/>
      <c r="K66" s="3187"/>
      <c r="L66" s="3187"/>
      <c r="M66" s="3170">
        <f t="shared" ref="M66:T66" si="62">M44-L44</f>
        <v>156.45249999999987</v>
      </c>
      <c r="N66" s="3170">
        <f t="shared" si="62"/>
        <v>162.8993937500004</v>
      </c>
      <c r="O66" s="3170">
        <f t="shared" si="62"/>
        <v>169.61062164062514</v>
      </c>
      <c r="P66" s="3170">
        <f t="shared" si="62"/>
        <v>176.59692870221079</v>
      </c>
      <c r="Q66" s="3170">
        <f t="shared" si="62"/>
        <v>183.86949014529819</v>
      </c>
      <c r="R66" s="3170">
        <f t="shared" si="62"/>
        <v>191.43992811140834</v>
      </c>
      <c r="S66" s="3170">
        <f t="shared" si="62"/>
        <v>199.32032904186872</v>
      </c>
      <c r="T66" s="3170">
        <f t="shared" si="62"/>
        <v>207.52326168491163</v>
      </c>
      <c r="U66" s="3150"/>
      <c r="V66" s="3147"/>
      <c r="W66" s="3147"/>
      <c r="X66" s="3147"/>
      <c r="AB66"/>
      <c r="AC66"/>
      <c r="AD66"/>
      <c r="AE66"/>
      <c r="AF66"/>
      <c r="AG66"/>
      <c r="AN66" s="3184"/>
      <c r="BG66" s="59"/>
    </row>
    <row r="67" spans="1:59" s="253" customFormat="1" ht="15.75" customHeight="1">
      <c r="A67" s="3162"/>
      <c r="B67" s="2624"/>
      <c r="C67" s="3187" t="s">
        <v>549</v>
      </c>
      <c r="D67" s="3187"/>
      <c r="E67" s="3187"/>
      <c r="F67" s="3187"/>
      <c r="G67" s="3187"/>
      <c r="H67" s="3187"/>
      <c r="I67" s="3187"/>
      <c r="J67" s="3187"/>
      <c r="K67" s="3187"/>
      <c r="L67" s="3187"/>
      <c r="M67" s="3170">
        <f t="shared" ref="M67:T67" si="63">CHOOSE(dropDown2,IF(ISERROR((M22+M38)*(1-M13)+(-M32*(1-M13))+((M24+M20)*(1-M13))),0,(M22+M38)*(1-M13)+(-M32*(1-M13))+((M24+M20)*(1-M13))),IF(ISERROR((M22+M38)*(1-M13)+(-M32*(1-M13))+((M23+M20)*(1-M13))),0,(M22+M38)*(1-M13)+(-M32*(1-M13))+((M23+M20)*(1-M13))))</f>
        <v>15.879000000000001</v>
      </c>
      <c r="N67" s="3170">
        <f t="shared" si="63"/>
        <v>15.879000000000001</v>
      </c>
      <c r="O67" s="3170">
        <f t="shared" si="63"/>
        <v>15.879000000000001</v>
      </c>
      <c r="P67" s="3170">
        <f t="shared" si="63"/>
        <v>15.879000000000001</v>
      </c>
      <c r="Q67" s="3170">
        <f t="shared" si="63"/>
        <v>15.879000000000001</v>
      </c>
      <c r="R67" s="3170">
        <f t="shared" si="63"/>
        <v>15.879000000000001</v>
      </c>
      <c r="S67" s="3170">
        <f t="shared" si="63"/>
        <v>15.879000000000001</v>
      </c>
      <c r="T67" s="3170">
        <f t="shared" si="63"/>
        <v>15.879000000000001</v>
      </c>
      <c r="U67" s="3150"/>
      <c r="V67" s="3147"/>
      <c r="W67" s="3147"/>
      <c r="X67" s="3147"/>
      <c r="AB67"/>
      <c r="AC67"/>
      <c r="AD67"/>
      <c r="AE67"/>
      <c r="AF67"/>
      <c r="AG67"/>
      <c r="AN67" s="3184"/>
      <c r="BG67" s="59"/>
    </row>
    <row r="68" spans="1:59" s="253" customFormat="1" ht="15.75" customHeight="1">
      <c r="A68" s="3162"/>
      <c r="B68" s="2624"/>
      <c r="C68" s="3186" t="s">
        <v>550</v>
      </c>
      <c r="D68" s="3186"/>
      <c r="E68" s="3186"/>
      <c r="F68" s="3186"/>
      <c r="G68" s="3186"/>
      <c r="H68" s="3186"/>
      <c r="I68" s="3186"/>
      <c r="J68" s="3186"/>
      <c r="K68" s="3186"/>
      <c r="L68" s="3186"/>
      <c r="M68" s="3169">
        <f t="shared" ref="M68:T68" si="64">SUM(M66:M67)</f>
        <v>172.33149999999986</v>
      </c>
      <c r="N68" s="3169">
        <f t="shared" si="64"/>
        <v>178.77839375000039</v>
      </c>
      <c r="O68" s="3169">
        <f t="shared" si="64"/>
        <v>185.48962164062513</v>
      </c>
      <c r="P68" s="3169">
        <f t="shared" si="64"/>
        <v>192.47592870221078</v>
      </c>
      <c r="Q68" s="3169">
        <f t="shared" si="64"/>
        <v>199.74849014529818</v>
      </c>
      <c r="R68" s="3169">
        <f t="shared" si="64"/>
        <v>207.31892811140833</v>
      </c>
      <c r="S68" s="3169">
        <f t="shared" si="64"/>
        <v>215.19932904186871</v>
      </c>
      <c r="T68" s="3169">
        <f t="shared" si="64"/>
        <v>223.40226168491162</v>
      </c>
      <c r="U68" s="3185"/>
      <c r="V68" s="3147"/>
      <c r="W68" s="3147"/>
      <c r="X68" s="3147"/>
      <c r="AB68"/>
      <c r="AC68"/>
      <c r="AD68"/>
      <c r="AE68"/>
      <c r="AF68"/>
      <c r="AG68"/>
      <c r="AN68" s="3184"/>
      <c r="BG68" s="59"/>
    </row>
    <row r="69" spans="1:59" s="3155" customFormat="1" ht="24.75" customHeight="1">
      <c r="A69" s="3162"/>
      <c r="B69" s="3181"/>
      <c r="C69" s="3183" t="s">
        <v>795</v>
      </c>
      <c r="D69" s="3180"/>
      <c r="E69" s="3180"/>
      <c r="F69" s="3180"/>
      <c r="G69" s="3180"/>
      <c r="H69" s="3179"/>
      <c r="I69" s="3179"/>
      <c r="J69" s="3179"/>
      <c r="K69" s="3179"/>
      <c r="L69" s="3179"/>
      <c r="M69" s="3182">
        <f t="shared" ref="M69:T69" si="65">ROUND(M62-M68,0)</f>
        <v>0</v>
      </c>
      <c r="N69" s="3182">
        <f t="shared" si="65"/>
        <v>0</v>
      </c>
      <c r="O69" s="3182">
        <f t="shared" si="65"/>
        <v>0</v>
      </c>
      <c r="P69" s="3182">
        <f t="shared" si="65"/>
        <v>0</v>
      </c>
      <c r="Q69" s="3182">
        <f t="shared" si="65"/>
        <v>0</v>
      </c>
      <c r="R69" s="3182">
        <f t="shared" si="65"/>
        <v>0</v>
      </c>
      <c r="S69" s="3182">
        <f t="shared" si="65"/>
        <v>0</v>
      </c>
      <c r="T69" s="3182">
        <f t="shared" si="65"/>
        <v>0</v>
      </c>
      <c r="U69" s="4175" t="str">
        <f>IF(AND(L69&lt;&gt;0,M69&lt;&gt;0,T69&lt;&gt;0),"Check Failing? : Have you not updated Company Contributions on row 39?","")</f>
        <v/>
      </c>
      <c r="V69" s="4175"/>
      <c r="W69" s="4175"/>
      <c r="X69" s="4175"/>
      <c r="Y69" s="4175"/>
      <c r="AB69"/>
      <c r="AC69"/>
      <c r="AD69"/>
      <c r="AE69"/>
      <c r="AF69"/>
      <c r="AG69"/>
      <c r="BG69" s="3176"/>
    </row>
    <row r="70" spans="1:59" s="3155" customFormat="1">
      <c r="A70" s="3162"/>
      <c r="B70" s="3296"/>
      <c r="C70" s="3295"/>
      <c r="D70" s="3295"/>
      <c r="E70" s="3295"/>
      <c r="F70" s="3295"/>
      <c r="G70" s="3295"/>
      <c r="H70" s="3299"/>
      <c r="I70" s="3299"/>
      <c r="J70" s="3299"/>
      <c r="K70" s="3299"/>
      <c r="L70" s="3297"/>
      <c r="M70" s="3297"/>
      <c r="N70" s="3298"/>
      <c r="O70" s="3297"/>
      <c r="P70" s="3297"/>
      <c r="Q70" s="3297"/>
      <c r="R70" s="3297"/>
      <c r="S70" s="3297"/>
      <c r="T70" s="3178"/>
      <c r="U70" s="3177"/>
      <c r="AB70"/>
      <c r="AC70"/>
      <c r="AD70"/>
      <c r="AE70"/>
      <c r="AF70"/>
      <c r="AG70"/>
      <c r="BG70" s="3176"/>
    </row>
    <row r="71" spans="1:59">
      <c r="B71" s="3296"/>
      <c r="C71" s="3295"/>
      <c r="D71" s="3295"/>
      <c r="E71" s="3295"/>
      <c r="F71" s="3295"/>
      <c r="G71" s="3295"/>
      <c r="S71" s="3290"/>
    </row>
    <row r="72" spans="1:59">
      <c r="C72" s="3294"/>
      <c r="D72" s="3294"/>
      <c r="E72" s="3294"/>
      <c r="F72" s="3294"/>
      <c r="G72" s="3294"/>
      <c r="S72" s="3290"/>
    </row>
    <row r="73" spans="1:59">
      <c r="C73" s="3294"/>
      <c r="D73" s="3294"/>
      <c r="E73" s="3294"/>
      <c r="F73" s="3294"/>
      <c r="G73" s="3294"/>
      <c r="S73" s="3290"/>
    </row>
    <row r="74" spans="1:59">
      <c r="S74" s="3290"/>
    </row>
    <row r="75" spans="1:59">
      <c r="S75" s="3290"/>
    </row>
    <row r="76" spans="1:59">
      <c r="S76" s="3290"/>
    </row>
    <row r="77" spans="1:59">
      <c r="S77" s="3290"/>
    </row>
    <row r="78" spans="1:59">
      <c r="S78" s="3290"/>
    </row>
    <row r="79" spans="1:59">
      <c r="S79" s="3290"/>
    </row>
    <row r="80" spans="1:59">
      <c r="S80" s="3290"/>
    </row>
    <row r="81" spans="19:19">
      <c r="S81" s="3290"/>
    </row>
    <row r="82" spans="19:19">
      <c r="S82" s="3290"/>
    </row>
    <row r="83" spans="19:19">
      <c r="S83" s="3290"/>
    </row>
    <row r="84" spans="19:19">
      <c r="S84" s="3290"/>
    </row>
    <row r="174" spans="43:43">
      <c r="AQ174" s="3147" t="str">
        <f>Pension!AQ184</f>
        <v>USD</v>
      </c>
    </row>
    <row r="182" spans="40:43">
      <c r="AQ182" s="3161"/>
    </row>
    <row r="183" spans="40:43">
      <c r="AP183" s="3160"/>
      <c r="AQ183" s="3161"/>
    </row>
    <row r="184" spans="40:43">
      <c r="AP184" s="3160"/>
      <c r="AQ184" s="3161"/>
    </row>
    <row r="185" spans="40:43">
      <c r="AQ185" s="3293"/>
    </row>
    <row r="186" spans="40:43">
      <c r="AQ186" s="3155"/>
    </row>
    <row r="189" spans="40:43">
      <c r="AP189" s="3158"/>
      <c r="AQ189" s="3155"/>
    </row>
    <row r="190" spans="40:43">
      <c r="AN190" s="3156"/>
      <c r="AO190" s="3154"/>
      <c r="AP190" s="3154"/>
      <c r="AQ190" s="3154"/>
    </row>
    <row r="191" spans="40:43">
      <c r="AN191" s="3156"/>
      <c r="AO191" s="3154"/>
      <c r="AP191" s="3154"/>
      <c r="AQ191" s="3154"/>
    </row>
    <row r="192" spans="40:43">
      <c r="AN192" s="3156"/>
      <c r="AO192" s="3154"/>
      <c r="AP192" s="3154"/>
      <c r="AQ192" s="3154"/>
    </row>
    <row r="193" spans="40:43">
      <c r="AN193" s="3156"/>
      <c r="AO193" s="3154"/>
      <c r="AP193" s="3154"/>
      <c r="AQ193" s="3154"/>
    </row>
    <row r="194" spans="40:43">
      <c r="AN194" s="3156"/>
      <c r="AO194" s="3154"/>
      <c r="AP194" s="3154"/>
      <c r="AQ194" s="3154"/>
    </row>
    <row r="195" spans="40:43">
      <c r="AN195" s="3156"/>
      <c r="AO195" s="3154"/>
      <c r="AP195" s="3154"/>
      <c r="AQ195" s="3154"/>
    </row>
    <row r="196" spans="40:43">
      <c r="AN196" s="3156"/>
      <c r="AO196" s="3154"/>
      <c r="AP196" s="3154"/>
      <c r="AQ196" s="3154"/>
    </row>
    <row r="197" spans="40:43">
      <c r="AN197" s="3156"/>
      <c r="AO197" s="3154"/>
      <c r="AP197" s="3154"/>
      <c r="AQ197" s="3154"/>
    </row>
    <row r="198" spans="40:43">
      <c r="AN198" s="3156"/>
      <c r="AO198" s="3154"/>
      <c r="AP198" s="3154"/>
      <c r="AQ198" s="3154"/>
    </row>
    <row r="199" spans="40:43">
      <c r="AN199" s="3156"/>
      <c r="AO199" s="3154"/>
      <c r="AP199" s="3154"/>
      <c r="AQ199" s="3154"/>
    </row>
    <row r="200" spans="40:43">
      <c r="AN200" s="3156"/>
      <c r="AO200" s="3154"/>
      <c r="AP200" s="3154"/>
      <c r="AQ200" s="3154"/>
    </row>
    <row r="201" spans="40:43">
      <c r="AN201" s="3156"/>
      <c r="AO201" s="3154"/>
      <c r="AP201" s="3154"/>
      <c r="AQ201" s="3154"/>
    </row>
    <row r="202" spans="40:43">
      <c r="AN202" s="3156"/>
      <c r="AO202" s="3154"/>
      <c r="AP202" s="3154"/>
      <c r="AQ202" s="3154"/>
    </row>
    <row r="203" spans="40:43">
      <c r="AN203" s="3156"/>
      <c r="AO203" s="3154"/>
      <c r="AP203" s="3154"/>
      <c r="AQ203" s="3154"/>
    </row>
    <row r="204" spans="40:43">
      <c r="AN204" s="3156"/>
      <c r="AO204" s="3154"/>
      <c r="AP204" s="3154"/>
      <c r="AQ204" s="3154"/>
    </row>
    <row r="205" spans="40:43">
      <c r="AN205" s="3156"/>
      <c r="AO205" s="3154"/>
      <c r="AP205" s="3154"/>
      <c r="AQ205" s="3154"/>
    </row>
    <row r="206" spans="40:43">
      <c r="AN206" s="3156"/>
      <c r="AO206" s="3154"/>
      <c r="AP206" s="3154"/>
      <c r="AQ206" s="3154"/>
    </row>
    <row r="207" spans="40:43">
      <c r="AN207" s="3156"/>
      <c r="AO207" s="3154"/>
      <c r="AP207" s="3154"/>
      <c r="AQ207" s="3154"/>
    </row>
    <row r="208" spans="40:43">
      <c r="AN208" s="3156"/>
      <c r="AO208" s="3154"/>
      <c r="AP208" s="3154"/>
      <c r="AQ208" s="3154"/>
    </row>
    <row r="209" spans="40:43">
      <c r="AN209" s="3156"/>
      <c r="AO209" s="3154"/>
      <c r="AP209" s="3154"/>
      <c r="AQ209" s="3154"/>
    </row>
    <row r="210" spans="40:43">
      <c r="AN210" s="3156"/>
      <c r="AO210" s="3154"/>
      <c r="AP210" s="3154"/>
      <c r="AQ210" s="3154"/>
    </row>
    <row r="211" spans="40:43">
      <c r="AN211" s="3156"/>
      <c r="AO211" s="3154"/>
      <c r="AP211" s="3154"/>
      <c r="AQ211" s="3154"/>
    </row>
    <row r="212" spans="40:43">
      <c r="AN212" s="3156"/>
      <c r="AO212" s="3154"/>
      <c r="AP212" s="3154"/>
      <c r="AQ212" s="3154"/>
    </row>
    <row r="213" spans="40:43">
      <c r="AN213" s="3156"/>
      <c r="AO213" s="3154"/>
      <c r="AP213" s="3154"/>
      <c r="AQ213" s="3154"/>
    </row>
    <row r="214" spans="40:43">
      <c r="AN214" s="3156"/>
      <c r="AO214" s="3154"/>
      <c r="AP214" s="3154"/>
      <c r="AQ214" s="3154"/>
    </row>
    <row r="215" spans="40:43">
      <c r="AN215" s="3156"/>
      <c r="AO215" s="3154"/>
      <c r="AP215" s="3154"/>
      <c r="AQ215" s="3154"/>
    </row>
    <row r="216" spans="40:43">
      <c r="AN216" s="3156"/>
      <c r="AO216" s="3154"/>
      <c r="AP216" s="3154"/>
      <c r="AQ216" s="3154"/>
    </row>
    <row r="217" spans="40:43">
      <c r="AN217" s="3156"/>
      <c r="AO217" s="3154"/>
      <c r="AP217" s="3154"/>
      <c r="AQ217" s="3154"/>
    </row>
    <row r="218" spans="40:43">
      <c r="AN218" s="3156"/>
      <c r="AO218" s="3154"/>
      <c r="AP218" s="3154"/>
      <c r="AQ218" s="3154"/>
    </row>
    <row r="219" spans="40:43">
      <c r="AN219" s="3156"/>
      <c r="AO219" s="3154"/>
      <c r="AP219" s="3154"/>
      <c r="AQ219" s="3154"/>
    </row>
    <row r="220" spans="40:43">
      <c r="AN220" s="3156"/>
      <c r="AO220" s="3154"/>
      <c r="AP220" s="3154"/>
      <c r="AQ220" s="3154"/>
    </row>
    <row r="221" spans="40:43">
      <c r="AN221" s="3156"/>
      <c r="AO221" s="3154"/>
      <c r="AP221" s="3154"/>
      <c r="AQ221" s="3154"/>
    </row>
    <row r="222" spans="40:43">
      <c r="AN222" s="3156"/>
      <c r="AO222" s="3154"/>
      <c r="AP222" s="3154"/>
      <c r="AQ222" s="3154"/>
    </row>
    <row r="223" spans="40:43">
      <c r="AN223" s="3156"/>
      <c r="AO223" s="3154"/>
      <c r="AP223" s="3154"/>
      <c r="AQ223" s="3154"/>
    </row>
    <row r="224" spans="40:43">
      <c r="AN224" s="3156"/>
      <c r="AO224" s="3154"/>
      <c r="AP224" s="3154"/>
      <c r="AQ224" s="3154"/>
    </row>
    <row r="225" spans="40:43">
      <c r="AN225" s="3156"/>
      <c r="AO225" s="3154"/>
      <c r="AP225" s="3154"/>
      <c r="AQ225" s="3154"/>
    </row>
    <row r="226" spans="40:43">
      <c r="AN226" s="3156"/>
      <c r="AO226" s="3154"/>
      <c r="AP226" s="3154"/>
      <c r="AQ226" s="3154"/>
    </row>
    <row r="227" spans="40:43">
      <c r="AN227" s="3156"/>
      <c r="AO227" s="3154"/>
      <c r="AP227" s="3154"/>
      <c r="AQ227" s="3154"/>
    </row>
    <row r="228" spans="40:43">
      <c r="AN228" s="3156"/>
      <c r="AO228" s="3154"/>
      <c r="AP228" s="3154"/>
      <c r="AQ228" s="3154"/>
    </row>
    <row r="229" spans="40:43">
      <c r="AN229" s="3156"/>
      <c r="AO229" s="3154"/>
      <c r="AP229" s="3154"/>
      <c r="AQ229" s="3154"/>
    </row>
    <row r="230" spans="40:43">
      <c r="AN230" s="3156"/>
      <c r="AO230" s="3154"/>
      <c r="AP230" s="3154"/>
      <c r="AQ230" s="3154"/>
    </row>
    <row r="231" spans="40:43">
      <c r="AN231" s="3156"/>
      <c r="AO231" s="3154"/>
      <c r="AP231" s="3154"/>
      <c r="AQ231" s="3154"/>
    </row>
    <row r="232" spans="40:43">
      <c r="AN232" s="3156"/>
      <c r="AO232" s="3154"/>
      <c r="AP232" s="3154"/>
      <c r="AQ232" s="3154"/>
    </row>
    <row r="233" spans="40:43">
      <c r="AN233" s="3156"/>
      <c r="AO233" s="3154"/>
      <c r="AP233" s="3154"/>
      <c r="AQ233" s="3154"/>
    </row>
    <row r="234" spans="40:43">
      <c r="AN234" s="3156"/>
      <c r="AO234" s="3154"/>
      <c r="AP234" s="3154"/>
      <c r="AQ234" s="3154"/>
    </row>
    <row r="235" spans="40:43">
      <c r="AN235" s="3156"/>
      <c r="AO235" s="3154"/>
      <c r="AP235" s="3154"/>
      <c r="AQ235" s="3154"/>
    </row>
    <row r="236" spans="40:43">
      <c r="AN236" s="3156"/>
      <c r="AO236" s="3154"/>
      <c r="AP236" s="3154"/>
      <c r="AQ236" s="3154"/>
    </row>
    <row r="237" spans="40:43">
      <c r="AN237" s="3156"/>
      <c r="AO237" s="3154"/>
      <c r="AP237" s="3154"/>
      <c r="AQ237" s="3154"/>
    </row>
    <row r="238" spans="40:43">
      <c r="AN238" s="3156"/>
      <c r="AO238" s="3154"/>
      <c r="AP238" s="3154"/>
      <c r="AQ238" s="3154"/>
    </row>
    <row r="239" spans="40:43">
      <c r="AN239" s="3156"/>
      <c r="AO239" s="3154"/>
      <c r="AP239" s="3154"/>
      <c r="AQ239" s="3154"/>
    </row>
    <row r="240" spans="40:43">
      <c r="AN240" s="3156"/>
      <c r="AO240" s="3154"/>
      <c r="AP240" s="3154"/>
      <c r="AQ240" s="3154"/>
    </row>
    <row r="241" spans="40:43">
      <c r="AN241" s="3156"/>
      <c r="AO241" s="3154"/>
      <c r="AP241" s="3154"/>
      <c r="AQ241" s="3154"/>
    </row>
    <row r="242" spans="40:43">
      <c r="AN242" s="3156"/>
      <c r="AO242" s="3154"/>
      <c r="AP242" s="3154"/>
      <c r="AQ242" s="3154"/>
    </row>
    <row r="243" spans="40:43">
      <c r="AN243" s="3156"/>
      <c r="AO243" s="3154"/>
      <c r="AP243" s="3154"/>
      <c r="AQ243" s="3154"/>
    </row>
    <row r="244" spans="40:43">
      <c r="AN244" s="3156"/>
      <c r="AO244" s="3154"/>
      <c r="AP244" s="3154"/>
      <c r="AQ244" s="3154"/>
    </row>
    <row r="245" spans="40:43">
      <c r="AN245" s="3156"/>
      <c r="AO245" s="3154"/>
      <c r="AP245" s="3154"/>
      <c r="AQ245" s="3154"/>
    </row>
    <row r="246" spans="40:43">
      <c r="AN246" s="3156"/>
      <c r="AO246" s="3154"/>
      <c r="AP246" s="3155"/>
      <c r="AQ246" s="3154"/>
    </row>
  </sheetData>
  <mergeCells count="3">
    <mergeCell ref="U69:Y69"/>
    <mergeCell ref="C55:T55"/>
    <mergeCell ref="A1:A2"/>
  </mergeCell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32314400" r:id="rId4" name="ComboBox1">
          <controlPr defaultSize="0" autoLine="0" linkedCell="AY18" listFillRange="AY19:AY20" r:id="rId5">
            <anchor moveWithCells="1">
              <from>
                <xdr:col>10</xdr:col>
                <xdr:colOff>476250</xdr:colOff>
                <xdr:row>0</xdr:row>
                <xdr:rowOff>57150</xdr:rowOff>
              </from>
              <to>
                <xdr:col>14</xdr:col>
                <xdr:colOff>0</xdr:colOff>
                <xdr:row>1</xdr:row>
                <xdr:rowOff>180975</xdr:rowOff>
              </to>
            </anchor>
          </controlPr>
        </control>
      </mc:Choice>
      <mc:Fallback>
        <control shapeId="32314400" r:id="rId4" name="ComboBox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2:K60"/>
  <sheetViews>
    <sheetView workbookViewId="0">
      <selection activeCell="D9" sqref="D9"/>
    </sheetView>
  </sheetViews>
  <sheetFormatPr defaultRowHeight="12.75"/>
  <cols>
    <col min="1" max="1" width="3.7109375" style="253" customWidth="1"/>
    <col min="2" max="2" width="18" style="253" bestFit="1" customWidth="1"/>
    <col min="3" max="3" width="19.7109375" style="253" bestFit="1" customWidth="1"/>
    <col min="4" max="5" width="20.42578125" style="253" bestFit="1" customWidth="1"/>
    <col min="6" max="7" width="9.140625" style="253"/>
    <col min="8" max="8" width="11.42578125" style="253" bestFit="1" customWidth="1"/>
    <col min="9" max="11" width="9" style="253" customWidth="1"/>
    <col min="12" max="16384" width="9.140625" style="253"/>
  </cols>
  <sheetData>
    <row r="2" spans="1:11">
      <c r="B2" s="2624"/>
      <c r="C2" s="2672" t="s">
        <v>1273</v>
      </c>
      <c r="D2" s="2672" t="s">
        <v>1274</v>
      </c>
      <c r="E2" s="2672"/>
      <c r="F2" s="2672"/>
      <c r="G2" s="2672" t="s">
        <v>1275</v>
      </c>
      <c r="H2" s="2672" t="s">
        <v>1276</v>
      </c>
      <c r="I2" s="2624"/>
      <c r="J2" s="2624"/>
      <c r="K2" s="2624"/>
    </row>
    <row r="3" spans="1:11">
      <c r="B3" s="2688" t="s">
        <v>1269</v>
      </c>
      <c r="C3" s="2689">
        <f>IS!BS60</f>
        <v>1788</v>
      </c>
      <c r="D3" s="2689">
        <f>IS!BT60</f>
        <v>1812</v>
      </c>
      <c r="E3" s="2690"/>
      <c r="F3" s="2690"/>
      <c r="G3" s="2689">
        <f>IS!BU60</f>
        <v>1745</v>
      </c>
      <c r="H3" s="2691">
        <f>IS!BV60</f>
        <v>1707</v>
      </c>
      <c r="I3" s="2624"/>
      <c r="J3" s="2624"/>
      <c r="K3" s="2624"/>
    </row>
    <row r="4" spans="1:11">
      <c r="C4" s="1820">
        <f>IS!BS63</f>
        <v>0.39400617011899514</v>
      </c>
      <c r="D4" s="1722">
        <f>IS!BT63</f>
        <v>0.39911894273127752</v>
      </c>
      <c r="G4" s="1722">
        <f>IS!BU63</f>
        <v>0.38666075781076886</v>
      </c>
      <c r="H4" s="2591">
        <f>IS!BV63</f>
        <v>0.38480613165013527</v>
      </c>
    </row>
    <row r="5" spans="1:11">
      <c r="B5" s="2659"/>
      <c r="C5" s="2660" t="s">
        <v>1270</v>
      </c>
      <c r="D5" s="2660" t="s">
        <v>1271</v>
      </c>
      <c r="E5" s="2661" t="s">
        <v>1278</v>
      </c>
      <c r="F5" s="2662"/>
      <c r="G5" s="2663"/>
      <c r="H5" s="2664" t="s">
        <v>1272</v>
      </c>
      <c r="I5" s="2665" t="s">
        <v>1277</v>
      </c>
      <c r="J5" s="2666"/>
      <c r="K5" s="2667"/>
    </row>
    <row r="6" spans="1:11">
      <c r="B6" s="2668"/>
      <c r="C6" s="2668"/>
      <c r="D6" s="2668"/>
      <c r="E6" s="2669" t="s">
        <v>1260</v>
      </c>
      <c r="F6" s="2670" t="s">
        <v>1261</v>
      </c>
      <c r="G6" s="2671" t="s">
        <v>1262</v>
      </c>
      <c r="H6" s="2668"/>
      <c r="I6" s="2669" t="s">
        <v>1260</v>
      </c>
      <c r="J6" s="2672" t="s">
        <v>1261</v>
      </c>
      <c r="K6" s="2670" t="s">
        <v>1262</v>
      </c>
    </row>
    <row r="7" spans="1:11">
      <c r="B7" s="2668" t="s">
        <v>1263</v>
      </c>
      <c r="C7" s="2673">
        <f>IS!BW25</f>
        <v>4451</v>
      </c>
      <c r="D7" s="2673">
        <f>IS!BX25</f>
        <v>4419</v>
      </c>
      <c r="E7" s="2674">
        <v>4420</v>
      </c>
      <c r="F7" s="2675">
        <v>4470</v>
      </c>
      <c r="G7" s="2673">
        <f>AVERAGE(E7:F7)</f>
        <v>4445</v>
      </c>
      <c r="H7" s="2673">
        <f>K7-G7-C7-D7</f>
        <v>4485</v>
      </c>
      <c r="I7" s="2674">
        <v>17700</v>
      </c>
      <c r="J7" s="2676">
        <v>17900</v>
      </c>
      <c r="K7" s="2675">
        <f>AVERAGE(I7:J7)</f>
        <v>17800</v>
      </c>
    </row>
    <row r="8" spans="1:11">
      <c r="B8" s="2668" t="s">
        <v>1264</v>
      </c>
      <c r="C8" s="2673">
        <f>Subscribers!CE157</f>
        <v>4054</v>
      </c>
      <c r="D8" s="2673">
        <f>Subscribers!CF157</f>
        <v>4018</v>
      </c>
      <c r="E8" s="2674">
        <v>4020</v>
      </c>
      <c r="F8" s="2675">
        <v>4070</v>
      </c>
      <c r="G8" s="2673">
        <f>AVERAGE(E8:F8)</f>
        <v>4045</v>
      </c>
      <c r="H8" s="2673">
        <f>K8-G8-C8-D8</f>
        <v>4058</v>
      </c>
      <c r="I8" s="2674">
        <v>16100</v>
      </c>
      <c r="J8" s="2676">
        <v>16250</v>
      </c>
      <c r="K8" s="2675">
        <f>AVERAGE(I8:J8)</f>
        <v>16175</v>
      </c>
    </row>
    <row r="9" spans="1:11">
      <c r="B9" s="2668" t="s">
        <v>1265</v>
      </c>
      <c r="C9" s="2673">
        <f>IS!BW60</f>
        <v>1724</v>
      </c>
      <c r="D9" s="2673">
        <f>IS!BX60</f>
        <v>1622</v>
      </c>
      <c r="E9" s="2674">
        <v>1620</v>
      </c>
      <c r="F9" s="2675">
        <v>1670</v>
      </c>
      <c r="G9" s="2673">
        <f>AVERAGE(E9:F9)</f>
        <v>1645</v>
      </c>
      <c r="H9" s="2673">
        <f>K9-G9-C9-D9</f>
        <v>1784</v>
      </c>
      <c r="I9" s="2674">
        <v>6700</v>
      </c>
      <c r="J9" s="2676">
        <v>6850</v>
      </c>
      <c r="K9" s="2675">
        <f>AVERAGE(I9:J9)</f>
        <v>6775</v>
      </c>
    </row>
    <row r="10" spans="1:11">
      <c r="B10" s="2668" t="s">
        <v>764</v>
      </c>
      <c r="C10" s="2677">
        <f>IS!BW93</f>
        <v>0.42235650082962883</v>
      </c>
      <c r="D10" s="2677">
        <f>IS!BX93</f>
        <v>0.28611279997138872</v>
      </c>
      <c r="E10" s="2625">
        <v>0.53</v>
      </c>
      <c r="F10" s="2623">
        <v>0.57999999999999996</v>
      </c>
      <c r="G10" s="2677">
        <f>AVERAGE(E10:F10)</f>
        <v>0.55499999999999994</v>
      </c>
      <c r="H10" s="2677">
        <f>K10-G10-C10-D10</f>
        <v>1.1865306991989826</v>
      </c>
      <c r="I10" s="2625">
        <v>2.35</v>
      </c>
      <c r="J10" s="2624">
        <v>2.5499999999999998</v>
      </c>
      <c r="K10" s="2623">
        <f>AVERAGE(I10:J10)</f>
        <v>2.4500000000000002</v>
      </c>
    </row>
    <row r="11" spans="1:11">
      <c r="B11" s="2668"/>
      <c r="C11" s="2668"/>
      <c r="D11" s="2668"/>
      <c r="E11" s="2625"/>
      <c r="F11" s="2623"/>
      <c r="G11" s="2668"/>
      <c r="H11" s="2668"/>
      <c r="I11" s="2625"/>
      <c r="J11" s="2624"/>
      <c r="K11" s="2623"/>
    </row>
    <row r="12" spans="1:11">
      <c r="A12"/>
      <c r="B12" s="2668" t="s">
        <v>1266</v>
      </c>
      <c r="C12" s="2678">
        <f>+C9/C7</f>
        <v>0.38732869018198157</v>
      </c>
      <c r="D12" s="2678">
        <f>+D9/D7</f>
        <v>0.36705136908802899</v>
      </c>
      <c r="E12" s="2679"/>
      <c r="F12" s="2680"/>
      <c r="G12" s="2678">
        <f>+G9/G7</f>
        <v>0.37007874015748032</v>
      </c>
      <c r="H12" s="2693">
        <f>+H9/H7</f>
        <v>0.39777034559643254</v>
      </c>
      <c r="I12" s="2679"/>
      <c r="J12" s="2681"/>
      <c r="K12" s="2680">
        <f>+K9/K7</f>
        <v>0.3806179775280899</v>
      </c>
    </row>
    <row r="13" spans="1:11">
      <c r="A13"/>
      <c r="B13" s="2668" t="s">
        <v>1267</v>
      </c>
      <c r="C13" s="2678">
        <f>+C9/C3-1</f>
        <v>-3.5794183445190142E-2</v>
      </c>
      <c r="D13" s="2678">
        <f>+D9/D3-1</f>
        <v>-0.10485651214128033</v>
      </c>
      <c r="E13" s="2679"/>
      <c r="F13" s="2680"/>
      <c r="G13" s="2678">
        <f>+G9/G3-1</f>
        <v>-5.7306590257879653E-2</v>
      </c>
      <c r="H13" s="2693">
        <f>+H9/H3-1</f>
        <v>4.5108377270064448E-2</v>
      </c>
      <c r="I13" s="2679"/>
      <c r="J13" s="2681"/>
      <c r="K13" s="2680"/>
    </row>
    <row r="14" spans="1:11">
      <c r="A14"/>
      <c r="B14" s="2682" t="s">
        <v>1268</v>
      </c>
      <c r="C14" s="2683">
        <f>+C9/H3-1</f>
        <v>9.9589923842999806E-3</v>
      </c>
      <c r="D14" s="2683">
        <f>+D9/C9-1</f>
        <v>-5.9164733178654338E-2</v>
      </c>
      <c r="E14" s="2684"/>
      <c r="F14" s="2685"/>
      <c r="G14" s="2683">
        <f>+G9/D9-1</f>
        <v>1.4180024660912505E-2</v>
      </c>
      <c r="H14" s="2692">
        <f>+H9/G9-1</f>
        <v>8.44984802431612E-2</v>
      </c>
      <c r="I14" s="2684"/>
      <c r="J14" s="2686"/>
      <c r="K14" s="2687"/>
    </row>
    <row r="15" spans="1:11">
      <c r="B15" s="2624"/>
      <c r="C15" s="2624"/>
      <c r="D15" s="2624"/>
      <c r="E15" s="2624"/>
      <c r="F15" s="2624"/>
      <c r="G15" s="2624"/>
      <c r="H15" s="2624"/>
      <c r="I15" s="2624"/>
      <c r="J15" s="2624"/>
      <c r="K15" s="2624"/>
    </row>
    <row r="16" spans="1:11">
      <c r="B16" s="2659" t="str">
        <f t="shared" ref="B16:H16" si="0">B7</f>
        <v>Operating Revenue</v>
      </c>
      <c r="C16" s="2701">
        <f t="shared" si="0"/>
        <v>4451</v>
      </c>
      <c r="D16" s="2701">
        <f t="shared" si="0"/>
        <v>4419</v>
      </c>
      <c r="E16" s="2702">
        <f t="shared" si="0"/>
        <v>4420</v>
      </c>
      <c r="F16" s="2703">
        <f t="shared" si="0"/>
        <v>4470</v>
      </c>
      <c r="G16" s="2701">
        <f t="shared" si="0"/>
        <v>4445</v>
      </c>
      <c r="H16" s="2701">
        <f t="shared" si="0"/>
        <v>4485</v>
      </c>
    </row>
    <row r="17" spans="2:11">
      <c r="B17" s="2700" t="s">
        <v>1287</v>
      </c>
      <c r="C17" s="2678">
        <f t="shared" ref="C17:H17" si="1">+C19/C16</f>
        <v>0.38732869018198157</v>
      </c>
      <c r="D17" s="2678">
        <f t="shared" si="1"/>
        <v>0.36705136908802899</v>
      </c>
      <c r="E17" s="2679">
        <f t="shared" si="1"/>
        <v>0.36651583710407237</v>
      </c>
      <c r="F17" s="2680">
        <f t="shared" si="1"/>
        <v>0.37360178970917224</v>
      </c>
      <c r="G17" s="2678">
        <f t="shared" si="1"/>
        <v>0.37007874015748032</v>
      </c>
      <c r="H17" s="2678">
        <f t="shared" si="1"/>
        <v>0.39777034559643254</v>
      </c>
    </row>
    <row r="18" spans="2:11">
      <c r="B18" s="2668"/>
      <c r="C18" s="2673"/>
      <c r="D18" s="2673"/>
      <c r="E18" s="2674"/>
      <c r="F18" s="2675"/>
      <c r="G18" s="2673"/>
      <c r="H18" s="2673"/>
    </row>
    <row r="19" spans="2:11">
      <c r="B19" s="2668" t="str">
        <f t="shared" ref="B19:H19" si="2">B9</f>
        <v>Adj. EBITDA / OCF</v>
      </c>
      <c r="C19" s="2673">
        <f t="shared" si="2"/>
        <v>1724</v>
      </c>
      <c r="D19" s="2673">
        <f t="shared" si="2"/>
        <v>1622</v>
      </c>
      <c r="E19" s="2674">
        <f t="shared" si="2"/>
        <v>1620</v>
      </c>
      <c r="F19" s="2675">
        <f t="shared" si="2"/>
        <v>1670</v>
      </c>
      <c r="G19" s="2673">
        <f t="shared" si="2"/>
        <v>1645</v>
      </c>
      <c r="H19" s="2673">
        <f t="shared" si="2"/>
        <v>1784</v>
      </c>
    </row>
    <row r="20" spans="2:11">
      <c r="B20" s="2704" t="s">
        <v>1288</v>
      </c>
      <c r="C20" s="2683">
        <f>+C19/C3-1</f>
        <v>-3.5794183445190142E-2</v>
      </c>
      <c r="D20" s="2683">
        <f>+D19/D3-1</f>
        <v>-0.10485651214128033</v>
      </c>
      <c r="E20" s="2684"/>
      <c r="F20" s="2685"/>
      <c r="G20" s="2705">
        <f>+G19/G3-1</f>
        <v>-5.7306590257879653E-2</v>
      </c>
      <c r="H20" s="2683">
        <f>+H19/H3-1</f>
        <v>4.5108377270064448E-2</v>
      </c>
    </row>
    <row r="22" spans="2:11">
      <c r="E22" s="2707" t="s">
        <v>1289</v>
      </c>
    </row>
    <row r="23" spans="2:11">
      <c r="E23" s="253" t="s">
        <v>1290</v>
      </c>
      <c r="G23" s="2706">
        <f>+G16+150</f>
        <v>4595</v>
      </c>
      <c r="H23" s="2706">
        <f>+H16+50</f>
        <v>4535</v>
      </c>
    </row>
    <row r="24" spans="2:11">
      <c r="E24" s="253" t="s">
        <v>1265</v>
      </c>
      <c r="G24" s="2706">
        <f>+G19+150</f>
        <v>1795</v>
      </c>
      <c r="H24" s="2706">
        <f>+H19+50</f>
        <v>1834</v>
      </c>
    </row>
    <row r="25" spans="2:11">
      <c r="E25" s="2708" t="s">
        <v>1287</v>
      </c>
      <c r="G25" s="2709">
        <f>+G24/G23</f>
        <v>0.39064200217627859</v>
      </c>
      <c r="H25" s="2709">
        <f>+H24/H23</f>
        <v>0.40441014332965819</v>
      </c>
    </row>
    <row r="27" spans="2:11">
      <c r="E27" s="253" t="s">
        <v>764</v>
      </c>
      <c r="G27" s="2716">
        <f>+G10+0.16</f>
        <v>0.71499999999999997</v>
      </c>
      <c r="H27" s="2716">
        <f>+H10+0.05</f>
        <v>1.2365306991989826</v>
      </c>
    </row>
    <row r="30" spans="2:11">
      <c r="B30" s="2659"/>
      <c r="C30" s="2660" t="str">
        <f t="shared" ref="C30:I30" si="3">+C5</f>
        <v>1q15</v>
      </c>
      <c r="D30" s="2660" t="str">
        <f t="shared" si="3"/>
        <v>2q15</v>
      </c>
      <c r="E30" s="2661" t="str">
        <f t="shared" si="3"/>
        <v>3q15 Guidance</v>
      </c>
      <c r="F30" s="2662"/>
      <c r="G30" s="2663"/>
      <c r="H30" s="2664" t="str">
        <f t="shared" si="3"/>
        <v>4q15 implied</v>
      </c>
      <c r="I30" s="2665" t="str">
        <f t="shared" si="3"/>
        <v>2015 Guidance</v>
      </c>
      <c r="J30" s="2666"/>
      <c r="K30" s="2667"/>
    </row>
    <row r="31" spans="2:11">
      <c r="B31" s="2668"/>
      <c r="C31" s="2668"/>
      <c r="D31" s="2668"/>
      <c r="E31" s="2669" t="str">
        <f t="shared" ref="E31:K31" si="4">+E6</f>
        <v>Low</v>
      </c>
      <c r="F31" s="2670" t="str">
        <f t="shared" si="4"/>
        <v>High</v>
      </c>
      <c r="G31" s="2671" t="str">
        <f t="shared" si="4"/>
        <v>Mid</v>
      </c>
      <c r="H31" s="2668"/>
      <c r="I31" s="2669" t="str">
        <f t="shared" si="4"/>
        <v>Low</v>
      </c>
      <c r="J31" s="2672" t="str">
        <f t="shared" si="4"/>
        <v>High</v>
      </c>
      <c r="K31" s="2670" t="str">
        <f t="shared" si="4"/>
        <v>Mid</v>
      </c>
    </row>
    <row r="32" spans="2:11">
      <c r="B32" s="2668" t="str">
        <f t="shared" ref="B32:D34" si="5">+B7</f>
        <v>Operating Revenue</v>
      </c>
      <c r="C32" s="2673">
        <f t="shared" si="5"/>
        <v>4451</v>
      </c>
      <c r="D32" s="2673">
        <f t="shared" si="5"/>
        <v>4419</v>
      </c>
      <c r="E32" s="2674">
        <f t="shared" ref="E32:F34" si="6">+E7+150</f>
        <v>4570</v>
      </c>
      <c r="F32" s="2675">
        <f t="shared" si="6"/>
        <v>4620</v>
      </c>
      <c r="G32" s="2673">
        <f>AVERAGE(E32:F32)</f>
        <v>4595</v>
      </c>
      <c r="H32" s="2673">
        <f>K32-G32-C32-D32</f>
        <v>4535</v>
      </c>
      <c r="I32" s="2674">
        <f t="shared" ref="I32:J34" si="7">+I7+200</f>
        <v>17900</v>
      </c>
      <c r="J32" s="2676">
        <f t="shared" si="7"/>
        <v>18100</v>
      </c>
      <c r="K32" s="2675">
        <f>AVERAGE(I32:J32)</f>
        <v>18000</v>
      </c>
    </row>
    <row r="33" spans="2:11">
      <c r="B33" s="2668" t="str">
        <f t="shared" si="5"/>
        <v>Core Revenue</v>
      </c>
      <c r="C33" s="2673">
        <f t="shared" si="5"/>
        <v>4054</v>
      </c>
      <c r="D33" s="2673">
        <f t="shared" si="5"/>
        <v>4018</v>
      </c>
      <c r="E33" s="2674">
        <f t="shared" si="6"/>
        <v>4170</v>
      </c>
      <c r="F33" s="2675">
        <f t="shared" si="6"/>
        <v>4220</v>
      </c>
      <c r="G33" s="2673">
        <f>AVERAGE(E33:F33)</f>
        <v>4195</v>
      </c>
      <c r="H33" s="2673">
        <f>K33-G33-C33-D33</f>
        <v>4108</v>
      </c>
      <c r="I33" s="2674">
        <f t="shared" si="7"/>
        <v>16300</v>
      </c>
      <c r="J33" s="2676">
        <f t="shared" si="7"/>
        <v>16450</v>
      </c>
      <c r="K33" s="2675">
        <f>AVERAGE(I33:J33)</f>
        <v>16375</v>
      </c>
    </row>
    <row r="34" spans="2:11">
      <c r="B34" s="2668" t="str">
        <f t="shared" si="5"/>
        <v>Adj. EBITDA / OCF</v>
      </c>
      <c r="C34" s="2673">
        <f t="shared" si="5"/>
        <v>1724</v>
      </c>
      <c r="D34" s="2673">
        <f t="shared" si="5"/>
        <v>1622</v>
      </c>
      <c r="E34" s="2674">
        <f t="shared" si="6"/>
        <v>1770</v>
      </c>
      <c r="F34" s="2675">
        <f t="shared" si="6"/>
        <v>1820</v>
      </c>
      <c r="G34" s="2673">
        <f>AVERAGE(E34:F34)</f>
        <v>1795</v>
      </c>
      <c r="H34" s="2673">
        <f>K34-G34-C34-D34</f>
        <v>1834</v>
      </c>
      <c r="I34" s="2674">
        <f t="shared" si="7"/>
        <v>6900</v>
      </c>
      <c r="J34" s="2676">
        <f t="shared" si="7"/>
        <v>7050</v>
      </c>
      <c r="K34" s="2675">
        <f>AVERAGE(I34:J34)</f>
        <v>6975</v>
      </c>
    </row>
    <row r="35" spans="2:11">
      <c r="B35" s="2717" t="s">
        <v>1288</v>
      </c>
      <c r="C35" s="2678">
        <f>+C46/C3-1</f>
        <v>-3.5794183445190142E-2</v>
      </c>
      <c r="D35" s="2678">
        <f>+D46/D3-1</f>
        <v>-0.10485651214128033</v>
      </c>
      <c r="E35" s="2625"/>
      <c r="F35" s="2623"/>
      <c r="G35" s="2681">
        <f>+G46/G3-1</f>
        <v>2.8653295128939771E-2</v>
      </c>
      <c r="H35" s="2678">
        <f>+H46/H3-1</f>
        <v>7.4399531341534875E-2</v>
      </c>
      <c r="I35" s="2624"/>
      <c r="J35" s="2624"/>
      <c r="K35" s="2623"/>
    </row>
    <row r="36" spans="2:11">
      <c r="B36" s="2700" t="s">
        <v>1287</v>
      </c>
      <c r="C36" s="2678">
        <f t="shared" ref="C36:H36" si="8">+C46/C44</f>
        <v>0.38732869018198157</v>
      </c>
      <c r="D36" s="2678">
        <f t="shared" si="8"/>
        <v>0.36705136908802899</v>
      </c>
      <c r="E36" s="2679">
        <f t="shared" si="8"/>
        <v>0.387308533916849</v>
      </c>
      <c r="F36" s="2680">
        <f t="shared" si="8"/>
        <v>0.39393939393939392</v>
      </c>
      <c r="G36" s="2678">
        <f t="shared" si="8"/>
        <v>0.39064200217627859</v>
      </c>
      <c r="H36" s="2678">
        <f t="shared" si="8"/>
        <v>0.40441014332965819</v>
      </c>
      <c r="I36" s="2624"/>
      <c r="J36" s="2624"/>
      <c r="K36" s="2623"/>
    </row>
    <row r="37" spans="2:11" ht="4.5" customHeight="1">
      <c r="B37" s="2700"/>
      <c r="C37" s="2678"/>
      <c r="D37" s="2678"/>
      <c r="E37" s="2679"/>
      <c r="F37" s="2680"/>
      <c r="G37" s="2678"/>
      <c r="H37" s="2678"/>
      <c r="I37" s="2624"/>
      <c r="J37" s="2624"/>
      <c r="K37" s="2623"/>
    </row>
    <row r="38" spans="2:11">
      <c r="B38" s="2668" t="str">
        <f>+B10</f>
        <v>EPS</v>
      </c>
      <c r="C38" s="2677">
        <f>+C10</f>
        <v>0.42235650082962883</v>
      </c>
      <c r="D38" s="2677">
        <f>+D10</f>
        <v>0.28611279997138872</v>
      </c>
      <c r="E38" s="2625">
        <f>+E10+0.16</f>
        <v>0.69000000000000006</v>
      </c>
      <c r="F38" s="2623">
        <f>+F10+0.16</f>
        <v>0.74</v>
      </c>
      <c r="G38" s="2677">
        <f>AVERAGE(E38:F38)</f>
        <v>0.71500000000000008</v>
      </c>
      <c r="H38" s="2677">
        <f>K38-G38-C38-D38</f>
        <v>1.2365306991989824</v>
      </c>
      <c r="I38" s="2625">
        <f>+I10+0.21</f>
        <v>2.56</v>
      </c>
      <c r="J38" s="2624">
        <f>+J10+0.21</f>
        <v>2.76</v>
      </c>
      <c r="K38" s="2623">
        <f>AVERAGE(I38:J38)</f>
        <v>2.66</v>
      </c>
    </row>
    <row r="39" spans="2:11" ht="4.5" customHeight="1">
      <c r="B39" s="2668"/>
      <c r="C39" s="2668"/>
      <c r="D39" s="2668"/>
      <c r="E39" s="2625"/>
      <c r="F39" s="2623"/>
      <c r="G39" s="2668"/>
      <c r="H39" s="2668"/>
      <c r="I39" s="2625"/>
      <c r="J39" s="2624"/>
      <c r="K39" s="2623"/>
    </row>
    <row r="40" spans="2:11">
      <c r="B40" s="2668" t="str">
        <f t="shared" ref="B40:D42" si="9">+B12</f>
        <v>EBITDA margin</v>
      </c>
      <c r="C40" s="2678">
        <f t="shared" si="9"/>
        <v>0.38732869018198157</v>
      </c>
      <c r="D40" s="2678">
        <f t="shared" si="9"/>
        <v>0.36705136908802899</v>
      </c>
      <c r="E40" s="2679"/>
      <c r="F40" s="2680"/>
      <c r="G40" s="2678">
        <f>+G34/G32</f>
        <v>0.39064200217627859</v>
      </c>
      <c r="H40" s="2693">
        <f>+H34/H32</f>
        <v>0.40441014332965819</v>
      </c>
      <c r="I40" s="2679" t="s">
        <v>1291</v>
      </c>
      <c r="J40" s="2681"/>
      <c r="K40" s="2680">
        <f>+K34/K32</f>
        <v>0.38750000000000001</v>
      </c>
    </row>
    <row r="41" spans="2:11">
      <c r="B41" s="2668" t="str">
        <f t="shared" si="9"/>
        <v>Y.Y EBITDA Growth</v>
      </c>
      <c r="C41" s="2678">
        <f t="shared" si="9"/>
        <v>-3.5794183445190142E-2</v>
      </c>
      <c r="D41" s="2678">
        <f t="shared" si="9"/>
        <v>-0.10485651214128033</v>
      </c>
      <c r="E41" s="2679"/>
      <c r="F41" s="2680"/>
      <c r="G41" s="2678">
        <f>+G34/G3-1</f>
        <v>2.8653295128939771E-2</v>
      </c>
      <c r="H41" s="2693">
        <f>+H34/H3-1</f>
        <v>7.4399531341534875E-2</v>
      </c>
      <c r="I41" s="2679"/>
      <c r="J41" s="2681"/>
      <c r="K41" s="2680"/>
    </row>
    <row r="42" spans="2:11">
      <c r="B42" s="2682" t="str">
        <f t="shared" si="9"/>
        <v>Q.Q EBITDA Growth</v>
      </c>
      <c r="C42" s="2683">
        <f t="shared" si="9"/>
        <v>9.9589923842999806E-3</v>
      </c>
      <c r="D42" s="2683">
        <f t="shared" si="9"/>
        <v>-5.9164733178654338E-2</v>
      </c>
      <c r="E42" s="2684"/>
      <c r="F42" s="2685"/>
      <c r="G42" s="2683">
        <f>+G34/D34-1</f>
        <v>0.10665844636251531</v>
      </c>
      <c r="H42" s="2692">
        <f>+H34/G34-1</f>
        <v>2.1727019498607225E-2</v>
      </c>
      <c r="I42" s="2684"/>
      <c r="J42" s="2686"/>
      <c r="K42" s="2687"/>
    </row>
    <row r="43" spans="2:11">
      <c r="B43" s="2624"/>
      <c r="C43" s="2624"/>
      <c r="D43" s="2624"/>
      <c r="E43" s="2624"/>
      <c r="F43" s="2624"/>
      <c r="G43" s="2624"/>
      <c r="H43" s="2624"/>
      <c r="I43" s="2624"/>
      <c r="J43" s="2624"/>
      <c r="K43" s="2624"/>
    </row>
    <row r="44" spans="2:11">
      <c r="B44" s="2659" t="str">
        <f t="shared" ref="B44:H44" si="10">B32</f>
        <v>Operating Revenue</v>
      </c>
      <c r="C44" s="2701">
        <f t="shared" si="10"/>
        <v>4451</v>
      </c>
      <c r="D44" s="2701">
        <f t="shared" si="10"/>
        <v>4419</v>
      </c>
      <c r="E44" s="2702">
        <f t="shared" si="10"/>
        <v>4570</v>
      </c>
      <c r="F44" s="2703">
        <f t="shared" si="10"/>
        <v>4620</v>
      </c>
      <c r="G44" s="2701">
        <f t="shared" si="10"/>
        <v>4595</v>
      </c>
      <c r="H44" s="2701">
        <f t="shared" si="10"/>
        <v>4535</v>
      </c>
    </row>
    <row r="45" spans="2:11">
      <c r="B45" s="2668"/>
      <c r="C45" s="2673"/>
      <c r="D45" s="2673"/>
      <c r="E45" s="2674"/>
      <c r="F45" s="2675"/>
      <c r="G45" s="2673"/>
      <c r="H45" s="2673"/>
    </row>
    <row r="46" spans="2:11">
      <c r="B46" s="2668" t="str">
        <f t="shared" ref="B46:H46" si="11">B34</f>
        <v>Adj. EBITDA / OCF</v>
      </c>
      <c r="C46" s="2673">
        <f t="shared" si="11"/>
        <v>1724</v>
      </c>
      <c r="D46" s="2673">
        <f t="shared" si="11"/>
        <v>1622</v>
      </c>
      <c r="E46" s="2674">
        <f t="shared" si="11"/>
        <v>1770</v>
      </c>
      <c r="F46" s="2675">
        <f t="shared" si="11"/>
        <v>1820</v>
      </c>
      <c r="G46" s="2673">
        <f t="shared" si="11"/>
        <v>1795</v>
      </c>
      <c r="H46" s="2673">
        <f t="shared" si="11"/>
        <v>1834</v>
      </c>
    </row>
    <row r="49" spans="2:7" ht="35.25" customHeight="1">
      <c r="B49" s="2659"/>
      <c r="C49" s="2729" t="s">
        <v>1294</v>
      </c>
      <c r="D49" s="2729" t="s">
        <v>1293</v>
      </c>
      <c r="E49" s="2729" t="s">
        <v>474</v>
      </c>
      <c r="F49" s="2727"/>
      <c r="G49" s="2727"/>
    </row>
    <row r="50" spans="2:7">
      <c r="B50" s="2668"/>
      <c r="C50" s="2668"/>
      <c r="D50" s="2668"/>
      <c r="E50" s="2668"/>
      <c r="F50" s="2672"/>
      <c r="G50" s="2672"/>
    </row>
    <row r="51" spans="2:7">
      <c r="B51" s="2668" t="s">
        <v>1263</v>
      </c>
      <c r="C51" s="2673">
        <v>4535</v>
      </c>
      <c r="D51" s="2673">
        <f>+(4400+4450)/2</f>
        <v>4425</v>
      </c>
      <c r="E51" s="2673">
        <f>+D51-C51</f>
        <v>-110</v>
      </c>
      <c r="F51" s="2676"/>
      <c r="G51" s="2676"/>
    </row>
    <row r="52" spans="2:7">
      <c r="B52" s="2668" t="s">
        <v>1264</v>
      </c>
      <c r="C52" s="2673">
        <v>4106</v>
      </c>
      <c r="D52" s="2673">
        <f>+(3970+4020)/2</f>
        <v>3995</v>
      </c>
      <c r="E52" s="2673">
        <f>+D52-C52</f>
        <v>-111</v>
      </c>
      <c r="F52" s="2676"/>
      <c r="G52" s="2676"/>
    </row>
    <row r="53" spans="2:7">
      <c r="B53" s="2668" t="s">
        <v>1265</v>
      </c>
      <c r="C53" s="2673">
        <v>1821</v>
      </c>
      <c r="D53" s="2673">
        <f>+(1720+1770)/2</f>
        <v>1745</v>
      </c>
      <c r="E53" s="2673">
        <f>+D53-C53</f>
        <v>-76</v>
      </c>
      <c r="F53" s="2676"/>
      <c r="G53" s="2676"/>
    </row>
    <row r="54" spans="2:7">
      <c r="B54" s="2700" t="s">
        <v>1287</v>
      </c>
      <c r="C54" s="2678">
        <f>+C53/C51</f>
        <v>0.40154355016538035</v>
      </c>
      <c r="D54" s="2678">
        <f>+D53/D51</f>
        <v>0.39435028248587572</v>
      </c>
      <c r="E54" s="2731" t="s">
        <v>1295</v>
      </c>
      <c r="F54" s="2681"/>
      <c r="G54" s="2681"/>
    </row>
    <row r="55" spans="2:7" ht="9.75" customHeight="1">
      <c r="B55" s="2700"/>
      <c r="C55" s="2678"/>
      <c r="D55" s="2678"/>
      <c r="E55" s="2678"/>
      <c r="F55" s="2681"/>
      <c r="G55" s="2681"/>
    </row>
    <row r="56" spans="2:7">
      <c r="B56" s="2682" t="s">
        <v>764</v>
      </c>
      <c r="C56" s="2730">
        <v>0.72875518017646002</v>
      </c>
      <c r="D56" s="2730">
        <f>+(0.62+0.67)/2</f>
        <v>0.64500000000000002</v>
      </c>
      <c r="E56" s="2730">
        <f>+D56-C56</f>
        <v>-8.3755180176459998E-2</v>
      </c>
      <c r="F56" s="2624"/>
      <c r="G56" s="2728"/>
    </row>
    <row r="57" spans="2:7">
      <c r="B57" s="2668"/>
      <c r="C57" s="2668"/>
      <c r="D57" s="2668"/>
      <c r="E57" s="2624"/>
      <c r="F57" s="2624"/>
      <c r="G57" s="2624"/>
    </row>
    <row r="58" spans="2:7">
      <c r="B58" s="2668" t="s">
        <v>1266</v>
      </c>
      <c r="C58" s="2678">
        <v>0.40154355016538035</v>
      </c>
      <c r="D58" s="2678">
        <v>0.40154355016538035</v>
      </c>
      <c r="E58" s="2681"/>
      <c r="F58" s="2681"/>
      <c r="G58" s="2681"/>
    </row>
    <row r="59" spans="2:7">
      <c r="B59" s="2668" t="s">
        <v>1267</v>
      </c>
      <c r="C59" s="2678">
        <v>6.5535400819192402E-2</v>
      </c>
      <c r="D59" s="2678">
        <v>6.5535400819192402E-2</v>
      </c>
      <c r="E59" s="2681"/>
      <c r="F59" s="2681"/>
      <c r="G59" s="2681"/>
    </row>
    <row r="60" spans="2:7">
      <c r="B60" s="2682" t="s">
        <v>1268</v>
      </c>
      <c r="C60" s="2683">
        <v>1.4484679665738076E-2</v>
      </c>
      <c r="D60" s="2683">
        <v>1.4484679665738076E-2</v>
      </c>
      <c r="E60" s="2624"/>
      <c r="F60" s="2624"/>
      <c r="G60" s="2681"/>
    </row>
  </sheetData>
  <pageMargins left="0" right="0" top="0" bottom="0" header="0" footer="0"/>
  <pageSetup paperSize="5" scale="82" orientation="landscape"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AX166"/>
  <sheetViews>
    <sheetView zoomScale="85" zoomScaleNormal="85" workbookViewId="0">
      <selection activeCell="L1" sqref="L1"/>
    </sheetView>
  </sheetViews>
  <sheetFormatPr defaultRowHeight="12.75" outlineLevelRow="1" outlineLevelCol="1"/>
  <cols>
    <col min="1" max="1" width="3.7109375" style="253" customWidth="1"/>
    <col min="2" max="2" width="18" style="253" hidden="1" customWidth="1" outlineLevel="1"/>
    <col min="3" max="4" width="20.42578125" style="253" hidden="1" customWidth="1" outlineLevel="1"/>
    <col min="5" max="6" width="9.140625" style="253" hidden="1" customWidth="1" outlineLevel="1"/>
    <col min="7" max="7" width="11.42578125" style="253" hidden="1" customWidth="1" outlineLevel="1"/>
    <col min="8" max="8" width="11.85546875" style="253" hidden="1" customWidth="1" outlineLevel="1"/>
    <col min="9" max="11" width="9" style="253" hidden="1" customWidth="1" outlineLevel="1"/>
    <col min="12" max="12" width="9.140625" style="253" collapsed="1"/>
    <col min="13" max="13" width="19.140625" style="253" hidden="1" customWidth="1" outlineLevel="1"/>
    <col min="14" max="16" width="11.140625" style="253" hidden="1" customWidth="1" outlineLevel="1"/>
    <col min="17" max="17" width="7.42578125" style="253" hidden="1" customWidth="1" outlineLevel="1"/>
    <col min="18" max="18" width="20.5703125" style="253" hidden="1" customWidth="1" outlineLevel="1"/>
    <col min="19" max="19" width="11.42578125" style="253" hidden="1" customWidth="1" outlineLevel="1"/>
    <col min="20" max="20" width="15" style="253" hidden="1" customWidth="1" outlineLevel="1"/>
    <col min="21" max="22" width="6.7109375" style="253" hidden="1" customWidth="1" outlineLevel="1"/>
    <col min="23" max="23" width="9.140625" style="253" collapsed="1"/>
    <col min="24" max="24" width="9.140625" style="253"/>
    <col min="25" max="25" width="18" style="253" hidden="1" customWidth="1" outlineLevel="1"/>
    <col min="26" max="34" width="9.140625" style="253" hidden="1" customWidth="1" outlineLevel="1"/>
    <col min="35" max="35" width="9.140625" style="253" collapsed="1"/>
    <col min="36" max="36" width="18" style="253" bestFit="1" customWidth="1"/>
    <col min="37" max="41" width="9.140625" style="253"/>
    <col min="42" max="42" width="9.140625" style="253" customWidth="1"/>
    <col min="43" max="45" width="9.85546875" style="253" customWidth="1"/>
    <col min="46" max="16384" width="9.140625" style="253"/>
  </cols>
  <sheetData>
    <row r="1" spans="1:50">
      <c r="L1" s="3002" t="s">
        <v>1588</v>
      </c>
      <c r="M1" s="3002" t="s">
        <v>1587</v>
      </c>
      <c r="N1" s="3002" t="s">
        <v>1587</v>
      </c>
      <c r="O1" s="3002" t="s">
        <v>1587</v>
      </c>
      <c r="P1" s="3002" t="s">
        <v>1587</v>
      </c>
      <c r="Q1" s="3002" t="s">
        <v>1587</v>
      </c>
      <c r="R1" s="3002" t="s">
        <v>1587</v>
      </c>
      <c r="S1" s="3002" t="s">
        <v>1587</v>
      </c>
      <c r="T1" s="3002" t="s">
        <v>1587</v>
      </c>
      <c r="U1" s="3002" t="s">
        <v>1587</v>
      </c>
      <c r="V1" s="3002" t="s">
        <v>1587</v>
      </c>
      <c r="W1" s="3002"/>
      <c r="X1" s="3002" t="s">
        <v>1587</v>
      </c>
      <c r="AI1" s="3002"/>
      <c r="AJ1" s="3002" t="s">
        <v>1586</v>
      </c>
    </row>
    <row r="2" spans="1:50" ht="15">
      <c r="T2" s="2948"/>
    </row>
    <row r="3" spans="1:50">
      <c r="B3" s="2624"/>
      <c r="C3" s="2672" t="s">
        <v>1257</v>
      </c>
      <c r="D3" s="2727" t="s">
        <v>1259</v>
      </c>
      <c r="E3" s="2727"/>
      <c r="F3" s="2727"/>
      <c r="G3" s="2672" t="s">
        <v>1292</v>
      </c>
      <c r="H3" s="2672" t="s">
        <v>1450</v>
      </c>
      <c r="I3" s="2624"/>
      <c r="J3" s="2624"/>
      <c r="K3" s="2624"/>
      <c r="M3" s="2624"/>
      <c r="N3" s="2672" t="s">
        <v>1257</v>
      </c>
      <c r="O3" s="2727" t="s">
        <v>1259</v>
      </c>
      <c r="P3" s="2727"/>
      <c r="Q3" s="2727"/>
      <c r="R3" s="2672" t="s">
        <v>1292</v>
      </c>
      <c r="S3" s="2672" t="s">
        <v>1450</v>
      </c>
      <c r="T3" s="2624"/>
      <c r="U3" s="2624"/>
      <c r="V3" s="2624"/>
      <c r="Z3" s="2991" t="s">
        <v>1575</v>
      </c>
      <c r="AA3" s="2991" t="s">
        <v>1576</v>
      </c>
      <c r="AB3" s="2991"/>
      <c r="AC3" s="2991"/>
      <c r="AD3" s="2991" t="s">
        <v>1577</v>
      </c>
      <c r="AE3" s="2991" t="s">
        <v>1578</v>
      </c>
      <c r="AK3" s="2991" t="s">
        <v>1575</v>
      </c>
      <c r="AL3" s="2991" t="s">
        <v>1576</v>
      </c>
      <c r="AM3" s="2991" t="s">
        <v>1577</v>
      </c>
      <c r="AN3" s="2991"/>
      <c r="AO3" s="2991"/>
      <c r="AP3" s="2991" t="s">
        <v>1578</v>
      </c>
    </row>
    <row r="4" spans="1:50">
      <c r="B4" s="2781" t="s">
        <v>1462</v>
      </c>
      <c r="C4" s="2778">
        <f>IS!$BW$25</f>
        <v>4451</v>
      </c>
      <c r="D4" s="2779">
        <f>IS!BX25</f>
        <v>4419</v>
      </c>
      <c r="E4" s="2666"/>
      <c r="F4" s="2666"/>
      <c r="G4" s="2778">
        <f>IS!BY25</f>
        <v>4554</v>
      </c>
      <c r="H4" s="2780">
        <f>IS!BZ25</f>
        <v>4476</v>
      </c>
      <c r="I4" s="2624"/>
      <c r="J4" s="2624"/>
      <c r="K4" s="2624"/>
      <c r="M4" s="2781" t="s">
        <v>1462</v>
      </c>
      <c r="N4" s="2778">
        <v>4451</v>
      </c>
      <c r="O4" s="2779">
        <v>4419</v>
      </c>
      <c r="P4" s="2666"/>
      <c r="Q4" s="2666"/>
      <c r="R4" s="2778">
        <v>4554</v>
      </c>
      <c r="S4" s="2780">
        <v>4476</v>
      </c>
      <c r="T4" s="2624"/>
      <c r="U4" s="2624"/>
      <c r="V4" s="2624"/>
      <c r="Y4" s="2781" t="s">
        <v>1462</v>
      </c>
      <c r="Z4" s="2976">
        <f>+C4</f>
        <v>4451</v>
      </c>
      <c r="AA4" s="2976">
        <f>+D4</f>
        <v>4419</v>
      </c>
      <c r="AB4" s="2666"/>
      <c r="AC4" s="2666"/>
      <c r="AD4" s="2976">
        <f>+G4</f>
        <v>4554</v>
      </c>
      <c r="AE4" s="2780">
        <f>+H4</f>
        <v>4476</v>
      </c>
      <c r="AF4" s="2624"/>
      <c r="AG4" s="2624"/>
      <c r="AH4" s="2624"/>
      <c r="AJ4" s="2781" t="s">
        <v>1462</v>
      </c>
      <c r="AK4" s="2976">
        <f>+N4</f>
        <v>4451</v>
      </c>
      <c r="AL4" s="2976">
        <f>+O4</f>
        <v>4419</v>
      </c>
      <c r="AM4" s="2976">
        <f>+R4</f>
        <v>4554</v>
      </c>
      <c r="AN4" s="2665"/>
      <c r="AO4" s="2667"/>
      <c r="AP4" s="2780">
        <f>+S4</f>
        <v>4476</v>
      </c>
      <c r="AQ4" s="2624"/>
      <c r="AR4" s="2624"/>
      <c r="AS4" s="2624"/>
    </row>
    <row r="5" spans="1:50">
      <c r="B5" s="2684" t="s">
        <v>1461</v>
      </c>
      <c r="C5" s="2782">
        <f>IS!BW60</f>
        <v>1724</v>
      </c>
      <c r="D5" s="2785">
        <f>IS!BX60</f>
        <v>1622</v>
      </c>
      <c r="E5" s="2784"/>
      <c r="F5" s="2784"/>
      <c r="G5" s="2782">
        <f>IS!BY60</f>
        <v>1776</v>
      </c>
      <c r="H5" s="2783">
        <f>IS!BZ60</f>
        <v>1812</v>
      </c>
      <c r="I5" s="2624"/>
      <c r="J5" s="2624"/>
      <c r="K5" s="2624"/>
      <c r="M5" s="2684" t="s">
        <v>1461</v>
      </c>
      <c r="N5" s="2782">
        <v>1735</v>
      </c>
      <c r="O5" s="2785">
        <v>1624</v>
      </c>
      <c r="P5" s="2784"/>
      <c r="Q5" s="2784"/>
      <c r="R5" s="2782">
        <v>1782</v>
      </c>
      <c r="S5" s="2783">
        <v>1819</v>
      </c>
      <c r="T5" s="2624"/>
      <c r="U5" s="2624"/>
      <c r="V5" s="2624"/>
      <c r="Y5" s="2684" t="s">
        <v>1461</v>
      </c>
      <c r="Z5" s="2977">
        <f>+C5</f>
        <v>1724</v>
      </c>
      <c r="AA5" s="2977">
        <f>+D5</f>
        <v>1622</v>
      </c>
      <c r="AB5" s="2784"/>
      <c r="AC5" s="2784"/>
      <c r="AD5" s="2977">
        <f>+G5</f>
        <v>1776</v>
      </c>
      <c r="AE5" s="2783">
        <f>+H5</f>
        <v>1812</v>
      </c>
      <c r="AF5" s="2624"/>
      <c r="AG5" s="2624"/>
      <c r="AH5" s="2624"/>
      <c r="AJ5" s="2684" t="s">
        <v>1461</v>
      </c>
      <c r="AK5" s="2977">
        <f>+N5</f>
        <v>1735</v>
      </c>
      <c r="AL5" s="2977">
        <f>+O5</f>
        <v>1624</v>
      </c>
      <c r="AM5" s="2977">
        <f>+R5</f>
        <v>1782</v>
      </c>
      <c r="AN5" s="2997"/>
      <c r="AO5" s="2998"/>
      <c r="AP5" s="2783">
        <f>+S5</f>
        <v>1819</v>
      </c>
      <c r="AQ5" s="2624"/>
      <c r="AR5" s="2624"/>
      <c r="AS5" s="2624"/>
    </row>
    <row r="6" spans="1:50">
      <c r="B6" s="2664" t="s">
        <v>1463</v>
      </c>
      <c r="C6" s="2788">
        <f>IS!$BW$63</f>
        <v>0.38732869018198157</v>
      </c>
      <c r="D6" s="2787">
        <f>IS!BX63</f>
        <v>0.36705136908802899</v>
      </c>
      <c r="E6" s="2786"/>
      <c r="F6" s="2786"/>
      <c r="G6" s="2789">
        <f>IS!BY63</f>
        <v>0.38998682476943347</v>
      </c>
      <c r="H6" s="2790">
        <f>IS!BZ63</f>
        <v>0.40482573726541554</v>
      </c>
      <c r="M6" s="2664" t="s">
        <v>1463</v>
      </c>
      <c r="N6" s="2788">
        <v>0.38980004493372278</v>
      </c>
      <c r="O6" s="2787">
        <v>0.36750396017198461</v>
      </c>
      <c r="P6" s="2786"/>
      <c r="Q6" s="2786"/>
      <c r="R6" s="2789">
        <v>0.39130434782608697</v>
      </c>
      <c r="S6" s="2790">
        <v>0.40638963360142982</v>
      </c>
      <c r="Y6" s="2664" t="s">
        <v>1463</v>
      </c>
      <c r="Z6" s="2978">
        <f>+Z5/Z4</f>
        <v>0.38732869018198157</v>
      </c>
      <c r="AA6" s="2978">
        <f>+AA5/AA4</f>
        <v>0.36705136908802899</v>
      </c>
      <c r="AB6" s="2787"/>
      <c r="AC6" s="2979"/>
      <c r="AD6" s="2978">
        <f>+AD5/AD4</f>
        <v>0.38998682476943347</v>
      </c>
      <c r="AE6" s="2790">
        <f>+AE5/AE4</f>
        <v>0.40482573726541554</v>
      </c>
      <c r="AJ6" s="2664" t="s">
        <v>1463</v>
      </c>
      <c r="AK6" s="2978">
        <f>+AK5/AK4</f>
        <v>0.38980004493372278</v>
      </c>
      <c r="AL6" s="2978">
        <f>+AL5/AL4</f>
        <v>0.36750396017198461</v>
      </c>
      <c r="AM6" s="2978">
        <f>+AM5/AM4</f>
        <v>0.39130434782608697</v>
      </c>
      <c r="AN6" s="2999"/>
      <c r="AO6" s="3000"/>
      <c r="AP6" s="2790">
        <f>+AP5/AP4</f>
        <v>0.40638963360142982</v>
      </c>
    </row>
    <row r="7" spans="1:50" ht="25.5">
      <c r="B7" s="2688"/>
      <c r="C7" s="2794" t="s">
        <v>1456</v>
      </c>
      <c r="D7" s="2792" t="s">
        <v>1457</v>
      </c>
      <c r="E7" s="2792"/>
      <c r="F7" s="2792"/>
      <c r="G7" s="2791" t="s">
        <v>1458</v>
      </c>
      <c r="H7" s="2793" t="s">
        <v>1459</v>
      </c>
      <c r="I7" s="2665" t="s">
        <v>1460</v>
      </c>
      <c r="J7" s="2666"/>
      <c r="K7" s="2667"/>
      <c r="M7" s="2659"/>
      <c r="N7" s="2794" t="s">
        <v>1465</v>
      </c>
      <c r="O7" s="2661" t="s">
        <v>1567</v>
      </c>
      <c r="P7" s="2792"/>
      <c r="Q7" s="2662"/>
      <c r="R7" s="2946" t="s">
        <v>1568</v>
      </c>
      <c r="S7" s="2793"/>
      <c r="T7" s="2665" t="s">
        <v>1460</v>
      </c>
      <c r="U7" s="2666"/>
      <c r="V7" s="2667"/>
      <c r="Y7" s="2688"/>
      <c r="Z7" s="2660" t="s">
        <v>1465</v>
      </c>
      <c r="AA7" s="2660" t="s">
        <v>1568</v>
      </c>
      <c r="AB7" s="2792" t="s">
        <v>1579</v>
      </c>
      <c r="AC7" s="2792"/>
      <c r="AD7" s="2660" t="s">
        <v>1580</v>
      </c>
      <c r="AE7" s="2989" t="s">
        <v>1581</v>
      </c>
      <c r="AF7" s="2665" t="s">
        <v>1460</v>
      </c>
      <c r="AG7" s="2666"/>
      <c r="AH7" s="2667"/>
      <c r="AJ7" s="2688"/>
      <c r="AK7" s="2660" t="s">
        <v>1465</v>
      </c>
      <c r="AL7" s="2660" t="s">
        <v>1568</v>
      </c>
      <c r="AM7" s="2660" t="s">
        <v>1580</v>
      </c>
      <c r="AN7" s="2661" t="s">
        <v>1585</v>
      </c>
      <c r="AO7" s="2662"/>
      <c r="AP7" s="2989" t="s">
        <v>1581</v>
      </c>
      <c r="AQ7" s="2661" t="s">
        <v>1460</v>
      </c>
      <c r="AR7" s="2792"/>
      <c r="AS7" s="2662"/>
      <c r="AV7" s="3020" t="s">
        <v>1592</v>
      </c>
      <c r="AW7" s="3020"/>
      <c r="AX7" s="3020"/>
    </row>
    <row r="8" spans="1:50">
      <c r="B8" s="2668"/>
      <c r="C8" s="2668"/>
      <c r="D8" s="2669" t="s">
        <v>1260</v>
      </c>
      <c r="E8" s="2670" t="s">
        <v>1261</v>
      </c>
      <c r="F8" s="2671" t="s">
        <v>1262</v>
      </c>
      <c r="G8" s="2668"/>
      <c r="H8" s="2668"/>
      <c r="I8" s="2799" t="s">
        <v>1260</v>
      </c>
      <c r="J8" s="2672" t="s">
        <v>1261</v>
      </c>
      <c r="K8" s="2670" t="s">
        <v>1262</v>
      </c>
      <c r="M8" s="2951"/>
      <c r="N8" s="2660"/>
      <c r="O8" s="2660" t="s">
        <v>1260</v>
      </c>
      <c r="P8" s="2945" t="s">
        <v>1261</v>
      </c>
      <c r="Q8" s="2660" t="s">
        <v>1262</v>
      </c>
      <c r="R8" s="2946" t="s">
        <v>1569</v>
      </c>
      <c r="S8" s="2671"/>
      <c r="T8" s="2799" t="s">
        <v>1260</v>
      </c>
      <c r="U8" s="2672" t="s">
        <v>1261</v>
      </c>
      <c r="V8" s="2670" t="s">
        <v>1262</v>
      </c>
      <c r="Y8" s="2668"/>
      <c r="Z8" s="2671"/>
      <c r="AA8" s="2671" t="s">
        <v>1262</v>
      </c>
      <c r="AB8" s="2669" t="s">
        <v>1260</v>
      </c>
      <c r="AC8" s="2670" t="s">
        <v>1261</v>
      </c>
      <c r="AD8" s="2671" t="s">
        <v>1573</v>
      </c>
      <c r="AE8" s="2671"/>
      <c r="AF8" s="2799" t="s">
        <v>1260</v>
      </c>
      <c r="AG8" s="2672" t="s">
        <v>1261</v>
      </c>
      <c r="AH8" s="2670" t="s">
        <v>1262</v>
      </c>
      <c r="AJ8" s="2668"/>
      <c r="AK8" s="2671"/>
      <c r="AL8" s="2671"/>
      <c r="AM8" s="2671"/>
      <c r="AN8" s="2669" t="s">
        <v>1260</v>
      </c>
      <c r="AO8" s="2670" t="s">
        <v>1261</v>
      </c>
      <c r="AP8" s="2671"/>
      <c r="AQ8" s="2669" t="s">
        <v>1260</v>
      </c>
      <c r="AR8" s="2672" t="s">
        <v>1261</v>
      </c>
      <c r="AS8" s="2670" t="s">
        <v>1262</v>
      </c>
      <c r="AU8" s="253" t="s">
        <v>1591</v>
      </c>
      <c r="AV8" s="2991" t="s">
        <v>1260</v>
      </c>
      <c r="AW8" s="2991" t="s">
        <v>1261</v>
      </c>
      <c r="AX8" s="3021" t="s">
        <v>1262</v>
      </c>
    </row>
    <row r="9" spans="1:50">
      <c r="B9" s="2668" t="s">
        <v>1263</v>
      </c>
      <c r="C9" s="2673">
        <v>4401</v>
      </c>
      <c r="D9" s="2674">
        <v>4380</v>
      </c>
      <c r="E9" s="2675">
        <v>4430</v>
      </c>
      <c r="F9" s="2673">
        <f>AVERAGE(D9:E9)</f>
        <v>4405</v>
      </c>
      <c r="G9" s="2673">
        <f>+(I9-F9-C9)/2</f>
        <v>4372</v>
      </c>
      <c r="H9" s="2673">
        <f>+G9</f>
        <v>4372</v>
      </c>
      <c r="I9" s="2800">
        <v>17550</v>
      </c>
      <c r="J9" s="2676">
        <v>17800</v>
      </c>
      <c r="K9" s="2675">
        <f>AVERAGE(I9:J9)</f>
        <v>17675</v>
      </c>
      <c r="M9" s="2952" t="s">
        <v>1263</v>
      </c>
      <c r="N9" s="2954">
        <v>4401</v>
      </c>
      <c r="O9" s="2955">
        <v>4380</v>
      </c>
      <c r="P9" s="2956">
        <v>4430</v>
      </c>
      <c r="Q9" s="2955">
        <f>AVERAGE(O9:P9)</f>
        <v>4405</v>
      </c>
      <c r="R9" s="2957">
        <v>4382</v>
      </c>
      <c r="S9" s="2950" t="s">
        <v>1571</v>
      </c>
      <c r="T9" s="2800">
        <v>17550</v>
      </c>
      <c r="U9" s="2676">
        <v>17800</v>
      </c>
      <c r="V9" s="2675">
        <v>17675</v>
      </c>
      <c r="Y9" s="2668" t="s">
        <v>1263</v>
      </c>
      <c r="Z9" s="2980">
        <f>IS!CA25</f>
        <v>4401</v>
      </c>
      <c r="AA9" s="2980">
        <f>IS!CB25</f>
        <v>4398</v>
      </c>
      <c r="AB9" s="2984">
        <v>4350</v>
      </c>
      <c r="AC9" s="2985">
        <v>4400</v>
      </c>
      <c r="AD9" s="2980">
        <f>+AVERAGE(AB9:AC9)</f>
        <v>4375</v>
      </c>
      <c r="AE9" s="2980">
        <f>+AF9-AD9-AA9-Z9</f>
        <v>4376</v>
      </c>
      <c r="AF9" s="2800">
        <v>17550</v>
      </c>
      <c r="AG9" s="2676">
        <v>17800</v>
      </c>
      <c r="AH9" s="2675">
        <f>AVERAGE(AF9:AG9)</f>
        <v>17675</v>
      </c>
      <c r="AJ9" s="2668" t="s">
        <v>1263</v>
      </c>
      <c r="AK9" s="2980">
        <f>IS!CA25</f>
        <v>4401</v>
      </c>
      <c r="AL9" s="2980">
        <f>IS!CB25</f>
        <v>4398</v>
      </c>
      <c r="AM9" s="2980">
        <f>IS!CC25</f>
        <v>4382</v>
      </c>
      <c r="AN9" s="2984">
        <v>4280</v>
      </c>
      <c r="AO9" s="2985">
        <v>4340</v>
      </c>
      <c r="AP9" s="2980">
        <f>+AVERAGE(AN9:AO9)</f>
        <v>4310</v>
      </c>
      <c r="AQ9" s="2674">
        <f t="shared" ref="AQ9:AR12" si="0">+SUM($AK9:$AM9)+AN9</f>
        <v>17461</v>
      </c>
      <c r="AR9" s="2676">
        <f t="shared" si="0"/>
        <v>17521</v>
      </c>
      <c r="AS9" s="2675">
        <f>AVERAGE(AQ9:AR9)</f>
        <v>17491</v>
      </c>
      <c r="AU9" s="2996">
        <f>IS!CD25</f>
        <v>4289</v>
      </c>
      <c r="AV9" s="2709">
        <f t="shared" ref="AV9:AX12" si="1">+$AU9/AN9-1</f>
        <v>2.1028037383177267E-3</v>
      </c>
      <c r="AW9" s="2709">
        <f t="shared" si="1"/>
        <v>-1.1751152073732674E-2</v>
      </c>
      <c r="AX9" s="3022">
        <f t="shared" si="1"/>
        <v>-4.8723897911833181E-3</v>
      </c>
    </row>
    <row r="10" spans="1:50" hidden="1" outlineLevel="1">
      <c r="B10" s="2668" t="s">
        <v>1264</v>
      </c>
      <c r="C10" s="2673">
        <f>Subscribers!CI157</f>
        <v>3977</v>
      </c>
      <c r="D10" s="2674">
        <v>4020</v>
      </c>
      <c r="E10" s="2675">
        <v>4070</v>
      </c>
      <c r="F10" s="2673">
        <f>AVERAGE(D10:E10)</f>
        <v>4045</v>
      </c>
      <c r="G10" s="2673">
        <f>+(I10-F10-C10)/2</f>
        <v>4039</v>
      </c>
      <c r="H10" s="2673">
        <f>K10-F10-C10-G10</f>
        <v>4114</v>
      </c>
      <c r="I10" s="2800">
        <v>16100</v>
      </c>
      <c r="J10" s="2676">
        <v>16250</v>
      </c>
      <c r="K10" s="2675">
        <f>AVERAGE(I10:J10)</f>
        <v>16175</v>
      </c>
      <c r="M10" s="2952" t="s">
        <v>1264</v>
      </c>
      <c r="N10" s="2954">
        <v>3977</v>
      </c>
      <c r="O10" s="2955">
        <v>4020</v>
      </c>
      <c r="P10" s="2956">
        <v>4070</v>
      </c>
      <c r="Q10" s="2955">
        <f>AVERAGE(O10:P10)</f>
        <v>4045</v>
      </c>
      <c r="R10" s="2957"/>
      <c r="S10" s="2947"/>
      <c r="T10" s="2800">
        <v>16100</v>
      </c>
      <c r="U10" s="2676">
        <v>16250</v>
      </c>
      <c r="V10" s="2675">
        <v>16175</v>
      </c>
      <c r="Y10" s="2668" t="s">
        <v>1264</v>
      </c>
      <c r="Z10" s="2980">
        <f>Subscribers!CI157</f>
        <v>3977</v>
      </c>
      <c r="AA10" s="2980">
        <f>Subscribers!CJ157</f>
        <v>3968</v>
      </c>
      <c r="AB10" s="2984">
        <v>3900</v>
      </c>
      <c r="AC10" s="2985">
        <v>3950</v>
      </c>
      <c r="AD10" s="2980">
        <f>+AVERAGE(AB10:AC10)</f>
        <v>3925</v>
      </c>
      <c r="AE10" s="2980">
        <f>+AF10-AD10-AA10-Z10</f>
        <v>3880</v>
      </c>
      <c r="AF10" s="2800">
        <v>15750</v>
      </c>
      <c r="AG10" s="2676">
        <v>16000</v>
      </c>
      <c r="AH10" s="2675">
        <f>AVERAGE(AF10:AG10)</f>
        <v>15875</v>
      </c>
      <c r="AJ10" s="2668" t="s">
        <v>1264</v>
      </c>
      <c r="AK10" s="2980">
        <f>Subscribers!CI157</f>
        <v>3977</v>
      </c>
      <c r="AL10" s="2980">
        <f>Subscribers!CJ157</f>
        <v>3968</v>
      </c>
      <c r="AM10" s="2980">
        <f>Subscribers!CK157</f>
        <v>3915</v>
      </c>
      <c r="AN10" s="2984">
        <v>3860</v>
      </c>
      <c r="AO10" s="2985">
        <v>3920</v>
      </c>
      <c r="AP10" s="2980">
        <f>+AVERAGE(AN10:AO10)</f>
        <v>3890</v>
      </c>
      <c r="AQ10" s="2674">
        <f t="shared" si="0"/>
        <v>15720</v>
      </c>
      <c r="AR10" s="2676">
        <f t="shared" si="0"/>
        <v>15780</v>
      </c>
      <c r="AS10" s="2675">
        <f>AVERAGE(AQ10:AR10)</f>
        <v>15750</v>
      </c>
      <c r="AU10" s="2996">
        <f>Subscribers!CL157</f>
        <v>3862</v>
      </c>
      <c r="AV10" s="2709">
        <f t="shared" si="1"/>
        <v>5.1813471502581976E-4</v>
      </c>
      <c r="AW10" s="2709">
        <f t="shared" si="1"/>
        <v>-1.479591836734695E-2</v>
      </c>
      <c r="AX10" s="3022">
        <f t="shared" si="1"/>
        <v>-7.197943444730126E-3</v>
      </c>
    </row>
    <row r="11" spans="1:50" collapsed="1">
      <c r="B11" s="2668" t="s">
        <v>1265</v>
      </c>
      <c r="C11" s="2673">
        <v>1690</v>
      </c>
      <c r="D11" s="2674">
        <v>1590</v>
      </c>
      <c r="E11" s="2675">
        <v>1640</v>
      </c>
      <c r="F11" s="2673">
        <f>AVERAGE(D11:E11)</f>
        <v>1615</v>
      </c>
      <c r="G11" s="2673">
        <f>+(I11-F11-C11)/2</f>
        <v>1647.5</v>
      </c>
      <c r="H11" s="2673">
        <f>+G11</f>
        <v>1647.5</v>
      </c>
      <c r="I11" s="2800">
        <v>6600</v>
      </c>
      <c r="J11" s="2676">
        <v>6800</v>
      </c>
      <c r="K11" s="2675">
        <f>AVERAGE(I11:J11)</f>
        <v>6700</v>
      </c>
      <c r="M11" s="2952" t="s">
        <v>1265</v>
      </c>
      <c r="N11" s="2954">
        <v>1690</v>
      </c>
      <c r="O11" s="2955">
        <v>1590</v>
      </c>
      <c r="P11" s="2956">
        <v>1640</v>
      </c>
      <c r="Q11" s="2955">
        <f>AVERAGE(O11:P11)</f>
        <v>1615</v>
      </c>
      <c r="R11" s="2957">
        <v>1598</v>
      </c>
      <c r="S11" s="2949" t="s">
        <v>1570</v>
      </c>
      <c r="T11" s="2800">
        <v>6600</v>
      </c>
      <c r="U11" s="2676">
        <v>6800</v>
      </c>
      <c r="V11" s="2675">
        <v>6700</v>
      </c>
      <c r="Y11" s="2668" t="s">
        <v>1265</v>
      </c>
      <c r="Z11" s="2980">
        <f>IS!CA60</f>
        <v>1684</v>
      </c>
      <c r="AA11" s="2980">
        <f>IS!CB60</f>
        <v>1648</v>
      </c>
      <c r="AB11" s="2984">
        <v>1560</v>
      </c>
      <c r="AC11" s="2985">
        <v>1610</v>
      </c>
      <c r="AD11" s="2980">
        <f>+AVERAGE(AB11:AC11)</f>
        <v>1585</v>
      </c>
      <c r="AE11" s="2980">
        <f>+AF11-AD11-AA11-Z11</f>
        <v>1683</v>
      </c>
      <c r="AF11" s="2800">
        <v>6600</v>
      </c>
      <c r="AG11" s="2676">
        <v>6800</v>
      </c>
      <c r="AH11" s="2675">
        <f>AVERAGE(AF11:AG11)</f>
        <v>6700</v>
      </c>
      <c r="AJ11" s="2668" t="s">
        <v>1265</v>
      </c>
      <c r="AK11" s="2980">
        <f>IS!CA60</f>
        <v>1684</v>
      </c>
      <c r="AL11" s="2980">
        <f>IS!CB60</f>
        <v>1648</v>
      </c>
      <c r="AM11" s="2980">
        <f>IS!CC60</f>
        <v>1596</v>
      </c>
      <c r="AN11" s="2984">
        <v>1580</v>
      </c>
      <c r="AO11" s="2985">
        <v>1640</v>
      </c>
      <c r="AP11" s="3106">
        <f>+AVERAGE(AN11:AO11)</f>
        <v>1610</v>
      </c>
      <c r="AQ11" s="2674">
        <f t="shared" si="0"/>
        <v>6508</v>
      </c>
      <c r="AR11" s="2676">
        <f t="shared" si="0"/>
        <v>6568</v>
      </c>
      <c r="AS11" s="2675">
        <f>AVERAGE(AQ11:AR11)</f>
        <v>6538</v>
      </c>
      <c r="AU11" s="2996">
        <f>IS!CD60</f>
        <v>1585</v>
      </c>
      <c r="AV11" s="2709">
        <f t="shared" si="1"/>
        <v>3.1645569620253333E-3</v>
      </c>
      <c r="AW11" s="2709">
        <f t="shared" si="1"/>
        <v>-3.3536585365853688E-2</v>
      </c>
      <c r="AX11" s="3022">
        <f t="shared" si="1"/>
        <v>-1.552795031055898E-2</v>
      </c>
    </row>
    <row r="12" spans="1:50">
      <c r="B12" s="2668" t="s">
        <v>764</v>
      </c>
      <c r="C12" s="2677">
        <v>0.71</v>
      </c>
      <c r="D12" s="2795">
        <v>0.56999999999999995</v>
      </c>
      <c r="E12" s="2797">
        <v>0.62</v>
      </c>
      <c r="F12" s="2677">
        <f>AVERAGE(D12:E12)</f>
        <v>0.59499999999999997</v>
      </c>
      <c r="G12" s="2677">
        <f>+(I12-F12-C12)/2</f>
        <v>0.59750000000000003</v>
      </c>
      <c r="H12" s="2677">
        <f>+G12</f>
        <v>0.59750000000000003</v>
      </c>
      <c r="I12" s="2801">
        <v>2.5</v>
      </c>
      <c r="J12" s="2796">
        <v>2.7</v>
      </c>
      <c r="K12" s="2797">
        <f>AVERAGE(I12:J12)</f>
        <v>2.6</v>
      </c>
      <c r="M12" s="2952" t="s">
        <v>764</v>
      </c>
      <c r="N12" s="2958">
        <v>0.71</v>
      </c>
      <c r="O12" s="2959">
        <v>0.56999999999999995</v>
      </c>
      <c r="P12" s="2960">
        <v>0.62</v>
      </c>
      <c r="Q12" s="2677">
        <f>AVERAGE(O12:P12)</f>
        <v>0.59499999999999997</v>
      </c>
      <c r="R12" s="2961">
        <v>0.56000000000000005</v>
      </c>
      <c r="S12" s="2949" t="s">
        <v>1570</v>
      </c>
      <c r="T12" s="2801">
        <v>2.5</v>
      </c>
      <c r="U12" s="2796">
        <v>2.7</v>
      </c>
      <c r="V12" s="2797">
        <v>2.6</v>
      </c>
      <c r="Y12" s="2668" t="s">
        <v>764</v>
      </c>
      <c r="Z12" s="2981">
        <f>IS!CA93</f>
        <v>0.43688574512159678</v>
      </c>
      <c r="AA12" s="2981">
        <f>IS!CB93</f>
        <v>0.36269430051813473</v>
      </c>
      <c r="AB12" s="2986">
        <v>0.52</v>
      </c>
      <c r="AC12" s="2987">
        <v>0.56999999999999995</v>
      </c>
      <c r="AD12" s="2981">
        <f>+AVERAGE(AB12:AC12)</f>
        <v>0.54499999999999993</v>
      </c>
      <c r="AE12" s="2981">
        <f>+AF12-AD12-AA12-Z12</f>
        <v>1.1554199543602686</v>
      </c>
      <c r="AF12" s="2801">
        <v>2.5</v>
      </c>
      <c r="AG12" s="2796">
        <v>2.7</v>
      </c>
      <c r="AH12" s="2797">
        <f>AVERAGE(AF12:AG12)</f>
        <v>2.6</v>
      </c>
      <c r="AJ12" s="2668" t="s">
        <v>764</v>
      </c>
      <c r="AK12" s="2981">
        <f>IS!CA93</f>
        <v>0.43688574512159678</v>
      </c>
      <c r="AL12" s="2981">
        <f>IS!CB93</f>
        <v>0.36269430051813473</v>
      </c>
      <c r="AM12" s="2981">
        <f>IS!CC93</f>
        <v>0.28100429455905435</v>
      </c>
      <c r="AN12" s="2986">
        <v>0.53</v>
      </c>
      <c r="AO12" s="2987">
        <v>0.59</v>
      </c>
      <c r="AP12" s="2981">
        <f>+AVERAGE(AN12:AO12)</f>
        <v>0.56000000000000005</v>
      </c>
      <c r="AQ12" s="2795">
        <f t="shared" si="0"/>
        <v>1.6105843401987858</v>
      </c>
      <c r="AR12" s="2796">
        <f t="shared" si="0"/>
        <v>1.6705843401987859</v>
      </c>
      <c r="AS12" s="2797">
        <f>AVERAGE(AQ12:AR12)</f>
        <v>1.6405843401987859</v>
      </c>
      <c r="AU12" s="3019">
        <f>IS!CD93</f>
        <v>7.7600303010706986E-2</v>
      </c>
      <c r="AV12" s="2709">
        <f t="shared" si="1"/>
        <v>-0.85358433394206235</v>
      </c>
      <c r="AW12" s="2709">
        <f t="shared" si="1"/>
        <v>-0.86847406269371696</v>
      </c>
      <c r="AX12" s="3022">
        <f t="shared" si="1"/>
        <v>-0.86142803033802329</v>
      </c>
    </row>
    <row r="13" spans="1:50">
      <c r="B13" s="2668"/>
      <c r="C13" s="2668"/>
      <c r="D13" s="2625"/>
      <c r="E13" s="2623"/>
      <c r="F13" s="2668"/>
      <c r="G13" s="2668"/>
      <c r="H13" s="2668"/>
      <c r="I13" s="2625"/>
      <c r="J13" s="2624"/>
      <c r="K13" s="2623"/>
      <c r="M13" s="2952"/>
      <c r="N13" s="2962"/>
      <c r="O13" s="2963"/>
      <c r="P13" s="2964"/>
      <c r="Q13" s="2963"/>
      <c r="R13" s="2965"/>
      <c r="S13" s="2671"/>
      <c r="T13" s="2625"/>
      <c r="U13" s="2624"/>
      <c r="V13" s="2623"/>
      <c r="Y13" s="2668"/>
      <c r="Z13" s="2671"/>
      <c r="AA13" s="2671"/>
      <c r="AB13" s="2625"/>
      <c r="AC13" s="2623"/>
      <c r="AD13" s="2671"/>
      <c r="AE13" s="2671"/>
      <c r="AF13" s="2625"/>
      <c r="AG13" s="2624"/>
      <c r="AH13" s="2623"/>
      <c r="AJ13" s="2668"/>
      <c r="AK13" s="2671"/>
      <c r="AL13" s="2671"/>
      <c r="AM13" s="2671"/>
      <c r="AN13" s="2625"/>
      <c r="AO13" s="2623"/>
      <c r="AP13" s="2671"/>
      <c r="AQ13" s="2625"/>
      <c r="AR13" s="2624"/>
      <c r="AS13" s="2623"/>
    </row>
    <row r="14" spans="1:50">
      <c r="A14"/>
      <c r="B14" s="2668" t="s">
        <v>1266</v>
      </c>
      <c r="C14" s="2678">
        <f>+C11/C9</f>
        <v>0.38400363553737787</v>
      </c>
      <c r="D14" s="2679"/>
      <c r="E14" s="2680"/>
      <c r="F14" s="2678">
        <f>+F11/F9</f>
        <v>0.36662883087400683</v>
      </c>
      <c r="G14" s="2678">
        <f>+G11/G9</f>
        <v>0.37682982616651417</v>
      </c>
      <c r="H14" s="2678">
        <f>+H11/H9</f>
        <v>0.37682982616651417</v>
      </c>
      <c r="I14" s="2679"/>
      <c r="J14" s="2681"/>
      <c r="K14" s="2680">
        <f>+K11/K9</f>
        <v>0.37906647807637905</v>
      </c>
      <c r="M14" s="2952" t="s">
        <v>1266</v>
      </c>
      <c r="N14" s="2966">
        <v>0.38400363553737787</v>
      </c>
      <c r="O14" s="2967">
        <f>+O11/O9</f>
        <v>0.36301369863013699</v>
      </c>
      <c r="P14" s="2968">
        <f>+P11/P9</f>
        <v>0.37020316027088035</v>
      </c>
      <c r="Q14" s="2967">
        <f>+Q11/Q9</f>
        <v>0.36662883087400683</v>
      </c>
      <c r="R14" s="2969">
        <f>+R11/R9</f>
        <v>0.36467366499315379</v>
      </c>
      <c r="S14" s="2967"/>
      <c r="T14" s="2679"/>
      <c r="U14" s="2681"/>
      <c r="V14" s="2680">
        <v>0.37906647807637905</v>
      </c>
      <c r="Y14" s="2668" t="s">
        <v>1266</v>
      </c>
      <c r="Z14" s="2982">
        <f>+Z11/Z9</f>
        <v>0.38264030902067714</v>
      </c>
      <c r="AA14" s="2982">
        <f>+AA11/AA9</f>
        <v>0.37471577989995453</v>
      </c>
      <c r="AB14" s="2679"/>
      <c r="AC14" s="2680"/>
      <c r="AD14" s="2982">
        <f>+AD11/AD9</f>
        <v>0.36228571428571427</v>
      </c>
      <c r="AE14" s="2982">
        <f>+AE11/AE9</f>
        <v>0.38459780621572209</v>
      </c>
      <c r="AF14" s="2679">
        <f>+AF11/AF9</f>
        <v>0.37606837606837606</v>
      </c>
      <c r="AG14" s="2681">
        <f>+AG11/AG9</f>
        <v>0.38202247191011235</v>
      </c>
      <c r="AH14" s="2680">
        <f>+AH11/AH9</f>
        <v>0.37906647807637905</v>
      </c>
      <c r="AJ14" s="2668" t="s">
        <v>1266</v>
      </c>
      <c r="AK14" s="2982">
        <f t="shared" ref="AK14:AS14" si="2">+AK11/AK9</f>
        <v>0.38264030902067714</v>
      </c>
      <c r="AL14" s="2982">
        <f t="shared" si="2"/>
        <v>0.37471577989995453</v>
      </c>
      <c r="AM14" s="2982">
        <f t="shared" si="2"/>
        <v>0.36421725239616615</v>
      </c>
      <c r="AN14" s="2679">
        <f t="shared" si="2"/>
        <v>0.36915887850467288</v>
      </c>
      <c r="AO14" s="2680">
        <f t="shared" si="2"/>
        <v>0.37788018433179721</v>
      </c>
      <c r="AP14" s="2982">
        <f t="shared" si="2"/>
        <v>0.37354988399071926</v>
      </c>
      <c r="AQ14" s="2679">
        <f t="shared" si="2"/>
        <v>0.37271633927037395</v>
      </c>
      <c r="AR14" s="2681">
        <f t="shared" si="2"/>
        <v>0.37486444837623423</v>
      </c>
      <c r="AS14" s="2680">
        <f t="shared" si="2"/>
        <v>0.37379223600708938</v>
      </c>
    </row>
    <row r="15" spans="1:50">
      <c r="A15"/>
      <c r="B15" s="2668" t="s">
        <v>1267</v>
      </c>
      <c r="C15" s="2678">
        <f>+C11/C5-1</f>
        <v>-1.9721577726218076E-2</v>
      </c>
      <c r="D15" s="2679"/>
      <c r="E15" s="2680"/>
      <c r="F15" s="2678">
        <f>+F11/D5-1</f>
        <v>-4.3156596794081681E-3</v>
      </c>
      <c r="G15" s="2678">
        <f>+G11/G5-1</f>
        <v>-7.2353603603603656E-2</v>
      </c>
      <c r="H15" s="2678">
        <f>+H11/H5-1</f>
        <v>-9.0783664459161195E-2</v>
      </c>
      <c r="I15" s="2679"/>
      <c r="J15" s="2681"/>
      <c r="K15" s="2680"/>
      <c r="M15" s="2952" t="s">
        <v>1267</v>
      </c>
      <c r="N15" s="2966">
        <v>-2.5936599423631135E-2</v>
      </c>
      <c r="O15" s="2967">
        <f>+O11/$N$5-1</f>
        <v>-8.3573487031700311E-2</v>
      </c>
      <c r="P15" s="2968">
        <f>+P11/$N$5-1</f>
        <v>-5.4755043227665667E-2</v>
      </c>
      <c r="Q15" s="2967">
        <f>+Q11/$N$5-1</f>
        <v>-6.9164265129682989E-2</v>
      </c>
      <c r="R15" s="2969">
        <f>+R11/$N$5-1</f>
        <v>-7.8962536023054808E-2</v>
      </c>
      <c r="S15" s="2967"/>
      <c r="T15" s="2679"/>
      <c r="U15" s="2681"/>
      <c r="V15" s="2680"/>
      <c r="Y15" s="2668" t="s">
        <v>1267</v>
      </c>
      <c r="Z15" s="2982">
        <f>+Z11/Z5-1</f>
        <v>-2.3201856148491906E-2</v>
      </c>
      <c r="AA15" s="2982">
        <f>+AA11/AA5-1</f>
        <v>1.6029593094944561E-2</v>
      </c>
      <c r="AB15" s="2679"/>
      <c r="AC15" s="2680"/>
      <c r="AD15" s="2982">
        <f>+AD11/AD5-1</f>
        <v>-0.10754504504504503</v>
      </c>
      <c r="AE15" s="2982">
        <f>+AE11/AE5-1</f>
        <v>-7.1192052980132425E-2</v>
      </c>
      <c r="AF15" s="2679">
        <f>+AF11/SUM($Z$5:$AE$5)-1</f>
        <v>-4.8168445341794097E-2</v>
      </c>
      <c r="AG15" s="2681">
        <f>+AG11/SUM($Z$5:$AE$5)-1</f>
        <v>-1.9325064897605992E-2</v>
      </c>
      <c r="AH15" s="2680">
        <f>+AH11/SUM($Z$5:$AE$5)-1</f>
        <v>-3.3746755119700045E-2</v>
      </c>
      <c r="AJ15" s="2668" t="s">
        <v>1267</v>
      </c>
      <c r="AK15" s="2982">
        <f>+AK11/AK5-1</f>
        <v>-2.9394812680115234E-2</v>
      </c>
      <c r="AL15" s="2982">
        <f>+AL11/AL5-1</f>
        <v>1.4778325123152802E-2</v>
      </c>
      <c r="AM15" s="2982">
        <f>+AM11/AM5-1</f>
        <v>-0.10437710437710435</v>
      </c>
      <c r="AN15" s="2679">
        <f>+AN11/AP5-1</f>
        <v>-0.13139087410665196</v>
      </c>
      <c r="AO15" s="2680">
        <f>+AO11/AP5-1</f>
        <v>-9.8405717427157757E-2</v>
      </c>
      <c r="AP15" s="2982">
        <f>+AP11/AP5-1</f>
        <v>-0.11489829576690491</v>
      </c>
      <c r="AQ15" s="2679">
        <f>+AQ11/SUM($Z$5:$AE$5)-1</f>
        <v>-6.1436400346120523E-2</v>
      </c>
      <c r="AR15" s="2681">
        <f>+AR11/SUM($Z$5:$AE$5)-1</f>
        <v>-5.2783386212864158E-2</v>
      </c>
      <c r="AS15" s="2680">
        <f>+AS11/SUM($Z$5:$AE$5)-1</f>
        <v>-5.7109893279492341E-2</v>
      </c>
    </row>
    <row r="16" spans="1:50">
      <c r="A16"/>
      <c r="B16" s="2682" t="s">
        <v>1268</v>
      </c>
      <c r="C16" s="2683">
        <f>+C11/H5-1</f>
        <v>-6.7328918322295817E-2</v>
      </c>
      <c r="D16" s="2684"/>
      <c r="E16" s="2685"/>
      <c r="F16" s="2683">
        <f>+F11/C11-1</f>
        <v>-4.4378698224852076E-2</v>
      </c>
      <c r="G16" s="2683">
        <f>+G11/F11-1</f>
        <v>2.0123839009287936E-2</v>
      </c>
      <c r="H16" s="2683">
        <f>+H11/G11-1</f>
        <v>0</v>
      </c>
      <c r="I16" s="2684"/>
      <c r="J16" s="2686"/>
      <c r="K16" s="2687"/>
      <c r="M16" s="2953" t="s">
        <v>1268</v>
      </c>
      <c r="N16" s="2970">
        <v>-7.091808686091261E-2</v>
      </c>
      <c r="O16" s="2971">
        <f>+O11/$N$11-1</f>
        <v>-5.9171597633136064E-2</v>
      </c>
      <c r="P16" s="2972">
        <f>+P11/$N$11-1</f>
        <v>-2.9585798816568087E-2</v>
      </c>
      <c r="Q16" s="2971">
        <f>+Q11/$N$11-1</f>
        <v>-4.4378698224852076E-2</v>
      </c>
      <c r="R16" s="2973">
        <f>+R11/$N$11-1</f>
        <v>-5.4437869822485219E-2</v>
      </c>
      <c r="S16" s="2971"/>
      <c r="T16" s="2684"/>
      <c r="U16" s="2686"/>
      <c r="V16" s="2687"/>
      <c r="Y16" s="2682" t="s">
        <v>1268</v>
      </c>
      <c r="Z16" s="2983">
        <f>+Z11/AE5-1</f>
        <v>-7.0640176600441529E-2</v>
      </c>
      <c r="AA16" s="2983">
        <f>+AA11/Z11-1</f>
        <v>-2.1377672209026088E-2</v>
      </c>
      <c r="AB16" s="2684"/>
      <c r="AC16" s="2685"/>
      <c r="AD16" s="2983">
        <f>+AD11/AA11-1</f>
        <v>-3.8228155339805836E-2</v>
      </c>
      <c r="AE16" s="2983">
        <f>+AE11/AD11-1</f>
        <v>6.1829652996845397E-2</v>
      </c>
      <c r="AF16" s="2684"/>
      <c r="AG16" s="2686"/>
      <c r="AH16" s="2687"/>
      <c r="AJ16" s="2682" t="s">
        <v>1268</v>
      </c>
      <c r="AK16" s="2983">
        <f>+AK11/AP5-1</f>
        <v>-7.4216602528861975E-2</v>
      </c>
      <c r="AL16" s="2983">
        <f>+AL11/AK11-1</f>
        <v>-2.1377672209026088E-2</v>
      </c>
      <c r="AM16" s="2983">
        <f>+AM11/AL11-1</f>
        <v>-3.1553398058252413E-2</v>
      </c>
      <c r="AN16" s="3001">
        <f>+AN11/AM11-1</f>
        <v>-1.0025062656641603E-2</v>
      </c>
      <c r="AO16" s="2687">
        <f>+AO11/AM11-1</f>
        <v>2.7568922305764465E-2</v>
      </c>
      <c r="AP16" s="2983">
        <f>+AP11/AM11-1</f>
        <v>8.7719298245614308E-3</v>
      </c>
      <c r="AQ16" s="2684"/>
      <c r="AR16" s="2686"/>
      <c r="AS16" s="2687"/>
    </row>
    <row r="17" spans="1:45">
      <c r="B17" s="2624"/>
      <c r="C17" s="2624"/>
      <c r="D17" s="2624"/>
      <c r="E17" s="2624"/>
      <c r="F17" s="2624"/>
      <c r="G17" s="2624"/>
      <c r="H17" s="2624"/>
      <c r="I17" s="2624"/>
      <c r="J17" s="2624"/>
      <c r="K17" s="2624"/>
      <c r="M17" s="2624"/>
      <c r="N17" s="2624"/>
      <c r="O17" s="2624"/>
      <c r="P17" s="2624"/>
      <c r="Q17" s="2624"/>
      <c r="R17" s="2624"/>
      <c r="S17" s="2624"/>
      <c r="T17" s="2624"/>
      <c r="U17" s="2624"/>
      <c r="V17" s="2624"/>
      <c r="Y17" s="2624"/>
      <c r="Z17" s="2624"/>
      <c r="AA17" s="2624"/>
      <c r="AB17" s="2624"/>
      <c r="AC17" s="2624"/>
      <c r="AD17" s="2624"/>
      <c r="AE17" s="2624"/>
      <c r="AF17" s="2624"/>
      <c r="AG17" s="2624"/>
      <c r="AH17" s="2624"/>
    </row>
    <row r="18" spans="1:45">
      <c r="B18" s="2659" t="str">
        <f t="shared" ref="B18:H18" si="3">B9</f>
        <v>Operating Revenue</v>
      </c>
      <c r="C18" s="2701">
        <f t="shared" si="3"/>
        <v>4401</v>
      </c>
      <c r="D18" s="2702">
        <f t="shared" si="3"/>
        <v>4380</v>
      </c>
      <c r="E18" s="2703">
        <f t="shared" si="3"/>
        <v>4430</v>
      </c>
      <c r="F18" s="2701">
        <f>F9</f>
        <v>4405</v>
      </c>
      <c r="G18" s="2701">
        <f>G9</f>
        <v>4372</v>
      </c>
      <c r="H18" s="2701">
        <f t="shared" si="3"/>
        <v>4372</v>
      </c>
      <c r="M18" s="2659" t="s">
        <v>1263</v>
      </c>
      <c r="N18" s="2701">
        <v>4401</v>
      </c>
      <c r="O18" s="2702">
        <v>4380</v>
      </c>
      <c r="P18" s="2703">
        <v>4430</v>
      </c>
      <c r="Q18" s="2701">
        <v>4405</v>
      </c>
      <c r="R18" s="2701">
        <v>4372</v>
      </c>
      <c r="S18" s="2701">
        <v>4372</v>
      </c>
      <c r="Y18" s="2659" t="str">
        <f t="shared" ref="Y18:AE18" si="4">Y9</f>
        <v>Operating Revenue</v>
      </c>
      <c r="Z18" s="2701">
        <f t="shared" si="4"/>
        <v>4401</v>
      </c>
      <c r="AA18" s="2701">
        <f t="shared" si="4"/>
        <v>4398</v>
      </c>
      <c r="AB18" s="2702">
        <f t="shared" si="4"/>
        <v>4350</v>
      </c>
      <c r="AC18" s="2703">
        <f t="shared" si="4"/>
        <v>4400</v>
      </c>
      <c r="AD18" s="2701">
        <f t="shared" si="4"/>
        <v>4375</v>
      </c>
      <c r="AE18" s="2701">
        <f t="shared" si="4"/>
        <v>4376</v>
      </c>
    </row>
    <row r="19" spans="1:45">
      <c r="B19" s="2700" t="s">
        <v>1287</v>
      </c>
      <c r="C19" s="2678">
        <f t="shared" ref="C19:H19" si="5">+C21/C18</f>
        <v>0.38400363553737787</v>
      </c>
      <c r="D19" s="2679">
        <f t="shared" si="5"/>
        <v>0.36301369863013699</v>
      </c>
      <c r="E19" s="2680">
        <f t="shared" si="5"/>
        <v>0.37020316027088035</v>
      </c>
      <c r="F19" s="2678">
        <f>+F21/F18</f>
        <v>0.36662883087400683</v>
      </c>
      <c r="G19" s="2678">
        <f>+G21/G18</f>
        <v>0.37682982616651417</v>
      </c>
      <c r="H19" s="2678">
        <f t="shared" si="5"/>
        <v>0.37682982616651417</v>
      </c>
      <c r="M19" s="2700" t="s">
        <v>1287</v>
      </c>
      <c r="N19" s="2678">
        <v>0.38400363553737787</v>
      </c>
      <c r="O19" s="2679">
        <v>0.36301369863013699</v>
      </c>
      <c r="P19" s="2680">
        <v>0.37020316027088035</v>
      </c>
      <c r="Q19" s="2678">
        <v>0.36662883087400683</v>
      </c>
      <c r="R19" s="2678">
        <v>0.37682982616651417</v>
      </c>
      <c r="S19" s="2678">
        <v>0.37682982616651417</v>
      </c>
      <c r="Y19" s="2700" t="s">
        <v>1287</v>
      </c>
      <c r="Z19" s="2678">
        <f t="shared" ref="Z19:AE19" si="6">+Z21/Z18</f>
        <v>0.38264030902067714</v>
      </c>
      <c r="AA19" s="2678">
        <f t="shared" si="6"/>
        <v>0.37471577989995453</v>
      </c>
      <c r="AB19" s="2679">
        <f t="shared" si="6"/>
        <v>0.35862068965517241</v>
      </c>
      <c r="AC19" s="2680">
        <f t="shared" si="6"/>
        <v>0.36590909090909091</v>
      </c>
      <c r="AD19" s="2678">
        <f t="shared" si="6"/>
        <v>0.36228571428571427</v>
      </c>
      <c r="AE19" s="2678">
        <f t="shared" si="6"/>
        <v>0.38459780621572209</v>
      </c>
    </row>
    <row r="20" spans="1:45" s="3003" customFormat="1">
      <c r="A20" s="253"/>
      <c r="B20" s="2668"/>
      <c r="C20" s="2673"/>
      <c r="D20" s="2674"/>
      <c r="E20" s="2675"/>
      <c r="F20" s="2673"/>
      <c r="G20" s="2673"/>
      <c r="H20" s="2673"/>
      <c r="I20" s="253"/>
      <c r="J20" s="253"/>
      <c r="K20" s="253"/>
      <c r="L20" s="253"/>
      <c r="M20" s="2668"/>
      <c r="N20" s="2673"/>
      <c r="O20" s="2674"/>
      <c r="P20" s="2675"/>
      <c r="Q20" s="2673"/>
      <c r="R20" s="2673"/>
      <c r="S20" s="2673"/>
      <c r="T20" s="253"/>
      <c r="U20" s="253"/>
      <c r="V20" s="253"/>
      <c r="W20" s="253"/>
      <c r="X20" s="253"/>
      <c r="Y20" s="2668"/>
      <c r="Z20" s="2673"/>
      <c r="AA20" s="2673"/>
      <c r="AB20" s="2674"/>
      <c r="AC20" s="2675"/>
      <c r="AD20" s="2673"/>
      <c r="AE20" s="2673"/>
      <c r="AF20" s="253"/>
      <c r="AG20" s="253"/>
      <c r="AH20" s="253"/>
      <c r="AI20" s="253"/>
      <c r="AJ20" s="253"/>
      <c r="AK20" s="253"/>
      <c r="AL20" s="253"/>
      <c r="AM20" s="253"/>
      <c r="AN20" s="253"/>
      <c r="AO20" s="253"/>
      <c r="AP20" s="253"/>
      <c r="AQ20" s="3004" t="s">
        <v>1589</v>
      </c>
      <c r="AR20" s="3005"/>
      <c r="AS20" s="3006"/>
    </row>
    <row r="21" spans="1:45" s="3003" customFormat="1">
      <c r="A21" s="253"/>
      <c r="B21" s="2668" t="str">
        <f t="shared" ref="B21:H21" si="7">B11</f>
        <v>Adj. EBITDA / OCF</v>
      </c>
      <c r="C21" s="2673">
        <f t="shared" si="7"/>
        <v>1690</v>
      </c>
      <c r="D21" s="2674">
        <f t="shared" si="7"/>
        <v>1590</v>
      </c>
      <c r="E21" s="2675">
        <f t="shared" si="7"/>
        <v>1640</v>
      </c>
      <c r="F21" s="2673">
        <f>F11</f>
        <v>1615</v>
      </c>
      <c r="G21" s="2673">
        <f>G11</f>
        <v>1647.5</v>
      </c>
      <c r="H21" s="2673">
        <f t="shared" si="7"/>
        <v>1647.5</v>
      </c>
      <c r="I21" s="253"/>
      <c r="J21" s="253"/>
      <c r="K21" s="253"/>
      <c r="L21" s="253"/>
      <c r="M21" s="2668" t="s">
        <v>1265</v>
      </c>
      <c r="N21" s="2673">
        <v>1690</v>
      </c>
      <c r="O21" s="2674">
        <v>1590</v>
      </c>
      <c r="P21" s="2675">
        <v>1640</v>
      </c>
      <c r="Q21" s="2673">
        <v>1615</v>
      </c>
      <c r="R21" s="2673">
        <v>1647.5</v>
      </c>
      <c r="S21" s="2673">
        <v>1647.5</v>
      </c>
      <c r="T21" s="253"/>
      <c r="U21" s="253"/>
      <c r="V21" s="253"/>
      <c r="W21" s="253"/>
      <c r="X21" s="253"/>
      <c r="Y21" s="2668" t="str">
        <f t="shared" ref="Y21:AE21" si="8">Y11</f>
        <v>Adj. EBITDA / OCF</v>
      </c>
      <c r="Z21" s="2673">
        <f t="shared" si="8"/>
        <v>1684</v>
      </c>
      <c r="AA21" s="2673">
        <f t="shared" si="8"/>
        <v>1648</v>
      </c>
      <c r="AB21" s="2674">
        <f t="shared" si="8"/>
        <v>1560</v>
      </c>
      <c r="AC21" s="2675">
        <f t="shared" si="8"/>
        <v>1610</v>
      </c>
      <c r="AD21" s="2673">
        <f t="shared" si="8"/>
        <v>1585</v>
      </c>
      <c r="AE21" s="2673">
        <f t="shared" si="8"/>
        <v>1683</v>
      </c>
      <c r="AF21" s="253"/>
      <c r="AG21" s="253"/>
      <c r="AH21" s="253"/>
      <c r="AI21" s="253"/>
      <c r="AJ21" s="253"/>
      <c r="AK21" s="253"/>
      <c r="AL21" s="253"/>
      <c r="AM21" s="253"/>
      <c r="AN21" s="253"/>
      <c r="AO21" s="253"/>
      <c r="AP21" s="253"/>
      <c r="AQ21" s="3013" t="s">
        <v>1260</v>
      </c>
      <c r="AR21" s="3014" t="s">
        <v>1261</v>
      </c>
      <c r="AS21" s="3015" t="s">
        <v>1262</v>
      </c>
    </row>
    <row r="22" spans="1:45" s="3003" customFormat="1">
      <c r="A22" s="253"/>
      <c r="B22" s="2704" t="s">
        <v>1288</v>
      </c>
      <c r="C22" s="2683">
        <f>+C21/C5-1</f>
        <v>-1.9721577726218076E-2</v>
      </c>
      <c r="D22" s="2684"/>
      <c r="E22" s="2685"/>
      <c r="F22" s="2705">
        <f>+F21/D5-1</f>
        <v>-4.3156596794081681E-3</v>
      </c>
      <c r="G22" s="2683">
        <f>+G21/G5-1</f>
        <v>-7.2353603603603656E-2</v>
      </c>
      <c r="H22" s="2683">
        <f>+H21/H5-1</f>
        <v>-9.0783664459161195E-2</v>
      </c>
      <c r="I22" s="253"/>
      <c r="J22" s="253"/>
      <c r="K22" s="253"/>
      <c r="L22" s="253"/>
      <c r="M22" s="2704" t="s">
        <v>1288</v>
      </c>
      <c r="N22" s="2683">
        <v>-2.5936599423631135E-2</v>
      </c>
      <c r="O22" s="2684"/>
      <c r="P22" s="2685"/>
      <c r="Q22" s="2705">
        <v>-5.5418719211822731E-3</v>
      </c>
      <c r="R22" s="2683">
        <v>-7.5476992143658772E-2</v>
      </c>
      <c r="S22" s="2683">
        <v>-9.4282572842220969E-2</v>
      </c>
      <c r="T22" s="253"/>
      <c r="U22" s="253"/>
      <c r="V22" s="253"/>
      <c r="W22" s="253"/>
      <c r="X22" s="253"/>
      <c r="Y22" s="2704" t="s">
        <v>1288</v>
      </c>
      <c r="Z22" s="2683">
        <f>+Z21/Z5-1</f>
        <v>-2.3201856148491906E-2</v>
      </c>
      <c r="AA22" s="2705">
        <f>+AA21/AA5-1</f>
        <v>1.6029593094944561E-2</v>
      </c>
      <c r="AB22" s="2684"/>
      <c r="AC22" s="2685"/>
      <c r="AD22" s="2683">
        <f>+AD21/AD5-1</f>
        <v>-0.10754504504504503</v>
      </c>
      <c r="AE22" s="2683">
        <f>+AE21/AE5-1</f>
        <v>-7.1192052980132425E-2</v>
      </c>
      <c r="AF22" s="253"/>
      <c r="AG22" s="253"/>
      <c r="AH22" s="253"/>
      <c r="AI22" s="253"/>
      <c r="AJ22" s="253"/>
      <c r="AK22" s="253"/>
      <c r="AL22" s="253"/>
      <c r="AM22" s="253"/>
      <c r="AN22" s="253"/>
      <c r="AO22" s="253" t="str">
        <f>+AJ9</f>
        <v>Operating Revenue</v>
      </c>
      <c r="AP22" s="253"/>
      <c r="AQ22" s="3007">
        <v>17550</v>
      </c>
      <c r="AR22" s="3008">
        <v>17800</v>
      </c>
      <c r="AS22" s="3009">
        <f>AVERAGE(AQ22:AR22)</f>
        <v>17675</v>
      </c>
    </row>
    <row r="23" spans="1:45" s="3003" customFormat="1">
      <c r="A23" s="253"/>
      <c r="B23" s="2798"/>
      <c r="C23" s="2681"/>
      <c r="D23" s="2624"/>
      <c r="E23" s="2624"/>
      <c r="F23" s="2681"/>
      <c r="G23" s="2681"/>
      <c r="H23" s="2681"/>
      <c r="I23" s="253"/>
      <c r="J23" s="253"/>
      <c r="K23" s="253"/>
      <c r="L23" s="253"/>
      <c r="M23" s="2798"/>
      <c r="N23" s="2681"/>
      <c r="O23" s="2624"/>
      <c r="P23" s="2624"/>
      <c r="Q23" s="2681"/>
      <c r="R23" s="2681"/>
      <c r="S23" s="2681"/>
      <c r="T23" s="253"/>
      <c r="U23" s="253"/>
      <c r="V23" s="253"/>
      <c r="W23" s="253"/>
      <c r="X23" s="253"/>
      <c r="Y23" s="2798"/>
      <c r="Z23" s="2681"/>
      <c r="AA23" s="2681"/>
      <c r="AB23" s="2624"/>
      <c r="AC23" s="2624"/>
      <c r="AD23" s="2681"/>
      <c r="AE23" s="2681"/>
      <c r="AF23" s="253"/>
      <c r="AG23" s="253"/>
      <c r="AH23" s="253"/>
      <c r="AI23" s="253"/>
      <c r="AJ23" s="253"/>
      <c r="AK23" s="253"/>
      <c r="AL23" s="253"/>
      <c r="AM23" s="253"/>
      <c r="AN23" s="253"/>
      <c r="AO23" s="253" t="str">
        <f>+AJ10</f>
        <v>Core Revenue</v>
      </c>
      <c r="AP23" s="253"/>
      <c r="AQ23" s="3007">
        <v>16100</v>
      </c>
      <c r="AR23" s="3008">
        <v>16250</v>
      </c>
      <c r="AS23" s="3009">
        <f>AVERAGE(AQ23:AR23)</f>
        <v>16175</v>
      </c>
    </row>
    <row r="24" spans="1:45" s="3003" customFormat="1">
      <c r="A24" s="253"/>
      <c r="B24" s="2798"/>
      <c r="C24" s="2681"/>
      <c r="D24" s="2624"/>
      <c r="E24" s="2624"/>
      <c r="F24" s="2681"/>
      <c r="G24" s="2681"/>
      <c r="H24" s="2681"/>
      <c r="I24" s="253"/>
      <c r="J24" s="253"/>
      <c r="K24" s="253"/>
      <c r="L24" s="253"/>
      <c r="M24" s="2798"/>
      <c r="N24" s="2681"/>
      <c r="O24" s="2624"/>
      <c r="P24" s="2624"/>
      <c r="Q24" s="2681"/>
      <c r="R24" s="2681"/>
      <c r="S24" s="2681"/>
      <c r="T24" s="253"/>
      <c r="U24" s="253"/>
      <c r="V24" s="253"/>
      <c r="W24" s="253"/>
      <c r="X24" s="253"/>
      <c r="Y24" s="2798"/>
      <c r="Z24" s="2991" t="s">
        <v>1575</v>
      </c>
      <c r="AA24" s="2991" t="s">
        <v>1576</v>
      </c>
      <c r="AB24" s="2991"/>
      <c r="AC24" s="2991"/>
      <c r="AD24" s="2991" t="s">
        <v>1577</v>
      </c>
      <c r="AE24" s="2991" t="s">
        <v>1578</v>
      </c>
      <c r="AF24" s="253"/>
      <c r="AG24" s="253"/>
      <c r="AH24" s="253"/>
      <c r="AI24" s="253"/>
      <c r="AJ24" s="253"/>
      <c r="AK24" s="253"/>
      <c r="AL24" s="253"/>
      <c r="AM24" s="253"/>
      <c r="AN24" s="253"/>
      <c r="AO24" s="253" t="str">
        <f>+AJ11</f>
        <v>Adj. EBITDA / OCF</v>
      </c>
      <c r="AP24" s="253"/>
      <c r="AQ24" s="3007">
        <v>6600</v>
      </c>
      <c r="AR24" s="3008">
        <v>6800</v>
      </c>
      <c r="AS24" s="3009">
        <f>AVERAGE(AQ24:AR24)</f>
        <v>6700</v>
      </c>
    </row>
    <row r="25" spans="1:45" s="3003" customFormat="1">
      <c r="A25" s="253"/>
      <c r="B25" s="2781" t="s">
        <v>1462</v>
      </c>
      <c r="C25" s="2778">
        <v>4451</v>
      </c>
      <c r="D25" s="2779">
        <v>4419</v>
      </c>
      <c r="E25" s="2666"/>
      <c r="F25" s="2666"/>
      <c r="G25" s="2778">
        <v>4554</v>
      </c>
      <c r="H25" s="2780">
        <v>4476</v>
      </c>
      <c r="I25" s="2624"/>
      <c r="J25" s="2624"/>
      <c r="K25" s="2624"/>
      <c r="L25" s="253"/>
      <c r="M25" s="2781" t="s">
        <v>1462</v>
      </c>
      <c r="N25" s="2778">
        <v>4451</v>
      </c>
      <c r="O25" s="2779">
        <v>4419</v>
      </c>
      <c r="P25" s="2666"/>
      <c r="Q25" s="2666"/>
      <c r="R25" s="2778">
        <v>4554</v>
      </c>
      <c r="S25" s="2780">
        <v>4476</v>
      </c>
      <c r="T25" s="2624"/>
      <c r="U25" s="2624"/>
      <c r="V25" s="2624"/>
      <c r="W25" s="253"/>
      <c r="X25" s="253"/>
      <c r="Y25" s="2781" t="s">
        <v>1462</v>
      </c>
      <c r="Z25" s="2976">
        <f>+C25</f>
        <v>4451</v>
      </c>
      <c r="AA25" s="2976">
        <f>+D25</f>
        <v>4419</v>
      </c>
      <c r="AB25" s="2666"/>
      <c r="AC25" s="2666"/>
      <c r="AD25" s="2976">
        <f>+G25</f>
        <v>4554</v>
      </c>
      <c r="AE25" s="2780">
        <f>+H25</f>
        <v>4476</v>
      </c>
      <c r="AF25" s="2624"/>
      <c r="AG25" s="2624"/>
      <c r="AH25" s="2624"/>
      <c r="AI25" s="253"/>
      <c r="AJ25" s="253"/>
      <c r="AK25" s="253"/>
      <c r="AL25" s="253"/>
      <c r="AM25" s="253"/>
      <c r="AN25" s="253"/>
      <c r="AO25" s="253" t="str">
        <f>+AJ12</f>
        <v>EPS</v>
      </c>
      <c r="AP25" s="253"/>
      <c r="AQ25" s="3010">
        <v>2.5</v>
      </c>
      <c r="AR25" s="3011">
        <v>2.7</v>
      </c>
      <c r="AS25" s="3012">
        <f>AVERAGE(AQ25:AR25)</f>
        <v>2.6</v>
      </c>
    </row>
    <row r="26" spans="1:45">
      <c r="B26" s="2684" t="s">
        <v>1461</v>
      </c>
      <c r="C26" s="2782">
        <v>1735</v>
      </c>
      <c r="D26" s="2785">
        <v>1624</v>
      </c>
      <c r="E26" s="2784"/>
      <c r="F26" s="2784"/>
      <c r="G26" s="2782">
        <v>1782</v>
      </c>
      <c r="H26" s="2783">
        <v>1819</v>
      </c>
      <c r="I26" s="2624"/>
      <c r="J26" s="2624"/>
      <c r="K26" s="2624"/>
      <c r="M26" s="2684" t="s">
        <v>1461</v>
      </c>
      <c r="N26" s="2782">
        <v>1735</v>
      </c>
      <c r="O26" s="2785">
        <v>1624</v>
      </c>
      <c r="P26" s="2784"/>
      <c r="Q26" s="2784"/>
      <c r="R26" s="2782">
        <v>1782</v>
      </c>
      <c r="S26" s="2783">
        <v>1819</v>
      </c>
      <c r="T26" s="2624"/>
      <c r="U26" s="2624"/>
      <c r="V26" s="2624"/>
      <c r="Y26" s="2684" t="s">
        <v>1461</v>
      </c>
      <c r="Z26" s="2977">
        <f>+C26</f>
        <v>1735</v>
      </c>
      <c r="AA26" s="2977">
        <f>+D26</f>
        <v>1624</v>
      </c>
      <c r="AB26" s="2784"/>
      <c r="AC26" s="2784"/>
      <c r="AD26" s="2977">
        <f>+G26</f>
        <v>1782</v>
      </c>
      <c r="AE26" s="2783">
        <f>+H26</f>
        <v>1819</v>
      </c>
      <c r="AF26" s="2624"/>
      <c r="AG26" s="2624"/>
      <c r="AH26" s="2624"/>
    </row>
    <row r="27" spans="1:45">
      <c r="B27" s="2664" t="s">
        <v>1463</v>
      </c>
      <c r="C27" s="2788">
        <v>0.38980004493372278</v>
      </c>
      <c r="D27" s="2787">
        <v>0.36750396017198461</v>
      </c>
      <c r="E27" s="2786"/>
      <c r="F27" s="2786"/>
      <c r="G27" s="2789">
        <v>0.39130434782608697</v>
      </c>
      <c r="H27" s="2790">
        <v>0.40638963360142982</v>
      </c>
      <c r="M27" s="2664" t="s">
        <v>1463</v>
      </c>
      <c r="N27" s="2788">
        <v>0.38980004493372278</v>
      </c>
      <c r="O27" s="2787">
        <v>0.36750396017198461</v>
      </c>
      <c r="P27" s="2786"/>
      <c r="Q27" s="2786"/>
      <c r="R27" s="2789">
        <v>0.39130434782608697</v>
      </c>
      <c r="S27" s="2790">
        <v>0.40638963360142982</v>
      </c>
      <c r="Y27" s="2664" t="s">
        <v>1463</v>
      </c>
      <c r="Z27" s="2978">
        <f>+Z26/Z25</f>
        <v>0.38980004493372278</v>
      </c>
      <c r="AA27" s="2978">
        <f>+AA26/AA25</f>
        <v>0.36750396017198461</v>
      </c>
      <c r="AB27" s="2787"/>
      <c r="AC27" s="2979"/>
      <c r="AD27" s="2978">
        <f>+AD26/AD25</f>
        <v>0.39130434782608697</v>
      </c>
      <c r="AE27" s="2790">
        <f>+AE26/AE25</f>
        <v>0.40638963360142982</v>
      </c>
      <c r="AQ27" s="3004" t="s">
        <v>1590</v>
      </c>
      <c r="AR27" s="3005"/>
      <c r="AS27" s="3006"/>
    </row>
    <row r="28" spans="1:45" ht="25.5">
      <c r="B28" s="2688"/>
      <c r="C28" s="2794" t="s">
        <v>1456</v>
      </c>
      <c r="D28" s="2792" t="s">
        <v>1457</v>
      </c>
      <c r="E28" s="2792"/>
      <c r="F28" s="2792"/>
      <c r="G28" s="2791" t="s">
        <v>1458</v>
      </c>
      <c r="H28" s="2793" t="s">
        <v>1459</v>
      </c>
      <c r="I28" s="2665" t="s">
        <v>1460</v>
      </c>
      <c r="J28" s="2666"/>
      <c r="K28" s="2667"/>
      <c r="M28" s="2688"/>
      <c r="N28" s="2794" t="s">
        <v>1456</v>
      </c>
      <c r="O28" s="2792" t="s">
        <v>1457</v>
      </c>
      <c r="P28" s="2792"/>
      <c r="Q28" s="2792"/>
      <c r="R28" s="2791" t="s">
        <v>1458</v>
      </c>
      <c r="S28" s="2793" t="s">
        <v>1459</v>
      </c>
      <c r="T28" s="2665" t="s">
        <v>1460</v>
      </c>
      <c r="U28" s="2666"/>
      <c r="V28" s="2667"/>
      <c r="Y28" s="2688"/>
      <c r="Z28" s="2660" t="s">
        <v>1465</v>
      </c>
      <c r="AA28" s="2660" t="s">
        <v>1568</v>
      </c>
      <c r="AB28" s="2792" t="s">
        <v>1579</v>
      </c>
      <c r="AC28" s="2792"/>
      <c r="AD28" s="2660" t="s">
        <v>1580</v>
      </c>
      <c r="AE28" s="2989" t="s">
        <v>1581</v>
      </c>
      <c r="AF28" s="2665" t="s">
        <v>1460</v>
      </c>
      <c r="AG28" s="2666"/>
      <c r="AH28" s="2667"/>
      <c r="AQ28" s="3013" t="s">
        <v>1260</v>
      </c>
      <c r="AR28" s="3014" t="s">
        <v>1261</v>
      </c>
      <c r="AS28" s="3015" t="s">
        <v>1262</v>
      </c>
    </row>
    <row r="29" spans="1:45">
      <c r="B29" s="2668"/>
      <c r="C29" s="2668"/>
      <c r="D29" s="2669" t="s">
        <v>1260</v>
      </c>
      <c r="E29" s="2670" t="s">
        <v>1261</v>
      </c>
      <c r="F29" s="2671" t="s">
        <v>1262</v>
      </c>
      <c r="G29" s="2668"/>
      <c r="H29" s="2668"/>
      <c r="I29" s="2669" t="s">
        <v>1260</v>
      </c>
      <c r="J29" s="2672" t="s">
        <v>1261</v>
      </c>
      <c r="K29" s="2670" t="s">
        <v>1262</v>
      </c>
      <c r="M29" s="2668"/>
      <c r="N29" s="2668"/>
      <c r="O29" s="2669" t="s">
        <v>1260</v>
      </c>
      <c r="P29" s="2670" t="s">
        <v>1261</v>
      </c>
      <c r="Q29" s="2671" t="s">
        <v>1262</v>
      </c>
      <c r="R29" s="2668"/>
      <c r="S29" s="2668"/>
      <c r="T29" s="2669" t="s">
        <v>1260</v>
      </c>
      <c r="U29" s="2672" t="s">
        <v>1261</v>
      </c>
      <c r="V29" s="2670" t="s">
        <v>1262</v>
      </c>
      <c r="Y29" s="2668"/>
      <c r="Z29" s="2671"/>
      <c r="AA29" s="2671" t="s">
        <v>1262</v>
      </c>
      <c r="AB29" s="2669" t="s">
        <v>1260</v>
      </c>
      <c r="AC29" s="2670" t="s">
        <v>1261</v>
      </c>
      <c r="AD29" s="2988" t="s">
        <v>1574</v>
      </c>
      <c r="AE29" s="2671"/>
      <c r="AF29" s="2799" t="s">
        <v>1260</v>
      </c>
      <c r="AG29" s="2672" t="s">
        <v>1261</v>
      </c>
      <c r="AH29" s="2990" t="s">
        <v>1262</v>
      </c>
      <c r="AO29" s="253" t="str">
        <f>+AO22</f>
        <v>Operating Revenue</v>
      </c>
      <c r="AQ29" s="3016">
        <f t="shared" ref="AQ29:AS32" si="9">+AQ9/AQ22-1</f>
        <v>-5.0712250712250384E-3</v>
      </c>
      <c r="AR29" s="3017">
        <f t="shared" si="9"/>
        <v>-1.5674157303370739E-2</v>
      </c>
      <c r="AS29" s="3018">
        <f t="shared" si="9"/>
        <v>-1.0410183875530388E-2</v>
      </c>
    </row>
    <row r="30" spans="1:45">
      <c r="B30" s="2668" t="s">
        <v>1263</v>
      </c>
      <c r="C30" s="2673">
        <v>4401</v>
      </c>
      <c r="D30" s="2674">
        <v>4380</v>
      </c>
      <c r="E30" s="2675">
        <v>4430</v>
      </c>
      <c r="F30" s="2673">
        <v>4405</v>
      </c>
      <c r="G30" s="2673">
        <v>4434.5</v>
      </c>
      <c r="H30" s="2673">
        <v>4434.5</v>
      </c>
      <c r="I30" s="2674">
        <v>17550</v>
      </c>
      <c r="J30" s="2676">
        <v>17800</v>
      </c>
      <c r="K30" s="2802">
        <v>17675</v>
      </c>
      <c r="M30" s="2668" t="s">
        <v>1263</v>
      </c>
      <c r="N30" s="2673">
        <v>4401</v>
      </c>
      <c r="O30" s="2674">
        <v>4380</v>
      </c>
      <c r="P30" s="2675">
        <v>4430</v>
      </c>
      <c r="Q30" s="2673">
        <v>4405</v>
      </c>
      <c r="R30" s="2673">
        <v>4434.5</v>
      </c>
      <c r="S30" s="2673">
        <v>4434.5</v>
      </c>
      <c r="T30" s="2674">
        <v>17550</v>
      </c>
      <c r="U30" s="2676">
        <v>17800</v>
      </c>
      <c r="V30" s="2802">
        <v>17675</v>
      </c>
      <c r="Y30" s="2668" t="s">
        <v>1263</v>
      </c>
      <c r="Z30" s="2980">
        <f t="shared" ref="Z30:AA33" si="10">+Z9</f>
        <v>4401</v>
      </c>
      <c r="AA30" s="2980">
        <f t="shared" si="10"/>
        <v>4398</v>
      </c>
      <c r="AB30" s="2984">
        <v>4350</v>
      </c>
      <c r="AC30" s="2985">
        <v>4400</v>
      </c>
      <c r="AD30" s="2980">
        <f>+AC30</f>
        <v>4400</v>
      </c>
      <c r="AE30" s="2980">
        <f>+(AF30+AH30)/2-AD30-AA30-Z30</f>
        <v>4413.5</v>
      </c>
      <c r="AF30" s="2800">
        <f t="shared" ref="AF30:AG33" si="11">+AF9</f>
        <v>17550</v>
      </c>
      <c r="AG30" s="2676">
        <f t="shared" si="11"/>
        <v>17800</v>
      </c>
      <c r="AH30" s="2802">
        <f>AVERAGE(AF30:AG30)</f>
        <v>17675</v>
      </c>
      <c r="AO30" s="253" t="str">
        <f>+AO23</f>
        <v>Core Revenue</v>
      </c>
      <c r="AQ30" s="2679">
        <f t="shared" si="9"/>
        <v>-2.3602484472049712E-2</v>
      </c>
      <c r="AR30" s="2681">
        <f t="shared" si="9"/>
        <v>-2.892307692307694E-2</v>
      </c>
      <c r="AS30" s="2680">
        <f t="shared" si="9"/>
        <v>-2.6275115919629055E-2</v>
      </c>
    </row>
    <row r="31" spans="1:45">
      <c r="B31" s="2668" t="s">
        <v>1264</v>
      </c>
      <c r="C31" s="2673">
        <v>3985.4550000000004</v>
      </c>
      <c r="D31" s="2674">
        <v>4020</v>
      </c>
      <c r="E31" s="2675">
        <v>4070</v>
      </c>
      <c r="F31" s="2673">
        <v>4045</v>
      </c>
      <c r="G31" s="2673">
        <v>4019</v>
      </c>
      <c r="H31" s="2673">
        <v>4125.5450000000001</v>
      </c>
      <c r="I31" s="2674">
        <v>16100</v>
      </c>
      <c r="J31" s="2676">
        <v>16250</v>
      </c>
      <c r="K31" s="2802">
        <v>16175</v>
      </c>
      <c r="M31" s="2668" t="s">
        <v>1264</v>
      </c>
      <c r="N31" s="2673">
        <v>3985.4550000000004</v>
      </c>
      <c r="O31" s="2674">
        <v>4020</v>
      </c>
      <c r="P31" s="2675">
        <v>4070</v>
      </c>
      <c r="Q31" s="2673">
        <v>4045</v>
      </c>
      <c r="R31" s="2673">
        <v>4019</v>
      </c>
      <c r="S31" s="2673">
        <v>4125.5450000000001</v>
      </c>
      <c r="T31" s="2674">
        <v>16100</v>
      </c>
      <c r="U31" s="2676">
        <v>16250</v>
      </c>
      <c r="V31" s="2802">
        <v>16175</v>
      </c>
      <c r="Y31" s="2668" t="s">
        <v>1264</v>
      </c>
      <c r="Z31" s="2980">
        <f t="shared" si="10"/>
        <v>3977</v>
      </c>
      <c r="AA31" s="2980">
        <f t="shared" si="10"/>
        <v>3968</v>
      </c>
      <c r="AB31" s="2984">
        <v>3900</v>
      </c>
      <c r="AC31" s="2985">
        <v>3950</v>
      </c>
      <c r="AD31" s="2980">
        <f>+AC31</f>
        <v>3950</v>
      </c>
      <c r="AE31" s="2980">
        <f>+(AF31+AH31)/2-AD31-AA31-Z31</f>
        <v>3917.5</v>
      </c>
      <c r="AF31" s="2800">
        <f t="shared" si="11"/>
        <v>15750</v>
      </c>
      <c r="AG31" s="2676">
        <f t="shared" si="11"/>
        <v>16000</v>
      </c>
      <c r="AH31" s="2802">
        <f>AVERAGE(AF31:AG31)</f>
        <v>15875</v>
      </c>
      <c r="AO31" s="253" t="str">
        <f>+AO24</f>
        <v>Adj. EBITDA / OCF</v>
      </c>
      <c r="AQ31" s="2679">
        <f t="shared" si="9"/>
        <v>-1.3939393939393918E-2</v>
      </c>
      <c r="AR31" s="2681">
        <f t="shared" si="9"/>
        <v>-3.4117647058823475E-2</v>
      </c>
      <c r="AS31" s="2680">
        <f t="shared" si="9"/>
        <v>-2.4179104477611957E-2</v>
      </c>
    </row>
    <row r="32" spans="1:45">
      <c r="B32" s="2668" t="s">
        <v>1265</v>
      </c>
      <c r="C32" s="2673">
        <v>1690</v>
      </c>
      <c r="D32" s="2674">
        <v>1590</v>
      </c>
      <c r="E32" s="2675">
        <v>1640</v>
      </c>
      <c r="F32" s="2673">
        <v>1615</v>
      </c>
      <c r="G32" s="2673">
        <v>1697.5</v>
      </c>
      <c r="H32" s="2673">
        <v>1697.5</v>
      </c>
      <c r="I32" s="2674">
        <v>6600</v>
      </c>
      <c r="J32" s="2676">
        <v>6800</v>
      </c>
      <c r="K32" s="2802">
        <v>6700</v>
      </c>
      <c r="M32" s="2668" t="s">
        <v>1265</v>
      </c>
      <c r="N32" s="2673">
        <v>1690</v>
      </c>
      <c r="O32" s="2674">
        <v>1590</v>
      </c>
      <c r="P32" s="2675">
        <v>1640</v>
      </c>
      <c r="Q32" s="2673">
        <v>1615</v>
      </c>
      <c r="R32" s="2673">
        <v>1697.5</v>
      </c>
      <c r="S32" s="2673">
        <v>1697.5</v>
      </c>
      <c r="T32" s="2674">
        <v>6600</v>
      </c>
      <c r="U32" s="2676">
        <v>6800</v>
      </c>
      <c r="V32" s="2802">
        <v>6700</v>
      </c>
      <c r="Y32" s="2668" t="s">
        <v>1265</v>
      </c>
      <c r="Z32" s="2980">
        <f t="shared" si="10"/>
        <v>1684</v>
      </c>
      <c r="AA32" s="2980">
        <f t="shared" si="10"/>
        <v>1648</v>
      </c>
      <c r="AB32" s="2984">
        <v>1560</v>
      </c>
      <c r="AC32" s="2985">
        <v>1610</v>
      </c>
      <c r="AD32" s="2980">
        <f>+AC32</f>
        <v>1610</v>
      </c>
      <c r="AE32" s="2980">
        <f>+(AF32+AH32)/2-AD32-AA32-Z32</f>
        <v>1708</v>
      </c>
      <c r="AF32" s="2800">
        <f t="shared" si="11"/>
        <v>6600</v>
      </c>
      <c r="AG32" s="2676">
        <f t="shared" si="11"/>
        <v>6800</v>
      </c>
      <c r="AH32" s="2802">
        <f>AVERAGE(AF32:AG32)</f>
        <v>6700</v>
      </c>
      <c r="AO32" s="253" t="str">
        <f>+AO25</f>
        <v>EPS</v>
      </c>
      <c r="AQ32" s="3001">
        <f t="shared" si="9"/>
        <v>-0.35576626392048571</v>
      </c>
      <c r="AR32" s="2705">
        <f t="shared" si="9"/>
        <v>-0.38126505918563491</v>
      </c>
      <c r="AS32" s="2687">
        <f t="shared" si="9"/>
        <v>-0.36900602300046703</v>
      </c>
    </row>
    <row r="33" spans="2:34">
      <c r="B33" s="2668" t="s">
        <v>764</v>
      </c>
      <c r="C33" s="2677">
        <v>0.71</v>
      </c>
      <c r="D33" s="2795">
        <v>0.56999999999999995</v>
      </c>
      <c r="E33" s="2797">
        <v>0.62</v>
      </c>
      <c r="F33" s="2677">
        <v>0.59499999999999997</v>
      </c>
      <c r="G33" s="2677">
        <v>0.64749999999999996</v>
      </c>
      <c r="H33" s="2677">
        <v>0.64749999999999996</v>
      </c>
      <c r="I33" s="2795">
        <v>2.5</v>
      </c>
      <c r="J33" s="2796">
        <v>2.7</v>
      </c>
      <c r="K33" s="2803">
        <v>2.6</v>
      </c>
      <c r="M33" s="2668" t="s">
        <v>764</v>
      </c>
      <c r="N33" s="2677">
        <v>0.71</v>
      </c>
      <c r="O33" s="2795">
        <v>0.56999999999999995</v>
      </c>
      <c r="P33" s="2797">
        <v>0.62</v>
      </c>
      <c r="Q33" s="2677">
        <v>0.59499999999999997</v>
      </c>
      <c r="R33" s="2677">
        <v>0.64749999999999996</v>
      </c>
      <c r="S33" s="2677">
        <v>0.64749999999999996</v>
      </c>
      <c r="T33" s="2795">
        <v>2.5</v>
      </c>
      <c r="U33" s="2796">
        <v>2.7</v>
      </c>
      <c r="V33" s="2803">
        <v>2.6</v>
      </c>
      <c r="Y33" s="2668" t="s">
        <v>764</v>
      </c>
      <c r="Z33" s="2981">
        <f t="shared" si="10"/>
        <v>0.43688574512159678</v>
      </c>
      <c r="AA33" s="2981">
        <f t="shared" si="10"/>
        <v>0.36269430051813473</v>
      </c>
      <c r="AB33" s="2986">
        <v>0.52</v>
      </c>
      <c r="AC33" s="2987">
        <v>0.56999999999999995</v>
      </c>
      <c r="AD33" s="2981">
        <f>+AC33</f>
        <v>0.56999999999999995</v>
      </c>
      <c r="AE33" s="2981">
        <f>+(AF33+AH33)/2-AD33-AA33-Z33</f>
        <v>1.1804199543602685</v>
      </c>
      <c r="AF33" s="2801">
        <f t="shared" si="11"/>
        <v>2.5</v>
      </c>
      <c r="AG33" s="2796">
        <f t="shared" si="11"/>
        <v>2.7</v>
      </c>
      <c r="AH33" s="2803">
        <f>AVERAGE(AF33:AG33)</f>
        <v>2.6</v>
      </c>
    </row>
    <row r="34" spans="2:34">
      <c r="B34" s="2668"/>
      <c r="C34" s="2668"/>
      <c r="D34" s="2625"/>
      <c r="E34" s="2623"/>
      <c r="F34" s="2668"/>
      <c r="G34" s="2668"/>
      <c r="H34" s="2668"/>
      <c r="I34" s="2625"/>
      <c r="J34" s="2624"/>
      <c r="K34" s="2623"/>
      <c r="M34" s="2668"/>
      <c r="N34" s="2668"/>
      <c r="O34" s="2625"/>
      <c r="P34" s="2623"/>
      <c r="Q34" s="2668"/>
      <c r="R34" s="2668"/>
      <c r="S34" s="2668"/>
      <c r="T34" s="2625"/>
      <c r="U34" s="2624"/>
      <c r="V34" s="2623"/>
      <c r="Y34" s="2668"/>
      <c r="Z34" s="2671"/>
      <c r="AA34" s="2671"/>
      <c r="AB34" s="2625"/>
      <c r="AC34" s="2623"/>
      <c r="AD34" s="2671"/>
      <c r="AE34" s="2671"/>
      <c r="AF34" s="2625"/>
      <c r="AG34" s="2624"/>
      <c r="AH34" s="2623"/>
    </row>
    <row r="35" spans="2:34">
      <c r="B35" s="2668" t="s">
        <v>1266</v>
      </c>
      <c r="C35" s="2678">
        <v>0.38400363553737787</v>
      </c>
      <c r="D35" s="2679"/>
      <c r="E35" s="2680"/>
      <c r="F35" s="2678">
        <v>0.36662883087400683</v>
      </c>
      <c r="G35" s="2678">
        <v>0.38279400157853194</v>
      </c>
      <c r="H35" s="2678">
        <v>0.38279400157853194</v>
      </c>
      <c r="I35" s="2679"/>
      <c r="J35" s="2681"/>
      <c r="K35" s="2680">
        <v>0.37906647807637905</v>
      </c>
      <c r="M35" s="2668" t="s">
        <v>1266</v>
      </c>
      <c r="N35" s="2678">
        <v>0.38400363553737787</v>
      </c>
      <c r="O35" s="2679"/>
      <c r="P35" s="2680"/>
      <c r="Q35" s="2678">
        <v>0.36662883087400683</v>
      </c>
      <c r="R35" s="2678">
        <v>0.38279400157853194</v>
      </c>
      <c r="S35" s="2678">
        <v>0.38279400157853194</v>
      </c>
      <c r="T35" s="2679"/>
      <c r="U35" s="2681"/>
      <c r="V35" s="2680">
        <v>0.37906647807637905</v>
      </c>
      <c r="Y35" s="2668" t="s">
        <v>1266</v>
      </c>
      <c r="Z35" s="2982">
        <f>+Z32/Z30</f>
        <v>0.38264030902067714</v>
      </c>
      <c r="AA35" s="2982">
        <f>+AA32/AA30</f>
        <v>0.37471577989995453</v>
      </c>
      <c r="AB35" s="2679"/>
      <c r="AC35" s="2680"/>
      <c r="AD35" s="2982">
        <f>+AD32/AD30</f>
        <v>0.36590909090909091</v>
      </c>
      <c r="AE35" s="2982">
        <f>+AE32/AE30</f>
        <v>0.38699444885011897</v>
      </c>
      <c r="AF35" s="2679">
        <f>+AF32/AF30</f>
        <v>0.37606837606837606</v>
      </c>
      <c r="AG35" s="2681">
        <f>+AG32/AG30</f>
        <v>0.38202247191011235</v>
      </c>
      <c r="AH35" s="2680">
        <f>+AH32/AH30</f>
        <v>0.37906647807637905</v>
      </c>
    </row>
    <row r="36" spans="2:34">
      <c r="B36" s="2668" t="s">
        <v>1267</v>
      </c>
      <c r="C36" s="2678">
        <v>-2.5936599423631135E-2</v>
      </c>
      <c r="D36" s="2679"/>
      <c r="E36" s="2680"/>
      <c r="F36" s="2678">
        <v>-5.5418719211822731E-3</v>
      </c>
      <c r="G36" s="2678">
        <v>-4.7418630751964064E-2</v>
      </c>
      <c r="H36" s="2678">
        <v>-6.6794942275975822E-2</v>
      </c>
      <c r="I36" s="2679"/>
      <c r="J36" s="2681"/>
      <c r="K36" s="2680"/>
      <c r="M36" s="2668" t="s">
        <v>1267</v>
      </c>
      <c r="N36" s="2678">
        <v>-2.5936599423631135E-2</v>
      </c>
      <c r="O36" s="2679"/>
      <c r="P36" s="2680"/>
      <c r="Q36" s="2678">
        <v>-5.5418719211822731E-3</v>
      </c>
      <c r="R36" s="2678">
        <v>-4.7418630751964064E-2</v>
      </c>
      <c r="S36" s="2678">
        <v>-6.6794942275975822E-2</v>
      </c>
      <c r="T36" s="2679"/>
      <c r="U36" s="2681"/>
      <c r="V36" s="2680"/>
      <c r="Y36" s="2668" t="s">
        <v>1267</v>
      </c>
      <c r="Z36" s="2982">
        <f>+Z32/Z26-1</f>
        <v>-2.9394812680115234E-2</v>
      </c>
      <c r="AA36" s="2982">
        <f>+AA32/AA26-1</f>
        <v>1.4778325123152802E-2</v>
      </c>
      <c r="AB36" s="2679"/>
      <c r="AC36" s="2680"/>
      <c r="AD36" s="2982">
        <f>+AD32/AD26-1</f>
        <v>-9.6520763187429859E-2</v>
      </c>
      <c r="AE36" s="2982">
        <f>+AE32/AE26-1</f>
        <v>-6.1022539857064295E-2</v>
      </c>
      <c r="AF36" s="2679">
        <f>+AF32/SUM($Z$26:$AE$26)-1</f>
        <v>-5.1724137931034475E-2</v>
      </c>
      <c r="AG36" s="2681">
        <f>+AG32/SUM($Z$26:$AE$26)-1</f>
        <v>-2.2988505747126409E-2</v>
      </c>
      <c r="AH36" s="2680">
        <f>+AH32/SUM($Z$26:$AE$26)-1</f>
        <v>-3.7356321839080442E-2</v>
      </c>
    </row>
    <row r="37" spans="2:34">
      <c r="B37" s="2682" t="s">
        <v>1268</v>
      </c>
      <c r="C37" s="2683">
        <v>-7.091808686091261E-2</v>
      </c>
      <c r="D37" s="2684"/>
      <c r="E37" s="2685"/>
      <c r="F37" s="2683">
        <v>-4.4378698224852076E-2</v>
      </c>
      <c r="G37" s="2683">
        <v>5.1083591331269274E-2</v>
      </c>
      <c r="H37" s="2683">
        <v>0</v>
      </c>
      <c r="I37" s="2684"/>
      <c r="J37" s="2686"/>
      <c r="K37" s="2687"/>
      <c r="M37" s="2682" t="s">
        <v>1268</v>
      </c>
      <c r="N37" s="2683">
        <v>-7.091808686091261E-2</v>
      </c>
      <c r="O37" s="2684"/>
      <c r="P37" s="2685"/>
      <c r="Q37" s="2683">
        <v>-4.4378698224852076E-2</v>
      </c>
      <c r="R37" s="2683">
        <v>5.1083591331269274E-2</v>
      </c>
      <c r="S37" s="2683">
        <v>0</v>
      </c>
      <c r="T37" s="2684"/>
      <c r="U37" s="2686"/>
      <c r="V37" s="2687"/>
      <c r="Y37" s="2682" t="s">
        <v>1268</v>
      </c>
      <c r="Z37" s="2983">
        <f>+Z32/AE26-1</f>
        <v>-7.4216602528861975E-2</v>
      </c>
      <c r="AA37" s="2983">
        <f>+AA32/Z32-1</f>
        <v>-2.1377672209026088E-2</v>
      </c>
      <c r="AB37" s="2684"/>
      <c r="AC37" s="2685"/>
      <c r="AD37" s="2983">
        <f>+AD32/AA32-1</f>
        <v>-2.3058252427184511E-2</v>
      </c>
      <c r="AE37" s="2983">
        <f>+AE32/AD32-1</f>
        <v>6.0869565217391397E-2</v>
      </c>
      <c r="AF37" s="2684"/>
      <c r="AG37" s="2686"/>
      <c r="AH37" s="2687"/>
    </row>
    <row r="38" spans="2:34">
      <c r="B38" s="2624"/>
      <c r="C38" s="2624"/>
      <c r="D38" s="2624"/>
      <c r="E38" s="2624"/>
      <c r="F38" s="2624"/>
      <c r="G38" s="2624"/>
      <c r="H38" s="2624"/>
      <c r="I38" s="2624"/>
      <c r="J38" s="2624"/>
      <c r="K38" s="2624"/>
      <c r="M38" s="2624"/>
      <c r="N38" s="2624"/>
      <c r="O38" s="2624"/>
      <c r="P38" s="2624"/>
      <c r="Q38" s="2624"/>
      <c r="R38" s="2624"/>
      <c r="S38" s="2624"/>
      <c r="T38" s="2624"/>
      <c r="U38" s="2624"/>
      <c r="V38" s="2624"/>
      <c r="Y38" s="2624"/>
      <c r="Z38" s="2624"/>
      <c r="AA38" s="2624"/>
      <c r="AB38" s="2624"/>
      <c r="AC38" s="2624"/>
      <c r="AD38" s="2624"/>
      <c r="AE38" s="2624"/>
      <c r="AF38" s="2624"/>
      <c r="AG38" s="2624"/>
      <c r="AH38" s="2624"/>
    </row>
    <row r="39" spans="2:34">
      <c r="B39" s="2659" t="s">
        <v>1263</v>
      </c>
      <c r="C39" s="2701">
        <v>4401</v>
      </c>
      <c r="D39" s="2702">
        <v>4380</v>
      </c>
      <c r="E39" s="2703">
        <v>4430</v>
      </c>
      <c r="F39" s="2701">
        <v>4405</v>
      </c>
      <c r="G39" s="2701">
        <v>4434.5</v>
      </c>
      <c r="H39" s="2701">
        <v>4434.5</v>
      </c>
      <c r="M39" s="2659" t="s">
        <v>1263</v>
      </c>
      <c r="N39" s="2701">
        <v>4401</v>
      </c>
      <c r="O39" s="2702">
        <v>4380</v>
      </c>
      <c r="P39" s="2703">
        <v>4430</v>
      </c>
      <c r="Q39" s="2701">
        <v>4405</v>
      </c>
      <c r="R39" s="2701">
        <v>4434.5</v>
      </c>
      <c r="S39" s="2701">
        <v>4434.5</v>
      </c>
      <c r="Y39" s="2659" t="str">
        <f t="shared" ref="Y39:AE39" si="12">Y30</f>
        <v>Operating Revenue</v>
      </c>
      <c r="Z39" s="2701">
        <f t="shared" si="12"/>
        <v>4401</v>
      </c>
      <c r="AA39" s="2701">
        <f t="shared" si="12"/>
        <v>4398</v>
      </c>
      <c r="AB39" s="2702">
        <f t="shared" si="12"/>
        <v>4350</v>
      </c>
      <c r="AC39" s="2703">
        <f t="shared" si="12"/>
        <v>4400</v>
      </c>
      <c r="AD39" s="2701">
        <f t="shared" si="12"/>
        <v>4400</v>
      </c>
      <c r="AE39" s="2701">
        <f t="shared" si="12"/>
        <v>4413.5</v>
      </c>
    </row>
    <row r="40" spans="2:34">
      <c r="B40" s="2700" t="s">
        <v>1287</v>
      </c>
      <c r="C40" s="2678">
        <v>0.38400363553737787</v>
      </c>
      <c r="D40" s="2679">
        <v>0.36301369863013699</v>
      </c>
      <c r="E40" s="2680">
        <v>0.37020316027088035</v>
      </c>
      <c r="F40" s="2678">
        <v>0.36662883087400683</v>
      </c>
      <c r="G40" s="2678">
        <v>0.38279400157853194</v>
      </c>
      <c r="H40" s="2678">
        <v>0.38279400157853194</v>
      </c>
      <c r="M40" s="2700" t="s">
        <v>1287</v>
      </c>
      <c r="N40" s="2678">
        <v>0.38400363553737787</v>
      </c>
      <c r="O40" s="2679">
        <v>0.36301369863013699</v>
      </c>
      <c r="P40" s="2680">
        <v>0.37020316027088035</v>
      </c>
      <c r="Q40" s="2678">
        <v>0.36662883087400683</v>
      </c>
      <c r="R40" s="2678">
        <v>0.38279400157853194</v>
      </c>
      <c r="S40" s="2678">
        <v>0.38279400157853194</v>
      </c>
      <c r="Y40" s="2700" t="s">
        <v>1287</v>
      </c>
      <c r="Z40" s="2678">
        <f t="shared" ref="Z40:AE40" si="13">+Z42/Z39</f>
        <v>0.38264030902067714</v>
      </c>
      <c r="AA40" s="2678">
        <f t="shared" si="13"/>
        <v>0.37471577989995453</v>
      </c>
      <c r="AB40" s="2679">
        <f t="shared" si="13"/>
        <v>0.35862068965517241</v>
      </c>
      <c r="AC40" s="2680">
        <f t="shared" si="13"/>
        <v>0.36590909090909091</v>
      </c>
      <c r="AD40" s="2678">
        <f t="shared" si="13"/>
        <v>0.36590909090909091</v>
      </c>
      <c r="AE40" s="2678">
        <f t="shared" si="13"/>
        <v>0.38699444885011897</v>
      </c>
    </row>
    <row r="41" spans="2:34">
      <c r="B41" s="2668"/>
      <c r="C41" s="2673"/>
      <c r="D41" s="2674"/>
      <c r="E41" s="2675"/>
      <c r="F41" s="2673"/>
      <c r="G41" s="2673"/>
      <c r="H41" s="2673"/>
      <c r="M41" s="2668"/>
      <c r="N41" s="2673"/>
      <c r="O41" s="2674"/>
      <c r="P41" s="2675"/>
      <c r="Q41" s="2673"/>
      <c r="R41" s="2673"/>
      <c r="S41" s="2673"/>
      <c r="Y41" s="2668"/>
      <c r="Z41" s="2673"/>
      <c r="AA41" s="2673"/>
      <c r="AB41" s="2674"/>
      <c r="AC41" s="2675"/>
      <c r="AD41" s="2673"/>
      <c r="AE41" s="2673"/>
    </row>
    <row r="42" spans="2:34">
      <c r="B42" s="2668" t="s">
        <v>1265</v>
      </c>
      <c r="C42" s="2673">
        <v>1690</v>
      </c>
      <c r="D42" s="2674">
        <v>1590</v>
      </c>
      <c r="E42" s="2675">
        <v>1640</v>
      </c>
      <c r="F42" s="2673">
        <v>1615</v>
      </c>
      <c r="G42" s="2673">
        <v>1697.5</v>
      </c>
      <c r="H42" s="2673">
        <v>1697.5</v>
      </c>
      <c r="M42" s="2668" t="s">
        <v>1265</v>
      </c>
      <c r="N42" s="2673">
        <v>1690</v>
      </c>
      <c r="O42" s="2674">
        <v>1590</v>
      </c>
      <c r="P42" s="2675">
        <v>1640</v>
      </c>
      <c r="Q42" s="2673">
        <v>1615</v>
      </c>
      <c r="R42" s="2673">
        <v>1697.5</v>
      </c>
      <c r="S42" s="2673">
        <v>1697.5</v>
      </c>
      <c r="Y42" s="2668" t="str">
        <f t="shared" ref="Y42:AE42" si="14">Y32</f>
        <v>Adj. EBITDA / OCF</v>
      </c>
      <c r="Z42" s="2673">
        <f t="shared" si="14"/>
        <v>1684</v>
      </c>
      <c r="AA42" s="2673">
        <f t="shared" si="14"/>
        <v>1648</v>
      </c>
      <c r="AB42" s="2674">
        <f t="shared" si="14"/>
        <v>1560</v>
      </c>
      <c r="AC42" s="2675">
        <f t="shared" si="14"/>
        <v>1610</v>
      </c>
      <c r="AD42" s="2673">
        <f t="shared" si="14"/>
        <v>1610</v>
      </c>
      <c r="AE42" s="2673">
        <f t="shared" si="14"/>
        <v>1708</v>
      </c>
    </row>
    <row r="43" spans="2:34">
      <c r="B43" s="2704" t="s">
        <v>1288</v>
      </c>
      <c r="C43" s="2683">
        <v>-2.5936599423631135E-2</v>
      </c>
      <c r="D43" s="2684"/>
      <c r="E43" s="2685"/>
      <c r="F43" s="2705">
        <v>-5.5418719211822731E-3</v>
      </c>
      <c r="G43" s="2683">
        <v>-4.7418630751964064E-2</v>
      </c>
      <c r="H43" s="2683">
        <v>-6.6794942275975822E-2</v>
      </c>
      <c r="M43" s="2704" t="s">
        <v>1288</v>
      </c>
      <c r="N43" s="2683">
        <v>-2.5936599423631135E-2</v>
      </c>
      <c r="O43" s="2684"/>
      <c r="P43" s="2685"/>
      <c r="Q43" s="2705">
        <v>-5.5418719211822731E-3</v>
      </c>
      <c r="R43" s="2683">
        <v>-4.7418630751964064E-2</v>
      </c>
      <c r="S43" s="2683">
        <v>-6.6794942275975822E-2</v>
      </c>
      <c r="Y43" s="2704" t="s">
        <v>1288</v>
      </c>
      <c r="Z43" s="2683">
        <f>+Z42/Z26-1</f>
        <v>-2.9394812680115234E-2</v>
      </c>
      <c r="AA43" s="2705">
        <f>+AA42/AA26-1</f>
        <v>1.4778325123152802E-2</v>
      </c>
      <c r="AB43" s="2684"/>
      <c r="AC43" s="2685"/>
      <c r="AD43" s="2683">
        <f>+AD42/AD26-1</f>
        <v>-9.6520763187429859E-2</v>
      </c>
      <c r="AE43" s="2683">
        <f>+AE42/AE26-1</f>
        <v>-6.1022539857064295E-2</v>
      </c>
    </row>
    <row r="44" spans="2:34">
      <c r="B44" s="2798"/>
      <c r="C44" s="2681"/>
      <c r="D44" s="2624"/>
      <c r="E44" s="2624"/>
      <c r="F44" s="2681"/>
      <c r="G44" s="2681"/>
      <c r="H44" s="2681"/>
      <c r="M44" s="2798"/>
      <c r="N44" s="2681"/>
      <c r="O44" s="2624"/>
      <c r="P44" s="2624"/>
      <c r="Q44" s="2681"/>
      <c r="R44" s="2681"/>
      <c r="S44" s="2681"/>
      <c r="Y44" s="2798"/>
      <c r="Z44" s="2681"/>
      <c r="AA44" s="2681"/>
      <c r="AB44" s="2624"/>
      <c r="AC44" s="2624"/>
      <c r="AD44" s="2681"/>
      <c r="AE44" s="2681"/>
    </row>
    <row r="45" spans="2:34">
      <c r="B45" s="2798"/>
      <c r="C45" s="2681"/>
      <c r="D45" s="2624"/>
      <c r="E45" s="2624"/>
      <c r="F45" s="2681"/>
      <c r="G45" s="2681"/>
      <c r="H45" s="2681"/>
      <c r="M45" s="2798"/>
      <c r="N45" s="2681"/>
      <c r="O45" s="2624"/>
      <c r="P45" s="2624"/>
      <c r="Q45" s="2681"/>
      <c r="R45" s="2681"/>
      <c r="S45" s="2681"/>
      <c r="Z45" s="2991" t="s">
        <v>1575</v>
      </c>
      <c r="AA45" s="2991" t="s">
        <v>1576</v>
      </c>
      <c r="AB45" s="2991"/>
      <c r="AC45" s="2991"/>
      <c r="AD45" s="2991" t="s">
        <v>1577</v>
      </c>
      <c r="AE45" s="2991" t="s">
        <v>1578</v>
      </c>
    </row>
    <row r="46" spans="2:34">
      <c r="B46" s="2798"/>
      <c r="C46" s="2681"/>
      <c r="D46" s="2624"/>
      <c r="E46" s="2624"/>
      <c r="F46" s="2681"/>
      <c r="G46" s="2681"/>
      <c r="H46" s="2681"/>
      <c r="M46" s="2798"/>
      <c r="N46" s="2681"/>
      <c r="O46" s="2624"/>
      <c r="P46" s="2624"/>
      <c r="Q46" s="2681"/>
      <c r="R46" s="2681"/>
      <c r="S46" s="2681"/>
      <c r="Y46" s="2781" t="s">
        <v>1462</v>
      </c>
      <c r="Z46" s="2976">
        <f>+Z25</f>
        <v>4451</v>
      </c>
      <c r="AA46" s="2976">
        <f>+AA25</f>
        <v>4419</v>
      </c>
      <c r="AB46" s="2666"/>
      <c r="AC46" s="2666"/>
      <c r="AD46" s="2976">
        <f>+AD25</f>
        <v>4554</v>
      </c>
      <c r="AE46" s="2780">
        <f>+AE25</f>
        <v>4476</v>
      </c>
      <c r="AF46" s="2624"/>
      <c r="AG46" s="2624"/>
      <c r="AH46" s="2624"/>
    </row>
    <row r="47" spans="2:34">
      <c r="B47" s="2798"/>
      <c r="C47" s="2681"/>
      <c r="D47" s="2624"/>
      <c r="E47" s="2624"/>
      <c r="F47" s="2681"/>
      <c r="G47" s="2681"/>
      <c r="H47" s="2681"/>
      <c r="M47" s="2798"/>
      <c r="N47" s="2681"/>
      <c r="O47" s="2624"/>
      <c r="P47" s="2624"/>
      <c r="Q47" s="2681"/>
      <c r="R47" s="2681"/>
      <c r="S47" s="2681"/>
      <c r="Y47" s="2684" t="s">
        <v>1461</v>
      </c>
      <c r="Z47" s="2977">
        <f>+Z26</f>
        <v>1735</v>
      </c>
      <c r="AA47" s="2977">
        <f>+AA26</f>
        <v>1624</v>
      </c>
      <c r="AB47" s="2784"/>
      <c r="AC47" s="2784"/>
      <c r="AD47" s="2977">
        <f>+AD26</f>
        <v>1782</v>
      </c>
      <c r="AE47" s="2783">
        <f>+AE26</f>
        <v>1819</v>
      </c>
      <c r="AF47" s="2624"/>
      <c r="AG47" s="2624"/>
      <c r="AH47" s="2624"/>
    </row>
    <row r="48" spans="2:34">
      <c r="B48" s="2798"/>
      <c r="C48" s="2681"/>
      <c r="D48" s="2624"/>
      <c r="E48" s="2624"/>
      <c r="F48" s="2681"/>
      <c r="G48" s="2681"/>
      <c r="H48" s="2681"/>
      <c r="M48" s="2798"/>
      <c r="N48" s="2681"/>
      <c r="O48" s="2624"/>
      <c r="P48" s="2624"/>
      <c r="Q48" s="2681"/>
      <c r="R48" s="2681"/>
      <c r="S48" s="2681"/>
      <c r="Y48" s="2664" t="s">
        <v>1463</v>
      </c>
      <c r="Z48" s="2978">
        <f>+Z47/Z46</f>
        <v>0.38980004493372278</v>
      </c>
      <c r="AA48" s="2978">
        <f>+AA47/AA46</f>
        <v>0.36750396017198461</v>
      </c>
      <c r="AB48" s="2787"/>
      <c r="AC48" s="2979"/>
      <c r="AD48" s="2978">
        <f>+AD47/AD46</f>
        <v>0.39130434782608697</v>
      </c>
      <c r="AE48" s="2790">
        <f>+AE47/AE46</f>
        <v>0.40638963360142982</v>
      </c>
    </row>
    <row r="49" spans="2:34">
      <c r="B49" s="2798"/>
      <c r="C49" s="2681"/>
      <c r="D49" s="2624"/>
      <c r="E49" s="2624"/>
      <c r="F49" s="2681"/>
      <c r="G49" s="2681"/>
      <c r="H49" s="2681"/>
      <c r="M49" s="2798"/>
      <c r="N49" s="2681"/>
      <c r="O49" s="2624"/>
      <c r="P49" s="2624"/>
      <c r="Q49" s="2681"/>
      <c r="R49" s="2681"/>
      <c r="S49" s="2681"/>
    </row>
    <row r="50" spans="2:34" ht="25.5">
      <c r="B50" s="2798"/>
      <c r="C50" s="2681"/>
      <c r="D50" s="2624"/>
      <c r="E50" s="2624"/>
      <c r="F50" s="2681"/>
      <c r="G50" s="2681"/>
      <c r="H50" s="2681"/>
      <c r="M50" s="2798"/>
      <c r="N50" s="2681"/>
      <c r="O50" s="2624"/>
      <c r="P50" s="2624"/>
      <c r="Q50" s="2681"/>
      <c r="R50" s="2681"/>
      <c r="S50" s="2681"/>
      <c r="Y50" s="2688"/>
      <c r="Z50" s="2660" t="s">
        <v>1465</v>
      </c>
      <c r="AA50" s="2660" t="s">
        <v>1568</v>
      </c>
      <c r="AB50" s="2792" t="s">
        <v>1579</v>
      </c>
      <c r="AC50" s="2792"/>
      <c r="AD50" s="2660" t="s">
        <v>1580</v>
      </c>
      <c r="AE50" s="2989" t="s">
        <v>1581</v>
      </c>
      <c r="AF50" s="2665" t="s">
        <v>1460</v>
      </c>
      <c r="AG50" s="2666"/>
      <c r="AH50" s="2667"/>
    </row>
    <row r="51" spans="2:34">
      <c r="B51" s="2798"/>
      <c r="C51" s="2681"/>
      <c r="D51" s="2624"/>
      <c r="E51" s="2624"/>
      <c r="F51" s="2681"/>
      <c r="G51" s="2681"/>
      <c r="H51" s="2681"/>
      <c r="M51" s="2798"/>
      <c r="N51" s="2681"/>
      <c r="O51" s="2624"/>
      <c r="P51" s="2624"/>
      <c r="Q51" s="2681"/>
      <c r="R51" s="2681"/>
      <c r="S51" s="2681"/>
      <c r="Y51" s="2668"/>
      <c r="Z51" s="2671"/>
      <c r="AA51" s="2671" t="s">
        <v>1262</v>
      </c>
      <c r="AB51" s="2669" t="s">
        <v>1260</v>
      </c>
      <c r="AC51" s="2670" t="s">
        <v>1261</v>
      </c>
      <c r="AD51" s="2988" t="s">
        <v>1574</v>
      </c>
      <c r="AE51" s="2671"/>
      <c r="AF51" s="2669" t="s">
        <v>1260</v>
      </c>
      <c r="AG51" s="2672" t="s">
        <v>1261</v>
      </c>
      <c r="AH51" s="2990" t="s">
        <v>1262</v>
      </c>
    </row>
    <row r="52" spans="2:34">
      <c r="B52" s="2798"/>
      <c r="C52" s="2681"/>
      <c r="D52" s="2624"/>
      <c r="E52" s="2624"/>
      <c r="F52" s="2681"/>
      <c r="G52" s="2681"/>
      <c r="H52" s="2681"/>
      <c r="M52" s="2798"/>
      <c r="N52" s="2681"/>
      <c r="O52" s="2624"/>
      <c r="P52" s="2624"/>
      <c r="Q52" s="2681"/>
      <c r="R52" s="2681"/>
      <c r="S52" s="2681"/>
      <c r="Y52" s="2668" t="str">
        <f t="shared" ref="Y52:AA55" si="15">+Y30</f>
        <v>Operating Revenue</v>
      </c>
      <c r="Z52" s="2980">
        <f t="shared" si="15"/>
        <v>4401</v>
      </c>
      <c r="AA52" s="2980">
        <f t="shared" si="15"/>
        <v>4398</v>
      </c>
      <c r="AB52" s="2984">
        <v>4350</v>
      </c>
      <c r="AC52" s="2985">
        <v>4400</v>
      </c>
      <c r="AD52" s="2980">
        <f>+AC52</f>
        <v>4400</v>
      </c>
      <c r="AE52" s="2980">
        <f>AH52-AD52-AA52-Z52</f>
        <v>4476</v>
      </c>
      <c r="AF52" s="2674">
        <f t="shared" ref="AF52:AG55" si="16">+AF30</f>
        <v>17550</v>
      </c>
      <c r="AG52" s="2676">
        <f t="shared" si="16"/>
        <v>17800</v>
      </c>
      <c r="AH52" s="2802">
        <f>AVERAGE(AF52:AG52)</f>
        <v>17675</v>
      </c>
    </row>
    <row r="53" spans="2:34">
      <c r="B53" s="2798"/>
      <c r="C53" s="2681"/>
      <c r="D53" s="2624"/>
      <c r="E53" s="2624"/>
      <c r="F53" s="2681"/>
      <c r="G53" s="2681"/>
      <c r="H53" s="2681"/>
      <c r="M53" s="2798"/>
      <c r="N53" s="2681"/>
      <c r="O53" s="2624"/>
      <c r="P53" s="2624"/>
      <c r="Q53" s="2681"/>
      <c r="R53" s="2681"/>
      <c r="S53" s="2681"/>
      <c r="Y53" s="2668" t="str">
        <f t="shared" si="15"/>
        <v>Core Revenue</v>
      </c>
      <c r="Z53" s="2980">
        <f t="shared" si="15"/>
        <v>3977</v>
      </c>
      <c r="AA53" s="2980">
        <f t="shared" si="15"/>
        <v>3968</v>
      </c>
      <c r="AB53" s="2984">
        <v>3900</v>
      </c>
      <c r="AC53" s="2985">
        <v>3950</v>
      </c>
      <c r="AD53" s="2980">
        <f>+AC53</f>
        <v>3950</v>
      </c>
      <c r="AE53" s="2980">
        <f>AH53-AD53-AA53-Z53</f>
        <v>3980</v>
      </c>
      <c r="AF53" s="2674">
        <f t="shared" si="16"/>
        <v>15750</v>
      </c>
      <c r="AG53" s="2676">
        <f t="shared" si="16"/>
        <v>16000</v>
      </c>
      <c r="AH53" s="2802">
        <f>AVERAGE(AF53:AG53)</f>
        <v>15875</v>
      </c>
    </row>
    <row r="54" spans="2:34">
      <c r="Y54" s="2668" t="str">
        <f t="shared" si="15"/>
        <v>Adj. EBITDA / OCF</v>
      </c>
      <c r="Z54" s="2980">
        <f t="shared" si="15"/>
        <v>1684</v>
      </c>
      <c r="AA54" s="2980">
        <f t="shared" si="15"/>
        <v>1648</v>
      </c>
      <c r="AB54" s="2984">
        <v>1560</v>
      </c>
      <c r="AC54" s="2985">
        <v>1610</v>
      </c>
      <c r="AD54" s="2980">
        <f>+AC54</f>
        <v>1610</v>
      </c>
      <c r="AE54" s="2980">
        <f>AH54-AD54-AA54-Z54</f>
        <v>1758</v>
      </c>
      <c r="AF54" s="2674">
        <f t="shared" si="16"/>
        <v>6600</v>
      </c>
      <c r="AG54" s="2676">
        <f t="shared" si="16"/>
        <v>6800</v>
      </c>
      <c r="AH54" s="2802">
        <f>AVERAGE(AF54:AG54)</f>
        <v>6700</v>
      </c>
    </row>
    <row r="55" spans="2:34">
      <c r="D55" s="2707" t="s">
        <v>1289</v>
      </c>
      <c r="O55" s="2707" t="s">
        <v>1289</v>
      </c>
      <c r="Y55" s="2668" t="str">
        <f t="shared" si="15"/>
        <v>EPS</v>
      </c>
      <c r="Z55" s="2981">
        <f t="shared" si="15"/>
        <v>0.43688574512159678</v>
      </c>
      <c r="AA55" s="2981">
        <f t="shared" si="15"/>
        <v>0.36269430051813473</v>
      </c>
      <c r="AB55" s="2986">
        <v>0.52</v>
      </c>
      <c r="AC55" s="2987">
        <v>0.56999999999999995</v>
      </c>
      <c r="AD55" s="2981">
        <f>+AC55</f>
        <v>0.56999999999999995</v>
      </c>
      <c r="AE55" s="2981">
        <f>AH55-AD55-AA55-Z55</f>
        <v>1.2304199543602687</v>
      </c>
      <c r="AF55" s="2795">
        <f t="shared" si="16"/>
        <v>2.5</v>
      </c>
      <c r="AG55" s="2796">
        <f t="shared" si="16"/>
        <v>2.7</v>
      </c>
      <c r="AH55" s="2803">
        <f>AVERAGE(AF55:AG55)</f>
        <v>2.6</v>
      </c>
    </row>
    <row r="56" spans="2:34">
      <c r="D56" s="253" t="s">
        <v>1290</v>
      </c>
      <c r="F56" s="2706">
        <f>+F18+150</f>
        <v>4555</v>
      </c>
      <c r="H56" s="2706">
        <f>+H18+50</f>
        <v>4422</v>
      </c>
      <c r="O56" s="253" t="s">
        <v>1290</v>
      </c>
      <c r="Q56" s="2706">
        <v>4555</v>
      </c>
      <c r="S56" s="2706">
        <v>4422</v>
      </c>
      <c r="Y56" s="2668"/>
      <c r="Z56" s="2671"/>
      <c r="AA56" s="2671"/>
      <c r="AB56" s="2625"/>
      <c r="AC56" s="2623"/>
      <c r="AD56" s="2671"/>
      <c r="AE56" s="2671"/>
      <c r="AF56" s="2625"/>
      <c r="AG56" s="2624"/>
      <c r="AH56" s="2623"/>
    </row>
    <row r="57" spans="2:34">
      <c r="D57" s="253" t="s">
        <v>1265</v>
      </c>
      <c r="F57" s="2706">
        <f>+F21+150</f>
        <v>1765</v>
      </c>
      <c r="H57" s="2706">
        <f>+H21+50</f>
        <v>1697.5</v>
      </c>
      <c r="O57" s="253" t="s">
        <v>1265</v>
      </c>
      <c r="Q57" s="2706">
        <v>1765</v>
      </c>
      <c r="S57" s="2706">
        <v>1697.5</v>
      </c>
      <c r="Y57" s="2668" t="s">
        <v>1266</v>
      </c>
      <c r="Z57" s="2982">
        <f>+Z54/Z52</f>
        <v>0.38264030902067714</v>
      </c>
      <c r="AA57" s="2982">
        <f>+AA54/AA52</f>
        <v>0.37471577989995453</v>
      </c>
      <c r="AB57" s="2679"/>
      <c r="AC57" s="2680"/>
      <c r="AD57" s="2982">
        <f>+AD54/AD52</f>
        <v>0.36590909090909091</v>
      </c>
      <c r="AE57" s="2982">
        <f>+AE54/AE52</f>
        <v>0.39276139410187666</v>
      </c>
      <c r="AF57" s="2679">
        <f>+AF54/AF52</f>
        <v>0.37606837606837606</v>
      </c>
      <c r="AG57" s="2681">
        <f>+AG54/AG52</f>
        <v>0.38202247191011235</v>
      </c>
      <c r="AH57" s="2680">
        <f>+AH54/AH52</f>
        <v>0.37906647807637905</v>
      </c>
    </row>
    <row r="58" spans="2:34">
      <c r="D58" s="2708" t="s">
        <v>1287</v>
      </c>
      <c r="F58" s="2709">
        <f>+F57/F56</f>
        <v>0.38748627881448955</v>
      </c>
      <c r="H58" s="2709">
        <f>+H57/H56</f>
        <v>0.38387607417458164</v>
      </c>
      <c r="O58" s="2708" t="s">
        <v>1287</v>
      </c>
      <c r="Q58" s="2709">
        <v>0.38748627881448955</v>
      </c>
      <c r="S58" s="2709">
        <v>0.38387607417458164</v>
      </c>
      <c r="Y58" s="2668" t="s">
        <v>1267</v>
      </c>
      <c r="Z58" s="2982">
        <f>+Z54/Z47-1</f>
        <v>-2.9394812680115234E-2</v>
      </c>
      <c r="AA58" s="2982">
        <f>+AA54/AA47-1</f>
        <v>1.4778325123152802E-2</v>
      </c>
      <c r="AB58" s="2679"/>
      <c r="AC58" s="2680"/>
      <c r="AD58" s="2982">
        <f>+AD54/AD47-1</f>
        <v>-9.6520763187429859E-2</v>
      </c>
      <c r="AE58" s="2982">
        <f>+AE54/AE47-1</f>
        <v>-3.3534909290819148E-2</v>
      </c>
      <c r="AF58" s="2679">
        <f>+AF54/SUM($Z$47:$AE$47)-1</f>
        <v>-5.1724137931034475E-2</v>
      </c>
      <c r="AG58" s="2681">
        <f>+AG54/SUM($Z$47:$AE$47)-1</f>
        <v>-2.2988505747126409E-2</v>
      </c>
      <c r="AH58" s="2680">
        <f>+AH54/SUM($Z$47:$AE$47)-1</f>
        <v>-3.7356321839080442E-2</v>
      </c>
    </row>
    <row r="59" spans="2:34">
      <c r="Y59" s="2682" t="s">
        <v>1268</v>
      </c>
      <c r="Z59" s="2983">
        <f>+Z54/AE47-1</f>
        <v>-7.4216602528861975E-2</v>
      </c>
      <c r="AA59" s="2983">
        <f>+AA54/Z54-1</f>
        <v>-2.1377672209026088E-2</v>
      </c>
      <c r="AB59" s="2684"/>
      <c r="AC59" s="2685"/>
      <c r="AD59" s="2983">
        <f>+AD54/AA54-1</f>
        <v>-2.3058252427184511E-2</v>
      </c>
      <c r="AE59" s="2983">
        <f>+AE54/AD54-1</f>
        <v>9.1925465838509357E-2</v>
      </c>
      <c r="AF59" s="2684"/>
      <c r="AG59" s="2686"/>
      <c r="AH59" s="2687"/>
    </row>
    <row r="60" spans="2:34">
      <c r="D60" s="253" t="s">
        <v>764</v>
      </c>
      <c r="F60" s="2716">
        <f>+F12+0.16</f>
        <v>0.755</v>
      </c>
      <c r="H60" s="2716">
        <f>+H12+0.05</f>
        <v>0.64750000000000008</v>
      </c>
      <c r="O60" s="253" t="s">
        <v>764</v>
      </c>
      <c r="Q60" s="2716">
        <v>0.755</v>
      </c>
      <c r="S60" s="2716">
        <v>0.64750000000000008</v>
      </c>
      <c r="Y60" s="2624"/>
      <c r="Z60" s="2624"/>
      <c r="AA60" s="2624"/>
      <c r="AB60" s="2624"/>
      <c r="AC60" s="2624"/>
      <c r="AD60" s="2624"/>
      <c r="AE60" s="2624"/>
      <c r="AF60" s="2624"/>
      <c r="AG60" s="2624"/>
      <c r="AH60" s="2624"/>
    </row>
    <row r="61" spans="2:34">
      <c r="Y61" s="2659" t="str">
        <f t="shared" ref="Y61:AE61" si="17">Y52</f>
        <v>Operating Revenue</v>
      </c>
      <c r="Z61" s="2701">
        <f t="shared" si="17"/>
        <v>4401</v>
      </c>
      <c r="AA61" s="2701">
        <f t="shared" si="17"/>
        <v>4398</v>
      </c>
      <c r="AB61" s="2702">
        <f t="shared" si="17"/>
        <v>4350</v>
      </c>
      <c r="AC61" s="2703">
        <f t="shared" si="17"/>
        <v>4400</v>
      </c>
      <c r="AD61" s="2701">
        <f t="shared" si="17"/>
        <v>4400</v>
      </c>
      <c r="AE61" s="2701">
        <f t="shared" si="17"/>
        <v>4476</v>
      </c>
    </row>
    <row r="62" spans="2:34">
      <c r="Y62" s="2700" t="s">
        <v>1287</v>
      </c>
      <c r="Z62" s="2678">
        <f t="shared" ref="Z62:AE62" si="18">+Z64/Z61</f>
        <v>0.38264030902067714</v>
      </c>
      <c r="AA62" s="2678">
        <f t="shared" si="18"/>
        <v>0.37471577989995453</v>
      </c>
      <c r="AB62" s="2679">
        <f t="shared" si="18"/>
        <v>0.35862068965517241</v>
      </c>
      <c r="AC62" s="2680">
        <f t="shared" si="18"/>
        <v>0.36590909090909091</v>
      </c>
      <c r="AD62" s="2678">
        <f t="shared" si="18"/>
        <v>0.36590909090909091</v>
      </c>
      <c r="AE62" s="2678">
        <f t="shared" si="18"/>
        <v>0.39276139410187666</v>
      </c>
    </row>
    <row r="63" spans="2:34">
      <c r="B63" s="2659"/>
      <c r="C63" s="2660" t="str">
        <f>+C7</f>
        <v>1q16</v>
      </c>
      <c r="D63" s="2661" t="str">
        <f>+D7</f>
        <v>2q16 Guidance</v>
      </c>
      <c r="E63" s="2662"/>
      <c r="F63" s="2663"/>
      <c r="G63" s="2660" t="str">
        <f>+G7</f>
        <v>3q16 implied</v>
      </c>
      <c r="H63" s="2664" t="str">
        <f>+H7</f>
        <v>4q16 implied</v>
      </c>
      <c r="I63" s="2665" t="str">
        <f>+I7</f>
        <v>2016 Guidance</v>
      </c>
      <c r="J63" s="2666"/>
      <c r="K63" s="2667"/>
      <c r="M63" s="2659"/>
      <c r="N63" s="2660" t="s">
        <v>1456</v>
      </c>
      <c r="O63" s="2661" t="s">
        <v>1457</v>
      </c>
      <c r="P63" s="2662"/>
      <c r="Q63" s="2663"/>
      <c r="R63" s="2660" t="s">
        <v>1458</v>
      </c>
      <c r="S63" s="2664" t="s">
        <v>1459</v>
      </c>
      <c r="T63" s="2665" t="s">
        <v>1460</v>
      </c>
      <c r="U63" s="2666"/>
      <c r="V63" s="2667"/>
      <c r="Y63" s="2668"/>
      <c r="Z63" s="2673"/>
      <c r="AA63" s="2673"/>
      <c r="AB63" s="2674"/>
      <c r="AC63" s="2675"/>
      <c r="AD63" s="2673"/>
      <c r="AE63" s="2673"/>
    </row>
    <row r="64" spans="2:34">
      <c r="B64" s="2668"/>
      <c r="C64" s="2668"/>
      <c r="D64" s="2669" t="str">
        <f>+D8</f>
        <v>Low</v>
      </c>
      <c r="E64" s="2670" t="str">
        <f>+E8</f>
        <v>High</v>
      </c>
      <c r="F64" s="2671" t="str">
        <f>+F8</f>
        <v>Mid</v>
      </c>
      <c r="G64" s="2668"/>
      <c r="H64" s="2668"/>
      <c r="I64" s="2669" t="str">
        <f>+I8</f>
        <v>Low</v>
      </c>
      <c r="J64" s="2672" t="str">
        <f>+J8</f>
        <v>High</v>
      </c>
      <c r="K64" s="2670" t="str">
        <f>+K8</f>
        <v>Mid</v>
      </c>
      <c r="M64" s="2668"/>
      <c r="N64" s="2668"/>
      <c r="O64" s="2669" t="s">
        <v>1260</v>
      </c>
      <c r="P64" s="2670" t="s">
        <v>1261</v>
      </c>
      <c r="Q64" s="2671" t="s">
        <v>1262</v>
      </c>
      <c r="R64" s="2668"/>
      <c r="S64" s="2668"/>
      <c r="T64" s="2669" t="s">
        <v>1260</v>
      </c>
      <c r="U64" s="2672" t="s">
        <v>1261</v>
      </c>
      <c r="V64" s="2670" t="s">
        <v>1262</v>
      </c>
      <c r="Y64" s="2668" t="str">
        <f t="shared" ref="Y64:AE64" si="19">Y54</f>
        <v>Adj. EBITDA / OCF</v>
      </c>
      <c r="Z64" s="2673">
        <f t="shared" si="19"/>
        <v>1684</v>
      </c>
      <c r="AA64" s="2673">
        <f t="shared" si="19"/>
        <v>1648</v>
      </c>
      <c r="AB64" s="2674">
        <f t="shared" si="19"/>
        <v>1560</v>
      </c>
      <c r="AC64" s="2675">
        <f t="shared" si="19"/>
        <v>1610</v>
      </c>
      <c r="AD64" s="2673">
        <f t="shared" si="19"/>
        <v>1610</v>
      </c>
      <c r="AE64" s="2673">
        <f t="shared" si="19"/>
        <v>1758</v>
      </c>
    </row>
    <row r="65" spans="2:31">
      <c r="B65" s="2668" t="str">
        <f t="shared" ref="B65:C67" si="20">+B9</f>
        <v>Operating Revenue</v>
      </c>
      <c r="C65" s="2673">
        <f t="shared" si="20"/>
        <v>4401</v>
      </c>
      <c r="D65" s="2674">
        <f t="shared" ref="D65:E67" si="21">+D9+150</f>
        <v>4530</v>
      </c>
      <c r="E65" s="2675">
        <f t="shared" si="21"/>
        <v>4580</v>
      </c>
      <c r="F65" s="2673">
        <f>AVERAGE(D65:E65)</f>
        <v>4555</v>
      </c>
      <c r="G65" s="2673">
        <f>+G9</f>
        <v>4372</v>
      </c>
      <c r="H65" s="2673">
        <f>K65-F65-C65-G65</f>
        <v>4547</v>
      </c>
      <c r="I65" s="2674">
        <f t="shared" ref="I65:J67" si="22">+I9+200</f>
        <v>17750</v>
      </c>
      <c r="J65" s="2676">
        <f t="shared" si="22"/>
        <v>18000</v>
      </c>
      <c r="K65" s="2675">
        <f>AVERAGE(I65:J65)</f>
        <v>17875</v>
      </c>
      <c r="M65" s="2668" t="s">
        <v>1263</v>
      </c>
      <c r="N65" s="2673">
        <v>4401</v>
      </c>
      <c r="O65" s="2674">
        <v>4530</v>
      </c>
      <c r="P65" s="2675">
        <v>4580</v>
      </c>
      <c r="Q65" s="2673">
        <v>4555</v>
      </c>
      <c r="R65" s="2673">
        <v>4372</v>
      </c>
      <c r="S65" s="2673">
        <v>4547</v>
      </c>
      <c r="T65" s="2674">
        <v>17750</v>
      </c>
      <c r="U65" s="2676">
        <v>18000</v>
      </c>
      <c r="V65" s="2675">
        <v>17875</v>
      </c>
      <c r="Y65" s="2704" t="s">
        <v>1288</v>
      </c>
      <c r="Z65" s="2683">
        <f>+Z64/Z47-1</f>
        <v>-2.9394812680115234E-2</v>
      </c>
      <c r="AA65" s="2705">
        <f>+AA64/AA47-1</f>
        <v>1.4778325123152802E-2</v>
      </c>
      <c r="AB65" s="2684"/>
      <c r="AC65" s="2685"/>
      <c r="AD65" s="2683">
        <f>+AD64/AD47-1</f>
        <v>-9.6520763187429859E-2</v>
      </c>
      <c r="AE65" s="2683">
        <f>+AE64/AE47-1</f>
        <v>-3.3534909290819148E-2</v>
      </c>
    </row>
    <row r="66" spans="2:31">
      <c r="B66" s="2668" t="str">
        <f t="shared" si="20"/>
        <v>Core Revenue</v>
      </c>
      <c r="C66" s="2673">
        <f t="shared" si="20"/>
        <v>3977</v>
      </c>
      <c r="D66" s="2674">
        <f t="shared" si="21"/>
        <v>4170</v>
      </c>
      <c r="E66" s="2675">
        <f t="shared" si="21"/>
        <v>4220</v>
      </c>
      <c r="F66" s="2673">
        <f>AVERAGE(D66:E66)</f>
        <v>4195</v>
      </c>
      <c r="G66" s="2673">
        <f>+G10</f>
        <v>4039</v>
      </c>
      <c r="H66" s="2673">
        <f>K66-F66-C66-G66</f>
        <v>4164</v>
      </c>
      <c r="I66" s="2674">
        <f t="shared" si="22"/>
        <v>16300</v>
      </c>
      <c r="J66" s="2676">
        <f t="shared" si="22"/>
        <v>16450</v>
      </c>
      <c r="K66" s="2675">
        <f>AVERAGE(I66:J66)</f>
        <v>16375</v>
      </c>
      <c r="M66" s="2668" t="s">
        <v>1264</v>
      </c>
      <c r="N66" s="2673">
        <v>3977</v>
      </c>
      <c r="O66" s="2674">
        <v>4170</v>
      </c>
      <c r="P66" s="2675">
        <v>4220</v>
      </c>
      <c r="Q66" s="2673">
        <v>4195</v>
      </c>
      <c r="R66" s="2673">
        <v>4039</v>
      </c>
      <c r="S66" s="2673">
        <v>4164</v>
      </c>
      <c r="T66" s="2674">
        <v>16300</v>
      </c>
      <c r="U66" s="2676">
        <v>16450</v>
      </c>
      <c r="V66" s="2675">
        <v>16375</v>
      </c>
    </row>
    <row r="67" spans="2:31">
      <c r="B67" s="2668" t="str">
        <f t="shared" si="20"/>
        <v>Adj. EBITDA / OCF</v>
      </c>
      <c r="C67" s="2673">
        <f t="shared" si="20"/>
        <v>1690</v>
      </c>
      <c r="D67" s="2674">
        <f t="shared" si="21"/>
        <v>1740</v>
      </c>
      <c r="E67" s="2675">
        <f t="shared" si="21"/>
        <v>1790</v>
      </c>
      <c r="F67" s="2673">
        <f>AVERAGE(D67:E67)</f>
        <v>1765</v>
      </c>
      <c r="G67" s="2673">
        <f>+G11</f>
        <v>1647.5</v>
      </c>
      <c r="H67" s="2673">
        <f>K67-F67-C67-G67</f>
        <v>1797.5</v>
      </c>
      <c r="I67" s="2674">
        <f t="shared" si="22"/>
        <v>6800</v>
      </c>
      <c r="J67" s="2676">
        <f t="shared" si="22"/>
        <v>7000</v>
      </c>
      <c r="K67" s="2675">
        <f>AVERAGE(I67:J67)</f>
        <v>6900</v>
      </c>
      <c r="M67" s="2668" t="s">
        <v>1265</v>
      </c>
      <c r="N67" s="2673">
        <v>1690</v>
      </c>
      <c r="O67" s="2674">
        <v>1740</v>
      </c>
      <c r="P67" s="2675">
        <v>1790</v>
      </c>
      <c r="Q67" s="2673">
        <v>1765</v>
      </c>
      <c r="R67" s="2673">
        <v>1647.5</v>
      </c>
      <c r="S67" s="2673">
        <v>1797.5</v>
      </c>
      <c r="T67" s="2674">
        <v>6800</v>
      </c>
      <c r="U67" s="2676">
        <v>7000</v>
      </c>
      <c r="V67" s="2675">
        <v>6900</v>
      </c>
    </row>
    <row r="68" spans="2:31">
      <c r="B68" s="2717" t="s">
        <v>1288</v>
      </c>
      <c r="C68" s="2678">
        <f>+C79/C5-1</f>
        <v>-1.9721577726218076E-2</v>
      </c>
      <c r="D68" s="2625"/>
      <c r="E68" s="2623"/>
      <c r="F68" s="2681">
        <f>+F79/D5-1</f>
        <v>8.8162762022194752E-2</v>
      </c>
      <c r="G68" s="2678">
        <f>+G79/G5-1</f>
        <v>-7.2353603603603656E-2</v>
      </c>
      <c r="H68" s="2678">
        <f>+H79/H5-1</f>
        <v>-8.0022075055187214E-3</v>
      </c>
      <c r="I68" s="2624"/>
      <c r="J68" s="2624"/>
      <c r="K68" s="2623"/>
      <c r="M68" s="2717" t="s">
        <v>1288</v>
      </c>
      <c r="N68" s="2678">
        <v>-2.5936599423631135E-2</v>
      </c>
      <c r="O68" s="2625"/>
      <c r="P68" s="2623"/>
      <c r="Q68" s="2681">
        <v>8.6822660098522242E-2</v>
      </c>
      <c r="R68" s="2678">
        <v>-7.5476992143658772E-2</v>
      </c>
      <c r="S68" s="2678">
        <v>-1.1819681143485417E-2</v>
      </c>
      <c r="T68" s="2624"/>
      <c r="U68" s="2624"/>
      <c r="V68" s="2623"/>
    </row>
    <row r="69" spans="2:31">
      <c r="B69" s="2700" t="s">
        <v>1287</v>
      </c>
      <c r="C69" s="2678">
        <f t="shared" ref="C69:H69" si="23">+C79/C77</f>
        <v>0.38400363553737787</v>
      </c>
      <c r="D69" s="2679">
        <f t="shared" si="23"/>
        <v>0.38410596026490068</v>
      </c>
      <c r="E69" s="2680">
        <f t="shared" si="23"/>
        <v>0.39082969432314413</v>
      </c>
      <c r="F69" s="2678">
        <f>+F79/F77</f>
        <v>0.38748627881448955</v>
      </c>
      <c r="G69" s="2678">
        <f>+G79/G77</f>
        <v>0.37682982616651417</v>
      </c>
      <c r="H69" s="2678">
        <f t="shared" si="23"/>
        <v>0.39531559269848254</v>
      </c>
      <c r="I69" s="2624"/>
      <c r="J69" s="2624"/>
      <c r="K69" s="2623"/>
      <c r="M69" s="2700" t="s">
        <v>1287</v>
      </c>
      <c r="N69" s="2678">
        <v>0.38400363553737787</v>
      </c>
      <c r="O69" s="2679">
        <v>0.38410596026490068</v>
      </c>
      <c r="P69" s="2680">
        <v>0.39082969432314413</v>
      </c>
      <c r="Q69" s="2678">
        <v>0.38748627881448955</v>
      </c>
      <c r="R69" s="2678">
        <v>0.37682982616651417</v>
      </c>
      <c r="S69" s="2678">
        <v>0.39531559269848254</v>
      </c>
      <c r="T69" s="2624"/>
      <c r="U69" s="2624"/>
      <c r="V69" s="2623"/>
    </row>
    <row r="70" spans="2:31" ht="4.5" customHeight="1">
      <c r="B70" s="2700"/>
      <c r="C70" s="2678"/>
      <c r="D70" s="2679"/>
      <c r="E70" s="2680"/>
      <c r="F70" s="2678"/>
      <c r="G70" s="2678"/>
      <c r="H70" s="2678"/>
      <c r="I70" s="2624"/>
      <c r="J70" s="2624"/>
      <c r="K70" s="2623"/>
      <c r="M70" s="2700"/>
      <c r="N70" s="2678"/>
      <c r="O70" s="2679"/>
      <c r="P70" s="2680"/>
      <c r="Q70" s="2678"/>
      <c r="R70" s="2678"/>
      <c r="S70" s="2678"/>
      <c r="T70" s="2624"/>
      <c r="U70" s="2624"/>
      <c r="V70" s="2623"/>
    </row>
    <row r="71" spans="2:31">
      <c r="B71" s="2668" t="str">
        <f>+B12</f>
        <v>EPS</v>
      </c>
      <c r="C71" s="2677">
        <f>+C12</f>
        <v>0.71</v>
      </c>
      <c r="D71" s="2625">
        <f>+D12+0.16</f>
        <v>0.73</v>
      </c>
      <c r="E71" s="2623">
        <f>+E12+0.16</f>
        <v>0.78</v>
      </c>
      <c r="F71" s="2677">
        <f>AVERAGE(D71:E71)</f>
        <v>0.755</v>
      </c>
      <c r="G71" s="2677">
        <f>+G12</f>
        <v>0.59750000000000003</v>
      </c>
      <c r="H71" s="2677">
        <f>K71-F71-C71-G71</f>
        <v>0.74750000000000016</v>
      </c>
      <c r="I71" s="2625">
        <f>+I12+0.21</f>
        <v>2.71</v>
      </c>
      <c r="J71" s="2624">
        <f>+J12+0.21</f>
        <v>2.91</v>
      </c>
      <c r="K71" s="2623">
        <f>AVERAGE(I71:J71)</f>
        <v>2.81</v>
      </c>
      <c r="M71" s="2668" t="s">
        <v>764</v>
      </c>
      <c r="N71" s="2677">
        <v>0.71</v>
      </c>
      <c r="O71" s="2625">
        <v>0.73</v>
      </c>
      <c r="P71" s="2623">
        <v>0.78</v>
      </c>
      <c r="Q71" s="2677">
        <v>0.755</v>
      </c>
      <c r="R71" s="2677">
        <v>0.59750000000000003</v>
      </c>
      <c r="S71" s="2677">
        <v>0.74750000000000016</v>
      </c>
      <c r="T71" s="2625">
        <v>2.71</v>
      </c>
      <c r="U71" s="2624">
        <v>2.91</v>
      </c>
      <c r="V71" s="2623">
        <v>2.81</v>
      </c>
    </row>
    <row r="72" spans="2:31" ht="4.5" customHeight="1">
      <c r="B72" s="2668"/>
      <c r="C72" s="2668"/>
      <c r="D72" s="2625"/>
      <c r="E72" s="2623"/>
      <c r="F72" s="2668"/>
      <c r="G72" s="2668"/>
      <c r="H72" s="2668"/>
      <c r="I72" s="2625"/>
      <c r="J72" s="2624"/>
      <c r="K72" s="2623"/>
      <c r="M72" s="2668"/>
      <c r="N72" s="2668"/>
      <c r="O72" s="2625"/>
      <c r="P72" s="2623"/>
      <c r="Q72" s="2668"/>
      <c r="R72" s="2668"/>
      <c r="S72" s="2668"/>
      <c r="T72" s="2625"/>
      <c r="U72" s="2624"/>
      <c r="V72" s="2623"/>
    </row>
    <row r="73" spans="2:31">
      <c r="B73" s="2668" t="str">
        <f t="shared" ref="B73:C75" si="24">+B14</f>
        <v>EBITDA margin</v>
      </c>
      <c r="C73" s="2678">
        <f t="shared" si="24"/>
        <v>0.38400363553737787</v>
      </c>
      <c r="D73" s="2679"/>
      <c r="E73" s="2680"/>
      <c r="F73" s="2678">
        <f>+F67/F65</f>
        <v>0.38748627881448955</v>
      </c>
      <c r="G73" s="2678">
        <f>+G14</f>
        <v>0.37682982616651417</v>
      </c>
      <c r="H73" s="2693">
        <f>+H67/H65</f>
        <v>0.39531559269848254</v>
      </c>
      <c r="I73" s="2679" t="s">
        <v>1291</v>
      </c>
      <c r="J73" s="2681"/>
      <c r="K73" s="2680">
        <f>+K67/K65</f>
        <v>0.38601398601398601</v>
      </c>
      <c r="M73" s="2668" t="s">
        <v>1266</v>
      </c>
      <c r="N73" s="2678">
        <v>0.38400363553737787</v>
      </c>
      <c r="O73" s="2679"/>
      <c r="P73" s="2680"/>
      <c r="Q73" s="2678">
        <v>0.38748627881448955</v>
      </c>
      <c r="R73" s="2678">
        <v>0.37682982616651417</v>
      </c>
      <c r="S73" s="2693">
        <v>0.39531559269848254</v>
      </c>
      <c r="T73" s="2679" t="s">
        <v>1291</v>
      </c>
      <c r="U73" s="2681"/>
      <c r="V73" s="2680">
        <v>0.38601398601398601</v>
      </c>
    </row>
    <row r="74" spans="2:31">
      <c r="B74" s="2668" t="str">
        <f t="shared" si="24"/>
        <v>Y.Y EBITDA Growth</v>
      </c>
      <c r="C74" s="2678">
        <f t="shared" si="24"/>
        <v>-1.9721577726218076E-2</v>
      </c>
      <c r="D74" s="2679"/>
      <c r="E74" s="2680"/>
      <c r="F74" s="2678">
        <f>+F67/D5-1</f>
        <v>8.8162762022194752E-2</v>
      </c>
      <c r="G74" s="2678">
        <f>+G15</f>
        <v>-7.2353603603603656E-2</v>
      </c>
      <c r="H74" s="2693">
        <f>+H67/H5-1</f>
        <v>-8.0022075055187214E-3</v>
      </c>
      <c r="I74" s="2679"/>
      <c r="J74" s="2681"/>
      <c r="K74" s="2680"/>
      <c r="M74" s="2668" t="s">
        <v>1267</v>
      </c>
      <c r="N74" s="2678">
        <v>-2.5936599423631135E-2</v>
      </c>
      <c r="O74" s="2679"/>
      <c r="P74" s="2680"/>
      <c r="Q74" s="2678">
        <v>8.6822660098522242E-2</v>
      </c>
      <c r="R74" s="2678">
        <v>-7.5476992143658772E-2</v>
      </c>
      <c r="S74" s="2693">
        <v>-1.1819681143485417E-2</v>
      </c>
      <c r="T74" s="2679"/>
      <c r="U74" s="2681"/>
      <c r="V74" s="2680"/>
    </row>
    <row r="75" spans="2:31">
      <c r="B75" s="2682" t="str">
        <f t="shared" si="24"/>
        <v>Q.Q EBITDA Growth</v>
      </c>
      <c r="C75" s="2683">
        <f t="shared" si="24"/>
        <v>-6.7328918322295817E-2</v>
      </c>
      <c r="D75" s="2684"/>
      <c r="E75" s="2685"/>
      <c r="F75" s="2683">
        <f>+F67/G67-1</f>
        <v>7.1320182094081863E-2</v>
      </c>
      <c r="G75" s="2683">
        <f>+G16</f>
        <v>2.0123839009287936E-2</v>
      </c>
      <c r="H75" s="2692">
        <f>+H67/F67-1</f>
        <v>1.8413597733710985E-2</v>
      </c>
      <c r="I75" s="2684"/>
      <c r="J75" s="2686"/>
      <c r="K75" s="2687"/>
      <c r="M75" s="2682" t="s">
        <v>1268</v>
      </c>
      <c r="N75" s="2683">
        <v>-7.091808686091261E-2</v>
      </c>
      <c r="O75" s="2684"/>
      <c r="P75" s="2685"/>
      <c r="Q75" s="2683">
        <v>7.1320182094081863E-2</v>
      </c>
      <c r="R75" s="2683">
        <v>2.0123839009287936E-2</v>
      </c>
      <c r="S75" s="2692">
        <v>1.8413597733710985E-2</v>
      </c>
      <c r="T75" s="2684"/>
      <c r="U75" s="2686"/>
      <c r="V75" s="2687"/>
    </row>
    <row r="76" spans="2:31">
      <c r="B76" s="2624"/>
      <c r="C76" s="2624"/>
      <c r="D76" s="2624"/>
      <c r="E76" s="2624"/>
      <c r="F76" s="2624"/>
      <c r="G76" s="2624"/>
      <c r="H76" s="2624"/>
      <c r="I76" s="2624"/>
      <c r="J76" s="2624"/>
      <c r="K76" s="2624"/>
      <c r="M76" s="2624"/>
      <c r="N76" s="2624"/>
      <c r="O76" s="2624"/>
      <c r="P76" s="2624"/>
      <c r="Q76" s="2624"/>
      <c r="R76" s="2624"/>
      <c r="S76" s="2624"/>
      <c r="T76" s="2624"/>
      <c r="U76" s="2624"/>
      <c r="V76" s="2624"/>
    </row>
    <row r="77" spans="2:31">
      <c r="B77" s="2659" t="str">
        <f t="shared" ref="B77:H77" si="25">B65</f>
        <v>Operating Revenue</v>
      </c>
      <c r="C77" s="2701">
        <f t="shared" si="25"/>
        <v>4401</v>
      </c>
      <c r="D77" s="2702">
        <f t="shared" si="25"/>
        <v>4530</v>
      </c>
      <c r="E77" s="2703">
        <f t="shared" si="25"/>
        <v>4580</v>
      </c>
      <c r="F77" s="2701">
        <f>F65</f>
        <v>4555</v>
      </c>
      <c r="G77" s="2701">
        <f>G65</f>
        <v>4372</v>
      </c>
      <c r="H77" s="2701">
        <f t="shared" si="25"/>
        <v>4547</v>
      </c>
      <c r="M77" s="2659" t="s">
        <v>1263</v>
      </c>
      <c r="N77" s="2701">
        <v>4401</v>
      </c>
      <c r="O77" s="2702">
        <v>4530</v>
      </c>
      <c r="P77" s="2703">
        <v>4580</v>
      </c>
      <c r="Q77" s="2701">
        <v>4555</v>
      </c>
      <c r="R77" s="2701">
        <v>4372</v>
      </c>
      <c r="S77" s="2701">
        <v>4547</v>
      </c>
    </row>
    <row r="78" spans="2:31">
      <c r="B78" s="2668"/>
      <c r="C78" s="2673"/>
      <c r="D78" s="2674"/>
      <c r="E78" s="2675"/>
      <c r="F78" s="2673"/>
      <c r="G78" s="2673"/>
      <c r="H78" s="2673"/>
      <c r="M78" s="2668"/>
      <c r="N78" s="2673"/>
      <c r="O78" s="2674"/>
      <c r="P78" s="2675"/>
      <c r="Q78" s="2673"/>
      <c r="R78" s="2673"/>
      <c r="S78" s="2673"/>
    </row>
    <row r="79" spans="2:31">
      <c r="B79" s="2668" t="str">
        <f t="shared" ref="B79:H79" si="26">B67</f>
        <v>Adj. EBITDA / OCF</v>
      </c>
      <c r="C79" s="2673">
        <f t="shared" si="26"/>
        <v>1690</v>
      </c>
      <c r="D79" s="2674">
        <f t="shared" si="26"/>
        <v>1740</v>
      </c>
      <c r="E79" s="2675">
        <f t="shared" si="26"/>
        <v>1790</v>
      </c>
      <c r="F79" s="2673">
        <f>F67</f>
        <v>1765</v>
      </c>
      <c r="G79" s="2673">
        <f>G67</f>
        <v>1647.5</v>
      </c>
      <c r="H79" s="2673">
        <f t="shared" si="26"/>
        <v>1797.5</v>
      </c>
      <c r="M79" s="2668" t="s">
        <v>1265</v>
      </c>
      <c r="N79" s="2673">
        <v>1690</v>
      </c>
      <c r="O79" s="2674">
        <v>1740</v>
      </c>
      <c r="P79" s="2675">
        <v>1790</v>
      </c>
      <c r="Q79" s="2673">
        <v>1765</v>
      </c>
      <c r="R79" s="2673">
        <v>1647.5</v>
      </c>
      <c r="S79" s="2673">
        <v>1797.5</v>
      </c>
    </row>
    <row r="82" spans="2:18" ht="35.25" customHeight="1">
      <c r="B82" s="2659"/>
      <c r="C82" s="2729" t="s">
        <v>1294</v>
      </c>
      <c r="D82" s="2729" t="s">
        <v>474</v>
      </c>
      <c r="E82" s="2727"/>
      <c r="F82" s="2727"/>
      <c r="G82" s="2729" t="s">
        <v>1293</v>
      </c>
      <c r="M82" s="2659"/>
      <c r="N82" s="2729" t="s">
        <v>1294</v>
      </c>
      <c r="O82" s="2729" t="s">
        <v>474</v>
      </c>
      <c r="P82" s="2727"/>
      <c r="Q82" s="2727"/>
      <c r="R82" s="2729" t="s">
        <v>1293</v>
      </c>
    </row>
    <row r="83" spans="2:18">
      <c r="B83" s="2668"/>
      <c r="C83" s="2668"/>
      <c r="D83" s="2668"/>
      <c r="E83" s="2672"/>
      <c r="F83" s="2672"/>
      <c r="G83" s="2668"/>
      <c r="M83" s="2668"/>
      <c r="N83" s="2668"/>
      <c r="O83" s="2668"/>
      <c r="P83" s="2672"/>
      <c r="Q83" s="2672"/>
      <c r="R83" s="2668"/>
    </row>
    <row r="84" spans="2:18">
      <c r="B84" s="2668" t="s">
        <v>1263</v>
      </c>
      <c r="C84" s="2673">
        <v>4535</v>
      </c>
      <c r="D84" s="2673">
        <f>+G84-C84</f>
        <v>-110</v>
      </c>
      <c r="E84" s="2676"/>
      <c r="F84" s="2676"/>
      <c r="G84" s="2673">
        <f>+(4400+4450)/2</f>
        <v>4425</v>
      </c>
      <c r="M84" s="2668" t="s">
        <v>1263</v>
      </c>
      <c r="N84" s="2673">
        <v>4535</v>
      </c>
      <c r="O84" s="2673">
        <v>-110</v>
      </c>
      <c r="P84" s="2676"/>
      <c r="Q84" s="2676"/>
      <c r="R84" s="2673">
        <v>4425</v>
      </c>
    </row>
    <row r="85" spans="2:18">
      <c r="B85" s="2668" t="s">
        <v>1264</v>
      </c>
      <c r="C85" s="2673">
        <v>4106</v>
      </c>
      <c r="D85" s="2673">
        <f>+G85-C85</f>
        <v>-111</v>
      </c>
      <c r="E85" s="2676"/>
      <c r="F85" s="2676"/>
      <c r="G85" s="2673">
        <f>+(3970+4020)/2</f>
        <v>3995</v>
      </c>
      <c r="M85" s="2668" t="s">
        <v>1264</v>
      </c>
      <c r="N85" s="2673">
        <v>4106</v>
      </c>
      <c r="O85" s="2673">
        <v>-111</v>
      </c>
      <c r="P85" s="2676"/>
      <c r="Q85" s="2676"/>
      <c r="R85" s="2673">
        <v>3995</v>
      </c>
    </row>
    <row r="86" spans="2:18">
      <c r="B86" s="2668" t="s">
        <v>1265</v>
      </c>
      <c r="C86" s="2673">
        <v>1821</v>
      </c>
      <c r="D86" s="2673">
        <f>+G86-C86</f>
        <v>-76</v>
      </c>
      <c r="E86" s="2676"/>
      <c r="F86" s="2676"/>
      <c r="G86" s="2673">
        <f>+(1720+1770)/2</f>
        <v>1745</v>
      </c>
      <c r="M86" s="2668" t="s">
        <v>1265</v>
      </c>
      <c r="N86" s="2673">
        <v>1821</v>
      </c>
      <c r="O86" s="2673">
        <v>-76</v>
      </c>
      <c r="P86" s="2676"/>
      <c r="Q86" s="2676"/>
      <c r="R86" s="2673">
        <v>1745</v>
      </c>
    </row>
    <row r="87" spans="2:18">
      <c r="B87" s="2700" t="s">
        <v>1287</v>
      </c>
      <c r="C87" s="2678">
        <f>+C86/C84</f>
        <v>0.40154355016538035</v>
      </c>
      <c r="D87" s="2731" t="s">
        <v>1295</v>
      </c>
      <c r="E87" s="2681"/>
      <c r="F87" s="2681"/>
      <c r="G87" s="2678">
        <f>+G86/G84</f>
        <v>0.39435028248587572</v>
      </c>
      <c r="M87" s="2700" t="s">
        <v>1287</v>
      </c>
      <c r="N87" s="2678">
        <v>0.40154355016538035</v>
      </c>
      <c r="O87" s="2731" t="s">
        <v>1295</v>
      </c>
      <c r="P87" s="2681"/>
      <c r="Q87" s="2681"/>
      <c r="R87" s="2678">
        <v>0.39435028248587572</v>
      </c>
    </row>
    <row r="88" spans="2:18" ht="9.75" customHeight="1">
      <c r="B88" s="2700"/>
      <c r="C88" s="2678"/>
      <c r="D88" s="2678"/>
      <c r="E88" s="2681"/>
      <c r="F88" s="2681"/>
      <c r="G88" s="2678"/>
      <c r="M88" s="2700"/>
      <c r="N88" s="2678"/>
      <c r="O88" s="2678"/>
      <c r="P88" s="2681"/>
      <c r="Q88" s="2681"/>
      <c r="R88" s="2678"/>
    </row>
    <row r="89" spans="2:18">
      <c r="B89" s="2682" t="s">
        <v>764</v>
      </c>
      <c r="C89" s="2730">
        <v>0.72875518017646002</v>
      </c>
      <c r="D89" s="2730">
        <f>+G89-C89</f>
        <v>-8.3755180176459998E-2</v>
      </c>
      <c r="E89" s="2624"/>
      <c r="F89" s="2728"/>
      <c r="G89" s="2730">
        <f>+(0.62+0.67)/2</f>
        <v>0.64500000000000002</v>
      </c>
      <c r="M89" s="2682" t="s">
        <v>764</v>
      </c>
      <c r="N89" s="2730">
        <v>0.72875518017646002</v>
      </c>
      <c r="O89" s="2730">
        <v>-8.3755180176459998E-2</v>
      </c>
      <c r="P89" s="2624"/>
      <c r="Q89" s="2728"/>
      <c r="R89" s="2730">
        <v>0.64500000000000002</v>
      </c>
    </row>
    <row r="90" spans="2:18">
      <c r="B90" s="2668"/>
      <c r="C90" s="2668"/>
      <c r="D90" s="2624"/>
      <c r="E90" s="2624"/>
      <c r="F90" s="2624"/>
      <c r="G90" s="2668"/>
      <c r="M90" s="2668"/>
      <c r="N90" s="2668"/>
      <c r="O90" s="2624"/>
      <c r="P90" s="2624"/>
      <c r="Q90" s="2624"/>
      <c r="R90" s="2668"/>
    </row>
    <row r="91" spans="2:18">
      <c r="B91" s="2668" t="s">
        <v>1266</v>
      </c>
      <c r="C91" s="2678">
        <v>0.40154355016538035</v>
      </c>
      <c r="D91" s="2681"/>
      <c r="E91" s="2681"/>
      <c r="F91" s="2681"/>
      <c r="G91" s="2678">
        <v>0.40154355016538035</v>
      </c>
      <c r="M91" s="2668" t="s">
        <v>1266</v>
      </c>
      <c r="N91" s="2678">
        <v>0.40154355016538035</v>
      </c>
      <c r="O91" s="2681"/>
      <c r="P91" s="2681"/>
      <c r="Q91" s="2681"/>
      <c r="R91" s="2678">
        <v>0.40154355016538035</v>
      </c>
    </row>
    <row r="92" spans="2:18">
      <c r="B92" s="2668" t="s">
        <v>1267</v>
      </c>
      <c r="C92" s="2678">
        <v>6.5535400819192402E-2</v>
      </c>
      <c r="D92" s="2681"/>
      <c r="E92" s="2681"/>
      <c r="F92" s="2681"/>
      <c r="G92" s="2678">
        <v>6.5535400819192402E-2</v>
      </c>
      <c r="M92" s="2668" t="s">
        <v>1267</v>
      </c>
      <c r="N92" s="2678">
        <v>6.5535400819192402E-2</v>
      </c>
      <c r="O92" s="2681"/>
      <c r="P92" s="2681"/>
      <c r="Q92" s="2681"/>
      <c r="R92" s="2678">
        <v>6.5535400819192402E-2</v>
      </c>
    </row>
    <row r="93" spans="2:18">
      <c r="B93" s="2682" t="s">
        <v>1268</v>
      </c>
      <c r="C93" s="2683">
        <v>1.4484679665738076E-2</v>
      </c>
      <c r="D93" s="2624"/>
      <c r="E93" s="2624"/>
      <c r="F93" s="2681"/>
      <c r="G93" s="2683">
        <v>1.4484679665738076E-2</v>
      </c>
      <c r="M93" s="2682" t="s">
        <v>1268</v>
      </c>
      <c r="N93" s="2683">
        <v>1.4484679665738076E-2</v>
      </c>
      <c r="O93" s="2624"/>
      <c r="P93" s="2624"/>
      <c r="Q93" s="2681"/>
      <c r="R93" s="2683">
        <v>1.4484679665738076E-2</v>
      </c>
    </row>
    <row r="140" spans="12:12" ht="12.75" customHeight="1"/>
    <row r="141" spans="12:12" ht="12.75" customHeight="1"/>
    <row r="142" spans="12:12">
      <c r="L142" s="2706"/>
    </row>
    <row r="143" spans="12:12">
      <c r="L143" s="2706"/>
    </row>
    <row r="144" spans="12:12">
      <c r="L144" s="2706"/>
    </row>
    <row r="165" hidden="1" outlineLevel="1"/>
    <row r="166" collapsed="1"/>
  </sheetData>
  <pageMargins left="0" right="0" top="0" bottom="0" header="0" footer="0"/>
  <pageSetup paperSize="5" scale="33" orientation="landscape"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2:G13"/>
  <sheetViews>
    <sheetView workbookViewId="0">
      <selection activeCell="G5" sqref="G5"/>
    </sheetView>
  </sheetViews>
  <sheetFormatPr defaultRowHeight="12.75" outlineLevelCol="1"/>
  <cols>
    <col min="1" max="1" width="9.140625" style="3460"/>
    <col min="2" max="2" width="30.42578125" style="3460" bestFit="1" customWidth="1"/>
    <col min="3" max="3" width="11.85546875" style="3460" hidden="1" customWidth="1" outlineLevel="1"/>
    <col min="4" max="4" width="9.140625" style="3460" collapsed="1"/>
    <col min="5" max="7" width="9.140625" style="3460"/>
    <col min="8" max="8" width="10.7109375" style="3460" bestFit="1" customWidth="1"/>
    <col min="9" max="16384" width="9.140625" style="3460"/>
  </cols>
  <sheetData>
    <row r="2" spans="2:7">
      <c r="C2" s="3460">
        <v>2012</v>
      </c>
      <c r="D2" s="3461">
        <v>2013</v>
      </c>
      <c r="E2" s="3461">
        <f>+D2+1</f>
        <v>2014</v>
      </c>
      <c r="F2" s="3461">
        <f>+E2+1</f>
        <v>2015</v>
      </c>
      <c r="G2" s="3461">
        <f>+F2+1</f>
        <v>2016</v>
      </c>
    </row>
    <row r="3" spans="2:7">
      <c r="B3" s="3460" t="s">
        <v>1757</v>
      </c>
      <c r="D3" s="3462">
        <v>1030</v>
      </c>
      <c r="E3" s="3462">
        <v>1100</v>
      </c>
      <c r="F3" s="3462">
        <v>1000</v>
      </c>
      <c r="G3" s="3462">
        <v>1000</v>
      </c>
    </row>
    <row r="4" spans="2:7">
      <c r="B4" s="3460" t="s">
        <v>1758</v>
      </c>
      <c r="D4" s="3460">
        <v>157</v>
      </c>
      <c r="E4" s="3460">
        <v>177</v>
      </c>
      <c r="F4" s="3462">
        <v>259</v>
      </c>
      <c r="G4" s="3462">
        <v>265</v>
      </c>
    </row>
    <row r="5" spans="2:7">
      <c r="B5" s="3460" t="s">
        <v>1759</v>
      </c>
      <c r="E5" s="3462">
        <f>+E4-D4</f>
        <v>20</v>
      </c>
      <c r="F5" s="3462">
        <f>+F4-E4</f>
        <v>82</v>
      </c>
      <c r="G5" s="3462">
        <f>+G4-F4</f>
        <v>6</v>
      </c>
    </row>
    <row r="6" spans="2:7">
      <c r="B6" s="3460" t="s">
        <v>1760</v>
      </c>
      <c r="C6" s="3462">
        <v>13030</v>
      </c>
      <c r="D6" s="3462">
        <v>14187</v>
      </c>
      <c r="E6" s="3462">
        <v>15151</v>
      </c>
      <c r="F6" s="3462">
        <v>16166</v>
      </c>
      <c r="G6" s="3462">
        <v>16996</v>
      </c>
    </row>
    <row r="7" spans="2:7">
      <c r="B7" s="3460" t="s">
        <v>1761</v>
      </c>
      <c r="C7" s="3462"/>
      <c r="D7" s="3462">
        <f>+D6-C6</f>
        <v>1157</v>
      </c>
      <c r="E7" s="3462">
        <f>+E6-D6</f>
        <v>964</v>
      </c>
      <c r="F7" s="3462">
        <f>+F6-E6</f>
        <v>1015</v>
      </c>
      <c r="G7" s="3462">
        <f>+G6-F6</f>
        <v>830</v>
      </c>
    </row>
    <row r="8" spans="2:7">
      <c r="B8" s="3460" t="s">
        <v>701</v>
      </c>
      <c r="D8" s="3463">
        <f>-CFS!N34</f>
        <v>3048</v>
      </c>
      <c r="E8" s="3463">
        <f>-CFS!O34</f>
        <v>3047</v>
      </c>
      <c r="F8" s="3463">
        <f>-CFS!P34</f>
        <v>2872</v>
      </c>
      <c r="G8" s="3463">
        <f>-CFS!Q34</f>
        <v>2981</v>
      </c>
    </row>
    <row r="9" spans="2:7">
      <c r="B9" s="3460" t="s">
        <v>1944</v>
      </c>
      <c r="D9" s="3464">
        <f>+D7/D8</f>
        <v>0.37959317585301838</v>
      </c>
      <c r="E9" s="3464">
        <f>+E7/E8</f>
        <v>0.31637676403019366</v>
      </c>
      <c r="F9" s="3464">
        <f>+F7/F8</f>
        <v>0.35341225626740946</v>
      </c>
      <c r="G9" s="3464">
        <f>+G7/G8</f>
        <v>0.27843005702784301</v>
      </c>
    </row>
    <row r="11" spans="2:7">
      <c r="B11" s="3460" t="s">
        <v>699</v>
      </c>
      <c r="D11" s="3462">
        <v>47000</v>
      </c>
      <c r="E11" s="3462">
        <v>45000</v>
      </c>
      <c r="F11" s="3462">
        <v>43000</v>
      </c>
      <c r="G11" s="3462">
        <v>40000</v>
      </c>
    </row>
    <row r="13" spans="2:7">
      <c r="B13" s="3460" t="s">
        <v>1945</v>
      </c>
      <c r="E13" s="3465">
        <f>+E7/E5</f>
        <v>48.2</v>
      </c>
      <c r="F13" s="3465">
        <f>+F7/F5</f>
        <v>12.378048780487806</v>
      </c>
      <c r="G13" s="3465">
        <f>+G7/G5</f>
        <v>138.33333333333334</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3617" bestFit="1" customWidth="1"/>
    <col min="2" max="2" width="19.85546875" style="4131" customWidth="1"/>
    <col min="3" max="3" width="12" style="3617" bestFit="1" customWidth="1"/>
    <col min="4" max="256" width="9.140625" style="3617"/>
    <col min="257" max="257" width="29.5703125" style="3617" bestFit="1" customWidth="1"/>
    <col min="258" max="258" width="19.85546875" style="3617" customWidth="1"/>
    <col min="259" max="259" width="12" style="3617" bestFit="1" customWidth="1"/>
    <col min="260" max="512" width="9.140625" style="3617"/>
    <col min="513" max="513" width="29.5703125" style="3617" bestFit="1" customWidth="1"/>
    <col min="514" max="514" width="19.85546875" style="3617" customWidth="1"/>
    <col min="515" max="515" width="12" style="3617" bestFit="1" customWidth="1"/>
    <col min="516" max="768" width="9.140625" style="3617"/>
    <col min="769" max="769" width="29.5703125" style="3617" bestFit="1" customWidth="1"/>
    <col min="770" max="770" width="19.85546875" style="3617" customWidth="1"/>
    <col min="771" max="771" width="12" style="3617" bestFit="1" customWidth="1"/>
    <col min="772" max="1024" width="9.140625" style="3617"/>
    <col min="1025" max="1025" width="29.5703125" style="3617" bestFit="1" customWidth="1"/>
    <col min="1026" max="1026" width="19.85546875" style="3617" customWidth="1"/>
    <col min="1027" max="1027" width="12" style="3617" bestFit="1" customWidth="1"/>
    <col min="1028" max="1280" width="9.140625" style="3617"/>
    <col min="1281" max="1281" width="29.5703125" style="3617" bestFit="1" customWidth="1"/>
    <col min="1282" max="1282" width="19.85546875" style="3617" customWidth="1"/>
    <col min="1283" max="1283" width="12" style="3617" bestFit="1" customWidth="1"/>
    <col min="1284" max="1536" width="9.140625" style="3617"/>
    <col min="1537" max="1537" width="29.5703125" style="3617" bestFit="1" customWidth="1"/>
    <col min="1538" max="1538" width="19.85546875" style="3617" customWidth="1"/>
    <col min="1539" max="1539" width="12" style="3617" bestFit="1" customWidth="1"/>
    <col min="1540" max="1792" width="9.140625" style="3617"/>
    <col min="1793" max="1793" width="29.5703125" style="3617" bestFit="1" customWidth="1"/>
    <col min="1794" max="1794" width="19.85546875" style="3617" customWidth="1"/>
    <col min="1795" max="1795" width="12" style="3617" bestFit="1" customWidth="1"/>
    <col min="1796" max="2048" width="9.140625" style="3617"/>
    <col min="2049" max="2049" width="29.5703125" style="3617" bestFit="1" customWidth="1"/>
    <col min="2050" max="2050" width="19.85546875" style="3617" customWidth="1"/>
    <col min="2051" max="2051" width="12" style="3617" bestFit="1" customWidth="1"/>
    <col min="2052" max="2304" width="9.140625" style="3617"/>
    <col min="2305" max="2305" width="29.5703125" style="3617" bestFit="1" customWidth="1"/>
    <col min="2306" max="2306" width="19.85546875" style="3617" customWidth="1"/>
    <col min="2307" max="2307" width="12" style="3617" bestFit="1" customWidth="1"/>
    <col min="2308" max="2560" width="9.140625" style="3617"/>
    <col min="2561" max="2561" width="29.5703125" style="3617" bestFit="1" customWidth="1"/>
    <col min="2562" max="2562" width="19.85546875" style="3617" customWidth="1"/>
    <col min="2563" max="2563" width="12" style="3617" bestFit="1" customWidth="1"/>
    <col min="2564" max="2816" width="9.140625" style="3617"/>
    <col min="2817" max="2817" width="29.5703125" style="3617" bestFit="1" customWidth="1"/>
    <col min="2818" max="2818" width="19.85546875" style="3617" customWidth="1"/>
    <col min="2819" max="2819" width="12" style="3617" bestFit="1" customWidth="1"/>
    <col min="2820" max="3072" width="9.140625" style="3617"/>
    <col min="3073" max="3073" width="29.5703125" style="3617" bestFit="1" customWidth="1"/>
    <col min="3074" max="3074" width="19.85546875" style="3617" customWidth="1"/>
    <col min="3075" max="3075" width="12" style="3617" bestFit="1" customWidth="1"/>
    <col min="3076" max="3328" width="9.140625" style="3617"/>
    <col min="3329" max="3329" width="29.5703125" style="3617" bestFit="1" customWidth="1"/>
    <col min="3330" max="3330" width="19.85546875" style="3617" customWidth="1"/>
    <col min="3331" max="3331" width="12" style="3617" bestFit="1" customWidth="1"/>
    <col min="3332" max="3584" width="9.140625" style="3617"/>
    <col min="3585" max="3585" width="29.5703125" style="3617" bestFit="1" customWidth="1"/>
    <col min="3586" max="3586" width="19.85546875" style="3617" customWidth="1"/>
    <col min="3587" max="3587" width="12" style="3617" bestFit="1" customWidth="1"/>
    <col min="3588" max="3840" width="9.140625" style="3617"/>
    <col min="3841" max="3841" width="29.5703125" style="3617" bestFit="1" customWidth="1"/>
    <col min="3842" max="3842" width="19.85546875" style="3617" customWidth="1"/>
    <col min="3843" max="3843" width="12" style="3617" bestFit="1" customWidth="1"/>
    <col min="3844" max="4096" width="9.140625" style="3617"/>
    <col min="4097" max="4097" width="29.5703125" style="3617" bestFit="1" customWidth="1"/>
    <col min="4098" max="4098" width="19.85546875" style="3617" customWidth="1"/>
    <col min="4099" max="4099" width="12" style="3617" bestFit="1" customWidth="1"/>
    <col min="4100" max="4352" width="9.140625" style="3617"/>
    <col min="4353" max="4353" width="29.5703125" style="3617" bestFit="1" customWidth="1"/>
    <col min="4354" max="4354" width="19.85546875" style="3617" customWidth="1"/>
    <col min="4355" max="4355" width="12" style="3617" bestFit="1" customWidth="1"/>
    <col min="4356" max="4608" width="9.140625" style="3617"/>
    <col min="4609" max="4609" width="29.5703125" style="3617" bestFit="1" customWidth="1"/>
    <col min="4610" max="4610" width="19.85546875" style="3617" customWidth="1"/>
    <col min="4611" max="4611" width="12" style="3617" bestFit="1" customWidth="1"/>
    <col min="4612" max="4864" width="9.140625" style="3617"/>
    <col min="4865" max="4865" width="29.5703125" style="3617" bestFit="1" customWidth="1"/>
    <col min="4866" max="4866" width="19.85546875" style="3617" customWidth="1"/>
    <col min="4867" max="4867" width="12" style="3617" bestFit="1" customWidth="1"/>
    <col min="4868" max="5120" width="9.140625" style="3617"/>
    <col min="5121" max="5121" width="29.5703125" style="3617" bestFit="1" customWidth="1"/>
    <col min="5122" max="5122" width="19.85546875" style="3617" customWidth="1"/>
    <col min="5123" max="5123" width="12" style="3617" bestFit="1" customWidth="1"/>
    <col min="5124" max="5376" width="9.140625" style="3617"/>
    <col min="5377" max="5377" width="29.5703125" style="3617" bestFit="1" customWidth="1"/>
    <col min="5378" max="5378" width="19.85546875" style="3617" customWidth="1"/>
    <col min="5379" max="5379" width="12" style="3617" bestFit="1" customWidth="1"/>
    <col min="5380" max="5632" width="9.140625" style="3617"/>
    <col min="5633" max="5633" width="29.5703125" style="3617" bestFit="1" customWidth="1"/>
    <col min="5634" max="5634" width="19.85546875" style="3617" customWidth="1"/>
    <col min="5635" max="5635" width="12" style="3617" bestFit="1" customWidth="1"/>
    <col min="5636" max="5888" width="9.140625" style="3617"/>
    <col min="5889" max="5889" width="29.5703125" style="3617" bestFit="1" customWidth="1"/>
    <col min="5890" max="5890" width="19.85546875" style="3617" customWidth="1"/>
    <col min="5891" max="5891" width="12" style="3617" bestFit="1" customWidth="1"/>
    <col min="5892" max="6144" width="9.140625" style="3617"/>
    <col min="6145" max="6145" width="29.5703125" style="3617" bestFit="1" customWidth="1"/>
    <col min="6146" max="6146" width="19.85546875" style="3617" customWidth="1"/>
    <col min="6147" max="6147" width="12" style="3617" bestFit="1" customWidth="1"/>
    <col min="6148" max="6400" width="9.140625" style="3617"/>
    <col min="6401" max="6401" width="29.5703125" style="3617" bestFit="1" customWidth="1"/>
    <col min="6402" max="6402" width="19.85546875" style="3617" customWidth="1"/>
    <col min="6403" max="6403" width="12" style="3617" bestFit="1" customWidth="1"/>
    <col min="6404" max="6656" width="9.140625" style="3617"/>
    <col min="6657" max="6657" width="29.5703125" style="3617" bestFit="1" customWidth="1"/>
    <col min="6658" max="6658" width="19.85546875" style="3617" customWidth="1"/>
    <col min="6659" max="6659" width="12" style="3617" bestFit="1" customWidth="1"/>
    <col min="6660" max="6912" width="9.140625" style="3617"/>
    <col min="6913" max="6913" width="29.5703125" style="3617" bestFit="1" customWidth="1"/>
    <col min="6914" max="6914" width="19.85546875" style="3617" customWidth="1"/>
    <col min="6915" max="6915" width="12" style="3617" bestFit="1" customWidth="1"/>
    <col min="6916" max="7168" width="9.140625" style="3617"/>
    <col min="7169" max="7169" width="29.5703125" style="3617" bestFit="1" customWidth="1"/>
    <col min="7170" max="7170" width="19.85546875" style="3617" customWidth="1"/>
    <col min="7171" max="7171" width="12" style="3617" bestFit="1" customWidth="1"/>
    <col min="7172" max="7424" width="9.140625" style="3617"/>
    <col min="7425" max="7425" width="29.5703125" style="3617" bestFit="1" customWidth="1"/>
    <col min="7426" max="7426" width="19.85546875" style="3617" customWidth="1"/>
    <col min="7427" max="7427" width="12" style="3617" bestFit="1" customWidth="1"/>
    <col min="7428" max="7680" width="9.140625" style="3617"/>
    <col min="7681" max="7681" width="29.5703125" style="3617" bestFit="1" customWidth="1"/>
    <col min="7682" max="7682" width="19.85546875" style="3617" customWidth="1"/>
    <col min="7683" max="7683" width="12" style="3617" bestFit="1" customWidth="1"/>
    <col min="7684" max="7936" width="9.140625" style="3617"/>
    <col min="7937" max="7937" width="29.5703125" style="3617" bestFit="1" customWidth="1"/>
    <col min="7938" max="7938" width="19.85546875" style="3617" customWidth="1"/>
    <col min="7939" max="7939" width="12" style="3617" bestFit="1" customWidth="1"/>
    <col min="7940" max="8192" width="9.140625" style="3617"/>
    <col min="8193" max="8193" width="29.5703125" style="3617" bestFit="1" customWidth="1"/>
    <col min="8194" max="8194" width="19.85546875" style="3617" customWidth="1"/>
    <col min="8195" max="8195" width="12" style="3617" bestFit="1" customWidth="1"/>
    <col min="8196" max="8448" width="9.140625" style="3617"/>
    <col min="8449" max="8449" width="29.5703125" style="3617" bestFit="1" customWidth="1"/>
    <col min="8450" max="8450" width="19.85546875" style="3617" customWidth="1"/>
    <col min="8451" max="8451" width="12" style="3617" bestFit="1" customWidth="1"/>
    <col min="8452" max="8704" width="9.140625" style="3617"/>
    <col min="8705" max="8705" width="29.5703125" style="3617" bestFit="1" customWidth="1"/>
    <col min="8706" max="8706" width="19.85546875" style="3617" customWidth="1"/>
    <col min="8707" max="8707" width="12" style="3617" bestFit="1" customWidth="1"/>
    <col min="8708" max="8960" width="9.140625" style="3617"/>
    <col min="8961" max="8961" width="29.5703125" style="3617" bestFit="1" customWidth="1"/>
    <col min="8962" max="8962" width="19.85546875" style="3617" customWidth="1"/>
    <col min="8963" max="8963" width="12" style="3617" bestFit="1" customWidth="1"/>
    <col min="8964" max="9216" width="9.140625" style="3617"/>
    <col min="9217" max="9217" width="29.5703125" style="3617" bestFit="1" customWidth="1"/>
    <col min="9218" max="9218" width="19.85546875" style="3617" customWidth="1"/>
    <col min="9219" max="9219" width="12" style="3617" bestFit="1" customWidth="1"/>
    <col min="9220" max="9472" width="9.140625" style="3617"/>
    <col min="9473" max="9473" width="29.5703125" style="3617" bestFit="1" customWidth="1"/>
    <col min="9474" max="9474" width="19.85546875" style="3617" customWidth="1"/>
    <col min="9475" max="9475" width="12" style="3617" bestFit="1" customWidth="1"/>
    <col min="9476" max="9728" width="9.140625" style="3617"/>
    <col min="9729" max="9729" width="29.5703125" style="3617" bestFit="1" customWidth="1"/>
    <col min="9730" max="9730" width="19.85546875" style="3617" customWidth="1"/>
    <col min="9731" max="9731" width="12" style="3617" bestFit="1" customWidth="1"/>
    <col min="9732" max="9984" width="9.140625" style="3617"/>
    <col min="9985" max="9985" width="29.5703125" style="3617" bestFit="1" customWidth="1"/>
    <col min="9986" max="9986" width="19.85546875" style="3617" customWidth="1"/>
    <col min="9987" max="9987" width="12" style="3617" bestFit="1" customWidth="1"/>
    <col min="9988" max="10240" width="9.140625" style="3617"/>
    <col min="10241" max="10241" width="29.5703125" style="3617" bestFit="1" customWidth="1"/>
    <col min="10242" max="10242" width="19.85546875" style="3617" customWidth="1"/>
    <col min="10243" max="10243" width="12" style="3617" bestFit="1" customWidth="1"/>
    <col min="10244" max="10496" width="9.140625" style="3617"/>
    <col min="10497" max="10497" width="29.5703125" style="3617" bestFit="1" customWidth="1"/>
    <col min="10498" max="10498" width="19.85546875" style="3617" customWidth="1"/>
    <col min="10499" max="10499" width="12" style="3617" bestFit="1" customWidth="1"/>
    <col min="10500" max="10752" width="9.140625" style="3617"/>
    <col min="10753" max="10753" width="29.5703125" style="3617" bestFit="1" customWidth="1"/>
    <col min="10754" max="10754" width="19.85546875" style="3617" customWidth="1"/>
    <col min="10755" max="10755" width="12" style="3617" bestFit="1" customWidth="1"/>
    <col min="10756" max="11008" width="9.140625" style="3617"/>
    <col min="11009" max="11009" width="29.5703125" style="3617" bestFit="1" customWidth="1"/>
    <col min="11010" max="11010" width="19.85546875" style="3617" customWidth="1"/>
    <col min="11011" max="11011" width="12" style="3617" bestFit="1" customWidth="1"/>
    <col min="11012" max="11264" width="9.140625" style="3617"/>
    <col min="11265" max="11265" width="29.5703125" style="3617" bestFit="1" customWidth="1"/>
    <col min="11266" max="11266" width="19.85546875" style="3617" customWidth="1"/>
    <col min="11267" max="11267" width="12" style="3617" bestFit="1" customWidth="1"/>
    <col min="11268" max="11520" width="9.140625" style="3617"/>
    <col min="11521" max="11521" width="29.5703125" style="3617" bestFit="1" customWidth="1"/>
    <col min="11522" max="11522" width="19.85546875" style="3617" customWidth="1"/>
    <col min="11523" max="11523" width="12" style="3617" bestFit="1" customWidth="1"/>
    <col min="11524" max="11776" width="9.140625" style="3617"/>
    <col min="11777" max="11777" width="29.5703125" style="3617" bestFit="1" customWidth="1"/>
    <col min="11778" max="11778" width="19.85546875" style="3617" customWidth="1"/>
    <col min="11779" max="11779" width="12" style="3617" bestFit="1" customWidth="1"/>
    <col min="11780" max="12032" width="9.140625" style="3617"/>
    <col min="12033" max="12033" width="29.5703125" style="3617" bestFit="1" customWidth="1"/>
    <col min="12034" max="12034" width="19.85546875" style="3617" customWidth="1"/>
    <col min="12035" max="12035" width="12" style="3617" bestFit="1" customWidth="1"/>
    <col min="12036" max="12288" width="9.140625" style="3617"/>
    <col min="12289" max="12289" width="29.5703125" style="3617" bestFit="1" customWidth="1"/>
    <col min="12290" max="12290" width="19.85546875" style="3617" customWidth="1"/>
    <col min="12291" max="12291" width="12" style="3617" bestFit="1" customWidth="1"/>
    <col min="12292" max="12544" width="9.140625" style="3617"/>
    <col min="12545" max="12545" width="29.5703125" style="3617" bestFit="1" customWidth="1"/>
    <col min="12546" max="12546" width="19.85546875" style="3617" customWidth="1"/>
    <col min="12547" max="12547" width="12" style="3617" bestFit="1" customWidth="1"/>
    <col min="12548" max="12800" width="9.140625" style="3617"/>
    <col min="12801" max="12801" width="29.5703125" style="3617" bestFit="1" customWidth="1"/>
    <col min="12802" max="12802" width="19.85546875" style="3617" customWidth="1"/>
    <col min="12803" max="12803" width="12" style="3617" bestFit="1" customWidth="1"/>
    <col min="12804" max="13056" width="9.140625" style="3617"/>
    <col min="13057" max="13057" width="29.5703125" style="3617" bestFit="1" customWidth="1"/>
    <col min="13058" max="13058" width="19.85546875" style="3617" customWidth="1"/>
    <col min="13059" max="13059" width="12" style="3617" bestFit="1" customWidth="1"/>
    <col min="13060" max="13312" width="9.140625" style="3617"/>
    <col min="13313" max="13313" width="29.5703125" style="3617" bestFit="1" customWidth="1"/>
    <col min="13314" max="13314" width="19.85546875" style="3617" customWidth="1"/>
    <col min="13315" max="13315" width="12" style="3617" bestFit="1" customWidth="1"/>
    <col min="13316" max="13568" width="9.140625" style="3617"/>
    <col min="13569" max="13569" width="29.5703125" style="3617" bestFit="1" customWidth="1"/>
    <col min="13570" max="13570" width="19.85546875" style="3617" customWidth="1"/>
    <col min="13571" max="13571" width="12" style="3617" bestFit="1" customWidth="1"/>
    <col min="13572" max="13824" width="9.140625" style="3617"/>
    <col min="13825" max="13825" width="29.5703125" style="3617" bestFit="1" customWidth="1"/>
    <col min="13826" max="13826" width="19.85546875" style="3617" customWidth="1"/>
    <col min="13827" max="13827" width="12" style="3617" bestFit="1" customWidth="1"/>
    <col min="13828" max="14080" width="9.140625" style="3617"/>
    <col min="14081" max="14081" width="29.5703125" style="3617" bestFit="1" customWidth="1"/>
    <col min="14082" max="14082" width="19.85546875" style="3617" customWidth="1"/>
    <col min="14083" max="14083" width="12" style="3617" bestFit="1" customWidth="1"/>
    <col min="14084" max="14336" width="9.140625" style="3617"/>
    <col min="14337" max="14337" width="29.5703125" style="3617" bestFit="1" customWidth="1"/>
    <col min="14338" max="14338" width="19.85546875" style="3617" customWidth="1"/>
    <col min="14339" max="14339" width="12" style="3617" bestFit="1" customWidth="1"/>
    <col min="14340" max="14592" width="9.140625" style="3617"/>
    <col min="14593" max="14593" width="29.5703125" style="3617" bestFit="1" customWidth="1"/>
    <col min="14594" max="14594" width="19.85546875" style="3617" customWidth="1"/>
    <col min="14595" max="14595" width="12" style="3617" bestFit="1" customWidth="1"/>
    <col min="14596" max="14848" width="9.140625" style="3617"/>
    <col min="14849" max="14849" width="29.5703125" style="3617" bestFit="1" customWidth="1"/>
    <col min="14850" max="14850" width="19.85546875" style="3617" customWidth="1"/>
    <col min="14851" max="14851" width="12" style="3617" bestFit="1" customWidth="1"/>
    <col min="14852" max="15104" width="9.140625" style="3617"/>
    <col min="15105" max="15105" width="29.5703125" style="3617" bestFit="1" customWidth="1"/>
    <col min="15106" max="15106" width="19.85546875" style="3617" customWidth="1"/>
    <col min="15107" max="15107" width="12" style="3617" bestFit="1" customWidth="1"/>
    <col min="15108" max="15360" width="9.140625" style="3617"/>
    <col min="15361" max="15361" width="29.5703125" style="3617" bestFit="1" customWidth="1"/>
    <col min="15362" max="15362" width="19.85546875" style="3617" customWidth="1"/>
    <col min="15363" max="15363" width="12" style="3617" bestFit="1" customWidth="1"/>
    <col min="15364" max="15616" width="9.140625" style="3617"/>
    <col min="15617" max="15617" width="29.5703125" style="3617" bestFit="1" customWidth="1"/>
    <col min="15618" max="15618" width="19.85546875" style="3617" customWidth="1"/>
    <col min="15619" max="15619" width="12" style="3617" bestFit="1" customWidth="1"/>
    <col min="15620" max="15872" width="9.140625" style="3617"/>
    <col min="15873" max="15873" width="29.5703125" style="3617" bestFit="1" customWidth="1"/>
    <col min="15874" max="15874" width="19.85546875" style="3617" customWidth="1"/>
    <col min="15875" max="15875" width="12" style="3617" bestFit="1" customWidth="1"/>
    <col min="15876" max="16128" width="9.140625" style="3617"/>
    <col min="16129" max="16129" width="29.5703125" style="3617" bestFit="1" customWidth="1"/>
    <col min="16130" max="16130" width="19.85546875" style="3617" customWidth="1"/>
    <col min="16131" max="16131" width="12" style="3617" bestFit="1" customWidth="1"/>
    <col min="16132" max="16384" width="9.140625" style="3617"/>
  </cols>
  <sheetData>
    <row r="1" spans="1:2">
      <c r="A1" s="3617" t="s">
        <v>2382</v>
      </c>
      <c r="B1" s="4130">
        <v>6.1</v>
      </c>
    </row>
    <row r="2" spans="1:2">
      <c r="A2" s="3617" t="s">
        <v>2383</v>
      </c>
      <c r="B2" s="4133">
        <v>43178.447488425925</v>
      </c>
    </row>
    <row r="3" spans="1:2">
      <c r="A3" s="3617" t="s">
        <v>2384</v>
      </c>
      <c r="B3" s="4131" t="s">
        <v>2079</v>
      </c>
    </row>
    <row r="4" spans="1:2">
      <c r="A4" s="3617" t="s">
        <v>2385</v>
      </c>
      <c r="B4" s="4131" t="s">
        <v>2386</v>
      </c>
    </row>
    <row r="5" spans="1:2">
      <c r="A5" s="3617" t="s">
        <v>2387</v>
      </c>
      <c r="B5" s="4131" t="s">
        <v>2388</v>
      </c>
    </row>
    <row r="6" spans="1:2">
      <c r="A6" s="3617" t="s">
        <v>2389</v>
      </c>
    </row>
    <row r="7" spans="1:2">
      <c r="A7" s="3617" t="s">
        <v>2390</v>
      </c>
      <c r="B7" s="4131" t="s">
        <v>718</v>
      </c>
    </row>
    <row r="8" spans="1:2">
      <c r="A8" s="3617" t="s">
        <v>2391</v>
      </c>
      <c r="B8" s="4131" t="s">
        <v>2392</v>
      </c>
    </row>
    <row r="9" spans="1:2">
      <c r="A9" s="3617" t="s">
        <v>2393</v>
      </c>
      <c r="B9" s="4131" t="s">
        <v>2430</v>
      </c>
    </row>
    <row r="10" spans="1:2">
      <c r="A10" s="3617" t="s">
        <v>2394</v>
      </c>
    </row>
    <row r="11" spans="1:2">
      <c r="A11" s="3617" t="s">
        <v>2395</v>
      </c>
    </row>
    <row r="12" spans="1:2">
      <c r="A12" s="3617" t="s">
        <v>2396</v>
      </c>
    </row>
    <row r="13" spans="1:2">
      <c r="A13" s="3617" t="s">
        <v>2397</v>
      </c>
    </row>
    <row r="14" spans="1:2">
      <c r="A14" s="3617" t="s">
        <v>2398</v>
      </c>
    </row>
    <row r="15" spans="1:2">
      <c r="A15" s="3617" t="s">
        <v>2399</v>
      </c>
    </row>
    <row r="16" spans="1:2">
      <c r="A16" s="3617" t="s">
        <v>2400</v>
      </c>
    </row>
    <row r="17" spans="1:4">
      <c r="A17" s="3617" t="s">
        <v>2401</v>
      </c>
      <c r="B17" s="4131" t="s">
        <v>2431</v>
      </c>
    </row>
    <row r="18" spans="1:4">
      <c r="A18" s="3617" t="s">
        <v>2402</v>
      </c>
      <c r="B18" s="4131" t="s">
        <v>2078</v>
      </c>
    </row>
    <row r="19" spans="1:4">
      <c r="A19" s="3617" t="s">
        <v>2403</v>
      </c>
      <c r="B19" s="4131" t="s">
        <v>454</v>
      </c>
    </row>
    <row r="20" spans="1:4">
      <c r="A20" s="3617" t="s">
        <v>2404</v>
      </c>
      <c r="B20" s="4132">
        <v>156700106</v>
      </c>
    </row>
    <row r="21" spans="1:4">
      <c r="A21" s="3617" t="s">
        <v>2405</v>
      </c>
      <c r="B21" s="4131" t="s">
        <v>454</v>
      </c>
    </row>
    <row r="22" spans="1:4">
      <c r="A22" s="3617" t="s">
        <v>2406</v>
      </c>
      <c r="B22" s="4132">
        <v>2185046</v>
      </c>
    </row>
    <row r="23" spans="1:4">
      <c r="A23" s="3617" t="s">
        <v>1305</v>
      </c>
      <c r="B23" s="4130">
        <v>17.14</v>
      </c>
    </row>
    <row r="24" spans="1:4">
      <c r="A24" s="3617" t="s">
        <v>1303</v>
      </c>
      <c r="B24" s="4131" t="s">
        <v>453</v>
      </c>
      <c r="D24" s="3617" t="s">
        <v>1234</v>
      </c>
    </row>
    <row r="25" spans="1:4">
      <c r="A25" s="3617" t="s">
        <v>2407</v>
      </c>
      <c r="B25" s="4131" t="s">
        <v>2434</v>
      </c>
    </row>
    <row r="26" spans="1:4">
      <c r="A26" s="3617" t="s">
        <v>2408</v>
      </c>
      <c r="B26" s="4131">
        <v>0</v>
      </c>
    </row>
    <row r="27" spans="1:4">
      <c r="A27" s="3617" t="s">
        <v>2409</v>
      </c>
      <c r="B27" s="4131" t="s">
        <v>2410</v>
      </c>
    </row>
    <row r="28" spans="1:4">
      <c r="A28" s="3617" t="s">
        <v>2411</v>
      </c>
      <c r="B28" s="4131" t="s">
        <v>2412</v>
      </c>
    </row>
    <row r="29" spans="1:4">
      <c r="A29" s="3617" t="s">
        <v>2413</v>
      </c>
    </row>
    <row r="30" spans="1:4">
      <c r="A30" s="3617" t="s">
        <v>2414</v>
      </c>
    </row>
    <row r="31" spans="1:4">
      <c r="A31" s="3617" t="s">
        <v>2415</v>
      </c>
    </row>
    <row r="32" spans="1:4">
      <c r="A32" s="3617" t="s">
        <v>2416</v>
      </c>
      <c r="B32" s="4130"/>
    </row>
    <row r="33" spans="1:2">
      <c r="A33" s="3617" t="s">
        <v>2417</v>
      </c>
      <c r="B33" s="4130"/>
    </row>
    <row r="34" spans="1:2">
      <c r="A34" s="3617" t="s">
        <v>2418</v>
      </c>
      <c r="B34" s="4130"/>
    </row>
    <row r="35" spans="1:2">
      <c r="A35" s="3617" t="s">
        <v>2419</v>
      </c>
      <c r="B35" s="4131">
        <v>1000000</v>
      </c>
    </row>
    <row r="36" spans="1:2">
      <c r="A36" s="3617" t="s">
        <v>2420</v>
      </c>
      <c r="B36" s="4131" t="s">
        <v>2432</v>
      </c>
    </row>
    <row r="37" spans="1:2">
      <c r="A37" s="3617" t="s">
        <v>2421</v>
      </c>
      <c r="B37" s="4131" t="s">
        <v>2422</v>
      </c>
    </row>
    <row r="38" spans="1:2">
      <c r="A38" s="3617" t="s">
        <v>2423</v>
      </c>
      <c r="B38" s="4131" t="s">
        <v>2424</v>
      </c>
    </row>
    <row r="39" spans="1:2">
      <c r="A39" s="3617" t="s">
        <v>2425</v>
      </c>
      <c r="B39" s="4131" t="s">
        <v>2433</v>
      </c>
    </row>
    <row r="40" spans="1:2">
      <c r="A40" s="3617" t="s">
        <v>2426</v>
      </c>
      <c r="B40" s="4131">
        <v>1500004829</v>
      </c>
    </row>
    <row r="41" spans="1:2">
      <c r="A41" s="3617" t="s">
        <v>2427</v>
      </c>
      <c r="B41" s="4131">
        <v>1</v>
      </c>
    </row>
    <row r="42" spans="1:2">
      <c r="A42" s="68" t="s">
        <v>2428</v>
      </c>
    </row>
    <row r="43" spans="1:2">
      <c r="A43" s="3617" t="s">
        <v>2429</v>
      </c>
    </row>
  </sheetData>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13"/>
  <sheetViews>
    <sheetView workbookViewId="0">
      <selection activeCell="E11" sqref="E11"/>
    </sheetView>
  </sheetViews>
  <sheetFormatPr defaultRowHeight="12.75"/>
  <cols>
    <col min="1" max="1" width="28.5703125" style="3617" bestFit="1" customWidth="1"/>
    <col min="2" max="256" width="9.140625" style="3617"/>
    <col min="257" max="257" width="28.5703125" style="3617" bestFit="1" customWidth="1"/>
    <col min="258" max="512" width="9.140625" style="3617"/>
    <col min="513" max="513" width="28.5703125" style="3617" bestFit="1" customWidth="1"/>
    <col min="514" max="768" width="9.140625" style="3617"/>
    <col min="769" max="769" width="28.5703125" style="3617" bestFit="1" customWidth="1"/>
    <col min="770" max="1024" width="9.140625" style="3617"/>
    <col min="1025" max="1025" width="28.5703125" style="3617" bestFit="1" customWidth="1"/>
    <col min="1026" max="1280" width="9.140625" style="3617"/>
    <col min="1281" max="1281" width="28.5703125" style="3617" bestFit="1" customWidth="1"/>
    <col min="1282" max="1536" width="9.140625" style="3617"/>
    <col min="1537" max="1537" width="28.5703125" style="3617" bestFit="1" customWidth="1"/>
    <col min="1538" max="1792" width="9.140625" style="3617"/>
    <col min="1793" max="1793" width="28.5703125" style="3617" bestFit="1" customWidth="1"/>
    <col min="1794" max="2048" width="9.140625" style="3617"/>
    <col min="2049" max="2049" width="28.5703125" style="3617" bestFit="1" customWidth="1"/>
    <col min="2050" max="2304" width="9.140625" style="3617"/>
    <col min="2305" max="2305" width="28.5703125" style="3617" bestFit="1" customWidth="1"/>
    <col min="2306" max="2560" width="9.140625" style="3617"/>
    <col min="2561" max="2561" width="28.5703125" style="3617" bestFit="1" customWidth="1"/>
    <col min="2562" max="2816" width="9.140625" style="3617"/>
    <col min="2817" max="2817" width="28.5703125" style="3617" bestFit="1" customWidth="1"/>
    <col min="2818" max="3072" width="9.140625" style="3617"/>
    <col min="3073" max="3073" width="28.5703125" style="3617" bestFit="1" customWidth="1"/>
    <col min="3074" max="3328" width="9.140625" style="3617"/>
    <col min="3329" max="3329" width="28.5703125" style="3617" bestFit="1" customWidth="1"/>
    <col min="3330" max="3584" width="9.140625" style="3617"/>
    <col min="3585" max="3585" width="28.5703125" style="3617" bestFit="1" customWidth="1"/>
    <col min="3586" max="3840" width="9.140625" style="3617"/>
    <col min="3841" max="3841" width="28.5703125" style="3617" bestFit="1" customWidth="1"/>
    <col min="3842" max="4096" width="9.140625" style="3617"/>
    <col min="4097" max="4097" width="28.5703125" style="3617" bestFit="1" customWidth="1"/>
    <col min="4098" max="4352" width="9.140625" style="3617"/>
    <col min="4353" max="4353" width="28.5703125" style="3617" bestFit="1" customWidth="1"/>
    <col min="4354" max="4608" width="9.140625" style="3617"/>
    <col min="4609" max="4609" width="28.5703125" style="3617" bestFit="1" customWidth="1"/>
    <col min="4610" max="4864" width="9.140625" style="3617"/>
    <col min="4865" max="4865" width="28.5703125" style="3617" bestFit="1" customWidth="1"/>
    <col min="4866" max="5120" width="9.140625" style="3617"/>
    <col min="5121" max="5121" width="28.5703125" style="3617" bestFit="1" customWidth="1"/>
    <col min="5122" max="5376" width="9.140625" style="3617"/>
    <col min="5377" max="5377" width="28.5703125" style="3617" bestFit="1" customWidth="1"/>
    <col min="5378" max="5632" width="9.140625" style="3617"/>
    <col min="5633" max="5633" width="28.5703125" style="3617" bestFit="1" customWidth="1"/>
    <col min="5634" max="5888" width="9.140625" style="3617"/>
    <col min="5889" max="5889" width="28.5703125" style="3617" bestFit="1" customWidth="1"/>
    <col min="5890" max="6144" width="9.140625" style="3617"/>
    <col min="6145" max="6145" width="28.5703125" style="3617" bestFit="1" customWidth="1"/>
    <col min="6146" max="6400" width="9.140625" style="3617"/>
    <col min="6401" max="6401" width="28.5703125" style="3617" bestFit="1" customWidth="1"/>
    <col min="6402" max="6656" width="9.140625" style="3617"/>
    <col min="6657" max="6657" width="28.5703125" style="3617" bestFit="1" customWidth="1"/>
    <col min="6658" max="6912" width="9.140625" style="3617"/>
    <col min="6913" max="6913" width="28.5703125" style="3617" bestFit="1" customWidth="1"/>
    <col min="6914" max="7168" width="9.140625" style="3617"/>
    <col min="7169" max="7169" width="28.5703125" style="3617" bestFit="1" customWidth="1"/>
    <col min="7170" max="7424" width="9.140625" style="3617"/>
    <col min="7425" max="7425" width="28.5703125" style="3617" bestFit="1" customWidth="1"/>
    <col min="7426" max="7680" width="9.140625" style="3617"/>
    <col min="7681" max="7681" width="28.5703125" style="3617" bestFit="1" customWidth="1"/>
    <col min="7682" max="7936" width="9.140625" style="3617"/>
    <col min="7937" max="7937" width="28.5703125" style="3617" bestFit="1" customWidth="1"/>
    <col min="7938" max="8192" width="9.140625" style="3617"/>
    <col min="8193" max="8193" width="28.5703125" style="3617" bestFit="1" customWidth="1"/>
    <col min="8194" max="8448" width="9.140625" style="3617"/>
    <col min="8449" max="8449" width="28.5703125" style="3617" bestFit="1" customWidth="1"/>
    <col min="8450" max="8704" width="9.140625" style="3617"/>
    <col min="8705" max="8705" width="28.5703125" style="3617" bestFit="1" customWidth="1"/>
    <col min="8706" max="8960" width="9.140625" style="3617"/>
    <col min="8961" max="8961" width="28.5703125" style="3617" bestFit="1" customWidth="1"/>
    <col min="8962" max="9216" width="9.140625" style="3617"/>
    <col min="9217" max="9217" width="28.5703125" style="3617" bestFit="1" customWidth="1"/>
    <col min="9218" max="9472" width="9.140625" style="3617"/>
    <col min="9473" max="9473" width="28.5703125" style="3617" bestFit="1" customWidth="1"/>
    <col min="9474" max="9728" width="9.140625" style="3617"/>
    <col min="9729" max="9729" width="28.5703125" style="3617" bestFit="1" customWidth="1"/>
    <col min="9730" max="9984" width="9.140625" style="3617"/>
    <col min="9985" max="9985" width="28.5703125" style="3617" bestFit="1" customWidth="1"/>
    <col min="9986" max="10240" width="9.140625" style="3617"/>
    <col min="10241" max="10241" width="28.5703125" style="3617" bestFit="1" customWidth="1"/>
    <col min="10242" max="10496" width="9.140625" style="3617"/>
    <col min="10497" max="10497" width="28.5703125" style="3617" bestFit="1" customWidth="1"/>
    <col min="10498" max="10752" width="9.140625" style="3617"/>
    <col min="10753" max="10753" width="28.5703125" style="3617" bestFit="1" customWidth="1"/>
    <col min="10754" max="11008" width="9.140625" style="3617"/>
    <col min="11009" max="11009" width="28.5703125" style="3617" bestFit="1" customWidth="1"/>
    <col min="11010" max="11264" width="9.140625" style="3617"/>
    <col min="11265" max="11265" width="28.5703125" style="3617" bestFit="1" customWidth="1"/>
    <col min="11266" max="11520" width="9.140625" style="3617"/>
    <col min="11521" max="11521" width="28.5703125" style="3617" bestFit="1" customWidth="1"/>
    <col min="11522" max="11776" width="9.140625" style="3617"/>
    <col min="11777" max="11777" width="28.5703125" style="3617" bestFit="1" customWidth="1"/>
    <col min="11778" max="12032" width="9.140625" style="3617"/>
    <col min="12033" max="12033" width="28.5703125" style="3617" bestFit="1" customWidth="1"/>
    <col min="12034" max="12288" width="9.140625" style="3617"/>
    <col min="12289" max="12289" width="28.5703125" style="3617" bestFit="1" customWidth="1"/>
    <col min="12290" max="12544" width="9.140625" style="3617"/>
    <col min="12545" max="12545" width="28.5703125" style="3617" bestFit="1" customWidth="1"/>
    <col min="12546" max="12800" width="9.140625" style="3617"/>
    <col min="12801" max="12801" width="28.5703125" style="3617" bestFit="1" customWidth="1"/>
    <col min="12802" max="13056" width="9.140625" style="3617"/>
    <col min="13057" max="13057" width="28.5703125" style="3617" bestFit="1" customWidth="1"/>
    <col min="13058" max="13312" width="9.140625" style="3617"/>
    <col min="13313" max="13313" width="28.5703125" style="3617" bestFit="1" customWidth="1"/>
    <col min="13314" max="13568" width="9.140625" style="3617"/>
    <col min="13569" max="13569" width="28.5703125" style="3617" bestFit="1" customWidth="1"/>
    <col min="13570" max="13824" width="9.140625" style="3617"/>
    <col min="13825" max="13825" width="28.5703125" style="3617" bestFit="1" customWidth="1"/>
    <col min="13826" max="14080" width="9.140625" style="3617"/>
    <col min="14081" max="14081" width="28.5703125" style="3617" bestFit="1" customWidth="1"/>
    <col min="14082" max="14336" width="9.140625" style="3617"/>
    <col min="14337" max="14337" width="28.5703125" style="3617" bestFit="1" customWidth="1"/>
    <col min="14338" max="14592" width="9.140625" style="3617"/>
    <col min="14593" max="14593" width="28.5703125" style="3617" bestFit="1" customWidth="1"/>
    <col min="14594" max="14848" width="9.140625" style="3617"/>
    <col min="14849" max="14849" width="28.5703125" style="3617" bestFit="1" customWidth="1"/>
    <col min="14850" max="15104" width="9.140625" style="3617"/>
    <col min="15105" max="15105" width="28.5703125" style="3617" bestFit="1" customWidth="1"/>
    <col min="15106" max="15360" width="9.140625" style="3617"/>
    <col min="15361" max="15361" width="28.5703125" style="3617" bestFit="1" customWidth="1"/>
    <col min="15362" max="15616" width="9.140625" style="3617"/>
    <col min="15617" max="15617" width="28.5703125" style="3617" bestFit="1" customWidth="1"/>
    <col min="15618" max="15872" width="9.140625" style="3617"/>
    <col min="15873" max="15873" width="28.5703125" style="3617" bestFit="1" customWidth="1"/>
    <col min="15874" max="16128" width="9.140625" style="3617"/>
    <col min="16129" max="16129" width="28.5703125" style="3617" bestFit="1" customWidth="1"/>
    <col min="16130" max="16384" width="9.140625" style="3617"/>
  </cols>
  <sheetData>
    <row r="1" spans="1:1">
      <c r="A1" s="279" t="s">
        <v>2435</v>
      </c>
    </row>
    <row r="2" spans="1:1">
      <c r="A2" s="279" t="s">
        <v>2440</v>
      </c>
    </row>
    <row r="3" spans="1:1">
      <c r="A3" s="279" t="s">
        <v>2441</v>
      </c>
    </row>
    <row r="4" spans="1:1">
      <c r="A4" s="279" t="s">
        <v>2442</v>
      </c>
    </row>
    <row r="5" spans="1:1">
      <c r="A5" s="279" t="s">
        <v>2443</v>
      </c>
    </row>
    <row r="6" spans="1:1">
      <c r="A6" s="279" t="s">
        <v>2436</v>
      </c>
    </row>
    <row r="7" spans="1:1">
      <c r="A7" s="279" t="s">
        <v>2444</v>
      </c>
    </row>
    <row r="8" spans="1:1">
      <c r="A8" s="279" t="s">
        <v>2445</v>
      </c>
    </row>
    <row r="9" spans="1:1">
      <c r="A9" s="279" t="s">
        <v>2446</v>
      </c>
    </row>
    <row r="10" spans="1:1">
      <c r="A10" s="279" t="s">
        <v>2437</v>
      </c>
    </row>
    <row r="11" spans="1:1">
      <c r="A11" s="279" t="s">
        <v>2447</v>
      </c>
    </row>
    <row r="12" spans="1:1">
      <c r="A12" s="279" t="s">
        <v>2438</v>
      </c>
    </row>
    <row r="13" spans="1:1">
      <c r="A13" s="279" t="s">
        <v>2439</v>
      </c>
    </row>
  </sheetData>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B258"/>
  <sheetViews>
    <sheetView topLeftCell="B1" zoomScaleNormal="100" workbookViewId="0">
      <selection activeCell="C52" sqref="C52"/>
    </sheetView>
  </sheetViews>
  <sheetFormatPr defaultRowHeight="12.75" outlineLevelRow="2" outlineLevelCol="1"/>
  <cols>
    <col min="1" max="1" width="3.7109375" customWidth="1"/>
    <col min="2" max="2" width="37" customWidth="1"/>
    <col min="3" max="3" width="9.140625" style="3144" customWidth="1" outlineLevel="1"/>
    <col min="4" max="10" width="8.7109375" customWidth="1"/>
    <col min="11" max="16" width="8.7109375" style="3146" customWidth="1"/>
    <col min="19" max="19" width="12.28515625" customWidth="1"/>
    <col min="20" max="20" width="36.28515625" bestFit="1" customWidth="1"/>
    <col min="21" max="21" width="12.140625" bestFit="1" customWidth="1"/>
    <col min="22" max="26" width="9.85546875" bestFit="1" customWidth="1"/>
  </cols>
  <sheetData>
    <row r="1" spans="2:20">
      <c r="C1" s="65">
        <f>+C8/(C4+C6)</f>
        <v>-1.4527602444644827E-2</v>
      </c>
      <c r="D1" s="65">
        <f ca="1">+D8/(D4+D6)</f>
        <v>-1.601863718210346E-2</v>
      </c>
    </row>
    <row r="2" spans="2:20">
      <c r="B2" s="2817" t="str">
        <f>IS!A8</f>
        <v>INCOME STATEMENT ($MM)</v>
      </c>
      <c r="C2" s="2820" t="str">
        <f>IS!R8</f>
        <v>2017</v>
      </c>
      <c r="D2" s="3485" t="str">
        <f>IS!S8</f>
        <v>2018E</v>
      </c>
      <c r="E2" s="3485" t="str">
        <f>IS!T8</f>
        <v>2019E</v>
      </c>
      <c r="F2" s="3485" t="str">
        <f>IS!U8</f>
        <v>2020E</v>
      </c>
      <c r="G2" s="3485" t="str">
        <f>IS!V8</f>
        <v>2021E</v>
      </c>
      <c r="H2" s="3485">
        <v>2022</v>
      </c>
      <c r="I2" s="3485">
        <f>+H2+1</f>
        <v>2023</v>
      </c>
      <c r="J2" s="3485">
        <f t="shared" ref="J2:P2" si="0">+I2+1</f>
        <v>2024</v>
      </c>
      <c r="K2" s="3485">
        <f t="shared" si="0"/>
        <v>2025</v>
      </c>
      <c r="L2" s="3485">
        <f t="shared" si="0"/>
        <v>2026</v>
      </c>
      <c r="M2" s="3485">
        <f t="shared" si="0"/>
        <v>2027</v>
      </c>
      <c r="N2" s="3485">
        <f t="shared" si="0"/>
        <v>2028</v>
      </c>
      <c r="O2" s="3485">
        <f t="shared" si="0"/>
        <v>2029</v>
      </c>
      <c r="P2" s="3485">
        <f t="shared" si="0"/>
        <v>2030</v>
      </c>
      <c r="S2" t="s">
        <v>1976</v>
      </c>
    </row>
    <row r="3" spans="2:20">
      <c r="B3" s="404" t="str">
        <f>IS!A25</f>
        <v>Total revenues</v>
      </c>
      <c r="D3" s="74"/>
      <c r="E3" s="74"/>
      <c r="F3" s="74"/>
      <c r="G3" s="74"/>
      <c r="H3" s="74"/>
      <c r="I3" s="74"/>
      <c r="J3" s="74"/>
      <c r="K3" s="74"/>
      <c r="L3" s="74"/>
      <c r="M3" s="74"/>
      <c r="N3" s="74"/>
      <c r="O3" s="74"/>
      <c r="P3" s="74"/>
    </row>
    <row r="4" spans="2:20" s="3327" customFormat="1">
      <c r="B4" s="3329" t="s">
        <v>1660</v>
      </c>
      <c r="C4" s="1698">
        <f>IS!R25</f>
        <v>18338</v>
      </c>
      <c r="D4" s="1698">
        <f>Subscribers!T118</f>
        <v>15769.312999999998</v>
      </c>
      <c r="E4" s="1698">
        <f>Subscribers!U118</f>
        <v>15411.818115535565</v>
      </c>
      <c r="F4" s="1698">
        <f>Subscribers!V118</f>
        <v>15065.560315915747</v>
      </c>
      <c r="G4" s="1698">
        <f>Subscribers!W118</f>
        <v>14778.702842885672</v>
      </c>
      <c r="H4" s="1698">
        <f>Subscribers!X118</f>
        <v>14545.778436884619</v>
      </c>
      <c r="I4" s="1698">
        <f>Subscribers!Y154</f>
        <v>14361.943445609377</v>
      </c>
      <c r="J4" s="1698">
        <f>Subscribers!Z154</f>
        <v>14222.907535158833</v>
      </c>
      <c r="K4" s="1698">
        <f>Subscribers!AA154</f>
        <v>14124.871891664749</v>
      </c>
      <c r="L4" s="1698">
        <f>Subscribers!AB154</f>
        <v>14064.474825984424</v>
      </c>
      <c r="M4" s="1698">
        <f>Subscribers!AC154</f>
        <v>14038.743841557987</v>
      </c>
      <c r="N4" s="1698">
        <f>Subscribers!AD154</f>
        <v>14045.053352311555</v>
      </c>
      <c r="O4" s="1698">
        <f>Subscribers!AE154</f>
        <v>14081.087346477898</v>
      </c>
      <c r="P4" s="1698">
        <f>Subscribers!AF154</f>
        <v>14144.806385947701</v>
      </c>
      <c r="S4" s="3363"/>
      <c r="T4" s="3363"/>
    </row>
    <row r="5" spans="2:20" s="5" customFormat="1">
      <c r="B5" s="3330" t="str">
        <f>IS!A26</f>
        <v>% growth</v>
      </c>
      <c r="C5" s="3326" t="str">
        <f>IS!R26</f>
        <v>na</v>
      </c>
      <c r="D5" s="3326" t="str">
        <f>IS!S26</f>
        <v>na</v>
      </c>
      <c r="E5" s="3326">
        <f>IS!T26</f>
        <v>-1.061920255335147E-2</v>
      </c>
      <c r="F5" s="3326">
        <f>IS!U26</f>
        <v>-8.3406597336662669E-3</v>
      </c>
      <c r="G5" s="3326">
        <f>IS!V26</f>
        <v>-6.4710705178258054E-3</v>
      </c>
      <c r="H5" s="3326">
        <f>+H4/G4-1</f>
        <v>-1.5760815308170306E-2</v>
      </c>
      <c r="I5" s="3326">
        <f t="shared" ref="I5:P5" si="1">+I4/H4-1</f>
        <v>-1.2638374224722138E-2</v>
      </c>
      <c r="J5" s="3326">
        <f t="shared" si="1"/>
        <v>-9.6808562836284695E-3</v>
      </c>
      <c r="K5" s="3326">
        <f t="shared" si="1"/>
        <v>-6.8927990463090172E-3</v>
      </c>
      <c r="L5" s="3326">
        <f t="shared" si="1"/>
        <v>-4.2759372363557757E-3</v>
      </c>
      <c r="M5" s="3326">
        <f t="shared" si="1"/>
        <v>-1.8295019717976535E-3</v>
      </c>
      <c r="N5" s="3326">
        <f t="shared" si="1"/>
        <v>4.4943556380672156E-4</v>
      </c>
      <c r="O5" s="3326">
        <f t="shared" si="1"/>
        <v>2.565600376335464E-3</v>
      </c>
      <c r="P5" s="3326">
        <f t="shared" si="1"/>
        <v>4.5251505016579152E-3</v>
      </c>
      <c r="S5" s="3370"/>
    </row>
    <row r="6" spans="2:20" s="3327" customFormat="1">
      <c r="B6" s="3329" t="s">
        <v>1659</v>
      </c>
      <c r="C6" s="1698">
        <f>'LVLT Rev Build'!U29</f>
        <v>8278</v>
      </c>
      <c r="D6" s="1698">
        <f ca="1">'LVLT Rev Build'!V29</f>
        <v>8369.2365077361028</v>
      </c>
      <c r="E6" s="1698">
        <f ca="1">'LVLT Rev Build'!W29</f>
        <v>8484.5579014436789</v>
      </c>
      <c r="F6" s="1698">
        <f ca="1">'LVLT Rev Build'!X29</f>
        <v>8606.4404724277028</v>
      </c>
      <c r="G6" s="1698">
        <f ca="1">'LVLT Rev Build'!Y29</f>
        <v>8735.2639265359267</v>
      </c>
      <c r="H6" s="1698">
        <f ca="1">'LVLT Rev Build'!Z29</f>
        <v>8868.7907592845731</v>
      </c>
      <c r="I6" s="1698">
        <f ca="1">'LVLT Rev Build'!AA29</f>
        <v>8995.7295388168859</v>
      </c>
      <c r="J6" s="1698">
        <f ca="1">'LVLT Rev Build'!AB29</f>
        <v>9120.3528514697246</v>
      </c>
      <c r="K6" s="1698">
        <f ca="1">'LVLT Rev Build'!AC29</f>
        <v>9248.4804270401837</v>
      </c>
      <c r="L6" s="1698">
        <f ca="1">'LVLT Rev Build'!AD29</f>
        <v>9386.3220710917358</v>
      </c>
      <c r="M6" s="1698">
        <f ca="1">+L6*(1+M7)</f>
        <v>9516.8318190922037</v>
      </c>
      <c r="N6" s="1698">
        <f ca="1">+M6*(1+N7)</f>
        <v>9639.63937515</v>
      </c>
      <c r="O6" s="1698">
        <f ca="1">+N6*(1+O7)</f>
        <v>9754.3920309676414</v>
      </c>
      <c r="P6" s="1698">
        <f ca="1">+O6*(1+P7)</f>
        <v>9860.7563388047965</v>
      </c>
    </row>
    <row r="7" spans="2:20" s="5" customFormat="1">
      <c r="B7" s="3330" t="s">
        <v>993</v>
      </c>
      <c r="C7" s="3326" t="e">
        <f>IS!U18</f>
        <v>#DIV/0!</v>
      </c>
      <c r="D7" s="3326">
        <f ca="1">+D6/C6-1</f>
        <v>1.1021564114049642E-2</v>
      </c>
      <c r="E7" s="3326">
        <f t="shared" ref="E7:L7" ca="1" si="2">+E6/D6-1</f>
        <v>1.377920119726328E-2</v>
      </c>
      <c r="F7" s="3326">
        <f t="shared" ca="1" si="2"/>
        <v>1.4365223550809381E-2</v>
      </c>
      <c r="G7" s="3326">
        <f t="shared" ca="1" si="2"/>
        <v>1.4968261794284565E-2</v>
      </c>
      <c r="H7" s="3326">
        <f t="shared" ca="1" si="2"/>
        <v>1.5285952876938236E-2</v>
      </c>
      <c r="I7" s="3326">
        <f t="shared" ca="1" si="2"/>
        <v>1.4312974900148934E-2</v>
      </c>
      <c r="J7" s="3326">
        <f t="shared" ca="1" si="2"/>
        <v>1.3853608216552571E-2</v>
      </c>
      <c r="K7" s="3326">
        <f t="shared" ca="1" si="2"/>
        <v>1.4048532733008434E-2</v>
      </c>
      <c r="L7" s="3326">
        <f t="shared" ca="1" si="2"/>
        <v>1.4904247799296666E-2</v>
      </c>
      <c r="M7" s="3345">
        <f ca="1">+L7-0.1%</f>
        <v>1.3904247799296665E-2</v>
      </c>
      <c r="N7" s="3345">
        <f ca="1">+M7-0.1%</f>
        <v>1.2904247799296664E-2</v>
      </c>
      <c r="O7" s="3345">
        <f ca="1">+N7-0.1%</f>
        <v>1.1904247799296663E-2</v>
      </c>
      <c r="P7" s="3345">
        <f ca="1">+O7-0.1%</f>
        <v>1.0904247799296662E-2</v>
      </c>
      <c r="T7" s="3370"/>
    </row>
    <row r="8" spans="2:20" s="3144" customFormat="1">
      <c r="B8" s="3331" t="s">
        <v>1771</v>
      </c>
      <c r="C8" s="3325">
        <f>(-290)/3*4</f>
        <v>-386.66666666666669</v>
      </c>
      <c r="D8" s="3325">
        <f>(-290)/3*4</f>
        <v>-386.66666666666669</v>
      </c>
      <c r="E8" s="3325">
        <f>(-290)/3*4</f>
        <v>-386.66666666666669</v>
      </c>
      <c r="F8" s="3325">
        <f>(-290)/3*4</f>
        <v>-386.66666666666669</v>
      </c>
      <c r="G8" s="3325">
        <f>(-290)/3*4</f>
        <v>-386.66666666666669</v>
      </c>
      <c r="H8" s="3325">
        <f t="shared" ref="H8:P8" si="3">(-290)/3*4</f>
        <v>-386.66666666666669</v>
      </c>
      <c r="I8" s="3325">
        <f t="shared" si="3"/>
        <v>-386.66666666666669</v>
      </c>
      <c r="J8" s="3325">
        <f t="shared" si="3"/>
        <v>-386.66666666666669</v>
      </c>
      <c r="K8" s="3325">
        <f t="shared" si="3"/>
        <v>-386.66666666666669</v>
      </c>
      <c r="L8" s="3325">
        <f t="shared" si="3"/>
        <v>-386.66666666666669</v>
      </c>
      <c r="M8" s="3325">
        <f t="shared" si="3"/>
        <v>-386.66666666666669</v>
      </c>
      <c r="N8" s="3325">
        <f t="shared" si="3"/>
        <v>-386.66666666666669</v>
      </c>
      <c r="O8" s="3325">
        <f t="shared" si="3"/>
        <v>-386.66666666666669</v>
      </c>
      <c r="P8" s="3325">
        <f t="shared" si="3"/>
        <v>-386.66666666666669</v>
      </c>
    </row>
    <row r="9" spans="2:20" s="4" customFormat="1">
      <c r="B9" s="4" t="s">
        <v>995</v>
      </c>
      <c r="C9" s="405">
        <f t="shared" ref="C9:P9" si="4">+C4+C6+C8</f>
        <v>26229.333333333332</v>
      </c>
      <c r="D9" s="405">
        <f t="shared" ca="1" si="4"/>
        <v>23751.882841069433</v>
      </c>
      <c r="E9" s="405">
        <f t="shared" ca="1" si="4"/>
        <v>23509.709350312576</v>
      </c>
      <c r="F9" s="405">
        <f t="shared" ca="1" si="4"/>
        <v>23285.334121676784</v>
      </c>
      <c r="G9" s="405">
        <f t="shared" ca="1" si="4"/>
        <v>23127.300102754929</v>
      </c>
      <c r="H9" s="405">
        <f t="shared" ca="1" si="4"/>
        <v>23027.902529502524</v>
      </c>
      <c r="I9" s="405">
        <f t="shared" ca="1" si="4"/>
        <v>22971.006317759595</v>
      </c>
      <c r="J9" s="405">
        <f t="shared" ca="1" si="4"/>
        <v>22956.593719961889</v>
      </c>
      <c r="K9" s="405">
        <f t="shared" ca="1" si="4"/>
        <v>22986.685652038264</v>
      </c>
      <c r="L9" s="405">
        <f t="shared" ca="1" si="4"/>
        <v>23064.13023040949</v>
      </c>
      <c r="M9" s="405">
        <f t="shared" ca="1" si="4"/>
        <v>23168.908993983521</v>
      </c>
      <c r="N9" s="405">
        <f t="shared" ca="1" si="4"/>
        <v>23298.026060794888</v>
      </c>
      <c r="O9" s="405">
        <f t="shared" ca="1" si="4"/>
        <v>23448.812710778871</v>
      </c>
      <c r="P9" s="405">
        <f t="shared" ca="1" si="4"/>
        <v>23618.896058085829</v>
      </c>
      <c r="S9" s="3616">
        <f ca="1">+(F9/C9)^0.33333-1</f>
        <v>-3.8907371546336278E-2</v>
      </c>
      <c r="T9" s="3616"/>
    </row>
    <row r="10" spans="2:20" s="5" customFormat="1">
      <c r="B10" s="3330" t="s">
        <v>993</v>
      </c>
      <c r="C10" s="3326"/>
      <c r="D10" s="3326">
        <f ca="1">+D9/C9-1</f>
        <v>-9.4453429707092584E-2</v>
      </c>
      <c r="E10" s="3326">
        <f ca="1">+E9/D9-1</f>
        <v>-1.0195970246961394E-2</v>
      </c>
      <c r="F10" s="3326">
        <f ca="1">+F9/E9-1</f>
        <v>-9.5439388591509466E-3</v>
      </c>
      <c r="G10" s="3326">
        <f ca="1">+G9/F9-1</f>
        <v>-6.7868478114186948E-3</v>
      </c>
      <c r="H10" s="3326">
        <f t="shared" ref="H10:N10" ca="1" si="5">+H9/G9-1</f>
        <v>-4.2978459574087857E-3</v>
      </c>
      <c r="I10" s="3326">
        <f t="shared" ca="1" si="5"/>
        <v>-2.4707509366098668E-3</v>
      </c>
      <c r="J10" s="3326">
        <f t="shared" ca="1" si="5"/>
        <v>-6.2742561637640915E-4</v>
      </c>
      <c r="K10" s="3326">
        <f t="shared" ca="1" si="5"/>
        <v>1.3108186886718887E-3</v>
      </c>
      <c r="L10" s="3326">
        <f t="shared" ca="1" si="5"/>
        <v>3.3691059051985661E-3</v>
      </c>
      <c r="M10" s="3326">
        <f t="shared" ca="1" si="5"/>
        <v>4.5429314926379583E-3</v>
      </c>
      <c r="N10" s="3326">
        <f t="shared" ca="1" si="5"/>
        <v>5.5728591641883707E-3</v>
      </c>
      <c r="O10" s="3326">
        <f ca="1">+O9/N9-1</f>
        <v>6.4720783464879972E-3</v>
      </c>
      <c r="P10" s="3326">
        <f ca="1">+P9/O9-1</f>
        <v>7.2533884510397328E-3</v>
      </c>
    </row>
    <row r="11" spans="2:20" s="3144" customFormat="1" ht="6.75" customHeight="1">
      <c r="B11" s="1687"/>
      <c r="C11" s="1688"/>
      <c r="D11" s="1688"/>
      <c r="E11" s="1688"/>
      <c r="F11" s="1688"/>
      <c r="G11" s="1688"/>
      <c r="K11" s="3146"/>
      <c r="L11" s="3146"/>
      <c r="M11" s="3146"/>
      <c r="N11" s="3146"/>
      <c r="O11" s="3146"/>
      <c r="P11" s="3146"/>
    </row>
    <row r="12" spans="2:20" s="292" customFormat="1">
      <c r="B12" s="427" t="str">
        <f>IS!A28</f>
        <v>Cash Opex</v>
      </c>
      <c r="C12" s="493"/>
      <c r="D12" s="493"/>
      <c r="E12" s="493"/>
      <c r="F12" s="493"/>
      <c r="G12" s="493"/>
    </row>
    <row r="13" spans="2:20" hidden="1" outlineLevel="2">
      <c r="B13" s="2655" t="s">
        <v>1772</v>
      </c>
      <c r="C13" s="1704">
        <f>IS!R32</f>
        <v>8543</v>
      </c>
      <c r="D13" s="1704">
        <f>IS!S32</f>
        <v>11133.891357272401</v>
      </c>
      <c r="E13" s="1704">
        <f>IS!T32</f>
        <v>10496.27231657327</v>
      </c>
      <c r="F13" s="1704">
        <f>IS!U32</f>
        <v>10174.822514850206</v>
      </c>
      <c r="G13" s="1704">
        <f>IS!V32</f>
        <v>9992.7853424496716</v>
      </c>
      <c r="H13" s="1704">
        <f t="shared" ref="H13:P13" si="6">+H4*H15</f>
        <v>6261.9576170788287</v>
      </c>
      <c r="I13" s="1704">
        <f t="shared" si="6"/>
        <v>6189.997625057641</v>
      </c>
      <c r="J13" s="1704">
        <f t="shared" si="6"/>
        <v>6137.1846014210359</v>
      </c>
      <c r="K13" s="1704">
        <f t="shared" si="6"/>
        <v>6101.9446571991712</v>
      </c>
      <c r="L13" s="1704">
        <f t="shared" si="6"/>
        <v>6082.885362238263</v>
      </c>
      <c r="M13" s="1704">
        <f t="shared" si="6"/>
        <v>6078.7760833946086</v>
      </c>
      <c r="N13" s="1704">
        <f t="shared" si="6"/>
        <v>6088.5306282270594</v>
      </c>
      <c r="O13" s="1704">
        <f t="shared" si="6"/>
        <v>6111.1919083714074</v>
      </c>
      <c r="P13" s="1704">
        <f t="shared" si="6"/>
        <v>6145.9183746942763</v>
      </c>
    </row>
    <row r="14" spans="2:20" s="5" customFormat="1" hidden="1" outlineLevel="2">
      <c r="B14" s="3330" t="str">
        <f>IS!A33</f>
        <v>Y/Y % growth</v>
      </c>
      <c r="C14" s="3326">
        <f>IS!R33</f>
        <v>9.8919475173655735E-2</v>
      </c>
      <c r="D14" s="3326">
        <f>IS!S33</f>
        <v>0.30327652549132633</v>
      </c>
      <c r="E14" s="3326">
        <f>IS!T33</f>
        <v>-5.7268300923616788E-2</v>
      </c>
      <c r="F14" s="3326">
        <f>IS!U33</f>
        <v>-3.0625139290213044E-2</v>
      </c>
      <c r="G14" s="3326">
        <f>IS!V33</f>
        <v>-1.7890943270494453E-2</v>
      </c>
      <c r="H14" s="3326">
        <f t="shared" ref="H14:P14" si="7">+H13/G13-1</f>
        <v>-0.37335213331584016</v>
      </c>
      <c r="I14" s="3326">
        <f t="shared" si="7"/>
        <v>-1.1491612754599978E-2</v>
      </c>
      <c r="J14" s="3326">
        <f t="shared" si="7"/>
        <v>-8.5319941679482536E-3</v>
      </c>
      <c r="K14" s="3326">
        <f t="shared" si="7"/>
        <v>-5.742037515655829E-3</v>
      </c>
      <c r="L14" s="3326">
        <f t="shared" si="7"/>
        <v>-3.1234788303793337E-3</v>
      </c>
      <c r="M14" s="3326">
        <f t="shared" si="7"/>
        <v>-6.7554763881694235E-4</v>
      </c>
      <c r="N14" s="3326">
        <f t="shared" si="7"/>
        <v>1.6046889536032172E-3</v>
      </c>
      <c r="O14" s="3326">
        <f t="shared" si="7"/>
        <v>3.7219620838051526E-3</v>
      </c>
      <c r="P14" s="3326">
        <f t="shared" si="7"/>
        <v>5.6824375414064043E-3</v>
      </c>
    </row>
    <row r="15" spans="2:20" s="5" customFormat="1" hidden="1" outlineLevel="2">
      <c r="B15" s="3330" t="str">
        <f>IS!A35</f>
        <v>% of revenues</v>
      </c>
      <c r="C15" s="3326">
        <f>IS!R35</f>
        <v>0.46586323481295672</v>
      </c>
      <c r="D15" s="3326">
        <f>IS!S35</f>
        <v>0.46701989048963349</v>
      </c>
      <c r="E15" s="3326">
        <f>IS!T35</f>
        <v>0.44500000000000001</v>
      </c>
      <c r="F15" s="3326">
        <f>IS!U35</f>
        <v>0.435</v>
      </c>
      <c r="G15" s="3326">
        <f>IS!V35</f>
        <v>0.43</v>
      </c>
      <c r="H15" s="3345">
        <f>+G15+0.05%</f>
        <v>0.43049999999999999</v>
      </c>
      <c r="I15" s="3345">
        <f t="shared" ref="I15:P15" si="8">+H15+0.05%</f>
        <v>0.43099999999999999</v>
      </c>
      <c r="J15" s="3345">
        <f t="shared" si="8"/>
        <v>0.43149999999999999</v>
      </c>
      <c r="K15" s="3345">
        <f t="shared" si="8"/>
        <v>0.432</v>
      </c>
      <c r="L15" s="3345">
        <f t="shared" si="8"/>
        <v>0.4325</v>
      </c>
      <c r="M15" s="3345">
        <f t="shared" si="8"/>
        <v>0.433</v>
      </c>
      <c r="N15" s="3345">
        <f t="shared" si="8"/>
        <v>0.4335</v>
      </c>
      <c r="O15" s="3345">
        <f t="shared" si="8"/>
        <v>0.434</v>
      </c>
      <c r="P15" s="3345">
        <f t="shared" si="8"/>
        <v>0.4345</v>
      </c>
    </row>
    <row r="16" spans="2:20" hidden="1" outlineLevel="2">
      <c r="B16" s="3332" t="s">
        <v>1773</v>
      </c>
      <c r="C16" s="1704">
        <f>IS!R39</f>
        <v>3631</v>
      </c>
      <c r="D16" s="1704">
        <f>IS!S39</f>
        <v>4309.4342545169548</v>
      </c>
      <c r="E16" s="1704">
        <f>IS!T39</f>
        <v>4245.6831842318843</v>
      </c>
      <c r="F16" s="1704">
        <f>IS!U39</f>
        <v>4069.9290059400819</v>
      </c>
      <c r="G16" s="1704">
        <f>IS!V39</f>
        <v>4020.3531726599836</v>
      </c>
      <c r="H16" s="1704">
        <f t="shared" ref="H16:P16" si="9">+H4*H18</f>
        <v>2516.4196695810388</v>
      </c>
      <c r="I16" s="1704">
        <f t="shared" si="9"/>
        <v>2473.8447585062149</v>
      </c>
      <c r="J16" s="1704">
        <f t="shared" si="9"/>
        <v>2439.2286422797397</v>
      </c>
      <c r="K16" s="1704">
        <f t="shared" si="9"/>
        <v>2411.8218755017556</v>
      </c>
      <c r="L16" s="1704">
        <f t="shared" si="9"/>
        <v>2390.9607204173517</v>
      </c>
      <c r="M16" s="1704">
        <f t="shared" si="9"/>
        <v>2376.0573951836891</v>
      </c>
      <c r="N16" s="1704">
        <f t="shared" si="9"/>
        <v>2366.5914898644969</v>
      </c>
      <c r="O16" s="1704">
        <f t="shared" si="9"/>
        <v>2362.1024023716673</v>
      </c>
      <c r="P16" s="1704">
        <f t="shared" si="9"/>
        <v>2362.1826664532659</v>
      </c>
    </row>
    <row r="17" spans="2:16" s="5" customFormat="1" hidden="1" outlineLevel="2">
      <c r="B17" s="3330" t="str">
        <f>IS!A40</f>
        <v>Y/Y % growth</v>
      </c>
      <c r="C17" s="3326">
        <f>IS!R40</f>
        <v>5.337975050768784E-2</v>
      </c>
      <c r="D17" s="3326">
        <f>IS!S40</f>
        <v>0.18684501639133977</v>
      </c>
      <c r="E17" s="3326">
        <f>IS!T40</f>
        <v>-1.4793373449948688E-2</v>
      </c>
      <c r="F17" s="3326">
        <f>IS!U40</f>
        <v>-4.1395971075877447E-2</v>
      </c>
      <c r="G17" s="3326">
        <f>IS!V40</f>
        <v>-1.2181006894160129E-2</v>
      </c>
      <c r="H17" s="3326">
        <f t="shared" ref="H17:P17" si="10">+H16/G16-1</f>
        <v>-0.37407994733057204</v>
      </c>
      <c r="I17" s="3326">
        <f t="shared" si="10"/>
        <v>-1.6918843700626574E-2</v>
      </c>
      <c r="J17" s="3326">
        <f t="shared" si="10"/>
        <v>-1.3992840944222151E-2</v>
      </c>
      <c r="K17" s="3326">
        <f t="shared" si="10"/>
        <v>-1.1235833452812094E-2</v>
      </c>
      <c r="L17" s="3326">
        <f t="shared" si="10"/>
        <v>-8.6495421972503372E-3</v>
      </c>
      <c r="M17" s="3326">
        <f t="shared" si="10"/>
        <v>-6.2331953454514144E-3</v>
      </c>
      <c r="N17" s="3326">
        <f t="shared" si="10"/>
        <v>-3.9838706499176757E-3</v>
      </c>
      <c r="O17" s="3326">
        <f t="shared" si="10"/>
        <v>-1.8968577855769109E-3</v>
      </c>
      <c r="P17" s="3326">
        <f t="shared" si="10"/>
        <v>3.3979933096173198E-5</v>
      </c>
    </row>
    <row r="18" spans="2:16" s="5" customFormat="1" hidden="1" outlineLevel="2">
      <c r="B18" s="3330" t="str">
        <f>IS!A42</f>
        <v>% of revenues</v>
      </c>
      <c r="C18" s="3326">
        <f>IS!R42</f>
        <v>0.19800414439960737</v>
      </c>
      <c r="D18" s="3326">
        <f>IS!S42</f>
        <v>0.18076263267129916</v>
      </c>
      <c r="E18" s="3326">
        <f>IS!T42</f>
        <v>0.18</v>
      </c>
      <c r="F18" s="3326">
        <f>IS!U42</f>
        <v>0.17399999999999999</v>
      </c>
      <c r="G18" s="3326">
        <f>IS!V42</f>
        <v>0.17299999999999999</v>
      </c>
      <c r="H18" s="3345">
        <f>+G18</f>
        <v>0.17299999999999999</v>
      </c>
      <c r="I18" s="3345">
        <f>+H18-0.075%</f>
        <v>0.17224999999999999</v>
      </c>
      <c r="J18" s="3345">
        <f t="shared" ref="J18:P18" si="11">+I18-0.075%</f>
        <v>0.17149999999999999</v>
      </c>
      <c r="K18" s="3345">
        <f t="shared" si="11"/>
        <v>0.17074999999999999</v>
      </c>
      <c r="L18" s="3345">
        <f t="shared" si="11"/>
        <v>0.16999999999999998</v>
      </c>
      <c r="M18" s="3345">
        <f t="shared" si="11"/>
        <v>0.16924999999999998</v>
      </c>
      <c r="N18" s="3345">
        <f t="shared" si="11"/>
        <v>0.16849999999999998</v>
      </c>
      <c r="O18" s="3345">
        <f t="shared" si="11"/>
        <v>0.16774999999999998</v>
      </c>
      <c r="P18" s="3345">
        <f t="shared" si="11"/>
        <v>0.16699999999999998</v>
      </c>
    </row>
    <row r="19" spans="2:16" s="5" customFormat="1" hidden="1" outlineLevel="2">
      <c r="B19" s="2655" t="s">
        <v>1775</v>
      </c>
      <c r="C19" s="1704">
        <f>IS!U23</f>
        <v>23741.252534650477</v>
      </c>
      <c r="D19" s="1704">
        <f>IS!V23</f>
        <v>23587.621215317246</v>
      </c>
      <c r="E19" s="1704">
        <f>IS!W23</f>
        <v>23515.254290794684</v>
      </c>
      <c r="F19" s="1704">
        <f>IS!X23</f>
        <v>23466.856628423648</v>
      </c>
      <c r="G19" s="1704">
        <f>IS!Y23</f>
        <v>0</v>
      </c>
      <c r="H19" s="1704">
        <f ca="1">+H6*H21</f>
        <v>-31.040767657496001</v>
      </c>
      <c r="I19" s="1704">
        <f t="shared" ref="I19:N19" ca="1" si="12">+I6*I21</f>
        <v>-62.970106771718193</v>
      </c>
      <c r="J19" s="1704">
        <f t="shared" ca="1" si="12"/>
        <v>-95.763704940432092</v>
      </c>
      <c r="K19" s="1704">
        <f t="shared" ca="1" si="12"/>
        <v>-129.47872597856255</v>
      </c>
      <c r="L19" s="1704">
        <f t="shared" ca="1" si="12"/>
        <v>-164.26063624410537</v>
      </c>
      <c r="M19" s="1704">
        <f t="shared" ca="1" si="12"/>
        <v>-199.85346820093625</v>
      </c>
      <c r="N19" s="1704">
        <f t="shared" ca="1" si="12"/>
        <v>-236.17116469117497</v>
      </c>
      <c r="O19" s="1704">
        <f ca="1">+O6*O21</f>
        <v>-273.12297686709394</v>
      </c>
      <c r="P19" s="1704">
        <f ca="1">+P6*P21</f>
        <v>-310.61382467235109</v>
      </c>
    </row>
    <row r="20" spans="2:16" s="5" customFormat="1" hidden="1" outlineLevel="2">
      <c r="B20" s="3330" t="s">
        <v>1254</v>
      </c>
      <c r="C20" s="3328"/>
      <c r="D20" s="3326">
        <f>+D19/C19-1</f>
        <v>-6.4710705178256944E-3</v>
      </c>
      <c r="E20" s="3326">
        <f>+E19/D19-1</f>
        <v>-3.0680043511792654E-3</v>
      </c>
      <c r="F20" s="3326">
        <f>+F19/E19-1</f>
        <v>-2.0581390178707748E-3</v>
      </c>
      <c r="G20" s="3326">
        <f>+G19/F19-1</f>
        <v>-1</v>
      </c>
      <c r="H20" s="3326" t="e">
        <f t="shared" ref="H20:N20" ca="1" si="13">+H19/G19-1</f>
        <v>#DIV/0!</v>
      </c>
      <c r="I20" s="3326">
        <f t="shared" ca="1" si="13"/>
        <v>1.0286259498002979</v>
      </c>
      <c r="J20" s="3326">
        <f t="shared" ca="1" si="13"/>
        <v>0.52078041232482897</v>
      </c>
      <c r="K20" s="3326">
        <f t="shared" ca="1" si="13"/>
        <v>0.35206471031067799</v>
      </c>
      <c r="L20" s="3326">
        <f t="shared" ca="1" si="13"/>
        <v>0.26863030974912094</v>
      </c>
      <c r="M20" s="3326">
        <f t="shared" ca="1" si="13"/>
        <v>0.21668509735915609</v>
      </c>
      <c r="N20" s="3326">
        <f t="shared" ca="1" si="13"/>
        <v>0.18172162243251266</v>
      </c>
      <c r="O20" s="3326">
        <f ca="1">+O19/N19-1</f>
        <v>0.15646199748491041</v>
      </c>
      <c r="P20" s="3326">
        <f ca="1">+P19/O19-1</f>
        <v>0.13726727877420863</v>
      </c>
    </row>
    <row r="21" spans="2:16" s="5" customFormat="1" hidden="1" outlineLevel="2">
      <c r="B21" s="3330" t="s">
        <v>998</v>
      </c>
      <c r="C21" s="3328"/>
      <c r="D21" s="3326">
        <f ca="1">+D19/D6</f>
        <v>2.8183719259832163</v>
      </c>
      <c r="E21" s="3326">
        <f ca="1">+E19/E6</f>
        <v>2.7715356019661881</v>
      </c>
      <c r="F21" s="3326">
        <f ca="1">+F19/F6</f>
        <v>2.7266622831592215</v>
      </c>
      <c r="G21" s="3326">
        <f ca="1">+G19/G$6</f>
        <v>0</v>
      </c>
      <c r="H21" s="3345">
        <f ca="1">+G21-0.35%</f>
        <v>-3.4999999999999996E-3</v>
      </c>
      <c r="I21" s="3345">
        <f t="shared" ref="I21:P21" ca="1" si="14">+H21-0.35%</f>
        <v>-6.9999999999999993E-3</v>
      </c>
      <c r="J21" s="3345">
        <f t="shared" ca="1" si="14"/>
        <v>-1.0499999999999999E-2</v>
      </c>
      <c r="K21" s="3345">
        <f t="shared" ca="1" si="14"/>
        <v>-1.3999999999999999E-2</v>
      </c>
      <c r="L21" s="3345">
        <f t="shared" ca="1" si="14"/>
        <v>-1.7499999999999998E-2</v>
      </c>
      <c r="M21" s="3345">
        <f t="shared" ca="1" si="14"/>
        <v>-2.0999999999999998E-2</v>
      </c>
      <c r="N21" s="3345">
        <f t="shared" ca="1" si="14"/>
        <v>-2.4499999999999997E-2</v>
      </c>
      <c r="O21" s="3345">
        <f t="shared" ca="1" si="14"/>
        <v>-2.7999999999999997E-2</v>
      </c>
      <c r="P21" s="3345">
        <f t="shared" ca="1" si="14"/>
        <v>-3.15E-2</v>
      </c>
    </row>
    <row r="22" spans="2:16" s="5" customFormat="1" hidden="1" outlineLevel="2">
      <c r="B22" s="2655" t="s">
        <v>1777</v>
      </c>
      <c r="C22" s="1704">
        <f>IS!U27</f>
        <v>0</v>
      </c>
      <c r="D22" s="1704">
        <f>IS!V27</f>
        <v>0</v>
      </c>
      <c r="E22" s="1704">
        <f>IS!W27</f>
        <v>0</v>
      </c>
      <c r="F22" s="1704">
        <f>IS!X27</f>
        <v>0</v>
      </c>
      <c r="G22" s="1704">
        <f>IS!Y27</f>
        <v>0</v>
      </c>
      <c r="H22" s="1704">
        <f ca="1">+H$6*H24</f>
        <v>-13.30318613892686</v>
      </c>
      <c r="I22" s="1704">
        <f t="shared" ref="I22:N22" ca="1" si="15">+I6*I24</f>
        <v>-26.987188616450659</v>
      </c>
      <c r="J22" s="1704">
        <f t="shared" ca="1" si="15"/>
        <v>-41.041587831613768</v>
      </c>
      <c r="K22" s="1704">
        <f t="shared" ca="1" si="15"/>
        <v>-55.490882562241104</v>
      </c>
      <c r="L22" s="1704">
        <f t="shared" ca="1" si="15"/>
        <v>-70.39741553318801</v>
      </c>
      <c r="M22" s="1704">
        <f t="shared" ca="1" si="15"/>
        <v>-85.651486371829833</v>
      </c>
      <c r="N22" s="1704">
        <f t="shared" ca="1" si="15"/>
        <v>-101.21621343907499</v>
      </c>
      <c r="O22" s="1704">
        <f ca="1">+O6*O24</f>
        <v>-117.05270437161168</v>
      </c>
      <c r="P22" s="1704">
        <f ca="1">+P6*P24</f>
        <v>-133.12021057386474</v>
      </c>
    </row>
    <row r="23" spans="2:16" s="5" customFormat="1" hidden="1" outlineLevel="2">
      <c r="B23" s="3330" t="s">
        <v>1254</v>
      </c>
      <c r="C23" s="3328"/>
      <c r="D23" s="3326" t="e">
        <f>+D22/C22-1</f>
        <v>#DIV/0!</v>
      </c>
      <c r="E23" s="3326" t="e">
        <f>+E22/D22-1</f>
        <v>#DIV/0!</v>
      </c>
      <c r="F23" s="3326" t="e">
        <f>+F22/E22-1</f>
        <v>#DIV/0!</v>
      </c>
      <c r="G23" s="3326" t="e">
        <f>+G22/F22-1</f>
        <v>#DIV/0!</v>
      </c>
      <c r="H23" s="3326" t="e">
        <f t="shared" ref="H23:N23" ca="1" si="16">+H22/G22-1</f>
        <v>#DIV/0!</v>
      </c>
      <c r="I23" s="3326">
        <f t="shared" ca="1" si="16"/>
        <v>1.0286259498002979</v>
      </c>
      <c r="J23" s="3326">
        <f t="shared" ca="1" si="16"/>
        <v>0.52078041232482919</v>
      </c>
      <c r="K23" s="3326">
        <f t="shared" ca="1" si="16"/>
        <v>0.35206471031067776</v>
      </c>
      <c r="L23" s="3326">
        <f t="shared" ca="1" si="16"/>
        <v>0.26863030974912072</v>
      </c>
      <c r="M23" s="3326">
        <f t="shared" ca="1" si="16"/>
        <v>0.21668509735915631</v>
      </c>
      <c r="N23" s="3326">
        <f t="shared" ca="1" si="16"/>
        <v>0.18172162243251266</v>
      </c>
      <c r="O23" s="3326">
        <f ca="1">+O22/N22-1</f>
        <v>0.15646199748491019</v>
      </c>
      <c r="P23" s="3326">
        <f ca="1">+P22/O22-1</f>
        <v>0.13726727877420863</v>
      </c>
    </row>
    <row r="24" spans="2:16" s="5" customFormat="1" hidden="1" outlineLevel="2">
      <c r="B24" s="3330" t="s">
        <v>998</v>
      </c>
      <c r="C24" s="3328"/>
      <c r="D24" s="3326">
        <f ca="1">+D22/D$6</f>
        <v>0</v>
      </c>
      <c r="E24" s="3326">
        <f ca="1">+E22/E$6</f>
        <v>0</v>
      </c>
      <c r="F24" s="3326">
        <f ca="1">+F22/F$6</f>
        <v>0</v>
      </c>
      <c r="G24" s="3326">
        <f ca="1">+G22/G$6</f>
        <v>0</v>
      </c>
      <c r="H24" s="3345">
        <f ca="1">+G24-0.15%</f>
        <v>-1.5E-3</v>
      </c>
      <c r="I24" s="3345">
        <f t="shared" ref="I24:P24" ca="1" si="17">+H24-0.15%</f>
        <v>-3.0000000000000001E-3</v>
      </c>
      <c r="J24" s="3345">
        <f t="shared" ca="1" si="17"/>
        <v>-4.5000000000000005E-3</v>
      </c>
      <c r="K24" s="3345">
        <f t="shared" ca="1" si="17"/>
        <v>-6.0000000000000001E-3</v>
      </c>
      <c r="L24" s="3345">
        <f t="shared" ca="1" si="17"/>
        <v>-7.4999999999999997E-3</v>
      </c>
      <c r="M24" s="3345">
        <f t="shared" ca="1" si="17"/>
        <v>-8.9999999999999993E-3</v>
      </c>
      <c r="N24" s="3345">
        <f t="shared" ca="1" si="17"/>
        <v>-1.0499999999999999E-2</v>
      </c>
      <c r="O24" s="3345">
        <f t="shared" ca="1" si="17"/>
        <v>-1.1999999999999999E-2</v>
      </c>
      <c r="P24" s="3345">
        <f t="shared" ca="1" si="17"/>
        <v>-1.3499999999999998E-2</v>
      </c>
    </row>
    <row r="25" spans="2:16" s="5" customFormat="1" hidden="1" outlineLevel="2">
      <c r="B25" s="3332" t="s">
        <v>1774</v>
      </c>
      <c r="C25" s="1704">
        <f>+IS!U31+IS!U32</f>
        <v>10174.822514850206</v>
      </c>
      <c r="D25" s="1704">
        <f>+IS!V31+IS!V32</f>
        <v>9992.7853424496716</v>
      </c>
      <c r="E25" s="1704">
        <f>+IS!W31+IS!W32</f>
        <v>9846.2887424509772</v>
      </c>
      <c r="F25" s="1704">
        <f>+IS!X31+IS!X32</f>
        <v>9710.4234324511635</v>
      </c>
      <c r="G25" s="1704">
        <f>+IS!Y31+IS!Y32</f>
        <v>0</v>
      </c>
      <c r="H25" s="1704">
        <f ca="1">+H$6*H27</f>
        <v>-17.737581518569147</v>
      </c>
      <c r="I25" s="1704">
        <f t="shared" ref="I25:N25" ca="1" si="18">+I$6*I27</f>
        <v>-35.982918155267548</v>
      </c>
      <c r="J25" s="1704">
        <f t="shared" ca="1" si="18"/>
        <v>-54.722117108818345</v>
      </c>
      <c r="K25" s="1704">
        <f t="shared" ca="1" si="18"/>
        <v>-73.987843416321468</v>
      </c>
      <c r="L25" s="1704">
        <f t="shared" ca="1" si="18"/>
        <v>-93.863220710917361</v>
      </c>
      <c r="M25" s="1704">
        <f t="shared" ca="1" si="18"/>
        <v>-114.20198182910644</v>
      </c>
      <c r="N25" s="1704">
        <f t="shared" ca="1" si="18"/>
        <v>-134.95495125209999</v>
      </c>
      <c r="O25" s="1704">
        <f ca="1">+O$6*O27</f>
        <v>-156.07027249548227</v>
      </c>
      <c r="P25" s="1704">
        <f ca="1">+P$6*P27</f>
        <v>-177.49361409848635</v>
      </c>
    </row>
    <row r="26" spans="2:16" s="5" customFormat="1" hidden="1" outlineLevel="2">
      <c r="B26" s="3330" t="s">
        <v>1254</v>
      </c>
      <c r="C26" s="3328"/>
      <c r="D26" s="3326">
        <f t="shared" ref="D26:P26" si="19">+D25/C25-1</f>
        <v>-1.7890943270494453E-2</v>
      </c>
      <c r="E26" s="3326">
        <f t="shared" si="19"/>
        <v>-1.4660236858723641E-2</v>
      </c>
      <c r="F26" s="3326">
        <f t="shared" si="19"/>
        <v>-1.3798631500013592E-2</v>
      </c>
      <c r="G26" s="3326">
        <f t="shared" si="19"/>
        <v>-1</v>
      </c>
      <c r="H26" s="3326" t="e">
        <f t="shared" ca="1" si="19"/>
        <v>#DIV/0!</v>
      </c>
      <c r="I26" s="3326">
        <f t="shared" ca="1" si="19"/>
        <v>1.0286259498002979</v>
      </c>
      <c r="J26" s="3326">
        <f t="shared" ca="1" si="19"/>
        <v>0.52078041232482875</v>
      </c>
      <c r="K26" s="3326">
        <f t="shared" ca="1" si="19"/>
        <v>0.35206471031067799</v>
      </c>
      <c r="L26" s="3326">
        <f t="shared" ca="1" si="19"/>
        <v>0.26863030974912094</v>
      </c>
      <c r="M26" s="3326">
        <f t="shared" ca="1" si="19"/>
        <v>0.21668509735915609</v>
      </c>
      <c r="N26" s="3326">
        <f t="shared" ca="1" si="19"/>
        <v>0.18172162243251266</v>
      </c>
      <c r="O26" s="3326">
        <f t="shared" ca="1" si="19"/>
        <v>0.15646199748491041</v>
      </c>
      <c r="P26" s="3326">
        <f t="shared" ca="1" si="19"/>
        <v>0.13726727877420863</v>
      </c>
    </row>
    <row r="27" spans="2:16" s="5" customFormat="1" hidden="1" outlineLevel="2">
      <c r="B27" s="3330" t="s">
        <v>998</v>
      </c>
      <c r="C27" s="3326"/>
      <c r="D27" s="3326">
        <f ca="1">+D25/D$6</f>
        <v>1.1939900770175202</v>
      </c>
      <c r="E27" s="3326">
        <f ca="1">+E25/E$6</f>
        <v>1.1604952027937243</v>
      </c>
      <c r="F27" s="3326">
        <f ca="1">+F25/F$6</f>
        <v>1.1282740482038156</v>
      </c>
      <c r="G27" s="3326">
        <f ca="1">+G25/G$6</f>
        <v>0</v>
      </c>
      <c r="H27" s="3345">
        <f ca="1">+G27-0.2%</f>
        <v>-2E-3</v>
      </c>
      <c r="I27" s="3345">
        <f t="shared" ref="I27:P27" ca="1" si="20">+H27-0.2%</f>
        <v>-4.0000000000000001E-3</v>
      </c>
      <c r="J27" s="3345">
        <f t="shared" ca="1" si="20"/>
        <v>-6.0000000000000001E-3</v>
      </c>
      <c r="K27" s="3345">
        <f t="shared" ca="1" si="20"/>
        <v>-8.0000000000000002E-3</v>
      </c>
      <c r="L27" s="3345">
        <f t="shared" ca="1" si="20"/>
        <v>-0.01</v>
      </c>
      <c r="M27" s="3345">
        <f t="shared" ca="1" si="20"/>
        <v>-1.2E-2</v>
      </c>
      <c r="N27" s="3345">
        <f t="shared" ca="1" si="20"/>
        <v>-1.4E-2</v>
      </c>
      <c r="O27" s="3345">
        <f t="shared" ca="1" si="20"/>
        <v>-1.6E-2</v>
      </c>
      <c r="P27" s="3345">
        <f t="shared" ca="1" si="20"/>
        <v>-1.8000000000000002E-2</v>
      </c>
    </row>
    <row r="28" spans="2:16" s="5" customFormat="1" hidden="1" outlineLevel="2">
      <c r="B28" s="3332" t="s">
        <v>1785</v>
      </c>
      <c r="C28" s="1704"/>
      <c r="D28" s="1704"/>
      <c r="E28" s="1704"/>
      <c r="F28" s="1704"/>
      <c r="G28" s="1704"/>
    </row>
    <row r="29" spans="2:16" s="5" customFormat="1" outlineLevel="1" collapsed="1">
      <c r="B29" s="3365" t="s">
        <v>159</v>
      </c>
      <c r="C29" s="1704">
        <f t="shared" ref="C29:P29" si="21">+C16+C25</f>
        <v>13805.822514850206</v>
      </c>
      <c r="D29" s="1704">
        <f t="shared" si="21"/>
        <v>14302.219596966626</v>
      </c>
      <c r="E29" s="1704">
        <f t="shared" si="21"/>
        <v>14091.971926682862</v>
      </c>
      <c r="F29" s="1704">
        <f t="shared" si="21"/>
        <v>13780.352438391245</v>
      </c>
      <c r="G29" s="1704">
        <f t="shared" si="21"/>
        <v>4020.3531726599836</v>
      </c>
      <c r="H29" s="1704">
        <f t="shared" ca="1" si="21"/>
        <v>2498.6820880624696</v>
      </c>
      <c r="I29" s="1704">
        <f t="shared" ca="1" si="21"/>
        <v>2437.8618403509472</v>
      </c>
      <c r="J29" s="1704">
        <f t="shared" ca="1" si="21"/>
        <v>2384.5065251709211</v>
      </c>
      <c r="K29" s="1704">
        <f t="shared" ca="1" si="21"/>
        <v>2337.834032085434</v>
      </c>
      <c r="L29" s="1704">
        <f t="shared" ca="1" si="21"/>
        <v>2297.0974997064345</v>
      </c>
      <c r="M29" s="1704">
        <f t="shared" ca="1" si="21"/>
        <v>2261.8554133545827</v>
      </c>
      <c r="N29" s="1704">
        <f t="shared" ca="1" si="21"/>
        <v>2231.6365386123971</v>
      </c>
      <c r="O29" s="1704">
        <f t="shared" ca="1" si="21"/>
        <v>2206.0321298761851</v>
      </c>
      <c r="P29" s="1704">
        <f t="shared" ca="1" si="21"/>
        <v>2184.6890523547795</v>
      </c>
    </row>
    <row r="30" spans="2:16" s="5" customFormat="1" outlineLevel="1">
      <c r="B30" s="3330" t="s">
        <v>1254</v>
      </c>
      <c r="C30" s="3328"/>
      <c r="D30" s="3326">
        <f t="shared" ref="D30:P30" si="22">+D29/C29-1</f>
        <v>3.5955632602293175E-2</v>
      </c>
      <c r="E30" s="3326">
        <f t="shared" si="22"/>
        <v>-1.4700352547261764E-2</v>
      </c>
      <c r="F30" s="3326">
        <f t="shared" si="22"/>
        <v>-2.2113263488807489E-2</v>
      </c>
      <c r="G30" s="3326">
        <f t="shared" si="22"/>
        <v>-0.7082546915520449</v>
      </c>
      <c r="H30" s="3326">
        <f t="shared" ca="1" si="22"/>
        <v>-0.37849189343500678</v>
      </c>
      <c r="I30" s="3326">
        <f t="shared" ca="1" si="22"/>
        <v>-2.4340930765899715E-2</v>
      </c>
      <c r="J30" s="3326">
        <f t="shared" ca="1" si="22"/>
        <v>-2.1886111139237219E-2</v>
      </c>
      <c r="K30" s="3326">
        <f t="shared" ca="1" si="22"/>
        <v>-1.95732293423444E-2</v>
      </c>
      <c r="L30" s="3326">
        <f t="shared" ca="1" si="22"/>
        <v>-1.7424903487550436E-2</v>
      </c>
      <c r="M30" s="3326">
        <f t="shared" ca="1" si="22"/>
        <v>-1.5342007187921225E-2</v>
      </c>
      <c r="N30" s="3326">
        <f t="shared" ca="1" si="22"/>
        <v>-1.3360215053431546E-2</v>
      </c>
      <c r="O30" s="3326">
        <f t="shared" ca="1" si="22"/>
        <v>-1.1473377628120618E-2</v>
      </c>
      <c r="P30" s="3326">
        <f t="shared" ca="1" si="22"/>
        <v>-9.674871563454257E-3</v>
      </c>
    </row>
    <row r="31" spans="2:16" s="5" customFormat="1" outlineLevel="1">
      <c r="B31" s="3330" t="s">
        <v>998</v>
      </c>
      <c r="C31" s="3326">
        <f>+C29/C$9</f>
        <v>0.52635049238194664</v>
      </c>
      <c r="D31" s="3326">
        <f ca="1">+D29/D$9</f>
        <v>0.60215098283646917</v>
      </c>
      <c r="E31" s="3326">
        <f t="shared" ref="E31:P31" ca="1" si="23">+E29/E$9</f>
        <v>0.5994107250201075</v>
      </c>
      <c r="F31" s="3326">
        <f t="shared" ca="1" si="23"/>
        <v>0.59180393832368672</v>
      </c>
      <c r="G31" s="3326">
        <f t="shared" ca="1" si="23"/>
        <v>0.17383581977997847</v>
      </c>
      <c r="H31" s="3326">
        <f t="shared" ca="1" si="23"/>
        <v>0.10850671635687391</v>
      </c>
      <c r="I31" s="3326">
        <f t="shared" ca="1" si="23"/>
        <v>0.10612777719129182</v>
      </c>
      <c r="J31" s="3326">
        <f t="shared" ca="1" si="23"/>
        <v>0.10387022370385356</v>
      </c>
      <c r="K31" s="3326">
        <f t="shared" ca="1" si="23"/>
        <v>0.10170383270883311</v>
      </c>
      <c r="L31" s="3326">
        <f t="shared" ca="1" si="23"/>
        <v>9.9596103419402643E-2</v>
      </c>
      <c r="M31" s="3326">
        <f t="shared" ca="1" si="23"/>
        <v>9.7624597426747159E-2</v>
      </c>
      <c r="N31" s="3326">
        <f t="shared" ca="1" si="23"/>
        <v>9.5786507096741469E-2</v>
      </c>
      <c r="O31" s="3326">
        <f t="shared" ca="1" si="23"/>
        <v>9.4078628077494245E-2</v>
      </c>
      <c r="P31" s="3326">
        <f t="shared" ca="1" si="23"/>
        <v>9.2497509069940656E-2</v>
      </c>
    </row>
    <row r="32" spans="2:16" s="5" customFormat="1" outlineLevel="1">
      <c r="B32" s="3365" t="s">
        <v>1844</v>
      </c>
      <c r="C32" s="1704">
        <f t="shared" ref="C32:P32" si="24">+C13+C19+C22</f>
        <v>32284.252534650477</v>
      </c>
      <c r="D32" s="1704">
        <f t="shared" si="24"/>
        <v>34721.512572589651</v>
      </c>
      <c r="E32" s="1704">
        <f t="shared" si="24"/>
        <v>34011.526607367952</v>
      </c>
      <c r="F32" s="1704">
        <f t="shared" si="24"/>
        <v>33641.679143273854</v>
      </c>
      <c r="G32" s="1704">
        <f t="shared" si="24"/>
        <v>9992.7853424496716</v>
      </c>
      <c r="H32" s="1704">
        <f t="shared" ca="1" si="24"/>
        <v>6217.6136632824055</v>
      </c>
      <c r="I32" s="1704">
        <f t="shared" ca="1" si="24"/>
        <v>6100.0403296694722</v>
      </c>
      <c r="J32" s="1704">
        <f t="shared" ca="1" si="24"/>
        <v>6000.3793086489904</v>
      </c>
      <c r="K32" s="1704">
        <f t="shared" ca="1" si="24"/>
        <v>5916.9750486583671</v>
      </c>
      <c r="L32" s="1704">
        <f t="shared" ca="1" si="24"/>
        <v>5848.2273104609694</v>
      </c>
      <c r="M32" s="1704">
        <f t="shared" ca="1" si="24"/>
        <v>5793.2711288218434</v>
      </c>
      <c r="N32" s="1704">
        <f t="shared" ca="1" si="24"/>
        <v>5751.1432500968094</v>
      </c>
      <c r="O32" s="1704">
        <f t="shared" ca="1" si="24"/>
        <v>5721.0162271327017</v>
      </c>
      <c r="P32" s="1704">
        <f t="shared" ca="1" si="24"/>
        <v>5702.1843394480602</v>
      </c>
    </row>
    <row r="33" spans="2:20" s="5" customFormat="1" outlineLevel="1">
      <c r="B33" s="3330" t="s">
        <v>1254</v>
      </c>
      <c r="C33" s="3328"/>
      <c r="D33" s="3326">
        <f t="shared" ref="D33:P33" si="25">+D32/C32-1</f>
        <v>7.5493773173880285E-2</v>
      </c>
      <c r="E33" s="3326">
        <f t="shared" si="25"/>
        <v>-2.044801371303695E-2</v>
      </c>
      <c r="F33" s="3326">
        <f t="shared" si="25"/>
        <v>-1.0874180049712301E-2</v>
      </c>
      <c r="G33" s="3326">
        <f t="shared" si="25"/>
        <v>-0.7029641326792222</v>
      </c>
      <c r="H33" s="3326">
        <f t="shared" ca="1" si="25"/>
        <v>-0.37778973026971929</v>
      </c>
      <c r="I33" s="3326">
        <f t="shared" ca="1" si="25"/>
        <v>-1.8909720027677657E-2</v>
      </c>
      <c r="J33" s="3326">
        <f t="shared" ca="1" si="25"/>
        <v>-1.6337764282598033E-2</v>
      </c>
      <c r="K33" s="3326">
        <f t="shared" ca="1" si="25"/>
        <v>-1.3899831277400021E-2</v>
      </c>
      <c r="L33" s="3326">
        <f t="shared" ca="1" si="25"/>
        <v>-1.1618730454674764E-2</v>
      </c>
      <c r="M33" s="3326">
        <f t="shared" ca="1" si="25"/>
        <v>-9.3970666189434615E-3</v>
      </c>
      <c r="N33" s="3326">
        <f t="shared" ca="1" si="25"/>
        <v>-7.2718638206739072E-3</v>
      </c>
      <c r="O33" s="3326">
        <f t="shared" ca="1" si="25"/>
        <v>-5.2384407158699853E-3</v>
      </c>
      <c r="P33" s="3326">
        <f t="shared" ca="1" si="25"/>
        <v>-3.2917032458898987E-3</v>
      </c>
    </row>
    <row r="34" spans="2:20" s="5" customFormat="1" outlineLevel="1">
      <c r="B34" s="3330" t="s">
        <v>998</v>
      </c>
      <c r="C34" s="3326">
        <f>+C32/C$9</f>
        <v>1.2308453335191063</v>
      </c>
      <c r="D34" s="3326">
        <f ca="1">+D32/D$9</f>
        <v>1.4618425328602838</v>
      </c>
      <c r="E34" s="3326">
        <f t="shared" ref="E34:P34" ca="1" si="26">+E32/E$9</f>
        <v>1.4467012799082413</v>
      </c>
      <c r="F34" s="3326">
        <f t="shared" ca="1" si="26"/>
        <v>1.4447582743490093</v>
      </c>
      <c r="G34" s="3326">
        <f t="shared" ca="1" si="26"/>
        <v>0.43207747112942635</v>
      </c>
      <c r="H34" s="3326">
        <f t="shared" ca="1" si="26"/>
        <v>0.27000347319156059</v>
      </c>
      <c r="I34" s="3326">
        <f t="shared" ca="1" si="26"/>
        <v>0.26555390065577328</v>
      </c>
      <c r="J34" s="3326">
        <f t="shared" ca="1" si="26"/>
        <v>0.26137933971586408</v>
      </c>
      <c r="K34" s="3326">
        <f t="shared" ca="1" si="26"/>
        <v>0.25740879473564732</v>
      </c>
      <c r="L34" s="3326">
        <f t="shared" ca="1" si="26"/>
        <v>0.25356374821150746</v>
      </c>
      <c r="M34" s="3326">
        <f t="shared" ca="1" si="26"/>
        <v>0.25004505522147091</v>
      </c>
      <c r="N34" s="3326">
        <f t="shared" ca="1" si="26"/>
        <v>0.24685109524255508</v>
      </c>
      <c r="O34" s="3326">
        <f t="shared" ca="1" si="26"/>
        <v>0.24397892966678369</v>
      </c>
      <c r="P34" s="3326">
        <f t="shared" ca="1" si="26"/>
        <v>0.24142467647195312</v>
      </c>
    </row>
    <row r="35" spans="2:20" s="5" customFormat="1" outlineLevel="2">
      <c r="B35" s="3332" t="s">
        <v>1780</v>
      </c>
      <c r="C35" s="3325">
        <f>(-203)/3*4</f>
        <v>-270.66666666666669</v>
      </c>
      <c r="D35" s="3325">
        <f t="shared" ref="D35:P35" si="27">(-203)/3*4</f>
        <v>-270.66666666666669</v>
      </c>
      <c r="E35" s="3325">
        <f t="shared" si="27"/>
        <v>-270.66666666666669</v>
      </c>
      <c r="F35" s="3325">
        <f t="shared" si="27"/>
        <v>-270.66666666666669</v>
      </c>
      <c r="G35" s="3325">
        <f t="shared" si="27"/>
        <v>-270.66666666666669</v>
      </c>
      <c r="H35" s="3325">
        <f t="shared" si="27"/>
        <v>-270.66666666666669</v>
      </c>
      <c r="I35" s="3325">
        <f t="shared" si="27"/>
        <v>-270.66666666666669</v>
      </c>
      <c r="J35" s="3325">
        <f t="shared" si="27"/>
        <v>-270.66666666666669</v>
      </c>
      <c r="K35" s="3325">
        <f t="shared" si="27"/>
        <v>-270.66666666666669</v>
      </c>
      <c r="L35" s="3325">
        <f t="shared" si="27"/>
        <v>-270.66666666666669</v>
      </c>
      <c r="M35" s="3325">
        <f t="shared" si="27"/>
        <v>-270.66666666666669</v>
      </c>
      <c r="N35" s="3325">
        <f t="shared" si="27"/>
        <v>-270.66666666666669</v>
      </c>
      <c r="O35" s="3325">
        <f t="shared" si="27"/>
        <v>-270.66666666666669</v>
      </c>
      <c r="P35" s="3325">
        <f t="shared" si="27"/>
        <v>-270.66666666666669</v>
      </c>
    </row>
    <row r="36" spans="2:20" s="3334" customFormat="1">
      <c r="B36" s="427" t="s">
        <v>1776</v>
      </c>
      <c r="C36" s="3333">
        <f t="shared" ref="C36:P36" si="28">+C29+C32+C35</f>
        <v>45819.408382834015</v>
      </c>
      <c r="D36" s="3333">
        <f t="shared" si="28"/>
        <v>48753.065502889614</v>
      </c>
      <c r="E36" s="3333">
        <f t="shared" si="28"/>
        <v>47832.83186738415</v>
      </c>
      <c r="F36" s="3333">
        <f t="shared" si="28"/>
        <v>47151.364914998434</v>
      </c>
      <c r="G36" s="3333">
        <f t="shared" si="28"/>
        <v>13742.471848442989</v>
      </c>
      <c r="H36" s="3333">
        <f t="shared" ca="1" si="28"/>
        <v>8445.6290846782085</v>
      </c>
      <c r="I36" s="3333">
        <f t="shared" ca="1" si="28"/>
        <v>8267.2355033537533</v>
      </c>
      <c r="J36" s="3333">
        <f t="shared" ca="1" si="28"/>
        <v>8114.2191671532446</v>
      </c>
      <c r="K36" s="3333">
        <f t="shared" ca="1" si="28"/>
        <v>7984.1424140771351</v>
      </c>
      <c r="L36" s="3333">
        <f t="shared" ca="1" si="28"/>
        <v>7874.6581435007365</v>
      </c>
      <c r="M36" s="3333">
        <f t="shared" ca="1" si="28"/>
        <v>7784.4598755097586</v>
      </c>
      <c r="N36" s="3333">
        <f t="shared" ca="1" si="28"/>
        <v>7712.1131220425395</v>
      </c>
      <c r="O36" s="3333">
        <f t="shared" ca="1" si="28"/>
        <v>7656.3816903422203</v>
      </c>
      <c r="P36" s="3333">
        <f t="shared" ca="1" si="28"/>
        <v>7616.2067251361723</v>
      </c>
    </row>
    <row r="37" spans="2:20" s="5" customFormat="1">
      <c r="B37" s="3330" t="s">
        <v>1254</v>
      </c>
      <c r="C37" s="3328"/>
      <c r="D37" s="3326">
        <f t="shared" ref="D37:P37" si="29">+D36/C36-1</f>
        <v>6.4026516788345811E-2</v>
      </c>
      <c r="E37" s="3326">
        <f t="shared" si="29"/>
        <v>-1.887540046996472E-2</v>
      </c>
      <c r="F37" s="3326">
        <f t="shared" si="29"/>
        <v>-1.4246845227041449E-2</v>
      </c>
      <c r="G37" s="3326">
        <f t="shared" si="29"/>
        <v>-0.7085456195548725</v>
      </c>
      <c r="H37" s="3326">
        <f t="shared" ca="1" si="29"/>
        <v>-0.38543595520371454</v>
      </c>
      <c r="I37" s="3326">
        <f t="shared" ca="1" si="29"/>
        <v>-2.1122592471896628E-2</v>
      </c>
      <c r="J37" s="3326">
        <f t="shared" ca="1" si="29"/>
        <v>-1.8508767064689846E-2</v>
      </c>
      <c r="K37" s="3326">
        <f t="shared" ca="1" si="29"/>
        <v>-1.603071723803895E-2</v>
      </c>
      <c r="L37" s="3326">
        <f t="shared" ca="1" si="29"/>
        <v>-1.3712715141874554E-2</v>
      </c>
      <c r="M37" s="3326">
        <f t="shared" ca="1" si="29"/>
        <v>-1.1454245549112785E-2</v>
      </c>
      <c r="N37" s="3326">
        <f t="shared" ca="1" si="29"/>
        <v>-9.2937409433921925E-3</v>
      </c>
      <c r="O37" s="3326">
        <f t="shared" ca="1" si="29"/>
        <v>-7.226480060442797E-3</v>
      </c>
      <c r="P37" s="3326">
        <f t="shared" ca="1" si="29"/>
        <v>-5.2472521395745542E-3</v>
      </c>
    </row>
    <row r="38" spans="2:20" s="5" customFormat="1">
      <c r="B38" s="3330" t="s">
        <v>998</v>
      </c>
      <c r="C38" s="3326"/>
      <c r="D38" s="3326">
        <f ca="1">+D36/D$9</f>
        <v>2.052597927882609</v>
      </c>
      <c r="E38" s="3326">
        <f ca="1">+E36/E$9</f>
        <v>2.0345990311763757</v>
      </c>
      <c r="F38" s="3326">
        <f ca="1">+F36/F$9</f>
        <v>2.024938301018592</v>
      </c>
      <c r="G38" s="3326">
        <f ca="1">+G36/G$9</f>
        <v>0.59420995046481806</v>
      </c>
      <c r="H38" s="3344">
        <f ca="1">+G38-0.2%</f>
        <v>0.59220995046481806</v>
      </c>
      <c r="I38" s="3344">
        <f t="shared" ref="I38:N38" ca="1" si="30">+H38-0.2%</f>
        <v>0.59020995046481806</v>
      </c>
      <c r="J38" s="3344">
        <f t="shared" ca="1" si="30"/>
        <v>0.58820995046481805</v>
      </c>
      <c r="K38" s="3344">
        <f t="shared" ca="1" si="30"/>
        <v>0.58620995046481805</v>
      </c>
      <c r="L38" s="3344">
        <f t="shared" ca="1" si="30"/>
        <v>0.58420995046481805</v>
      </c>
      <c r="M38" s="3344">
        <f t="shared" ca="1" si="30"/>
        <v>0.58220995046481805</v>
      </c>
      <c r="N38" s="3344">
        <f t="shared" ca="1" si="30"/>
        <v>0.58020995046481805</v>
      </c>
      <c r="O38" s="3344">
        <f ca="1">+N38-0.2%</f>
        <v>0.57820995046481805</v>
      </c>
      <c r="P38" s="3344">
        <f ca="1">+O38-0.2%</f>
        <v>0.57620995046481804</v>
      </c>
    </row>
    <row r="39" spans="2:20" s="3334" customFormat="1" hidden="1" outlineLevel="1">
      <c r="B39" s="427" t="s">
        <v>1778</v>
      </c>
      <c r="C39" s="493">
        <f t="shared" ref="C39:P39" si="31">+C9-C36</f>
        <v>-19590.075049500683</v>
      </c>
      <c r="D39" s="493">
        <f t="shared" ca="1" si="31"/>
        <v>-25001.182661820181</v>
      </c>
      <c r="E39" s="493">
        <f t="shared" ca="1" si="31"/>
        <v>-24323.122517071573</v>
      </c>
      <c r="F39" s="493">
        <f t="shared" ca="1" si="31"/>
        <v>-23866.03079332165</v>
      </c>
      <c r="G39" s="493">
        <f t="shared" ca="1" si="31"/>
        <v>9384.8282543119403</v>
      </c>
      <c r="H39" s="493">
        <f t="shared" ca="1" si="31"/>
        <v>14582.273444824315</v>
      </c>
      <c r="I39" s="493">
        <f t="shared" ca="1" si="31"/>
        <v>14703.770814405842</v>
      </c>
      <c r="J39" s="493">
        <f t="shared" ca="1" si="31"/>
        <v>14842.374552808644</v>
      </c>
      <c r="K39" s="493">
        <f t="shared" ca="1" si="31"/>
        <v>15002.54323796113</v>
      </c>
      <c r="L39" s="493">
        <f t="shared" ca="1" si="31"/>
        <v>15189.472086908754</v>
      </c>
      <c r="M39" s="493">
        <f t="shared" ca="1" si="31"/>
        <v>15384.449118473764</v>
      </c>
      <c r="N39" s="493">
        <f t="shared" ca="1" si="31"/>
        <v>15585.912938752348</v>
      </c>
      <c r="O39" s="493">
        <f t="shared" ca="1" si="31"/>
        <v>15792.431020436652</v>
      </c>
      <c r="P39" s="493">
        <f t="shared" ca="1" si="31"/>
        <v>16002.689332949656</v>
      </c>
      <c r="S39" s="3616">
        <f ca="1">+(F39/C39)^0.33333-1</f>
        <v>6.8024166728567037E-2</v>
      </c>
      <c r="T39" s="3616"/>
    </row>
    <row r="40" spans="2:20" s="5" customFormat="1" hidden="1" outlineLevel="1">
      <c r="B40" s="3330" t="s">
        <v>1254</v>
      </c>
      <c r="C40" s="3328"/>
      <c r="D40" s="3326">
        <f t="shared" ref="D40:P40" ca="1" si="32">+D39/C39-1</f>
        <v>0.27621678827909424</v>
      </c>
      <c r="E40" s="3326">
        <f t="shared" ca="1" si="32"/>
        <v>-2.7121122785286778E-2</v>
      </c>
      <c r="F40" s="3326">
        <f t="shared" ca="1" si="32"/>
        <v>-1.8792477134837671E-2</v>
      </c>
      <c r="G40" s="3326">
        <f t="shared" ca="1" si="32"/>
        <v>-1.3932295376463717</v>
      </c>
      <c r="H40" s="3326">
        <f t="shared" ca="1" si="32"/>
        <v>0.55381356479532418</v>
      </c>
      <c r="I40" s="3326">
        <f t="shared" ca="1" si="32"/>
        <v>8.3318537429188932E-3</v>
      </c>
      <c r="J40" s="3326">
        <f t="shared" ca="1" si="32"/>
        <v>9.426407698561734E-3</v>
      </c>
      <c r="K40" s="3326">
        <f t="shared" ca="1" si="32"/>
        <v>1.0791311362114753E-2</v>
      </c>
      <c r="L40" s="3326">
        <f t="shared" ca="1" si="32"/>
        <v>1.2459810712268871E-2</v>
      </c>
      <c r="M40" s="3326">
        <f t="shared" ca="1" si="32"/>
        <v>1.2836327059256636E-2</v>
      </c>
      <c r="N40" s="3326">
        <f t="shared" ca="1" si="32"/>
        <v>1.3095289842823599E-2</v>
      </c>
      <c r="O40" s="3326">
        <f t="shared" ca="1" si="32"/>
        <v>1.3250303815750319E-2</v>
      </c>
      <c r="P40" s="3326">
        <f t="shared" ca="1" si="32"/>
        <v>1.3313866132510732E-2</v>
      </c>
    </row>
    <row r="41" spans="2:20" s="5" customFormat="1" hidden="1" outlineLevel="1">
      <c r="B41" s="3330" t="s">
        <v>1003</v>
      </c>
      <c r="C41" s="3326"/>
      <c r="D41" s="3326">
        <f t="shared" ref="D41:P41" ca="1" si="33">+D39/D$9</f>
        <v>-1.052597927882609</v>
      </c>
      <c r="E41" s="3326">
        <f t="shared" ca="1" si="33"/>
        <v>-1.0345990311763757</v>
      </c>
      <c r="F41" s="3326">
        <f t="shared" ca="1" si="33"/>
        <v>-1.024938301018592</v>
      </c>
      <c r="G41" s="3326">
        <f t="shared" ca="1" si="33"/>
        <v>0.40579004953518188</v>
      </c>
      <c r="H41" s="3326">
        <f t="shared" ca="1" si="33"/>
        <v>0.63324366716169778</v>
      </c>
      <c r="I41" s="3326">
        <f t="shared" ca="1" si="33"/>
        <v>0.64010129164597818</v>
      </c>
      <c r="J41" s="3326">
        <f t="shared" ca="1" si="33"/>
        <v>0.64654080365165267</v>
      </c>
      <c r="K41" s="3326">
        <f t="shared" ca="1" si="33"/>
        <v>0.65266230482561249</v>
      </c>
      <c r="L41" s="3326">
        <f t="shared" ca="1" si="33"/>
        <v>0.65857554285232955</v>
      </c>
      <c r="M41" s="3326">
        <f t="shared" ca="1" si="33"/>
        <v>0.66401266984426333</v>
      </c>
      <c r="N41" s="3326">
        <f t="shared" ca="1" si="33"/>
        <v>0.66897997701958889</v>
      </c>
      <c r="O41" s="3326">
        <f t="shared" ca="1" si="33"/>
        <v>0.67348531523633348</v>
      </c>
      <c r="P41" s="3326">
        <f t="shared" ca="1" si="33"/>
        <v>0.67753756541348609</v>
      </c>
    </row>
    <row r="42" spans="2:20" s="5" customFormat="1" collapsed="1">
      <c r="B42" s="2655" t="s">
        <v>1763</v>
      </c>
      <c r="C42" s="1698">
        <f t="shared" ref="C42:P42" si="34">850*C43</f>
        <v>212.5</v>
      </c>
      <c r="D42" s="1698">
        <f t="shared" si="34"/>
        <v>467.50000000000006</v>
      </c>
      <c r="E42" s="1698">
        <f t="shared" si="34"/>
        <v>680</v>
      </c>
      <c r="F42" s="1698">
        <f t="shared" si="34"/>
        <v>850</v>
      </c>
      <c r="G42" s="1698">
        <f t="shared" si="34"/>
        <v>935.00000000000011</v>
      </c>
      <c r="H42" s="1698">
        <f t="shared" si="34"/>
        <v>1020</v>
      </c>
      <c r="I42" s="1698">
        <f t="shared" si="34"/>
        <v>1020</v>
      </c>
      <c r="J42" s="1698">
        <f t="shared" si="34"/>
        <v>1020</v>
      </c>
      <c r="K42" s="1698">
        <f t="shared" si="34"/>
        <v>1020</v>
      </c>
      <c r="L42" s="1698">
        <f t="shared" si="34"/>
        <v>1020</v>
      </c>
      <c r="M42" s="1698">
        <f t="shared" si="34"/>
        <v>1020</v>
      </c>
      <c r="N42" s="1698">
        <f t="shared" si="34"/>
        <v>1020</v>
      </c>
      <c r="O42" s="1698">
        <f t="shared" si="34"/>
        <v>1020</v>
      </c>
      <c r="P42" s="1698">
        <f t="shared" si="34"/>
        <v>1020</v>
      </c>
    </row>
    <row r="43" spans="2:20" s="5" customFormat="1">
      <c r="B43" s="3330" t="s">
        <v>211</v>
      </c>
      <c r="C43" s="3335">
        <v>0.25</v>
      </c>
      <c r="D43" s="3335">
        <v>0.55000000000000004</v>
      </c>
      <c r="E43" s="3335">
        <v>0.8</v>
      </c>
      <c r="F43" s="3335">
        <v>1</v>
      </c>
      <c r="G43" s="3335">
        <v>1.1000000000000001</v>
      </c>
      <c r="H43" s="3335">
        <v>1.2</v>
      </c>
      <c r="I43" s="3335">
        <f t="shared" ref="I43:P43" si="35">+H43</f>
        <v>1.2</v>
      </c>
      <c r="J43" s="3335">
        <f t="shared" si="35"/>
        <v>1.2</v>
      </c>
      <c r="K43" s="3335">
        <f t="shared" si="35"/>
        <v>1.2</v>
      </c>
      <c r="L43" s="3335">
        <f t="shared" si="35"/>
        <v>1.2</v>
      </c>
      <c r="M43" s="3335">
        <f t="shared" si="35"/>
        <v>1.2</v>
      </c>
      <c r="N43" s="3335">
        <f t="shared" si="35"/>
        <v>1.2</v>
      </c>
      <c r="O43" s="3335">
        <f t="shared" si="35"/>
        <v>1.2</v>
      </c>
      <c r="P43" s="3335">
        <f t="shared" si="35"/>
        <v>1.2</v>
      </c>
    </row>
    <row r="44" spans="2:20" s="3334" customFormat="1">
      <c r="B44" s="427" t="s">
        <v>1802</v>
      </c>
      <c r="C44" s="3333">
        <f>+C36-C42</f>
        <v>45606.908382834015</v>
      </c>
      <c r="D44" s="3333">
        <f t="shared" ref="D44:P44" si="36">+D36-D42</f>
        <v>48285.565502889614</v>
      </c>
      <c r="E44" s="3333">
        <f t="shared" si="36"/>
        <v>47152.83186738415</v>
      </c>
      <c r="F44" s="3333">
        <f t="shared" si="36"/>
        <v>46301.364914998434</v>
      </c>
      <c r="G44" s="3333">
        <f t="shared" si="36"/>
        <v>12807.471848442989</v>
      </c>
      <c r="H44" s="3333">
        <f t="shared" ca="1" si="36"/>
        <v>7425.6290846782085</v>
      </c>
      <c r="I44" s="3333">
        <f t="shared" ca="1" si="36"/>
        <v>7247.2355033537533</v>
      </c>
      <c r="J44" s="3333">
        <f t="shared" ca="1" si="36"/>
        <v>7094.2191671532446</v>
      </c>
      <c r="K44" s="3333">
        <f t="shared" ca="1" si="36"/>
        <v>6964.1424140771351</v>
      </c>
      <c r="L44" s="3333">
        <f t="shared" ca="1" si="36"/>
        <v>6854.6581435007365</v>
      </c>
      <c r="M44" s="3333">
        <f t="shared" ca="1" si="36"/>
        <v>6764.4598755097586</v>
      </c>
      <c r="N44" s="3333">
        <f t="shared" ca="1" si="36"/>
        <v>6692.1131220425395</v>
      </c>
      <c r="O44" s="3333">
        <f t="shared" ca="1" si="36"/>
        <v>6636.3816903422203</v>
      </c>
      <c r="P44" s="3333">
        <f t="shared" ca="1" si="36"/>
        <v>6596.2067251361723</v>
      </c>
    </row>
    <row r="45" spans="2:20" s="5" customFormat="1">
      <c r="B45" s="3330" t="s">
        <v>1254</v>
      </c>
      <c r="C45" s="3328"/>
      <c r="D45" s="3326">
        <f t="shared" ref="D45:P45" si="37">+D44/C44-1</f>
        <v>5.8733582587321864E-2</v>
      </c>
      <c r="E45" s="3326">
        <f t="shared" si="37"/>
        <v>-2.3459052901382615E-2</v>
      </c>
      <c r="F45" s="3326">
        <f t="shared" si="37"/>
        <v>-1.8057599483747633E-2</v>
      </c>
      <c r="G45" s="3326">
        <f t="shared" si="37"/>
        <v>-0.72338889205630619</v>
      </c>
      <c r="H45" s="3326">
        <f t="shared" ca="1" si="37"/>
        <v>-0.4202111726225698</v>
      </c>
      <c r="I45" s="3326">
        <f t="shared" ca="1" si="37"/>
        <v>-2.402403611736359E-2</v>
      </c>
      <c r="J45" s="3326">
        <f t="shared" ca="1" si="37"/>
        <v>-2.1113752427349475E-2</v>
      </c>
      <c r="K45" s="3326">
        <f t="shared" ca="1" si="37"/>
        <v>-1.8335598324671798E-2</v>
      </c>
      <c r="L45" s="3326">
        <f t="shared" ca="1" si="37"/>
        <v>-1.5721141824309948E-2</v>
      </c>
      <c r="M45" s="3326">
        <f t="shared" ca="1" si="37"/>
        <v>-1.3158682184099768E-2</v>
      </c>
      <c r="N45" s="3326">
        <f t="shared" ca="1" si="37"/>
        <v>-1.0695126410483313E-2</v>
      </c>
      <c r="O45" s="3326">
        <f t="shared" ca="1" si="37"/>
        <v>-8.3279273204081017E-3</v>
      </c>
      <c r="P45" s="3326">
        <f t="shared" ca="1" si="37"/>
        <v>-6.0537454113758216E-3</v>
      </c>
    </row>
    <row r="46" spans="2:20" s="5" customFormat="1">
      <c r="B46" s="3330" t="s">
        <v>998</v>
      </c>
      <c r="C46" s="3326"/>
      <c r="D46" s="3326">
        <f ca="1">+D44/D$9</f>
        <v>2.0329152777479575</v>
      </c>
      <c r="E46" s="3326">
        <f ca="1">+E44/E$9</f>
        <v>2.0056748114054086</v>
      </c>
      <c r="F46" s="3326">
        <f ca="1">+F44/F$9</f>
        <v>1.9884346375728217</v>
      </c>
      <c r="G46" s="3326">
        <f ca="1">+G44/G$9</f>
        <v>0.55378153919995876</v>
      </c>
      <c r="H46" s="3326">
        <f t="shared" ref="H46:P46" ca="1" si="38">+H44/H$9</f>
        <v>0.32246224228041431</v>
      </c>
      <c r="I46" s="3326">
        <f t="shared" ca="1" si="38"/>
        <v>0.31549490706250388</v>
      </c>
      <c r="J46" s="3326">
        <f t="shared" ca="1" si="38"/>
        <v>0.30902751748333079</v>
      </c>
      <c r="K46" s="3326">
        <f t="shared" ca="1" si="38"/>
        <v>0.30296418193980107</v>
      </c>
      <c r="L46" s="3326">
        <f t="shared" ca="1" si="38"/>
        <v>0.29719994099161989</v>
      </c>
      <c r="M46" s="3326">
        <f t="shared" ca="1" si="38"/>
        <v>0.29196281435894744</v>
      </c>
      <c r="N46" s="3326">
        <f t="shared" ca="1" si="38"/>
        <v>0.2872394899284535</v>
      </c>
      <c r="O46" s="3326">
        <f t="shared" ca="1" si="38"/>
        <v>0.28301568067417038</v>
      </c>
      <c r="P46" s="3326">
        <f t="shared" ca="1" si="38"/>
        <v>0.27927667359702818</v>
      </c>
    </row>
    <row r="47" spans="2:20" s="5" customFormat="1">
      <c r="B47" s="427" t="s">
        <v>1779</v>
      </c>
      <c r="C47" s="493">
        <f t="shared" ref="C47:P47" si="39">+C9-C44</f>
        <v>-19377.575049500683</v>
      </c>
      <c r="D47" s="493">
        <f t="shared" ca="1" si="39"/>
        <v>-24533.682661820181</v>
      </c>
      <c r="E47" s="493">
        <f t="shared" ca="1" si="39"/>
        <v>-23643.122517071573</v>
      </c>
      <c r="F47" s="493">
        <f t="shared" ca="1" si="39"/>
        <v>-23016.03079332165</v>
      </c>
      <c r="G47" s="493">
        <f t="shared" ca="1" si="39"/>
        <v>10319.82825431194</v>
      </c>
      <c r="H47" s="493">
        <f t="shared" ca="1" si="39"/>
        <v>15602.273444824315</v>
      </c>
      <c r="I47" s="493">
        <f t="shared" ca="1" si="39"/>
        <v>15723.770814405842</v>
      </c>
      <c r="J47" s="493">
        <f t="shared" ca="1" si="39"/>
        <v>15862.374552808644</v>
      </c>
      <c r="K47" s="493">
        <f t="shared" ca="1" si="39"/>
        <v>16022.54323796113</v>
      </c>
      <c r="L47" s="493">
        <f t="shared" ca="1" si="39"/>
        <v>16209.472086908754</v>
      </c>
      <c r="M47" s="493">
        <f t="shared" ca="1" si="39"/>
        <v>16404.449118473764</v>
      </c>
      <c r="N47" s="493">
        <f t="shared" ca="1" si="39"/>
        <v>16605.91293875235</v>
      </c>
      <c r="O47" s="493">
        <f t="shared" ca="1" si="39"/>
        <v>16812.431020436652</v>
      </c>
      <c r="P47" s="493">
        <f t="shared" ca="1" si="39"/>
        <v>17022.689332949656</v>
      </c>
      <c r="S47" s="3616">
        <f ca="1">+(F47/C47)^0.33333-1</f>
        <v>5.9034443252334201E-2</v>
      </c>
      <c r="T47" s="3616"/>
    </row>
    <row r="48" spans="2:20" s="5" customFormat="1">
      <c r="B48" s="3330" t="s">
        <v>1254</v>
      </c>
      <c r="C48" s="3328"/>
      <c r="D48" s="3326">
        <f t="shared" ref="D48:P48" ca="1" si="40">+D47/C47-1</f>
        <v>0.26608631880656075</v>
      </c>
      <c r="E48" s="3326">
        <f t="shared" ca="1" si="40"/>
        <v>-3.6299489034090859E-2</v>
      </c>
      <c r="F48" s="3326">
        <f t="shared" ca="1" si="40"/>
        <v>-2.6523219312386992E-2</v>
      </c>
      <c r="G48" s="3326">
        <f t="shared" ca="1" si="40"/>
        <v>-1.4483756711563989</v>
      </c>
      <c r="H48" s="3326">
        <f t="shared" ca="1" si="40"/>
        <v>0.51187336265070194</v>
      </c>
      <c r="I48" s="3326">
        <f t="shared" ca="1" si="40"/>
        <v>7.7871580709816257E-3</v>
      </c>
      <c r="J48" s="3326">
        <f t="shared" ca="1" si="40"/>
        <v>8.8149172382883112E-3</v>
      </c>
      <c r="K48" s="3326">
        <f t="shared" ca="1" si="40"/>
        <v>1.0097396491254074E-2</v>
      </c>
      <c r="L48" s="3326">
        <f t="shared" ca="1" si="40"/>
        <v>1.1666615353843834E-2</v>
      </c>
      <c r="M48" s="3326">
        <f t="shared" ca="1" si="40"/>
        <v>1.2028586157502241E-2</v>
      </c>
      <c r="N48" s="3326">
        <f t="shared" ca="1" si="40"/>
        <v>1.2281047587980876E-2</v>
      </c>
      <c r="O48" s="3326">
        <f t="shared" ca="1" si="40"/>
        <v>1.2436418427942186E-2</v>
      </c>
      <c r="P48" s="3326">
        <f t="shared" ca="1" si="40"/>
        <v>1.2506121943782089E-2</v>
      </c>
    </row>
    <row r="49" spans="2:21" s="5" customFormat="1">
      <c r="B49" s="3330" t="s">
        <v>1003</v>
      </c>
      <c r="C49" s="3326">
        <f t="shared" ref="C49:P49" si="41">+C47/C$9</f>
        <v>-0.73877497392870639</v>
      </c>
      <c r="D49" s="3326">
        <f t="shared" ca="1" si="41"/>
        <v>-1.0329152777479575</v>
      </c>
      <c r="E49" s="3326">
        <f t="shared" ca="1" si="41"/>
        <v>-1.0056748114054086</v>
      </c>
      <c r="F49" s="3326">
        <f t="shared" ca="1" si="41"/>
        <v>-0.98843463757282168</v>
      </c>
      <c r="G49" s="3326">
        <f t="shared" ca="1" si="41"/>
        <v>0.44621846080004124</v>
      </c>
      <c r="H49" s="3326">
        <f t="shared" ca="1" si="41"/>
        <v>0.67753775771958569</v>
      </c>
      <c r="I49" s="3326">
        <f t="shared" ca="1" si="41"/>
        <v>0.68450509293749606</v>
      </c>
      <c r="J49" s="3326">
        <f t="shared" ca="1" si="41"/>
        <v>0.69097248251666921</v>
      </c>
      <c r="K49" s="3326">
        <f t="shared" ca="1" si="41"/>
        <v>0.69703581806019899</v>
      </c>
      <c r="L49" s="3326">
        <f t="shared" ca="1" si="41"/>
        <v>0.70280005900838016</v>
      </c>
      <c r="M49" s="3326">
        <f t="shared" ca="1" si="41"/>
        <v>0.70803718564105256</v>
      </c>
      <c r="N49" s="3326">
        <f t="shared" ca="1" si="41"/>
        <v>0.71276051007154662</v>
      </c>
      <c r="O49" s="3326">
        <f t="shared" ca="1" si="41"/>
        <v>0.71698431932582962</v>
      </c>
      <c r="P49" s="3326">
        <f t="shared" ca="1" si="41"/>
        <v>0.72072332640297176</v>
      </c>
    </row>
    <row r="50" spans="2:21" s="5" customFormat="1" outlineLevel="1">
      <c r="B50" s="3336" t="s">
        <v>1781</v>
      </c>
      <c r="C50" s="1710">
        <f>IS!R47</f>
        <v>4040</v>
      </c>
      <c r="D50" s="1710">
        <f>IS!S47</f>
        <v>5454.5163035963596</v>
      </c>
      <c r="E50" s="1710">
        <f>IS!T47</f>
        <v>5345.4259775244327</v>
      </c>
      <c r="F50" s="1710">
        <f>IS!U47</f>
        <v>5238.5174579739441</v>
      </c>
      <c r="G50" s="1710">
        <f>IS!V47</f>
        <v>5146.8434024594007</v>
      </c>
    </row>
    <row r="51" spans="2:21" s="5" customFormat="1" outlineLevel="1">
      <c r="B51" s="3336" t="s">
        <v>1782</v>
      </c>
      <c r="C51" s="1710">
        <f>IS!U67</f>
        <v>0</v>
      </c>
      <c r="D51" s="1710">
        <f>IS!V67</f>
        <v>0</v>
      </c>
      <c r="E51" s="1710">
        <f>IS!W67</f>
        <v>0</v>
      </c>
      <c r="F51" s="1710">
        <f>IS!X67</f>
        <v>0</v>
      </c>
      <c r="G51" s="1710">
        <f>IS!Y67</f>
        <v>0</v>
      </c>
    </row>
    <row r="52" spans="2:21" s="5" customFormat="1" outlineLevel="1">
      <c r="B52" s="3336" t="s">
        <v>1783</v>
      </c>
      <c r="C52" s="1710">
        <f>+(852)/3*4</f>
        <v>1136</v>
      </c>
      <c r="D52" s="1710">
        <f>+C52*95%</f>
        <v>1079.2</v>
      </c>
      <c r="E52" s="1710">
        <f>+D52*95%</f>
        <v>1025.24</v>
      </c>
      <c r="F52" s="1710">
        <f>+E52*95%</f>
        <v>973.97799999999995</v>
      </c>
      <c r="G52" s="1710">
        <f>+F52*95%</f>
        <v>925.27909999999986</v>
      </c>
    </row>
    <row r="53" spans="2:21" s="5" customFormat="1">
      <c r="B53" s="3336" t="s">
        <v>1791</v>
      </c>
      <c r="C53" s="1710">
        <f>SUM(C50:C52)</f>
        <v>5176</v>
      </c>
      <c r="D53" s="1710">
        <f>SUM(D50:D52)</f>
        <v>6533.7163035963595</v>
      </c>
      <c r="E53" s="1710">
        <f>SUM(E50:E52)</f>
        <v>6370.6659775244325</v>
      </c>
      <c r="F53" s="1710">
        <f>SUM(F50:F52)</f>
        <v>6212.4954579739442</v>
      </c>
      <c r="G53" s="1710">
        <f>SUM(G50:G52)</f>
        <v>6072.1225024594005</v>
      </c>
      <c r="H53" s="1710">
        <f>+G53*98%</f>
        <v>5950.6800524102127</v>
      </c>
      <c r="I53" s="1710">
        <f>+H53*98%</f>
        <v>5831.666451362008</v>
      </c>
      <c r="J53" s="1710">
        <f>+I53*98%</f>
        <v>5715.0331223347675</v>
      </c>
      <c r="K53" s="1710">
        <f>+J53*98%</f>
        <v>5600.7324598880723</v>
      </c>
      <c r="L53" s="1710">
        <f>+K93</f>
        <v>3569.4207088184826</v>
      </c>
      <c r="M53" s="1710">
        <f>+L93</f>
        <v>3551.6317088184824</v>
      </c>
      <c r="N53" s="1710">
        <f ca="1">+M93</f>
        <v>3551.5562325546639</v>
      </c>
      <c r="O53" s="1710">
        <f ca="1">+N93</f>
        <v>3551.4632244539216</v>
      </c>
      <c r="P53" s="1710">
        <f ca="1">+O93</f>
        <v>3551.354606900265</v>
      </c>
    </row>
    <row r="54" spans="2:21" s="5" customFormat="1">
      <c r="B54" s="427" t="s">
        <v>1784</v>
      </c>
      <c r="C54" s="493">
        <f t="shared" ref="C54:P54" si="42">+C47-C53</f>
        <v>-24553.575049500683</v>
      </c>
      <c r="D54" s="493">
        <f t="shared" ca="1" si="42"/>
        <v>-31067.398965416542</v>
      </c>
      <c r="E54" s="493">
        <f t="shared" ca="1" si="42"/>
        <v>-30013.788494596007</v>
      </c>
      <c r="F54" s="493">
        <f t="shared" ca="1" si="42"/>
        <v>-29228.526251295596</v>
      </c>
      <c r="G54" s="493">
        <f t="shared" ca="1" si="42"/>
        <v>4247.7057518525398</v>
      </c>
      <c r="H54" s="493">
        <f t="shared" ca="1" si="42"/>
        <v>9651.5933924141027</v>
      </c>
      <c r="I54" s="493">
        <f t="shared" ca="1" si="42"/>
        <v>9892.1043630438326</v>
      </c>
      <c r="J54" s="493">
        <f t="shared" ca="1" si="42"/>
        <v>10147.341430473876</v>
      </c>
      <c r="K54" s="493">
        <f t="shared" ca="1" si="42"/>
        <v>10421.810778073057</v>
      </c>
      <c r="L54" s="493">
        <f t="shared" ca="1" si="42"/>
        <v>12640.051378090271</v>
      </c>
      <c r="M54" s="493">
        <f t="shared" ca="1" si="42"/>
        <v>12852.817409655281</v>
      </c>
      <c r="N54" s="493">
        <f t="shared" ca="1" si="42"/>
        <v>13054.356706197686</v>
      </c>
      <c r="O54" s="493">
        <f t="shared" ca="1" si="42"/>
        <v>13260.967795982731</v>
      </c>
      <c r="P54" s="493">
        <f t="shared" ca="1" si="42"/>
        <v>13471.33472604939</v>
      </c>
      <c r="S54" s="3616">
        <f ca="1">+(F54/C54)^0.33333-1</f>
        <v>5.9816008705074086E-2</v>
      </c>
    </row>
    <row r="55" spans="2:21" s="5" customFormat="1">
      <c r="B55" s="3336" t="s">
        <v>865</v>
      </c>
      <c r="C55" s="3367">
        <f>+(1693)/3*4-75</f>
        <v>2182.3333333333335</v>
      </c>
      <c r="D55" s="1710">
        <f>(AVERAGE(C131:D131)+AVERAGE(C125:D125))*D153</f>
        <v>2578.0700000000002</v>
      </c>
      <c r="E55" s="1710">
        <f>(AVERAGE(D131:E131)+AVERAGE(D125:E125))*E153</f>
        <v>2481.8200000000002</v>
      </c>
      <c r="F55" s="1710">
        <f t="shared" ref="F55:P55" si="43">(AVERAGE(E131:F131)+AVERAGE(E125:F125))*F153</f>
        <v>2399.3200000000002</v>
      </c>
      <c r="G55" s="1710">
        <f t="shared" si="43"/>
        <v>2330.5700000000002</v>
      </c>
      <c r="H55" s="1710">
        <f t="shared" si="43"/>
        <v>2261.8200000000002</v>
      </c>
      <c r="I55" s="1710">
        <f t="shared" si="43"/>
        <v>2199.9450000000002</v>
      </c>
      <c r="J55" s="1710">
        <f t="shared" ca="1" si="43"/>
        <v>2181.8982715073921</v>
      </c>
      <c r="K55" s="1710">
        <f t="shared" ca="1" si="43"/>
        <v>2202.2756211469928</v>
      </c>
      <c r="L55" s="1710">
        <f t="shared" ca="1" si="43"/>
        <v>2225.948916450609</v>
      </c>
      <c r="M55" s="1710">
        <f t="shared" ca="1" si="43"/>
        <v>2251.9962656805674</v>
      </c>
      <c r="N55" s="1710">
        <f t="shared" ca="1" si="43"/>
        <v>2279.0349520268774</v>
      </c>
      <c r="O55" s="1710">
        <f t="shared" ca="1" si="43"/>
        <v>2306.8607793371707</v>
      </c>
      <c r="P55" s="1710">
        <f t="shared" ca="1" si="43"/>
        <v>2335.2864225241474</v>
      </c>
    </row>
    <row r="56" spans="2:21" s="5" customFormat="1">
      <c r="B56" s="3336" t="s">
        <v>895</v>
      </c>
      <c r="C56" s="3367"/>
      <c r="D56" s="1710">
        <f>1%*C109</f>
        <v>22.772739976656268</v>
      </c>
      <c r="E56" s="1710">
        <f t="shared" ref="E56:P56" ca="1" si="44">1%*D109</f>
        <v>-328.37609066910608</v>
      </c>
      <c r="F56" s="1710">
        <f t="shared" ca="1" si="44"/>
        <v>-671.57606495942105</v>
      </c>
      <c r="G56" s="1710">
        <f t="shared" ca="1" si="44"/>
        <v>-1003.0797093791862</v>
      </c>
      <c r="H56" s="1710">
        <f t="shared" ca="1" si="44"/>
        <v>-1016.0862580325803</v>
      </c>
      <c r="I56" s="1710">
        <f t="shared" ca="1" si="44"/>
        <v>-981.41640648874284</v>
      </c>
      <c r="J56" s="1710">
        <f t="shared" ca="1" si="44"/>
        <v>-579.7754752078265</v>
      </c>
      <c r="K56" s="1710">
        <f t="shared" ca="1" si="44"/>
        <v>-536.36296648955181</v>
      </c>
      <c r="L56" s="1710">
        <f t="shared" ca="1" si="44"/>
        <v>-491.23342100722192</v>
      </c>
      <c r="M56" s="1710">
        <f t="shared" ca="1" si="44"/>
        <v>-450.66753790875293</v>
      </c>
      <c r="N56" s="1710">
        <f t="shared" ca="1" si="44"/>
        <v>-410.61958986748039</v>
      </c>
      <c r="O56" s="1710">
        <f t="shared" ca="1" si="44"/>
        <v>-368.55131983325845</v>
      </c>
      <c r="P56" s="1710">
        <f t="shared" ca="1" si="44"/>
        <v>-324.47362511157672</v>
      </c>
    </row>
    <row r="57" spans="2:21" s="5" customFormat="1">
      <c r="B57" s="467" t="s">
        <v>1786</v>
      </c>
      <c r="C57" s="1710">
        <f>+C54-C55</f>
        <v>-26735.908382834015</v>
      </c>
      <c r="D57" s="1904">
        <f ca="1">+D54-D55+D56</f>
        <v>-33622.696225439882</v>
      </c>
      <c r="E57" s="1904">
        <f t="shared" ref="E57:P57" ca="1" si="45">+E54-E55+E56</f>
        <v>-32823.984585265112</v>
      </c>
      <c r="F57" s="1904">
        <f t="shared" ca="1" si="45"/>
        <v>-32299.422316255015</v>
      </c>
      <c r="G57" s="1904">
        <f t="shared" ca="1" si="45"/>
        <v>914.0560424733535</v>
      </c>
      <c r="H57" s="1904">
        <f t="shared" ca="1" si="45"/>
        <v>6373.6871343815228</v>
      </c>
      <c r="I57" s="1904">
        <f t="shared" ca="1" si="45"/>
        <v>6710.7429565550901</v>
      </c>
      <c r="J57" s="1904">
        <f t="shared" ca="1" si="45"/>
        <v>7385.6676837586574</v>
      </c>
      <c r="K57" s="1904">
        <f t="shared" ca="1" si="45"/>
        <v>7683.1721904365122</v>
      </c>
      <c r="L57" s="1904">
        <f t="shared" ca="1" si="45"/>
        <v>9922.8690406324404</v>
      </c>
      <c r="M57" s="1904">
        <f t="shared" ca="1" si="45"/>
        <v>10150.15360606596</v>
      </c>
      <c r="N57" s="1904">
        <f t="shared" ca="1" si="45"/>
        <v>10364.702164303329</v>
      </c>
      <c r="O57" s="1904">
        <f t="shared" ca="1" si="45"/>
        <v>10585.555696812302</v>
      </c>
      <c r="P57" s="1904">
        <f t="shared" ca="1" si="45"/>
        <v>10811.574678413666</v>
      </c>
      <c r="S57" s="3364"/>
    </row>
    <row r="58" spans="2:21">
      <c r="B58" s="3337" t="s">
        <v>1787</v>
      </c>
      <c r="C58" s="425">
        <f t="shared" ref="C58:P58" si="46">+C57*C60</f>
        <v>-9357.5679339919043</v>
      </c>
      <c r="D58" s="425">
        <f t="shared" ca="1" si="46"/>
        <v>-11767.943678903957</v>
      </c>
      <c r="E58" s="425">
        <f t="shared" ca="1" si="46"/>
        <v>-11488.394604842788</v>
      </c>
      <c r="F58" s="425">
        <f t="shared" ca="1" si="46"/>
        <v>-11304.797810689255</v>
      </c>
      <c r="G58" s="425">
        <f t="shared" ca="1" si="46"/>
        <v>319.91961486567368</v>
      </c>
      <c r="H58" s="425">
        <f t="shared" ca="1" si="46"/>
        <v>2230.790497033533</v>
      </c>
      <c r="I58" s="425">
        <f t="shared" ca="1" si="46"/>
        <v>2348.7600347942812</v>
      </c>
      <c r="J58" s="425">
        <f t="shared" ca="1" si="46"/>
        <v>2584.9836893155298</v>
      </c>
      <c r="K58" s="425">
        <f t="shared" ca="1" si="46"/>
        <v>2689.110266652779</v>
      </c>
      <c r="L58" s="425">
        <f t="shared" ca="1" si="46"/>
        <v>3473.0041642213541</v>
      </c>
      <c r="M58" s="425">
        <f t="shared" ca="1" si="46"/>
        <v>3552.553762123086</v>
      </c>
      <c r="N58" s="425">
        <f t="shared" ca="1" si="46"/>
        <v>3627.645757506165</v>
      </c>
      <c r="O58" s="425">
        <f t="shared" ca="1" si="46"/>
        <v>3704.9444938843053</v>
      </c>
      <c r="P58" s="425">
        <f t="shared" ca="1" si="46"/>
        <v>3784.0511374447829</v>
      </c>
    </row>
    <row r="59" spans="2:21" s="3146" customFormat="1">
      <c r="B59" s="3337" t="s">
        <v>1788</v>
      </c>
      <c r="C59" s="425"/>
      <c r="D59" s="425"/>
      <c r="E59" s="425"/>
      <c r="F59" s="425"/>
      <c r="G59" s="425"/>
      <c r="H59" s="425"/>
      <c r="I59" s="425"/>
      <c r="J59" s="425"/>
      <c r="K59" s="425"/>
      <c r="L59" s="425"/>
      <c r="M59" s="425"/>
      <c r="N59" s="425"/>
      <c r="O59" s="425"/>
      <c r="P59" s="425"/>
    </row>
    <row r="60" spans="2:21" s="3146" customFormat="1">
      <c r="B60" s="3337" t="s">
        <v>1789</v>
      </c>
      <c r="C60" s="3338">
        <v>0.35</v>
      </c>
      <c r="D60" s="3338">
        <v>0.35</v>
      </c>
      <c r="E60" s="3338">
        <v>0.35</v>
      </c>
      <c r="F60" s="3338">
        <v>0.35</v>
      </c>
      <c r="G60" s="3338">
        <v>0.35</v>
      </c>
      <c r="H60" s="3338">
        <v>0.35</v>
      </c>
      <c r="I60" s="3338">
        <v>0.35</v>
      </c>
      <c r="J60" s="3338">
        <v>0.35</v>
      </c>
      <c r="K60" s="3338">
        <v>0.35</v>
      </c>
      <c r="L60" s="3338">
        <v>0.35</v>
      </c>
      <c r="M60" s="3338">
        <v>0.35</v>
      </c>
      <c r="N60" s="3338">
        <v>0.35</v>
      </c>
      <c r="O60" s="3338">
        <v>0.35</v>
      </c>
      <c r="P60" s="3338">
        <v>0.35</v>
      </c>
    </row>
    <row r="61" spans="2:21" s="4" customFormat="1">
      <c r="B61" s="427" t="s">
        <v>1827</v>
      </c>
      <c r="C61" s="493">
        <f t="shared" ref="C61:P61" si="47">+C57-C58</f>
        <v>-17378.340448842111</v>
      </c>
      <c r="D61" s="493">
        <f t="shared" ca="1" si="47"/>
        <v>-21854.752546535925</v>
      </c>
      <c r="E61" s="493">
        <f t="shared" ca="1" si="47"/>
        <v>-21335.589980422323</v>
      </c>
      <c r="F61" s="493">
        <f t="shared" ca="1" si="47"/>
        <v>-20994.62450556576</v>
      </c>
      <c r="G61" s="493">
        <f t="shared" ca="1" si="47"/>
        <v>594.13642760767982</v>
      </c>
      <c r="H61" s="493">
        <f t="shared" ca="1" si="47"/>
        <v>4142.8966373479898</v>
      </c>
      <c r="I61" s="493">
        <f t="shared" ca="1" si="47"/>
        <v>4361.9829217608094</v>
      </c>
      <c r="J61" s="493">
        <f t="shared" ca="1" si="47"/>
        <v>4800.6839944431276</v>
      </c>
      <c r="K61" s="493">
        <f t="shared" ca="1" si="47"/>
        <v>4994.0619237837327</v>
      </c>
      <c r="L61" s="493">
        <f t="shared" ca="1" si="47"/>
        <v>6449.8648764110858</v>
      </c>
      <c r="M61" s="493">
        <f t="shared" ca="1" si="47"/>
        <v>6597.599843942874</v>
      </c>
      <c r="N61" s="493">
        <f t="shared" ca="1" si="47"/>
        <v>6737.0564067971645</v>
      </c>
      <c r="O61" s="493">
        <f t="shared" ca="1" si="47"/>
        <v>6880.6112029279966</v>
      </c>
      <c r="P61" s="493">
        <f t="shared" ca="1" si="47"/>
        <v>7027.523540968883</v>
      </c>
      <c r="S61" s="3616"/>
    </row>
    <row r="62" spans="2:21" s="5" customFormat="1">
      <c r="B62" s="3330" t="s">
        <v>1254</v>
      </c>
      <c r="C62" s="3328"/>
      <c r="D62" s="3326">
        <f t="shared" ref="D62:P62" ca="1" si="48">+D61/C61-1</f>
        <v>0.25758570623422616</v>
      </c>
      <c r="E62" s="3326">
        <f t="shared" ca="1" si="48"/>
        <v>-2.3755133580585563E-2</v>
      </c>
      <c r="F62" s="3326">
        <f t="shared" ca="1" si="48"/>
        <v>-1.5981066151413481E-2</v>
      </c>
      <c r="G62" s="3326">
        <f t="shared" ca="1" si="48"/>
        <v>-1.0282994548175974</v>
      </c>
      <c r="H62" s="3326">
        <f t="shared" ca="1" si="48"/>
        <v>5.9729719384983202</v>
      </c>
      <c r="I62" s="3326">
        <f t="shared" ca="1" si="48"/>
        <v>5.2882392101644138E-2</v>
      </c>
      <c r="J62" s="3326">
        <f t="shared" ca="1" si="48"/>
        <v>0.1005737712758461</v>
      </c>
      <c r="K62" s="3326">
        <f t="shared" ca="1" si="48"/>
        <v>4.0281328569937713E-2</v>
      </c>
      <c r="L62" s="3326">
        <f t="shared" ca="1" si="48"/>
        <v>0.29150678843092304</v>
      </c>
      <c r="M62" s="3326">
        <f t="shared" ca="1" si="48"/>
        <v>2.290512597745975E-2</v>
      </c>
      <c r="N62" s="3326">
        <f t="shared" ca="1" si="48"/>
        <v>2.1137469102846973E-2</v>
      </c>
      <c r="O62" s="3326">
        <f t="shared" ca="1" si="48"/>
        <v>2.130823722746289E-2</v>
      </c>
      <c r="P62" s="3326">
        <f t="shared" ca="1" si="48"/>
        <v>2.1351640676684269E-2</v>
      </c>
    </row>
    <row r="63" spans="2:21" s="5" customFormat="1">
      <c r="B63" s="3330" t="s">
        <v>1003</v>
      </c>
      <c r="C63" s="3326"/>
      <c r="D63" s="3326">
        <f t="shared" ref="D63:P63" ca="1" si="49">+D61/D$9</f>
        <v>-0.92012716182427545</v>
      </c>
      <c r="E63" s="3326">
        <f t="shared" ca="1" si="49"/>
        <v>-0.90752249049555578</v>
      </c>
      <c r="F63" s="3326">
        <f t="shared" ca="1" si="49"/>
        <v>-0.90162436131940416</v>
      </c>
      <c r="G63" s="3326">
        <f t="shared" ca="1" si="49"/>
        <v>2.5689830847869102E-2</v>
      </c>
      <c r="H63" s="3326">
        <f t="shared" ca="1" si="49"/>
        <v>0.17990768512417746</v>
      </c>
      <c r="I63" s="3326">
        <f t="shared" ca="1" si="49"/>
        <v>0.18989080675966841</v>
      </c>
      <c r="J63" s="3326">
        <f t="shared" ca="1" si="49"/>
        <v>0.20912004860149161</v>
      </c>
      <c r="K63" s="3326">
        <f t="shared" ca="1" si="49"/>
        <v>0.21725889496996281</v>
      </c>
      <c r="L63" s="3326">
        <f t="shared" ca="1" si="49"/>
        <v>0.27964917003057405</v>
      </c>
      <c r="M63" s="3326">
        <f t="shared" ca="1" si="49"/>
        <v>0.28476092014760523</v>
      </c>
      <c r="N63" s="3326">
        <f t="shared" ca="1" si="49"/>
        <v>0.28916854969675093</v>
      </c>
      <c r="O63" s="3326">
        <f t="shared" ca="1" si="49"/>
        <v>0.29343111260235111</v>
      </c>
      <c r="P63" s="3326">
        <f t="shared" ca="1" si="49"/>
        <v>0.29753818822379041</v>
      </c>
      <c r="T63" s="3136">
        <f ca="1">+P97*12.5</f>
        <v>93.246944320779662</v>
      </c>
      <c r="U63" s="3339" t="s">
        <v>1854</v>
      </c>
    </row>
    <row r="64" spans="2:21">
      <c r="B64" t="s">
        <v>1790</v>
      </c>
      <c r="C64" s="74">
        <f>IS!$CH$121+IS!$CU$81*1.4286</f>
        <v>1069.861684</v>
      </c>
      <c r="D64" s="74">
        <f>+C64+D65</f>
        <v>1073.361684</v>
      </c>
      <c r="E64" s="74">
        <f ca="1">+D64+E65</f>
        <v>1076.8438410520678</v>
      </c>
      <c r="F64" s="74">
        <f ca="1">+E64+F65+F66</f>
        <v>1080.309381357134</v>
      </c>
      <c r="G64" s="74">
        <f ca="1">+F64+G65+G66</f>
        <v>1083.7631616148831</v>
      </c>
      <c r="H64" s="74">
        <f t="shared" ref="H64:P64" ca="1" si="50">+G64+H65+H66</f>
        <v>1087.2095199648727</v>
      </c>
      <c r="I64" s="74">
        <f t="shared" ca="1" si="50"/>
        <v>1090.6516207683019</v>
      </c>
      <c r="J64" s="74">
        <f t="shared" ca="1" si="50"/>
        <v>1073.7212422300825</v>
      </c>
      <c r="K64" s="74">
        <f t="shared" ca="1" si="50"/>
        <v>1057.8192500428579</v>
      </c>
      <c r="L64" s="74">
        <f t="shared" ca="1" si="50"/>
        <v>1042.8975018955127</v>
      </c>
      <c r="M64" s="74">
        <f t="shared" ca="1" si="50"/>
        <v>1023.0937930134038</v>
      </c>
      <c r="N64" s="74">
        <f t="shared" ca="1" si="50"/>
        <v>1004.4713810374949</v>
      </c>
      <c r="O64" s="74">
        <f t="shared" ca="1" si="50"/>
        <v>986.972833297943</v>
      </c>
      <c r="P64" s="74">
        <f t="shared" ca="1" si="50"/>
        <v>965.56357239424733</v>
      </c>
      <c r="T64" s="293">
        <f ca="1">+T63/D67</f>
        <v>5.5936979196628469</v>
      </c>
      <c r="U64" s="3339" t="s">
        <v>1851</v>
      </c>
    </row>
    <row r="65" spans="2:28" s="3339" customFormat="1">
      <c r="B65" s="3368" t="s">
        <v>1847</v>
      </c>
      <c r="D65" s="3372">
        <v>3.5</v>
      </c>
      <c r="E65" s="3114">
        <f ca="1">+D65*(1+E10/2)</f>
        <v>3.4821570520678176</v>
      </c>
      <c r="F65" s="3114">
        <f t="shared" ref="F65:P65" ca="1" si="51">+E65*(1+F10/2)</f>
        <v>3.4655403050663693</v>
      </c>
      <c r="G65" s="3114">
        <f t="shared" ca="1" si="51"/>
        <v>3.4537802577489578</v>
      </c>
      <c r="H65" s="3114">
        <f t="shared" ca="1" si="51"/>
        <v>3.4463583499896857</v>
      </c>
      <c r="I65" s="3114">
        <f t="shared" ca="1" si="51"/>
        <v>3.4421008034291205</v>
      </c>
      <c r="J65" s="3114">
        <f t="shared" ca="1" si="51"/>
        <v>3.4410209723200098</v>
      </c>
      <c r="K65" s="3114">
        <f t="shared" ca="1" si="51"/>
        <v>3.4432762496193239</v>
      </c>
      <c r="L65" s="3114">
        <f t="shared" ca="1" si="51"/>
        <v>3.4490766307922351</v>
      </c>
      <c r="M65" s="3114">
        <f t="shared" ca="1" si="51"/>
        <v>3.4569110902155091</v>
      </c>
      <c r="N65" s="3114">
        <f t="shared" ca="1" si="51"/>
        <v>3.4665435295399556</v>
      </c>
      <c r="O65" s="3114">
        <f t="shared" ca="1" si="51"/>
        <v>3.4777614001973025</v>
      </c>
      <c r="P65" s="3114">
        <f t="shared" ca="1" si="51"/>
        <v>3.4903741773851338</v>
      </c>
      <c r="T65" s="3455">
        <f ca="1">+T64^(1/12)</f>
        <v>1.1542722391188651</v>
      </c>
    </row>
    <row r="66" spans="2:28" s="3339" customFormat="1">
      <c r="B66" s="3368" t="s">
        <v>1848</v>
      </c>
      <c r="D66" s="3114"/>
      <c r="E66" s="3114">
        <f t="shared" ref="E66:P66" si="52">+E170/E67</f>
        <v>0</v>
      </c>
      <c r="F66" s="3114">
        <f t="shared" si="52"/>
        <v>0</v>
      </c>
      <c r="G66" s="3114">
        <f t="shared" si="52"/>
        <v>0</v>
      </c>
      <c r="H66" s="3114">
        <f t="shared" si="52"/>
        <v>0</v>
      </c>
      <c r="I66" s="3114">
        <f t="shared" si="52"/>
        <v>0</v>
      </c>
      <c r="J66" s="3114">
        <f t="shared" si="52"/>
        <v>-20.371399510539568</v>
      </c>
      <c r="K66" s="3114">
        <f t="shared" si="52"/>
        <v>-19.345268436844052</v>
      </c>
      <c r="L66" s="3114">
        <f t="shared" si="52"/>
        <v>-18.370824778137312</v>
      </c>
      <c r="M66" s="3114">
        <f t="shared" si="52"/>
        <v>-23.260619972324417</v>
      </c>
      <c r="N66" s="3114">
        <f t="shared" si="52"/>
        <v>-22.08895550544889</v>
      </c>
      <c r="O66" s="3114">
        <f t="shared" si="52"/>
        <v>-20.976309139749176</v>
      </c>
      <c r="P66" s="3114">
        <f t="shared" si="52"/>
        <v>-24.899635081080707</v>
      </c>
    </row>
    <row r="67" spans="2:28" s="3339" customFormat="1" outlineLevel="1">
      <c r="B67" s="3339" t="s">
        <v>1846</v>
      </c>
      <c r="D67" s="3612">
        <v>16.670000000000002</v>
      </c>
      <c r="E67" s="3454">
        <v>28.432160999999997</v>
      </c>
      <c r="F67" s="3454">
        <v>29.940288115922996</v>
      </c>
      <c r="G67" s="3454">
        <v>31.5284108184559</v>
      </c>
      <c r="H67" s="3454">
        <v>33.200772313499257</v>
      </c>
      <c r="I67" s="3454">
        <v>34.9618408793242</v>
      </c>
      <c r="J67" s="3454">
        <v>36.81632180508619</v>
      </c>
      <c r="K67" s="3454">
        <v>38.769169962593374</v>
      </c>
      <c r="L67" s="3454">
        <v>40.825603044919212</v>
      </c>
      <c r="M67" s="3454">
        <v>42.991115507230859</v>
      </c>
      <c r="N67" s="3454">
        <v>45.271493247080905</v>
      </c>
      <c r="O67" s="3454">
        <v>47.672829063385812</v>
      </c>
      <c r="P67" s="3454">
        <v>50.201538935394986</v>
      </c>
    </row>
    <row r="68" spans="2:28">
      <c r="B68" s="285" t="s">
        <v>764</v>
      </c>
      <c r="C68" s="3469">
        <f t="shared" ref="C68:P68" si="53">+C61/C64</f>
        <v>-16.243539430132646</v>
      </c>
      <c r="D68" s="3469">
        <f t="shared" ca="1" si="53"/>
        <v>-20.361032886036881</v>
      </c>
      <c r="E68" s="3469">
        <f t="shared" ca="1" si="53"/>
        <v>-19.813077037778868</v>
      </c>
      <c r="F68" s="3469">
        <f t="shared" ca="1" si="53"/>
        <v>-19.433900017781344</v>
      </c>
      <c r="G68" s="3469">
        <f t="shared" ca="1" si="53"/>
        <v>0.54821611275509208</v>
      </c>
      <c r="H68" s="3469">
        <f t="shared" ca="1" si="53"/>
        <v>3.8105779624536815</v>
      </c>
      <c r="I68" s="3469">
        <f t="shared" ca="1" si="53"/>
        <v>3.9994282671931858</v>
      </c>
      <c r="J68" s="3469">
        <f t="shared" ca="1" si="53"/>
        <v>4.471071080304112</v>
      </c>
      <c r="K68" s="3469">
        <f t="shared" ca="1" si="53"/>
        <v>4.7210919290619797</v>
      </c>
      <c r="L68" s="3469">
        <f t="shared" ca="1" si="53"/>
        <v>6.1845625909431838</v>
      </c>
      <c r="M68" s="3469">
        <f t="shared" ca="1" si="53"/>
        <v>6.448675467486134</v>
      </c>
      <c r="N68" s="3469">
        <f t="shared" ca="1" si="53"/>
        <v>6.7070665565788614</v>
      </c>
      <c r="O68" s="3469">
        <f t="shared" ca="1" si="53"/>
        <v>6.9714291729151459</v>
      </c>
      <c r="P68" s="3469">
        <f t="shared" ca="1" si="53"/>
        <v>7.278157277146625</v>
      </c>
    </row>
    <row r="69" spans="2:28" s="5" customFormat="1">
      <c r="B69" s="3330" t="s">
        <v>1254</v>
      </c>
      <c r="C69" s="3328"/>
      <c r="D69" s="3326">
        <f t="shared" ref="D69:P69" ca="1" si="54">+D68/C68-1</f>
        <v>0.25348499159401561</v>
      </c>
      <c r="E69" s="3326">
        <f t="shared" ca="1" si="54"/>
        <v>-2.6911986799735943E-2</v>
      </c>
      <c r="F69" s="3326">
        <f t="shared" ca="1" si="54"/>
        <v>-1.9137714918007087E-2</v>
      </c>
      <c r="G69" s="3326">
        <f t="shared" ca="1" si="54"/>
        <v>-1.0282092689708959</v>
      </c>
      <c r="H69" s="3326">
        <f t="shared" ca="1" si="54"/>
        <v>5.9508682320616213</v>
      </c>
      <c r="I69" s="3326">
        <f t="shared" ca="1" si="54"/>
        <v>4.9559491132389999E-2</v>
      </c>
      <c r="J69" s="3326">
        <f t="shared" ca="1" si="54"/>
        <v>0.11792755904131447</v>
      </c>
      <c r="K69" s="3326">
        <f t="shared" ca="1" si="54"/>
        <v>5.5919676575766131E-2</v>
      </c>
      <c r="L69" s="3326">
        <f t="shared" ca="1" si="54"/>
        <v>0.30998563126305756</v>
      </c>
      <c r="M69" s="3326">
        <f t="shared" ca="1" si="54"/>
        <v>4.2705182890334648E-2</v>
      </c>
      <c r="N69" s="3326">
        <f t="shared" ca="1" si="54"/>
        <v>4.006886226412254E-2</v>
      </c>
      <c r="O69" s="3326">
        <f t="shared" ca="1" si="54"/>
        <v>3.9415534959463816E-2</v>
      </c>
      <c r="P69" s="3326">
        <f t="shared" ca="1" si="54"/>
        <v>4.3997880007611068E-2</v>
      </c>
      <c r="R69" s="3344"/>
      <c r="S69" s="3343"/>
    </row>
    <row r="70" spans="2:28" s="3339" customFormat="1">
      <c r="D70" s="3114"/>
      <c r="E70" s="3114"/>
      <c r="F70" s="3114"/>
      <c r="G70" s="3114"/>
      <c r="H70" s="3114"/>
      <c r="I70" s="3114"/>
      <c r="J70" s="3114"/>
      <c r="K70" s="3114"/>
      <c r="L70" s="3114"/>
      <c r="M70" s="3114"/>
      <c r="N70" s="3114"/>
      <c r="O70" s="3114"/>
      <c r="P70" s="3114"/>
    </row>
    <row r="71" spans="2:28" s="3146" customFormat="1">
      <c r="B71" s="3146" t="s">
        <v>1828</v>
      </c>
      <c r="C71" s="74"/>
      <c r="D71" s="74">
        <f t="shared" ref="D71:K71" si="55">SUM(D72:D75)</f>
        <v>172.25</v>
      </c>
      <c r="E71" s="74">
        <f t="shared" si="55"/>
        <v>172.25</v>
      </c>
      <c r="F71" s="74">
        <f t="shared" si="55"/>
        <v>0</v>
      </c>
      <c r="G71" s="74">
        <f t="shared" si="55"/>
        <v>0</v>
      </c>
      <c r="H71" s="74">
        <f t="shared" si="55"/>
        <v>0</v>
      </c>
      <c r="I71" s="74">
        <f t="shared" si="55"/>
        <v>0</v>
      </c>
      <c r="J71" s="74">
        <f t="shared" si="55"/>
        <v>0</v>
      </c>
      <c r="K71" s="74">
        <f t="shared" si="55"/>
        <v>0</v>
      </c>
      <c r="L71" s="74"/>
      <c r="M71" s="74"/>
      <c r="N71" s="74"/>
      <c r="O71" s="74"/>
      <c r="P71" s="74"/>
      <c r="R71" s="293"/>
    </row>
    <row r="72" spans="2:28" s="3146" customFormat="1" hidden="1" outlineLevel="1">
      <c r="B72" s="3331" t="s">
        <v>1829</v>
      </c>
      <c r="C72" s="74"/>
      <c r="D72" s="74">
        <f>530*50%*(1-D60)</f>
        <v>172.25</v>
      </c>
      <c r="E72" s="74">
        <f>530*50%*(1-E60)</f>
        <v>172.25</v>
      </c>
      <c r="F72" s="74"/>
      <c r="G72" s="74"/>
      <c r="H72" s="74"/>
      <c r="I72" s="74"/>
      <c r="J72" s="74"/>
      <c r="K72" s="74"/>
      <c r="L72" s="74"/>
      <c r="M72" s="74"/>
      <c r="N72" s="74"/>
      <c r="O72" s="74"/>
      <c r="P72" s="74"/>
    </row>
    <row r="73" spans="2:28" s="3146" customFormat="1" hidden="1" outlineLevel="1">
      <c r="B73" s="3331" t="s">
        <v>1830</v>
      </c>
      <c r="C73" s="74"/>
      <c r="D73" s="74">
        <f>CFS!S129*35%</f>
        <v>0</v>
      </c>
      <c r="E73" s="74">
        <f>CFS!T129*35%</f>
        <v>0</v>
      </c>
      <c r="F73" s="74">
        <f>CFS!U129*35%</f>
        <v>0</v>
      </c>
      <c r="G73" s="74">
        <f>CFS!V129*35%</f>
        <v>0</v>
      </c>
      <c r="H73" s="74">
        <f>+G73*60%</f>
        <v>0</v>
      </c>
      <c r="I73" s="74">
        <f>+H73*60%</f>
        <v>0</v>
      </c>
      <c r="J73" s="74">
        <f>+I73*60%</f>
        <v>0</v>
      </c>
      <c r="K73" s="74">
        <f>+J73*60%</f>
        <v>0</v>
      </c>
      <c r="L73" s="74"/>
      <c r="M73" s="74"/>
      <c r="N73" s="74"/>
      <c r="O73" s="74"/>
      <c r="P73" s="74"/>
    </row>
    <row r="74" spans="2:28" s="3146" customFormat="1" hidden="1" outlineLevel="1">
      <c r="C74" s="74"/>
      <c r="D74" s="74"/>
      <c r="E74" s="74"/>
      <c r="F74" s="74"/>
      <c r="G74" s="74"/>
      <c r="H74" s="74"/>
      <c r="I74" s="74"/>
      <c r="J74" s="74"/>
      <c r="K74" s="74"/>
      <c r="L74" s="74"/>
      <c r="M74" s="74"/>
      <c r="N74" s="74"/>
      <c r="O74" s="74"/>
      <c r="P74" s="74"/>
    </row>
    <row r="75" spans="2:28" s="3146" customFormat="1" hidden="1" outlineLevel="1">
      <c r="C75" s="74"/>
    </row>
    <row r="76" spans="2:28" collapsed="1">
      <c r="B76" s="3146" t="s">
        <v>1831</v>
      </c>
      <c r="C76" s="3146"/>
      <c r="D76" s="74">
        <f t="shared" ref="D76:P76" ca="1" si="56">+D61-D71</f>
        <v>-22027.002546535925</v>
      </c>
      <c r="E76" s="74">
        <f t="shared" ca="1" si="56"/>
        <v>-21507.839980422323</v>
      </c>
      <c r="F76" s="74">
        <f t="shared" ca="1" si="56"/>
        <v>-20994.62450556576</v>
      </c>
      <c r="G76" s="74">
        <f t="shared" ca="1" si="56"/>
        <v>594.13642760767982</v>
      </c>
      <c r="H76" s="74">
        <f t="shared" ca="1" si="56"/>
        <v>4142.8966373479898</v>
      </c>
      <c r="I76" s="74">
        <f t="shared" ca="1" si="56"/>
        <v>4361.9829217608094</v>
      </c>
      <c r="J76" s="74">
        <f t="shared" ca="1" si="56"/>
        <v>4800.6839944431276</v>
      </c>
      <c r="K76" s="74">
        <f t="shared" ca="1" si="56"/>
        <v>4994.0619237837327</v>
      </c>
      <c r="L76" s="74">
        <f t="shared" ca="1" si="56"/>
        <v>6449.8648764110858</v>
      </c>
      <c r="M76" s="74">
        <f t="shared" ca="1" si="56"/>
        <v>6597.599843942874</v>
      </c>
      <c r="N76" s="74">
        <f t="shared" ca="1" si="56"/>
        <v>6737.0564067971645</v>
      </c>
      <c r="O76" s="74">
        <f t="shared" ca="1" si="56"/>
        <v>6880.6112029279966</v>
      </c>
      <c r="P76" s="74">
        <f t="shared" ca="1" si="56"/>
        <v>7027.523540968883</v>
      </c>
      <c r="S76" s="3371">
        <f ca="1">$D$247</f>
        <v>-3.942724362768542</v>
      </c>
      <c r="T76" s="5"/>
      <c r="U76" s="5"/>
      <c r="V76" s="5"/>
      <c r="W76" s="5"/>
      <c r="X76" s="5"/>
      <c r="Y76" s="5"/>
      <c r="Z76" s="5"/>
      <c r="AA76" s="5"/>
      <c r="AB76" s="5"/>
    </row>
    <row r="77" spans="2:28" s="3146" customFormat="1">
      <c r="T77" s="5"/>
      <c r="U77" s="5"/>
      <c r="V77" s="5"/>
      <c r="W77" s="5"/>
      <c r="X77" s="5"/>
      <c r="Y77" s="5"/>
      <c r="Z77" s="5"/>
      <c r="AA77" s="5"/>
      <c r="AB77" s="5"/>
    </row>
    <row r="78" spans="2:28">
      <c r="B78" t="s">
        <v>870</v>
      </c>
      <c r="C78" s="74"/>
      <c r="D78" s="74">
        <f t="shared" ref="D78:P78" ca="1" si="57">+D61</f>
        <v>-21854.752546535925</v>
      </c>
      <c r="E78" s="74">
        <f t="shared" ca="1" si="57"/>
        <v>-21335.589980422323</v>
      </c>
      <c r="F78" s="74">
        <f t="shared" ca="1" si="57"/>
        <v>-20994.62450556576</v>
      </c>
      <c r="G78" s="74">
        <f t="shared" ca="1" si="57"/>
        <v>594.13642760767982</v>
      </c>
      <c r="H78" s="74">
        <f t="shared" ca="1" si="57"/>
        <v>4142.8966373479898</v>
      </c>
      <c r="I78" s="74">
        <f t="shared" ca="1" si="57"/>
        <v>4361.9829217608094</v>
      </c>
      <c r="J78" s="74">
        <f t="shared" ca="1" si="57"/>
        <v>4800.6839944431276</v>
      </c>
      <c r="K78" s="74">
        <f t="shared" ca="1" si="57"/>
        <v>4994.0619237837327</v>
      </c>
      <c r="L78" s="74">
        <f t="shared" ca="1" si="57"/>
        <v>6449.8648764110858</v>
      </c>
      <c r="M78" s="74">
        <f t="shared" ca="1" si="57"/>
        <v>6597.599843942874</v>
      </c>
      <c r="N78" s="74">
        <f t="shared" ca="1" si="57"/>
        <v>6737.0564067971645</v>
      </c>
      <c r="O78" s="74">
        <f t="shared" ca="1" si="57"/>
        <v>6880.6112029279966</v>
      </c>
      <c r="P78" s="74">
        <f t="shared" ca="1" si="57"/>
        <v>7027.523540968883</v>
      </c>
      <c r="U78" s="3348"/>
    </row>
    <row r="79" spans="2:28">
      <c r="B79" s="287" t="str">
        <f>+B53</f>
        <v>D&amp;A</v>
      </c>
      <c r="C79" s="287"/>
      <c r="D79" s="287">
        <f t="shared" ref="D79:P79" si="58">+D53</f>
        <v>6533.7163035963595</v>
      </c>
      <c r="E79" s="287">
        <f t="shared" si="58"/>
        <v>6370.6659775244325</v>
      </c>
      <c r="F79" s="287">
        <f t="shared" si="58"/>
        <v>6212.4954579739442</v>
      </c>
      <c r="G79" s="287">
        <f t="shared" si="58"/>
        <v>6072.1225024594005</v>
      </c>
      <c r="H79" s="287">
        <f t="shared" si="58"/>
        <v>5950.6800524102127</v>
      </c>
      <c r="I79" s="287">
        <f t="shared" si="58"/>
        <v>5831.666451362008</v>
      </c>
      <c r="J79" s="287">
        <f t="shared" si="58"/>
        <v>5715.0331223347675</v>
      </c>
      <c r="K79" s="287">
        <f t="shared" si="58"/>
        <v>5600.7324598880723</v>
      </c>
      <c r="L79" s="287">
        <f t="shared" si="58"/>
        <v>3569.4207088184826</v>
      </c>
      <c r="M79" s="287">
        <f t="shared" si="58"/>
        <v>3551.6317088184824</v>
      </c>
      <c r="N79" s="287">
        <f t="shared" ca="1" si="58"/>
        <v>3551.5562325546639</v>
      </c>
      <c r="O79" s="287">
        <f t="shared" ca="1" si="58"/>
        <v>3551.4632244539216</v>
      </c>
      <c r="P79" s="287">
        <f t="shared" ca="1" si="58"/>
        <v>3551.354606900265</v>
      </c>
      <c r="U79" s="3348"/>
    </row>
    <row r="80" spans="2:28">
      <c r="B80" t="s">
        <v>1808</v>
      </c>
      <c r="C80" s="2932"/>
      <c r="D80" s="2932">
        <f ca="1">+IF(D58&lt;650,D58,650*95%)</f>
        <v>-11767.943678903957</v>
      </c>
      <c r="E80" s="2932">
        <f ca="1">+IF(E58&lt;650,E58,650*95%)</f>
        <v>-11488.394604842788</v>
      </c>
      <c r="F80" s="2932">
        <f ca="1">+IF(F58&lt;650,F58,650*95%)</f>
        <v>-11304.797810689255</v>
      </c>
      <c r="G80" s="2932">
        <f ca="1">+IF(G58&lt;650,G58,650*95%)</f>
        <v>319.91961486567368</v>
      </c>
      <c r="H80" s="2932">
        <f ca="1">+IF(H58&lt;650,H58,650*95%)</f>
        <v>617.5</v>
      </c>
      <c r="I80" s="2932">
        <f ca="1">+IF(I58&lt;650,I58,H105*35%)</f>
        <v>36773.716479570328</v>
      </c>
      <c r="J80" s="2932"/>
    </row>
    <row r="81" spans="2:28">
      <c r="B81" t="s">
        <v>1947</v>
      </c>
      <c r="C81"/>
      <c r="D81" s="2932">
        <f>SUM(D82:D85)</f>
        <v>58.345000000000006</v>
      </c>
      <c r="E81" s="2932">
        <f t="shared" ref="E81:P81" ca="1" si="59">SUM(E82:E85)</f>
        <v>99.005249931677568</v>
      </c>
      <c r="F81" s="2932">
        <f t="shared" ca="1" si="59"/>
        <v>103.75927521103077</v>
      </c>
      <c r="G81" s="2932">
        <f t="shared" ca="1" si="59"/>
        <v>108.89220284298165</v>
      </c>
      <c r="H81" s="2932">
        <f t="shared" ca="1" si="59"/>
        <v>114.42175888873454</v>
      </c>
      <c r="I81" s="2932">
        <f t="shared" ca="1" si="59"/>
        <v>120.3421805800829</v>
      </c>
      <c r="J81" s="2932">
        <f t="shared" ca="1" si="59"/>
        <v>126.68573545498406</v>
      </c>
      <c r="K81" s="2932">
        <f t="shared" ca="1" si="59"/>
        <v>133.49296214965264</v>
      </c>
      <c r="L81" s="2932">
        <f t="shared" ca="1" si="59"/>
        <v>140.81063340023118</v>
      </c>
      <c r="M81" s="2932">
        <f t="shared" ca="1" si="59"/>
        <v>148.61646397768232</v>
      </c>
      <c r="N81" s="2932">
        <f t="shared" ca="1" si="59"/>
        <v>156.9356019882801</v>
      </c>
      <c r="O81" s="2932">
        <f t="shared" ca="1" si="59"/>
        <v>165.79472475484729</v>
      </c>
      <c r="P81" s="2932">
        <f t="shared" ca="1" si="59"/>
        <v>175.22215516509704</v>
      </c>
      <c r="U81" s="74"/>
      <c r="Z81" s="3366"/>
    </row>
    <row r="82" spans="2:28" s="3146" customFormat="1" hidden="1" outlineLevel="1">
      <c r="B82" s="3331" t="s">
        <v>1837</v>
      </c>
      <c r="D82" s="2932">
        <f>+D161</f>
        <v>58.345000000000006</v>
      </c>
      <c r="E82" s="2932">
        <f t="shared" ref="E82:P82" ca="1" si="60">+E161</f>
        <v>99.005249931677568</v>
      </c>
      <c r="F82" s="2932">
        <f t="shared" ca="1" si="60"/>
        <v>103.75927521103077</v>
      </c>
      <c r="G82" s="2932">
        <f t="shared" ca="1" si="60"/>
        <v>108.89220284298165</v>
      </c>
      <c r="H82" s="2932">
        <f t="shared" ca="1" si="60"/>
        <v>114.42175888873454</v>
      </c>
      <c r="I82" s="2932">
        <f t="shared" ca="1" si="60"/>
        <v>120.3421805800829</v>
      </c>
      <c r="J82" s="2932">
        <f t="shared" ca="1" si="60"/>
        <v>126.68573545498406</v>
      </c>
      <c r="K82" s="2932">
        <f t="shared" ca="1" si="60"/>
        <v>133.49296214965264</v>
      </c>
      <c r="L82" s="2932">
        <f t="shared" ca="1" si="60"/>
        <v>140.81063340023118</v>
      </c>
      <c r="M82" s="2932">
        <f t="shared" ca="1" si="60"/>
        <v>148.61646397768232</v>
      </c>
      <c r="N82" s="2932">
        <f t="shared" ca="1" si="60"/>
        <v>156.9356019882801</v>
      </c>
      <c r="O82" s="2932">
        <f t="shared" ca="1" si="60"/>
        <v>165.79472475484729</v>
      </c>
      <c r="P82" s="2932">
        <f t="shared" ca="1" si="60"/>
        <v>175.22215516509704</v>
      </c>
      <c r="T82"/>
      <c r="U82" s="3340"/>
      <c r="V82"/>
      <c r="W82"/>
      <c r="X82"/>
      <c r="Y82"/>
      <c r="Z82"/>
      <c r="AA82"/>
      <c r="AB82"/>
    </row>
    <row r="83" spans="2:28" s="3146" customFormat="1" hidden="1" outlineLevel="1">
      <c r="B83" s="3331" t="s">
        <v>1803</v>
      </c>
      <c r="T83"/>
      <c r="U83" s="293"/>
      <c r="V83"/>
      <c r="W83"/>
      <c r="X83"/>
      <c r="Y83"/>
      <c r="Z83"/>
      <c r="AA83"/>
      <c r="AB83"/>
    </row>
    <row r="84" spans="2:28" s="3146" customFormat="1" hidden="1" outlineLevel="1">
      <c r="B84" s="3331" t="s">
        <v>1804</v>
      </c>
      <c r="T84"/>
      <c r="U84" s="3339"/>
      <c r="V84"/>
      <c r="W84"/>
      <c r="X84"/>
      <c r="Y84"/>
      <c r="Z84"/>
      <c r="AA84"/>
      <c r="AB84"/>
    </row>
    <row r="85" spans="2:28" s="3146" customFormat="1" hidden="1" outlineLevel="1">
      <c r="B85" s="3331" t="s">
        <v>1805</v>
      </c>
      <c r="T85"/>
      <c r="U85"/>
      <c r="V85"/>
      <c r="W85"/>
      <c r="X85"/>
      <c r="Y85"/>
      <c r="Z85"/>
      <c r="AA85"/>
      <c r="AB85"/>
    </row>
    <row r="86" spans="2:28" s="4" customFormat="1" collapsed="1">
      <c r="B86" s="4" t="s">
        <v>753</v>
      </c>
      <c r="D86" s="113">
        <f t="shared" ref="D86:P86" ca="1" si="61">SUM(D78:D81)</f>
        <v>-27030.634921843521</v>
      </c>
      <c r="E86" s="113">
        <f t="shared" ca="1" si="61"/>
        <v>-26354.313357809002</v>
      </c>
      <c r="F86" s="113">
        <f t="shared" ca="1" si="61"/>
        <v>-25983.167583070037</v>
      </c>
      <c r="G86" s="113">
        <f t="shared" ca="1" si="61"/>
        <v>7095.070747775736</v>
      </c>
      <c r="H86" s="113">
        <f t="shared" ca="1" si="61"/>
        <v>10825.498448646938</v>
      </c>
      <c r="I86" s="113">
        <f t="shared" ca="1" si="61"/>
        <v>47087.708033273229</v>
      </c>
      <c r="J86" s="113">
        <f t="shared" ca="1" si="61"/>
        <v>10642.402852232879</v>
      </c>
      <c r="K86" s="113">
        <f t="shared" ca="1" si="61"/>
        <v>10728.287345821456</v>
      </c>
      <c r="L86" s="113">
        <f t="shared" ca="1" si="61"/>
        <v>10160.0962186298</v>
      </c>
      <c r="M86" s="113">
        <f t="shared" ca="1" si="61"/>
        <v>10297.848016739039</v>
      </c>
      <c r="N86" s="113">
        <f t="shared" ca="1" si="61"/>
        <v>10445.548241340108</v>
      </c>
      <c r="O86" s="113">
        <f t="shared" ca="1" si="61"/>
        <v>10597.869152136765</v>
      </c>
      <c r="P86" s="113">
        <f t="shared" ca="1" si="61"/>
        <v>10754.100303034245</v>
      </c>
      <c r="T86"/>
      <c r="U86"/>
      <c r="V86"/>
      <c r="W86"/>
      <c r="X86"/>
      <c r="Y86"/>
      <c r="Z86"/>
      <c r="AA86"/>
      <c r="AB86"/>
    </row>
    <row r="87" spans="2:28" s="5" customFormat="1">
      <c r="B87" s="3330" t="s">
        <v>1254</v>
      </c>
      <c r="C87" s="3328"/>
      <c r="D87" s="3326"/>
      <c r="E87" s="3326">
        <f t="shared" ref="E87:P87" ca="1" si="62">+E86/D86-1</f>
        <v>-2.5020557822264866E-2</v>
      </c>
      <c r="F87" s="3326">
        <f t="shared" ca="1" si="62"/>
        <v>-1.4082923341616538E-2</v>
      </c>
      <c r="G87" s="3326">
        <f t="shared" ca="1" si="62"/>
        <v>-1.2730641183409332</v>
      </c>
      <c r="H87" s="3326">
        <f t="shared" ca="1" si="62"/>
        <v>0.52577737889938159</v>
      </c>
      <c r="I87" s="3326">
        <f t="shared" ca="1" si="62"/>
        <v>3.3497034576877747</v>
      </c>
      <c r="J87" s="3326">
        <f t="shared" ca="1" si="62"/>
        <v>-0.77398766479114423</v>
      </c>
      <c r="K87" s="3326">
        <f t="shared" ca="1" si="62"/>
        <v>8.0700284307089198E-3</v>
      </c>
      <c r="L87" s="3326">
        <f t="shared" ca="1" si="62"/>
        <v>-5.2961960178383949E-2</v>
      </c>
      <c r="M87" s="3326">
        <f t="shared" ca="1" si="62"/>
        <v>1.3558119445429506E-2</v>
      </c>
      <c r="N87" s="3326">
        <f t="shared" ca="1" si="62"/>
        <v>1.4342824283382738E-2</v>
      </c>
      <c r="O87" s="3326">
        <f t="shared" ca="1" si="62"/>
        <v>1.4582375886583065E-2</v>
      </c>
      <c r="P87" s="3326">
        <f t="shared" ca="1" si="62"/>
        <v>1.4741751257230762E-2</v>
      </c>
      <c r="T87"/>
      <c r="U87"/>
      <c r="V87"/>
      <c r="W87"/>
      <c r="X87"/>
      <c r="Y87"/>
      <c r="Z87"/>
      <c r="AA87"/>
      <c r="AB87"/>
    </row>
    <row r="88" spans="2:28" s="5" customFormat="1">
      <c r="B88" s="3330" t="s">
        <v>1003</v>
      </c>
      <c r="C88" s="3326"/>
      <c r="D88" s="3326">
        <f ca="1">+D86/D$9</f>
        <v>-1.138041775581041</v>
      </c>
      <c r="E88" s="3326">
        <f ca="1">+E86/E$9</f>
        <v>-1.1209969874620591</v>
      </c>
      <c r="F88" s="3326">
        <f ca="1">+F86/F$9</f>
        <v>-1.1158597702440431</v>
      </c>
      <c r="G88" s="3326">
        <f ca="1">+G86/G$9</f>
        <v>0.30678335630411824</v>
      </c>
      <c r="H88" s="3326">
        <f t="shared" ref="H88:P88" ca="1" si="63">+H86/H$9</f>
        <v>0.4701035378614139</v>
      </c>
      <c r="I88" s="3326">
        <f t="shared" ca="1" si="63"/>
        <v>2.0498757164534087</v>
      </c>
      <c r="J88" s="3326">
        <f t="shared" ca="1" si="63"/>
        <v>0.46358806459073176</v>
      </c>
      <c r="K88" s="3326">
        <f t="shared" ca="1" si="63"/>
        <v>0.46671745149436811</v>
      </c>
      <c r="L88" s="3326">
        <f t="shared" ca="1" si="63"/>
        <v>0.44051503859590435</v>
      </c>
      <c r="M88" s="3326">
        <f t="shared" ca="1" si="63"/>
        <v>0.44446840459398296</v>
      </c>
      <c r="N88" s="3326">
        <f t="shared" ca="1" si="63"/>
        <v>0.44834477453510602</v>
      </c>
      <c r="O88" s="3326">
        <f t="shared" ca="1" si="63"/>
        <v>0.45195760155759068</v>
      </c>
      <c r="P88" s="3326">
        <f t="shared" ca="1" si="63"/>
        <v>0.45531765229783566</v>
      </c>
      <c r="S88" s="3370"/>
      <c r="T88" s="3370"/>
      <c r="U88" s="3370"/>
      <c r="V88" s="3370"/>
      <c r="W88" s="3370"/>
      <c r="X88" s="3370"/>
      <c r="Y88" s="3370"/>
      <c r="Z88"/>
      <c r="AA88"/>
      <c r="AB88"/>
    </row>
    <row r="89" spans="2:28" hidden="1" outlineLevel="1">
      <c r="B89" t="s">
        <v>1792</v>
      </c>
      <c r="C89" s="287">
        <f>-CFS!R34</f>
        <v>3106</v>
      </c>
      <c r="D89" s="287">
        <f>-CFS!S34</f>
        <v>3850.2510232139421</v>
      </c>
      <c r="E89" s="287">
        <f>-CFS!T34</f>
        <v>3773.9406082061196</v>
      </c>
      <c r="F89" s="287">
        <f>-CFS!U34</f>
        <v>3742.4634537380066</v>
      </c>
      <c r="G89" s="287">
        <f>-CFS!V34</f>
        <v>3718.2457088184824</v>
      </c>
      <c r="H89" s="287">
        <f t="shared" ref="H89:P89" si="64">+G89</f>
        <v>3718.2457088184824</v>
      </c>
      <c r="I89" s="287">
        <f t="shared" si="64"/>
        <v>3718.2457088184824</v>
      </c>
      <c r="J89" s="287">
        <f t="shared" si="64"/>
        <v>3718.2457088184824</v>
      </c>
      <c r="K89" s="287">
        <f t="shared" si="64"/>
        <v>3718.2457088184824</v>
      </c>
      <c r="L89" s="287">
        <f t="shared" si="64"/>
        <v>3718.2457088184824</v>
      </c>
      <c r="M89" s="287">
        <f t="shared" si="64"/>
        <v>3718.2457088184824</v>
      </c>
      <c r="N89" s="287">
        <f t="shared" si="64"/>
        <v>3718.2457088184824</v>
      </c>
      <c r="O89" s="287">
        <f t="shared" si="64"/>
        <v>3718.2457088184824</v>
      </c>
      <c r="P89" s="287">
        <f t="shared" si="64"/>
        <v>3718.2457088184824</v>
      </c>
    </row>
    <row r="90" spans="2:28" hidden="1" outlineLevel="1">
      <c r="B90" t="s">
        <v>1793</v>
      </c>
      <c r="C90" s="287">
        <f ca="1">-CFS!U25</f>
        <v>-25.146714173851819</v>
      </c>
      <c r="D90" s="287">
        <f ca="1">-CFS!V25</f>
        <v>-11.714117921227057</v>
      </c>
      <c r="E90" s="287">
        <f ca="1">-CFS!W25</f>
        <v>-9.2048172752292885</v>
      </c>
      <c r="F90" s="287">
        <f ca="1">-CFS!X25</f>
        <v>-8.4556789776000869</v>
      </c>
      <c r="G90" s="287">
        <f>-CFS!Y25</f>
        <v>0</v>
      </c>
      <c r="H90" s="287">
        <f>-CFS!Z25</f>
        <v>1.542</v>
      </c>
      <c r="I90" s="287">
        <f>-CFS!AA25</f>
        <v>-0.70899999999999996</v>
      </c>
      <c r="J90" s="287">
        <f>-CFS!AB25</f>
        <v>3.3170000000000002</v>
      </c>
      <c r="K90" s="287">
        <f>-CFS!AC25</f>
        <v>1.175</v>
      </c>
      <c r="L90" s="287">
        <f>-CFS!AD25</f>
        <v>-16.614000000000001</v>
      </c>
      <c r="M90" s="287">
        <f ca="1">+L90*(1+M10)</f>
        <v>-16.689476263818687</v>
      </c>
      <c r="N90" s="287">
        <f ca="1">+M90*(1+N10)</f>
        <v>-16.782484364561014</v>
      </c>
      <c r="O90" s="287">
        <f ca="1">+N90*(1+O10)</f>
        <v>-16.891101918217164</v>
      </c>
      <c r="P90" s="287">
        <f ca="1">+O90*(1+P10)</f>
        <v>-17.013619641796094</v>
      </c>
    </row>
    <row r="91" spans="2:28" hidden="1" outlineLevel="1">
      <c r="B91" t="s">
        <v>1763</v>
      </c>
      <c r="C91" s="3146">
        <f t="shared" ref="C91:P91" si="65">-125*C92</f>
        <v>0</v>
      </c>
      <c r="D91">
        <f t="shared" si="65"/>
        <v>-75</v>
      </c>
      <c r="E91" s="3146">
        <f t="shared" si="65"/>
        <v>-100</v>
      </c>
      <c r="F91" s="3146">
        <f t="shared" si="65"/>
        <v>-125</v>
      </c>
      <c r="G91" s="3146">
        <f t="shared" si="65"/>
        <v>-150</v>
      </c>
      <c r="H91" s="3146">
        <f t="shared" si="65"/>
        <v>-150</v>
      </c>
      <c r="I91" s="3146">
        <f t="shared" si="65"/>
        <v>-150</v>
      </c>
      <c r="J91" s="3146">
        <f t="shared" si="65"/>
        <v>-150</v>
      </c>
      <c r="K91" s="3146">
        <f t="shared" si="65"/>
        <v>-150</v>
      </c>
      <c r="L91" s="3146">
        <f t="shared" si="65"/>
        <v>-150</v>
      </c>
      <c r="M91" s="3146">
        <f t="shared" si="65"/>
        <v>-150</v>
      </c>
      <c r="N91" s="3146">
        <f t="shared" si="65"/>
        <v>-150</v>
      </c>
      <c r="O91" s="3146">
        <f t="shared" si="65"/>
        <v>-150</v>
      </c>
      <c r="P91" s="3146">
        <f t="shared" si="65"/>
        <v>-150</v>
      </c>
    </row>
    <row r="92" spans="2:28" hidden="1" outlineLevel="1">
      <c r="B92" t="s">
        <v>1794</v>
      </c>
      <c r="C92"/>
      <c r="D92" s="3346">
        <v>0.6</v>
      </c>
      <c r="E92" s="3346">
        <f>+D92+20%</f>
        <v>0.8</v>
      </c>
      <c r="F92" s="3346">
        <f>+E92+20%</f>
        <v>1</v>
      </c>
      <c r="G92" s="3346">
        <v>1.2</v>
      </c>
      <c r="H92" s="3346">
        <f t="shared" ref="H92:P92" si="66">+G92</f>
        <v>1.2</v>
      </c>
      <c r="I92" s="3346">
        <f t="shared" si="66"/>
        <v>1.2</v>
      </c>
      <c r="J92" s="3346">
        <f t="shared" si="66"/>
        <v>1.2</v>
      </c>
      <c r="K92" s="3346">
        <f t="shared" si="66"/>
        <v>1.2</v>
      </c>
      <c r="L92" s="3346">
        <f t="shared" si="66"/>
        <v>1.2</v>
      </c>
      <c r="M92" s="3346">
        <f t="shared" si="66"/>
        <v>1.2</v>
      </c>
      <c r="N92" s="3346">
        <f t="shared" si="66"/>
        <v>1.2</v>
      </c>
      <c r="O92" s="3346">
        <f t="shared" si="66"/>
        <v>1.2</v>
      </c>
      <c r="P92" s="3346">
        <f t="shared" si="66"/>
        <v>1.2</v>
      </c>
    </row>
    <row r="93" spans="2:28" s="4" customFormat="1" collapsed="1">
      <c r="B93" s="4" t="s">
        <v>701</v>
      </c>
      <c r="C93" s="130">
        <f t="shared" ref="C93:P93" ca="1" si="67">+SUM(C89:C91)</f>
        <v>3080.8532858261483</v>
      </c>
      <c r="D93" s="130">
        <f t="shared" ca="1" si="67"/>
        <v>3763.5369052927149</v>
      </c>
      <c r="E93" s="130">
        <f t="shared" ca="1" si="67"/>
        <v>3664.7357909308903</v>
      </c>
      <c r="F93" s="130">
        <f t="shared" ca="1" si="67"/>
        <v>3609.0077747604064</v>
      </c>
      <c r="G93" s="130">
        <f t="shared" si="67"/>
        <v>3568.2457088184824</v>
      </c>
      <c r="H93" s="130">
        <f t="shared" si="67"/>
        <v>3569.7877088184823</v>
      </c>
      <c r="I93" s="130">
        <f t="shared" si="67"/>
        <v>3567.5367088184826</v>
      </c>
      <c r="J93" s="130">
        <f t="shared" si="67"/>
        <v>3571.5627088184824</v>
      </c>
      <c r="K93" s="130">
        <f t="shared" si="67"/>
        <v>3569.4207088184826</v>
      </c>
      <c r="L93" s="130">
        <f t="shared" si="67"/>
        <v>3551.6317088184824</v>
      </c>
      <c r="M93" s="130">
        <f t="shared" ca="1" si="67"/>
        <v>3551.5562325546639</v>
      </c>
      <c r="N93" s="130">
        <f t="shared" ca="1" si="67"/>
        <v>3551.4632244539216</v>
      </c>
      <c r="O93" s="130">
        <f t="shared" ca="1" si="67"/>
        <v>3551.354606900265</v>
      </c>
      <c r="P93" s="130">
        <f t="shared" ca="1" si="67"/>
        <v>3551.2320891766863</v>
      </c>
      <c r="T93"/>
      <c r="U93"/>
      <c r="V93"/>
      <c r="W93"/>
      <c r="X93"/>
      <c r="Y93"/>
      <c r="Z93"/>
      <c r="AA93"/>
      <c r="AB93"/>
    </row>
    <row r="94" spans="2:28" s="5" customFormat="1">
      <c r="B94" s="3330" t="s">
        <v>1254</v>
      </c>
      <c r="C94" s="3328"/>
      <c r="D94" s="3326">
        <f t="shared" ref="D94:P94" ca="1" si="68">+D93/C93-1</f>
        <v>0.22158913655750445</v>
      </c>
      <c r="E94" s="3326">
        <f t="shared" ca="1" si="68"/>
        <v>-2.6252197559928026E-2</v>
      </c>
      <c r="F94" s="3326">
        <f t="shared" ca="1" si="68"/>
        <v>-1.5206557675561228E-2</v>
      </c>
      <c r="G94" s="3326">
        <f t="shared" ca="1" si="68"/>
        <v>-1.1294535364260949E-2</v>
      </c>
      <c r="H94" s="3326">
        <f t="shared" si="68"/>
        <v>4.3214512839995223E-4</v>
      </c>
      <c r="I94" s="3326">
        <f t="shared" si="68"/>
        <v>-6.3056970991270944E-4</v>
      </c>
      <c r="J94" s="3326">
        <f t="shared" si="68"/>
        <v>1.1285097613846773E-3</v>
      </c>
      <c r="K94" s="3326">
        <f t="shared" si="68"/>
        <v>-5.9973747477848338E-4</v>
      </c>
      <c r="L94" s="3326">
        <f t="shared" si="68"/>
        <v>-4.9837218560567775E-3</v>
      </c>
      <c r="M94" s="3326">
        <f t="shared" ca="1" si="68"/>
        <v>-2.1251151585133243E-5</v>
      </c>
      <c r="N94" s="3326">
        <f t="shared" ca="1" si="68"/>
        <v>-2.6187984830339239E-5</v>
      </c>
      <c r="O94" s="3326">
        <f t="shared" ca="1" si="68"/>
        <v>-3.0583888046109564E-5</v>
      </c>
      <c r="P94" s="3326">
        <f t="shared" ca="1" si="68"/>
        <v>-3.4498870752242006E-5</v>
      </c>
    </row>
    <row r="95" spans="2:28" s="5" customFormat="1">
      <c r="B95" s="3330" t="s">
        <v>1801</v>
      </c>
      <c r="C95" s="3326"/>
      <c r="D95" s="3326">
        <f t="shared" ref="D95:P95" ca="1" si="69">+D93/D$9</f>
        <v>0.15845215010850319</v>
      </c>
      <c r="E95" s="3326">
        <f t="shared" ca="1" si="69"/>
        <v>0.15588179914619682</v>
      </c>
      <c r="F95" s="3326">
        <f t="shared" ca="1" si="69"/>
        <v>0.15499059433296725</v>
      </c>
      <c r="G95" s="3326">
        <f t="shared" ca="1" si="69"/>
        <v>0.15428717113388571</v>
      </c>
      <c r="H95" s="3326">
        <f t="shared" ca="1" si="69"/>
        <v>0.15502009808513817</v>
      </c>
      <c r="I95" s="3326">
        <f t="shared" ca="1" si="69"/>
        <v>0.15530606972408995</v>
      </c>
      <c r="J95" s="3326">
        <f t="shared" ca="1" si="69"/>
        <v>0.15557894835734418</v>
      </c>
      <c r="K95" s="3326">
        <f t="shared" ca="1" si="69"/>
        <v>0.1552820951593766</v>
      </c>
      <c r="L95" s="3326">
        <f t="shared" ca="1" si="69"/>
        <v>0.15398940577155357</v>
      </c>
      <c r="M95" s="3326">
        <f t="shared" ca="1" si="69"/>
        <v>0.15328974849341973</v>
      </c>
      <c r="N95" s="3326">
        <f t="shared" ca="1" si="69"/>
        <v>0.1524362285108008</v>
      </c>
      <c r="O95" s="3326">
        <f t="shared" ca="1" si="69"/>
        <v>0.15145136134196638</v>
      </c>
      <c r="P95" s="3326">
        <f t="shared" ca="1" si="69"/>
        <v>0.15035554923664338</v>
      </c>
    </row>
    <row r="96" spans="2:28" s="4" customFormat="1">
      <c r="B96" s="4" t="s">
        <v>752</v>
      </c>
      <c r="D96" s="113">
        <f t="shared" ref="D96:P96" ca="1" si="70">+D86-D93</f>
        <v>-30794.171827136237</v>
      </c>
      <c r="E96" s="113">
        <f t="shared" ca="1" si="70"/>
        <v>-30019.04914873989</v>
      </c>
      <c r="F96" s="113">
        <f t="shared" ca="1" si="70"/>
        <v>-29592.175357830441</v>
      </c>
      <c r="G96" s="113">
        <f t="shared" ca="1" si="70"/>
        <v>3526.8250389572536</v>
      </c>
      <c r="H96" s="113">
        <f t="shared" ca="1" si="70"/>
        <v>7255.7107398284561</v>
      </c>
      <c r="I96" s="113">
        <f t="shared" ca="1" si="70"/>
        <v>43520.17132445475</v>
      </c>
      <c r="J96" s="113">
        <f t="shared" ca="1" si="70"/>
        <v>7070.8401434143962</v>
      </c>
      <c r="K96" s="113">
        <f t="shared" ca="1" si="70"/>
        <v>7158.8666370029732</v>
      </c>
      <c r="L96" s="113">
        <f t="shared" ca="1" si="70"/>
        <v>6608.4645098113178</v>
      </c>
      <c r="M96" s="113">
        <f t="shared" ca="1" si="70"/>
        <v>6746.2917841843755</v>
      </c>
      <c r="N96" s="113">
        <f t="shared" ca="1" si="70"/>
        <v>6894.0850168861862</v>
      </c>
      <c r="O96" s="113">
        <f t="shared" ca="1" si="70"/>
        <v>7046.5145452365005</v>
      </c>
      <c r="P96" s="113">
        <f t="shared" ca="1" si="70"/>
        <v>7202.8682138575587</v>
      </c>
    </row>
    <row r="97" spans="2:27">
      <c r="B97" s="3349" t="s">
        <v>1795</v>
      </c>
      <c r="C97"/>
      <c r="D97" s="3136">
        <f t="shared" ref="D97:P97" ca="1" si="71">+D96/D64</f>
        <v>-28.689464405305003</v>
      </c>
      <c r="E97" s="3136">
        <f t="shared" ca="1" si="71"/>
        <v>-27.87688242652855</v>
      </c>
      <c r="F97" s="3136">
        <f t="shared" ca="1" si="71"/>
        <v>-27.392315450093932</v>
      </c>
      <c r="G97" s="3136">
        <f t="shared" ca="1" si="71"/>
        <v>3.2542396382084413</v>
      </c>
      <c r="H97" s="3136">
        <f t="shared" ca="1" si="71"/>
        <v>6.6737005210025071</v>
      </c>
      <c r="I97" s="3136">
        <f t="shared" ca="1" si="71"/>
        <v>39.902908037487968</v>
      </c>
      <c r="J97" s="3136">
        <f t="shared" ca="1" si="71"/>
        <v>6.5853592769837563</v>
      </c>
      <c r="K97" s="3136">
        <f t="shared" ca="1" si="71"/>
        <v>6.767570770443939</v>
      </c>
      <c r="L97" s="3136">
        <f t="shared" ca="1" si="71"/>
        <v>6.3366385457824368</v>
      </c>
      <c r="M97" s="3136">
        <f t="shared" ca="1" si="71"/>
        <v>6.5940110576899871</v>
      </c>
      <c r="N97" s="3136">
        <f t="shared" ca="1" si="71"/>
        <v>6.8633961574549271</v>
      </c>
      <c r="O97" s="3136">
        <f t="shared" ca="1" si="71"/>
        <v>7.1395222923114945</v>
      </c>
      <c r="P97" s="3136">
        <f t="shared" ca="1" si="71"/>
        <v>7.4597555456623725</v>
      </c>
    </row>
    <row r="98" spans="2:27">
      <c r="B98" s="3349" t="s">
        <v>1142</v>
      </c>
      <c r="C98"/>
      <c r="D98" s="3342">
        <f t="shared" ref="D98:P98" si="72">2.16*D64</f>
        <v>2318.4612374399999</v>
      </c>
      <c r="E98" s="3342">
        <f t="shared" ca="1" si="72"/>
        <v>2325.9826966724663</v>
      </c>
      <c r="F98" s="3342">
        <f t="shared" ca="1" si="72"/>
        <v>2333.4682637314095</v>
      </c>
      <c r="G98" s="3342">
        <f t="shared" ca="1" si="72"/>
        <v>2340.9284290881474</v>
      </c>
      <c r="H98" s="3342">
        <f t="shared" ca="1" si="72"/>
        <v>2348.372563124125</v>
      </c>
      <c r="I98" s="3342">
        <f t="shared" ca="1" si="72"/>
        <v>2355.8075008595324</v>
      </c>
      <c r="J98" s="3342">
        <f t="shared" ca="1" si="72"/>
        <v>2319.2378832169784</v>
      </c>
      <c r="K98" s="3342">
        <f t="shared" ca="1" si="72"/>
        <v>2284.8895800925734</v>
      </c>
      <c r="L98" s="3342">
        <f t="shared" ca="1" si="72"/>
        <v>2252.6586040943075</v>
      </c>
      <c r="M98" s="3342">
        <f t="shared" ca="1" si="72"/>
        <v>2209.8825929089521</v>
      </c>
      <c r="N98" s="3342">
        <f t="shared" ca="1" si="72"/>
        <v>2169.6581830409891</v>
      </c>
      <c r="O98" s="3342">
        <f t="shared" ca="1" si="72"/>
        <v>2131.8613199235569</v>
      </c>
      <c r="P98" s="3342">
        <f t="shared" ca="1" si="72"/>
        <v>2085.6173163715744</v>
      </c>
    </row>
    <row r="99" spans="2:27">
      <c r="B99" s="3349" t="s">
        <v>1796</v>
      </c>
      <c r="C99"/>
      <c r="D99" s="293">
        <f t="shared" ref="D99:P99" ca="1" si="73">2.16/D97</f>
        <v>-7.5288962159941616E-2</v>
      </c>
      <c r="E99" s="293">
        <f t="shared" ca="1" si="73"/>
        <v>-7.7483556695869038E-2</v>
      </c>
      <c r="F99" s="293">
        <f t="shared" ca="1" si="73"/>
        <v>-7.885423209057682E-2</v>
      </c>
      <c r="G99" s="293">
        <f t="shared" ca="1" si="73"/>
        <v>0.66374952066810489</v>
      </c>
      <c r="H99" s="293">
        <f t="shared" ca="1" si="73"/>
        <v>0.32365851497266918</v>
      </c>
      <c r="I99" s="293">
        <f t="shared" ca="1" si="73"/>
        <v>5.4131393079690435E-2</v>
      </c>
      <c r="J99" s="293">
        <f t="shared" ca="1" si="73"/>
        <v>0.32800032756744735</v>
      </c>
      <c r="K99" s="293">
        <f t="shared" ca="1" si="73"/>
        <v>0.31916917802077283</v>
      </c>
      <c r="L99" s="293">
        <f t="shared" ca="1" si="73"/>
        <v>0.34087473735387053</v>
      </c>
      <c r="M99" s="293">
        <f t="shared" ca="1" si="73"/>
        <v>0.32756996934073856</v>
      </c>
      <c r="N99" s="293">
        <f t="shared" ca="1" si="73"/>
        <v>0.31471300074291031</v>
      </c>
      <c r="O99" s="293">
        <f t="shared" ca="1" si="73"/>
        <v>0.30254125017945394</v>
      </c>
      <c r="P99" s="293">
        <f t="shared" ca="1" si="73"/>
        <v>0.28955372421767578</v>
      </c>
    </row>
    <row r="100" spans="2:27">
      <c r="B100" s="3349" t="s">
        <v>1800</v>
      </c>
      <c r="C100"/>
      <c r="D100" s="3342">
        <f ca="1">+D96-D98</f>
        <v>-33112.633064576235</v>
      </c>
      <c r="E100" s="3342">
        <f t="shared" ref="E100:J100" ca="1" si="74">+E96-E98</f>
        <v>-32345.031845412355</v>
      </c>
      <c r="F100" s="3342">
        <f t="shared" ca="1" si="74"/>
        <v>-31925.643621561852</v>
      </c>
      <c r="G100" s="3342">
        <f t="shared" ca="1" si="74"/>
        <v>1185.8966098691062</v>
      </c>
      <c r="H100" s="3342">
        <f t="shared" ca="1" si="74"/>
        <v>4907.3381767043311</v>
      </c>
      <c r="I100" s="3342">
        <f t="shared" ca="1" si="74"/>
        <v>41164.363823595217</v>
      </c>
      <c r="J100" s="3342">
        <f t="shared" ca="1" si="74"/>
        <v>4751.6022601974182</v>
      </c>
      <c r="K100" s="3342">
        <f t="shared" ref="K100:P100" ca="1" si="75">+K96-K98</f>
        <v>4873.9770569104003</v>
      </c>
      <c r="L100" s="3342">
        <f t="shared" ca="1" si="75"/>
        <v>4355.8059057170103</v>
      </c>
      <c r="M100" s="3342">
        <f t="shared" ca="1" si="75"/>
        <v>4536.4091912754229</v>
      </c>
      <c r="N100" s="3342">
        <f t="shared" ca="1" si="75"/>
        <v>4724.4268338451966</v>
      </c>
      <c r="O100" s="3342">
        <f t="shared" ca="1" si="75"/>
        <v>4914.6532253129435</v>
      </c>
      <c r="P100" s="3342">
        <f t="shared" ca="1" si="75"/>
        <v>5117.2508974859848</v>
      </c>
    </row>
    <row r="101" spans="2:27">
      <c r="B101" t="s">
        <v>1806</v>
      </c>
      <c r="C101"/>
      <c r="I101" s="65">
        <f t="shared" ref="I101:P101" ca="1" si="76">+(I97/D97)^0.2-1</f>
        <v>-2.0682094639283983</v>
      </c>
      <c r="J101" s="65">
        <f t="shared" ca="1" si="76"/>
        <v>-1.7493195334829563</v>
      </c>
      <c r="K101" s="65">
        <f t="shared" ca="1" si="76"/>
        <v>-1.7560679217629647</v>
      </c>
      <c r="L101" s="65">
        <f t="shared" ca="1" si="76"/>
        <v>0.14256753764069563</v>
      </c>
      <c r="M101" s="65">
        <f t="shared" ca="1" si="76"/>
        <v>-2.3996532682486471E-3</v>
      </c>
      <c r="N101" s="65">
        <f t="shared" ca="1" si="76"/>
        <v>-0.29675459367125168</v>
      </c>
      <c r="O101" s="65">
        <f t="shared" ca="1" si="76"/>
        <v>1.6290664077988293E-2</v>
      </c>
      <c r="P101" s="65">
        <f t="shared" ca="1" si="76"/>
        <v>1.9666985342616572E-2</v>
      </c>
    </row>
    <row r="102" spans="2:27">
      <c r="C102"/>
    </row>
    <row r="103" spans="2:27">
      <c r="B103" t="s">
        <v>1799</v>
      </c>
      <c r="C103"/>
      <c r="D103" s="3342">
        <f t="shared" ref="D103:I103" si="77">+C105</f>
        <v>9000</v>
      </c>
      <c r="E103" s="3342">
        <f t="shared" ca="1" si="77"/>
        <v>42622.696225439882</v>
      </c>
      <c r="F103" s="3342">
        <f t="shared" ca="1" si="77"/>
        <v>75446.680810705002</v>
      </c>
      <c r="G103" s="3342">
        <f t="shared" ca="1" si="77"/>
        <v>107746.10312696002</v>
      </c>
      <c r="H103" s="3342">
        <f t="shared" ca="1" si="77"/>
        <v>106832.04708448666</v>
      </c>
      <c r="I103" s="3342">
        <f t="shared" ca="1" si="77"/>
        <v>105067.76137020095</v>
      </c>
    </row>
    <row r="104" spans="2:27">
      <c r="B104" t="s">
        <v>1797</v>
      </c>
      <c r="D104" s="3342">
        <f t="shared" ref="D104:I104" ca="1" si="78">-D80/35%</f>
        <v>33622.696225439882</v>
      </c>
      <c r="E104" s="3342">
        <f t="shared" ca="1" si="78"/>
        <v>32823.984585265112</v>
      </c>
      <c r="F104" s="3342">
        <f t="shared" ca="1" si="78"/>
        <v>32299.422316255015</v>
      </c>
      <c r="G104" s="3342">
        <f t="shared" ca="1" si="78"/>
        <v>-914.05604247335339</v>
      </c>
      <c r="H104" s="3342">
        <f t="shared" ca="1" si="78"/>
        <v>-1764.2857142857144</v>
      </c>
      <c r="I104" s="3342">
        <f t="shared" ca="1" si="78"/>
        <v>-105067.76137020094</v>
      </c>
      <c r="S104" s="74"/>
      <c r="T104" s="74"/>
      <c r="U104" s="74"/>
      <c r="V104" s="74"/>
      <c r="W104" s="74"/>
      <c r="X104" s="74"/>
      <c r="Y104" s="74"/>
      <c r="Z104" s="74"/>
      <c r="AA104" s="74"/>
    </row>
    <row r="105" spans="2:27">
      <c r="B105" t="s">
        <v>1798</v>
      </c>
      <c r="C105" s="3347">
        <v>9000</v>
      </c>
      <c r="D105" s="3342">
        <f t="shared" ref="D105:I105" ca="1" si="79">SUM(D103:D104)</f>
        <v>42622.696225439882</v>
      </c>
      <c r="E105" s="3342">
        <f t="shared" ca="1" si="79"/>
        <v>75446.680810705002</v>
      </c>
      <c r="F105" s="3342">
        <f t="shared" ca="1" si="79"/>
        <v>107746.10312696002</v>
      </c>
      <c r="G105" s="3342">
        <f t="shared" ca="1" si="79"/>
        <v>106832.04708448666</v>
      </c>
      <c r="H105" s="3342">
        <f t="shared" ca="1" si="79"/>
        <v>105067.76137020095</v>
      </c>
      <c r="I105" s="3342">
        <f t="shared" ca="1" si="79"/>
        <v>0</v>
      </c>
    </row>
    <row r="107" spans="2:27">
      <c r="B107" s="2817" t="s">
        <v>533</v>
      </c>
      <c r="C107" s="2820" t="str">
        <f t="shared" ref="C107:P107" si="80">C2</f>
        <v>2017</v>
      </c>
      <c r="D107" s="3485" t="str">
        <f t="shared" si="80"/>
        <v>2018E</v>
      </c>
      <c r="E107" s="3485" t="str">
        <f t="shared" si="80"/>
        <v>2019E</v>
      </c>
      <c r="F107" s="3485" t="str">
        <f t="shared" si="80"/>
        <v>2020E</v>
      </c>
      <c r="G107" s="3485" t="str">
        <f t="shared" si="80"/>
        <v>2021E</v>
      </c>
      <c r="H107" s="3485">
        <f t="shared" si="80"/>
        <v>2022</v>
      </c>
      <c r="I107" s="3485">
        <f t="shared" si="80"/>
        <v>2023</v>
      </c>
      <c r="J107" s="3485">
        <f t="shared" si="80"/>
        <v>2024</v>
      </c>
      <c r="K107" s="3485">
        <f t="shared" si="80"/>
        <v>2025</v>
      </c>
      <c r="L107" s="3485">
        <f t="shared" si="80"/>
        <v>2026</v>
      </c>
      <c r="M107" s="3485">
        <f t="shared" si="80"/>
        <v>2027</v>
      </c>
      <c r="N107" s="3485">
        <f t="shared" si="80"/>
        <v>2028</v>
      </c>
      <c r="O107" s="3485">
        <f t="shared" si="80"/>
        <v>2029</v>
      </c>
      <c r="P107" s="3485">
        <f t="shared" si="80"/>
        <v>2030</v>
      </c>
    </row>
    <row r="109" spans="2:27">
      <c r="B109" t="s">
        <v>684</v>
      </c>
      <c r="C109" s="287">
        <v>2277.2739976656267</v>
      </c>
      <c r="D109" s="74">
        <f ca="1">+D177</f>
        <v>-32837.609066910605</v>
      </c>
      <c r="E109" s="74">
        <f ca="1">+E177</f>
        <v>-67157.606495942106</v>
      </c>
      <c r="F109" s="74">
        <f ca="1">+F177</f>
        <v>-100307.97093791861</v>
      </c>
      <c r="G109" s="74">
        <f t="shared" ref="G109:P109" ca="1" si="81">+G177</f>
        <v>-101608.62580325802</v>
      </c>
      <c r="H109" s="74">
        <f t="shared" ca="1" si="81"/>
        <v>-98141.64064887428</v>
      </c>
      <c r="I109" s="74">
        <f t="shared" ca="1" si="81"/>
        <v>-57977.547520782646</v>
      </c>
      <c r="J109" s="74">
        <f t="shared" ca="1" si="81"/>
        <v>-53636.296648955176</v>
      </c>
      <c r="K109" s="74">
        <f t="shared" ca="1" si="81"/>
        <v>-49123.342100722191</v>
      </c>
      <c r="L109" s="74">
        <f t="shared" ca="1" si="81"/>
        <v>-45066.753790875293</v>
      </c>
      <c r="M109" s="74">
        <f t="shared" ca="1" si="81"/>
        <v>-41061.958986748039</v>
      </c>
      <c r="N109" s="74">
        <f t="shared" ca="1" si="81"/>
        <v>-36855.131983325846</v>
      </c>
      <c r="O109" s="74">
        <f t="shared" ca="1" si="81"/>
        <v>-32447.362511157673</v>
      </c>
      <c r="P109" s="74">
        <f t="shared" ca="1" si="81"/>
        <v>-28079.310570402395</v>
      </c>
    </row>
    <row r="110" spans="2:27">
      <c r="B110" t="s">
        <v>707</v>
      </c>
      <c r="C110" s="3355">
        <v>2676</v>
      </c>
      <c r="D110">
        <f>+C110</f>
        <v>2676</v>
      </c>
      <c r="E110" s="2932">
        <f t="shared" ref="E110:P110" ca="1" si="82">+D110*(1+E10)</f>
        <v>2648.7155836191314</v>
      </c>
      <c r="F110" s="2932">
        <f t="shared" ca="1" si="82"/>
        <v>2623.43640403379</v>
      </c>
      <c r="G110" s="2932">
        <f t="shared" ca="1" si="82"/>
        <v>2605.6315404166771</v>
      </c>
      <c r="H110" s="2932">
        <f t="shared" ca="1" si="82"/>
        <v>2594.4329374342005</v>
      </c>
      <c r="I110" s="2932">
        <f t="shared" ca="1" si="82"/>
        <v>2588.0227398240636</v>
      </c>
      <c r="J110" s="2932">
        <f t="shared" ca="1" si="82"/>
        <v>2586.3989480613332</v>
      </c>
      <c r="K110" s="2932">
        <f t="shared" ca="1" si="82"/>
        <v>2589.7892481388135</v>
      </c>
      <c r="L110" s="2932">
        <f t="shared" ca="1" si="82"/>
        <v>2598.5145223879376</v>
      </c>
      <c r="M110" s="2932">
        <f t="shared" ca="1" si="82"/>
        <v>2610.3193958457709</v>
      </c>
      <c r="N110" s="2932">
        <f t="shared" ca="1" si="82"/>
        <v>2624.8663382123686</v>
      </c>
      <c r="O110" s="2932">
        <f t="shared" ca="1" si="82"/>
        <v>2641.8546788023382</v>
      </c>
      <c r="P110" s="2932">
        <f t="shared" ca="1" si="82"/>
        <v>2661.0170770188884</v>
      </c>
    </row>
    <row r="111" spans="2:27">
      <c r="B111" t="s">
        <v>1809</v>
      </c>
      <c r="C111" s="3144">
        <f t="shared" ref="C111:P111" si="83">+SUM(C112:C114)</f>
        <v>853</v>
      </c>
      <c r="D111" s="3146">
        <f t="shared" si="83"/>
        <v>853</v>
      </c>
      <c r="E111" s="3146">
        <f t="shared" si="83"/>
        <v>853</v>
      </c>
      <c r="F111" s="3146">
        <f t="shared" si="83"/>
        <v>853</v>
      </c>
      <c r="G111" s="3146">
        <f t="shared" si="83"/>
        <v>853</v>
      </c>
      <c r="H111" s="3146">
        <f t="shared" si="83"/>
        <v>853</v>
      </c>
      <c r="I111" s="3146">
        <f t="shared" si="83"/>
        <v>853</v>
      </c>
      <c r="J111" s="3146">
        <f t="shared" si="83"/>
        <v>853</v>
      </c>
      <c r="K111" s="3146">
        <f t="shared" si="83"/>
        <v>853</v>
      </c>
      <c r="L111" s="3146">
        <f t="shared" si="83"/>
        <v>853</v>
      </c>
      <c r="M111" s="3146">
        <f t="shared" si="83"/>
        <v>853</v>
      </c>
      <c r="N111" s="3146">
        <f t="shared" si="83"/>
        <v>853</v>
      </c>
      <c r="O111" s="3146">
        <f t="shared" si="83"/>
        <v>853</v>
      </c>
      <c r="P111" s="3146">
        <f t="shared" si="83"/>
        <v>853</v>
      </c>
    </row>
    <row r="112" spans="2:27" s="3146" customFormat="1" hidden="1" outlineLevel="1">
      <c r="B112" s="3331" t="s">
        <v>792</v>
      </c>
      <c r="C112" s="3146">
        <v>853</v>
      </c>
      <c r="D112" s="3146">
        <f>+C112</f>
        <v>853</v>
      </c>
      <c r="E112" s="3146">
        <f>+D112</f>
        <v>853</v>
      </c>
      <c r="F112" s="3146">
        <f>+E112</f>
        <v>853</v>
      </c>
      <c r="G112" s="3146">
        <f t="shared" ref="G112:P112" si="84">+F112</f>
        <v>853</v>
      </c>
      <c r="H112" s="3146">
        <f t="shared" si="84"/>
        <v>853</v>
      </c>
      <c r="I112" s="3146">
        <f t="shared" si="84"/>
        <v>853</v>
      </c>
      <c r="J112" s="3146">
        <f t="shared" si="84"/>
        <v>853</v>
      </c>
      <c r="K112" s="3146">
        <f t="shared" si="84"/>
        <v>853</v>
      </c>
      <c r="L112" s="3146">
        <f t="shared" si="84"/>
        <v>853</v>
      </c>
      <c r="M112" s="3146">
        <f t="shared" si="84"/>
        <v>853</v>
      </c>
      <c r="N112" s="3146">
        <f t="shared" si="84"/>
        <v>853</v>
      </c>
      <c r="O112" s="3146">
        <f t="shared" si="84"/>
        <v>853</v>
      </c>
      <c r="P112" s="3146">
        <f t="shared" si="84"/>
        <v>853</v>
      </c>
    </row>
    <row r="113" spans="2:16" s="3146" customFormat="1" hidden="1" outlineLevel="1"/>
    <row r="114" spans="2:16" s="3146" customFormat="1" hidden="1" outlineLevel="1"/>
    <row r="115" spans="2:16" s="4" customFormat="1" collapsed="1">
      <c r="B115" s="3350" t="s">
        <v>1810</v>
      </c>
      <c r="C115" s="3352">
        <f>SUM(C109:C111)</f>
        <v>5806.2739976656267</v>
      </c>
      <c r="D115" s="3352">
        <f ca="1">SUM(D109:D111)</f>
        <v>-29308.609066910605</v>
      </c>
      <c r="E115" s="3352">
        <f ca="1">SUM(E109:E111)</f>
        <v>-63655.890912322975</v>
      </c>
      <c r="F115" s="3352">
        <f t="shared" ref="F115:P115" ca="1" si="85">SUM(F109:F111)</f>
        <v>-96831.534533884813</v>
      </c>
      <c r="G115" s="3352">
        <f t="shared" ca="1" si="85"/>
        <v>-98149.994262841341</v>
      </c>
      <c r="H115" s="3352">
        <f t="shared" ca="1" si="85"/>
        <v>-94694.207711440074</v>
      </c>
      <c r="I115" s="3352">
        <f t="shared" ca="1" si="85"/>
        <v>-54536.524780958585</v>
      </c>
      <c r="J115" s="3352">
        <f t="shared" ca="1" si="85"/>
        <v>-50196.897700893845</v>
      </c>
      <c r="K115" s="3352">
        <f t="shared" ca="1" si="85"/>
        <v>-45680.55285258338</v>
      </c>
      <c r="L115" s="3352">
        <f t="shared" ca="1" si="85"/>
        <v>-41615.239268487356</v>
      </c>
      <c r="M115" s="3352">
        <f t="shared" ca="1" si="85"/>
        <v>-37598.639590902269</v>
      </c>
      <c r="N115" s="3352">
        <f t="shared" ca="1" si="85"/>
        <v>-33377.265645113475</v>
      </c>
      <c r="O115" s="3352">
        <f t="shared" ca="1" si="85"/>
        <v>-28952.507832355335</v>
      </c>
      <c r="P115" s="3352">
        <f t="shared" ca="1" si="85"/>
        <v>-24565.293493383506</v>
      </c>
    </row>
    <row r="116" spans="2:16">
      <c r="E116" s="3146"/>
      <c r="F116" s="3146"/>
      <c r="G116" s="3146"/>
      <c r="H116" s="3146"/>
      <c r="I116" s="3146"/>
      <c r="J116" s="3146"/>
    </row>
    <row r="117" spans="2:16" hidden="1" outlineLevel="1">
      <c r="B117" t="s">
        <v>1811</v>
      </c>
      <c r="C117" s="3356">
        <f>50471-SUM(CFS!$CR$25:$CV$25)-SUM(CFS!BZ34:CD34)</f>
        <v>54548</v>
      </c>
      <c r="D117" s="74">
        <f t="shared" ref="D117:P117" ca="1" si="86">+C117-D165-D166</f>
        <v>58391.536905292713</v>
      </c>
      <c r="E117" s="74">
        <f t="shared" ca="1" si="86"/>
        <v>62136.272696223605</v>
      </c>
      <c r="F117" s="74">
        <f t="shared" ca="1" si="86"/>
        <v>65745.280470984013</v>
      </c>
      <c r="G117" s="74">
        <f t="shared" ca="1" si="86"/>
        <v>69313.526179802502</v>
      </c>
      <c r="H117" s="74">
        <f t="shared" ca="1" si="86"/>
        <v>72883.313888620978</v>
      </c>
      <c r="I117" s="74">
        <f t="shared" ca="1" si="86"/>
        <v>76450.850597439465</v>
      </c>
      <c r="J117" s="74">
        <f t="shared" ca="1" si="86"/>
        <v>80022.413306257949</v>
      </c>
      <c r="K117" s="74">
        <f t="shared" ca="1" si="86"/>
        <v>83591.834015076427</v>
      </c>
      <c r="L117" s="74">
        <f t="shared" ca="1" si="86"/>
        <v>87143.465723894915</v>
      </c>
      <c r="M117" s="74">
        <f t="shared" ca="1" si="86"/>
        <v>90695.021956449578</v>
      </c>
      <c r="N117" s="74">
        <f t="shared" ca="1" si="86"/>
        <v>94246.485180903503</v>
      </c>
      <c r="O117" s="74">
        <f t="shared" ca="1" si="86"/>
        <v>97797.839787803765</v>
      </c>
      <c r="P117" s="74">
        <f t="shared" ca="1" si="86"/>
        <v>101349.07187698045</v>
      </c>
    </row>
    <row r="118" spans="2:16" hidden="1" outlineLevel="1">
      <c r="B118" t="s">
        <v>188</v>
      </c>
      <c r="C118" s="3356">
        <f>-22464-SUM(CFS!$CR$12:$CV$12)-SUM(CFS!BZ13:CD13)</f>
        <v>-27358</v>
      </c>
      <c r="D118" s="74">
        <f t="shared" ref="D118:P118" si="87">+C118-D181</f>
        <v>-33891.71630359636</v>
      </c>
      <c r="E118" s="74">
        <f t="shared" si="87"/>
        <v>-40262.382281120794</v>
      </c>
      <c r="F118" s="74">
        <f t="shared" si="87"/>
        <v>-46474.877739094736</v>
      </c>
      <c r="G118" s="74">
        <f t="shared" si="87"/>
        <v>-52547.000241554138</v>
      </c>
      <c r="H118" s="74">
        <f t="shared" si="87"/>
        <v>-58497.680293964353</v>
      </c>
      <c r="I118" s="74">
        <f t="shared" si="87"/>
        <v>-64329.346745326358</v>
      </c>
      <c r="J118" s="74">
        <f t="shared" si="87"/>
        <v>-70044.379867661133</v>
      </c>
      <c r="K118" s="74">
        <f t="shared" si="87"/>
        <v>-75645.112327549199</v>
      </c>
      <c r="L118" s="74">
        <f t="shared" si="87"/>
        <v>-79214.533036367677</v>
      </c>
      <c r="M118" s="74">
        <f t="shared" si="87"/>
        <v>-82766.164745186165</v>
      </c>
      <c r="N118" s="74">
        <f t="shared" ca="1" si="87"/>
        <v>-86317.720977740828</v>
      </c>
      <c r="O118" s="74">
        <f t="shared" ca="1" si="87"/>
        <v>-89869.184202194752</v>
      </c>
      <c r="P118" s="74">
        <f t="shared" ca="1" si="87"/>
        <v>-93420.538809095015</v>
      </c>
    </row>
    <row r="119" spans="2:16" collapsed="1">
      <c r="B119" s="3350" t="s">
        <v>1812</v>
      </c>
      <c r="C119" s="3352">
        <f t="shared" ref="C119:P119" si="88">SUM(C117:C118)</f>
        <v>27190</v>
      </c>
      <c r="D119" s="3352">
        <f t="shared" ca="1" si="88"/>
        <v>24499.820601696352</v>
      </c>
      <c r="E119" s="3352">
        <f t="shared" ca="1" si="88"/>
        <v>21873.890415102811</v>
      </c>
      <c r="F119" s="3352">
        <f t="shared" ca="1" si="88"/>
        <v>19270.402731889277</v>
      </c>
      <c r="G119" s="3352">
        <f t="shared" ca="1" si="88"/>
        <v>16766.525938248364</v>
      </c>
      <c r="H119" s="3352">
        <f t="shared" ca="1" si="88"/>
        <v>14385.633594656625</v>
      </c>
      <c r="I119" s="3352">
        <f t="shared" ca="1" si="88"/>
        <v>12121.503852113106</v>
      </c>
      <c r="J119" s="3352">
        <f t="shared" ca="1" si="88"/>
        <v>9978.0334385968163</v>
      </c>
      <c r="K119" s="3352">
        <f t="shared" ca="1" si="88"/>
        <v>7946.7216875272279</v>
      </c>
      <c r="L119" s="3352">
        <f t="shared" ca="1" si="88"/>
        <v>7928.9326875272382</v>
      </c>
      <c r="M119" s="3352">
        <f t="shared" ca="1" si="88"/>
        <v>7928.8572112634138</v>
      </c>
      <c r="N119" s="3352">
        <f t="shared" ca="1" si="88"/>
        <v>7928.7642031626747</v>
      </c>
      <c r="O119" s="3352">
        <f t="shared" ca="1" si="88"/>
        <v>7928.6555856090126</v>
      </c>
      <c r="P119" s="3352">
        <f t="shared" ca="1" si="88"/>
        <v>7928.533067885437</v>
      </c>
    </row>
    <row r="120" spans="2:16">
      <c r="E120" s="3146"/>
      <c r="F120" s="3146"/>
      <c r="G120" s="3146"/>
      <c r="H120" s="3146"/>
      <c r="I120" s="3146"/>
      <c r="J120" s="3146"/>
    </row>
    <row r="121" spans="2:16">
      <c r="B121" s="3331" t="s">
        <v>1813</v>
      </c>
      <c r="C121" s="3356">
        <f>49343-C122</f>
        <v>46193</v>
      </c>
      <c r="D121" s="74">
        <f>+C121</f>
        <v>46193</v>
      </c>
      <c r="E121" s="74">
        <f t="shared" ref="E121:P121" si="89">+D121</f>
        <v>46193</v>
      </c>
      <c r="F121" s="74">
        <f t="shared" si="89"/>
        <v>46193</v>
      </c>
      <c r="G121" s="74">
        <f t="shared" si="89"/>
        <v>46193</v>
      </c>
      <c r="H121" s="74">
        <f t="shared" si="89"/>
        <v>46193</v>
      </c>
      <c r="I121" s="74">
        <f t="shared" si="89"/>
        <v>46193</v>
      </c>
      <c r="J121" s="74">
        <f t="shared" si="89"/>
        <v>46193</v>
      </c>
      <c r="K121" s="74">
        <f t="shared" si="89"/>
        <v>46193</v>
      </c>
      <c r="L121" s="74">
        <f t="shared" si="89"/>
        <v>46193</v>
      </c>
      <c r="M121" s="74">
        <f t="shared" si="89"/>
        <v>46193</v>
      </c>
      <c r="N121" s="74">
        <f t="shared" si="89"/>
        <v>46193</v>
      </c>
      <c r="O121" s="74">
        <f t="shared" si="89"/>
        <v>46193</v>
      </c>
      <c r="P121" s="74">
        <f t="shared" si="89"/>
        <v>46193</v>
      </c>
    </row>
    <row r="122" spans="2:16" ht="13.5" thickBot="1">
      <c r="B122" s="3331" t="s">
        <v>1816</v>
      </c>
      <c r="C122" s="3357">
        <f t="shared" ref="C122:P122" si="90">+C105*35%</f>
        <v>3150</v>
      </c>
      <c r="D122" s="2932">
        <f t="shared" ca="1" si="90"/>
        <v>14917.943678903957</v>
      </c>
      <c r="E122" s="2932">
        <f t="shared" ca="1" si="90"/>
        <v>26406.338283746751</v>
      </c>
      <c r="F122" s="2932">
        <f t="shared" ca="1" si="90"/>
        <v>37711.136094436006</v>
      </c>
      <c r="G122" s="2932">
        <f t="shared" ca="1" si="90"/>
        <v>37391.216479570328</v>
      </c>
      <c r="H122" s="2932">
        <f t="shared" ca="1" si="90"/>
        <v>36773.716479570328</v>
      </c>
      <c r="I122" s="2932">
        <f t="shared" ca="1" si="90"/>
        <v>0</v>
      </c>
      <c r="J122" s="2932">
        <f t="shared" si="90"/>
        <v>0</v>
      </c>
      <c r="K122" s="2932">
        <f t="shared" si="90"/>
        <v>0</v>
      </c>
      <c r="L122" s="2932">
        <f t="shared" si="90"/>
        <v>0</v>
      </c>
      <c r="M122" s="2932">
        <f t="shared" si="90"/>
        <v>0</v>
      </c>
      <c r="N122" s="2932">
        <f t="shared" si="90"/>
        <v>0</v>
      </c>
      <c r="O122" s="2932">
        <f t="shared" si="90"/>
        <v>0</v>
      </c>
      <c r="P122" s="2932">
        <f t="shared" si="90"/>
        <v>0</v>
      </c>
    </row>
    <row r="123" spans="2:16">
      <c r="B123" s="3353" t="s">
        <v>20</v>
      </c>
      <c r="C123" s="3354">
        <f t="shared" ref="C123:P123" si="91">+C115+C119+C121+C122</f>
        <v>82339.27399766563</v>
      </c>
      <c r="D123" s="3354">
        <f t="shared" ca="1" si="91"/>
        <v>56302.155213689708</v>
      </c>
      <c r="E123" s="3354">
        <f t="shared" ca="1" si="91"/>
        <v>30817.337786526587</v>
      </c>
      <c r="F123" s="3354">
        <f t="shared" ca="1" si="91"/>
        <v>6343.0042924404697</v>
      </c>
      <c r="G123" s="3354">
        <f t="shared" ca="1" si="91"/>
        <v>2200.7481549773511</v>
      </c>
      <c r="H123" s="3354">
        <f t="shared" ca="1" si="91"/>
        <v>2658.1423627868789</v>
      </c>
      <c r="I123" s="3354">
        <f t="shared" ca="1" si="91"/>
        <v>3777.9790711545211</v>
      </c>
      <c r="J123" s="3354">
        <f t="shared" ca="1" si="91"/>
        <v>5974.1357377029708</v>
      </c>
      <c r="K123" s="3354">
        <f t="shared" ca="1" si="91"/>
        <v>8459.1688349438482</v>
      </c>
      <c r="L123" s="3354">
        <f t="shared" ca="1" si="91"/>
        <v>12506.693419039882</v>
      </c>
      <c r="M123" s="3354">
        <f t="shared" ca="1" si="91"/>
        <v>16523.217620361145</v>
      </c>
      <c r="N123" s="3354">
        <f t="shared" ca="1" si="91"/>
        <v>20744.498558049199</v>
      </c>
      <c r="O123" s="3354">
        <f t="shared" ca="1" si="91"/>
        <v>25169.147753253677</v>
      </c>
      <c r="P123" s="3354">
        <f t="shared" ca="1" si="91"/>
        <v>29556.239574501931</v>
      </c>
    </row>
    <row r="124" spans="2:16">
      <c r="E124" s="3146"/>
      <c r="F124" s="3146"/>
      <c r="G124" s="3146"/>
      <c r="H124" s="3146"/>
      <c r="I124" s="3146"/>
      <c r="J124" s="3146"/>
    </row>
    <row r="125" spans="2:16">
      <c r="B125" t="s">
        <v>1814</v>
      </c>
      <c r="C125" s="3358">
        <v>502</v>
      </c>
      <c r="D125">
        <f>+C125</f>
        <v>502</v>
      </c>
      <c r="E125" s="3146">
        <f t="shared" ref="E125:F128" si="92">+D125</f>
        <v>502</v>
      </c>
      <c r="F125" s="3146">
        <f t="shared" si="92"/>
        <v>502</v>
      </c>
      <c r="G125" s="3146">
        <f t="shared" ref="G125:P125" si="93">+F125</f>
        <v>502</v>
      </c>
      <c r="H125" s="3146">
        <f t="shared" si="93"/>
        <v>502</v>
      </c>
      <c r="I125" s="3146">
        <f t="shared" si="93"/>
        <v>502</v>
      </c>
      <c r="J125" s="3146">
        <f t="shared" si="93"/>
        <v>502</v>
      </c>
      <c r="K125" s="3146">
        <f t="shared" si="93"/>
        <v>502</v>
      </c>
      <c r="L125" s="3146">
        <f t="shared" si="93"/>
        <v>502</v>
      </c>
      <c r="M125" s="3146">
        <f t="shared" si="93"/>
        <v>502</v>
      </c>
      <c r="N125" s="3146">
        <f t="shared" si="93"/>
        <v>502</v>
      </c>
      <c r="O125" s="3146">
        <f t="shared" si="93"/>
        <v>502</v>
      </c>
      <c r="P125" s="3146">
        <f t="shared" si="93"/>
        <v>502</v>
      </c>
    </row>
    <row r="126" spans="2:16">
      <c r="B126" t="s">
        <v>656</v>
      </c>
      <c r="C126" s="3355">
        <v>1734</v>
      </c>
      <c r="D126">
        <f>+C126</f>
        <v>1734</v>
      </c>
      <c r="E126" s="2932">
        <f>+D126</f>
        <v>1734</v>
      </c>
      <c r="F126" s="2932">
        <f>+E126</f>
        <v>1734</v>
      </c>
      <c r="G126" s="2932">
        <f t="shared" ref="G126:P126" si="94">+F126*(1+G45)</f>
        <v>479.64366117436509</v>
      </c>
      <c r="H126" s="2932">
        <f t="shared" ca="1" si="94"/>
        <v>278.09203587130258</v>
      </c>
      <c r="I126" s="2932">
        <f t="shared" ca="1" si="94"/>
        <v>271.41114275757923</v>
      </c>
      <c r="J126" s="2932">
        <f t="shared" ca="1" si="94"/>
        <v>265.68063508337167</v>
      </c>
      <c r="K126" s="2932">
        <f t="shared" ca="1" si="94"/>
        <v>260.80922167583924</v>
      </c>
      <c r="L126" s="2932">
        <f t="shared" ca="1" si="94"/>
        <v>256.70900291278548</v>
      </c>
      <c r="M126" s="2932">
        <f t="shared" ca="1" si="94"/>
        <v>253.33105072965898</v>
      </c>
      <c r="N126" s="2932">
        <f t="shared" ca="1" si="94"/>
        <v>250.62164311840471</v>
      </c>
      <c r="O126" s="2932">
        <f t="shared" ca="1" si="94"/>
        <v>248.53448428959337</v>
      </c>
      <c r="P126" s="2932">
        <f t="shared" ca="1" si="94"/>
        <v>247.02991979575657</v>
      </c>
    </row>
    <row r="127" spans="2:16">
      <c r="B127" t="s">
        <v>1815</v>
      </c>
      <c r="C127" s="3355">
        <v>1962</v>
      </c>
      <c r="D127">
        <f>+C127</f>
        <v>1962</v>
      </c>
      <c r="E127" s="3146">
        <f t="shared" si="92"/>
        <v>1962</v>
      </c>
      <c r="F127" s="3146">
        <f t="shared" si="92"/>
        <v>1962</v>
      </c>
      <c r="G127" s="3146">
        <f t="shared" ref="G127:P127" si="95">+F127</f>
        <v>1962</v>
      </c>
      <c r="H127" s="3146">
        <f t="shared" si="95"/>
        <v>1962</v>
      </c>
      <c r="I127" s="3146">
        <f t="shared" si="95"/>
        <v>1962</v>
      </c>
      <c r="J127" s="3146">
        <f t="shared" si="95"/>
        <v>1962</v>
      </c>
      <c r="K127" s="3146">
        <f t="shared" si="95"/>
        <v>1962</v>
      </c>
      <c r="L127" s="3146">
        <f t="shared" si="95"/>
        <v>1962</v>
      </c>
      <c r="M127" s="3146">
        <f t="shared" si="95"/>
        <v>1962</v>
      </c>
      <c r="N127" s="3146">
        <f t="shared" si="95"/>
        <v>1962</v>
      </c>
      <c r="O127" s="3146">
        <f t="shared" si="95"/>
        <v>1962</v>
      </c>
      <c r="P127" s="3146">
        <f t="shared" si="95"/>
        <v>1962</v>
      </c>
    </row>
    <row r="128" spans="2:16">
      <c r="B128" t="s">
        <v>1817</v>
      </c>
      <c r="C128" s="3355">
        <v>841</v>
      </c>
      <c r="D128">
        <f>+C128</f>
        <v>841</v>
      </c>
      <c r="E128" s="3146">
        <f t="shared" si="92"/>
        <v>841</v>
      </c>
      <c r="F128" s="3146">
        <f t="shared" si="92"/>
        <v>841</v>
      </c>
      <c r="G128" s="3146">
        <f t="shared" ref="G128:P128" si="96">+F128</f>
        <v>841</v>
      </c>
      <c r="H128" s="3146">
        <f t="shared" si="96"/>
        <v>841</v>
      </c>
      <c r="I128" s="3146">
        <f t="shared" si="96"/>
        <v>841</v>
      </c>
      <c r="J128" s="3146">
        <f t="shared" si="96"/>
        <v>841</v>
      </c>
      <c r="K128" s="3146">
        <f t="shared" si="96"/>
        <v>841</v>
      </c>
      <c r="L128" s="3146">
        <f t="shared" si="96"/>
        <v>841</v>
      </c>
      <c r="M128" s="3146">
        <f t="shared" si="96"/>
        <v>841</v>
      </c>
      <c r="N128" s="3146">
        <f t="shared" si="96"/>
        <v>841</v>
      </c>
      <c r="O128" s="3146">
        <f t="shared" si="96"/>
        <v>841</v>
      </c>
      <c r="P128" s="3146">
        <f t="shared" si="96"/>
        <v>841</v>
      </c>
    </row>
    <row r="129" spans="2:16">
      <c r="B129" s="3350" t="s">
        <v>915</v>
      </c>
      <c r="C129" s="3351">
        <f t="shared" ref="C129:P129" si="97">SUM(C125:C128)</f>
        <v>5039</v>
      </c>
      <c r="D129" s="3351">
        <f t="shared" si="97"/>
        <v>5039</v>
      </c>
      <c r="E129" s="3351">
        <f t="shared" si="97"/>
        <v>5039</v>
      </c>
      <c r="F129" s="3351">
        <f t="shared" si="97"/>
        <v>5039</v>
      </c>
      <c r="G129" s="3351">
        <f t="shared" si="97"/>
        <v>3784.6436611743652</v>
      </c>
      <c r="H129" s="3351">
        <f t="shared" ca="1" si="97"/>
        <v>3583.0920358713029</v>
      </c>
      <c r="I129" s="3351">
        <f t="shared" ca="1" si="97"/>
        <v>3576.411142757579</v>
      </c>
      <c r="J129" s="3351">
        <f t="shared" ca="1" si="97"/>
        <v>3570.6806350833717</v>
      </c>
      <c r="K129" s="3351">
        <f t="shared" ca="1" si="97"/>
        <v>3565.8092216758391</v>
      </c>
      <c r="L129" s="3351">
        <f t="shared" ca="1" si="97"/>
        <v>3561.7090029127858</v>
      </c>
      <c r="M129" s="3351">
        <f t="shared" ca="1" si="97"/>
        <v>3558.3310507296592</v>
      </c>
      <c r="N129" s="3351">
        <f t="shared" ca="1" si="97"/>
        <v>3555.6216431184048</v>
      </c>
      <c r="O129" s="3351">
        <f t="shared" ca="1" si="97"/>
        <v>3553.5344842895934</v>
      </c>
      <c r="P129" s="3351">
        <f t="shared" ca="1" si="97"/>
        <v>3552.0299197957565</v>
      </c>
    </row>
    <row r="130" spans="2:16">
      <c r="E130" s="3146"/>
      <c r="F130" s="3146"/>
      <c r="G130" s="3146"/>
      <c r="H130" s="3146"/>
      <c r="I130" s="3146"/>
      <c r="J130" s="3146"/>
    </row>
    <row r="131" spans="2:16">
      <c r="B131" t="s">
        <v>1818</v>
      </c>
      <c r="C131" s="3358">
        <v>47247</v>
      </c>
      <c r="D131" s="74">
        <f>+C131-1750</f>
        <v>45497</v>
      </c>
      <c r="E131" s="74">
        <f>+D131-1750</f>
        <v>43747</v>
      </c>
      <c r="F131" s="74">
        <f>+E131-1250</f>
        <v>42497</v>
      </c>
      <c r="G131" s="74">
        <f>+F131-1250</f>
        <v>41247</v>
      </c>
      <c r="H131" s="74">
        <f>+G131-1250</f>
        <v>39997</v>
      </c>
      <c r="I131" s="74">
        <f>+H131-1000</f>
        <v>38997</v>
      </c>
      <c r="J131" s="74">
        <f ca="1">+I131*(1+J48)</f>
        <v>39340.755327541527</v>
      </c>
      <c r="K131" s="74">
        <f t="shared" ref="K131:P131" ca="1" si="98">+J131*(1+K48)</f>
        <v>39737.994532349127</v>
      </c>
      <c r="L131" s="74">
        <f t="shared" ca="1" si="98"/>
        <v>40201.602429491191</v>
      </c>
      <c r="M131" s="74">
        <f t="shared" ca="1" si="98"/>
        <v>40685.170867983979</v>
      </c>
      <c r="N131" s="74">
        <f t="shared" ca="1" si="98"/>
        <v>41184.827387538826</v>
      </c>
      <c r="O131" s="74">
        <f t="shared" ca="1" si="98"/>
        <v>41697.019133812835</v>
      </c>
      <c r="P131" s="74">
        <f t="shared" ca="1" si="98"/>
        <v>42218.487139792516</v>
      </c>
    </row>
    <row r="132" spans="2:16">
      <c r="E132" s="3146"/>
      <c r="F132" s="3146"/>
      <c r="G132" s="3146"/>
      <c r="H132" s="3146"/>
      <c r="I132" s="3146"/>
      <c r="J132" s="3146"/>
    </row>
    <row r="133" spans="2:16">
      <c r="B133" s="3146" t="s">
        <v>1819</v>
      </c>
      <c r="C133" s="3356">
        <v>3569</v>
      </c>
      <c r="D133" s="3363">
        <f>+C133</f>
        <v>3569</v>
      </c>
      <c r="E133" s="3363">
        <f t="shared" ref="E133:P133" si="99">+D133</f>
        <v>3569</v>
      </c>
      <c r="F133" s="3363">
        <f t="shared" si="99"/>
        <v>3569</v>
      </c>
      <c r="G133" s="3363">
        <f t="shared" si="99"/>
        <v>3569</v>
      </c>
      <c r="H133" s="3363">
        <f t="shared" si="99"/>
        <v>3569</v>
      </c>
      <c r="I133" s="3363">
        <f t="shared" si="99"/>
        <v>3569</v>
      </c>
      <c r="J133" s="3363">
        <f t="shared" si="99"/>
        <v>3569</v>
      </c>
      <c r="K133" s="3363">
        <f t="shared" si="99"/>
        <v>3569</v>
      </c>
      <c r="L133" s="3363">
        <f t="shared" si="99"/>
        <v>3569</v>
      </c>
      <c r="M133" s="3363">
        <f t="shared" si="99"/>
        <v>3569</v>
      </c>
      <c r="N133" s="3363">
        <f t="shared" si="99"/>
        <v>3569</v>
      </c>
      <c r="O133" s="3363">
        <f t="shared" si="99"/>
        <v>3569</v>
      </c>
      <c r="P133" s="3363">
        <f t="shared" si="99"/>
        <v>3569</v>
      </c>
    </row>
    <row r="134" spans="2:16">
      <c r="B134" s="3146" t="s">
        <v>1820</v>
      </c>
      <c r="C134" s="3356">
        <v>5258</v>
      </c>
      <c r="D134" s="3363">
        <f>+C134</f>
        <v>5258</v>
      </c>
      <c r="E134" s="3363">
        <f t="shared" ref="E134:P134" si="100">+D134</f>
        <v>5258</v>
      </c>
      <c r="F134" s="3363">
        <f t="shared" si="100"/>
        <v>5258</v>
      </c>
      <c r="G134" s="3363">
        <f t="shared" si="100"/>
        <v>5258</v>
      </c>
      <c r="H134" s="3363">
        <f t="shared" si="100"/>
        <v>5258</v>
      </c>
      <c r="I134" s="3363">
        <f t="shared" si="100"/>
        <v>5258</v>
      </c>
      <c r="J134" s="3363">
        <f t="shared" si="100"/>
        <v>5258</v>
      </c>
      <c r="K134" s="3363">
        <f t="shared" si="100"/>
        <v>5258</v>
      </c>
      <c r="L134" s="3363">
        <f t="shared" si="100"/>
        <v>5258</v>
      </c>
      <c r="M134" s="3363">
        <f t="shared" si="100"/>
        <v>5258</v>
      </c>
      <c r="N134" s="3363">
        <f t="shared" si="100"/>
        <v>5258</v>
      </c>
      <c r="O134" s="3363">
        <f t="shared" si="100"/>
        <v>5258</v>
      </c>
      <c r="P134" s="3363">
        <f t="shared" si="100"/>
        <v>5258</v>
      </c>
    </row>
    <row r="135" spans="2:16">
      <c r="B135" s="3146" t="s">
        <v>1058</v>
      </c>
      <c r="C135" s="3356">
        <v>1466</v>
      </c>
      <c r="D135" s="3363">
        <f>+C135</f>
        <v>1466</v>
      </c>
      <c r="E135" s="3363">
        <f t="shared" ref="E135:P135" si="101">+D135</f>
        <v>1466</v>
      </c>
      <c r="F135" s="3363">
        <f t="shared" si="101"/>
        <v>1466</v>
      </c>
      <c r="G135" s="3363">
        <f t="shared" si="101"/>
        <v>1466</v>
      </c>
      <c r="H135" s="3363">
        <f t="shared" si="101"/>
        <v>1466</v>
      </c>
      <c r="I135" s="3363">
        <f t="shared" si="101"/>
        <v>1466</v>
      </c>
      <c r="J135" s="3363">
        <f t="shared" si="101"/>
        <v>1466</v>
      </c>
      <c r="K135" s="3363">
        <f t="shared" si="101"/>
        <v>1466</v>
      </c>
      <c r="L135" s="3363">
        <f t="shared" si="101"/>
        <v>1466</v>
      </c>
      <c r="M135" s="3363">
        <f t="shared" si="101"/>
        <v>1466</v>
      </c>
      <c r="N135" s="3363">
        <f t="shared" si="101"/>
        <v>1466</v>
      </c>
      <c r="O135" s="3363">
        <f t="shared" si="101"/>
        <v>1466</v>
      </c>
      <c r="P135" s="3363">
        <f t="shared" si="101"/>
        <v>1466</v>
      </c>
    </row>
    <row r="136" spans="2:16">
      <c r="B136" s="3350" t="s">
        <v>1821</v>
      </c>
      <c r="C136" s="3352">
        <f t="shared" ref="C136:P136" si="102">SUM(C133:C135)</f>
        <v>10293</v>
      </c>
      <c r="D136" s="3352">
        <f t="shared" si="102"/>
        <v>10293</v>
      </c>
      <c r="E136" s="3352">
        <f t="shared" si="102"/>
        <v>10293</v>
      </c>
      <c r="F136" s="3352">
        <f t="shared" si="102"/>
        <v>10293</v>
      </c>
      <c r="G136" s="3352">
        <f t="shared" si="102"/>
        <v>10293</v>
      </c>
      <c r="H136" s="3352">
        <f t="shared" si="102"/>
        <v>10293</v>
      </c>
      <c r="I136" s="3352">
        <f t="shared" si="102"/>
        <v>10293</v>
      </c>
      <c r="J136" s="3352">
        <f t="shared" si="102"/>
        <v>10293</v>
      </c>
      <c r="K136" s="3352">
        <f t="shared" si="102"/>
        <v>10293</v>
      </c>
      <c r="L136" s="3352">
        <f t="shared" si="102"/>
        <v>10293</v>
      </c>
      <c r="M136" s="3352">
        <f t="shared" si="102"/>
        <v>10293</v>
      </c>
      <c r="N136" s="3352">
        <f t="shared" si="102"/>
        <v>10293</v>
      </c>
      <c r="O136" s="3352">
        <f t="shared" si="102"/>
        <v>10293</v>
      </c>
      <c r="P136" s="3352">
        <f t="shared" si="102"/>
        <v>10293</v>
      </c>
    </row>
    <row r="137" spans="2:16">
      <c r="E137" s="3146"/>
      <c r="F137" s="3146"/>
      <c r="G137" s="3146"/>
      <c r="H137" s="3146"/>
      <c r="I137" s="3146"/>
      <c r="J137" s="3146"/>
    </row>
    <row r="138" spans="2:16">
      <c r="B138" s="3350" t="s">
        <v>1822</v>
      </c>
      <c r="C138" s="3352">
        <f>+C129+C131+C136</f>
        <v>62579</v>
      </c>
      <c r="D138" s="3352">
        <f>+D129+D131+D136</f>
        <v>60829</v>
      </c>
      <c r="E138" s="3352">
        <f>+E129+E131+E136</f>
        <v>59079</v>
      </c>
      <c r="F138" s="3352">
        <f t="shared" ref="F138:P138" si="103">+F129+F131+F136</f>
        <v>57829</v>
      </c>
      <c r="G138" s="3352">
        <f t="shared" si="103"/>
        <v>55324.643661174363</v>
      </c>
      <c r="H138" s="3352">
        <f t="shared" ca="1" si="103"/>
        <v>53873.092035871305</v>
      </c>
      <c r="I138" s="3352">
        <f t="shared" ca="1" si="103"/>
        <v>52866.411142757577</v>
      </c>
      <c r="J138" s="3352">
        <f t="shared" ca="1" si="103"/>
        <v>53204.435962624899</v>
      </c>
      <c r="K138" s="3352">
        <f t="shared" ca="1" si="103"/>
        <v>53596.803754024964</v>
      </c>
      <c r="L138" s="3352">
        <f t="shared" ca="1" si="103"/>
        <v>54056.311432403978</v>
      </c>
      <c r="M138" s="3352">
        <f t="shared" ca="1" si="103"/>
        <v>54536.501918713635</v>
      </c>
      <c r="N138" s="3352">
        <f t="shared" ca="1" si="103"/>
        <v>55033.449030657233</v>
      </c>
      <c r="O138" s="3352">
        <f t="shared" ca="1" si="103"/>
        <v>55543.553618102429</v>
      </c>
      <c r="P138" s="3352">
        <f t="shared" ca="1" si="103"/>
        <v>56063.517059588274</v>
      </c>
    </row>
    <row r="139" spans="2:16">
      <c r="E139" s="3146"/>
      <c r="F139" s="3146"/>
      <c r="G139" s="3146"/>
      <c r="H139" s="3146"/>
      <c r="I139" s="3146"/>
      <c r="J139" s="3146"/>
    </row>
    <row r="140" spans="2:16">
      <c r="B140" t="s">
        <v>1823</v>
      </c>
      <c r="C140" s="3355">
        <v>0</v>
      </c>
      <c r="D140" s="74">
        <f t="shared" ref="D140:F141" si="104">+C140</f>
        <v>0</v>
      </c>
      <c r="E140" s="74">
        <f t="shared" si="104"/>
        <v>0</v>
      </c>
      <c r="F140" s="74">
        <f t="shared" si="104"/>
        <v>0</v>
      </c>
      <c r="G140" s="74">
        <f t="shared" ref="G140:P140" si="105">+F140</f>
        <v>0</v>
      </c>
      <c r="H140" s="74">
        <f t="shared" si="105"/>
        <v>0</v>
      </c>
      <c r="I140" s="74">
        <f t="shared" si="105"/>
        <v>0</v>
      </c>
      <c r="J140" s="74">
        <f t="shared" si="105"/>
        <v>0</v>
      </c>
      <c r="K140" s="74">
        <f t="shared" si="105"/>
        <v>0</v>
      </c>
      <c r="L140" s="74">
        <f t="shared" si="105"/>
        <v>0</v>
      </c>
      <c r="M140" s="74">
        <f t="shared" si="105"/>
        <v>0</v>
      </c>
      <c r="N140" s="74">
        <f t="shared" si="105"/>
        <v>0</v>
      </c>
      <c r="O140" s="74">
        <f t="shared" si="105"/>
        <v>0</v>
      </c>
      <c r="P140" s="74">
        <f t="shared" si="105"/>
        <v>0</v>
      </c>
    </row>
    <row r="141" spans="2:16" s="3146" customFormat="1">
      <c r="B141" s="3146" t="s">
        <v>921</v>
      </c>
      <c r="C141" s="3355">
        <v>1061</v>
      </c>
      <c r="D141" s="74">
        <f t="shared" si="104"/>
        <v>1061</v>
      </c>
      <c r="E141" s="74">
        <f t="shared" si="104"/>
        <v>1061</v>
      </c>
      <c r="F141" s="74">
        <f t="shared" si="104"/>
        <v>1061</v>
      </c>
      <c r="G141" s="74">
        <f t="shared" ref="G141:P141" si="106">+F141</f>
        <v>1061</v>
      </c>
      <c r="H141" s="74">
        <f t="shared" si="106"/>
        <v>1061</v>
      </c>
      <c r="I141" s="74">
        <f t="shared" si="106"/>
        <v>1061</v>
      </c>
      <c r="J141" s="74">
        <f t="shared" si="106"/>
        <v>1061</v>
      </c>
      <c r="K141" s="74">
        <f t="shared" si="106"/>
        <v>1061</v>
      </c>
      <c r="L141" s="74">
        <f t="shared" si="106"/>
        <v>1061</v>
      </c>
      <c r="M141" s="74">
        <f t="shared" si="106"/>
        <v>1061</v>
      </c>
      <c r="N141" s="74">
        <f t="shared" si="106"/>
        <v>1061</v>
      </c>
      <c r="O141" s="74">
        <f t="shared" si="106"/>
        <v>1061</v>
      </c>
      <c r="P141" s="74">
        <f t="shared" si="106"/>
        <v>1061</v>
      </c>
    </row>
    <row r="142" spans="2:16">
      <c r="B142" t="s">
        <v>693</v>
      </c>
      <c r="C142" s="3355">
        <v>27876</v>
      </c>
      <c r="D142" s="74">
        <f t="shared" ref="D142:P142" si="107">+C142+D170+D161</f>
        <v>27934.345000000001</v>
      </c>
      <c r="E142" s="74">
        <f t="shared" ca="1" si="107"/>
        <v>28033.350249931678</v>
      </c>
      <c r="F142" s="74">
        <f ca="1">+E142+F170+F161</f>
        <v>28137.10952514271</v>
      </c>
      <c r="G142" s="74">
        <f t="shared" ca="1" si="107"/>
        <v>28246.001727985691</v>
      </c>
      <c r="H142" s="74">
        <f t="shared" ca="1" si="107"/>
        <v>28360.423486874424</v>
      </c>
      <c r="I142" s="74">
        <f t="shared" ca="1" si="107"/>
        <v>28480.765667454507</v>
      </c>
      <c r="J142" s="74">
        <f t="shared" ca="1" si="107"/>
        <v>27857.45140290949</v>
      </c>
      <c r="K142" s="74">
        <f t="shared" ca="1" si="107"/>
        <v>27240.944365059142</v>
      </c>
      <c r="L142" s="74">
        <f t="shared" ca="1" si="107"/>
        <v>26631.754998459372</v>
      </c>
      <c r="M142" s="74">
        <f t="shared" ca="1" si="107"/>
        <v>25780.371462437055</v>
      </c>
      <c r="N142" s="74">
        <f t="shared" ca="1" si="107"/>
        <v>24937.307064425335</v>
      </c>
      <c r="O142" s="74">
        <f t="shared" ca="1" si="107"/>
        <v>24103.101789180182</v>
      </c>
      <c r="P142" s="74">
        <f t="shared" ca="1" si="107"/>
        <v>23028.32394434528</v>
      </c>
    </row>
    <row r="143" spans="2:16">
      <c r="B143" t="s">
        <v>1824</v>
      </c>
      <c r="C143" s="287">
        <f>+C123-C138-C140-C141-C142-C144</f>
        <v>-9020.7260023343697</v>
      </c>
      <c r="D143" s="74">
        <f>+C143</f>
        <v>-9020.7260023343697</v>
      </c>
      <c r="E143" s="74">
        <f t="shared" ref="E143:P143" si="108">+D143</f>
        <v>-9020.7260023343697</v>
      </c>
      <c r="F143" s="74">
        <f t="shared" si="108"/>
        <v>-9020.7260023343697</v>
      </c>
      <c r="G143" s="74">
        <f t="shared" si="108"/>
        <v>-9020.7260023343697</v>
      </c>
      <c r="H143" s="74">
        <f t="shared" si="108"/>
        <v>-9020.7260023343697</v>
      </c>
      <c r="I143" s="74">
        <f t="shared" si="108"/>
        <v>-9020.7260023343697</v>
      </c>
      <c r="J143" s="74">
        <f t="shared" si="108"/>
        <v>-9020.7260023343697</v>
      </c>
      <c r="K143" s="74">
        <f t="shared" si="108"/>
        <v>-9020.7260023343697</v>
      </c>
      <c r="L143" s="74">
        <f t="shared" si="108"/>
        <v>-9020.7260023343697</v>
      </c>
      <c r="M143" s="74">
        <f t="shared" si="108"/>
        <v>-9020.7260023343697</v>
      </c>
      <c r="N143" s="74">
        <f t="shared" si="108"/>
        <v>-9020.7260023343697</v>
      </c>
      <c r="O143" s="74">
        <f t="shared" si="108"/>
        <v>-9020.7260023343697</v>
      </c>
      <c r="P143" s="74">
        <f t="shared" si="108"/>
        <v>-9020.7260023343697</v>
      </c>
    </row>
    <row r="144" spans="2:16">
      <c r="B144" t="s">
        <v>1825</v>
      </c>
      <c r="C144" s="3355">
        <v>-156</v>
      </c>
      <c r="D144" s="74">
        <f t="shared" ref="D144:P144" ca="1" si="109">+C144+D76+D171</f>
        <v>-24501.463783975923</v>
      </c>
      <c r="E144" s="74">
        <f t="shared" ca="1" si="109"/>
        <v>-48335.286461070711</v>
      </c>
      <c r="F144" s="74">
        <f t="shared" ca="1" si="109"/>
        <v>-71663.379230367878</v>
      </c>
      <c r="G144" s="74">
        <f t="shared" ca="1" si="109"/>
        <v>-73410.171231848348</v>
      </c>
      <c r="H144" s="74">
        <f t="shared" ca="1" si="109"/>
        <v>-71615.64715762448</v>
      </c>
      <c r="I144" s="74">
        <f t="shared" ca="1" si="109"/>
        <v>-69609.471736723208</v>
      </c>
      <c r="J144" s="74">
        <f t="shared" ca="1" si="109"/>
        <v>-67128.025625497059</v>
      </c>
      <c r="K144" s="74">
        <f t="shared" ca="1" si="109"/>
        <v>-64418.853281805903</v>
      </c>
      <c r="L144" s="74">
        <f t="shared" ca="1" si="109"/>
        <v>-60221.647009489127</v>
      </c>
      <c r="M144" s="74">
        <f t="shared" ca="1" si="109"/>
        <v>-55833.929758455204</v>
      </c>
      <c r="N144" s="74">
        <f t="shared" ca="1" si="109"/>
        <v>-51266.531534699032</v>
      </c>
      <c r="O144" s="74">
        <f t="shared" ca="1" si="109"/>
        <v>-46517.78165169459</v>
      </c>
      <c r="P144" s="74">
        <f t="shared" ca="1" si="109"/>
        <v>-41575.875427097279</v>
      </c>
    </row>
    <row r="145" spans="2:16">
      <c r="B145" s="3350" t="s">
        <v>1843</v>
      </c>
      <c r="C145" s="3352">
        <f t="shared" ref="C145:P145" si="110">SUM(C140:C144)</f>
        <v>19760.27399766563</v>
      </c>
      <c r="D145" s="3507">
        <f t="shared" ca="1" si="110"/>
        <v>-4526.844786310292</v>
      </c>
      <c r="E145" s="3507">
        <f t="shared" ca="1" si="110"/>
        <v>-28261.662213473403</v>
      </c>
      <c r="F145" s="3507">
        <f t="shared" ca="1" si="110"/>
        <v>-51485.995707559538</v>
      </c>
      <c r="G145" s="3507">
        <f t="shared" ca="1" si="110"/>
        <v>-53123.895506197026</v>
      </c>
      <c r="H145" s="3507">
        <f t="shared" ca="1" si="110"/>
        <v>-51214.949673084426</v>
      </c>
      <c r="I145" s="3507">
        <f t="shared" ca="1" si="110"/>
        <v>-49088.432071603071</v>
      </c>
      <c r="J145" s="3507">
        <f t="shared" ca="1" si="110"/>
        <v>-47230.300224921943</v>
      </c>
      <c r="K145" s="3507">
        <f t="shared" ca="1" si="110"/>
        <v>-45137.634919081131</v>
      </c>
      <c r="L145" s="3507">
        <f t="shared" ca="1" si="110"/>
        <v>-41549.618013364125</v>
      </c>
      <c r="M145" s="3507">
        <f t="shared" ca="1" si="110"/>
        <v>-38013.284298352519</v>
      </c>
      <c r="N145" s="3507">
        <f t="shared" ca="1" si="110"/>
        <v>-34288.950472608063</v>
      </c>
      <c r="O145" s="3507">
        <f t="shared" ca="1" si="110"/>
        <v>-30374.405864848777</v>
      </c>
      <c r="P145" s="3507">
        <f t="shared" ca="1" si="110"/>
        <v>-26507.277485086368</v>
      </c>
    </row>
    <row r="146" spans="2:16" ht="13.5" thickBot="1">
      <c r="D146" s="3146"/>
      <c r="E146" s="3146"/>
      <c r="F146" s="3146"/>
      <c r="G146" s="3146"/>
      <c r="H146" s="3146"/>
      <c r="I146" s="3146"/>
      <c r="J146" s="3146"/>
    </row>
    <row r="147" spans="2:16">
      <c r="B147" s="3353" t="s">
        <v>1826</v>
      </c>
      <c r="C147" s="3354">
        <f>+C138+C145</f>
        <v>82339.27399766563</v>
      </c>
      <c r="D147" s="3354">
        <f ca="1">+D138+D145</f>
        <v>56302.155213689708</v>
      </c>
      <c r="E147" s="3354">
        <f ca="1">+E138+E145</f>
        <v>30817.337786526597</v>
      </c>
      <c r="F147" s="3354">
        <f t="shared" ref="F147:P147" ca="1" si="111">+F138+F145</f>
        <v>6343.0042924404625</v>
      </c>
      <c r="G147" s="3354">
        <f t="shared" ca="1" si="111"/>
        <v>2200.7481549773365</v>
      </c>
      <c r="H147" s="3354">
        <f t="shared" ca="1" si="111"/>
        <v>2658.1423627868789</v>
      </c>
      <c r="I147" s="3354">
        <f t="shared" ca="1" si="111"/>
        <v>3777.9790711545065</v>
      </c>
      <c r="J147" s="3354">
        <f t="shared" ca="1" si="111"/>
        <v>5974.1357377029562</v>
      </c>
      <c r="K147" s="3354">
        <f t="shared" ca="1" si="111"/>
        <v>8459.1688349438336</v>
      </c>
      <c r="L147" s="3354">
        <f t="shared" ca="1" si="111"/>
        <v>12506.693419039853</v>
      </c>
      <c r="M147" s="3354">
        <f t="shared" ca="1" si="111"/>
        <v>16523.217620361116</v>
      </c>
      <c r="N147" s="3354">
        <f t="shared" ca="1" si="111"/>
        <v>20744.49855804917</v>
      </c>
      <c r="O147" s="3354">
        <f t="shared" ca="1" si="111"/>
        <v>25169.147753253652</v>
      </c>
      <c r="P147" s="3354">
        <f t="shared" ca="1" si="111"/>
        <v>29556.239574501906</v>
      </c>
    </row>
    <row r="148" spans="2:16">
      <c r="E148" s="3146"/>
      <c r="F148" s="3146"/>
      <c r="G148" s="3146"/>
      <c r="H148" s="3146"/>
      <c r="I148" s="3146"/>
      <c r="J148" s="3146"/>
    </row>
    <row r="149" spans="2:16">
      <c r="B149" t="s">
        <v>795</v>
      </c>
      <c r="C149" s="2522">
        <f>+C123-C147</f>
        <v>0</v>
      </c>
      <c r="D149" s="2522">
        <f ca="1">+D123-D147</f>
        <v>0</v>
      </c>
      <c r="E149" s="2522">
        <f ca="1">+E123-E147</f>
        <v>0</v>
      </c>
      <c r="F149" s="2522">
        <f t="shared" ref="F149:P149" ca="1" si="112">+F123-F147</f>
        <v>7.2759576141834259E-12</v>
      </c>
      <c r="G149" s="2522">
        <f t="shared" ca="1" si="112"/>
        <v>1.4551915228366852E-11</v>
      </c>
      <c r="H149" s="2522">
        <f t="shared" ca="1" si="112"/>
        <v>0</v>
      </c>
      <c r="I149" s="2522">
        <f t="shared" ca="1" si="112"/>
        <v>1.4551915228366852E-11</v>
      </c>
      <c r="J149" s="2522">
        <f t="shared" ca="1" si="112"/>
        <v>1.4551915228366852E-11</v>
      </c>
      <c r="K149" s="2522">
        <f t="shared" ca="1" si="112"/>
        <v>1.4551915228366852E-11</v>
      </c>
      <c r="L149" s="2522">
        <f t="shared" ca="1" si="112"/>
        <v>2.9103830456733704E-11</v>
      </c>
      <c r="M149" s="2522">
        <f t="shared" ca="1" si="112"/>
        <v>2.9103830456733704E-11</v>
      </c>
      <c r="N149" s="2522">
        <f t="shared" ca="1" si="112"/>
        <v>2.9103830456733704E-11</v>
      </c>
      <c r="O149" s="2522">
        <f ca="1">+O123-O147</f>
        <v>0</v>
      </c>
      <c r="P149" s="2522">
        <f t="shared" ca="1" si="112"/>
        <v>0</v>
      </c>
    </row>
    <row r="150" spans="2:16" s="3146" customFormat="1">
      <c r="C150" s="2522"/>
      <c r="D150" s="2522"/>
      <c r="E150" s="2522"/>
      <c r="F150" s="2522"/>
      <c r="G150" s="2522"/>
      <c r="H150" s="2522"/>
      <c r="I150" s="2522"/>
      <c r="J150" s="2522"/>
      <c r="K150" s="2522"/>
      <c r="L150" s="2522"/>
      <c r="M150" s="2522"/>
      <c r="N150" s="2522"/>
      <c r="O150" s="2522"/>
      <c r="P150" s="2522"/>
    </row>
    <row r="151" spans="2:16" s="3146" customFormat="1">
      <c r="B151" t="s">
        <v>1849</v>
      </c>
      <c r="C151" s="287">
        <f>+C125+C131-C109</f>
        <v>45471.72600233437</v>
      </c>
      <c r="D151" s="287">
        <f>+D125+D131</f>
        <v>45999</v>
      </c>
      <c r="E151" s="287">
        <f t="shared" ref="E151:P151" si="113">+E125+E131</f>
        <v>44249</v>
      </c>
      <c r="F151" s="287">
        <f t="shared" si="113"/>
        <v>42999</v>
      </c>
      <c r="G151" s="287">
        <f t="shared" si="113"/>
        <v>41749</v>
      </c>
      <c r="H151" s="287">
        <f t="shared" si="113"/>
        <v>40499</v>
      </c>
      <c r="I151" s="287">
        <f t="shared" si="113"/>
        <v>39499</v>
      </c>
      <c r="J151" s="287">
        <f t="shared" ca="1" si="113"/>
        <v>39842.755327541527</v>
      </c>
      <c r="K151" s="287">
        <f t="shared" ca="1" si="113"/>
        <v>40239.994532349127</v>
      </c>
      <c r="L151" s="287">
        <f t="shared" ca="1" si="113"/>
        <v>40703.602429491191</v>
      </c>
      <c r="M151" s="287">
        <f t="shared" ca="1" si="113"/>
        <v>41187.170867983979</v>
      </c>
      <c r="N151" s="287">
        <f t="shared" ca="1" si="113"/>
        <v>41686.827387538826</v>
      </c>
      <c r="O151" s="287">
        <f t="shared" ca="1" si="113"/>
        <v>42199.019133812835</v>
      </c>
      <c r="P151" s="287">
        <f t="shared" ca="1" si="113"/>
        <v>42720.487139792516</v>
      </c>
    </row>
    <row r="152" spans="2:16" s="3617" customFormat="1">
      <c r="B152" s="3617" t="s">
        <v>1977</v>
      </c>
      <c r="C152" s="287"/>
      <c r="D152" s="287">
        <f ca="1">+D125+D131-D109</f>
        <v>78836.609066910605</v>
      </c>
      <c r="E152" s="287">
        <f t="shared" ref="E152:P152" ca="1" si="114">+E125+E131-E109</f>
        <v>111406.60649594211</v>
      </c>
      <c r="F152" s="287">
        <f t="shared" ca="1" si="114"/>
        <v>143306.97093791861</v>
      </c>
      <c r="G152" s="287">
        <f t="shared" ca="1" si="114"/>
        <v>143357.62580325804</v>
      </c>
      <c r="H152" s="287">
        <f t="shared" ca="1" si="114"/>
        <v>138640.64064887428</v>
      </c>
      <c r="I152" s="287">
        <f t="shared" ca="1" si="114"/>
        <v>97476.547520782653</v>
      </c>
      <c r="J152" s="287">
        <f t="shared" ca="1" si="114"/>
        <v>93479.051976496703</v>
      </c>
      <c r="K152" s="287">
        <f t="shared" ca="1" si="114"/>
        <v>89363.336633071318</v>
      </c>
      <c r="L152" s="287">
        <f t="shared" ca="1" si="114"/>
        <v>85770.356220366491</v>
      </c>
      <c r="M152" s="287">
        <f t="shared" ca="1" si="114"/>
        <v>82249.129854732018</v>
      </c>
      <c r="N152" s="287">
        <f t="shared" ca="1" si="114"/>
        <v>78541.959370864672</v>
      </c>
      <c r="O152" s="287">
        <f t="shared" ca="1" si="114"/>
        <v>74646.381644970505</v>
      </c>
      <c r="P152" s="287">
        <f t="shared" ca="1" si="114"/>
        <v>70799.797710194907</v>
      </c>
    </row>
    <row r="153" spans="2:16" s="3146" customFormat="1">
      <c r="B153" s="3146" t="s">
        <v>1850</v>
      </c>
      <c r="C153" s="3369">
        <f>+C55/C151</f>
        <v>4.7993193247630399E-2</v>
      </c>
      <c r="D153" s="3369">
        <v>5.5E-2</v>
      </c>
      <c r="E153" s="3369">
        <v>5.5E-2</v>
      </c>
      <c r="F153" s="65">
        <f t="shared" ref="F153:P153" si="115">+E153</f>
        <v>5.5E-2</v>
      </c>
      <c r="G153" s="65">
        <f t="shared" si="115"/>
        <v>5.5E-2</v>
      </c>
      <c r="H153" s="65">
        <f t="shared" si="115"/>
        <v>5.5E-2</v>
      </c>
      <c r="I153" s="65">
        <f t="shared" si="115"/>
        <v>5.5E-2</v>
      </c>
      <c r="J153" s="65">
        <f t="shared" si="115"/>
        <v>5.5E-2</v>
      </c>
      <c r="K153" s="65">
        <f t="shared" si="115"/>
        <v>5.5E-2</v>
      </c>
      <c r="L153" s="65">
        <f t="shared" si="115"/>
        <v>5.5E-2</v>
      </c>
      <c r="M153" s="65">
        <f t="shared" si="115"/>
        <v>5.5E-2</v>
      </c>
      <c r="N153" s="65">
        <f t="shared" si="115"/>
        <v>5.5E-2</v>
      </c>
      <c r="O153" s="65">
        <f t="shared" si="115"/>
        <v>5.5E-2</v>
      </c>
      <c r="P153" s="65">
        <f t="shared" si="115"/>
        <v>5.5E-2</v>
      </c>
    </row>
    <row r="154" spans="2:16" s="3146" customFormat="1">
      <c r="B154" t="s">
        <v>1807</v>
      </c>
      <c r="C154" s="3371">
        <f>+C151/C47</f>
        <v>-2.3466159148487504</v>
      </c>
      <c r="D154" s="3371">
        <f ca="1">+D152/D47</f>
        <v>-3.2134029837109512</v>
      </c>
      <c r="E154" s="3371">
        <f t="shared" ref="E154:P154" ca="1" si="116">+E152/E47</f>
        <v>-4.71200901723115</v>
      </c>
      <c r="F154" s="3371">
        <f t="shared" ca="1" si="116"/>
        <v>-6.2263981233245778</v>
      </c>
      <c r="G154" s="3371">
        <f t="shared" ca="1" si="116"/>
        <v>13.891473992637312</v>
      </c>
      <c r="H154" s="3371">
        <f t="shared" ca="1" si="116"/>
        <v>8.8859255761130775</v>
      </c>
      <c r="I154" s="3371">
        <f t="shared" ca="1" si="116"/>
        <v>6.19931113670751</v>
      </c>
      <c r="J154" s="3371">
        <f t="shared" ca="1" si="116"/>
        <v>5.8931310482732862</v>
      </c>
      <c r="K154" s="3371">
        <f t="shared" ca="1" si="116"/>
        <v>5.5773503186029041</v>
      </c>
      <c r="L154" s="3371">
        <f t="shared" ca="1" si="116"/>
        <v>5.2913725851465054</v>
      </c>
      <c r="M154" s="3371">
        <f t="shared" ca="1" si="116"/>
        <v>5.0138306541551403</v>
      </c>
      <c r="N154" s="3371">
        <f t="shared" ca="1" si="116"/>
        <v>4.7297585902413957</v>
      </c>
      <c r="O154" s="3371">
        <f t="shared" ca="1" si="116"/>
        <v>4.4399516973025941</v>
      </c>
      <c r="P154" s="3371">
        <f t="shared" ca="1" si="116"/>
        <v>4.1591429136377753</v>
      </c>
    </row>
    <row r="155" spans="2:16" s="3146" customFormat="1">
      <c r="C155" s="2522"/>
      <c r="D155" s="2522"/>
      <c r="E155" s="2522"/>
      <c r="F155" s="2522"/>
      <c r="G155" s="2522"/>
      <c r="H155" s="2522"/>
      <c r="I155" s="2522"/>
      <c r="J155" s="2522"/>
      <c r="K155" s="2522"/>
      <c r="L155" s="2522"/>
      <c r="M155" s="2522"/>
      <c r="N155" s="2522"/>
      <c r="O155" s="2522"/>
      <c r="P155" s="2522"/>
    </row>
    <row r="156" spans="2:16" s="3146" customFormat="1">
      <c r="B156" s="2817" t="s">
        <v>1845</v>
      </c>
      <c r="C156" s="2820" t="str">
        <f t="shared" ref="C156:P156" si="117">C107</f>
        <v>2017</v>
      </c>
      <c r="D156" s="3485" t="str">
        <f t="shared" si="117"/>
        <v>2018E</v>
      </c>
      <c r="E156" s="3485" t="str">
        <f t="shared" si="117"/>
        <v>2019E</v>
      </c>
      <c r="F156" s="3485" t="str">
        <f t="shared" si="117"/>
        <v>2020E</v>
      </c>
      <c r="G156" s="3485" t="str">
        <f t="shared" si="117"/>
        <v>2021E</v>
      </c>
      <c r="H156" s="3485">
        <f t="shared" si="117"/>
        <v>2022</v>
      </c>
      <c r="I156" s="3485">
        <f t="shared" si="117"/>
        <v>2023</v>
      </c>
      <c r="J156" s="3485">
        <f t="shared" si="117"/>
        <v>2024</v>
      </c>
      <c r="K156" s="3485">
        <f t="shared" si="117"/>
        <v>2025</v>
      </c>
      <c r="L156" s="3485">
        <f t="shared" si="117"/>
        <v>2026</v>
      </c>
      <c r="M156" s="3485">
        <f t="shared" si="117"/>
        <v>2027</v>
      </c>
      <c r="N156" s="3485">
        <f t="shared" si="117"/>
        <v>2028</v>
      </c>
      <c r="O156" s="3485">
        <f t="shared" si="117"/>
        <v>2029</v>
      </c>
      <c r="P156" s="3485">
        <f t="shared" si="117"/>
        <v>2030</v>
      </c>
    </row>
    <row r="157" spans="2:16" s="3146" customFormat="1">
      <c r="C157" s="2522"/>
      <c r="D157" s="2522"/>
      <c r="E157" s="2522"/>
      <c r="F157" s="2522"/>
      <c r="G157" s="2522"/>
      <c r="H157" s="2522"/>
      <c r="I157" s="2522"/>
      <c r="J157" s="2522"/>
      <c r="K157" s="2522"/>
      <c r="L157" s="2522"/>
      <c r="M157" s="2522"/>
      <c r="N157" s="2522"/>
      <c r="O157" s="2522"/>
      <c r="P157" s="2522"/>
    </row>
    <row r="158" spans="2:16">
      <c r="B158" t="s">
        <v>1831</v>
      </c>
      <c r="D158" s="74">
        <f t="shared" ref="D158:P158" ca="1" si="118">+D76</f>
        <v>-22027.002546535925</v>
      </c>
      <c r="E158" s="74">
        <f t="shared" ca="1" si="118"/>
        <v>-21507.839980422323</v>
      </c>
      <c r="F158" s="74">
        <f t="shared" ca="1" si="118"/>
        <v>-20994.62450556576</v>
      </c>
      <c r="G158" s="74">
        <f t="shared" ca="1" si="118"/>
        <v>594.13642760767982</v>
      </c>
      <c r="H158" s="74">
        <f t="shared" ca="1" si="118"/>
        <v>4142.8966373479898</v>
      </c>
      <c r="I158" s="74">
        <f t="shared" ca="1" si="118"/>
        <v>4361.9829217608094</v>
      </c>
      <c r="J158" s="74">
        <f t="shared" ca="1" si="118"/>
        <v>4800.6839944431276</v>
      </c>
      <c r="K158" s="74">
        <f t="shared" ca="1" si="118"/>
        <v>4994.0619237837327</v>
      </c>
      <c r="L158" s="74">
        <f t="shared" ca="1" si="118"/>
        <v>6449.8648764110858</v>
      </c>
      <c r="M158" s="74">
        <f t="shared" ca="1" si="118"/>
        <v>6597.599843942874</v>
      </c>
      <c r="N158" s="74">
        <f t="shared" ca="1" si="118"/>
        <v>6737.0564067971645</v>
      </c>
      <c r="O158" s="74">
        <f t="shared" ca="1" si="118"/>
        <v>6880.6112029279966</v>
      </c>
      <c r="P158" s="74">
        <f t="shared" ca="1" si="118"/>
        <v>7027.523540968883</v>
      </c>
    </row>
    <row r="159" spans="2:16">
      <c r="B159" t="s">
        <v>1832</v>
      </c>
      <c r="D159" s="287">
        <f t="shared" ref="D159:P159" si="119">+D181</f>
        <v>6533.7163035963595</v>
      </c>
      <c r="E159" s="287">
        <f t="shared" si="119"/>
        <v>6370.6659775244325</v>
      </c>
      <c r="F159" s="287">
        <f t="shared" si="119"/>
        <v>6212.4954579739442</v>
      </c>
      <c r="G159" s="287">
        <f t="shared" si="119"/>
        <v>6072.1225024594005</v>
      </c>
      <c r="H159" s="287">
        <f t="shared" si="119"/>
        <v>5950.6800524102127</v>
      </c>
      <c r="I159" s="287">
        <f t="shared" si="119"/>
        <v>5831.666451362008</v>
      </c>
      <c r="J159" s="287">
        <f t="shared" si="119"/>
        <v>5715.0331223347675</v>
      </c>
      <c r="K159" s="287">
        <f t="shared" si="119"/>
        <v>5600.7324598880723</v>
      </c>
      <c r="L159" s="287">
        <f t="shared" si="119"/>
        <v>3569.4207088184826</v>
      </c>
      <c r="M159" s="287">
        <f t="shared" si="119"/>
        <v>3551.6317088184824</v>
      </c>
      <c r="N159" s="287">
        <f t="shared" ca="1" si="119"/>
        <v>3551.5562325546639</v>
      </c>
      <c r="O159" s="287">
        <f t="shared" ca="1" si="119"/>
        <v>3551.4632244539216</v>
      </c>
      <c r="P159" s="287">
        <f t="shared" ca="1" si="119"/>
        <v>3551.354606900265</v>
      </c>
    </row>
    <row r="160" spans="2:16">
      <c r="B160" t="s">
        <v>1836</v>
      </c>
      <c r="D160" s="2932">
        <f t="shared" ref="D160:P160" ca="1" si="120">+C110-D110+C111-D111+D126-C126+D127-C127+D128-C128+C122-D122</f>
        <v>-11767.943678903957</v>
      </c>
      <c r="E160" s="2932">
        <f t="shared" ca="1" si="120"/>
        <v>-11461.110188461924</v>
      </c>
      <c r="F160" s="2932">
        <f t="shared" ca="1" si="120"/>
        <v>-11279.518631103914</v>
      </c>
      <c r="G160" s="2932">
        <f t="shared" ca="1" si="120"/>
        <v>-916.63186034284445</v>
      </c>
      <c r="H160" s="2932">
        <f t="shared" ca="1" si="120"/>
        <v>427.14697767941107</v>
      </c>
      <c r="I160" s="2932">
        <f t="shared" ca="1" si="120"/>
        <v>36773.445784066746</v>
      </c>
      <c r="J160" s="2932">
        <f t="shared" ca="1" si="120"/>
        <v>-4.1067159114770675</v>
      </c>
      <c r="K160" s="2932">
        <f t="shared" ca="1" si="120"/>
        <v>-8.2617134850127059</v>
      </c>
      <c r="L160" s="2932">
        <f t="shared" ca="1" si="120"/>
        <v>-12.825493012177958</v>
      </c>
      <c r="M160" s="2932">
        <f t="shared" ca="1" si="120"/>
        <v>-15.182825640959891</v>
      </c>
      <c r="N160" s="2932">
        <f t="shared" ca="1" si="120"/>
        <v>-17.256349977852096</v>
      </c>
      <c r="O160" s="2932">
        <f t="shared" ca="1" si="120"/>
        <v>-19.075499418780964</v>
      </c>
      <c r="P160" s="2932">
        <f t="shared" ca="1" si="120"/>
        <v>-20.666962710386997</v>
      </c>
    </row>
    <row r="161" spans="2:16">
      <c r="B161" t="s">
        <v>1837</v>
      </c>
      <c r="D161" s="2932">
        <f t="shared" ref="D161:P161" si="121">+D65*D67</f>
        <v>58.345000000000006</v>
      </c>
      <c r="E161" s="2932">
        <f ca="1">+E65*E67</f>
        <v>99.005249931677568</v>
      </c>
      <c r="F161" s="2932">
        <f t="shared" ca="1" si="121"/>
        <v>103.75927521103077</v>
      </c>
      <c r="G161" s="2932">
        <f t="shared" ca="1" si="121"/>
        <v>108.89220284298165</v>
      </c>
      <c r="H161" s="2932">
        <f t="shared" ca="1" si="121"/>
        <v>114.42175888873454</v>
      </c>
      <c r="I161" s="2932">
        <f t="shared" ca="1" si="121"/>
        <v>120.3421805800829</v>
      </c>
      <c r="J161" s="2932">
        <f t="shared" ca="1" si="121"/>
        <v>126.68573545498406</v>
      </c>
      <c r="K161" s="2932">
        <f t="shared" ca="1" si="121"/>
        <v>133.49296214965264</v>
      </c>
      <c r="L161" s="2932">
        <f t="shared" ca="1" si="121"/>
        <v>140.81063340023118</v>
      </c>
      <c r="M161" s="2932">
        <f t="shared" ca="1" si="121"/>
        <v>148.61646397768232</v>
      </c>
      <c r="N161" s="2932">
        <f t="shared" ca="1" si="121"/>
        <v>156.9356019882801</v>
      </c>
      <c r="O161" s="2932">
        <f t="shared" ca="1" si="121"/>
        <v>165.79472475484729</v>
      </c>
      <c r="P161" s="2932">
        <f t="shared" ca="1" si="121"/>
        <v>175.22215516509704</v>
      </c>
    </row>
    <row r="162" spans="2:16">
      <c r="B162" t="s">
        <v>792</v>
      </c>
      <c r="E162" s="3146"/>
      <c r="F162" s="3146"/>
      <c r="G162" s="3146"/>
      <c r="H162" s="3146"/>
      <c r="I162" s="3146"/>
      <c r="J162" s="3146"/>
    </row>
    <row r="163" spans="2:16">
      <c r="B163" s="3350" t="s">
        <v>753</v>
      </c>
      <c r="C163" s="3350"/>
      <c r="D163" s="3352">
        <f t="shared" ref="D163:P163" ca="1" si="122">SUM(D158:D162)</f>
        <v>-27202.884921843521</v>
      </c>
      <c r="E163" s="3352">
        <f t="shared" ca="1" si="122"/>
        <v>-26499.278941428136</v>
      </c>
      <c r="F163" s="3352">
        <f t="shared" ca="1" si="122"/>
        <v>-25957.888403484696</v>
      </c>
      <c r="G163" s="3352">
        <f t="shared" ca="1" si="122"/>
        <v>5858.5192725672177</v>
      </c>
      <c r="H163" s="3352">
        <f t="shared" ca="1" si="122"/>
        <v>10635.145426326349</v>
      </c>
      <c r="I163" s="3352">
        <f t="shared" ca="1" si="122"/>
        <v>47087.437337769647</v>
      </c>
      <c r="J163" s="3352">
        <f t="shared" ca="1" si="122"/>
        <v>10638.296136321402</v>
      </c>
      <c r="K163" s="3352">
        <f t="shared" ca="1" si="122"/>
        <v>10720.025632336443</v>
      </c>
      <c r="L163" s="3352">
        <f t="shared" ca="1" si="122"/>
        <v>10147.270725617622</v>
      </c>
      <c r="M163" s="3352">
        <f t="shared" ca="1" si="122"/>
        <v>10282.665191098078</v>
      </c>
      <c r="N163" s="3352">
        <f t="shared" ca="1" si="122"/>
        <v>10428.291891362256</v>
      </c>
      <c r="O163" s="3352">
        <f t="shared" ca="1" si="122"/>
        <v>10578.793652717985</v>
      </c>
      <c r="P163" s="3352">
        <f t="shared" ca="1" si="122"/>
        <v>10733.433340323858</v>
      </c>
    </row>
    <row r="164" spans="2:16">
      <c r="E164" s="3146"/>
      <c r="F164" s="3146"/>
      <c r="G164" s="3146"/>
      <c r="H164" s="3146"/>
      <c r="I164" s="3146"/>
      <c r="J164" s="3146"/>
    </row>
    <row r="165" spans="2:16">
      <c r="B165" t="s">
        <v>1038</v>
      </c>
      <c r="D165" s="1851">
        <f t="shared" ref="D165:P165" ca="1" si="123">-D93</f>
        <v>-3763.5369052927149</v>
      </c>
      <c r="E165" s="1851">
        <f t="shared" ca="1" si="123"/>
        <v>-3664.7357909308903</v>
      </c>
      <c r="F165" s="1851">
        <f t="shared" ca="1" si="123"/>
        <v>-3609.0077747604064</v>
      </c>
      <c r="G165" s="1851">
        <f t="shared" si="123"/>
        <v>-3568.2457088184824</v>
      </c>
      <c r="H165" s="1851">
        <f t="shared" si="123"/>
        <v>-3569.7877088184823</v>
      </c>
      <c r="I165" s="1851">
        <f t="shared" si="123"/>
        <v>-3567.5367088184826</v>
      </c>
      <c r="J165" s="1851">
        <f t="shared" si="123"/>
        <v>-3571.5627088184824</v>
      </c>
      <c r="K165" s="1851">
        <f t="shared" si="123"/>
        <v>-3569.4207088184826</v>
      </c>
      <c r="L165" s="1851">
        <f t="shared" si="123"/>
        <v>-3551.6317088184824</v>
      </c>
      <c r="M165" s="1851">
        <f t="shared" ca="1" si="123"/>
        <v>-3551.5562325546639</v>
      </c>
      <c r="N165" s="1851">
        <f t="shared" ca="1" si="123"/>
        <v>-3551.4632244539216</v>
      </c>
      <c r="O165" s="1851">
        <f t="shared" ca="1" si="123"/>
        <v>-3551.354606900265</v>
      </c>
      <c r="P165" s="1851">
        <f t="shared" ca="1" si="123"/>
        <v>-3551.2320891766863</v>
      </c>
    </row>
    <row r="166" spans="2:16" s="3146" customFormat="1">
      <c r="B166" s="3146" t="s">
        <v>214</v>
      </c>
      <c r="D166" s="3456">
        <f>-160/(2)</f>
        <v>-80</v>
      </c>
      <c r="E166" s="3456">
        <f>-160/(2)</f>
        <v>-80</v>
      </c>
      <c r="F166" s="1851">
        <v>0</v>
      </c>
      <c r="G166" s="1851">
        <v>0</v>
      </c>
      <c r="H166" s="1851">
        <v>0</v>
      </c>
      <c r="I166" s="1851">
        <v>0</v>
      </c>
      <c r="J166" s="1851">
        <v>0</v>
      </c>
      <c r="K166" s="1851">
        <v>0</v>
      </c>
      <c r="L166" s="1851">
        <v>0</v>
      </c>
      <c r="M166" s="1851">
        <v>0</v>
      </c>
      <c r="N166" s="1851">
        <v>0</v>
      </c>
      <c r="O166" s="1851">
        <v>0</v>
      </c>
      <c r="P166" s="1851">
        <v>0</v>
      </c>
    </row>
    <row r="167" spans="2:16" s="3146" customFormat="1">
      <c r="B167" s="3350" t="s">
        <v>1838</v>
      </c>
      <c r="C167" s="3352"/>
      <c r="D167" s="3359">
        <f t="shared" ref="D167:P167" ca="1" si="124">SUM(D165:D166)</f>
        <v>-3843.5369052927149</v>
      </c>
      <c r="E167" s="3359">
        <f t="shared" ca="1" si="124"/>
        <v>-3744.7357909308903</v>
      </c>
      <c r="F167" s="3359">
        <f t="shared" ca="1" si="124"/>
        <v>-3609.0077747604064</v>
      </c>
      <c r="G167" s="3359">
        <f t="shared" si="124"/>
        <v>-3568.2457088184824</v>
      </c>
      <c r="H167" s="3359">
        <f t="shared" si="124"/>
        <v>-3569.7877088184823</v>
      </c>
      <c r="I167" s="3359">
        <f t="shared" si="124"/>
        <v>-3567.5367088184826</v>
      </c>
      <c r="J167" s="3359">
        <f t="shared" si="124"/>
        <v>-3571.5627088184824</v>
      </c>
      <c r="K167" s="3359">
        <f t="shared" si="124"/>
        <v>-3569.4207088184826</v>
      </c>
      <c r="L167" s="3359">
        <f t="shared" si="124"/>
        <v>-3551.6317088184824</v>
      </c>
      <c r="M167" s="3359">
        <f t="shared" ca="1" si="124"/>
        <v>-3551.5562325546639</v>
      </c>
      <c r="N167" s="3359">
        <f t="shared" ca="1" si="124"/>
        <v>-3551.4632244539216</v>
      </c>
      <c r="O167" s="3359">
        <f t="shared" ca="1" si="124"/>
        <v>-3551.354606900265</v>
      </c>
      <c r="P167" s="3359">
        <f t="shared" ca="1" si="124"/>
        <v>-3551.2320891766863</v>
      </c>
    </row>
    <row r="168" spans="2:16" s="3146" customFormat="1"/>
    <row r="169" spans="2:16" s="3146" customFormat="1">
      <c r="B169" s="3146" t="s">
        <v>1852</v>
      </c>
      <c r="D169" s="287">
        <f t="shared" ref="D169:P169" si="125">+D131-C131+D125-C125</f>
        <v>-1750</v>
      </c>
      <c r="E169" s="287">
        <f t="shared" si="125"/>
        <v>-1750</v>
      </c>
      <c r="F169" s="287">
        <f t="shared" si="125"/>
        <v>-1250</v>
      </c>
      <c r="G169" s="287">
        <f t="shared" si="125"/>
        <v>-1250</v>
      </c>
      <c r="H169" s="287">
        <f t="shared" si="125"/>
        <v>-1250</v>
      </c>
      <c r="I169" s="287">
        <f t="shared" si="125"/>
        <v>-1000</v>
      </c>
      <c r="J169" s="287">
        <f t="shared" ca="1" si="125"/>
        <v>343.75532754152664</v>
      </c>
      <c r="K169" s="287">
        <f t="shared" ca="1" si="125"/>
        <v>397.23920480759989</v>
      </c>
      <c r="L169" s="287">
        <f t="shared" ca="1" si="125"/>
        <v>463.60789714206476</v>
      </c>
      <c r="M169" s="287">
        <f t="shared" ca="1" si="125"/>
        <v>483.56843849278812</v>
      </c>
      <c r="N169" s="287">
        <f t="shared" ca="1" si="125"/>
        <v>499.65651955484645</v>
      </c>
      <c r="O169" s="287">
        <f t="shared" ca="1" si="125"/>
        <v>512.19174627400935</v>
      </c>
      <c r="P169" s="287">
        <f t="shared" ca="1" si="125"/>
        <v>521.46800597968104</v>
      </c>
    </row>
    <row r="170" spans="2:16">
      <c r="B170" t="s">
        <v>1853</v>
      </c>
      <c r="E170" s="3146"/>
      <c r="F170" s="3146"/>
      <c r="G170" s="3146"/>
      <c r="H170" s="3146"/>
      <c r="I170" s="3358"/>
      <c r="J170" s="3358">
        <v>-750</v>
      </c>
      <c r="K170" s="3358">
        <v>-750</v>
      </c>
      <c r="L170" s="3358">
        <v>-750</v>
      </c>
      <c r="M170" s="3358">
        <v>-1000</v>
      </c>
      <c r="N170" s="3358">
        <v>-1000</v>
      </c>
      <c r="O170" s="3358">
        <v>-1000</v>
      </c>
      <c r="P170" s="3358">
        <v>-1250</v>
      </c>
    </row>
    <row r="171" spans="2:16">
      <c r="B171" t="s">
        <v>1077</v>
      </c>
      <c r="D171" s="287">
        <f t="shared" ref="D171:P171" si="126">-D98</f>
        <v>-2318.4612374399999</v>
      </c>
      <c r="E171" s="287">
        <f t="shared" ca="1" si="126"/>
        <v>-2325.9826966724663</v>
      </c>
      <c r="F171" s="287">
        <f t="shared" ca="1" si="126"/>
        <v>-2333.4682637314095</v>
      </c>
      <c r="G171" s="287">
        <f t="shared" ca="1" si="126"/>
        <v>-2340.9284290881474</v>
      </c>
      <c r="H171" s="287">
        <f t="shared" ca="1" si="126"/>
        <v>-2348.372563124125</v>
      </c>
      <c r="I171" s="287">
        <f t="shared" ca="1" si="126"/>
        <v>-2355.8075008595324</v>
      </c>
      <c r="J171" s="287">
        <f t="shared" ca="1" si="126"/>
        <v>-2319.2378832169784</v>
      </c>
      <c r="K171" s="287">
        <f t="shared" ca="1" si="126"/>
        <v>-2284.8895800925734</v>
      </c>
      <c r="L171" s="287">
        <f t="shared" ca="1" si="126"/>
        <v>-2252.6586040943075</v>
      </c>
      <c r="M171" s="287">
        <f t="shared" ca="1" si="126"/>
        <v>-2209.8825929089521</v>
      </c>
      <c r="N171" s="287">
        <f t="shared" ca="1" si="126"/>
        <v>-2169.6581830409891</v>
      </c>
      <c r="O171" s="287">
        <f t="shared" ca="1" si="126"/>
        <v>-2131.8613199235569</v>
      </c>
      <c r="P171" s="287">
        <f t="shared" ca="1" si="126"/>
        <v>-2085.6173163715744</v>
      </c>
    </row>
    <row r="172" spans="2:16">
      <c r="B172" s="3146" t="s">
        <v>1058</v>
      </c>
      <c r="E172" s="3146"/>
      <c r="F172" s="3146"/>
      <c r="G172" s="3146"/>
      <c r="H172" s="3146"/>
      <c r="I172" s="3146"/>
      <c r="J172" s="3146"/>
    </row>
    <row r="173" spans="2:16">
      <c r="B173" s="3350" t="s">
        <v>1839</v>
      </c>
      <c r="C173" s="3352"/>
      <c r="D173" s="3359">
        <f t="shared" ref="D173:P173" si="127">SUM(D169:D172)</f>
        <v>-4068.4612374399999</v>
      </c>
      <c r="E173" s="3359">
        <f t="shared" ca="1" si="127"/>
        <v>-4075.9826966724663</v>
      </c>
      <c r="F173" s="3359">
        <f t="shared" ca="1" si="127"/>
        <v>-3583.4682637314095</v>
      </c>
      <c r="G173" s="3359">
        <f t="shared" ca="1" si="127"/>
        <v>-3590.9284290881474</v>
      </c>
      <c r="H173" s="3359">
        <f t="shared" ca="1" si="127"/>
        <v>-3598.372563124125</v>
      </c>
      <c r="I173" s="3359">
        <f t="shared" ca="1" si="127"/>
        <v>-3355.8075008595324</v>
      </c>
      <c r="J173" s="3359">
        <f t="shared" ca="1" si="127"/>
        <v>-2725.4825556754517</v>
      </c>
      <c r="K173" s="3359">
        <f t="shared" ca="1" si="127"/>
        <v>-2637.6503752849735</v>
      </c>
      <c r="L173" s="3359">
        <f t="shared" ca="1" si="127"/>
        <v>-2539.0507069522428</v>
      </c>
      <c r="M173" s="3359">
        <f t="shared" ca="1" si="127"/>
        <v>-2726.314154416164</v>
      </c>
      <c r="N173" s="3359">
        <f t="shared" ca="1" si="127"/>
        <v>-2670.0016634861427</v>
      </c>
      <c r="O173" s="3359">
        <f t="shared" ca="1" si="127"/>
        <v>-2619.6695736495476</v>
      </c>
      <c r="P173" s="3359">
        <f t="shared" ca="1" si="127"/>
        <v>-2814.1493103918933</v>
      </c>
    </row>
    <row r="174" spans="2:16" s="3146" customFormat="1">
      <c r="B174" s="3360"/>
      <c r="C174" s="3361"/>
      <c r="D174" s="3362"/>
      <c r="E174" s="3362"/>
      <c r="F174" s="3362"/>
      <c r="G174" s="3362"/>
      <c r="H174" s="3362"/>
      <c r="I174" s="3362"/>
      <c r="J174" s="3362"/>
      <c r="K174" s="3362"/>
      <c r="L174" s="3362"/>
      <c r="M174" s="3362"/>
      <c r="N174" s="3362"/>
      <c r="O174" s="3362"/>
      <c r="P174" s="3362"/>
    </row>
    <row r="175" spans="2:16" s="3146" customFormat="1">
      <c r="B175" s="3360" t="s">
        <v>1841</v>
      </c>
      <c r="C175" s="3361"/>
      <c r="D175" s="3362">
        <f ca="1">+D163+D167+D173</f>
        <v>-35114.883064576235</v>
      </c>
      <c r="E175" s="3362">
        <f ca="1">+E163+E167+E173</f>
        <v>-34319.997429031493</v>
      </c>
      <c r="F175" s="3362">
        <f ca="1">+F163+F167+F173</f>
        <v>-33150.364441976511</v>
      </c>
      <c r="G175" s="3362">
        <f t="shared" ref="G175:P175" ca="1" si="128">+G163+G167+G173</f>
        <v>-1300.654865339412</v>
      </c>
      <c r="H175" s="3362">
        <f t="shared" ca="1" si="128"/>
        <v>3466.9851543837422</v>
      </c>
      <c r="I175" s="3362">
        <f t="shared" ca="1" si="128"/>
        <v>40164.093128091634</v>
      </c>
      <c r="J175" s="3362">
        <f t="shared" ca="1" si="128"/>
        <v>4341.2508718274676</v>
      </c>
      <c r="K175" s="3362">
        <f t="shared" ca="1" si="128"/>
        <v>4512.9545482329868</v>
      </c>
      <c r="L175" s="3362">
        <f t="shared" ca="1" si="128"/>
        <v>4056.5883098468967</v>
      </c>
      <c r="M175" s="3362">
        <f t="shared" ca="1" si="128"/>
        <v>4004.7948041272507</v>
      </c>
      <c r="N175" s="3362">
        <f t="shared" ca="1" si="128"/>
        <v>4206.8270034221914</v>
      </c>
      <c r="O175" s="3362">
        <f t="shared" ca="1" si="128"/>
        <v>4407.7694721681719</v>
      </c>
      <c r="P175" s="3362">
        <f t="shared" ca="1" si="128"/>
        <v>4368.0519407552783</v>
      </c>
    </row>
    <row r="176" spans="2:16" s="3146" customFormat="1">
      <c r="B176" s="3360" t="s">
        <v>1840</v>
      </c>
      <c r="C176" s="3361"/>
      <c r="D176" s="3362">
        <f>+C177</f>
        <v>2277.2739976656267</v>
      </c>
      <c r="E176" s="3362">
        <f t="shared" ref="E176:P176" ca="1" si="129">+D177</f>
        <v>-32837.609066910605</v>
      </c>
      <c r="F176" s="3362">
        <f t="shared" ca="1" si="129"/>
        <v>-67157.606495942106</v>
      </c>
      <c r="G176" s="3362">
        <f t="shared" ca="1" si="129"/>
        <v>-100307.97093791861</v>
      </c>
      <c r="H176" s="3362">
        <f t="shared" ca="1" si="129"/>
        <v>-101608.62580325802</v>
      </c>
      <c r="I176" s="3362">
        <f t="shared" ca="1" si="129"/>
        <v>-98141.64064887428</v>
      </c>
      <c r="J176" s="3362">
        <f t="shared" ca="1" si="129"/>
        <v>-57977.547520782646</v>
      </c>
      <c r="K176" s="3362">
        <f t="shared" ca="1" si="129"/>
        <v>-53636.296648955176</v>
      </c>
      <c r="L176" s="3362">
        <f t="shared" ca="1" si="129"/>
        <v>-49123.342100722191</v>
      </c>
      <c r="M176" s="3362">
        <f t="shared" ca="1" si="129"/>
        <v>-45066.753790875293</v>
      </c>
      <c r="N176" s="3362">
        <f t="shared" ca="1" si="129"/>
        <v>-41061.958986748039</v>
      </c>
      <c r="O176" s="3362">
        <f t="shared" ca="1" si="129"/>
        <v>-36855.131983325846</v>
      </c>
      <c r="P176" s="3362">
        <f t="shared" ca="1" si="129"/>
        <v>-32447.362511157673</v>
      </c>
    </row>
    <row r="177" spans="2:20" s="3146" customFormat="1">
      <c r="B177" s="3360" t="s">
        <v>1842</v>
      </c>
      <c r="C177" s="3361">
        <f>+C109</f>
        <v>2277.2739976656267</v>
      </c>
      <c r="D177" s="3362">
        <f t="shared" ref="D177:P177" ca="1" si="130">SUM(D175:D176)</f>
        <v>-32837.609066910605</v>
      </c>
      <c r="E177" s="3362">
        <f t="shared" ca="1" si="130"/>
        <v>-67157.606495942106</v>
      </c>
      <c r="F177" s="3362">
        <f t="shared" ca="1" si="130"/>
        <v>-100307.97093791861</v>
      </c>
      <c r="G177" s="3362">
        <f t="shared" ca="1" si="130"/>
        <v>-101608.62580325802</v>
      </c>
      <c r="H177" s="3362">
        <f t="shared" ca="1" si="130"/>
        <v>-98141.64064887428</v>
      </c>
      <c r="I177" s="3362">
        <f t="shared" ca="1" si="130"/>
        <v>-57977.547520782646</v>
      </c>
      <c r="J177" s="3362">
        <f t="shared" ca="1" si="130"/>
        <v>-53636.296648955176</v>
      </c>
      <c r="K177" s="3362">
        <f t="shared" ca="1" si="130"/>
        <v>-49123.342100722191</v>
      </c>
      <c r="L177" s="3362">
        <f t="shared" ca="1" si="130"/>
        <v>-45066.753790875293</v>
      </c>
      <c r="M177" s="3362">
        <f t="shared" ca="1" si="130"/>
        <v>-41061.958986748039</v>
      </c>
      <c r="N177" s="3362">
        <f t="shared" ca="1" si="130"/>
        <v>-36855.131983325846</v>
      </c>
      <c r="O177" s="3362">
        <f t="shared" ca="1" si="130"/>
        <v>-32447.362511157673</v>
      </c>
      <c r="P177" s="3362">
        <f t="shared" ca="1" si="130"/>
        <v>-28079.310570402395</v>
      </c>
    </row>
    <row r="178" spans="2:20" s="3146" customFormat="1">
      <c r="B178" s="3360"/>
      <c r="C178" s="3361"/>
      <c r="D178" s="3362"/>
    </row>
    <row r="179" spans="2:20" s="3146" customFormat="1">
      <c r="B179" t="s">
        <v>1833</v>
      </c>
      <c r="C179" s="3144"/>
      <c r="D179" s="287">
        <f t="shared" ref="D179:P179" si="131">+D53</f>
        <v>6533.7163035963595</v>
      </c>
      <c r="E179" s="287">
        <f t="shared" si="131"/>
        <v>6370.6659775244325</v>
      </c>
      <c r="F179" s="287">
        <f t="shared" si="131"/>
        <v>6212.4954579739442</v>
      </c>
      <c r="G179" s="287">
        <f t="shared" si="131"/>
        <v>6072.1225024594005</v>
      </c>
      <c r="H179" s="287">
        <f t="shared" si="131"/>
        <v>5950.6800524102127</v>
      </c>
      <c r="I179" s="287">
        <f t="shared" si="131"/>
        <v>5831.666451362008</v>
      </c>
      <c r="J179" s="287">
        <f t="shared" si="131"/>
        <v>5715.0331223347675</v>
      </c>
      <c r="K179" s="287">
        <f t="shared" si="131"/>
        <v>5600.7324598880723</v>
      </c>
      <c r="L179" s="287">
        <f t="shared" si="131"/>
        <v>3569.4207088184826</v>
      </c>
      <c r="M179" s="287">
        <f t="shared" si="131"/>
        <v>3551.6317088184824</v>
      </c>
      <c r="N179" s="287">
        <f t="shared" ca="1" si="131"/>
        <v>3551.5562325546639</v>
      </c>
      <c r="O179" s="287">
        <f t="shared" ca="1" si="131"/>
        <v>3551.4632244539216</v>
      </c>
      <c r="P179" s="287">
        <f t="shared" ca="1" si="131"/>
        <v>3551.354606900265</v>
      </c>
    </row>
    <row r="180" spans="2:20" s="3146" customFormat="1">
      <c r="B180" t="s">
        <v>1834</v>
      </c>
      <c r="C180" s="3144"/>
      <c r="D180" s="287">
        <f t="shared" ref="D180:P180" si="132">+D73/35%</f>
        <v>0</v>
      </c>
      <c r="E180" s="287">
        <f t="shared" si="132"/>
        <v>0</v>
      </c>
      <c r="F180" s="287">
        <f t="shared" si="132"/>
        <v>0</v>
      </c>
      <c r="G180" s="287">
        <f t="shared" si="132"/>
        <v>0</v>
      </c>
      <c r="H180" s="287">
        <f t="shared" si="132"/>
        <v>0</v>
      </c>
      <c r="I180" s="287">
        <f t="shared" si="132"/>
        <v>0</v>
      </c>
      <c r="J180" s="287">
        <f t="shared" si="132"/>
        <v>0</v>
      </c>
      <c r="K180" s="287">
        <f t="shared" si="132"/>
        <v>0</v>
      </c>
      <c r="L180" s="287">
        <f t="shared" si="132"/>
        <v>0</v>
      </c>
      <c r="M180" s="287">
        <f t="shared" si="132"/>
        <v>0</v>
      </c>
      <c r="N180" s="287">
        <f t="shared" si="132"/>
        <v>0</v>
      </c>
      <c r="O180" s="287">
        <f t="shared" si="132"/>
        <v>0</v>
      </c>
      <c r="P180" s="287">
        <f t="shared" si="132"/>
        <v>0</v>
      </c>
    </row>
    <row r="181" spans="2:20">
      <c r="B181" t="s">
        <v>1835</v>
      </c>
      <c r="D181" s="287">
        <f>SUM(D179:D180)</f>
        <v>6533.7163035963595</v>
      </c>
      <c r="E181" s="287">
        <f t="shared" ref="E181:M181" si="133">SUM(E179:E180)</f>
        <v>6370.6659775244325</v>
      </c>
      <c r="F181" s="287">
        <f t="shared" si="133"/>
        <v>6212.4954579739442</v>
      </c>
      <c r="G181" s="287">
        <f t="shared" si="133"/>
        <v>6072.1225024594005</v>
      </c>
      <c r="H181" s="287">
        <f t="shared" si="133"/>
        <v>5950.6800524102127</v>
      </c>
      <c r="I181" s="287">
        <f t="shared" si="133"/>
        <v>5831.666451362008</v>
      </c>
      <c r="J181" s="287">
        <f t="shared" si="133"/>
        <v>5715.0331223347675</v>
      </c>
      <c r="K181" s="287">
        <f t="shared" si="133"/>
        <v>5600.7324598880723</v>
      </c>
      <c r="L181" s="287">
        <f t="shared" si="133"/>
        <v>3569.4207088184826</v>
      </c>
      <c r="M181" s="287">
        <f t="shared" si="133"/>
        <v>3551.6317088184824</v>
      </c>
      <c r="N181" s="287">
        <f ca="1">SUM(N179:N180)</f>
        <v>3551.5562325546639</v>
      </c>
      <c r="O181" s="287">
        <f ca="1">SUM(O179:O180)</f>
        <v>3551.4632244539216</v>
      </c>
      <c r="P181" s="287">
        <f ca="1">SUM(P179:P180)</f>
        <v>3551.354606900265</v>
      </c>
    </row>
    <row r="185" spans="2:20">
      <c r="B185" t="s">
        <v>249</v>
      </c>
      <c r="E185" s="65">
        <f t="shared" ref="E185:O185" ca="1" si="134">+E78/AVERAGE(D145:E145)</f>
        <v>1.3014066166881628</v>
      </c>
      <c r="F185" s="65">
        <f t="shared" ca="1" si="134"/>
        <v>0.52652642228953939</v>
      </c>
      <c r="G185" s="65">
        <f t="shared" ca="1" si="134"/>
        <v>-1.1359086998640312E-2</v>
      </c>
      <c r="H185" s="65">
        <f t="shared" ca="1" si="134"/>
        <v>-7.9412353668078431E-2</v>
      </c>
      <c r="I185" s="65">
        <f t="shared" ca="1" si="134"/>
        <v>-8.6975789766766037E-2</v>
      </c>
      <c r="J185" s="65">
        <f t="shared" ca="1" si="134"/>
        <v>-9.9683288597774186E-2</v>
      </c>
      <c r="K185" s="65">
        <f t="shared" ca="1" si="134"/>
        <v>-0.10813410337684633</v>
      </c>
      <c r="L185" s="65">
        <f t="shared" ca="1" si="134"/>
        <v>-0.14880768874836575</v>
      </c>
      <c r="M185" s="65">
        <f t="shared" ca="1" si="134"/>
        <v>-0.16584613311601867</v>
      </c>
      <c r="N185" s="65">
        <f t="shared" ca="1" si="134"/>
        <v>-0.18635817905598212</v>
      </c>
      <c r="O185" s="65">
        <f t="shared" ca="1" si="134"/>
        <v>-0.21281330239093513</v>
      </c>
      <c r="P185" s="65">
        <f ca="1">+P78/AVERAGE(O145:P145)</f>
        <v>-0.24709267121142242</v>
      </c>
    </row>
    <row r="186" spans="2:20">
      <c r="B186" t="s">
        <v>973</v>
      </c>
    </row>
    <row r="187" spans="2:20">
      <c r="Q187" s="287"/>
      <c r="R187" s="287"/>
      <c r="S187" s="287"/>
      <c r="T187" s="287"/>
    </row>
    <row r="188" spans="2:20">
      <c r="B188" t="s">
        <v>1784</v>
      </c>
      <c r="E188" s="74">
        <f t="shared" ref="E188:P188" ca="1" si="135">+E54</f>
        <v>-30013.788494596007</v>
      </c>
      <c r="F188" s="74">
        <f t="shared" ca="1" si="135"/>
        <v>-29228.526251295596</v>
      </c>
      <c r="G188" s="74">
        <f t="shared" ca="1" si="135"/>
        <v>4247.7057518525398</v>
      </c>
      <c r="H188" s="74">
        <f t="shared" ca="1" si="135"/>
        <v>9651.5933924141027</v>
      </c>
      <c r="I188" s="74">
        <f t="shared" ca="1" si="135"/>
        <v>9892.1043630438326</v>
      </c>
      <c r="J188" s="74">
        <f t="shared" ca="1" si="135"/>
        <v>10147.341430473876</v>
      </c>
      <c r="K188" s="74">
        <f t="shared" ca="1" si="135"/>
        <v>10421.810778073057</v>
      </c>
      <c r="L188" s="74">
        <f t="shared" ca="1" si="135"/>
        <v>12640.051378090271</v>
      </c>
      <c r="M188" s="74">
        <f t="shared" ca="1" si="135"/>
        <v>12852.817409655281</v>
      </c>
      <c r="N188" s="74">
        <f t="shared" ca="1" si="135"/>
        <v>13054.356706197686</v>
      </c>
      <c r="O188" s="74">
        <f t="shared" ca="1" si="135"/>
        <v>13260.967795982731</v>
      </c>
      <c r="P188" s="74">
        <f t="shared" ca="1" si="135"/>
        <v>13471.33472604939</v>
      </c>
      <c r="Q188" s="287"/>
      <c r="R188" s="287"/>
      <c r="S188" s="287"/>
      <c r="T188" s="287"/>
    </row>
    <row r="189" spans="2:20">
      <c r="B189" t="s">
        <v>1855</v>
      </c>
      <c r="E189" s="293">
        <f>+E60</f>
        <v>0.35</v>
      </c>
      <c r="F189" s="293">
        <f t="shared" ref="F189:P189" si="136">+F60</f>
        <v>0.35</v>
      </c>
      <c r="G189" s="293">
        <f t="shared" si="136"/>
        <v>0.35</v>
      </c>
      <c r="H189" s="293">
        <f t="shared" si="136"/>
        <v>0.35</v>
      </c>
      <c r="I189" s="293">
        <f t="shared" si="136"/>
        <v>0.35</v>
      </c>
      <c r="J189" s="293">
        <f t="shared" si="136"/>
        <v>0.35</v>
      </c>
      <c r="K189" s="293">
        <f t="shared" si="136"/>
        <v>0.35</v>
      </c>
      <c r="L189" s="293">
        <f t="shared" si="136"/>
        <v>0.35</v>
      </c>
      <c r="M189" s="293">
        <f t="shared" si="136"/>
        <v>0.35</v>
      </c>
      <c r="N189" s="293">
        <f t="shared" si="136"/>
        <v>0.35</v>
      </c>
      <c r="O189" s="293">
        <f t="shared" si="136"/>
        <v>0.35</v>
      </c>
      <c r="P189" s="293">
        <f t="shared" si="136"/>
        <v>0.35</v>
      </c>
      <c r="Q189" s="287"/>
      <c r="R189" s="287"/>
      <c r="S189" s="287"/>
      <c r="T189" s="287"/>
    </row>
    <row r="190" spans="2:20">
      <c r="B190" t="s">
        <v>1856</v>
      </c>
      <c r="E190" s="74">
        <f ca="1">+E188*(1-E189)</f>
        <v>-19508.962521487407</v>
      </c>
      <c r="F190" s="74">
        <f t="shared" ref="F190:P190" ca="1" si="137">+F188*(1-F189)</f>
        <v>-18998.542063342138</v>
      </c>
      <c r="G190" s="74">
        <f t="shared" ca="1" si="137"/>
        <v>2761.0087387041508</v>
      </c>
      <c r="H190" s="74">
        <f t="shared" ca="1" si="137"/>
        <v>6273.5357050691673</v>
      </c>
      <c r="I190" s="74">
        <f t="shared" ca="1" si="137"/>
        <v>6429.8678359784917</v>
      </c>
      <c r="J190" s="74">
        <f t="shared" ca="1" si="137"/>
        <v>6595.7719298080201</v>
      </c>
      <c r="K190" s="74">
        <f t="shared" ca="1" si="137"/>
        <v>6774.1770057474869</v>
      </c>
      <c r="L190" s="74">
        <f t="shared" ca="1" si="137"/>
        <v>8216.0333957586772</v>
      </c>
      <c r="M190" s="74">
        <f t="shared" ca="1" si="137"/>
        <v>8354.3313162759332</v>
      </c>
      <c r="N190" s="74">
        <f t="shared" ca="1" si="137"/>
        <v>8485.3318590284962</v>
      </c>
      <c r="O190" s="74">
        <f t="shared" ca="1" si="137"/>
        <v>8619.6290673887761</v>
      </c>
      <c r="P190" s="74">
        <f t="shared" ca="1" si="137"/>
        <v>8756.3675719321036</v>
      </c>
    </row>
    <row r="191" spans="2:20">
      <c r="B191" t="s">
        <v>1857</v>
      </c>
      <c r="E191" s="287">
        <f>+AVERAGE(D151:E151)</f>
        <v>45124</v>
      </c>
      <c r="F191" s="287">
        <f t="shared" ref="F191:P191" si="138">+AVERAGE(E151:F151)</f>
        <v>43624</v>
      </c>
      <c r="G191" s="287">
        <f t="shared" si="138"/>
        <v>42374</v>
      </c>
      <c r="H191" s="287">
        <f t="shared" si="138"/>
        <v>41124</v>
      </c>
      <c r="I191" s="287">
        <f t="shared" si="138"/>
        <v>39999</v>
      </c>
      <c r="J191" s="287">
        <f t="shared" ca="1" si="138"/>
        <v>39670.877663770763</v>
      </c>
      <c r="K191" s="287">
        <f t="shared" ca="1" si="138"/>
        <v>40041.374929945327</v>
      </c>
      <c r="L191" s="287">
        <f t="shared" ca="1" si="138"/>
        <v>40471.798480920159</v>
      </c>
      <c r="M191" s="287">
        <f t="shared" ca="1" si="138"/>
        <v>40945.386648737585</v>
      </c>
      <c r="N191" s="287">
        <f t="shared" ca="1" si="138"/>
        <v>41436.999127761403</v>
      </c>
      <c r="O191" s="287">
        <f t="shared" ca="1" si="138"/>
        <v>41942.923260675831</v>
      </c>
      <c r="P191" s="287">
        <f t="shared" ca="1" si="138"/>
        <v>42459.753136802676</v>
      </c>
    </row>
    <row r="192" spans="2:20">
      <c r="B192" t="s">
        <v>1858</v>
      </c>
      <c r="E192" s="287">
        <f ca="1">+AVERAGE(D145:E145)</f>
        <v>-16394.253499891849</v>
      </c>
      <c r="F192" s="287">
        <f t="shared" ref="F192:P192" ca="1" si="139">+AVERAGE(E145:F145)</f>
        <v>-39873.828960516468</v>
      </c>
      <c r="G192" s="287">
        <f t="shared" ca="1" si="139"/>
        <v>-52304.945606878282</v>
      </c>
      <c r="H192" s="287">
        <f t="shared" ca="1" si="139"/>
        <v>-52169.42258964073</v>
      </c>
      <c r="I192" s="287">
        <f t="shared" ca="1" si="139"/>
        <v>-50151.690872343752</v>
      </c>
      <c r="J192" s="287">
        <f t="shared" ca="1" si="139"/>
        <v>-48159.366148262503</v>
      </c>
      <c r="K192" s="287">
        <f t="shared" ca="1" si="139"/>
        <v>-46183.967572001537</v>
      </c>
      <c r="L192" s="287">
        <f t="shared" ca="1" si="139"/>
        <v>-43343.626466222631</v>
      </c>
      <c r="M192" s="287">
        <f t="shared" ca="1" si="139"/>
        <v>-39781.451155858318</v>
      </c>
      <c r="N192" s="287">
        <f t="shared" ca="1" si="139"/>
        <v>-36151.117385480291</v>
      </c>
      <c r="O192" s="287">
        <f t="shared" ca="1" si="139"/>
        <v>-32331.67816872842</v>
      </c>
      <c r="P192" s="287">
        <f t="shared" ca="1" si="139"/>
        <v>-28440.841674967574</v>
      </c>
    </row>
    <row r="193" spans="2:16">
      <c r="B193" t="s">
        <v>1859</v>
      </c>
      <c r="D193" s="3339"/>
      <c r="E193" s="74">
        <f ca="1">AVERAGE(D177:E177)</f>
        <v>-49997.607781426355</v>
      </c>
      <c r="F193" s="74">
        <f t="shared" ref="F193:P193" ca="1" si="140">AVERAGE(E177:F177)</f>
        <v>-83732.788716930358</v>
      </c>
      <c r="G193" s="74">
        <f t="shared" ca="1" si="140"/>
        <v>-100958.29837058831</v>
      </c>
      <c r="H193" s="74">
        <f t="shared" ca="1" si="140"/>
        <v>-99875.133226066158</v>
      </c>
      <c r="I193" s="74">
        <f t="shared" ca="1" si="140"/>
        <v>-78059.594084828466</v>
      </c>
      <c r="J193" s="74">
        <f t="shared" ca="1" si="140"/>
        <v>-55806.922084868915</v>
      </c>
      <c r="K193" s="74">
        <f t="shared" ca="1" si="140"/>
        <v>-51379.819374838684</v>
      </c>
      <c r="L193" s="74">
        <f t="shared" ca="1" si="140"/>
        <v>-47095.047945798739</v>
      </c>
      <c r="M193" s="74">
        <f t="shared" ca="1" si="140"/>
        <v>-43064.356388811662</v>
      </c>
      <c r="N193" s="74">
        <f t="shared" ca="1" si="140"/>
        <v>-38958.545485036942</v>
      </c>
      <c r="O193" s="74">
        <f t="shared" ca="1" si="140"/>
        <v>-34651.247247241758</v>
      </c>
      <c r="P193" s="74">
        <f t="shared" ca="1" si="140"/>
        <v>-30263.336540780034</v>
      </c>
    </row>
    <row r="194" spans="2:16">
      <c r="B194" t="s">
        <v>1860</v>
      </c>
      <c r="D194" s="3339"/>
      <c r="E194" s="287">
        <f ca="1">+E191+E192-E193</f>
        <v>78727.354281534499</v>
      </c>
      <c r="F194" s="287">
        <f t="shared" ref="F194:P194" ca="1" si="141">+F191+F192-F193</f>
        <v>87482.959756413882</v>
      </c>
      <c r="G194" s="287">
        <f t="shared" ca="1" si="141"/>
        <v>91027.35276371002</v>
      </c>
      <c r="H194" s="287">
        <f t="shared" ca="1" si="141"/>
        <v>88829.710636425429</v>
      </c>
      <c r="I194" s="287">
        <f t="shared" ca="1" si="141"/>
        <v>67906.903212484714</v>
      </c>
      <c r="J194" s="287">
        <f t="shared" ca="1" si="141"/>
        <v>47318.433600377175</v>
      </c>
      <c r="K194" s="287">
        <f t="shared" ca="1" si="141"/>
        <v>45237.226732782474</v>
      </c>
      <c r="L194" s="287">
        <f t="shared" ca="1" si="141"/>
        <v>44223.219960496266</v>
      </c>
      <c r="M194" s="287">
        <f t="shared" ca="1" si="141"/>
        <v>44228.29188169093</v>
      </c>
      <c r="N194" s="287">
        <f t="shared" ca="1" si="141"/>
        <v>44244.427227318054</v>
      </c>
      <c r="O194" s="287">
        <f t="shared" ca="1" si="141"/>
        <v>44262.492339189164</v>
      </c>
      <c r="P194" s="287">
        <f t="shared" ca="1" si="141"/>
        <v>44282.248002615132</v>
      </c>
    </row>
    <row r="195" spans="2:16">
      <c r="B195" t="s">
        <v>973</v>
      </c>
      <c r="E195" s="65">
        <f ca="1">+E188/E194</f>
        <v>-0.38123710327244847</v>
      </c>
      <c r="F195" s="65">
        <f t="shared" ref="F195:P195" ca="1" si="142">+F188/F194</f>
        <v>-0.33410536557838266</v>
      </c>
      <c r="G195" s="65">
        <f t="shared" ca="1" si="142"/>
        <v>4.6664058910718731E-2</v>
      </c>
      <c r="H195" s="65">
        <f t="shared" ca="1" si="142"/>
        <v>0.10865276182107002</v>
      </c>
      <c r="I195" s="65">
        <f t="shared" ca="1" si="142"/>
        <v>0.14567155760425202</v>
      </c>
      <c r="J195" s="65">
        <f t="shared" ca="1" si="142"/>
        <v>0.21444795734728192</v>
      </c>
      <c r="K195" s="65">
        <f t="shared" ca="1" si="142"/>
        <v>0.23038129281520672</v>
      </c>
      <c r="L195" s="65">
        <f t="shared" ca="1" si="142"/>
        <v>0.28582385880949829</v>
      </c>
      <c r="M195" s="65">
        <f t="shared" ca="1" si="142"/>
        <v>0.29060171358270176</v>
      </c>
      <c r="N195" s="65">
        <f t="shared" ca="1" si="142"/>
        <v>0.29505086909877482</v>
      </c>
      <c r="O195" s="65">
        <f t="shared" ca="1" si="142"/>
        <v>0.29959830762267592</v>
      </c>
      <c r="P195" s="65">
        <f t="shared" ca="1" si="142"/>
        <v>0.30421524050120102</v>
      </c>
    </row>
    <row r="197" spans="2:16">
      <c r="I197" s="2932"/>
    </row>
    <row r="198" spans="2:16">
      <c r="B198" t="s">
        <v>1861</v>
      </c>
      <c r="D198" s="74">
        <f ca="1">+D163+D165+D166</f>
        <v>-31046.421827136237</v>
      </c>
      <c r="E198" s="74">
        <f t="shared" ref="E198:P198" ca="1" si="143">+E163+E165+E166</f>
        <v>-30244.014732359028</v>
      </c>
      <c r="F198" s="74">
        <f t="shared" ca="1" si="143"/>
        <v>-29566.896178245101</v>
      </c>
      <c r="G198" s="74">
        <f t="shared" ca="1" si="143"/>
        <v>2290.2735637487353</v>
      </c>
      <c r="H198" s="74">
        <f t="shared" ca="1" si="143"/>
        <v>7065.3577175078672</v>
      </c>
      <c r="I198" s="74">
        <f t="shared" ca="1" si="143"/>
        <v>43519.900628951167</v>
      </c>
      <c r="J198" s="74">
        <f t="shared" ca="1" si="143"/>
        <v>7066.7334275029189</v>
      </c>
      <c r="K198" s="74">
        <f t="shared" ca="1" si="143"/>
        <v>7150.6049235179598</v>
      </c>
      <c r="L198" s="74">
        <f t="shared" ca="1" si="143"/>
        <v>6595.6390167991394</v>
      </c>
      <c r="M198" s="74">
        <f t="shared" ca="1" si="143"/>
        <v>6731.1089585434147</v>
      </c>
      <c r="N198" s="74">
        <f t="shared" ca="1" si="143"/>
        <v>6876.8286669083345</v>
      </c>
      <c r="O198" s="74">
        <f t="shared" ca="1" si="143"/>
        <v>7027.4390458177195</v>
      </c>
      <c r="P198" s="74">
        <f t="shared" ca="1" si="143"/>
        <v>7182.2012511471712</v>
      </c>
    </row>
    <row r="199" spans="2:16">
      <c r="B199" t="s">
        <v>1867</v>
      </c>
      <c r="D199" s="3136">
        <f ca="1">+D198/D64</f>
        <v>-28.924473725797945</v>
      </c>
      <c r="E199" s="3136">
        <f t="shared" ref="E199:P199" ca="1" si="144">+E198/E64</f>
        <v>-28.085794410832001</v>
      </c>
      <c r="F199" s="3136">
        <f t="shared" ca="1" si="144"/>
        <v>-27.368915505576574</v>
      </c>
      <c r="G199" s="3136">
        <f t="shared" ca="1" si="144"/>
        <v>2.1132602074571967</v>
      </c>
      <c r="H199" s="3136">
        <f t="shared" ca="1" si="144"/>
        <v>6.4986164927401902</v>
      </c>
      <c r="I199" s="3136">
        <f t="shared" ca="1" si="144"/>
        <v>39.902659841365178</v>
      </c>
      <c r="J199" s="3136">
        <f t="shared" ca="1" si="144"/>
        <v>6.5815345264340248</v>
      </c>
      <c r="K199" s="3136">
        <f t="shared" ca="1" si="144"/>
        <v>6.7597606332350733</v>
      </c>
      <c r="L199" s="3136">
        <f t="shared" ca="1" si="144"/>
        <v>6.3243406037614163</v>
      </c>
      <c r="M199" s="3136">
        <f t="shared" ca="1" si="144"/>
        <v>6.5791709465050277</v>
      </c>
      <c r="N199" s="3136">
        <f t="shared" ca="1" si="144"/>
        <v>6.8462166237184574</v>
      </c>
      <c r="O199" s="3136">
        <f t="shared" ca="1" si="144"/>
        <v>7.1201950132059082</v>
      </c>
      <c r="P199" s="3136">
        <f t="shared" ca="1" si="144"/>
        <v>7.4383515042286836</v>
      </c>
    </row>
    <row r="200" spans="2:16">
      <c r="B200" t="s">
        <v>1929</v>
      </c>
      <c r="D200" s="3454">
        <f ca="1">+E199*10</f>
        <v>-280.85794410832</v>
      </c>
      <c r="E200" s="3454">
        <f t="shared" ref="E200:O200" ca="1" si="145">+F199*10</f>
        <v>-273.68915505576575</v>
      </c>
      <c r="F200" s="3454">
        <f t="shared" ca="1" si="145"/>
        <v>21.132602074571967</v>
      </c>
      <c r="G200" s="3454">
        <f t="shared" ca="1" si="145"/>
        <v>64.986164927401902</v>
      </c>
      <c r="H200" s="3454">
        <f t="shared" ca="1" si="145"/>
        <v>399.02659841365175</v>
      </c>
      <c r="I200" s="3454">
        <f t="shared" ca="1" si="145"/>
        <v>65.815345264340252</v>
      </c>
      <c r="J200" s="3454">
        <f t="shared" ca="1" si="145"/>
        <v>67.597606332350736</v>
      </c>
      <c r="K200" s="3454">
        <f t="shared" ca="1" si="145"/>
        <v>63.243406037614164</v>
      </c>
      <c r="L200" s="3454">
        <f t="shared" ca="1" si="145"/>
        <v>65.791709465050275</v>
      </c>
      <c r="M200" s="3454">
        <f t="shared" ca="1" si="145"/>
        <v>68.462166237184576</v>
      </c>
      <c r="N200" s="3454">
        <f t="shared" ca="1" si="145"/>
        <v>71.201950132059082</v>
      </c>
      <c r="O200" s="3454">
        <f t="shared" ca="1" si="145"/>
        <v>74.383515042286831</v>
      </c>
    </row>
    <row r="201" spans="2:16" s="3341" customFormat="1">
      <c r="D201" s="3454"/>
      <c r="E201" s="3454"/>
      <c r="F201" s="3454"/>
      <c r="G201" s="3454"/>
      <c r="H201" s="3454"/>
      <c r="I201" s="3454"/>
      <c r="J201" s="3454"/>
      <c r="K201" s="3454"/>
      <c r="L201" s="3454"/>
      <c r="M201" s="3454"/>
      <c r="N201" s="3454"/>
      <c r="O201" s="3454"/>
    </row>
    <row r="202" spans="2:16" s="3341" customFormat="1" ht="13.5" thickBot="1">
      <c r="B202" s="3459" t="s">
        <v>1943</v>
      </c>
      <c r="C202" s="3458"/>
      <c r="D202" s="3505" t="str">
        <f t="shared" ref="D202:P202" si="146">D2</f>
        <v>2018E</v>
      </c>
      <c r="E202" s="3505" t="str">
        <f t="shared" si="146"/>
        <v>2019E</v>
      </c>
      <c r="F202" s="3505" t="str">
        <f t="shared" si="146"/>
        <v>2020E</v>
      </c>
      <c r="G202" s="3505" t="str">
        <f t="shared" si="146"/>
        <v>2021E</v>
      </c>
      <c r="H202" s="3506">
        <f t="shared" si="146"/>
        <v>2022</v>
      </c>
      <c r="I202" s="3506">
        <f t="shared" si="146"/>
        <v>2023</v>
      </c>
      <c r="J202" s="3506">
        <f t="shared" si="146"/>
        <v>2024</v>
      </c>
      <c r="K202" s="3506">
        <f t="shared" si="146"/>
        <v>2025</v>
      </c>
      <c r="L202" s="3506">
        <f t="shared" si="146"/>
        <v>2026</v>
      </c>
      <c r="M202" s="3506">
        <f t="shared" si="146"/>
        <v>2027</v>
      </c>
      <c r="N202" s="3506">
        <f t="shared" si="146"/>
        <v>2028</v>
      </c>
      <c r="O202" s="3506">
        <f t="shared" si="146"/>
        <v>2029</v>
      </c>
      <c r="P202" s="3506">
        <f t="shared" si="146"/>
        <v>2030</v>
      </c>
    </row>
    <row r="203" spans="2:16" ht="13.5" thickTop="1">
      <c r="B203" t="s">
        <v>1864</v>
      </c>
      <c r="E203" s="74">
        <f t="shared" ref="E203:P203" ca="1" si="147">+E9-D9</f>
        <v>-242.17349075685706</v>
      </c>
      <c r="F203" s="74">
        <f t="shared" ca="1" si="147"/>
        <v>-224.37522863579215</v>
      </c>
      <c r="G203" s="74">
        <f t="shared" ca="1" si="147"/>
        <v>-158.03401892185502</v>
      </c>
      <c r="H203" s="74">
        <f t="shared" ca="1" si="147"/>
        <v>-99.397573252404982</v>
      </c>
      <c r="I203" s="74">
        <f t="shared" ca="1" si="147"/>
        <v>-56.896211742929154</v>
      </c>
      <c r="J203" s="74">
        <f t="shared" ca="1" si="147"/>
        <v>-14.41259779770553</v>
      </c>
      <c r="K203" s="74">
        <f t="shared" ca="1" si="147"/>
        <v>30.091932076375087</v>
      </c>
      <c r="L203" s="74">
        <f t="shared" ca="1" si="147"/>
        <v>77.444578371225361</v>
      </c>
      <c r="M203" s="74">
        <f t="shared" ca="1" si="147"/>
        <v>104.77876357403147</v>
      </c>
      <c r="N203" s="74">
        <f t="shared" ca="1" si="147"/>
        <v>129.11706681136639</v>
      </c>
      <c r="O203" s="74">
        <f t="shared" ca="1" si="147"/>
        <v>150.78664998398381</v>
      </c>
      <c r="P203" s="74">
        <f t="shared" ca="1" si="147"/>
        <v>170.08334730695788</v>
      </c>
    </row>
    <row r="204" spans="2:16">
      <c r="B204" t="s">
        <v>1865</v>
      </c>
      <c r="E204" s="74">
        <f t="shared" ref="E204:P204" ca="1" si="148">+E47-D47</f>
        <v>890.56014474860785</v>
      </c>
      <c r="F204" s="74">
        <f t="shared" ca="1" si="148"/>
        <v>627.0917237499234</v>
      </c>
      <c r="G204" s="74">
        <f t="shared" ca="1" si="148"/>
        <v>33335.859047633588</v>
      </c>
      <c r="H204" s="74">
        <f t="shared" ca="1" si="148"/>
        <v>5282.4451905123751</v>
      </c>
      <c r="I204" s="74">
        <f t="shared" ca="1" si="148"/>
        <v>121.49736958152607</v>
      </c>
      <c r="J204" s="74">
        <f t="shared" ca="1" si="148"/>
        <v>138.60373840280226</v>
      </c>
      <c r="K204" s="74">
        <f t="shared" ca="1" si="148"/>
        <v>160.16868515248643</v>
      </c>
      <c r="L204" s="74">
        <f t="shared" ca="1" si="148"/>
        <v>186.92884894762392</v>
      </c>
      <c r="M204" s="74">
        <f t="shared" ca="1" si="148"/>
        <v>194.97703156500938</v>
      </c>
      <c r="N204" s="74">
        <f t="shared" ca="1" si="148"/>
        <v>201.46382027858635</v>
      </c>
      <c r="O204" s="74">
        <f t="shared" ca="1" si="148"/>
        <v>206.51808168430216</v>
      </c>
      <c r="P204" s="74">
        <f t="shared" ca="1" si="148"/>
        <v>210.25831251300406</v>
      </c>
    </row>
    <row r="205" spans="2:16">
      <c r="B205" t="s">
        <v>1767</v>
      </c>
      <c r="E205" s="293">
        <f t="shared" ref="E205:P205" ca="1" si="149">+E204/E203</f>
        <v>-3.6773642811414606</v>
      </c>
      <c r="F205" s="293">
        <f t="shared" ca="1" si="149"/>
        <v>-2.7948349181086485</v>
      </c>
      <c r="G205" s="293">
        <f t="shared" ca="1" si="149"/>
        <v>-210.94103203258769</v>
      </c>
      <c r="H205" s="293">
        <f t="shared" ca="1" si="149"/>
        <v>-53.144609246127274</v>
      </c>
      <c r="I205" s="293">
        <f t="shared" ca="1" si="149"/>
        <v>-2.1354210739105195</v>
      </c>
      <c r="J205" s="293">
        <f t="shared" ca="1" si="149"/>
        <v>-9.6168463415296195</v>
      </c>
      <c r="K205" s="293">
        <f t="shared" ca="1" si="149"/>
        <v>5.3226454435018971</v>
      </c>
      <c r="L205" s="293">
        <f t="shared" ca="1" si="149"/>
        <v>2.4137112355572921</v>
      </c>
      <c r="M205" s="293">
        <f t="shared" ca="1" si="149"/>
        <v>1.8608449356939423</v>
      </c>
      <c r="N205" s="293">
        <f t="shared" ca="1" si="149"/>
        <v>1.5603190597019601</v>
      </c>
      <c r="O205" s="293">
        <f t="shared" ca="1" si="149"/>
        <v>1.3696045485872788</v>
      </c>
      <c r="P205" s="293">
        <f t="shared" ca="1" si="149"/>
        <v>1.2362075173270222</v>
      </c>
    </row>
    <row r="206" spans="2:16">
      <c r="E206" s="74"/>
      <c r="F206" s="74"/>
      <c r="G206" s="74"/>
      <c r="H206" s="74"/>
      <c r="I206" s="74"/>
    </row>
    <row r="207" spans="2:16" ht="13.5" thickBot="1">
      <c r="B207" s="3459" t="s">
        <v>1942</v>
      </c>
      <c r="C207" s="3458"/>
      <c r="D207" s="3506" t="str">
        <f t="shared" ref="D207:P207" si="150">D2</f>
        <v>2018E</v>
      </c>
      <c r="E207" s="3506" t="str">
        <f t="shared" si="150"/>
        <v>2019E</v>
      </c>
      <c r="F207" s="3506" t="str">
        <f t="shared" si="150"/>
        <v>2020E</v>
      </c>
      <c r="G207" s="3506" t="str">
        <f t="shared" si="150"/>
        <v>2021E</v>
      </c>
      <c r="H207" s="3506">
        <f t="shared" si="150"/>
        <v>2022</v>
      </c>
      <c r="I207" s="3506">
        <f t="shared" si="150"/>
        <v>2023</v>
      </c>
      <c r="J207" s="3506">
        <f t="shared" si="150"/>
        <v>2024</v>
      </c>
      <c r="K207" s="3506">
        <f t="shared" si="150"/>
        <v>2025</v>
      </c>
      <c r="L207" s="3506">
        <f t="shared" si="150"/>
        <v>2026</v>
      </c>
      <c r="M207" s="3506">
        <f t="shared" si="150"/>
        <v>2027</v>
      </c>
      <c r="N207" s="3506">
        <f t="shared" si="150"/>
        <v>2028</v>
      </c>
      <c r="O207" s="3506">
        <f t="shared" si="150"/>
        <v>2029</v>
      </c>
      <c r="P207" s="3506">
        <f t="shared" si="150"/>
        <v>2030</v>
      </c>
    </row>
    <row r="208" spans="2:16" ht="13.5" thickTop="1">
      <c r="B208" t="s">
        <v>1862</v>
      </c>
      <c r="E208" s="3339">
        <f t="shared" ref="E208:P208" ca="1" si="151">+E9/AVERAGE(D123:E123)</f>
        <v>0.53971180365464733</v>
      </c>
      <c r="F208" s="3339">
        <f t="shared" ca="1" si="151"/>
        <v>1.2532357249131139</v>
      </c>
      <c r="G208" s="3339">
        <f t="shared" ca="1" si="151"/>
        <v>5.4138507043809998</v>
      </c>
      <c r="H208" s="3339">
        <f t="shared" ca="1" si="151"/>
        <v>9.4786669694704635</v>
      </c>
      <c r="I208" s="3339">
        <f t="shared" ca="1" si="151"/>
        <v>7.1381519300180258</v>
      </c>
      <c r="J208" s="3339">
        <f t="shared" ca="1" si="151"/>
        <v>4.7080236789483338</v>
      </c>
      <c r="K208" s="3339">
        <f t="shared" ca="1" si="151"/>
        <v>3.1852283773739978</v>
      </c>
      <c r="L208" s="3339">
        <f t="shared" ca="1" si="151"/>
        <v>2.2001604275566646</v>
      </c>
      <c r="M208" s="3339">
        <f t="shared" ca="1" si="151"/>
        <v>1.5962094380886924</v>
      </c>
      <c r="N208" s="3339">
        <f t="shared" ca="1" si="151"/>
        <v>1.2503060798929089</v>
      </c>
      <c r="O208" s="3339">
        <f t="shared" ca="1" si="151"/>
        <v>1.021431081809171</v>
      </c>
      <c r="P208" s="3339">
        <f t="shared" ca="1" si="151"/>
        <v>0.86317876259623294</v>
      </c>
    </row>
    <row r="209" spans="2:16">
      <c r="B209" t="s">
        <v>1863</v>
      </c>
      <c r="E209" s="65">
        <f t="shared" ref="E209:P209" ca="1" si="152">+E61/E9</f>
        <v>-0.90752249049555578</v>
      </c>
      <c r="F209" s="65">
        <f t="shared" ca="1" si="152"/>
        <v>-0.90162436131940416</v>
      </c>
      <c r="G209" s="65">
        <f t="shared" ca="1" si="152"/>
        <v>2.5689830847869102E-2</v>
      </c>
      <c r="H209" s="65">
        <f t="shared" ca="1" si="152"/>
        <v>0.17990768512417746</v>
      </c>
      <c r="I209" s="65">
        <f t="shared" ca="1" si="152"/>
        <v>0.18989080675966841</v>
      </c>
      <c r="J209" s="65">
        <f t="shared" ca="1" si="152"/>
        <v>0.20912004860149161</v>
      </c>
      <c r="K209" s="65">
        <f t="shared" ca="1" si="152"/>
        <v>0.21725889496996281</v>
      </c>
      <c r="L209" s="65">
        <f t="shared" ca="1" si="152"/>
        <v>0.27964917003057405</v>
      </c>
      <c r="M209" s="65">
        <f t="shared" ca="1" si="152"/>
        <v>0.28476092014760523</v>
      </c>
      <c r="N209" s="65">
        <f t="shared" ca="1" si="152"/>
        <v>0.28916854969675093</v>
      </c>
      <c r="O209" s="65">
        <f t="shared" ca="1" si="152"/>
        <v>0.29343111260235111</v>
      </c>
      <c r="P209" s="65">
        <f t="shared" ca="1" si="152"/>
        <v>0.29753818822379041</v>
      </c>
    </row>
    <row r="210" spans="2:16">
      <c r="B210" t="s">
        <v>1807</v>
      </c>
      <c r="E210" s="3339">
        <f t="shared" ref="E210:P210" ca="1" si="153">+AVERAGE(D123:E123)/AVERAGE(D145:E145)</f>
        <v>-2.657013111356092</v>
      </c>
      <c r="F210" s="3339">
        <f t="shared" ca="1" si="153"/>
        <v>-0.46597408685987568</v>
      </c>
      <c r="G210" s="3339">
        <f t="shared" ca="1" si="153"/>
        <v>-8.1672510584680613E-2</v>
      </c>
      <c r="H210" s="3339">
        <f ca="1">+AVERAGE(G123:H123)/AVERAGE(G145:H145)</f>
        <v>-4.6568375463763127E-2</v>
      </c>
      <c r="I210" s="3339">
        <f t="shared" ca="1" si="153"/>
        <v>-6.4166544756426261E-2</v>
      </c>
      <c r="J210" s="3339">
        <f t="shared" ca="1" si="153"/>
        <v>-0.10124837169611844</v>
      </c>
      <c r="K210" s="3339">
        <f t="shared" ca="1" si="153"/>
        <v>-0.15625882022960749</v>
      </c>
      <c r="L210" s="3339">
        <f t="shared" ca="1" si="153"/>
        <v>-0.24185634617262902</v>
      </c>
      <c r="M210" s="3339">
        <f t="shared" ca="1" si="153"/>
        <v>-0.36486742182513382</v>
      </c>
      <c r="N210" s="3339">
        <f t="shared" ca="1" si="153"/>
        <v>-0.51544348935364481</v>
      </c>
      <c r="O210" s="3339">
        <f t="shared" ca="1" si="153"/>
        <v>-0.71004118734101296</v>
      </c>
      <c r="P210" s="3339">
        <f t="shared" ca="1" si="153"/>
        <v>-0.96209155750693875</v>
      </c>
    </row>
    <row r="211" spans="2:16">
      <c r="B211" t="s">
        <v>249</v>
      </c>
      <c r="E211" s="65">
        <f ca="1">+E210*E209*E208</f>
        <v>1.3014066166881628</v>
      </c>
      <c r="F211" s="65">
        <f ca="1">+F210*F209*F208</f>
        <v>0.52652642228953928</v>
      </c>
      <c r="G211" s="65">
        <f t="shared" ref="G211:P211" ca="1" si="154">+G210*G209*G208</f>
        <v>-1.1359086998640312E-2</v>
      </c>
      <c r="H211" s="65">
        <f t="shared" ca="1" si="154"/>
        <v>-7.9412353668078431E-2</v>
      </c>
      <c r="I211" s="65">
        <f t="shared" ca="1" si="154"/>
        <v>-8.6975789766766023E-2</v>
      </c>
      <c r="J211" s="65">
        <f t="shared" ca="1" si="154"/>
        <v>-9.9683288597774172E-2</v>
      </c>
      <c r="K211" s="65">
        <f t="shared" ca="1" si="154"/>
        <v>-0.10813410337684633</v>
      </c>
      <c r="L211" s="65">
        <f t="shared" ca="1" si="154"/>
        <v>-0.14880768874836578</v>
      </c>
      <c r="M211" s="65">
        <f t="shared" ca="1" si="154"/>
        <v>-0.1658461331160187</v>
      </c>
      <c r="N211" s="65">
        <f t="shared" ca="1" si="154"/>
        <v>-0.18635817905598215</v>
      </c>
      <c r="O211" s="65">
        <f t="shared" ca="1" si="154"/>
        <v>-0.21281330239093513</v>
      </c>
      <c r="P211" s="65">
        <f t="shared" ca="1" si="154"/>
        <v>-0.24709267121142237</v>
      </c>
    </row>
    <row r="213" spans="2:16">
      <c r="B213" t="s">
        <v>1866</v>
      </c>
      <c r="E213" s="65">
        <f t="shared" ref="E213:P213" ca="1" si="155">+E161/E9</f>
        <v>4.2112494227990625E-3</v>
      </c>
      <c r="F213" s="65">
        <f t="shared" ca="1" si="155"/>
        <v>4.455992543153554E-3</v>
      </c>
      <c r="G213" s="65">
        <f t="shared" ca="1" si="155"/>
        <v>4.7083837006123503E-3</v>
      </c>
      <c r="H213" s="65">
        <f t="shared" ca="1" si="155"/>
        <v>4.9688311274611952E-3</v>
      </c>
      <c r="I213" s="65">
        <f t="shared" ca="1" si="155"/>
        <v>5.2388728171234985E-3</v>
      </c>
      <c r="J213" s="65">
        <f t="shared" ca="1" si="155"/>
        <v>5.5184901122689017E-3</v>
      </c>
      <c r="K213" s="65">
        <f t="shared" ca="1" si="155"/>
        <v>5.8074036496782045E-3</v>
      </c>
      <c r="L213" s="65">
        <f t="shared" ca="1" si="155"/>
        <v>6.1051785605414164E-3</v>
      </c>
      <c r="M213" s="65">
        <f t="shared" ca="1" si="155"/>
        <v>6.4144783000474855E-3</v>
      </c>
      <c r="N213" s="65">
        <f t="shared" ca="1" si="155"/>
        <v>6.7360042253693719E-3</v>
      </c>
      <c r="O213" s="65">
        <f t="shared" ca="1" si="155"/>
        <v>7.0704955001254857E-3</v>
      </c>
      <c r="P213" s="65">
        <f t="shared" ca="1" si="155"/>
        <v>7.4187275617867195E-3</v>
      </c>
    </row>
    <row r="215" spans="2:16" ht="13.5" thickBot="1">
      <c r="B215" s="3459" t="s">
        <v>1941</v>
      </c>
      <c r="C215" s="3458"/>
      <c r="D215" s="3506" t="str">
        <f>+D2</f>
        <v>2018E</v>
      </c>
      <c r="E215" s="3506" t="str">
        <f t="shared" ref="E215:P215" si="156">+E2</f>
        <v>2019E</v>
      </c>
      <c r="F215" s="3506" t="str">
        <f t="shared" si="156"/>
        <v>2020E</v>
      </c>
      <c r="G215" s="3506" t="str">
        <f t="shared" si="156"/>
        <v>2021E</v>
      </c>
      <c r="H215" s="3506">
        <f t="shared" si="156"/>
        <v>2022</v>
      </c>
      <c r="I215" s="3506">
        <f t="shared" si="156"/>
        <v>2023</v>
      </c>
      <c r="J215" s="3506">
        <f t="shared" si="156"/>
        <v>2024</v>
      </c>
      <c r="K215" s="3506">
        <f t="shared" si="156"/>
        <v>2025</v>
      </c>
      <c r="L215" s="3506">
        <f t="shared" si="156"/>
        <v>2026</v>
      </c>
      <c r="M215" s="3506">
        <f t="shared" si="156"/>
        <v>2027</v>
      </c>
      <c r="N215" s="3506">
        <f t="shared" si="156"/>
        <v>2028</v>
      </c>
      <c r="O215" s="3506">
        <f t="shared" si="156"/>
        <v>2029</v>
      </c>
      <c r="P215" s="3506">
        <f t="shared" si="156"/>
        <v>2030</v>
      </c>
    </row>
    <row r="216" spans="2:16" ht="13.5" thickTop="1">
      <c r="B216" t="s">
        <v>1953</v>
      </c>
      <c r="D216" s="287">
        <f ca="1">'LVLT Rev Build'!V21</f>
        <v>6113.2980158255532</v>
      </c>
      <c r="E216" s="287">
        <f ca="1">'LVLT Rev Build'!W21</f>
        <v>6336.8907504469253</v>
      </c>
      <c r="F216" s="287">
        <f ca="1">'LVLT Rev Build'!X21</f>
        <v>6556.8102608369054</v>
      </c>
      <c r="G216" s="287">
        <f ca="1">'LVLT Rev Build'!Y21</f>
        <v>6774.4751022475812</v>
      </c>
      <c r="H216" s="287">
        <f ca="1">'LVLT Rev Build'!Z21</f>
        <v>6988.5325684104737</v>
      </c>
      <c r="I216" s="287">
        <f ca="1">'LVLT Rev Build'!AA21</f>
        <v>7189.2765928687513</v>
      </c>
      <c r="J216" s="287">
        <f ca="1">'LVLT Rev Build'!AB21</f>
        <v>7381.6070623379883</v>
      </c>
      <c r="K216" s="287">
        <f ca="1">'LVLT Rev Build'!AC21</f>
        <v>7571.8893864323254</v>
      </c>
      <c r="L216" s="287">
        <f ca="1">'LVLT Rev Build'!AD21</f>
        <v>7766.8093498289554</v>
      </c>
      <c r="M216" s="3504">
        <f ca="1">+L216/K216*L216</f>
        <v>7966.7470558511741</v>
      </c>
      <c r="N216" s="3504">
        <f ca="1">+M216/L216*M216</f>
        <v>8171.8316741367025</v>
      </c>
      <c r="O216" s="3504">
        <f ca="1">+N216/M216*N216</f>
        <v>8382.1956994829125</v>
      </c>
      <c r="P216" s="3504">
        <f ca="1">+O216/N216*O216</f>
        <v>8597.9750374450086</v>
      </c>
    </row>
    <row r="217" spans="2:16" s="3502" customFormat="1">
      <c r="B217" s="3502" t="s">
        <v>1954</v>
      </c>
      <c r="D217" s="287">
        <f ca="1">'LVLT Rev Build'!V18</f>
        <v>1903.8884919105501</v>
      </c>
      <c r="E217" s="287">
        <f ca="1">'LVLT Rev Build'!W18</f>
        <v>1825.6505637874516</v>
      </c>
      <c r="F217" s="287">
        <f ca="1">'LVLT Rev Build'!X18</f>
        <v>1753.4748014627987</v>
      </c>
      <c r="G217" s="287">
        <f ca="1">'LVLT Rev Build'!Y18</f>
        <v>1686.9369010548712</v>
      </c>
      <c r="H217" s="287">
        <f ca="1">'LVLT Rev Build'!Z18</f>
        <v>1625.6608175920021</v>
      </c>
      <c r="I217" s="287">
        <f ca="1">'LVLT Rev Build'!AA18</f>
        <v>1568.4833468513223</v>
      </c>
      <c r="J217" s="287">
        <f ca="1">'LVLT Rev Build'!AB18</f>
        <v>1515.1281550037088</v>
      </c>
      <c r="K217" s="287">
        <f ca="1">'LVLT Rev Build'!AC18</f>
        <v>1465.34171515815</v>
      </c>
      <c r="L217" s="287">
        <f ca="1">'LVLT Rev Build'!AD18</f>
        <v>1418.8913657523649</v>
      </c>
      <c r="M217" s="3503">
        <f ca="1">+M219-M216-M218</f>
        <v>1359.5566836783873</v>
      </c>
      <c r="N217" s="3503">
        <f ca="1">+N219-N216-N218</f>
        <v>1286.8651039030715</v>
      </c>
      <c r="O217" s="3503">
        <f ca="1">+O219-O216-O218</f>
        <v>1200.3569704616775</v>
      </c>
      <c r="P217" s="3503">
        <f ca="1">+P219-P216-P218</f>
        <v>1099.587191910688</v>
      </c>
    </row>
    <row r="218" spans="2:16">
      <c r="B218" t="s">
        <v>1931</v>
      </c>
      <c r="D218" s="74">
        <f ca="1">+D219-D216-D217</f>
        <v>352.0499999999995</v>
      </c>
      <c r="E218" s="74">
        <f t="shared" ref="E218:L218" ca="1" si="157">+E219-E216-E217</f>
        <v>322.01658720930209</v>
      </c>
      <c r="F218" s="74">
        <f t="shared" ca="1" si="157"/>
        <v>296.15541012799872</v>
      </c>
      <c r="G218" s="74">
        <f t="shared" ca="1" si="157"/>
        <v>273.85192323347428</v>
      </c>
      <c r="H218" s="74">
        <f t="shared" ca="1" si="157"/>
        <v>254.59737328209735</v>
      </c>
      <c r="I218" s="74">
        <f t="shared" ca="1" si="157"/>
        <v>237.96959909681232</v>
      </c>
      <c r="J218" s="74">
        <f t="shared" ca="1" si="157"/>
        <v>223.61763412802748</v>
      </c>
      <c r="K218" s="74">
        <f t="shared" ca="1" si="157"/>
        <v>211.24932544970829</v>
      </c>
      <c r="L218" s="74">
        <f t="shared" ca="1" si="157"/>
        <v>200.62135551041547</v>
      </c>
      <c r="M218" s="3503">
        <f ca="1">+L218*L218/K218</f>
        <v>190.52807956264218</v>
      </c>
      <c r="N218" s="3503">
        <f ca="1">+M218*M218/L218</f>
        <v>180.9425971102259</v>
      </c>
      <c r="O218" s="3503">
        <f ca="1">+N218*N218/M218</f>
        <v>171.83936102305142</v>
      </c>
      <c r="P218" s="3503">
        <f ca="1">+O218*O218/N218</f>
        <v>163.19410944909995</v>
      </c>
    </row>
    <row r="219" spans="2:16">
      <c r="B219" s="285" t="s">
        <v>1930</v>
      </c>
      <c r="C219" s="285"/>
      <c r="D219" s="113">
        <f t="shared" ref="D219:P219" ca="1" si="158">D6</f>
        <v>8369.2365077361028</v>
      </c>
      <c r="E219" s="113">
        <f t="shared" ca="1" si="158"/>
        <v>8484.5579014436789</v>
      </c>
      <c r="F219" s="113">
        <f t="shared" ca="1" si="158"/>
        <v>8606.4404724277028</v>
      </c>
      <c r="G219" s="113">
        <f t="shared" ca="1" si="158"/>
        <v>8735.2639265359267</v>
      </c>
      <c r="H219" s="113">
        <f t="shared" ca="1" si="158"/>
        <v>8868.7907592845731</v>
      </c>
      <c r="I219" s="113">
        <f t="shared" ca="1" si="158"/>
        <v>8995.7295388168859</v>
      </c>
      <c r="J219" s="113">
        <f t="shared" ca="1" si="158"/>
        <v>9120.3528514697246</v>
      </c>
      <c r="K219" s="113">
        <f t="shared" ca="1" si="158"/>
        <v>9248.4804270401837</v>
      </c>
      <c r="L219" s="113">
        <f t="shared" ca="1" si="158"/>
        <v>9386.3220710917358</v>
      </c>
      <c r="M219" s="113">
        <f t="shared" ca="1" si="158"/>
        <v>9516.8318190922037</v>
      </c>
      <c r="N219" s="113">
        <f t="shared" ca="1" si="158"/>
        <v>9639.63937515</v>
      </c>
      <c r="O219" s="113">
        <f t="shared" ca="1" si="158"/>
        <v>9754.3920309676414</v>
      </c>
      <c r="P219" s="113">
        <f t="shared" ca="1" si="158"/>
        <v>9860.7563388047965</v>
      </c>
    </row>
    <row r="221" spans="2:16">
      <c r="B221" t="s">
        <v>1932</v>
      </c>
      <c r="D221" s="74">
        <f>Subscribers!T139</f>
        <v>7700.9079999999994</v>
      </c>
      <c r="E221" s="74">
        <f>Subscribers!U139</f>
        <v>7957.1366849999995</v>
      </c>
      <c r="F221" s="74">
        <f>Subscribers!V139</f>
        <v>8158.6167315749999</v>
      </c>
      <c r="G221" s="74">
        <f>Subscribers!W139</f>
        <v>8365.8523635821239</v>
      </c>
      <c r="H221" s="74">
        <f>Subscribers!X139</f>
        <v>8579.019102187538</v>
      </c>
      <c r="I221" s="74">
        <f>Subscribers!Y139</f>
        <v>8798.2980933117415</v>
      </c>
      <c r="J221" s="74">
        <f>Subscribers!Z139</f>
        <v>9023.8762941262466</v>
      </c>
      <c r="K221" s="74">
        <f>Subscribers!AA139</f>
        <v>9255.9466658702295</v>
      </c>
      <c r="L221" s="74">
        <f>Subscribers!AB139</f>
        <v>9494.7083732042447</v>
      </c>
      <c r="M221" s="74">
        <f>Subscribers!AC139</f>
        <v>9740.3669903255213</v>
      </c>
      <c r="N221" s="74">
        <f>Subscribers!AD139</f>
        <v>9993.134714077225</v>
      </c>
      <c r="O221" s="74">
        <f>Subscribers!AE139</f>
        <v>10253.230584292043</v>
      </c>
      <c r="P221" s="74">
        <f>Subscribers!AF139</f>
        <v>10520.880711618824</v>
      </c>
    </row>
    <row r="222" spans="2:16">
      <c r="B222" s="3341" t="s">
        <v>1933</v>
      </c>
      <c r="D222" s="287">
        <f>Subscribers!T143</f>
        <v>6218.4049999999997</v>
      </c>
      <c r="E222" s="287">
        <f>Subscribers!U143</f>
        <v>5635.4280572222224</v>
      </c>
      <c r="F222" s="287">
        <f>Subscribers!V143</f>
        <v>5111.948402711173</v>
      </c>
      <c r="G222" s="287">
        <f>Subscribers!W143</f>
        <v>4641.6346964163795</v>
      </c>
      <c r="H222" s="287">
        <f>Subscribers!X143</f>
        <v>4218.8536092994673</v>
      </c>
      <c r="I222" s="287">
        <f>Subscribers!Y143</f>
        <v>3838.5896082115787</v>
      </c>
      <c r="J222" s="287">
        <f>Subscribers!Z143</f>
        <v>3496.3744842263877</v>
      </c>
      <c r="K222" s="287">
        <f>Subscribers!AA143</f>
        <v>3188.225365066548</v>
      </c>
      <c r="L222" s="287">
        <f>Subscribers!AB143</f>
        <v>2910.5901239836103</v>
      </c>
      <c r="M222" s="287">
        <f>Subscribers!AC143</f>
        <v>2660.2992449710737</v>
      </c>
      <c r="N222" s="287">
        <f>Subscribers!AD143</f>
        <v>2434.5233309607538</v>
      </c>
      <c r="O222" s="287">
        <f>Subscribers!AE143</f>
        <v>2230.7355506351582</v>
      </c>
      <c r="P222" s="287">
        <f>Subscribers!AF143</f>
        <v>2046.6784132215275</v>
      </c>
    </row>
    <row r="223" spans="2:16">
      <c r="B223" t="s">
        <v>1934</v>
      </c>
      <c r="D223" s="287">
        <f>Subscribers!T150</f>
        <v>1242</v>
      </c>
      <c r="E223" s="287">
        <f>Subscribers!U150</f>
        <v>1229.2533733133432</v>
      </c>
      <c r="F223" s="287">
        <f>Subscribers!V150</f>
        <v>1216.755181629575</v>
      </c>
      <c r="G223" s="287">
        <f>Subscribers!W150</f>
        <v>1204.5005828871695</v>
      </c>
      <c r="H223" s="287">
        <f>Subscribers!X150</f>
        <v>1192.4848293976142</v>
      </c>
      <c r="I223" s="287">
        <f>Subscribers!Y150</f>
        <v>1180.7032660060563</v>
      </c>
      <c r="J223" s="287">
        <f>Subscribers!Z150</f>
        <v>1169.1513282877972</v>
      </c>
      <c r="K223" s="287">
        <f>Subscribers!AA150</f>
        <v>1157.8245407799391</v>
      </c>
      <c r="L223" s="287">
        <f>Subscribers!AB150</f>
        <v>1146.7185152474965</v>
      </c>
      <c r="M223" s="287">
        <f>Subscribers!AC150</f>
        <v>1135.8289489833023</v>
      </c>
      <c r="N223" s="287">
        <f>Subscribers!AD150</f>
        <v>1125.151623141049</v>
      </c>
      <c r="O223" s="287">
        <f>Subscribers!AE150</f>
        <v>1114.6824011008184</v>
      </c>
      <c r="P223" s="287">
        <f>Subscribers!AF150</f>
        <v>1104.4172268664697</v>
      </c>
    </row>
    <row r="224" spans="2:16">
      <c r="B224" t="s">
        <v>1285</v>
      </c>
      <c r="D224" s="287">
        <f>Subscribers!T147</f>
        <v>608</v>
      </c>
      <c r="E224" s="287">
        <f>Subscribers!U147</f>
        <v>590</v>
      </c>
      <c r="F224" s="287">
        <f>Subscribers!V147</f>
        <v>578.24</v>
      </c>
      <c r="G224" s="287">
        <f>Subscribers!W147</f>
        <v>566.71519999999998</v>
      </c>
      <c r="H224" s="287">
        <f>Subscribers!X147</f>
        <v>555.42089599999997</v>
      </c>
      <c r="I224" s="287">
        <f>Subscribers!Y147</f>
        <v>544.35247807999997</v>
      </c>
      <c r="J224" s="287">
        <f>Subscribers!Z147</f>
        <v>533.50542851839998</v>
      </c>
      <c r="K224" s="287">
        <f>Subscribers!AA147</f>
        <v>522.87531994803192</v>
      </c>
      <c r="L224" s="287">
        <f>Subscribers!AB147</f>
        <v>512.45781354907126</v>
      </c>
      <c r="M224" s="287">
        <f>Subscribers!AC147</f>
        <v>502.24865727808981</v>
      </c>
      <c r="N224" s="287">
        <f>Subscribers!AD147</f>
        <v>492.24368413252802</v>
      </c>
      <c r="O224" s="287">
        <f>Subscribers!AE147</f>
        <v>482.43881044987745</v>
      </c>
      <c r="P224" s="287">
        <f>Subscribers!AF147</f>
        <v>472.83003424087991</v>
      </c>
    </row>
    <row r="225" spans="2:22">
      <c r="B225" s="285" t="s">
        <v>1935</v>
      </c>
      <c r="D225" s="113">
        <f>SUM(D221:D224)</f>
        <v>15769.312999999998</v>
      </c>
      <c r="E225" s="113">
        <f t="shared" ref="E225:P225" si="159">SUM(E221:E224)</f>
        <v>15411.818115535563</v>
      </c>
      <c r="F225" s="113">
        <f t="shared" si="159"/>
        <v>15065.560315915747</v>
      </c>
      <c r="G225" s="113">
        <f t="shared" si="159"/>
        <v>14778.702842885674</v>
      </c>
      <c r="H225" s="113">
        <f t="shared" si="159"/>
        <v>14545.778436884619</v>
      </c>
      <c r="I225" s="113">
        <f t="shared" si="159"/>
        <v>14361.943445609375</v>
      </c>
      <c r="J225" s="113">
        <f t="shared" si="159"/>
        <v>14222.907535158831</v>
      </c>
      <c r="K225" s="113">
        <f t="shared" si="159"/>
        <v>14124.871891664749</v>
      </c>
      <c r="L225" s="113">
        <f t="shared" si="159"/>
        <v>14064.474825984422</v>
      </c>
      <c r="M225" s="113">
        <f t="shared" si="159"/>
        <v>14038.743841557985</v>
      </c>
      <c r="N225" s="113">
        <f t="shared" si="159"/>
        <v>14045.053352311557</v>
      </c>
      <c r="O225" s="113">
        <f t="shared" si="159"/>
        <v>14081.087346477898</v>
      </c>
      <c r="P225" s="113">
        <f t="shared" si="159"/>
        <v>14144.806385947701</v>
      </c>
    </row>
    <row r="227" spans="2:22">
      <c r="B227" t="s">
        <v>1936</v>
      </c>
      <c r="D227" s="293">
        <f ca="1">+D219/(D219+D225)</f>
        <v>0.34671662872923942</v>
      </c>
      <c r="E227" s="293">
        <f t="shared" ref="E227:P227" ca="1" si="160">+E219/(E219+E225)</f>
        <v>0.35505626022184672</v>
      </c>
      <c r="F227" s="293">
        <f t="shared" ca="1" si="160"/>
        <v>0.36357047084358324</v>
      </c>
      <c r="G227" s="293">
        <f t="shared" ca="1" si="160"/>
        <v>0.371492569169383</v>
      </c>
      <c r="H227" s="293">
        <f t="shared" ca="1" si="160"/>
        <v>0.37877232269281202</v>
      </c>
      <c r="I227" s="293">
        <f t="shared" ca="1" si="160"/>
        <v>0.38512952659345789</v>
      </c>
      <c r="J227" s="293">
        <f t="shared" ca="1" si="160"/>
        <v>0.39070604107616552</v>
      </c>
      <c r="K227" s="293">
        <f t="shared" ca="1" si="160"/>
        <v>0.39568480810683399</v>
      </c>
      <c r="L227" s="293">
        <f t="shared" ca="1" si="160"/>
        <v>0.40025599608779272</v>
      </c>
      <c r="M227" s="293">
        <f t="shared" ca="1" si="160"/>
        <v>0.4040161003150588</v>
      </c>
      <c r="N227" s="293">
        <f t="shared" ca="1" si="160"/>
        <v>0.40699870950714007</v>
      </c>
      <c r="O227" s="293">
        <f t="shared" ca="1" si="160"/>
        <v>0.4092383407315815</v>
      </c>
      <c r="P227" s="293">
        <f t="shared" ca="1" si="160"/>
        <v>0.41076963918188936</v>
      </c>
    </row>
    <row r="228" spans="2:22">
      <c r="B228" t="s">
        <v>1937</v>
      </c>
      <c r="D228" s="293">
        <f ca="1">1-D227</f>
        <v>0.65328337127076064</v>
      </c>
      <c r="E228" s="293">
        <f t="shared" ref="E228:P228" ca="1" si="161">1-E227</f>
        <v>0.64494373977815322</v>
      </c>
      <c r="F228" s="293">
        <f t="shared" ca="1" si="161"/>
        <v>0.63642952915641682</v>
      </c>
      <c r="G228" s="293">
        <f t="shared" ca="1" si="161"/>
        <v>0.628507430830617</v>
      </c>
      <c r="H228" s="293">
        <f t="shared" ca="1" si="161"/>
        <v>0.62122767730718798</v>
      </c>
      <c r="I228" s="293">
        <f t="shared" ca="1" si="161"/>
        <v>0.61487047340654211</v>
      </c>
      <c r="J228" s="293">
        <f t="shared" ca="1" si="161"/>
        <v>0.60929395892383442</v>
      </c>
      <c r="K228" s="293">
        <f t="shared" ca="1" si="161"/>
        <v>0.60431519189316596</v>
      </c>
      <c r="L228" s="293">
        <f t="shared" ca="1" si="161"/>
        <v>0.59974400391220728</v>
      </c>
      <c r="M228" s="293">
        <f t="shared" ca="1" si="161"/>
        <v>0.59598389968494114</v>
      </c>
      <c r="N228" s="293">
        <f t="shared" ca="1" si="161"/>
        <v>0.59300129049285988</v>
      </c>
      <c r="O228" s="293">
        <f t="shared" ca="1" si="161"/>
        <v>0.5907616592684185</v>
      </c>
      <c r="P228" s="293">
        <f t="shared" ca="1" si="161"/>
        <v>0.58923036081811064</v>
      </c>
    </row>
    <row r="230" spans="2:22">
      <c r="B230" t="s">
        <v>1938</v>
      </c>
      <c r="D230" s="293">
        <f ca="1">+(D216+D221)/(D219+D225)</f>
        <v>0.57228815722329429</v>
      </c>
      <c r="E230" s="293">
        <f t="shared" ref="E230:P230" ca="1" si="162">+(E216+E221)/(E219+E225)</f>
        <v>0.59816716247227197</v>
      </c>
      <c r="F230" s="293">
        <f t="shared" ca="1" si="162"/>
        <v>0.62163849705758989</v>
      </c>
      <c r="G230" s="293">
        <f t="shared" ca="1" si="162"/>
        <v>0.64388657236339752</v>
      </c>
      <c r="H230" s="293">
        <f t="shared" ca="1" si="162"/>
        <v>0.6648660302127184</v>
      </c>
      <c r="I230" s="293">
        <f t="shared" ca="1" si="162"/>
        <v>0.68446778481915627</v>
      </c>
      <c r="J230" s="293">
        <f t="shared" ca="1" si="162"/>
        <v>0.70279314392010095</v>
      </c>
      <c r="K230" s="293">
        <f t="shared" ca="1" si="162"/>
        <v>0.71995817385749095</v>
      </c>
      <c r="L230" s="293">
        <f t="shared" ca="1" si="162"/>
        <v>0.73607382294054857</v>
      </c>
      <c r="M230" s="293">
        <f t="shared" ca="1" si="162"/>
        <v>0.75171646413025672</v>
      </c>
      <c r="N230" s="293">
        <f t="shared" ca="1" si="162"/>
        <v>0.76694963271160765</v>
      </c>
      <c r="O230" s="293">
        <f t="shared" ca="1" si="162"/>
        <v>0.78183559846540518</v>
      </c>
      <c r="P230" s="293">
        <f t="shared" ca="1" si="162"/>
        <v>0.79643439182327913</v>
      </c>
    </row>
    <row r="231" spans="2:22">
      <c r="B231" t="s">
        <v>1939</v>
      </c>
      <c r="D231" s="293">
        <f ca="1">+(D217+D218+D222)/(D219+D225)</f>
        <v>0.35107094936233135</v>
      </c>
      <c r="E231" s="293">
        <f t="shared" ref="E231:P231" ca="1" si="163">+(E217+E218+E222)/(E219+E225)</f>
        <v>0.32570190570690738</v>
      </c>
      <c r="F231" s="293">
        <f t="shared" ca="1" si="163"/>
        <v>0.3025337265884373</v>
      </c>
      <c r="G231" s="293">
        <f t="shared" ca="1" si="163"/>
        <v>0.28078731187503214</v>
      </c>
      <c r="H231" s="293">
        <f t="shared" ca="1" si="163"/>
        <v>0.26048362235814398</v>
      </c>
      <c r="I231" s="293">
        <f t="shared" ca="1" si="163"/>
        <v>0.24167829380621728</v>
      </c>
      <c r="J231" s="293">
        <f t="shared" ca="1" si="163"/>
        <v>0.22426688417342489</v>
      </c>
      <c r="K231" s="293">
        <f t="shared" ca="1" si="163"/>
        <v>0.20813515919071876</v>
      </c>
      <c r="L231" s="293">
        <f t="shared" ca="1" si="163"/>
        <v>0.19317479338244592</v>
      </c>
      <c r="M231" s="293">
        <f t="shared" ca="1" si="163"/>
        <v>0.1787425647697326</v>
      </c>
      <c r="N231" s="293">
        <f t="shared" ca="1" si="163"/>
        <v>0.16476173353304421</v>
      </c>
      <c r="O231" s="293">
        <f t="shared" ca="1" si="163"/>
        <v>0.15115835620781273</v>
      </c>
      <c r="P231" s="293">
        <f t="shared" ca="1" si="163"/>
        <v>0.13786220104596347</v>
      </c>
    </row>
    <row r="232" spans="2:22">
      <c r="B232" t="s">
        <v>1940</v>
      </c>
      <c r="D232" s="293">
        <f ca="1">1-D231-D230</f>
        <v>7.66408934143743E-2</v>
      </c>
      <c r="E232" s="293">
        <f t="shared" ref="E232:P232" ca="1" si="164">1-E231-E230</f>
        <v>7.6130931820820646E-2</v>
      </c>
      <c r="F232" s="293">
        <f t="shared" ca="1" si="164"/>
        <v>7.5827776353972753E-2</v>
      </c>
      <c r="G232" s="293">
        <f t="shared" ca="1" si="164"/>
        <v>7.5326115761570334E-2</v>
      </c>
      <c r="H232" s="293">
        <f t="shared" ca="1" si="164"/>
        <v>7.4650347429137676E-2</v>
      </c>
      <c r="I232" s="293">
        <f t="shared" ca="1" si="164"/>
        <v>7.385392137462643E-2</v>
      </c>
      <c r="J232" s="293">
        <f t="shared" ca="1" si="164"/>
        <v>7.2939971906474166E-2</v>
      </c>
      <c r="K232" s="293">
        <f t="shared" ca="1" si="164"/>
        <v>7.1906666951790266E-2</v>
      </c>
      <c r="L232" s="293">
        <f t="shared" ca="1" si="164"/>
        <v>7.0751383677005508E-2</v>
      </c>
      <c r="M232" s="293">
        <f t="shared" ca="1" si="164"/>
        <v>6.9540971100010673E-2</v>
      </c>
      <c r="N232" s="293">
        <f t="shared" ca="1" si="164"/>
        <v>6.8288633755348105E-2</v>
      </c>
      <c r="O232" s="293">
        <f t="shared" ca="1" si="164"/>
        <v>6.7006045326782115E-2</v>
      </c>
      <c r="P232" s="293">
        <f t="shared" ca="1" si="164"/>
        <v>6.5703407130757396E-2</v>
      </c>
    </row>
    <row r="234" spans="2:22" ht="13.5" thickBot="1">
      <c r="B234" s="3459" t="s">
        <v>1948</v>
      </c>
      <c r="C234" s="3458"/>
      <c r="D234" s="3506" t="str">
        <f t="shared" ref="D234:P234" si="165">D2</f>
        <v>2018E</v>
      </c>
      <c r="E234" s="3506" t="str">
        <f t="shared" si="165"/>
        <v>2019E</v>
      </c>
      <c r="F234" s="3506" t="str">
        <f t="shared" si="165"/>
        <v>2020E</v>
      </c>
      <c r="G234" s="3506" t="str">
        <f t="shared" si="165"/>
        <v>2021E</v>
      </c>
      <c r="H234" s="3506">
        <f t="shared" si="165"/>
        <v>2022</v>
      </c>
      <c r="I234" s="3506">
        <f t="shared" si="165"/>
        <v>2023</v>
      </c>
      <c r="J234" s="3506">
        <f t="shared" si="165"/>
        <v>2024</v>
      </c>
      <c r="K234" s="3506">
        <f t="shared" si="165"/>
        <v>2025</v>
      </c>
      <c r="L234" s="3506">
        <f t="shared" si="165"/>
        <v>2026</v>
      </c>
      <c r="M234" s="3506">
        <f t="shared" si="165"/>
        <v>2027</v>
      </c>
      <c r="N234" s="3506">
        <f t="shared" si="165"/>
        <v>2028</v>
      </c>
      <c r="O234" s="3506">
        <f t="shared" si="165"/>
        <v>2029</v>
      </c>
      <c r="P234" s="3506">
        <f t="shared" si="165"/>
        <v>2030</v>
      </c>
    </row>
    <row r="235" spans="2:22" ht="13.5" thickTop="1">
      <c r="B235" s="3502" t="s">
        <v>1949</v>
      </c>
      <c r="C235" s="3502"/>
      <c r="D235" s="287">
        <f t="shared" ref="D235:P235" si="166">D64</f>
        <v>1073.361684</v>
      </c>
      <c r="E235" s="287">
        <f t="shared" ca="1" si="166"/>
        <v>1076.8438410520678</v>
      </c>
      <c r="F235" s="287">
        <f t="shared" ca="1" si="166"/>
        <v>1080.309381357134</v>
      </c>
      <c r="G235" s="287">
        <f t="shared" ca="1" si="166"/>
        <v>1083.7631616148831</v>
      </c>
      <c r="H235" s="287">
        <f t="shared" ca="1" si="166"/>
        <v>1087.2095199648727</v>
      </c>
      <c r="I235" s="287">
        <f t="shared" ca="1" si="166"/>
        <v>1090.6516207683019</v>
      </c>
      <c r="J235" s="287">
        <f t="shared" ca="1" si="166"/>
        <v>1073.7212422300825</v>
      </c>
      <c r="K235" s="287">
        <f t="shared" ca="1" si="166"/>
        <v>1057.8192500428579</v>
      </c>
      <c r="L235" s="287">
        <f t="shared" ca="1" si="166"/>
        <v>1042.8975018955127</v>
      </c>
      <c r="M235" s="74">
        <f t="shared" ca="1" si="166"/>
        <v>1023.0937930134038</v>
      </c>
      <c r="N235" s="74">
        <f t="shared" ca="1" si="166"/>
        <v>1004.4713810374949</v>
      </c>
      <c r="O235" s="74">
        <f t="shared" ca="1" si="166"/>
        <v>986.972833297943</v>
      </c>
      <c r="P235" s="74">
        <f t="shared" ca="1" si="166"/>
        <v>965.56357239424733</v>
      </c>
    </row>
    <row r="236" spans="2:22">
      <c r="B236" s="3502" t="s">
        <v>1596</v>
      </c>
      <c r="C236" s="3454">
        <f>C67</f>
        <v>0</v>
      </c>
      <c r="D236" s="3454">
        <f t="shared" ref="D236:P236" si="167">D67</f>
        <v>16.670000000000002</v>
      </c>
      <c r="E236" s="3454">
        <f t="shared" si="167"/>
        <v>28.432160999999997</v>
      </c>
      <c r="F236" s="3454">
        <f t="shared" si="167"/>
        <v>29.940288115922996</v>
      </c>
      <c r="G236" s="3454">
        <f t="shared" si="167"/>
        <v>31.5284108184559</v>
      </c>
      <c r="H236" s="3454">
        <f t="shared" si="167"/>
        <v>33.200772313499257</v>
      </c>
      <c r="I236" s="3454">
        <f t="shared" si="167"/>
        <v>34.9618408793242</v>
      </c>
      <c r="J236" s="3454">
        <f t="shared" si="167"/>
        <v>36.81632180508619</v>
      </c>
      <c r="K236" s="3454">
        <f t="shared" si="167"/>
        <v>38.769169962593374</v>
      </c>
      <c r="L236" s="3454">
        <f t="shared" si="167"/>
        <v>40.825603044919212</v>
      </c>
      <c r="M236" s="3454">
        <f t="shared" si="167"/>
        <v>42.991115507230859</v>
      </c>
      <c r="N236" s="3454">
        <f t="shared" si="167"/>
        <v>45.271493247080905</v>
      </c>
      <c r="O236" s="3454">
        <f t="shared" si="167"/>
        <v>47.672829063385812</v>
      </c>
      <c r="P236" s="3454">
        <f t="shared" si="167"/>
        <v>50.201538935394986</v>
      </c>
    </row>
    <row r="237" spans="2:22">
      <c r="B237" s="285" t="s">
        <v>1950</v>
      </c>
      <c r="C237" s="113">
        <f>+D237</f>
        <v>17892.93927228</v>
      </c>
      <c r="D237" s="113">
        <f>+D235*D236</f>
        <v>17892.93927228</v>
      </c>
      <c r="E237" s="113">
        <f t="shared" ref="E237:P237" ca="1" si="168">+E235*E236</f>
        <v>30616.997460650797</v>
      </c>
      <c r="F237" s="113">
        <f t="shared" ca="1" si="168"/>
        <v>32344.774132167124</v>
      </c>
      <c r="G237" s="113">
        <f t="shared" ca="1" si="168"/>
        <v>34169.330189302651</v>
      </c>
      <c r="H237" s="113">
        <f t="shared" ca="1" si="168"/>
        <v>36096.195729422565</v>
      </c>
      <c r="I237" s="113">
        <f t="shared" ca="1" si="168"/>
        <v>38131.188420078412</v>
      </c>
      <c r="J237" s="113">
        <f t="shared" ca="1" si="168"/>
        <v>39530.466782899617</v>
      </c>
      <c r="K237" s="113">
        <f t="shared" ca="1" si="168"/>
        <v>41010.774294614617</v>
      </c>
      <c r="L237" s="113">
        <f t="shared" ca="1" si="168"/>
        <v>42576.919428924084</v>
      </c>
      <c r="M237" s="113">
        <f t="shared" ca="1" si="168"/>
        <v>43983.943430170184</v>
      </c>
      <c r="N237" s="113">
        <f t="shared" ca="1" si="168"/>
        <v>45473.919343524984</v>
      </c>
      <c r="O237" s="113">
        <f t="shared" ca="1" si="168"/>
        <v>47051.787172018419</v>
      </c>
      <c r="P237" s="113">
        <f t="shared" ca="1" si="168"/>
        <v>48472.777274148881</v>
      </c>
    </row>
    <row r="238" spans="2:22">
      <c r="B238" s="3502"/>
      <c r="C238" s="3614"/>
      <c r="D238" s="3502"/>
      <c r="E238" s="3502"/>
      <c r="F238" s="3502"/>
      <c r="G238" s="3502"/>
      <c r="H238" s="3502"/>
      <c r="I238" s="3502"/>
      <c r="J238" s="3502"/>
      <c r="K238" s="3502"/>
      <c r="L238" s="3502"/>
      <c r="M238" s="3502"/>
      <c r="N238" s="3502"/>
      <c r="O238" s="3502"/>
      <c r="P238" s="3502"/>
    </row>
    <row r="239" spans="2:22">
      <c r="B239" s="3502" t="s">
        <v>684</v>
      </c>
      <c r="C239" s="74">
        <f>+C177</f>
        <v>2277.2739976656267</v>
      </c>
      <c r="D239" s="74">
        <f ca="1">+D177</f>
        <v>-32837.609066910605</v>
      </c>
      <c r="E239" s="74">
        <f t="shared" ref="E239:P239" ca="1" si="169">+E177</f>
        <v>-67157.606495942106</v>
      </c>
      <c r="F239" s="74">
        <f t="shared" ca="1" si="169"/>
        <v>-100307.97093791861</v>
      </c>
      <c r="G239" s="74">
        <f t="shared" ca="1" si="169"/>
        <v>-101608.62580325802</v>
      </c>
      <c r="H239" s="74">
        <f t="shared" ca="1" si="169"/>
        <v>-98141.64064887428</v>
      </c>
      <c r="I239" s="74">
        <f t="shared" ca="1" si="169"/>
        <v>-57977.547520782646</v>
      </c>
      <c r="J239" s="74">
        <f t="shared" ca="1" si="169"/>
        <v>-53636.296648955176</v>
      </c>
      <c r="K239" s="74">
        <f t="shared" ca="1" si="169"/>
        <v>-49123.342100722191</v>
      </c>
      <c r="L239" s="74">
        <f t="shared" ca="1" si="169"/>
        <v>-45066.753790875293</v>
      </c>
      <c r="M239" s="74">
        <f t="shared" ca="1" si="169"/>
        <v>-41061.958986748039</v>
      </c>
      <c r="N239" s="74">
        <f t="shared" ca="1" si="169"/>
        <v>-36855.131983325846</v>
      </c>
      <c r="O239" s="74">
        <f t="shared" ca="1" si="169"/>
        <v>-32447.362511157673</v>
      </c>
      <c r="P239" s="74">
        <f t="shared" ca="1" si="169"/>
        <v>-28079.310570402395</v>
      </c>
      <c r="V239" s="293"/>
    </row>
    <row r="240" spans="2:22">
      <c r="B240" s="3502" t="s">
        <v>1951</v>
      </c>
      <c r="C240" s="287">
        <f>+C151</f>
        <v>45471.72600233437</v>
      </c>
      <c r="D240" s="287">
        <f>+D151</f>
        <v>45999</v>
      </c>
      <c r="E240" s="287">
        <f t="shared" ref="E240:P240" si="170">+E151</f>
        <v>44249</v>
      </c>
      <c r="F240" s="287">
        <f t="shared" si="170"/>
        <v>42999</v>
      </c>
      <c r="G240" s="287">
        <f t="shared" si="170"/>
        <v>41749</v>
      </c>
      <c r="H240" s="287">
        <f t="shared" si="170"/>
        <v>40499</v>
      </c>
      <c r="I240" s="287">
        <f t="shared" si="170"/>
        <v>39499</v>
      </c>
      <c r="J240" s="287">
        <f t="shared" ca="1" si="170"/>
        <v>39842.755327541527</v>
      </c>
      <c r="K240" s="287">
        <f t="shared" ca="1" si="170"/>
        <v>40239.994532349127</v>
      </c>
      <c r="L240" s="287">
        <f t="shared" ca="1" si="170"/>
        <v>40703.602429491191</v>
      </c>
      <c r="M240" s="287">
        <f t="shared" ca="1" si="170"/>
        <v>41187.170867983979</v>
      </c>
      <c r="N240" s="287">
        <f t="shared" ca="1" si="170"/>
        <v>41686.827387538826</v>
      </c>
      <c r="O240" s="287">
        <f t="shared" ca="1" si="170"/>
        <v>42199.019133812835</v>
      </c>
      <c r="P240" s="287">
        <f t="shared" ca="1" si="170"/>
        <v>42720.487139792516</v>
      </c>
    </row>
    <row r="241" spans="2:26">
      <c r="B241" s="285" t="s">
        <v>1193</v>
      </c>
      <c r="C241" s="113">
        <f>+C240-C239</f>
        <v>43194.452004668739</v>
      </c>
      <c r="D241" s="113">
        <f ca="1">+D240-D239</f>
        <v>78836.609066910605</v>
      </c>
      <c r="E241" s="113">
        <f t="shared" ref="E241:P241" ca="1" si="171">+E240-E239</f>
        <v>111406.60649594211</v>
      </c>
      <c r="F241" s="113">
        <f t="shared" ca="1" si="171"/>
        <v>143306.97093791861</v>
      </c>
      <c r="G241" s="113">
        <f t="shared" ca="1" si="171"/>
        <v>143357.62580325804</v>
      </c>
      <c r="H241" s="113">
        <f t="shared" ca="1" si="171"/>
        <v>138640.64064887428</v>
      </c>
      <c r="I241" s="113">
        <f t="shared" ca="1" si="171"/>
        <v>97476.547520782653</v>
      </c>
      <c r="J241" s="113">
        <f t="shared" ca="1" si="171"/>
        <v>93479.051976496703</v>
      </c>
      <c r="K241" s="113">
        <f t="shared" ca="1" si="171"/>
        <v>89363.336633071318</v>
      </c>
      <c r="L241" s="113">
        <f t="shared" ca="1" si="171"/>
        <v>85770.356220366491</v>
      </c>
      <c r="M241" s="113">
        <f t="shared" ca="1" si="171"/>
        <v>82249.129854732018</v>
      </c>
      <c r="N241" s="113">
        <f t="shared" ca="1" si="171"/>
        <v>78541.959370864672</v>
      </c>
      <c r="O241" s="113">
        <f t="shared" ca="1" si="171"/>
        <v>74646.381644970505</v>
      </c>
      <c r="P241" s="113">
        <f t="shared" ca="1" si="171"/>
        <v>70799.797710194907</v>
      </c>
    </row>
    <row r="242" spans="2:26">
      <c r="C242" s="3614"/>
    </row>
    <row r="243" spans="2:26">
      <c r="B243" t="s">
        <v>385</v>
      </c>
      <c r="C243" s="74">
        <f>+C237+C241</f>
        <v>61087.391276948736</v>
      </c>
      <c r="D243" s="74">
        <f ca="1">+D237+D241</f>
        <v>96729.548339190602</v>
      </c>
      <c r="E243" s="74">
        <f t="shared" ref="E243:P243" ca="1" si="172">+E237+E241</f>
        <v>142023.60395659291</v>
      </c>
      <c r="F243" s="74">
        <f t="shared" ca="1" si="172"/>
        <v>175651.74507008574</v>
      </c>
      <c r="G243" s="74">
        <f t="shared" ca="1" si="172"/>
        <v>177526.95599256069</v>
      </c>
      <c r="H243" s="74">
        <f t="shared" ca="1" si="172"/>
        <v>174736.83637829684</v>
      </c>
      <c r="I243" s="74">
        <f t="shared" ca="1" si="172"/>
        <v>135607.73594086105</v>
      </c>
      <c r="J243" s="74">
        <f t="shared" ca="1" si="172"/>
        <v>133009.51875939633</v>
      </c>
      <c r="K243" s="74">
        <f t="shared" ca="1" si="172"/>
        <v>130374.11092768594</v>
      </c>
      <c r="L243" s="74">
        <f t="shared" ca="1" si="172"/>
        <v>128347.27564929058</v>
      </c>
      <c r="M243" s="74">
        <f t="shared" ca="1" si="172"/>
        <v>126233.0732849022</v>
      </c>
      <c r="N243" s="74">
        <f t="shared" ca="1" si="172"/>
        <v>124015.87871438966</v>
      </c>
      <c r="O243" s="74">
        <f t="shared" ca="1" si="172"/>
        <v>121698.16881698892</v>
      </c>
      <c r="P243" s="74">
        <f t="shared" ca="1" si="172"/>
        <v>119272.57498434378</v>
      </c>
    </row>
    <row r="245" spans="2:26">
      <c r="B245" t="s">
        <v>1093</v>
      </c>
      <c r="D245" s="74">
        <f ca="1">+D47</f>
        <v>-24533.682661820181</v>
      </c>
      <c r="E245" s="74">
        <f t="shared" ref="E245:P245" ca="1" si="173">+E47</f>
        <v>-23643.122517071573</v>
      </c>
      <c r="F245" s="74">
        <f t="shared" ca="1" si="173"/>
        <v>-23016.03079332165</v>
      </c>
      <c r="G245" s="74">
        <f t="shared" ca="1" si="173"/>
        <v>10319.82825431194</v>
      </c>
      <c r="H245" s="74">
        <f t="shared" ca="1" si="173"/>
        <v>15602.273444824315</v>
      </c>
      <c r="I245" s="74">
        <f t="shared" ca="1" si="173"/>
        <v>15723.770814405842</v>
      </c>
      <c r="J245" s="74">
        <f t="shared" ca="1" si="173"/>
        <v>15862.374552808644</v>
      </c>
      <c r="K245" s="74">
        <f t="shared" ca="1" si="173"/>
        <v>16022.54323796113</v>
      </c>
      <c r="L245" s="74">
        <f t="shared" ca="1" si="173"/>
        <v>16209.472086908754</v>
      </c>
      <c r="M245" s="74">
        <f t="shared" ca="1" si="173"/>
        <v>16404.449118473764</v>
      </c>
      <c r="N245" s="74">
        <f t="shared" ca="1" si="173"/>
        <v>16605.91293875235</v>
      </c>
      <c r="O245" s="74">
        <f t="shared" ca="1" si="173"/>
        <v>16812.431020436652</v>
      </c>
      <c r="P245" s="74">
        <f t="shared" ca="1" si="173"/>
        <v>17022.689332949656</v>
      </c>
    </row>
    <row r="247" spans="2:26">
      <c r="B247" t="s">
        <v>1952</v>
      </c>
      <c r="D247" s="3371">
        <f ca="1">+D243/D245</f>
        <v>-3.942724362768542</v>
      </c>
      <c r="E247" s="3371">
        <f t="shared" ref="E247:P247" ca="1" si="174">+E243/E245</f>
        <v>-6.0069732267404365</v>
      </c>
      <c r="F247" s="3371">
        <f t="shared" ca="1" si="174"/>
        <v>-7.6317131588585205</v>
      </c>
      <c r="G247" s="3371">
        <f t="shared" ca="1" si="174"/>
        <v>17.202510702480392</v>
      </c>
      <c r="H247" s="3371">
        <f t="shared" ca="1" si="174"/>
        <v>11.199447118795476</v>
      </c>
      <c r="I247" s="3371">
        <f t="shared" ca="1" si="174"/>
        <v>8.6243775454053058</v>
      </c>
      <c r="J247" s="3371">
        <f t="shared" ca="1" si="174"/>
        <v>8.3852211607148845</v>
      </c>
      <c r="K247" s="3371">
        <f t="shared" ca="1" si="174"/>
        <v>8.1369174038987371</v>
      </c>
      <c r="L247" s="3371">
        <f t="shared" ca="1" si="174"/>
        <v>7.9180416833530076</v>
      </c>
      <c r="M247" s="3371">
        <f t="shared" ca="1" si="174"/>
        <v>7.6950510421435396</v>
      </c>
      <c r="N247" s="3371">
        <f t="shared" ca="1" si="174"/>
        <v>7.46817589444181</v>
      </c>
      <c r="O247" s="3371">
        <f t="shared" ca="1" si="174"/>
        <v>7.238582491077973</v>
      </c>
      <c r="P247" s="3371">
        <f t="shared" ca="1" si="174"/>
        <v>7.0066822375402227</v>
      </c>
    </row>
    <row r="250" spans="2:26">
      <c r="T250" s="74" t="s">
        <v>1967</v>
      </c>
      <c r="U250" s="3342">
        <f>+Valuation!U20</f>
        <v>0</v>
      </c>
      <c r="V250" s="3342">
        <f>+U250</f>
        <v>0</v>
      </c>
      <c r="W250" s="3342">
        <f>+V250</f>
        <v>0</v>
      </c>
      <c r="X250" s="3342">
        <f>+W250</f>
        <v>0</v>
      </c>
      <c r="Y250" s="3342">
        <f>+X250</f>
        <v>0</v>
      </c>
      <c r="Z250" s="3342">
        <f>+Y250</f>
        <v>0</v>
      </c>
    </row>
    <row r="251" spans="2:26">
      <c r="T251" s="74" t="s">
        <v>1968</v>
      </c>
      <c r="U251" s="3371">
        <v>8</v>
      </c>
      <c r="V251" s="3371">
        <f>+U251+0.2</f>
        <v>8.1999999999999993</v>
      </c>
      <c r="W251" s="3371">
        <f>+V251+0.2</f>
        <v>8.3999999999999986</v>
      </c>
      <c r="X251" s="3371">
        <f>+W251+0.2</f>
        <v>8.5999999999999979</v>
      </c>
      <c r="Y251" s="3371">
        <f>+X251+0.2</f>
        <v>8.7999999999999972</v>
      </c>
      <c r="Z251" s="3371">
        <f>+Y251+0.2</f>
        <v>8.9999999999999964</v>
      </c>
    </row>
    <row r="252" spans="2:26">
      <c r="T252" s="3339" t="s">
        <v>1969</v>
      </c>
      <c r="U252" s="3342">
        <f t="shared" ref="U252:Z252" si="175">+U250*U251</f>
        <v>0</v>
      </c>
      <c r="V252" s="3342">
        <f t="shared" si="175"/>
        <v>0</v>
      </c>
      <c r="W252" s="3342">
        <f t="shared" si="175"/>
        <v>0</v>
      </c>
      <c r="X252" s="3342">
        <f t="shared" si="175"/>
        <v>0</v>
      </c>
      <c r="Y252" s="3342">
        <f t="shared" si="175"/>
        <v>0</v>
      </c>
      <c r="Z252" s="3342">
        <f t="shared" si="175"/>
        <v>0</v>
      </c>
    </row>
    <row r="254" spans="2:26">
      <c r="T254" t="s">
        <v>1970</v>
      </c>
      <c r="U254" s="3342">
        <f ca="1">+D243</f>
        <v>96729.548339190602</v>
      </c>
      <c r="V254" s="3342">
        <f ca="1">+U254</f>
        <v>96729.548339190602</v>
      </c>
      <c r="W254" s="3342">
        <f ca="1">+V254</f>
        <v>96729.548339190602</v>
      </c>
      <c r="X254" s="3342">
        <f ca="1">+W254</f>
        <v>96729.548339190602</v>
      </c>
      <c r="Y254" s="3342">
        <f ca="1">+X254</f>
        <v>96729.548339190602</v>
      </c>
      <c r="Z254" s="3342">
        <f ca="1">+Y254</f>
        <v>96729.548339190602</v>
      </c>
    </row>
    <row r="255" spans="2:26">
      <c r="T255" t="s">
        <v>1971</v>
      </c>
      <c r="U255" s="3342">
        <f t="shared" ref="U255:Z255" ca="1" si="176">+U254-U252</f>
        <v>96729.548339190602</v>
      </c>
      <c r="V255" s="3342">
        <f t="shared" ca="1" si="176"/>
        <v>96729.548339190602</v>
      </c>
      <c r="W255" s="3342">
        <f t="shared" ca="1" si="176"/>
        <v>96729.548339190602</v>
      </c>
      <c r="X255" s="3342">
        <f t="shared" ca="1" si="176"/>
        <v>96729.548339190602</v>
      </c>
      <c r="Y255" s="3342">
        <f t="shared" ca="1" si="176"/>
        <v>96729.548339190602</v>
      </c>
      <c r="Z255" s="3342">
        <f t="shared" ca="1" si="176"/>
        <v>96729.548339190602</v>
      </c>
    </row>
    <row r="256" spans="2:26">
      <c r="T256" t="s">
        <v>1972</v>
      </c>
      <c r="U256" s="3342">
        <f ca="1">+D47</f>
        <v>-24533.682661820181</v>
      </c>
      <c r="V256" s="3342">
        <f ca="1">+U256</f>
        <v>-24533.682661820181</v>
      </c>
      <c r="W256" s="3342">
        <f ca="1">+V256</f>
        <v>-24533.682661820181</v>
      </c>
      <c r="X256" s="3342">
        <f ca="1">+W256</f>
        <v>-24533.682661820181</v>
      </c>
      <c r="Y256" s="3342">
        <f ca="1">+X256</f>
        <v>-24533.682661820181</v>
      </c>
      <c r="Z256" s="3342">
        <f ca="1">+Y256</f>
        <v>-24533.682661820181</v>
      </c>
    </row>
    <row r="257" spans="20:26">
      <c r="T257" t="s">
        <v>1973</v>
      </c>
      <c r="U257" s="3342">
        <f t="shared" ref="U257:Z257" ca="1" si="177">+U256-U250</f>
        <v>-24533.682661820181</v>
      </c>
      <c r="V257" s="3342">
        <f t="shared" ca="1" si="177"/>
        <v>-24533.682661820181</v>
      </c>
      <c r="W257" s="3342">
        <f t="shared" ca="1" si="177"/>
        <v>-24533.682661820181</v>
      </c>
      <c r="X257" s="3342">
        <f t="shared" ca="1" si="177"/>
        <v>-24533.682661820181</v>
      </c>
      <c r="Y257" s="3342">
        <f t="shared" ca="1" si="177"/>
        <v>-24533.682661820181</v>
      </c>
      <c r="Z257" s="3342">
        <f t="shared" ca="1" si="177"/>
        <v>-24533.682661820181</v>
      </c>
    </row>
    <row r="258" spans="20:26">
      <c r="T258" t="s">
        <v>1974</v>
      </c>
      <c r="U258" s="3371">
        <f t="shared" ref="U258:Z258" ca="1" si="178">+U255/U257</f>
        <v>-3.942724362768542</v>
      </c>
      <c r="V258" s="3371">
        <f t="shared" ca="1" si="178"/>
        <v>-3.942724362768542</v>
      </c>
      <c r="W258" s="3371">
        <f t="shared" ca="1" si="178"/>
        <v>-3.942724362768542</v>
      </c>
      <c r="X258" s="3371">
        <f t="shared" ca="1" si="178"/>
        <v>-3.942724362768542</v>
      </c>
      <c r="Y258" s="3371">
        <f t="shared" ca="1" si="178"/>
        <v>-3.942724362768542</v>
      </c>
      <c r="Z258" s="3371">
        <f t="shared" ca="1" si="178"/>
        <v>-3.942724362768542</v>
      </c>
    </row>
  </sheetData>
  <pageMargins left="0" right="0" top="0" bottom="0" header="0" footer="0"/>
  <pageSetup paperSize="5" scale="21" orientation="landscape"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2:W131"/>
  <sheetViews>
    <sheetView showGridLines="0" topLeftCell="A18" zoomScaleNormal="100" workbookViewId="0">
      <selection activeCell="C28" sqref="C28"/>
    </sheetView>
  </sheetViews>
  <sheetFormatPr defaultRowHeight="11.25" customHeight="1" outlineLevelRow="1" outlineLevelCol="1"/>
  <cols>
    <col min="1" max="1" width="27.42578125" style="3024" customWidth="1"/>
    <col min="2" max="2" width="8.7109375" style="3024" customWidth="1"/>
    <col min="3" max="3" width="9.7109375" style="3024" customWidth="1" outlineLevel="1"/>
    <col min="4" max="9" width="9.140625" style="3024"/>
    <col min="10" max="10" width="6" style="3024" customWidth="1"/>
    <col min="11" max="11" width="13.85546875" style="3024" bestFit="1" customWidth="1"/>
    <col min="12" max="14" width="9.140625" style="3024"/>
    <col min="15" max="15" width="12.28515625" style="3024" bestFit="1" customWidth="1"/>
    <col min="16" max="18" width="9.140625" style="3024"/>
    <col min="19" max="19" width="1.140625" style="3024" customWidth="1"/>
    <col min="20" max="22" width="9.140625" style="3024"/>
    <col min="23" max="23" width="10.85546875" style="3024" bestFit="1" customWidth="1"/>
    <col min="24" max="16384" width="9.140625" style="3024"/>
  </cols>
  <sheetData>
    <row r="2" spans="1:23" ht="11.25" customHeight="1">
      <c r="A2" s="3023">
        <v>1</v>
      </c>
    </row>
    <row r="3" spans="1:23" ht="11.25" hidden="1" customHeight="1" outlineLevel="1">
      <c r="A3" s="3025">
        <v>0.5</v>
      </c>
      <c r="K3"/>
    </row>
    <row r="4" spans="1:23" ht="11.25" hidden="1" customHeight="1" outlineLevel="1">
      <c r="A4" s="3025">
        <v>0.75</v>
      </c>
    </row>
    <row r="5" spans="1:23" ht="11.25" hidden="1" customHeight="1" outlineLevel="1">
      <c r="A5" s="3025">
        <v>1</v>
      </c>
    </row>
    <row r="6" spans="1:23" ht="11.25" customHeight="1" collapsed="1">
      <c r="A6" s="3026"/>
    </row>
    <row r="7" spans="1:23" ht="11.25" customHeight="1">
      <c r="A7" s="3027"/>
      <c r="B7" s="3027"/>
      <c r="C7" s="3027"/>
      <c r="D7" s="3027"/>
      <c r="E7" s="3027"/>
      <c r="F7" s="3027"/>
      <c r="G7" s="3027"/>
      <c r="H7" s="3027"/>
      <c r="I7" s="3027"/>
      <c r="N7" s="3028" t="s">
        <v>1593</v>
      </c>
    </row>
    <row r="8" spans="1:23" s="3029" customFormat="1" ht="11.25" customHeight="1">
      <c r="B8"/>
      <c r="C8" t="s">
        <v>526</v>
      </c>
      <c r="D8" t="s">
        <v>527</v>
      </c>
      <c r="E8" t="s">
        <v>1233</v>
      </c>
      <c r="F8" s="3141" t="s">
        <v>1296</v>
      </c>
      <c r="G8" s="3144"/>
      <c r="H8" s="3144"/>
      <c r="I8" s="3144"/>
      <c r="J8" s="3030"/>
      <c r="N8"/>
      <c r="O8"/>
      <c r="P8" t="s">
        <v>1594</v>
      </c>
      <c r="Q8"/>
      <c r="R8"/>
      <c r="S8"/>
      <c r="T8"/>
      <c r="U8"/>
      <c r="V8"/>
      <c r="W8"/>
    </row>
    <row r="9" spans="1:23" s="3029" customFormat="1" ht="11.25" customHeight="1">
      <c r="B9"/>
      <c r="C9" t="str">
        <f>"Financing: "&amp;TEXT(B20,"0%")&amp;" Equity, "&amp;TEXT(B21,"0%")&amp;" Debt"</f>
        <v>Financing: 60% Equity, 40% Debt</v>
      </c>
      <c r="D9"/>
      <c r="E9"/>
      <c r="F9" s="3141"/>
      <c r="G9" s="3144"/>
      <c r="H9" s="3144"/>
      <c r="I9" s="3144"/>
      <c r="J9" s="3031"/>
      <c r="N9"/>
      <c r="O9" t="s">
        <v>526</v>
      </c>
      <c r="P9" t="s">
        <v>764</v>
      </c>
      <c r="Q9"/>
      <c r="R9"/>
      <c r="S9"/>
      <c r="T9" t="s">
        <v>752</v>
      </c>
      <c r="U9"/>
      <c r="V9"/>
      <c r="W9" t="s">
        <v>1595</v>
      </c>
    </row>
    <row r="10" spans="1:23" ht="11.25" customHeight="1">
      <c r="A10" s="3028"/>
      <c r="B10" s="3028"/>
      <c r="N10" t="s">
        <v>1596</v>
      </c>
      <c r="O10" t="s">
        <v>1597</v>
      </c>
      <c r="P10">
        <v>2017</v>
      </c>
      <c r="Q10">
        <v>2018</v>
      </c>
      <c r="R10">
        <v>2019</v>
      </c>
      <c r="S10"/>
      <c r="T10">
        <v>2017</v>
      </c>
      <c r="U10">
        <v>2018</v>
      </c>
      <c r="V10">
        <v>2019</v>
      </c>
      <c r="W10">
        <v>2017</v>
      </c>
    </row>
    <row r="11" spans="1:23" ht="11.25" customHeight="1">
      <c r="A11" s="3024" t="s">
        <v>1598</v>
      </c>
      <c r="B11" s="3032">
        <v>28</v>
      </c>
      <c r="O11" s="3467">
        <f>+B18</f>
        <v>-3.6144697347534676</v>
      </c>
      <c r="P11" s="3466">
        <f>+C57</f>
        <v>-10.509951771354038</v>
      </c>
      <c r="Q11" s="3466">
        <f>+D57</f>
        <v>-29.587613014002404</v>
      </c>
      <c r="R11" s="3466">
        <f>+E57</f>
        <v>-21.077035559589067</v>
      </c>
      <c r="S11" s="3033"/>
      <c r="T11" s="3466">
        <f>+C72</f>
        <v>-15.203894578859963</v>
      </c>
      <c r="U11" s="3466">
        <f ca="1">+D72</f>
        <v>-12.856590673194772</v>
      </c>
      <c r="V11" s="3466">
        <f ca="1">+E72</f>
        <v>-13.599716766452019</v>
      </c>
      <c r="W11" s="3467">
        <f ca="1">+C83</f>
        <v>2.8223472710990993</v>
      </c>
    </row>
    <row r="12" spans="1:23" ht="11.25" customHeight="1">
      <c r="A12" s="3028"/>
      <c r="B12" s="3028"/>
      <c r="M12" s="3034">
        <v>2.5</v>
      </c>
      <c r="N12" s="3035">
        <v>55</v>
      </c>
      <c r="O12" s="3467">
        <f t="dataTable" ref="O12:W22" dt2D="0" dtr="0" r1="B13" ca="1"/>
        <v>-2.6129464152292177</v>
      </c>
      <c r="P12" s="3466">
        <v>72.30353407933444</v>
      </c>
      <c r="Q12" s="3466">
        <v>220.29636161599458</v>
      </c>
      <c r="R12" s="3466">
        <v>155.06628168874107</v>
      </c>
      <c r="S12" s="3036">
        <v>0</v>
      </c>
      <c r="T12" s="3466">
        <v>107.70543208797937</v>
      </c>
      <c r="U12" s="3466">
        <v>91.848029640893742</v>
      </c>
      <c r="V12" s="3466">
        <v>97.678498772706874</v>
      </c>
      <c r="W12" s="3467">
        <v>2.9900346654623142</v>
      </c>
    </row>
    <row r="13" spans="1:23" ht="11.25" customHeight="1">
      <c r="A13" s="3028" t="s">
        <v>1599</v>
      </c>
      <c r="B13" s="3037">
        <v>66.5</v>
      </c>
      <c r="N13" s="3038">
        <f>+N12+$M$12</f>
        <v>57.5</v>
      </c>
      <c r="O13" s="3467">
        <v>-2.8306688759953587</v>
      </c>
      <c r="P13" s="3466">
        <v>-79.827808602449196</v>
      </c>
      <c r="Q13" s="3466">
        <v>-238.74945905701787</v>
      </c>
      <c r="R13" s="3466">
        <v>-168.51530749500978</v>
      </c>
      <c r="S13" s="3036">
        <v>0</v>
      </c>
      <c r="T13" s="3466">
        <v>-118.08340775935055</v>
      </c>
      <c r="U13" s="3466">
        <v>-100.4981119294314</v>
      </c>
      <c r="V13" s="3466">
        <v>-106.74357291411636</v>
      </c>
      <c r="W13" s="3467">
        <v>2.953580884079007</v>
      </c>
    </row>
    <row r="14" spans="1:23" ht="11.25" customHeight="1">
      <c r="A14" s="3024" t="s">
        <v>1600</v>
      </c>
      <c r="B14" s="3039">
        <f>+B27</f>
        <v>-448.23336430457613</v>
      </c>
      <c r="N14" s="3038">
        <f t="shared" ref="N14:N20" si="0">+N13+$M$12</f>
        <v>60</v>
      </c>
      <c r="O14" s="3467">
        <v>-3.0483913367615005</v>
      </c>
      <c r="P14" s="3466">
        <v>-26.819497107396916</v>
      </c>
      <c r="Q14" s="3466">
        <v>-78.800539762751782</v>
      </c>
      <c r="R14" s="3466">
        <v>-55.767248014626546</v>
      </c>
      <c r="S14" s="3036">
        <v>0</v>
      </c>
      <c r="T14" s="3466">
        <v>-39.410039446491503</v>
      </c>
      <c r="U14" s="3466">
        <v>-33.477444080871798</v>
      </c>
      <c r="V14" s="3466">
        <v>-35.515194452321879</v>
      </c>
      <c r="W14" s="3467">
        <v>2.9171271026956993</v>
      </c>
    </row>
    <row r="15" spans="1:23" ht="11.25" customHeight="1">
      <c r="A15" s="3024" t="s">
        <v>1601</v>
      </c>
      <c r="B15" s="3039">
        <f>+B13*B14</f>
        <v>-29807.518726254311</v>
      </c>
      <c r="N15" s="3038">
        <f t="shared" si="0"/>
        <v>62.5</v>
      </c>
      <c r="O15" s="3467">
        <v>-3.266113797527642</v>
      </c>
      <c r="P15" s="3466">
        <v>-16.504773154184115</v>
      </c>
      <c r="Q15" s="3466">
        <v>-47.676572546986726</v>
      </c>
      <c r="R15" s="3466">
        <v>-33.82795062898694</v>
      </c>
      <c r="S15" s="3036">
        <v>0</v>
      </c>
      <c r="T15" s="3466">
        <v>-24.101231191161137</v>
      </c>
      <c r="U15" s="3466">
        <v>-20.436098893289625</v>
      </c>
      <c r="V15" s="3466">
        <v>-21.655083825388321</v>
      </c>
      <c r="W15" s="3467">
        <v>2.8806733213123916</v>
      </c>
    </row>
    <row r="16" spans="1:23" ht="11.25" customHeight="1">
      <c r="A16" s="3024" t="s">
        <v>1705</v>
      </c>
      <c r="B16" s="3040">
        <f>+B35</f>
        <v>11204.409018549246</v>
      </c>
      <c r="N16" s="3038">
        <f t="shared" si="0"/>
        <v>65</v>
      </c>
      <c r="O16" s="3467">
        <v>-3.483836258293783</v>
      </c>
      <c r="P16" s="3466">
        <v>-12.11260917168431</v>
      </c>
      <c r="Q16" s="3466">
        <v>-34.423521043363266</v>
      </c>
      <c r="R16" s="3466">
        <v>-24.485869133093473</v>
      </c>
      <c r="S16" s="3036">
        <v>0</v>
      </c>
      <c r="T16" s="3466">
        <v>-17.582511297245372</v>
      </c>
      <c r="U16" s="3466">
        <v>-14.882898742120846</v>
      </c>
      <c r="V16" s="3466">
        <v>-15.753241084350268</v>
      </c>
      <c r="W16" s="3467">
        <v>2.8442195399290844</v>
      </c>
    </row>
    <row r="17" spans="1:23" ht="11.25" customHeight="1">
      <c r="A17" s="3024" t="s">
        <v>1602</v>
      </c>
      <c r="B17" s="3039">
        <f>+B15+B16</f>
        <v>-18603.109707705065</v>
      </c>
      <c r="D17" s="3041"/>
      <c r="N17" s="3038">
        <f t="shared" si="0"/>
        <v>67.5</v>
      </c>
      <c r="O17" s="3467">
        <v>-3.7015587190599248</v>
      </c>
      <c r="P17" s="3466">
        <v>-9.6798340766786168</v>
      </c>
      <c r="Q17" s="3466">
        <v>-27.082790196494351</v>
      </c>
      <c r="R17" s="3466">
        <v>-19.311384917732287</v>
      </c>
      <c r="S17" s="3036">
        <v>0</v>
      </c>
      <c r="T17" s="3466">
        <v>-13.971858445388394</v>
      </c>
      <c r="U17" s="3466">
        <v>-11.80703748576215</v>
      </c>
      <c r="V17" s="3466">
        <v>-12.484270232568509</v>
      </c>
      <c r="W17" s="3467">
        <v>2.8077657585457763</v>
      </c>
    </row>
    <row r="18" spans="1:23" ht="11.25" customHeight="1">
      <c r="A18" s="3028" t="s">
        <v>1603</v>
      </c>
      <c r="B18" s="3042">
        <f>+B17/D42</f>
        <v>-3.6144697347534676</v>
      </c>
      <c r="N18" s="3038">
        <f t="shared" si="0"/>
        <v>70</v>
      </c>
      <c r="O18" s="3467">
        <v>-3.9192811798260658</v>
      </c>
      <c r="P18" s="3466">
        <v>-8.1344152946457982</v>
      </c>
      <c r="Q18" s="3466">
        <v>-22.419595745067941</v>
      </c>
      <c r="R18" s="3466">
        <v>-16.02429721687237</v>
      </c>
      <c r="S18" s="3036">
        <v>0</v>
      </c>
      <c r="T18" s="3466">
        <v>-11.67819359156964</v>
      </c>
      <c r="U18" s="3466">
        <v>-9.8530986419033955</v>
      </c>
      <c r="V18" s="3466">
        <v>-10.407658644989956</v>
      </c>
      <c r="W18" s="3467">
        <v>2.7713119771624686</v>
      </c>
    </row>
    <row r="19" spans="1:23" ht="11.25" customHeight="1">
      <c r="A19" s="3028"/>
      <c r="B19" s="3028"/>
      <c r="C19" s="3028"/>
      <c r="D19" s="3028"/>
      <c r="N19" s="3038">
        <f t="shared" si="0"/>
        <v>72.5</v>
      </c>
      <c r="O19" s="3467">
        <v>-4.1370036405922068</v>
      </c>
      <c r="P19" s="3466">
        <v>-7.0657423494216482</v>
      </c>
      <c r="Q19" s="3466">
        <v>-19.194948933150947</v>
      </c>
      <c r="R19" s="3466">
        <v>-13.751242343120069</v>
      </c>
      <c r="S19" s="3036">
        <v>0</v>
      </c>
      <c r="T19" s="3466">
        <v>-10.092100809997925</v>
      </c>
      <c r="U19" s="3466">
        <v>-8.5019298821270191</v>
      </c>
      <c r="V19" s="3466">
        <v>-8.9716604241937468</v>
      </c>
      <c r="W19" s="3467">
        <v>2.7348581957791613</v>
      </c>
    </row>
    <row r="20" spans="1:23" ht="11.25" customHeight="1">
      <c r="A20" s="3024" t="s">
        <v>1604</v>
      </c>
      <c r="B20" s="3043">
        <v>0.6</v>
      </c>
      <c r="C20" s="3028"/>
      <c r="D20" s="3028"/>
      <c r="N20" s="3038">
        <f t="shared" si="0"/>
        <v>75</v>
      </c>
      <c r="O20" s="3467">
        <v>-4.3547261013583487</v>
      </c>
      <c r="P20" s="3466">
        <v>-6.2826887270258389</v>
      </c>
      <c r="Q20" s="3466">
        <v>-16.832138703601181</v>
      </c>
      <c r="R20" s="3466">
        <v>-12.085696433353581</v>
      </c>
      <c r="S20" s="3036">
        <v>0</v>
      </c>
      <c r="T20" s="3466">
        <v>-8.9299157807838903</v>
      </c>
      <c r="U20" s="3466">
        <v>-7.5118818075132969</v>
      </c>
      <c r="V20" s="3466">
        <v>-7.9194548700309104</v>
      </c>
      <c r="W20" s="3467">
        <v>2.6984044143958532</v>
      </c>
    </row>
    <row r="21" spans="1:23" ht="11.25" customHeight="1">
      <c r="A21" s="3024" t="s">
        <v>1605</v>
      </c>
      <c r="B21" s="3044">
        <f>1-B20</f>
        <v>0.4</v>
      </c>
      <c r="C21" s="3028"/>
      <c r="D21" s="3028"/>
      <c r="N21" s="3038">
        <f>+N20+$M$12</f>
        <v>77.5</v>
      </c>
      <c r="O21" s="3467">
        <v>-4.5724485621244888</v>
      </c>
      <c r="P21" s="3466">
        <v>-5.6842479452448762</v>
      </c>
      <c r="Q21" s="3466">
        <v>-15.026384971633787</v>
      </c>
      <c r="R21" s="3466">
        <v>-10.812819879531924</v>
      </c>
      <c r="S21" s="3036">
        <v>0</v>
      </c>
      <c r="T21" s="3466">
        <v>-8.0417276700782043</v>
      </c>
      <c r="U21" s="3466">
        <v>-6.7552476169200375</v>
      </c>
      <c r="V21" s="3466">
        <v>-7.1153174566812076</v>
      </c>
      <c r="W21" s="3467">
        <v>2.661950633012546</v>
      </c>
    </row>
    <row r="22" spans="1:23" ht="11.25" customHeight="1">
      <c r="B22" s="3045"/>
      <c r="C22" s="3028"/>
      <c r="D22" s="3028"/>
      <c r="N22" s="3038">
        <f>+N21+$M$12</f>
        <v>80</v>
      </c>
      <c r="O22" s="3467">
        <v>-4.7901710228906307</v>
      </c>
      <c r="P22" s="3466">
        <v>-5.2120179193526228</v>
      </c>
      <c r="Q22" s="3466">
        <v>-13.601463479712292</v>
      </c>
      <c r="R22" s="3466">
        <v>-9.8083921295046039</v>
      </c>
      <c r="S22" s="3036">
        <v>0</v>
      </c>
      <c r="T22" s="3466">
        <v>-7.3408578308478045</v>
      </c>
      <c r="U22" s="3466">
        <v>-6.1581870650781712</v>
      </c>
      <c r="V22" s="3466">
        <v>-6.4807720796148969</v>
      </c>
      <c r="W22" s="3467">
        <v>2.6254968516292383</v>
      </c>
    </row>
    <row r="23" spans="1:23" ht="11.25" customHeight="1">
      <c r="A23" s="3024" t="s">
        <v>1606</v>
      </c>
      <c r="B23" s="3045"/>
      <c r="C23" s="3467">
        <f>$B$17/C42</f>
        <v>-3.5512165143952825</v>
      </c>
      <c r="D23" s="3467">
        <f>$B$17/D42</f>
        <v>-3.6144697347534676</v>
      </c>
      <c r="E23" s="3467">
        <f>$B$17/E42</f>
        <v>-3.6788496028025115</v>
      </c>
      <c r="F23" s="3467">
        <f>$B$17/F42</f>
        <v>-3.7443761860585356</v>
      </c>
      <c r="G23" s="3046"/>
      <c r="H23" s="3046"/>
      <c r="I23" s="3046"/>
      <c r="J23" s="3046"/>
      <c r="K23" s="3047" t="s">
        <v>1607</v>
      </c>
      <c r="N23"/>
      <c r="O23"/>
      <c r="P23"/>
      <c r="Q23"/>
      <c r="R23"/>
      <c r="S23"/>
      <c r="T23"/>
      <c r="U23"/>
      <c r="V23"/>
      <c r="W23"/>
    </row>
    <row r="24" spans="1:23" ht="11.25" customHeight="1">
      <c r="A24" s="3024" t="s">
        <v>1608</v>
      </c>
      <c r="B24" s="3028"/>
      <c r="C24" s="3467">
        <f ca="1">$K$24/C43</f>
        <v>8.2461520814342144</v>
      </c>
      <c r="D24" s="3467">
        <f ca="1">$K$24/D43</f>
        <v>6.1350026814719119</v>
      </c>
      <c r="E24" s="3467">
        <f ca="1">$K$24/E43</f>
        <v>5.918772876096102</v>
      </c>
      <c r="F24" s="3467">
        <f ca="1">$K$24/F43</f>
        <v>5.8076433057411831</v>
      </c>
      <c r="G24" s="3046"/>
      <c r="H24" s="3046"/>
      <c r="I24" s="3046"/>
      <c r="J24" s="3046"/>
      <c r="K24" s="3048">
        <f ca="1">B11*B28+B37</f>
        <v>54276.173000000003</v>
      </c>
      <c r="N24"/>
      <c r="O24"/>
      <c r="P24"/>
      <c r="Q24"/>
      <c r="R24"/>
      <c r="S24"/>
      <c r="T24"/>
      <c r="U24"/>
      <c r="V24"/>
      <c r="W24"/>
    </row>
    <row r="25" spans="1:23" ht="11.25" customHeight="1">
      <c r="A25" s="3049" t="s">
        <v>1609</v>
      </c>
      <c r="B25" s="3050"/>
      <c r="C25" s="3468">
        <f ca="1">$B$40/C45</f>
        <v>2.6265233640843362</v>
      </c>
      <c r="D25" s="3468">
        <f ca="1">$B$40/D45</f>
        <v>1.9538281910932822</v>
      </c>
      <c r="E25" s="3468">
        <f ca="1">$B$40/E45</f>
        <v>1.8909008979632362</v>
      </c>
      <c r="F25" s="3468">
        <f ca="1">$B$40/F45</f>
        <v>1.7825840467905225</v>
      </c>
      <c r="G25" s="3320"/>
      <c r="H25" s="3320"/>
      <c r="I25" s="3320"/>
      <c r="J25" s="3051"/>
      <c r="N25"/>
      <c r="O25"/>
      <c r="P25"/>
      <c r="Q25"/>
      <c r="R25"/>
      <c r="S25"/>
      <c r="T25"/>
      <c r="U25"/>
      <c r="V25"/>
      <c r="W25"/>
    </row>
    <row r="26" spans="1:23" ht="11.25" customHeight="1">
      <c r="A26" s="3028"/>
      <c r="B26" s="3028"/>
      <c r="N26"/>
      <c r="O26"/>
      <c r="P26"/>
      <c r="Q26"/>
      <c r="R26"/>
      <c r="S26"/>
      <c r="T26"/>
      <c r="U26"/>
      <c r="V26"/>
      <c r="W26"/>
    </row>
    <row r="27" spans="1:23" ht="11.25" customHeight="1">
      <c r="A27" s="3024" t="s">
        <v>1610</v>
      </c>
      <c r="B27" s="3052">
        <f>IS!U81</f>
        <v>-448.23336430457613</v>
      </c>
      <c r="N27"/>
      <c r="O27"/>
      <c r="P27"/>
      <c r="Q27"/>
      <c r="R27"/>
      <c r="S27"/>
      <c r="T27"/>
      <c r="U27"/>
      <c r="V27"/>
      <c r="W27"/>
    </row>
    <row r="28" spans="1:23" ht="11.25" customHeight="1">
      <c r="A28" s="3024" t="s">
        <v>1611</v>
      </c>
      <c r="B28" s="3052">
        <f>IS!Q109</f>
        <v>540.68475000000001</v>
      </c>
      <c r="C28" s="3052">
        <f>IS!R109</f>
        <v>628.69274999999993</v>
      </c>
      <c r="D28" s="3052">
        <f>IS!S109</f>
        <v>1078.1950173333335</v>
      </c>
      <c r="E28" s="3052">
        <f>IS!T109</f>
        <v>1096.845810984127</v>
      </c>
      <c r="F28" s="3052">
        <f>IS!U109</f>
        <v>1106.6719636674227</v>
      </c>
      <c r="G28" s="3052"/>
      <c r="H28" s="3052"/>
      <c r="I28" s="3052"/>
      <c r="J28" s="3041"/>
      <c r="N28"/>
      <c r="O28"/>
      <c r="P28"/>
      <c r="Q28"/>
      <c r="R28"/>
      <c r="S28"/>
      <c r="T28"/>
      <c r="U28"/>
      <c r="V28"/>
      <c r="W28"/>
    </row>
    <row r="29" spans="1:23" ht="11.25" customHeight="1">
      <c r="A29" s="3024" t="s">
        <v>1612</v>
      </c>
      <c r="B29" s="3053">
        <f>B15/B11*B20</f>
        <v>-638.73254413402094</v>
      </c>
      <c r="N29"/>
      <c r="O29"/>
      <c r="P29"/>
      <c r="Q29"/>
      <c r="R29"/>
      <c r="S29"/>
      <c r="T29"/>
      <c r="U29"/>
      <c r="V29"/>
      <c r="W29"/>
    </row>
    <row r="30" spans="1:23" ht="11.25" customHeight="1">
      <c r="A30" s="3054" t="s">
        <v>1613</v>
      </c>
      <c r="B30" s="3055">
        <f>B28+B29</f>
        <v>-98.047794134020933</v>
      </c>
      <c r="C30" s="3055">
        <f>B30</f>
        <v>-98.047794134020933</v>
      </c>
      <c r="D30" s="3055">
        <f>C30*(D28/C28)</f>
        <v>-168.1499318957087</v>
      </c>
      <c r="E30" s="3055">
        <f>D30*(E28/D28)</f>
        <v>-171.0586169033044</v>
      </c>
      <c r="F30" s="3055">
        <f>E30*(F28/E28)</f>
        <v>-172.59105479991007</v>
      </c>
      <c r="G30" s="3056"/>
      <c r="H30" s="3056"/>
      <c r="I30" s="3056"/>
      <c r="J30" s="3056"/>
      <c r="N30"/>
      <c r="O30"/>
      <c r="P30"/>
      <c r="Q30"/>
      <c r="R30"/>
      <c r="S30"/>
      <c r="T30"/>
      <c r="U30"/>
      <c r="V30"/>
      <c r="W30"/>
    </row>
    <row r="31" spans="1:23" ht="11.25" customHeight="1">
      <c r="A31" s="3057"/>
      <c r="B31" s="3058"/>
      <c r="C31" s="3058"/>
      <c r="D31" s="3058"/>
      <c r="E31" s="3058"/>
      <c r="F31" s="3058"/>
      <c r="G31" s="3058"/>
      <c r="H31" s="3058"/>
      <c r="I31" s="3058"/>
      <c r="J31" s="3058"/>
      <c r="N31"/>
      <c r="O31"/>
      <c r="P31"/>
      <c r="Q31"/>
      <c r="R31"/>
      <c r="S31"/>
      <c r="T31"/>
      <c r="U31"/>
      <c r="V31"/>
      <c r="W31"/>
    </row>
    <row r="32" spans="1:23" ht="11.25" customHeight="1">
      <c r="A32" s="3057"/>
      <c r="B32" s="3058"/>
      <c r="C32" s="3058"/>
      <c r="D32" s="3058"/>
      <c r="E32" s="3058"/>
      <c r="F32" s="3058"/>
      <c r="G32" s="3058"/>
      <c r="H32" s="3058"/>
      <c r="I32" s="3058"/>
      <c r="J32" s="3058"/>
      <c r="N32"/>
      <c r="O32"/>
      <c r="P32"/>
      <c r="Q32"/>
      <c r="R32"/>
      <c r="S32"/>
      <c r="T32"/>
      <c r="U32"/>
      <c r="V32"/>
      <c r="W32"/>
    </row>
    <row r="33" spans="1:23" ht="11.25" customHeight="1">
      <c r="A33" s="3059" t="s">
        <v>1614</v>
      </c>
      <c r="B33" s="3056">
        <f>B11*B30</f>
        <v>-2745.3382357525861</v>
      </c>
      <c r="C33" s="3058"/>
      <c r="D33" s="3058"/>
      <c r="E33" s="3058"/>
      <c r="F33" s="3058"/>
      <c r="G33" s="3058"/>
      <c r="H33" s="3058"/>
      <c r="I33" s="3058"/>
      <c r="J33" s="3058"/>
      <c r="N33"/>
      <c r="O33"/>
      <c r="P33"/>
      <c r="Q33"/>
      <c r="R33"/>
      <c r="S33"/>
      <c r="T33"/>
      <c r="U33"/>
      <c r="V33"/>
      <c r="W33"/>
    </row>
    <row r="34" spans="1:23" ht="11.25" customHeight="1">
      <c r="A34" s="3028"/>
      <c r="B34" s="3028"/>
      <c r="N34"/>
      <c r="O34"/>
      <c r="P34"/>
      <c r="Q34"/>
      <c r="R34"/>
      <c r="S34"/>
      <c r="T34"/>
      <c r="U34"/>
      <c r="V34"/>
      <c r="W34"/>
    </row>
    <row r="35" spans="1:23" ht="11.25" customHeight="1">
      <c r="A35" s="3024" t="s">
        <v>1615</v>
      </c>
      <c r="B35" s="3052">
        <v>11204.409018549246</v>
      </c>
      <c r="C35" s="3041"/>
      <c r="K35" s="3041"/>
      <c r="N35"/>
      <c r="O35"/>
      <c r="P35"/>
      <c r="Q35"/>
      <c r="R35"/>
      <c r="S35"/>
      <c r="T35"/>
      <c r="U35"/>
      <c r="V35"/>
      <c r="W35"/>
    </row>
    <row r="36" spans="1:23" ht="11.25" customHeight="1">
      <c r="A36" s="3024" t="s">
        <v>1616</v>
      </c>
      <c r="B36" s="3041">
        <f>+B17-B15-B35</f>
        <v>0</v>
      </c>
      <c r="K36" s="3041"/>
    </row>
    <row r="37" spans="1:23" ht="11.25" customHeight="1">
      <c r="A37" s="3024" t="s">
        <v>1617</v>
      </c>
      <c r="B37" s="3052">
        <f ca="1">BS!R73+2000</f>
        <v>39137</v>
      </c>
    </row>
    <row r="38" spans="1:23" ht="11.25" customHeight="1">
      <c r="A38" s="3024" t="s">
        <v>1618</v>
      </c>
      <c r="B38" s="3060">
        <f>B15*B21-2000-1715</f>
        <v>-15638.007490501725</v>
      </c>
      <c r="D38" s="3061">
        <v>0.04</v>
      </c>
      <c r="E38" s="3062" t="s">
        <v>1619</v>
      </c>
      <c r="F38" s="3143"/>
      <c r="G38" s="3143"/>
      <c r="H38" s="3143"/>
      <c r="I38" s="3143"/>
      <c r="J38" s="3063"/>
      <c r="K38" s="3064"/>
    </row>
    <row r="39" spans="1:23" ht="11.25" customHeight="1" outlineLevel="1">
      <c r="A39" s="3024" t="s">
        <v>1620</v>
      </c>
      <c r="B39" s="3045">
        <v>337.5</v>
      </c>
      <c r="K39" s="3064"/>
    </row>
    <row r="40" spans="1:23" ht="11.25" customHeight="1" outlineLevel="1">
      <c r="A40" s="3054" t="s">
        <v>1621</v>
      </c>
      <c r="B40" s="3055">
        <f ca="1">B33+SUM(B35:B36)+SUM(B37:B39)</f>
        <v>32295.563292294937</v>
      </c>
      <c r="K40" s="3064"/>
    </row>
    <row r="41" spans="1:23" ht="11.25" customHeight="1" outlineLevel="1">
      <c r="A41" s="3028"/>
      <c r="B41" s="3028"/>
    </row>
    <row r="42" spans="1:23" ht="11.25" customHeight="1" outlineLevel="1">
      <c r="A42" s="3024" t="s">
        <v>1622</v>
      </c>
      <c r="C42" s="3052">
        <f>IS!U47</f>
        <v>5238.5174579739441</v>
      </c>
      <c r="D42" s="3052">
        <f>IS!V47</f>
        <v>5146.8434024594007</v>
      </c>
      <c r="E42" s="3052">
        <f>IS!W47</f>
        <v>5056.7736429163615</v>
      </c>
      <c r="F42" s="3052">
        <f>IS!X47</f>
        <v>4968.2801041653256</v>
      </c>
      <c r="G42" s="3052"/>
      <c r="H42" s="3052"/>
      <c r="I42" s="3052"/>
      <c r="J42" s="3041"/>
      <c r="K42" s="3047" t="s">
        <v>1623</v>
      </c>
    </row>
    <row r="43" spans="1:23" ht="11.25" customHeight="1" outlineLevel="1">
      <c r="A43" s="3024" t="s">
        <v>1624</v>
      </c>
      <c r="B43" s="3065" t="s">
        <v>1625</v>
      </c>
      <c r="C43" s="3066">
        <f>IS!R60</f>
        <v>6582</v>
      </c>
      <c r="D43" s="3066">
        <f>IS!S60</f>
        <v>8846.9680973273917</v>
      </c>
      <c r="E43" s="3066">
        <f>IS!T60</f>
        <v>9170.173300483093</v>
      </c>
      <c r="F43" s="3066">
        <f>IS!U60</f>
        <v>9345.6450650722545</v>
      </c>
      <c r="G43" s="3066"/>
      <c r="H43" s="3066"/>
      <c r="I43" s="3066"/>
      <c r="J43" s="3058"/>
      <c r="K43" s="3067" t="s">
        <v>1626</v>
      </c>
    </row>
    <row r="44" spans="1:23" ht="11.25" customHeight="1">
      <c r="A44" s="3024" t="s">
        <v>1627</v>
      </c>
      <c r="B44" s="3068">
        <v>0.16020000000000001</v>
      </c>
      <c r="C44" s="3069">
        <f>+K44*B44/8</f>
        <v>475.41858200637586</v>
      </c>
      <c r="D44" s="3069">
        <f>+$K$44*$B$44/3*2</f>
        <v>2535.5657707006712</v>
      </c>
      <c r="E44" s="3069">
        <f>+$K$44*$B$44/4*3</f>
        <v>2852.5114920382553</v>
      </c>
      <c r="F44" s="3069">
        <f>+K44*B44</f>
        <v>3803.3486560510069</v>
      </c>
      <c r="G44" s="3069"/>
      <c r="H44" s="3069"/>
      <c r="I44" s="3069"/>
      <c r="J44" s="3069"/>
      <c r="K44" s="3070">
        <f>IS!$U$23+IS!$U$27+IS!$U$34</f>
        <v>23741.252534650477</v>
      </c>
      <c r="N44" s="3024" t="s">
        <v>1628</v>
      </c>
    </row>
    <row r="45" spans="1:23" ht="11.25" customHeight="1">
      <c r="A45" s="3054" t="s">
        <v>1629</v>
      </c>
      <c r="B45" s="3071"/>
      <c r="C45" s="3071">
        <f>C42+C43+C44</f>
        <v>12295.936039980319</v>
      </c>
      <c r="D45" s="3071">
        <f>D42+D43+D44</f>
        <v>16529.377270487465</v>
      </c>
      <c r="E45" s="3071">
        <f>E42+E43+E44</f>
        <v>17079.458435437711</v>
      </c>
      <c r="F45" s="3071">
        <f>F42+F43+F44</f>
        <v>18117.273825288587</v>
      </c>
      <c r="G45" s="3072"/>
      <c r="H45" s="3072"/>
      <c r="I45" s="3072"/>
      <c r="J45" s="3072"/>
      <c r="N45" s="3124">
        <f ca="1">+B40/D45</f>
        <v>1.9538281910932822</v>
      </c>
      <c r="O45" s="3124">
        <f ca="1">+B40/E45</f>
        <v>1.8909008979632362</v>
      </c>
    </row>
    <row r="47" spans="1:23" ht="11.25" customHeight="1">
      <c r="A47" s="3024" t="s">
        <v>1630</v>
      </c>
      <c r="C47" s="3052">
        <f>IS!U75</f>
        <v>0</v>
      </c>
      <c r="D47" s="3052">
        <f>IS!V75</f>
        <v>0</v>
      </c>
      <c r="E47" s="3052">
        <f>IS!W75</f>
        <v>0</v>
      </c>
      <c r="F47" s="3052">
        <f>IS!X75</f>
        <v>0</v>
      </c>
      <c r="G47" s="3052"/>
      <c r="H47" s="3052"/>
      <c r="I47" s="3052"/>
      <c r="J47" s="3041"/>
    </row>
    <row r="48" spans="1:23" ht="11.25" customHeight="1">
      <c r="A48" s="3024" t="s">
        <v>1631</v>
      </c>
      <c r="C48" s="3052">
        <f>IS!R84</f>
        <v>1504</v>
      </c>
      <c r="D48" s="3052">
        <f>IS!S84</f>
        <v>603.26385262249107</v>
      </c>
      <c r="E48" s="3052">
        <f>IS!T84</f>
        <v>1077.1363402526958</v>
      </c>
      <c r="F48" s="3052">
        <f>IS!U84</f>
        <v>1419.4056536311577</v>
      </c>
      <c r="G48" s="3052"/>
      <c r="H48" s="3052"/>
      <c r="I48" s="3052"/>
      <c r="J48" s="3041"/>
    </row>
    <row r="49" spans="1:11" ht="11.25" customHeight="1">
      <c r="A49" s="3024" t="s">
        <v>1632</v>
      </c>
      <c r="C49" s="3073">
        <f>C44</f>
        <v>475.41858200637586</v>
      </c>
      <c r="D49" s="3073">
        <f>D44</f>
        <v>2535.5657707006712</v>
      </c>
      <c r="E49" s="3073">
        <f>E44</f>
        <v>2852.5114920382553</v>
      </c>
      <c r="F49" s="3073">
        <f>F44</f>
        <v>3803.3486560510069</v>
      </c>
      <c r="G49" s="3073"/>
      <c r="H49" s="3073"/>
      <c r="I49" s="3073"/>
      <c r="J49" s="3069"/>
    </row>
    <row r="50" spans="1:11" ht="11.25" customHeight="1">
      <c r="A50" s="3024" t="s">
        <v>1633</v>
      </c>
      <c r="C50" s="3073">
        <f>-B38*D38</f>
        <v>625.52029962006895</v>
      </c>
      <c r="D50" s="3073">
        <f>-B38*D38</f>
        <v>625.52029962006895</v>
      </c>
      <c r="E50" s="3073">
        <f>+D50</f>
        <v>625.52029962006895</v>
      </c>
      <c r="F50" s="3073">
        <f>E50</f>
        <v>625.52029962006895</v>
      </c>
      <c r="G50" s="3073"/>
      <c r="H50" s="3073"/>
      <c r="I50" s="3073"/>
      <c r="J50" s="3069"/>
    </row>
    <row r="51" spans="1:11" ht="11.25" customHeight="1">
      <c r="A51" s="3074" t="s">
        <v>1634</v>
      </c>
      <c r="B51" s="3075"/>
      <c r="C51" s="3076">
        <v>0.34</v>
      </c>
      <c r="D51" s="3076">
        <v>0.34</v>
      </c>
      <c r="E51" s="3076">
        <v>0.34</v>
      </c>
      <c r="F51" s="3076">
        <v>0.34</v>
      </c>
      <c r="G51" s="3076"/>
      <c r="H51" s="3076"/>
      <c r="I51" s="3076"/>
      <c r="J51" s="3076"/>
    </row>
    <row r="52" spans="1:11" ht="11.25" customHeight="1">
      <c r="A52" s="3054" t="s">
        <v>1635</v>
      </c>
      <c r="C52" s="3071">
        <f>C47+C48+C50*(1-C51)+C49*(1-C51)</f>
        <v>2230.6196618734534</v>
      </c>
      <c r="D52" s="3071">
        <f>D47+D48+D50*(1-D51)+D49*(1-D51)</f>
        <v>2689.5806590341795</v>
      </c>
      <c r="E52" s="3071">
        <f>E47+E48+E50*(1-E51)+E49*(1-E51)</f>
        <v>3372.6373227471895</v>
      </c>
      <c r="F52" s="3071">
        <f>F47+F48+F50*(1-F51)+F49*(1-F51)</f>
        <v>4342.4591643740678</v>
      </c>
      <c r="G52" s="3072"/>
      <c r="H52" s="3072"/>
      <c r="I52" s="3072"/>
      <c r="J52" s="3072"/>
    </row>
    <row r="53" spans="1:11" ht="11.25" customHeight="1">
      <c r="A53" s="3074" t="s">
        <v>1636</v>
      </c>
      <c r="C53" s="3072"/>
      <c r="D53" s="3077">
        <f>D52/C52-1</f>
        <v>0.20575493214080876</v>
      </c>
      <c r="E53" s="3077">
        <f>E52/D52-1</f>
        <v>0.25396400045436596</v>
      </c>
      <c r="F53" s="3077">
        <f>F52/E52-1</f>
        <v>0.28755592399034113</v>
      </c>
      <c r="G53" s="3077"/>
      <c r="H53" s="3077"/>
      <c r="I53" s="3077"/>
      <c r="J53" s="3077"/>
    </row>
    <row r="55" spans="1:11" ht="11.25" customHeight="1">
      <c r="A55" s="3078" t="s">
        <v>1637</v>
      </c>
      <c r="B55" s="3079"/>
      <c r="C55" s="3080">
        <f>IS!R93</f>
        <v>2.3922655382935467</v>
      </c>
      <c r="D55" s="3080">
        <f>IS!S93</f>
        <v>0.55951274391392103</v>
      </c>
      <c r="E55" s="3080">
        <f>IS!T93</f>
        <v>0.98203077357450352</v>
      </c>
      <c r="F55" s="3081">
        <f>IS!U93</f>
        <v>1.2825893311034651</v>
      </c>
      <c r="G55" s="3321"/>
      <c r="H55" s="3321"/>
      <c r="I55" s="3321"/>
      <c r="J55" s="3082"/>
    </row>
    <row r="56" spans="1:11" ht="11.25" customHeight="1">
      <c r="A56" s="3083" t="s">
        <v>1638</v>
      </c>
      <c r="B56" s="3084"/>
      <c r="C56" s="3085">
        <f>C52/C30</f>
        <v>-22.750329893443936</v>
      </c>
      <c r="D56" s="3085">
        <f>D52/D30</f>
        <v>-15.995133799413804</v>
      </c>
      <c r="E56" s="3085">
        <f>E52/E30</f>
        <v>-19.716266761666066</v>
      </c>
      <c r="F56" s="3086">
        <f>F52/F30</f>
        <v>-25.160395302111166</v>
      </c>
      <c r="G56" s="3085"/>
      <c r="H56" s="3085"/>
      <c r="I56" s="3085"/>
      <c r="J56" s="3082"/>
    </row>
    <row r="57" spans="1:11" ht="11.25" customHeight="1">
      <c r="A57" s="3087" t="s">
        <v>1639</v>
      </c>
      <c r="B57" s="3088"/>
      <c r="C57" s="3089">
        <f>C56/C55-1</f>
        <v>-10.509951771354038</v>
      </c>
      <c r="D57" s="3089">
        <f>D56/D55-1</f>
        <v>-29.587613014002404</v>
      </c>
      <c r="E57" s="3089">
        <f>E56/E55-1</f>
        <v>-21.077035559589067</v>
      </c>
      <c r="F57" s="3090">
        <f>F56/F55-1</f>
        <v>-20.616875559431506</v>
      </c>
      <c r="G57" s="3117"/>
      <c r="H57" s="3117"/>
      <c r="I57" s="3117"/>
      <c r="J57" s="3091"/>
    </row>
    <row r="58" spans="1:11" ht="11.25" customHeight="1">
      <c r="A58" s="3116"/>
      <c r="B58" s="3116"/>
      <c r="C58" s="3117"/>
      <c r="D58" s="3117"/>
      <c r="E58" s="3117"/>
      <c r="F58" s="3117"/>
      <c r="G58" s="3117"/>
      <c r="H58" s="3117"/>
      <c r="I58" s="3117"/>
      <c r="J58" s="3091"/>
    </row>
    <row r="59" spans="1:11" ht="11.25" customHeight="1">
      <c r="D59" s="3115" t="str">
        <f>+D8</f>
        <v>2018E</v>
      </c>
      <c r="E59" s="3115" t="str">
        <f>+E8</f>
        <v>2019E</v>
      </c>
      <c r="F59" s="3115" t="str">
        <f>+F8</f>
        <v>2020E</v>
      </c>
      <c r="G59" s="3115"/>
      <c r="H59" s="3115"/>
      <c r="I59" s="3115"/>
    </row>
    <row r="60" spans="1:11" ht="11.25" customHeight="1">
      <c r="A60" s="3024" t="s">
        <v>1640</v>
      </c>
      <c r="C60" s="3052">
        <f>CFS!U54</f>
        <v>0</v>
      </c>
      <c r="D60" s="3052">
        <f>CFS!V54</f>
        <v>0</v>
      </c>
      <c r="E60" s="3052">
        <f>CFS!W54</f>
        <v>0</v>
      </c>
      <c r="F60" s="3052">
        <f>CFS!X54</f>
        <v>0</v>
      </c>
      <c r="G60" s="3052"/>
      <c r="H60" s="3052"/>
      <c r="I60" s="3052"/>
      <c r="J60" s="3041"/>
      <c r="K60" s="3041"/>
    </row>
    <row r="61" spans="1:11" ht="11.25" customHeight="1">
      <c r="A61" s="3024" t="s">
        <v>1641</v>
      </c>
      <c r="C61" s="3052">
        <f>CFS!R30+CFS!R34</f>
        <v>772</v>
      </c>
      <c r="D61" s="3052">
        <f ca="1">CFS!S30+CFS!S34</f>
        <v>3273.7282088309903</v>
      </c>
      <c r="E61" s="3052">
        <f ca="1">CFS!T30+CFS!T34</f>
        <v>3119.9528497773581</v>
      </c>
      <c r="F61" s="3052">
        <f ca="1">CFS!U30+CFS!U34</f>
        <v>3347.3002793396067</v>
      </c>
      <c r="G61" s="3052"/>
      <c r="H61" s="3052"/>
      <c r="I61" s="3052"/>
      <c r="J61" s="3041"/>
    </row>
    <row r="62" spans="1:11" ht="11.25" customHeight="1">
      <c r="A62" s="3024" t="s">
        <v>1632</v>
      </c>
      <c r="C62" s="3073">
        <f>C49</f>
        <v>475.41858200637586</v>
      </c>
      <c r="D62" s="3073">
        <f>D49</f>
        <v>2535.5657707006712</v>
      </c>
      <c r="E62" s="3073">
        <f>E49</f>
        <v>2852.5114920382553</v>
      </c>
      <c r="F62" s="3073">
        <f>F49</f>
        <v>3803.3486560510069</v>
      </c>
      <c r="G62" s="3073"/>
      <c r="H62" s="3073"/>
      <c r="I62" s="3073"/>
      <c r="J62" s="3069"/>
    </row>
    <row r="63" spans="1:11" ht="11.25" customHeight="1">
      <c r="A63" s="3024" t="s">
        <v>1654</v>
      </c>
      <c r="C63" s="3069">
        <v>162.5</v>
      </c>
      <c r="D63" s="3069">
        <v>650</v>
      </c>
      <c r="E63" s="3069">
        <v>650</v>
      </c>
      <c r="F63" s="3069">
        <f>+SUM($F$128:$F$129)*35%</f>
        <v>-1462.5000000000002</v>
      </c>
      <c r="G63" s="3069"/>
      <c r="H63" s="3069"/>
      <c r="I63" s="3069"/>
      <c r="J63" s="3069"/>
    </row>
    <row r="64" spans="1:11" ht="11.25" customHeight="1">
      <c r="A64" s="3024" t="s">
        <v>1655</v>
      </c>
      <c r="C64" s="3069">
        <v>60</v>
      </c>
      <c r="D64" s="3069">
        <v>75</v>
      </c>
      <c r="E64" s="3069">
        <v>100</v>
      </c>
      <c r="F64" s="3069">
        <v>125</v>
      </c>
      <c r="G64" s="3069"/>
      <c r="H64" s="3069"/>
      <c r="I64" s="3069"/>
      <c r="J64" s="3069"/>
    </row>
    <row r="65" spans="1:10" ht="11.25" customHeight="1">
      <c r="A65" s="3024" t="s">
        <v>1633</v>
      </c>
      <c r="C65" s="3073">
        <f>C50</f>
        <v>625.52029962006895</v>
      </c>
      <c r="D65" s="3073">
        <f>D50</f>
        <v>625.52029962006895</v>
      </c>
      <c r="E65" s="3073">
        <f>E50</f>
        <v>625.52029962006895</v>
      </c>
      <c r="F65" s="3073">
        <f>F50</f>
        <v>625.52029962006895</v>
      </c>
      <c r="G65" s="3073"/>
      <c r="H65" s="3073"/>
      <c r="I65" s="3073"/>
      <c r="J65" s="3069"/>
    </row>
    <row r="66" spans="1:10" ht="11.25" customHeight="1">
      <c r="A66" s="3024" t="s">
        <v>1634</v>
      </c>
      <c r="B66" s="3075"/>
      <c r="C66" s="3076">
        <v>0.35</v>
      </c>
      <c r="D66" s="3076">
        <v>0.35</v>
      </c>
      <c r="E66" s="3076">
        <v>0.35</v>
      </c>
      <c r="F66" s="3076">
        <v>0.35</v>
      </c>
      <c r="G66" s="3076"/>
      <c r="H66" s="3076"/>
      <c r="I66" s="3076"/>
      <c r="J66" s="3076"/>
    </row>
    <row r="67" spans="1:10" ht="11.25" customHeight="1">
      <c r="A67" s="3054" t="s">
        <v>1642</v>
      </c>
      <c r="C67" s="3071">
        <f>C60+C61+C65*(1-C66)+C62*(1-C66)+C63+C64</f>
        <v>1710.110273057189</v>
      </c>
      <c r="D67" s="3071">
        <f ca="1">D60+D61+D65*(1-D66)+D62*(1-D66)+D63+D64</f>
        <v>6053.4341545394709</v>
      </c>
      <c r="E67" s="3071">
        <f ca="1">E60+E61+E65*(1-E66)+E62*(1-E66)+E63+E64</f>
        <v>6130.6735143552687</v>
      </c>
      <c r="F67" s="3071">
        <f ca="1">F60+F61+F65*(1-F66)+F62*(1-F66)+F63+F64</f>
        <v>4888.565100525806</v>
      </c>
      <c r="G67" s="3072"/>
      <c r="H67" s="3072"/>
      <c r="I67" s="3072"/>
      <c r="J67" s="3072"/>
    </row>
    <row r="68" spans="1:10" ht="11.25" customHeight="1">
      <c r="A68" s="3074" t="s">
        <v>1636</v>
      </c>
      <c r="C68" s="3072"/>
      <c r="D68" s="3077">
        <f ca="1">D67/C67-1</f>
        <v>2.5397917022728942</v>
      </c>
      <c r="E68" s="3077">
        <f ca="1">E67/D67-1</f>
        <v>1.2759593619743326E-2</v>
      </c>
      <c r="F68" s="3077">
        <f ca="1">F67/E67-1</f>
        <v>-0.20260553932957048</v>
      </c>
      <c r="G68" s="3077"/>
      <c r="H68" s="3077"/>
      <c r="I68" s="3077"/>
      <c r="J68" s="3077"/>
    </row>
    <row r="69" spans="1:10" ht="11.25" customHeight="1">
      <c r="A69" s="3057"/>
      <c r="B69" s="3058"/>
      <c r="C69" s="3058"/>
      <c r="D69" s="3058"/>
      <c r="E69" s="3058"/>
      <c r="F69" s="3058"/>
      <c r="G69" s="3058"/>
      <c r="H69" s="3058"/>
      <c r="I69" s="3058"/>
      <c r="J69" s="3058"/>
    </row>
    <row r="70" spans="1:10" ht="11.25" customHeight="1">
      <c r="A70" s="3078" t="s">
        <v>1643</v>
      </c>
      <c r="B70" s="3079"/>
      <c r="C70" s="3092">
        <f>C61/C28</f>
        <v>1.2279448108794002</v>
      </c>
      <c r="D70" s="3120">
        <f ca="1">D61/D28</f>
        <v>3.0363043384561372</v>
      </c>
      <c r="E70" s="3120">
        <f ca="1">E61/E28</f>
        <v>2.8444771530631381</v>
      </c>
      <c r="F70" s="3121">
        <f ca="1">F61/F28</f>
        <v>3.0246544497674996</v>
      </c>
      <c r="G70" s="3122"/>
      <c r="H70" s="3122"/>
      <c r="I70" s="3122"/>
      <c r="J70" s="3082"/>
    </row>
    <row r="71" spans="1:10" ht="11.25" customHeight="1">
      <c r="A71" s="3083" t="s">
        <v>1644</v>
      </c>
      <c r="B71" s="3084"/>
      <c r="C71" s="3085">
        <f>C67/C30</f>
        <v>-17.441598642389135</v>
      </c>
      <c r="D71" s="3122">
        <f ca="1">D67/D30</f>
        <v>-36.000217700319858</v>
      </c>
      <c r="E71" s="3122">
        <f ca="1">E67/E30</f>
        <v>-35.839606477239329</v>
      </c>
      <c r="F71" s="3123">
        <f ca="1">F67/F30</f>
        <v>-28.324556601112754</v>
      </c>
      <c r="G71" s="3122"/>
      <c r="H71" s="3122"/>
      <c r="I71" s="3122"/>
      <c r="J71" s="3082"/>
    </row>
    <row r="72" spans="1:10" ht="11.25" customHeight="1">
      <c r="A72" s="3087" t="s">
        <v>1645</v>
      </c>
      <c r="B72" s="3094"/>
      <c r="C72" s="3089">
        <f>C71/C70-1</f>
        <v>-15.203894578859963</v>
      </c>
      <c r="D72" s="3118">
        <f ca="1">D71/D70-1</f>
        <v>-12.856590673194772</v>
      </c>
      <c r="E72" s="3118">
        <f ca="1">E71/E70-1</f>
        <v>-13.599716766452019</v>
      </c>
      <c r="F72" s="3119">
        <f ca="1">F71/F70-1</f>
        <v>-10.364559513001565</v>
      </c>
      <c r="G72" s="3322"/>
      <c r="H72" s="3322"/>
      <c r="I72" s="3322"/>
      <c r="J72" s="3091"/>
    </row>
    <row r="74" spans="1:10" ht="11.25" customHeight="1">
      <c r="A74" s="3024" t="s">
        <v>180</v>
      </c>
      <c r="C74" s="3095">
        <f>IS!R115</f>
        <v>2.16</v>
      </c>
      <c r="D74" s="3095">
        <f>IS!S115</f>
        <v>2.16</v>
      </c>
      <c r="E74" s="3095">
        <f>IS!T115</f>
        <v>2.16</v>
      </c>
      <c r="F74" s="3095">
        <f>IS!U115</f>
        <v>2.16</v>
      </c>
      <c r="G74" s="3095"/>
      <c r="H74" s="3095"/>
      <c r="I74" s="3095"/>
      <c r="J74" s="3096"/>
    </row>
    <row r="75" spans="1:10" ht="11.25" customHeight="1">
      <c r="A75" s="3024" t="s">
        <v>1646</v>
      </c>
      <c r="C75" s="3052">
        <f>IS!R117</f>
        <v>1356.0642</v>
      </c>
      <c r="D75" s="3052">
        <f>IS!S117</f>
        <v>2322.9012374400004</v>
      </c>
      <c r="E75" s="3052">
        <f>IS!T117</f>
        <v>2369.1869517257146</v>
      </c>
      <c r="F75" s="3052">
        <f>IS!U117</f>
        <v>2390.4114415216332</v>
      </c>
      <c r="G75" s="3052"/>
      <c r="H75" s="3052"/>
      <c r="I75" s="3052"/>
      <c r="J75" s="3041"/>
    </row>
    <row r="76" spans="1:10" ht="11.25" customHeight="1">
      <c r="A76" s="3024" t="s">
        <v>1647</v>
      </c>
      <c r="C76" s="3097">
        <f>C75/C61</f>
        <v>1.7565598445595856</v>
      </c>
      <c r="D76" s="3097">
        <f ca="1">D75/D61</f>
        <v>0.70955836564987207</v>
      </c>
      <c r="E76" s="3097">
        <f ca="1">E75/E61</f>
        <v>0.7593662679533062</v>
      </c>
      <c r="F76" s="3097">
        <f ca="1">F75/F61</f>
        <v>0.71413116303782598</v>
      </c>
      <c r="G76" s="3097"/>
      <c r="H76" s="3097"/>
      <c r="I76" s="3097"/>
      <c r="J76" s="3097"/>
    </row>
    <row r="77" spans="1:10" ht="11.25" customHeight="1">
      <c r="C77" s="3097"/>
      <c r="D77" s="3097"/>
      <c r="E77" s="3097"/>
      <c r="F77" s="3097"/>
      <c r="G77" s="3097"/>
      <c r="H77" s="3097"/>
      <c r="I77" s="3097"/>
      <c r="J77" s="3097"/>
    </row>
    <row r="78" spans="1:10" ht="11.25" customHeight="1">
      <c r="A78" s="3024" t="s">
        <v>1648</v>
      </c>
      <c r="C78" s="3041">
        <f>+C74*$B$29</f>
        <v>-1379.6622953294852</v>
      </c>
      <c r="D78" s="3041">
        <f>+D74*$B$29</f>
        <v>-1379.6622953294852</v>
      </c>
      <c r="E78" s="3041">
        <f>+E74*$B$29</f>
        <v>-1379.6622953294852</v>
      </c>
      <c r="F78" s="3041">
        <f>+F74*$B$29</f>
        <v>-1379.6622953294852</v>
      </c>
      <c r="G78" s="3041"/>
      <c r="H78" s="3041"/>
      <c r="I78" s="3041"/>
      <c r="J78" s="3041"/>
    </row>
    <row r="79" spans="1:10" ht="11.25" customHeight="1">
      <c r="A79" s="3078" t="s">
        <v>1649</v>
      </c>
      <c r="B79" s="3079"/>
      <c r="C79" s="3098">
        <f>C75+C78</f>
        <v>-23.598095329485204</v>
      </c>
      <c r="D79" s="3098">
        <f>D75+D78</f>
        <v>943.23894211051515</v>
      </c>
      <c r="E79" s="3098">
        <f>E75+E78</f>
        <v>989.52465639622937</v>
      </c>
      <c r="F79" s="3099">
        <f>F75+F78</f>
        <v>1010.7491461921479</v>
      </c>
      <c r="G79" s="3323"/>
      <c r="H79" s="3323"/>
      <c r="I79" s="3323"/>
      <c r="J79" s="3056"/>
    </row>
    <row r="80" spans="1:10" ht="11.25" customHeight="1">
      <c r="A80" s="3100" t="s">
        <v>1647</v>
      </c>
      <c r="B80" s="3094"/>
      <c r="C80" s="3089">
        <f>C79/C67</f>
        <v>-1.379916587910939E-2</v>
      </c>
      <c r="D80" s="3089">
        <f ca="1">D79/D67</f>
        <v>0.15581881590356114</v>
      </c>
      <c r="E80" s="3089">
        <f ca="1">E79/E67</f>
        <v>0.1614055379199707</v>
      </c>
      <c r="F80" s="3090">
        <f ca="1">F79/F67</f>
        <v>0.20675783699462924</v>
      </c>
      <c r="G80" s="3117"/>
      <c r="H80" s="3117"/>
      <c r="I80" s="3117"/>
      <c r="J80"/>
    </row>
    <row r="82" spans="1:10" ht="11.25" customHeight="1">
      <c r="A82" s="3024" t="s">
        <v>1650</v>
      </c>
      <c r="C82" s="3114">
        <f ca="1">BS!R75</f>
        <v>5.6422060164083865</v>
      </c>
      <c r="D82" s="3114">
        <f ca="1">BS!S75</f>
        <v>4.090234375270394</v>
      </c>
      <c r="E82" s="3114">
        <f ca="1">BS!T75</f>
        <v>3.8642025586027473</v>
      </c>
      <c r="F82" s="3114">
        <f ca="1">BS!U75</f>
        <v>3.6892604044633517</v>
      </c>
      <c r="G82" s="3114"/>
      <c r="H82" s="3114"/>
      <c r="I82" s="3114"/>
      <c r="J82"/>
    </row>
    <row r="83" spans="1:10" ht="11.25" customHeight="1">
      <c r="A83" s="3049" t="s">
        <v>1651</v>
      </c>
      <c r="B83" s="3050"/>
      <c r="C83" s="3114">
        <f ca="1">($B$35+$B$37+$B$38)/C45</f>
        <v>2.8223472710990993</v>
      </c>
      <c r="D83" s="3114">
        <f ca="1">($B$35+$B$37+$B$38)/D45</f>
        <v>2.0994984239369407</v>
      </c>
      <c r="E83" s="3114">
        <f ca="1">($B$35+$B$37+$B$38)/E45</f>
        <v>2.031879503628895</v>
      </c>
      <c r="F83" s="3114">
        <f ca="1">($B$35+$B$37+$B$38)/F45</f>
        <v>1.9154869470266307</v>
      </c>
      <c r="G83" s="3114"/>
      <c r="H83" s="3114"/>
      <c r="I83" s="3114"/>
      <c r="J83"/>
    </row>
    <row r="86" spans="1:10" ht="11.25" hidden="1" customHeight="1" outlineLevel="1">
      <c r="C86" s="3115" t="str">
        <f>+C8</f>
        <v>2017E</v>
      </c>
      <c r="D86" s="3115" t="str">
        <f>+D8</f>
        <v>2018E</v>
      </c>
      <c r="E86" s="3115" t="str">
        <f>+E8</f>
        <v>2019E</v>
      </c>
      <c r="F86" s="3115" t="str">
        <f>+F8</f>
        <v>2020E</v>
      </c>
      <c r="G86" s="3115"/>
      <c r="H86" s="3115"/>
      <c r="I86" s="3115"/>
    </row>
    <row r="87" spans="1:10" ht="11.25" hidden="1" customHeight="1" outlineLevel="1">
      <c r="A87" s="3024" t="s">
        <v>1656</v>
      </c>
      <c r="C87" s="3052">
        <f>CFS!U54</f>
        <v>0</v>
      </c>
      <c r="D87" s="3052">
        <f>CFS!V54</f>
        <v>0</v>
      </c>
      <c r="E87" s="3052">
        <f>CFS!W54</f>
        <v>0</v>
      </c>
      <c r="F87" s="3052">
        <f>CFS!X54</f>
        <v>0</v>
      </c>
      <c r="G87" s="3052"/>
      <c r="H87" s="3052"/>
      <c r="I87" s="3052"/>
    </row>
    <row r="88" spans="1:10" ht="11.25" hidden="1" customHeight="1" outlineLevel="1">
      <c r="A88" s="3024" t="s">
        <v>1658</v>
      </c>
      <c r="C88" s="3052">
        <f>-IS!U68</f>
        <v>0</v>
      </c>
      <c r="D88" s="3052">
        <f>-IS!V68</f>
        <v>0</v>
      </c>
      <c r="E88" s="3052">
        <f>-IS!W68</f>
        <v>0</v>
      </c>
      <c r="F88" s="3052">
        <f>-IS!X68</f>
        <v>0</v>
      </c>
      <c r="G88" s="3052"/>
      <c r="H88" s="3052"/>
      <c r="I88" s="3052"/>
    </row>
    <row r="89" spans="1:10" ht="11.25" hidden="1" customHeight="1" outlineLevel="1">
      <c r="A89" s="3024" t="s">
        <v>1657</v>
      </c>
      <c r="C89" s="3052">
        <f>CFS!R88</f>
        <v>1582</v>
      </c>
      <c r="D89" s="3052">
        <f ca="1">CFS!S61</f>
        <v>3273.7282088309903</v>
      </c>
      <c r="E89" s="3052">
        <f ca="1">CFS!T61</f>
        <v>3119.9528497773581</v>
      </c>
      <c r="F89" s="3052">
        <f ca="1">CFS!U61</f>
        <v>3347.3002793396067</v>
      </c>
      <c r="G89" s="3052"/>
      <c r="H89" s="3052"/>
      <c r="I89" s="3052"/>
    </row>
    <row r="90" spans="1:10" ht="11.25" hidden="1" customHeight="1" outlineLevel="1">
      <c r="A90" s="3024" t="s">
        <v>1632</v>
      </c>
      <c r="C90" s="3073">
        <f t="shared" ref="C90:F91" si="1">+C62</f>
        <v>475.41858200637586</v>
      </c>
      <c r="D90" s="3073">
        <f t="shared" si="1"/>
        <v>2535.5657707006712</v>
      </c>
      <c r="E90" s="3073">
        <f t="shared" si="1"/>
        <v>2852.5114920382553</v>
      </c>
      <c r="F90" s="3073">
        <f t="shared" si="1"/>
        <v>3803.3486560510069</v>
      </c>
      <c r="G90" s="3073"/>
      <c r="H90" s="3073"/>
      <c r="I90" s="3073"/>
    </row>
    <row r="91" spans="1:10" ht="11.25" hidden="1" customHeight="1" outlineLevel="1">
      <c r="A91" s="3024" t="s">
        <v>1654</v>
      </c>
      <c r="C91" s="3069">
        <f t="shared" si="1"/>
        <v>162.5</v>
      </c>
      <c r="D91" s="3069">
        <f t="shared" si="1"/>
        <v>650</v>
      </c>
      <c r="E91" s="3069">
        <f t="shared" si="1"/>
        <v>650</v>
      </c>
      <c r="F91" s="3069">
        <f t="shared" si="1"/>
        <v>-1462.5000000000002</v>
      </c>
      <c r="G91" s="3069"/>
      <c r="H91" s="3069"/>
      <c r="I91" s="3069"/>
    </row>
    <row r="92" spans="1:10" ht="11.25" hidden="1" customHeight="1" outlineLevel="1">
      <c r="A92" s="3024" t="s">
        <v>1655</v>
      </c>
      <c r="C92" s="3069">
        <v>60</v>
      </c>
      <c r="D92" s="3069">
        <v>75</v>
      </c>
      <c r="E92" s="3069">
        <v>100</v>
      </c>
      <c r="F92" s="3069">
        <v>125</v>
      </c>
      <c r="G92" s="3069"/>
      <c r="H92" s="3069"/>
      <c r="I92" s="3069"/>
    </row>
    <row r="93" spans="1:10" ht="11.25" hidden="1" customHeight="1" outlineLevel="1">
      <c r="A93" s="3024" t="s">
        <v>1633</v>
      </c>
      <c r="C93" s="3073">
        <f>+C65</f>
        <v>625.52029962006895</v>
      </c>
      <c r="D93" s="3073">
        <f>+D65</f>
        <v>625.52029962006895</v>
      </c>
      <c r="E93" s="3073">
        <f>+E65</f>
        <v>625.52029962006895</v>
      </c>
      <c r="F93" s="3073">
        <f>+F65</f>
        <v>625.52029962006895</v>
      </c>
      <c r="G93" s="3073"/>
      <c r="H93" s="3073"/>
      <c r="I93" s="3073"/>
    </row>
    <row r="94" spans="1:10" ht="11.25" hidden="1" customHeight="1" outlineLevel="1">
      <c r="A94" s="3024" t="s">
        <v>1634</v>
      </c>
      <c r="B94" s="3075"/>
      <c r="C94" s="3076">
        <v>0.35</v>
      </c>
      <c r="D94" s="3076">
        <v>0.35</v>
      </c>
      <c r="E94" s="3076">
        <v>0.35</v>
      </c>
      <c r="F94" s="3076">
        <v>0.35</v>
      </c>
      <c r="G94" s="3076"/>
      <c r="H94" s="3076"/>
      <c r="I94" s="3076"/>
    </row>
    <row r="95" spans="1:10" ht="11.25" hidden="1" customHeight="1" outlineLevel="1">
      <c r="A95" s="3054" t="s">
        <v>1642</v>
      </c>
      <c r="C95" s="3071">
        <f>C87+C89+C93*(1-C94)+C90*(1-C94)+C91+C92+C88</f>
        <v>2520.1102730571893</v>
      </c>
      <c r="D95" s="3071">
        <f ca="1">D87+D89+D93*(1-D94)+D90*(1-D94)+D91+D92+D88</f>
        <v>6053.4341545394709</v>
      </c>
      <c r="E95" s="3071">
        <f ca="1">E87+E89+E93*(1-E94)+E90*(1-E94)+E91+E92+E88</f>
        <v>6130.6735143552687</v>
      </c>
      <c r="F95" s="3071">
        <f ca="1">F87+F89+F93*(1-F94)+F90*(1-F94)+F91+F92+F88</f>
        <v>4888.565100525806</v>
      </c>
      <c r="G95" s="3072"/>
      <c r="H95" s="3072"/>
      <c r="I95" s="3072"/>
    </row>
    <row r="96" spans="1:10" ht="11.25" hidden="1" customHeight="1" outlineLevel="1">
      <c r="A96" s="3074" t="s">
        <v>1636</v>
      </c>
      <c r="C96" s="3072"/>
      <c r="D96" s="3077">
        <f ca="1">D95/C95-1</f>
        <v>1.4020512988092166</v>
      </c>
      <c r="E96" s="3077">
        <f ca="1">E95/D95-1</f>
        <v>1.2759593619743326E-2</v>
      </c>
      <c r="F96" s="3077">
        <f ca="1">F95/E95-1</f>
        <v>-0.20260553932957048</v>
      </c>
      <c r="G96" s="3077"/>
      <c r="H96" s="3077"/>
      <c r="I96" s="3077"/>
    </row>
    <row r="97" spans="1:9" ht="11.25" hidden="1" customHeight="1" outlineLevel="1"/>
    <row r="98" spans="1:9" ht="11.25" hidden="1" customHeight="1" outlineLevel="1">
      <c r="A98" s="3078" t="s">
        <v>1643</v>
      </c>
      <c r="B98" s="3079"/>
      <c r="C98" s="3092">
        <f>C89/C30</f>
        <v>-16.134988185838978</v>
      </c>
      <c r="D98" s="3092">
        <f ca="1">D89/D30</f>
        <v>-19.469102198991362</v>
      </c>
      <c r="E98" s="3092">
        <f ca="1">E89/E30</f>
        <v>-18.239086146364656</v>
      </c>
      <c r="F98" s="3093">
        <f ca="1">F89/F30</f>
        <v>-19.394401889601006</v>
      </c>
      <c r="G98" s="3085"/>
      <c r="H98" s="3085"/>
      <c r="I98" s="3085"/>
    </row>
    <row r="99" spans="1:9" ht="11.25" hidden="1" customHeight="1" outlineLevel="1">
      <c r="A99" s="3083" t="s">
        <v>1644</v>
      </c>
      <c r="B99" s="3084"/>
      <c r="C99" s="3085">
        <f>C95/C30</f>
        <v>-25.702875779259919</v>
      </c>
      <c r="D99" s="3085">
        <f ca="1">D95/D30</f>
        <v>-36.000217700319858</v>
      </c>
      <c r="E99" s="3085">
        <f ca="1">E95/E30</f>
        <v>-35.839606477239329</v>
      </c>
      <c r="F99" s="3086">
        <f ca="1">F95/F30</f>
        <v>-28.324556601112754</v>
      </c>
      <c r="G99" s="3085"/>
      <c r="H99" s="3085"/>
      <c r="I99" s="3085"/>
    </row>
    <row r="100" spans="1:9" ht="11.25" hidden="1" customHeight="1" outlineLevel="1">
      <c r="A100" s="3087" t="s">
        <v>1645</v>
      </c>
      <c r="B100" s="3094"/>
      <c r="C100" s="3089">
        <f>C99/C98-1</f>
        <v>0.59299005882249656</v>
      </c>
      <c r="D100" s="3089">
        <f ca="1">D99/D98-1</f>
        <v>0.84909490598826509</v>
      </c>
      <c r="E100" s="3089">
        <f ca="1">E99/E98-1</f>
        <v>0.96498915513827654</v>
      </c>
      <c r="F100" s="3090">
        <f ca="1">F99/F98-1</f>
        <v>0.46045012175910238</v>
      </c>
      <c r="G100" s="3117"/>
      <c r="H100" s="3117"/>
      <c r="I100" s="3117"/>
    </row>
    <row r="101" spans="1:9" ht="11.25" hidden="1" customHeight="1" outlineLevel="1"/>
    <row r="102" spans="1:9" ht="11.25" hidden="1" customHeight="1" outlineLevel="1"/>
    <row r="103" spans="1:9" ht="11.25" customHeight="1" collapsed="1"/>
    <row r="105" spans="1:9" ht="11.25" customHeight="1">
      <c r="C105" s="3125" t="str">
        <f>+C86</f>
        <v>2017E</v>
      </c>
      <c r="D105" s="3125" t="str">
        <f>+D86</f>
        <v>2018E</v>
      </c>
      <c r="E105" s="3125" t="str">
        <f>+E86</f>
        <v>2019E</v>
      </c>
      <c r="F105" s="3125" t="str">
        <f>+F86</f>
        <v>2020E</v>
      </c>
      <c r="G105" s="3125"/>
      <c r="H105" s="3125"/>
      <c r="I105" s="3125"/>
    </row>
    <row r="106" spans="1:9" ht="11.25" customHeight="1">
      <c r="A106" s="3024" t="s">
        <v>1659</v>
      </c>
      <c r="C106" s="3126">
        <f>IS!U17</f>
        <v>0</v>
      </c>
      <c r="D106" s="3126">
        <f>IS!V17</f>
        <v>0</v>
      </c>
      <c r="E106" s="3126">
        <f>IS!W17</f>
        <v>0</v>
      </c>
      <c r="F106" s="3126">
        <f>IS!X17</f>
        <v>0</v>
      </c>
      <c r="G106" s="3126"/>
      <c r="H106" s="3126"/>
      <c r="I106" s="3126"/>
    </row>
    <row r="107" spans="1:9" ht="11.25" customHeight="1">
      <c r="A107" s="3024" t="s">
        <v>1660</v>
      </c>
      <c r="C107" s="3127">
        <f>IS!R25</f>
        <v>18338</v>
      </c>
      <c r="D107" s="3127">
        <f>IS!S25</f>
        <v>23840.293709116748</v>
      </c>
      <c r="E107" s="3127">
        <f>IS!T25</f>
        <v>23587.128801288247</v>
      </c>
      <c r="F107" s="3127">
        <f>IS!U25</f>
        <v>23390.396585862542</v>
      </c>
      <c r="G107" s="3127"/>
      <c r="H107" s="3127"/>
      <c r="I107" s="3127"/>
    </row>
    <row r="108" spans="1:9" ht="11.25" customHeight="1">
      <c r="A108" s="3028" t="s">
        <v>1143</v>
      </c>
      <c r="B108" s="3028"/>
      <c r="C108" s="3317">
        <f>SUM(C106:C107)</f>
        <v>18338</v>
      </c>
      <c r="D108" s="3317">
        <f>SUM(D106:D107)</f>
        <v>23840.293709116748</v>
      </c>
      <c r="E108" s="3317">
        <f>SUM(E106:E107)</f>
        <v>23587.128801288247</v>
      </c>
      <c r="F108" s="3317">
        <f>SUM(F106:F107)</f>
        <v>23390.396585862542</v>
      </c>
      <c r="G108" s="3317"/>
      <c r="H108" s="3317"/>
      <c r="I108" s="3317"/>
    </row>
    <row r="110" spans="1:9" ht="11.25" customHeight="1">
      <c r="C110" s="3125" t="str">
        <f>+C105</f>
        <v>2017E</v>
      </c>
      <c r="D110" s="3125" t="str">
        <f>+D105</f>
        <v>2018E</v>
      </c>
      <c r="E110" s="3125" t="str">
        <f>+E105</f>
        <v>2019E</v>
      </c>
      <c r="F110" s="3125" t="str">
        <f>+F105</f>
        <v>2020E</v>
      </c>
      <c r="G110" s="3125"/>
      <c r="H110" s="3125"/>
      <c r="I110" s="3125"/>
    </row>
    <row r="111" spans="1:9" ht="11.25" customHeight="1">
      <c r="A111" s="3024" t="s">
        <v>1661</v>
      </c>
      <c r="C111" s="3041">
        <f t="shared" ref="C111:F113" si="2">C42</f>
        <v>5238.5174579739441</v>
      </c>
      <c r="D111" s="3041">
        <f t="shared" si="2"/>
        <v>5146.8434024594007</v>
      </c>
      <c r="E111" s="3041">
        <f t="shared" si="2"/>
        <v>5056.7736429163615</v>
      </c>
      <c r="F111" s="3041">
        <f t="shared" si="2"/>
        <v>4968.2801041653256</v>
      </c>
      <c r="G111" s="3041"/>
      <c r="H111" s="3041"/>
      <c r="I111" s="3041"/>
    </row>
    <row r="112" spans="1:9" ht="11.25" customHeight="1">
      <c r="A112" s="3024" t="s">
        <v>1662</v>
      </c>
      <c r="C112" s="3041">
        <f t="shared" si="2"/>
        <v>6582</v>
      </c>
      <c r="D112" s="3041">
        <f t="shared" si="2"/>
        <v>8846.9680973273917</v>
      </c>
      <c r="E112" s="3041">
        <f t="shared" si="2"/>
        <v>9170.173300483093</v>
      </c>
      <c r="F112" s="3041">
        <f t="shared" si="2"/>
        <v>9345.6450650722545</v>
      </c>
      <c r="G112" s="3041"/>
      <c r="H112" s="3041"/>
      <c r="I112" s="3041"/>
    </row>
    <row r="113" spans="1:9" s="3028" customFormat="1" ht="11.25" customHeight="1">
      <c r="A113" s="3024" t="s">
        <v>1763</v>
      </c>
      <c r="B113" s="3024"/>
      <c r="C113" s="3041">
        <f t="shared" si="2"/>
        <v>475.41858200637586</v>
      </c>
      <c r="D113" s="3041">
        <f t="shared" si="2"/>
        <v>2535.5657707006712</v>
      </c>
      <c r="E113" s="3041">
        <f t="shared" si="2"/>
        <v>2852.5114920382553</v>
      </c>
      <c r="F113" s="3041">
        <f t="shared" si="2"/>
        <v>3803.3486560510069</v>
      </c>
      <c r="G113" s="3041"/>
      <c r="H113" s="3041"/>
      <c r="I113" s="3041"/>
    </row>
    <row r="114" spans="1:9" ht="11.25" customHeight="1">
      <c r="A114" s="3028" t="s">
        <v>1143</v>
      </c>
      <c r="B114" s="3028"/>
      <c r="C114" s="3317">
        <f>SUM(C111:C113)</f>
        <v>12295.936039980319</v>
      </c>
      <c r="D114" s="3317">
        <f>SUM(D111:D113)</f>
        <v>16529.377270487465</v>
      </c>
      <c r="E114" s="3317">
        <f>SUM(E111:E113)</f>
        <v>17079.458435437711</v>
      </c>
      <c r="F114" s="3317">
        <f>SUM(F111:F113)</f>
        <v>18117.273825288587</v>
      </c>
      <c r="G114" s="3317"/>
      <c r="H114" s="3317"/>
      <c r="I114" s="3317"/>
    </row>
    <row r="116" spans="1:9" ht="11.25" customHeight="1">
      <c r="C116" s="3125" t="str">
        <f>+C110</f>
        <v>2017E</v>
      </c>
      <c r="D116" s="3125" t="str">
        <f>+D110</f>
        <v>2018E</v>
      </c>
      <c r="E116" s="3125" t="str">
        <f>+E110</f>
        <v>2019E</v>
      </c>
      <c r="F116" s="3125" t="str">
        <f>+F110</f>
        <v>2020E</v>
      </c>
      <c r="G116" s="3125"/>
      <c r="H116" s="3125"/>
      <c r="I116" s="3125"/>
    </row>
    <row r="117" spans="1:9" ht="11.25" customHeight="1">
      <c r="A117" s="3024" t="s">
        <v>1764</v>
      </c>
      <c r="C117" s="3318" t="e">
        <f t="shared" ref="C117:F118" si="3">+C111/C106</f>
        <v>#DIV/0!</v>
      </c>
      <c r="D117" s="3318" t="e">
        <f t="shared" si="3"/>
        <v>#DIV/0!</v>
      </c>
      <c r="E117" s="3318" t="e">
        <f t="shared" si="3"/>
        <v>#DIV/0!</v>
      </c>
      <c r="F117" s="3318" t="e">
        <f t="shared" si="3"/>
        <v>#DIV/0!</v>
      </c>
      <c r="G117" s="3318"/>
      <c r="H117" s="3318"/>
      <c r="I117" s="3318"/>
    </row>
    <row r="118" spans="1:9" s="3028" customFormat="1" ht="11.25" customHeight="1">
      <c r="A118" s="3024" t="s">
        <v>1765</v>
      </c>
      <c r="B118" s="3024"/>
      <c r="C118" s="3318">
        <f t="shared" si="3"/>
        <v>0.35892681862798559</v>
      </c>
      <c r="D118" s="3318">
        <f t="shared" si="3"/>
        <v>0.37109308321752049</v>
      </c>
      <c r="E118" s="3318">
        <f t="shared" si="3"/>
        <v>0.38877870120343982</v>
      </c>
      <c r="F118" s="3318">
        <f t="shared" si="3"/>
        <v>0.39955051769925454</v>
      </c>
      <c r="G118" s="3318"/>
      <c r="H118" s="3318"/>
      <c r="I118" s="3318"/>
    </row>
    <row r="119" spans="1:9" ht="11.25" customHeight="1">
      <c r="A119" s="3028" t="s">
        <v>1766</v>
      </c>
      <c r="B119" s="3028"/>
      <c r="C119" s="3319">
        <f>+C114/C108</f>
        <v>0.67051674337334055</v>
      </c>
      <c r="D119" s="3319">
        <f>+D114/D108</f>
        <v>0.69333782008593625</v>
      </c>
      <c r="E119" s="3319">
        <f>+E114/E108</f>
        <v>0.72410078307220205</v>
      </c>
      <c r="F119" s="3319">
        <f>+F114/F108</f>
        <v>0.77456035252685285</v>
      </c>
      <c r="G119" s="3319"/>
      <c r="H119" s="3319"/>
      <c r="I119" s="3319"/>
    </row>
    <row r="122" spans="1:9" ht="11.25" customHeight="1">
      <c r="A122" s="3024" t="s">
        <v>1767</v>
      </c>
      <c r="D122" s="3318" t="e">
        <f t="shared" ref="D122:F123" si="4">+IF((D111-C111&lt;0),-(D111-C111)/(D106-C106),(D111-C111)/(D106-C106))</f>
        <v>#DIV/0!</v>
      </c>
      <c r="E122" s="3318" t="e">
        <f t="shared" si="4"/>
        <v>#DIV/0!</v>
      </c>
      <c r="F122" s="3318" t="e">
        <f t="shared" si="4"/>
        <v>#DIV/0!</v>
      </c>
      <c r="G122" s="3318"/>
      <c r="H122" s="3318"/>
      <c r="I122" s="3318"/>
    </row>
    <row r="123" spans="1:9" ht="11.25" customHeight="1">
      <c r="D123" s="3318">
        <f t="shared" si="4"/>
        <v>0.41164071150447079</v>
      </c>
      <c r="E123" s="3318">
        <f t="shared" si="4"/>
        <v>-1.276658783114788</v>
      </c>
      <c r="F123" s="3318">
        <f t="shared" si="4"/>
        <v>-0.89193203161699375</v>
      </c>
      <c r="G123" s="3318"/>
      <c r="H123" s="3318"/>
      <c r="I123" s="3318"/>
    </row>
    <row r="124" spans="1:9" ht="11.25" customHeight="1">
      <c r="D124" s="3318">
        <f>+(D114-C114)/(D108-C108)</f>
        <v>0.76939572009628621</v>
      </c>
      <c r="E124" s="3318">
        <f>+(E114-D114)/(E108-D108)</f>
        <v>-2.1728175901965168</v>
      </c>
      <c r="F124" s="3318">
        <f>+(F114-E114)/(F108-E108)</f>
        <v>-5.2752691652720172</v>
      </c>
      <c r="G124" s="3318"/>
      <c r="H124" s="3318"/>
      <c r="I124" s="3318"/>
    </row>
    <row r="127" spans="1:9" ht="11.25" customHeight="1">
      <c r="A127" s="3024" t="s">
        <v>1768</v>
      </c>
    </row>
    <row r="128" spans="1:9" ht="11.25" customHeight="1">
      <c r="A128" s="3024" t="s">
        <v>628</v>
      </c>
      <c r="C128" s="3041">
        <f>IS!$U$176</f>
        <v>0</v>
      </c>
      <c r="D128" s="3041">
        <f>+C131</f>
        <v>-464.28571428571433</v>
      </c>
      <c r="E128" s="3041">
        <f>+D131</f>
        <v>-2321.4285714285716</v>
      </c>
      <c r="F128" s="3041">
        <f>+E131</f>
        <v>-4178.5714285714294</v>
      </c>
      <c r="G128" s="3041"/>
      <c r="H128" s="3041"/>
      <c r="I128" s="3041"/>
    </row>
    <row r="129" spans="1:9" ht="11.25" customHeight="1">
      <c r="A129" s="3024" t="s">
        <v>1769</v>
      </c>
      <c r="C129" s="3041">
        <f>IS!U178</f>
        <v>0</v>
      </c>
      <c r="D129" s="3041">
        <f>IS!V178</f>
        <v>0</v>
      </c>
      <c r="E129" s="3041">
        <f>IS!W178</f>
        <v>0</v>
      </c>
      <c r="F129" s="3041">
        <f>IS!X178</f>
        <v>0</v>
      </c>
      <c r="G129" s="3041"/>
      <c r="H129" s="3041"/>
      <c r="I129" s="3041"/>
    </row>
    <row r="130" spans="1:9" ht="11.25" customHeight="1">
      <c r="A130" s="3024" t="s">
        <v>1770</v>
      </c>
      <c r="C130" s="3041">
        <f>-C63/35%</f>
        <v>-464.28571428571433</v>
      </c>
      <c r="D130" s="3041">
        <f>-D63/35%</f>
        <v>-1857.1428571428573</v>
      </c>
      <c r="E130" s="3041">
        <f>-E63/35%</f>
        <v>-1857.1428571428573</v>
      </c>
      <c r="F130" s="3041">
        <f>-F63/35%</f>
        <v>4178.5714285714294</v>
      </c>
      <c r="G130" s="3041"/>
      <c r="H130" s="3041"/>
      <c r="I130" s="3041"/>
    </row>
    <row r="131" spans="1:9" ht="11.25" customHeight="1">
      <c r="A131" s="3024" t="s">
        <v>634</v>
      </c>
      <c r="C131" s="3041">
        <f>SUM(C128:C130)</f>
        <v>-464.28571428571433</v>
      </c>
      <c r="D131" s="3041">
        <f>SUM(D128:D130)</f>
        <v>-2321.4285714285716</v>
      </c>
      <c r="E131" s="3041">
        <f>SUM(E128:E130)</f>
        <v>-4178.5714285714294</v>
      </c>
      <c r="F131" s="3041">
        <f>SUM(F128:F130)</f>
        <v>0</v>
      </c>
      <c r="G131" s="3041"/>
      <c r="H131" s="3041"/>
      <c r="I131" s="3041"/>
    </row>
  </sheetData>
  <dataValidations disablePrompts="1" count="1">
    <dataValidation type="list" allowBlank="1" showInputMessage="1" showErrorMessage="1" sqref="A2">
      <formula1>"1,2,3"</formula1>
    </dataValidation>
  </dataValidations>
  <pageMargins left="0" right="0" top="0" bottom="0" header="0" footer="0"/>
  <pageSetup paperSize="5" scale="48" orientation="landscape" r:id="rId1"/>
  <drawing r:id="rId2"/>
  <legacyDrawing r:id="rId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a3a9e3cd-011b-4df4-b57c-8fa1a4ed3e26</GUID>
    <SOURCETYPE>Chart</SOURCETYPE>
    <SOURCE_OBJECTNAME>Chart 212321</SOURCE_OBJECTNAME>
    <SOURCE_SHEETCODE>Sheet31</SOURCE_SHEETCODE>
    <SOURCE_SHEETNAME>Charts</SOURCE_SHEETNAME>
    <OBJECTTYPE>Native</OBJECTTYPE>
    <SOURCEAPPLICATION>EXCEL_SOURCE</SOURCEAPPLICATION>
    <UPDATEDAT>5/13/2015 10:53:02 AM</UPDATEDAT>
    <SOURCE_ISOUTOFDATE>False</SOURCE_ISOUTOFDATE>
    <SOURCE_WORKBOOKNAME>CTL_pending.xls</SOURCE_WORKBOOKNAME>
    <SOURCE_WORKBOOKPATH>\\MSAD\ROOT\NA\NY\LIB\ER\ER13\Independent_Rural Telcos\CTL\Models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/MSResearch/Content/ExternalAssets/2015-05/Images/ZYD8InHEXEOahTw7LAzZag--.png</TARGET_BINARYFULLNAME>
    <TARGET_STORYFULLNAME>/MSResearch/Content/ExternalAssets/2015-05/Sections/20150513_105300_Chart212321.xml</TARGET_STORYFULLNAME>
    <TARGET_UUID>c02d63cc-f97f-11e4-b06e-39cc228b6d15</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B91A7073-09A7-4E76-BF0A-3A88BD705CDC}">
  <ds:schemaRefs>
    <ds:schemaRef ds:uri="thomsonreuters.linking.metadata"/>
  </ds:schemaRefs>
</ds:datastoreItem>
</file>

<file path=customXml/itemProps2.xml><?xml version="1.0" encoding="utf-8"?>
<ds:datastoreItem xmlns:ds="http://schemas.openxmlformats.org/officeDocument/2006/customXml" ds:itemID="{DCEC191B-2046-4925-9C17-47FBADD30DE3}">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229</vt:i4>
      </vt:variant>
    </vt:vector>
  </HeadingPairs>
  <TitlesOfParts>
    <vt:vector size="268" baseType="lpstr">
      <vt:lpstr>BS CF Inputs</vt:lpstr>
      <vt:lpstr>IS Inputs </vt:lpstr>
      <vt:lpstr>Pro-Forma BS as of 3Q08</vt:lpstr>
      <vt:lpstr>Pro-Forma IS for 2007</vt:lpstr>
      <vt:lpstr>Pro-Forma IS through 3Q08</vt:lpstr>
      <vt:lpstr>Notes on the merger</vt:lpstr>
      <vt:lpstr>ImportantDisclosures</vt:lpstr>
      <vt:lpstr>CircularReferenceAlert</vt:lpstr>
      <vt:lpstr>Valuation</vt:lpstr>
      <vt:lpstr>IS</vt:lpstr>
      <vt:lpstr>BS</vt:lpstr>
      <vt:lpstr>CFS</vt:lpstr>
      <vt:lpstr>Segments New</vt:lpstr>
      <vt:lpstr>EBITDA &amp; Expense Detail</vt:lpstr>
      <vt:lpstr>LVLT Rev Build</vt:lpstr>
      <vt:lpstr>FX</vt:lpstr>
      <vt:lpstr>Subscribers</vt:lpstr>
      <vt:lpstr>DEBT</vt:lpstr>
      <vt:lpstr>Cash Taxes</vt:lpstr>
      <vt:lpstr>Charts</vt:lpstr>
      <vt:lpstr>Qrtly Guide vs Results</vt:lpstr>
      <vt:lpstr>Sheet2</vt:lpstr>
      <vt:lpstr>LINKS</vt:lpstr>
      <vt:lpstr>Q_IS</vt:lpstr>
      <vt:lpstr>Q_BS</vt:lpstr>
      <vt:lpstr>Q_CFS</vt:lpstr>
      <vt:lpstr>Q_Segments</vt:lpstr>
      <vt:lpstr>Q_Capex</vt:lpstr>
      <vt:lpstr>INPUTS_1</vt:lpstr>
      <vt:lpstr>INPUTS_2</vt:lpstr>
      <vt:lpstr>Pension</vt:lpstr>
      <vt:lpstr>OPEB</vt:lpstr>
      <vt:lpstr>Implied Guidance</vt:lpstr>
      <vt:lpstr>Implied Guidance 2016</vt:lpstr>
      <vt:lpstr>Network Detail</vt:lpstr>
      <vt:lpstr>IndexInformation</vt:lpstr>
      <vt:lpstr>ModPubIndex</vt:lpstr>
      <vt:lpstr>LVLT pro forma model (full)</vt:lpstr>
      <vt:lpstr>CTL-LVLT Analysis</vt:lpstr>
      <vt:lpstr>_fye2001</vt:lpstr>
      <vt:lpstr>_FYE2002</vt:lpstr>
      <vt:lpstr>Q_BS!_switch</vt:lpstr>
      <vt:lpstr>Q_Capex!_switch</vt:lpstr>
      <vt:lpstr>Q_CFS!_switch</vt:lpstr>
      <vt:lpstr>Q_Segments!_switch</vt:lpstr>
      <vt:lpstr>AdditionalInstructions</vt:lpstr>
      <vt:lpstr>ImportantDisclosures!Address</vt:lpstr>
      <vt:lpstr>ModPubIndex!ANA</vt:lpstr>
      <vt:lpstr>ImportantDisclosures!Authors</vt:lpstr>
      <vt:lpstr>IndexInformation!Authors</vt:lpstr>
      <vt:lpstr>ModPubIndex!BRO</vt:lpstr>
      <vt:lpstr>BS!bs</vt:lpstr>
      <vt:lpstr>CircularReferenceAlert!Buttons</vt:lpstr>
      <vt:lpstr>'CTL-LVLT Analysis'!case</vt:lpstr>
      <vt:lpstr>Subscribers!Case</vt:lpstr>
      <vt:lpstr>Charts!Cash_Balance</vt:lpstr>
      <vt:lpstr>Cash_Balance</vt:lpstr>
      <vt:lpstr>CFS!cf</vt:lpstr>
      <vt:lpstr>CopyrightStamp</vt:lpstr>
      <vt:lpstr>ModPubIndex!COU</vt:lpstr>
      <vt:lpstr>IndexInformation!CQEnd</vt:lpstr>
      <vt:lpstr>IndexInformation!Currency</vt:lpstr>
      <vt:lpstr>OPEB!Currency_ISOcode</vt:lpstr>
      <vt:lpstr>Pension!Currency_ISOcode</vt:lpstr>
      <vt:lpstr>OPEB!currentFY</vt:lpstr>
      <vt:lpstr>Pension!currentFY</vt:lpstr>
      <vt:lpstr>Charts!CurrentSharePrice</vt:lpstr>
      <vt:lpstr>CurrentSharePrice</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Charts!Diluted_Shares_Outstanding</vt:lpstr>
      <vt:lpstr>Diluted_Shares_Outstanding</vt:lpstr>
      <vt:lpstr>IndexInformation!Discipline</vt:lpstr>
      <vt:lpstr>ModPubIndex!DISCIPLINE</vt:lpstr>
      <vt:lpstr>DisclosuresText</vt:lpstr>
      <vt:lpstr>IndexInformation!Distribution</vt:lpstr>
      <vt:lpstr>ModPubIndex!DOCDAT</vt:lpstr>
      <vt:lpstr>ModPubIndex!DOCTIME</vt:lpstr>
      <vt:lpstr>IndexInformation!DocType</vt:lpstr>
      <vt:lpstr>OPEB!dropDown</vt:lpstr>
      <vt:lpstr>Pension!dropDown</vt:lpstr>
      <vt:lpstr>OPEB!dropDown2</vt:lpstr>
      <vt:lpstr>Pension!dropDown2</vt:lpstr>
      <vt:lpstr>Charts!EBITDA</vt:lpstr>
      <vt:lpstr>EBITDA</vt:lpstr>
      <vt:lpstr>ModPubIndex!EMAIL_ALERT</vt:lpstr>
      <vt:lpstr>IndexInformation!EmailAlert</vt:lpstr>
      <vt:lpstr>Enterprise_Value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Charts!Intangibles</vt:lpstr>
      <vt:lpstr>Intangibles</vt:lpstr>
      <vt:lpstr>IndexInformation!KeepVersions</vt:lpstr>
      <vt:lpstr>LanguageCode</vt:lpstr>
      <vt:lpstr>ImportantDisclosures!LastCell</vt:lpstr>
      <vt:lpstr>Less__Total_Debt___Pension___OPEB</vt:lpstr>
      <vt:lpstr>Letters</vt:lpstr>
      <vt:lpstr>'Implied Guidance 2016'!Linking_1</vt:lpstr>
      <vt:lpstr>Linking_1</vt:lpstr>
      <vt:lpstr>Linking_10</vt:lpstr>
      <vt:lpstr>Linking_11</vt:lpstr>
      <vt:lpstr>Linking_12</vt:lpstr>
      <vt:lpstr>Linking_13</vt:lpstr>
      <vt:lpstr>Linking_14</vt:lpstr>
      <vt:lpstr>Linking_15</vt:lpstr>
      <vt:lpstr>Linking_16</vt:lpstr>
      <vt:lpstr>Linking_17</vt:lpstr>
      <vt:lpstr>Linking_18</vt:lpstr>
      <vt:lpstr>Linking_19</vt:lpstr>
      <vt:lpstr>'CTL-LVLT Analysis'!Linking_2</vt:lpstr>
      <vt:lpstr>'Implied Guidance 2016'!Linking_2</vt:lpstr>
      <vt:lpstr>Linking_2</vt:lpstr>
      <vt:lpstr>Linking_20</vt:lpstr>
      <vt:lpstr>Linking_21</vt:lpstr>
      <vt:lpstr>Linking_22</vt:lpstr>
      <vt:lpstr>Linking_23</vt:lpstr>
      <vt:lpstr>Linking_24</vt:lpstr>
      <vt:lpstr>'CTL-LVLT Analysis'!Linking_3</vt:lpstr>
      <vt:lpstr>'Implied Guidance 2016'!Linking_3</vt:lpstr>
      <vt:lpstr>Linking_3</vt:lpstr>
      <vt:lpstr>Linking_4</vt:lpstr>
      <vt:lpstr>Linking_5</vt:lpstr>
      <vt:lpstr>Linking_6</vt:lpstr>
      <vt:lpstr>Linking_7</vt:lpstr>
      <vt:lpstr>Linking_9</vt:lpstr>
      <vt:lpstr>Linking_Range_1</vt:lpstr>
      <vt:lpstr>Linking_Range_10</vt:lpstr>
      <vt:lpstr>Linking_Range_11</vt:lpstr>
      <vt:lpstr>Linking_Range_12</vt:lpstr>
      <vt:lpstr>Linking_Range_13</vt:lpstr>
      <vt:lpstr>Linking_Range_14</vt:lpstr>
      <vt:lpstr>Linking_Range_15</vt:lpstr>
      <vt:lpstr>Linking_Range_17</vt:lpstr>
      <vt:lpstr>Linking_Range_18</vt:lpstr>
      <vt:lpstr>Linking_Range_19</vt:lpstr>
      <vt:lpstr>Linking_Range_2</vt:lpstr>
      <vt:lpstr>Linking_Range_20</vt:lpstr>
      <vt:lpstr>'Cash Taxes'!Linking_Range_21</vt:lpstr>
      <vt:lpstr>Charts!Linking_Range_21</vt:lpstr>
      <vt:lpstr>Linking_Range_21</vt:lpstr>
      <vt:lpstr>'Cash Taxes'!Linking_Range_22</vt:lpstr>
      <vt:lpstr>Charts!Linking_Range_22</vt:lpstr>
      <vt:lpstr>Linking_Range_22</vt:lpstr>
      <vt:lpstr>Linking_Range_23</vt:lpstr>
      <vt:lpstr>Linking_Range_24</vt:lpstr>
      <vt:lpstr>Linking_Range_25</vt:lpstr>
      <vt:lpstr>Linking_Range_26</vt:lpstr>
      <vt:lpstr>Linking_Range_27</vt:lpstr>
      <vt:lpstr>Linking_Range_28</vt:lpstr>
      <vt:lpstr>Charts!Linking_Range_29</vt:lpstr>
      <vt:lpstr>Linking_Range_29</vt:lpstr>
      <vt:lpstr>'Cash Taxes'!Linking_Range_3</vt:lpstr>
      <vt:lpstr>Charts!Linking_Range_3</vt:lpstr>
      <vt:lpstr>Linking_Range_3</vt:lpstr>
      <vt:lpstr>Linking_Range_30</vt:lpstr>
      <vt:lpstr>Linking_Range_31</vt:lpstr>
      <vt:lpstr>Linking_Range_32</vt:lpstr>
      <vt:lpstr>Linking_Range_33</vt:lpstr>
      <vt:lpstr>Linking_Range_34</vt:lpstr>
      <vt:lpstr>Linking_Range_35</vt:lpstr>
      <vt:lpstr>Linking_Range_36</vt:lpstr>
      <vt:lpstr>Linking_Range_37</vt:lpstr>
      <vt:lpstr>Linking_Range_38</vt:lpstr>
      <vt:lpstr>Linking_Range_39</vt:lpstr>
      <vt:lpstr>Linking_Range_4</vt:lpstr>
      <vt:lpstr>Linking_Range_5</vt:lpstr>
      <vt:lpstr>Linking_Range_6</vt:lpstr>
      <vt:lpstr>Linking_Range_7</vt:lpstr>
      <vt:lpstr>Linking_Range_8</vt:lpstr>
      <vt:lpstr>Linking_Range_9</vt:lpstr>
      <vt:lpstr>Charts!Linking_Text_3</vt:lpstr>
      <vt:lpstr>Linking_Text_3</vt:lpstr>
      <vt:lpstr>Linking_Text_4</vt:lpstr>
      <vt:lpstr>IndexInformation!MacroVersion</vt:lpstr>
      <vt:lpstr>CircularReferenceAlert!MaxChange</vt:lpstr>
      <vt:lpstr>CircularReferenceAlert!MaxIterations</vt:lpstr>
      <vt:lpstr>FX!Mode</vt:lpstr>
      <vt:lpstr>'LVLT Rev Build'!Mode</vt:lpstr>
      <vt:lpstr>mode</vt:lpstr>
      <vt:lpstr>ImportantDisclosures!ModelPrice</vt:lpstr>
      <vt:lpstr>OPEB!mstagrange</vt:lpstr>
      <vt:lpstr>OPEB!mstagrange1</vt:lpstr>
      <vt:lpstr>Pension!mstagrange1</vt:lpstr>
      <vt:lpstr>IndexInformation!Multiplier</vt:lpstr>
      <vt:lpstr>Charts!Net_PPE</vt:lpstr>
      <vt:lpstr>Net_PPE</vt:lpstr>
      <vt:lpstr>IndexInformation!NextYearEPS</vt:lpstr>
      <vt:lpstr>IndexInformation!NextYearTotalRevenue</vt:lpstr>
      <vt:lpstr>IndexInformation!NextYearTotalRevenueActual</vt:lpstr>
      <vt:lpstr>Charts!NPV_of_Future_Cash_Flows</vt:lpstr>
      <vt:lpstr>NPV_of_Future_Cash_Flows</vt:lpstr>
      <vt:lpstr>Charts!NWC</vt:lpstr>
      <vt:lpstr>NWC</vt:lpstr>
      <vt:lpstr>ObjectType</vt:lpstr>
      <vt:lpstr>OPEB!OPEB_Guide</vt:lpstr>
      <vt:lpstr>ModPubIndex!PANA</vt:lpstr>
      <vt:lpstr>IndexInformation!PathName</vt:lpstr>
      <vt:lpstr>OPEB!Pension_Guide</vt:lpstr>
      <vt:lpstr>Pension!Pension_Guide</vt:lpstr>
      <vt:lpstr>BS!Print_Area</vt:lpstr>
      <vt:lpstr>CFS!Print_Area</vt:lpstr>
      <vt:lpstr>DEBT!Print_Area</vt:lpstr>
      <vt:lpstr>IS!Print_Area</vt:lpstr>
      <vt:lpstr>'LVLT Rev Build'!Print_Area</vt:lpstr>
      <vt:lpstr>Pension!Print_Area</vt:lpstr>
      <vt:lpstr>Q_BS!Print_Area</vt:lpstr>
      <vt:lpstr>Q_Capex!Print_Area</vt:lpstr>
      <vt:lpstr>Q_CFS!Print_Area</vt:lpstr>
      <vt:lpstr>Q_IS!Print_Area</vt:lpstr>
      <vt:lpstr>Q_Segments!Print_Area</vt:lpstr>
      <vt:lpstr>Subscribers!Print_Area</vt:lpstr>
      <vt:lpstr>BS!Print_Titles</vt:lpstr>
      <vt:lpstr>CFS!Print_Titles</vt:lpstr>
      <vt:lpstr>Q_Capex!Print_Titles</vt:lpstr>
      <vt:lpstr>Q_Segments!Print_Titles</vt:lpstr>
      <vt:lpstr>Subscribers!Print_Titles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Pension!rngStartYear</vt:lpstr>
      <vt:lpstr>OPEB!rngTicker</vt:lpstr>
      <vt:lpstr>Pension!rngTicker</vt:lpstr>
      <vt:lpstr>IndexInformation!SEDOL</vt:lpstr>
      <vt:lpstr>OPEB!Sedol</vt:lpstr>
      <vt:lpstr>Pension!Sedol</vt:lpstr>
      <vt:lpstr>ImportantDisclosures!SourceDefined</vt:lpstr>
      <vt:lpstr>ImportantDisclosures!StockRating</vt:lpstr>
      <vt:lpstr>IndexInformation!SubjectCode</vt:lpstr>
      <vt:lpstr>SubmitterUserId</vt:lpstr>
      <vt:lpstr>ModPubIndex!SUPPRESSED</vt:lpstr>
      <vt:lpstr>ImportantDisclosures!TargetPrice</vt:lpstr>
      <vt:lpstr>'Cash Taxes'!Tax_Rate</vt:lpstr>
      <vt:lpstr>Charts!Tax_Rate</vt:lpstr>
      <vt:lpstr>Tax_Rate</vt:lpstr>
      <vt:lpstr>TemplateRegion</vt:lpstr>
      <vt:lpstr>ImportantDisclosures!Ticker</vt:lpstr>
      <vt:lpstr>TickerRegion</vt:lpstr>
      <vt:lpstr>IndexInformation!Tickers</vt:lpstr>
      <vt:lpstr>Charts!Total_Debt_Plus_PensionOPEB</vt:lpstr>
      <vt:lpstr>Total_Debt_Plus_PensionOPEB</vt:lpstr>
      <vt:lpstr>OPEB!trEdate</vt:lpstr>
      <vt:lpstr>Pension!trEdate</vt:lpstr>
      <vt:lpstr>OPEB!trSdate</vt:lpstr>
      <vt:lpstr>Pension!trSdate</vt:lpstr>
      <vt:lpstr>IndexInformation!UpdateReason</vt:lpstr>
      <vt:lpstr>Charts!WACC</vt:lpstr>
      <vt:lpstr>WACC</vt:lpstr>
      <vt:lpstr>OPEB!YearRow</vt:lpstr>
      <vt:lpstr>Pension!YearRow</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2008-11-04T15:32:58Z</dcterms:created>
  <dc:creator>katzedwa</dc:creator>
  <cp:lastModifiedBy>Zhu, Miaojing "M.J." (COMPLIANCE)</cp:lastModifiedBy>
  <cp:lastPrinted>2018-03-16T21:26:32Z</cp:lastPrinted>
  <dcterms:modified xsi:type="dcterms:W3CDTF">2018-03-19T15:29:01Z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4</vt:lpwstr>
  </property>
  <property fmtid="{D5CDD505-2E9C-101B-9397-08002B2CF9AE}" name="LinkingAutoNameNumberLinking_Range_" pid="3">
    <vt:lpwstr>39</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757174</vt:lpwstr>
  </property>
  <property fmtid="{D5CDD505-2E9C-101B-9397-08002B2CF9AE}" name="ERModPubCompanyName" pid="7">
    <vt:lpwstr>CenturyLink, Inc.</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.TEZUF76X5TAHATHESADREYAK-00-INB160+*94600-06=12815956/-2b84/-11e8/-b383/-f99601a31d31,MD=20180319112940/-0400,ZZ=000Z-7408.</vt:lpwstr>
  </property>
</Properties>
</file>